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<sst xmlns="http://schemas.openxmlformats.org/spreadsheetml/2006/main" count="74845" uniqueCount="47054">
  <si>
    <t>names</t>
  </si>
  <si>
    <t>sentences</t>
  </si>
  <si>
    <t>translation</t>
  </si>
  <si>
    <t>v_QOlSCBRmfWY</t>
  </si>
  <si>
    <t>A young woman is seen standing in a room and leads into her dancing.</t>
  </si>
  <si>
    <t>The girl dances around the room while the camera captures her movements.</t>
  </si>
  <si>
    <t>She continues dancing around the room and ends by laying on the floor.</t>
  </si>
  <si>
    <t>v_ehGHCYKzyZ8</t>
  </si>
  <si>
    <t>The video starts with a title logo sequence.</t>
  </si>
  <si>
    <t>A man and woman are in a living room demonstrating exercises.</t>
  </si>
  <si>
    <t>The woman lays on the ground.</t>
  </si>
  <si>
    <t>The man starts pointing to different areas of the woman's body as she does an exercise.</t>
  </si>
  <si>
    <t>The woman begins to do small sit ups.</t>
  </si>
  <si>
    <t>The woman ends with a final title logo sequence.</t>
  </si>
  <si>
    <t>v_nwznKOuZM7w</t>
  </si>
  <si>
    <t>Two people are seen moving around a kitchen quickly performing various tasks and sitting down.</t>
  </si>
  <si>
    <t>They then wax down a ski in the kitchen while continuing to move around.</t>
  </si>
  <si>
    <t>v_ogQozSI5V8U</t>
  </si>
  <si>
    <t>We see a hallway with a wooden floor.</t>
  </si>
  <si>
    <t>A dog in socks walks slowly out onto the floor as a lady films him.</t>
  </si>
  <si>
    <t>The dog turns around and goes back to the other room.</t>
  </si>
  <si>
    <t>v_nHE7u40plD0</t>
  </si>
  <si>
    <t>A woman and a man are sitting on the sidewalk playing music.</t>
  </si>
  <si>
    <t>People stand next to them and watch them play.</t>
  </si>
  <si>
    <t>A little boy holding a yellow ball walks by.</t>
  </si>
  <si>
    <t>A man poses for a picture in front of them.</t>
  </si>
  <si>
    <t>v_69IsHpmRyfk</t>
  </si>
  <si>
    <t>A young girl is seen sitting in a chair with a person standing next to her.</t>
  </si>
  <si>
    <t>The person next to her then piercing one ear followed by the other.</t>
  </si>
  <si>
    <t>The person rubs lotion on the piercings afterwards.</t>
  </si>
  <si>
    <t>v_D18b2IZpxk0</t>
  </si>
  <si>
    <t>A woman is shown riding a camel past pyramids in Egypt.</t>
  </si>
  <si>
    <t>The camel walks as the woman leans forward.</t>
  </si>
  <si>
    <t>And hand covers the lens as the harness is shown.</t>
  </si>
  <si>
    <t>v_pizl41xmw7k</t>
  </si>
  <si>
    <t>A child mops the floor of a hallway in a house.</t>
  </si>
  <si>
    <t>The child sets the mop down and plays with her family member.</t>
  </si>
  <si>
    <t>The child walks into the bedroom area and continues to mop the floor.</t>
  </si>
  <si>
    <t>v_oP77DgsbhKQ</t>
  </si>
  <si>
    <t>A man is seen kneeling down on the floor speaking to the camera.</t>
  </si>
  <si>
    <t>The man mixes up various ingredients and begins laying plaster on the floor.</t>
  </si>
  <si>
    <t>He measures the floor and tiles and cuts out a piece of tile to lay on the floor.</t>
  </si>
  <si>
    <t>He continues laying tiles on the floor while looking back to speak to the camera.</t>
  </si>
  <si>
    <t>v_fzp5ooc727c</t>
  </si>
  <si>
    <t>Two lines of young men are walking side by side down a road.</t>
  </si>
  <si>
    <t>Then one man stands in a field holding a wooden object and begins twisting it.</t>
  </si>
  <si>
    <t>He then bends down and grabs a ball.</t>
  </si>
  <si>
    <t>After,the ball is placed on the ground and he picks it up and hits it as if he's playing baseball.</t>
  </si>
  <si>
    <t>The ball is thrown back and he its it again.</t>
  </si>
  <si>
    <t>Shortly after, a field of men are shown and they begin playing a game against one another.</t>
  </si>
  <si>
    <t>There was a penalty and one players attempts to hit the ball into the goal from the side.</t>
  </si>
  <si>
    <t>After,everyone is pictured lying down on the ground as if they are dead but one person begins to sit up but gets hit in the head by the ball and lays back down.</t>
  </si>
  <si>
    <t>Lastly,the screen flashes to a black screen and the words The End are shown.</t>
  </si>
  <si>
    <t>v_fN2DiOswmOA</t>
  </si>
  <si>
    <t>The screen shows the title of preparing a Chilean Hulte salad dish.</t>
  </si>
  <si>
    <t>A person is mixing salad ingredients in a large bowl.</t>
  </si>
  <si>
    <t>There is information shown about Dr.</t>
  </si>
  <si>
    <t>Rachel Collin's trip to Chile.</t>
  </si>
  <si>
    <t>There are several people standing under a canopy at a food market.</t>
  </si>
  <si>
    <t>Two customers make a purchase and give money to the seller and give the camera a thumbs up.</t>
  </si>
  <si>
    <t>The chef is showing hulte placed on a kitchen counter.</t>
  </si>
  <si>
    <t>The chef is slicing the hulte in circular bite size pieces.</t>
  </si>
  <si>
    <t>A woman eats the cut pieces of hulte.</t>
  </si>
  <si>
    <t>The chef chops some cilantro on the kitchen counter.</t>
  </si>
  <si>
    <t>Then the chef places the ingredients in a salad bowl.</t>
  </si>
  <si>
    <t>The finished product is shown on screen, followed by a group of people sitting together and enjoying the salad.</t>
  </si>
  <si>
    <t>The end credits are displayed on the screen.</t>
  </si>
  <si>
    <t>v_t0ajvfx6dgA</t>
  </si>
  <si>
    <t>A man in a suit is sitting behind a desk.</t>
  </si>
  <si>
    <t>People are playing lacrosse on a field of grass.</t>
  </si>
  <si>
    <t>A person in a yellow uniform is standing in front of a net blocking balls.</t>
  </si>
  <si>
    <t>v_IoiDAHNryTk</t>
  </si>
  <si>
    <t>A girl is seen climbing across a set of monkey bars followed by her waving to the camera.</t>
  </si>
  <si>
    <t>She climbs her way back on the bars and jumps down mid way through.</t>
  </si>
  <si>
    <t>v__yWADgOFxP0</t>
  </si>
  <si>
    <t>A camera pans over a snowy area and leads into a man standing on a snowboard and riding down a mountain.</t>
  </si>
  <si>
    <t>The man zooms in on himself riding down the hill and ends with him turning off the camera.</t>
  </si>
  <si>
    <t>v_AGgJVF3nT6I</t>
  </si>
  <si>
    <t>A playroom is seen followed by a young boy sliding down a slide and climbing back up again.</t>
  </si>
  <si>
    <t>He slides down again, this time landing on his back, and continues to slide down several more times.</t>
  </si>
  <si>
    <t>v_XD3yFrJHiv8</t>
  </si>
  <si>
    <t>A man and woman are sitting on red couches with sports jerseys hanging on the wall and a blue screen on the wall behind them in the middle of them.</t>
  </si>
  <si>
    <t>The woman picks up a clipboard next to her and smooths out the papers that are on top of it while smiling, crosses her legs and sits back.</t>
  </si>
  <si>
    <t>The man is talking this whole time while the woman gets comfortable on her couch and the woman briefly talks.</t>
  </si>
  <si>
    <t>Various clips begin to play and it briefly shows parts of a city, then most of it is of men outdoors and playing soccer on sand in a middle of city, and occasionally blue words pop up on the screen when certain plays in the game are made.</t>
  </si>
  <si>
    <t>When the clips end the man and woman on the couch begin talking and she puts her clipboard down.</t>
  </si>
  <si>
    <t>v_lZKrd84QElk</t>
  </si>
  <si>
    <t>The former president is seen walking in a large field next to a woman and surrounded by a large crowd.</t>
  </si>
  <si>
    <t>The man gives a speech while people cheering and he shakes hands with others.</t>
  </si>
  <si>
    <t>The man then shares a beer with other people around him.</t>
  </si>
  <si>
    <t>v_6lYTHj9vImo</t>
  </si>
  <si>
    <t>Four kids are outside in the beach playing in the sand,two boys on the left and two girls on the right.</t>
  </si>
  <si>
    <t>The girls have about six sand castles and a large circle surrounding it filled with water.</t>
  </si>
  <si>
    <t>They then take off running to the beach to grab more water as the boy comes and looks at their work.</t>
  </si>
  <si>
    <t>Once they are done,both of the girls take off running to the water but then stop midway to come back and get their floats.</t>
  </si>
  <si>
    <t>v_E3QtX6r9QX0</t>
  </si>
  <si>
    <t>A large pile of leaves are seen being blown around with shots of a blower being shown.</t>
  </si>
  <si>
    <t>the leaves continue to be shown blowing around as well as a machine sitting off in the distance.</t>
  </si>
  <si>
    <t>v_iYxj8a1TPYk</t>
  </si>
  <si>
    <t>A basketball player is seen dribbling a ball in various shots for the camera and leads into the player making baskets over and over again.</t>
  </si>
  <si>
    <t>The man is then seen speaking to the camera and transitions into him scoring several more baskets.</t>
  </si>
  <si>
    <t>v_cp52LdlmlUk</t>
  </si>
  <si>
    <t>People are standing in a room working out.</t>
  </si>
  <si>
    <t>They are stepping up and down on small stepping stools.</t>
  </si>
  <si>
    <t>They continue working out in the room.</t>
  </si>
  <si>
    <t>v_bpg2PC2neQM</t>
  </si>
  <si>
    <t>A black and white video is being played of people playing lacrosse on a field.</t>
  </si>
  <si>
    <t>It then turns back to color and splits into multiple frames and speeds.</t>
  </si>
  <si>
    <t>The video includes numerous clips of players in lacrosse games, hitting the ball toward opposing goals.</t>
  </si>
  <si>
    <t>v_RgzbNJPchqc</t>
  </si>
  <si>
    <t>A man is playing the bagpipes in front of people.</t>
  </si>
  <si>
    <t>The people on the couch in front of him start laughing.</t>
  </si>
  <si>
    <t>v__zHSfEhEqkU</t>
  </si>
  <si>
    <t>A man is seen padding a canoe along the water while the camera captures him from several angles.</t>
  </si>
  <si>
    <t>The man continues riding around followed by performing several ways to turn the canoe around.</t>
  </si>
  <si>
    <t>v_EsVxUf4Ae2c</t>
  </si>
  <si>
    <t>A man is standing on ice with his pole standing straight up beside him.</t>
  </si>
  <si>
    <t>The man grabs his fishing pole and starts fishing in the hole in the ice.</t>
  </si>
  <si>
    <t>The man appears to have caught something and kneels down to pull his fishing line by hand.</t>
  </si>
  <si>
    <t>The man pulls a fish out of the water and poses with it.</t>
  </si>
  <si>
    <t>The man unhooks the hook from the fish's mouth.</t>
  </si>
  <si>
    <t>The man kisses the fish and releases it back into the hole.</t>
  </si>
  <si>
    <t>v_---9CpRcKoU</t>
  </si>
  <si>
    <t>A man was sitting inside a room.</t>
  </si>
  <si>
    <t>He is holding a bowl of noodles and broth.</t>
  </si>
  <si>
    <t>He is drinking the broth from a bowl.</t>
  </si>
  <si>
    <t>v_epqnpUCVLK8</t>
  </si>
  <si>
    <t>A little boy is laying on an exercise ball.</t>
  </si>
  <si>
    <t>The boy falls of and gets back on the ball before he falls off again.</t>
  </si>
  <si>
    <t>He tries to sit on the ball but the ball rolls away.</t>
  </si>
  <si>
    <t>He retrieves it and continues to sit on and fall off the ball.</t>
  </si>
  <si>
    <t>v_GFE2wAi9fjo</t>
  </si>
  <si>
    <t>A woman puts a pair of shoes on while sitting in an office chair.</t>
  </si>
  <si>
    <t>The woman buckles her shoes.</t>
  </si>
  <si>
    <t>v_W19-fYOO9sg</t>
  </si>
  <si>
    <t>A close up of a bike wheel is seen that leads into a person's hands pushing on the tire.</t>
  </si>
  <si>
    <t>The person uses a tool along the tire to help move it along.</t>
  </si>
  <si>
    <t>The person finally pushes the tire along it's sides.</t>
  </si>
  <si>
    <t>v_ztD4lVJATws</t>
  </si>
  <si>
    <t>A woman is seen kneeling on the floor and pulling onto a piece of exercise equipment.</t>
  </si>
  <si>
    <t>The woman begins turning her body with the equipment while speaking to the camera.</t>
  </si>
  <si>
    <t>She continues pulling onto the lever while looking back to the camera.</t>
  </si>
  <si>
    <t>v_V_Nj_BhesEY</t>
  </si>
  <si>
    <t>Three people stand by the corner of a building.</t>
  </si>
  <si>
    <t>One of the persons, a young boy, takes a bow.</t>
  </si>
  <si>
    <t>A crowd of people watch him.</t>
  </si>
  <si>
    <t>He proceeds to perform various karate moves, such as bowing, cartwheels and flips.</t>
  </si>
  <si>
    <t>v_p9iE8iemCMs</t>
  </si>
  <si>
    <t>A person is holding a flute.</t>
  </si>
  <si>
    <t>The person shows a fingering for the second octave of the note.</t>
  </si>
  <si>
    <t>The person shows the fingering on the third octave.</t>
  </si>
  <si>
    <t>The woman talks directly to the camera.</t>
  </si>
  <si>
    <t>v_bNwrAuu0qiQ</t>
  </si>
  <si>
    <t>An intro leads into several pictures of a tennis player and leaders into video footage of the player playing matches.</t>
  </si>
  <si>
    <t>The tennis player is shown in several shots of games performing incredible stunts and clenching his fists to celebrate in the end.</t>
  </si>
  <si>
    <t>v_37pwbUp8t1I</t>
  </si>
  <si>
    <t>Hiphop dancers perform in front of a crowd.</t>
  </si>
  <si>
    <t>They are all doing the same basic dance and having pictures taken of them.</t>
  </si>
  <si>
    <t>v_TmI9MxCDBMw</t>
  </si>
  <si>
    <t>A murky river is shown next to a row of trees.</t>
  </si>
  <si>
    <t>A bunch of people on intertubes go by slowly.</t>
  </si>
  <si>
    <t>Then we see rapid waters as the tubers go over small falls.</t>
  </si>
  <si>
    <t>v_4x7HYKV8zkY</t>
  </si>
  <si>
    <t>Three girls are on the beach talking.</t>
  </si>
  <si>
    <t>They do several flips on the beach.</t>
  </si>
  <si>
    <t>They lift one of the girls up for a stunt.</t>
  </si>
  <si>
    <t>v__Af_9cK5x4E</t>
  </si>
  <si>
    <t>The camera pans above lush and green terrain over what looks like a mountain range.</t>
  </si>
  <si>
    <t>A man is shown covered in sweat and then jumping across various hills performing stunts on a dirt bike.</t>
  </si>
  <si>
    <t>He rotates and flips and performs all sorts of acrobatics.</t>
  </si>
  <si>
    <t>He is highly skilled and jumping over everything.</t>
  </si>
  <si>
    <t>The video then shows multiple men on dirt bikes jumping in various different places and shows the action from a variety of angles.</t>
  </si>
  <si>
    <t>The men continue performing their stuns in various other landscapes.</t>
  </si>
  <si>
    <t>v_y5j9TqTy9Xw</t>
  </si>
  <si>
    <t>A woman is walking along a track.</t>
  </si>
  <si>
    <t>She takes off at a fast run.</t>
  </si>
  <si>
    <t>She jumps over a bar and onto a mat.</t>
  </si>
  <si>
    <t>v_Kp7pUEKrb8Q</t>
  </si>
  <si>
    <t>A person is slicing limes on a board.</t>
  </si>
  <si>
    <t>They put the limes and sugar into a blender.</t>
  </si>
  <si>
    <t>They strain the juice and pour it into a jar.</t>
  </si>
  <si>
    <t>They put a straw and a lime wedge on the rim of the glass.</t>
  </si>
  <si>
    <t>v_5lre5zbUV1Q</t>
  </si>
  <si>
    <t>A child scrubs out the kitchen sink using a brush.</t>
  </si>
  <si>
    <t>The boy turns on the sink faucet.</t>
  </si>
  <si>
    <t>The child uses the faucet nozzle to rinse out the sink.</t>
  </si>
  <si>
    <t>The boy returns the sink nozzle to the faucet and turns off the water.</t>
  </si>
  <si>
    <t>v_D0dyvNTI7yU</t>
  </si>
  <si>
    <t>A man in a bare studio showcases a series of martial arts moves by himself in front of a camera.</t>
  </si>
  <si>
    <t>A man appears in a white t-shirt and black pants, barefoot and begins to showcase martial arts moves.</t>
  </si>
  <si>
    <t>The man begins using moves that exhibit floor work and light tumbles along with a headstand.</t>
  </si>
  <si>
    <t>The man progresses into controlled somersaults and side to side work along with high kicks.</t>
  </si>
  <si>
    <t>v_huFuRGoZt9I</t>
  </si>
  <si>
    <t>A dealer is shown laying out cards on a table while other people's hands are shown on the side.</t>
  </si>
  <si>
    <t>The person then lays out cards while another person lays out their chips.</t>
  </si>
  <si>
    <t>v_CmEQjszPDrg</t>
  </si>
  <si>
    <t>Several people are outside with running equipment and numbers pinned to them jogging at a slow pace at what seams to be a Marathon or a 5k.</t>
  </si>
  <si>
    <t>A lady dressed in all black however,seems to be the focal point throughout the video and she is walking at an extremely slow pace for the whole time.</t>
  </si>
  <si>
    <t>After the crowd is shown and more people are seen running through the city or even participating in a wheel chair as the people on the side cheer them on.</t>
  </si>
  <si>
    <t>v_RULNhPrXnfA</t>
  </si>
  <si>
    <t>A man is shown standing in front of a blue background as many harmonicas are shown and he starts playing them.</t>
  </si>
  <si>
    <t>He is then shown speaking into the camera and going into detail with regards to the products features.</t>
  </si>
  <si>
    <t>He shows off how many he has in his coat and continues talking.</t>
  </si>
  <si>
    <t>He is then shown playing another harmonica as he gives instruction on it.</t>
  </si>
  <si>
    <t>He speaks some more and shows his harmonica again as the video goes to an end title screen that reads Howcast original".</t>
  </si>
  <si>
    <t>v_Zd22n1caVgM</t>
  </si>
  <si>
    <t>A boy wearing white shorts is standing in a room.</t>
  </si>
  <si>
    <t>He puts something in his mouth.</t>
  </si>
  <si>
    <t>He kicks his legs up to the side.</t>
  </si>
  <si>
    <t>The kneels down onto the ground.</t>
  </si>
  <si>
    <t>v_ZKP5J7OKEvI</t>
  </si>
  <si>
    <t>A small group of people are seen sitting on the side and lead into two people dancing together.</t>
  </si>
  <si>
    <t>The people continue dancing along the floor and end by clapping with the band.</t>
  </si>
  <si>
    <t>v_44BfVJnhBgc</t>
  </si>
  <si>
    <t>A runner tests a prosthetic leg in a long distance run.</t>
  </si>
  <si>
    <t>He runs inside then runs outside.</t>
  </si>
  <si>
    <t>v_VFOjLDa5VtA</t>
  </si>
  <si>
    <t>A small group of people are seen wandering around a tennis court hitting a ball over the net.</t>
  </si>
  <si>
    <t>The people hit the ball back and fourth while others watch on the side.</t>
  </si>
  <si>
    <t>They continue to play the game as well as others.</t>
  </si>
  <si>
    <t>v_KKrHX-pywBQ</t>
  </si>
  <si>
    <t>A young man wearing a white shirt and helmet and black pants is holding a skateboard in his hands as he walks.</t>
  </si>
  <si>
    <t>He puts the skateboard down and begins skating on an asphalt road.</t>
  </si>
  <si>
    <t>He flips the skateboard several times and goes on circles.</t>
  </si>
  <si>
    <t>Two people walk past him as he continues to skateboard.</t>
  </si>
  <si>
    <t>The man begins to speed up on his skateboard as he goes down the road.</t>
  </si>
  <si>
    <t>He also skates past a lake on a long and winding road.</t>
  </si>
  <si>
    <t>He skates past a field and mountains that are filled with greenery.</t>
  </si>
  <si>
    <t>He tries various stunts and tricks on his skateboard.</t>
  </si>
  <si>
    <t>He continues to skateboard through the roads.</t>
  </si>
  <si>
    <t>He falls off the skateboard on the side of the road, but gets right back on it and skates away.</t>
  </si>
  <si>
    <t>v_HxJnPUqF9i8</t>
  </si>
  <si>
    <t>Athletes throw a javelin during a competition.</t>
  </si>
  <si>
    <t>A man practices his throwing stance walking and doing half throws without javeline.</t>
  </si>
  <si>
    <t>A man practices his throwing stance walking and doing half throws holding a javeline.</t>
  </si>
  <si>
    <t>The man swings a hammer.</t>
  </si>
  <si>
    <t>The man throws a weighted ball.</t>
  </si>
  <si>
    <t>Athletes train in a gym doing throwing motions on weighted cable machines.</t>
  </si>
  <si>
    <t>v_FKl0077EUoY</t>
  </si>
  <si>
    <t>We see a person sharpen a knife on a sanding disc.</t>
  </si>
  <si>
    <t>The person touches it and turns it off.</t>
  </si>
  <si>
    <t>The person turns it on and then off off.</t>
  </si>
  <si>
    <t>We see the man talking to the camera.</t>
  </si>
  <si>
    <t>v_lfuNoeRYWz4</t>
  </si>
  <si>
    <t>Text is shown from the centers for disease control regarding proper handwashing.</t>
  </si>
  <si>
    <t>A woman is shown soaping her hands while water is running in a sink.</t>
  </si>
  <si>
    <t>She reaches for a towel and then turns the faucet one with one hand.</t>
  </si>
  <si>
    <t>She soaps her hands, then rinses with the water before grabbing another towel to turn off the faucet, and discarding the towel.</t>
  </si>
  <si>
    <t>v_x4iCAIPRDVQ</t>
  </si>
  <si>
    <t>People exercise on fitness machines while people sits on front and watch.</t>
  </si>
  <si>
    <t>A man pass on front holding a jacket and stand next a TV.</t>
  </si>
  <si>
    <t>A group of woman walk on front people exercising.</t>
  </si>
  <si>
    <t>v_NwfS7eZiMLg</t>
  </si>
  <si>
    <t>A man is playing the bagpipes at the bottom of the stairs in the living room of a house, wearing a button up and dress pants, along with socks.</t>
  </si>
  <si>
    <t>He begins to tap his foot along with the beat of his tune, He starts to tap his left foot in a back and forth rhythm with his right foot.</t>
  </si>
  <si>
    <t>He finishes, and smiles at the camera.</t>
  </si>
  <si>
    <t>v_aJbl1eVBzk0</t>
  </si>
  <si>
    <t>People are working in a bike shop fixing a bike.</t>
  </si>
  <si>
    <t>They put the wheels back onto the bike.</t>
  </si>
  <si>
    <t>The put the seat on the bike.</t>
  </si>
  <si>
    <t>The bike is put together on the floor.</t>
  </si>
  <si>
    <t>v_UYHgieL5IKM</t>
  </si>
  <si>
    <t>A man is giving advice on outdoor activities, specifically mushrooming and closeup is shown and the man talks about it.</t>
  </si>
  <si>
    <t>The man cuts one open and then cuts it in half.</t>
  </si>
  <si>
    <t>Another man talks about the experience.</t>
  </si>
  <si>
    <t>v_PgZ2e0H1ZVE</t>
  </si>
  <si>
    <t>A young man wearing a hat is seen speaking to the camera and holding up a chart.</t>
  </si>
  <si>
    <t>He continues speaking and begins playing a harmonica.</t>
  </si>
  <si>
    <t>He holds up the sign more while continuing to play and speak to the camera.</t>
  </si>
  <si>
    <t>v_h8J08sJ2no0</t>
  </si>
  <si>
    <t>A person walks on the roof of a climbing equipment, then he goes down the wall and reach the floor and walk forward.</t>
  </si>
  <si>
    <t>The man stand with the hands on the border on the equipment and descend down the walk with the hands, then he walk on hands sideward.</t>
  </si>
  <si>
    <t>v_g0XO-rWHmzs</t>
  </si>
  <si>
    <t>A woman is seen holding two dogs on a leash and proceeds to unhook them and let them go.</t>
  </si>
  <si>
    <t>One down then does his business into a bag tied to him and runs off behind bikes.</t>
  </si>
  <si>
    <t>v_WGpz-hV-Ejw</t>
  </si>
  <si>
    <t>A young girl is standing on a court with a jump rope.</t>
  </si>
  <si>
    <t>She begins jumping in front of a table of judges.</t>
  </si>
  <si>
    <t>She hops, spins, and flips with the rope.</t>
  </si>
  <si>
    <t>v_i2u80Y3BMYs</t>
  </si>
  <si>
    <t>Two men in work out clothes are standing up against the wall and they begin to talk about working out.</t>
  </si>
  <si>
    <t>One man is then shown and he bends down and shows the proper way to lift the bar with weight on it.</t>
  </si>
  <si>
    <t>A replay is then shown and the boy bends from the knees and then flips his wrist and brings it over his shoulder as he goes down into a squatting position.</t>
  </si>
  <si>
    <t>v_WvxwmaDFGqk</t>
  </si>
  <si>
    <t>A man is seen kneeling in a gym.</t>
  </si>
  <si>
    <t>He leans forward several times.</t>
  </si>
  <si>
    <t>He is performing slow stretching moves.</t>
  </si>
  <si>
    <t>v_xmag8UI8iws</t>
  </si>
  <si>
    <t>A person is using a leaf blower to blow leaves into a pile.</t>
  </si>
  <si>
    <t>The leaves blow up onto a hedge.</t>
  </si>
  <si>
    <t>They walk in front of a tree.</t>
  </si>
  <si>
    <t>v_N9LTq3gYmsI</t>
  </si>
  <si>
    <t>A group of people are sitting down at the top of a snow slide in a tube.</t>
  </si>
  <si>
    <t>The person holding the camera starts his journey and he is off down the slopes of snow.</t>
  </si>
  <si>
    <t>As he reaches the bottom,several black mats are placed in front of him to help slow him down.</t>
  </si>
  <si>
    <t>v_GqWH2IYPw6U</t>
  </si>
  <si>
    <t>Various shots of a city are shown followed by a girl playing violin and many other watching.</t>
  </si>
  <si>
    <t>Another girl steps in and joins her by singing and several others join in to sing as well.</t>
  </si>
  <si>
    <t>A mime walks in with fireworks while the group still sings and many around are seen laughing and smiling.</t>
  </si>
  <si>
    <t>v_MlbM7Mew0Ys</t>
  </si>
  <si>
    <t>Two men exercise inside a gym, then a man jumps rope crossing his arms and also the moving the rope on front.</t>
  </si>
  <si>
    <t>The man moves the rope with his right hand, then he moves both hands while skipping.</t>
  </si>
  <si>
    <t>Then, the man jumps crossing the arms, after he jumps normal for long time.</t>
  </si>
  <si>
    <t>Next, the a young man jumps rope raising the feet high, then he cross his the arms jumping.</t>
  </si>
  <si>
    <t>After, the young man moves the rope with the right hand, then he moves it with both hands and also moves the rope on front.</t>
  </si>
  <si>
    <t>After, the young man jumps alternate crossing the arms, skipping and moving the rope on front.</t>
  </si>
  <si>
    <t>v_hJiaSHwOkcs</t>
  </si>
  <si>
    <t>A man is sitting on top of a horse.</t>
  </si>
  <si>
    <t>He begins getting chased around the arena by a man pushing a wheelbarrow.</t>
  </si>
  <si>
    <t>The horse runs from bull in the pen.</t>
  </si>
  <si>
    <t>v_TEaugXCX1m4</t>
  </si>
  <si>
    <t>A lighthouse is shown on the beach before we see a man running with a surf board.</t>
  </si>
  <si>
    <t>The man rides a wave, then through it.</t>
  </si>
  <si>
    <t>He completes several stunts before walking onto the beach with the board under his arm.</t>
  </si>
  <si>
    <t>v_9rW35YTKYq8</t>
  </si>
  <si>
    <t>A man is shown flipping a violin in his hands, playing a popular song on his violin.</t>
  </si>
  <si>
    <t>The camera shows the violinist from various angles playing the popular song and not breaking concentration.</t>
  </si>
  <si>
    <t>The camera pans all around the player and shows him playing the complete song.</t>
  </si>
  <si>
    <t>v_hoisfXCLJDQ</t>
  </si>
  <si>
    <t>A camera zooms in on a person riding in a tube.</t>
  </si>
  <si>
    <t>More people are seen riding in tubes behind the man.</t>
  </si>
  <si>
    <t>The people continue to ride around the area down the river.</t>
  </si>
  <si>
    <t>v_mnqSG5o84NE</t>
  </si>
  <si>
    <t>A man train a boy kick box while two men watch sitting in the room.</t>
  </si>
  <si>
    <t>Then, the man stands and kick the boy who kick back then kneels.</t>
  </si>
  <si>
    <t>After, the man trains another child while showing movements.</t>
  </si>
  <si>
    <t>After, the man stands to practice kicks, then the man lye down and and hug the child who continues practicing kick box.</t>
  </si>
  <si>
    <t>v_IWuiVS3-Z7k</t>
  </si>
  <si>
    <t>People are shown walking along a beach.</t>
  </si>
  <si>
    <t>Several people in paintball gear are running through an obstacle course.</t>
  </si>
  <si>
    <t>The people shoot at each other, hiding behind the obstacles.</t>
  </si>
  <si>
    <t>The winner dances and runs across the field.</t>
  </si>
  <si>
    <t>v_nvsK9ggeics</t>
  </si>
  <si>
    <t>A young child is seen sitting behind a drum set playing the drums.</t>
  </si>
  <si>
    <t>The boy continues playing the instrument while the camera zooms in on him playing.</t>
  </si>
  <si>
    <t>v_rAuz_Pf3lp8</t>
  </si>
  <si>
    <t>A family has a picnic, and goes tubing on inflatable rafts in a narrow body of water surrounded by trees, on a rainy day.</t>
  </si>
  <si>
    <t>A family of people sit at an outdoor wooden picnic table, eating, waiving at the camera.</t>
  </si>
  <si>
    <t>The family watch the weather outdoors as it begins to rain and a little girl runs out into the rain and dances in it.</t>
  </si>
  <si>
    <t>The family then appears, floating, talking and smiling on inflatable tubes on a narrow body of water.</t>
  </si>
  <si>
    <t>The event ends and the family leaves an area bordered by a wooden fence.</t>
  </si>
  <si>
    <t>v_pxb95-aSDYo</t>
  </si>
  <si>
    <t>A man plays guitar and harmonica at the same time.</t>
  </si>
  <si>
    <t>Then, the man sings while playing the guitar.</t>
  </si>
  <si>
    <t>After, the man continues playing both the guitar and the harmonica, then sing.</t>
  </si>
  <si>
    <t>Next, the man plays the harmonica and the guitar together.</t>
  </si>
  <si>
    <t>v_48xSiJdaH2g</t>
  </si>
  <si>
    <t>The video is about Wallwik and wallpaper removal system.</t>
  </si>
  <si>
    <t>It shows a woman removing wallpaper off the wall in a convenient and easy manner.</t>
  </si>
  <si>
    <t>She is using a a scouring tool to scratch off the wallpaper from the wall.</t>
  </si>
  <si>
    <t>Then she uses a soap solution and dips the sheet in the solution.</t>
  </si>
  <si>
    <t>There's a man hanging the wet sheets on the wall.</t>
  </si>
  <si>
    <t>A woman uses a sprayer on the moist sheets and sprays it on.</t>
  </si>
  <si>
    <t>Then a man and woman begin peeling off the old wallpaper off of the wall.</t>
  </si>
  <si>
    <t>The video shows instructions on how to use the Wallwik products.</t>
  </si>
  <si>
    <t>v_y7WO-8cQfO0</t>
  </si>
  <si>
    <t>The video begins with a title sequence.</t>
  </si>
  <si>
    <t>A young man is shown in a gym performing tricks with a jump rope as music plays in the background.</t>
  </si>
  <si>
    <t>He then lays down and begins doing tricks on the floor.</t>
  </si>
  <si>
    <t>The young man gets up again and does more tricks while standing.</t>
  </si>
  <si>
    <t>At one point, his friends assist with the jump rope tricks.</t>
  </si>
  <si>
    <t>The video ends with credits showing the young man's name, along with the names of those who assisted him.</t>
  </si>
  <si>
    <t>v_74EoyLUbtgI</t>
  </si>
  <si>
    <t>A lady is seen putting wax on a mans shoes.</t>
  </si>
  <si>
    <t>We see the cloth hanging on the wall.</t>
  </si>
  <si>
    <t>We see the footprints on the platform.</t>
  </si>
  <si>
    <t>The woman rubs the mans shoes with a cloth.</t>
  </si>
  <si>
    <t>We see the cloth on the wall, then the lines of cloth near the shoes shine sign.</t>
  </si>
  <si>
    <t>A man is standing on a platform.</t>
  </si>
  <si>
    <t>We see the holographic man on the wall with the paper.</t>
  </si>
  <si>
    <t>v_D9rHZpZoeRA</t>
  </si>
  <si>
    <t>A black two door Audi A3 is shown and then the camera zooms in on the tires.</t>
  </si>
  <si>
    <t>A finger then touches the emergency light and the lights on the car begin to flash.</t>
  </si>
  <si>
    <t>Next,the truck is opened,and the person removes the spare tire and the jack.</t>
  </si>
  <si>
    <t>He then lifts the car and continues to loosen the bolts on the wheel of the car.</t>
  </si>
  <si>
    <t>Once loose,the wheel is removed and the spare is put on and the same actions are performed in reverse.</t>
  </si>
  <si>
    <t>v_kqVIHq94kgs</t>
  </si>
  <si>
    <t>A woman mixes items together in a bowl.</t>
  </si>
  <si>
    <t>She rubs that onto a wooden table.</t>
  </si>
  <si>
    <t>She laughs and puts her hands in the air.</t>
  </si>
  <si>
    <t>v_WY9zvUkK_4Y</t>
  </si>
  <si>
    <t>Two girls stand between a girl in a hair salon stool and begin brushing her and parting her hair.</t>
  </si>
  <si>
    <t>One woman braids her hair continuously to eventually create a french braid.</t>
  </si>
  <si>
    <t>Both women stand talking to the camera while presenting the braid just made.</t>
  </si>
  <si>
    <t>v_N-6-MdxRg50</t>
  </si>
  <si>
    <t>We see a colorful opening scene.</t>
  </si>
  <si>
    <t>Kids in colorful clothes walk on a stage and get in place.</t>
  </si>
  <si>
    <t>The kids perform zumba on a stage.</t>
  </si>
  <si>
    <t>The girl second from left goes the wrong direction and almost runs into another girl.</t>
  </si>
  <si>
    <t>We see an an ending screen.</t>
  </si>
  <si>
    <t>v_uFMDSiHu7g4</t>
  </si>
  <si>
    <t>A man wearing a striped shirt dances with a girl in a brown blouse at a street festival.</t>
  </si>
  <si>
    <t>Other couple join in and dance in a street festival while performers play on a stage.</t>
  </si>
  <si>
    <t>Onlookers pass by while the group continues to dance.</t>
  </si>
  <si>
    <t>v_Pu92wJ-7UTQ</t>
  </si>
  <si>
    <t>The man is strumming one drum.</t>
  </si>
  <si>
    <t>The man strum the other drum while moving his leg.</t>
  </si>
  <si>
    <t>The man play two drums at the same time.</t>
  </si>
  <si>
    <t>v_dsVvnFkGAn0</t>
  </si>
  <si>
    <t>The woman is sitting by the fireplace holding a violin.</t>
  </si>
  <si>
    <t>The woman placed the violin between her neck and shoulder and began strumming the violin with the stick.</t>
  </si>
  <si>
    <t>The lady put the violin on her lap and talked.</t>
  </si>
  <si>
    <t>v_JgHQCKz_DRc</t>
  </si>
  <si>
    <t>A man sits in a chair as he is getting his hair cut.</t>
  </si>
  <si>
    <t>A man in a black shirt moves a light around.</t>
  </si>
  <si>
    <t>People scramble behind the hair stylist.</t>
  </si>
  <si>
    <t>A hair stylist continuously combs and cuts the man's hair.</t>
  </si>
  <si>
    <t>The hair stylists rubs some pomade on the man's hair.</t>
  </si>
  <si>
    <t>The man is seen posing.</t>
  </si>
  <si>
    <t>v_DEmArEKL8gc</t>
  </si>
  <si>
    <t>A teenage female cheer leading squad walks around on a mat and get in formation.</t>
  </si>
  <si>
    <t>The routine begins in a manikin challenge and they all begin to do a flip.</t>
  </si>
  <si>
    <t>After,they do a several straddle jumps and begin thrown up in stands.</t>
  </si>
  <si>
    <t>Once the stunts are done,half of the team begins doing cart wheels and they all meet back in the middle to do stunts in the air.</t>
  </si>
  <si>
    <t>More stunts are done and the girls finish by landing in a split,they then get up and hug each other in the middle of the mat.</t>
  </si>
  <si>
    <t>v_8ikOQRbeQL8</t>
  </si>
  <si>
    <t>A woman wearing a hood and glasses is talking.</t>
  </si>
  <si>
    <t>She is holding a baton and twirling it in her hands.</t>
  </si>
  <si>
    <t>v_zzz_3yWpTXo</t>
  </si>
  <si>
    <t>A woman is seen standing behind a sink and washing dishes while speaking to the camera.</t>
  </si>
  <si>
    <t>The woman continues washing silverware while looking over to the camera and smiling.</t>
  </si>
  <si>
    <t>v_iMiKGoQ7RjE</t>
  </si>
  <si>
    <t>A man in a black hat is hitting a ball on the grass with a club.</t>
  </si>
  <si>
    <t>He continues to talk to the camera.</t>
  </si>
  <si>
    <t>He holds up a small trophy.</t>
  </si>
  <si>
    <t>v_Vjsd6Ec6eKA</t>
  </si>
  <si>
    <t>A group of people are on a field.</t>
  </si>
  <si>
    <t>They attach a camera to one of the player's heads.</t>
  </si>
  <si>
    <t>They lift each other over their heads in cheerleading stunts that can be seen from the camera's view.</t>
  </si>
  <si>
    <t>They smile and laugh as they continue to perform stunts.</t>
  </si>
  <si>
    <t>v_XnUi1SG9jxA</t>
  </si>
  <si>
    <t>A large group of people are seen standing around when several clips are shown of a man attempting to jump over a bar.</t>
  </si>
  <si>
    <t>The man completes the jump after a couple tries and is shown again in slow motion.</t>
  </si>
  <si>
    <t>The man attempts jumping higher several more times and ends up knocking the bar down each time.</t>
  </si>
  <si>
    <t>v_FeKEqUxiReA</t>
  </si>
  <si>
    <t>A woman is laughing as she jumps rope inside a gym.</t>
  </si>
  <si>
    <t>She continues jumping for a long period of time, speeding up and changing positions as men with cameras record her.</t>
  </si>
  <si>
    <t>v_BB2vrBWgXkU</t>
  </si>
  <si>
    <t>A woman wearing a leopard print shirt and a denim jacket is doing a tutorial on fake nails and how to use them.</t>
  </si>
  <si>
    <t>She is holding a packet of the fake nails in her hand as she explains the process.</t>
  </si>
  <si>
    <t>Then she demonstrates how to place the fake nails on top of her nails.</t>
  </si>
  <si>
    <t>Then she takes a nail file and files the ends of the nails to smooth it.</t>
  </si>
  <si>
    <t>She then uses some glue to glue the nails over her nails.</t>
  </si>
  <si>
    <t>Then she clips off the excess to shorten the nails, followed by filing the nails.</t>
  </si>
  <si>
    <t>She also uses some lime green nail polish and paints the nails to finish off the process and make them shiny.</t>
  </si>
  <si>
    <t>v_S6t9Lq1xKJk</t>
  </si>
  <si>
    <t>A cook is standing in front of a large stove.</t>
  </si>
  <si>
    <t>It is covered in ingredients and pans on burners.</t>
  </si>
  <si>
    <t>The man creates a giant omelette, finally flipping it onto a plate and handing it to a patron.</t>
  </si>
  <si>
    <t>v_0_xap_BBDrw</t>
  </si>
  <si>
    <t>An old man with gray hair, wearing red shirt and black pants is dribbling the ball in an indoor court, he dribbled the ball side by side, between his legs.</t>
  </si>
  <si>
    <t>He shoot the ball into the ring, then start dribbling again to side to side and between his legs, and shoot the ball into the ring.</t>
  </si>
  <si>
    <t>v_CQvmcZSfyhI</t>
  </si>
  <si>
    <t>A group of cheerleaders come from the side stage and begin smiling and waving to the crowd before settling into their formation.</t>
  </si>
  <si>
    <t>The routine begins and they start doing hurkies,throwing each other in the air and holding each other up.</t>
  </si>
  <si>
    <t>Doing the middle of the routine,half of the girls sit in the back behind the rest of the cheerleaders as they do a part of the routine.</t>
  </si>
  <si>
    <t>The routine ends and they all run across the stage with spirit fingers before leaving the stage.</t>
  </si>
  <si>
    <t>v_QdmUojrWdmE</t>
  </si>
  <si>
    <t>Music plays as surfers ride the waves.</t>
  </si>
  <si>
    <t>A few men are shown preparing to surf, prepping their board and getting dressed.</t>
  </si>
  <si>
    <t>A helicopter rides over the shoreline where the surfers are riding.</t>
  </si>
  <si>
    <t>A couple laughs together on the beach in a tent awaiting more surfing.</t>
  </si>
  <si>
    <t>A man is then shown prepping his board with surf wax.</t>
  </si>
  <si>
    <t>The crowd watches others riding waves.</t>
  </si>
  <si>
    <t>The crowd cheers multiples surfing runs on.</t>
  </si>
  <si>
    <t>Kelly Slater is featured on a successful run, followed by more clips riding the waves.</t>
  </si>
  <si>
    <t>Kelly Slater is paused mid wave to wrap up the story line.</t>
  </si>
  <si>
    <t>Music and producer credits are then shown.</t>
  </si>
  <si>
    <t>v_L2oaUDyzWPA</t>
  </si>
  <si>
    <t>We see a golden title on a black screen.</t>
  </si>
  <si>
    <t>A man is playing a harmonica as arrows point to numbers above him.</t>
  </si>
  <si>
    <t>We see another title screen and more arrows on numbers.</t>
  </si>
  <si>
    <t>The title screen returns and the man plays with the arrows above him again.</t>
  </si>
  <si>
    <t>The fourth title screen and the man plays with arrows above.</t>
  </si>
  <si>
    <t>The name shows up and the video ends.</t>
  </si>
  <si>
    <t>v_bdC2YPVHGZM</t>
  </si>
  <si>
    <t>A man puts on a helmet with a camera mounted on it.</t>
  </si>
  <si>
    <t>The man participates in a lacrosse match with the camera recording in first person perspective.</t>
  </si>
  <si>
    <t>The man makes a successful shot on goal and high fives a teammate.</t>
  </si>
  <si>
    <t>The two teams shake hands after the game.</t>
  </si>
  <si>
    <t>The man walks towards a group of people dressed in black.</t>
  </si>
  <si>
    <t>v_fny1HWXezlE</t>
  </si>
  <si>
    <t>A small child is seen climbing on a camel as well as a woman in front of him.</t>
  </si>
  <si>
    <t>A man stands the camel up on it's legs and walks around the area.</t>
  </si>
  <si>
    <t>The man continues to walk around with the camels while the camera pans to their movements.</t>
  </si>
  <si>
    <t>v_pYb8jzB5vs0</t>
  </si>
  <si>
    <t>An intro leads into a man in women sitting beside a pool and talking.</t>
  </si>
  <si>
    <t>The people are then shown underwater wearing scuba gear and teaching one another hand signals while the man speaks to the camera above the surface.</t>
  </si>
  <si>
    <t>v_kNkYgYnJTXk</t>
  </si>
  <si>
    <t>A person is seen in various shots riding around in a canoe and smiling off into the distance.</t>
  </si>
  <si>
    <t>Another person is seen sitting in a canoe and demonstrates how to properly turn around.</t>
  </si>
  <si>
    <t>The man continues moving along the water moving his paddle around while the camera captures his movements.</t>
  </si>
  <si>
    <t>v_cMeKc9mp9wI</t>
  </si>
  <si>
    <t>A group of men are riding around on horses while carry large sticks and holding them into the air.</t>
  </si>
  <si>
    <t>One man comes close to the camera man and near the crowd for a few moments.</t>
  </si>
  <si>
    <t>The man on horses go back to the stable to await their return, and eventually go back out into the ring.</t>
  </si>
  <si>
    <t>v_qbGml8XLhz8</t>
  </si>
  <si>
    <t>A man steps to the side on a lawn and begins moving his arms and legs around.</t>
  </si>
  <si>
    <t>He slowly moves his arms in various motions while stepping from side to side.</t>
  </si>
  <si>
    <t>He moves his legs up and his arms continuously following until he finishes the performance.</t>
  </si>
  <si>
    <t>v_90LkAH4tZC4</t>
  </si>
  <si>
    <t>The person in black shirt is playing drums.</t>
  </si>
  <si>
    <t>The camera zoomed in to the drums as the person continue to play.</t>
  </si>
  <si>
    <t>The camera shifted to the view looking down the drums.</t>
  </si>
  <si>
    <t>v_F9HKxxoNNSQ</t>
  </si>
  <si>
    <t>A person throw a disc with a stick, the disc arrives to a triangle on the floor where two people stand.</t>
  </si>
  <si>
    <t>Then, another disk slides on the floor to stop inside the triangle.</t>
  </si>
  <si>
    <t>After, the person throw another disc that stops inside the triangle.</t>
  </si>
  <si>
    <t>The rules oh the shuffleboard game is displayed in a board.</t>
  </si>
  <si>
    <t>v_L0jbYqV9Zaw</t>
  </si>
  <si>
    <t>Paintballs are flying at men in front of a tent.</t>
  </si>
  <si>
    <t>The men back into the tent.</t>
  </si>
  <si>
    <t>People are getting ready for the paintball competition.</t>
  </si>
  <si>
    <t>Paintballs come out of a man's mouth.</t>
  </si>
  <si>
    <t>The sun is setting.</t>
  </si>
  <si>
    <t>v_thgW2RT30qQ</t>
  </si>
  <si>
    <t>An intro leads into several clips of a person lifting heavy weights over their shoulders as well as their arms all around.</t>
  </si>
  <si>
    <t>More shots are show of athletes performing impressive stunts while looking off into the distance and people measuring their throws.</t>
  </si>
  <si>
    <t>v_NSdBL6HqlWk</t>
  </si>
  <si>
    <t>A man is playing cymbals under a bright light on a stage.</t>
  </si>
  <si>
    <t>He is joined by a woman on a bass drum.</t>
  </si>
  <si>
    <t>Then they are joined by other drummers, and a man on a huge set in the background.</t>
  </si>
  <si>
    <t>Lights flash as they perform in unison.</t>
  </si>
  <si>
    <t>v_AdFg_21LRg4</t>
  </si>
  <si>
    <t>A montage of bullfighting is being shown.</t>
  </si>
  <si>
    <t>The matador is being hit by the bull, while other matadors try to distract the bull.</t>
  </si>
  <si>
    <t>v_h4m7bYDVLAc</t>
  </si>
  <si>
    <t>A woman blindfolded in a yard and swinging away at a pinata being moved around.</t>
  </si>
  <si>
    <t>Several people around her are watches and can't help but laugh.</t>
  </si>
  <si>
    <t>The woman is laughing as well and finally hits the pinata for the children to grab.</t>
  </si>
  <si>
    <t>v_by4dS4tgkY0</t>
  </si>
  <si>
    <t>A man is talking to the camera from a parking lot.</t>
  </si>
  <si>
    <t>He runs down the street while continuing to talk.</t>
  </si>
  <si>
    <t>He runs onto several city streets, not stopping.</t>
  </si>
  <si>
    <t>v_shLUZZS9oYc</t>
  </si>
  <si>
    <t>A man is standing outside by the sidewalk cutting down a set of hedges.</t>
  </si>
  <si>
    <t>As he finishes the side,he moves to the front of the plant and continues cutting the plant down.</t>
  </si>
  <si>
    <t>Once a small portion is shown,he looks at the plant and then cuts off the item in his hand.</t>
  </si>
  <si>
    <t>v_QLJAQBUisuQ</t>
  </si>
  <si>
    <t>A man is talking to the camera.</t>
  </si>
  <si>
    <t>An Olympic field is shown with many people walking around on it.</t>
  </si>
  <si>
    <t>The man runs down a strip of track and jumps into a pile of sand.</t>
  </si>
  <si>
    <t>He has a flag wrapped around him and waves at the audience.</t>
  </si>
  <si>
    <t>v_vt81bZ6_GcQ</t>
  </si>
  <si>
    <t>People are in a pool playing water polo.</t>
  </si>
  <si>
    <t>A man in a white shirt walks along side the pool.</t>
  </si>
  <si>
    <t>A woman holding a dog is standing on a dock.</t>
  </si>
  <si>
    <t>v_KE2tDW9x9d8</t>
  </si>
  <si>
    <t>A girl is seen talking to the camera with her hand on her hip and leads into her holding up various ingredients.</t>
  </si>
  <si>
    <t>She then mixes the ingredients together on a slice of bread and creates a sandwich while pouring chips out onto the side.</t>
  </si>
  <si>
    <t>She then presents the plate while speaking to the camera and holding up various liquids.</t>
  </si>
  <si>
    <t>v_qxlVkDpdyOA</t>
  </si>
  <si>
    <t>We see two men walking and jumping on jump-stilts.</t>
  </si>
  <si>
    <t>One man jumps down the road, the the other as a man photographs them.</t>
  </si>
  <si>
    <t>A man on a bike rides past the men.</t>
  </si>
  <si>
    <t>Four bikes ride past the men.</t>
  </si>
  <si>
    <t>v_QQNW2ha8WIs</t>
  </si>
  <si>
    <t>A boy jumps on a trampoline while catching a stuffed doll on his shoulders in the air.</t>
  </si>
  <si>
    <t>The boy falls back and lands on his back on the trampoline.</t>
  </si>
  <si>
    <t>The boy jumps and catches the doll and slams it between his legs on the trampoline.</t>
  </si>
  <si>
    <t>The boy misses trying to catch the doll and falls on the trampoline.</t>
  </si>
  <si>
    <t>v_p1JSdZmztGk</t>
  </si>
  <si>
    <t>Two people are seen speaking to one another while standing on the docks as well as speak to the camera.</t>
  </si>
  <si>
    <t>The people enjoy themselves around the are by getting their hair cut, eating food, and the man preparing a boat.</t>
  </si>
  <si>
    <t>Several shots are shown of a kitchen as well as people riding on the boat and still continue to speak to the camera.</t>
  </si>
  <si>
    <t>v_x3z3dVUxmJ0</t>
  </si>
  <si>
    <t>The name of the business is shown.</t>
  </si>
  <si>
    <t>A person is braiding a client's hair.</t>
  </si>
  <si>
    <t>A person is running scissor through a braid.</t>
  </si>
  <si>
    <t>A person is applying rods to braids.</t>
  </si>
  <si>
    <t>A person is putting braids with rods into water.</t>
  </si>
  <si>
    <t>A client with reading glasses is talking.</t>
  </si>
  <si>
    <t>A client is leaving after braids are done.</t>
  </si>
  <si>
    <t>The credits of the video are shown.</t>
  </si>
  <si>
    <t>v_HhbTyPnFVIg</t>
  </si>
  <si>
    <t>A woman stand with athletic jacket in a grass covered and forested yard.</t>
  </si>
  <si>
    <t>The woman enters an open workshop area.</t>
  </si>
  <si>
    <t>Logs are stacked upright on a chopping block.</t>
  </si>
  <si>
    <t>The woman uses an an ax to split the logs in half.</t>
  </si>
  <si>
    <t>v_qCnHgcP3tM8</t>
  </si>
  <si>
    <t>Cars are driving down the highway fairly quickly.</t>
  </si>
  <si>
    <t>They stop, a man gets out and helps two women get out.</t>
  </si>
  <si>
    <t>They go into a bar and throw a ball into a girls drink starting a beer pong war.</t>
  </si>
  <si>
    <t>He wakes up in his dorm and then click on his ipad to start a beer pong championship.</t>
  </si>
  <si>
    <t>v_EwMAJPldfKs</t>
  </si>
  <si>
    <t>A young lady with a grey jacket on is standing in front of a sink lathering her hands.</t>
  </si>
  <si>
    <t>She then turns the water on and begins to rinse her hands and flex her fingers to make sure all of the soap is off.</t>
  </si>
  <si>
    <t>After that is done,she grabs a white towel,dries her hands and wipes her mouth.</t>
  </si>
  <si>
    <t>v_ikZwamRM5mo</t>
  </si>
  <si>
    <t>Several percussionists stand on a field.</t>
  </si>
  <si>
    <t>They march in place on the field.</t>
  </si>
  <si>
    <t>They are drumming in sync.</t>
  </si>
  <si>
    <t>A woman walks by with a video camera.</t>
  </si>
  <si>
    <t>v_QeVVKZhoFCg</t>
  </si>
  <si>
    <t>A girl with several facial piercings his seen rubbing lotion all over her face and powdering her cheeks and face.</t>
  </si>
  <si>
    <t>She then puts eyeliner on followed by mascara and lip liner.</t>
  </si>
  <si>
    <t>She colors in her eyebrows and puts on fake eye lashes, then rubbing some of the black off and more mascara on.</t>
  </si>
  <si>
    <t>She puts a bit of blush in her cheeks and then smiles and waves to the camera.</t>
  </si>
  <si>
    <t>v_Lo0EQXmaeXM</t>
  </si>
  <si>
    <t>The man looks at the camera and then goes back to looking somewhere else and talking.</t>
  </si>
  <si>
    <t>then the cups they're both holding that has a blue liquid in it is then put into their mouths and they both gargle until they have lots of bubbles formed in their mouths.</t>
  </si>
  <si>
    <t>v_TBeZXLchito</t>
  </si>
  <si>
    <t>People skateboard in a competition on the road while bending and holding his arms back.</t>
  </si>
  <si>
    <t>Then, a skateboarder opens his arms and signal others to advance.</t>
  </si>
  <si>
    <t>Then, the skateboarders pass on front spectators watching on side the road.</t>
  </si>
  <si>
    <t>People take picture to the skateboarders.</t>
  </si>
  <si>
    <t>A skateboarder fells on the road.</t>
  </si>
  <si>
    <t>People continues skateboarding in the road.</t>
  </si>
  <si>
    <t>v_SHS8pNOsZDU</t>
  </si>
  <si>
    <t>A group rides horses playing a game of polo on a field.</t>
  </si>
  <si>
    <t>The group fight over the ball and ride in a tight formation.</t>
  </si>
  <si>
    <t>A member on the team breaks away and rides toward the goal on his horse.</t>
  </si>
  <si>
    <t>v_yo3s6V19YtQ</t>
  </si>
  <si>
    <t>A young man is rappelling up the side of a cliff.</t>
  </si>
  <si>
    <t>Another man watches and helps from below.</t>
  </si>
  <si>
    <t>The man continues climbing until he reaches the top.</t>
  </si>
  <si>
    <t>v_tgdLeBX7aXk</t>
  </si>
  <si>
    <t>People are playing cricket together outside.</t>
  </si>
  <si>
    <t>A group of people hold up a trophy.</t>
  </si>
  <si>
    <t>People are walking around outside playing cricket.</t>
  </si>
  <si>
    <t>v_wBhtt9x74TA</t>
  </si>
  <si>
    <t>A woman is standing by a toilet in a bikini.</t>
  </si>
  <si>
    <t>A man is rubbing sunscreen onto her legs.</t>
  </si>
  <si>
    <t>She begins to rub her leg.</t>
  </si>
  <si>
    <t>v_f-aGlEjgZoE</t>
  </si>
  <si>
    <t>A woman is seen speaking to the camera while holding up various objects.</t>
  </si>
  <si>
    <t>The puts tape on he eye and begins putting eyeliner above her eye.</t>
  </si>
  <si>
    <t>She continues putting the makeup on while speaking to the camera and takes off the tape in the end.</t>
  </si>
  <si>
    <t>v_HfowLX1u38Y</t>
  </si>
  <si>
    <t>man wearing a purple shirt is holding a gas pipe.</t>
  </si>
  <si>
    <t>the man is using the pipe to light up the woodfire.</t>
  </si>
  <si>
    <t>man is standing outside a house lighting up a woodfire.</t>
  </si>
  <si>
    <t>v_UhB739uudDo</t>
  </si>
  <si>
    <t>A man is seen standing in a field with a dog while holding onto toys.</t>
  </si>
  <si>
    <t>The man then begins throwing the toys while the dog chases after them.</t>
  </si>
  <si>
    <t>The men continues to do tricks with the dog and end with a picture.</t>
  </si>
  <si>
    <t>v_WBkqGBFsdgI</t>
  </si>
  <si>
    <t>An older blonde newswoman is reading a story.</t>
  </si>
  <si>
    <t>Various pictures are shown of shuffleboard history.</t>
  </si>
  <si>
    <t>An older man is interviewed for the camera.</t>
  </si>
  <si>
    <t>Various clips of people playing shuffleboard are shown.</t>
  </si>
  <si>
    <t>The older blonde reporter ends the news story.</t>
  </si>
  <si>
    <t>v_JH31FxBZ5Xw</t>
  </si>
  <si>
    <t>Several shots of wrestlers are shown.</t>
  </si>
  <si>
    <t>They all are doing flips off the corner.</t>
  </si>
  <si>
    <t>The land on their opponent.</t>
  </si>
  <si>
    <t>They knock them down to the floor.</t>
  </si>
  <si>
    <t>v_TgDzZIop_uw</t>
  </si>
  <si>
    <t>An unseen person demonstrates how to remove and install a tire valve on a tire using a special tool.</t>
  </si>
  <si>
    <t>A pair of hands is seen yielding a metal tool over a yellow walled tire lying on a flat surface.</t>
  </si>
  <si>
    <t>The hand uses the metal curved tool to pluck the old tire valve out of its hole.</t>
  </si>
  <si>
    <t>The hand then uses a metal, black, tool to insert a new valve into the tire.</t>
  </si>
  <si>
    <t>v_PwMDJapSo70</t>
  </si>
  <si>
    <t>A person's hands are seen moving around a cat and trimming it's claws while the cat lays still and looks around.</t>
  </si>
  <si>
    <t>The person then files the nails of the cat and zooms in on the cat's belly in the end.</t>
  </si>
  <si>
    <t>v_MKmrqcoCZ-M</t>
  </si>
  <si>
    <t>A man is sitting on a black mat in a gym.</t>
  </si>
  <si>
    <t>He lays back and does crunches on the mat.</t>
  </si>
  <si>
    <t>He sits up and continues talking.</t>
  </si>
  <si>
    <t>v_kH8YpzoflKg</t>
  </si>
  <si>
    <t>A camera pans around a shirtless man sitting in the snow followed by the man snowboarding and men riding up a hill.</t>
  </si>
  <si>
    <t>Several shots are shown of people riding down the snowy hill and doing tricks in front of the camera.</t>
  </si>
  <si>
    <t>v_GffGGAwbcHo</t>
  </si>
  <si>
    <t>A caveman is seen walking a purple rock.</t>
  </si>
  <si>
    <t>He runs into a big dog and the dog eats the caveman.</t>
  </si>
  <si>
    <t>A God walks a poodle.</t>
  </si>
  <si>
    <t>A cowboy walks his dog and is shot outside a saloon.</t>
  </si>
  <si>
    <t>Chaplin is seen walking his dog.</t>
  </si>
  <si>
    <t>A hippie dog lies down on the floor and seems to be hallucinating.</t>
  </si>
  <si>
    <t>Dogs and spacecraft are seen exploring space.</t>
  </si>
  <si>
    <t>v_E3h0UHRsSQk</t>
  </si>
  <si>
    <t>A man wearing a black clothes is sharpening the knife on a stone.</t>
  </si>
  <si>
    <t>The man beside him on blue long sleeves drawing something on the table with his finger.</t>
  </si>
  <si>
    <t>The man turn the knife to sharpen the other side and then wipe it with paper towel.</t>
  </si>
  <si>
    <t>The man in navy blue shirt point to the knife while the man sharpening the knife tries to sharpen it one hand.</t>
  </si>
  <si>
    <t>He continues sharpening the knife, turn it again to further sharpen the other side and wipe it again with paper towel.</t>
  </si>
  <si>
    <t>Throws the old and dirty paper towel and reach the roll of paper towel and clean the knife.</t>
  </si>
  <si>
    <t>v_-ibmoYKRxQk</t>
  </si>
  <si>
    <t>A camera pans around a snowy area and transitions into several people in tubes down a hill.</t>
  </si>
  <si>
    <t>The people laugh while riding down the hill when one person falls off and the camera pans around the people.</t>
  </si>
  <si>
    <t>The camera shows one more shot of the people all riding down the long hill together.</t>
  </si>
  <si>
    <t>v_x2FfKHiN_3s</t>
  </si>
  <si>
    <t>A man is sitting on a frozen lake, fishing through a hole and surrounded by fishing gear.</t>
  </si>
  <si>
    <t>He walks away from his stuff, and a fish pulls his pole into the water, disappearing with it.</t>
  </si>
  <si>
    <t>He stands angrily with his hands on his hips, then gets another pole to try to get it back.</t>
  </si>
  <si>
    <t>v_UYFDYX4i2EY</t>
  </si>
  <si>
    <t>A man is standing on a stage performing different moves.</t>
  </si>
  <si>
    <t>He walks off the stage and someone else walks onto the stage.</t>
  </si>
  <si>
    <t>v_LNlGgtg70uQ</t>
  </si>
  <si>
    <t>This woman is showing her viewers how to make a Chambord Royale.</t>
  </si>
  <si>
    <t>First she fills her shaker up halfway with ice and then she adds vodka and Chambord and she puts one ounce of both of them and then she adds a little bit of pineapple juice and cranberry juice.</t>
  </si>
  <si>
    <t>Next she shakes everything up and strains the drink into the cocktail cup.</t>
  </si>
  <si>
    <t>v_59mz2Nd8GM0</t>
  </si>
  <si>
    <t>This perosn is shown making a sandwich that includes lunch meat, swiss cheese, and mayonnaise.</t>
  </si>
  <si>
    <t>He then mixes an egg and milk together and puts the sandwich into the mix.</t>
  </si>
  <si>
    <t>He puts the sandwich into a skillet that's on the stove for a little bit, and then he puts the sandwich on a white square shaped plate, which I'm guessing he ate.</t>
  </si>
  <si>
    <t>v_DU2hdNIS2WI</t>
  </si>
  <si>
    <t>A very large, muscular man is shown in a gym with a weight bar as piano music plays in the background.</t>
  </si>
  <si>
    <t>The video begins with the weight on the floor and the man getting ready to lift it.</t>
  </si>
  <si>
    <t>He lifts the weight and first brings it parallel to his shoulders.</t>
  </si>
  <si>
    <t>He then lifts it completely over his head with his arms extended.</t>
  </si>
  <si>
    <t>After leaving his arms up for several seconds, he allows the weight to fall on the ground.</t>
  </si>
  <si>
    <t>v_MSjSXzk2k50</t>
  </si>
  <si>
    <t>An intro leads into a woman pulling out a bucket and piecing together a mop.</t>
  </si>
  <si>
    <t>The camera pans around the bucket and the woman continues using the mop inside the bucket and moving around the object.</t>
  </si>
  <si>
    <t>v_HHDMFrN7vFs</t>
  </si>
  <si>
    <t>A man in a red shirt is sitting at an exercise bike.</t>
  </si>
  <si>
    <t>He is moving his legs on the pedals.</t>
  </si>
  <si>
    <t>There are other bikes next to him.</t>
  </si>
  <si>
    <t>v_DCYz8p4zH6o</t>
  </si>
  <si>
    <t>A man is seen kneeling on the floor swinging his arms back and fourth.</t>
  </si>
  <si>
    <t>Text moves across his face as he swings his arms.</t>
  </si>
  <si>
    <t>The man continues to swing his arms and ends with credits rolling.</t>
  </si>
  <si>
    <t>v_MiTIi_QYt2k</t>
  </si>
  <si>
    <t>A close up of a wooden bench is seen followed by a person mixing ingredients together.</t>
  </si>
  <si>
    <t>A person is then seen holding a rag and wiping down the bench.</t>
  </si>
  <si>
    <t>More ingredients are mixed afterwards that leads into more wiping down with the rag.</t>
  </si>
  <si>
    <t>v_56m7PcBuUFc</t>
  </si>
  <si>
    <t>A girl is pushing two little boys on a backyard swing.</t>
  </si>
  <si>
    <t>She smiles at the camera as she pushes the boys back and forth.</t>
  </si>
  <si>
    <t>v_u35hesPTsNE</t>
  </si>
  <si>
    <t>A band is seen sitting on the stage with one man playing the drums and a woman interviewing him.</t>
  </si>
  <si>
    <t>The man continues playing as the women speaks to the crowd and sings while they play.</t>
  </si>
  <si>
    <t>v_eAOBdYKju70</t>
  </si>
  <si>
    <t>Various shots are shown of horse saddles and various people riding these saddles on horses.</t>
  </si>
  <si>
    <t>A girl wraps the rope around her saddle while others practice on placed saddles.</t>
  </si>
  <si>
    <t>People ride around the saddles and show various caddie and how to ride them.</t>
  </si>
  <si>
    <t>A tourist is being interviewed on riding experience but she watched other riding and felt confident.</t>
  </si>
  <si>
    <t>A man speakers on his experience and various shots of the horses and wildlife are shown.</t>
  </si>
  <si>
    <t>v_szW1c2SGdew</t>
  </si>
  <si>
    <t>A man swings his leg in the air creating letters and we see an opening screen.</t>
  </si>
  <si>
    <t>two men are in two different rooms performing Capoeira moves.</t>
  </si>
  <si>
    <t>A man does a handstand move.</t>
  </si>
  <si>
    <t>The man does a handstand and pauses.</t>
  </si>
  <si>
    <t>We see the website on a black screen.</t>
  </si>
  <si>
    <t>We see four screens with images of men doing Capoeira.</t>
  </si>
  <si>
    <t>v_5kIl4TspdR0</t>
  </si>
  <si>
    <t>Someone is brushing their teeth with an electric toothbrush.</t>
  </si>
  <si>
    <t>They wear braces so they make sure to scrub all around very well.</t>
  </si>
  <si>
    <t>You can see the tongue moving around never really being comfortable inside of the mouth.</t>
  </si>
  <si>
    <t>The man continues to brush, toothpaste spewing down his lips a bit .</t>
  </si>
  <si>
    <t>v_eMB9L-LDK1E</t>
  </si>
  <si>
    <t>A person sprays a sink and wipes it with a towel.</t>
  </si>
  <si>
    <t>They spray a bath tub and wipe it with a towel.</t>
  </si>
  <si>
    <t>They spray a toilet and wipe it with a toilet.</t>
  </si>
  <si>
    <t>v_UUjXw1xjprU</t>
  </si>
  <si>
    <t>There are several people gathered in a skating park with skateboards.</t>
  </si>
  <si>
    <t>There a young man wearing a red hat talking about a skateboarding event at Red Bull skate Arcade.</t>
  </si>
  <si>
    <t>Several spectators are gathered in the arcade along with a panel of judges.</t>
  </si>
  <si>
    <t>Some of the participants are beating the heat by splashing water on themselves.</t>
  </si>
  <si>
    <t>The participants begin their stunts on the skateboards as they go over ramps and steep slopes.</t>
  </si>
  <si>
    <t>Several participants are showing off their stunts as spectators cheer and clap for them.</t>
  </si>
  <si>
    <t>They show off their scary yet impressive stunts as the climb up walls and steep ramps without falling.</t>
  </si>
  <si>
    <t>The crowds cheer for them and applaud them.</t>
  </si>
  <si>
    <t>The winners are awarded certificates and prizes for winning.</t>
  </si>
  <si>
    <t>v_QooDDNWaQjU</t>
  </si>
  <si>
    <t>A person throws a Frisbee for her dog for a dog to retrieve during an event on a sporting field.</t>
  </si>
  <si>
    <t>The dog catches the Frisbee and brings it back to the trainer.</t>
  </si>
  <si>
    <t>v_mvQxhjjVWOk</t>
  </si>
  <si>
    <t>There is a woman representing Jamaica participating on a long jump event.</t>
  </si>
  <si>
    <t>There is another woman doing long jump from another country.</t>
  </si>
  <si>
    <t>Several other contestant are participating in the same long jump competition.</t>
  </si>
  <si>
    <t>There are spectators watching them as they compete against each other.</t>
  </si>
  <si>
    <t>The contestant from Istanbul makes very long jump in the sand pit.</t>
  </si>
  <si>
    <t>The contestants continue competing in the sporting event.</t>
  </si>
  <si>
    <t>v_sRYDJ379UYc</t>
  </si>
  <si>
    <t>A man is seen sitting on a piece of exercise equipment with a trainer standing in front of him.</t>
  </si>
  <si>
    <t>The man then moves back and fourth on the machine while the other man helps.</t>
  </si>
  <si>
    <t>He is shown again in another clips moving and the trainer helping.</t>
  </si>
  <si>
    <t>v_w50et2-vEOQ</t>
  </si>
  <si>
    <t>We see the title and introductions screens.</t>
  </si>
  <si>
    <t>We see a boat with a man on it.</t>
  </si>
  <si>
    <t>We see people and the interior of the boat.</t>
  </si>
  <si>
    <t>The man wakeboards around a lake.</t>
  </si>
  <si>
    <t>We see the boat with people in it.</t>
  </si>
  <si>
    <t>The man pulls out the ladder and climbs on the boat then we see a boat take off, and in a show room.</t>
  </si>
  <si>
    <t>The man falls off the wakeboard 2 times.</t>
  </si>
  <si>
    <t>We see the ending title screen.</t>
  </si>
  <si>
    <t>v_WMoofjkumOs</t>
  </si>
  <si>
    <t>In the beginning the man is shown tricking the bull.</t>
  </si>
  <si>
    <t>Many other men have been shown tricking bulls in front of large crowds.</t>
  </si>
  <si>
    <t>v_TF591ByrGYk</t>
  </si>
  <si>
    <t>A young male gymnast is is an arena standing on a mat preparing to do his routine.</t>
  </si>
  <si>
    <t>The boy then approached the bars and does a series of swings and hand stand in the air.</t>
  </si>
  <si>
    <t>While he's performing,he adds several flips and rolls into his performance before finally jumping off of the bars.</t>
  </si>
  <si>
    <t>v_95pMelnv2dQ</t>
  </si>
  <si>
    <t>Men play badminton in the sand.</t>
  </si>
  <si>
    <t>A man on the left serves the birdie both men on the right miss it.</t>
  </si>
  <si>
    <t>the man on the right serves and the man on the left hits it back but it hits the net.</t>
  </si>
  <si>
    <t>A man stands on the left watching.</t>
  </si>
  <si>
    <t>v_y_HCdBEJbNE</t>
  </si>
  <si>
    <t>A man puts plaster on a base.</t>
  </si>
  <si>
    <t>The man walks over and rubs it on the ceiling.</t>
  </si>
  <si>
    <t>We see the stilts the man is walking on.</t>
  </si>
  <si>
    <t>The camera becomes wobbly and blurry.</t>
  </si>
  <si>
    <t>The man bends down to grab more plaster.</t>
  </si>
  <si>
    <t>The man smiles and the video ends.</t>
  </si>
  <si>
    <t>v_RWjCwIOuzrc</t>
  </si>
  <si>
    <t>There is a man nodding in the first frame.</t>
  </si>
  <si>
    <t>The video movies to the man putting up the wall paper by first measuring it out, lining up the pattern and putting it up on the wall.</t>
  </si>
  <si>
    <t>He then unscrews a light switch and pulls it out just a little, making some slits in the fabric or paper, then putting the light switch back over the new wall paper.</t>
  </si>
  <si>
    <t>The camera shows wall paper in a finished room, going over different rooms with different wall papers.</t>
  </si>
  <si>
    <t>The man is later seen measuring and marking the wall, rolling out more wall paper and putting it up on the wall.</t>
  </si>
  <si>
    <t>Then it shows two tables that look like they have also been wall papered.</t>
  </si>
  <si>
    <t>v__4licRHiRRs</t>
  </si>
  <si>
    <t>A text intro leads into a picture of a dog and the same dog running along the yard.</t>
  </si>
  <si>
    <t>The dog is seen in several clips chasing after a frisbee.</t>
  </si>
  <si>
    <t>A man throws the frisbee to the dog in the yard who continues chasing after him.</t>
  </si>
  <si>
    <t>v_c2-6_i1yV5E</t>
  </si>
  <si>
    <t>Individuals run with a elongated stick and use it to elevated their bodies over a heighten hurdle.</t>
  </si>
  <si>
    <t>A guy touches the back of the individual as he lifts his body.</t>
  </si>
  <si>
    <t>The guy seems like he falls backs while trying to lift his body because the clip is reversed.</t>
  </si>
  <si>
    <t>v_gDNgiybMA1s</t>
  </si>
  <si>
    <t>A camera pans up to a person standing in a kitchen and then dancing on the floor.</t>
  </si>
  <si>
    <t>The man continues to dance around while looking to the camera and singing.</t>
  </si>
  <si>
    <t>v_O4P07fipvIA</t>
  </si>
  <si>
    <t>A large group of cheerleaders are seen running into an arena cheering and beginning performing a routine with one another.</t>
  </si>
  <si>
    <t>The girls continue cheering around the stage while lifting one another up and performing tricks and pans to the audience in the end.</t>
  </si>
  <si>
    <t>v_hru57dsi0N0</t>
  </si>
  <si>
    <t>A woman is seated in a chair in a dining room.</t>
  </si>
  <si>
    <t>She shows off her bare feet and their shape.</t>
  </si>
  <si>
    <t>She then puts on and tries to lace her shoes around the swollen feet.</t>
  </si>
  <si>
    <t>v_XHMrvd3sKzE</t>
  </si>
  <si>
    <t>Two kids are climbing a rock wall.</t>
  </si>
  <si>
    <t>The adults are guiding the lines.</t>
  </si>
  <si>
    <t>The kids continue to climb.</t>
  </si>
  <si>
    <t>The one on the right will make it to the top first.</t>
  </si>
  <si>
    <t>The one on the left did not make it to the top, both hop back down the wall.</t>
  </si>
  <si>
    <t>v_mAWuiYWXmb8</t>
  </si>
  <si>
    <t>A woman and a man exercise sitting on a cardio machine.</t>
  </si>
  <si>
    <t>A woman works out sitting on a cardio machine.</t>
  </si>
  <si>
    <t>A man sits next a woman performing cardio workouts.</t>
  </si>
  <si>
    <t>v_l8NepxsCh34</t>
  </si>
  <si>
    <t>A girl is playing hopscotch on a sidewalk.</t>
  </si>
  <si>
    <t>She gets to the end and turns around to go back.</t>
  </si>
  <si>
    <t>Another girl throws a puck onto the sidewalk and starts to play hopscotch.</t>
  </si>
  <si>
    <t>v_UZ9D6DhrmDI</t>
  </si>
  <si>
    <t>A person solves a cube puzzle flipping the pieces around.</t>
  </si>
  <si>
    <t>The person solves the puzzle and show a chronometer.</t>
  </si>
  <si>
    <t>v_s9Wop4PMZaw</t>
  </si>
  <si>
    <t>Two young children are seen riding on a camel past a group of people and a man leading them along.</t>
  </si>
  <si>
    <t>The man continues to lead the camel around with the children on top and ends with them climbing down and others walking up.</t>
  </si>
  <si>
    <t>v_2N129Bw1jiQ</t>
  </si>
  <si>
    <t>Young children are seen jumping on a mat back and fourth while two older women watch them on the side.</t>
  </si>
  <si>
    <t>The boy then takes a big leap and the girl stands in front of him.</t>
  </si>
  <si>
    <t>v_ffyPN2-EDg4</t>
  </si>
  <si>
    <t>A man walks up to a snow scoop.</t>
  </si>
  <si>
    <t>The man shovels the snow on a roof while the cameraman talks.</t>
  </si>
  <si>
    <t>The man stops scooping the snow.</t>
  </si>
  <si>
    <t>v_aTrEYoCRL2k</t>
  </si>
  <si>
    <t>A man sitting in a leaf blower starts the machine and blows a large pile of leafs into the brush nearby.</t>
  </si>
  <si>
    <t>We we see the vehicle back and and go back and forth blowing the leaves.</t>
  </si>
  <si>
    <t>The cameraman stops the vehicle and gets out.</t>
  </si>
  <si>
    <t>We see the full vehicle from the front and see the field.</t>
  </si>
  <si>
    <t>v_sRgBK2_nb0I</t>
  </si>
  <si>
    <t>We see a man raise his arms and prepare to mount the pommel horse.</t>
  </si>
  <si>
    <t>The man mounts the pommel horse.</t>
  </si>
  <si>
    <t>The man does a handstand and throws his open legs over the pommel.</t>
  </si>
  <si>
    <t>The man spins around on the pommel horse.</t>
  </si>
  <si>
    <t>The man does a handstand and dismounts.</t>
  </si>
  <si>
    <t>The man raises his arms and walks away.</t>
  </si>
  <si>
    <t>The man shakes another man's hand.</t>
  </si>
  <si>
    <t>v_jnnHUCs-t3o</t>
  </si>
  <si>
    <t>Several people are playing in a public swimming pool.</t>
  </si>
  <si>
    <t>They swim in the water, playing a game with a ball.</t>
  </si>
  <si>
    <t>They hit the ball back and forth, trying to keep it from each other.</t>
  </si>
  <si>
    <t>v_m22TDwfa8go</t>
  </si>
  <si>
    <t>A woman is seen talking to the camera and presenting various liquids to the camera.</t>
  </si>
  <si>
    <t>She ready's the tip of a glass and dips the glass into sugar on a plate.</t>
  </si>
  <si>
    <t>She pours various liquids into a mixer and shakes the mixture all together.</t>
  </si>
  <si>
    <t>She pours the drink out into the glass while still speaking to the camera.</t>
  </si>
  <si>
    <t>v_Vcv9P-4Tty0</t>
  </si>
  <si>
    <t>A group of people are seen standing on a sandy field with one throwing a soccer ball to another.</t>
  </si>
  <si>
    <t>The other person scores a goal and other players jump on him and congratulate him.</t>
  </si>
  <si>
    <t>The same goal is shown several more times from different angles.</t>
  </si>
  <si>
    <t>v_3NSikmqK3Ys</t>
  </si>
  <si>
    <t>man is standing in front of a motorbike and puts a toilet lid in the black leathe seat.</t>
  </si>
  <si>
    <t>the man is driving the motorbike thorugh the street and a dog is running next to him.</t>
  </si>
  <si>
    <t>the man opens the motorbike trunk and close it.</t>
  </si>
  <si>
    <t>v_EU-IdUKbLSg</t>
  </si>
  <si>
    <t>A large group of people are seen swimming around a pool while a coach yells on the sides.</t>
  </si>
  <si>
    <t>Shots of people playing are shown when one hits the other.</t>
  </si>
  <si>
    <t>The coaches yell to one another while people still play the game.</t>
  </si>
  <si>
    <t>v_ciXArKhjAv8</t>
  </si>
  <si>
    <t>A little boy is standing eating ice cream.</t>
  </si>
  <si>
    <t>There is a dog on the floor behind him.</t>
  </si>
  <si>
    <t>He laughs and turns around.</t>
  </si>
  <si>
    <t>v_K-r_Tj7uFGw</t>
  </si>
  <si>
    <t>A girl is sitting on a large chair with two girls beside her and a man tattooing her foot.</t>
  </si>
  <si>
    <t>Another man steps into frame and the girls continue talking to each other while the artist.</t>
  </si>
  <si>
    <t>v_TOfBNYOlv8c</t>
  </si>
  <si>
    <t>A woman behind a bar is showing how to make a mixed drink.</t>
  </si>
  <si>
    <t>A series of shots appear with a person pouring alcohol into a martini glass and then the screen fades into the video title screen showing a website name, the name of the drink they are making and the person who will be making it.</t>
  </si>
  <si>
    <t>A website address is shown at the bottom of the screen.</t>
  </si>
  <si>
    <t>A girl standing behind the bar explains what ingredients she is using for the drink, the amounts she is using, and mixes them all together in a glass and presents the drink.</t>
  </si>
  <si>
    <t>The camera zooms in on the drink and fades to black to end the video.</t>
  </si>
  <si>
    <t>v_hlwSgE7Epwo</t>
  </si>
  <si>
    <t>A woman standing outside near a tennis court talking about things.</t>
  </si>
  <si>
    <t>A girl in all black with a baton practicing her moves and dances inside of the studio.</t>
  </si>
  <si>
    <t>Her coach does an interview while sitting down with her hands held together.</t>
  </si>
  <si>
    <t>The girl continues to practice by herself in the studio.</t>
  </si>
  <si>
    <t>v_O-zE1-Yw3w0</t>
  </si>
  <si>
    <t>A young girl introduces the video and explains what she will be doing to wood.</t>
  </si>
  <si>
    <t>She places a piece of bubblewrap and makes sure it covers around about half of the wood.</t>
  </si>
  <si>
    <t>She then covers the rest of the wood and walks across it like a plank.</t>
  </si>
  <si>
    <t>v_VgQ6a7oVx7g</t>
  </si>
  <si>
    <t>People are performing gymnastic stunts in front of an audience.</t>
  </si>
  <si>
    <t>A guy locks his arms around bars above his head.</t>
  </si>
  <si>
    <t>The guy swings his body while holding on to the bars.</t>
  </si>
  <si>
    <t>The guy flips off the bars and lands on his feet, claps, and begins to leave.</t>
  </si>
  <si>
    <t>A man approaches the guy clapping.</t>
  </si>
  <si>
    <t>v_21krmbuT21s</t>
  </si>
  <si>
    <t>Two gymasts are performing in front of a crowd.</t>
  </si>
  <si>
    <t>One is spinning constantly on a beam.</t>
  </si>
  <si>
    <t>The man in red mounts and begins to spin, performing several tricks.</t>
  </si>
  <si>
    <t>The man dismounts, and puts one victorious arm up into the air.</t>
  </si>
  <si>
    <t>v_STwMeZMg_aA</t>
  </si>
  <si>
    <t>A boy pulls a string of a home fitness machine while talking.</t>
  </si>
  <si>
    <t>Then, the boy falls down the floor.</t>
  </si>
  <si>
    <t>v_EmlmKZ6Gi3Y</t>
  </si>
  <si>
    <t>There's a large team of participants getting ready to do engage in a water tubing activity.</t>
  </si>
  <si>
    <t>They walk down a hilly terrain to the river.</t>
  </si>
  <si>
    <t>They get onto their tubes and begin going down the rapids.</t>
  </si>
  <si>
    <t>The participants seem very calm and happy as they wave to the camera.</t>
  </si>
  <si>
    <t>They all begin their journey down the rapids as the water starts getting more turbulent.</t>
  </si>
  <si>
    <t>They continue going along the with water current as they flow steadily through the water.</t>
  </si>
  <si>
    <t>Then they all arrive at banks of the river where the water is calm and steady flowing.</t>
  </si>
  <si>
    <t>v_hQXWnoipdFE</t>
  </si>
  <si>
    <t>The video is represented by North Face and Cliff Bar where they show mountain climbers at Yosemite National Park.</t>
  </si>
  <si>
    <t>There are several people talking about the fascination of mountain climbing.</t>
  </si>
  <si>
    <t>There are pictures of people wearing bandanas shown sitting on the mountain tops.</t>
  </si>
  <si>
    <t>There's a man who is mountain climbing on a steep slope.</t>
  </si>
  <si>
    <t>Another man takes a leap from the top of mountain in an attempt to bungee jump from that height.</t>
  </si>
  <si>
    <t>v_pHZogKGkc9o</t>
  </si>
  <si>
    <t>A group of young boys are inside a basketball court.</t>
  </si>
  <si>
    <t>They play a game while the coach cheers them on and instructs them.</t>
  </si>
  <si>
    <t>Some of the boys watch from the sidelines, waiting for their turn.</t>
  </si>
  <si>
    <t>v_9V7cMp_w1_0</t>
  </si>
  <si>
    <t>Winter scenes with vehicles and heavy snow are shown.</t>
  </si>
  <si>
    <t>Scenes from the interior of an airport are shown, with people walking around or waiting.</t>
  </si>
  <si>
    <t>A woman talks to the camera.</t>
  </si>
  <si>
    <t>A man cleans snow off a car.</t>
  </si>
  <si>
    <t>More scenes from a winter storm are shown.</t>
  </si>
  <si>
    <t>Scenes of people cleaning snow off their vehicles are shown.</t>
  </si>
  <si>
    <t>A different woman talks to the camera.</t>
  </si>
  <si>
    <t>A car drives away from the camera.</t>
  </si>
  <si>
    <t>Two people talk to the camera.</t>
  </si>
  <si>
    <t>A truck drives away from the camera.</t>
  </si>
  <si>
    <t>v_NOxiMgQMeuk</t>
  </si>
  <si>
    <t>A woman is shown with a paintbrush and a piece of canvas.</t>
  </si>
  <si>
    <t>She uses green paint to fill in a drawing of a plant.</t>
  </si>
  <si>
    <t>She goes around in circles, painting the image.</t>
  </si>
  <si>
    <t>v_6tveUnZe7WA</t>
  </si>
  <si>
    <t>A white male is dressed outside in a Scotland uniform standing outside in the middle of a cemetery.</t>
  </si>
  <si>
    <t>As he is standing,he plays the bag pipes with the American Flag hanging down from them.</t>
  </si>
  <si>
    <t>When he is finished,he begins to look to his right,shakes his head,catches his breath and keeps playing.</t>
  </si>
  <si>
    <t>v_jzDXtd0__DM</t>
  </si>
  <si>
    <t>A close up of a sign is seen followed by a young couple looking to the camera.</t>
  </si>
  <si>
    <t>Other people are seen standing on the side and watching the other two.</t>
  </si>
  <si>
    <t>The coupe hold on and then jump off the side while the others stand and watch.</t>
  </si>
  <si>
    <t>v_i5jZVSzLbYQ</t>
  </si>
  <si>
    <t>A person is seen performing various flips and tricks in front of audience and leads into a young boy standing in the middle.</t>
  </si>
  <si>
    <t>The boy and man then battle against one another doing several tricks and ends with the an holding the boy's arm.</t>
  </si>
  <si>
    <t>He then claps to the boy and several people on the side clap.</t>
  </si>
  <si>
    <t>v_vX8L1RcZ4cc</t>
  </si>
  <si>
    <t>A little boy doing karate is yelling commands.</t>
  </si>
  <si>
    <t>He starts to do some of his karate moves, moving all around the court.</t>
  </si>
  <si>
    <t>He is a blue belt being judged for his skills.</t>
  </si>
  <si>
    <t>He bows gracefully before walking off and the judges throw up their flags.</t>
  </si>
  <si>
    <t>v_3TbZ7uSYUe8</t>
  </si>
  <si>
    <t>A group of men are standing on a diving board and they take terms jumping off of the diving board.</t>
  </si>
  <si>
    <t>As the last person jumps off the board,a group of men are shown walking across the pool.</t>
  </si>
  <si>
    <t>v_FhbsTTHT2Zs</t>
  </si>
  <si>
    <t>A woman with blonde hair,a purple jacket and black gloves on is standing near a stable talking.</t>
  </si>
  <si>
    <t>As she continues talking,her saddle is shown and she begins talking about the specifics of it.</t>
  </si>
  <si>
    <t>The lady then puts it on the horse and begins rubbing certain parts of it to make sure it is secure.</t>
  </si>
  <si>
    <t>v_xld0M1MXNiE</t>
  </si>
  <si>
    <t>A close up of a globe is shown with a person pointing a hookah at it.</t>
  </si>
  <si>
    <t>The man is then seen looking closely to the camera.</t>
  </si>
  <si>
    <t>He finally blows smoke rings out of his mouth.</t>
  </si>
  <si>
    <t>v_0SmA1cGocz4</t>
  </si>
  <si>
    <t>The word curling appears on the screen numerous times.</t>
  </si>
  <si>
    <t>A woman is shown having her hair dried, brushed, and curled by a specialist.</t>
  </si>
  <si>
    <t>He places her hair is rollers, then takes them down and styles it.</t>
  </si>
  <si>
    <t>Then she poses with her new hair style.</t>
  </si>
  <si>
    <t>v_py4ekPd5G_k</t>
  </si>
  <si>
    <t>Several shots of a building are shown as well as a lake surrounded by trees.</t>
  </si>
  <si>
    <t>Many people are seen riding canoes and a person's feet and legs are shown.</t>
  </si>
  <si>
    <t>The people ride down the river while the camera pans in more landscapes and trees.</t>
  </si>
  <si>
    <t>v_5IkU9svJFRI</t>
  </si>
  <si>
    <t>We see a boy squatting in the dirt.</t>
  </si>
  <si>
    <t>We then see the title screen.</t>
  </si>
  <si>
    <t>The little boy attempts to make a campfire using a flint.</t>
  </si>
  <si>
    <t>Small flames start and grow.</t>
  </si>
  <si>
    <t>The boy stands up next to his fire.</t>
  </si>
  <si>
    <t>We see 2 title cards about starting fires for survival and the website is show before the end screens.</t>
  </si>
  <si>
    <t>v_3YiGMRp-7B4</t>
  </si>
  <si>
    <t>A group of people are standing in a parking lot.</t>
  </si>
  <si>
    <t>The people move in several martial arts techniques.</t>
  </si>
  <si>
    <t>They kick and punch back and forth.</t>
  </si>
  <si>
    <t>v_kfW5sm39ZYE</t>
  </si>
  <si>
    <t>We see a flat tire on a car.</t>
  </si>
  <si>
    <t>the owner takes out the spare tire and tools.</t>
  </si>
  <si>
    <t>The person jacks up the car.</t>
  </si>
  <si>
    <t>The person puts their hand under the raised tire.</t>
  </si>
  <si>
    <t>The man takes off the bad tire.</t>
  </si>
  <si>
    <t>The man shows a screw in his tire.</t>
  </si>
  <si>
    <t>The man puts the spare tire on.</t>
  </si>
  <si>
    <t>The man lowers the car on the spare.</t>
  </si>
  <si>
    <t>v_WGzUnE043iA</t>
  </si>
  <si>
    <t>A man in a canoe talks and paddles in a lake surrounded by large rocks, trees, foliage, stray kayaks, and other people in canoes.</t>
  </si>
  <si>
    <t>The man begins at a profile view holding a paddle while sitting in a canoe and talking to a camera occasionally pointing to a nearby shore with the paddle.</t>
  </si>
  <si>
    <t>The man then uses the paddle in the water to push the canoe off deeper into the water.</t>
  </si>
  <si>
    <t>The man begins to paddle freely in the water, passing along the way, a group of people on a canoe and several stray canoes and kayaks in the water, before facing the camera again in a close up and talking.</t>
  </si>
  <si>
    <t>v_aDDq5ofaFHI</t>
  </si>
  <si>
    <t>White words appear on the screen and say "THE AMERICAN DREAM" and a man wearing a helmet jumps onto the dirt hill path and continues to walk down, grabs his skateboard and begins skating on the road at the end of the hill of a very scenic area.</t>
  </si>
  <si>
    <t>The man is now skating in a road in a residential area where he passes many homes with cars parked on the roads.</t>
  </si>
  <si>
    <t>The man continues to skate through residential areas, water edges along parks, harbors, cities and etcetera.</t>
  </si>
  <si>
    <t>The man ends with a walk along a rocky beach and carrying his skateboard on his right shoulder.</t>
  </si>
  <si>
    <t>v_Jo3R272P8eM</t>
  </si>
  <si>
    <t>A woman is holding a microphone standing outside a room.</t>
  </si>
  <si>
    <t>People are playing wall ball in the room.</t>
  </si>
  <si>
    <t>The woman is holding a piece of paper.</t>
  </si>
  <si>
    <t>v_SCGQIhvDcIo</t>
  </si>
  <si>
    <t>The "LLumar" logo appears on screen.</t>
  </si>
  <si>
    <t>A young girl with a pool cue walks to a pool table, the camera focuses on her low cut top.</t>
  </si>
  <si>
    <t>Several women play pool at the table in revealing clothing.</t>
  </si>
  <si>
    <t>The "LLumar" logo reappears on screen.</t>
  </si>
  <si>
    <t>v_hsJJbTqSQR4</t>
  </si>
  <si>
    <t>A young girl is seen standing on a tennis court holding a racket.</t>
  </si>
  <si>
    <t>The woman begins swinging the racket while another boy stands beside her.</t>
  </si>
  <si>
    <t>The woman continues swinging and walks back to the boy.</t>
  </si>
  <si>
    <t>v_w-6Oo3bgms4</t>
  </si>
  <si>
    <t>Several men are playing soccer in a gym.</t>
  </si>
  <si>
    <t>There are some spectators in the background.</t>
  </si>
  <si>
    <t>Another group of men are playing soccer.</t>
  </si>
  <si>
    <t>There are spectators in the background.</t>
  </si>
  <si>
    <t>Various scenes of soccer matches are shown with spectators.</t>
  </si>
  <si>
    <t>v_Y8WY_c3onSY</t>
  </si>
  <si>
    <t>A couple girls are seen riding down a long slide in the middle of a park.</t>
  </si>
  <si>
    <t>More children ride down the slide while a mother helps the kids at the top.</t>
  </si>
  <si>
    <t>v_u3B3M17akWU</t>
  </si>
  <si>
    <t>A woman is seen sitting down holding an ice cream while looking at the camera.</t>
  </si>
  <si>
    <t>She continues to eat the ice cream as the camera pans around her and watching her eat.</t>
  </si>
  <si>
    <t>v_-G8N5FxjZbw</t>
  </si>
  <si>
    <t>A man is seen playing a set of bagpipes while people behind him push around bicycles.</t>
  </si>
  <si>
    <t>He is seen playing again while more people walk in and out of frame with children and dogs.</t>
  </si>
  <si>
    <t>Some people stop to hear him play and he stops to look to the camera.</t>
  </si>
  <si>
    <t>v_gXKGS1N3zuM</t>
  </si>
  <si>
    <t>A belly dancer dressed in red and black is demonstrating how to hip circles and shimmy.</t>
  </si>
  <si>
    <t>She is standing with her feet hip width apart.</t>
  </si>
  <si>
    <t>Then she shows how to do the foot work as she moves her hips in circles.</t>
  </si>
  <si>
    <t>She simultaneously moves her hips and as she moves sideways.</t>
  </si>
  <si>
    <t>Then she extends her hands and up on one side as she continues to move along sideways.</t>
  </si>
  <si>
    <t>She repeats the steps going back and forth as she twirls her hips.</t>
  </si>
  <si>
    <t>v_SQncxXAlBFE</t>
  </si>
  <si>
    <t>A woman body builder slowly lifts a giant barbell of weights up into the air.</t>
  </si>
  <si>
    <t>She lifts it to her chest, Then over her head before freezing in place.</t>
  </si>
  <si>
    <t>v_qHU7T2LBToI</t>
  </si>
  <si>
    <t>A cheerleading team performs on a blue mat.</t>
  </si>
  <si>
    <t>They dance and tumble during their routine.</t>
  </si>
  <si>
    <t>v_MBouLt-hXDU</t>
  </si>
  <si>
    <t>Cake chemistry explaining how to do a at home experiment, They give all the ingredients needed and begin to explain what they will be doing.</t>
  </si>
  <si>
    <t>The start to give step by step instructions on how to mix the ingredients together.</t>
  </si>
  <si>
    <t>They give very detailed information about what to do before putting them in the oven.</t>
  </si>
  <si>
    <t>Once, they come out of the oven they explain the difference between all of the cakes and the different ingredients they did not put in each to see why the results were different.</t>
  </si>
  <si>
    <t>v_rbDbXXqaZaM</t>
  </si>
  <si>
    <t>A man drives a mowing machine to cut the grass of a backyard.</t>
  </si>
  <si>
    <t>The man pass on front the home to continues mowing the other parts of the yard.</t>
  </si>
  <si>
    <t>v_iyGve9RCjV4</t>
  </si>
  <si>
    <t>Two people are seen performing various martial arts with one another while a large group of people watch on the sides.</t>
  </si>
  <si>
    <t>More people stand in the middle and perform with one another and ends with people moving around and grabbing one another.</t>
  </si>
  <si>
    <t>v_fynO9wmckLA</t>
  </si>
  <si>
    <t>Two young men are standing indoors, talking to the camera.</t>
  </si>
  <si>
    <t>They demonstrate how they run on a track, and do a long jump into sand.</t>
  </si>
  <si>
    <t>v_pmPEfkb8roQ</t>
  </si>
  <si>
    <t>A fence in front of a house is shown.</t>
  </si>
  <si>
    <t>A man wearing white starts painting the fence.</t>
  </si>
  <si>
    <t>v_0MtST08F2Xc</t>
  </si>
  <si>
    <t>A person in blue pants is raking some fallen leaves from the ground.</t>
  </si>
  <si>
    <t>There is a black dog and a white dog jumping around the person raking the leaves.</t>
  </si>
  <si>
    <t>The white dog is trying to bite off the rake.</t>
  </si>
  <si>
    <t>Both the dogs are playing around the man raking the leaves, trying to bite the rake.</t>
  </si>
  <si>
    <t>The person is moving the rake in circles as the dogs are jumping around him.</t>
  </si>
  <si>
    <t>v_AEH6JEd_03c</t>
  </si>
  <si>
    <t>A butterfly is flying on the screen with words on slides.</t>
  </si>
  <si>
    <t>A person is mixing ingredients in a bowl.</t>
  </si>
  <si>
    <t>They spoon the dough onto a cookie sheet.</t>
  </si>
  <si>
    <t>Bakes cookies are shown stacked up on a plate.</t>
  </si>
  <si>
    <t>v_P6lwZ6gKvUw</t>
  </si>
  <si>
    <t>A person is seen sitting in a chair and leads into her peeling a potato with a knife.</t>
  </si>
  <si>
    <t>The person then finishes peeling the potatoes and putting it down.</t>
  </si>
  <si>
    <t>v_JV4ss42WZG8</t>
  </si>
  <si>
    <t>A person is seen cutting up various fruits while also seen speaking to the camera.</t>
  </si>
  <si>
    <t>The person mixes various ingredients into a container of water.</t>
  </si>
  <si>
    <t>The person spins around the container in the end.</t>
  </si>
  <si>
    <t>v_vw64k9rIi_g</t>
  </si>
  <si>
    <t>A person's hand washes a grey cat in a white tub of water.</t>
  </si>
  <si>
    <t>A grey cat is sitting in a white tub of clear water, drenched in water.</t>
  </si>
  <si>
    <t>A hand with a tattoo appears and wipes the cat's back with a red cloth.</t>
  </si>
  <si>
    <t>The hand then wipes the cat's neck and the back of its head with the red cloth.</t>
  </si>
  <si>
    <t>The hand, finally, lets the red cloth fall into the water as the hand holds itself up to the cat's nose.</t>
  </si>
  <si>
    <t>v_heLlfK--Bx0</t>
  </si>
  <si>
    <t>A girl is standing with her back turned on a court.</t>
  </si>
  <si>
    <t>She turns, accidentally dropping a rope.</t>
  </si>
  <si>
    <t>She then performs, spinning and jumping with the rope.</t>
  </si>
  <si>
    <t>v_BvACPvbUq1k</t>
  </si>
  <si>
    <t>A person is seen shoveling up some snow with the camera laid on his head.</t>
  </si>
  <si>
    <t>He shows several shots of him shoveling up the snow, a close up of his face, and panning around the area.</t>
  </si>
  <si>
    <t>v_Gpocjp7hSzU</t>
  </si>
  <si>
    <t>A chef shows all the ingredients to do pasta.</t>
  </si>
  <si>
    <t>Then, the chef puts the pasta in hot water, then pours oil in a pan.</t>
  </si>
  <si>
    <t>Next, the chef adds to the pan the garlic, tomatoes, basil, salt, pepper and the cooked pasta and mix.</t>
  </si>
  <si>
    <t>After, the chef adds the parmesan cheese on top the pasta and serves in a dish.</t>
  </si>
  <si>
    <t>The chef put cheese and two green leaves on top the pasta in the dish.</t>
  </si>
  <si>
    <t>v__TeU8A-CGbU</t>
  </si>
  <si>
    <t>A person install a carpet using a machine.</t>
  </si>
  <si>
    <t>The person cuts a piece of stained carpet.</t>
  </si>
  <si>
    <t>Then, the person replace with a new piece and bush.</t>
  </si>
  <si>
    <t>v_cByxAZfw_hM</t>
  </si>
  <si>
    <t>man is running in a race track and make a long jump while people in stands is watching him an clapping.</t>
  </si>
  <si>
    <t>people on side of the racetrack is sitting on a side.</t>
  </si>
  <si>
    <t>v_TGVWaA_xTGE</t>
  </si>
  <si>
    <t>A woman is seen sitting behind a set of bongo drums and playing along while speaking to the camera.</t>
  </si>
  <si>
    <t>The woman continues hitting the drums while speaking to the camera and singing along.</t>
  </si>
  <si>
    <t>v_vvdmMyyAtN0</t>
  </si>
  <si>
    <t>A woman is lying on a bed with her hair spread.</t>
  </si>
  <si>
    <t>There are several images of her from behind with very long hair.</t>
  </si>
  <si>
    <t>We then see numerous images of her with her hair cut off to shoulder length.</t>
  </si>
  <si>
    <t>v_VJyNbaAz6Xs</t>
  </si>
  <si>
    <t>A man in a red coat is outside on a snowboard.</t>
  </si>
  <si>
    <t>He starts going down a course and doing some really cool tricks while moving.</t>
  </si>
  <si>
    <t>Some men are rubbing down their boards and another gets on the field and starts doing some flips and stuff in mid air.</t>
  </si>
  <si>
    <t>These are all pretty experienced people on the boards, they are even boarding through water and having a good time.</t>
  </si>
  <si>
    <t>v_lroya8XhuPs</t>
  </si>
  <si>
    <t>woman is standing talking to the camera holding a microphone and interviewing voleyball players.</t>
  </si>
  <si>
    <t>men are standing in a sandy field being interviewed.</t>
  </si>
  <si>
    <t>men are in sandy field showing he girl how to play beach soccer.</t>
  </si>
  <si>
    <t>woman is sin front of the net talking to the camera.</t>
  </si>
  <si>
    <t>v_dWPlarw_xg8</t>
  </si>
  <si>
    <t>A man gets pumped up to do a long jump then does it.</t>
  </si>
  <si>
    <t>Others go next and try to get the crowd pumped up for their respective long jumps.</t>
  </si>
  <si>
    <t>v_q-RNYziOHjE</t>
  </si>
  <si>
    <t>A black female is talking to the screen with long blonde curly hair and a black sweater.</t>
  </si>
  <si>
    <t>A blow dryer is shown and the lady then begins drying a girl's hair.</t>
  </si>
  <si>
    <t>The girls hair is then shown extremely curly and the young lady has trouble drying her hair.</t>
  </si>
  <si>
    <t>The Red by Kiss blow dryer is shown again and the lady continues drying the young lady's hair.</t>
  </si>
  <si>
    <t>v_Cjq9wf9XnX0</t>
  </si>
  <si>
    <t>man is putting the lifts on a pole.</t>
  </si>
  <si>
    <t>man is standing in middle of a room in a gym lifting weight.</t>
  </si>
  <si>
    <t>a lot of different lifts are stacked in the gym.</t>
  </si>
  <si>
    <t>v_ffWMjZCysO0</t>
  </si>
  <si>
    <t>A person is seen running along the road wearing equipment and speaking to the camera.</t>
  </si>
  <si>
    <t>The man runs around using strings as well as speaking to the camera.</t>
  </si>
  <si>
    <t>The man continues speaking while more shots are shown of him running.</t>
  </si>
  <si>
    <t>v_NttjvRpSdsI</t>
  </si>
  <si>
    <t>People are sitting in stands watching people.</t>
  </si>
  <si>
    <t>The people are in robes.</t>
  </si>
  <si>
    <t>They are doing karate moves on the floor.</t>
  </si>
  <si>
    <t>v_XCXcwMyrqYM</t>
  </si>
  <si>
    <t>A man talks about a bow he is using in front of an open field.</t>
  </si>
  <si>
    <t>The man shows how to use the bow by hitting a target in the field.</t>
  </si>
  <si>
    <t>Several vehicles drive down a road behind the field.</t>
  </si>
  <si>
    <t>Cows graze behind the road.</t>
  </si>
  <si>
    <t>The man hits his last target and walks away.</t>
  </si>
  <si>
    <t>v_JnYteBN2LDI</t>
  </si>
  <si>
    <t>A male bartender stands behind a bar in front of drinks and mixing cups.</t>
  </si>
  <si>
    <t>The man picks up a steel sup and pours its contents of ice into a glass he holds in opposite hand.</t>
  </si>
  <si>
    <t>The man then picks up a small steel shot glass and fills it with liquir.</t>
  </si>
  <si>
    <t>The man then pours the liquir into from the shot glass into the glass cup with ice.</t>
  </si>
  <si>
    <t>The man picks up another glass with red juice inside and pours it into the glass with ice before setting back down.</t>
  </si>
  <si>
    <t>The man pours the cup with all the liquids into a mixing cup then uses it to cap and shake the mixer.</t>
  </si>
  <si>
    <t>The man stops shaking and sepperates the two cups, setting them back on the counter.</t>
  </si>
  <si>
    <t>The man grabs a third empty glass and moves it to the opposite side of the counter.</t>
  </si>
  <si>
    <t>The man picks up the mixer and pours its contents into the empty glass before setting it back down.</t>
  </si>
  <si>
    <t>The man then adds a staw and miniature umbrella into the drink for decoration before holding up the glass.</t>
  </si>
  <si>
    <t>v_NsYBZUTzgDw</t>
  </si>
  <si>
    <t>A woman lifts up a cat from the table and sits down with it in her lap.</t>
  </si>
  <si>
    <t>The woman uses trimming scissors to cut the cats claws.</t>
  </si>
  <si>
    <t>v_43j1BAyP6Q0</t>
  </si>
  <si>
    <t>An unseen person navigates several Amazon dot com pages on exercise equipment.</t>
  </si>
  <si>
    <t>An Amazon page showing an exercise machine alone is shown, followed by another image of a Amazon page showing a woman using an exercise machine along with a price and information about the equipment.</t>
  </si>
  <si>
    <t>Another page showing a eliptical trainer is shown in which an active computer mouse is navigating the review for the item at which point another model elliptical trainer on another page is shown.</t>
  </si>
  <si>
    <t>v_HeHQxObROwQ</t>
  </si>
  <si>
    <t>A woman is spreading shaving cream on another woman's legs.</t>
  </si>
  <si>
    <t>She puts her hands under water and begins to shave the woman's legs for her.</t>
  </si>
  <si>
    <t>She starts from bottom to top of the leg and continues that motion.</t>
  </si>
  <si>
    <t>The video is very unsteady, but the woman continues to shave her friends leg.</t>
  </si>
  <si>
    <t>v_tjuYS-6UC_M</t>
  </si>
  <si>
    <t>A pinata hangs from a tree, as a group of girls stand in front of it.</t>
  </si>
  <si>
    <t>One has a stick and is blindfolded.</t>
  </si>
  <si>
    <t>She hits the pinata, then walks away.</t>
  </si>
  <si>
    <t>v_MGF7I9aCPPM</t>
  </si>
  <si>
    <t>A woman in a pink shirt is riding a cycle bike.</t>
  </si>
  <si>
    <t>She is then doing push ups on the ground.</t>
  </si>
  <si>
    <t>She does sit ups on the ground.</t>
  </si>
  <si>
    <t>v_NnEUVHhtLZs</t>
  </si>
  <si>
    <t>a man is seated, talking to a talk show host.</t>
  </si>
  <si>
    <t>They are animated as they speak to one another.</t>
  </si>
  <si>
    <t>They continue talking, then the host presents the man with a gift.</t>
  </si>
  <si>
    <t>v_zCI36lTmBqY</t>
  </si>
  <si>
    <t>A man is sitting inside on a chair inhaling from a pipe that looked like it was an oboe.</t>
  </si>
  <si>
    <t>He takes the hose out of his mouth and start to exhale forming O's in the air.</t>
  </si>
  <si>
    <t>He starts to blow his smoke in a container and makes some really cool circles i have never seen anything like it.</t>
  </si>
  <si>
    <t>It's pretty cool how he is forming the o's, just relaxing and enjoy simple fun.</t>
  </si>
  <si>
    <t>v_LmWcpkqUurg</t>
  </si>
  <si>
    <t>A man stands at the front of his minivan and shows it.</t>
  </si>
  <si>
    <t>The man leans on the tailgate of his van and shows storage cargo features inside.</t>
  </si>
  <si>
    <t>The man assembles together poles.</t>
  </si>
  <si>
    <t>The man sits in the drivers seat of the van and places the rod frame into a socket and twists it around.</t>
  </si>
  <si>
    <t>The man adjusts the rod and reaches under the van to remove a spare tire.</t>
  </si>
  <si>
    <t>The man removes the spare tire from its enclosure.</t>
  </si>
  <si>
    <t>The man works on installing the new tire.</t>
  </si>
  <si>
    <t>v_Si4_ER4lUME</t>
  </si>
  <si>
    <t>A young woman is seen sitting in a kayak looking to the camera.</t>
  </si>
  <si>
    <t>The girl then begins moving the paddle back and fourth.</t>
  </si>
  <si>
    <t>She pauses her paddling to laugh off into the distance.</t>
  </si>
  <si>
    <t>v_t8_XO-nWaYg</t>
  </si>
  <si>
    <t>There are two teenage boys playing and solving the Rubic's cube.</t>
  </si>
  <si>
    <t>Another small boy comes in there and takes a look at the camera.</t>
  </si>
  <si>
    <t>The teenagers are competing against each other to solve the cube.</t>
  </si>
  <si>
    <t>They both finish almost at the same time and solve the Rubic's cube.</t>
  </si>
  <si>
    <t>They proudly show off their skills in the camera.</t>
  </si>
  <si>
    <t>v_EhxFw5Eb1VE</t>
  </si>
  <si>
    <t>The male athlete is standing by the two poles, raised his arms up, then jumped on the poles with his arms, while under him, a man pull out a red beam.</t>
  </si>
  <si>
    <t>The athlete perform his exhibition on the poles, he stand on his arms while his feet and legs are extended straight up in the air, he turns around, swirl, jumped and twist around then jumped on the mat, standing straight.</t>
  </si>
  <si>
    <t>v_1BfYAuxv6Wk</t>
  </si>
  <si>
    <t>Maria is demonstrating how to make a Nyquil cocktail drink.</t>
  </si>
  <si>
    <t>She shows the ingredients required for the drink.</t>
  </si>
  <si>
    <t>She points to vodka, jagermeister and food coloring.</t>
  </si>
  <si>
    <t>She then takes a shaker and pours and vodka and the jagermeister.</t>
  </si>
  <si>
    <t>Then adds some ice in it and shakes it.</t>
  </si>
  <si>
    <t>She uses a strainer to strain the drink into a cocktail glass and places the glass on the table.</t>
  </si>
  <si>
    <t>v_ueDoskgg2yw</t>
  </si>
  <si>
    <t>There are some men shaving with Gillette shaving gel.</t>
  </si>
  <si>
    <t>There's a model whose face is completely lathered with shaving gel and he is using a blue razor to shave his face.</t>
  </si>
  <si>
    <t>Another male model also has his entire face lathered with shaving gel.</t>
  </si>
  <si>
    <t>He is also shaving his face with a blue razor.</t>
  </si>
  <si>
    <t>He shaves his cheeks and mustache area.</t>
  </si>
  <si>
    <t>He pumps out a small amount gel on his hands.</t>
  </si>
  <si>
    <t>Then shows the difference between regular foam cream and gel shaving cream and continues having.</t>
  </si>
  <si>
    <t>He then poses with a lady model who touches his face to feel his smooth skin.</t>
  </si>
  <si>
    <t>The entire Gillette shaving set is shown.</t>
  </si>
  <si>
    <t>v_sgwg1C3i-Vw</t>
  </si>
  <si>
    <t>An introduction for a canoe sporting brand appears on the screen.</t>
  </si>
  <si>
    <t>Several people are shown preparing to get their canoes into the water on a snowy day.</t>
  </si>
  <si>
    <t>Several other people get off of a bus and head toward the water.</t>
  </si>
  <si>
    <t>People are then shown doing several canoe an skiing training exercises.</t>
  </si>
  <si>
    <t>Then, in the water, people are shown canoeing and having fun.</t>
  </si>
  <si>
    <t>The video ends with the canoesport website displayed.</t>
  </si>
  <si>
    <t>v_v4KygkYPdp0</t>
  </si>
  <si>
    <t>The credits of the clip are shown.</t>
  </si>
  <si>
    <t>A person rests his hands on the top of drums.</t>
  </si>
  <si>
    <t>The person is playing the drums.</t>
  </si>
  <si>
    <t>The person claps their hands.</t>
  </si>
  <si>
    <t>The person puts his fingers together.</t>
  </si>
  <si>
    <t>v_2dFLbFsFyuY</t>
  </si>
  <si>
    <t>A woman holds a yellow ball behind her neck.</t>
  </si>
  <si>
    <t>She turns around and launches the ball onto a field.</t>
  </si>
  <si>
    <t>People run to measure the distance.</t>
  </si>
  <si>
    <t>A man in a red shirt holds a ball behind his neck.</t>
  </si>
  <si>
    <t>He turns around and launches the ball on the field.</t>
  </si>
  <si>
    <t>People run to measure the distance of it.</t>
  </si>
  <si>
    <t>Another woman holds a ball behind her neck.</t>
  </si>
  <si>
    <t>She also turns around and launches the ball onto the field.</t>
  </si>
  <si>
    <t>People then run over to measure the distance.</t>
  </si>
  <si>
    <t>She waves at the crowd.</t>
  </si>
  <si>
    <t>She then throws the ball again.</t>
  </si>
  <si>
    <t>The results then flash on the screen.</t>
  </si>
  <si>
    <t>v_zDPsJ3ECaTI</t>
  </si>
  <si>
    <t>An intro starts and begins showing a group of people.</t>
  </si>
  <si>
    <t>Various people perform a dance routine together with an instructor performing front and center.</t>
  </si>
  <si>
    <t>The routine continues with the people and instructor moving around with their arms and legs doing various movements to music.</t>
  </si>
  <si>
    <t>v_t3zAh4NBVko</t>
  </si>
  <si>
    <t>A boy and a girl are sitting behind a table.</t>
  </si>
  <si>
    <t>They begin to arm wrestle on the table.</t>
  </si>
  <si>
    <t>The man wins and smiles.</t>
  </si>
  <si>
    <t>v_mn1ozn0j7D8</t>
  </si>
  <si>
    <t>We see a couple opening title screens.</t>
  </si>
  <si>
    <t>A man is shaving with a straight razor.</t>
  </si>
  <si>
    <t>We see the man behind him and the men hug and talk.</t>
  </si>
  <si>
    <t>The man returns to shaving his face.</t>
  </si>
  <si>
    <t>We see the man in the rear again.</t>
  </si>
  <si>
    <t>The shaving man talks and we see the ending title screens.</t>
  </si>
  <si>
    <t>v_oG4zf8dAQKw</t>
  </si>
  <si>
    <t>A close up of products are shown followed by a woman open the package in front of a mirror.</t>
  </si>
  <si>
    <t>The woman puts the package into her mouth, swishes it around, then spits it out.</t>
  </si>
  <si>
    <t>v_OBbHkBVDX8Y</t>
  </si>
  <si>
    <t>A man is seen standing on stage holding an instruments in his hands.</t>
  </si>
  <si>
    <t>He then picks up the instrument and begins playing on stage.</t>
  </si>
  <si>
    <t>The man continues to play and ends looking away.</t>
  </si>
  <si>
    <t>v_jlqC3lFqxhQ</t>
  </si>
  <si>
    <t>The video begins with a backdrop of a snowy area and introduces the names of the people in the video and that it's the "Wisp Snowboard Trip 2014.</t>
  </si>
  <si>
    <t>The video then goes into numerous various different segments of a bunch of different people snowboarding while doing tricks either in the daytime or nighttime and at various different locations.</t>
  </si>
  <si>
    <t>The outro goes to gray and then fade to black.</t>
  </si>
  <si>
    <t>v_ZJCbT3300OA</t>
  </si>
  <si>
    <t>A large intertube is shown on the screen.</t>
  </si>
  <si>
    <t>A bunch of sledders get on the tubes.</t>
  </si>
  <si>
    <t>They ride them down a steep hill together.</t>
  </si>
  <si>
    <t>v_QxsELAtsSWE</t>
  </si>
  <si>
    <t>A female news anchor introduces a story.</t>
  </si>
  <si>
    <t>A female news reporter speaks to a fitness instructor inside a gym, where cyclists are riding fitness bikes.</t>
  </si>
  <si>
    <t>Exercises such as yoga and bicycling are demonstrated by those in the gym.</t>
  </si>
  <si>
    <t>The female news reporter continues talking to the fitness instructor.</t>
  </si>
  <si>
    <t>She speaks to the anchor back in the studio.</t>
  </si>
  <si>
    <t>v_eL0LrJio1XE</t>
  </si>
  <si>
    <t>A bike stands on a bumpy unpaved road.</t>
  </si>
  <si>
    <t>People rides bikes very fast in the road and giving high jumps when passing the bumpy part of the road.</t>
  </si>
  <si>
    <t>The shadows of a biker cast on the bumpy road.</t>
  </si>
  <si>
    <t>v_iM-HdlplAhw</t>
  </si>
  <si>
    <t>A child is seen handing onto a set of monkey bars while children running around.</t>
  </si>
  <si>
    <t>The girl then begins climbing across the set of monkey bars.</t>
  </si>
  <si>
    <t>She climbs all the way to the end and jumps off the side.</t>
  </si>
  <si>
    <t>v_CNH37tJNzFE</t>
  </si>
  <si>
    <t>A close up of a gear shaft is seen following by someone opening a trunk and pulling a tire out.</t>
  </si>
  <si>
    <t>The person puts a jack under the car and begins unscrewing the tire and taking it off.</t>
  </si>
  <si>
    <t>The person puts a new tire on and screws it in place while taking off the jack and putting the hubcap back on.</t>
  </si>
  <si>
    <t>v_DLJqhYP-C0k</t>
  </si>
  <si>
    <t>The opening credits are shown for a video about bowling.</t>
  </si>
  <si>
    <t>The video then shows several bowlers doing bowling tricks at a bowling alley.</t>
  </si>
  <si>
    <t>A credit comes onto the screen introducing the grad finale trick.</t>
  </si>
  <si>
    <t>A man throws the ball and simultaneously throws himself down the alley as well.</t>
  </si>
  <si>
    <t>The closing credits then com onto the screen to end the video.</t>
  </si>
  <si>
    <t>v_nMTyJxJIZUs</t>
  </si>
  <si>
    <t>A small child paints another individual's fingernails.</t>
  </si>
  <si>
    <t>The other individual examines the nails.</t>
  </si>
  <si>
    <t>v_rt1kYX3slRI</t>
  </si>
  <si>
    <t>A man mounts a beam in front of a crowd.</t>
  </si>
  <si>
    <t>The gymnast begins to drop, lift, hold, and spin in circles on the high beams for the crowd.</t>
  </si>
  <si>
    <t>He dismounts gracefully, raising his arms to the crowd before walking away.</t>
  </si>
  <si>
    <t>v_Cy56IkwsQVs</t>
  </si>
  <si>
    <t>Several young people, talk and laugh while standing around a table covered in beer cans and blue plastic cups.</t>
  </si>
  <si>
    <t>A young man stands around a table in a room talking to two two women and some more men, occasionally laughing and smiling.</t>
  </si>
  <si>
    <t>A small white balls is thrown across the table as the people attempt to throw the balls in the blue cups from across the table.</t>
  </si>
  <si>
    <t>In the final moments of the clip a ball flies across the table and the men react in a triumphant way throwing their arms in the air in celebration.</t>
  </si>
  <si>
    <t>v_Sw7iRtHxMSs</t>
  </si>
  <si>
    <t>A group of young men poses and goofs around in front of a table full of red cups.</t>
  </si>
  <si>
    <t>A young man in black puts two shot glasses down on the table.</t>
  </si>
  <si>
    <t>Another group of young men sit in chairs outside.</t>
  </si>
  <si>
    <t>A young man in grey bounces a ball on the table and in to one of the cups and celebrates with the young man next to him.</t>
  </si>
  <si>
    <t>A young man in black bounces a ball toward the cups but misses.</t>
  </si>
  <si>
    <t>Another man holds his hand up next to the cups.</t>
  </si>
  <si>
    <t>The two men that bounced the balls at the cups clink the shot glasses together and then drink the shot.</t>
  </si>
  <si>
    <t>A young man in black pats the back of the young man in grey.</t>
  </si>
  <si>
    <t>The young man in grey drinks from one of the red cups on the table while the young man in black pretends to punch him.</t>
  </si>
  <si>
    <t>Another young man rearranges the remaining cups on the table.</t>
  </si>
  <si>
    <t>The young man in grey and the young man in black fist bump.</t>
  </si>
  <si>
    <t>v_3gsF785TAmg</t>
  </si>
  <si>
    <t>A game of volleyball is being played between blue and yellow team.</t>
  </si>
  <si>
    <t>The yellow team servies the ball and it is hit continually back and forth until the yellow team scores a point.</t>
  </si>
  <si>
    <t>A player on the yellow team falls and the players on each team assist her.</t>
  </si>
  <si>
    <t>They take her shoe and sock off and massage her leg.</t>
  </si>
  <si>
    <t>Two people proceed to pick her up with the help of a third and take her off the court and lay her down to the side to continue care.</t>
  </si>
  <si>
    <t>v_awv0jtZpeoo</t>
  </si>
  <si>
    <t>A man in a red shirt is working out an an exercise machine.</t>
  </si>
  <si>
    <t>A woman in a purple shirt walks behind him.</t>
  </si>
  <si>
    <t>Two people are talking to each other behind him.</t>
  </si>
  <si>
    <t>v_0QyHaXliXKs</t>
  </si>
  <si>
    <t>A large group of people are seen holding up flags and walking in a circle while many others watch on the sides.</t>
  </si>
  <si>
    <t>Two people are then seen walking up to the circle and lead into a wrestling match between the two.</t>
  </si>
  <si>
    <t>One man bows to the other and the winner walks away from the stage.</t>
  </si>
  <si>
    <t>v_ak8MVjE2p3Y</t>
  </si>
  <si>
    <t>There's a man sitting on a busy city street wearing a turban and smoking a cigarette.</t>
  </si>
  <si>
    <t>There are several people walking past him.</t>
  </si>
  <si>
    <t>He continues to smoke the cigarette as he inhales and exhales the smoke.</t>
  </si>
  <si>
    <t>There is a lot of traffic on the street as well as many people walking on the street.</t>
  </si>
  <si>
    <t>v_CvhSPJ0sBCk</t>
  </si>
  <si>
    <t>Two people are shown parasailing together across ocean water.</t>
  </si>
  <si>
    <t>They move their sails around as they go.</t>
  </si>
  <si>
    <t>v_iDz8nKDpumY</t>
  </si>
  <si>
    <t>Two people are seen riding on skis behind a boat with one person having a child on their shoulders.</t>
  </si>
  <si>
    <t>The people all hang onto one another while the young child climbs on top of them and falls off in the end.</t>
  </si>
  <si>
    <t>v_OH5UXwa3F7E</t>
  </si>
  <si>
    <t>We see an opening screen and a man runs and does a high jump at fifteen feet.</t>
  </si>
  <si>
    <t>We see a man jump the high jump on a track at various height with lots of cut scenes.</t>
  </si>
  <si>
    <t>We see seventeen and a still of the man.</t>
  </si>
  <si>
    <t>We see fifteen nine scroll across the screen.</t>
  </si>
  <si>
    <t>We see a series of still of the man and sixteen six.</t>
  </si>
  <si>
    <t>Seventeen two scrolls across the screen.</t>
  </si>
  <si>
    <t>We see seventeen nine scroll across the screen.</t>
  </si>
  <si>
    <t>We then see the ending credits.</t>
  </si>
  <si>
    <t>v_iGuOr5KwLQ0</t>
  </si>
  <si>
    <t>A man in a toga skates on rollerblades in a parking lot.</t>
  </si>
  <si>
    <t>A person holding a camera is standing to the side watching the man on rollerblades.</t>
  </si>
  <si>
    <t>v_dvzwVrZkDiI</t>
  </si>
  <si>
    <t>A small child is seen looking up at the camera holding a coffee cup.</t>
  </si>
  <si>
    <t>The girl takes a drink out of the cup and puts it back down.</t>
  </si>
  <si>
    <t>She continues drinking out of the container and looks up to the camera.</t>
  </si>
  <si>
    <t>v_ITyNMYw_pxc</t>
  </si>
  <si>
    <t>Two men are seen standing before a game of darts and begin throwing darts onto the board.</t>
  </si>
  <si>
    <t>The men look back and laugh with one another while still playing.</t>
  </si>
  <si>
    <t>The continue to play with others around them and end by shaking hands with another.</t>
  </si>
  <si>
    <t>v_lVXgy-JU14Q</t>
  </si>
  <si>
    <t>The woman in black uniform threw the javelin ball.</t>
  </si>
  <si>
    <t>The small woman with yellow shirt and black sleeves threw the ball.</t>
  </si>
  <si>
    <t>The woman in white shirt and black pants stretched for a bit then threw the ball.</t>
  </si>
  <si>
    <t>The athletes one by one threw the javelin ball while on the sides are people who measures how far the it was thrown.</t>
  </si>
  <si>
    <t>v_my4UPLGI6w4</t>
  </si>
  <si>
    <t>There's a man coming out of his garage with an electrical leaf blower.</t>
  </si>
  <si>
    <t>He begins blowing the leaves off of his yard for fall cleanup.</t>
  </si>
  <si>
    <t>He walks around his yard with the blower as he cleans the leaves.</t>
  </si>
  <si>
    <t>v_NRdxsuSCJyM</t>
  </si>
  <si>
    <t>A scuba diver holds onto a rock as he throws a peace sign in the air.</t>
  </si>
  <si>
    <t>The man lets go of the rock and puts up two peace signs in the air.</t>
  </si>
  <si>
    <t>The man fixes his snorkel and goggles.</t>
  </si>
  <si>
    <t>v_kMsWDe0V1Xg</t>
  </si>
  <si>
    <t>Blue lights light up a stage.</t>
  </si>
  <si>
    <t>A man's silhouette is visible and we see the arena in blue light.</t>
  </si>
  <si>
    <t>The man on stage plays lit in a red light.</t>
  </si>
  <si>
    <t>We see the arena in blue and the sax player in red.</t>
  </si>
  <si>
    <t>We see another member of the band.</t>
  </si>
  <si>
    <t>We see the man on the saxophone playing close and far.</t>
  </si>
  <si>
    <t>We see the whole arena and the man playing close.</t>
  </si>
  <si>
    <t>We pan from the man out to the audience.</t>
  </si>
  <si>
    <t>v_x4DuEusRR7Q</t>
  </si>
  <si>
    <t>A person is seen swimming the depths of a pool floor.</t>
  </si>
  <si>
    <t>The man comes up before the camera, his face showing.</t>
  </si>
  <si>
    <t>He then swims slowly back toward the surface.</t>
  </si>
  <si>
    <t>v_Ufm19cvrxGs</t>
  </si>
  <si>
    <t>A set of instruction is seen with diagrams.</t>
  </si>
  <si>
    <t>A man uses a tool to repair individual links of a bike chain.</t>
  </si>
  <si>
    <t>The bike chain is fastened back together on the bike gears using a specialized tool.</t>
  </si>
  <si>
    <t>The person inspects the newly replaced chain by hand.</t>
  </si>
  <si>
    <t>The person points to different areas on the bike gearing with the bike on the rack after the job is complete.</t>
  </si>
  <si>
    <t>v_uz4Tb2RG1tY</t>
  </si>
  <si>
    <t>A chef is seen speaking to the camera holding up a knife as well as a sharpener.</t>
  </si>
  <si>
    <t>The man then sharpens the knife on a board on the table as well as on the sharpener.</t>
  </si>
  <si>
    <t>v_M_LSDRzVN38</t>
  </si>
  <si>
    <t>A blindfolded young woman swings a stick around wildly as a man holds a piñata high above her head on a string at a birthday party.</t>
  </si>
  <si>
    <t>Then woman swings a few more times as the man brings the piñata up and down with the attached string and as she does this knocks a piece of the piñata off and a few kids gather round her to see if any candy fell out.</t>
  </si>
  <si>
    <t>The woman feels for the piñata a few times with the stick, but does not swing as kids continue to look up in amazement.</t>
  </si>
  <si>
    <t>v_dFSGN8U8EnA</t>
  </si>
  <si>
    <t>Various shots are shown of women putting lotion on themselves on a beach while the camera pans around from several sides.</t>
  </si>
  <si>
    <t>More shots are shown of women in various angles rubbing lotion all over their bodies and looking off into the distance seductively.</t>
  </si>
  <si>
    <t>v_1fF1OQtpctg</t>
  </si>
  <si>
    <t>A cheer-leading team begins to hold up posters as their mascot runs behind them.</t>
  </si>
  <si>
    <t>They then begin to do a routine and some of the girls run with streamers as the rest of them hold up the girls for their stunt.</t>
  </si>
  <si>
    <t>The stunt is finished and the retreat back to their original position and begin doing cartwheels and other tricks and stunts along with their mascot.</t>
  </si>
  <si>
    <t>As the routine continues,more stunts are performed and the Tiger mascot continues to cheer with the girls.</t>
  </si>
  <si>
    <t>v_SnBTp7iV2kE</t>
  </si>
  <si>
    <t>A boy and a man take turns playing billiards while a crowd watches.</t>
  </si>
  <si>
    <t>The man wipes his face with a towel.</t>
  </si>
  <si>
    <t>The boy wins and the crowd cheers.</t>
  </si>
  <si>
    <t>Several men pick up the boy in celebration.</t>
  </si>
  <si>
    <t>The winning shot is replayed in slow motion.</t>
  </si>
  <si>
    <t>v_OqajYZVt1Wc</t>
  </si>
  <si>
    <t>A women is seen holding a thread of string in her hands and begins knitting the string with her hands.</t>
  </si>
  <si>
    <t>She continues threading the string with her hands and ends by holding the thread up to show.</t>
  </si>
  <si>
    <t>v_xlTKV-3QSW8</t>
  </si>
  <si>
    <t>A man sitting in a raft in water talks to the camera.</t>
  </si>
  <si>
    <t>The man demonstrates techniques while talking to the camera.</t>
  </si>
  <si>
    <t>The man rafts downstream while paddling.</t>
  </si>
  <si>
    <t>v_62h9hnNTKWM</t>
  </si>
  <si>
    <t>Alexandra Raisman from Massachusetts is seen wearing purple leotards, getting ready to do gymnastics on the horse bar.</t>
  </si>
  <si>
    <t>She jumps right onto the horse bar and does some front and back flips.</t>
  </si>
  <si>
    <t>Then she does some back hand springs on the horse bar.</t>
  </si>
  <si>
    <t>she swiftly jumps on the horse bar while maintaining complete control over body and balance.</t>
  </si>
  <si>
    <t>She does a final back flip and a front flip and then, gets off the horse bar.</t>
  </si>
  <si>
    <t>The spectators cheer for her as she walks away.</t>
  </si>
  <si>
    <t>v_bQ3yPbCICRg</t>
  </si>
  <si>
    <t>A man is seen bending over a bang in the middle of drummers.</t>
  </si>
  <si>
    <t>The people hit the drums continuously while the camera pans around.</t>
  </si>
  <si>
    <t>The men drum while the camera pans around them.</t>
  </si>
  <si>
    <t>v_4innF37ifyY</t>
  </si>
  <si>
    <t>A news man is speaking in front of a group of people.</t>
  </si>
  <si>
    <t>A man is shown on a diving board high atop a cliff.</t>
  </si>
  <si>
    <t>He dives, jumping into the shallow waters below.</t>
  </si>
  <si>
    <t>v_4fEY6zIq8bQ</t>
  </si>
  <si>
    <t>The man is plastering the wall.</t>
  </si>
  <si>
    <t>The man bend over then continue to plaster the wall.</t>
  </si>
  <si>
    <t>The man cover the wall with pink plaster until the whole wall is covered.</t>
  </si>
  <si>
    <t>v_Launtf-qjDM</t>
  </si>
  <si>
    <t>A man with a orange shirt and blue gloves is shown operating a fire torch machine.</t>
  </si>
  <si>
    <t>Two more people are shown and and a close up is pictured.</t>
  </si>
  <si>
    <t>Lastly,the camera pans out on a man standing up torching away at a machine.</t>
  </si>
  <si>
    <t>v_bY0bGFJ-k1U</t>
  </si>
  <si>
    <t>A close up of a hand is seen that pans out to a man putting gloves on.</t>
  </si>
  <si>
    <t>The man then assembles a torch and begins burning a piece of metal in front of him.</t>
  </si>
  <si>
    <t>The man continues to work and hammer objects as well as sand it on the side.</t>
  </si>
  <si>
    <t>v_eW5W8dVB_I4</t>
  </si>
  <si>
    <t>Two men are standing on the side of the court holding basketball.</t>
  </si>
  <si>
    <t>The men are giving interview, talking to the camera, while one man is talking the other man is listening, then vice versa.</t>
  </si>
  <si>
    <t>The man went to the basket dribble to the ball, the men ran to the basket and shot the ball.</t>
  </si>
  <si>
    <t>v_G5mKcPzVMG4</t>
  </si>
  <si>
    <t>A man in gray shirt and cap is sitting next to a boat motor, while behind him is a woman riding a surfboard, and holding a harness attached to the boat.</t>
  </si>
  <si>
    <t>As the woman moving the dolphins started to swim with her, the dolphins' fins are visible as they swim up and down.</t>
  </si>
  <si>
    <t>v_ITGlho0dw-k</t>
  </si>
  <si>
    <t>We see an opening title screen.</t>
  </si>
  <si>
    <t>We see a lady putting sunscreen on in a bathroom and on the beach.</t>
  </si>
  <si>
    <t>We see a title screen and see the lady buy her sunscreen and another title screen.</t>
  </si>
  <si>
    <t>The lady throws a way a bottle and looks on her phone before going to the bathroom and putting sunscreen on.</t>
  </si>
  <si>
    <t>We see a title screen and the lady applies sunscreen and a friend puts some on her back.</t>
  </si>
  <si>
    <t>The lady puts on sunscreen on the beach and her friend run on the beach.</t>
  </si>
  <si>
    <t>We see a title screen and the ending screen.</t>
  </si>
  <si>
    <t>v_YizcSEo0bTo</t>
  </si>
  <si>
    <t>A group of kids are inside a building.</t>
  </si>
  <si>
    <t>They are all riding bumper cars around a track.</t>
  </si>
  <si>
    <t>They bump and slam into each other.</t>
  </si>
  <si>
    <t>v_44r5SAczrOg</t>
  </si>
  <si>
    <t>A person is solving a cube puzzle spinning the pieces to match the colors.</t>
  </si>
  <si>
    <t>When, the person match all the color, points the table and puts the cube puzzle on it.</t>
  </si>
  <si>
    <t>v_KpOSIph2hHw</t>
  </si>
  <si>
    <t>We see a GoPro opening screen.</t>
  </si>
  <si>
    <t>We see a lady walking with a raft into a river.</t>
  </si>
  <si>
    <t>We see people riding rafts in the river.</t>
  </si>
  <si>
    <t>We see a mans's legs and the lady rides past.</t>
  </si>
  <si>
    <t>We see the lady handing a beverage in a can to the cameraman.</t>
  </si>
  <si>
    <t>The cameraman goes under a branch that is across the water.</t>
  </si>
  <si>
    <t>We then see the GoPro ending scene.</t>
  </si>
  <si>
    <t>v_fHEUdQY1cdc</t>
  </si>
  <si>
    <t>Several people are seen running down the road around a bull with some holding sticks in their hands.</t>
  </si>
  <si>
    <t>The people crowd around the bull waving sticks and follow the bull around as he gets angry.</t>
  </si>
  <si>
    <t>Another bull is shown and the two fight while the people stand and cheer on the sides.</t>
  </si>
  <si>
    <t>v_8i2lkdpB2w0</t>
  </si>
  <si>
    <t>People are sitting in row boats in the water.</t>
  </si>
  <si>
    <t>A man is standing up in a red row boat.</t>
  </si>
  <si>
    <t>A boat flips over and the camera goes into the water.</t>
  </si>
  <si>
    <t>Two people standing on a dock lift their boat out of the water.</t>
  </si>
  <si>
    <t>v_QlCA9f1WD84</t>
  </si>
  <si>
    <t>A painter applies plaster to a wall using a wide flat edge tool.</t>
  </si>
  <si>
    <t>The man moves electrical wire handing on the while to plaster around it.</t>
  </si>
  <si>
    <t>Other rooms of the house are seen in different stages of completeness.</t>
  </si>
  <si>
    <t>v_2yjRePOzYq4</t>
  </si>
  <si>
    <t>A man skips on a truck signed with white lines, when he arrives to the third line jumps high and lands in the sandbox.</t>
  </si>
  <si>
    <t>The playback of a man performing long jump is show several times.</t>
  </si>
  <si>
    <t>v_3l7quTy4c2s</t>
  </si>
  <si>
    <t>A cheerleader girl stands in the grass.</t>
  </si>
  <si>
    <t>A young man wearing baseball hat greats her with a pie tin and jokes with her.</t>
  </si>
  <si>
    <t>The man pushes a pie tin in the girls face as a joke getting her very messy.</t>
  </si>
  <si>
    <t>A girl in gymnastics class does tumbling down a red mat with team looking on.</t>
  </si>
  <si>
    <t>A woman cheerleader boxes with a mascot during a football game.</t>
  </si>
  <si>
    <t>The mascot engulfs the girl and pulls her into his uniform.</t>
  </si>
  <si>
    <t>A cheer leading group comes together in a circle holding hands and flip team members when one falls to the ground.</t>
  </si>
  <si>
    <t>A group of cheerleaders in black to back flips on a track of football field.</t>
  </si>
  <si>
    <t>A group of girls hoist up[ a teammate to do a human pyramid.</t>
  </si>
  <si>
    <t>The teammate falls to the ground and lands on top of others.</t>
  </si>
  <si>
    <t>A man in Hawaiian shirt sets up a trampoline during a basketball competition.</t>
  </si>
  <si>
    <t>A group of cheerleaders hold up a woman together in front of the trampoline.</t>
  </si>
  <si>
    <t>The man comes back running and jumps on the trampoline but knocks the girl over while performing his stunt.</t>
  </si>
  <si>
    <t>A group of cheerleaders in red do somersaults on the field when one falls down.</t>
  </si>
  <si>
    <t>A cheerleader girl in black does a back hand spring and falls to the ground.</t>
  </si>
  <si>
    <t>A group of cheerleaders dance together with pom poms.</t>
  </si>
  <si>
    <t>Another group of cheerleaders in the background lift up teammates when one falls over.</t>
  </si>
  <si>
    <t>A group of cheerleaders in blue lift up teammates in competition when one falls to the ground.</t>
  </si>
  <si>
    <t>A girl in white shirt talks to the camera.</t>
  </si>
  <si>
    <t>the girl does a summersault but falls to the ground.</t>
  </si>
  <si>
    <t>A girl in green shirt with friends does a high kick on a field but falls to the ground.</t>
  </si>
  <si>
    <t>A cheerleader falls to the ground while dancing with group.</t>
  </si>
  <si>
    <t>A cheerleader is lifted up into the hands of team when she falls to the ground.</t>
  </si>
  <si>
    <t>A group of cheerleaders in yellow lift temmate in a pyramid but drop her.</t>
  </si>
  <si>
    <t>A group of women jump from a trampoline and do slam dunks during basketball competition.</t>
  </si>
  <si>
    <t>One girl misses the trampoline and runs into the mat.</t>
  </si>
  <si>
    <t>Men from the basketball team rush over to check on her.</t>
  </si>
  <si>
    <t>v_UF2v4emX7rc</t>
  </si>
  <si>
    <t>A group of men in masks are gathered around targets.</t>
  </si>
  <si>
    <t>They are holding paint guns as they run across the field.</t>
  </si>
  <si>
    <t>They hide behind obstacles, shooting at each other.</t>
  </si>
  <si>
    <t>v_nKnsvy7-wAI</t>
  </si>
  <si>
    <t>A man is seen running down the street holding a box and speaking to another.</t>
  </si>
  <si>
    <t>The man then plays a game with a small girl and bows after each game.</t>
  </si>
  <si>
    <t>The two continue to play with the man laughing at the camera and him giving her a kiss in the end.</t>
  </si>
  <si>
    <t>v_8vcO5DRxP6c</t>
  </si>
  <si>
    <t>A man picks up a ball and puts it behind his neck and throws it onto the field.</t>
  </si>
  <si>
    <t>Another man in a blue shirt picks up a ball and puts it behind his ear and throws it onto the field.</t>
  </si>
  <si>
    <t>People measure the distance on the field.</t>
  </si>
  <si>
    <t>The man puts on a white t shirt and puts his arms in the air.</t>
  </si>
  <si>
    <t>Another man launches a ball onto the field.</t>
  </si>
  <si>
    <t>v_YZJghuPmff8</t>
  </si>
  <si>
    <t>A woman holds the back section of a girls hair while she gets ready to style it.</t>
  </si>
  <si>
    <t>The woman uses a single pick comb to separate strands of hair.</t>
  </si>
  <si>
    <t>The woman clips back sections of hair.</t>
  </si>
  <si>
    <t>The woman pulls on strands of hairs to get them straightened out.</t>
  </si>
  <si>
    <t>The woman braids them the strands of hair together.</t>
  </si>
  <si>
    <t>v_ol4ScGsyhbI</t>
  </si>
  <si>
    <t>An image is shown of a man posing with trophies and flexing his biceps.</t>
  </si>
  <si>
    <t>The images cut to videos, as he wins multiple arm wrestling matches and trophies.</t>
  </si>
  <si>
    <t>In the final scenes, a vast audience talks as they watch him win yet again.</t>
  </si>
  <si>
    <t>v_wZ-teiWX4mg</t>
  </si>
  <si>
    <t>man is standing in an ice rink practicing hockey.</t>
  </si>
  <si>
    <t>man is putting hockey uniform.</t>
  </si>
  <si>
    <t>v_i1llwxnI_Vo</t>
  </si>
  <si>
    <t>There are several people gathered on the street where live music is playing.</t>
  </si>
  <si>
    <t>There are couples dancing together to the music doing the Salsa style of dance.</t>
  </si>
  <si>
    <t>There are many restaurants and stores in that town square where people are gathered to see the couples dance.</t>
  </si>
  <si>
    <t>Some of the bystanders are video taping the dancers.</t>
  </si>
  <si>
    <t>The couples continue to dance till the music ends.</t>
  </si>
  <si>
    <t>One guy kisses his girlfriend on the cheek after the dance is over.</t>
  </si>
  <si>
    <t>v_8eDJXDetgGE</t>
  </si>
  <si>
    <t>A man is seen holding a stick up and leads into clips of men playing field hockey.</t>
  </si>
  <si>
    <t>Men are seen running up and down a field chasing after a ball and scoring a goal.</t>
  </si>
  <si>
    <t>Several clips are shown of people playing this game as well as celebrating with team mates.</t>
  </si>
  <si>
    <t>v_W3fKTlm1BPs</t>
  </si>
  <si>
    <t>An intro leads into a camera following around a lacrosse match and pausing to show off players movements.</t>
  </si>
  <si>
    <t>The game continues on as the people play and run around chasing a ball.</t>
  </si>
  <si>
    <t>v_j-qAgWm_Ylw</t>
  </si>
  <si>
    <t>The man in stripes shirt ran to the narrow path and hopped and jumped on the sandy ground.</t>
  </si>
  <si>
    <t>The men are jumped one by one on the sandy ground while a man and woman are holding a rake and smoothen the ground.</t>
  </si>
  <si>
    <t>Two people are holding a tape measure and measure the jump.</t>
  </si>
  <si>
    <t>v_grroBKRxAMY</t>
  </si>
  <si>
    <t>Words are shown on the screen.</t>
  </si>
  <si>
    <t>A man is talking while standing outside in front of a hill.</t>
  </si>
  <si>
    <t>The man is holding a shovel standing in front of a small tree.</t>
  </si>
  <si>
    <t>The man continues talking and then shovels out some weeds and dirt around the tree.</t>
  </si>
  <si>
    <t>He picks up rocks from around the tree.</t>
  </si>
  <si>
    <t>There is a white bucket in front of him of bark that he puts around the tree.</t>
  </si>
  <si>
    <t>v_v_UmAH95xls</t>
  </si>
  <si>
    <t>Two girls are sitting on the porch of a house while shaving their legs.</t>
  </si>
  <si>
    <t>A boy walks out and looks before walking away.</t>
  </si>
  <si>
    <t>The girls continue soaping up and shaving.</t>
  </si>
  <si>
    <t>v_aA6Bchzww4Y</t>
  </si>
  <si>
    <t>A man uses a mallet to chip ice off of a car while it is snowing outside and a man videos him from behind.</t>
  </si>
  <si>
    <t>A man in a black winter coat and gloves uses a mallet to chip ice off of an ice covered car in the snow.</t>
  </si>
  <si>
    <t>The man then takes his car keys and tries to open the trunk which is frozen and requires tugging to open.</t>
  </si>
  <si>
    <t>The man continues to slam at the ice on the car with the mallet as the ice chips off in chunks.</t>
  </si>
  <si>
    <t>The man tries to open his trunk again, this time the opening is easier and the man climbs into the trunk of the car to the front of the car to open the drivers door from the inside drivers seat.</t>
  </si>
  <si>
    <t>v_nrC41oAR-F0</t>
  </si>
  <si>
    <t>A large mat is seen with a bar on top and two people watching on the sides.</t>
  </si>
  <si>
    <t>A man is then seen running in from the side.</t>
  </si>
  <si>
    <t>The man jumps over the beam and stands up on the mat.</t>
  </si>
  <si>
    <t>v_o9gsbkp135s</t>
  </si>
  <si>
    <t>A person is shown outside brushing snow off of a car with lights on.</t>
  </si>
  <si>
    <t>The man walks around the car pushing more of the snow off and shutting the door.</t>
  </si>
  <si>
    <t>v_5MjAgMF_FzA</t>
  </si>
  <si>
    <t>A black screen with a white title appears.</t>
  </si>
  <si>
    <t>A cook is in front of a professional stove putting seasoning into a metal pan and warming a pan over a gas lit blue flame.</t>
  </si>
  <si>
    <t>The cook now scoops a large portion of mixed egg from a large metal pot into the small metal pan.</t>
  </si>
  <si>
    <t>He begins to whisk the egg mixture with two wooden sticks, holding the pan over the burner.</t>
  </si>
  <si>
    <t>When the egg is almost fully cooked, the man begins to shape the egg inside of the pan with the wooden sticks in the shape of an omelet.</t>
  </si>
  <si>
    <t>He rolls the omelet back and forth in the pan.</t>
  </si>
  <si>
    <t>End black screen and a blue word.</t>
  </si>
  <si>
    <t>v_feio1hW6Dy0</t>
  </si>
  <si>
    <t>A close up of ballet shoes are shown followed by a woman putting them on and moving around in a bedroom.</t>
  </si>
  <si>
    <t>She moves her arms and feet in the point shoes and whips her hair all around the room.</t>
  </si>
  <si>
    <t>v_3VzXH3o88mw</t>
  </si>
  <si>
    <t>A person is seen mixing various ingredients into a blender as well as rolling rough up into a ball and speaking to the camera.</t>
  </si>
  <si>
    <t>The man speaks to other chefs and instructs them on how to roll a ball of rough.</t>
  </si>
  <si>
    <t>He then puts the dough in a machine to make spaghetti and then puts them in a plate to present.</t>
  </si>
  <si>
    <t>v_HNBiW2Nq318</t>
  </si>
  <si>
    <t>A person is seen bending forward on a gymnastics beam while moving his hands up to keep balance.</t>
  </si>
  <si>
    <t>The man then attempts a flip but lands on his stomach and falls off, walking away in pain and his jump shown again in slow motion.</t>
  </si>
  <si>
    <t>v_USoYnMSrWv0</t>
  </si>
  <si>
    <t>Four people play Foosball at a Foosball table.</t>
  </si>
  <si>
    <t>One of the girls playing pulls an arm out of place on the table.</t>
  </si>
  <si>
    <t>The same girl reaches across the table to control an arm on the other side.</t>
  </si>
  <si>
    <t>The girl on the other side tries to stop her.</t>
  </si>
  <si>
    <t>A fifth person sits in a chair watching.</t>
  </si>
  <si>
    <t>v_JKFxKhCQPUs</t>
  </si>
  <si>
    <t>A male gymnast wearing a blue leotard is doing gymnastics on a horse bar.</t>
  </si>
  <si>
    <t>He is performing in an indoor stadium full of spectators.</t>
  </si>
  <si>
    <t>He continues to excel in doing his moves steadily on the horse bar.</t>
  </si>
  <si>
    <t>After he's done, he gets off the bar and one of the coaches hugs him as the crowd cheers for him.</t>
  </si>
  <si>
    <t>v__ekWWP0dQZM</t>
  </si>
  <si>
    <t>A ballerina is shown in class warming up her feet and walking away crying.</t>
  </si>
  <si>
    <t>Various actors talk to the camera about filming a movie about ballet and the moves they learned.</t>
  </si>
  <si>
    <t>The ballerinas are moving around the set while the camera is rolling.</t>
  </si>
  <si>
    <t>The actors continue talking about tricks and what they learned.</t>
  </si>
  <si>
    <t>A man plays the violin while the final scene is filmed and everyone is dancing.</t>
  </si>
  <si>
    <t>v_X5Bxa0OvdwI</t>
  </si>
  <si>
    <t>Various items are shown on a floor and leads into a woman holding up the products and speaking to the camera.</t>
  </si>
  <si>
    <t>She holds up her shoe and lights a match over the polish.</t>
  </si>
  <si>
    <t>She then takes a rag and runs over the boot with the polish in small circles.</t>
  </si>
  <si>
    <t>v_kdRcWkrZRZo</t>
  </si>
  <si>
    <t>A still picture of an individual's back is shown.</t>
  </si>
  <si>
    <t>Some sort of item is shown in close up.</t>
  </si>
  <si>
    <t>A man and a woman talk to the camera in a newscast setting.</t>
  </si>
  <si>
    <t>Scenes of summer beach goers are shown in a news report context.</t>
  </si>
  <si>
    <t>A man is shown walking near a boat with dogs.</t>
  </si>
  <si>
    <t>The man is shown near a grill.</t>
  </si>
  <si>
    <t>A quick cut of a the item from before is shown up close.</t>
  </si>
  <si>
    <t>The man is interviewed while seated, with a quick cut of him walking.</t>
  </si>
  <si>
    <t>The man removes his shirt.</t>
  </si>
  <si>
    <t>More close up scenes of the item are shown.</t>
  </si>
  <si>
    <t>Still images and video of skin damage are shown.</t>
  </si>
  <si>
    <t>The man talks in an indoor environment.</t>
  </si>
  <si>
    <t>Another still image of the item is shown.</t>
  </si>
  <si>
    <t>The man is interviewed seated again.</t>
  </si>
  <si>
    <t>A still screen of text is shown.</t>
  </si>
  <si>
    <t>A different man talks to the camera while a logo is shown beside him.</t>
  </si>
  <si>
    <t>A webpage about the first man is shown.</t>
  </si>
  <si>
    <t>v_1VmqefkNV_8</t>
  </si>
  <si>
    <t>A man is dancing on a stage in a yellow shirt.</t>
  </si>
  <si>
    <t>People in the audience watching him are dancing with him.</t>
  </si>
  <si>
    <t>A man walks in front of the crowd.</t>
  </si>
  <si>
    <t>v_MlGh0geYhSg</t>
  </si>
  <si>
    <t>A horse kicks a man in a red shirt.</t>
  </si>
  <si>
    <t>A girl in a grey shirt gets thrown off a horse.</t>
  </si>
  <si>
    <t>A man riding a horse gets bucked off.</t>
  </si>
  <si>
    <t>A horse tips over backward with a a person on it.</t>
  </si>
  <si>
    <t>A man is riding on a horse and flies off.</t>
  </si>
  <si>
    <t>A white horse misses a jump and the person falls off.</t>
  </si>
  <si>
    <t>A man gets hit by a rope while chasing a calf.</t>
  </si>
  <si>
    <t>A horse gets his head stuck in a garbage can.</t>
  </si>
  <si>
    <t>v_chLoV5zQxVA</t>
  </si>
  <si>
    <t>The words "How to Fly a Kite With No Wind" appear on a black screen.</t>
  </si>
  <si>
    <t>Man wearing a yellow t-shirt appears in a large suburban field.</t>
  </si>
  <si>
    <t>The man puts together a rainbow colored kite with long yellow tails.</t>
  </si>
  <si>
    <t>The man drives a small green mowing tractor while holding the kite's string as it flies above.</t>
  </si>
  <si>
    <t>A young lady speaks on screen and then drives the tractor while holding the flying kite.</t>
  </si>
  <si>
    <t>v_eZ_qerXno64</t>
  </si>
  <si>
    <t>A little girl is shown playing table tennis, hitting the ball extremely quickly back and forth over the net.</t>
  </si>
  <si>
    <t>Some of the balls fly past her, but she continues hitting new balls without pausing.</t>
  </si>
  <si>
    <t>v_ZT63nK4lexg</t>
  </si>
  <si>
    <t>A man walks over and chalks his hands.</t>
  </si>
  <si>
    <t>The man walks the bars, stretches and stands there.</t>
  </si>
  <si>
    <t>The man mounts the bars and begins to spin.</t>
  </si>
  <si>
    <t>The man flips and dismounts.</t>
  </si>
  <si>
    <t>The man walks away from the bars.</t>
  </si>
  <si>
    <t>v_ioHDdIBu2go</t>
  </si>
  <si>
    <t>A woman talks, then she holds the tube of a vacuum and points the nozzle.</t>
  </si>
  <si>
    <t>The woman vacuum dirt on a carpet, then she extends the tube while explaining.</t>
  </si>
  <si>
    <t>Then, the woman puts a small nozzle and vacuum a couch, then she explains how to remove the dust container.</t>
  </si>
  <si>
    <t>The woman continues explaining next to the vacuum.</t>
  </si>
  <si>
    <t>v_mqUJEX9qk8E</t>
  </si>
  <si>
    <t>two men are riding horses in a dusty field in mountains.</t>
  </si>
  <si>
    <t>men and a woman wearing Kufiyyas on their heads are standing on dessert next to horses.</t>
  </si>
  <si>
    <t>dessert with mountains in the distance is shown and the men are standing next to a kids ride the horses adn are going in the desert.</t>
  </si>
  <si>
    <t>v_eGW0rygfcrg</t>
  </si>
  <si>
    <t>A man and a woman are standing in a bar.</t>
  </si>
  <si>
    <t>We see the man and a woman ballroom dancing.</t>
  </si>
  <si>
    <t>The lady kicks her leg out behind and in front of her.</t>
  </si>
  <si>
    <t>We zoom in on the legs of the dancers.</t>
  </si>
  <si>
    <t>The camera goes blurry and the scene ends.</t>
  </si>
  <si>
    <t>v_kkLRLb8TGwI</t>
  </si>
  <si>
    <t>A bunch of females are shown playing a water polo match in an indoor pool.</t>
  </si>
  <si>
    <t>it appears to be a tournament as they are highly competitive and going all out.</t>
  </si>
  <si>
    <t>Various shots of the action are shown in normal motion and in slow motion.</t>
  </si>
  <si>
    <t>The match appears to be getting very tense as both teams are trying their best to score and both goalies put up great defense.</t>
  </si>
  <si>
    <t>A young girl who played in the match is then shown with her entire family as they take a picture.</t>
  </si>
  <si>
    <t>v_MsBqlgdzeag</t>
  </si>
  <si>
    <t>A man approaches a trunk standing by some dirt.</t>
  </si>
  <si>
    <t>He grabs an ax sitting on the dirt.</t>
  </si>
  <si>
    <t>He takes the ax and cuts the trunk in half.</t>
  </si>
  <si>
    <t>The trunk falls and he picks up one of the halves.</t>
  </si>
  <si>
    <t>He takes the ax to the trunk and cuts it in half.</t>
  </si>
  <si>
    <t>He stands the other trunk and cuts it in half.</t>
  </si>
  <si>
    <t>v_mb1LoOTM_NI</t>
  </si>
  <si>
    <t>Two men are standing at the table in arm wrestling position.</t>
  </si>
  <si>
    <t>A woman is positioning the men, holding their hands.</t>
  </si>
  <si>
    <t>One man without glasses is bending on the side to with his weight.</t>
  </si>
  <si>
    <t>The man with glass put down the other man's hand and won.</t>
  </si>
  <si>
    <t>v_HVfr9FnEj-Q</t>
  </si>
  <si>
    <t>Ladies are standing in a workout room.</t>
  </si>
  <si>
    <t>The ladies are belly dancing.</t>
  </si>
  <si>
    <t>The ladies dip down and toss their hair backwards.</t>
  </si>
  <si>
    <t>They swing their dipped bodies.</t>
  </si>
  <si>
    <t>The ladies dip and bend backwards.</t>
  </si>
  <si>
    <t>The ladies throw their hair back and forth.</t>
  </si>
  <si>
    <t>2:43 A man is in the room in the back and bends down.</t>
  </si>
  <si>
    <t>The ladies finish dancing and take a bow.</t>
  </si>
  <si>
    <t>v_yN3e-giBxns</t>
  </si>
  <si>
    <t>It's a nighttime outside at a horse ranch and a lot of people are standing around.</t>
  </si>
  <si>
    <t>Suddenly a horse with a man riding on him quickly starts running and there's a calf roped to the horse who is running in front of them.</t>
  </si>
  <si>
    <t>The man lassos the calf, jumps off the horse, throws the calf on its side and quickly ties it up.</t>
  </si>
  <si>
    <t>The man gets up, walks back to his horse, jumps back on and the horse slowly begins to walk as the calf is trying to stand up.</t>
  </si>
  <si>
    <t>v_uE_8WuNO7cA</t>
  </si>
  <si>
    <t>We see an opening screen with a moon.</t>
  </si>
  <si>
    <t>A lady appears holding a pumpkin.</t>
  </si>
  <si>
    <t>We see the lady in the lower left hand of the screen talking.</t>
  </si>
  <si>
    <t>We see a person open and clean a pumpkin.</t>
  </si>
  <si>
    <t>We see the person carve a drawing on a pumpkin.</t>
  </si>
  <si>
    <t>We see a person draw on the pumpkin with a black marker.</t>
  </si>
  <si>
    <t>We see the finished jack o lantern with a candle in it.</t>
  </si>
  <si>
    <t>v_IoOkg-_S4cY</t>
  </si>
  <si>
    <t>A gymnastic girl is performing balance beam.</t>
  </si>
  <si>
    <t>The girl is getting ready to get on the beam from a jump pad.</t>
  </si>
  <si>
    <t>The girl performs flawlessly on the beam.</t>
  </si>
  <si>
    <t>The girl lands on floor perfectly with a big smile.</t>
  </si>
  <si>
    <t>v_UGd9cVzHQOU</t>
  </si>
  <si>
    <t>A man is seen using a machine across a long stretch of leaves while moving up and down the lawn.</t>
  </si>
  <si>
    <t>He continues pushing the leaves around the area and moving up and down the lawn.</t>
  </si>
  <si>
    <t>v_YdenUU3g0XY</t>
  </si>
  <si>
    <t>A man introduces the topic of the video, which is how to do a smash shot in Badminton.</t>
  </si>
  <si>
    <t>He slowly demonstrates the necessary approach and form of the shot.</t>
  </si>
  <si>
    <t>We then see a player perform the shot multiple times as another person sets him up.</t>
  </si>
  <si>
    <t>v_E4ItlgO16LI</t>
  </si>
  <si>
    <t>A male gymnast in a blue outfit applies chalk dust to his hands.</t>
  </si>
  <si>
    <t>An infographic appears, showing his name to be Danell Leyva from the USA.</t>
  </si>
  <si>
    <t>He steps up to a parallel bars and waves.</t>
  </si>
  <si>
    <t>He performs his routine, executing many flips and handstands.</t>
  </si>
  <si>
    <t>He dismounts badly, falling over and landing on his back beside the mat.</t>
  </si>
  <si>
    <t>He steps back onto the mat and briefly raises his arms.</t>
  </si>
  <si>
    <t>v_BsceC-igcTY</t>
  </si>
  <si>
    <t>Hockey players walk out onto the ice, greeting each other.</t>
  </si>
  <si>
    <t>They play the game, trying to get the puck past their opponents into the goal.</t>
  </si>
  <si>
    <t>They roll around on the ice slowly.</t>
  </si>
  <si>
    <t>v_V1NtrnPz3sA</t>
  </si>
  <si>
    <t>An athletic woman is stretching with a ball and swinging her legs back and fourth.</t>
  </si>
  <si>
    <t>She throws the ball and again prepares for another throw.</t>
  </si>
  <si>
    <t>She spins around throwing the ball yet again with a third throw followed shortly after.</t>
  </si>
  <si>
    <t>She performs one last throw and spins herself around once again.</t>
  </si>
  <si>
    <t>v_2kx--bbqXHg</t>
  </si>
  <si>
    <t>Cotton balls are being set on fire and put out in various ways.</t>
  </si>
  <si>
    <t>An ax is used to put out the fire.</t>
  </si>
  <si>
    <t>A piece of wood is used to put out the fire.</t>
  </si>
  <si>
    <t>v_lHy_OZ8GygM</t>
  </si>
  <si>
    <t>A woman wash the head of a man and cuts his hair, then the woman stands next two man an touch the head of the young man.</t>
  </si>
  <si>
    <t>The woman cuts the hair of a young man using first a machine, and then a comb and scissors.</t>
  </si>
  <si>
    <t>Then, the woman dry the hair with a dryer and brush the head.</t>
  </si>
  <si>
    <t>After, the woman takes cream on her hands and comb the head of the man with her fingers to gives form to the hair.</t>
  </si>
  <si>
    <t>Next, the woman explains the hairstyle.</t>
  </si>
  <si>
    <t>v_LvRP3c5n3P8</t>
  </si>
  <si>
    <t>People walk in the hallways of a hospital, then a doctor reviews the injured leg of a man leaving green sparkles on the leg and a machine.</t>
  </si>
  <si>
    <t>Then, the man makes a call and leaves green sparkles on the phone that it is passes to the hand of a nurse that grabs the phone.</t>
  </si>
  <si>
    <t>After the nurse enters to visit a a sick man as well two doctors who carry green sparkles on their hands that leaves on the sick man.</t>
  </si>
  <si>
    <t>A person wash hand, use hand sanitizes and cleans an stethoscope to get rid off microbes.</t>
  </si>
  <si>
    <t>v_VM-ldOw7e4Y</t>
  </si>
  <si>
    <t>An athlete prepares to perform long jump in a stadium full of people, then a white male runs and jumps high to land in the sand.</t>
  </si>
  <si>
    <t>Also, three black males runs fast and jump high to perform long jump.</t>
  </si>
  <si>
    <t>Also, a white male perform long jump, as well two black men do long jumps.</t>
  </si>
  <si>
    <t>A score board shows and score, while a person stands walk away, and takes off his sweet sweater.</t>
  </si>
  <si>
    <t>A black male jumps high happy a runs celebrating his triumph.</t>
  </si>
  <si>
    <t>v_8HxMXHc8Nr0</t>
  </si>
  <si>
    <t>A screen appears with instructions how to attach an InStep bike trailer.</t>
  </si>
  <si>
    <t>A man is showing how to attach an InStep bike trailer on the back wheel of a bike.</t>
  </si>
  <si>
    <t>Then, the man continues to explain the process sitting in dining room.</t>
  </si>
  <si>
    <t>Two toddlers are sitting in a bike trailer, while the man attach the safety belts.</t>
  </si>
  <si>
    <t>v_ZN7C8n_6uH8</t>
  </si>
  <si>
    <t>A black and white filter pans over a soccer match going on in an indoor field.</t>
  </si>
  <si>
    <t>Color is then shown as more people play soccer back and fourth shown in several shots.</t>
  </si>
  <si>
    <t>v_8SCg3toperM</t>
  </si>
  <si>
    <t>A large group of people are seen running around a field playing lacrosse while others watch.</t>
  </si>
  <si>
    <t>The game continues on as people still watch them on the sides.</t>
  </si>
  <si>
    <t>They stop various times to speak to one another and continue playing the game.</t>
  </si>
  <si>
    <t>v_KSP62q7tM68</t>
  </si>
  <si>
    <t>A person is seen riding waves on the water as well as people partying at a house.</t>
  </si>
  <si>
    <t>A Dj is shown playing music as well as people dancing around and surfers surfing.</t>
  </si>
  <si>
    <t>More shots are shown of people surfing and having fun at the house.</t>
  </si>
  <si>
    <t>v_n3wYcW4mnrs</t>
  </si>
  <si>
    <t>We see an opening screen on white.</t>
  </si>
  <si>
    <t>We then see people on tube playing in a river.</t>
  </si>
  <si>
    <t>A boy in sunglasses floats past the camera.</t>
  </si>
  <si>
    <t>A boy throws a peace sign to the camera.</t>
  </si>
  <si>
    <t>People go over a waterfall in their rafts.</t>
  </si>
  <si>
    <t>We see a bunch of people jump into the water.</t>
  </si>
  <si>
    <t>v_f_mbX87xabo</t>
  </si>
  <si>
    <t>A child plays a chrome flute inside of home.</t>
  </si>
  <si>
    <t>The girl finishes the song and lowers the flute.</t>
  </si>
  <si>
    <t>v_0j9TxzwRr6E</t>
  </si>
  <si>
    <t>Two men plays foosball in an arena with two referees standing near by watching the fame.</t>
  </si>
  <si>
    <t>We see the bleacher an spectators.</t>
  </si>
  <si>
    <t>A point is scored and see people clapping and a replay and a title screen.</t>
  </si>
  <si>
    <t>The man in gray backs up and wipes sweat.</t>
  </si>
  <si>
    <t>We see the man in black speaking with the people behind him before the men return to the game.</t>
  </si>
  <si>
    <t>v_etfSrbmOvUE</t>
  </si>
  <si>
    <t>Two people climb a rock climbing wall at night in front of a narrow pool of water surrounding by a crowd of onlookers.</t>
  </si>
  <si>
    <t>The two people climb slowly up the wall, when over midway up, the person on the left falls from the wall and into the water below.</t>
  </si>
  <si>
    <t>Another race up the wall begins in which the person on the right falls off and the person on the left climbs to the top of the wall and then jumps off the wall into the water.</t>
  </si>
  <si>
    <t>In the same setting, but now during the daytime, a lone person wearing skis catapults through the air past the rock climbing wall and lands in the water below.</t>
  </si>
  <si>
    <t>v_twGoVVPO08Q</t>
  </si>
  <si>
    <t>An audience watching pans out into a large track and athletes running into a pit.</t>
  </si>
  <si>
    <t>Several people are shown running down the track while the audience claps and people speak to the camera.</t>
  </si>
  <si>
    <t>v_PQ-qpoPeqM0</t>
  </si>
  <si>
    <t>A young man pulls a wheel out and shows the proper structure of a wheel.</t>
  </si>
  <si>
    <t>He checks the current pressure for the tire and begins pumping air into the tire.</t>
  </si>
  <si>
    <t>He shows the difference between good tread and bad tread as well as when to know when to replace your tires.</t>
  </si>
  <si>
    <t>v_GVmGXTEm46s</t>
  </si>
  <si>
    <t>A close up of a sink is shown followed by a person rubbing it down with a rag from various angles.</t>
  </si>
  <si>
    <t>The sink is shown again by itself followed by water dripping down.</t>
  </si>
  <si>
    <t>v_Qx4YLntwZ5s</t>
  </si>
  <si>
    <t>We see a lady taking in a room and touching her hair.</t>
  </si>
  <si>
    <t>There is a title screen.</t>
  </si>
  <si>
    <t>The lady shows us the products and tools she uses on her hair.</t>
  </si>
  <si>
    <t>We see the lady doing her hair.</t>
  </si>
  <si>
    <t>The lady sections her hair and adds product.</t>
  </si>
  <si>
    <t>The lady twists her hair around her finger.</t>
  </si>
  <si>
    <t>The lady begin blow drys her hair.</t>
  </si>
  <si>
    <t>We see images of the ladies finished hair.</t>
  </si>
  <si>
    <t>v_D84XQFQ4tsU</t>
  </si>
  <si>
    <t>A body of water is shown.</t>
  </si>
  <si>
    <t>A person takes a lid off of a pot.</t>
  </si>
  <si>
    <t>They show a camp site with a tent.</t>
  </si>
  <si>
    <t>They put a cloth into the bucket.</t>
  </si>
  <si>
    <t>v_hJn5L1nrkL4</t>
  </si>
  <si>
    <t>There are two men playing table tennis in an indoor stadium.</t>
  </si>
  <si>
    <t>One of the players is wearing blue and the other player is in a red shirt.</t>
  </si>
  <si>
    <t>There is a person dressed in a black shirt seated near the players.</t>
  </si>
  <si>
    <t>There are several spectators seated in the stadium.</t>
  </si>
  <si>
    <t>They continue playing a rally for some time.</t>
  </si>
  <si>
    <t>The player in the red shirt misses the ball and gives his opponent a winning point.</t>
  </si>
  <si>
    <t>The player in blue cheers loudly after his winning point and breaks into a dance.</t>
  </si>
  <si>
    <t>He continues dancing and goes towards his opponent to mock him.</t>
  </si>
  <si>
    <t>He then goes back to the table tennis table.</t>
  </si>
  <si>
    <t>The man dressed on black shows the score.</t>
  </si>
  <si>
    <t>v_JTGS1YulUQw</t>
  </si>
  <si>
    <t>A close up of booklets are shown with a person flipping them open and reading.</t>
  </si>
  <si>
    <t>The woman marks a name down and peels it off to put on a sock.</t>
  </si>
  <si>
    <t>The woman then lays an iron over the name and peels off the paper to show how to properly label a gift.</t>
  </si>
  <si>
    <t>v_cEHyZzBsWnw</t>
  </si>
  <si>
    <t>A female weightlifter lifts a barbell with her legs.</t>
  </si>
  <si>
    <t>She gets it to her stomach, then pulls.</t>
  </si>
  <si>
    <t>She goes up and down, working her abdominals.</t>
  </si>
  <si>
    <t>v_uG2sRzp5Bk4</t>
  </si>
  <si>
    <t>Information about Blackjack site iis provided.</t>
  </si>
  <si>
    <t>There are two people shown playing in a casino.</t>
  </si>
  <si>
    <t>A representative from Blackjack is showing a casino gambling game.</t>
  </si>
  <si>
    <t>He lays playing cards on the table against tokens.</t>
  </si>
  <si>
    <t>There are several tokens stacked up on the table.</t>
  </si>
  <si>
    <t>He is explaining how to play the gambling game to maximize one's money.</t>
  </si>
  <si>
    <t>He puts more cards on the table and takes a hand to earn more tokens.</t>
  </si>
  <si>
    <t>Information on how to download the app is provided on the screen.</t>
  </si>
  <si>
    <t>v_abjQ1EyqJuw</t>
  </si>
  <si>
    <t>As the camera walks, it was showing the well maintained hedges, at the center of two hedges is a narrow path leading to a wider field surrounded by more hedges.</t>
  </si>
  <si>
    <t>On one side of the hedge is a man in black shirt, he is standing on a ladder, he is trimming the hedges.</t>
  </si>
  <si>
    <t>Near the man is an empty bench, on the side are more well trimmed hedges.</t>
  </si>
  <si>
    <t>v_GjjRDUirW7g</t>
  </si>
  <si>
    <t>A man is seen speaking to the camera while holding a box up to show an instrument inside.</t>
  </si>
  <si>
    <t>The man pulls out the harmonica and continues to show it off to the camera.</t>
  </si>
  <si>
    <t>The man plays the harmonica and pauses to hold it up to the screen as well as a picture.</t>
  </si>
  <si>
    <t>v_RIaNmXzBQnE</t>
  </si>
  <si>
    <t>There is a woman eating ice cream from a tub and talking to the camera man.</t>
  </si>
  <si>
    <t>And he tries to look into the tub, but she pulls it away.</t>
  </si>
  <si>
    <t>The camera person sits down to continue talking to the woman.</t>
  </si>
  <si>
    <t>She gets up and he follows her through the house as she walks into the kitchen.</t>
  </si>
  <si>
    <t>She puts the rest of the ice cream in the freezer and rinses the spoon.</t>
  </si>
  <si>
    <t>v_ZNUkzdw2EeI</t>
  </si>
  <si>
    <t>An athletic man is seen stepping up to a circle and throwing a discuss off into the distance.</t>
  </si>
  <si>
    <t>He then runs excitedly while cameras follow him and shown other athletes spinning the disk.</t>
  </si>
  <si>
    <t>More shots are shown of people celebrating and the athlete runs into the stands.</t>
  </si>
  <si>
    <t>v_oEd7WT4mVSE</t>
  </si>
  <si>
    <t>A woman is sitting at a table using a hookah while another woman makes silly faces and gestures behind her.</t>
  </si>
  <si>
    <t>They speak animatedly with the person behind the camera.</t>
  </si>
  <si>
    <t>There is a close up of the items on the table in front of them.</t>
  </si>
  <si>
    <t>The woman with the camera turns it to face herself before aiming it back toward the other women.</t>
  </si>
  <si>
    <t>One of the women coughs as a cloud of smoke hits her in the face.</t>
  </si>
  <si>
    <t>v_Lmne5ZF0McI</t>
  </si>
  <si>
    <t>man is jumping wearing stilts on a sidewalk.</t>
  </si>
  <si>
    <t>a calm green grassy field is behind the man wearinf stilts.</t>
  </si>
  <si>
    <t>man is wearing white sweater and stilts and is in a green grassy park.</t>
  </si>
  <si>
    <t>v_yinXvETACC4</t>
  </si>
  <si>
    <t>A host is seen speaking to the camera and leads into a trainer speaking with others exercising behind her.</t>
  </si>
  <si>
    <t>More shots of people exercising on bikes are shown and ends with the trainer walking through and talking.</t>
  </si>
  <si>
    <t>v_r82RY124wVY</t>
  </si>
  <si>
    <t>A woman is standing on a tennis court talking.</t>
  </si>
  <si>
    <t>She begins to play tennis on the court.</t>
  </si>
  <si>
    <t>She serves a tennis ball across the court several times.</t>
  </si>
  <si>
    <t>v_9eqfQyr3J7k</t>
  </si>
  <si>
    <t>Several people are outside in a ski resort sitting on the tubes.</t>
  </si>
  <si>
    <t>After,the three individuals in the front,are pulled down the slope and they begin to slide down.</t>
  </si>
  <si>
    <t>Once they are off,the man who pushed him down walks away and more people begin to go down.</t>
  </si>
  <si>
    <t>v_GQVqSLs2Ulg</t>
  </si>
  <si>
    <t>A man is seen holding a glass while speaking to the camera when another man walks in and begins painting the wall.</t>
  </si>
  <si>
    <t>The man continues to paint up and down the wall while the camera captures him and the other man walks away.</t>
  </si>
  <si>
    <t>v_FXN6qiDsClw</t>
  </si>
  <si>
    <t>An animation demonstrating the arc length of a welding type tool emitting heat.</t>
  </si>
  <si>
    <t>A demonstration of the tool emitting heat in real time.</t>
  </si>
  <si>
    <t>A graph illustrating the Long Arc of the tool documenting Voltage and Amperage.</t>
  </si>
  <si>
    <t>The tool is shown in real time emitting heat with a photo of a welded material.</t>
  </si>
  <si>
    <t>A graph illustrates Short Arc with the Voltage and Amperage documented.</t>
  </si>
  <si>
    <t>A man in a blue coat and orange gloves uses the arc tool.</t>
  </si>
  <si>
    <t>v_K2l7ops-tno</t>
  </si>
  <si>
    <t>A man is placing tiles on the floor.</t>
  </si>
  <si>
    <t>A woman appears, removing tiles from a box and talking about them.</t>
  </si>
  <si>
    <t>The woman kneels onto the ground, cutting and applying tiles.</t>
  </si>
  <si>
    <t>A man rolls a pressure roller over the finished floor before the woman returns, speaking about the finished product.</t>
  </si>
  <si>
    <t>v_mB90PudOrnU</t>
  </si>
  <si>
    <t>A girl is giving a small dog a bath.</t>
  </si>
  <si>
    <t>She has an orange bottle in her hand.</t>
  </si>
  <si>
    <t>v_g7IZWqeyM20</t>
  </si>
  <si>
    <t>A white intro screen appears with a red,white and black art swirl on the left side red and black words on the right that say "England Squash&amp;Racketball" and the website in black at the bottom.</t>
  </si>
  <si>
    <t>A man appears with a racket and he's talking to the camera as he hits a racketball then various small clips play afterwards that include him hitting the racketball as well as various other people playing, too.</t>
  </si>
  <si>
    <t>The outro screen appears and it's exactly like the white intro screen.</t>
  </si>
  <si>
    <t>v_T49ZxNX1DFM</t>
  </si>
  <si>
    <t>There are people throwing balls to each other in the pool.</t>
  </si>
  <si>
    <t>there are people swimming to the other side of the pool.</t>
  </si>
  <si>
    <t>v_jUPbimyUndA</t>
  </si>
  <si>
    <t>woman is walking wearing a bikini and eating a chocolate is snowy day.</t>
  </si>
  <si>
    <t>people are in sidewalk watching the girl walks.</t>
  </si>
  <si>
    <t>woman is in a restaurant wearing a bikini and two aiter are watching her.</t>
  </si>
  <si>
    <t>woman walks in a airport eating a restaurant.</t>
  </si>
  <si>
    <t>v_7lv1VOxIng4</t>
  </si>
  <si>
    <t>A little girl is putting makeup on her face.</t>
  </si>
  <si>
    <t>She puts lipstick on her lips.</t>
  </si>
  <si>
    <t>She puts mascara on her eyelashes.</t>
  </si>
  <si>
    <t>She sprays body spray on her shirt.</t>
  </si>
  <si>
    <t>She puts eye shadow on her eyes.</t>
  </si>
  <si>
    <t>v_iE3I2ICIvHE</t>
  </si>
  <si>
    <t>A gymnast is seen standing ready before a beam and then jumping on to perform a routine.</t>
  </si>
  <si>
    <t>The girl then performs several flips and tricks on the beam, ending with her jumping off the side with her legs together and holding her arms up.</t>
  </si>
  <si>
    <t>v_-AjZCBMb4qU</t>
  </si>
  <si>
    <t>A girl is seating in front of a table, playing an accordian.</t>
  </si>
  <si>
    <t>She stares at the camera as she plays the keyboard and pulls the accordian in and out.</t>
  </si>
  <si>
    <t>v_RisNywzGXt8</t>
  </si>
  <si>
    <t>A lady pulls and fixes her outfit.</t>
  </si>
  <si>
    <t>The lady messes with her hair.</t>
  </si>
  <si>
    <t>The lady tries on shoes while standing and sitting.</t>
  </si>
  <si>
    <t>v_IT9uvR9yjxI</t>
  </si>
  <si>
    <t>An intro is shown of maps and a house close up.</t>
  </si>
  <si>
    <t>Afterwards a close up of a roof is shown as well as logos.</t>
  </si>
  <si>
    <t>More pictures are shown of trucks parked as well as logos.</t>
  </si>
  <si>
    <t>v_YRRcCaxIoR4</t>
  </si>
  <si>
    <t>Pole Vault Greats is on the screen.</t>
  </si>
  <si>
    <t>There are several scenes of men and women pole vaulting.</t>
  </si>
  <si>
    <t>v_F4eF_nO2UFs</t>
  </si>
  <si>
    <t>Tools sit on a table and we see a person unpack a bike and assemble it.</t>
  </si>
  <si>
    <t>We see the man put a tire on the bike.</t>
  </si>
  <si>
    <t>A person tightens the holds on the handlebars.</t>
  </si>
  <si>
    <t>The man puts grease on the paddles and installs them before airing the tires.</t>
  </si>
  <si>
    <t>We then see the finished bike.</t>
  </si>
  <si>
    <t>The ending title screen is shown.</t>
  </si>
  <si>
    <t>v_DG9-yffcXS4</t>
  </si>
  <si>
    <t>A man is seen pulling shades off of a window and removing the bars around the sides.</t>
  </si>
  <si>
    <t>Another man assists him by putting newer bars into the window as well as cutting the boards so they fit.</t>
  </si>
  <si>
    <t>In the end the camera pans around the new roof showing off it's great results.</t>
  </si>
  <si>
    <t>v_ux4iT6vQQb0</t>
  </si>
  <si>
    <t>People run motocross on a bumpy road in the wood.</t>
  </si>
  <si>
    <t>A person climbs a bump with a motorcycle.</t>
  </si>
  <si>
    <t>Also people rides motorcycles on an unpaved flat surface.</t>
  </si>
  <si>
    <t>v_OtcJMIJTTx4</t>
  </si>
  <si>
    <t>A little girl stands on a diving board.</t>
  </si>
  <si>
    <t>Then the little girl jumps, flip and dives in the swimming pool.</t>
  </si>
  <si>
    <t>People are in the swimming pool.</t>
  </si>
  <si>
    <t>v_WltsIClflnA</t>
  </si>
  <si>
    <t>kid is swinging on a playground.</t>
  </si>
  <si>
    <t>woman runs to the swings and sits.</t>
  </si>
  <si>
    <t>woman stands and foot up.</t>
  </si>
  <si>
    <t>v_EOSvdsejPQQ</t>
  </si>
  <si>
    <t>A man is sitting on the stairs playing a harmonica.</t>
  </si>
  <si>
    <t>He stands up and continues playing it.</t>
  </si>
  <si>
    <t>Words come up on the screen.</t>
  </si>
  <si>
    <t>v_JBTiD2-FcR0</t>
  </si>
  <si>
    <t>A closeup of a bag of cement mix is shown.</t>
  </si>
  <si>
    <t>One man adds water into a container while another watches.</t>
  </si>
  <si>
    <t>The first man pours the cement mix into the container.</t>
  </si>
  <si>
    <t>The second man uses a mixer on the container.</t>
  </si>
  <si>
    <t>one of the men applies the mixture to a wall.</t>
  </si>
  <si>
    <t>v_Tovbyt_ZiIc</t>
  </si>
  <si>
    <t>Opening credits show the description of the video.</t>
  </si>
  <si>
    <t>A woman waves her hand and acknowledges her hair and face as she continues to talk.</t>
  </si>
  <si>
    <t>The woman has her hair down and starts styling her hair.</t>
  </si>
  <si>
    <t>She completes styling her hair and continues to talk.</t>
  </si>
  <si>
    <t>v_gV6W0rAHyZg</t>
  </si>
  <si>
    <t>There's a man in a white shirt standing in an open field doing a tutorial for Expert Village on how to play lacrosse.</t>
  </si>
  <si>
    <t>He is holding a lacrosse stick in his hands as he explains the techniques of the game.</t>
  </si>
  <si>
    <t>He makes hand gestures to demonstrate the correct method of holding the lacrosse stick for effective playing technique.</t>
  </si>
  <si>
    <t>v_bX8QXK9mjKA</t>
  </si>
  <si>
    <t>A large group of people are at a carnival playing in their own bumper cars and a few of them bump into one another and come to a stop.</t>
  </si>
  <si>
    <t>They laugh and begin to pull their bumper cars away from one another.</t>
  </si>
  <si>
    <t>The people start driving around again where they all continue to either bump into one another or just drive around.</t>
  </si>
  <si>
    <t>Eventually all the bumper cars come to a complete stop and the ride is over.</t>
  </si>
  <si>
    <t>v_BFICeyu5oMM</t>
  </si>
  <si>
    <t>Ingredients are sitting on a wooden block.</t>
  </si>
  <si>
    <t>A person starts mixing the ingredients together.</t>
  </si>
  <si>
    <t>Words come onto the screen at the end.</t>
  </si>
  <si>
    <t>v_rF1n8L571vM</t>
  </si>
  <si>
    <t>A logo with engine pistons is seen and a disclaimer is shown.</t>
  </si>
  <si>
    <t>Two women in gym exercise pants ride on stationary bikes in a gym together.</t>
  </si>
  <si>
    <t>v_i9g2MGNUVQI</t>
  </si>
  <si>
    <t>A woman is seen speaking to the camera and leads into the news interviewing a man.</t>
  </si>
  <si>
    <t>Several shots are then shown of two bulls fighting other while others watch and speak to the camera.</t>
  </si>
  <si>
    <t>v_f4s1ngeK5P4</t>
  </si>
  <si>
    <t>A person is seen wearing slippers and holding a stick in their hands.</t>
  </si>
  <si>
    <t>The person then begins walking around a room pushing the ball around with the stick.</t>
  </si>
  <si>
    <t>The person continues hitting the ball while walking around the room.</t>
  </si>
  <si>
    <t>v_Uofnmkfohkc</t>
  </si>
  <si>
    <t>A young child is seen riding a skateboard down a road following a group of older boys.</t>
  </si>
  <si>
    <t>Several shots of him riding around are shown as well as him failing and riding more.</t>
  </si>
  <si>
    <t>He fist bumps the camera man and more shots are shown of him riding around.</t>
  </si>
  <si>
    <t>v_F2Igw6lvqwk</t>
  </si>
  <si>
    <t>A girl is sitting at the bottom of the stairs while trying to put her shoes on.</t>
  </si>
  <si>
    <t>She looks off in the distance in a disgusted manor, at the same time appearing quite distracted.</t>
  </si>
  <si>
    <t>She finishes by tying up her shoe laces and laughing to herself and the person filming her.</t>
  </si>
  <si>
    <t>v_BhxKjirVF4Y</t>
  </si>
  <si>
    <t>A woman dressed in gym clothes is doing a tutorial on spinning in a gym.</t>
  </si>
  <si>
    <t>She is demonstrating the dumbbells that she will be using.</t>
  </si>
  <si>
    <t>She then demonstrates the exercise bike and continues to bike along with some other women at the gym.</t>
  </si>
  <si>
    <t>She explains how to do some rigorous exercise on the bike.</t>
  </si>
  <si>
    <t>there are several other women who are also biking on the exercise bike with her.</t>
  </si>
  <si>
    <t>v_cmM0li5O1t0</t>
  </si>
  <si>
    <t>We see a little girl water skiing.</t>
  </si>
  <si>
    <t>We see a man holding a child water skiing.</t>
  </si>
  <si>
    <t>The man lets go, and grabs her jacket again.</t>
  </si>
  <si>
    <t>The man points to the skis.</t>
  </si>
  <si>
    <t>The man lefts go and grabs the jacket again.</t>
  </si>
  <si>
    <t>v_yVK-GMdc9UA</t>
  </si>
  <si>
    <t>A man is smiling at the camera.</t>
  </si>
  <si>
    <t>He is ironing clothes on an ironing board.</t>
  </si>
  <si>
    <t>He flips the clothes over and irons the other side.</t>
  </si>
  <si>
    <t>v_gU81ZXdYh7o</t>
  </si>
  <si>
    <t>A boy in an orange shirt is standing in a room.</t>
  </si>
  <si>
    <t>He starts punching a punching bag.</t>
  </si>
  <si>
    <t>The punching bag moves in the air.</t>
  </si>
  <si>
    <t>v_irnvsfchQX8</t>
  </si>
  <si>
    <t>A boy paddles a boat.</t>
  </si>
  <si>
    <t>v_BwwjQZDn3NE</t>
  </si>
  <si>
    <t>A man is seen outside dancing to himself while wiping a rag on the car.</t>
  </si>
  <si>
    <t>The weather is pouring rain and the man continues to dance around the car holding a rag.</t>
  </si>
  <si>
    <t>The man moves to the front of the car followed by taking his shirt off and waving to the camera.</t>
  </si>
  <si>
    <t>v_XKvzx2cD9KY</t>
  </si>
  <si>
    <t>There is a large crowd shown clapping and two hosts speaking in the beginning.</t>
  </si>
  <si>
    <t>A line of men are then shown wearing sumo wrestling outfits.</t>
  </si>
  <si>
    <t>Two people get inside of the ring and begin fighting.</t>
  </si>
  <si>
    <t>The two people grab each other's necks and try to knock their opponent down to the ground.</t>
  </si>
  <si>
    <t>v_2wUKu5UIHmI</t>
  </si>
  <si>
    <t>The camera captures a close up of an older woman putting makeup on and smacking her lips to the camera.</t>
  </si>
  <si>
    <t>She then puts mascara on as well as more lipstick and nods her head back and fourth smiling.</t>
  </si>
  <si>
    <t>v_hmT9H0IjiGs</t>
  </si>
  <si>
    <t>A man wearing a white hat is demonstrating how to make a Caribbean drink.</t>
  </si>
  <si>
    <t>He shows a bowl filled with citrus fruits.</t>
  </si>
  <si>
    <t>He takes a lemon juicer and some lemons and limes and oranges.</t>
  </si>
  <si>
    <t>He then juices the oranges and lemon on the juicer.</t>
  </si>
  <si>
    <t>He then empties the juice a large cocktail bowl.</t>
  </si>
  <si>
    <t>He adds rum to the juice along with some vanilla extract.</t>
  </si>
  <si>
    <t>He also mixes in sugar and rum and whisks the drink.</t>
  </si>
  <si>
    <t>He finally adds a bowl full of water and stirs it well.</t>
  </si>
  <si>
    <t>He pours the beverage in cocktail glasses and places it on the kitchen counter.</t>
  </si>
  <si>
    <t>v_f14r3tC-Y4E</t>
  </si>
  <si>
    <t>A large boat is shown sailing through ocean water.</t>
  </si>
  <si>
    <t>A man in scuba gear climbs over the side.</t>
  </si>
  <si>
    <t>He works on pulling a large bag into the boat, trying not to capsize.</t>
  </si>
  <si>
    <t>v_KwhqAV_0o40</t>
  </si>
  <si>
    <t>A man dressed in snow gear is standing on a frozen body of water and bending over as he looks into a fish hole that his fishing pole is in.</t>
  </si>
  <si>
    <t>The man pulls on his fishing pole, goes on his knees, and continues to slowly pull the fishing pole up and the camera man who had already put the camera down bends down and grabs the fish and places it onto the ice.</t>
  </si>
  <si>
    <t>The man picks the camera up and angles the camera towards the fish on the ice and the man who was fishing is smiling, unhooks the fish then holds it up in the air.</t>
  </si>
  <si>
    <t>v_hRoHfDR4-e0</t>
  </si>
  <si>
    <t>People handles bulls in a rodeo ring, a man is throw to the air by a bull.</t>
  </si>
  <si>
    <t>People are throw by bulls to the ground while jumping and kicking with the back legs while people watch the rodeo.</t>
  </si>
  <si>
    <t>Several people riding bulls are throw to the ground while other people distract the bulls that jumps and kicks.</t>
  </si>
  <si>
    <t>v_1wqSUOGmpBs</t>
  </si>
  <si>
    <t>Two very large sumos are in an elevated circle doing leg warm ups and squatting while another man in the middle dressed in Japanese garb referees.</t>
  </si>
  <si>
    <t>The referee lets them know when to start and the sumos wrestle while the referee walks around the ring and monitors them.</t>
  </si>
  <si>
    <t>Finally one of the men is able to push another man out of the ring,they stop wrestling, the loser walks to his end and they bow to one another and both leave the ring.</t>
  </si>
  <si>
    <t>v_TtQPtLPTqBA</t>
  </si>
  <si>
    <t>A girl is pouring something into a sink.</t>
  </si>
  <si>
    <t>She walks away and wipes her hands on a towel.</t>
  </si>
  <si>
    <t>She pours the bowl into a bucket on the ground.</t>
  </si>
  <si>
    <t>She starts wiping the floor with a towel.</t>
  </si>
  <si>
    <t>She moves the bucket up to the front of the classroom and dumps it out.</t>
  </si>
  <si>
    <t>v_C8IEqXTBod0</t>
  </si>
  <si>
    <t>We see the title screen for the video.</t>
  </si>
  <si>
    <t>We change to a woman putting on her cold weather clothes.</t>
  </si>
  <si>
    <t>She grabs a shovel and walks away.</t>
  </si>
  <si>
    <t>We see the lady sitting and laying on a chair and reading.</t>
  </si>
  <si>
    <t>The lady is outside shoveling the snow and talking.</t>
  </si>
  <si>
    <t>We see articles online about shoveling.</t>
  </si>
  <si>
    <t>The lady is jumping and warming up.</t>
  </si>
  <si>
    <t>We see a snowy city and then people shoveling snow.</t>
  </si>
  <si>
    <t>v_0JpULUYPDX0</t>
  </si>
  <si>
    <t>A person is seen standing on a court holding a tennis racket.</t>
  </si>
  <si>
    <t>The man then demonstrates several moves with the tennis racket and hitting the ball to another.</t>
  </si>
  <si>
    <t>The two continuously hit the ball back and fourth to one another.</t>
  </si>
  <si>
    <t>v_kWPvAxLzGw8</t>
  </si>
  <si>
    <t>A woman is sitting down wearing green sunglasses.</t>
  </si>
  <si>
    <t>She is talking on the cell phone.</t>
  </si>
  <si>
    <t>She is riding in a car.</t>
  </si>
  <si>
    <t>She is laying on a chair getting her foot tattooed.</t>
  </si>
  <si>
    <t>She is showing her foot tattoo.</t>
  </si>
  <si>
    <t>She is sitting outside talking again.</t>
  </si>
  <si>
    <t>v_Yp9DBq34bFQ</t>
  </si>
  <si>
    <t>A woman is seen squeezing lotion out of a bottle onto her skin and rubbing it into her arms.</t>
  </si>
  <si>
    <t>More pictures are shown on the screen of people and lotions as well as steps on how to use it properly.</t>
  </si>
  <si>
    <t>v_p9yq0kAqGU4</t>
  </si>
  <si>
    <t>Men pull a rope in a game of tug of war.</t>
  </si>
  <si>
    <t>A lady bends down to take a photo and a lady walks and films the even.</t>
  </si>
  <si>
    <t>We see a tower in the field.</t>
  </si>
  <si>
    <t>The men let go of the rope, one man falls and claps.</t>
  </si>
  <si>
    <t>A man smiles and gives a thumbs up to the camera.</t>
  </si>
  <si>
    <t>v_zlOErVVHKEk</t>
  </si>
  <si>
    <t>People are playing a game in a field.</t>
  </si>
  <si>
    <t>The man with the mallet and the man with the red hat run back and forth.</t>
  </si>
  <si>
    <t>A man with a blue shirt runs toward home plate.</t>
  </si>
  <si>
    <t>The man with the mallet is shown getting hit in slow motion.</t>
  </si>
  <si>
    <t>A woman is up to bat and is shown running after getting a hit.</t>
  </si>
  <si>
    <t>v_FPbPkjLAEzs</t>
  </si>
  <si>
    <t>A man is parasailing on the ocean.</t>
  </si>
  <si>
    <t>Other people also begin sailing in the water, some falling over.</t>
  </si>
  <si>
    <t>v_xC9s-_MNO_Q</t>
  </si>
  <si>
    <t>We see a man decorating a Christmas tree.</t>
  </si>
  <si>
    <t>The man adds a string of lights.</t>
  </si>
  <si>
    <t>A little girl ads bulbs to the tree.</t>
  </si>
  <si>
    <t>The man turns the lights on.</t>
  </si>
  <si>
    <t>The man and the girl add bulbs to the tree.</t>
  </si>
  <si>
    <t>The lady goes up and own the stairs.</t>
  </si>
  <si>
    <t>The lady adds ornaments to the tree.</t>
  </si>
  <si>
    <t>The man stands on a ladder and adds ornaments.</t>
  </si>
  <si>
    <t>The lady turns off the lights and the family looks at the tree together.</t>
  </si>
  <si>
    <t>The man and woman kiss each other.</t>
  </si>
  <si>
    <t>v_scapZQe6_Iw</t>
  </si>
  <si>
    <t>Two men are standing on a field behind a row of houses.</t>
  </si>
  <si>
    <t>One swings a bat and runs onto the field, chasing a ball.</t>
  </si>
  <si>
    <t>The ball is thrown back to the batter, and he continues the game of cricket with his team mates.</t>
  </si>
  <si>
    <t>v_0H_9zlnmW4U</t>
  </si>
  <si>
    <t>A man is seen standing in a large field and leads into him moving his arms and legs around the area.</t>
  </si>
  <si>
    <t>The man continues moving around the area moving his hands up and down and looking off into the distance.</t>
  </si>
  <si>
    <t>v_JDfFAljt4JM</t>
  </si>
  <si>
    <t>Two people are seen doing a ballet dance on stage followed by a woman doing a dance while others watch on the side.</t>
  </si>
  <si>
    <t>The woman continue spinning with the man walking in and out of frame and ends with her bowing to the audience.</t>
  </si>
  <si>
    <t>v_08wKlw4a_so</t>
  </si>
  <si>
    <t>A black dog walks on a lawn.</t>
  </si>
  <si>
    <t>A lady rakes leaves from the lawn onto the pavement sidewalk.</t>
  </si>
  <si>
    <t>The lady stops raking, turns around, and talks plus gestures.</t>
  </si>
  <si>
    <t>A white ball rolls to a parked car.</t>
  </si>
  <si>
    <t>v_xpEbejnuGEY</t>
  </si>
  <si>
    <t>A woman is seen kneeling into frame next to a patio set.</t>
  </si>
  <si>
    <t>She then shows off various cleaning tools an rubs them along a chair.</t>
  </si>
  <si>
    <t>She brings the chair inside and pours paint into a bucket and paints along the side.</t>
  </si>
  <si>
    <t>She shows off the chair outside again while speaking to the camera.</t>
  </si>
  <si>
    <t>v_K4F8I74OM-Y</t>
  </si>
  <si>
    <t>A brunette woman newscaster is wearing a white shirt and royal blue blazer over it and is speaking into the camera.</t>
  </si>
  <si>
    <t>A clip begins and it features people running and the words on the screen say they are novices who are training to run a marathon in Tel Aviv, Israel.</t>
  </si>
  <si>
    <t>A man appears training them and different marathoners in training take turns being interviewed while they continue to switch back and forth to everyone going through the training.</t>
  </si>
  <si>
    <t>The last clip is the view from the start of a marathon and hundreds of people start running as they leave the start line.</t>
  </si>
  <si>
    <t>v_LChqFAESyCg</t>
  </si>
  <si>
    <t>There's a young girl standing in her bathroom doing a tutorial on how to apply lipstick.</t>
  </si>
  <si>
    <t>she opens her mirror cabinet and takes her lipstick out.</t>
  </si>
  <si>
    <t>She begins applying the lipstick on her lips.</t>
  </si>
  <si>
    <t>Then she uses the same lipstick and dabs it on her cheeks.</t>
  </si>
  <si>
    <t>She uses her fingers to smear the lipstick evenly on her cheek bones.</t>
  </si>
  <si>
    <t>Then she pouts and smiles for the camera, striking a pose.</t>
  </si>
  <si>
    <t>v_H2KVO7LWU5w</t>
  </si>
  <si>
    <t>A toddler is holding a leaf blower.</t>
  </si>
  <si>
    <t>A teen is raking the lawn.</t>
  </si>
  <si>
    <t>A teen tosses a rake full of leaves at the toddler.</t>
  </si>
  <si>
    <t>v_b39hqdpOn7k</t>
  </si>
  <si>
    <t>A still shot picture of a man appears while a lot of white words go scrolling from the bottom to the top.</t>
  </si>
  <si>
    <t>The man is now in an enclosed ad small racquetball court area and he's going through the motions of hitting a ball with his racquet with the words "not recommended" in the upper left corner.</t>
  </si>
  <si>
    <t>A screen quickly appears and it has white text that say "please subscribe to this youtube channel".</t>
  </si>
  <si>
    <t>The man is then shown again playing racquetball on the court until the outro screen appears and it includes a lot of white wording that is scrolling from the bottom to the top.</t>
  </si>
  <si>
    <t>v_skSPijG9sgU</t>
  </si>
  <si>
    <t>A few kids are seen standing on a stage followed by the children pushing a puck along the ice.</t>
  </si>
  <si>
    <t>Several people are shown playing the game around them and panning to the audience reacting as well as people standing on the sides.</t>
  </si>
  <si>
    <t>v_puGw7gu96AM</t>
  </si>
  <si>
    <t>A man comes out of a gate on a horse.</t>
  </si>
  <si>
    <t>He lassos and ropes a calf.</t>
  </si>
  <si>
    <t>He then jumps down and ties the calf.</t>
  </si>
  <si>
    <t>v_2Q0WGQbJbso</t>
  </si>
  <si>
    <t>A person plays a violin in front of a huge crowd of people.</t>
  </si>
  <si>
    <t>The people give him a standing ovation at the end.</t>
  </si>
  <si>
    <t>v_uMQEaWGQvrc</t>
  </si>
  <si>
    <t>A man on a diving board walks to the end.</t>
  </si>
  <si>
    <t>the man bounces on the board two times then dives into the water.</t>
  </si>
  <si>
    <t>The man surfaces and swims towards the edge of the pool.</t>
  </si>
  <si>
    <t>v_rHUCx_JqNk4</t>
  </si>
  <si>
    <t>a woman with pink hair is posing for the camera.</t>
  </si>
  <si>
    <t>She brushes out her hair with her hands before separating it into sections.</t>
  </si>
  <si>
    <t>She then braids the hair down the side of her head.</t>
  </si>
  <si>
    <t>v_Nj_fvFbf56I</t>
  </si>
  <si>
    <t>A little boy runs across a hopscotch on the ground.</t>
  </si>
  <si>
    <t>He returns to the beginning, and tries to jump.</t>
  </si>
  <si>
    <t>He hops all the way to the end.</t>
  </si>
  <si>
    <t>v_XzYtm5WdAE8</t>
  </si>
  <si>
    <t>A man is seen standing in a large field behind a piece of heavy machinery.</t>
  </si>
  <si>
    <t>The man pushes the machine along some tall grass while the camera follows his movements.</t>
  </si>
  <si>
    <t>The man continues pushing along the high grass.</t>
  </si>
  <si>
    <t>v_7D5ItfgJFVw</t>
  </si>
  <si>
    <t>The white rabbit is in the cage.</t>
  </si>
  <si>
    <t>The rabbit is cleaning its hands by licking it.</t>
  </si>
  <si>
    <t>The rabbit cleaned his back and then wend down to the first floor of his cage.</t>
  </si>
  <si>
    <t>v_OqoUemFpetc</t>
  </si>
  <si>
    <t>Two teams playing throwing balls to hit an opponent.</t>
  </si>
  <si>
    <t>The players hold two balls and throw each other to hit and opponent.</t>
  </si>
  <si>
    <t>A boy holding a ball throw to another player and the opponents also throws ball.</t>
  </si>
  <si>
    <t>v_ktYgm8bRK-g</t>
  </si>
  <si>
    <t>A woman begins walking down a cobble stone sidewalk with brown boots and then she is seen twirling a hula hoop.</t>
  </si>
  <si>
    <t>With the hula hoop,the girl begins flipping and dancing with it between her legs.</t>
  </si>
  <si>
    <t>She progresses and adds another hula hip and both of them go on at the same time.</t>
  </si>
  <si>
    <t>In her next setting,she has about five around her body and continues to dance.</t>
  </si>
  <si>
    <t>She continues to do the same thing with different amounts and with other body parts as people come and take pictures of her displaying her talent.</t>
  </si>
  <si>
    <t>Lastly, another small videos appears showing advertisements for the Jump Rope sisters youtube page.</t>
  </si>
  <si>
    <t>v_cCISvaObBxI</t>
  </si>
  <si>
    <t>Two teams play soccer in an indoor soccer court, the team wearing white t-shirt wins the competition.</t>
  </si>
  <si>
    <t>The player scores and celebrate with a teammate.</t>
  </si>
  <si>
    <t>Other teams plays soccer, a player with white uniform receives a ball and score.</t>
  </si>
  <si>
    <t>Two teams play soccer, and the player with the yellow uniform scores.</t>
  </si>
  <si>
    <t>Two team of girls compete, a girl with red uniform scores and the team wins.</t>
  </si>
  <si>
    <t>Then, a player with a white uniform scores with a spectacular movement.</t>
  </si>
  <si>
    <t>v_waF8oGaQqvI</t>
  </si>
  <si>
    <t>A special effect intro appears and a blue word appears in the middle of the screen and say's "Howcast".</t>
  </si>
  <si>
    <t>A woman is lying on a bed in a business with a man sitting next to her and a list of things pop up on the screen under the words "YOU WILL NEED" appear on the screen.</t>
  </si>
  <si>
    <t>The woman is shown doing various things as steps show up under each action she does, and even tips appear on the screen that lead up to the woman laying on the bed as a man tattoos her.</t>
  </si>
  <si>
    <t>When he's done tattooing her he holds up a white bottle with a green cap and talks to her while showing it and white words appear on the screen giving a warning that "Applying too much topical anesthetic and then covering the tattoo can cause seizures".</t>
  </si>
  <si>
    <t>The woman stands up to show her tattoo and the woman is briefly shown sunbathing with the tattoo covered up.</t>
  </si>
  <si>
    <t>A close up of her tattoo is shown and words appear over it that say's "Democrats are more likely to have tattoos", then a white screen appears with the blue words in the middle that say "Howcast".</t>
  </si>
  <si>
    <t>v_lJ02cAklA6o</t>
  </si>
  <si>
    <t>A man is seated while someone buffs his shoes.</t>
  </si>
  <si>
    <t>The person uses a brush to clean his shoes thorougly.</t>
  </si>
  <si>
    <t>Then they use polish to shine them.</t>
  </si>
  <si>
    <t>v_yVsOoFr61x4</t>
  </si>
  <si>
    <t>A young girl is seen walking to the end of a diving board with several other people around her.</t>
  </si>
  <si>
    <t>The girl puts her arms up and then dives into the pool.</t>
  </si>
  <si>
    <t>She's seen again coming to the surface in the pool and swimming over to the edge.</t>
  </si>
  <si>
    <t>v_NGF0rQiDxNk</t>
  </si>
  <si>
    <t>A female gymnast is spinning and jumping on a pair of high beams as her coach watches, prepared to catch her.</t>
  </si>
  <si>
    <t>He steps onto the beam as she dismounts, arms in the air.</t>
  </si>
  <si>
    <t>v_NV2scxevYKk</t>
  </si>
  <si>
    <t>Two men do maneuvers on a canoe pivoting the canoe helping with the paddlers.</t>
  </si>
  <si>
    <t>Then, the men pivot the canoe away from the bow paddlers while paddling fast the oars.</t>
  </si>
  <si>
    <t>After, the men slides the canoe forward using the oars to advance.</t>
  </si>
  <si>
    <t>Next, the men sail on the river until arrive to the bank of the river.</t>
  </si>
  <si>
    <t>v_Vfb3LmFDols</t>
  </si>
  <si>
    <t>We see a man in BMX bike arena talking.</t>
  </si>
  <si>
    <t>We see people bring bikes up a ramp.</t>
  </si>
  <si>
    <t>We see people start when the gate opens.</t>
  </si>
  <si>
    <t>We then see people riding bikes.</t>
  </si>
  <si>
    <t>We see a man wipe dirt from his hair and turn off the camera.</t>
  </si>
  <si>
    <t>v_Xf8y5_b2dq4</t>
  </si>
  <si>
    <t>A man is seen holding onto a paint machine and spraying it around all the furniture.</t>
  </si>
  <si>
    <t>He continues painting around the area while the camera pans around his movements.</t>
  </si>
  <si>
    <t>He finishes the painting and the camera pans around the furniture.</t>
  </si>
  <si>
    <t>v_QEdbqJijx1w</t>
  </si>
  <si>
    <t>A woman is seen speaking to the camera while sitting in a chair.</t>
  </si>
  <si>
    <t>She then holds up a contact lens and puts one in her eye.</t>
  </si>
  <si>
    <t>She puts another contact in her eye and smiles to the camera.</t>
  </si>
  <si>
    <t>v_blSOfdlqJtY</t>
  </si>
  <si>
    <t>A large group of people are seen playing around a gymnasium throwing balls at one another and bouncing around.</t>
  </si>
  <si>
    <t>The people continue throwing balls when one hits the camera and shows a persons face.</t>
  </si>
  <si>
    <t>The game continues on with the people throwing balls around and people watching on the sides.</t>
  </si>
  <si>
    <t>v_s0YJOzALDNg</t>
  </si>
  <si>
    <t>A group of people are under a covering.</t>
  </si>
  <si>
    <t>They are riding around in a series of bumper cars.</t>
  </si>
  <si>
    <t>The cars bump into each other as they drive around.</t>
  </si>
  <si>
    <t>v_UxlDSfC7S-0</t>
  </si>
  <si>
    <t>A bag of Spill Master Absorbant is shown on the screen.</t>
  </si>
  <si>
    <t>A man stands in a warehouse talking to the camera and pours some liquid on the ground.</t>
  </si>
  <si>
    <t>He takes a bowl of some material and sprinkled it over the spills.</t>
  </si>
  <si>
    <t>He then sweeps up the material with a broom and dust pan.</t>
  </si>
  <si>
    <t>v__-zOtZZ_fwI</t>
  </si>
  <si>
    <t>A woman is video taping some men in a living room getting jackets on.</t>
  </si>
  <si>
    <t>One of the men motions the the camera person to follow him as he grabs a broom and walks down a hall and out a door to a snow covered parking lot.</t>
  </si>
  <si>
    <t>They walk out into the parking lot as another man comes outside.</t>
  </si>
  <si>
    <t>The man with the broom brushes snow off of an SUV as another man does the same at a car next to him.</t>
  </si>
  <si>
    <t>v_cdiazgshHuc</t>
  </si>
  <si>
    <t>A girl holds up a brush and walks up to the horse.</t>
  </si>
  <si>
    <t>The girl brushes of the coat of the horse in a stable.</t>
  </si>
  <si>
    <t>The girl removes the ankle braces from the horse.</t>
  </si>
  <si>
    <t>The girl wraps up the braces together an puts them away.</t>
  </si>
  <si>
    <t>A horse sticks his head out from a stable and a man watches.</t>
  </si>
  <si>
    <t>v_dth80jcqPxU</t>
  </si>
  <si>
    <t>Several types of shot put throws and terminology are demonstrated.</t>
  </si>
  <si>
    <t>The different throws show different block types.</t>
  </si>
  <si>
    <t>These are used in various sling types.</t>
  </si>
  <si>
    <t>Some names of some of the throws are the glide shot, the spin Shot, and the stand throw.</t>
  </si>
  <si>
    <t>v_6VW7ZPurE7c</t>
  </si>
  <si>
    <t>A small dog is seen wearing an outfit and walking on two legs while people stand around him and watch.</t>
  </si>
  <si>
    <t>The dog continues walking around and looking around as people watch.</t>
  </si>
  <si>
    <t>v_EOradtej9GU</t>
  </si>
  <si>
    <t>A mountain full of snow appears and a man begins skiing down the slopes.</t>
  </si>
  <si>
    <t>As he skis,more men appear before he reappears by himself.</t>
  </si>
  <si>
    <t>Once alone,the man skis rapidly down the slopes and does spins and kneels as he skis.</t>
  </si>
  <si>
    <t>Eventually,he goes to fast and ends up flipping over into a pile of snow.</t>
  </si>
  <si>
    <t>v_FaKQvJBhMPg</t>
  </si>
  <si>
    <t>A man and a woman are sitting in two separate floating donuts, the man in the blue, the woman in the green, and both are smiling then the man raises his left arm to wave.</t>
  </si>
  <si>
    <t>A group of people are also on different colored floating donuts, playing, falling in the water and having a good time.</t>
  </si>
  <si>
    <t>A brown haired woman standing in a pile of floating donuts is holding a mic and talking, and other clips begin to play that include scenery of the lake, interviewing various people of ages and both sexes, people walking with their floating donuts, signs at the lake, people having fun and etcetera.</t>
  </si>
  <si>
    <t>The woman is now sitting in a green floating donut, still holding the mic, and still talking.</t>
  </si>
  <si>
    <t>A white screen appears appears with a maroon and white logo, then it changes to another white screen that has a blue website in the middle of it.</t>
  </si>
  <si>
    <t>v_DMUFb7gvUx4</t>
  </si>
  <si>
    <t>Men travel in a plane and arrives to the top of a mountain.</t>
  </si>
  <si>
    <t>Then, men get down the plane and ski down the hill.</t>
  </si>
  <si>
    <t>A person ski behind a man down the slope of the mountain.</t>
  </si>
  <si>
    <t>A snow removal clear the snow of the road.</t>
  </si>
  <si>
    <t>After, the men ski down the hill in middle of the trees.</t>
  </si>
  <si>
    <t>The men ski in a wood area that is uneven.</t>
  </si>
  <si>
    <t>v_56kqqlco5H0</t>
  </si>
  <si>
    <t>A gymnast wearing a blue outfit climes onto the a balance beam and performs a hand stand with a split in a competition in front of a huge American flag.</t>
  </si>
  <si>
    <t>The gymnast proceeds on the balance beam and performs a front somersault and then three consecutive backward somersaults in a row.</t>
  </si>
  <si>
    <t>The gymnast continues with her performance on the parallel bar with spin moves, jump moves and dance moves.</t>
  </si>
  <si>
    <t>The gymnast prepares for the dismount at one end of the parallel bar does a forward somersault on the parallel bar and a somersault with a spin and lands the dismount perfectly.</t>
  </si>
  <si>
    <t>v_nOJUyDGq_l0</t>
  </si>
  <si>
    <t>A group of men are gathered in a circle in a room.</t>
  </si>
  <si>
    <t>They shake each other's hands, then start fighting in the ring of people.</t>
  </si>
  <si>
    <t>They spin and kick, never actually hitting each other.</t>
  </si>
  <si>
    <t>When they finish the group comes together, clapping as a group.</t>
  </si>
  <si>
    <t>v_2zl0O1VRDC4</t>
  </si>
  <si>
    <t>A person puts sealing material around steel planks and a roof.</t>
  </si>
  <si>
    <t>Then, the man paints a roof with black paint.</t>
  </si>
  <si>
    <t>v_U2td95KJU7Y</t>
  </si>
  <si>
    <t>A boy stand on a pool diving board in an Olympic competition.</t>
  </si>
  <si>
    <t>Then, the boy jumps and does four flips in the air and falls into the water.</t>
  </si>
  <si>
    <t>The crowd applaud the boy holding British flags.</t>
  </si>
  <si>
    <t>A man hugs the boy who looks happy, and the boy walks around.</t>
  </si>
  <si>
    <t>The boy jumps from a diving board and does four flips in the air before gets into the water.</t>
  </si>
  <si>
    <t>v_bWCIcijlgCo</t>
  </si>
  <si>
    <t>The video begins with several shots of people riding down long roads on skateboards in fast motion as well as slow.</t>
  </si>
  <si>
    <t>The people perform various jumps and tricks down these long and winding roads and shows the boarder speaking into the camera.</t>
  </si>
  <si>
    <t>v_LrwBGQ9B0Vg</t>
  </si>
  <si>
    <t>A group of fish swim around in the ocean floor.</t>
  </si>
  <si>
    <t>A long yellow fish passes the camera.</t>
  </si>
  <si>
    <t>Scuba divers gather on a boat as a man speaks.</t>
  </si>
  <si>
    <t>We see several fish and a shark.</t>
  </si>
  <si>
    <t>The scuba divers dive, looking at the fish and waving at the camera.</t>
  </si>
  <si>
    <t>v_7BM40jqPYgA</t>
  </si>
  <si>
    <t>A boy makes repairs to a disassembled bicycle with the use of a solder in a backyard near the back steps of a house.</t>
  </si>
  <si>
    <t>A boy enters the scene and pulls on a pair of gloves while wearing a sports protective mask, turns on a blue machine on the back steps and picks up a solder.</t>
  </si>
  <si>
    <t>The boy then begins to solder a disassembled bicycle on the ground in a backyard.</t>
  </si>
  <si>
    <t>The boy then gets up and walks out of the scene after lifting the lid on his mask.</t>
  </si>
  <si>
    <t>v_U0IJmOHoa1M</t>
  </si>
  <si>
    <t>The cricket team of Sri Lanka is playing against another country.</t>
  </si>
  <si>
    <t>the cricketers are playing a competitive game in the field.</t>
  </si>
  <si>
    <t>The Sri Lanka team is represented by the blue uniform.</t>
  </si>
  <si>
    <t>The batsman scores four runs as the bowler throws an overhand ball.</t>
  </si>
  <si>
    <t>The video shows different cricket matches taking place where Sri Lanka is playing against teams from different countries.</t>
  </si>
  <si>
    <t>The stadium is filled with spectators cheering for the cricketers.</t>
  </si>
  <si>
    <t>The match goes on full swing as the batsmen score four runs.</t>
  </si>
  <si>
    <t>The fielder runs to catch the ball after the batsman hits it high, almost catching the ball to make him clean bold.</t>
  </si>
  <si>
    <t>v_iiY3TE2O1QE</t>
  </si>
  <si>
    <t>A camera is held by someone under water and swimming in the ocean.</t>
  </si>
  <si>
    <t>It pans to several shots of men playing soccer on a beach and kick the ball around.</t>
  </si>
  <si>
    <t>The camera pans over the ball followed by several more shots of the man playing.</t>
  </si>
  <si>
    <t>v_MyqWp3ipXxA</t>
  </si>
  <si>
    <t>A large rock is shown followed by people moving around objects and leading into a new segment.</t>
  </si>
  <si>
    <t>A man is then seen cutting up a pumpkin while a woman speaks and leads into a weather report.</t>
  </si>
  <si>
    <t>The man then shows the pumpkin around a group of people as well as close up.</t>
  </si>
  <si>
    <t>v_ohNtDBYmhX0</t>
  </si>
  <si>
    <t>A male skateboarder is skating, he jumped on the railing and then slipped and fell on his back and a hand helped him up.</t>
  </si>
  <si>
    <t>A boy jumped in a platform with his skateboard and slipped and fell.</t>
  </si>
  <si>
    <t>The skateboarders jumped on the platform or railings and slipped and fell on the ground.</t>
  </si>
  <si>
    <t>v_nfTFGY2n_io</t>
  </si>
  <si>
    <t>A family talks about making healthy food.</t>
  </si>
  <si>
    <t>They start by making smoothies and read ingredients from coconut sugar.</t>
  </si>
  <si>
    <t>They blend food and prepare the food and then blend the smoothie.</t>
  </si>
  <si>
    <t>v_m7XKITsRtVw</t>
  </si>
  <si>
    <t>A man and a woman are drinking coffee outside next to a camper.</t>
  </si>
  <si>
    <t>The man is playing guitar.</t>
  </si>
  <si>
    <t>The woman walks to the camera and starts showing off paper documents.</t>
  </si>
  <si>
    <t>She throws the papers and walks back to the man.</t>
  </si>
  <si>
    <t>v_PLgcXxX3A2A</t>
  </si>
  <si>
    <t>A boy on a team throws a basketball at other team members.</t>
  </si>
  <si>
    <t>Others join in, some falling as they are hit with the ball.</t>
  </si>
  <si>
    <t>v_8ClpQ4q6NmM</t>
  </si>
  <si>
    <t>A man is seen kneeling down next to a dog scrubbing his back while another man pours water over the dog's body.</t>
  </si>
  <si>
    <t>The man continues scrubbing as the other pours water and ends with the dog running away.</t>
  </si>
  <si>
    <t>v_j_vP89LZlp8</t>
  </si>
  <si>
    <t>A woman brushes her long hair at home.</t>
  </si>
  <si>
    <t>The woman sits down on the sofa.</t>
  </si>
  <si>
    <t>The woman gets up and turns away.</t>
  </si>
  <si>
    <t>The person turns around walks out of view.</t>
  </si>
  <si>
    <t>v_-vDMeHr1ZfI</t>
  </si>
  <si>
    <t>a lot of desserts are in a sliding belt in a counter.</t>
  </si>
  <si>
    <t>a sunset in a beach and in a lake is shown.</t>
  </si>
  <si>
    <t>people is doing kayaking in a lake going though the lake with big gren vegetation.</t>
  </si>
  <si>
    <t>v_rggwT0-G5sk</t>
  </si>
  <si>
    <t>Two young men are shown running back and fourth down a court hitting a tennis ball.</t>
  </si>
  <si>
    <t>They keep hitting the ball against the wall and chasing the ball around.</t>
  </si>
  <si>
    <t>One pauses and hits the ball on his racket and again throws it for the boys to play.</t>
  </si>
  <si>
    <t>One falls down on the ground towards the end and the other helps him up.</t>
  </si>
  <si>
    <t>v_WQAVlmS5IWs</t>
  </si>
  <si>
    <t>A woman talks to the camera while bathing a baby in the bathtub.</t>
  </si>
  <si>
    <t>The woman demonstrates a small scrubbing pad to the camera.</t>
  </si>
  <si>
    <t>The woman uses the pad on the baby.</t>
  </si>
  <si>
    <t>v_6Dt510HMEWA</t>
  </si>
  <si>
    <t>Some people are floating on the ocean on a yellow raft.</t>
  </si>
  <si>
    <t>They float by large rocks and cliffs.</t>
  </si>
  <si>
    <t>v_g8Yx4qWzNH0</t>
  </si>
  <si>
    <t>A man is bent down on a mat.</t>
  </si>
  <si>
    <t>He picks up a large weight and lifts it over his head.</t>
  </si>
  <si>
    <t>He drops the weight onto the ground.</t>
  </si>
  <si>
    <t>A man in a blue shirt claps.</t>
  </si>
  <si>
    <t>v_J8WxSDLZwu0</t>
  </si>
  <si>
    <t>This baby hits the ball and falls down.</t>
  </si>
  <si>
    <t>Then he gets back up and grabs the stick to attempt hitting the ball again.</t>
  </si>
  <si>
    <t>Next he falls again and gets back up while holding the stick and he grabs the ball hitting it really far.</t>
  </si>
  <si>
    <t>v_ZazjI26IQUo</t>
  </si>
  <si>
    <t>A parent is tattooing their very small child that looks like he is about 3 .</t>
  </si>
  <si>
    <t>He is crying because it hurts and his mean mother is keeping him held down while they tattoo his arm.</t>
  </si>
  <si>
    <t>They keep going with the tattoo it is on his upper arm but you can't tell what they are tattooing.</t>
  </si>
  <si>
    <t>The artist grabs something green and starts to shake it.</t>
  </si>
  <si>
    <t>v_dI1RqUHyWYo</t>
  </si>
  <si>
    <t>Several people at an indoor pool jump off of a diving board into the pool water below exhibiting a mix of advanced diving techniques and diving technique mishaps.</t>
  </si>
  <si>
    <t>Several divers jump off of the diving board into the water below performing many techniques including flips.</t>
  </si>
  <si>
    <t>More, less successful dives are shown near the end of the clip before the scene fades to black.</t>
  </si>
  <si>
    <t>v_29k1TypoU4w</t>
  </si>
  <si>
    <t>A man is seen kneeling on a mat and demonstrating how to do a proper exercise but moving his arms and legs.</t>
  </si>
  <si>
    <t>The man moves back and fourth while moving his arms and legs and speaking to the camera.</t>
  </si>
  <si>
    <t>v_0gA_3BAxtVM</t>
  </si>
  <si>
    <t>People are riding bicycles around a dirt track.</t>
  </si>
  <si>
    <t>Two men crash into each other and fall down.</t>
  </si>
  <si>
    <t>Several people crash into each other and fall down on the track.</t>
  </si>
  <si>
    <t>v_54Hp_Z-cu-s</t>
  </si>
  <si>
    <t>People are interacting in a track field.</t>
  </si>
  <si>
    <t>The marching band are walking with their instruments down a track.</t>
  </si>
  <si>
    <t>The drummers are performing as they walk.</t>
  </si>
  <si>
    <t>v_HMc2QoiQcoA</t>
  </si>
  <si>
    <t>A woman is seated on a bed in a bedroom.</t>
  </si>
  <si>
    <t>She runs her hands through her hair as she talks.</t>
  </si>
  <si>
    <t>She opens a cigarette case and smokes a cigarette while she talks.</t>
  </si>
  <si>
    <t>v_HGG_st1NOYM</t>
  </si>
  <si>
    <t>Women in bikinis are playing volleyball on the beach.</t>
  </si>
  <si>
    <t>One of the women falls onto the sand.</t>
  </si>
  <si>
    <t>They pose for a picture on the beach.</t>
  </si>
  <si>
    <t>v_PlSk7Q9v15A</t>
  </si>
  <si>
    <t>We see two opening title screens.</t>
  </si>
  <si>
    <t>We see a man behind a bar talking.</t>
  </si>
  <si>
    <t>The man adds ice to a martin glass and a tall glass.</t>
  </si>
  <si>
    <t>the man adds three shots to the glass and shakes it.</t>
  </si>
  <si>
    <t>The man puts a strainer on the glass and pours the ice out of the martini glass.</t>
  </si>
  <si>
    <t>The man pours the lime green drink in the martini glass and adds a cherry and straw.</t>
  </si>
  <si>
    <t>We see the closing screen.</t>
  </si>
  <si>
    <t>v_loUYsxA2RHg</t>
  </si>
  <si>
    <t>An elderly man is setting up his camera and then goes off to get on his riding mower.</t>
  </si>
  <si>
    <t>He appears on the left side riding down the sidewalk until he reaches his lawn.</t>
  </si>
  <si>
    <t>He makes a turn and starts working through the grass, going in circles until he reaches the center of the lawn.</t>
  </si>
  <si>
    <t>He then goes back and reaches a small patch of grass that he missed the first time.</t>
  </si>
  <si>
    <t>He goes back through one more time making sure that he didn't miss any spots, and gets off his lawn mower to turn the camera off.</t>
  </si>
  <si>
    <t>v_6rG5dBgwBDc</t>
  </si>
  <si>
    <t>Snowflakes are shown falling down the screen before we see a christmas tree.</t>
  </si>
  <si>
    <t>A woman is talking before she starts preparing and decorating the tree.</t>
  </si>
  <si>
    <t>She applies a plethora of ornaments and lights, and the tree is shown several different states of decoration.</t>
  </si>
  <si>
    <t>v_kHSCvFav1p4</t>
  </si>
  <si>
    <t>Two people are seen standing around a gym hitting a birdie to one another.</t>
  </si>
  <si>
    <t>The men hit the object back and fourth while others watch on the side.</t>
  </si>
  <si>
    <t>The people continue to watch the two play and one off the side takes his shirt off.</t>
  </si>
  <si>
    <t>v_uZC3WPkta-I</t>
  </si>
  <si>
    <t>A group of people are outside playing a game of croquet in the yard.</t>
  </si>
  <si>
    <t>One of the women in a kirt has her hand behind her back just watching them play.</t>
  </si>
  <si>
    <t>The other woman is the only female playing, she take her turn and then it's back to the men.</t>
  </si>
  <si>
    <t>The man in sandals hit the black ball and then it is once again the woman's turn.</t>
  </si>
  <si>
    <t>v_p4RUPQAV0ro</t>
  </si>
  <si>
    <t>A man walks up and picks up a weight.</t>
  </si>
  <si>
    <t>He lifts it up to his shoulders and then over his head.</t>
  </si>
  <si>
    <t>A person stands up and puts his fist in the air.</t>
  </si>
  <si>
    <t>Another man next to him picks up a weight and lifts it over his head.</t>
  </si>
  <si>
    <t>The men shake hands before walking off.</t>
  </si>
  <si>
    <t>v_2zQk4ZEfzf4</t>
  </si>
  <si>
    <t>A man is seen standing in a sand pit and begins spinning around and throwing the object.</t>
  </si>
  <si>
    <t>The man is shown several times spinning around and throwing the object off into the distance.</t>
  </si>
  <si>
    <t>v_awag66wjX4k</t>
  </si>
  <si>
    <t>A bike company is showing off their bikes and how to fix them.</t>
  </si>
  <si>
    <t>There is an intro of the bike company's logo.</t>
  </si>
  <si>
    <t>Then a man gives a quick into talk about the bikes.</t>
  </si>
  <si>
    <t>A person with gloves then shows off some tools and paste.</t>
  </si>
  <si>
    <t>He then uses the tools and paste to fix the bike's handle.</t>
  </si>
  <si>
    <t>The person then shows off the finished product of a fully adjustable handle.</t>
  </si>
  <si>
    <t>The ending screen shows the bike company's logo again.</t>
  </si>
  <si>
    <t>v_bPvxr2-L_HU</t>
  </si>
  <si>
    <t>A person in Blue pants attemps to pile drive a guy in a pink suit.</t>
  </si>
  <si>
    <t>The guy in the pink suit gets revenge.</t>
  </si>
  <si>
    <t>v_14dA-qLmNZo</t>
  </si>
  <si>
    <t>A large group of people are seen riding along the water on boats.</t>
  </si>
  <si>
    <t>One person crashes into another and shows a person speaking to the camera.</t>
  </si>
  <si>
    <t>More clips are shown of the boats together and logos being shown.</t>
  </si>
  <si>
    <t>v_lTFCUuLtUJs</t>
  </si>
  <si>
    <t>A large group of people are seen standing around a track leading into several people running down the road.</t>
  </si>
  <si>
    <t>A woman is seen speaking to the camera while several people are seen running and drinking water.</t>
  </si>
  <si>
    <t>More people speaking to the camera while showing them run in different locations.</t>
  </si>
  <si>
    <t>v_y0VZOcxbjRM</t>
  </si>
  <si>
    <t>There are five ladies playing shuffleboard in an indoor shuffleboard court.</t>
  </si>
  <si>
    <t>There are three women in green and two women dressed in cream colored shirts playing against each other.</t>
  </si>
  <si>
    <t>A lady from the green team begins to aim the stick to hit the puck while another team member helps her rearrange the pucks.</t>
  </si>
  <si>
    <t>Then she shoots the puck with the stick and steps back to give her opponent a chance.</t>
  </si>
  <si>
    <t>A player from the cream team then hits the puck with her stick but is not very successful.</t>
  </si>
  <si>
    <t>A man steps in and replaces the puck on the shuffleboard.</t>
  </si>
  <si>
    <t>Then another player from the green team comes forward to play.</t>
  </si>
  <si>
    <t>v_zU6SnkNIdrw</t>
  </si>
  <si>
    <t>A man is wearing an apron and standing in his kitchen.</t>
  </si>
  <si>
    <t>Several food items in bowls are shown.</t>
  </si>
  <si>
    <t>A white bowl is filled with sugar, eggs, and peanut butter, then blended.</t>
  </si>
  <si>
    <t>He presses balls of cookie dough onto a pan and bakes them.</t>
  </si>
  <si>
    <t>He eats one of the cookies for the camera while he talks about them.</t>
  </si>
  <si>
    <t>v_Gkv5ibx0tYw</t>
  </si>
  <si>
    <t>A woman with short blonde hair is sitting in a chair talking.</t>
  </si>
  <si>
    <t>She holds up a hair curler and puts it in her hair.</t>
  </si>
  <si>
    <t>She takes it out and continues talking.</t>
  </si>
  <si>
    <t>v_BbeZ2t__2iA</t>
  </si>
  <si>
    <t>A close up of a man is seen holding a coffee cup and leads into him taking a sip.</t>
  </si>
  <si>
    <t>He nods his head in approval to the coffee and is shown again drinking more coffee next to a person.</t>
  </si>
  <si>
    <t>v_ilXO32we9uo</t>
  </si>
  <si>
    <t>Two men are sailing on the blue water, with their white boat with white flags, then they avoided the buoys on the water.</t>
  </si>
  <si>
    <t>A plan written on a white paper with black pen, and then the plan is put into action, when the white boat sail on the water and turn around.</t>
  </si>
  <si>
    <t>v_qZaWIb28kfU</t>
  </si>
  <si>
    <t>A man and a boy walks around a wood fire holding sheets and wearing corned hats, while a crowd stand in a circle.</t>
  </si>
  <si>
    <t>Then, the man stand and talks to people.</t>
  </si>
  <si>
    <t>Suddenly, fire and smoke come out from the wood fire with sparkles.</t>
  </si>
  <si>
    <t>v_J4vq7MLMAtY</t>
  </si>
  <si>
    <t>Several people are shown at a party playing different games and having fun.</t>
  </si>
  <si>
    <t>A man begins to talk to one of the women as she is playing one of the games.</t>
  </si>
  <si>
    <t>The game begins to get heated while several of the women laugh and joke around.</t>
  </si>
  <si>
    <t>One of the women takes a picture of the laughing women playing the game.</t>
  </si>
  <si>
    <t>A man helps as the women try to get the hang of playing the game.</t>
  </si>
  <si>
    <t>v_3S5RoKVsAys</t>
  </si>
  <si>
    <t>We see a man in a barber shop and see images of the shop.</t>
  </si>
  <si>
    <t>The barber speaks cut with scenes of a barber shop.</t>
  </si>
  <si>
    <t>We see a Union Jack flag on the arm of a chair.</t>
  </si>
  <si>
    <t>A large dog walks through the room.</t>
  </si>
  <si>
    <t>We see the man shaving a man with a straight razor.</t>
  </si>
  <si>
    <t>v_bzJTmN6wAC4</t>
  </si>
  <si>
    <t>A man is seated in front of a canvas.</t>
  </si>
  <si>
    <t>He is using a palette to paint an ombre scene.</t>
  </si>
  <si>
    <t>He then covers the ombre to a silhouette of a tree on a hill.</t>
  </si>
  <si>
    <t>v_c_KU8M2YfzA</t>
  </si>
  <si>
    <t>A black screen is visible and white words begin to appear.</t>
  </si>
  <si>
    <t>Next,there's a line of ten boys standing together behind a rope outside in a large grassy field.</t>
  </si>
  <si>
    <t>The boys form a circle and begin leaning to the left in a lounge position to exercise.</t>
  </si>
  <si>
    <t>When they are finished,they begin pulling tug of war and the man on the left side with black suit wins.</t>
  </si>
  <si>
    <t>Another group of boys are shown and they begin crouching down in effort to win the game.</t>
  </si>
  <si>
    <t>v_2WeG8QGOfcI</t>
  </si>
  <si>
    <t>We see an instructor leading an aerobics class.</t>
  </si>
  <si>
    <t>The people do a popping waist dance.</t>
  </si>
  <si>
    <t>The people go back and forth.</t>
  </si>
  <si>
    <t>A man walks past the door.</t>
  </si>
  <si>
    <t>A man in blue enters the room.</t>
  </si>
  <si>
    <t>The people lift their legs high.</t>
  </si>
  <si>
    <t>The instructor finishes and walks back and forth.</t>
  </si>
  <si>
    <t>v_VwclmKWo_-M</t>
  </si>
  <si>
    <t>There are three young men in a house.</t>
  </si>
  <si>
    <t>One the men is sitting on a couch in the living room eating a packet of Doritos.</t>
  </si>
  <si>
    <t>And there are two other men who are staring at him while he eats.</t>
  </si>
  <si>
    <t>One of the men gets up and washes his hands.</t>
  </si>
  <si>
    <t>He then opens a can of coke and drinks from it.</t>
  </si>
  <si>
    <t>Then he begins chopping tomatoes and lettuce to make a sandwich.</t>
  </si>
  <si>
    <t>He slices some ham and makes two toasts in a toaster.</t>
  </si>
  <si>
    <t>Then he puts mayonnaise on the bread and tops it with the meat, lettuce and tomato.</t>
  </si>
  <si>
    <t>He cuts the sandwich in half and serves it on a plate.</t>
  </si>
  <si>
    <t>Then he offers the sandwich plate to the man seated on the couch eating the Doritos.</t>
  </si>
  <si>
    <t>The man takes the plate and takes a bite of the sandwich as the other man stands next to him and watches.</t>
  </si>
  <si>
    <t>v_Bri_myFFu4A</t>
  </si>
  <si>
    <t>A person retrieves an instrument from a closet.</t>
  </si>
  <si>
    <t>The man examines the instrument in his hand.</t>
  </si>
  <si>
    <t>The person holds up the violin to his chin and gets ready.</t>
  </si>
  <si>
    <t>The person plays a song on the violin.</t>
  </si>
  <si>
    <t>The man finishes the song and lowers the instrument.</t>
  </si>
  <si>
    <t>v_AsTfp_4Um1A</t>
  </si>
  <si>
    <t>Two little girls take pack a suitcase and take a trip to New York City.</t>
  </si>
  <si>
    <t>Two little girls stand in a room dressed in costumes that later morph into ballerina outfits.</t>
  </si>
  <si>
    <t>The two girls begin to dance together while singing or speaking into the camera.</t>
  </si>
  <si>
    <t>The clip fades to the two girls folding and packing clothes in a suitcase in a bedroom in a house, The girls pack tutus in a pink suitcase and then cut to them in a horse drawn carriage in the streets of New York, talking and pointing to landmarks.</t>
  </si>
  <si>
    <t>The trip ends and the two girls run into a building and then sing together on the edge of a water fountain before running off.</t>
  </si>
  <si>
    <t>v_ybF4RykZxK8</t>
  </si>
  <si>
    <t>A man is seen riding down on a skateboard while the camera follows his movements.</t>
  </si>
  <si>
    <t>The man skates around the street through obstacles and down the street.</t>
  </si>
  <si>
    <t>More people continue riding down the street while the camera follows them.</t>
  </si>
  <si>
    <t>v_qf5wMRlZYnQ</t>
  </si>
  <si>
    <t>A belly dancer is seen moving herself along a stage and performing a routine while many watch.</t>
  </si>
  <si>
    <t>She continues the routine and ends by shaking her hair around and bending backwards to pose.</t>
  </si>
  <si>
    <t>v_f6JZ3LWJRVE</t>
  </si>
  <si>
    <t>Two men hunt and shoot a buffalo in a sandy, desert like setting.</t>
  </si>
  <si>
    <t>A room filled with stuffed and hunted animals displays in a room with many of them mounted on walls.</t>
  </si>
  <si>
    <t>Two brown buffalos are standing next to each other on a sandy ground in extremely windy weather.</t>
  </si>
  <si>
    <t>Two men watch the two buffalos from a distance with weapons mounted aiming to shoot as a camera man stands behind them filming the incident.</t>
  </si>
  <si>
    <t>One of the buffalos is shot by an yellow tipped weapon while walking away.</t>
  </si>
  <si>
    <t>One of the men is then shown standing over the dead animal.</t>
  </si>
  <si>
    <t>v_ESgcgoYgg0o</t>
  </si>
  <si>
    <t>woman is sitting in front of other in a consulting room and take the glasses out and wash her hands.</t>
  </si>
  <si>
    <t>woman gives her contact lenses and he other woman holds it with the index finger put some some liquid and put it in the eye, then do the same with the other contact put the lenses and talk to the other woman.</t>
  </si>
  <si>
    <t>v_JNSaWuU8ky4</t>
  </si>
  <si>
    <t>Three people are seen kneeling on a small raft and flip themselves into the water.</t>
  </si>
  <si>
    <t>More people are seen padding along and move over to the people in the water.</t>
  </si>
  <si>
    <t>The people in the water climb back in and finally put themselves in a canoe.</t>
  </si>
  <si>
    <t>v_KTIzccovgeg</t>
  </si>
  <si>
    <t>A lake is seen with the view of a city skyline across the way.</t>
  </si>
  <si>
    <t>A group of walkers walk along the sidewalk near the lake.</t>
  </si>
  <si>
    <t>A man uses a snow blower on a sidewalk area.</t>
  </si>
  <si>
    <t>People use snow shovels to clear the sidewalk.</t>
  </si>
  <si>
    <t>A spade gardening tool is used to break up ice.</t>
  </si>
  <si>
    <t>A man applies salt to the cleared sidewalk area.</t>
  </si>
  <si>
    <t>v_0hWGSkDnRHA</t>
  </si>
  <si>
    <t>Two people are seen passing a ball back and fourth in a pool and leads into one speaking to the camera.</t>
  </si>
  <si>
    <t>The man demonstrates how to properly throw the ball with his hands while still speaking to the camera.</t>
  </si>
  <si>
    <t>v_WsXxnCQ_MIc</t>
  </si>
  <si>
    <t>A young woman uses hair products on and blow dries her hair straight with a dryer that has a comb attached to the end of it.</t>
  </si>
  <si>
    <t>The woman begins by removing a terry cloth turban from her head and revealing a wet may batch of hair.</t>
  </si>
  <si>
    <t>The woman then begins to put section of her hair in twist braids.</t>
  </si>
  <si>
    <t>The women then starts blowdrying sections of her hair with a comb attached blow dryer.</t>
  </si>
  <si>
    <t>The woman swings her straightened hair and smiles.</t>
  </si>
  <si>
    <t>v_9WmsYbZl1pw</t>
  </si>
  <si>
    <t>There's a sandwich that is still whole and has been cut in half into a triangular shape and white words pop up on the screen noting that it's a "Reuben sandwich".</t>
  </si>
  <si>
    <t>A man in the kitchen appears and he's putting seasonings into a pan and he starts swishing the pan around.</t>
  </si>
  <si>
    <t>An introduction of 6 different small videos of foods appear and there's text below that say's "Steve's cooking".</t>
  </si>
  <si>
    <t>A large piece of raw meat appears on a white plate and the word Reuben flashes a few times on it as it's shown in various different angles.</t>
  </si>
  <si>
    <t>The man then places the meat into a large pot and pours liquids onto it until it's fully covered and begins to season it with various seasonings and at the same time the names of the seasonings appear on the screen as each seasonings fall.</t>
  </si>
  <si>
    <t>Then there's a close up shot of a large knife that is crushing a bunch of garlic cloves that also get thrown into the pot and the seasonings and meat are gently stirred then quickly shows that the water is now boiling and text shows up that say's "About one hour per pound", and a lid gets put onto the pot.</t>
  </si>
  <si>
    <t>A pair of tongs pull out a piece of meat from the pot and is placed onto a white square plate where it gets put onto a cutting board and gets thinly sliced with a large serrated knife.</t>
  </si>
  <si>
    <t>An empty large clear bowl is shown and mayonnaise, ketchup, relish, worcesterchire sauce, and hot sauce get spooned into the bowl.</t>
  </si>
  <si>
    <t>A purple onion, celery and parsley then get chopped up individually and each individually gets thrown into the bowl where it begins to get mixed by a whisk and then seasoned with salt and pepper and mixed some more.</t>
  </si>
  <si>
    <t>A finger dips into the bowl to get a sample out and mixing continues for a bit longer.</t>
  </si>
  <si>
    <t>A small brush with melted butter begins to butter bread on both sides which gets put onto a flat grill and flipped until both sides are grilled.</t>
  </si>
  <si>
    <t>Some white shredded food gets thrown onto the grill and is stirred around by a black spatula.</t>
  </si>
  <si>
    <t>Thin slices of meat appear next to the white shredded food and they get topped with 3 slices of swiss cheese and covered with a white bowl until the cheese melts, then the white shredded food is scooped up and put onto the meat and cheese.</t>
  </si>
  <si>
    <t>The mixed sauce from the clear bowl is then shown being spread onto the bread with a spoon and the meat,cheese and shredded white food is put onto the bread, topped with the other bread, and then sliced in half diagonally.</t>
  </si>
  <si>
    <t>The sandwich is then spread apart and a hand picks up one half to show it at different angles, it gets bitten a few times and then put back on the plate where the rest of the video just shows it at differently angles and short previous seen clip of the meat being sliced.</t>
  </si>
  <si>
    <t>v_B2qCBkXrb8s</t>
  </si>
  <si>
    <t>A large man is seen standing and bowing in front of another large man while one holds his hands out inbetween the two men.</t>
  </si>
  <si>
    <t>Several people sit around the circle and the circle and the men wrestle one another.</t>
  </si>
  <si>
    <t>One pushes the other to the ground and the audience cheers.</t>
  </si>
  <si>
    <t>The man pushes another out of the circle and the audience claps once again.</t>
  </si>
  <si>
    <t>v_LgoMRWkBDkQ</t>
  </si>
  <si>
    <t>A man takes out the ice over the windows of a car.</t>
  </si>
  <si>
    <t>A person stand watching a man takes out ice on a car.</t>
  </si>
  <si>
    <t>v_LPeyqO2pRd4</t>
  </si>
  <si>
    <t>A woman add ice on a glass while talking.</t>
  </si>
  <si>
    <t>Then, the woman adds syrup in the glass using a measure cup.</t>
  </si>
  <si>
    <t>After, the woman add liquid to the glass, then pours the it in a black cup.</t>
  </si>
  <si>
    <t>After, the woman serves the mix in another glass.</t>
  </si>
  <si>
    <t>v_yRup8RDsCzk</t>
  </si>
  <si>
    <t>Two men are doing martial arts with others around them watching.</t>
  </si>
  <si>
    <t>Many other men are shown doing several flips and tricks around each other.</t>
  </si>
  <si>
    <t>Two men flip near each other while others around them watch.</t>
  </si>
  <si>
    <t>v_PqP3JIJEU5I</t>
  </si>
  <si>
    <t>A man is smoothing a substance on a roof with a trowel.</t>
  </si>
  <si>
    <t>He moves quickly to smooth out dents.</t>
  </si>
  <si>
    <t>The man moves to the bottom and smooths back up the top.</t>
  </si>
  <si>
    <t>He finishes and walks away.</t>
  </si>
  <si>
    <t>v_-yOwB5rvMAo</t>
  </si>
  <si>
    <t>A blonde woman stands by a bridge yelling.</t>
  </si>
  <si>
    <t>A brunette extends purple and red yarn to the woman.</t>
  </si>
  <si>
    <t>The woman is hallucinating this and is then doing an interview.</t>
  </si>
  <si>
    <t>A group of people in a classroom cheerfully knit away and play with yarn.</t>
  </si>
  <si>
    <t>The blonde woman hallucinates seeing the woman who gave her the yarn, and starts laughing hysterically.</t>
  </si>
  <si>
    <t>The group cheerfully displays their yarn.</t>
  </si>
  <si>
    <t>v_JHFjlLtpIcU</t>
  </si>
  <si>
    <t>A crowd watches a gymnastics show.</t>
  </si>
  <si>
    <t>A gymnast runs up to a high bar and alternates between the high and low bar, performing various gymnastics moves and flips.</t>
  </si>
  <si>
    <t>She flips off the bar and lands on her feet.</t>
  </si>
  <si>
    <t>Her fellow gymnasts run up to her in excitement.</t>
  </si>
  <si>
    <t>v_B-nlhZ0RR4A</t>
  </si>
  <si>
    <t>A man in a blue outfit puts chalk on his hands.</t>
  </si>
  <si>
    <t>A man in a yellow shirt is watching.</t>
  </si>
  <si>
    <t>The man in the blue outfit picks up a large weight and lifts it over his head.</t>
  </si>
  <si>
    <t>The crowd cheers for him.</t>
  </si>
  <si>
    <t>He gives a man in a suit a hug.</t>
  </si>
  <si>
    <t>v_aH7puGPu39Y</t>
  </si>
  <si>
    <t>Three men wearing snowboards get out a ski lift, and a man tie his shoe.</t>
  </si>
  <si>
    <t>Then, the men ski down a hill covered with snow.</t>
  </si>
  <si>
    <t>A man bend his legs on the snow, then continue skiing with other men.</t>
  </si>
  <si>
    <t>v_UoO7VCPs8Jw</t>
  </si>
  <si>
    <t>A man holding a shot put stands on a base.</t>
  </si>
  <si>
    <t>The man turns his back to the camera and prepares to throw.</t>
  </si>
  <si>
    <t>The man throws the ball and and spins around.</t>
  </si>
  <si>
    <t>v_b5E7-GxvCdk</t>
  </si>
  <si>
    <t>A woman is on her hands and knees cutting grass with some scissors.</t>
  </si>
  <si>
    <t>The camera pans out to give a full view of her cutting the grass.</t>
  </si>
  <si>
    <t>She makes a joke about the grass having split ends and bad roots.</t>
  </si>
  <si>
    <t>The camera goes back to a close up of the grass and the video ends.</t>
  </si>
  <si>
    <t>v_17nr8u_ze0o</t>
  </si>
  <si>
    <t>A camera pans around several wooded areas and leads into a boy holding a leaf blower and smiling to the camera.</t>
  </si>
  <si>
    <t>The camera pans to an older man and then back to the boys blowing leaves.</t>
  </si>
  <si>
    <t>v_UG82vrvkYFk</t>
  </si>
  <si>
    <t>A man in green trunks throws a man in red trunks in a wrestling ring.</t>
  </si>
  <si>
    <t>The man in green trunks rolls out of the ring.</t>
  </si>
  <si>
    <t>The man in green trunks spears the other man.</t>
  </si>
  <si>
    <t>The man in green trunks power bombs the other man.</t>
  </si>
  <si>
    <t>The man in green trunks pins the other man and wins the match.</t>
  </si>
  <si>
    <t>v_Tix8XrlBZxg</t>
  </si>
  <si>
    <t>It's snowing outside of a home with a gray parked van and the man is holding tools, puts the camera down and then begins to clean the snow off of the van.</t>
  </si>
  <si>
    <t>The man moves the camera and adjusts the position and then walks back to the van begins cleaning the snow off of the entire top of the van.</t>
  </si>
  <si>
    <t>The man walks back to the camera and moves it once more so it can capture a different view and he continues to wipe the snow off of the side and top of the van.</t>
  </si>
  <si>
    <t>The piece of the tool breaks off and the man grabs it and shows it to the camera and continues talking, goes off camera, and then shows the camera he has fixed the tool and then moves the camera again.</t>
  </si>
  <si>
    <t>A woman shows up and she touches the van with her hands and starts to wipe off the snow with just her hands.</t>
  </si>
  <si>
    <t>v_CBckvP5FR4A</t>
  </si>
  <si>
    <t>First a screen is shown, showing what song the man will be playing using the guitar.</t>
  </si>
  <si>
    <t>Then the man is shown sitting down playing the guitar and he never looks up at the camera.</t>
  </si>
  <si>
    <t>Finally the video ends and the only thing seen is darkness.</t>
  </si>
  <si>
    <t>v_bNuRrXSjJl0</t>
  </si>
  <si>
    <t>A woman is seen standing ready on a diving board and leads into her holding out her arms and performing an impressive dive.</t>
  </si>
  <si>
    <t>The woman is seen several more times diving into the pool and coming to the surface.</t>
  </si>
  <si>
    <t>v_dufQjqa3v6w</t>
  </si>
  <si>
    <t>A man talks in an office holding a harmonica.</t>
  </si>
  <si>
    <t>Then, the man opens a stand and turns on the radio.</t>
  </si>
  <si>
    <t>After, the man plyas the harmonica.</t>
  </si>
  <si>
    <t>v_qRuPuzY6yiE</t>
  </si>
  <si>
    <t>A large group of army solider are seen holding a large rope on one side of each other while other soldiers watch.</t>
  </si>
  <si>
    <t>A man stands in the middle and the people begin pulling the rope from one another.</t>
  </si>
  <si>
    <t>One side pulls the others down and the rest of the team cheer while the camera pans around.</t>
  </si>
  <si>
    <t>v_R0dqEWnDC7k</t>
  </si>
  <si>
    <t>The video shows two countries represented by blue and green uniforms playing the game of cricket professionally.</t>
  </si>
  <si>
    <t>The batsmen is batting while the bowler is doing an overhand throw.</t>
  </si>
  <si>
    <t>The next scene shows a team of cricketers wearing white uniforms getting ready to play as they gather in a circle with their captain.</t>
  </si>
  <si>
    <t>v_ejMpWeFZLec</t>
  </si>
  <si>
    <t>A girl walks into the center of a room with a hula hoop.</t>
  </si>
  <si>
    <t>She does several acts and stunts with the hoop, bringing her head and arms in and out.</t>
  </si>
  <si>
    <t>v_tLdbdQ9fVZE</t>
  </si>
  <si>
    <t>A person is seen standing next to a tree while waving and speaking to the camera.</t>
  </si>
  <si>
    <t>The person then holds up dirt and leads into several clips of her raking around a tree and pointing to it.</t>
  </si>
  <si>
    <t>v_8wxFQrFEo3M</t>
  </si>
  <si>
    <t>An intro screen of clouds appear and the blue words across it say "HOOKAH TRICK MONTAGE HD".</t>
  </si>
  <si>
    <t>Various words show up in between many different clips of many different people blowing smoke out of their mouths and doing many different tricks; and when the words are put together they say "ITS TIME TO MAKE IT RIGHT".</t>
  </si>
  <si>
    <t>When the clips are done a black screen appears and blue letters appear and it say's "Thanks for watching".</t>
  </si>
  <si>
    <t>v_kM7jFLYDUy0</t>
  </si>
  <si>
    <t>A boy is in a bumper car, spinning around by himself.</t>
  </si>
  <si>
    <t>He moves back and forward in his car.</t>
  </si>
  <si>
    <t>He looks lonely as he finally comes to a stop.</t>
  </si>
  <si>
    <t>v_qumU7AgV3Mk</t>
  </si>
  <si>
    <t>People interact in a circling ice arena.</t>
  </si>
  <si>
    <t>A lady talks to a group of males.</t>
  </si>
  <si>
    <t>A guy slips, falls on the ice arena, and laughs.</t>
  </si>
  <si>
    <t>A man opens his mouth very wide to show his excitement.</t>
  </si>
  <si>
    <t>A lady stops the circling stone with a broom.</t>
  </si>
  <si>
    <t>The credits with two mini clips are shown.</t>
  </si>
  <si>
    <t>v_FNHoSA0hLgM</t>
  </si>
  <si>
    <t>An older boy and a younger one are on a racquetball court.</t>
  </si>
  <si>
    <t>They hit the ball back and forth against the wall.</t>
  </si>
  <si>
    <t>They continue fighting over the ball, trying to beat each other in the game.</t>
  </si>
  <si>
    <t>v_aeKIYkn99_Q</t>
  </si>
  <si>
    <t>We see the title on a black screen.</t>
  </si>
  <si>
    <t>People are in line at a ski slope.</t>
  </si>
  <si>
    <t>We see people in rafts being pulled up a hill and people riding rafts down the slope.</t>
  </si>
  <si>
    <t>We see a man at the top of the mountain.</t>
  </si>
  <si>
    <t>We see writing stating the camera was dropped.</t>
  </si>
  <si>
    <t>The man films his face as he slides down the hill.</t>
  </si>
  <si>
    <t>We see a young man's face as he rides down the hill.</t>
  </si>
  <si>
    <t>We see people walking to their cars in the parking lot.</t>
  </si>
  <si>
    <t>At the end we see a kid laying on a raft.</t>
  </si>
  <si>
    <t>v_t_2jTjX3a_o</t>
  </si>
  <si>
    <t>A countdown is shown followed by a woman catching balls thrown at her.</t>
  </si>
  <si>
    <t>The number counts down more and shows more clips of women playing dodgeball.</t>
  </si>
  <si>
    <t>Several more numbers and clips are shown ending with people performing impressive throws.</t>
  </si>
  <si>
    <t>v_YnB0VW34wlY</t>
  </si>
  <si>
    <t>A boy is chopping wood in a forest.</t>
  </si>
  <si>
    <t>The boy almost drops the axe.</t>
  </si>
  <si>
    <t>The boy looks at the camera.</t>
  </si>
  <si>
    <t>v_dI1GZfJ-A0E</t>
  </si>
  <si>
    <t>A person is seen walking back to the end of their car and putting their hands on their hips.</t>
  </si>
  <si>
    <t>They realize they have a flat tire and pull out a jack attempting to get it off.</t>
  </si>
  <si>
    <t>The woman falls and fails backwards off a bridge, landing on a truck.</t>
  </si>
  <si>
    <t>v_9bnt6lDcF6Y</t>
  </si>
  <si>
    <t>A man in a blue polo speaks to the camera.</t>
  </si>
  <si>
    <t>In a different setting, the man is instructing a blonde woman on how to perform sit ups.</t>
  </si>
  <si>
    <t>The woman does sit ups.</t>
  </si>
  <si>
    <t>The man returns to speak to the camera.</t>
  </si>
  <si>
    <t>v_Q7eK0xT6VSQ</t>
  </si>
  <si>
    <t>A video is shown how to change a spare tire.</t>
  </si>
  <si>
    <t>The first tire is taken off and replaced, but nothing else is done.</t>
  </si>
  <si>
    <t>v_jwd8ELi0au8</t>
  </si>
  <si>
    <t>We see a dart board on a wall.</t>
  </si>
  <si>
    <t>Two men are playing a game of darts.</t>
  </si>
  <si>
    <t>We see the camera operator.</t>
  </si>
  <si>
    <t>We see a man up close in the camera.</t>
  </si>
  <si>
    <t>We see a man up close.</t>
  </si>
  <si>
    <t>We see a mans socks and a man close to the camera.</t>
  </si>
  <si>
    <t>v_q4FZTmaqEx8</t>
  </si>
  <si>
    <t>A man is seen speaking to the camera and begins kneeling down on a roof.</t>
  </si>
  <si>
    <t>The man then use a tool to scrape off tiles on the roof as well as another tool to put them back down.</t>
  </si>
  <si>
    <t>The man continues taking off tiles on the roof and gluing others down and ends by smiling to the camera.</t>
  </si>
  <si>
    <t>v_fJ45W32t6h0</t>
  </si>
  <si>
    <t>A person kicks off a tubing participant to ride down the snow slide.</t>
  </si>
  <si>
    <t>The camera pans to two tubers who are waiting to go down themselves.</t>
  </si>
  <si>
    <t>The next two people ride down the slide.</t>
  </si>
  <si>
    <t>Finally, The cameraman takes the ride and we get to live vicariously through them.</t>
  </si>
  <si>
    <t>v_x3cOxXOYbwA</t>
  </si>
  <si>
    <t>A weight is seen putting put on a bar and leads into a man kneeling down.</t>
  </si>
  <si>
    <t>The man grabs a set of weights and begins to lift it over his head.</t>
  </si>
  <si>
    <t>He throws the weight up and then back on the ground.</t>
  </si>
  <si>
    <t>v_P6t2HLPZ3Dk</t>
  </si>
  <si>
    <t>A boy dressed in a burgundy polo is at a bowling alley and throws the ball high up in the air and it ends up coming back in the other lane.</t>
  </si>
  <si>
    <t>More bowlers are shown and they begin falling onto the lanes as the attempt to throw the ball.</t>
  </si>
  <si>
    <t>A man then comes along and spins around on his head and ends up hitting the pins with the balls.</t>
  </si>
  <si>
    <t>Finally,a ball is thrown correctly and the man congratulates him.</t>
  </si>
  <si>
    <t>v_RTbvrcdPcrs</t>
  </si>
  <si>
    <t>People are working out in a room.</t>
  </si>
  <si>
    <t>They are stepping up and down on a blue mat.</t>
  </si>
  <si>
    <t>They start raising their hands in the air.</t>
  </si>
  <si>
    <t>v_CtooIi6Mk7U</t>
  </si>
  <si>
    <t>A man is standing in a yard flying a kite.</t>
  </si>
  <si>
    <t>A woman is standing in front of him and flies the kite after.</t>
  </si>
  <si>
    <t>The kite is shown in the sky.</t>
  </si>
  <si>
    <t>Another woman starts flying the kite outside.</t>
  </si>
  <si>
    <t>v_UnpBbcIa3zA</t>
  </si>
  <si>
    <t>An athlete sets up her stance in order to throw a disc during a track and field event.</t>
  </si>
  <si>
    <t>The woman throws the disc far across the field.</t>
  </si>
  <si>
    <t>The athlete celebrates the throw and the crowd cheers.</t>
  </si>
  <si>
    <t>A replay is seen of the woman's throw.</t>
  </si>
  <si>
    <t>v_RmuhtC-TCck</t>
  </si>
  <si>
    <t>A man explains while stands on a fenced court.</t>
  </si>
  <si>
    <t>Then, the man dance hip hop, and then explain doing hip hop demonstrations.</t>
  </si>
  <si>
    <t>After, the man sit on the floor and raise his body with her hands, the spins the legs to do hip hop movements.</t>
  </si>
  <si>
    <t>v_hrcSCXaNhmY</t>
  </si>
  <si>
    <t>A man is in a field with Frisbees in his hand and throws it to his black and white husky dog.</t>
  </si>
  <si>
    <t>The two continue to do tricks and the dog jumps on the mans back.</t>
  </si>
  <si>
    <t>More Frisbee are thrown and the dog catches the Frisbee and the man hugs the dog.</t>
  </si>
  <si>
    <t>v_yPEf9ajKwI8</t>
  </si>
  <si>
    <t>people are moving the furniture out of the living room, even the carpet and everything.</t>
  </si>
  <si>
    <t>They come in and sweep the floor and then start putting down some tarp and wood.</t>
  </si>
  <si>
    <t>They are remodeling the floor from carpet to wood floors.</t>
  </si>
  <si>
    <t>Once the floor is done they bring back all the furniture.</t>
  </si>
  <si>
    <t>v_KcSo4p-hhBs</t>
  </si>
  <si>
    <t>A woman is seen speaking to the camera and leads into her cutting a person's hair.</t>
  </si>
  <si>
    <t>She continues cutting and styling the hair while the man looks off into the distance.</t>
  </si>
  <si>
    <t>v_nR7tqWpNpe8</t>
  </si>
  <si>
    <t>There's a group of rafters wearing yellow vests going on an adventure.</t>
  </si>
  <si>
    <t>They are rowing the raft through the river as the turbulent waves gush towards their raft.</t>
  </si>
  <si>
    <t>They continue rafting through the river as they stay afloat against the fierce waves.</t>
  </si>
  <si>
    <t>The rafters stay afloat despite the turbulent and agitated waves of the river.</t>
  </si>
  <si>
    <t>Some of the rafters are on top of a hill and one of the rafter is diving into the water.</t>
  </si>
  <si>
    <t>The rafters continue their journey through the turbulent waters of the river.</t>
  </si>
  <si>
    <t>There's a person bungee jumping from an elevated crane into the river.</t>
  </si>
  <si>
    <t>v_lfGmSfTjnA8</t>
  </si>
  <si>
    <t>A woman is standing in a messy kitchen in front of the sink preparing to cut something.</t>
  </si>
  <si>
    <t>She grabs a potato and a peeler and begins taking the edges off.</t>
  </si>
  <si>
    <t>As she continues cutting,two young girls walk in the kitchen and begin watching her and grabbing dishes.</t>
  </si>
  <si>
    <t>v_zfqach0dDYo</t>
  </si>
  <si>
    <t>wrestler is in a ring doing a head lock and a man jumps outside the ring and push the men.</t>
  </si>
  <si>
    <t>referee is in the ring and counts the seconds of the wreslers on the floor.</t>
  </si>
  <si>
    <t>v__B2kFN9MfwU</t>
  </si>
  <si>
    <t>A woman is shown hosting a news segment when the camera pans to sunscreen news.</t>
  </si>
  <si>
    <t>Several people are shown on a beach and interviewed by a reporter on sunscreen.</t>
  </si>
  <si>
    <t>Bottles are shown containing sunscreen and people putting it on.</t>
  </si>
  <si>
    <t>The reporter talks to people and pans back to shirts used for sunscreen and people traveling around the world.</t>
  </si>
  <si>
    <t>v_18QVPZgjy8w</t>
  </si>
  <si>
    <t>A man holds a badminton racket in a gym and talks.</t>
  </si>
  <si>
    <t>The man leans to the left and holds the racket out.</t>
  </si>
  <si>
    <t>The man turns to the right and shows his back to the camera.</t>
  </si>
  <si>
    <t>the man talks to the camera and the man jumps back and forth across the screen.</t>
  </si>
  <si>
    <t>The man talks to the camera and the man leans left one more time.</t>
  </si>
  <si>
    <t>We see the closing title screen.</t>
  </si>
  <si>
    <t>v_xYuqZ_RrCC0</t>
  </si>
  <si>
    <t>A man combs his beard in front of a mirror in his bathroom.</t>
  </si>
  <si>
    <t>The man reaches down to pick up sizzors then trims his mustache.</t>
  </si>
  <si>
    <t>The man picks up lotion which he applies to his neck.</t>
  </si>
  <si>
    <t>The man picks up a package of razors and assembles them into his steel razor gadget.</t>
  </si>
  <si>
    <t>The man uses his razor to trim his face and beard.</t>
  </si>
  <si>
    <t>The man picks up a package and applies a product to his face.</t>
  </si>
  <si>
    <t>The man uses a towel to wipe down his face.</t>
  </si>
  <si>
    <t>the man picks up a bottle of oil from the counter and applies it to his beard.</t>
  </si>
  <si>
    <t>v_xi1oCOBPAzQ</t>
  </si>
  <si>
    <t>A close up of a fishing hole is shown with a person using objects to fish and another stands off in the distance.</t>
  </si>
  <si>
    <t>The man uses the objects to capture a fish and zooms in on a hole.</t>
  </si>
  <si>
    <t>They finally pack up a tent and carry it with them as they drive along.</t>
  </si>
  <si>
    <t>v_icjyAZ3KVBw</t>
  </si>
  <si>
    <t>A man in a red shirt is standing next to an exercise machine.</t>
  </si>
  <si>
    <t>He gets on the machine and starts working out.</t>
  </si>
  <si>
    <t>v_qSXMTcGBqtY</t>
  </si>
  <si>
    <t>A woman straights the hair of a young lady using a brush and a hair dryer.</t>
  </si>
  <si>
    <t>The woman holds part of the the hair up, then she curves the hair with and hair iron.</t>
  </si>
  <si>
    <t>v_J3jICOa0WCk</t>
  </si>
  <si>
    <t>A large group of people are seen standing around a parking lot with one holding a ball.</t>
  </si>
  <si>
    <t>The group then plays a game of kickball while moving around the area and throwing balls at one another.</t>
  </si>
  <si>
    <t>The people continue walking around while looking to one another and throwing the ball.</t>
  </si>
  <si>
    <t>v_eg3oZ4XCEKk</t>
  </si>
  <si>
    <t>A large group of people are seen running around a disney resort while waving to the camera and several shots of the kingdom being shown.</t>
  </si>
  <si>
    <t>Many characters are shown waving to the runners as well as more shots of people running past characters and going through the finish line and celebrating.</t>
  </si>
  <si>
    <t>v_Q-HdDcyC9d8</t>
  </si>
  <si>
    <t>The person with black apron spray a white foam on the shoes.</t>
  </si>
  <si>
    <t>The person brush the shoes with white foam on it.</t>
  </si>
  <si>
    <t>The person brushed the shoes after the foam is gone and began spraying a chemical in it and polished the metal part of the shoes.</t>
  </si>
  <si>
    <t>v_AnbC-26sAI4</t>
  </si>
  <si>
    <t>Several various shots are shown of a large boat traveling along a tough storm.</t>
  </si>
  <si>
    <t>A man is seen steering the boat through the storm and talking to a camera with the video ending of more shots of the boat.</t>
  </si>
  <si>
    <t>v_OWEwmnZvvJE</t>
  </si>
  <si>
    <t>A young man is seen standing around a pool followed by several clips of the boy jumping in the pool and swimming around.</t>
  </si>
  <si>
    <t>The boy continues to swim all around the pool with a man swimming behind him and the boy smiling to the camera.</t>
  </si>
  <si>
    <t>v_qakxXmFvFy0</t>
  </si>
  <si>
    <t>Three kids are making a sand castle on the beach.</t>
  </si>
  <si>
    <t>A man is laying next to them on a towel.</t>
  </si>
  <si>
    <t>v_xDRvD_-fvd8</t>
  </si>
  <si>
    <t>After a Tissot ad appears, a row of fencers are shown.</t>
  </si>
  <si>
    <t>They high five, and are displayed in several clips fighting, then back to the row of standing on the stage.</t>
  </si>
  <si>
    <t>One is injured, and is carried away.</t>
  </si>
  <si>
    <t>v_Ix2vIutdeNQ</t>
  </si>
  <si>
    <t>A smiling man in sunglasses opens mouthwash and gargles.</t>
  </si>
  <si>
    <t>The man spits in a cup.</t>
  </si>
  <si>
    <t>A lady removes a plaque from the wall.</t>
  </si>
  <si>
    <t>We see a closing screen.</t>
  </si>
  <si>
    <t>v_UgsqMLsPG0k</t>
  </si>
  <si>
    <t>The man then puts plaster on a base and applies it to the ceiling while on stilts.</t>
  </si>
  <si>
    <t>The man walks back and forth smoothing the applied plaster.</t>
  </si>
  <si>
    <t>The man walks to and turns off the camera.</t>
  </si>
  <si>
    <t>v_eLQ1c2tMJls</t>
  </si>
  <si>
    <t>A man picks up a brown boot and brushes it.</t>
  </si>
  <si>
    <t>A man opens an aerosol can and sprays the boot.</t>
  </si>
  <si>
    <t>A man rubs the products of a black tube on the boot's sole edge.</t>
  </si>
  <si>
    <t>v_4a0Q-IAqO8U</t>
  </si>
  <si>
    <t>A man in a black shirt is standing outside talking.</t>
  </si>
  <si>
    <t>He then is inside a swimming pool.</t>
  </si>
  <si>
    <t>He is back outside talking to the camera.</t>
  </si>
  <si>
    <t>v_PSUGaj7_5LI</t>
  </si>
  <si>
    <t>At the bowling alley, there are a lot of people.</t>
  </si>
  <si>
    <t>The little boy rolls for his turn and he strikes.</t>
  </si>
  <si>
    <t>He waits for his ball to come back and gets prepared to take his next turn, it's another strike.</t>
  </si>
  <si>
    <t>He takes another turn and makes another strike, everyone is congratulating and hugging him.</t>
  </si>
  <si>
    <t>v_n7ED3zaQqws</t>
  </si>
  <si>
    <t>A person is seen moving along a pool while the camera watches from behind.</t>
  </si>
  <si>
    <t>A man is then seen speaking to the camera and moving his arms around.</t>
  </si>
  <si>
    <t>More clips are shown of the person swimming along the water.</t>
  </si>
  <si>
    <t>v_juKQ_gU42EM</t>
  </si>
  <si>
    <t>A anchorman in a suit sits with a laptop on his clear desk.</t>
  </si>
  <si>
    <t>A man is tackled by a bull.</t>
  </si>
  <si>
    <t>The man gets up and his mouth is bloody.</t>
  </si>
  <si>
    <t>People help the man out of the rodeo dirt area.</t>
  </si>
  <si>
    <t>v_6iuD3pSgBcw</t>
  </si>
  <si>
    <t>A young man is standing on stage and eventually several other boys join in wearing kilts.</t>
  </si>
  <si>
    <t>They stand in front of one drum and perform a routine using only drums.</t>
  </si>
  <si>
    <t>The boys spin and flip their sticks constantly and continue performing their drumming routine.</t>
  </si>
  <si>
    <t>One stands up and begins singing a song while the others join in.</t>
  </si>
  <si>
    <t>They boys go back to playing the drums and finally finish by playing each other's drums and faster than other.</t>
  </si>
  <si>
    <t>v_kI0AyrGe-NU</t>
  </si>
  <si>
    <t>Two cats are seen laying on a bed facing one another.</t>
  </si>
  <si>
    <t>One cat then begins to lick the other.</t>
  </si>
  <si>
    <t>The first cat then stops and the other licks afterwards.</t>
  </si>
  <si>
    <t>v_NbIxjYWSURI</t>
  </si>
  <si>
    <t>A montage of athletes completing incredible stunts and races are shown as well as hundreds of people watching in the audience.</t>
  </si>
  <si>
    <t>The shots lead into several more athletes jumping over a pole while pausing the in the middle, finishing with the shot being shown again in slow motion.</t>
  </si>
  <si>
    <t>The final gymnast waves to the camera and walks away.</t>
  </si>
  <si>
    <t>v_DWVI_N4Aeo8</t>
  </si>
  <si>
    <t>A diving is seen standing ready with his arms out to the side.</t>
  </si>
  <si>
    <t>The man then performs an impressive dive and is followed by several clips of other people diving.</t>
  </si>
  <si>
    <t>v_Or7mIy83LsQ</t>
  </si>
  <si>
    <t>A teen stand on a track, then he runs and jumps long on a sand box, after the teen stands and walk.</t>
  </si>
  <si>
    <t>A person pass behind the teen.</t>
  </si>
  <si>
    <t>An athlete performs long jump in the sand box.</t>
  </si>
  <si>
    <t>Another athlete runs and jumps long over the sand box.</t>
  </si>
  <si>
    <t>v_JNuVGc8mn54</t>
  </si>
  <si>
    <t>There men have chairs and are sitting int he subway way making some music.</t>
  </si>
  <si>
    <t>One of them is playing guitar and two of them are playing the violin.</t>
  </si>
  <si>
    <t>People walk by them and a kid pushing a stroller and some other children come and stop to watch them for a little by.</t>
  </si>
  <si>
    <t>There is a crowd that has actually stopped to watch them play, clapping and one of them leaving money in their case.</t>
  </si>
  <si>
    <t>v_-sXrwv7C5CI</t>
  </si>
  <si>
    <t>A man jumps onto two bars.</t>
  </si>
  <si>
    <t>He does a gymnastics routine on the bars.</t>
  </si>
  <si>
    <t>A man in a white jacket watches him perform.</t>
  </si>
  <si>
    <t>He does a flip and lands on the mat.</t>
  </si>
  <si>
    <t>The crowd applauds him after he lands.</t>
  </si>
  <si>
    <t>v_5yfDyVVkPuU</t>
  </si>
  <si>
    <t>Two men are seen speaking to the camera followed by several clips of people hitting a ball.</t>
  </si>
  <si>
    <t>More shots are shown of people holding up sticks and hitting a ball with another coach near by helping and speaking to the camera.</t>
  </si>
  <si>
    <t>v_5gBRDguUe8U</t>
  </si>
  <si>
    <t>A person is seen sitting on a stool and piecing together several parts of a bike.</t>
  </si>
  <si>
    <t>The person continues piecing the bike together and pans around the finished product in the end.</t>
  </si>
  <si>
    <t>v_F6FyJl5OQ0A</t>
  </si>
  <si>
    <t>A green boat with black and white accents on it is gliding on the water.</t>
  </si>
  <si>
    <t>A pair of blue and black shoes are on a deck while a foot is being placed the right side.</t>
  </si>
  <si>
    <t>A man is now standing on a waterboard that the blue shoes are attached to and he's holding a blue rope attached to a triangular handle.</t>
  </si>
  <si>
    <t>White words on a black screen show up and read Zucky Wakeboarding 2015 summer and then fades away.</t>
  </si>
  <si>
    <t>The man is shown again and now he's in motion wake boarding as he holds onto the handle connected to the rope and he is doing various tricks going from side to side, occasionally jumping, spinning and sometimes doing all at once.</t>
  </si>
  <si>
    <t>The video ends with white words and numbers on a black screen that read -END- editor: 05.</t>
  </si>
  <si>
    <t>v_lpeyMIH1YqA</t>
  </si>
  <si>
    <t>A man is sitting on a revolving chair with his one leg folded over the other.</t>
  </si>
  <si>
    <t>Another man takes a cloth and begins cleaning his black leather shoes with a cloth to make it shiny.</t>
  </si>
  <si>
    <t>He cleans the shoe with a back and forth motion.</t>
  </si>
  <si>
    <t>v_qfb0Qe7s9oo</t>
  </si>
  <si>
    <t>A woman with blonde hair is explaining how to make rosemary vodka lemonade.</t>
  </si>
  <si>
    <t>Two jars of liquid appear.</t>
  </si>
  <si>
    <t>The woman takes a sip of the liquid.</t>
  </si>
  <si>
    <t>The woman prepares the liquid with herbs and sugar in a bowl.</t>
  </si>
  <si>
    <t>The woman pours the liquid in a glass.</t>
  </si>
  <si>
    <t>The woman pours the liquid into jars with ice.</t>
  </si>
  <si>
    <t>The woman mixes the concoction.</t>
  </si>
  <si>
    <t>The woman drinks the liquid in a jar.</t>
  </si>
  <si>
    <t>The video ends with a view of the jars with liquid.</t>
  </si>
  <si>
    <t>v_yTJCrP0HqEE</t>
  </si>
  <si>
    <t>A woman is shown speaking to the camera and showing various shots of children sitting in a chair and performing on tv.</t>
  </si>
  <si>
    <t>The woman speaks more to the camera and puts a contact into the girls eye.</t>
  </si>
  <si>
    <t>The girl smiles into a mirror and shows how she takes out the contacts and a reminder on your phone.</t>
  </si>
  <si>
    <t>One last woman speaks to the camera and the girl cheers and smiles again.</t>
  </si>
  <si>
    <t>v_0gvD2pktxxw</t>
  </si>
  <si>
    <t>a boy is sitting in front of a timer on a computer monitor.</t>
  </si>
  <si>
    <t>He has several rubik's cubes in a row.</t>
  </si>
  <si>
    <t>He is timing himself as he attempts to solve the cube.</t>
  </si>
  <si>
    <t>He moves quickly, solving them in short time.</t>
  </si>
  <si>
    <t>He clenches his fists with joy.</t>
  </si>
  <si>
    <t>v_jWuq6clN5q4</t>
  </si>
  <si>
    <t>The people are shown playing the drums using wooden drumsticks.</t>
  </si>
  <si>
    <t>There are also people behind them playing golden cymbals.</t>
  </si>
  <si>
    <t>After a while they all stop playing and stand silently.</t>
  </si>
  <si>
    <t>v_AEer099-yUM</t>
  </si>
  <si>
    <t>A woman stands in a red dress.</t>
  </si>
  <si>
    <t>She is throwing darts at a board.</t>
  </si>
  <si>
    <t>She throws several darts at the board.</t>
  </si>
  <si>
    <t>She throws darts in slow motion.</t>
  </si>
  <si>
    <t>v_FoPNGc6Lg8k</t>
  </si>
  <si>
    <t>A woman is completing a routine in the olympics on the balance beam.</t>
  </si>
  <si>
    <t>She jumps up and down gracefully and then falls for a bit of a point deduction.</t>
  </si>
  <si>
    <t>She finishes her routine and gets a hug from her coach.</t>
  </si>
  <si>
    <t>v_ffDlO-IrsxI</t>
  </si>
  <si>
    <t>An assortment of teams male and female are lined up outside of a building then they are let in.</t>
  </si>
  <si>
    <t>In the building,there are multiple pool tables and a man begins instructing them on what to do.</t>
  </si>
  <si>
    <t>Different people begin hitting the balls and the instructor goes over to help them.</t>
  </si>
  <si>
    <t>v_Alv7N6Ynm1Y</t>
  </si>
  <si>
    <t>A group of people have gathered on a stage.</t>
  </si>
  <si>
    <t>The audience claps for the performers.</t>
  </si>
  <si>
    <t>They shake hands and hug as credits roll.</t>
  </si>
  <si>
    <t>v_5IwVWA2HY5M</t>
  </si>
  <si>
    <t>A woman is in a kitchen, talking.</t>
  </si>
  <si>
    <t>She is showing off an array of sandwich toppings.</t>
  </si>
  <si>
    <t>She places meat and cheese on bread, then closes the sandwich.</t>
  </si>
  <si>
    <t>v_x0HMqVvqHJE</t>
  </si>
  <si>
    <t>Many females, some in blue shirts and some in white shirts, run around on a field playing a game.</t>
  </si>
  <si>
    <t>A few people watch from the bleachers in the background.</t>
  </si>
  <si>
    <t>Two referees runs about and down the field with the players.</t>
  </si>
  <si>
    <t>Other players watch from the sideline near a fence.</t>
  </si>
  <si>
    <t>A group of people keeping score sit at a table on the sideline.</t>
  </si>
  <si>
    <t>Some of the people watching from the bleachers are standing now.</t>
  </si>
  <si>
    <t>A man in a blue sweatshirt walks on the sideline.</t>
  </si>
  <si>
    <t>v_H9ekrZnisUI</t>
  </si>
  <si>
    <t>Outside in the yard there is a lady dressed like a cupcake and she is playing a game of cricket.</t>
  </si>
  <si>
    <t>She hits the yellow ball but it does not move very far at all.</t>
  </si>
  <si>
    <t>She has a little bit of trouble trying to get a good position to hit the ball again.</t>
  </si>
  <si>
    <t>When she finally hits it again it does not go through the course like she was expecting so she is disappointed.</t>
  </si>
  <si>
    <t>v_VBY8feOQgy4</t>
  </si>
  <si>
    <t>There is an indoor gym where two contestants are fencing with each other.</t>
  </si>
  <si>
    <t>There is a person dressed in black who is their referee.</t>
  </si>
  <si>
    <t>Another pair of contestants are also fencing at the same event.</t>
  </si>
  <si>
    <t>Two men dressed in fencing gear continue to fence in the gym.</t>
  </si>
  <si>
    <t>v_bEniqIC5Ric</t>
  </si>
  <si>
    <t>A woman rides a camel holding a rode with her right hand while a man pulls the camel.</t>
  </si>
  <si>
    <t>Then, the camel stops and the woman gets down from the camel.</t>
  </si>
  <si>
    <t>v_OyeXXxV3MSg</t>
  </si>
  <si>
    <t>Two men laugh and bow there heads watching work get done.</t>
  </si>
  <si>
    <t>The person paints their friends nails.</t>
  </si>
  <si>
    <t>The man removes his friends hand and continues working.</t>
  </si>
  <si>
    <t>v_MM5mreexkI8</t>
  </si>
  <si>
    <t>A young girl runs through the living room dropping flowers and dirt around.</t>
  </si>
  <si>
    <t>A woman grabs a vacuum and vacuums the floor.</t>
  </si>
  <si>
    <t>She inserts a tool into the vacuum and vacuums along the baseboards.</t>
  </si>
  <si>
    <t>She uses a special tool of the vacuum to vacuum around the sofa and the stair carpet.</t>
  </si>
  <si>
    <t>She uses another tool of the vacuum to vacuum around windows.</t>
  </si>
  <si>
    <t>She pulls a tray out of the vacuum.</t>
  </si>
  <si>
    <t>v_ytXLI-2wgaQ</t>
  </si>
  <si>
    <t>A group of children play hockey on a field with coaches coaching as they play.</t>
  </si>
  <si>
    <t>A coach demonstrates how to block a goal inside of a interior gym in front of a group of young people.</t>
  </si>
  <si>
    <t>The children then emulate the training as the camera cuts to the coach talking to the camera.</t>
  </si>
  <si>
    <t>The children continue to play hockey until the screen fades.</t>
  </si>
  <si>
    <t>v_TN8tBV7CY6U</t>
  </si>
  <si>
    <t>A close up is shown of a mini pool table with cues and balls.</t>
  </si>
  <si>
    <t>A man uses the cue to shoot the balls into the pockets.</t>
  </si>
  <si>
    <t>He sits a doll on the table to show size.</t>
  </si>
  <si>
    <t>He also shoots a wiffle ball on the table, and a marble.</t>
  </si>
  <si>
    <t>v_DD3MU7uM9mM</t>
  </si>
  <si>
    <t>Two men are fighting inside a wrestling ring.</t>
  </si>
  <si>
    <t>They flip and tumble over each other.</t>
  </si>
  <si>
    <t>One of the wrestlers pins the other, and the count goes to three.</t>
  </si>
  <si>
    <t>v_25dJIdZj6Xs</t>
  </si>
  <si>
    <t>Two people wearing scuba gear are sitting at the edge of a boat with their backs to the water.</t>
  </si>
  <si>
    <t>The person on the right leans all the way back and splashes in the water.</t>
  </si>
  <si>
    <t>The next person also leans back but can't fully fall into the water because they're stuck to something on the boat, so their legs go flailing.</t>
  </si>
  <si>
    <t>v_sTtFSpelQk4</t>
  </si>
  <si>
    <t>A man in a red life vest demonstrates how to paddle in a canoe through gestures and through talking to the camera from a canoe in a body of water.</t>
  </si>
  <si>
    <t>A man in a red canoe is paddling with one oar in a small body of water while talking to the camera.</t>
  </si>
  <si>
    <t>The man drifts to the side slightly while talking using the paddle as an anchor in the water and seemingly demonstrating how to paddle using the paddle and hand gestures to explain how to move the paddle and canoe in the water.</t>
  </si>
  <si>
    <t>The man then pushes away from the camera with the paddle and drifts out into the water before paddling back to the camera again.</t>
  </si>
  <si>
    <t>v_-_Ud3LXSjdE</t>
  </si>
  <si>
    <t>A young kid is smoking a cigarette.</t>
  </si>
  <si>
    <t>The kid flip the cigarette and tried to put the other end of the cigarette to his mouth.</t>
  </si>
  <si>
    <t>The young kid continue to smoke, he make faces and then smoked.</t>
  </si>
  <si>
    <t>v_5LHIoaSvKCU</t>
  </si>
  <si>
    <t>A young child is seen speaking to the camera while holding up a glass and walking to a cabinet.</t>
  </si>
  <si>
    <t>She fills up the glass and peels lemons into the water.</t>
  </si>
  <si>
    <t>She then uses a spoon to drink the water as well as a straw and nodding her head waving.</t>
  </si>
  <si>
    <t>v_II0BlR0BriI</t>
  </si>
  <si>
    <t>A man is talking inside a gym.</t>
  </si>
  <si>
    <t>A group of female gymnasts form a cluster, then lift a girl over their heads.</t>
  </si>
  <si>
    <t>They hold her up by one leg before twirling her back down and catch her in their arms.</t>
  </si>
  <si>
    <t>v_PjSOjB7qhcA</t>
  </si>
  <si>
    <t>Girls are playing dodge ball outside with only one ball.</t>
  </si>
  <si>
    <t>A girl gets hit with the ball.</t>
  </si>
  <si>
    <t>The girl gets out of the game and goes and holds onto the clothing line.</t>
  </si>
  <si>
    <t>v_tXNycNfALsE</t>
  </si>
  <si>
    <t>A gymnast is seen looking off in the distance and rubbing her hands together.</t>
  </si>
  <si>
    <t>She puts her hands up and begins performing a gymnastics routine on a beam.</t>
  </si>
  <si>
    <t>She moves herself all along the beam and ends by jumping down and others applauding.</t>
  </si>
  <si>
    <t>v_4X8raZBOzvM</t>
  </si>
  <si>
    <t>Two old bagpipe players play towards each other.</t>
  </si>
  <si>
    <t>One bagpipe player turns.</t>
  </si>
  <si>
    <t>The bagpipe players finish playing.</t>
  </si>
  <si>
    <t>The crowd claps for the players.</t>
  </si>
  <si>
    <t>v_U7iNqQs1kRk</t>
  </si>
  <si>
    <t>A man is seated in a chair with a hand drum as another man plays bongos behind him.</t>
  </si>
  <si>
    <t>They play for an extended period together.</t>
  </si>
  <si>
    <t>v_rMes9poepAI</t>
  </si>
  <si>
    <t>We see the title card for the product.</t>
  </si>
  <si>
    <t>We see a lady cleaning her floor.</t>
  </si>
  <si>
    <t>We see the vacuum attachment product and see the product in action.</t>
  </si>
  <si>
    <t>The lady shows each side, and we see her attach the product.</t>
  </si>
  <si>
    <t>We see the lady mopping.</t>
  </si>
  <si>
    <t>Then we see the ease of using the attachment.</t>
  </si>
  <si>
    <t>We see the lady relaxing after cleaning.</t>
  </si>
  <si>
    <t>We see the attachment product again.</t>
  </si>
  <si>
    <t>We see the lady giving a thumbs up.</t>
  </si>
  <si>
    <t>The title screen returns to end the video.</t>
  </si>
  <si>
    <t>v_09Kr5TQ9DHQ</t>
  </si>
  <si>
    <t>A person is shown drawing several lines on a piece of paper that leads into several fast motion clips of snowy areas.</t>
  </si>
  <si>
    <t>More close ups are shown followed by a person riding down the mountain.</t>
  </si>
  <si>
    <t>More people riding down are shown and leads into several shots of people performing ski and snowboarding tricks down a mountain.</t>
  </si>
  <si>
    <t>v_UCFV1JYhq18</t>
  </si>
  <si>
    <t>An advertisement is on the screen first.</t>
  </si>
  <si>
    <t>A girl is jumping rope as people are watching.</t>
  </si>
  <si>
    <t>She is doing tricks and flips as she jumps.</t>
  </si>
  <si>
    <t>The video ends with credits of the ones who put the video together.</t>
  </si>
  <si>
    <t>v_J9Sl_H-1BOA</t>
  </si>
  <si>
    <t>A young girl is seen sitting front of a piano and playing the instrument with her finger tips.</t>
  </si>
  <si>
    <t>She continues playing while the camera captures her from afar.</t>
  </si>
  <si>
    <t>v_C0OxaqCr_wk</t>
  </si>
  <si>
    <t>A person is seen speaking while smoking a cigarette and blowing smoke out of their mouths.</t>
  </si>
  <si>
    <t>The person continues speaking while smoking the cigarette and gradually blowing smoke while she speaks.</t>
  </si>
  <si>
    <t>v_dbR5AzEZOPE</t>
  </si>
  <si>
    <t>three man are standing in a gym talking to each other.</t>
  </si>
  <si>
    <t>men opens the wooden door and enters in the gym and are watching the first men, and they panicked.</t>
  </si>
  <si>
    <t>men start running in the court trying to grab a pink ball and start playing dodgeball.</t>
  </si>
  <si>
    <t>man is talking to the camera in font of a bricked wall.</t>
  </si>
  <si>
    <t>v_bGDwE1v16HU</t>
  </si>
  <si>
    <t>A woman is seen speaking to the camera and leads into clips of her leading an exercise class as well as shots of the studio.</t>
  </si>
  <si>
    <t>The woman continues riding along on the exercise bike while teaching the class and continuing to speak to the camera.</t>
  </si>
  <si>
    <t>v_2-xPjKzp-Kk</t>
  </si>
  <si>
    <t>A person moves poker cards and tokens on the table in a casino on front people.</t>
  </si>
  <si>
    <t>A client tap with the finger inside a square.</t>
  </si>
  <si>
    <t>Then, the person stacks all the cards and puts the tokens inside the squares.</t>
  </si>
  <si>
    <t>Then people start to gamble, while the woman distribute the cards and pick up tokens.</t>
  </si>
  <si>
    <t>After, the client shows with the hand, then the person make gestures with the hand showing the table.</t>
  </si>
  <si>
    <t>Next the woman pick up the cards.</t>
  </si>
  <si>
    <t>v_cAmGHiqmnaw</t>
  </si>
  <si>
    <t>A rodeo is shown as a man charges out of the gate to throw the rope around a baby calf.</t>
  </si>
  <si>
    <t>he is instantly successful and hops back on his horse.</t>
  </si>
  <si>
    <t>v_LyJxXonLzT4</t>
  </si>
  <si>
    <t>A man is in a bar demonstrating how to make drinks.</t>
  </si>
  <si>
    <t>He fills a glass with ice.</t>
  </si>
  <si>
    <t>Then he begins measuring various liquors into a cup, and then pours it into the glass.</t>
  </si>
  <si>
    <t>He shakes the drink together and then pours the mixture into shot glasses.</t>
  </si>
  <si>
    <t>Finally he puts another liquor into the glasses.</t>
  </si>
  <si>
    <t>The video ends with the man holding both glasses up.</t>
  </si>
  <si>
    <t>v_73n-KuFkH94</t>
  </si>
  <si>
    <t>Several shots of athletic runners are shown followed by slow motion shots of an athlete running a long jump and celebrating.</t>
  </si>
  <si>
    <t>The camera pans into scenes of men stretching and watching followed by one running down the long jump and cheering to the crowd.</t>
  </si>
  <si>
    <t>His jump is shown several more times followed by other's jumping performing their jump in front of the large crowd.</t>
  </si>
  <si>
    <t>v_JNBWPj42n-g</t>
  </si>
  <si>
    <t>A man's hands are shown at a table.</t>
  </si>
  <si>
    <t>He places a cardboard box over wrapping paper.</t>
  </si>
  <si>
    <t>He begins to wrap the box, demonstrating how to properly wrap a present.</t>
  </si>
  <si>
    <t>He tapes the wrapping paper around the box.</t>
  </si>
  <si>
    <t>The man ties a bow around the box as the camera slows down the motion.</t>
  </si>
  <si>
    <t>He cuts the excess bow away, and we see a sticker with a woman's face.</t>
  </si>
  <si>
    <t>v_8BAn48zfc68</t>
  </si>
  <si>
    <t>A woman wearing sweat gear and seen trying obtain a light with a lighter.</t>
  </si>
  <si>
    <t>She fails to do so and begins walking towards the camera.</t>
  </si>
  <si>
    <t>v_BSl22Hx2WGM</t>
  </si>
  <si>
    <t>Several shots are shown of close ups of cheerleaders leading into clips of them performing tricks and flips with one another.</t>
  </si>
  <si>
    <t>The video continues with many shots of the cheerleaders performing together in slow motion and doing tricks with one another.</t>
  </si>
  <si>
    <t>v_8HdfGmQaabM</t>
  </si>
  <si>
    <t>A blonde woman in a green sweater is talking.</t>
  </si>
  <si>
    <t>She shows off a plate filled with pasta salad and vegetables.</t>
  </si>
  <si>
    <t>She shows how she made the pesto sauce in a blender before mixing mini tomatoes in with the pasta.</t>
  </si>
  <si>
    <t>She returns to the camera, continuing to talk before we see a final scene of the pasta.</t>
  </si>
  <si>
    <t>v_bi6C3kyP4mU</t>
  </si>
  <si>
    <t>Several men are pictured outside in their kayaking uniforms ready to start rafting.</t>
  </si>
  <si>
    <t>Several people begin rafting and they are shown in bars and on buses.</t>
  </si>
  <si>
    <t>As they continue rafting,a clear bucket with a black circle with several lines is shown on each raft and the people walk by putting out cigarettes on it.</t>
  </si>
  <si>
    <t>More people began kayaking and end up flipping the rafts over until a man comes and starts to talk.</t>
  </si>
  <si>
    <t>v_ZYrQ-TSPQfU</t>
  </si>
  <si>
    <t>People whom are wearing helmets, are paddling a inflated boat down a rocky body of water.</t>
  </si>
  <si>
    <t>Water splashes into the inflated boat.</t>
  </si>
  <si>
    <t>The people stop paddling, and the boat is still.</t>
  </si>
  <si>
    <t>v_v1Iv-ySc2LM</t>
  </si>
  <si>
    <t>A child uses a mop to wash the floor of a home.</t>
  </si>
  <si>
    <t>The child twist the mop to turn it over.</t>
  </si>
  <si>
    <t>v_6ECElQXTBIY</t>
  </si>
  <si>
    <t>A little girl walks into a gym as her name flashes on the screen.</t>
  </si>
  <si>
    <t>The little girl performs a routine with a baton.</t>
  </si>
  <si>
    <t>The girl does a flip, throws her baton and catches it while on the ground.</t>
  </si>
  <si>
    <t>The girl pauses and counts.</t>
  </si>
  <si>
    <t>The girl does a split and lays her baton on the ground.</t>
  </si>
  <si>
    <t>v_cd_-gvb82Bs</t>
  </si>
  <si>
    <t>A man is seen speaking to the camera holding a window washer and begins getting the windows wet.</t>
  </si>
  <si>
    <t>He then points to the window while wiping it down over and over again with various tools.</t>
  </si>
  <si>
    <t>v_TxiLjdHoXU4</t>
  </si>
  <si>
    <t>A gymnast stands ready at the end then flips up onto a beam.</t>
  </si>
  <si>
    <t>She performs a gymnastic routine while several people on the sides watch her.</t>
  </si>
  <si>
    <t>She continues flipping around the beam and doing various acrobatic tricks.</t>
  </si>
  <si>
    <t>She jumps down and gives her coach a hug while the camera shows her movements in slow motion and she speaks to a woman.</t>
  </si>
  <si>
    <t>v_98buk_vE_z4</t>
  </si>
  <si>
    <t>Two people are seen playing a set of bongo drums while singing and looking to the camera.</t>
  </si>
  <si>
    <t>The men continuously play and end by stopping and smiling at one another.</t>
  </si>
  <si>
    <t>v_XGwP_Y-x-dI</t>
  </si>
  <si>
    <t>In a sped up special effect, there are 3 people who are shoveling a driveway and removing snow from a car on the right side of their driveway while neighbors and other snow plows are also moving about behind them.</t>
  </si>
  <si>
    <t>A person drops their shovel in the driveway, then runs to the end of the driveway to play in the snow, then goes back and picks the shovel back up to shovel again.</t>
  </si>
  <si>
    <t>A black car pulls int o the newly shoveled driveway and the people continue to shovel snow onto the road outside of their driveway.</t>
  </si>
  <si>
    <t>v_13hdhdieZuc</t>
  </si>
  <si>
    <t>There's a woman with short brown hair doing makeup tutorial.</t>
  </si>
  <si>
    <t>She begins by wearing a headband to keep her hair out of her face.</t>
  </si>
  <si>
    <t>Then she starts applying some foundation all over her face and blends it in.</t>
  </si>
  <si>
    <t>Then she takes an eyeliner and applies it with a brush under her eyes and on her eyelids.</t>
  </si>
  <si>
    <t>She then takes some powder compact and pats it on her face and spreads it evenly.</t>
  </si>
  <si>
    <t>Then with a brush she applies some eyeliner on her eyelids, followed by an eyeliner pencil which she uses on her eyelids and under her eyes.</t>
  </si>
  <si>
    <t>She takes a pair of eyelash curlers and curls her lashes and then applies some mascara with a brush.</t>
  </si>
  <si>
    <t>She finishes off the makeup with a lipstick that she puts on her upper and lower lips.</t>
  </si>
  <si>
    <t>Then she removes her headband and straightens her hair to finish off her look.</t>
  </si>
  <si>
    <t>She shows the before makeup and after makeup pictures to show the difference.</t>
  </si>
  <si>
    <t>v_KOiRoi5_SnQ</t>
  </si>
  <si>
    <t>A man is standing on a pair of skis.</t>
  </si>
  <si>
    <t>He then skis quickly down a snowy embankment, accidentally hitting a skier in his path and sending her careening to the right.</t>
  </si>
  <si>
    <t>they stop and talk, checking to make sure she is ok.</t>
  </si>
  <si>
    <t>v_pPGniqIBs-U</t>
  </si>
  <si>
    <t>A man is seen holding a small child while looking and smiling to the camera.</t>
  </si>
  <si>
    <t>The two then climb on a camel and ride around while waving to the camera.</t>
  </si>
  <si>
    <t>The two ride back together with the woman leading them in front.</t>
  </si>
  <si>
    <t>v_fNPEa0Sd4hM</t>
  </si>
  <si>
    <t>Olympic triple jumps are shown in a stadium.</t>
  </si>
  <si>
    <t>The first person in yellow goes over 17 meters.</t>
  </si>
  <si>
    <t>The second person does about the same as does the third person.</t>
  </si>
  <si>
    <t>v_oD5lGBt7U7g</t>
  </si>
  <si>
    <t>Several shots are shown of the inside of a shop followed by a person unboxing a bike.</t>
  </si>
  <si>
    <t>The man then brings out tools and tightens them along the bike and is shown peddling the bike with his hands and showing off the finished bike.</t>
  </si>
  <si>
    <t>v_RoAtTRjWKEg</t>
  </si>
  <si>
    <t>A girl is on a low beam, preparing to flip.</t>
  </si>
  <si>
    <t>She flips forward, then turns backward with her arms outstretched.</t>
  </si>
  <si>
    <t>v_8b3ZBE0n3V8</t>
  </si>
  <si>
    <t>A boy walk in the room from the left doorway holding a red stuffed animal sits down at the table then put animal away.</t>
  </si>
  <si>
    <t>A girl walk in the room front the right doorway and sits down at the table.</t>
  </si>
  <si>
    <t>They begin arm wrestling and the girl wins.</t>
  </si>
  <si>
    <t>the girl smiles at the camera sighting her victory then they both get up to exit room from the same sides they entered in from.</t>
  </si>
  <si>
    <t>v_ql7I6qtyhBU</t>
  </si>
  <si>
    <t>The screen shows company sponsors for a winter club event.</t>
  </si>
  <si>
    <t>A blue convertible drives past the North shore Winter Club.</t>
  </si>
  <si>
    <t>A couple enters the club while a silver mini van is parked outside.</t>
  </si>
  <si>
    <t>Several people are entering the Curling room inside the club.</t>
  </si>
  <si>
    <t>The coach representing the Brasil team, wearing a green jersey is giving instructions to the players.</t>
  </si>
  <si>
    <t>The coach talks to the players while they prepare themselves.</t>
  </si>
  <si>
    <t>The players begin playing with their sticks as they push the rocks through the floor, Several other players are practicing curling on the floor as they glide through the slippery surface.</t>
  </si>
  <si>
    <t>Players continue to play and exchange high fives as they practice.</t>
  </si>
  <si>
    <t>About nine of the contestants receive medals of victory from the judge.</t>
  </si>
  <si>
    <t>They applaud themselves and each other high fives to express their victory.</t>
  </si>
  <si>
    <t>The video ends with details about all the sponsors responsible for the event.</t>
  </si>
  <si>
    <t>v_yduDG8EcM0A</t>
  </si>
  <si>
    <t>There's a little boy wearing a red Elmo shirt standing on a step stool in the kitchen with his grandmother.</t>
  </si>
  <si>
    <t>They are juicing a lemon on an electric juicer that is placed on the kitchen counter near the sink.</t>
  </si>
  <si>
    <t>the boy seems excited to help his grandmother juice the lemon.</t>
  </si>
  <si>
    <t>He puts his hand over her hand while she is juicing the lemon.</t>
  </si>
  <si>
    <t>v_FZtIVsmpYcI</t>
  </si>
  <si>
    <t>We see a lawnmower and a persons hand.</t>
  </si>
  <si>
    <t>A person starts the mower and it smokes.</t>
  </si>
  <si>
    <t>We see the man mowing the lawn with a smoking mower.</t>
  </si>
  <si>
    <t>We see the mower from the point of view of the mower.</t>
  </si>
  <si>
    <t>We see the boy start the lawn mower again.</t>
  </si>
  <si>
    <t>The boy mows the lawn.</t>
  </si>
  <si>
    <t>We then see the boy walking with the mower.</t>
  </si>
  <si>
    <t>v_2mmN96TdEdY</t>
  </si>
  <si>
    <t>An intro leads into several clips of people solving rubix cubes while a timer captures their speed on the side.</t>
  </si>
  <si>
    <t>More people continue to solve the puzzle as the camera captures them from many sides.</t>
  </si>
  <si>
    <t>v_0YQPGAsZPgY</t>
  </si>
  <si>
    <t>A four piece percussion and string band play on a stage with the main focus being a man on the bongos in the center of the stage and wearing sunshades indoors.</t>
  </si>
  <si>
    <t>A man plays bongos in an animated fashion while a woman next to him plays the keyboard and a man behind him plays guitar.</t>
  </si>
  <si>
    <t>A man next to him begins to hit a stick against a metallic percussion instrument.</t>
  </si>
  <si>
    <t>The man playing the bongos knocks one of them over at which point the man next to him sets the bongo upright again.</t>
  </si>
  <si>
    <t>v_Deo_GsHyw8Y</t>
  </si>
  <si>
    <t>Al's begins his skiing tips with an iron and a sponge.</t>
  </si>
  <si>
    <t>Demonstrating what and how you would use it on the ski's.</t>
  </si>
  <si>
    <t>He shows you on the ski's how to rub it on.</t>
  </si>
  <si>
    <t>Then he explains a little more about the process.</t>
  </si>
  <si>
    <t>v_eQc-8npRq18</t>
  </si>
  <si>
    <t>A person is seen standing before a large track holding a pole.</t>
  </si>
  <si>
    <t>The person begins to run down the track while still holding the pole.</t>
  </si>
  <si>
    <t>The man then jumps over a beam and onto a mat.</t>
  </si>
  <si>
    <t>v_G836MDBhEpg</t>
  </si>
  <si>
    <t>A woman behind a bar explaining how to make a drink.</t>
  </si>
  <si>
    <t>She pours several ingredients into a shaker and shakes it.</t>
  </si>
  <si>
    <t>She then pours the drink from the shaker into a shot glass and holds it up.</t>
  </si>
  <si>
    <t>v_xm01x3C3RJo</t>
  </si>
  <si>
    <t>A dog is put into a bath tub.</t>
  </si>
  <si>
    <t>A girl pours water onto the dog out of a cup.</t>
  </si>
  <si>
    <t>She rubs shampoo on the dogs fur.</t>
  </si>
  <si>
    <t>She dries the dog off with a towel.</t>
  </si>
  <si>
    <t>v__mupI51ie9A</t>
  </si>
  <si>
    <t>three kids are hitting a ball with a racket.</t>
  </si>
  <si>
    <t>They are ducking so it doesn't hit them in their heads.</t>
  </si>
  <si>
    <t>They are each taking turns hitting the ball.</t>
  </si>
  <si>
    <t>Moving around all over the court trying to catch it.</t>
  </si>
  <si>
    <t>v_dU4sCY0kHtk</t>
  </si>
  <si>
    <t>A woman wearing pajamas is talking and standing on a star decorated stage.</t>
  </si>
  <si>
    <t>She demonstrates several dance steps as she speaks.</t>
  </si>
  <si>
    <t>She steps back and forth, turns and shakes her hips like a belly dancer.</t>
  </si>
  <si>
    <t>v_c6ie4KwFnAs</t>
  </si>
  <si>
    <t>There is a team of boys dressed in blue uniforms playing soccer against another team of boys dressed in blue striped uniforms in an indoor gym.</t>
  </si>
  <si>
    <t>There are several spectators seated on the side watching the players play soccer.</t>
  </si>
  <si>
    <t>The goalie dressed in yellow tries to stop the opponent's ball.</t>
  </si>
  <si>
    <t>There is also another game of soccer between a team dressed in red and a team dressed inn blue.</t>
  </si>
  <si>
    <t>The first set of teams continue playing the game as the solid blue team scores a goal.</t>
  </si>
  <si>
    <t>v_yNyv7Ykn5oo</t>
  </si>
  <si>
    <t>A group of people start to dig a structure close to the shore.</t>
  </si>
  <si>
    <t>As the digging continues more people join to dig as a pattern ensues.</t>
  </si>
  <si>
    <t>The digging continues and people start to add rocks in a linear fashion around the rig and dig beside the rocks and eventually cover the rocks with sand.</t>
  </si>
  <si>
    <t>Finally in the tide moves up and starts to destroy the structure that was created.</t>
  </si>
  <si>
    <t>In the end people observe the failing structure and leave while a girl stands in the middle as the water moves up and destroys it completely.</t>
  </si>
  <si>
    <t>v_AzUK4Nwd-sY</t>
  </si>
  <si>
    <t>Two people are seen riding around horses and leads into more people riding horses and walking around.</t>
  </si>
  <si>
    <t>A man leads another with a horse around a field while a dog runs around behind him.</t>
  </si>
  <si>
    <t>The camera interviews a man speaking to others while holding the horses.</t>
  </si>
  <si>
    <t>v_fXgszraP2tc</t>
  </si>
  <si>
    <t>A man is seen speaking to the camera while holding onto a leash in different locations.</t>
  </si>
  <si>
    <t>The man is then seen walking around a dog and leads into him back inside still speaking to the camera.</t>
  </si>
  <si>
    <t>He continues to speak more while holding onto the rope and walking around with the dog.</t>
  </si>
  <si>
    <t>v_qBvQjv1XyfQ</t>
  </si>
  <si>
    <t>A man is shown talking to the camera and leads into an athletic girl swinging around on uneven bars.</t>
  </si>
  <si>
    <t>She hops down while the man talks again and switches back and fourth to him talking and her performing.</t>
  </si>
  <si>
    <t>She puts chalk on her hands and continues flipping around on the bars and the man finishes speaking.</t>
  </si>
  <si>
    <t>v_Tk3zk2pJ9KA</t>
  </si>
  <si>
    <t>A camera pans over several landscapes located in the desert as well as the night sky moving around.</t>
  </si>
  <si>
    <t>The sun rises and more shots of landscapes are shown as well as animals in the area.</t>
  </si>
  <si>
    <t>People are then seen riding around on a boat through a tough river and end with a plane flying over the area.</t>
  </si>
  <si>
    <t>v_6fI4gF_2VCk</t>
  </si>
  <si>
    <t>A man's face is seen close up speaking and leads into him smoking a cigarette.</t>
  </si>
  <si>
    <t>The man continues to take drags out of the cigarette while blowing smoke off into the distance.</t>
  </si>
  <si>
    <t>He moves his hand up and down to smoke and blow the smoke out.</t>
  </si>
  <si>
    <t>v_p9JNte3VMKQ</t>
  </si>
  <si>
    <t>A man is seen speaking to the camera while holding a knife in his hands and begins sharpening the knife along a board.</t>
  </si>
  <si>
    <t>The man continues sharpening the blade and then uses other boards to sharpen the knife.</t>
  </si>
  <si>
    <t>v_hwY9jvSjC9I</t>
  </si>
  <si>
    <t>The woman is shown putting her feet into her shoes while they are tied.</t>
  </si>
  <si>
    <t>But after a few minutes of her lifting her feet off of the ground, she takes them off without using her hands.</t>
  </si>
  <si>
    <t>Then she bends down to turn the camera off.</t>
  </si>
  <si>
    <t>v_sObM6mb3hgs</t>
  </si>
  <si>
    <t>Several young men exhibit rollerblading stunts using many different pedestrian environments to showcase the stunts including, sidewalks,stairwells, stair railings, walls and parking lots.</t>
  </si>
  <si>
    <t>A camera picks up several candid environment shots picking up lines of palm trees, and a vast cityscape filled with buildings and some foliage.</t>
  </si>
  <si>
    <t>A group of young men are showcased one by one ,with an onscreen name template, rollerblading stunts on stairs and stair railings, jumping in the air, sliding on rails and landing.</t>
  </si>
  <si>
    <t>The men showcase some mishaps in which they fall after the stunt, but then perform more stunts successfully.</t>
  </si>
  <si>
    <t>v_iWj81FBROQQ</t>
  </si>
  <si>
    <t>A gymnast is seen looking off into the distance and leads into her hold her arms up.</t>
  </si>
  <si>
    <t>She jumps onto a beam and begins performing various flips and tricks.</t>
  </si>
  <si>
    <t>The girl jumps all around the beam and ends by jumping down and raising her arms up and smiling to the camera.</t>
  </si>
  <si>
    <t>v_deuSw3RnNLU</t>
  </si>
  <si>
    <t>A woman makes a batch of master cleanse drink at the counter in the kitchen using lemons, water, syrup and red pepper.</t>
  </si>
  <si>
    <t>A woman enters a kitchen, talks to the camera and begins to cut and juice lemons.</t>
  </si>
  <si>
    <t>The woman then pours the lemon juice into a bottle of water.</t>
  </si>
  <si>
    <t>The woman then adds syrup and red pepper to the mixture with blue measuring spoons and a measuring glass, after which she leans on the counter and talks to the camera some more.</t>
  </si>
  <si>
    <t>v_77w2Am_ttbg</t>
  </si>
  <si>
    <t>A man is seen sitting on a piece of exercise equipment moving himself back and fourth.</t>
  </si>
  <si>
    <t>A dog walks around the man working and ends by the camera facing the ground.</t>
  </si>
  <si>
    <t>v_yEFS8M4pgMU</t>
  </si>
  <si>
    <t>There two teams of men playing the game of tug of war in a gym.</t>
  </si>
  <si>
    <t>There are several people seated in the gym watching them play the game.</t>
  </si>
  <si>
    <t>The referee is standing next to the contestants as they continue to pull the rope harder.</t>
  </si>
  <si>
    <t>The opposing team pulls harder and the team in the white ends up falling down and losing.</t>
  </si>
  <si>
    <t>v_IY1bVy1yZv4</t>
  </si>
  <si>
    <t>A man is sitting down on the ground fixing a child's bike.</t>
  </si>
  <si>
    <t>A kid in a yellow shirt is standing next to him watching.</t>
  </si>
  <si>
    <t>A boy in a blue shirt is pushing another bike behind him.</t>
  </si>
  <si>
    <t>v_fvUQQF5S4Dg</t>
  </si>
  <si>
    <t>A person serves an ice cream with a stick to a man, the cone falls to the floor.</t>
  </si>
  <si>
    <t>The man gives another cone, then the man takes of the cone and gives back to the man.</t>
  </si>
  <si>
    <t>After, the man gives the cone with a napkin, but he takes the cone again, after he gives the ice cream in his mouth.</t>
  </si>
  <si>
    <t>Finally, the man gives the cone to the man while a crowd watch.</t>
  </si>
  <si>
    <t>v_9mpPAwSmUmk</t>
  </si>
  <si>
    <t>A guy works on a roof.</t>
  </si>
  <si>
    <t>A guy removes nails and pieces of the roof.</t>
  </si>
  <si>
    <t>A guy removes dirt and twigs from the corner of the roof.</t>
  </si>
  <si>
    <t>A guy measures and cuts pieces for the roof.</t>
  </si>
  <si>
    <t>v_-AUKiMfqga4</t>
  </si>
  <si>
    <t>A skillet is on a stove with ingredients on the counter alongside it.</t>
  </si>
  <si>
    <t>Someone puts onions in the skillet and beats eggs and other ingredients into a bowl before adding them to the skillet too.</t>
  </si>
  <si>
    <t>He flips the eggs, making an omelette.</t>
  </si>
  <si>
    <t>He flips the omelette gently onto a plate for serving.</t>
  </si>
  <si>
    <t>v_54chD8QFKyk</t>
  </si>
  <si>
    <t>A white cat is sleeping on terra cotta tiles.</t>
  </si>
  <si>
    <t>White text explains how to clip the cat's nails.</t>
  </si>
  <si>
    <t>A woman takes the cats paws, clipping them gently with a clipper until they are finished.</t>
  </si>
  <si>
    <t>v_D74hnUdBs04</t>
  </si>
  <si>
    <t>A large group of people are seen standing on a field playing a volleyball game with one another.</t>
  </si>
  <si>
    <t>The camera pans around the beach and back to the people playing with one another passing the ball around.</t>
  </si>
  <si>
    <t>v_sOyox_6AG1w</t>
  </si>
  <si>
    <t>An intro for a running video that says Running appears on screen.</t>
  </si>
  <si>
    <t>A lady commentates over a video of a huge sum of people completing a marathon in New York City.</t>
  </si>
  <si>
    <t>The video goes to show the top 5 events in the marathons history, The lady commentates over every event, as the video countsdown from 5 to 1 while showing the events occur, She explains every event in detail.</t>
  </si>
  <si>
    <t>The video concludes with an outro image.</t>
  </si>
  <si>
    <t>v_p4rdUt1iDkY</t>
  </si>
  <si>
    <t>A man kneels down on a blue mat and raises a bar above his head.</t>
  </si>
  <si>
    <t>He stands up and walks off.</t>
  </si>
  <si>
    <t>v_JzLqc6MhJtc</t>
  </si>
  <si>
    <t>A woman is sitting in a chair.</t>
  </si>
  <si>
    <t>A person is painting something onto their finger.</t>
  </si>
  <si>
    <t>The woman looks up at the camera.</t>
  </si>
  <si>
    <t>v_ZTtPztql5jM</t>
  </si>
  <si>
    <t>Rain falls on a large auditorium.</t>
  </si>
  <si>
    <t>Many people are in the stands.</t>
  </si>
  <si>
    <t>Several athletes stand in the arena.</t>
  </si>
  <si>
    <t>The athletes throw discs on the field.</t>
  </si>
  <si>
    <t>v_cJYtpnf5aOM</t>
  </si>
  <si>
    <t>A boy in young boy drives a small tractor lawn mower around the yard of a house maneuvering around obstacles.</t>
  </si>
  <si>
    <t>The boy mows over some small flowers in the grass.</t>
  </si>
  <si>
    <t>v_2hgXJR5QdkU</t>
  </si>
  <si>
    <t>A woman with curly hair and very thing eyebrows is sucking from a hookah.</t>
  </si>
  <si>
    <t>She blows out all of the smoke that she inhaled, she is laying in bed by herself relaxing.</t>
  </si>
  <si>
    <t>She seems like she is very bored just blowing smoke recording herself.</t>
  </si>
  <si>
    <t>Turns out, there is another person in the room with her feeding her, she smiles really big and continues exhaling smoke out.</t>
  </si>
  <si>
    <t>v_LKf1eTzmK14</t>
  </si>
  <si>
    <t>A runner is running on a track in front of a crowd of people.</t>
  </si>
  <si>
    <t>A man is shown talking to the camera.</t>
  </si>
  <si>
    <t>Runners are running down a track with crowds on both sides and one of the runners stumbles.</t>
  </si>
  <si>
    <t>Another runner is shown and a man is shown talking to the camera.</t>
  </si>
  <si>
    <t>A runner is crawling across a finish line while other runners are running through the finish line.</t>
  </si>
  <si>
    <t>The distressed runner is carried away.</t>
  </si>
  <si>
    <t>Runners in distress are shown.</t>
  </si>
  <si>
    <t>Various runners are shown in distress and talking to the camera.</t>
  </si>
  <si>
    <t>More distressed runners are shown.</t>
  </si>
  <si>
    <t>v_7pcnWE7jpQY</t>
  </si>
  <si>
    <t>A person is attempting high jumps.</t>
  </si>
  <si>
    <t>The first few attempts are good.</t>
  </si>
  <si>
    <t>The final attempt is not ever achieved.</t>
  </si>
  <si>
    <t>v_EuIBTFqVOt8</t>
  </si>
  <si>
    <t>Two men are shown performing an arm wrestling match with many watching on the sidelines and a ref calling who the winner is.</t>
  </si>
  <si>
    <t>Several more men battle back and fourth with one another and more people stepping in and out of frame to watch.</t>
  </si>
  <si>
    <t>v_We9NR-CaIgM</t>
  </si>
  <si>
    <t>People performs arts martial movers, standing on their heads and spinning.</t>
  </si>
  <si>
    <t>Then, a man and a boy jumps over, then kids stands on their head an spin around.</t>
  </si>
  <si>
    <t>Boys bend his body backwards until the feet reach the ground.</t>
  </si>
  <si>
    <t>Teens twist their bodies and bend to the other end.</t>
  </si>
  <si>
    <t>v_W04glwJ_IYI</t>
  </si>
  <si>
    <t>A woman grooms an angry poodle who is collared and tethered to a pole attached to a black grooming table.</t>
  </si>
  <si>
    <t>A brown poodle is being combed by a woman in a yellow walled room on a black grooming table.</t>
  </si>
  <si>
    <t>The woman holds out a pink plastic toy which the dog begins to bite, snap and grab at while the woman combs the poodles fur.</t>
  </si>
  <si>
    <t>The poodle continues to snap at the pink toy and also at the woman's hand and the comb.</t>
  </si>
  <si>
    <t>v_vNMBtwYDH9E</t>
  </si>
  <si>
    <t>A gymnast mounts a low beam in a gym.</t>
  </si>
  <si>
    <t>She performs on the beam, doing handsprings and flips.</t>
  </si>
  <si>
    <t>She then dismounts with her hands in the air.</t>
  </si>
  <si>
    <t>v_mfq5Y7S3BWs</t>
  </si>
  <si>
    <t>A woman is standing by a bathroom door talking.</t>
  </si>
  <si>
    <t>The same woman is now seen on a stationary bicycle teaching a spin class.</t>
  </si>
  <si>
    <t>Several other people in the class can be seen on stationary bicycles in the mirror behind the instructor.</t>
  </si>
  <si>
    <t>The woman is then shown on the ground demonstrating an exercise.</t>
  </si>
  <si>
    <t>The spin class is shown again still in progress.</t>
  </si>
  <si>
    <t>The instructor then does floor exercises again with the class following along.</t>
  </si>
  <si>
    <t>The instructor and the class finish on the bikes again.</t>
  </si>
  <si>
    <t>v_oWsEp7hsmZg</t>
  </si>
  <si>
    <t>A lady stands and talks in a gym.</t>
  </si>
  <si>
    <t>She points to her abdomen, then lays on a bench.</t>
  </si>
  <si>
    <t>The lady holds the bench and and lifts her abdomen and legs.</t>
  </si>
  <si>
    <t>The lady sits up and scoots to the edge.</t>
  </si>
  <si>
    <t>The lady performs the same exercise with her butt hanging off the bench.</t>
  </si>
  <si>
    <t>The lady finishes, sits upright and speaks.</t>
  </si>
  <si>
    <t>v_1XQUDJhMcj8</t>
  </si>
  <si>
    <t>A woman is seen hosting a news segment that leads into clips of fire fighters running down a block and carrying objects over their heads.</t>
  </si>
  <si>
    <t>More people are seen speaking to the camera as they continue running around and women speaking to the camera.</t>
  </si>
  <si>
    <t>v_2xQVZorob1Q</t>
  </si>
  <si>
    <t>An individual shovels snow, but only the lower legs and shovel are visible on camera.</t>
  </si>
  <si>
    <t>The individual sets aside the shovel and walks towards the camera.</t>
  </si>
  <si>
    <t>The camera once again shows the individual shoveling.</t>
  </si>
  <si>
    <t>v_AXyRIyXqnzI</t>
  </si>
  <si>
    <t>a man in a grey warm up suit practices shot put behind a net.</t>
  </si>
  <si>
    <t>Another man in a green sweatshirt practices a shot put throw in a field behind a net gate.</t>
  </si>
  <si>
    <t>still photos are featured between multiple men practicing their shot put throw.</t>
  </si>
  <si>
    <t>A series of shot put throws are featured in consecutive tosses.</t>
  </si>
  <si>
    <t>v_WWyGnNfcj8Q</t>
  </si>
  <si>
    <t>A man is seen decorating a cake blindfolded while a small group of people watch.</t>
  </si>
  <si>
    <t>The man adds frosting to the cake while others continue to watch as well as other ingredients.</t>
  </si>
  <si>
    <t>He takes off the blindfold and cheers as well as putting hawaii outfits on everyone and dancing around.</t>
  </si>
  <si>
    <t>v_sW_iLVVMF4w</t>
  </si>
  <si>
    <t>A man is outside on the roof of his shed with a leaf blower ready to clean the leaves off the roof.</t>
  </si>
  <si>
    <t>He shows a close up of the leaf blower and explains the specifics of it, primes the machine, sets the camera down and starts it.</t>
  </si>
  <si>
    <t>He picks up the camera and gets a close up of the leaf blower again.</t>
  </si>
  <si>
    <t>He now blows the leaves off of the roof of his shed.</t>
  </si>
  <si>
    <t>v_RDC4sqe8xVk</t>
  </si>
  <si>
    <t>A man is getting dressed to ski in the falling snow.</t>
  </si>
  <si>
    <t>He is talking to the camera about skiing.</t>
  </si>
  <si>
    <t>He is then seen going through the air, and down steep slopes as he skis.</t>
  </si>
  <si>
    <t>v_H306mUUJ5BE</t>
  </si>
  <si>
    <t>A man is seen speaking to the camera while sitting in a chair and putting his arms up every now and then.</t>
  </si>
  <si>
    <t>He then plays a harmonica moving his hands around while pausing to speak to the camera and ends up speaking and pointing.</t>
  </si>
  <si>
    <t>v_C4xYnBd7PM0</t>
  </si>
  <si>
    <t>A man is seen standing beside a bull and holding up a red flag.</t>
  </si>
  <si>
    <t>The bull is then shown attacking several men in many clips.</t>
  </si>
  <si>
    <t>More people are shown chasing bulls with them chasing after.</t>
  </si>
  <si>
    <t>v_L1oWKMy5ofM</t>
  </si>
  <si>
    <t>A woman is sitting and talking in front of a laptop.</t>
  </si>
  <si>
    <t>She gets up in front of a room of family members.</t>
  </si>
  <si>
    <t>She dances, showing several moves to the people as she shimmies across the room.</t>
  </si>
  <si>
    <t>v__rzxmgPv6Co</t>
  </si>
  <si>
    <t>A man is standing in his uniform in a desert like area talking.</t>
  </si>
  <si>
    <t>While he his talking,several videos of him are shown off road motorcycle racing around the course jumping over humps.</t>
  </si>
  <si>
    <t>However,he comes back during the segments to show how he uses techniques in certain jumps and the correct way to do it.</t>
  </si>
  <si>
    <t>v_W2wyahjyTFc</t>
  </si>
  <si>
    <t>A little girl is standing in front of a hopscotch game in her living room.</t>
  </si>
  <si>
    <t>She jumps forward on each square, then turns and goes the other way.</t>
  </si>
  <si>
    <t>She smiles and bows for the camera.</t>
  </si>
  <si>
    <t>v_C1YNGahOoiA</t>
  </si>
  <si>
    <t>A man fasten his legs on a pole of a sail boat an lay down on his back on the border of the boat.</t>
  </si>
  <si>
    <t>Then, the man sail the boat holding a rope and lay down on the border of the boat.</t>
  </si>
  <si>
    <t>The man falls in the water, then he gets up in the boat and continues sailing on his back.</t>
  </si>
  <si>
    <t>A sail board pass next to the boat.</t>
  </si>
  <si>
    <t>v_h0p_7Q2Bucc</t>
  </si>
  <si>
    <t>A man appears treading water as he is waiting to get out of the water and walk up a set of stairs.</t>
  </si>
  <si>
    <t>He finally gets off the stairs and joins the others who are on the wooden diving board.</t>
  </si>
  <si>
    <t>First,a set of three girls jump off before he does and creates a large commotion of waves.</t>
  </si>
  <si>
    <t>v_vOpFUVofoM4</t>
  </si>
  <si>
    <t>A picture of a coffee cup is shown as well as a spoon to relaxing music.</t>
  </si>
  <si>
    <t>Various title screens are shown and eventually the same picture of the coffee cup appears while soft music plays in the background.</t>
  </si>
  <si>
    <t>v_LGj7_gw2GbQ</t>
  </si>
  <si>
    <t>The credits of a clip are shown.</t>
  </si>
  <si>
    <t>A person is water boarding on a body of water.</t>
  </si>
  <si>
    <t>People ride a boat and interact.</t>
  </si>
  <si>
    <t>A lady hula hoops to music.</t>
  </si>
  <si>
    <t>A male leaps from the rocks into the waters.</t>
  </si>
  <si>
    <t>People are on the shore and some are on the boat.</t>
  </si>
  <si>
    <t>A man jumps of a boat with his waterboard.</t>
  </si>
  <si>
    <t>A guy uses a hula hoop as a jump rope.</t>
  </si>
  <si>
    <t>Women dance to music in a social function.</t>
  </si>
  <si>
    <t>The individual is in the body of water.</t>
  </si>
  <si>
    <t>Two adults run in a wooden, hollow cylinder.</t>
  </si>
  <si>
    <t>An individual back flips off a boat.</t>
  </si>
  <si>
    <t>A female stands on waterboard that is on grass.</t>
  </si>
  <si>
    <t>People jump off an inflated boat.</t>
  </si>
  <si>
    <t>The credits of a video are shown with clips.</t>
  </si>
  <si>
    <t>v_jhakEVLCqNM</t>
  </si>
  <si>
    <t>A youth talks inside a home, then he gets outside the home.</t>
  </si>
  <si>
    <t>A man and a teen stand on front a swimming pool talking, and a person lay down on a chair.</t>
  </si>
  <si>
    <t>Then, the man pushes the teen to the water who has trouble to swim.</t>
  </si>
  <si>
    <t>After, the man gets in the water and flip the teen.</t>
  </si>
  <si>
    <t>The teen gets out the swimming pool and throws chair to the man.</t>
  </si>
  <si>
    <t>Next, the teen walks away angry, and the men and the woman take the chairs out of the pool.</t>
  </si>
  <si>
    <t>v_0D9EmyHxhcg</t>
  </si>
  <si>
    <t>Several people are in a skate part rollerblading with one another.</t>
  </si>
  <si>
    <t>The people then move out to scenic places and starts to roller blade throughout the city.</t>
  </si>
  <si>
    <t>More people begin to skate and they start to make ramps in the alley way and going tricks in a skate park.</t>
  </si>
  <si>
    <t>v_cTZw5NUK1-c</t>
  </si>
  <si>
    <t>Various shots of beaches are shown followed by the camera panning over several shots of waves.</t>
  </si>
  <si>
    <t>A person is then seen riding a surfboard through various shots in the camera.</t>
  </si>
  <si>
    <t>People are shown speaking to the camera when another person crashing on their board several times.</t>
  </si>
  <si>
    <t>More people are seen walking down as more surfers continue riding the waves.</t>
  </si>
  <si>
    <t>v_G4D6UtJh3AU</t>
  </si>
  <si>
    <t>A woman is holding a baby in her lap as a woman next to her uses a plastic comb to brush his hair.</t>
  </si>
  <si>
    <t>She talks to the baby as she brushes, and the baby watches her intently.</t>
  </si>
  <si>
    <t>v_AtUAYnNTniM</t>
  </si>
  <si>
    <t>A man lifts a girl up over his head, then over his shoulder.</t>
  </si>
  <si>
    <t>He stands her on his hands, balancing her in the air as other watch.</t>
  </si>
  <si>
    <t>He drops then lifts her again.</t>
  </si>
  <si>
    <t>v_YiMOKwzEf1k</t>
  </si>
  <si>
    <t>A kneeing man runs a small grass cutter over the surface of the lawn.</t>
  </si>
  <si>
    <t>The man mows the shaded green grass.</t>
  </si>
  <si>
    <t>The man mows the sun lit grass.</t>
  </si>
  <si>
    <t>v_1WSFrupQzQI</t>
  </si>
  <si>
    <t>We see the title screens flying up.</t>
  </si>
  <si>
    <t>A bull runs out on the field.</t>
  </si>
  <si>
    <t>A bull rams a wall where the matador is standing.</t>
  </si>
  <si>
    <t>The matador teases the bull with a red cloth.</t>
  </si>
  <si>
    <t>We see the ending screen.</t>
  </si>
  <si>
    <t>v_EX3szlLBdFM</t>
  </si>
  <si>
    <t>A person is seen moving along a large court followed by other people moving around beside him.</t>
  </si>
  <si>
    <t>Several people are seen running up and down the court while others watch on the side.</t>
  </si>
  <si>
    <t>The people continue moving around while others watch them perform drills.</t>
  </si>
  <si>
    <t>v__ekSmyvWdRQ</t>
  </si>
  <si>
    <t>A person is putting salad into a clear bowl.</t>
  </si>
  <si>
    <t>They grab an orange pepper from a pile.</t>
  </si>
  <si>
    <t>They chop the pepper in half.</t>
  </si>
  <si>
    <t>v_8jj-mhVrlGA</t>
  </si>
  <si>
    <t>A woman is shown speaking to the camera and point off into the distance.</t>
  </si>
  <si>
    <t>The camera pans out into another man standing on the court and two basketballs shown.</t>
  </si>
  <si>
    <t>The man and woman then shoot hoops with the balls and pass each other back and fourth.</t>
  </si>
  <si>
    <t>v_XqmMZs2-3ZI</t>
  </si>
  <si>
    <t>A woman is sitting on her little couch thinking about cookies.</t>
  </si>
  <si>
    <t>You are informed of all the ingredients needed to make a batch of delicious cookies and the equipment required to make them.</t>
  </si>
  <si>
    <t>She goes to the kitchen and turns on the oven and begins mixing ingredients in a kitchenaid.</t>
  </si>
  <si>
    <t>Once mixed nicely she places the cookie in the oven and when they done she returns to her couch with her teddy bear and munches out.</t>
  </si>
  <si>
    <t>v_7KKYKIlGaXk</t>
  </si>
  <si>
    <t>A view is seen of an enormous pool.</t>
  </si>
  <si>
    <t>It stretches very long distances, with people using boats and rafts in the water.</t>
  </si>
  <si>
    <t>It is an extensive water park located in Indonesia.</t>
  </si>
  <si>
    <t>People are shown water skiing in the clear blue waters.</t>
  </si>
  <si>
    <t>v_l-R4wiSZcRc</t>
  </si>
  <si>
    <t>An intro leads into several older clips of olympic performers performing incredible acts.</t>
  </si>
  <si>
    <t>One group of people are seen swimming while hundreds of people cheer and many people look to the camera and smile.</t>
  </si>
  <si>
    <t>Another man shakes the hand of an athlete and he waves while shaking the hands of others and people applauding.</t>
  </si>
  <si>
    <t>v_fVBXRUWEyoA</t>
  </si>
  <si>
    <t>A woman sits on a couch and clips the front and back paws of an orange and a black and white cat as they sit in her lap.</t>
  </si>
  <si>
    <t>An orange cat stands on a couch and sniffs the cushions.</t>
  </si>
  <si>
    <t>A woman sits down on the couch and puts the orange cat in her lap and begins to clip the front and back paws of the cat.</t>
  </si>
  <si>
    <t>The woman puts the orange cat down and picks up a black and white cat with whom she does the same clipping of front and black paws, after which, the black and white cat runs off away from the couch.</t>
  </si>
  <si>
    <t>v_yST1TsQ6mgY</t>
  </si>
  <si>
    <t>Various pictures are shown of people close up in an area as well as people riding around on a camel.</t>
  </si>
  <si>
    <t>People continue riding around on the camels with one man leading them in front and the camera capturing several more people.</t>
  </si>
  <si>
    <t>In the end the camels are seen wandering around one another and a picture of everyone standing together.</t>
  </si>
  <si>
    <t>v_vfLKyUMzFHg</t>
  </si>
  <si>
    <t>A man is seen speaking to the camera and pointing to a table and laying out cards.</t>
  </si>
  <si>
    <t>He then performs a game of black jack while moving the cards and dice around while still speaking to the camera.</t>
  </si>
  <si>
    <t>v_gE1nShlv6mo</t>
  </si>
  <si>
    <t>A woman shows how to clean a shirt with a steam machine while talking.</t>
  </si>
  <si>
    <t>The woman finish cleaning the shirt and takes it off from a hanger and put on the iron board.</t>
  </si>
  <si>
    <t>After, the woman shows a container, then gabs the steam machine and shows while talking.</t>
  </si>
  <si>
    <t>v_fTGtoTlJyh0</t>
  </si>
  <si>
    <t>A person is spray painting bars that are taped together different colors.</t>
  </si>
  <si>
    <t>They put a sticker of words onto the bars.</t>
  </si>
  <si>
    <t>v_6asjaqo0OHc</t>
  </si>
  <si>
    <t>A man is talking as he looks at a bicycle.</t>
  </si>
  <si>
    <t>He places a speed control tool on the handlebar of the bike.</t>
  </si>
  <si>
    <t>He continues talking until he has the bar in place.</t>
  </si>
  <si>
    <t>v_y-87JMf_-J8</t>
  </si>
  <si>
    <t>A man is seen sitting on a stool while holing a guitar in his hands.</t>
  </si>
  <si>
    <t>The camera pans closely around the guitar while the man continues to speak.</t>
  </si>
  <si>
    <t>The man then plays the guitar a bit and moves his hands up and down the neck.</t>
  </si>
  <si>
    <t>v_hrpRVbLRoJ4</t>
  </si>
  <si>
    <t>A person is seen riding around on a horse over jumps in slow motion while others watch.</t>
  </si>
  <si>
    <t>The video moves quicker as more people are seen jumping over obstacles and one speaking to the camera.</t>
  </si>
  <si>
    <t>Several more clips are shown of people riding around on horses as well as pictures inbetween and more close ups of horses.</t>
  </si>
  <si>
    <t>v_hbipKjS0G7w</t>
  </si>
  <si>
    <t>A lady bents over slightly in an outdoor court.</t>
  </si>
  <si>
    <t>The lady rises and turns.</t>
  </si>
  <si>
    <t>The lady release her hand from her neck.</t>
  </si>
  <si>
    <t>v_4BofYu8Soz8</t>
  </si>
  <si>
    <t>A man is seen swimming in a pool while passing a ball to a dog back and fourth.</t>
  </si>
  <si>
    <t>The man continues to pass the ball while the dog hits it right back.</t>
  </si>
  <si>
    <t>v_Gxjfc5O6AAc</t>
  </si>
  <si>
    <t>Various still images of a man's hair are shown.</t>
  </si>
  <si>
    <t>A man is shown receiving a hair cut and styling in sped up time.</t>
  </si>
  <si>
    <t>Still images of the man's hair after the styling are shown.</t>
  </si>
  <si>
    <t>v_3gQsAKZ71tU</t>
  </si>
  <si>
    <t>A man stands on a court.</t>
  </si>
  <si>
    <t>He hits a ball with a racket.</t>
  </si>
  <si>
    <t>Several different athletes are shown hitting balls.</t>
  </si>
  <si>
    <t>Some of them cheer at the end.</t>
  </si>
  <si>
    <t>v_1dM62Xpm9Ns</t>
  </si>
  <si>
    <t>A man is cutting an onion with a knife on a cutting board.</t>
  </si>
  <si>
    <t>A woman is reading a newspaper nearby while he speaks to her and shows her something in his hand.</t>
  </si>
  <si>
    <t>The man sharpens his knives using an electric tool.</t>
  </si>
  <si>
    <t>He then continues cutting his onion.</t>
  </si>
  <si>
    <t>v_wYIeRRTRtX8</t>
  </si>
  <si>
    <t>A woman is standing on a diving board.</t>
  </si>
  <si>
    <t>She jumps into the water.</t>
  </si>
  <si>
    <t>People are standing under the diving board.</t>
  </si>
  <si>
    <t>v_3S7EwcX-Rd0</t>
  </si>
  <si>
    <t>A bicycling competition is about to begin and the crowd is ready.</t>
  </si>
  <si>
    <t>The riders start and already many fall during the first big jump.</t>
  </si>
  <si>
    <t>Various highlights are shown of the riders attempting the large jumps.</t>
  </si>
  <si>
    <t>Three winners are crowned at the end in a ceremony.</t>
  </si>
  <si>
    <t>v_NbmseYFNIlA</t>
  </si>
  <si>
    <t>A man is seen holding a flag while others stand around him and a runner comes into frame.</t>
  </si>
  <si>
    <t>The runner takes several jumps and lands into a pit all in slow motion.</t>
  </si>
  <si>
    <t>v_H7EmlU0wQ6g</t>
  </si>
  <si>
    <t>A person is using a vacuum attachment to vacuum the wood floor.</t>
  </si>
  <si>
    <t>The person then vacuums a rug on the floor.</t>
  </si>
  <si>
    <t>The person vacuums the back of a cat laying nearby.</t>
  </si>
  <si>
    <t>The person returns to vacuuming the wood floor.</t>
  </si>
  <si>
    <t>v_9wpV8Gknh1E</t>
  </si>
  <si>
    <t>A woman and her 2 children are riding around on a camel at a fair or some event.</t>
  </si>
  <si>
    <t>There is a worker who is walking with them in circles walking the camel with a rope as they ride.</t>
  </si>
  <si>
    <t>They go around quite a few times again and again in a circle around a small gated area.</t>
  </si>
  <si>
    <t>When they are done they stop by a red railing, the worker taps the camel on the face while the rider get off.</t>
  </si>
  <si>
    <t>v_bp1blshSKJU</t>
  </si>
  <si>
    <t>A woman is standing on a piano.</t>
  </si>
  <si>
    <t>A person is playing the piano.</t>
  </si>
  <si>
    <t>The piano turns and a woman is standing behind it.</t>
  </si>
  <si>
    <t>v_KB9sqtTJTZw</t>
  </si>
  <si>
    <t>We see a dark opening screen.</t>
  </si>
  <si>
    <t>We then see people performing hip hop dances.</t>
  </si>
  <si>
    <t>We see a sign for the 2004 event.</t>
  </si>
  <si>
    <t>We see people in front of an audience dancing.</t>
  </si>
  <si>
    <t>We see a man do a spin the crowd clips for.</t>
  </si>
  <si>
    <t>We see a sign for the 2005 event.</t>
  </si>
  <si>
    <t>Two men take a bow.</t>
  </si>
  <si>
    <t>We see a screen for the 2006 event.</t>
  </si>
  <si>
    <t>A man in red does a bunch of moves.</t>
  </si>
  <si>
    <t>We see signs for the 2007 event.</t>
  </si>
  <si>
    <t>v_qemvXlRMQgM</t>
  </si>
  <si>
    <t>A close up of a blue hookah is shown bottom to top.</t>
  </si>
  <si>
    <t>The bowl is shown, then the hookah is filled with water by gloves.</t>
  </si>
  <si>
    <t>The hose is attached to the hookah.</t>
  </si>
  <si>
    <t>Tobacco is packed into the bowl, then covered with tin foil and punctured with a toothpick.</t>
  </si>
  <si>
    <t>A piece of coal is lit, then the invisible person smokes the hookah while reading a book.</t>
  </si>
  <si>
    <t>v_jwlYaPt2DIs</t>
  </si>
  <si>
    <t>We see a man at a table in a field juicing a fruit to make a juice.</t>
  </si>
  <si>
    <t>The man juices 2 fruit then puts sugar in in two glasses.</t>
  </si>
  <si>
    <t>The man then cuts and juices four more fruit.</t>
  </si>
  <si>
    <t>The man adds more sugar to the glasses and ice water from the bucket under the fruit.</t>
  </si>
  <si>
    <t>v_wr_1p7obP-g</t>
  </si>
  <si>
    <t>Several photographs of households and objects are shown followed by a man pouring liquids into a bucket.</t>
  </si>
  <si>
    <t>He pours more objects into the bucket while another man swirls it around.</t>
  </si>
  <si>
    <t>The man opens a box full of stone and lays down some plaster on a wall.</t>
  </si>
  <si>
    <t>He pushes the stone into the wall over and over again to create a stone wall for a home.</t>
  </si>
  <si>
    <t>v_TT2e7-NbUxo</t>
  </si>
  <si>
    <t>A boy is sitting in a salon chair and talking.</t>
  </si>
  <si>
    <t>A stylist cuts his hair into a new style.</t>
  </si>
  <si>
    <t>He dries and sprays the hair into a spikey look.</t>
  </si>
  <si>
    <t>v_12IrPzohRSw</t>
  </si>
  <si>
    <t>We see people in bumper cars at a carnival.</t>
  </si>
  <si>
    <t>The camera pans left and we see the driving court.</t>
  </si>
  <si>
    <t>A person in purple drives past the camera.</t>
  </si>
  <si>
    <t>A girl smiles at the camera as she drives past.</t>
  </si>
  <si>
    <t>v_rVcgTALWCRA</t>
  </si>
  <si>
    <t>A girl is playing with sand on a beach.</t>
  </si>
  <si>
    <t>She then stands up and looks at other people.</t>
  </si>
  <si>
    <t>v_at_ahUtnF9Q</t>
  </si>
  <si>
    <t>People are standing next to a ping pong table.</t>
  </si>
  <si>
    <t>A man is demonstrating how to play without a paddle.</t>
  </si>
  <si>
    <t>Two people start playing a game of ping pong.</t>
  </si>
  <si>
    <t>v_Ly70Hwy52WA</t>
  </si>
  <si>
    <t>two men are sitting on round tables talking in microphones.</t>
  </si>
  <si>
    <t>men are being interviewed in a large soccer field.</t>
  </si>
  <si>
    <t>men are playing ping pong in themiddle of stadium while a lot of people are gathered around.</t>
  </si>
  <si>
    <t>v_sxf0x55Cvb4</t>
  </si>
  <si>
    <t>We see a swiftly-moving, white water stream.</t>
  </si>
  <si>
    <t>A man in blue rafting equipment and a helmet is watching from a bed of rocks.</t>
  </si>
  <si>
    <t>We notice a man in a kayak and a yellow helmet coming in from the left.</t>
  </si>
  <si>
    <t>As he approaches, his kayak flips upside-down.</t>
  </si>
  <si>
    <t>As the view follows him, we notice another man seated on the rocks to the right in red with a white helmet.</t>
  </si>
  <si>
    <t>v_4b2_OpAGwW0</t>
  </si>
  <si>
    <t>A woman braids her hair in several braids.</t>
  </si>
  <si>
    <t>She ties them behind her head.</t>
  </si>
  <si>
    <t>v_veNIfCkd1Pw</t>
  </si>
  <si>
    <t>A gymnast performs uneven bars routine while people watch.</t>
  </si>
  <si>
    <t>The judge supervises the routine of the gymnast.</t>
  </si>
  <si>
    <t>Then, the gymnast spins holding the higher bar and jumps stand on the mat.</t>
  </si>
  <si>
    <t>v_VNR1j2U7gE4</t>
  </si>
  <si>
    <t>Two men are seen standing around a large room and hitting a tennis ball around with tennis rackets.</t>
  </si>
  <si>
    <t>The men hit the ball back and fourth to one another and run around the room at the same time.</t>
  </si>
  <si>
    <t>v_UAFIstY4a8Q</t>
  </si>
  <si>
    <t>We see two opening screens for poker at a casino.</t>
  </si>
  <si>
    <t>We see the dealer speak and deal cards.</t>
  </si>
  <si>
    <t>We see a large jackpot sign.</t>
  </si>
  <si>
    <t>We see the dealer shuffle the cards.</t>
  </si>
  <si>
    <t>We see the man peek at his cards.</t>
  </si>
  <si>
    <t>The man peeks at his cards again.</t>
  </si>
  <si>
    <t>The dealer turns over the players cards.</t>
  </si>
  <si>
    <t>We see the closing screen for the casino.</t>
  </si>
  <si>
    <t>v_CcMic7jNIuE</t>
  </si>
  <si>
    <t>A man in a blue shirt and shorts lifts a large weight over his head.</t>
  </si>
  <si>
    <t>Another man is filming it.</t>
  </si>
  <si>
    <t>The same man comes back and lifts the weight over his head again.</t>
  </si>
  <si>
    <t>He drops it on the ground and walks away.</t>
  </si>
  <si>
    <t>v_dLOwmXV_yTw</t>
  </si>
  <si>
    <t>Holiday gift wrapping made easy, this glass store give a tutorial on how to wrap awkward shaped gifts.</t>
  </si>
  <si>
    <t>You place the object on the wrapping paper to start.</t>
  </si>
  <si>
    <t>After, you fold the tip of the paper, you grab the scissor and cut strips.</t>
  </si>
  <si>
    <t>Then you use tape to hold it down and top it off with a bow.</t>
  </si>
  <si>
    <t>v_V2MlQezL1IE</t>
  </si>
  <si>
    <t>The video begins with a title screen.</t>
  </si>
  <si>
    <t>An older man is seen in a gym speaking to the camera while men play volleyball in the background.</t>
  </si>
  <si>
    <t>A simulated screen showing a volleyball court shows while he speaks.</t>
  </si>
  <si>
    <t>The video then comes back to the older man who is directing the players.</t>
  </si>
  <si>
    <t>The men begin tossing a volleyball back and forth.</t>
  </si>
  <si>
    <t>The video ends with a final title screen.</t>
  </si>
  <si>
    <t>v_MZz0OTfvjrY</t>
  </si>
  <si>
    <t>An Asian girl sitting at a desk describes arm wrestling.</t>
  </si>
  <si>
    <t>the girl introduces An Asian boy who sits across from the Asian girl.</t>
  </si>
  <si>
    <t>The girl and boy prepare to arm wrestle as a referee stands above the girl arm wrestler uses both arms and pushes in the wrong direction.</t>
  </si>
  <si>
    <t>The girl and boy arm wrestlers get into position again with the referee setting them up they begin wrestling.</t>
  </si>
  <si>
    <t>The girl wrestler tries to wrestle using both arms and her body but falls to the floor.</t>
  </si>
  <si>
    <t>v_Cp4a_gN4pDQ</t>
  </si>
  <si>
    <t>Three men are seen sitting behind a set of bongo drums playing quickly while several camera flashes are shown.</t>
  </si>
  <si>
    <t>The men continue playing again while laughing and smiling at one another.</t>
  </si>
  <si>
    <t>v_owflykBauOA</t>
  </si>
  <si>
    <t>A teenaged boy jumps on a skateboard, skating across a street and up a driveway before going back onto the street.</t>
  </si>
  <si>
    <t>He dismounts, talking as he kicks the board.</t>
  </si>
  <si>
    <t>He smiles at the camera, wearing sunglasses.</t>
  </si>
  <si>
    <t>v_Pr3iVnKpv0c</t>
  </si>
  <si>
    <t>A teen plays violin in a room.</t>
  </si>
  <si>
    <t>The teen holds the violin with the left hand moving the fingers and playing with the bow.</t>
  </si>
  <si>
    <t>Then, the teen end playing the violin.</t>
  </si>
  <si>
    <t>v_YPXeQVi39nU</t>
  </si>
  <si>
    <t>A man is on the beach with a bike.</t>
  </si>
  <si>
    <t>He sands down his surfboard.</t>
  </si>
  <si>
    <t>He goes surfing in the water.</t>
  </si>
  <si>
    <t>v_Mzojo2EeWu8</t>
  </si>
  <si>
    <t>People are playing a game of volleyball in the sand on the beach.</t>
  </si>
  <si>
    <t>People are playing drums on the beach.</t>
  </si>
  <si>
    <t>A woman in a yellow outfit is dancing.</t>
  </si>
  <si>
    <t>The team poses for a picture behind a banner.</t>
  </si>
  <si>
    <t>v_xH7qxBIz-tU</t>
  </si>
  <si>
    <t>A man in a suit shows up on the screen.</t>
  </si>
  <si>
    <t>The man begins to fight with another man.</t>
  </si>
  <si>
    <t>The man in the suit resets his stance.</t>
  </si>
  <si>
    <t>After fighting more the man in the suit resets his stance again.</t>
  </si>
  <si>
    <t>After the fighting continues another man shows up in the room and escorts the man in the suit out.</t>
  </si>
  <si>
    <t>v_dG_jxrIaK6w</t>
  </si>
  <si>
    <t>A man is seen speaking to the camera and pans it back to a piano.</t>
  </si>
  <si>
    <t>The man then begins playing the piano while the camera captures his movements.</t>
  </si>
  <si>
    <t>He continues to play and ends by turning off the camera and looking off into the distance.</t>
  </si>
  <si>
    <t>v_5c1zqvr3yKM</t>
  </si>
  <si>
    <t>A woman is holding a cat onto a table.</t>
  </si>
  <si>
    <t>She starts clipping the cats nails with a tool.</t>
  </si>
  <si>
    <t>She finishes and pets the cat.</t>
  </si>
  <si>
    <t>v_aNQRlsp5yv8</t>
  </si>
  <si>
    <t>A man and a boy make a sand castle in the beach.</t>
  </si>
  <si>
    <t>People approach to watch the castle and start to make small house next the sand castle.</t>
  </si>
  <si>
    <t>A little girl is doing more houses next to the castle.</t>
  </si>
  <si>
    <t>The man digs a hole in the center while the boy help extend the castle.</t>
  </si>
  <si>
    <t>v_QYb2ektVZek</t>
  </si>
  <si>
    <t>A woman walks on the street wearing a cap.</t>
  </si>
  <si>
    <t>A city is zoom in a map, then a girl performs water sky in a river pulled by a boat while flipping in the air.</t>
  </si>
  <si>
    <t>A road is leading to a water ski station, then a woman slides on ramps in the water holding a water ski rope.</t>
  </si>
  <si>
    <t>A man takes pictures to the girl.</t>
  </si>
  <si>
    <t>Then the girl change clothes and stand on a truck holding prizes.</t>
  </si>
  <si>
    <t>v_UeuZeIASSPw</t>
  </si>
  <si>
    <t>woman is standing in a racetrack and start running to make a long jump.</t>
  </si>
  <si>
    <t>man stands and marks the space where the woman jumped.</t>
  </si>
  <si>
    <t>the long jump is repeated and a new woman is running in the race track to make the long jump too and a man sits rise a whie flag.</t>
  </si>
  <si>
    <t>woman is in race trakc while other men are in the background and the woman makes the long jump in the competition and then a repetition is shown along the results.</t>
  </si>
  <si>
    <t>v_civPiYFf2vE</t>
  </si>
  <si>
    <t>We see a opening title screen.</t>
  </si>
  <si>
    <t>We see a man holding a vacuum and using the vacuum to hold two bowling balls.</t>
  </si>
  <si>
    <t>The man vacuums stairs and a car interior.</t>
  </si>
  <si>
    <t>We see the vacuum and the man vacuums the ceiling, couch, blinds and others.</t>
  </si>
  <si>
    <t>We see the man empty the canister and put the vacuum in a closet.</t>
  </si>
  <si>
    <t>v_Gg8Ha8OPtZ0</t>
  </si>
  <si>
    <t>There are two young boys, one dressed in a red shirt and the other in a striped shirt at a bowling alley.</t>
  </si>
  <si>
    <t>The boy in the red shirt bowls with a large green ball and hits a strike.</t>
  </si>
  <si>
    <t>He is ecstatic after his win and begins jumping with joy.</t>
  </si>
  <si>
    <t>v_Ccy8WD2k4L8</t>
  </si>
  <si>
    <t>A woman is dancing on a stage.</t>
  </si>
  <si>
    <t>She picks up a microphone and starts singing.</t>
  </si>
  <si>
    <t>She begins to play a drum set in front of her.</t>
  </si>
  <si>
    <t>v_6EN1q4TmPtI</t>
  </si>
  <si>
    <t>Young people carry inflatable boats and get in the water.</t>
  </si>
  <si>
    <t>Then, the young people lie face down on the boats and sail in the river.</t>
  </si>
  <si>
    <t>After, the men advance in the water moving the hand to help advance.</t>
  </si>
  <si>
    <t>v_-zp0Sban5Wk</t>
  </si>
  <si>
    <t>A woman is standing in her kitchen in front of a counter.</t>
  </si>
  <si>
    <t>She shows a plate of food, and several ingredients.</t>
  </si>
  <si>
    <t>She boils pasta in a pot, draining it.</t>
  </si>
  <si>
    <t>She then mixes cheese, orzo, and vegetables, creating an orzo pasta salad.</t>
  </si>
  <si>
    <t>She takes a bite of the food.</t>
  </si>
  <si>
    <t>v__HeqBIO9TgQ</t>
  </si>
  <si>
    <t>A lady and a child are washing dishes in the dirt.</t>
  </si>
  <si>
    <t>The little girl walks away.</t>
  </si>
  <si>
    <t>The lady rinses her dishes and puts them on a shelf.</t>
  </si>
  <si>
    <t>We see the boys standing behind the lady.</t>
  </si>
  <si>
    <t>We see the shelf and the dishes.</t>
  </si>
  <si>
    <t>We then see the closing credits screen.</t>
  </si>
  <si>
    <t>v_fMVKdmMVixQ</t>
  </si>
  <si>
    <t>A group of people stand behind a master yogi.</t>
  </si>
  <si>
    <t>He instructs them on position before leading them in yoga.</t>
  </si>
  <si>
    <t>They perform several moves, slowly and gracefully.</t>
  </si>
  <si>
    <t>v_nhW0O7NC0GM</t>
  </si>
  <si>
    <t>A man is seen sitting in the water in a kayak speaking to the camera.</t>
  </si>
  <si>
    <t>The man continues speaking while holding a paddle in his hands.</t>
  </si>
  <si>
    <t>He moves around a bit in the water and leads into him paddling along the water.</t>
  </si>
  <si>
    <t>v_520b6oA9s-U</t>
  </si>
  <si>
    <t>A woman explains how to make a cake in a kitchen, then she puts four eggs and sugar in a bowl and beat with an electric mixer and add more ingredients to form a wet mix.</t>
  </si>
  <si>
    <t>The woman puts solids on a big bowl and then add the wet mix, oil and milk, then mix with an spatula.</t>
  </si>
  <si>
    <t>After, the woman puts the mix in a greased baking pan and make a syrup with orange juice in a pot.</t>
  </si>
  <si>
    <t>Next, she put the baking cake on a dish and put syrup on top.</t>
  </si>
  <si>
    <t>v_nn__PD7zCcs</t>
  </si>
  <si>
    <t>An elderly man is standing in a small room and is plastering a ceiling where he starts in the middle of the room.</t>
  </si>
  <si>
    <t>He then moves to the left and begins to plaster in the corner of the ceiling.</t>
  </si>
  <si>
    <t>The man then stops plastering, and while still talking he faces towards the direction of the camera.</t>
  </si>
  <si>
    <t>v_RKsto2FmBzM</t>
  </si>
  <si>
    <t>A man with a orange shirt and black hat with glasses are outside standing in front of a green tree.</t>
  </si>
  <si>
    <t>A lawn is shown and then the man begins to mow his lawn.</t>
  </si>
  <si>
    <t>Once the man is finished he comes back to camera and starts talking.</t>
  </si>
  <si>
    <t>v_Sbgh1UQcG24</t>
  </si>
  <si>
    <t>A man standing or sitting behind a chopping board with vegetables on it equips a forearm-mounted knife.</t>
  </si>
  <si>
    <t>The man talks to the camera while pointing the knife at the camera.</t>
  </si>
  <si>
    <t>The man chops various types of items on the chopping board with the knife in sped up video.</t>
  </si>
  <si>
    <t>The man removes the knife and manipulates the containers of ingredients around him.</t>
  </si>
  <si>
    <t>The man re-equips the knife and resumes chopping.</t>
  </si>
  <si>
    <t>The man removes the knife and manipulates the ingredients around him again.</t>
  </si>
  <si>
    <t>The man re-equips the knife and resumes chopping again.</t>
  </si>
  <si>
    <t>The man removes the knife and cleans up his work area.</t>
  </si>
  <si>
    <t>v_DAd-joUpMIk</t>
  </si>
  <si>
    <t>A woman is getting ready too bungee jump from a cable car.</t>
  </si>
  <si>
    <t>She is surrounded by two men in yellow shirts.</t>
  </si>
  <si>
    <t>One of the men is holding a phone camera in his hand to video tape her as she jumps.</t>
  </si>
  <si>
    <t>The men begin singing to cheer and encourage her to jump.</t>
  </si>
  <si>
    <t>After much hesitation, the woman finally jumps and hangs from the rope.</t>
  </si>
  <si>
    <t>There is another woman in the cable car getting ready to jump down.</t>
  </si>
  <si>
    <t>There is a huge crowd standing on the bridge, looking up at the cable car.</t>
  </si>
  <si>
    <t>v_Hxb8D4W-G0I</t>
  </si>
  <si>
    <t>A boy sits on a rock before walking along a shoreline.</t>
  </si>
  <si>
    <t>The young man rides his skateboard down hills around a beach town.</t>
  </si>
  <si>
    <t>The young goes to a local restaurant for a meal.</t>
  </si>
  <si>
    <t>The harbor is seen and the young man walks down a train track at sunset.</t>
  </si>
  <si>
    <t>v_TdNiQsZNJTU</t>
  </si>
  <si>
    <t>A group of people are swimming in a large indoor pool.</t>
  </si>
  <si>
    <t>They swim laps back and forth as they go.</t>
  </si>
  <si>
    <t>They try to compete, getting to the other side the fastest.</t>
  </si>
  <si>
    <t>v_kDurnkUZCXs</t>
  </si>
  <si>
    <t>An individual uses a hose and a thin instrument to clean a shoe.</t>
  </si>
  <si>
    <t>The individual sets aside the shoe and turns over the other shoe.</t>
  </si>
  <si>
    <t>The individual uses the thin implement to dig between the patterns of the shoe bottom.</t>
  </si>
  <si>
    <t>v_SdbxPbXeQJ0</t>
  </si>
  <si>
    <t>A man is sitting on a couch drinking a beer.</t>
  </si>
  <si>
    <t>He stands up and walks out the door.</t>
  </si>
  <si>
    <t>Someone is walking into a kitchen.</t>
  </si>
  <si>
    <t>They open the fridge and get a beer.</t>
  </si>
  <si>
    <t>They bring it to the man in bed.</t>
  </si>
  <si>
    <t>He sits up and starts drinking the beer.</t>
  </si>
  <si>
    <t>A person picks up a cell phone on a bed.</t>
  </si>
  <si>
    <t>v_aa-bFJZmcko</t>
  </si>
  <si>
    <t>Various shots of a close up of a bike and a person pointing to the bike in various spots.</t>
  </si>
  <si>
    <t>The person continuously adjusts the bike and pans the camera all around it in the end.</t>
  </si>
  <si>
    <t>v_9riZioI46sM</t>
  </si>
  <si>
    <t>A boy is bent over in his bedroom.</t>
  </si>
  <si>
    <t>He is trying to put on a shoe.</t>
  </si>
  <si>
    <t>He sits down, playing with a broken lace.</t>
  </si>
  <si>
    <t>He continues working with the shoe lace until he can get it tied.</t>
  </si>
  <si>
    <t>v_aVL9ArQS_Ag</t>
  </si>
  <si>
    <t>A man holds a pair of boots while talking and showing dirty parts.</t>
  </si>
  <si>
    <t>Then, the man put a clothe inside the boot and brush the shaft of the boot thoroughly.</t>
  </si>
  <si>
    <t>v_gSeE_Ms-2TI</t>
  </si>
  <si>
    <t>A man is seen kneeling down on a roof and speaking to the camera.</t>
  </si>
  <si>
    <t>The camera pans all around the roof while the man is seen sitting and still speaking.</t>
  </si>
  <si>
    <t>The camera pans all around the roof and shows the man still sitting.</t>
  </si>
  <si>
    <t>v_4Gs7Xyn16QI</t>
  </si>
  <si>
    <t>A woman walks, then runs with a javelin.</t>
  </si>
  <si>
    <t>She throws it across the field, landing near her goal.</t>
  </si>
  <si>
    <t>A few other teammates also perform the act, then we see the final scoreboard.</t>
  </si>
  <si>
    <t>v_1UQYk6ohuRE</t>
  </si>
  <si>
    <t>A man talks on front a bush while other person stands on his right side.</t>
  </si>
  <si>
    <t>Then, the man cuts the dead flowers of the bush while talking.</t>
  </si>
  <si>
    <t>Also, the person cuts the dead flowers of the bush.</t>
  </si>
  <si>
    <t>v_VbP9fOp-Umg</t>
  </si>
  <si>
    <t>This young woman is dancing with the baton in her hands.</t>
  </si>
  <si>
    <t>She's in the middle of the street wearing a red tanktop, shorts, and flip flops.</t>
  </si>
  <si>
    <t>There are lots of people watching her while she does the batons outside.</t>
  </si>
  <si>
    <t>When she''s done, the music stops playing and a few people clap for her performance.</t>
  </si>
  <si>
    <t>v_wvlyV067oOU</t>
  </si>
  <si>
    <t>The young kids are bouncing on the big trampoline.</t>
  </si>
  <si>
    <t>The young boy fell on his back as he avoided the ball.</t>
  </si>
  <si>
    <t>The kids are wearing helmet as they threw the ball and other side of the kids dodge the ball.</t>
  </si>
  <si>
    <t>Two adult people went up to the trampoline to watch the kids.</t>
  </si>
  <si>
    <t>v_CtA4VynDEkI</t>
  </si>
  <si>
    <t>A bunch of young children are shown playing in a park playground.</t>
  </si>
  <si>
    <t>A young boy climbs back and forth on the monkey bars.</t>
  </si>
  <si>
    <t>Another child then joins him on the bars as well.</t>
  </si>
  <si>
    <t>v_kDz85hnSKdo</t>
  </si>
  <si>
    <t>A man in a yellow life vest is sitting in a canoe.</t>
  </si>
  <si>
    <t>He is paddling from side to side.</t>
  </si>
  <si>
    <t>The camera goes underwater next to the canoe.</t>
  </si>
  <si>
    <t>v_DpI9JtaMtec</t>
  </si>
  <si>
    <t>Sandwiches are displayed in a slideshow.</t>
  </si>
  <si>
    <t>A person spreads mustard sauce on slices of bread, then the person put on top Swiss cheese, jam , sauerkraut and a slice of bread on top.</t>
  </si>
  <si>
    <t>After, the person spreads butter on the sandwiches and put them on a hot surface, then the person cuts the sandwiches in half.</t>
  </si>
  <si>
    <t>v_aPXqTfbtgYI</t>
  </si>
  <si>
    <t>A white middle aged man is standing in a crowd of people playing a saxophone.</t>
  </si>
  <si>
    <t>As he continues,the video pans out and several other people join him in playing the saxophone and it is revealed that someone else is pressing the buttons for the man as he is blowing into the instrument.</t>
  </si>
  <si>
    <t>Then the camera pans back out and the crowd begins clapping for the audience.</t>
  </si>
  <si>
    <t>v_U0Q10ZdqnJo</t>
  </si>
  <si>
    <t>There's a woman in a white shirt in an indoor tennis court hitting balls across the court.</t>
  </si>
  <si>
    <t>She bounces the ball on the ground and then serves the ball across the net.</t>
  </si>
  <si>
    <t>v_rcpsp52nguY</t>
  </si>
  <si>
    <t>A man walks across some snow carrying a large snow shovel.</t>
  </si>
  <si>
    <t>The man shovels a long path of snow.</t>
  </si>
  <si>
    <t>The man turns around and shovels a long path of snow again.</t>
  </si>
  <si>
    <t>The man shovels snow for a third time.</t>
  </si>
  <si>
    <t>The man shovels a really long path of snow at a different location.</t>
  </si>
  <si>
    <t>The man turns around and shovels a second path of snow, right next to the recent shoveled snow path.</t>
  </si>
  <si>
    <t>v_XEqijKYIJNg</t>
  </si>
  <si>
    <t>A woman shows a dish with vegetables and display the calories, the ingredients and the preparation of a dish.</t>
  </si>
  <si>
    <t>Then, the woman puts vegetables on a bowl, then she fry a leave and put it in the bowl.</t>
  </si>
  <si>
    <t>Then, the woman mix the vegetables and serves it on a dish.</t>
  </si>
  <si>
    <t>v_QX3pwZOJbRs</t>
  </si>
  <si>
    <t>Two women attempt to wash two dogs.</t>
  </si>
  <si>
    <t>They get in the tub with the dogs and do shampoo, soap, and then rinse the dogs.</t>
  </si>
  <si>
    <t>They dry the dogs and the dogs are much happier.</t>
  </si>
  <si>
    <t>v_7n9It_jjaBg</t>
  </si>
  <si>
    <t>A man stands on a bridge guardrail with a harness while another man holds him.</t>
  </si>
  <si>
    <t>The man jumps off the bridge to the river below.</t>
  </si>
  <si>
    <t>The man swings back and forth over the rapids.</t>
  </si>
  <si>
    <t>v_f0CVl853HUg</t>
  </si>
  <si>
    <t>A woman wearing green with red hair is scrubbing some clothes vigorously.</t>
  </si>
  <si>
    <t>The water and soap is splashing off of it on to the wall/ She picks up the piece of cloth and hits it against the stand.</t>
  </si>
  <si>
    <t>Then she gets some water from a buckets and pours it over.</t>
  </si>
  <si>
    <t>She squeezes it out and then put the cloth into a bucket of soapy water.</t>
  </si>
  <si>
    <t>v_SIX51vtOOek</t>
  </si>
  <si>
    <t>There's an open land area with greenery around and grassy surface area.</t>
  </si>
  <si>
    <t>There's a lawn trimmer lying on the ground near some over grown patches of grass.</t>
  </si>
  <si>
    <t>A person wearing gray pants and gloves using a lawn trimmer to trim the patches of grass.</t>
  </si>
  <si>
    <t>He is trimming the lawn in a back and forth motion, moving the trimmer horizontally across the grass.</t>
  </si>
  <si>
    <t>v_IKhLjVIYisg</t>
  </si>
  <si>
    <t>A close up is shown of a cracked asphalt road.</t>
  </si>
  <si>
    <t>Then we see a man walking, carrying a pair of inline skates.</t>
  </si>
  <si>
    <t>The man performs stunts, going down staircases and riding medians, doing flips and riding backwards.</t>
  </si>
  <si>
    <t>When he is done, he rides away.</t>
  </si>
  <si>
    <t>v_nQVJyUX8fHw</t>
  </si>
  <si>
    <t>A child plays tennis in a court returning balls while a boy stands next to her.</t>
  </si>
  <si>
    <t>The boy left the court while the child continues returning balls, then the boy returns.</t>
  </si>
  <si>
    <t>Then, the boy left again the court, and then he returns with a racket and a ball.</t>
  </si>
  <si>
    <t>The child serves the ball, and the boy helps stands next her watching.</t>
  </si>
  <si>
    <t>v_3k5dJSs2zkg</t>
  </si>
  <si>
    <t>A man is seen speaking to the camera and leads into several shots of people speaking and wearing heels.</t>
  </si>
  <si>
    <t>The women walk on the ground down a street while many watch and then all run down the road in heels.</t>
  </si>
  <si>
    <t>v_im6KJzbZzKE</t>
  </si>
  <si>
    <t>An athletic woman is seen standing before a track and begins running down the side.</t>
  </si>
  <si>
    <t>She runs and jumps into a sand pit while a man records her score.</t>
  </si>
  <si>
    <t>Several more clips are shown of women running down the track and jumping into the pit.</t>
  </si>
  <si>
    <t>v_lM3uGxHWZBA</t>
  </si>
  <si>
    <t>Several people are seen running around a field playing a game together.</t>
  </si>
  <si>
    <t>The players cheer and speak to one another as well as showing more highlights of the game.</t>
  </si>
  <si>
    <t>More clips are shown of people walking away and playing the game.</t>
  </si>
  <si>
    <t>v_38nAdby_fTw</t>
  </si>
  <si>
    <t>A person rides a dirt bike over a hill or dirt pile with help from an incline structure.</t>
  </si>
  <si>
    <t>A person stands, shakes their head and leaves on a dirt bike.</t>
  </si>
  <si>
    <t>Two guys sit on their dirt bike and discuss.</t>
  </si>
  <si>
    <t>One guy uses his rear tire to cause dirt to spray.</t>
  </si>
  <si>
    <t>v_swId_MFHywI</t>
  </si>
  <si>
    <t>A black book called Windmills is on the screen.</t>
  </si>
  <si>
    <t>The camera zooms into a dancer.</t>
  </si>
  <si>
    <t>VincaniTV comes up on the screen.</t>
  </si>
  <si>
    <t>the instructor is talking.</t>
  </si>
  <si>
    <t>The instructor is sitting on the floor introducing the move.</t>
  </si>
  <si>
    <t>A shot of the move is shown, then the instructor shows how to do it.</t>
  </si>
  <si>
    <t>He pushes himself up on his hand and does another move.</t>
  </si>
  <si>
    <t>He is on one knee to show another move.</t>
  </si>
  <si>
    <t>The screen goes to another shot of the same move but faster this time.</t>
  </si>
  <si>
    <t>The instructor is standing and talking.</t>
  </si>
  <si>
    <t>The screen ends with a VincaniTV promo.</t>
  </si>
  <si>
    <t>v_TnOdqLQPQA4</t>
  </si>
  <si>
    <t>A woman is standing in a camp site.</t>
  </si>
  <si>
    <t>She lights matches and throws them into a pile of wood.</t>
  </si>
  <si>
    <t>v_c6BcS5NdI6E</t>
  </si>
  <si>
    <t>A large group of people are seen playing a game of volley ball with one another while moving around the beach.</t>
  </si>
  <si>
    <t>Several shots are shown of the people wandering around one another playing the game back and fourth over the net and helping one another.</t>
  </si>
  <si>
    <t>v_-SYV9IB-36s</t>
  </si>
  <si>
    <t>An ad for Howcast is shown.</t>
  </si>
  <si>
    <t>It is followed by a woman in a chair who smiles for the camera, and a woman with braided hair who is speaking.</t>
  </si>
  <si>
    <t>The woman in red applies various makeups to the seated woman, explaining the process as she goes.</t>
  </si>
  <si>
    <t>When she is finished, she speaks again to the camera.</t>
  </si>
  <si>
    <t>v_AZaSkc1gnhY</t>
  </si>
  <si>
    <t>A man drinks coffee and then plays guitar indoor.</t>
  </si>
  <si>
    <t>The man makes a pause and takes his coffee.</t>
  </si>
  <si>
    <t>Then, the man hols a cup of coffee and a guitar in the street.</t>
  </si>
  <si>
    <t>After, the man plays guitar indoor on front an audience.</t>
  </si>
  <si>
    <t>Next, the man plays harmonica and guitar at the same time.</t>
  </si>
  <si>
    <t>v_assDWZW6zTA</t>
  </si>
  <si>
    <t>A boy is seen speaking to the camera holding two basketballs and leads into him holding them up to his face.</t>
  </si>
  <si>
    <t>The boy then moves up and down the court while dribbling the balls and shoots a basket off in the end.</t>
  </si>
  <si>
    <t>v_5WJL9eJ8YDw</t>
  </si>
  <si>
    <t>An intro leads into several clips of people standing in a circle and throwing an object off into the distance and ends by walking away.</t>
  </si>
  <si>
    <t>Several more people are seen steeping up into the circle throwing objects off into the distance and cheering with one another.</t>
  </si>
  <si>
    <t>v_PJdE8Ui2eno</t>
  </si>
  <si>
    <t>A man is seen holding onto a rope and speaking to the camera.</t>
  </si>
  <si>
    <t>He holds up his belt while speaking to the camera and begins climbing up the wall.</t>
  </si>
  <si>
    <t>The man climbs all the way up the wall and ends by looking off from the camera.</t>
  </si>
  <si>
    <t>v_sHRajZw7A8g</t>
  </si>
  <si>
    <t>We see a blue opening screen with a drink.</t>
  </si>
  <si>
    <t>We see a lady mixing drinks behind a bar.</t>
  </si>
  <si>
    <t>The lady add ice and three shots liquor to a glass.</t>
  </si>
  <si>
    <t>The lady pours something red in the glass.</t>
  </si>
  <si>
    <t>The lady adds something form the dispenser and a can.</t>
  </si>
  <si>
    <t>The lady stirs then pushes the drink forward.</t>
  </si>
  <si>
    <t>We see a red closing screen and a long black screen.</t>
  </si>
  <si>
    <t>v_3Edxa-t4MxA</t>
  </si>
  <si>
    <t>Various shots of trophies are shown with girls interviewing the camera as well as performing gymnastics moves.</t>
  </si>
  <si>
    <t>An instructor then shows the girls how to perform a stunt properly and has another girl climb on top of their hands.</t>
  </si>
  <si>
    <t>The girl continuously perform stunts with the instructors help and another girl is shown speaking to the camera.</t>
  </si>
  <si>
    <t>v_EWt03pUigc0</t>
  </si>
  <si>
    <t>There's a news reporter dressed in a pink floral dress and a white jacket giving an update on sports news.</t>
  </si>
  <si>
    <t>She shows events of the London Paralympics.</t>
  </si>
  <si>
    <t>She is showing the viewers the different events such as shoot put, swimming and running and the gold medals that were won in these events.</t>
  </si>
  <si>
    <t>While the news is being telecast, there are captions on the bottom about current events.</t>
  </si>
  <si>
    <t>She also shows the viewers all the medals that are won by all countries that participated in the Paralympics.</t>
  </si>
  <si>
    <t>v_u10c6Nx4K0A</t>
  </si>
  <si>
    <t>A woman runs down a dirt path.</t>
  </si>
  <si>
    <t>She uses a pole to vault over a high beam.</t>
  </si>
  <si>
    <t>v_j6S6eWSeGr0</t>
  </si>
  <si>
    <t>A person is shown in fast motion spraying liquid all over a fence in a back yard.</t>
  </si>
  <si>
    <t>The person continues spraying and ends with the camera fading to black.</t>
  </si>
  <si>
    <t>v_xKDHIyd_tWA</t>
  </si>
  <si>
    <t>The video begins with a title slide.</t>
  </si>
  <si>
    <t>A woman and child are in a park with a jump rope.</t>
  </si>
  <si>
    <t>The woman begins to demonstrate how to use the jump rope while the child attempts to copy her.</t>
  </si>
  <si>
    <t>At one point, another woman in the background runs across the screen while jump roping.</t>
  </si>
  <si>
    <t>The video ends with both women speaking to the camera and a final title sequence.</t>
  </si>
  <si>
    <t>v_-v9YLmGCYO0</t>
  </si>
  <si>
    <t>A baby is sitting in a swing.</t>
  </si>
  <si>
    <t>The baby is laughing and shaking its feet.</t>
  </si>
  <si>
    <t>The baby turns to the side of the swing.</t>
  </si>
  <si>
    <t>v_M6O-QNDUdwU</t>
  </si>
  <si>
    <t>Several swimmers walk past each other, shaking hands.</t>
  </si>
  <si>
    <t>They gather in the pool, then engage in a game of water polo.</t>
  </si>
  <si>
    <t>They hit the ball back and forth, trying to get it into the net.</t>
  </si>
  <si>
    <t>v_8cKjwHtCGU0</t>
  </si>
  <si>
    <t>A man in a red shirt is talking to the camera.</t>
  </si>
  <si>
    <t>He begins to hit a ball against a wall in front of him.</t>
  </si>
  <si>
    <t>He stops and walks towards the camera.</t>
  </si>
  <si>
    <t>v_sX8Rr1o4XWM</t>
  </si>
  <si>
    <t>A close up of a sign is shown followed by a person dipping paint.</t>
  </si>
  <si>
    <t>The person is then seen spreading paint all around the area while another smiles to the camera.</t>
  </si>
  <si>
    <t>The men continue to lay plaster down on the walls.</t>
  </si>
  <si>
    <t>v_J65l9OEP3pI</t>
  </si>
  <si>
    <t>A man is cleaning snow that has fallen on his car.</t>
  </si>
  <si>
    <t>He is standing on the road where his car is parked.</t>
  </si>
  <si>
    <t>He clears off snow from the top of his car by scraping it.</t>
  </si>
  <si>
    <t>He then cleans the sides of his car.</t>
  </si>
  <si>
    <t>He gives someone a thumbs up as he cleans the car.</t>
  </si>
  <si>
    <t>He then moves to the front of the car to clean the windshield.</t>
  </si>
  <si>
    <t>v_1D7iddqIIhM</t>
  </si>
  <si>
    <t>A close up of a hookah is seen that leads to another man.</t>
  </si>
  <si>
    <t>The man grabs the hose and takes a hit from the hookah.</t>
  </si>
  <si>
    <t>The man then blows smoke into the camera lens.</t>
  </si>
  <si>
    <t>v_oYH-XLQzMxU</t>
  </si>
  <si>
    <t>The man bounces the ball and hits it with his racket.</t>
  </si>
  <si>
    <t>The man bounces the ball and hits it across the court.</t>
  </si>
  <si>
    <t>The man then bounces and hits one more ball.</t>
  </si>
  <si>
    <t>v_hsUfo_jHQ60</t>
  </si>
  <si>
    <t>An athletic man is seen running through a street in slow motion while the camera moves around his body.</t>
  </si>
  <si>
    <t>The video then freezes on his feet to show text and ends with him holding his arms up into the air.</t>
  </si>
  <si>
    <t>v_YddPa1ujWuk</t>
  </si>
  <si>
    <t>A woman is seen speaking to the camera while holding up a box and newspaper.</t>
  </si>
  <si>
    <t>The woman then begins cutting the news paper and place the box in the middle.</t>
  </si>
  <si>
    <t>The women wraps up the box with the news paper and tapes it down on the sides.</t>
  </si>
  <si>
    <t>v_20i6YGSnt-c</t>
  </si>
  <si>
    <t>A man is seen speaking to the camera and begins shaving off his facial hair.</t>
  </si>
  <si>
    <t>The man continues shaving and shows off his before and after pictures.</t>
  </si>
  <si>
    <t>v_UeMcMSTO-Yg</t>
  </si>
  <si>
    <t>A woman is seen speaking to the camera and showing off various tools to the camera.</t>
  </si>
  <si>
    <t>She explains how each tool works for cleaning a horse and ends by smiling to the camera.</t>
  </si>
  <si>
    <t>v_II3AiNrQ1uA</t>
  </si>
  <si>
    <t>A text introduction describing the event is shown.</t>
  </si>
  <si>
    <t>A woman performs gymnastics on uneven bars while a number of spectators watch.</t>
  </si>
  <si>
    <t>The woman dismounts from the bars.</t>
  </si>
  <si>
    <t>v_nEAypudaSFs</t>
  </si>
  <si>
    <t>There's a young man in a red shirt and blue beanie hat playing the harmonica.</t>
  </si>
  <si>
    <t>He plays rhythmically as he moves the harmonica rapidly through his mouth to play a fast tune.</t>
  </si>
  <si>
    <t>He continues playing the tune as he closes his eyes in deep concentration.</t>
  </si>
  <si>
    <t>He moves the harmonica side ways as he continues playing till he comes to an end.</t>
  </si>
  <si>
    <t>v__AdJtwjeITM</t>
  </si>
  <si>
    <t>A group of older men walk into a ice rink.</t>
  </si>
  <si>
    <t>The group of men gather and get ready to play curling.</t>
  </si>
  <si>
    <t>A younger man and an older man work as a team to move the curl.</t>
  </si>
  <si>
    <t>A older gentleman smiles at the camera while holding his curling stick over his head.</t>
  </si>
  <si>
    <t>The group of men then start to display number and have a laugh.</t>
  </si>
  <si>
    <t>v_2DtotlMv9Gg</t>
  </si>
  <si>
    <t>People are playing lacrosse on a field.</t>
  </si>
  <si>
    <t>They score a point into the net.</t>
  </si>
  <si>
    <t>Two men high five on the field.</t>
  </si>
  <si>
    <t>v_HGDatODUecQ</t>
  </si>
  <si>
    <t>A close up of water rapids is shown followed by a group of people attempting to paddle in a raft.</t>
  </si>
  <si>
    <t>The people riding all down the river while sticking their paddle up at one point all together.</t>
  </si>
  <si>
    <t>v_lhH3qdh8n3g</t>
  </si>
  <si>
    <t>There are about ten or more people dressed in athletic wear doing a synchronized form of exercise.</t>
  </si>
  <si>
    <t>They are doing the steps rhythmically to the beats of a song that is played in the fitness center.</t>
  </si>
  <si>
    <t>There are disco lights flashing in the fitness center.</t>
  </si>
  <si>
    <t>They continue to do the steps as they clap their hands in between the steps.</t>
  </si>
  <si>
    <t>They also step on and step off of a step stool as they continue their steps.</t>
  </si>
  <si>
    <t>v_bx5ZHOUG-nI</t>
  </si>
  <si>
    <t>A person is seen bending down over a bucket filled with water and washing clothes in the bucket.</t>
  </si>
  <si>
    <t>The boy continues washing when another person steps in to help wash the clothes and speak to the camera.</t>
  </si>
  <si>
    <t>v_uDNLf3ty9ao</t>
  </si>
  <si>
    <t>A man in a brown sweater is sitting down and talking.</t>
  </si>
  <si>
    <t>A woman in a black and white sweater sits behind him.</t>
  </si>
  <si>
    <t>She takes off her sweater and puts it on the chair behind him.</t>
  </si>
  <si>
    <t>A boy in a blue shirt hits behind him.</t>
  </si>
  <si>
    <t>v_9E-FFtZl9qM</t>
  </si>
  <si>
    <t>A woman is seen speaking to the camera and leading into clips of her running.</t>
  </si>
  <si>
    <t>Close ups of her feet are shown as well as more clips of her speaking and running.</t>
  </si>
  <si>
    <t>She's shown packing up a car and showing off her tools as well as her gear while still running on the road.</t>
  </si>
  <si>
    <t>v_lwqSz2Q2L-E</t>
  </si>
  <si>
    <t>A woman is seen sitting on a stool smoking a cigarette and looking off into the distance.</t>
  </si>
  <si>
    <t>The woman blows smoke into the air as the camera captures her from several angles continuously smoking.</t>
  </si>
  <si>
    <t>v_5JkN8t5k0jU</t>
  </si>
  <si>
    <t>An intro of titles eventually leads to an athlete holding a large amount of weights over his head.</t>
  </si>
  <si>
    <t>The same man does another lit with his weights while another man watches in the background.</t>
  </si>
  <si>
    <t>He throws the weights down and throws his arms up in the air to celebrate.</t>
  </si>
  <si>
    <t>v_LXHc1X1pKEM</t>
  </si>
  <si>
    <t>A woman with short hair and a white tank top is sitting in her bathroom talking about a cyclist who is going to shave his legs.</t>
  </si>
  <si>
    <t>She stands up and shows the cycling team printed on her tank top.</t>
  </si>
  <si>
    <t>She shows the viewers the type of razor she will be using.</t>
  </si>
  <si>
    <t>There's a young man sitting on the bath tub along with the woman.</t>
  </si>
  <si>
    <t>He washes his legs with baby soap and water and begins shaving his legs.</t>
  </si>
  <si>
    <t>Then the woman takes the razor and helps her husband shave his legs.</t>
  </si>
  <si>
    <t>v__cLb2ZRS_4M</t>
  </si>
  <si>
    <t>many guys in all black stands on a grassy area with music instruments and does a sync performance in front of other people sitting on the grass watching.</t>
  </si>
  <si>
    <t>the guys play the drums and do movements back and forth as they play the drums that is connected to there body.</t>
  </si>
  <si>
    <t>the guys do hand movements and stomps there feet lightly as part of the performance.</t>
  </si>
  <si>
    <t>v_P6z57_sYXm8</t>
  </si>
  <si>
    <t>Windsurfer turns his sail around in a 360.</t>
  </si>
  <si>
    <t>Windsurfer rides the waves slowly forward.</t>
  </si>
  <si>
    <t>Man walks in front of the camera.</t>
  </si>
  <si>
    <t>Windsurfer spins his sail around quickly.</t>
  </si>
  <si>
    <t>Windsurfer falls into the ocean.</t>
  </si>
  <si>
    <t>v_mb5CLhyHMvU</t>
  </si>
  <si>
    <t>People are skiing down a snowy slope very slowly and gracefully.</t>
  </si>
  <si>
    <t>A little boy is bending down trying to catch more speed, he is pretty good at skiing.</t>
  </si>
  <si>
    <t>They continue forward very slowly taking their time and enjoying the experience.</t>
  </si>
  <si>
    <t>they start to slow down a bit almost stopping but then they build back up and continue on.</t>
  </si>
  <si>
    <t>v_XztphLXwZjU</t>
  </si>
  <si>
    <t>A man is indoors, quickly placing wood tiles onto a floor as the camera plays extremely fast.</t>
  </si>
  <si>
    <t>He uses a leveler and cutter and completes the room with grout before walking out.</t>
  </si>
  <si>
    <t>v_KfP205pf7PU</t>
  </si>
  <si>
    <t>Cars drive by a sign by the road.</t>
  </si>
  <si>
    <t>Several women are shown around a table preparing to knit.</t>
  </si>
  <si>
    <t>A woman talks to the camera in an interview style.</t>
  </si>
  <si>
    <t>The women around the table engage in knitting-related activities.</t>
  </si>
  <si>
    <t>A bus is shown parked outside the building.</t>
  </si>
  <si>
    <t>The woman from the interview scene talks to the camera again.</t>
  </si>
  <si>
    <t>The women at the table are shown knitting.</t>
  </si>
  <si>
    <t>Several exterior shots of the building's locale are shown.</t>
  </si>
  <si>
    <t>The women at the table are shown knitting again.</t>
  </si>
  <si>
    <t>v_bhAVJ2uUw0U</t>
  </si>
  <si>
    <t>A person is seen wiping off the face of a baby with a rag while the baby sticks it's tongue out.</t>
  </si>
  <si>
    <t>the woman continues cleaning the baby and is shown smiling to the camera and waving.</t>
  </si>
  <si>
    <t>v_c1T9LbXOVUs</t>
  </si>
  <si>
    <t>Two men are seen playing rock paper scissors with one another and hitting the person who loses.</t>
  </si>
  <si>
    <t>The men continue playing this game back and fourth and rub each other's heads while others watch.</t>
  </si>
  <si>
    <t>v_Q48_MDiak-w</t>
  </si>
  <si>
    <t>An athlete performs hammer Throw by spins a heavy ball several times with his body.</t>
  </si>
  <si>
    <t>Then, the athlete throws the ball to the field.</t>
  </si>
  <si>
    <t>v_Sx7YgFLnwfM</t>
  </si>
  <si>
    <t>A woman is sitting in a chair talking.</t>
  </si>
  <si>
    <t>A persons hand is playing rock paper scissors with a robot.</t>
  </si>
  <si>
    <t>A man in a white shirt is talking to the woman.</t>
  </si>
  <si>
    <t>v_0_9_HIvxNMw</t>
  </si>
  <si>
    <t>A group of people are dressed in ski gear, riding in a lift.</t>
  </si>
  <si>
    <t>They are seen going down hills, skiing and throwing snow into the air.</t>
  </si>
  <si>
    <t>v_bqv3vCT0T5s</t>
  </si>
  <si>
    <t>A 2011 dance competition in Israel is shown with a woman in gold belly dancing solo with neon lights behind her.</t>
  </si>
  <si>
    <t>She turns her back to the audience to show different angles of her moves.</t>
  </si>
  <si>
    <t>Finally, she artfully collapses on the floor as the song ends.</t>
  </si>
  <si>
    <t>v_z5bc9KKiAGI</t>
  </si>
  <si>
    <t>A boy is standing behind a counter.</t>
  </si>
  <si>
    <t>He is throwing darts at a wall.</t>
  </si>
  <si>
    <t>A woman is standing next to him.</t>
  </si>
  <si>
    <t>v_SCM5-6hQCGY</t>
  </si>
  <si>
    <t>The little girl who's wearing a rainbow sweater is shown sitting in the sand making a huge hill of sand.</t>
  </si>
  <si>
    <t>Next she looks up and says something.</t>
  </si>
  <si>
    <t>she then keeps adding more sand to the hill.</t>
  </si>
  <si>
    <t>then a little boy joins her and just touches the hill, but walks away.</t>
  </si>
  <si>
    <t>He then comes back again to point at the hill.</t>
  </si>
  <si>
    <t>v_SlgBcsCTy58</t>
  </si>
  <si>
    <t>A woman is seen speaking to the camera while transitioning into shots of her grooming a dog.</t>
  </si>
  <si>
    <t>The girl is seen washing the dogs as well as blow drying them and trimming their fur.</t>
  </si>
  <si>
    <t>She continues speaking while showing off her clean dogs and others walking on the side.</t>
  </si>
  <si>
    <t>v_wohWWAB47KM</t>
  </si>
  <si>
    <t>A man is water skiing behind a boat on a lake.</t>
  </si>
  <si>
    <t>Some people show up on the screen who are watching and recording.</t>
  </si>
  <si>
    <t>The water skier tries to do a flip and ends up crashing into the water.</t>
  </si>
  <si>
    <t>v_BUk-fR6TAnk</t>
  </si>
  <si>
    <t>A blue page with white writing explains that the video is about how to wrap a present.</t>
  </si>
  <si>
    <t>Scissors and different types of tape are shown, as well as a roll of wrapping paper.</t>
  </si>
  <si>
    <t>A woman is on the floor with a box.</t>
  </si>
  <si>
    <t>She demonstrates how to cut and fold the paper around the present.</t>
  </si>
  <si>
    <t>She tapes the present shut.</t>
  </si>
  <si>
    <t>She then places a translucent bow on the gift.</t>
  </si>
  <si>
    <t>v_e6Dhfn1d3ic</t>
  </si>
  <si>
    <t>Men are acting silly in a bathroom.</t>
  </si>
  <si>
    <t>One man shows off his legs to the camera.</t>
  </si>
  <si>
    <t>Two men are dancing and shaving their legs near the sink.</t>
  </si>
  <si>
    <t>Another man joins the men near the sink to help with the shaving.</t>
  </si>
  <si>
    <t>v_zTnRo6yABtg</t>
  </si>
  <si>
    <t>A man walks onto a field in front of his dog.</t>
  </si>
  <si>
    <t>He throws a frisbee, and the dog catches it.</t>
  </si>
  <si>
    <t>He does several tricks with the frisbees and the dog.</t>
  </si>
  <si>
    <t>v_FUrLg7FETWo</t>
  </si>
  <si>
    <t>A woman is seen swinging an ax down on a log while another man watches on the side.</t>
  </si>
  <si>
    <t>Another woman takes off the log and the girl prepares to swing.</t>
  </si>
  <si>
    <t>She swings the ax again and looks back smiling to the camera.</t>
  </si>
  <si>
    <t>v_k_gjsTv-jy8</t>
  </si>
  <si>
    <t>A person is standing behind a counter putting food onto a tray.</t>
  </si>
  <si>
    <t>They put the tray into an oven.</t>
  </si>
  <si>
    <t>They take the tray out of the oven and lift cookies onto a plate.</t>
  </si>
  <si>
    <t>They wash off the mat in the sink.</t>
  </si>
  <si>
    <t>v_0JCM9uzZafU</t>
  </si>
  <si>
    <t>We see a ladies hand on a magazine.</t>
  </si>
  <si>
    <t>The lady cuts slices of an article.</t>
  </si>
  <si>
    <t>She puts the paper in water and lays then on her white nails, she peels the paper off and the letters stick.</t>
  </si>
  <si>
    <t>The lady puts clear polish over the nails.</t>
  </si>
  <si>
    <t>The lady sticks rhinestones to her nails.</t>
  </si>
  <si>
    <t>The lady puts clear polish over the decorated nails.</t>
  </si>
  <si>
    <t>We see the lady turning pages in the magazine.</t>
  </si>
  <si>
    <t>We see the white ending screen.</t>
  </si>
  <si>
    <t>v_y8OQkNk8WpY</t>
  </si>
  <si>
    <t>People are sliding down the ice.</t>
  </si>
  <si>
    <t>They are holding a curling stick and a ball.</t>
  </si>
  <si>
    <t>Two men in white shirts run next to the person sliding.</t>
  </si>
  <si>
    <t>v_NbTlXQLScRo</t>
  </si>
  <si>
    <t>A man is seen speaking to the camera followed by him laying several ingredients out and boiling them in some water.</t>
  </si>
  <si>
    <t>He then pours more food items under water and into a pot filled with water.</t>
  </si>
  <si>
    <t>v_iNhoeDq_EBQ</t>
  </si>
  <si>
    <t>A large group of people are seen standing on a mat and performing a routine with one another.</t>
  </si>
  <si>
    <t>The people do various flips and tricks around the mat and end with a pose and waving to the audience.</t>
  </si>
  <si>
    <t>v_Jd3D2d-RwL0</t>
  </si>
  <si>
    <t>A close up of a leaf blower is shown followed by the camera looking around the area.</t>
  </si>
  <si>
    <t>A hand is then seen starting the machine and pushing the machine around the yard.</t>
  </si>
  <si>
    <t>The man turns off the machine and looks around the front while pointing to the top of the machine.</t>
  </si>
  <si>
    <t>The camera pans around the machine and the man is shown giving a thumbs up.</t>
  </si>
  <si>
    <t>v_sb0r71oGs3M</t>
  </si>
  <si>
    <t>A lady sits on a couch and discusses.</t>
  </si>
  <si>
    <t>The lady sails a boat.</t>
  </si>
  <si>
    <t>The lady goes water boarding.</t>
  </si>
  <si>
    <t>v_zf4MXHeiSXs</t>
  </si>
  <si>
    <t>People rides horses on an unpaved road passing for the woods and on front the ocean.</t>
  </si>
  <si>
    <t>People arrive to a place and gets off the horse and then continue riding passing woods, river, the ocean and beautiful landscapes.</t>
  </si>
  <si>
    <t>Then, people arrive to a camping place, then they running on front the ocean.</t>
  </si>
  <si>
    <t>v_N3WVKg7Q2io</t>
  </si>
  <si>
    <t>Some boys are in the pools playing with volleyballs.</t>
  </si>
  <si>
    <t>There is a large swimming team swimming and throwing the ball around to their team mates, scoring.</t>
  </si>
  <si>
    <t>Then, there is a team on the filed playing flag football.</t>
  </si>
  <si>
    <t>They are running around trying to score for their team.</t>
  </si>
  <si>
    <t>v_ub0pmYL8i5s</t>
  </si>
  <si>
    <t>A silver sink is shown and a black hose with a scrubber on the bottom of it begins cleaning the sink with steam coming out of it.</t>
  </si>
  <si>
    <t>Once completed,the person then takes a white rag and goes into the sink and washes away the moisture from the steam.</t>
  </si>
  <si>
    <t>v_k42CKebiSLA</t>
  </si>
  <si>
    <t>A man travels to Japan to study how to be a sumo wrestler.</t>
  </si>
  <si>
    <t>The man gets training and learns the techniques of sumo.</t>
  </si>
  <si>
    <t>v_BoKEPRjFydk</t>
  </si>
  <si>
    <t>There are several athletes doing discus throw in an outdoor ring.</t>
  </si>
  <si>
    <t>The first athlete who is dressed in a red and white shirt begins the discus throw using a one and a half kilograms discus.</t>
  </si>
  <si>
    <t>He spins and rotates on the spot and throws the discus.</t>
  </si>
  <si>
    <t>Then another athlete throws the discus but in unsuccessful.</t>
  </si>
  <si>
    <t>The athlete in blue then makes his attempt at the discus throw as he swings and spins to throw the disc.</t>
  </si>
  <si>
    <t>Then another athlete who has won third place throws the discus successfully.</t>
  </si>
  <si>
    <t>Some more athletes come to the ring and throw the discus.</t>
  </si>
  <si>
    <t>The stadium bleachers are not filled with sufficient spectators due to security reasons.</t>
  </si>
  <si>
    <t>v_QYU2srH753Q</t>
  </si>
  <si>
    <t>The credits of the clip is shown.</t>
  </si>
  <si>
    <t>A person cracks their hands.</t>
  </si>
  <si>
    <t>Birds flock the sky above the dirt track.</t>
  </si>
  <si>
    <t>A person's shadow moves over the surface of a white trailer.</t>
  </si>
  <si>
    <t>A person rides a dirt bike.</t>
  </si>
  <si>
    <t>A person shovels dirt.</t>
  </si>
  <si>
    <t>A person stands with sign at the end of the dirt race track.</t>
  </si>
  <si>
    <t>A person lifts a dirt bike and places on a stool.</t>
  </si>
  <si>
    <t>A male child runs and smiles.</t>
  </si>
  <si>
    <t>A helicopter hovers over the race track.</t>
  </si>
  <si>
    <t>A lady pulls on a rider's helmet.</t>
  </si>
  <si>
    <t>v__i_ERtwvcJE</t>
  </si>
  <si>
    <t>A man is shown staring off into the distance while another holds a ball at a beer pong table.</t>
  </si>
  <si>
    <t>The camera shows the ball hitting the table and landing into the cup on the other side.</t>
  </si>
  <si>
    <t>The first man looks down at the cup and grimaces at what he sees.</t>
  </si>
  <si>
    <t>v_4R5KDUqBPcU</t>
  </si>
  <si>
    <t>There's a man wearing a black athletic suit in a shot put field practicing shot put.</t>
  </si>
  <si>
    <t>He begins by taking the ball in his hand and holding it against his neck.</t>
  </si>
  <si>
    <t>Then he spins around and throws the ball far ahead.</t>
  </si>
  <si>
    <t>v_l8aaaDY4ehA</t>
  </si>
  <si>
    <t>We see a man mowing a lawn.</t>
  </si>
  <si>
    <t>He stands on the stairs to mow.</t>
  </si>
  <si>
    <t>It switches to a woman mowing.</t>
  </si>
  <si>
    <t>It goes back to the man mowing.</t>
  </si>
  <si>
    <t>The man puts the mower in the shed and goes into the house.</t>
  </si>
  <si>
    <t>v_aFpWNTroghs</t>
  </si>
  <si>
    <t>An intro comes into the screen for a video about removing mulch.</t>
  </si>
  <si>
    <t>A man digs his heel into the base of a tree to push away the mulch.</t>
  </si>
  <si>
    <t>He gets down on his knees and begins to remove the mulch by hand by pushing it further from the base of the tree.</t>
  </si>
  <si>
    <t>He takes out some clippers and clips some of the roots.</t>
  </si>
  <si>
    <t>Last, the video ends with the closing captions.</t>
  </si>
  <si>
    <t>v_nsDyItaRUXI</t>
  </si>
  <si>
    <t>A woman is knitting what appears to be a scarf while sitting in front of a computer keyboard.</t>
  </si>
  <si>
    <t>She is using the needles to make the scarf.</t>
  </si>
  <si>
    <t>She pulls the yarn through with the loop several times.</t>
  </si>
  <si>
    <t>v_MRpg1K7YWSE</t>
  </si>
  <si>
    <t>A person's hand is seen throwing several darts onto a board on the other side of the room.</t>
  </si>
  <si>
    <t>The camera then moves closer to the board and zooms in on the location of where the darts are thrown.</t>
  </si>
  <si>
    <t>v_uEaxyzKonCY</t>
  </si>
  <si>
    <t>A group of people are seen on a tennis court with 4 men playing together.</t>
  </si>
  <si>
    <t>They continue playing the game back and fourth with each other whiles others play in the background.</t>
  </si>
  <si>
    <t>v_qkN9uA8izVE</t>
  </si>
  <si>
    <t>Two men are seen holding each other's hands and moving one to the other side arm wrestling.</t>
  </si>
  <si>
    <t>The men struggle a bit and ends with one slamming the other's down.</t>
  </si>
  <si>
    <t>v_K-eZfCs8yOc</t>
  </si>
  <si>
    <t>A young man plays violin while wearing headsets.</t>
  </si>
  <si>
    <t>Then, the young man finish playing and take off the headsets.</t>
  </si>
  <si>
    <t>v_xj-f9hzQ3Lc</t>
  </si>
  <si>
    <t>Several dirt bikers are standing under a garage behind a stand preparing to race.</t>
  </si>
  <si>
    <t>Someone calls a mark and they all stand up on their pedals preparing to be released.</t>
  </si>
  <si>
    <t>The bar is finally let down and the boys begin racing throughout the track that's covered in hills as people stand throughout it to watch them.</t>
  </si>
  <si>
    <t>v_A5JcwIaP30Y</t>
  </si>
  <si>
    <t>A man is trying to balance himself on a rope, he walks on it and does a flip off.</t>
  </si>
  <si>
    <t>He gets back on the rope and does another back flip off.</t>
  </si>
  <si>
    <t>He grips the the rope super tight with his feet while he walks across.</t>
  </si>
  <si>
    <t>He has trouble balancing on it, starts going backwards.</t>
  </si>
  <si>
    <t>v_gnVupEzu59g</t>
  </si>
  <si>
    <t>People are snowboarding down a hill of snow.</t>
  </si>
  <si>
    <t>A man in red goggles is standing in the snow.</t>
  </si>
  <si>
    <t>People are riding a ski lift up the mountain.</t>
  </si>
  <si>
    <t>v_6lIi6-Y6q10</t>
  </si>
  <si>
    <t>There's a man dressed in a formal attire with shirt and tie demonstrating how to make a cocktail called Pimms.</t>
  </si>
  <si>
    <t>He puts some ice cubes in a talll glass and then adds some Pimms in it.</t>
  </si>
  <si>
    <t>He slices some lemons and puts the lemons along with a cherry on a toothpick.</t>
  </si>
  <si>
    <t>Then he puts a slice of cucumber that is cut lengthwise into the cocktail.</t>
  </si>
  <si>
    <t>v_H3cFZelOk2Y</t>
  </si>
  <si>
    <t>Two team are in each other end of the rope while people are watching and two persons are taking pictures.</t>
  </si>
  <si>
    <t>The two teams began pulling the rope.</t>
  </si>
  <si>
    <t>The team in yellow shirt won and then two team shake hands and hugged each other and then gave a bow.</t>
  </si>
  <si>
    <t>v_M_CU9guT3C0</t>
  </si>
  <si>
    <t>A woman talks in a kitchen, then she shows a brush.</t>
  </si>
  <si>
    <t>The woman opens the faucet and washes a dish with the brush, then she brush her hand while explaining.</t>
  </si>
  <si>
    <t>Then, she washes a dish with the brush, then she explains showing the brush.</t>
  </si>
  <si>
    <t>v_jwYgWG2fqOA</t>
  </si>
  <si>
    <t>A dancer positions herself to begin her dance.</t>
  </si>
  <si>
    <t>The dancer performs her dance routine holding a wand.</t>
  </si>
  <si>
    <t>The woman throws her wand as part of her dance and runs to grab it and resumes her performance.</t>
  </si>
  <si>
    <t>The woman takes a bow, finishing her dance.</t>
  </si>
  <si>
    <t>v_fO2fWjYEhMc</t>
  </si>
  <si>
    <t>A man in white shirt and white shorts is holding a croquet bat, he is bending over and swing the bat slowly in the air before hitting the blue ball.</t>
  </si>
  <si>
    <t>The ball went flying passing the ball in a small rectangular holes, and hit the ground.</t>
  </si>
  <si>
    <t>v__pMQwrt-cf4</t>
  </si>
  <si>
    <t>We see the opening title screen.</t>
  </si>
  <si>
    <t>We see stills of the flooring material.</t>
  </si>
  <si>
    <t>A man cuts and puts the superfloor on the floor.</t>
  </si>
  <si>
    <t>The man then unrolls carpet over the superfloor.</t>
  </si>
  <si>
    <t>We then see the ending screen.</t>
  </si>
  <si>
    <t>v_tGuPkIKGIK4</t>
  </si>
  <si>
    <t>A woman holds a dog and take to the bathroom to take a bath in a bathtub while rubbing the body with soap.</t>
  </si>
  <si>
    <t>The dog waits until the woman grab a towel to dry the body of the dog.</t>
  </si>
  <si>
    <t>The dog looks angry and show his teeth.</t>
  </si>
  <si>
    <t>Then, woman give a kiss to then dog.</t>
  </si>
  <si>
    <t>v_8eqO6e2wWmY</t>
  </si>
  <si>
    <t>A few men and a woman are indoors playing badminton They are very into it and competing heavily.</t>
  </si>
  <si>
    <t>The men go back and forth in an attempt to score and are very focused.</t>
  </si>
  <si>
    <t>Various shots in fast motion and in slow motion are shown of the action.</t>
  </si>
  <si>
    <t>v_HGy8UgabFMw</t>
  </si>
  <si>
    <t>A man in blue shirt and jeans is wearing black gloves and trimming the hedge with an orange trimming machine, doing the side first then the front and then the other side.</t>
  </si>
  <si>
    <t>He climbed the blue-green ladder to trim the top of the hedge, he moved the ladder to do the middle top of the hedge.</t>
  </si>
  <si>
    <t>The man trimmed the round low bush, used the ladder to trim the top of the round hedge.</t>
  </si>
  <si>
    <t>v_mGLCCohSA0A</t>
  </si>
  <si>
    <t>Several kitchens are shown in the backdrop as a Around the House Menards logo flashes in the middle of the screen.</t>
  </si>
  <si>
    <t>After, a man in blue polo is shown pasting tile on the back of the kitchen walls to renovate the home.</t>
  </si>
  <si>
    <t>Another man is shown sanding and painting the wall and renovating another home.</t>
  </si>
  <si>
    <t>A block of tile is shown again but it is flipped over to see the net on the back of it.</t>
  </si>
  <si>
    <t>The men continue to renovate the house, measuring the wall,fixing the lights and pasting the tile on the wall.</t>
  </si>
  <si>
    <t>Finally, the finished product of the wall is shown.</t>
  </si>
  <si>
    <t>v_WEoelJQYlxk</t>
  </si>
  <si>
    <t>A picture of a man washing a car is shown and leads into several men washing the same car.</t>
  </si>
  <si>
    <t>The men vacuum the inside as well as clean the dashboard and entire interior and exterior.</t>
  </si>
  <si>
    <t>The car is shown off again in the end all clean.</t>
  </si>
  <si>
    <t>v_h9WOFfVGeAQ</t>
  </si>
  <si>
    <t>A man is standing up playing bagpipes.</t>
  </si>
  <si>
    <t>People are sitting on a couch laughing at him.</t>
  </si>
  <si>
    <t>v_8EDq3cjHhz0</t>
  </si>
  <si>
    <t>We see two people in a studio.</t>
  </si>
  <si>
    <t>We then see a man in a bowling alley speaking to the camera with a man in a bowling pin costume.</t>
  </si>
  <si>
    <t>The man then interviews a man in a black jacket.</t>
  </si>
  <si>
    <t>We see the bowling pin throw a green bowling ball.</t>
  </si>
  <si>
    <t>The newscaster then throws a blue ball down the lane and another ball at the bowling pin mascot who falls over.</t>
  </si>
  <si>
    <t>We then see a split screen with the pin running behind the newscaster and the people in the studio in the upper left corner.</t>
  </si>
  <si>
    <t>The pin throws a ball at the newscaster, and we return to the studio.</t>
  </si>
  <si>
    <t>v_wBwBm7Ju9a8</t>
  </si>
  <si>
    <t>A talking and smiling man is standing in an indoor area and then motions to his right and a woman walks towards him and she begins to talk and smile with him.</t>
  </si>
  <si>
    <t>The woman is now jumping on a trampoline by herself and then she stands on a jumping board and simulates a jump off of a diving board and going straight down into a pool, but instead she lands on a large, soft, black landing mat.</t>
  </si>
  <si>
    <t>The man is now jumping on the trampoline and he does the the exact same thing as the woman just did.</t>
  </si>
  <si>
    <t>Now the woman is standing at an outdoor pool talking and she jumps off of the diving board first, does a few flips and then lands in the water.</t>
  </si>
  <si>
    <t>The man appears in front of the camera holding up a small speedo, he shakes his head in disapproval of the speedos, throws it on the camera, and they show him doing leg warm ups wearing a long pair of swimming shorts.</t>
  </si>
  <si>
    <t>Then man goes on the diving board, rubs his hands together, then jumps off the diving board 4 times and does various flips before he lands in the water.</t>
  </si>
  <si>
    <t>The man and the woman are now on the ground talking and they turn to look at the tallest diving board, and a quick shot from tallest diving board is showing high it is, then it goes back to the man and the woman still standing next to the pool and talking.</t>
  </si>
  <si>
    <t>v_wBbSb9Ubis4</t>
  </si>
  <si>
    <t>A close up of a bull is seen as well as another laying on the ground.</t>
  </si>
  <si>
    <t>Another bull is seen running off into the distance and chasing a person.</t>
  </si>
  <si>
    <t>Several people are seen running away from a bull in many shots as they chase them down.</t>
  </si>
  <si>
    <t>v_kZMDKbfIis0</t>
  </si>
  <si>
    <t>A man is kneeling down on ice.</t>
  </si>
  <si>
    <t>He begins playing a game of curling.</t>
  </si>
  <si>
    <t>Two people scrub the ice in front of the curling ball.</t>
  </si>
  <si>
    <t>v_6aWTCiY3eww</t>
  </si>
  <si>
    <t>A man is seen climbing onto of a camel and begins walking around with a man in front.</t>
  </si>
  <si>
    <t>The man speaks to one on top and gives the camel a slap while looking back to speak to the camera.</t>
  </si>
  <si>
    <t>v_NcEWimHnC54</t>
  </si>
  <si>
    <t>We see snow covered ski slope and a title screen.</t>
  </si>
  <si>
    <t>We see people skiing and snowboarding down the hill.</t>
  </si>
  <si>
    <t>The names are shown in a blue bar above.</t>
  </si>
  <si>
    <t>We see a man holding a selfie stick as he boards down the hill.</t>
  </si>
  <si>
    <t>We see a person in dense woods riding a snowboard.</t>
  </si>
  <si>
    <t>We see the ending credits.</t>
  </si>
  <si>
    <t>v_n96adnrNnno</t>
  </si>
  <si>
    <t>Two Asians a man and a female are sitting down at a table before going to the inside of a gym.</t>
  </si>
  <si>
    <t>In the gym,several young girls begin doing gymnastics and performing before coming back and doing an interview with the reporter.</t>
  </si>
  <si>
    <t>Next,a young man approaches the bars,does his routine,and then comes back to to his interview.</t>
  </si>
  <si>
    <t>v_beRmfL0Uh28</t>
  </si>
  <si>
    <t>A Caucasian man wearing a red helmet is sitting in a boat in the water talking to water.</t>
  </si>
  <si>
    <t>The rocky water is shown and then the man comes down kayaking throughout the white waters.</t>
  </si>
  <si>
    <t>A flash of vacant water is shown then a group of ten people are pictured kayaking together over the rocks and water and eventually are pushed out the kayak by the large wave.</t>
  </si>
  <si>
    <t>The group of people continue swimming through the water trying to find land.</t>
  </si>
  <si>
    <t>They eventually get out and each person begins talking the camera about what they've just experienced.</t>
  </si>
  <si>
    <t>v_X74SOIQRD4M</t>
  </si>
  <si>
    <t>The players are running in the field with their bats.</t>
  </si>
  <si>
    <t>The player in shirt is running with player in red shirt.</t>
  </si>
  <si>
    <t>The two players began walking.</t>
  </si>
  <si>
    <t>v_RDCZQ0nWIPc</t>
  </si>
  <si>
    <t>A white screen appears and special affects reveal the words "Howcast original".</t>
  </si>
  <si>
    <t>A man is talking while various clips of people rollerblading play and a screen pops up indicating that he's giving tips on "Rollerblading Basics: How to Control Speed on Rollerblades", and he picks up a pair of rollerblades and points to the wheels, then more clips of him rollerblading and showing examples plays.</t>
  </si>
  <si>
    <t>The outro appears and it's the white screen in the intro that include the words "Howcast original".</t>
  </si>
  <si>
    <t>v_7rf06_5zNJk</t>
  </si>
  <si>
    <t>Members of a belly dance academy do a choreographed routine in an advertisement for the school.</t>
  </si>
  <si>
    <t>They move around the stage and then show their bellies.</t>
  </si>
  <si>
    <t>v_HEuC9ZEY91E</t>
  </si>
  <si>
    <t>People are going down a hill of snow on sleds.</t>
  </si>
  <si>
    <t>People are standing on the side of the hill watching them.</t>
  </si>
  <si>
    <t>People are making a snow man in the snow.</t>
  </si>
  <si>
    <t>v_s1WQ4zNikKA</t>
  </si>
  <si>
    <t>A camera pans around a shower and zooms in on a person shaving their legs.</t>
  </si>
  <si>
    <t>The camera watches her move her arms all around her legs while the water runs down the drain.</t>
  </si>
  <si>
    <t>v_Y2gFwWnli4g</t>
  </si>
  <si>
    <t>A chef speaks as she stands by a table full of cooking ingredients.</t>
  </si>
  <si>
    <t>She grabs oil and salt and pours it into a mixing bowl.</t>
  </si>
  <si>
    <t>She stirs the ingredients with some tongs.</t>
  </si>
  <si>
    <t>She pours some tomatoes, zucchini and red onions into the mixing bowl.</t>
  </si>
  <si>
    <t>She cuts up some cilantro.</t>
  </si>
  <si>
    <t>She throws the cilantro into the mixing bowl.</t>
  </si>
  <si>
    <t>She mixes the vegetables in the mixing bowl with the tongs.</t>
  </si>
  <si>
    <t>She places the vegetable on top of some arugula on a plate.</t>
  </si>
  <si>
    <t>She shows off the salad.</t>
  </si>
  <si>
    <t>v_6TgVNz6PATk</t>
  </si>
  <si>
    <t>A person in red jacket is standing at the side of the lane.</t>
  </si>
  <si>
    <t>Two people are sliding down the lane covered in snow.</t>
  </si>
  <si>
    <t>The woman in the tube is going further down the lane as she wave her arms.</t>
  </si>
  <si>
    <t>v_xLRUuV1z3QA</t>
  </si>
  <si>
    <t>A woman is standing next to a camel holding the leash.</t>
  </si>
  <si>
    <t>The woman climbed on the camel, and the camel stood up.</t>
  </si>
  <si>
    <t>The camel walk around and stopped as the woman pull the leash and the camel sat down and the woman got off the camel.</t>
  </si>
  <si>
    <t>v_rhOtqArO-3Y</t>
  </si>
  <si>
    <t>The video shows a canopy representing the Eastern Mountain Sports event.</t>
  </si>
  <si>
    <t>Several players are getting ready for the sporting event in an outdoor setting on a bright sunny day.</t>
  </si>
  <si>
    <t>There is a boy balancing on a tight rope.</t>
  </si>
  <si>
    <t>There are several other contestants walking on the tight rope.</t>
  </si>
  <si>
    <t>Several people watch the contestants perform.</t>
  </si>
  <si>
    <t>Two people are playing with a Frisbee as one person walks on the rope.</t>
  </si>
  <si>
    <t>A girl and boy try the tight rope together.</t>
  </si>
  <si>
    <t>There are people enjoying themselves on a hammock.</t>
  </si>
  <si>
    <t>The end credits thank the people and organizers of the event.</t>
  </si>
  <si>
    <t>v_SwQbnQX7LCQ</t>
  </si>
  <si>
    <t>A grey car is parked on a driveway, then a person washes the rims of the car.</t>
  </si>
  <si>
    <t>After, the person spreads soap on the car with a bottle joint to a hose, after he brushes the front light of the car.</t>
  </si>
  <si>
    <t>Then, the person cleans the hood with a cloth.</t>
  </si>
  <si>
    <t>Next, the person rinses and dries the car.</t>
  </si>
  <si>
    <t>v_Lml6HGhM4yg</t>
  </si>
  <si>
    <t>A person is seen holding a tennis racket on a field and hits the ball across the field.</t>
  </si>
  <si>
    <t>He then smiles and walks to the camera while pointing into the distance and fist bumping.</t>
  </si>
  <si>
    <t>v_u1grT0O81Qg</t>
  </si>
  <si>
    <t>A group of fencers pose with an instructor.</t>
  </si>
  <si>
    <t>The fencers are shown inside a gym, practicing.</t>
  </si>
  <si>
    <t>They jab and do various moves with each other during the match.</t>
  </si>
  <si>
    <t>v_qCtoh8hxjOA</t>
  </si>
  <si>
    <t>A person is seen sitting a top a slide and begins riding down the slide.</t>
  </si>
  <si>
    <t>She meets another person at the bottom while laughing to the camera and another person running in.</t>
  </si>
  <si>
    <t>v_n18TxTWnbFI</t>
  </si>
  <si>
    <t>A person is standing on a diving board.</t>
  </si>
  <si>
    <t>They jump off the diving board into the pool.</t>
  </si>
  <si>
    <t>He falls backward into the water.</t>
  </si>
  <si>
    <t>Someone is jumping into the water off the diving board.</t>
  </si>
  <si>
    <t>A person jumps and goes under the water.</t>
  </si>
  <si>
    <t>A man is jumping high and does a flip into the water off of the diving board.</t>
  </si>
  <si>
    <t>A person does a black flip into the water off the diving board.</t>
  </si>
  <si>
    <t>v_0jBwj0bfZ3Y</t>
  </si>
  <si>
    <t>A small ground of people are seen standing around a baseball field looking around to one another.</t>
  </si>
  <si>
    <t>Suddenly a few begin dancing around and one holds the ball in the middle.</t>
  </si>
  <si>
    <t>v_Ok_Tjkob8IA</t>
  </si>
  <si>
    <t>little kid is standing in front of a counter with jars and ingedients in front of her.</t>
  </si>
  <si>
    <t>woman is putting sugar in a pan with water and heat it, put water and lemon juice and mixing all the ingredients in a jar.</t>
  </si>
  <si>
    <t>v_1aRRlW0k-_4</t>
  </si>
  <si>
    <t>A boy is playing with a ball.</t>
  </si>
  <si>
    <t>Kids are practicing lacrosse on a field of grass.</t>
  </si>
  <si>
    <t>A man in a black jacket is watching them play.</t>
  </si>
  <si>
    <t>v_DRI64Xoxy5w</t>
  </si>
  <si>
    <t>There are lots of people standing outdoors just walking around and talking.</t>
  </si>
  <si>
    <t>A little boy goes behind a ladder and other people keep walking around.</t>
  </si>
  <si>
    <t>A pinata drops from high above and he hits the pinata using a stick and then someone comes out holding a bowl filled with bags.</t>
  </si>
  <si>
    <t>v_h7cetqsBVn0</t>
  </si>
  <si>
    <t>There is a line of camels sitting on the ground in the Outback area of Australia.</t>
  </si>
  <si>
    <t>there are tourists waiting to get onto the camels to enjoy a camel back ride.</t>
  </si>
  <si>
    <t>Men in red shirts and cowboy hats are helping the tourists get on the camels' backs.</t>
  </si>
  <si>
    <t>The camels slowly raise themselves up and begin walking around with the tourists on their backs.</t>
  </si>
  <si>
    <t>The tourists are happy as they wave to the camera as they enjoy the camel ride.</t>
  </si>
  <si>
    <t>The camels walk slowly through the dry and muddy grasslands.</t>
  </si>
  <si>
    <t>Then the tourists get off of the camels and walk towards an outdoor dinning area where several tables are arranged with white tablecloths and dinnerware.</t>
  </si>
  <si>
    <t>v__9h6NBOPTy8</t>
  </si>
  <si>
    <t>A martini glass is being filled with vodka.</t>
  </si>
  <si>
    <t>A woman is shown behind a bar with different alcohol bottles.</t>
  </si>
  <si>
    <t>She mixes them together, then decorates the final drink.</t>
  </si>
  <si>
    <t>v_oZnbAhzN3jg</t>
  </si>
  <si>
    <t>A person shows how to clean large windows.</t>
  </si>
  <si>
    <t>First the soap is applied then it is scraped away.</t>
  </si>
  <si>
    <t>The process is repeated and finished.</t>
  </si>
  <si>
    <t>v_YtPZMBePf5c</t>
  </si>
  <si>
    <t>A man is seen swirling a stick around a pot while a young boy on the side watches him work.</t>
  </si>
  <si>
    <t>The man teases the boy with a cone and lets the boy have it, only to be taken away again.</t>
  </si>
  <si>
    <t>The man then puts ice cream on the cone and smiles at the boy while he walks away and other's watch.</t>
  </si>
  <si>
    <t>v_DmTI8y6Anvo</t>
  </si>
  <si>
    <t>A basketball player is seen jumping under a basketball ball net and shooting a ball continuously at the net.</t>
  </si>
  <si>
    <t>She continues shooting and the video ends with various text across the screen.</t>
  </si>
  <si>
    <t>v_seScyTd2XSc</t>
  </si>
  <si>
    <t>A person holds out cleaning product and a spray bottle with the mixture over a kitchen sink.</t>
  </si>
  <si>
    <t>The person sprays down the stainless steel sink with detergent in a spray bottle.</t>
  </si>
  <si>
    <t>A sponge is used to scrub the sing with the cleaning solution.</t>
  </si>
  <si>
    <t>The faucet is turned on and is used to rinse out the sink.</t>
  </si>
  <si>
    <t>v_evj6y2xZCnM</t>
  </si>
  <si>
    <t>a baby in a screen is shown and someone hits the screen with a hammer.</t>
  </si>
  <si>
    <t>man is doing skateboard and is felling of the board in different places.</t>
  </si>
  <si>
    <t>man is skateboarding going down a large stairs and fells.</t>
  </si>
  <si>
    <t>man is skateboarding down a cement rail in stairs.</t>
  </si>
  <si>
    <t>v_9PRK4oy1hhY</t>
  </si>
  <si>
    <t>A reporter interview two boys and a little boy.</t>
  </si>
  <si>
    <t>Then, the big boys and the small boys play soccer table while the reporter continue the interview.</t>
  </si>
  <si>
    <t>v_FnrvqpjHe6I</t>
  </si>
  <si>
    <t>The young female players are running around the court throwing ball to on each other.</t>
  </si>
  <si>
    <t>Some of the players are avoiding the ball, so they continue to run around.</t>
  </si>
  <si>
    <t>The female players walked as they kicked the ball from one side to the next.</t>
  </si>
  <si>
    <t>The players kicked the ball to the next person on the opposite side of the court.</t>
  </si>
  <si>
    <t>v_PXvqhB91EkA</t>
  </si>
  <si>
    <t>A small group of people are seen riding exercise bikes next to one another while a woman stands in the middle motivating them.</t>
  </si>
  <si>
    <t>The people continue spinning around on the bikes with some struggling and others continuing to peddle.</t>
  </si>
  <si>
    <t>v_GEmuTigZlYA</t>
  </si>
  <si>
    <t>A woman is seen brushing copious amounts of hair off of a dog's body and collecting the fur in her hand.</t>
  </si>
  <si>
    <t>The dog moves his leg a bit as the woman continues brushing and looks back to watch her brush.</t>
  </si>
  <si>
    <t>v_YAm1JXAtqh4</t>
  </si>
  <si>
    <t>A person runs down a track and throws a javelin.</t>
  </si>
  <si>
    <t>Another person runs down the track and throws a javelin.</t>
  </si>
  <si>
    <t>v_0_ZLjaAEx5s</t>
  </si>
  <si>
    <t>The lady whips her hair from side to side.</t>
  </si>
  <si>
    <t>The lady parts her hair.</t>
  </si>
  <si>
    <t>The lady brushes her hair, applies gel to her parted hair, and starts to braid her hair.</t>
  </si>
  <si>
    <t>The lady puts a hair ties around the two braids.</t>
  </si>
  <si>
    <t>The lady puts a hat on her head.</t>
  </si>
  <si>
    <t>The lady gives a peace sign and waves.</t>
  </si>
  <si>
    <t>v_XqW8wjFpGRU</t>
  </si>
  <si>
    <t>People are dancing and choreographing a routine.</t>
  </si>
  <si>
    <t>They jump around and clap at the end.</t>
  </si>
  <si>
    <t>v_4hbMYlgO8_o</t>
  </si>
  <si>
    <t>A man is seen kneeling down in a large field around small trees and holding a stick.</t>
  </si>
  <si>
    <t>The man then wacks the stick along the grass and moving his arms back and fourth.</t>
  </si>
  <si>
    <t>v_6B3qNzgqnpc</t>
  </si>
  <si>
    <t>A person sitting in a canoe is slowly streaming down a river.</t>
  </si>
  <si>
    <t>A shot of a bird is seen off in the distance, as well as another bird.</t>
  </si>
  <si>
    <t>The canoe keeps floating while various bird are shown sitting in the water as well as the trees.</t>
  </si>
  <si>
    <t>v_d8M7yIj9jbE</t>
  </si>
  <si>
    <t>A young man is sitting down in a room talking to three other people serving as news anchors.</t>
  </si>
  <si>
    <t>The video then flips to a bar and shows Obama playing a game of pool.</t>
  </si>
  <si>
    <t>After,the four people begin talking again about the former president and his attire.</t>
  </si>
  <si>
    <t>v_KmhzUY2ooCw</t>
  </si>
  <si>
    <t>A backyard seen appears with several people outside.</t>
  </si>
  <si>
    <t>The people are playing a game of croquette, taking turns with the bat and hitting the balls.</t>
  </si>
  <si>
    <t>v_HKgnushHynQ</t>
  </si>
  <si>
    <t>People side dive into a swimming pool.</t>
  </si>
  <si>
    <t>People are standing in a swimming pool.</t>
  </si>
  <si>
    <t>Girls are dancing on the lawn in swim suits.</t>
  </si>
  <si>
    <t>People are jumping up and down in a swimming pool with their arms around each other.</t>
  </si>
  <si>
    <t>People begin playing water polo in the swimming pool.</t>
  </si>
  <si>
    <t>v_MyPQ_e4dGDw</t>
  </si>
  <si>
    <t>A lemon sits on a cutting board.</t>
  </si>
  <si>
    <t>Someone chops the lemon and squeezes it into a glass.</t>
  </si>
  <si>
    <t>The other half is squeezed in.</t>
  </si>
  <si>
    <t>They then add sugar to the mix.</t>
  </si>
  <si>
    <t>v_KNzFJses9jc</t>
  </si>
  <si>
    <t>A large crane is seen sitting on the ground and leads into a man using tools on a wall.</t>
  </si>
  <si>
    <t>The camera continues to watch the person work as he uses the tool to create sparks on the wall.</t>
  </si>
  <si>
    <t>v_H-fl49tiqGE</t>
  </si>
  <si>
    <t>women are in rubbers sliding down a snowy hill.</t>
  </si>
  <si>
    <t>women stands and laugh and walks.</t>
  </si>
  <si>
    <t>v_M2ntILX6VP0</t>
  </si>
  <si>
    <t>A baby calf is seen running around a sand pit when a man riding a horse and swinging a rope begins to chase him.</t>
  </si>
  <si>
    <t>The man ties up the calf and rides away while the video leads into shots of a horse kicking a rider off of it's back.</t>
  </si>
  <si>
    <t>More shots are shown of horses kicking riders off while people grab the horse in the end.</t>
  </si>
  <si>
    <t>v_1GzrcmQ5Pcc</t>
  </si>
  <si>
    <t>People are running around playing dodge ball.</t>
  </si>
  <si>
    <t>A woman is holding a camera taking a picture.</t>
  </si>
  <si>
    <t>A woman in a blue shirt poses with a man for a picture.</t>
  </si>
  <si>
    <t>v_0L959X4oxaY</t>
  </si>
  <si>
    <t>A man is standing on top of a hill.</t>
  </si>
  <si>
    <t>A woman is seated on a sled.</t>
  </si>
  <si>
    <t>She is then released down the hill, moving quickly.</t>
  </si>
  <si>
    <t>v_g7l-Y_bgPkI</t>
  </si>
  <si>
    <t>Several people are watching a man in a white hat on a tennis court.</t>
  </si>
  <si>
    <t>The man in the white hat is holding his hand up.</t>
  </si>
  <si>
    <t>The ball is served and it goes outside the court.</t>
  </si>
  <si>
    <t>The ball is thrown to the man in the white hat.</t>
  </si>
  <si>
    <t>The man in the white hat prepares to serve the ball.</t>
  </si>
  <si>
    <t>v_pmn8_4zKo7I</t>
  </si>
  <si>
    <t>A man is outside smoking a cigarette with his friend.</t>
  </si>
  <si>
    <t>They are just sitting out relaxing blowing smoke.</t>
  </si>
  <si>
    <t>Another man with a camera walks by while they sit chatting.</t>
  </si>
  <si>
    <t>Its a nice day to just relax and have a smoke outside with friends.</t>
  </si>
  <si>
    <t>v_URzytLugoVw</t>
  </si>
  <si>
    <t>Two men are running on the baseball field.</t>
  </si>
  <si>
    <t>A ball appears and falls to the ground at home plate and a man kicks it.</t>
  </si>
  <si>
    <t>Another man on the field catches the ball.</t>
  </si>
  <si>
    <t>The man with the ball's team runs over to him.</t>
  </si>
  <si>
    <t>We see the play again slow motion.</t>
  </si>
  <si>
    <t>v_GgfyTMpHfnI</t>
  </si>
  <si>
    <t>We see a girl with a braid then shaking loose curls in her hair.</t>
  </si>
  <si>
    <t>We watch the girl as she curls and braids her hair.</t>
  </si>
  <si>
    <t>The girl using a curling iron and curls her hair.</t>
  </si>
  <si>
    <t>She then braids and twists her hair into a side braid.</t>
  </si>
  <si>
    <t>The girl shows us the back of her hair and then curls the bottom with a curling iron.</t>
  </si>
  <si>
    <t>The girl makes faces and the ending title screen then loads.</t>
  </si>
  <si>
    <t>v_zPZGjZES31A</t>
  </si>
  <si>
    <t>The camera pans a residence's yard.</t>
  </si>
  <si>
    <t>A man wearing a white hoodie and black warm ups with white stripes is mowing the yard with a push lawn mower.</t>
  </si>
  <si>
    <t>The camera captures a rain storm starting and raining over the yard while the man continues to mow the yard.</t>
  </si>
  <si>
    <t>v_Ug3pM64HhK4</t>
  </si>
  <si>
    <t>A Woman is braiding her hair.</t>
  </si>
  <si>
    <t>She is Crossing the strands.</t>
  </si>
  <si>
    <t>Her braid is done on one side and she continues on the next.</t>
  </si>
  <si>
    <t>Crossing and adding hair to the braid.</t>
  </si>
  <si>
    <t>She finishes and turns around and puts the back into a ponytail.</t>
  </si>
  <si>
    <t>v_MoVZoCmkdjY</t>
  </si>
  <si>
    <t>A man and a woman sit behind a table.</t>
  </si>
  <si>
    <t>The man pours a drink into several glasses on the table.</t>
  </si>
  <si>
    <t>A woman is making a drink on the table.</t>
  </si>
  <si>
    <t>She pours a blue bottle into the drink.</t>
  </si>
  <si>
    <t>She pours the drink into smaller glasses on the table.</t>
  </si>
  <si>
    <t>v_HV_yqsiFoKA</t>
  </si>
  <si>
    <t>man wearing a black vest is alone on a ring wrestling with another man who is kneeling on the floor.</t>
  </si>
  <si>
    <t>two other men gets in the ring and are wresting the man in the center.</t>
  </si>
  <si>
    <t>people are around the ring wtching the wrest.</t>
  </si>
  <si>
    <t>three journalists are standing wearing suits and watch the men in the ring.</t>
  </si>
  <si>
    <t>v_Bbb8CybvMlk</t>
  </si>
  <si>
    <t>An introduction comes onto the screen for a video about wrapping gifts.</t>
  </si>
  <si>
    <t>Several different close up shots are shows of wrapped gifts and gift wrapping supplies.</t>
  </si>
  <si>
    <t>A person comes onto the screen and begins to wrap a gift.</t>
  </si>
  <si>
    <t>She decorates the gift with ribbons and attachments to embellish it.</t>
  </si>
  <si>
    <t>Several other gift wrapping ideas are then shown on the one after the other.</t>
  </si>
  <si>
    <t>The video ends with the closing credits shown on the screen.</t>
  </si>
  <si>
    <t>v_HiEClhlj5_A</t>
  </si>
  <si>
    <t>A camera pans down a long list and leads into a group of men and one speaking to them all.</t>
  </si>
  <si>
    <t>Two men shake hands and begin rolling paint along a long paper.</t>
  </si>
  <si>
    <t>They race to put the paper on a long wall and photographs of men measuring the wall follow.</t>
  </si>
  <si>
    <t>The men fist bump another and shake hands as the men continue writing down notes and pictures of high scores shown.</t>
  </si>
  <si>
    <t>v_IOoj4yWCoPg</t>
  </si>
  <si>
    <t>A woman is sitting outside her home and washing her clothes in a tub filled with water and soap.</t>
  </si>
  <si>
    <t>She removes the clothes from the tub and then soaks them in another tub filled with water.</t>
  </si>
  <si>
    <t>She puts the water hose into the water tub.</t>
  </si>
  <si>
    <t>She adds more clothes in the soapy water and continues washing the clothes.</t>
  </si>
  <si>
    <t>v_xMQcYD044z4</t>
  </si>
  <si>
    <t>old man is standing in front of a young man talking to him.</t>
  </si>
  <si>
    <t>young man is in the middle of stage and its spreading white cram on his hands and walks making deep beraths.</t>
  </si>
  <si>
    <t>man is ready to lifting weight in middle of a white stage and people behind jim is clapping.</t>
  </si>
  <si>
    <t>v_GwJ9DmiW8dk</t>
  </si>
  <si>
    <t>A woman in a purple bodysuit and wearing a bib on her back approaches a wooden balance beam in front of a large audience who is cheering her on.</t>
  </si>
  <si>
    <t>The woman jumps on the the balance beam and a man quickly grabs the ramp she used to jump onto the balance beam and removes it from the area.</t>
  </si>
  <si>
    <t>The woman begins her routine that includes, jumps, flips, and small dance moves.</t>
  </si>
  <si>
    <t>During the routine the woman flips and slightly loses her balance but quickly recovers and remains on the balance beam.</t>
  </si>
  <si>
    <t>The woman goes to the furthest end of the balance beam, has a very concentrated look on her face and she quickly does a series of flips off of the balance beam, lands on her feet, throws her two arms in the air and waves to the audience who is cheering wildly.</t>
  </si>
  <si>
    <t>v_3XUxm78gjJE</t>
  </si>
  <si>
    <t>People are playing baseball on a field of grass.</t>
  </si>
  <si>
    <t>A person in a blue shirt falls down throwing the baseball.</t>
  </si>
  <si>
    <t>The audience is dancing on the side of the field.</t>
  </si>
  <si>
    <t>v_RclRzty0YVE</t>
  </si>
  <si>
    <t>A person is seen standing on the beach with a soccer ball in front of him and a person standing in a goal.</t>
  </si>
  <si>
    <t>The person then kicks the ball several times to the goalie.</t>
  </si>
  <si>
    <t>The goalie attempts to block the shots that are aimed at the net.</t>
  </si>
  <si>
    <t>v_lngs7qR5AXA</t>
  </si>
  <si>
    <t>A man lays in bed and wakes up.</t>
  </si>
  <si>
    <t>The man makes and drinks a cup of coffee.</t>
  </si>
  <si>
    <t>The man drinks from the cup and when he lowers the cup the man is dress as Captain America.</t>
  </si>
  <si>
    <t>v_syAccI5soVw</t>
  </si>
  <si>
    <t>A young girl is seen performing a belly dancing routine in front of a large group of people.</t>
  </si>
  <si>
    <t>The girl continues swinging her arms and legs around in front of the audience and ends by bowing and blowing a kiss.</t>
  </si>
  <si>
    <t>v_nIIFlJnOXXs</t>
  </si>
  <si>
    <t>A woman standing behind an ironing board grabs a pair of pants.</t>
  </si>
  <si>
    <t>She starts ironing the pants inside out.</t>
  </si>
  <si>
    <t>She turns the pants back the right way and continues ironing them.</t>
  </si>
  <si>
    <t>v_n-1KBnDiWQU</t>
  </si>
  <si>
    <t>A man is on a canoe holding a paddle in a swimming pool.</t>
  </si>
  <si>
    <t>A man pivots a canoe helping with an oar.</t>
  </si>
  <si>
    <t>v_aV5DMcsNMmk</t>
  </si>
  <si>
    <t>A dog holding a cup in its mouth jumps up on a couch.</t>
  </si>
  <si>
    <t>The dog proceeds to eat something in the cup.</t>
  </si>
  <si>
    <t>v_9OVSvoKwa0A</t>
  </si>
  <si>
    <t>People are sitting in bumper cars.</t>
  </si>
  <si>
    <t>A man on the side is holding onto the side of one of the cars.</t>
  </si>
  <si>
    <t>He jumps off onto the side.</t>
  </si>
  <si>
    <t>v_Z1siDLDwbiY</t>
  </si>
  <si>
    <t>A person begins clearing snow off of a windshield on a car.</t>
  </si>
  <si>
    <t>They then clean the snow off the doors of the car.</t>
  </si>
  <si>
    <t>They then clean the back window off of a car.</t>
  </si>
  <si>
    <t>v_Ol2rfUv3zHI</t>
  </si>
  <si>
    <t>A man in a red shirt is playing a drum set.</t>
  </si>
  <si>
    <t>A man in a blue shirt is sitting down talking.</t>
  </si>
  <si>
    <t>v_13vEnzRCKzo</t>
  </si>
  <si>
    <t>The woman irons a piece of clothing on an ironing board.</t>
  </si>
  <si>
    <t>The woman flips the piece of clothing.</t>
  </si>
  <si>
    <t>The woman continues to iron the piece of clothing.</t>
  </si>
  <si>
    <t>v_FMXPFrZYhes</t>
  </si>
  <si>
    <t>A male athlete is outside in a field surrounded by people and begins to spin around and throws a shot put.</t>
  </si>
  <si>
    <t>The crowd begins to cheer and the man throws his hands up jumps in happiness.</t>
  </si>
  <si>
    <t>v_29Vrl0rJbSo</t>
  </si>
  <si>
    <t>A lady stands in a bathroom talking.</t>
  </si>
  <si>
    <t>the lady shows the camera her brush and blow dryer.</t>
  </si>
  <si>
    <t>The lady brushes her hair.</t>
  </si>
  <si>
    <t>the lady blow drys her hair while she spins her hair on a brush.</t>
  </si>
  <si>
    <t>The lady turns the blow dryer off and talks to the camera while she adjusts her hair.</t>
  </si>
  <si>
    <t>The lady puts her brush down and talks to the camera.</t>
  </si>
  <si>
    <t>v_rrTNLcPCWK8</t>
  </si>
  <si>
    <t>People are gathered on bleachers in a gym.</t>
  </si>
  <si>
    <t>Team mates come out waving a white flag.</t>
  </si>
  <si>
    <t>A basketball game commences, trying to make baskets.</t>
  </si>
  <si>
    <t>v_6NQl2Vcf0P0</t>
  </si>
  <si>
    <t>A man in a rodeo owing is performing a stunt.</t>
  </si>
  <si>
    <t>A man is riding a horse in a rodeo ring.</t>
  </si>
  <si>
    <t>the man lassos a cow and throws it to the ground.</t>
  </si>
  <si>
    <t>the man then hog ties the cow.</t>
  </si>
  <si>
    <t>The man gets back on his horse and we pan up and see the scoreboard.</t>
  </si>
  <si>
    <t>v_yWCrbhU_X_U</t>
  </si>
  <si>
    <t>Two little kids are eating an ice cream cone at mcdonalds.</t>
  </si>
  <si>
    <t>They are licking and so happy to have ice cream.</t>
  </si>
  <si>
    <t>The little girl is playing peek a boo with someone and both of their faces have ice cream on them.</t>
  </si>
  <si>
    <t>They are just enjoying the ice cream very much.</t>
  </si>
  <si>
    <t>v_5xgBlI9Xx0I</t>
  </si>
  <si>
    <t>A gymnast is shown swinging back and fourth on uneven bars.</t>
  </si>
  <si>
    <t>He performs a routine swinging around and around while hundreds of people watch.</t>
  </si>
  <si>
    <t>He finishes by sticking his arms up in the air and bowing to the audience.</t>
  </si>
  <si>
    <t>v_Ffi7vDa3C2I</t>
  </si>
  <si>
    <t>Two men are rollerblading on a sidewalk of a quiet street.</t>
  </si>
  <si>
    <t>There are four young men and women rollerblading on a street with lots of trees.</t>
  </si>
  <si>
    <t>There are some professionals rollerblading in a stadium and on a sidewalk by a fountain.</t>
  </si>
  <si>
    <t>One man jumps over a chained sidewalk while rollerblading.</t>
  </si>
  <si>
    <t>A couple is rollerblading on a sidewalk and another man is jumping over a barricade onto a sidewalk.</t>
  </si>
  <si>
    <t>Several people are rollerblading on the sidewalk.</t>
  </si>
  <si>
    <t>There are some people competing in a rollerblading competition.</t>
  </si>
  <si>
    <t>There are some men rollerblading through streets at very high speed.</t>
  </si>
  <si>
    <t>Some of them are climbing stairs with their roller blades.</t>
  </si>
  <si>
    <t>Some men are rollerblading through a busy city and on bridges.</t>
  </si>
  <si>
    <t>There is a group of young children rollerblading together.</t>
  </si>
  <si>
    <t>One man leaps over a wall while rollerblading.</t>
  </si>
  <si>
    <t>One person dives straight into water as he comes rollerblading at high speed.</t>
  </si>
  <si>
    <t>People are rollerblading through the city, going down the stairs and even on sidewalks.</t>
  </si>
  <si>
    <t>Two boys jump into an S shaped structure while rollerblading.</t>
  </si>
  <si>
    <t>Two people are doing figure eights on a bridge as they roller blade.</t>
  </si>
  <si>
    <t>One person goes steadily while rollerblading.</t>
  </si>
  <si>
    <t>v_zBmVL3I3nFU</t>
  </si>
  <si>
    <t>First the woman shows us how she looks with her afro before she makes a bug bun.</t>
  </si>
  <si>
    <t>First she sprays her hair with water from a spray bottle.</t>
  </si>
  <si>
    <t>Then she adds moisturizer to her hair and ties a ponytail holder onto her hair.</t>
  </si>
  <si>
    <t>Then she twists the ends of her hair to make a small bun and she wraps it to make it secure.</t>
  </si>
  <si>
    <t>Then she lightly twists the braiding hair and uses as many bobby pins as she needs.</t>
  </si>
  <si>
    <t>Finally, she puts gel on her edges to lay them down and she puts a bandanna on her edges.</t>
  </si>
  <si>
    <t>Then she takes it off and it's all done.</t>
  </si>
  <si>
    <t>v_fUJ88Ir7Dgc</t>
  </si>
  <si>
    <t>A person is seen walking around a track in the middle of a large audience.</t>
  </si>
  <si>
    <t>The athlete then sits down while another stands next to him and prepares.</t>
  </si>
  <si>
    <t>The man is then seen jumping over a bar followed by the same shot being shown again.</t>
  </si>
  <si>
    <t>v_5RLeo8LymY4</t>
  </si>
  <si>
    <t>A pair is rowing on kayaks down a lazy river stream.</t>
  </si>
  <si>
    <t>They use paddles to move their kayaks along the water.</t>
  </si>
  <si>
    <t>The pair looks toward each other, as if talking.</t>
  </si>
  <si>
    <t>v_FOF8YgUhRNA</t>
  </si>
  <si>
    <t>A shot of a glass being poured is shown and leads into a woman speaking to the camera.</t>
  </si>
  <si>
    <t>The woman holds a glass and mixes various liquids into the glass.</t>
  </si>
  <si>
    <t>The tops it off with a lemon and slides the drink closer and still speaking.</t>
  </si>
  <si>
    <t>v_Jm1y_W7RLSI</t>
  </si>
  <si>
    <t>A woman is seen standing before a camera and begins putting lotion on her hands and rubbing it round her face.</t>
  </si>
  <si>
    <t>The woman continuously rubs lotion all into her face and ends by looking into the camera.</t>
  </si>
  <si>
    <t>v_aKfUE-KeYWw</t>
  </si>
  <si>
    <t>This man is shown mowing the lawn while a big greyhound walks behind him.</t>
  </si>
  <si>
    <t>There is also another small dog in the yard who's just sitting down in one spot.</t>
  </si>
  <si>
    <t>v_0RZ5_8VD4vc</t>
  </si>
  <si>
    <t>This video allows viewers to hear the testimony of a customer who has used the pro roofing service.</t>
  </si>
  <si>
    <t>First the man tells how he heard about the service and how great it is.</t>
  </si>
  <si>
    <t>He also says that he chose pro roofing because the neighbors chose it and persuaded him by telling how great the service is.</t>
  </si>
  <si>
    <t>v_bHxWHW2PGy4</t>
  </si>
  <si>
    <t>The white water polo team huddles together.</t>
  </si>
  <si>
    <t>The game begins and blue scores while deep in the white defense to tie the game.</t>
  </si>
  <si>
    <t>White answers with a powerful goal to grab the lead back.</t>
  </si>
  <si>
    <t>Blue moves in and after a couple of passes ties the game back up.</t>
  </si>
  <si>
    <t>White scores to take the lead, and blue comes right back to tie once again.</t>
  </si>
  <si>
    <t>A scramble for the ball results in white gaining a 2-on-1 advantage and a goal.</t>
  </si>
  <si>
    <t>They push their lead further late and put the game out of reach, winning 14-10.</t>
  </si>
  <si>
    <t>The team celebrates together in the water.</t>
  </si>
  <si>
    <t>The team celebrates their gold metal at the podium.</t>
  </si>
  <si>
    <t>v_r4iurK3kOe8</t>
  </si>
  <si>
    <t>A girl and a dog is in the field.</t>
  </si>
  <si>
    <t>The girl is holding two frisbee, then she walked and turned side by side and the dog roll over in front of her, the dog touched the knees of the girl, the girl walked with her hands up and the dog walked with his two front paws up.</t>
  </si>
  <si>
    <t>The girl threw the frisbee and the dog chase of it and placed it on the ground.</t>
  </si>
  <si>
    <t>v_kdjLJTGj4H0</t>
  </si>
  <si>
    <t>Women are playing a game of curling.</t>
  </si>
  <si>
    <t>The audience watching them cheers and applauds.</t>
  </si>
  <si>
    <t>v_qvLFSqPCvn8</t>
  </si>
  <si>
    <t>A man grabs a tire from the back of the car and quickly runs to the front right of the car, drops it on the grass, then runs to the tire still on the car and begins to raise the car with a jack, and remove the lugs, rim and tire and throws them on the grass.</t>
  </si>
  <si>
    <t>The man then grabs the tire he pulled out from the back of the car, puts it on the car, puts the rim on it and tightens lugs onto them with his hand and then he picks up the tool and tightens the lugs with that.</t>
  </si>
  <si>
    <t>The man then removes the jack from under the car and tightens the lugs again with the tool and he stands up out of breath and smiles.</t>
  </si>
  <si>
    <t>v_YWsqpINl8Ic</t>
  </si>
  <si>
    <t>A handyman is standing in front of a porch and talking.</t>
  </si>
  <si>
    <t>The man uses two squeegees to clean two windows at the same time.</t>
  </si>
  <si>
    <t>The man finishes and puts his tools in his tool belt.</t>
  </si>
  <si>
    <t>He smiles and walks away.</t>
  </si>
  <si>
    <t>v_yVrru7t3478</t>
  </si>
  <si>
    <t>A camera is seen moving closer to a playground and shows a woman going down a slide.</t>
  </si>
  <si>
    <t>A dog rides down with her and another dog walks around the area.</t>
  </si>
  <si>
    <t>The woman rides down several more times with the small dog next to her.</t>
  </si>
  <si>
    <t>v_g2Dv154zmMU</t>
  </si>
  <si>
    <t>Two people are seen speaking to the camera and leads into them passing a ball on sticks to one another.</t>
  </si>
  <si>
    <t>The woman pauses to speak to the camera several times as well as show more clips of the two hitting the ball.</t>
  </si>
  <si>
    <t>v_yqkjHCPsdF0</t>
  </si>
  <si>
    <t>A group of people play water volleyball in a indoor pool with a few onlookers on the sidelines.</t>
  </si>
  <si>
    <t>A yellow volleyball is thrown between people in a pool.</t>
  </si>
  <si>
    <t>A person makes a goal with the yellow volleyball in a white net.</t>
  </si>
  <si>
    <t>The ball is thrown to the other side of the pool where another goal is met in a white net on the opposite side of the pool.</t>
  </si>
  <si>
    <t>v_kC1DyxcRHBg</t>
  </si>
  <si>
    <t>There's a person wearing pink gloves doing a tutorial on how to clean a white kitchen sink.</t>
  </si>
  <si>
    <t>The person sprays some white cleaning powder in the sink and then sprays some Clorox bleach on it.</t>
  </si>
  <si>
    <t>Then takes a pink scrub and begins scrubbing the sink in back and forth motion.</t>
  </si>
  <si>
    <t>The person makes sure that all the sides of the sink are cleaned, including the drain.</t>
  </si>
  <si>
    <t>Then she starts the tap to wash off the powder and bleach.</t>
  </si>
  <si>
    <t>She then uses a paper towel to wipe off the water and clean off any residual powder from the sink.</t>
  </si>
  <si>
    <t>v_AnPLZtJs7zE</t>
  </si>
  <si>
    <t>A man is talking to the camera next to a fence.</t>
  </si>
  <si>
    <t>The man is holding a paintbrush.</t>
  </si>
  <si>
    <t>The man dips the paintbrush into a bucket of paint and starts painting the fence.</t>
  </si>
  <si>
    <t>The man moves along the fence painting it.</t>
  </si>
  <si>
    <t>The man finishes painting and steps away from the fence.</t>
  </si>
  <si>
    <t>v_f6Nhpyq1XdU</t>
  </si>
  <si>
    <t>A woman standing in front of the white sing, turned on the faucet, got some liquid soap and wash her hand.</t>
  </si>
  <si>
    <t>She turned around and get some hand napkins from the wall, wiped her hands and threw the paper in the trash basket.</t>
  </si>
  <si>
    <t>v_bGql7ldp84A</t>
  </si>
  <si>
    <t>A woman comes onto the screen announcing that she will do a video on how to make a cookie dessert.</t>
  </si>
  <si>
    <t>She begins with all the ingredients she will need for the cookies and begins to combine the dry ingredients.</t>
  </si>
  <si>
    <t>She then proceeds to mix the wet ingredients in a glass bowl.</t>
  </si>
  <si>
    <t>After she mixes all the ingredients together she begins to roll the dough into balls and place them onto a cookie sheet, and puts them into the oven.</t>
  </si>
  <si>
    <t>She takes them out of the oven and begins to wrap them into individual sets.</t>
  </si>
  <si>
    <t>The video ends with the closing credits.</t>
  </si>
  <si>
    <t>v_RCyZgp1F06s</t>
  </si>
  <si>
    <t>A small child is seen sitting on a swing smiling at the camera.</t>
  </si>
  <si>
    <t>The boy moves back and fourth on the swing while another boy is seen swinging next to him.</t>
  </si>
  <si>
    <t>The two continue swinging back and fourth while the camera captures them from different angles.</t>
  </si>
  <si>
    <t>v_aF0gDTbcOxE</t>
  </si>
  <si>
    <t>Several clips are shown of robots fighting one another as well as the inside and outside of a building.</t>
  </si>
  <si>
    <t>More robots are shown close up as well as people adjusting the robots and setting them down to fight.</t>
  </si>
  <si>
    <t>The people continue using the robots and end by shaking hands and bowing with another man.</t>
  </si>
  <si>
    <t>v_STgbw-zqZJM</t>
  </si>
  <si>
    <t>A leaf blower machine blows a large pile of leaves around a parking lot.</t>
  </si>
  <si>
    <t>The machine continues moving through the lot and flowing the leaves into a large pile.</t>
  </si>
  <si>
    <t>v_JXL7LxJSjzw</t>
  </si>
  <si>
    <t>We see a lady in the woods chopping logs of wood.</t>
  </si>
  <si>
    <t>The lady puts a log on a platform.</t>
  </si>
  <si>
    <t>We see chickens running around the background.</t>
  </si>
  <si>
    <t>The lady laughs as she picks up a piece of wood.</t>
  </si>
  <si>
    <t>We see a chicken flapping it's wings in the background.</t>
  </si>
  <si>
    <t>The lady finishes and throws her hands in the air.</t>
  </si>
  <si>
    <t>v_5iIJl-wjE9U</t>
  </si>
  <si>
    <t>Girls are talking to the camera.</t>
  </si>
  <si>
    <t>They are making hand motions as they talk.</t>
  </si>
  <si>
    <t>They are playing rock, paper scissors.</t>
  </si>
  <si>
    <t>A girl is laying on the ged as another girl puts her butt in her face.</t>
  </si>
  <si>
    <t>The girl is talking to the camera again.</t>
  </si>
  <si>
    <t>v_c3SJUucMqJQ</t>
  </si>
  <si>
    <t>A person picks up a cat off of a chair.</t>
  </si>
  <si>
    <t>They lay the cat down on their lap.</t>
  </si>
  <si>
    <t>They begin to clip the nails of the cat.</t>
  </si>
  <si>
    <t>A person is sitting next to them on a laptop.</t>
  </si>
  <si>
    <t>The person pets the belly of the cat.</t>
  </si>
  <si>
    <t>They take the cat back and set it in a chair.</t>
  </si>
  <si>
    <t>v_WSaGZOdrjtM</t>
  </si>
  <si>
    <t>a male athlete prepares to run down a track.</t>
  </si>
  <si>
    <t>He takes off running, vaulting himself over a bar and onto a mat.</t>
  </si>
  <si>
    <t>He jumps up exuberantly, celebrating as the crowd cheers.</t>
  </si>
  <si>
    <t>v_A0H6JceDqlg</t>
  </si>
  <si>
    <t>A man serves a tennis ball with a racket while he talks.</t>
  </si>
  <si>
    <t>The man bounces a ball and shows how to move the body, then he serves a ball.</t>
  </si>
  <si>
    <t>The man continues talking in the tennis court.</t>
  </si>
  <si>
    <t>v_hKezMv52Nw8</t>
  </si>
  <si>
    <t>A female athlete is standing in a field and takes off running and does a long jump in to the pit.</t>
  </si>
  <si>
    <t>After,she walks off and her jump is measures as they show her replay.</t>
  </si>
  <si>
    <t>After,more girls begin to jump and represent their team and their jumps are measured as well.</t>
  </si>
  <si>
    <t>However,for the last jump,a close up is shown of the board because her foot barely touches it and they want to give her credit for those centimeters.</t>
  </si>
  <si>
    <t>v_RkhSR7pz9qc</t>
  </si>
  <si>
    <t>We see two teams of men playing soccer indoors.</t>
  </si>
  <si>
    <t>Two men collide and fall to the ground.</t>
  </si>
  <si>
    <t>Three men high five and hug each other.</t>
  </si>
  <si>
    <t>A man throws the ball clear across the room to the other goal.</t>
  </si>
  <si>
    <t>Two sets of people n the crowd are interviewed.</t>
  </si>
  <si>
    <t>We see the crowd and a man interviewed and see some scoring shots.</t>
  </si>
  <si>
    <t>We see three men stand and pose for a photo and a man is interviewed before we return to the game.</t>
  </si>
  <si>
    <t>v_FTCCoZdr5fo</t>
  </si>
  <si>
    <t>A man and woman are sitting on a couch talking.</t>
  </si>
  <si>
    <t>They are driving in a car down a street.</t>
  </si>
  <si>
    <t>They are rollerblading down a sidewalk.</t>
  </si>
  <si>
    <t>v_3jt4XE6ilIQ</t>
  </si>
  <si>
    <t>There's a man in a white shirt being interviewed in the 60 Minutes program by the host of the show.</t>
  </si>
  <si>
    <t>He is talking about his participation as a matador in a bull fighting event where there are several spectators watching him.</t>
  </si>
  <si>
    <t>During the event, he gets injured and is taken on a stretcher by the paramedics for first aid treatment.</t>
  </si>
  <si>
    <t>v_PbZIYJxoWdY</t>
  </si>
  <si>
    <t>A man is seen speaking to the camera and leads into several shots of a boat on water as well as people holding a camera and wake boarding.</t>
  </si>
  <si>
    <t>The people are then seen climbing on a rock and walking around a forest, ending by jumping in the water.</t>
  </si>
  <si>
    <t>More clips are shown of them wakeboarding as well as riding in the boat and jumping into the water.</t>
  </si>
  <si>
    <t>v_Ap7GCrt9C4w</t>
  </si>
  <si>
    <t>women are in the background of a gym lifting weights.</t>
  </si>
  <si>
    <t>man is preparing himself to lift weigh and stands in front of weight.</t>
  </si>
  <si>
    <t>v_w-st-23ZQSs</t>
  </si>
  <si>
    <t>Stacy is clapping and getting pumped up and ready to perform.</t>
  </si>
  <si>
    <t>She gets her pole and starts running with it and jumps onto the cushion.</t>
  </si>
  <si>
    <t>Then, other women follow suit doing the same after her scoring differently.</t>
  </si>
  <si>
    <t>Next is the men's turn to take their turns one by one following the women.</t>
  </si>
  <si>
    <t>v_NQyAC1aweec</t>
  </si>
  <si>
    <t>A cat is shown close up with a person's hand cutting the nails on the cat.</t>
  </si>
  <si>
    <t>The person continues cutting the claws while the cat attempts to get up several times.</t>
  </si>
  <si>
    <t>v_nxyENrsY4mo</t>
  </si>
  <si>
    <t>A small quote comes across the screen and the title pages follows.</t>
  </si>
  <si>
    <t>After,several people are pictured outside in a field grooming their horses.</t>
  </si>
  <si>
    <t>Finally,the people then get on their horses and they all begin competing with one another playing a game of Polo.</t>
  </si>
  <si>
    <t>As they play,a woman is shown on the side of the field taking pictures and a small logo for the photography shows on the end of the screen.</t>
  </si>
  <si>
    <t>v_1UIhgxQXcfI</t>
  </si>
  <si>
    <t>This person has dried grains and is now putting them into a small blender.</t>
  </si>
  <si>
    <t>Then he adds an egg and salt to the grains, plus other ingredients too.</t>
  </si>
  <si>
    <t>Next he makes a ball of the grain and then flattens it out, he then puts a cup onto it to make little round shaped cookies.</t>
  </si>
  <si>
    <t>He puts them on a pan and into an oven, after they're done he eats them along with some beer.</t>
  </si>
  <si>
    <t>v_rBsE1WGXbz0</t>
  </si>
  <si>
    <t>A man throws a ball onto a field.</t>
  </si>
  <si>
    <t>People are standing around measuring the distance.</t>
  </si>
  <si>
    <t>People are watching them from the sidelines.</t>
  </si>
  <si>
    <t>v_7QA5qyCXwyg</t>
  </si>
  <si>
    <t>A man is standing in a living room.</t>
  </si>
  <si>
    <t>He is using his hands to beat a set of drums.</t>
  </si>
  <si>
    <t>He continues playing for the rest of the video.</t>
  </si>
  <si>
    <t>v_36K1e9WgEpU</t>
  </si>
  <si>
    <t>Several people in donut shaped inflatable rafts float down a narrow stream guided by people helping them in the water and watched by a small group of people on nearby land.</t>
  </si>
  <si>
    <t>A group of people, float in a line, down a narrow stream of water in donut shaped, black inflatable rafts.</t>
  </si>
  <si>
    <t>One woman gets stuck on a rock in the raft and shimmies herself loose.</t>
  </si>
  <si>
    <t>The people reach the end of the narrow stream where a group of people help them off of the rafts and another small group of people watches them from nearby land.</t>
  </si>
  <si>
    <t>v_Rvsc5eymWIg</t>
  </si>
  <si>
    <t>man is holding a impact drill pulling out a car wheel.</t>
  </si>
  <si>
    <t>man is holding the wheel in a table and taking out the rubber from the rim and he changes it for another.</t>
  </si>
  <si>
    <t>car is in street next to a mountain.</t>
  </si>
  <si>
    <t>v_opGZh9nUlWA</t>
  </si>
  <si>
    <t>A lady stands in a dance studio.</t>
  </si>
  <si>
    <t>the lady performs a ballet dance.</t>
  </si>
  <si>
    <t>The lady lifts her leg up behind her and moves it to the front and rests it on her leg.</t>
  </si>
  <si>
    <t>The lady stands in front of the camera facing the mirror.</t>
  </si>
  <si>
    <t>We see a person sitting on the left side of the room.</t>
  </si>
  <si>
    <t>v_PbzmcZ_IORE</t>
  </si>
  <si>
    <t>A toy dog is walking on the floor.</t>
  </si>
  <si>
    <t>It stops to look around back and forth.</t>
  </si>
  <si>
    <t>Someone picks the dog up and puts it back down.</t>
  </si>
  <si>
    <t>v_gnZssGiQC7A</t>
  </si>
  <si>
    <t>A man at a professional sports event performs a long jump over a pit of sand in front of a stadium filled with people.</t>
  </si>
  <si>
    <t>The man begins by encouraging the audience to clap by throwing his hands up at the crowd and gesturing for applause.</t>
  </si>
  <si>
    <t>The man then kneels slightly to prepare for the run and begins to run down a stretch of narrow lane before catapulting in the air over the sandpit.</t>
  </si>
  <si>
    <t>The man lands on the other side of the pit and gestures to the audience again for applause as men smooth sand over with long handled and wide brush brooms, the audience claps and waves flags and camera people rush around the event capturing it on film.</t>
  </si>
  <si>
    <t>v_4dVVaDvCzn0</t>
  </si>
  <si>
    <t>Words come across the screen over an image.</t>
  </si>
  <si>
    <t>We see ladies dealing cards on purple tables in a casino with no customers.</t>
  </si>
  <si>
    <t>the dealer smiles and deals cards and points to them.</t>
  </si>
  <si>
    <t>The dealer finishes and waves her arms across the table as words appear on the screen.</t>
  </si>
  <si>
    <t>v_hg8WbkmC2nU</t>
  </si>
  <si>
    <t>A man is seen speaking to the camera while walking around a kitchen and checking on food.</t>
  </si>
  <si>
    <t>Several shots of food are shown on tables as well as racks and the chef continues to speak to the staff behind.</t>
  </si>
  <si>
    <t>The man walks out front and speaks with the customers that are coming in and finished by speaking to the camera.</t>
  </si>
  <si>
    <t>v_2Is_nJdG2to</t>
  </si>
  <si>
    <t>A woman brush the hair of a girl while talking sitting on a bed.</t>
  </si>
  <si>
    <t>Then, the woman kneel on the bed and touch the shoulders of the girl.</t>
  </si>
  <si>
    <t>v_GHcNgllmcpM</t>
  </si>
  <si>
    <t>A large crowd is seen sitting before a stage and leads into a young woman hitting drums in a circle and moving around the stage.</t>
  </si>
  <si>
    <t>The woman continues hitting the drums while the crowd watches and ends with text scrolling across the screen.</t>
  </si>
  <si>
    <t>v_T_CvR3zm6K8</t>
  </si>
  <si>
    <t>Men are playing volleyball in the sand.</t>
  </si>
  <si>
    <t>Cheerleaders are standing next to them watching.</t>
  </si>
  <si>
    <t>A woman is playing soccer on a beach.</t>
  </si>
  <si>
    <t>v_ehO168THGqU</t>
  </si>
  <si>
    <t>Two men skateboarding at an indoor skate park along side each other.</t>
  </si>
  <si>
    <t>They stop and give other pointers, trying to perfect how to jump on the rail.</t>
  </si>
  <si>
    <t>One of them tries again and again and the other gets a stick out of his bag and extends it towards the rail.</t>
  </si>
  <si>
    <t>Then, another male comes and joins in, they play rock paper scissors and get back on board.</t>
  </si>
  <si>
    <t>v_Tm7N2HU4noQ</t>
  </si>
  <si>
    <t>We see a basketball title screen.</t>
  </si>
  <si>
    <t>A man is coaching as a teen makes basketball shots.</t>
  </si>
  <si>
    <t>The man takes the ball and demonstrates a hip move the the boy tries.</t>
  </si>
  <si>
    <t>The man demonstrates something and the boy shoots the ball.</t>
  </si>
  <si>
    <t>We see the tips on the screen 1 by one.</t>
  </si>
  <si>
    <t>We then see the ending title screen.</t>
  </si>
  <si>
    <t>v_MXN34b2OUjQ</t>
  </si>
  <si>
    <t>two girl teams play field hockey with hockey sticks and a small ball.</t>
  </si>
  <si>
    <t>the team with the burgundy shirts scores three times and the other team scored none.</t>
  </si>
  <si>
    <t>v__bSRAXNa5PY</t>
  </si>
  <si>
    <t>We see a man dive into a pool in slow motion.</t>
  </si>
  <si>
    <t>We see the judges giving the man his score and talking to him.</t>
  </si>
  <si>
    <t>We see a lady clapping.</t>
  </si>
  <si>
    <t>We see the diver being interviewed.</t>
  </si>
  <si>
    <t>We see the crowd stand and clap.</t>
  </si>
  <si>
    <t>we see the final score cards for all the contestants.</t>
  </si>
  <si>
    <t>v_TeXm2KTfkzo</t>
  </si>
  <si>
    <t>Trees blow in the breeze as a man mows the lawn.</t>
  </si>
  <si>
    <t>The sun peeks from behind the clouds and lights the scene up.</t>
  </si>
  <si>
    <t>the man stops and empties grass in the garbage.</t>
  </si>
  <si>
    <t>A man enters carrying a baby and leaves.</t>
  </si>
  <si>
    <t>The man mows along side of the bushes.</t>
  </si>
  <si>
    <t>The man stops and empties his bag again.</t>
  </si>
  <si>
    <t>The man empties his bag and puts it back on the mower and walks away.</t>
  </si>
  <si>
    <t>v_oDZ6refg3Ew</t>
  </si>
  <si>
    <t>A woman is seen performing a dance routine while moving around on the beach near the water.</t>
  </si>
  <si>
    <t>The woman continues moving around on the beach shaking her arms and legs and looking off into the distance.</t>
  </si>
  <si>
    <t>v_oOnKQgQZOZ0</t>
  </si>
  <si>
    <t>A water polo match is happening at an enclosed swimming pool.</t>
  </si>
  <si>
    <t>There are a few spectators looking on from the sides of the pool, while a referee is following the actions to stay in control of the match.</t>
  </si>
  <si>
    <t>It is quiet other than the young kids that are involved in the game.</t>
  </si>
  <si>
    <t>They are having a great time and are very involved in what they are doing.</t>
  </si>
  <si>
    <t>v_Fu46pdVz4qY</t>
  </si>
  <si>
    <t>We see a lady in a pink shirt talking to the camera.</t>
  </si>
  <si>
    <t>We see the lady pick up a basket of laundry and put it down.</t>
  </si>
  <si>
    <t>the lady shakes out a dress and puts it on an ironing board.</t>
  </si>
  <si>
    <t>The lady rubs the dress and straitens it out.</t>
  </si>
  <si>
    <t>The lady puts a shirt on the board then puts it back in the basket.</t>
  </si>
  <si>
    <t>The lady folds the dress, smiles and the scene ends.</t>
  </si>
  <si>
    <t>v_cQxTLj4XwuU</t>
  </si>
  <si>
    <t>A man is seated on a couch.</t>
  </si>
  <si>
    <t>He lifts up a shoe and bottle of detergent.</t>
  </si>
  <si>
    <t>He takes it to a sink, where he washes it.</t>
  </si>
  <si>
    <t>He then places two pieces of fruit on top, and eats them off with his mouth.</t>
  </si>
  <si>
    <t>v_2Peh_gdQCjg</t>
  </si>
  <si>
    <t>Descriptive text is shown against a red movie curtain backdrop.</t>
  </si>
  <si>
    <t>A coach shows different leg stances to a student for playing badminton.</t>
  </si>
  <si>
    <t>The coach returns serves from the student using the racket during a practice drill.</t>
  </si>
  <si>
    <t>The students returns serves from the instructor for a practice drill.</t>
  </si>
  <si>
    <t>v_4KgIfmPLuAY</t>
  </si>
  <si>
    <t>A man kneels on a mat and shows her back an front with his left hand while talking.</t>
  </si>
  <si>
    <t>Then, the man lift a kettlebell and put on front his chest while talking.</t>
  </si>
  <si>
    <t>Then, the man put the kettlebell on the floor and continues talking.</t>
  </si>
  <si>
    <t>v_k_ZCg9tqGQo</t>
  </si>
  <si>
    <t>A woman is seen standing in front of mirror with a man beside her followed by her laying on a table.</t>
  </si>
  <si>
    <t>The man then quickly tattoos her face and transitions into her sitting up then back down again to show off her tattoo.</t>
  </si>
  <si>
    <t>v_N_o9Qp0FLVY</t>
  </si>
  <si>
    <t>woman is in a shower spreading soap and water in her arms.</t>
  </si>
  <si>
    <t>woman is shaving her legs on the bathtub.</t>
  </si>
  <si>
    <t>someone open the curtains and is a man that is inside and runs from the bathroom with a mask on his face.</t>
  </si>
  <si>
    <t>v_9H8OBfrm1Rw</t>
  </si>
  <si>
    <t>Rain is pouring down and a person is walking across the field pointing his finger across the field.</t>
  </si>
  <si>
    <t>After,he is shown in a field holding his hand up starts to play lacrosse.</t>
  </si>
  <si>
    <t>More games continue and the guy who was pointing begins making goals and leading his team.</t>
  </si>
  <si>
    <t>v_IdhpB7doBOE</t>
  </si>
  <si>
    <t>A woman talks facing a camera, in front of a dance studio advertisement sign, as four girls demonstrate ballet techniques in front of a ballet bar in a dance studio.</t>
  </si>
  <si>
    <t>A woman with blonde hair, and dressed in all black, stands in front of a dance studio advertisement and talks while facing the camera.</t>
  </si>
  <si>
    <t>The camera cuts away to four girls in ballet outfits and ballet shoes facing a ballet bar with their backs to the camera and demonstrating ballet knee bends.</t>
  </si>
  <si>
    <t>The girls then demonstrate ballet toe points as the camera cuts back to the lone woman who continues to talk facing the camera, until the scene fades to a marketing graphic.</t>
  </si>
  <si>
    <t>v_mz2-lgoNz1M</t>
  </si>
  <si>
    <t>A man wearing a white shirt and a camouflage print hat and ear and lip piercings is demonstrating how to do permanent tattoos.</t>
  </si>
  <si>
    <t>He shows how he shaves the client's arm with a razor and rubs some alcohol on it to prep the skin.</t>
  </si>
  <si>
    <t>Then he places a stencil on the client's arm to lay down the outline of the tattoo.</t>
  </si>
  <si>
    <t>Then he applies some cream over the skin to minimize bleeding.</t>
  </si>
  <si>
    <t>He begins to use the tattoo machine to draw on the tattoo over the outline.</t>
  </si>
  <si>
    <t>He also shows how he uses different colors to fill in the outline of the design.</t>
  </si>
  <si>
    <t>He then completes the tattoo as per the client's specifications.</t>
  </si>
  <si>
    <t>v_ZgIKmwnCqr4</t>
  </si>
  <si>
    <t>A little baby is outside holding a stick attempting to hit the pinata with it.</t>
  </si>
  <si>
    <t>Behind her,a lady is holding up the baby and assisting her as she hits the pinata.</t>
  </si>
  <si>
    <t>As the pinata bounces up and down,the young baby barely hits it and then ends up turning towards the camera.</t>
  </si>
  <si>
    <t>v_sTMbpIfI-6o</t>
  </si>
  <si>
    <t>A little girl is seated at a table in front of two glasses, a 7up bottle and a plate of lime slices.</t>
  </si>
  <si>
    <t>She adds the soda and lime slices to the glasses, squeezing the juice into the liquid before taking a drink.</t>
  </si>
  <si>
    <t>v_hJ4ZU-FA5XA</t>
  </si>
  <si>
    <t>An old style television show is shown where a man cuts a woman's hair.</t>
  </si>
  <si>
    <t>A man then cuts her hair real short while another man looks in from outside.</t>
  </si>
  <si>
    <t>v_po9uigsunAU</t>
  </si>
  <si>
    <t>A man is outside in a soccer field putting his equipment in a book bag.</t>
  </si>
  <si>
    <t>Once the things are in his bags,he secures it with his straps and begins jumping up and down.</t>
  </si>
  <si>
    <t>The main tasks begins and the man begins running through the woods.</t>
  </si>
  <si>
    <t>All of a sudden,a small body of water is shown and people are tubing and sitting down enjoying each other.</t>
  </si>
  <si>
    <t>v_m6T68amiXjs</t>
  </si>
  <si>
    <t>A boy with a hat is seen walking and talking behind some trees.</t>
  </si>
  <si>
    <t>The boy sneaks out onto a field where another boy is playing field hockey.</t>
  </si>
  <si>
    <t>The boy in the hat takes the ball.</t>
  </si>
  <si>
    <t>The boy playing field hockey is seen leaping around in the background.</t>
  </si>
  <si>
    <t>The boy in the hat kicks the ball back to the field hockey player and another player is seen.</t>
  </si>
  <si>
    <t>The two field hockey players are seen running around and hitting the field hockey ball with their sticks.</t>
  </si>
  <si>
    <t>One of the field hockey players is seen with his arms and legs wrapped around the leg of the boy with the hat.</t>
  </si>
  <si>
    <t>v_ExNd4o46kao</t>
  </si>
  <si>
    <t>A little girl uses a sweeper to hit a disc.</t>
  </si>
  <si>
    <t>The disc travels down the court before stopping, as do further discs.</t>
  </si>
  <si>
    <t>She continues playing the game, unsure how to win.</t>
  </si>
  <si>
    <t>v_kxwTPAhlhpw</t>
  </si>
  <si>
    <t>A man is standing behind a bar talking.</t>
  </si>
  <si>
    <t>He puts ice in a glass.</t>
  </si>
  <si>
    <t>He pours shots into the glass.</t>
  </si>
  <si>
    <t>He stirs the drink with a straw.</t>
  </si>
  <si>
    <t>v_d-uGSELb0N0</t>
  </si>
  <si>
    <t>Several individuals are shown playing volleyball in a gymnasium from the right side of the net while other people are engaging in other activity in the background.</t>
  </si>
  <si>
    <t>The camera pans left to show the team on the left side of the net.</t>
  </si>
  <si>
    <t>The camera returns to the team on the right side.</t>
  </si>
  <si>
    <t>v_P6UwokP8BEg</t>
  </si>
  <si>
    <t>Three men exhibit hammer throws in an outdoor Olympic event surrounded by onlookers on the field and in bleachers.</t>
  </si>
  <si>
    <t>A man stands at an outdoor Olympic game and performs a hammer throw surrounded by people and and an audience in bleachers before letting the hammer go to fly in the air.</t>
  </si>
  <si>
    <t>Two more men perform a hammer throw in the same way releasing the hammer into the air to fly out into a field.</t>
  </si>
  <si>
    <t>Three men stand in the middle of a field and hold up medals that hanging around their necks.</t>
  </si>
  <si>
    <t>v_tT7ljH8GCl8</t>
  </si>
  <si>
    <t>A lawnmower is outside next to a line of round rocks.</t>
  </si>
  <si>
    <t>A person starts the mower and begins pushing it alongside the rock border.</t>
  </si>
  <si>
    <t>We get a first hand view of the person's lawn being mowed as they turn and push the mower all over.</t>
  </si>
  <si>
    <t>The man's face is shown just before he turns off the camera.</t>
  </si>
  <si>
    <t>v_Mfk4bUp_ZC0</t>
  </si>
  <si>
    <t>Children are riding the bumper cars at an amusement park or carnival.</t>
  </si>
  <si>
    <t>A Traffic jam traps the little girls in the middle of cars.</t>
  </si>
  <si>
    <t>the little girl in the hat smiles as she looks in her sisters face.</t>
  </si>
  <si>
    <t>v_LwJFjFdJy5c</t>
  </si>
  <si>
    <t>A large group of people are seen sitting around an outdoor field.</t>
  </si>
  <si>
    <t>A dog is seen running up and down the field in the middle of the audience.</t>
  </si>
  <si>
    <t>The dog keeps running back and fourth while the camera watches from the side.</t>
  </si>
  <si>
    <t>v_lxMSX0Y0b8I</t>
  </si>
  <si>
    <t>We see a couple of title screens.</t>
  </si>
  <si>
    <t>We see a man perform a series of Capoeira moves with the names before the move.</t>
  </si>
  <si>
    <t>We see a man shift and roundhouse kick.</t>
  </si>
  <si>
    <t>The man does a handstand on one hand and kicks his legs in the air.</t>
  </si>
  <si>
    <t>The man does a flip from a handstands.</t>
  </si>
  <si>
    <t>v_cdP8_KujTCE</t>
  </si>
  <si>
    <t>We see a colorful and playful title screen.</t>
  </si>
  <si>
    <t>We then see people in a room and outdoors at a fancy party.</t>
  </si>
  <si>
    <t>A woman walks through the door.</t>
  </si>
  <si>
    <t>The man in the suit come through the gate.</t>
  </si>
  <si>
    <t>A man in red walks past the camera.</t>
  </si>
  <si>
    <t>The lady in white sees the camera and hides.</t>
  </si>
  <si>
    <t>We see Colorful crystal like closing screen.</t>
  </si>
  <si>
    <t>v_IjdTjpaPPNg</t>
  </si>
  <si>
    <t>People are riding horses along a dirt trail.</t>
  </si>
  <si>
    <t>They are crossing a river of water on the horses.</t>
  </si>
  <si>
    <t>They continue on their ride on the horses.</t>
  </si>
  <si>
    <t>v_hKn_RK3VSAo</t>
  </si>
  <si>
    <t>Several people in a lab create a formula, and interview with a journalist, interspersed with images of people applying sunscreen to themselves.</t>
  </si>
  <si>
    <t>Many people are shown on video in candid shots of them applying sunscreen to themselves while outdoors.</t>
  </si>
  <si>
    <t>A woman in a lab prepares a formula of varied ingredients interspersed with talking to a camera.</t>
  </si>
  <si>
    <t>More scientists are shown in the lab interviewing and talking intermixed with shots of them preparing formulas in the lab and one final shot of a man in an outdoor market handling ingredients for sale.</t>
  </si>
  <si>
    <t>v_GCtrfXIBbwA</t>
  </si>
  <si>
    <t>young man is playing the harmonica.</t>
  </si>
  <si>
    <t>young man introduces his video lesson and lays out the lesson plan.</t>
  </si>
  <si>
    <t>Musical notes are displayed onscreen while harmonica plays.</t>
  </si>
  <si>
    <t>v_bu7zk-YxEoY</t>
  </si>
  <si>
    <t>An athletic woman is seen stepping up to a beam and beginnings performing a gymnastics routine on it.</t>
  </si>
  <si>
    <t>The woman continues moving around on the beam and ends with her jumping down with her arms up and speaking to her coach as her ending is shown again in slow motion.</t>
  </si>
  <si>
    <t>v_GHOCVoZsFHE</t>
  </si>
  <si>
    <t>A man is seen speaking to the camera an leads into clips of him demonstrating martial arts with another man.</t>
  </si>
  <si>
    <t>The men continue to demonstrate with one another while pausing to speak to the camera.</t>
  </si>
  <si>
    <t>v_CXM1sXEMSWI</t>
  </si>
  <si>
    <t>An introduction comes onto the screen for a funny video about beer drinking.</t>
  </si>
  <si>
    <t>Some guys in a room prepare to do a trick with a beer can.</t>
  </si>
  <si>
    <t>They perform the trick and a guy begins to chug the beer.</t>
  </si>
  <si>
    <t>Shortly thereafter, the guy begins throwing up all the beer into a trash can while everyone laughs.</t>
  </si>
  <si>
    <t>v_s82_J03bqwQ</t>
  </si>
  <si>
    <t>A man is seen riding in on a skateboard followed by a man drinking a beer through a hose and a man sitting in a car flipping off the camera man.</t>
  </si>
  <si>
    <t>More random shots are show of landscapes, dogs, people standing around, and moving along the water.</t>
  </si>
  <si>
    <t>The video leads into people riding along on the water kite surfing and leads into a man speaking to others outside while smoking a cigarette.</t>
  </si>
  <si>
    <t>v_YaHTgeeDs7s</t>
  </si>
  <si>
    <t>A bunch of kids are playing on the bumpers cars at an amusement park.</t>
  </si>
  <si>
    <t>The crash into each other over and over and seem to be a bit confused as to what to do.</t>
  </si>
  <si>
    <t>They have smiles on their faces as they continue to go around the track.</t>
  </si>
  <si>
    <t>v_0jrThYemNLs</t>
  </si>
  <si>
    <t>A close up of a white fencing mask and a black fencing mask.</t>
  </si>
  <si>
    <t>A fencing coach gives instruction to the two fencing competitors.</t>
  </si>
  <si>
    <t>Two competitors discus fencing strategies.</t>
  </si>
  <si>
    <t>More fencing scenes while a girl and boy argue on the sideline.</t>
  </si>
  <si>
    <t>More competition with the fencing couch watching and critiquing.</t>
  </si>
  <si>
    <t>v_CvVqbdk6owc</t>
  </si>
  <si>
    <t>A groip of dancers are on stage doing a routine for the audience.</t>
  </si>
  <si>
    <t>The car show shows the inside of some pretty neat cars with beautiful exteriors.</t>
  </si>
  <si>
    <t>Another group of dancers take turns break dancing on their heads.</t>
  </si>
  <si>
    <t>They go one by one and are circled by and audience watching around them.</t>
  </si>
  <si>
    <t>v_a_n3mR1iVDI</t>
  </si>
  <si>
    <t>A man is seen hosting a news segment that leads into several shots of people shuffling pucks along the ice in slow motion.</t>
  </si>
  <si>
    <t>More shots are shown of people playing the game and ends with a 3d animation across the screen.</t>
  </si>
  <si>
    <t>v_So3EfVyUP64</t>
  </si>
  <si>
    <t>A woman with short hair is seen talking to the camera then flipping a pair of paints inside out.</t>
  </si>
  <si>
    <t>She folds the pants neatly on an ironing board and begins ironing the paints thoroughly.</t>
  </si>
  <si>
    <t>v_j9ww01sQkvY</t>
  </si>
  <si>
    <t>The camera focuses on a smiling man seated next to others.</t>
  </si>
  <si>
    <t>Another individual walks through the frame foreground and briefly obscures the first man.</t>
  </si>
  <si>
    <t>v_t3UI2gjo8X8</t>
  </si>
  <si>
    <t>We see a man in the pool with a cap on.</t>
  </si>
  <si>
    <t>We see a man make a goal with a ball.</t>
  </si>
  <si>
    <t>We see another goal scored.</t>
  </si>
  <si>
    <t>We see another goal being scored.</t>
  </si>
  <si>
    <t>We see the man score a goal and swim off.</t>
  </si>
  <si>
    <t>We see the man outdoors swimming and make 3 goals.</t>
  </si>
  <si>
    <t>We see another score and the men playing in the water.</t>
  </si>
  <si>
    <t>v_huv327wdIU8</t>
  </si>
  <si>
    <t>A group of boys are shown running down a gym holding hands and putting their hands into the air.</t>
  </si>
  <si>
    <t>A woman speaks to the boys while they drink some water and transitions into them playing a game and scoring a goal.</t>
  </si>
  <si>
    <t>The same shot is shown again in slow motion and several more shots of the boys playing are shown.</t>
  </si>
  <si>
    <t>v_hIQ4Lmazo4g</t>
  </si>
  <si>
    <t>We see two little girls in coats playing in the sand.</t>
  </si>
  <si>
    <t>We pan left and see the ocean.</t>
  </si>
  <si>
    <t>We return to the girls.</t>
  </si>
  <si>
    <t>The wind blows he left girls hood on to her head.</t>
  </si>
  <si>
    <t>We pan left to see the ocean again.</t>
  </si>
  <si>
    <t>The left girl moves her hair out of her face as she talks to the camera.</t>
  </si>
  <si>
    <t>v_EfJO4zg7bYE</t>
  </si>
  <si>
    <t>A man is standing beside a counter while holding a rag.</t>
  </si>
  <si>
    <t>He picks up a container of polish and talks about the surface of the counter.</t>
  </si>
  <si>
    <t>He rubs it down with polish and the two rags, then dusts it to a shine.</t>
  </si>
  <si>
    <t>v_dfex2oZYqmU</t>
  </si>
  <si>
    <t>A soccer match is occurring on a field and a player is shown falling down.</t>
  </si>
  <si>
    <t>The man is able to get up and the video shows the fall again in slow motion.</t>
  </si>
  <si>
    <t>The players continue playing and one of them even scores a goal.</t>
  </si>
  <si>
    <t>The goal is shown over and over in low motion to show the significance of the play.</t>
  </si>
  <si>
    <t>v_91ozOcjKl5M</t>
  </si>
  <si>
    <t>Ingredients are shown on a sliver platter.</t>
  </si>
  <si>
    <t>A man begins chopping food on a black chopping board.</t>
  </si>
  <si>
    <t>He adds pasta to a large pot on the stove.</t>
  </si>
  <si>
    <t>He starts cooking in a pan on the stove.</t>
  </si>
  <si>
    <t>He covers the pan with a lid.</t>
  </si>
  <si>
    <t>He puts the pasta into a bowl.</t>
  </si>
  <si>
    <t>He pours the sauce on top of the pasta.</t>
  </si>
  <si>
    <t>v_xOTW_-tiEjY</t>
  </si>
  <si>
    <t>A baby is sitting at a table eating a Popsicle.</t>
  </si>
  <si>
    <t>He takes a bite out of his Popsicle.</t>
  </si>
  <si>
    <t>He takes something out of his bib and puts it in his mouth.</t>
  </si>
  <si>
    <t>v_b1uGF3c3Vz4</t>
  </si>
  <si>
    <t>A young woman is sitting in a chair playing with a cat.</t>
  </si>
  <si>
    <t>She then takes clothes pins,grabs the nape of the hair and clips the cats nails.</t>
  </si>
  <si>
    <t>After awhile,the cats tries to bite her hands,once the girl is done,she removes the pins and waves at the camera.</t>
  </si>
  <si>
    <t>v_SkytxdoXLs4</t>
  </si>
  <si>
    <t>A group of kids are running between orange cones on a court.</t>
  </si>
  <si>
    <t>They are competing to see how quickly they can jump between them as the coach claps and cheers them on.</t>
  </si>
  <si>
    <t>v_rS8T1dAdiCs</t>
  </si>
  <si>
    <t>A girl sits a table talking.</t>
  </si>
  <si>
    <t>We see an intro screen.</t>
  </si>
  <si>
    <t>The girl sits at the table and shows a gift bag.</t>
  </si>
  <si>
    <t>A cat runs across the table and jumps off.</t>
  </si>
  <si>
    <t>We see the girl puts gifts into a gift bag with tissue paper.</t>
  </si>
  <si>
    <t>The girl moves the cat off the table and onto the floor.</t>
  </si>
  <si>
    <t>The girl adds more tissue paper to the bag.</t>
  </si>
  <si>
    <t>v_WhOsURGm0Kg</t>
  </si>
  <si>
    <t>Several cups are shown sitting on a table with a man standing behind.</t>
  </si>
  <si>
    <t>The man then throws the ball into a cup and cheers.</t>
  </si>
  <si>
    <t>He finally walks away from the camera.</t>
  </si>
  <si>
    <t>v_36JC5C6I4sg</t>
  </si>
  <si>
    <t>People wash a car with water using a hose.</t>
  </si>
  <si>
    <t>A man stands on the side watching the men.</t>
  </si>
  <si>
    <t>Then, the men put soap on the car, after they rinse the car with water.</t>
  </si>
  <si>
    <t>A man gets inside the car.</t>
  </si>
  <si>
    <t>v_4KzG9JBE9V8</t>
  </si>
  <si>
    <t>A kid rides an inner tube down a big snow hill.</t>
  </si>
  <si>
    <t>People stand and sit on the sides of the snow hill watching.</t>
  </si>
  <si>
    <t>v_P4Z4sQNQtJM</t>
  </si>
  <si>
    <t>A woman is standing outdoors in a pink martial arts outfit.</t>
  </si>
  <si>
    <t>She moves slowly, showing various martial arts moves.</t>
  </si>
  <si>
    <t>She continues moving slowly as the names of the moves appear onscreen.</t>
  </si>
  <si>
    <t>v_wAqQ-8OxhXY</t>
  </si>
  <si>
    <t>A close up of homes are shown with a person walking with a dog and then speaking to the camera.</t>
  </si>
  <si>
    <t>The man continues speaking as he leads the dog around the neighborhood.</t>
  </si>
  <si>
    <t>v_dtEs78TCOZQ</t>
  </si>
  <si>
    <t>An older gentleman is brushing a brown horse.</t>
  </si>
  <si>
    <t>He turns around and talks to an older lady.</t>
  </si>
  <si>
    <t>The horse lifts its leg up.</t>
  </si>
  <si>
    <t>v_DXOKFXlx84M</t>
  </si>
  <si>
    <t>A dog is seen laying comfortably in a large bowl with a man beside him.</t>
  </si>
  <si>
    <t>The man is seen kneeling down next to the dog and begins rubbing him down.</t>
  </si>
  <si>
    <t>The man continues to clean off the dog in the bath.</t>
  </si>
  <si>
    <t>v_u6FTTLK6GUg</t>
  </si>
  <si>
    <t>People are playing dodge ball in a gym.</t>
  </si>
  <si>
    <t>They start throwing the balls at each other.</t>
  </si>
  <si>
    <t>v_a0bj_vVpK9s</t>
  </si>
  <si>
    <t>A man pushes a tube down a hill.</t>
  </si>
  <si>
    <t>Another person sleds down the hill on a tube.</t>
  </si>
  <si>
    <t>A person in a red jacket is standing at the bottom.</t>
  </si>
  <si>
    <t>v_PKLLNgcEuRI</t>
  </si>
  <si>
    <t>This man is wearing a blue t-shirt and white shorts and he is doing his gymnastic routine.</t>
  </si>
  <si>
    <t>Then he gets off and walks away to go somewhere else.</t>
  </si>
  <si>
    <t>There is also another man there with him who's walking around and he's wearing a green shirt.</t>
  </si>
  <si>
    <t>v_9QnASEwOBT4</t>
  </si>
  <si>
    <t>A man is seen speaking to a woman as she puts on a belt and then walks on stage.</t>
  </si>
  <si>
    <t>The woman then bends down and lifts a large weight over her head, followed by throwing it down and walking off stage.</t>
  </si>
  <si>
    <t>Her same lift is shown again in slow motion.</t>
  </si>
  <si>
    <t>v_j4EFi_NoEbQ</t>
  </si>
  <si>
    <t>boy is skateboarding in a skate park at night.</t>
  </si>
  <si>
    <t>boy is skateboarding in a sidewalk with peopl walking by.</t>
  </si>
  <si>
    <t>man is skateboarding in street and a car almost run over.</t>
  </si>
  <si>
    <t>scenes of men skteboarding in a fences and falling off.</t>
  </si>
  <si>
    <t>v_zUPadKgtYHw</t>
  </si>
  <si>
    <t>a lot of people are on a marathon running in street while people is on sides.</t>
  </si>
  <si>
    <t>different women and men are acrossing the finish.</t>
  </si>
  <si>
    <t>v_Kbr2nr94EB0</t>
  </si>
  <si>
    <t>A man in a black shirt is talking on a basketball court.</t>
  </si>
  <si>
    <t>A boy is playing basketball on the court.</t>
  </si>
  <si>
    <t>v_zSWuVb-aYAA</t>
  </si>
  <si>
    <t>A lady performance on stage with a dog(s) .</t>
  </si>
  <si>
    <t>The dog fetches plates that the lady tosses.</t>
  </si>
  <si>
    <t>A second dog joins the act on stage.</t>
  </si>
  <si>
    <t>The dogs fetch plates together.</t>
  </si>
  <si>
    <t>A dog continuously jumps over another dog and into the lady's hand.</t>
  </si>
  <si>
    <t>A dog jumps through hula hoops.</t>
  </si>
  <si>
    <t>A dog jumps from the stage onto the lady's back.</t>
  </si>
  <si>
    <t>A dog bites on a red plate and does not let go.</t>
  </si>
  <si>
    <t>A dog jumps on a lady's elevated soles.</t>
  </si>
  <si>
    <t>The performers take a bow and with the dog exit the stage.</t>
  </si>
  <si>
    <t>The stage curtains are drawn.</t>
  </si>
  <si>
    <t>v_09G6PvM5q9Y</t>
  </si>
  <si>
    <t>A woman stands behind a table with high heels on it.</t>
  </si>
  <si>
    <t>She starts wiping off the shoe.</t>
  </si>
  <si>
    <t>She uses a q-tip to clean the side of the shoe.</t>
  </si>
  <si>
    <t>She sprays the shoe with Windex and wipes it off.</t>
  </si>
  <si>
    <t>v_3oJ62-Ce9ys</t>
  </si>
  <si>
    <t>A hand is seen putting weights on a bar and leads into a person lifting weights on their shoulders and walking.</t>
  </si>
  <si>
    <t>The person sets the weights down and walks back with the weights lunging.</t>
  </si>
  <si>
    <t>v_nQgmUkyblgc</t>
  </si>
  <si>
    <t>A barefoot woman in a purple outfit and beige headscarf is kneeling and washing dishes in an outdoor body of water in front of grass and a wooden platform.</t>
  </si>
  <si>
    <t>The woman rinses a bronze platter in the narrow body of water and proceeds to place it in an orange plastic bucket.</t>
  </si>
  <si>
    <t>The woman continues to wash other dishes and place them in the orange basket.</t>
  </si>
  <si>
    <t>The camera pans out a great distance and turns to show a yellow bannister on an outdoor deck with a brown leather chaise like seating area over looking a large lake.</t>
  </si>
  <si>
    <t>v_pPsqB3tY7hk</t>
  </si>
  <si>
    <t>Various shots of landscapes are shown as well as people pushing a puck to play shuffleboard.</t>
  </si>
  <si>
    <t>More shots of the game are shown as well as text instructions on how to play.</t>
  </si>
  <si>
    <t>A man keeps score and leads into more shots of the game being played.</t>
  </si>
  <si>
    <t>v_5MfhJjbNNJE</t>
  </si>
  <si>
    <t>A man is holding a jump rope and talking.</t>
  </si>
  <si>
    <t>He starts jump roping and doing tricks.</t>
  </si>
  <si>
    <t>v_nSgBX7D4XLA</t>
  </si>
  <si>
    <t>A small group of men are seen standing on a boat with one pushing a shuffleboard.</t>
  </si>
  <si>
    <t>The men then begin playing shuffleboard with one another while taking turns.</t>
  </si>
  <si>
    <t>They continue playing on the side of the boat.</t>
  </si>
  <si>
    <t>v_WgJy8seQ7z4</t>
  </si>
  <si>
    <t>Two men are arm wrestling on a table.</t>
  </si>
  <si>
    <t>Another man walks up to the table and stands in front of them.</t>
  </si>
  <si>
    <t>They finish arm wrestling and they start to stand up.</t>
  </si>
  <si>
    <t>v_loYCYGQpGRw</t>
  </si>
  <si>
    <t>A woman is adding ingredients to a pan on the stove.</t>
  </si>
  <si>
    <t>She stirs the ingredients in the pan.</t>
  </si>
  <si>
    <t>She pulls a large pot of pasta and dumps it into the pan.</t>
  </si>
  <si>
    <t>v_G4kjV4ulJzo</t>
  </si>
  <si>
    <t>A woman is walking down the street with two dogs.</t>
  </si>
  <si>
    <t>The larger dog is holding a leash in his mouth.</t>
  </si>
  <si>
    <t>The smaller dog is attached to the leash, and is essentially being led by the larger dog on the walk.</t>
  </si>
  <si>
    <t>A man walks in front, leading the way.</t>
  </si>
  <si>
    <t>v_VmwvfQDR4YQ</t>
  </si>
  <si>
    <t>A man is doing flips on the grass.</t>
  </si>
  <si>
    <t>A man in a white hat is standing next to the man.</t>
  </si>
  <si>
    <t>One of the men throws a rock into the air.</t>
  </si>
  <si>
    <t>v_kv8lsSjfguI</t>
  </si>
  <si>
    <t>Families are outside in a large field standing behind an orange make shift fence listening to a woman talk into a microphone.</t>
  </si>
  <si>
    <t>A male then comes along dressed in the same shrit as a woman and begins to throw Frisbees to a dog.</t>
  </si>
  <si>
    <t>This activity continues and the dog begins jumping over the dog's head and its back.</t>
  </si>
  <si>
    <t>Others then join in and the boy picks up the dog and walks away.</t>
  </si>
  <si>
    <t>v_6KG4p_pfMQc</t>
  </si>
  <si>
    <t>man wearing a red shirt is standing in a large green field behind kids.</t>
  </si>
  <si>
    <t>little blonde kid throw a ball and a kid kicks the ball in the field.</t>
  </si>
  <si>
    <t>kisd are running in the field to catch th ball.</t>
  </si>
  <si>
    <t>v_woiigfrANUM</t>
  </si>
  <si>
    <t>A man stands in an arena preparing to skateboard.</t>
  </si>
  <si>
    <t>The man skates down a halfpipe and goes back and forth from one end to the other.</t>
  </si>
  <si>
    <t>The man loses his skateboard and comes down the wall on his knees.</t>
  </si>
  <si>
    <t>We see the man's disappointment as another man prepares to skate.</t>
  </si>
  <si>
    <t>The man walks away and hops on his skateboard behind the stage.</t>
  </si>
  <si>
    <t>v_2duxXAsCW0k</t>
  </si>
  <si>
    <t>A man with an umbrella is wiping his car during the rain.</t>
  </si>
  <si>
    <t>He smiles at the camera and begins to talk to the camera person.</t>
  </si>
  <si>
    <t>v_V2ltLccVh_Q</t>
  </si>
  <si>
    <t>Several shots are shown of paintball gear as well as a man smoking a cigarette.</t>
  </si>
  <si>
    <t>This leads into people playing paintball with one another and running around.</t>
  </si>
  <si>
    <t>More shots are shown of people playing and speaking to one another.</t>
  </si>
  <si>
    <t>v_Vpue9WHrcAk</t>
  </si>
  <si>
    <t>A woman puts a cigarette in her mouth.</t>
  </si>
  <si>
    <t>Then, the woman lights a cigarette and smokes.</t>
  </si>
  <si>
    <t>The woman blows smoke from his mouth.</t>
  </si>
  <si>
    <t>v_ZgVmS-AhYgA</t>
  </si>
  <si>
    <t>A group of rafters carries a raft down a path.</t>
  </si>
  <si>
    <t>Groups of rafters ride down a river going over small waterfalls.</t>
  </si>
  <si>
    <t>The rafters climb out from there boat onto the shore and walk up the path.</t>
  </si>
  <si>
    <t>People jump from rocks into a swimming hole of the river.</t>
  </si>
  <si>
    <t>The rafters enjoy an outdoor lunch at a beach house.</t>
  </si>
  <si>
    <t>v_uLXSOqRSa4A</t>
  </si>
  <si>
    <t>A group of people are on a lift way above the mountains.</t>
  </si>
  <si>
    <t>A person climbs onto it, looking down.</t>
  </si>
  <si>
    <t>They bungee jump, hanging and swinging above the ground.</t>
  </si>
  <si>
    <t>v_4dw_Hk9Wpc4</t>
  </si>
  <si>
    <t>A large school of small fish swim in the ocean.</t>
  </si>
  <si>
    <t>A seal swims in the ocean.</t>
  </si>
  <si>
    <t>The scene switches to a dog scuba diving with humans.</t>
  </si>
  <si>
    <t>The dog is shown with a human on a ship, with part of its scuba equipment on.</t>
  </si>
  <si>
    <t>The scene returns to the dog scuba diving.</t>
  </si>
  <si>
    <t>The scene changes to a cat walking around.</t>
  </si>
  <si>
    <t>The cat is shown swimming and scuba diving.</t>
  </si>
  <si>
    <t>The cat and dog are shown in various quick scenes together.</t>
  </si>
  <si>
    <t>v_SKbjRXF35Wk</t>
  </si>
  <si>
    <t>Two people are dancing on a dance floor.</t>
  </si>
  <si>
    <t>People are sitting and standing on the sidelines watching them dance.</t>
  </si>
  <si>
    <t>They continue to dance on the dance floor.</t>
  </si>
  <si>
    <t>v_m0u1kjhlHJ4</t>
  </si>
  <si>
    <t>A man puts a ball on the ground, then throws a flag.</t>
  </si>
  <si>
    <t>He hits the ball, setting a game into motion.</t>
  </si>
  <si>
    <t>The players fight over the ball, getting it into the goal and the audience cheers.</t>
  </si>
  <si>
    <t>The game continues as the players compete.</t>
  </si>
  <si>
    <t>v__HQTWGmXXsc</t>
  </si>
  <si>
    <t>A young woman with a black dress and red cardigan on is standing in the corner of a kitchen cutting fruits.</t>
  </si>
  <si>
    <t>After awhile,she grabs six strawberries and leaves them on the cutting board as she begins to cut grapes.</t>
  </si>
  <si>
    <t>In front of her,there are two large white bowls full of fruit and she begins putting the cut up fruit in those bowls.</t>
  </si>
  <si>
    <t>The camera then moves and the person zooms in on the contents of the fruit bowls,showing pineapples,strawberries and grapes.</t>
  </si>
  <si>
    <t>v_ZYAY3TEUjGI</t>
  </si>
  <si>
    <t>A man is sitting in a chair getting his hair cut by a barber.</t>
  </si>
  <si>
    <t>A man takes a comb and a pair of scissors and starts to cut the hair above the comb and then combs it to the front of the man's head.</t>
  </si>
  <si>
    <t>The male then turns and the middle of the hair begins to get trimmed.</t>
  </si>
  <si>
    <t>Next is the sides and the same actions are repeated until the hair is finished.</t>
  </si>
  <si>
    <t>Finally,razors are taken out and the barber begins to edge the man's hair and the barber goes over the hair one final time with the comb and scissors.</t>
  </si>
  <si>
    <t>v_OTwG3OCsPoY</t>
  </si>
  <si>
    <t>A man is see speaking to the camera while sitting on a piece of exercise equipment.</t>
  </si>
  <si>
    <t>He adjusts the settings on the machine and begins using it back and fourth.</t>
  </si>
  <si>
    <t>He grabs onto the machine and moves himself ending by speaking to the camera.</t>
  </si>
  <si>
    <t>v_YbEX3klOS3Q</t>
  </si>
  <si>
    <t>A male athlete prepares himself to run.</t>
  </si>
  <si>
    <t>He runs with a javelin over his shoulder.</t>
  </si>
  <si>
    <t>He throws it as hard as he can.</t>
  </si>
  <si>
    <t>Then others do the same shortly after.</t>
  </si>
  <si>
    <t>v_dygVFom6V5c</t>
  </si>
  <si>
    <t>Two women are riding on the back of a four wheeler, and waving.</t>
  </si>
  <si>
    <t>A man is shown posing with several people, going to a field to play paintball.</t>
  </si>
  <si>
    <t>The people gear up and hide behind obstacles, shooting at one another.</t>
  </si>
  <si>
    <t>v_ui_CNb4FUtQ</t>
  </si>
  <si>
    <t>A man plays the saxophone in various public settings while the audiences watch.</t>
  </si>
  <si>
    <t>The man plays while laying on the ground.</t>
  </si>
  <si>
    <t>A security guard accosts him and escorts him away.</t>
  </si>
  <si>
    <t>The man stands up and walks away while playing.</t>
  </si>
  <si>
    <t>More scenes of the man playing the saxophone in various public settings are shown.</t>
  </si>
  <si>
    <t>v_xpoIzpip_TQ</t>
  </si>
  <si>
    <t>Players are on a court playing volley ball.</t>
  </si>
  <si>
    <t>A man in a black shirt dives and hits the ground.</t>
  </si>
  <si>
    <t>Someone scores and the crowd celebrates.</t>
  </si>
  <si>
    <t>v_HJZj6z1dyT4</t>
  </si>
  <si>
    <t>A close up of a fooseball table is shown with people moving polls all around.</t>
  </si>
  <si>
    <t>The man bounces up and down as the people continue to play with one another.</t>
  </si>
  <si>
    <t>One man runs away to grab the ball and leads back into them playing.</t>
  </si>
  <si>
    <t>v_V66cwBOS80A</t>
  </si>
  <si>
    <t>A man is seen speaking to the camera while a large group of people walk behind him.</t>
  </si>
  <si>
    <t>Several shots are then shown of people riding down a riving in a raft while some fall out.</t>
  </si>
  <si>
    <t>More clips are shown of people riding in the water as well as falling out and yelling to the camera.</t>
  </si>
  <si>
    <t>v_LDSEEw5oUM4</t>
  </si>
  <si>
    <t>A woman is seen walking onto a large gym floor while holding a baton and striking a pose.</t>
  </si>
  <si>
    <t>The woman then performs a dance routine with the baton throwing it up into the air and spinning around.</t>
  </si>
  <si>
    <t>She continues spinning around and holds a pose in the end and walks away from the judges.</t>
  </si>
  <si>
    <t>v_4-rJZdNgMX8</t>
  </si>
  <si>
    <t>The logo "theksiny on skin" and "The #1 Way to Not Get a Cold or Flu" is shown on screen.</t>
  </si>
  <si>
    <t>Dr Lisa Kellett speaks to the camera in a medical exam room next to a sink.</t>
  </si>
  <si>
    <t>The doctor demonstrates the steps to washing hands like doctors do.</t>
  </si>
  <si>
    <t>The logo and website address appears on screen again.</t>
  </si>
  <si>
    <t>v_MAUZbZnbM_Y</t>
  </si>
  <si>
    <t>web page and the adress of the company.</t>
  </si>
  <si>
    <t>green signs on a pole.</t>
  </si>
  <si>
    <t>woman is talking on the phone inside a car store.</t>
  </si>
  <si>
    <t>man is polishing a black car while people is watching.</t>
  </si>
  <si>
    <t>two men are cleaning the car on the outside and the inside.</t>
  </si>
  <si>
    <t>three cars are parked in front of the store.</t>
  </si>
  <si>
    <t>v__fwExctFJpg</t>
  </si>
  <si>
    <t>A person is seen riding around on a horse holding a piece of rope in his hands moving back and fourth.</t>
  </si>
  <si>
    <t>The man backs the horse up a bit and then takes off chasing a calf and roping him and tying him down.</t>
  </si>
  <si>
    <t>He throws his hands up in the air while the calf moves and then climbs back on top of the horse.</t>
  </si>
  <si>
    <t>v_hXGE1GGTHzM</t>
  </si>
  <si>
    <t>This man is trying to shoot the white ball on the pool table backwards.</t>
  </si>
  <si>
    <t>He keeps trying to shoot it backwards, but he just can't so he decided to do it the regular way and shoot forwards.</t>
  </si>
  <si>
    <t>When he does it, he puts the cue stick down and walks away.</t>
  </si>
  <si>
    <t>v_xQxT2_meU50</t>
  </si>
  <si>
    <t>A man is standing in a field holding an ax.</t>
  </si>
  <si>
    <t>The man lifts the ax above his head.</t>
  </si>
  <si>
    <t>The man splits a log of wood on a stump.</t>
  </si>
  <si>
    <t>the man then stands upright.</t>
  </si>
  <si>
    <t>v_POhazPPwHhQ</t>
  </si>
  <si>
    <t>A car is seen driving along the road that leads into people tightening roads and grabbing drinks.</t>
  </si>
  <si>
    <t>Several clips are shown of people walking across the rope as well as bouncing on it.</t>
  </si>
  <si>
    <t>More close ups are shown of peoples faces as well as standing an bouncing on the rope.</t>
  </si>
  <si>
    <t>v_j3h8Di7V3nk</t>
  </si>
  <si>
    <t>A man is seen bending over while taking a shoe off to wipe his feet then puts the shoe back on.</t>
  </si>
  <si>
    <t>He does this to his other foot and then walks along the rocks while a man records him and others walk around.</t>
  </si>
  <si>
    <t>v_J3NhT51f0To</t>
  </si>
  <si>
    <t>A blond girl is in a residential home, smiling and talking while holding a violin in front of her.</t>
  </si>
  <si>
    <t>The girl briefly stops talking, and then backs up and brings the violin to her chin as she's talking and then starts playing by pulling the fiddle across the strings.</t>
  </si>
  <si>
    <t>The girl stops pulling the fiddle across the strings and walks closer to the camera to talk, and then resumes moving the fiddle across the strings.</t>
  </si>
  <si>
    <t>The girl then backs up, and turns to show her left side as she moves the fiddle across the violin strings, and then she moves to face forward again and walks closer to the camera and plays some more.</t>
  </si>
  <si>
    <t>The girl stops playing and pulls he violin away from her chin.</t>
  </si>
  <si>
    <t>v_F2yh5HfIj2c</t>
  </si>
  <si>
    <t>A man wearing scuba gear walks along the edge of a swimming pool.</t>
  </si>
  <si>
    <t>The man starts talking to the camera and shows the camera various items.</t>
  </si>
  <si>
    <t>The camera shows the swimming pool.</t>
  </si>
  <si>
    <t>A tool and air compressor is shown.</t>
  </si>
  <si>
    <t>The man enters the swimming pool and proceeds to place a cover on the drain while under water in the scuba gear.</t>
  </si>
  <si>
    <t>The man gives a thumbs up.</t>
  </si>
  <si>
    <t>The man shows the bubbles the tool makes underwater while bobbing his head.</t>
  </si>
  <si>
    <t>v_GyLX64aJY80</t>
  </si>
  <si>
    <t>Two slicess of bread,a plate,and two slices of cheese are on the counter.</t>
  </si>
  <si>
    <t>The person then takes one slice,spreads the butter over it and puts two slices of cheese on it and adds the other slice on top of it.</t>
  </si>
  <si>
    <t>The sandwich now has butter on both sides and the sandwich is placed in a skillet and is fried.</t>
  </si>
  <si>
    <t>Once complete,it is placed on a red plate and cut in half with a thick knife.</t>
  </si>
  <si>
    <t>v_3C00m8lkJi0</t>
  </si>
  <si>
    <t>A man is shown holding a large bin as well as several people around him gathering leaves.</t>
  </si>
  <si>
    <t>More people are shown walking around scraping leaves while a woman speaks to the crowd and inspires them to work more.</t>
  </si>
  <si>
    <t>The people continue working and the sun shines down on a tree.</t>
  </si>
  <si>
    <t>v_Ht2gV7oaqbo</t>
  </si>
  <si>
    <t>Two people are seen standing outside on a mat.</t>
  </si>
  <si>
    <t>One person then grabs the other person by the legs.</t>
  </si>
  <si>
    <t>The men then flip each other down on the ground.</t>
  </si>
  <si>
    <t>v_mJZj3znhBas</t>
  </si>
  <si>
    <t>People are playing a game of lacrosse onto a field.</t>
  </si>
  <si>
    <t>A woman is talking to the camera in a gym.</t>
  </si>
  <si>
    <t>A train is driving on the tracks.</t>
  </si>
  <si>
    <t>They continue to play lacrosse on a field.</t>
  </si>
  <si>
    <t>v_rPeQxKmIe4I</t>
  </si>
  <si>
    <t>The person is swimming under the sea.</t>
  </si>
  <si>
    <t>The woman is swimming forward, she looked at the camera.</t>
  </si>
  <si>
    <t>The woman is shaking her head while behind her another diver is swimming.</t>
  </si>
  <si>
    <t>v_O-6zE9_S2KM</t>
  </si>
  <si>
    <t>A pair of hands are shown at a black jack table.</t>
  </si>
  <si>
    <t>A woman is dealing the cards and chips.</t>
  </si>
  <si>
    <t>The chips are shown in a stack at the end.</t>
  </si>
  <si>
    <t>v_-2DajzzRwn0</t>
  </si>
  <si>
    <t>Several teams of people are seen playing a game of tug of war with one another with people watching on the sides.</t>
  </si>
  <si>
    <t>The people continue competing with one another and ends with one team winning.</t>
  </si>
  <si>
    <t>v_boQbuyDjWnc</t>
  </si>
  <si>
    <t>An old man in black shirt and eye glasses is sitting on a green table, in front of him are book, chips with different colors and stack of cards.</t>
  </si>
  <si>
    <t>He placed the cards on the table, on top of the yellow stars on the table, he arrange the cards in horizontal way.</t>
  </si>
  <si>
    <t>v_hYVFzI_kfaQ</t>
  </si>
  <si>
    <t>The woman is shown emptying two different foods onto the plate to make a fruit salad.</t>
  </si>
  <si>
    <t>She touches the strawberries and apples.</t>
  </si>
  <si>
    <t>Then she sprinkles little berries onto the other fruit.</t>
  </si>
  <si>
    <t>v_mZYqH82delk</t>
  </si>
  <si>
    <t>There is a man kneeling down on a red yoga mat.</t>
  </si>
  <si>
    <t>The coach standing next to him make sure he is going up and down while he's kneeling and he holds his back to feel the muscle movement.</t>
  </si>
  <si>
    <t>v_Nogr8GCIL9k</t>
  </si>
  <si>
    <t>A guy stands outside, gestures, and talks.</t>
  </si>
  <si>
    <t>A man ascends from the water, begins water boarding, and does flips.</t>
  </si>
  <si>
    <t>A water vehicle is pulling a man holding a rope.</t>
  </si>
  <si>
    <t>The guy begins to leave after making the last point.</t>
  </si>
  <si>
    <t>v_DFOoFr2H-24</t>
  </si>
  <si>
    <t>A man is seen playing an instrument while another watches in the background.</t>
  </si>
  <si>
    <t>He pauses to speak to a large group of boys and continues playing the instrument, blowing wind into their smoke.</t>
  </si>
  <si>
    <t>The boys watch in amazement and bends down closely to another boy.</t>
  </si>
  <si>
    <t>v_rP2MviNn52g</t>
  </si>
  <si>
    <t>People are playing a tag of war game.</t>
  </si>
  <si>
    <t>Children wave at their teammates.</t>
  </si>
  <si>
    <t>The children pull the adults to their side, the right side.</t>
  </si>
  <si>
    <t>The children let go the rope, jump up and down, plus cheer.</t>
  </si>
  <si>
    <t>v_07GFy_Z7Nuc</t>
  </si>
  <si>
    <t>A male gymnast walks up to the parallel bars and uses a spring board to jump up.</t>
  </si>
  <si>
    <t>Another man pulls the spring board out of the way.</t>
  </si>
  <si>
    <t>A large crowd watches from the stands in the gym.</t>
  </si>
  <si>
    <t>The gymnast does a parallel bar routine.</t>
  </si>
  <si>
    <t>Several other male gymnasts walk around in the background.</t>
  </si>
  <si>
    <t>The male gymnast completes his routine and runs off of the gym floor.</t>
  </si>
  <si>
    <t>v_6QhZNQlsGys</t>
  </si>
  <si>
    <t>People are balancing on a rope on the beach.</t>
  </si>
  <si>
    <t>A man in a white shirt does a hand stand on the rope.</t>
  </si>
  <si>
    <t>A person is swinging on a rope in the background.</t>
  </si>
  <si>
    <t>v_F99Suh6SvD8</t>
  </si>
  <si>
    <t>Two girls practice fencing in a school gym with protective gear on and a coach against the wall watching and coaching them as they fence.</t>
  </si>
  <si>
    <t>The two girls talk to the coach and then begin to fence with each other as the coach motions to where they should stand and navigate the space during the spar.</t>
  </si>
  <si>
    <t>Both girls end the spar and remove their head gear as they talk to the coach.</t>
  </si>
  <si>
    <t>v_LSvjzZHbetU</t>
  </si>
  <si>
    <t>A woman in a green sweater puts on a face mask.</t>
  </si>
  <si>
    <t>She paints a wooden fence.</t>
  </si>
  <si>
    <t>She puts news paper onto the fence.</t>
  </si>
  <si>
    <t>She pours a bucket of paint into a sprayer.</t>
  </si>
  <si>
    <t>She starts spraying the fence with a hose.</t>
  </si>
  <si>
    <t>v_PGNwd5bySwI</t>
  </si>
  <si>
    <t>Two men are talking in front of a helicopter.</t>
  </si>
  <si>
    <t>A man on a wake board is being pulled by a helicopter in and out of the water.</t>
  </si>
  <si>
    <t>He drops from the rope and pulls a parachute and lands on the ground.</t>
  </si>
  <si>
    <t>v_aq41GgfAlDo</t>
  </si>
  <si>
    <t>A man is seated on a bench in a park.</t>
  </si>
  <si>
    <t>He is playing an old accordian.</t>
  </si>
  <si>
    <t>He pushes it closed and open as he plays on the keyboard.</t>
  </si>
  <si>
    <t>v_rF1AqlLjECk</t>
  </si>
  <si>
    <t>A black screen appears and it has a lot of white words on it that include the name, height, weight, years games, points phone number and email for player #23.</t>
  </si>
  <si>
    <t>Various clips of different hockey games play and occassionaly a yellow arrow will appear pointing out the #23 player in each different hockey game clip.</t>
  </si>
  <si>
    <t>A black screen appears again and it's the same as the screen that was the intro that includes the same information on player #23.</t>
  </si>
  <si>
    <t>v_KptXzRFIvTw</t>
  </si>
  <si>
    <t>A person named Chad wearing a black and gray jacket is standing next to a Christmas tree and giving a tutorial on how to decorate it.</t>
  </si>
  <si>
    <t>He is holding a crystal star in his hands which he places on top of the tree.</t>
  </si>
  <si>
    <t>Then he takes some Christmas lights lights and twirls it around the branches of the tree.</t>
  </si>
  <si>
    <t>He takes a red garland and demonstrates how to wrap it around the tree.</t>
  </si>
  <si>
    <t>He then takes some red and gold ornaments and shows how to place them on the tree.</t>
  </si>
  <si>
    <t>He also takes a red ribbon and red berries to add to the tree.</t>
  </si>
  <si>
    <t>He stands next to the fully decorated tree as he completes his tutorial.</t>
  </si>
  <si>
    <t>v_53dqgEMV5e4</t>
  </si>
  <si>
    <t>A woman pours ice into a glass.</t>
  </si>
  <si>
    <t>She puts shots of alcohol into the glass.</t>
  </si>
  <si>
    <t>She shakes it and pours it into another glass.</t>
  </si>
  <si>
    <t>She puts a straw in it and holds it up.</t>
  </si>
  <si>
    <t>v_-Kmx-BCAsQc</t>
  </si>
  <si>
    <t>A man in orange waves then mounts a pommel horse.</t>
  </si>
  <si>
    <t>The man spins around and around on the pommel horse.</t>
  </si>
  <si>
    <t>A man on the right takes a photo.</t>
  </si>
  <si>
    <t>The man swings one leg at a time.</t>
  </si>
  <si>
    <t>The man does a handstand then dismounts.</t>
  </si>
  <si>
    <t>The man walks away as another walks to the pommel horse.</t>
  </si>
  <si>
    <t>The end screens are shown and the video ends.</t>
  </si>
  <si>
    <t>v_LAD4qVnywmA</t>
  </si>
  <si>
    <t>A man in a red shirt is clapping his hands.</t>
  </si>
  <si>
    <t>He runs down a track and jumps in the sand.</t>
  </si>
  <si>
    <t>People rake the sand out afterwards.</t>
  </si>
  <si>
    <t>v_WlFBWlCklm8</t>
  </si>
  <si>
    <t>An intro black screen appears and the word Poweriser flashes.</t>
  </si>
  <si>
    <t>A man named PRVNI KROKY is on metal stilts outside and he begins, walking, jumping, running and moving and doing various movements while on his stilts and people around him are either sitting or walking doing their own thing.</t>
  </si>
  <si>
    <t>When the man is done demonstrating what he can do on the stilts he stops in his original spot to talk some more, waves and then runs off.</t>
  </si>
  <si>
    <t>The outro appears and it's exactly like the intro.</t>
  </si>
  <si>
    <t>v_Ksbk5rtqVd0</t>
  </si>
  <si>
    <t>A woman in a white shirt is sitting down.</t>
  </si>
  <si>
    <t>She pours some product into her palm.</t>
  </si>
  <si>
    <t>She starts wiping the product onto her face.</t>
  </si>
  <si>
    <t>v_0PbmXOVIwGc</t>
  </si>
  <si>
    <t>A woman grooms the right body of a horse, she brush the neck,body and legs.</t>
  </si>
  <si>
    <t>Then, the woman goes to the left side of horse and kneel to groom the legs, and then she brush the other parts of the body.</t>
  </si>
  <si>
    <t>v_LoA7h0bZmDI</t>
  </si>
  <si>
    <t>A chef is giving detailed instructions on how to make a dish to another man in the kitchen.</t>
  </si>
  <si>
    <t>The man walks around him casually and picks up a piece of one of the ingredients and eats it.</t>
  </si>
  <si>
    <t>Meanwhile, the chef is putting ingredients and explaining the process of what he is doing and why into the pan.</t>
  </si>
  <si>
    <t>Once the sauce he is creating starts to come together he mixes in spaghetti and blends it all together.</t>
  </si>
  <si>
    <t>v_llcbN-s26vs</t>
  </si>
  <si>
    <t>A man in a red shirt walks around a ladder.</t>
  </si>
  <si>
    <t>He places his arm on the ladder.</t>
  </si>
  <si>
    <t>A woman places red wallpaper up against a wall.</t>
  </si>
  <si>
    <t>She smooths the red wall paper out with her hands and with a tool.</t>
  </si>
  <si>
    <t>She measures the wallpaper to make sure it's straight.</t>
  </si>
  <si>
    <t>The woman places a tool on the top and bottom of the wallpaper and removes any extra wallpaper.</t>
  </si>
  <si>
    <t>The man in the red shirt is talking.</t>
  </si>
  <si>
    <t>v_sCzauf2u4dc</t>
  </si>
  <si>
    <t>We see the emblem on the opening screen.</t>
  </si>
  <si>
    <t>We switch to images of two ladies with horses.</t>
  </si>
  <si>
    <t>We see one lady in a sunny field with a hose.</t>
  </si>
  <si>
    <t>We see a small dog on the back of the horse.</t>
  </si>
  <si>
    <t>We see the small dog, then two ladies and the small dog.</t>
  </si>
  <si>
    <t>The lady is sitting playing with the dog.</t>
  </si>
  <si>
    <t>We see a bunch of people in a stable with a horse.</t>
  </si>
  <si>
    <t>We see the end credit emblem.</t>
  </si>
  <si>
    <t>v_fdYyIOWkycU</t>
  </si>
  <si>
    <t>A man is seen standing ready holding a dart and looking off into the distance.</t>
  </si>
  <si>
    <t>The man then throws the dart in slow motion while the camera continues to follow him.</t>
  </si>
  <si>
    <t>v_I-C_fOUaknA</t>
  </si>
  <si>
    <t>A man places a tile onto the floor and pushes it down.</t>
  </si>
  <si>
    <t>He smooths it out with his hands.</t>
  </si>
  <si>
    <t>He moves the vent that is on the floor next to the tile.</t>
  </si>
  <si>
    <t>v_BC1VpNRFtXo</t>
  </si>
  <si>
    <t>A small group of men are seen sitting at a table playing various hand games with one another.</t>
  </si>
  <si>
    <t>Then moves their hands which are shown in slow motion and leads into one speaking on the phone and leaving the room.</t>
  </si>
  <si>
    <t>The camera pans around the other people as they laugh.</t>
  </si>
  <si>
    <t>v_X095EDl0-eU</t>
  </si>
  <si>
    <t>We see two men fencing in a stadium.</t>
  </si>
  <si>
    <t>A man throws his arms in the air.</t>
  </si>
  <si>
    <t>The left man falls to the ground.</t>
  </si>
  <si>
    <t>The left man throws his hand in the air.</t>
  </si>
  <si>
    <t>v_eFZufRRvIz4</t>
  </si>
  <si>
    <t>A woman is dancing and mopping in the kitchen.</t>
  </si>
  <si>
    <t>Another woman is recording her and laughing.</t>
  </si>
  <si>
    <t>The woman notices the camera and laughs, but continues dancing.</t>
  </si>
  <si>
    <t>v_5P-Xs2v6lis</t>
  </si>
  <si>
    <t>A technician walks along a roof and sprays it using a wand attached to a hose.</t>
  </si>
  <si>
    <t>The man turns off his hose then walks along the peak of the roof.</t>
  </si>
  <si>
    <t>The man sprays around the gutters with the wand.</t>
  </si>
  <si>
    <t>The water comes out of the gutter onto the cement below.</t>
  </si>
  <si>
    <t>v_DcoHV4WiHQk</t>
  </si>
  <si>
    <t>A woman is seen sitting on sand next to a girl.</t>
  </si>
  <si>
    <t>The woman looks away from the camera and looks down at the sand.</t>
  </si>
  <si>
    <t>The girl and woman then begin digging in the sand.</t>
  </si>
  <si>
    <t>v_8DZj0ggPr74</t>
  </si>
  <si>
    <t>A large group of players are lined up and seen speaking to one another.</t>
  </si>
  <si>
    <t>They then move out onto the ice and begin skating around.</t>
  </si>
  <si>
    <t>One man fist bumps another and ends by walking away.</t>
  </si>
  <si>
    <t>v_9J72KkOrAq4</t>
  </si>
  <si>
    <t>A person is seen running down a deck pushing a puck with a stick.</t>
  </si>
  <si>
    <t>She looks back and laughs to the camera while other people watch on the side.</t>
  </si>
  <si>
    <t>v_NMBu3DIn1eg</t>
  </si>
  <si>
    <t>A black dog is shown looking into the camera.</t>
  </si>
  <si>
    <t>A balding man appears who is standing next to a chair that seems to be in need of restoring.</t>
  </si>
  <si>
    <t>The chair is shown to have scratches.</t>
  </si>
  <si>
    <t>The man begins to apply a substance to the chair as the man rubs the substance all over the surfaces of the chair.</t>
  </si>
  <si>
    <t>The man then points at a scratch on the a part of the chair and begins to wipe it clean with the substance.</t>
  </si>
  <si>
    <t>The man then shows a leg of the chair and wipes it down as well.</t>
  </si>
  <si>
    <t>The man then seems to pour a substance into a can and dips the brush into it and polishes part of the leg.</t>
  </si>
  <si>
    <t>The man continues to wipe the chair as it is getting cleaner and cleaner.</t>
  </si>
  <si>
    <t>The man returns later after the chair dries with a yellow bottle and is now wearing a hat and glasses.</t>
  </si>
  <si>
    <t>The man begins to wipe the chair again using whatever was in the yellow bottle.</t>
  </si>
  <si>
    <t>After this is complete the cushion is put back onto the chair as it is wiped down one more time.</t>
  </si>
  <si>
    <t>v_fPbVku8Ssyw</t>
  </si>
  <si>
    <t>People make a hole on the shore of the beach using shovels.</t>
  </si>
  <si>
    <t>Then, people make a wall around the hole.</t>
  </si>
  <si>
    <t>v_BJuL-yK-I8g</t>
  </si>
  <si>
    <t>A man is talking while standing in front of a large river.</t>
  </si>
  <si>
    <t>A group of wild pigs are swimming behind the boat, trying to keep up.</t>
  </si>
  <si>
    <t>The man gets to shore, and he and a boat mate are running on the beach, trying to escape the pigs.</t>
  </si>
  <si>
    <t>v_x_luDzL03vw</t>
  </si>
  <si>
    <t>We then see two men practicing martial arts.</t>
  </si>
  <si>
    <t>The old man pushed the young to the ground.</t>
  </si>
  <si>
    <t>The older man flips the young one over.</t>
  </si>
  <si>
    <t>The old man pushes him forward.</t>
  </si>
  <si>
    <t>The young grabs the older head, and older pushes him down.</t>
  </si>
  <si>
    <t>Man in green is pushed across mat.</t>
  </si>
  <si>
    <t>Old man flip man in green.</t>
  </si>
  <si>
    <t>The Man in white is flipped.</t>
  </si>
  <si>
    <t>Older man pushes green man to ground.</t>
  </si>
  <si>
    <t>Older man rolls man in green.</t>
  </si>
  <si>
    <t>v_VkdPyMG-Gvo</t>
  </si>
  <si>
    <t>A man plays alone pool hitting balls with a pole while going around the pool table.</t>
  </si>
  <si>
    <t>Then, the man hit a ball that enters the basket.</t>
  </si>
  <si>
    <t>After, the man shake hands with people from the audience.</t>
  </si>
  <si>
    <t>v_0T1FKHx3yOk</t>
  </si>
  <si>
    <t>Two boys sits talking as they hold their cell phones.</t>
  </si>
  <si>
    <t>The boys are wrestling in Sumo costumes as two other boys films them with camera.</t>
  </si>
  <si>
    <t>One boy get and hits the other with a ladder and they hit each other.</t>
  </si>
  <si>
    <t>The boy in red grabs and hits the green boy on the ladder with a guitar.</t>
  </si>
  <si>
    <t>The red boy brings an ironing board and jumps on the other boy from the ladder.</t>
  </si>
  <si>
    <t>The green boy runs into the other boy with a minibike.</t>
  </si>
  <si>
    <t>A girl in a sum suit in thrown from a wheel barrow and the referee counts the match as finished.</t>
  </si>
  <si>
    <t>v__-4ngMPCA9A</t>
  </si>
  <si>
    <t>A woman stands in a kitchen talking.</t>
  </si>
  <si>
    <t>She walks over to a sink, puts on gloves and washes dishes.</t>
  </si>
  <si>
    <t>v_pp_J6AzUu4s</t>
  </si>
  <si>
    <t>A woman is standing in a kitchen.</t>
  </si>
  <si>
    <t>She puts ingredients into a glass bowl and mixes it together.</t>
  </si>
  <si>
    <t>She starts chopping food on a block.</t>
  </si>
  <si>
    <t>She combines all the ingredients into the bowl and mixes it together.</t>
  </si>
  <si>
    <t>She grates cheese onto the top of the food.</t>
  </si>
  <si>
    <t>She then puts salad on top of that.</t>
  </si>
  <si>
    <t>v_rR1R-x_UlOM</t>
  </si>
  <si>
    <t>A woman demonstrates from behind a standing bar counter inside of a bar, how to mix drinks using a shot glass and several bottles of alcohol.</t>
  </si>
  <si>
    <t>A woman standing behind a bar talks to the camera and pours a bottle of alcohol into a shot glass along with another bottle of alcohol.</t>
  </si>
  <si>
    <t>The woman then pulls a larger bottle of alcohol off of the bar top and pours that into the shot glass as well, The woman then pushes the shot glass forward toward the camera before the scene fades to black.</t>
  </si>
  <si>
    <t>v_Y75Fvr71aRQ</t>
  </si>
  <si>
    <t>A man is seen speaking to the camera while text appears on the screen.</t>
  </si>
  <si>
    <t>The man continues speaking and leads into him playing an instrument.</t>
  </si>
  <si>
    <t>He pauses his playing to hold up his hand while playing again and then stopping.</t>
  </si>
  <si>
    <t>v_N0mNYZaCJoQ</t>
  </si>
  <si>
    <t>A person pulls the rope of a camel that a man sits on.</t>
  </si>
  <si>
    <t>A man pulls a camel with two people in the desert.</t>
  </si>
  <si>
    <t>Two women are close to the camels.</t>
  </si>
  <si>
    <t>A car pass behind the camels.</t>
  </si>
  <si>
    <t>v_Kd3YFwF-2UM</t>
  </si>
  <si>
    <t>Several clips are shown of people throwing bowling balls down a lane as well as close ups of balls and pins.</t>
  </si>
  <si>
    <t>People continue bowling and the machine shows how the pins spin around and the balls returning to the back.</t>
  </si>
  <si>
    <t>v_03KTIy44yTo</t>
  </si>
  <si>
    <t>A bunch of brown leaves on green grass are blowing away together.</t>
  </si>
  <si>
    <t>The end of the leaf blower is closer to the grass and is blowing an even bigger area of brown leaves.</t>
  </si>
  <si>
    <t>The end of the leaf blower appears and disappears from view the whole time.</t>
  </si>
  <si>
    <t>v_zb2YYXs4gtw</t>
  </si>
  <si>
    <t>People are riding on the backs of camels.</t>
  </si>
  <si>
    <t>They get led down a trail by a person.</t>
  </si>
  <si>
    <t>People are standing behind a fence watching them.</t>
  </si>
  <si>
    <t>The camels lay down on the ground and the people step off of them.</t>
  </si>
  <si>
    <t>v_mfK2jcMGe1Y</t>
  </si>
  <si>
    <t>A girl in a bra is standing in her bathroom and brushing her hair.</t>
  </si>
  <si>
    <t>She does this for a while and continues to fix it.</t>
  </si>
  <si>
    <t>She then brushes it some more as it is very long.</t>
  </si>
  <si>
    <t>She turns around to get the back of it.</t>
  </si>
  <si>
    <t>v_5BYayNkmlBo</t>
  </si>
  <si>
    <t>A man is inside of a barn and is let out on a horse to catch a cow attached to the horse.</t>
  </si>
  <si>
    <t>As he throws his lasso,he misses the cow and runs to get something before going back to the cow.</t>
  </si>
  <si>
    <t>The man finally approaches the calf and another man comes out to assist him and he returns back to the horse.</t>
  </si>
  <si>
    <t>v_6LrY7uMj8Kg</t>
  </si>
  <si>
    <t>Three men sitting by the counter are sitting watching TV and then ladies in cheerdancing outfit started dancing as the men stare at them.</t>
  </si>
  <si>
    <t>The ladies started dancing, raising their arms up swinging their bodies.</t>
  </si>
  <si>
    <t>The girls play billiards and table football with the guys and they dance.</t>
  </si>
  <si>
    <t>v_DACWnbWrd18</t>
  </si>
  <si>
    <t>A large patch of grass is shown.</t>
  </si>
  <si>
    <t>A man is mowing the yard next to the bushes.</t>
  </si>
  <si>
    <t>He stops and talks to the camera.</t>
  </si>
  <si>
    <t>v_D707ZMWH7jQ</t>
  </si>
  <si>
    <t>A man in a red shirt begins talking in front of a wall of tool consisting of wrench,screws,ax and drills.</t>
  </si>
  <si>
    <t>He then holds up a small silver piece and begins sticking it into the chain of the bike.</t>
  </si>
  <si>
    <t>Next,he takes a black utensil,moves the pedals around and takes the chain completely off.</t>
  </si>
  <si>
    <t>He then takes a box with a new chain in it and puts it back on the bike and begins tightening the chain.</t>
  </si>
  <si>
    <t>v_y9xNMLhgTjY</t>
  </si>
  <si>
    <t>Several people riding skateboard are seen riding down a long hill while the camera follows them from behind.</t>
  </si>
  <si>
    <t>The cameraman continuously rides down a winding road past a group of trees and stops at the bottom to meet up with another.</t>
  </si>
  <si>
    <t>More riding is shown down the hill and ends with the camerman turning around.</t>
  </si>
  <si>
    <t>v_pvpfRBndHh8</t>
  </si>
  <si>
    <t>A lady in a gym punches both of her arms across her chest.</t>
  </si>
  <si>
    <t>The lady then kicks her left leg in the air and then the right one behind her.</t>
  </si>
  <si>
    <t>The lady repeats that sequence over and over.</t>
  </si>
  <si>
    <t>v_h15m87WsCHQ</t>
  </si>
  <si>
    <t>Hockey players are playing a hockey game on the ice.</t>
  </si>
  <si>
    <t>A crowd is watching them play.</t>
  </si>
  <si>
    <t>A man in yellow falls on the ice.</t>
  </si>
  <si>
    <t>A man in a suit is talking to hockey players.</t>
  </si>
  <si>
    <t>v_dkP1In7K63Y</t>
  </si>
  <si>
    <t>A man is spraying a sink with a pressure washer.</t>
  </si>
  <si>
    <t>The man sprays a toilet and then sprays the sink again.</t>
  </si>
  <si>
    <t>We see a title screen the man shows the machine and turns a dial and washer the floor, sink and toilet and mirror.</t>
  </si>
  <si>
    <t>The man uses a squeegee on the mirror.</t>
  </si>
  <si>
    <t>The man adjusts the machine and hooks up a hose and uses air to blow dry the sink and mops the floor.</t>
  </si>
  <si>
    <t>v_ZIFxB0gZ5tY</t>
  </si>
  <si>
    <t>We see a man swinging in a park.</t>
  </si>
  <si>
    <t>The man stands while holding onto the swing.</t>
  </si>
  <si>
    <t>The man stands again and we see a little girl.</t>
  </si>
  <si>
    <t>A lady tries to put the girl in the swing, but she ends up swinging alone.</t>
  </si>
  <si>
    <t>v_djgnHazfi2Y</t>
  </si>
  <si>
    <t>man is standing in stage doing gymnastics in a competition.</t>
  </si>
  <si>
    <t>man is holding a video recorder.</t>
  </si>
  <si>
    <t>v_UlGX-5x0Mak</t>
  </si>
  <si>
    <t>A boy holds an ice cream cone to a baby sitting in a high chair seat.</t>
  </si>
  <si>
    <t>The baby enjoys the ice cream cone.</t>
  </si>
  <si>
    <t>v_9Pv2hUyODK4</t>
  </si>
  <si>
    <t>A man in a black shirt is talking outside near a track and field.</t>
  </si>
  <si>
    <t>He then walks over to a student athlete from Florida State University.</t>
  </si>
  <si>
    <t>The athlete then begins talking and showing various techniques that she uses.</t>
  </si>
  <si>
    <t>Once finishes,she begins doing a triple jump into the pit,she tries again, and then the man interviewing her begins doing the same jump.</t>
  </si>
  <si>
    <t>The two come back to the camera and finish talking,she flashes her thumbs up and then leaves.</t>
  </si>
  <si>
    <t>v_1wiGNX_S8ZU</t>
  </si>
  <si>
    <t>Two people are seen doing flips and kicks around one another in a large circle surrounded by people.</t>
  </si>
  <si>
    <t>More people join in to the kicks and flips as others watch them on the side and clap.</t>
  </si>
  <si>
    <t>v_hhoewBggtuw</t>
  </si>
  <si>
    <t>We see a title over an image of a car.</t>
  </si>
  <si>
    <t>We see a man sitting next and talking about the car.</t>
  </si>
  <si>
    <t>The man puts a brick behind his tire and grabs his supplies to change his tire.</t>
  </si>
  <si>
    <t>The man loosens the bolts and jacks the car up and removes the tire.</t>
  </si>
  <si>
    <t>The man puts on his spare and lowers the car to the ground.</t>
  </si>
  <si>
    <t>The man puts his supplies away and drives away.</t>
  </si>
  <si>
    <t>The man stops near the camera and speaks before driving off.</t>
  </si>
  <si>
    <t>v_mzxz0EQy1pY</t>
  </si>
  <si>
    <t>A camera pans all around a heated pool and leads into a person climbing in a kayak and moving around the pool.</t>
  </si>
  <si>
    <t>Several people seen riding kayaks around the pool as well as people swimming around and watching on the sidelines.</t>
  </si>
  <si>
    <t>The men continue moving around in various angles as well as being shown swimming underwater and playing with one another.</t>
  </si>
  <si>
    <t>v_lIbRuIm9MxI</t>
  </si>
  <si>
    <t>Howcast logo is on the screen.</t>
  </si>
  <si>
    <t>Two men are sitting in the middle of drums and explaining about the instruments.</t>
  </si>
  <si>
    <t>The men begin playing the drums.</t>
  </si>
  <si>
    <t>The go back to talking about the drums.</t>
  </si>
  <si>
    <t>v_awqVlr-YDM4</t>
  </si>
  <si>
    <t>People are skiing down a hill and keep falling down and sliding down the hill.</t>
  </si>
  <si>
    <t>A person crashes into a fence.</t>
  </si>
  <si>
    <t>v_8rypSctbfjU</t>
  </si>
  <si>
    <t>A brush and two kinds of paint are on a table.</t>
  </si>
  <si>
    <t>A knitter's hoop is shown lying on cloth, and a woman paints a design into the cloth.</t>
  </si>
  <si>
    <t>She forms many leaves and flowers in orange shades.</t>
  </si>
  <si>
    <t>When she is done, she shows off the flower design.</t>
  </si>
  <si>
    <t>v_bCdIcqRYJvo</t>
  </si>
  <si>
    <t>A man sits and plays a black grand piano in an empty auditorium.</t>
  </si>
  <si>
    <t>We see three people in the front row watching and listening to the man as he plays and one person one row behind them.</t>
  </si>
  <si>
    <t>We see the three people, two women and one men.</t>
  </si>
  <si>
    <t>The player stands and plays.</t>
  </si>
  <si>
    <t>The player finishes and stands up.</t>
  </si>
  <si>
    <t>v_nShRXseBM4Y</t>
  </si>
  <si>
    <t>A person is slicing bread with a knife.</t>
  </si>
  <si>
    <t>They mix ingredients in a bowl.</t>
  </si>
  <si>
    <t>They cook the bread on a grill.</t>
  </si>
  <si>
    <t>They add a scoop of chocolate ice cream next to the sandwich.</t>
  </si>
  <si>
    <t>v_IFgEjS97Pmw</t>
  </si>
  <si>
    <t>A rustic static bike of wood is in a room.</t>
  </si>
  <si>
    <t>Then, a man pedal the bike while showing the handle.</t>
  </si>
  <si>
    <t>Then the man sits on the bike to pedal and then stands.</t>
  </si>
  <si>
    <t>v_XLsuG0cNl4o</t>
  </si>
  <si>
    <t>A man uses a beard trimmer to trim his cheeks and neck.</t>
  </si>
  <si>
    <t>The man strokes his goatee and examines it.</t>
  </si>
  <si>
    <t>The man trims his chin area to make a mustache.</t>
  </si>
  <si>
    <t>v_1iP5k9jHBRU</t>
  </si>
  <si>
    <t>A male is standing by the white door, he is holding rectangular wood, and on the other hand is a board that holds big chunk of brown clay.</t>
  </si>
  <si>
    <t>He pointed the wall and started to spread the brown clay on the wall, she spread it by rubbing it smoothly and in half circle way.</t>
  </si>
  <si>
    <t>He went near the ceiling, knocked on the ceiling, pushed it, knocked on it again, smoothen it using his fingers.</t>
  </si>
  <si>
    <t>v_PpbBWqlsbxk</t>
  </si>
  <si>
    <t>We see we an opening title screen.</t>
  </si>
  <si>
    <t>People stand in the woods holding paddles while wearing rafting gear.</t>
  </si>
  <si>
    <t>People walk to the lake with their rafts and get in.</t>
  </si>
  <si>
    <t>We see people riding rafts down a river.</t>
  </si>
  <si>
    <t>The people go over a small waterfall and their raft is overturned.</t>
  </si>
  <si>
    <t>People are plunged into the water as they go over a waterfall and a man pumps his fist.</t>
  </si>
  <si>
    <t>The camera pans up to show nature and fades to white.</t>
  </si>
  <si>
    <t>v_jsofzMPb0i4</t>
  </si>
  <si>
    <t>There's a basketball player demonstrating various types of basketball hoop shooting techniques on behalf of World of Hoops.</t>
  </si>
  <si>
    <t>He begins by showing the basic technique of the regular lay-up throw, he shoots the ball directly into the hoop.</t>
  </si>
  <si>
    <t>Then he shows another technique where he comes running and shoots the ball from very close to the hoop by jumping up high.</t>
  </si>
  <si>
    <t>He continues to show various other ways to shoot the basket as he runs and dunks the ball straight into the basket.</t>
  </si>
  <si>
    <t>He demonstrates different techniques of shooting the ball right into the hoop without missing a single basket.</t>
  </si>
  <si>
    <t>v_sTev5fWX3T8</t>
  </si>
  <si>
    <t>A teen is balancing on the higher uneven bar.</t>
  </si>
  <si>
    <t>Then, the teen flips and a man helps her to pass to the lower uneven bar.</t>
  </si>
  <si>
    <t>Two A girl exercise on the uneven bars behind the teen.</t>
  </si>
  <si>
    <t>v_IlzwpnsIRZM</t>
  </si>
  <si>
    <t>People are playing a game of ping pong.</t>
  </si>
  <si>
    <t>A man in a red shirt is playing with only one shoe on.</t>
  </si>
  <si>
    <t>v_EO_BnsrWMnI</t>
  </si>
  <si>
    <t>A man is seen wearing a funny uniform and walking out onto a large stage while intervening to speak to the camera.</t>
  </si>
  <si>
    <t>The man performs gymnastics moves around a beam in a silly manner and ends with the audience clapping and the man waving.</t>
  </si>
  <si>
    <t>v_63lmoqLxB8c</t>
  </si>
  <si>
    <t>People are playing a game of volleyball on a court.</t>
  </si>
  <si>
    <t>People are sitting along the benches against a wall watching.</t>
  </si>
  <si>
    <t>A boy serves the volleyball.</t>
  </si>
  <si>
    <t>v_xtmxgih0yIk</t>
  </si>
  <si>
    <t>A horse stands alone, attached to a wooden trunk.</t>
  </si>
  <si>
    <t>A man approaches the horse holding two brushes in his hands and speaks for a bit.</t>
  </si>
  <si>
    <t>He goes up to the horse and brushes the hair of the horse, removing the hair of the horse that attaches onto the brush.</t>
  </si>
  <si>
    <t>He pauses for a bit to speak.</t>
  </si>
  <si>
    <t>He goes back to removing the excess hair off the horse.</t>
  </si>
  <si>
    <t>He pauses again and speaks for a while.</t>
  </si>
  <si>
    <t>He returns to brushing the horse.</t>
  </si>
  <si>
    <t>He stops brushing the hair and speaks.</t>
  </si>
  <si>
    <t>v_u9oARzRT3fI</t>
  </si>
  <si>
    <t>A female gymnast mounts a high beam in a gym.</t>
  </si>
  <si>
    <t>She does lots of forward jumps, springs, and splits in the air.</t>
  </si>
  <si>
    <t>A boy in the background climbs a rope as she dismounts.</t>
  </si>
  <si>
    <t>v_JviFZ5Cliug</t>
  </si>
  <si>
    <t>A woman in a white shirt is standing by an exercise machine.</t>
  </si>
  <si>
    <t>She begins working out on the exercise machine.</t>
  </si>
  <si>
    <t>Information about the machine is placed on the screen.</t>
  </si>
  <si>
    <t>v_ZCZoL2b6euQ</t>
  </si>
  <si>
    <t>A man is throwing darts inside a room.</t>
  </si>
  <si>
    <t>Another man ducks so he doesn't get hit.</t>
  </si>
  <si>
    <t>The darts hit the dart board in slow motion.</t>
  </si>
  <si>
    <t>v_t0YXK4W_L7o</t>
  </si>
  <si>
    <t>A close up of a horse is seen followed by several people riding on a horses on a beach.</t>
  </si>
  <si>
    <t>One person is seen standing on the horse and the camera continues to follow the people riding along on the horses.</t>
  </si>
  <si>
    <t>v_WOonpO98TdQ</t>
  </si>
  <si>
    <t>A man and a woman in a garage style weight room demonstrate how to lift a weight bar with the woman exhibiting the lifting of the weights.</t>
  </si>
  <si>
    <t>A man in a black t-shirt and sandals stands next to a woman in a garage style weight room.</t>
  </si>
  <si>
    <t>The woman picks up a weight bar using the knees to bend as the man talks and points to her muscle groups.</t>
  </si>
  <si>
    <t>The woman hoists the bar above her head in a weight lifting move several times before lowering the bar back to the floor.</t>
  </si>
  <si>
    <t>v_vpvhtd7CqUA</t>
  </si>
  <si>
    <t>Some texts pops up on the screen.</t>
  </si>
  <si>
    <t>A video of bulls being hurt by people starts playing.</t>
  </si>
  <si>
    <t>Text pops up on the screen again.</t>
  </si>
  <si>
    <t>Images of people stabbed with arrows and full of blood are shown.</t>
  </si>
  <si>
    <t>More text with an anti bullfighting messages appear.</t>
  </si>
  <si>
    <t>Images of hurts bulls are shown.</t>
  </si>
  <si>
    <t>Anti animal cruelty text appears.</t>
  </si>
  <si>
    <t>A bull fighter is shown fighting a bull.</t>
  </si>
  <si>
    <t>A video is played of bullfighters getting gored.</t>
  </si>
  <si>
    <t>A new video showing dead animals plays.</t>
  </si>
  <si>
    <t>Condescending text appears in the video that chastises people for eating meat ane being cruel to animals.</t>
  </si>
  <si>
    <t>v_FfVfjZOHsl4</t>
  </si>
  <si>
    <t>A lawn mower is being pushed through grass.</t>
  </si>
  <si>
    <t>It is pushed along a sidewalk.</t>
  </si>
  <si>
    <t>It is pushed along a flower bed.</t>
  </si>
  <si>
    <t>v_pIUpJihiju0</t>
  </si>
  <si>
    <t>A person shows the bottom of a large dust mop.</t>
  </si>
  <si>
    <t>Then, the person cleans a gym with the large dust mop.</t>
  </si>
  <si>
    <t>v_HCub1SN4X20</t>
  </si>
  <si>
    <t>The girl in the swing is swinging and then she jumped on the ground.</t>
  </si>
  <si>
    <t>The camera turned around, then turned back to the girl swinging, she is twisting the chains of the swing, and she is swirling around with the swing.</t>
  </si>
  <si>
    <t>The girl in black shirt and black skirt and tights keeps swing so fast and high and then she jumped on the sandy ground.</t>
  </si>
  <si>
    <t>The girl climbed the climber, she put her feet up while her arms and hands are holding the bar.</t>
  </si>
  <si>
    <t>The girl fell down on the ground, she stood up, then went to the other side of the climber, reached for the bar and moved to the other next bar.</t>
  </si>
  <si>
    <t>The girl is sitting on blue bouncing chair while she look on her side, she stood up, continue to pull her weight forward and backward.</t>
  </si>
  <si>
    <t>The girl sat on top of the slide then slide down, put on her slippers then went back to the top of the slide and slide down.</t>
  </si>
  <si>
    <t>v_Oe1tNvkhrI8</t>
  </si>
  <si>
    <t>A blue backdrop is pictured with white words saying titling,"Mowing the Lawn May 2009".</t>
  </si>
  <si>
    <t>A middle aged man is outside,wearing a white muscle short and red shorts pushing a lawn mower in his yard.</t>
  </si>
  <si>
    <t>As the man turns the lawn mower to go in a different direction he begins to struggle and gets confused because the water fountain is in his way.</t>
  </si>
  <si>
    <t>Once,the male has become frustrated enough,he just decided to not mow it and goes back to his original place of cutting.</t>
  </si>
  <si>
    <t>v_OW5Tyr8MICg</t>
  </si>
  <si>
    <t>A close up of hands is shown followed by a girl brushing her hair and smiling to the camera.</t>
  </si>
  <si>
    <t>The girl continues brushing her hair and looking off into the distance.</t>
  </si>
  <si>
    <t>v_G4O_Ar7EO4Y</t>
  </si>
  <si>
    <t>A competitive sporting event is taking place in an outdoor arena and the competitors are on the ground while the spectators are in the stands.</t>
  </si>
  <si>
    <t>A man is now standing in a circle on the field and he's holding a ball and the banner display on the screen indicates his name is Krisztian PARS and that he's about to do a Hammer Throw M as he swings the ball that is attached to the rope, swings his body and then lets the rope go as it flies very far on the field.</t>
  </si>
  <si>
    <t>The man is very proud of his throw as he cheers and other competitors as well as people in the stands clap and cheer for him as well as he walks away from the area he was standing in and continues to cheer himself on a little more while giving a thumbs up to a group of camera men taking his picture.</t>
  </si>
  <si>
    <t>A replay of his throw starts again and then it ends with a wide angled shot of the entire arena.</t>
  </si>
  <si>
    <t>v_4d3RtnuVCV4</t>
  </si>
  <si>
    <t>A video of the UConn women's field hockey team is shown.</t>
  </si>
  <si>
    <t>The coach talks to the players and they have a practice.</t>
  </si>
  <si>
    <t>v_5qublDzEgsw</t>
  </si>
  <si>
    <t>Two men are shown playing soccer in a gym followed by a pan out showing more players.</t>
  </si>
  <si>
    <t>The man is white leads the ball down the gym several times and performing various tricks and goals.</t>
  </si>
  <si>
    <t>The game continues on with the men doing back and fourth playing with the soccer ball.</t>
  </si>
  <si>
    <t>v_4P0zJEfqCoM</t>
  </si>
  <si>
    <t>A woman gets her eyebrow clamped.</t>
  </si>
  <si>
    <t>A person pushes a needle through her eyebrow.</t>
  </si>
  <si>
    <t>They twist an earring into the eyebrow.</t>
  </si>
  <si>
    <t>They clean around the earring with a qtip.</t>
  </si>
  <si>
    <t>v_uwGcEaW3z3Q</t>
  </si>
  <si>
    <t>A man is trying to lift weights in a gym.</t>
  </si>
  <si>
    <t>He lifts the barbell up to his chest.</t>
  </si>
  <si>
    <t>He then lifts it over his head before dropping it to the ground.</t>
  </si>
  <si>
    <t>v_60yOoxs9AFc</t>
  </si>
  <si>
    <t>A band is seen playing several instruments on a stage while people dance around them.</t>
  </si>
  <si>
    <t>The band continues playing while lights flash all around them and people continue dancing.</t>
  </si>
  <si>
    <t>v_ko9efCldvgs</t>
  </si>
  <si>
    <t>A wooden outdoors stair case is shown outside of a white and brown horse.</t>
  </si>
  <si>
    <t>All of a sudden,a black dog comes around the corner and trots up the stairs and multiple replays are shown.</t>
  </si>
  <si>
    <t>Once the dog actually makes it to the top,he begins licking the person'a behind the camera shoe.</t>
  </si>
  <si>
    <t>v_BY5mz30u5_8</t>
  </si>
  <si>
    <t>A person is seen standing on a wake board point out and moving himself around.</t>
  </si>
  <si>
    <t>The camera follows him gliding out into the water gradually going further and further.</t>
  </si>
  <si>
    <t>v_jHyWtrhNTTk</t>
  </si>
  <si>
    <t>We see a black opening screen.</t>
  </si>
  <si>
    <t>We see a blue track with people running on it.</t>
  </si>
  <si>
    <t>We then see a man do a high jump at 5'9".</t>
  </si>
  <si>
    <t>We then see the man jump at 6'.</t>
  </si>
  <si>
    <t>We then see the man jump at 6'2" and he knocks the pole over.</t>
  </si>
  <si>
    <t>We see him try 6'2" again and not hit the pole.</t>
  </si>
  <si>
    <t>The man walks to the camera and turns it off.</t>
  </si>
  <si>
    <t>v_K9qWnvl8A1Q</t>
  </si>
  <si>
    <t>A little boy is holding a paintbrush in the yard.</t>
  </si>
  <si>
    <t>He is swiping a brush covered with water on the fence.</t>
  </si>
  <si>
    <t>He dips it in the bucket, continuing to pretend to paint.</t>
  </si>
  <si>
    <t>v_Ocd1VWIIeVs</t>
  </si>
  <si>
    <t>A man washes a car with a brush, while three people rinse the car with hoses.</t>
  </si>
  <si>
    <t>A man sprays detergent on a car.</t>
  </si>
  <si>
    <t>A person that wears a red t-shirt sprays detergent on a car, then two men rinse the car with hoses, while other cars are covered with white detergent.</t>
  </si>
  <si>
    <t>v_OrF46J3HmSw</t>
  </si>
  <si>
    <t>A young child is seen standing before a mat looking down at the floor.</t>
  </si>
  <si>
    <t>She then begins walking along the mat all the way to the end.</t>
  </si>
  <si>
    <t>She walks back and fourth again while looking to the camera.</t>
  </si>
  <si>
    <t>v_QZyR7yfp8hA</t>
  </si>
  <si>
    <t>A man is seen speaking to the camera next to a horse and leads into clips of him riding around on the horse and close ups of other horses.</t>
  </si>
  <si>
    <t>The host speaks to another man while more shots of horses are shown as well as a man hitting a ball.</t>
  </si>
  <si>
    <t>The men then ride horses and learn to play a sport and ends with the host speaking in a uniform.</t>
  </si>
  <si>
    <t>v_4E-RWxR6Xr0</t>
  </si>
  <si>
    <t>A guy rides an exercise bike.</t>
  </si>
  <si>
    <t>The guy adjusts the exercise bike seat.</t>
  </si>
  <si>
    <t>v_2Dlfwnvz76Q</t>
  </si>
  <si>
    <t>A woman is sitting at a desk.</t>
  </si>
  <si>
    <t>A man sitting in front of her is playing a harmonica.</t>
  </si>
  <si>
    <t>The woman is playing with her hair.</t>
  </si>
  <si>
    <t>v_mnMmGnnbvSk</t>
  </si>
  <si>
    <t>An array of shoe shining tools are shown including different kinds and colors of shoe polish, a polishing rag and a black shiny shoe.</t>
  </si>
  <si>
    <t>A group of adult students sit in a classroom style room and look to the front of the class as if attending a class and listening intensely.</t>
  </si>
  <si>
    <t>A shoe shine demonstration takes place with a man kneeling in front of a group of students and using a sample shoe as an example.</t>
  </si>
  <si>
    <t>Several people in aprons, then kneel before people wearing shoes and shine the people's shoes on red buckets with polishing clothes and polish.</t>
  </si>
  <si>
    <t>The shoes shiners then stand in unison, with their aprons, and bow and shake hands.</t>
  </si>
  <si>
    <t>v_hRMSh7vUmGY</t>
  </si>
  <si>
    <t>A man is lifting very heavy weight above his head and dropping it .</t>
  </si>
  <si>
    <t>He does this multiple time for repetition, this is a workout routine.</t>
  </si>
  <si>
    <t>He then walks away taking a break for a little bit and walks by people sitting and chatting.</t>
  </si>
  <si>
    <t>Once he is done with his break he continues back to his routine.</t>
  </si>
  <si>
    <t>v_q9T1GR6s0vI</t>
  </si>
  <si>
    <t>Two Sumo wrestlers are indoor fighting one another as the referee moves around them.</t>
  </si>
  <si>
    <t>One person is then thrown off of the mat and another set of people are shown.</t>
  </si>
  <si>
    <t>The smaller of the two then flips the big guy from in the air and then the match is over.</t>
  </si>
  <si>
    <t>The sequence continues and several other men are shown battling one another and giving each other wedgies.</t>
  </si>
  <si>
    <t>When the match is complete,two men are shown sitting at a desk with a phone number on a white board.</t>
  </si>
  <si>
    <t>v_yRjaK8wT4Rc</t>
  </si>
  <si>
    <t>A man is washing his hands in the sink.</t>
  </si>
  <si>
    <t>He takes a yellow rag and cleans the sink and faucet.</t>
  </si>
  <si>
    <t>A white bottle of cleaner is shown.</t>
  </si>
  <si>
    <t>v_RVKYgN2S9KA</t>
  </si>
  <si>
    <t>A girl wearing a bikini on the beach is shown doing several sits up on a ball and fixing her hair.</t>
  </si>
  <si>
    <t>She continues performing the exercise while smiling at the camera.</t>
  </si>
  <si>
    <t>v_HCsfxpQ8C1M</t>
  </si>
  <si>
    <t>A man holds a weigh on his back, then he kneels on the floor.</t>
  </si>
  <si>
    <t>After, he jumps from the floor to stand while the weigh is on his back.</t>
  </si>
  <si>
    <t>v_86lJVqKyj3A</t>
  </si>
  <si>
    <t>A woman demonstrates how to properly wrap a gift from behind the counter of a gift shop.</t>
  </si>
  <si>
    <t>A woman stands behind a sales counter in front of several wrapped gifts and gift wrapping materials.</t>
  </si>
  <si>
    <t>Gift wrapping materials are shown sitting on the counter including gift wrap, scissors, and ribbon.</t>
  </si>
  <si>
    <t>The woman talks to the camera and begins to wrap the box in gift wrapping paper using a pair of scissors to cut the gift wrapping paper and clear tape to tape the edges of the wrapping paper.</t>
  </si>
  <si>
    <t>The woman then wraps the gift with final ribbon and the camera closes up on the finishes, wrapped, product.</t>
  </si>
  <si>
    <t>v_57cM1GcKktw</t>
  </si>
  <si>
    <t>A heavy man in a blue shirt is playing the bag pipes.</t>
  </si>
  <si>
    <t>He blows into the pipe while making the notes with his fingers.</t>
  </si>
  <si>
    <t>He slightly dances as he plays.</t>
  </si>
  <si>
    <t>He adjusts the bag pipe and continues to play.</t>
  </si>
  <si>
    <t>He finishes his song and reaches to turn off the camera.</t>
  </si>
  <si>
    <t>v_x2DTmwZa8yE</t>
  </si>
  <si>
    <t>A man is sitting with a surgical mask on.</t>
  </si>
  <si>
    <t>He is cutting lemons up.</t>
  </si>
  <si>
    <t>v_lPYV3qFuXOI</t>
  </si>
  <si>
    <t>The video's title and credits are shown.</t>
  </si>
  <si>
    <t>A man rides a bicycle down a path with cars in the background.</t>
  </si>
  <si>
    <t>The man disassembles and repairs the bicycle.</t>
  </si>
  <si>
    <t>The man rides the bicycle down a stone paved path.</t>
  </si>
  <si>
    <t>The man rides the bicycle down a road alongside parked cars.</t>
  </si>
  <si>
    <t>v_jFp6ld_IGuY</t>
  </si>
  <si>
    <t>A man speaks on a microphone.</t>
  </si>
  <si>
    <t>Suddenly, a man jumps on the neck of a person and throw him to the floor.</t>
  </si>
  <si>
    <t>Other men competes wrestling, and one man jumps and land on the border of a wrestling ring.</t>
  </si>
  <si>
    <t>A wrestler jumps on the back of a man to stay upside down while the judge watch.</t>
  </si>
  <si>
    <t>A big man kicks another wrestler, then grabs his head a throw to the floor.</t>
  </si>
  <si>
    <t>A kid and a person jumps to celebrate.</t>
  </si>
  <si>
    <t>v_VbhCWRXsEHQ</t>
  </si>
  <si>
    <t>Parchment paper is placed on the baking sheet.</t>
  </si>
  <si>
    <t>Softened butter is placed in a mixing bowl.</t>
  </si>
  <si>
    <t>The mixer then begins to cream the butter.</t>
  </si>
  <si>
    <t>Sugar is added to the mixing bowl to be beaten in.</t>
  </si>
  <si>
    <t>Flour is measured, and combined with cornstarch which is measured then mixed into the bowl.</t>
  </si>
  <si>
    <t>Dough is measured out by spoonful, rolled up and placed on baking sheet.</t>
  </si>
  <si>
    <t>The dough is flattened and baked into cookies.</t>
  </si>
  <si>
    <t>The cookies are then placed on a baking sheet, then rack to cool with a spatula.</t>
  </si>
  <si>
    <t>The cookies are cooled to be enjoyed.</t>
  </si>
  <si>
    <t>v_wipGHu-nmNY</t>
  </si>
  <si>
    <t>A bartender is talking from behind a bar.</t>
  </si>
  <si>
    <t>He shows himself making several different drinks.</t>
  </si>
  <si>
    <t>Then he is shown making a specific red drink, shaking it before pouring it into a glass.</t>
  </si>
  <si>
    <t>v_0Bd8Js6Pf6E</t>
  </si>
  <si>
    <t>Two tam tams are in a living room.</t>
  </si>
  <si>
    <t>Then, A man comes and talks on front the tam tams.</t>
  </si>
  <si>
    <t>After, the man plays the tam tam in a living room.</t>
  </si>
  <si>
    <t>v_G3xayqdY0TY</t>
  </si>
  <si>
    <t>A man on the dock hands a rope to a water skier.</t>
  </si>
  <si>
    <t>A person water skis and does jumps over ramps in the water of a lake.</t>
  </si>
  <si>
    <t>The water skier falls but recovers then lets go of the rope and drifts over to the shoreline.</t>
  </si>
  <si>
    <t>v_2-xMWBQA7iM</t>
  </si>
  <si>
    <t>We see a man walk over and sits on a rowing machine.</t>
  </si>
  <si>
    <t>The man drink from his water.</t>
  </si>
  <si>
    <t>The man rows fast on the machine.</t>
  </si>
  <si>
    <t>We see a title screen.</t>
  </si>
  <si>
    <t>We see the man stop rowing and walks and gets the camera.</t>
  </si>
  <si>
    <t>The man then shows the screen on the rowing machine.</t>
  </si>
  <si>
    <t>The man kisses his fingers and the camera falls to the ground.</t>
  </si>
  <si>
    <t>v_nXVNITiaaTQ</t>
  </si>
  <si>
    <t>A man stands in front of a business logo and discusses.</t>
  </si>
  <si>
    <t>A rider goes around a turn and plants his foot in the dirt to stabilize.</t>
  </si>
  <si>
    <t>The rider accelerates out of a turn on his motorcycle.</t>
  </si>
  <si>
    <t>The rider goes over a jump on his motorcycle.</t>
  </si>
  <si>
    <t>v_YU0DjX7wvRA</t>
  </si>
  <si>
    <t>A cat is sitting on the floor looking up as his owner tried to grab him.</t>
  </si>
  <si>
    <t>The owner picks him up and sits down with him and begins to clip his nails.</t>
  </si>
  <si>
    <t>The cat is moving his head around wagging its tail around but not giving a hard time.</t>
  </si>
  <si>
    <t>The owner then begins to rub its belly and play with it's feet, before putting the cat back on the ground.</t>
  </si>
  <si>
    <t>v_Pi79Fa4YwDk</t>
  </si>
  <si>
    <t>We see men playing a game of cricket.</t>
  </si>
  <si>
    <t>The pitcher throws and men all start running.</t>
  </si>
  <si>
    <t>We see a man laying on the ground, with medics around.</t>
  </si>
  <si>
    <t>We see men walking on the field and A medic puts a ice pack on the man's head.</t>
  </si>
  <si>
    <t>We see in slow motion the collision which hurt the man.</t>
  </si>
  <si>
    <t>v_-YPp9kc3XDs</t>
  </si>
  <si>
    <t>man is sitting in a living room talking to the camera.</t>
  </si>
  <si>
    <t>man starts playing the flute and keep talknig.</t>
  </si>
  <si>
    <t>v_P3oTMGfwOOs</t>
  </si>
  <si>
    <t>Men use ladders to get on the roof to work.</t>
  </si>
  <si>
    <t>The men put a tarp around the house.</t>
  </si>
  <si>
    <t>The men are removing the roof pieces and throwing down onto the tarp.</t>
  </si>
  <si>
    <t>v_YAbfhT3fhac</t>
  </si>
  <si>
    <t>A gymnastic teams practices routines that involve jumping and flipping.</t>
  </si>
  <si>
    <t>They then switch to cheerleading outside.</t>
  </si>
  <si>
    <t>v_swOYvotIM1Y</t>
  </si>
  <si>
    <t>A woman and a man battle each other in a game of arm wrestling.</t>
  </si>
  <si>
    <t>She beats him and showcases her muscles.</t>
  </si>
  <si>
    <t>They do it again, she wins again, and shows off her muscles.</t>
  </si>
  <si>
    <t>v_KV0L45xelkE</t>
  </si>
  <si>
    <t>A female basketball coach is seen instructing a group of girl basketball players who are standing in line on a basketball court.</t>
  </si>
  <si>
    <t>The first girl passes to another coach and then runs to the net and takes a layup.</t>
  </si>
  <si>
    <t>The girls continue to do the drill on the right side.</t>
  </si>
  <si>
    <t>The girls move to the left side and perform the same drill on the left side of the court.</t>
  </si>
  <si>
    <t>v_8miqQQJEsO0</t>
  </si>
  <si>
    <t>woman is standing in a roofed gym lifting weight.</t>
  </si>
  <si>
    <t>coach is standing next to the gril coaching her and helping her.</t>
  </si>
  <si>
    <t>after a few advices the woman lift the weight again.</t>
  </si>
  <si>
    <t>v_wlYxVUJSJVI</t>
  </si>
  <si>
    <t>A group of kids are playing indoor soccer.</t>
  </si>
  <si>
    <t>The boys run, chasing the ball and fighting to get it away from each other.</t>
  </si>
  <si>
    <t>One boy kicks into the opposing team's goal.</t>
  </si>
  <si>
    <t>It is replayed in slow motion.</t>
  </si>
  <si>
    <t>The boys continue playing for the remainder of the game.</t>
  </si>
  <si>
    <t>On the final screen, an older man is shown holding a little boy in his arms.</t>
  </si>
  <si>
    <t>v_9uHffl5yny4</t>
  </si>
  <si>
    <t>A woman talks on a cordless phone while sitting on a throne, and while another woman kneels at her feet and wipes them down with her clothes.</t>
  </si>
  <si>
    <t>A woman in a purple sari kneels at the foot of another woman who is sitting on a gold throne and wearing a gold crown with red feathers in her hair.</t>
  </si>
  <si>
    <t>The woman on the throne sticks her foot out in front of the kneeling woman and the kneeling woman begins to wipe the woman's feet with her sari.</t>
  </si>
  <si>
    <t>The woman on the throne takes a phone call on black cordless phone and begins to talk before the scene finally fades to a blurry image of another woman talking on a phone.</t>
  </si>
  <si>
    <t>v_UpnFBPGFgnw</t>
  </si>
  <si>
    <t>A man is speaking while standing in front of a smart car.</t>
  </si>
  <si>
    <t>He gets in, continuing to talk as he shows the different component of the car, including the trunk.</t>
  </si>
  <si>
    <t>The man returns to the front of the vehicle, finishing with his final words.</t>
  </si>
  <si>
    <t>v_xuEhV19bVRI</t>
  </si>
  <si>
    <t>A compilation of professional wrestler Kevin Owens performing power bombs on many wrestlers, in the beginning of the video he enters the building with a confident look, as he proceeds to get in he performs multiple power bombs.</t>
  </si>
  <si>
    <t>The ending of the video has a subscriber message.</t>
  </si>
  <si>
    <t>v_H-yBxySDyTw</t>
  </si>
  <si>
    <t>A man in a office chair is sitting with some type of pen up.</t>
  </si>
  <si>
    <t>He talks about it for a little while and then put it in his mouth, turns out its an e-pen.</t>
  </si>
  <si>
    <t>It's a new technology that you can smoke like a cigarette.</t>
  </si>
  <si>
    <t>He holds it in his hands like a cigarette and puts it in his mouth and exhales smoke.</t>
  </si>
  <si>
    <t>v_uBkJa679ffE</t>
  </si>
  <si>
    <t>A woman with dark hair and silver framed glasses looks around pensively until her gaze lands on the camera and she feigns surprise at the presence of the camera and begins to talk to the camera.</t>
  </si>
  <si>
    <t>The woman begins to hold a pair of contact lenses and lens solution up to the camera and then proceeds to take the lenses out and talks to the camera alone again.</t>
  </si>
  <si>
    <t>The woman pours solution into her hand and cleans the lens in her hand before plopping two of them in her eyes and exhibiting completely black eyes to the camera while talking.</t>
  </si>
  <si>
    <t>The woman then takes the contact out of her eyes, then puts them back in on the fade out.</t>
  </si>
  <si>
    <t>v_9PuaRdU6ViM</t>
  </si>
  <si>
    <t>Two girls are seen speaking to the camera followed by a person laying fruit out and mixing it into a blender.</t>
  </si>
  <si>
    <t>The girls continue to put the fruit into a blender while taking bites on the side and pushing down further into the blender.</t>
  </si>
  <si>
    <t>v_14X-i7vqXWU</t>
  </si>
  <si>
    <t>A group of cheerleaders are seen yelling together all at once and leads into them performing a routine in front of a large audience.</t>
  </si>
  <si>
    <t>The people continue performing their routine on the mat while performing various flips and tricks and ends with them running off stage while the audience cheers.</t>
  </si>
  <si>
    <t>v_k3yRK68SEDE</t>
  </si>
  <si>
    <t>Two men are sitting at a table.</t>
  </si>
  <si>
    <t>The men engage in a game of arm wrestling.</t>
  </si>
  <si>
    <t>One of them beats the other.</t>
  </si>
  <si>
    <t>v_Rvqu079gCh0</t>
  </si>
  <si>
    <t>We see kids with feet on skateboards.</t>
  </si>
  <si>
    <t>We see the kids riding down the street from a skater pov.</t>
  </si>
  <si>
    <t>A kid crashes and has a hard time recovering.</t>
  </si>
  <si>
    <t>A boy loses his board and has to run after it.</t>
  </si>
  <si>
    <t>We see the person with a selfie stick fall in the grass.</t>
  </si>
  <si>
    <t>v_aEUbl9oT_0s</t>
  </si>
  <si>
    <t>Various shots are shown of athletes holding a pole in their hands and leaning backwards.</t>
  </si>
  <si>
    <t>This leads into several clips of more athletes throwing javelins off into the distance.</t>
  </si>
  <si>
    <t>More and more people are shown throwing javelins.</t>
  </si>
  <si>
    <t>v_kcPbEkv5UXE</t>
  </si>
  <si>
    <t>A girl plays a drum set in a city plaza for passing people.</t>
  </si>
  <si>
    <t>A lady walks up to watch the drummer play.</t>
  </si>
  <si>
    <t>The drummer plays a solo on the cymbal.</t>
  </si>
  <si>
    <t>The drummer ends the song and bows to the audience.</t>
  </si>
  <si>
    <t>v_6GGQUpJR5qs</t>
  </si>
  <si>
    <t>A person is lathering up a dog's fur with an purple shower head attached to a green hose.</t>
  </si>
  <si>
    <t>The dog shakes his fur.</t>
  </si>
  <si>
    <t>The person continues wetting the dog.</t>
  </si>
  <si>
    <t>v_KFk4ZpyYeuE</t>
  </si>
  <si>
    <t>A small child is seen standing on the ground and begins boxing with another.</t>
  </si>
  <si>
    <t>The boy uses boxing gloves to hit a man in front of him also wearing gloves.</t>
  </si>
  <si>
    <t>The two continue to go at it and leave with the man standing up.</t>
  </si>
  <si>
    <t>v_jRj8deMhPrQ</t>
  </si>
  <si>
    <t>A man in a black jacket is standing outside talking.</t>
  </si>
  <si>
    <t>People are skating on an ice rink.</t>
  </si>
  <si>
    <t>A man in a red hat is playing hockey and makes several goals.</t>
  </si>
  <si>
    <t>v_D_xht_r3n54</t>
  </si>
  <si>
    <t>An older man is shown cleaning off a car in front of a home with a snow scraper.</t>
  </si>
  <si>
    <t>The camera pans around the car while the older man continues to push snow off of it.</t>
  </si>
  <si>
    <t>v_mL7Ipu-HJ5M</t>
  </si>
  <si>
    <t>A woman is in a kitchen making a tomato sauce in the kitchen.</t>
  </si>
  <si>
    <t>The woman is showing the camera her plated food.</t>
  </si>
  <si>
    <t>The woman then grabs a green and a box of pasta.</t>
  </si>
  <si>
    <t>The lady then begins to stir the tomato sauce and puts greens into it.</t>
  </si>
  <si>
    <t>Lastly, the lady pours the pasta into the sauce.</t>
  </si>
  <si>
    <t>v_rFXOInUQjKo</t>
  </si>
  <si>
    <t>A window cleaner in sneakers and a beanie is hanging up and cleaning a window with a towel, with other cleaners behind him hard at work.</t>
  </si>
  <si>
    <t>He lowers himself down to another section of the window and wipes it with a blade.</t>
  </si>
  <si>
    <t>The camera person pans around the environment.</t>
  </si>
  <si>
    <t>v_wibcfckhRyU</t>
  </si>
  <si>
    <t>We see small boys playing tug of war in a field.</t>
  </si>
  <si>
    <t>A man in black walks past the kids.</t>
  </si>
  <si>
    <t>The kid in the white shirt lets go of the rope and puts his hands in the air.</t>
  </si>
  <si>
    <t>A lady walks up and talks to the kids.</t>
  </si>
  <si>
    <t>v_VTtRk9vvZoY</t>
  </si>
  <si>
    <t>A stack of sticks are shown in a pile followed by a person speaking and holding up an object.</t>
  </si>
  <si>
    <t>A person's hands are then seen lighting a match into the pile and creating a fire when he shows his face once more in the end.</t>
  </si>
  <si>
    <t>v_htfrXrKUIzg</t>
  </si>
  <si>
    <t>A man is seen standing behind a large animal holding a razor and speaking to the camera.</t>
  </si>
  <si>
    <t>The man then shaves all around the dog while stopping to speak to the camera and pet the dog.</t>
  </si>
  <si>
    <t>v_9khzc3a4zz0</t>
  </si>
  <si>
    <t>A woman is doing tricks with her jump rope.</t>
  </si>
  <si>
    <t>She does a hand stand while jump roping.</t>
  </si>
  <si>
    <t>She does a front flip while jump roping.</t>
  </si>
  <si>
    <t>She stops and walks forward.</t>
  </si>
  <si>
    <t>v_vnlxIMiHKRQ</t>
  </si>
  <si>
    <t>People are loading inflated tires into the body of water.</t>
  </si>
  <si>
    <t>People are floating on inflated tires.</t>
  </si>
  <si>
    <t>People are spraying elongated water guns.</t>
  </si>
  <si>
    <t>People are paddling canoes down the body of water.</t>
  </si>
  <si>
    <t>A guy present his can of beer.</t>
  </si>
  <si>
    <t>The speed of the video is accelerated.</t>
  </si>
  <si>
    <t>v_YDwHdB6MBrE</t>
  </si>
  <si>
    <t>Kids are playing lacrosse on a field.</t>
  </si>
  <si>
    <t>A woman in a blue jacket is standing on the field watching them.</t>
  </si>
  <si>
    <t>The kids are chasing around a yellow ball.</t>
  </si>
  <si>
    <t>v_EpLRCz5dwb0</t>
  </si>
  <si>
    <t>A woman starts running down a track.</t>
  </si>
  <si>
    <t>She throws a javelin onto the field.</t>
  </si>
  <si>
    <t>She gives someone behind her a high five.</t>
  </si>
  <si>
    <t>v_Rx9SIyFMfcY</t>
  </si>
  <si>
    <t>These people are shown exercising on the exercise bikes.</t>
  </si>
  <si>
    <t>These people are pedaling using only one leg and they're standing in the middle of the bike with the other one holding their hands up.</t>
  </si>
  <si>
    <t>Next they do a different exercise where they put one foot on the pedal, while they have one foot out and they bounce up and down.</t>
  </si>
  <si>
    <t>v_V-kMGMX-l2g</t>
  </si>
  <si>
    <t>A woman stands on front a young lady and talks.</t>
  </si>
  <si>
    <t>Then, the woman and the young lady perform fitness exercise while the woman talks.</t>
  </si>
  <si>
    <t>After, the woman and the young lady stop exercising, and the woman talks while making gestures with her hands.</t>
  </si>
  <si>
    <t>v_LVG7DLzI-GM</t>
  </si>
  <si>
    <t>A lady that works at a casino shows you how to play black jack.</t>
  </si>
  <si>
    <t>the lady deals out two card each 5 times and deals her self one card.</t>
  </si>
  <si>
    <t>the lady then explains what you are allowed to do with the cards that you where dealt with,she also deals out two more cards one each deck.</t>
  </si>
  <si>
    <t>finally she deals out two more cards to her self and shows the outcome from adding chips to the areas she dealt the card from the start.</t>
  </si>
  <si>
    <t>the lady then scoops up all the cards on the table and the round is over.</t>
  </si>
  <si>
    <t>v_oq54_GlzK6A</t>
  </si>
  <si>
    <t>The first clip of the video shows the title sequence.</t>
  </si>
  <si>
    <t>A man is then shown in a bowling store speaking to the camera.</t>
  </si>
  <si>
    <t>Another title slide introduces the next clip.</t>
  </si>
  <si>
    <t>As the man speaks to the camera, several clips are shown of a man rolling a bowling ball down the lane.</t>
  </si>
  <si>
    <t>The video ends with a clip showing the title logo and website information.</t>
  </si>
  <si>
    <t>v_M-PQajs86Bo</t>
  </si>
  <si>
    <t>A man pushes a child on the swing set of a large park area.</t>
  </si>
  <si>
    <t>The man holds the swing and brings the child to a stop.</t>
  </si>
  <si>
    <t>The man pushes the swing to get the child started again.</t>
  </si>
  <si>
    <t>v_MZ4yIxM6snw</t>
  </si>
  <si>
    <t>A man in a yellow construction top is inside painting the wall beige.</t>
  </si>
  <si>
    <t>He goes from the bottom up and grabs more paint on his tool.</t>
  </si>
  <si>
    <t>He is making progress across the wall pretty quickly the way he is doing it.</t>
  </si>
  <si>
    <t>He makes it half way across the wall but the bottom of the wall is still white.</t>
  </si>
  <si>
    <t>v_QvBG_Da97h8</t>
  </si>
  <si>
    <t>A graphic introduces the hand car wash video.</t>
  </si>
  <si>
    <t>The car is washed first gently with soap.</t>
  </si>
  <si>
    <t>Next, the tires are soaped and washed thoroughly.</t>
  </si>
  <si>
    <t>After that, the car's engine is steam cleaned.</t>
  </si>
  <si>
    <t>A final spot free rinse is applied and the car is dried.</t>
  </si>
  <si>
    <t>v_46D3Yvu-BL8</t>
  </si>
  <si>
    <t>A man is seen standing inside a large room and begins hitting a ball against a wall with a tennis racket.</t>
  </si>
  <si>
    <t>More shots of him hitting the ball are shown in the room and the ball rolls back to him in the end.</t>
  </si>
  <si>
    <t>v_NVeTGvwk8y0</t>
  </si>
  <si>
    <t>A glass of tequila sunrise is shown.</t>
  </si>
  <si>
    <t>A man is talking in front of a display of alcoholic drinks.</t>
  </si>
  <si>
    <t>He places the ingredients of alcohol and juice on a table, added the ingredients, as well as grenadine to a tall glass with ice.</t>
  </si>
  <si>
    <t>He displays the beautiful drink on the table.</t>
  </si>
  <si>
    <t>v_2vOBrR0jKgY</t>
  </si>
  <si>
    <t>A boy is talking in front of a camera in his room.</t>
  </si>
  <si>
    <t>He smokes a cigarette, then blows the smoke from his mouth.</t>
  </si>
  <si>
    <t>He begins making rings as he blows the smoke.</t>
  </si>
  <si>
    <t>v_yjUMopRteDc</t>
  </si>
  <si>
    <t>A woman is seated as a person with gloved hands inserts a hole into her tongue.</t>
  </si>
  <si>
    <t>The person clamps her tongue, then inserts a piercing.</t>
  </si>
  <si>
    <t>She is then shown smiling and showing off her stud.</t>
  </si>
  <si>
    <t>v_NQ51aXtD6Q0</t>
  </si>
  <si>
    <t>Several wrestlers are shown lined up in a game with a person choosing his characters.</t>
  </si>
  <si>
    <t>The game loads into people wrestling with one another in a ring.</t>
  </si>
  <si>
    <t>The men continue wrestling in the game and end by looking down at a player.</t>
  </si>
  <si>
    <t>v_EZZMYzY6Pug</t>
  </si>
  <si>
    <t>There's a man demonstrating how to melt wax and coat surfaces with wax using an iron.</t>
  </si>
  <si>
    <t>He melts a piece of wax against the heated surface of the iron.</t>
  </si>
  <si>
    <t>Then he smears the wax and coats on a surface.</t>
  </si>
  <si>
    <t>After the wax cools and solidifies, he scrapes it off the surface.</t>
  </si>
  <si>
    <t>v_IJER0EpbxW4</t>
  </si>
  <si>
    <t>A group of men are running across a gym.</t>
  </si>
  <si>
    <t>They run out into a ring together.</t>
  </si>
  <si>
    <t>They then engage in a wrestling match.</t>
  </si>
  <si>
    <t>v_RQajzyqAcQM</t>
  </si>
  <si>
    <t>A boy talks to the camera at a beach.</t>
  </si>
  <si>
    <t>A man walks from right to left in the background.</t>
  </si>
  <si>
    <t>The boy interacts with a man in front of a sand castle.</t>
  </si>
  <si>
    <t>A woman walks from right to left in the background.</t>
  </si>
  <si>
    <t>Several still images of the boy and the man, sometimes with other people, are shown in front of he sand castle at various stages of completion.</t>
  </si>
  <si>
    <t>The boy, now with two smaller children, interact with the man who is still working on the sand castle.</t>
  </si>
  <si>
    <t>More still images of various groups of people beside the sand castle are shown.</t>
  </si>
  <si>
    <t>v_TUhitcbJ5C4</t>
  </si>
  <si>
    <t>We see kids washing their hands in a class room at kid height sinks.</t>
  </si>
  <si>
    <t>We watch the boy try and get soap.</t>
  </si>
  <si>
    <t>The boy uses the soap dispenser again.</t>
  </si>
  <si>
    <t>The boy looks at the camera and talks.</t>
  </si>
  <si>
    <t>An adult grabs his hand when he attempts to get more soap.</t>
  </si>
  <si>
    <t>v_ZPLbrQ391jg</t>
  </si>
  <si>
    <t>An intro leads into several shots of a bike track as well as people moving along the track to race.</t>
  </si>
  <si>
    <t>The camera continues to capture the people riding around the track in slow motion with one person falling and several watching on the sides.</t>
  </si>
  <si>
    <t>The people then ride through the finish line an throw their arms up into the air.</t>
  </si>
  <si>
    <t>v_sFMa1EP7d2M</t>
  </si>
  <si>
    <t>A bicycle flipped upside down is up against the wall as an orange change is shown.</t>
  </si>
  <si>
    <t>A person then comes and removes the chain from the bike and places it on the ground.</t>
  </si>
  <si>
    <t>The man then takes out a yardstick and begins to measure certain parts of the bike.</t>
  </si>
  <si>
    <t>Pieces are then removed and tightened with the wrench and rings are placed inside by where the chain goes.</t>
  </si>
  <si>
    <t>v_uO9qoK8zGQc</t>
  </si>
  <si>
    <t>A man is doing Tai Chi moves on a beach alone in front of the sun.</t>
  </si>
  <si>
    <t>A group of people all dressed in white joins the man on the beach and does the martial arts moves.</t>
  </si>
  <si>
    <t>The man is alone again doing the moves.</t>
  </si>
  <si>
    <t>The people are with the man doing Tai Chi back on the beach.</t>
  </si>
  <si>
    <t>The man is alone on a hill doing the moves.</t>
  </si>
  <si>
    <t>The man is back on the beach doing the moves as the sun begins to set.</t>
  </si>
  <si>
    <t>The people are doing the moves with him on the beach.</t>
  </si>
  <si>
    <t>Words come across the screen.</t>
  </si>
  <si>
    <t>v_iF9jetQ7OTE</t>
  </si>
  <si>
    <t>A boy in a hat is talking.</t>
  </si>
  <si>
    <t>He smokes something and blows the smoke into the air.</t>
  </si>
  <si>
    <t>He continues talking to the camera.</t>
  </si>
  <si>
    <t>He smokes from the pipe again and blows the smoke out a few more times.</t>
  </si>
  <si>
    <t>v_XPcBV3UatRI</t>
  </si>
  <si>
    <t>A toddler iron a garment on a toy board.</t>
  </si>
  <si>
    <t>The toddler sprays the garment and folds, then she continues ironing it.</t>
  </si>
  <si>
    <t>Then, the toddler fold again the garment and iron it.</t>
  </si>
  <si>
    <t>v_Igm1Mx4Ng1k</t>
  </si>
  <si>
    <t>A person is seen wearing gear and wandering around a grassy area.</t>
  </si>
  <si>
    <t>The man uses a tool to cut along the grass.</t>
  </si>
  <si>
    <t>He continues moving along the grass and showing off the tool in the end.</t>
  </si>
  <si>
    <t>v_s5oN3d77e50</t>
  </si>
  <si>
    <t>A person is riding a dirt bike over a hill.</t>
  </si>
  <si>
    <t>Someone stands on top of a dirt hill.</t>
  </si>
  <si>
    <t>People are standing on the side of the hill.</t>
  </si>
  <si>
    <t>v_ZbS9R9faBQk</t>
  </si>
  <si>
    <t>A man is stirring a pot on a stove.</t>
  </si>
  <si>
    <t>A plate is brought over to the stove.</t>
  </si>
  <si>
    <t>He dishes out what was in the pan onto the plate.</t>
  </si>
  <si>
    <t>v_njPRhj-YgE0</t>
  </si>
  <si>
    <t>Many different women wearing many different shoes are walking a dog on the sidewalk, one wearing wedges walks up some stairs.</t>
  </si>
  <si>
    <t>A man begins to talk about what seems like a dog stylist parlor.</t>
  </si>
  <si>
    <t>There are many dogs being groomed and getting cute fancy hair cuts.</t>
  </si>
  <si>
    <t>One of them is wagging it's tails very excited enjoying the situation.</t>
  </si>
  <si>
    <t>v_NhM6jEV08s4</t>
  </si>
  <si>
    <t>Outside a lumbar jack is standing with an axe, he is dressed up in a coat to stay warm.</t>
  </si>
  <si>
    <t>There are plenty of logs piled up to the side of him.</t>
  </si>
  <si>
    <t>All cut and collected most likely by him for fires to keep the house warm during winter nights.</t>
  </si>
  <si>
    <t>He takes his axe and hits the branch with it.</t>
  </si>
  <si>
    <t>v_KnHUAc20WEU</t>
  </si>
  <si>
    <t>A large arena is shown with a large screen showing the athletes in the field.</t>
  </si>
  <si>
    <t>A man is then shown in a cage spinning around throwing a shot put that people begin to measure.</t>
  </si>
  <si>
    <t>Another man approaches the circle,repeats the action and begins to jump up in glee.</t>
  </si>
  <si>
    <t>More men approach the stand and it continues on until they have completed each of their turns then they turn to the audience and wave.</t>
  </si>
  <si>
    <t>v_wCG7f6naJsQ</t>
  </si>
  <si>
    <t>There's a man working a bicycle wheel with various tools.</t>
  </si>
  <si>
    <t>He starts off by turning the axle of the wheel with a pair of tongs to position the axle in the center.</t>
  </si>
  <si>
    <t>Then he fixes the center nut and uses a wrench to loosen it.</t>
  </si>
  <si>
    <t>Then he uses his hands to remove the axle out.</t>
  </si>
  <si>
    <t>He uses another tool to unscrew a washer out of the axle.</t>
  </si>
  <si>
    <t>Then he uses a tool with a magnetic end to remove tiny metal particles out of the axle.</t>
  </si>
  <si>
    <t>After that he cleans the inside rim of the greasy axle with his finger.</t>
  </si>
  <si>
    <t>Then he takes the washer and cleans it further to fix it back into the axle.</t>
  </si>
  <si>
    <t>v__hzMRy2_q4g</t>
  </si>
  <si>
    <t>A close up of fruit is seen sitting on a plate when a person's hand places them into a container.</t>
  </si>
  <si>
    <t>The person then pushes the fruit around the bowl with a spoon over and over again.</t>
  </si>
  <si>
    <t>The person drops the spoon in the mixture and ends with text across the screen.</t>
  </si>
  <si>
    <t>v_sHxzQu_4edY</t>
  </si>
  <si>
    <t>A woman is shown in a yard, talking to the camera.</t>
  </si>
  <si>
    <t>She is then on horseback, and a woman is shown in several scenes talking about technique.</t>
  </si>
  <si>
    <t>The girl rides the horse alone, then with other people down trails.</t>
  </si>
  <si>
    <t>v_MOOeHWuuxlo</t>
  </si>
  <si>
    <t>There's a man in a gym using an elliptical machine.</t>
  </si>
  <si>
    <t>He is wearing a pair of black track pants, black shirt and a cap.</t>
  </si>
  <si>
    <t>He demonstrates how to use the elliptical correctly to maintain a consistent speed.</t>
  </si>
  <si>
    <t>v_xW1M8k9A-gk</t>
  </si>
  <si>
    <t>A spoon is seen spinning around various foods and liquids and leads into a hand cutting up vegetables on a cutting board.</t>
  </si>
  <si>
    <t>A baby is seen watching from behind and the camera zooms in on various websites and foods present.</t>
  </si>
  <si>
    <t>Pasta is seen sitting in a pot and the person uses a spoon to spin it around.</t>
  </si>
  <si>
    <t>They pour ingredients into a pot to bowl and add more vegetables, ending with all the ingredients put together on a plate to present.</t>
  </si>
  <si>
    <t>v_RgaFRpTYYR4</t>
  </si>
  <si>
    <t>A close up of a man is seen holding an accordion and sitting in front of a camera.</t>
  </si>
  <si>
    <t>The man begins playing the instrument while looking to the camera.</t>
  </si>
  <si>
    <t>He pauses to speak for a moment then continues on playing.</t>
  </si>
  <si>
    <t>v_oOu5vC3EB5E</t>
  </si>
  <si>
    <t>A man wearing a yellow shirt and a man wearing a black shirt play racket ball.</t>
  </si>
  <si>
    <t>The man in black serves the ball.</t>
  </si>
  <si>
    <t>The man in yellow serves the ball.</t>
  </si>
  <si>
    <t>The man in yellow serves the ball again.</t>
  </si>
  <si>
    <t>The man in yellow plays alone while the man in black stands by.</t>
  </si>
  <si>
    <t>A hand covers the camera lens.</t>
  </si>
  <si>
    <t>v_8J_bB1vI0uE</t>
  </si>
  <si>
    <t>A man stands atop a rock formation.</t>
  </si>
  <si>
    <t>Several scenes of individuals rock climbing are shown from various angles and settings, interspersed with brief closeup shots of the climbers.</t>
  </si>
  <si>
    <t>Several credits are shown on a black screen.</t>
  </si>
  <si>
    <t>v_j_e8c6tOQG8</t>
  </si>
  <si>
    <t>Water is rushing between rocks in a river.</t>
  </si>
  <si>
    <t>Rafters appear, paddling through the rushing currents.</t>
  </si>
  <si>
    <t>The rafter continues as he navigates the river.</t>
  </si>
  <si>
    <t>v_e1TfVkNgitY</t>
  </si>
  <si>
    <t>A blue logo appears across the screen with white words in it.</t>
  </si>
  <si>
    <t>A young male gymnast is then shown in a room in front of a balance beam.</t>
  </si>
  <si>
    <t>The gymnast then begins using his hands to describe the motions he is about to do.</t>
  </si>
  <si>
    <t>After,the male grabs the two bars and pulls himself up and holds his body up before going into a hand stand,he comes down,and does another one.</t>
  </si>
  <si>
    <t>The gymnast does several more tricks and then does a flip off of the bars.</t>
  </si>
  <si>
    <t>v_7Ql7Hw6c1-o</t>
  </si>
  <si>
    <t>A woman dressed in a blue shirt and black apron begins talking behind the table.</t>
  </si>
  <si>
    <t>On the table,she has five different kinds of paint, brushes and other supplies needed to complete the task.</t>
  </si>
  <si>
    <t>She then begins talking as she leans on a wooden table stand next to her.</t>
  </si>
  <si>
    <t>The lady begins by taking a screwdriver and removing the knob from the drawer and wiping it down with a wet cloth.</t>
  </si>
  <si>
    <t>Next comes the brown paint as she begins putting various strokes on it to finish it.</t>
  </si>
  <si>
    <t>The stand is done but then goes back and starts add a finish on it.</t>
  </si>
  <si>
    <t>v_ImXRDdhcCgs</t>
  </si>
  <si>
    <t>We see logs in a pile in the woods.</t>
  </si>
  <si>
    <t>A man in a cowboy hat walks up and grabs an ax.</t>
  </si>
  <si>
    <t>The man then goes around hitting the logs with the ax and splitting them in two hits.</t>
  </si>
  <si>
    <t>The man drops the ax and turns off the camera.</t>
  </si>
  <si>
    <t>v_2gc7pCOg-NE</t>
  </si>
  <si>
    <t>A person is walking around a tennis court.</t>
  </si>
  <si>
    <t>Another man appears swinging around a tennis racket.</t>
  </si>
  <si>
    <t>He bounces a tennis ball on the floor while the other man walks into frame.</t>
  </si>
  <si>
    <t>They talk for a bit while walking around and preparing to play.</t>
  </si>
  <si>
    <t>The man run back and fourth and hit the ball off the wall to each other.</t>
  </si>
  <si>
    <t>v_ILARi15rMWI</t>
  </si>
  <si>
    <t>There's a man on stilts jumping and doing stunts in an indoor gym.</t>
  </si>
  <si>
    <t>There are several spectators and judges watching him perform.</t>
  </si>
  <si>
    <t>After the man finishes his stunts, he gets off the stilts and the judges write down the scores.</t>
  </si>
  <si>
    <t>v_RgWvaKWa7YU</t>
  </si>
  <si>
    <t>A band plays drums in a circle around a lead drummer.</t>
  </si>
  <si>
    <t>The female drummers spinner their sticks while playing.</t>
  </si>
  <si>
    <t>The drummers hold up their sticks after completing the song.</t>
  </si>
  <si>
    <t>v_axoyB4pypWY</t>
  </si>
  <si>
    <t>A couple of cages are on the ground.</t>
  </si>
  <si>
    <t>There are dogs sleeping in each cage.</t>
  </si>
  <si>
    <t>A man is shown on a field performing tricks with a dog and a bunch of frisbees.</t>
  </si>
  <si>
    <t>The dog catches, flips, and chases the frisbees.</t>
  </si>
  <si>
    <t>v_N1-TZnH0jy4</t>
  </si>
  <si>
    <t>There's a little baby wearing a purple bib seated on a high chair holding and sucking on a Popsicle.</t>
  </si>
  <si>
    <t>The baby licks the Popsicle several times and then throws it down.</t>
  </si>
  <si>
    <t>v_xx5TLuZmjcE</t>
  </si>
  <si>
    <t>woman wearing black clothes is playing squash in a small wooden room.</t>
  </si>
  <si>
    <t>man with a stripped shirt is standing in a court room playing squash.</t>
  </si>
  <si>
    <t>a man and a woman are standing ni a wooden court playing squash.</t>
  </si>
  <si>
    <t>v_CwvtmoTWNgQ</t>
  </si>
  <si>
    <t>A windsurfer rides along choppy water across a canal with other riders in the background.</t>
  </si>
  <si>
    <t>The makes a turn of direction on his windsurfing board and pumps back and forth to maneuver it.</t>
  </si>
  <si>
    <t>A group of windsurfers ride together around a small dingy boat.</t>
  </si>
  <si>
    <t>v_gwbRqyRZguM</t>
  </si>
  <si>
    <t>A group of children are swinging together on a piece of equipment.</t>
  </si>
  <si>
    <t>They are shown in groups, swinging back and forth on the platform.</t>
  </si>
  <si>
    <t>They are located in an outdoor park.</t>
  </si>
  <si>
    <t>v_oOURAJ7nraU</t>
  </si>
  <si>
    <t>A male athlete is standing outside on a field stretching preparing himself to run.</t>
  </si>
  <si>
    <t>After he is ready,the man takes off running and does several long jumps into the pit.</t>
  </si>
  <si>
    <t>As he ends his last jump,two people come to the pit and start to measure the distance.</t>
  </si>
  <si>
    <t>v_Mv2L6HxB2dk</t>
  </si>
  <si>
    <t>There are several people skating on the main road in the downtown area of a city at night.</t>
  </si>
  <si>
    <t>The street is lit up with street lights and stores along the sidewalk.</t>
  </si>
  <si>
    <t>The people skate through the road where there are no cars driving.</t>
  </si>
  <si>
    <t>v_BJGACTBaU_Y</t>
  </si>
  <si>
    <t>A man is seen walking closer to a pinata while a large group of people stand around him.</t>
  </si>
  <si>
    <t>The man misses the pinata and hits a person behind him, shown again in slow motion.</t>
  </si>
  <si>
    <t>v_ZOczr9WCVig</t>
  </si>
  <si>
    <t>There are many different tiles being shown and there is wooden floors being shown.</t>
  </si>
  <si>
    <t>First the man removes the baseboard, then he gets a drill and puts screws in the floor.</t>
  </si>
  <si>
    <t>Then he draws lines to put tiles on the floor.</t>
  </si>
  <si>
    <t>I then see him with a machine that cuts tiles in half and he puts half of a tile on the floor.</t>
  </si>
  <si>
    <t>Then he smears cement onto the floor and lies the tiles on top of it.</t>
  </si>
  <si>
    <t>He hammers the tiles a little to make them lie flat.</t>
  </si>
  <si>
    <t>Then floor is now finished and he wipes the tiles off making them shiny.</t>
  </si>
  <si>
    <t>v_ZnoSOqba2HM</t>
  </si>
  <si>
    <t>A baby is standing on the carpet.</t>
  </si>
  <si>
    <t>A person brushes the child's teeth with a blue toothbrush.</t>
  </si>
  <si>
    <t>The child reaches for the camera.</t>
  </si>
  <si>
    <t>v_q4M7SsGjFro</t>
  </si>
  <si>
    <t>We see a girl performing with batons.</t>
  </si>
  <si>
    <t>The girl throws her leg in the air and spins.</t>
  </si>
  <si>
    <t>The girl does a cartwheel.</t>
  </si>
  <si>
    <t>The girl kneels down and picks up a baton.</t>
  </si>
  <si>
    <t>The girls finishes and throws her arms in the air.</t>
  </si>
  <si>
    <t>The girl walks over and hugs her dad.</t>
  </si>
  <si>
    <t>v_um2h6O3zjGM</t>
  </si>
  <si>
    <t>A man is watching a game eating an ice cream cone.</t>
  </si>
  <si>
    <t>People are sitting behind a desk laughing.</t>
  </si>
  <si>
    <t>v_lGPUCwHjiK0</t>
  </si>
  <si>
    <t>A man is preparing to run and jump.</t>
  </si>
  <si>
    <t>He runs very quickly down the track.</t>
  </si>
  <si>
    <t>He takes a flying jump over the high bar onto a mat.</t>
  </si>
  <si>
    <t>v_-qtdjw3MYcY</t>
  </si>
  <si>
    <t>A girl is sitting down in a chair.</t>
  </si>
  <si>
    <t>Another person is standing behind her.</t>
  </si>
  <si>
    <t>The woman behind her begins braiding her hair.</t>
  </si>
  <si>
    <t>v_Pd9qzQ2MOE8</t>
  </si>
  <si>
    <t>Two men are seen kneeling and sitting before a wall with one speaking to the camera and beginning to lay metal down on the side.</t>
  </si>
  <si>
    <t>The two line it up as well as drill the metal into place while continuing to drill down more while the man speaks to the camera and shows more shots of his crew working in the end.</t>
  </si>
  <si>
    <t>v_2jpnkf-xgf0</t>
  </si>
  <si>
    <t>A woman bakes cookies on a silicone mat.</t>
  </si>
  <si>
    <t>The ingredients are prepared and cookies are cut.</t>
  </si>
  <si>
    <t>v_KmJFUfqGKZA</t>
  </si>
  <si>
    <t>An underwater coral reef is shown.</t>
  </si>
  <si>
    <t>The scuba diver rides a horse and then looks at rays.</t>
  </si>
  <si>
    <t>v_dffUIntKlGI</t>
  </si>
  <si>
    <t>A young child is seen running up and down a bricked area while standing in front of a hop scotch game drawn out.</t>
  </si>
  <si>
    <t>The girl then hops along the chalk while looking at the camera and holding her hair out of her face.</t>
  </si>
  <si>
    <t>In the end she gives the person holding the camera a high give.</t>
  </si>
  <si>
    <t>v_c9A384zijnk</t>
  </si>
  <si>
    <t>Various clips are shown of food close up as well as people speaking to the camera.</t>
  </si>
  <si>
    <t>Shots are shown of the outside of a restaurant as well as chefs cooking the food and people eating the food.</t>
  </si>
  <si>
    <t>v_8Tyu4-JnfDc</t>
  </si>
  <si>
    <t>A white screen appears with a green logo and green and gray words appear and it says "howdini get yourself a guru".</t>
  </si>
  <si>
    <t>A brunette woman standing in a kitchen is talking and the words on the screen say "Howdini Guru Cricket Azima Chef and Author", then a green screen appears quickly and it say's "Cookie Exchange Recipes", and goes back to the woman talking.</t>
  </si>
  <si>
    <t>Cookies on a plate are shown and the words on the screen say they are "Peanut Butter Blossoms", and begins to show the woman pouring all the ingredients into a bowl to make them, rolling them in sugar, putting them on a tray for baking, and then showing the final product when they're done baking and the website to go to to see the full recipe.</t>
  </si>
  <si>
    <t>The woman is talking again and the next cookie she is shown making is called "cookie snowballs" and it shows all the ingredients needed, a list on how long to cook it for, and she's demonstrating step by step until it's all baked and on a plate next to the other cookies.</t>
  </si>
  <si>
    <t>The video ends with more pictures of other cookies she wasn't shown making, then to a green screen that has white words that include a message to go to their website if you want to see more videos of their cookie recipes.</t>
  </si>
  <si>
    <t>v_F_uouNToDWo</t>
  </si>
  <si>
    <t>A lady on a rowing machine in a gym sits still.</t>
  </si>
  <si>
    <t>The lady leans forward and works out slowly on the machine.</t>
  </si>
  <si>
    <t>The lady starts to row a little faster and the screen fades to black.</t>
  </si>
  <si>
    <t>v_D4zZErqkD6A</t>
  </si>
  <si>
    <t>Two dancers are seen holding a pose in the middle of a large gymnasium and begin performing a routine using batons.</t>
  </si>
  <si>
    <t>The girls continue dancing and spinning around with the sticks and end by holding a pose.</t>
  </si>
  <si>
    <t>v_Th0SMArnWiY</t>
  </si>
  <si>
    <t>We see BMX racers on the field and in various locations and riding their bikes.</t>
  </si>
  <si>
    <t>Two men fall off their bikes.</t>
  </si>
  <si>
    <t>We see the races start high on a platform.</t>
  </si>
  <si>
    <t>A man holds a surfboard and a man carries a bike up steps.</t>
  </si>
  <si>
    <t>We see a laughing man holding a surfboard.</t>
  </si>
  <si>
    <t>A lady throws a hand sign to the camera.</t>
  </si>
  <si>
    <t>We see aerial shots of the fields.</t>
  </si>
  <si>
    <t>A man takes a photo and a man holds a New Zeland flag.</t>
  </si>
  <si>
    <t>A man fall off his bike hard.</t>
  </si>
  <si>
    <t>The video fades to black.</t>
  </si>
  <si>
    <t>v_YCrSiqY-TVw</t>
  </si>
  <si>
    <t>Various clips are shown of the inside and outside of an arena as well as the camera panning out from the ice and two people speaking to one another.</t>
  </si>
  <si>
    <t>Several shots are then shown of people curling and close ups of the pucks.</t>
  </si>
  <si>
    <t>More clips are shown of people playing the game as well as team mates watching.</t>
  </si>
  <si>
    <t>v_MldEr60j33M</t>
  </si>
  <si>
    <t>A man in a white shirt bends over and picks up a large weight.</t>
  </si>
  <si>
    <t>He lifts the weight up to his shoulders.</t>
  </si>
  <si>
    <t>He bends down and lifts the weight over his head.</t>
  </si>
  <si>
    <t>v_LtQTtCplKz0</t>
  </si>
  <si>
    <t>A man by the name of ALEX AL-AMEEN is smiling and talking and the words below his name say that he has been "SELECTED FOR COMMONWEALTH GAMES 2014 110 METRE HURDLES".</t>
  </si>
  <si>
    <t>A man is then shown on the track sitting on the ground prepping his feet for his shoes as he wraps tape around his foot.</t>
  </si>
  <si>
    <t>Three men are now walking to a track where various people are running and taking turns doing hop, skip and jumps.</t>
  </si>
  <si>
    <t>A man briefly stops and talks to the camera while he appears a little out of breath.</t>
  </si>
  <si>
    <t>Another man is now kneeling and applying tape next to the sandy area of the jump while he talks.</t>
  </si>
  <si>
    <t>The man is now standing at a bar bell with very heavy weights and he slowly starts to lift it, then drops it.</t>
  </si>
  <si>
    <t>A woman is now holding dumbbells while she steps on some stairs, and the man is show again but this time he's pulling on an exercise equipment.</t>
  </si>
  <si>
    <t>The white outro screen appears with their logo and the words saying to subscribe to their youtube channel.</t>
  </si>
  <si>
    <t>v_eudqfH7Vz_c</t>
  </si>
  <si>
    <t>Three boys play a game of croquet on a large green lawn with croquet mallets and croquet balls.</t>
  </si>
  <si>
    <t>The boy sit on a bench outside with a bag of croquet mallets and balls and talk to each other.</t>
  </si>
  <si>
    <t>The boys then enter the field and hurt themselves trying to untangle the croquet tools.</t>
  </si>
  <si>
    <t>The boys then start to play, talking to each other through it and end up chasing each other through the field and tackling each other on the ground.</t>
  </si>
  <si>
    <t>The boys finally look at a cell phone together from the field and then layer their croquet mallets on top of one another in a seeming attempt to get the balls through the croquet goal by guiding them through the holes in the layered mallets.</t>
  </si>
  <si>
    <t>v_yOFIXQCbSqc</t>
  </si>
  <si>
    <t>A large group of people are seen swimming around a pool with a man talking on the side.</t>
  </si>
  <si>
    <t>The group begin throwing the ball around while swimming around each other.</t>
  </si>
  <si>
    <t>The group continues swimming and playing ball with each other.</t>
  </si>
  <si>
    <t>v_jqRJM8b4pgE</t>
  </si>
  <si>
    <t>A man is sitting at a booth surrounded by pipes, talking and gesturing.</t>
  </si>
  <si>
    <t>The man holds up one end of the pipe.</t>
  </si>
  <si>
    <t>The man demonstrates how to smoke using the pipe, as he blows ringed smoke out of his mouth.</t>
  </si>
  <si>
    <t>He continues to talk and gesture.</t>
  </si>
  <si>
    <t>v_hg-wVv7XSFo</t>
  </si>
  <si>
    <t>picture of supplies that are needed to do hairstyle .</t>
  </si>
  <si>
    <t>Separate hair into two parts down the middle.</t>
  </si>
  <si>
    <t>French braiding hair from left to right all the way to the end.</t>
  </si>
  <si>
    <t>French braiding hair from the back going right to left all the way to the end.</t>
  </si>
  <si>
    <t>Connect the braids together using a bobby pin.</t>
  </si>
  <si>
    <t>Separate the braids all over to make braids look fuller to form a crown.</t>
  </si>
  <si>
    <t>v_DF9CGVGiKXY</t>
  </si>
  <si>
    <t>Five people are jump roping on a blue mat.</t>
  </si>
  <si>
    <t>They do flips and tricks while jump roping.</t>
  </si>
  <si>
    <t>They finish and hug each other before walking off.</t>
  </si>
  <si>
    <t>v_1fmaEo3wzxg</t>
  </si>
  <si>
    <t>A lady sits in a tattoo chair talking.</t>
  </si>
  <si>
    <t>The lady has a tattoo added to her back.</t>
  </si>
  <si>
    <t>The other lady sits in the chair.</t>
  </si>
  <si>
    <t>The second lady is being tattooed.</t>
  </si>
  <si>
    <t>We see the finished tattoos.</t>
  </si>
  <si>
    <t>v_pQQb2FP1ewE</t>
  </si>
  <si>
    <t>Two men push a small private helicopter out of its shed.</t>
  </si>
  <si>
    <t>They land on a beach, then fly it over the clear ocean water.</t>
  </si>
  <si>
    <t>They skydive, opening their parachutes as they get closer to the water.</t>
  </si>
  <si>
    <t>They then scuba dive to the bottom and put on scuba gear to explore the ocean floor.</t>
  </si>
  <si>
    <t>v_lKCDcLEby-Y</t>
  </si>
  <si>
    <t>A large group of people are seen standing around an area and lead into people playing tug of war.</t>
  </si>
  <si>
    <t>People in costume cheer them on as they continue to play as well as showing people dancing in the city.</t>
  </si>
  <si>
    <t>More pictures are shown of the event as well as people speaking to one another.</t>
  </si>
  <si>
    <t>v_6VD_qwIgTzU</t>
  </si>
  <si>
    <t>A tattoo artist is seen tattooing a girls foot and leads into a man speaking to the camera.</t>
  </si>
  <si>
    <t>The man continues speaking to the camera as well as pointing and looking away.</t>
  </si>
  <si>
    <t>v_vB00ah6E5E4</t>
  </si>
  <si>
    <t>A young boy plays the violin.</t>
  </si>
  <si>
    <t>He stops playing the violin.</t>
  </si>
  <si>
    <t>v_ElXkXNbsZac</t>
  </si>
  <si>
    <t>A man in white apron and pants stands on a ladder holding a pencil and wallpaper.</t>
  </si>
  <si>
    <t>The man applies a strip of wallpaper to a wall and smooths with his hand.</t>
  </si>
  <si>
    <t>The man uses a rag and then a brush to smooth out thee wall paper to the wall surface.</t>
  </si>
  <si>
    <t>The painter uses a spatula and blade to trim a straight line on the wallpapers edge along the ceiling.</t>
  </si>
  <si>
    <t>The man gets down from the ladder and unrolls the wallpaper to the floor.</t>
  </si>
  <si>
    <t>The man continues to smooth out the lower section of the wallpaper with a brush down to the floorboard.</t>
  </si>
  <si>
    <t>The man trims the lower edge of the wall paper with a blade against the floor board.</t>
  </si>
  <si>
    <t>The man trims the corner of the wall paper from the ceiling down the the floor.</t>
  </si>
  <si>
    <t>v_AWAMhmc08Cw</t>
  </si>
  <si>
    <t>Two children are seen sitting in a tub rubbing their faces and another person's hands interacting.</t>
  </si>
  <si>
    <t>The boy continues to rub water all over his face as well as play with toys and smile at the cameraman.</t>
  </si>
  <si>
    <t>v_PpC4kPd5KfA</t>
  </si>
  <si>
    <t>A man walks up to a lane in a bowling alley.</t>
  </si>
  <si>
    <t>He throws the ball and watches it glide down the lane multiple times.</t>
  </si>
  <si>
    <t>It knocks down all but two pins, which he misses the second time.</t>
  </si>
  <si>
    <t>v_8jJdHFW-lys</t>
  </si>
  <si>
    <t>little girl is in stage in a competition and do a jump into a parallel to do gymnastics and somersaults.</t>
  </si>
  <si>
    <t>peolpe is standing behind the stage talking.</t>
  </si>
  <si>
    <t>v_dx5VK79QWlg</t>
  </si>
  <si>
    <t>A woman is knitting in bed.</t>
  </si>
  <si>
    <t>The woman puts her arms down to catch the yarn.</t>
  </si>
  <si>
    <t>The woman shows what she was making.</t>
  </si>
  <si>
    <t>v_AGDsfpZQBIs</t>
  </si>
  <si>
    <t>People are standing on a field of grass.</t>
  </si>
  <si>
    <t>A man holds a ball near his neck and spins around.</t>
  </si>
  <si>
    <t>He throws it onto the field.</t>
  </si>
  <si>
    <t>v_t1MXansbY5s</t>
  </si>
  <si>
    <t>A woman opens a white closet door.</t>
  </si>
  <si>
    <t>She removes some shoes from the closet.</t>
  </si>
  <si>
    <t>She puts on the shoes.</t>
  </si>
  <si>
    <t>She then laces them up.</t>
  </si>
  <si>
    <t>v_X4P9YA6Oabg</t>
  </si>
  <si>
    <t>A young blonde lady is talking to the camera inside her room.</t>
  </si>
  <si>
    <t>She separates her hair into sections.</t>
  </si>
  <si>
    <t>She then shows how to braid the sections and pin it in place.</t>
  </si>
  <si>
    <t>v_NB4IBjUmrcI</t>
  </si>
  <si>
    <t>A man is indoors, wearing boxing gloves.</t>
  </si>
  <si>
    <t>He is kickboxing with a large punching bag, kicking and punching it over and over.</t>
  </si>
  <si>
    <t>v_NzL_uQyQjIw</t>
  </si>
  <si>
    <t>People walk holding surfboards, then they board a boat.</t>
  </si>
  <si>
    <t>A man water ski behind the boat jumping high and spinning.</t>
  </si>
  <si>
    <t>Then, a woman and a man water ski doing acrobatic jumps.</t>
  </si>
  <si>
    <t>A boat sails empty in the river.</t>
  </si>
  <si>
    <t>After, men water ski jumping and turning around.</t>
  </si>
  <si>
    <t>Next, a person surf on the waves created by the boat, after the man water ski jumping and flipping high.</t>
  </si>
  <si>
    <t>v_TYRDXDR5l9U</t>
  </si>
  <si>
    <t>A person is seen standing before a sink with running water and pushing their hands under the water.</t>
  </si>
  <si>
    <t>They then put soap into their hands, scrub for a bit, and then run their hands under the water.</t>
  </si>
  <si>
    <t>Finally she runs her hands under the water and dries her hand off with a paper towel.</t>
  </si>
  <si>
    <t>v_nv22QK8brp4</t>
  </si>
  <si>
    <t>On a river, people gather to watch people on donuts and boats kayaking rough waters.</t>
  </si>
  <si>
    <t>A couple of people on a kayak are flipped over and fall into the river.</t>
  </si>
  <si>
    <t>v_uwxuvGci98g</t>
  </si>
  <si>
    <t>A female with a long blonde pony tale begins running across a large green field throwing a ball.</t>
  </si>
  <si>
    <t>She then continues running across the field and begins looking at the bleachers and anticipating a softball game.</t>
  </si>
  <si>
    <t>As the action continues,she progresses through the bleachers and a url appears on the last screen to watch live cricket games.</t>
  </si>
  <si>
    <t>v_VbzzcpsAPo8</t>
  </si>
  <si>
    <t>A black and white video plays and one of the men is Bruce Lee and he's very skillfully and creatively hitting the ping pong ball back and forth to another man who is holding a ping pong paddle, while Bruce Lee hits the ping pong ball with nanchucks and the man with a paddle can't keep the ball on the table.</t>
  </si>
  <si>
    <t>Now there are two men at the end of the table who are both holding paddles and playing against Bruce Lee as they attempt to keep the ball on the table but ultimately fail.</t>
  </si>
  <si>
    <t>A black screen appears with white Asian lettering in the middle, then a website that say's "www lee35 come cn".</t>
  </si>
  <si>
    <t>v_8qIl-0XOguM</t>
  </si>
  <si>
    <t>The camera follows several people on a walkway from a first person perspective.</t>
  </si>
  <si>
    <t>The camera shows sliding down a snowy slope from a first person perspective alongside others.</t>
  </si>
  <si>
    <t>The camera shows sliding down a snowy slope from a first person perspective looking backwards.</t>
  </si>
  <si>
    <t>The camera shows another slide down the slope from a first person perspective alongside others.</t>
  </si>
  <si>
    <t>The camera watches as multiple other people slide down the slope.</t>
  </si>
  <si>
    <t>The camera catches another slide down the slope from a first person perspective while spinning.</t>
  </si>
  <si>
    <t>The camera catches more slides down the slope from a first person perspective while looking left and right.</t>
  </si>
  <si>
    <t>v_sg5z7jus30w</t>
  </si>
  <si>
    <t>A person is seen sitting in a chair with his arm out getting a tattoo from a male artist.</t>
  </si>
  <si>
    <t>The men speak back and fourth to one another and the camera zooms in on the arm being done.</t>
  </si>
  <si>
    <t>In the end pictures of the men standing together are shown as well as the tattoo.</t>
  </si>
  <si>
    <t>v_gBOWkZBlc8g</t>
  </si>
  <si>
    <t>A large group of people are seen swimming around an ocean while two men pass a soccer ball back and fourth to one another on the shore.</t>
  </si>
  <si>
    <t>More people walk in and out of frame as the men continue to kick the ball back and fourth to one another.</t>
  </si>
  <si>
    <t>v_kkjBLmM6KEg</t>
  </si>
  <si>
    <t>A woman speaks to the camera while holding a card.</t>
  </si>
  <si>
    <t>A couple appears on a professional stage under a spotlight and performs a dance routine.</t>
  </si>
  <si>
    <t>The pair finishes their routine, he kisses her hand and the audience applauds.</t>
  </si>
  <si>
    <t>v_lue8XE3MEe8</t>
  </si>
  <si>
    <t>A man dressed in black shorts, t-shirt, sneakers and red baseball cap walks into an orange walled room with hardwood floors and demonstrates an arm lift exercise with two metal black dumbbells.</t>
  </si>
  <si>
    <t>An orange walled room is empty except for two black dumbbells lying horizontal on the floor.</t>
  </si>
  <si>
    <t>The man walks into the room and stands in front of the dumbbells and then falls to his knees where he talks and shows his profile and then turns, on his knees, again, to face the camera head on.</t>
  </si>
  <si>
    <t>The man then picks up the dumbbells and begins lifting them directly over his head, facing the camera, and then again from a profile angle, before placing the dumbbells down, vertically, and leaving the room.</t>
  </si>
  <si>
    <t>v_Q-dFr9ZS29s</t>
  </si>
  <si>
    <t>A young girl talks to a video camera with a curler in her bangs, occasionally holding a cell phone up to her face and introducing a younger person in the room with her in the background.</t>
  </si>
  <si>
    <t>The girl with curler in her bang talks to camera in a closeup angle.</t>
  </si>
  <si>
    <t>The girl points to the curler in her bang and holds up a cell phone to throw light onto her face which she brings closer to the camera.</t>
  </si>
  <si>
    <t>The girl laughs when a younger girl in the room with a pink wig on is shown in the background, she laughs again when the younger girl puts her pink wig in the camera.</t>
  </si>
  <si>
    <t>v_s7HB851cCrg</t>
  </si>
  <si>
    <t>A bunch of men are inside a green colored gym.</t>
  </si>
  <si>
    <t>They are lobbing a tennis ball back and forth.</t>
  </si>
  <si>
    <t>They are engaged in a game of tennis.</t>
  </si>
  <si>
    <t>v_-JhWjGDPHMY</t>
  </si>
  <si>
    <t>A man is sitting on a roof.</t>
  </si>
  <si>
    <t>He starts pulling up roofing on a roof.</t>
  </si>
  <si>
    <t>A man walks up a ladder onto the roof.</t>
  </si>
  <si>
    <t>v_mo_PhyaQHh0</t>
  </si>
  <si>
    <t>A boy is seen kneeling down before a wall and begins using a tool on the carpet.</t>
  </si>
  <si>
    <t>The man rubs his hand along the carpet and continues cutting.</t>
  </si>
  <si>
    <t>The man continues to cut along the rug while rubbing his hand across.</t>
  </si>
  <si>
    <t>v_Mzt-E6pxuUI</t>
  </si>
  <si>
    <t>A young blonde boy is standing at a kitchen sink with a handheld sprayer in his hand and he's spraying all the dishes.</t>
  </si>
  <si>
    <t>The boy then puts the sprayer in a green pot on the counter and begins spraying the water in there.</t>
  </si>
  <si>
    <t>The boy drops the sprayer then takes a cup from the sink, fills it with water then pours the water into the pot, fills it again and pours it into a bowl on the counter.</t>
  </si>
  <si>
    <t>The boy then picks up a clear glass filled with red liquid, drinks some of it, puts it under the faucet and adds water to it, drinks it a few times then dumps it out into the sink.</t>
  </si>
  <si>
    <t>The boy then takes a dish from the sink that has the red juice and tries to pour it into the pot on the counter but instead it spills all over the counter instead and he gets a sponge and tries to clean it up.</t>
  </si>
  <si>
    <t>v_2qcdjyT7nDY</t>
  </si>
  <si>
    <t>We see cheerleaders standing on the stage.</t>
  </si>
  <si>
    <t>The cheerleaders perform a routine.</t>
  </si>
  <si>
    <t>Four girls are lifted and they hold one girl in between them laying down.</t>
  </si>
  <si>
    <t>Ladies hold ladies who hold and shake their pom poms.</t>
  </si>
  <si>
    <t>Four ladies are lifted and hold two other ladies then a seventh lady.</t>
  </si>
  <si>
    <t>the team finishes and hugs.</t>
  </si>
  <si>
    <t>We see ending credits and still shots.</t>
  </si>
  <si>
    <t>A quote and website appears on the screen.</t>
  </si>
  <si>
    <t>v_YTWXDIMEjpg</t>
  </si>
  <si>
    <t>Several shots of a lake are shown followed by a person climbing behind a boat on a wake board.</t>
  </si>
  <si>
    <t>The person rides the wake board along the water while several cameras capture his movements and jumps behind the boat.</t>
  </si>
  <si>
    <t>The camera captures the person driving the boat as well as following the wake boarder close behind the boat.</t>
  </si>
  <si>
    <t>In the end three boys are riding the boat and driving along.</t>
  </si>
  <si>
    <t>v_I0w8zmcO_Cw</t>
  </si>
  <si>
    <t>A man stops his bike on the sidewalk.</t>
  </si>
  <si>
    <t>He jumps down to look at the wheel, then uses a tool to press into the rubber.</t>
  </si>
  <si>
    <t>He continues talking about the tool before joining in a bike race, then going back to talking on the sidewalk.</t>
  </si>
  <si>
    <t>v_arhhcCWkAoM</t>
  </si>
  <si>
    <t>Men swing around with a hammer throw ball before releasing it.</t>
  </si>
  <si>
    <t>A man does pull ups on a bar.</t>
  </si>
  <si>
    <t>A man lifts a large weight on his shoulders and also shoulder presses it above his head.</t>
  </si>
  <si>
    <t>Two men run track together.</t>
  </si>
  <si>
    <t>v_4o1k3KUHz6E</t>
  </si>
  <si>
    <t>A flag waves on a pole in a field.</t>
  </si>
  <si>
    <t>We see a mascot roll a ball to home plate and fall when its kicked back and hits him.</t>
  </si>
  <si>
    <t>We then see the mascot kick the ball and run a home run.</t>
  </si>
  <si>
    <t>The mascot runs and catches a ball in the field.</t>
  </si>
  <si>
    <t>The mascot high fives a line of people and chest bumps the last man knocking him over.</t>
  </si>
  <si>
    <t>v_ahVeDMNS9ws</t>
  </si>
  <si>
    <t>A close up of sneakers is shown followed by a person holding up various objects and mixing them together in a bowl.</t>
  </si>
  <si>
    <t>The person then uses a tooth brush all around the shoe using the ingredients and showing off the shoe.</t>
  </si>
  <si>
    <t>v_M2ntxFBPaug</t>
  </si>
  <si>
    <t>A person explains holding a racket and making moves with a racket in a tennis court.</t>
  </si>
  <si>
    <t>Then a man wearing black clothes serves a tennis ball that is returned, and he sends it back.</t>
  </si>
  <si>
    <t>Then, the person talks holding two ball, after the man serves again and the person talks.</t>
  </si>
  <si>
    <t>After, the man continues talking.</t>
  </si>
  <si>
    <t>v_y0_lTTdKkro</t>
  </si>
  <si>
    <t>A goalie is seen in several clips running back and fourth and blocking balls from getting by.</t>
  </si>
  <si>
    <t>The player continues running back and fourth while another man sits in front of him.</t>
  </si>
  <si>
    <t>v_r2oMItb5EVM</t>
  </si>
  <si>
    <t>A young man puts in a pan oil, onions, tomatoes, green leaves and salt, then mix to cook the vegetables.</t>
  </si>
  <si>
    <t>After, the man puts aside the vegetables, and cooks an omelette in the pan.</t>
  </si>
  <si>
    <t>After, the man puts the vegetables over the omelette and folds it, then he serves the omelette.</t>
  </si>
  <si>
    <t>v_QLACTCzs0R0</t>
  </si>
  <si>
    <t>A large group of Navy soldiers are shown on a dock playing a game of tug of war.</t>
  </si>
  <si>
    <t>On one side of the rope is a team pulling as hard as they can while being cheered on.</t>
  </si>
  <si>
    <t>Another Navy soldier is shown taking pictures of the game.</t>
  </si>
  <si>
    <t>The other side of the rope is shown.</t>
  </si>
  <si>
    <t>One team is pulled over a red line on the ground, ending the game.</t>
  </si>
  <si>
    <t>The men stand up to relax.</t>
  </si>
  <si>
    <t>v_DQXJ8OU7Ox4</t>
  </si>
  <si>
    <t>An introduction comes onto the screen for a female weight lifting competition.</t>
  </si>
  <si>
    <t>One of the female weight lifters is shown on the screen as she goes through several increasing levels of lifts one by one.</t>
  </si>
  <si>
    <t>When she finally reaches a weight that is too heavy for her to lift, she leaves the challenge.</t>
  </si>
  <si>
    <t>v_4zFiORtQrlA</t>
  </si>
  <si>
    <t>A man in polo shirt stands with a bike on a rack and demonstrates it's different features in a bike shop.</t>
  </si>
  <si>
    <t>The man takes out a tool and makes an adjustment to the wheel sprocket then turns the wheel before adjusting more.</t>
  </si>
  <si>
    <t>The man adjusts a shifter on the handlebars.</t>
  </si>
  <si>
    <t>v_uZCov5TG-Y8</t>
  </si>
  <si>
    <t>A man is ironing a shirt on an ironing board.</t>
  </si>
  <si>
    <t>Bags are shown sitting on the bed.</t>
  </si>
  <si>
    <t>v_tQmsDeu1d6M</t>
  </si>
  <si>
    <t>A small group of people are seen swimming around the wall while the camera pans around and watches them.</t>
  </si>
  <si>
    <t>The kids continue to move around the water as adults walk by as well.</t>
  </si>
  <si>
    <t>More shots are shown of kids playing in the sand.</t>
  </si>
  <si>
    <t>v_GPWXB0wy5dY</t>
  </si>
  <si>
    <t>The video that is shot horizontally shows several people windsurfing in the ocean on a sunny day.</t>
  </si>
  <si>
    <t>One of the surfers is going at very high speed against the waves.</t>
  </si>
  <si>
    <t>One surfer on an orange surf comes at top speed and loses control and falls into the water.</t>
  </si>
  <si>
    <t>The surfer with blue sails manages to stay on board as he surfs in the ocean.</t>
  </si>
  <si>
    <t>v_NRhoHN8x_00</t>
  </si>
  <si>
    <t>An older woman is seen sitting before a drum set playing a set of drums.</t>
  </si>
  <si>
    <t>She spins the drums around through her finger tips and continues playing the instrument while the camera captures her.</t>
  </si>
  <si>
    <t>v_xR9VOguQeKM</t>
  </si>
  <si>
    <t>A man performs high jump with a pole, he jumps over three horizontal lines that touches two of them.</t>
  </si>
  <si>
    <t>The man attempts to jumps higher than while jumping with the pole.</t>
  </si>
  <si>
    <t>Again, the man attempt to jump higher but he makes fall the horizontal line.</t>
  </si>
  <si>
    <t>v_fJyxb59mA-A</t>
  </si>
  <si>
    <t>We see a man sitting on a couch.</t>
  </si>
  <si>
    <t>The man is playing the bagpipe.</t>
  </si>
  <si>
    <t>The man laughs and stops playing.</t>
  </si>
  <si>
    <t>The man starts playing the bagpipe again.</t>
  </si>
  <si>
    <t>The man laughs hard again.</t>
  </si>
  <si>
    <t>The man stops playing the bagpipe.</t>
  </si>
  <si>
    <t>The man waves his hand in front of the camera.</t>
  </si>
  <si>
    <t>v_q0L4clHNIbc</t>
  </si>
  <si>
    <t>A woman is outside shoveling with a robohandle.</t>
  </si>
  <si>
    <t>It is making the process much quicker because it is a decent size and picks up a lot of the snow at once.</t>
  </si>
  <si>
    <t>She is making a lot of progress in such a small window of time using this snow robohandle.</t>
  </si>
  <si>
    <t>The handle honestly just looks like two large shovels though.</t>
  </si>
  <si>
    <t>v_SLv4rEkiYaU</t>
  </si>
  <si>
    <t>Text appears on the screen briefly.</t>
  </si>
  <si>
    <t>An elephant rides past a cow.</t>
  </si>
  <si>
    <t>People are in a tube on a river.</t>
  </si>
  <si>
    <t>v_WRXSn7DyaoI</t>
  </si>
  <si>
    <t>People are dancing on a dance floor at a wedding.</t>
  </si>
  <si>
    <t>A woman in a wedding dress is dancing with a man in a tuxedo.</t>
  </si>
  <si>
    <t>A man in a purple shirt is dancing with a woman.</t>
  </si>
  <si>
    <t>v_6LX02yo9iGo</t>
  </si>
  <si>
    <t>People prepare for a BMX bike race.</t>
  </si>
  <si>
    <t>A person lines up and then goes.</t>
  </si>
  <si>
    <t>v_n33Uv--Lbl4</t>
  </si>
  <si>
    <t>A girl in a yellow shirt is brushing her teeth in a bathroom.</t>
  </si>
  <si>
    <t>A girl next to her in a blue shirt is also brushing her teeth.</t>
  </si>
  <si>
    <t>They are both looking in the mirror.</t>
  </si>
  <si>
    <t>v_ybFvomdhW2Y</t>
  </si>
  <si>
    <t>A woman is speedily riding a recumbent bike in the kitchen.</t>
  </si>
  <si>
    <t>She sits by the stove, cracking eggs into a pan and making an omelet while she rides.</t>
  </si>
  <si>
    <t>She stirs the egg, then plates it while still riding.</t>
  </si>
  <si>
    <t>She then eats while she continues to ride.</t>
  </si>
  <si>
    <t>v_1aCwFDS0j2A</t>
  </si>
  <si>
    <t>A woman is seen kneeling on a mat in a back yard and leads into her bending backwards using her hands.</t>
  </si>
  <si>
    <t>She then puts her hands all the way down on the ground while still continuing to look up.</t>
  </si>
  <si>
    <t>v_iPHZeElXYXU</t>
  </si>
  <si>
    <t>We see a white opening screen.</t>
  </si>
  <si>
    <t>We see a lady ironing a shirt on an ironing board and talking to the camera.</t>
  </si>
  <si>
    <t>The lady irons a sleeve.</t>
  </si>
  <si>
    <t>The lady irons the back of the shirt.</t>
  </si>
  <si>
    <t>The lady finishes and holds the shirt up.</t>
  </si>
  <si>
    <t>We see a bright title closing screen.</t>
  </si>
  <si>
    <t>v_3K62qZ2hGyw</t>
  </si>
  <si>
    <t>We see the title screen for Howcast.</t>
  </si>
  <si>
    <t>A lady is standing in a white room talking to the camera.</t>
  </si>
  <si>
    <t>The lady shows us how to belly dance by dancing.</t>
  </si>
  <si>
    <t>She shifts to her right then back and lifts her hips while belly dancing.</t>
  </si>
  <si>
    <t>The lady shows how to lift your hips one at a time.</t>
  </si>
  <si>
    <t>She pats her head and shakes her hips faster.</t>
  </si>
  <si>
    <t>The lady shakes her hips faster and waves her arms over her head.</t>
  </si>
  <si>
    <t>She stops dancing and stands still.</t>
  </si>
  <si>
    <t>The ending credits load on the screen.</t>
  </si>
  <si>
    <t>v_OEBSls79Ths</t>
  </si>
  <si>
    <t>A gymnast performs on the uneven bars while spectators watch the performance.</t>
  </si>
  <si>
    <t>The gymnast end the performance and great the audience, and then she join her friends to wait for the score.</t>
  </si>
  <si>
    <t>A woman watch the gymnast and applaud.</t>
  </si>
  <si>
    <t>v_u08gU4eQFHY</t>
  </si>
  <si>
    <t>A weight lifter is in a gym, and he lifts a barbell.</t>
  </si>
  <si>
    <t>He lifts it over his head, then drops it to the ground before walking away.</t>
  </si>
  <si>
    <t>v_7TOw39_59xo</t>
  </si>
  <si>
    <t>A close up of several cars are seen that leads into a person cleaning the cars.</t>
  </si>
  <si>
    <t>The person wipes down the front of the cars with a rag including along the tires.</t>
  </si>
  <si>
    <t>The cars are shown lined up afterwards and shown all cleaned off.</t>
  </si>
  <si>
    <t>v_u9JhQ0xSSJI</t>
  </si>
  <si>
    <t>A marching band parades down the street.</t>
  </si>
  <si>
    <t>People on both sides of the street watch the parade and applaud.</t>
  </si>
  <si>
    <t>v_yeUuZ9vk5gE</t>
  </si>
  <si>
    <t>A person is seen placing dough balls onto a pan and then placing them into an oven.</t>
  </si>
  <si>
    <t>She then takes them out of the oven and puts the cookies onto a plate.</t>
  </si>
  <si>
    <t>v_G_Nzm0WkGEI</t>
  </si>
  <si>
    <t>A young child is seen ironing a shirt on a table and looking into the camera.</t>
  </si>
  <si>
    <t>The boy continues pretending to iron the shirt and eventually puts a dress on the table to iron.</t>
  </si>
  <si>
    <t>He irons the dress and swings it around.</t>
  </si>
  <si>
    <t>v_AKQqaMyZtf8</t>
  </si>
  <si>
    <t>A man walks with a leaf blower.</t>
  </si>
  <si>
    <t>He blows leaves on the ground.</t>
  </si>
  <si>
    <t>The leaves move against the asphalt.</t>
  </si>
  <si>
    <t>The man blows another man with the blower.</t>
  </si>
  <si>
    <t>v_IAqNteMxXNk</t>
  </si>
  <si>
    <t>A man is seen standing behind a counter speaking to the camera and holding up cleaning products.</t>
  </si>
  <si>
    <t>He puts the products into a sink and begins scrubbing around the sides.</t>
  </si>
  <si>
    <t>He wipes down the counter and shows off the finished sink.</t>
  </si>
  <si>
    <t>v_SxIJ6MjcgnY</t>
  </si>
  <si>
    <t>A man throwing the frisbee to his dog and the dog catches.</t>
  </si>
  <si>
    <t>One owner does a hand stand a throws the frisbee to his dog, who is able to catch.</t>
  </si>
  <si>
    <t>Many owners and dogs throwing and catching frisbees and doing tricks while doing so.</t>
  </si>
  <si>
    <t>A woman opens her arms and her dogs jumps into them, she catches the dog.</t>
  </si>
  <si>
    <t>v_-YreL-4QCLg</t>
  </si>
  <si>
    <t>A guy holds a lacrosse stick and instructs.</t>
  </si>
  <si>
    <t>A guy moves a ball with the lacrosse stick.</t>
  </si>
  <si>
    <t>A guy tosses a ball into a goal.</t>
  </si>
  <si>
    <t>v_cA2ZLOZcCyc</t>
  </si>
  <si>
    <t>A person is riding the bike on the dirt road.</t>
  </si>
  <si>
    <t>The biker jumped into high ramps.</t>
  </si>
  <si>
    <t>The biker drove to the curve path then drive over the high ramp.</t>
  </si>
  <si>
    <t>v_lydctNDJZ5o</t>
  </si>
  <si>
    <t>There are two teams represented by the color green and color white playing lacrosse against each other in an outdoor field.</t>
  </si>
  <si>
    <t>The player from the green team begins running with his stick alongside his opponent to go towards the ball.</t>
  </si>
  <si>
    <t>The two team come head to head as they scramble to hit the ball in the goal.</t>
  </si>
  <si>
    <t>The green team players run fast to prevent the white team from getting the ball.</t>
  </si>
  <si>
    <t>The white team players try to keep up with their opponents and focus on hitting the ball in the goal.</t>
  </si>
  <si>
    <t>Two players from both team come running towards each other and fight for the ball, causing one of the green team players to fall down.</t>
  </si>
  <si>
    <t>They take a break to before they can restart the game as they walk towards the side of the field.</t>
  </si>
  <si>
    <t>v_DRHW4FvSKdw</t>
  </si>
  <si>
    <t>A dealer at a casino table deals out to several customers while there's a constant stream of activity in the background.</t>
  </si>
  <si>
    <t>One of the players starts laughing.</t>
  </si>
  <si>
    <t>v_NGvote9Y6gI</t>
  </si>
  <si>
    <t>We see cards sitting on table with chips.</t>
  </si>
  <si>
    <t>The dealer deals more cards.</t>
  </si>
  <si>
    <t>The dealer points at two cards.</t>
  </si>
  <si>
    <t>The dealer turns a card over and takes the man's chips.</t>
  </si>
  <si>
    <t>v__wHyOKf_fhc</t>
  </si>
  <si>
    <t>An advertisement display the presentation of two dancers.</t>
  </si>
  <si>
    <t>The couple is dancing holding hands turning both around.</t>
  </si>
  <si>
    <t>The woman turns around holding the hand of the man.</t>
  </si>
  <si>
    <t>v_lq-8Y-YLcNI</t>
  </si>
  <si>
    <t>women are walking on a lakeside and are putting their shoes and harness.</t>
  </si>
  <si>
    <t>women are climbing a rock wall attached to an harness.</t>
  </si>
  <si>
    <t>woman is going down and when is in the floor shake hands with he other woman.</t>
  </si>
  <si>
    <t>v_5rkAMBttgPc</t>
  </si>
  <si>
    <t>A woman is standing behind a counter holding a martini glass.</t>
  </si>
  <si>
    <t>She dumps some ice into the glass.</t>
  </si>
  <si>
    <t>She puts some ice into another glass and adds shots of alcohol.</t>
  </si>
  <si>
    <t>She shakes the drink in a black shaker.</t>
  </si>
  <si>
    <t>She pours the ice out of a martini glass.</t>
  </si>
  <si>
    <t>She pours the drink into the martini glass.</t>
  </si>
  <si>
    <t>She holds up the martini glass in her hand.</t>
  </si>
  <si>
    <t>v_UxhKb-zZoWE</t>
  </si>
  <si>
    <t>Two sumo wrestlers are seen fighting that leads into people walking in and others dancing together.</t>
  </si>
  <si>
    <t>More wrestlers bend down towards one another and begin wrestling while people drum on the side.</t>
  </si>
  <si>
    <t>More people are walked in and continue wrestling on the pit.</t>
  </si>
  <si>
    <t>v__OY-1VtINQQ</t>
  </si>
  <si>
    <t>A man is seen sitting on a piece of exercise equipment moving back and fourth.</t>
  </si>
  <si>
    <t>The man continues moving at different speeds and moving back.</t>
  </si>
  <si>
    <t>v_Cof9eHf7VCI</t>
  </si>
  <si>
    <t>A group of people are standing in the middle of a forest with a trail of pebbles separating them from a beautiful crystal clear body of water.</t>
  </si>
  <si>
    <t>The camera moves across the water and several people on boats and jet-skis are moving in the water near a large wave.</t>
  </si>
  <si>
    <t>More large waves begin to surface and a man begins surfing the waves.</t>
  </si>
  <si>
    <t>The forest is then shown and surf boards appear that are washed up against the banks of the water.</t>
  </si>
  <si>
    <t>v_iEqyqzKSEZ4</t>
  </si>
  <si>
    <t>A car is driving down the highway at a fast speed, he takes an exit to park.</t>
  </si>
  <si>
    <t>Then, they're at the gym and it's a class full of people jumping rope.</t>
  </si>
  <si>
    <t>A woman coach and a child jump rope one on one together, she goes around instructing some other students in the class.</t>
  </si>
  <si>
    <t>The class ends with pictures of the coach and her students.</t>
  </si>
  <si>
    <t>v_hvXMCjJcIqI</t>
  </si>
  <si>
    <t>A man drives a lawn mower over a lawn.</t>
  </si>
  <si>
    <t>The man turns to his left.</t>
  </si>
  <si>
    <t>A wagon behind the man is being pulled with children in tow.</t>
  </si>
  <si>
    <t>The man then circles the lawn.</t>
  </si>
  <si>
    <t>v_H7k8ATbTjzs</t>
  </si>
  <si>
    <t>A woman and a young girl are each walking a dog in a grassy area.</t>
  </si>
  <si>
    <t>They approach another woman sitting in a chair.</t>
  </si>
  <si>
    <t>She pets one of the dogs.</t>
  </si>
  <si>
    <t>Another woman is sitting behind the woman that pets the dog.</t>
  </si>
  <si>
    <t>The woman with the dog walks over and takes the leash of the second dog from the young girl and walks away with both dogs and the young girl still holding part of a leash.</t>
  </si>
  <si>
    <t>A man is standing off to the side watching.</t>
  </si>
  <si>
    <t>The woman and the young girl, each with a dog again, stop in the grassy area, talk and then continue walking.</t>
  </si>
  <si>
    <t>v_W5WfWmISKrk</t>
  </si>
  <si>
    <t>We see a dark title screen.</t>
  </si>
  <si>
    <t>We see titles in the screen and see the men.</t>
  </si>
  <si>
    <t>We see two men fighting MMA in a ring.</t>
  </si>
  <si>
    <t>The large man is losing his grip on the smaller man.</t>
  </si>
  <si>
    <t>The referee comes to the men and waves his arms.</t>
  </si>
  <si>
    <t>We see the outcome of the game on the screen.</t>
  </si>
  <si>
    <t>The smaller fighter hugs another man.</t>
  </si>
  <si>
    <t>We then see the closing ending credits.</t>
  </si>
  <si>
    <t>v_UZPSbNS1LU0</t>
  </si>
  <si>
    <t>A group of people are shown rollerblading in Paris.</t>
  </si>
  <si>
    <t>They are moving slowly and there are a lot of them as some of them look into the camera as they pass.</t>
  </si>
  <si>
    <t>The procession continues as spectators look onward.</t>
  </si>
  <si>
    <t>The video cuts to a side angle of the rollerbladers passing by.</t>
  </si>
  <si>
    <t>Another side shot is shown and a cop car and several escort vehicles come into view as the video fades to black.</t>
  </si>
  <si>
    <t>v_Vq0-j_C-kZc</t>
  </si>
  <si>
    <t>A person is video taping a bull fighting event from his television set.</t>
  </si>
  <si>
    <t>The bull fighting scene is in a large open arena which is filled with thousands of spectators who are cheering.</t>
  </si>
  <si>
    <t>The two raging bulls are butting heads constantly while the matadors are trying to contain the bulls within a specified zone.</t>
  </si>
  <si>
    <t>The crowd continues to cheer as the event goes on.</t>
  </si>
  <si>
    <t>v_i3uRumyN7mg</t>
  </si>
  <si>
    <t>An intro leads into a woman holding an accordion and a woman in a wedding dress beside her.</t>
  </si>
  <si>
    <t>The woman then begins to play the instrument while others stand around her and watch and others play along.</t>
  </si>
  <si>
    <t>v_b3e7PrPNb30</t>
  </si>
  <si>
    <t>A woman is smearing a white cream onto her forehead and cheeks.</t>
  </si>
  <si>
    <t>She spreads it around, smoothing it in.</t>
  </si>
  <si>
    <t>v_GHmxFOXP1Q0</t>
  </si>
  <si>
    <t>A man pierces a woman's cheek.</t>
  </si>
  <si>
    <t>She sticks her tongue out and then the process is completed.</t>
  </si>
  <si>
    <t>v_FtHP0PNqo2s</t>
  </si>
  <si>
    <t>A person is getting their legs waxed on a table.</t>
  </si>
  <si>
    <t>They rub some lotion onto their legs after.</t>
  </si>
  <si>
    <t>They show their clean waxed legs.</t>
  </si>
  <si>
    <t>v_55sP2yXNFxY</t>
  </si>
  <si>
    <t>A man is seen hosting a news segment that leads into him speaking with two other people.</t>
  </si>
  <si>
    <t>Shots are shown of a young man playing pool with his father watching on the side.</t>
  </si>
  <si>
    <t>The man continues to play while his father watches and speaks to the news host.</t>
  </si>
  <si>
    <t>v_ou45_7IdWCE</t>
  </si>
  <si>
    <t>A woman is seen walking to a swingset with a small boy and putting him on the swing.</t>
  </si>
  <si>
    <t>Several women with their children are seen swinging back and fourth with one another as well as dads playing with their kids.</t>
  </si>
  <si>
    <t>v_O-hUa9e9_DE</t>
  </si>
  <si>
    <t>A woman chef demonstrates, in a kitchen, in front of a kitchen counter top and ingredients, how to prepare a salad.</t>
  </si>
  <si>
    <t>A woman stands in front of a kitchen counter top with greens, cheese, vegetables and oils and talks to the camera.</t>
  </si>
  <si>
    <t>The woman begins to cut the greens and put them in a white bowl before turning to pull oven roasted brussel sprouts out of the oven.</t>
  </si>
  <si>
    <t>The woman then squeezes and orange and pours the orange juice on the salad with the brussell sprouts and oil before the scene fades out.</t>
  </si>
  <si>
    <t>v_vSAHWgFjQAY</t>
  </si>
  <si>
    <t>A man is seen dancing in a club and grabs onto a woman.</t>
  </si>
  <si>
    <t>The man and woman then begin dancing around each other in the middle of the club.</t>
  </si>
  <si>
    <t>They continue dancing around one another while other people dance beside them.</t>
  </si>
  <si>
    <t>v_sVk-Br0zfkA</t>
  </si>
  <si>
    <t>A close up of a woman is seen looking off into the distance and holding a dart.</t>
  </si>
  <si>
    <t>She throws the dart onto the board which is show up close.</t>
  </si>
  <si>
    <t>The woman then clenches her fists and her throw is shown again.</t>
  </si>
  <si>
    <t>v_4Rto4Aa6fxw</t>
  </si>
  <si>
    <t>Two teams play hurling in a stadium full of people.</t>
  </si>
  <si>
    <t>A player serves a ball with the stick, and the teams continue playing.</t>
  </si>
  <si>
    <t>Two players dispute the ball in the air, then they continue playing.</t>
  </si>
  <si>
    <t>v_cFJo7Nm2W3Y</t>
  </si>
  <si>
    <t>A large group of people are seen standing around a sand pit shaking hands and speaking with one another.</t>
  </si>
  <si>
    <t>The men then begin a soccer match with one another and cheering when they score a goal.</t>
  </si>
  <si>
    <t>The men continue to play against one another while the audience cheers and the ref stands on the side.</t>
  </si>
  <si>
    <t>v_vzxT-k8dsVs</t>
  </si>
  <si>
    <t>man is unning wearing stilts in a skaet park.</t>
  </si>
  <si>
    <t>another man is jumping along with the first man in the skate park.</t>
  </si>
  <si>
    <t>man in skate park is running while a car is passing in the street.</t>
  </si>
  <si>
    <t>v_VO49rhXzhk4</t>
  </si>
  <si>
    <t>A woman's hands are shown wrapping something.</t>
  </si>
  <si>
    <t>The woman talks to the camera.</t>
  </si>
  <si>
    <t>Closeups of the necessary equipment for this operation are shown.</t>
  </si>
  <si>
    <t>The woman wraps a book with tissue paper and tape.</t>
  </si>
  <si>
    <t>The woman cuts paper to shape for the book.</t>
  </si>
  <si>
    <t>The woman wraps the book with the paper and tape.</t>
  </si>
  <si>
    <t>The woman talks to the camera whole holding the wrapped and ribboned book.</t>
  </si>
  <si>
    <t>A closeup of the wrapped and ribboned book is shown.</t>
  </si>
  <si>
    <t>v_0DEF7Mp7ZP4</t>
  </si>
  <si>
    <t>A small group of people are seen sitting around a casino table speaking to one another and playing a game of poker.</t>
  </si>
  <si>
    <t>Many people watch on the sides while the dealer deals out cards and the people place their chips in the middle.</t>
  </si>
  <si>
    <t>More shots of the game are shown while the camera pans out to a person's face.</t>
  </si>
  <si>
    <t>v_B39pJK4FU1o</t>
  </si>
  <si>
    <t>A lady is talking in an office and holding a pink item.</t>
  </si>
  <si>
    <t>the lady throws the pink item on a game board on the floor.</t>
  </si>
  <si>
    <t>She then jumps hopscotch and picks up the pink item.</t>
  </si>
  <si>
    <t>She throws it again and jumps again and returns picking up the pink item.</t>
  </si>
  <si>
    <t>v_Z3noRsTXGt4</t>
  </si>
  <si>
    <t>A person is running on an excerise machine.</t>
  </si>
  <si>
    <t>The camera zooms in to the feet.</t>
  </si>
  <si>
    <t>The camera pans to the right slowly.</t>
  </si>
  <si>
    <t>v_CsCbJSnAhRs</t>
  </si>
  <si>
    <t>A man puts a chef hat on a girl while a chef teachers her how to cook.</t>
  </si>
  <si>
    <t>She mixes various ingredients together following the chef's orders and paying close attention to his instructions.</t>
  </si>
  <si>
    <t>The girl makes a lovely batch of cookies and finds herself enjoying them in the end, as well as the company of others.</t>
  </si>
  <si>
    <t>v_GKhuh6bha6U</t>
  </si>
  <si>
    <t>Several men stand together for the camera.</t>
  </si>
  <si>
    <t>Scenes of multiple people performing capoeira demonstrations are shown with audiences in the background and foreground.</t>
  </si>
  <si>
    <t>v_2vy0dMXhlWI</t>
  </si>
  <si>
    <t>An older man is shown chopping at a downed tree with an axe.</t>
  </si>
  <si>
    <t>he is trying very hard and not making much progress.</t>
  </si>
  <si>
    <t>He seems to be frustrated and is trying again and again to chop of the tree.</t>
  </si>
  <si>
    <t>He then looks at the camera and slightly smirks before continuing trying to cut the tree up.</t>
  </si>
  <si>
    <t>He stops again and stares at the camera.</t>
  </si>
  <si>
    <t>A closeup is shown of him trying again and again before zooming out.</t>
  </si>
  <si>
    <t>The camera then zooms back in to his face as he continues on.</t>
  </si>
  <si>
    <t>v_KPv8ZGrb78Y</t>
  </si>
  <si>
    <t>Three women show up on the screen doing a tribal dance in a workout studio.</t>
  </si>
  <si>
    <t>One of the women does a solo performance while the music plays in the background.</t>
  </si>
  <si>
    <t>The three women are shown again doing the dance on the stage while other people do the same dance in front of the stage.</t>
  </si>
  <si>
    <t>The trio of women come back onto the screen and continue the dance in the studio.</t>
  </si>
  <si>
    <t>They show up back on the stage doing the dance as the camera films them.</t>
  </si>
  <si>
    <t>The camera goes back and forth between them doing the dance on the stage and off the stage showing different angles.</t>
  </si>
  <si>
    <t>v_gg_F8EtNMW0</t>
  </si>
  <si>
    <t>Two men are inside an indoor gym.</t>
  </si>
  <si>
    <t>They are engaged in a martial art called kickboxing.</t>
  </si>
  <si>
    <t>They kick and punch at each other, trying to hit each other.</t>
  </si>
  <si>
    <t>v_lSX_yj2ohls</t>
  </si>
  <si>
    <t>Two dudes are talking silly into the camera with things wrapped around their heads.</t>
  </si>
  <si>
    <t>Then you see everyone playing beer pong having a great time outside joking and dancing.</t>
  </si>
  <si>
    <t>A group starts taking selfies and everyone is dressed really funny.</t>
  </si>
  <si>
    <t>One of the dudes flick off the camera and everyone continues to play bee pong and be wild enjoying their time.</t>
  </si>
  <si>
    <t>v_IGcalXmWUwA</t>
  </si>
  <si>
    <t>Several shots of people playing basketball are shown and leads into two men demonstrating a move.</t>
  </si>
  <si>
    <t>The same move is shown again from various angles and instructor the user how to do it.</t>
  </si>
  <si>
    <t>More tricks are shown as well as step by step instruction on how to properly do it.</t>
  </si>
  <si>
    <t>v_FwbnNQBzqHw</t>
  </si>
  <si>
    <t>A woman is standing behind an array of confections in a kitchen.</t>
  </si>
  <si>
    <t>Several different cake pops are being shown.</t>
  </si>
  <si>
    <t>Ingredients are displayed next to actions mixing ingredients.</t>
  </si>
  <si>
    <t>The woman crumbles the cake into a bowl, then adds frosting while she talks.</t>
  </si>
  <si>
    <t>She allows them to sit before melting candy coating, which she then dips the cake balls into.</t>
  </si>
  <si>
    <t>She decorates the cake ball in the final stages.</t>
  </si>
  <si>
    <t>A final array of cake pops are shown as she ends the segment.</t>
  </si>
  <si>
    <t>v_cFcrXdvfxoo</t>
  </si>
  <si>
    <t>A woman is lifting and squatting inside a gym with a barbell on her shoulders.</t>
  </si>
  <si>
    <t>She lifts then sits over and over again.</t>
  </si>
  <si>
    <t>v_nDbLtdY66dA</t>
  </si>
  <si>
    <t>A man in a black shirt is holding a saxophone.</t>
  </si>
  <si>
    <t>He begins playing the saxophone.</t>
  </si>
  <si>
    <t>He stops playing and continues talking.</t>
  </si>
  <si>
    <t>v_0-CYG7bH54A</t>
  </si>
  <si>
    <t>An intro leads into several shots of various ingredients laid out on a wooden board, followed by a set of hands cutting up certain ingredients.</t>
  </si>
  <si>
    <t>A person then grades some cheese into a bowl and breaks open the pasta.</t>
  </si>
  <si>
    <t>They put the pasta into a bowl as well as fry the shrimp and puts all the ingredients into one pan together.</t>
  </si>
  <si>
    <t>The person then serves the food onto a plate and text appears across the screen.</t>
  </si>
  <si>
    <t>v_NJQROeaBiVE</t>
  </si>
  <si>
    <t>The title appears and fades out.</t>
  </si>
  <si>
    <t>We see a man pulling weight close to his head.</t>
  </si>
  <si>
    <t>Three men pass by in the mirror.</t>
  </si>
  <si>
    <t>The camera zooms in on the main subject.</t>
  </si>
  <si>
    <t>A man in gray walks past in the mirror.</t>
  </si>
  <si>
    <t>The screen goes black and we see the end credits.</t>
  </si>
  <si>
    <t>v_EVfTWz5GRGw</t>
  </si>
  <si>
    <t>A bottle of deep cleansing gel is shown.</t>
  </si>
  <si>
    <t>A woman holds up the bottle, Then is shown using several different solutions that she lines up together on the counter.</t>
  </si>
  <si>
    <t>She uses each on her face, then rinses them off.</t>
  </si>
  <si>
    <t>v_l7QlSS_li6M</t>
  </si>
  <si>
    <t>We see a blue title screen with white letters.</t>
  </si>
  <si>
    <t>We see two girls standing in a room, then perform a flip.</t>
  </si>
  <si>
    <t>We see 2 different girls do different flips.</t>
  </si>
  <si>
    <t>One girl does a back flip.</t>
  </si>
  <si>
    <t>We then see four girls do a back flip together.</t>
  </si>
  <si>
    <t>v_vlIAZsrj6yk</t>
  </si>
  <si>
    <t>We see a black title screen.</t>
  </si>
  <si>
    <t>We see a man having his facial hair trimmed with an electric shaver.</t>
  </si>
  <si>
    <t>We see a man being shaved with a straight razor.</t>
  </si>
  <si>
    <t>We then see the closing screen.</t>
  </si>
  <si>
    <t>v_PUqHiigzb7A</t>
  </si>
  <si>
    <t>A man walks up to a barbell and bends over, lifting at the knees.</t>
  </si>
  <si>
    <t>He lifts the barbell up to his chest, rests for a moment, then lifts it over his head.</t>
  </si>
  <si>
    <t>He holds the pose for a few seconds before dropping it to the ground.</t>
  </si>
  <si>
    <t>v_qogdv5DWzkQ</t>
  </si>
  <si>
    <t>A shadow is seen in the smoky room.</t>
  </si>
  <si>
    <t>A woman is taking a shower and washing her hair.</t>
  </si>
  <si>
    <t>She pulls it apart in strands, putting conditioner on it.</t>
  </si>
  <si>
    <t>v_suWTtKXXkJU</t>
  </si>
  <si>
    <t>A woman is seen wearing a funny hat while speaking to the camera and sitting in a chair.</t>
  </si>
  <si>
    <t>the woman then knits in her chair while ending with another picture of her.</t>
  </si>
  <si>
    <t>v_tM0BAYylvLA</t>
  </si>
  <si>
    <t>A young boy sits in a chair with protective gown on and gets his hair cut with electric clippers by mom at home.</t>
  </si>
  <si>
    <t>The mother removes clipped hairs from the boys head with fingers.</t>
  </si>
  <si>
    <t>A girl is seen watching in the room.</t>
  </si>
  <si>
    <t>v_9lS5qpgrTmI</t>
  </si>
  <si>
    <t>A woman is seen speaking to the camera while holding up a bobby pin and then flips her hair down and begins braiding.</t>
  </si>
  <si>
    <t>The girl then puts her hair up into a pony tail and wraps her hair around to make a pun.</t>
  </si>
  <si>
    <t>She finally pins her hair down and then shows off her hair while pointing to the camera.</t>
  </si>
  <si>
    <t>v_P8M00PRbI3c</t>
  </si>
  <si>
    <t>A female news reporter is talking in a news room.</t>
  </si>
  <si>
    <t>We see several people riding on horses as a crowd watches.</t>
  </si>
  <si>
    <t>The people are hitting bags with sticks as they ride.</t>
  </si>
  <si>
    <t>The people are then interviewed about the game, and a man is shown shooting arrows.</t>
  </si>
  <si>
    <t>v_UtErhcCYBZk</t>
  </si>
  <si>
    <t>man is in roofed gym weightlifting.</t>
  </si>
  <si>
    <t>woman is walking behind the man watching the man.</t>
  </si>
  <si>
    <t>woman is lifting eights while he man sits to watch her.</t>
  </si>
  <si>
    <t>v_WDvsx_q2h-4</t>
  </si>
  <si>
    <t>A man is standing outside holding a violin.</t>
  </si>
  <si>
    <t>He begins to play the violin.</t>
  </si>
  <si>
    <t>He stops and sets the violin to his side.</t>
  </si>
  <si>
    <t>v_bXrdB5AASAM</t>
  </si>
  <si>
    <t>There are two men dressed in white shirts wearing hats doing freestyle wrestling in an indoor stadium.</t>
  </si>
  <si>
    <t>There are several spectators watching them, some sitting on chairs and some sitting on the ground.</t>
  </si>
  <si>
    <t>There are some people seated on chairs playing various hand instruments and singing to cheer the fighters.</t>
  </si>
  <si>
    <t>The two men continue wrestling in a non aggressive manner by taking turns to attack the opponent.</t>
  </si>
  <si>
    <t>They continue fighting as one man does a front flip.</t>
  </si>
  <si>
    <t>In the final round, they speed up the fight with faster kicks and motion.</t>
  </si>
  <si>
    <t>v_jYphKtLFIUk</t>
  </si>
  <si>
    <t>A group of boys chisel a name in sand on the beach with their hands.</t>
  </si>
  <si>
    <t>The boys leave the art piece leaving just one boy in a red t-shirt to work on it alone.</t>
  </si>
  <si>
    <t>Two boys returns with two balls of sand in circles and sit next to the art piece as they work on rounding out the balls of sand they have gathered while a group of children gather around to watch.</t>
  </si>
  <si>
    <t>v_-8FS4LbXAgE</t>
  </si>
  <si>
    <t>An intro leads into several shots of graffiti on a wall as well as people moving around and talking to one another.</t>
  </si>
  <si>
    <t>A rapper is then seen getting a tattoo from a man while the camera captures several angles and show art work.</t>
  </si>
  <si>
    <t>More people show off their tattoos and the rapper points to the camera and shows the finished tattoo and album cover.</t>
  </si>
  <si>
    <t>v_wz8d9DKMrTc</t>
  </si>
  <si>
    <t>A band is practicing in a gym.</t>
  </si>
  <si>
    <t>People are twirling flags while standing in a line.</t>
  </si>
  <si>
    <t>The drummers are marching around the gym.</t>
  </si>
  <si>
    <t>They get into a line and dance out of the gym.</t>
  </si>
  <si>
    <t>v_lCuMD23jOxo</t>
  </si>
  <si>
    <t>A person is seen speaking to the camera and smoking out of a hookah pipe.</t>
  </si>
  <si>
    <t>The camera pans around the area and continues to speak to the man and leads into a shot of a boat going by and a close fire.</t>
  </si>
  <si>
    <t>v_HoViId2LHl8</t>
  </si>
  <si>
    <t>A woman starts dancing next to a man in front of a gathered crowd.</t>
  </si>
  <si>
    <t>They spin in circles as they dance.</t>
  </si>
  <si>
    <t>She goes between his legs, sliding outward and injuring her neck.</t>
  </si>
  <si>
    <t>She gets up laughing and gives the man a hug.</t>
  </si>
  <si>
    <t>v_3ekMufBfUdw</t>
  </si>
  <si>
    <t>A woman is seen blow drying her hair while using a comb in various fashions and using different products.</t>
  </si>
  <si>
    <t>The woman continues to use the blow dryer on her hair and ends by showing off her finished hair.</t>
  </si>
  <si>
    <t>v_D7ZeRbotot0</t>
  </si>
  <si>
    <t>A man in yellow and black suit welds a steel.</t>
  </si>
  <si>
    <t>He stops the welding job.</t>
  </si>
  <si>
    <t>Then he moves away and inspect it.</t>
  </si>
  <si>
    <t>v_uTVjevTM6V0</t>
  </si>
  <si>
    <t>Three athletes of different countries compete weightlifting on front the jury, during the first round, all the athletes lift the weight successfully.</t>
  </si>
  <si>
    <t>In the second round, the athlete with blue uniform rise successfully and kiss the bar of the weight, also the other athletes are successful.</t>
  </si>
  <si>
    <t>On the third round, the Indian athlete let fall the weight.</t>
  </si>
  <si>
    <t>The athlete with red uniform is congratulated, then stand on the first place of the podium and talks.</t>
  </si>
  <si>
    <t>v_Y1Vop80R9b8</t>
  </si>
  <si>
    <t>A room is covered to avoid paint being splattered on objects in the room.</t>
  </si>
  <si>
    <t>A room is seen with blue tape on its borders and walls.</t>
  </si>
  <si>
    <t>The floors of the room also have bag over the carpet.</t>
  </si>
  <si>
    <t>The staircase of a house has bags over it to avoid paint damage.</t>
  </si>
  <si>
    <t>A sparkly ceiling is seen.</t>
  </si>
  <si>
    <t>v_mOrhfrmmxAQ</t>
  </si>
  <si>
    <t>A boat is seen riding along the water with a person riding on skis behind.</t>
  </si>
  <si>
    <t>The person does a flip and lands backwards into the water.</t>
  </si>
  <si>
    <t>v_2uMG44uNDJ8</t>
  </si>
  <si>
    <t>A woman and a man are inside a car talking, then the man turn his head.</t>
  </si>
  <si>
    <t>A young lady wash a car only wearing a bra and shorts, then she sprinkle water on her head a turn it.</t>
  </si>
  <si>
    <t>After, the man turns to see the angry woman and scream.</t>
  </si>
  <si>
    <t>v_jalqZE5ekho</t>
  </si>
  <si>
    <t>little kid is in the sand doing a castle using a small toy shovel kid leaves.</t>
  </si>
  <si>
    <t>little girl foes into the castle in the sand and start playing while the kid bring more water from the sea.</t>
  </si>
  <si>
    <t>v_E1-eVfnNfXI</t>
  </si>
  <si>
    <t>A woman is sitting with a baby in her arms.</t>
  </si>
  <si>
    <t>She takes licks of an ice cream cone, and the baby laughs hysterically each time.</t>
  </si>
  <si>
    <t>She offers him bites, pulling the cone away and making him laugh.</t>
  </si>
  <si>
    <t>v_sQtT9sUyUwE</t>
  </si>
  <si>
    <t>A man rows a canoe down a river.</t>
  </si>
  <si>
    <t>Several other people are rowing too.</t>
  </si>
  <si>
    <t>His canoe is colored red.</t>
  </si>
  <si>
    <t>He finally passes the point.</t>
  </si>
  <si>
    <t>v_Fia1JynWFBA</t>
  </si>
  <si>
    <t>A woman uses a rolling pin to roll out dough onto the counter.</t>
  </si>
  <si>
    <t>Another woman is taking something off of a baking sheet.</t>
  </si>
  <si>
    <t>v_sQZaEt-ssCs</t>
  </si>
  <si>
    <t>women are standing in a table doing arm wrestling in a competition.</t>
  </si>
  <si>
    <t>two referees on side of tables and watch each other.</t>
  </si>
  <si>
    <t>women are arm wrestling in the table again and at the end high each other.</t>
  </si>
  <si>
    <t>v_YAhMxt-3ciU</t>
  </si>
  <si>
    <t>People are playing croquet on a field of grass.</t>
  </si>
  <si>
    <t>A map of the world is shown.</t>
  </si>
  <si>
    <t>Trophies are shown on the screen.</t>
  </si>
  <si>
    <t>v_5Jo_AWt9fB0</t>
  </si>
  <si>
    <t>A man is wearing a hat and kneeling down on a blue mat.</t>
  </si>
  <si>
    <t>He starts pulling on a rope on a workout machine.</t>
  </si>
  <si>
    <t>v_hxluAHro9bQ</t>
  </si>
  <si>
    <t>A woman in pink top is holding a hoop and talking to the camera.</t>
  </si>
  <si>
    <t>The woman put the hoop to her waist and start to hoop.</t>
  </si>
  <si>
    <t>The woman paused and turned around and start shaking her hips, she changed her hoops into smaller one, but the small one keep falling, then changed the hoops to bigger one and she began shaking her hips with the hoops.</t>
  </si>
  <si>
    <t>v_-CS7U_XrkPI</t>
  </si>
  <si>
    <t>A group of men are inside a dark club.</t>
  </si>
  <si>
    <t>A man begins throwing darts at something off screen.</t>
  </si>
  <si>
    <t>He repeats this many times before giving up, shrugging, and turning the camera toward the dart board.</t>
  </si>
  <si>
    <t>We see that four of the darts have hit the exact same spot.</t>
  </si>
  <si>
    <t>v_WsqMDMOjuN4</t>
  </si>
  <si>
    <t>A small group of people are seen swimming around a pool and leads into several shots of a swimmer throwing a ball into a net.</t>
  </si>
  <si>
    <t>The goalie blocks a few shots and then switches with another team mate while the audience cheers.</t>
  </si>
  <si>
    <t>The people switch out continuously and leads to one team winning and celebrating all together in the water.</t>
  </si>
  <si>
    <t>v_4KqjBUpLQk8</t>
  </si>
  <si>
    <t>Several men are shown at different rodeos riding horses and capturing the calf attached to the string.</t>
  </si>
  <si>
    <t>As more locations are shown,more animals are captured and more people are shown watching the actions taking place.</t>
  </si>
  <si>
    <t>v_extd66Y1tJ8</t>
  </si>
  <si>
    <t>A young lady is making faces at the camera.</t>
  </si>
  <si>
    <t>She holds up a box that has barcodes and reads "Sterling Gray" on it.</t>
  </si>
  <si>
    <t>She shows a bottle of Renew and eye contact lens cases.</t>
  </si>
  <si>
    <t>She applies both of the contact lenses and cries.</t>
  </si>
  <si>
    <t>v_XKuD0F-p6YA</t>
  </si>
  <si>
    <t>man is opening a box with scissors and take out an unarmed bike.</t>
  </si>
  <si>
    <t>man is arming the bike inside a room with wooden floor.</t>
  </si>
  <si>
    <t>v_pHAIrx_cRFU</t>
  </si>
  <si>
    <t>The person holds a blade to sharpen it.</t>
  </si>
  <si>
    <t>The person takes the belt off the machine.</t>
  </si>
  <si>
    <t>The person puts a new belt on the machine.</t>
  </si>
  <si>
    <t>The person sharpents the blade on the second belt.</t>
  </si>
  <si>
    <t>The person takes the second belt off.</t>
  </si>
  <si>
    <t>The person puts on a third belt.</t>
  </si>
  <si>
    <t>The person sharpens the blade on the third belt.</t>
  </si>
  <si>
    <t>The person demonstrates the blade's edge.</t>
  </si>
  <si>
    <t>v_8rHY_Vt2FLA</t>
  </si>
  <si>
    <t>A car is seen driving around and leads into a man pumping air in the tire.</t>
  </si>
  <si>
    <t>The man puts a wire along the tire and continues to spin it around.</t>
  </si>
  <si>
    <t>He pumps more hair into the tire and takes off the jack driving it away.</t>
  </si>
  <si>
    <t>v_Zts8FynhoJs</t>
  </si>
  <si>
    <t>A woman is brushing her teeth in a bathroom.</t>
  </si>
  <si>
    <t>Someone is filming her behind her.</t>
  </si>
  <si>
    <t>She spits the toothpaste out into the sink in front of her.</t>
  </si>
  <si>
    <t>v_XOUyGnr6iTM</t>
  </si>
  <si>
    <t>A small group of men are seen standing around a room holding tennis rackets.</t>
  </si>
  <si>
    <t>The men then begin playing tennis with one another while hitting the ball around.</t>
  </si>
  <si>
    <t>The men continue to hit the ball around the room and ends with several walking out.</t>
  </si>
  <si>
    <t>v_TJ98vfFChfI</t>
  </si>
  <si>
    <t>A man in a white shirt is chopping a piece of wood with an ax.</t>
  </si>
  <si>
    <t>He swings at the wood and misses and hits the ground.</t>
  </si>
  <si>
    <t>Another man carrying a pot walks up behind him.</t>
  </si>
  <si>
    <t>v_KtUshVJ28us</t>
  </si>
  <si>
    <t>We see a young girl gymnast talking to the camera.</t>
  </si>
  <si>
    <t>We see the girl perform flips.</t>
  </si>
  <si>
    <t>The girl flips on a trampoline.</t>
  </si>
  <si>
    <t>She jumps and does a split in the air.</t>
  </si>
  <si>
    <t>We see the bloopers where she falls and a title screen.</t>
  </si>
  <si>
    <t>We then see the ending screens.</t>
  </si>
  <si>
    <t>v_pASyH2NPOOw</t>
  </si>
  <si>
    <t>We see a blue opening screen.</t>
  </si>
  <si>
    <t>We see a man flipping and performing Capoeira cut with blue title screens.</t>
  </si>
  <si>
    <t>The man does a spin kick.</t>
  </si>
  <si>
    <t>The man does a spin and duck.</t>
  </si>
  <si>
    <t>The man does a spin sweep on the floor.</t>
  </si>
  <si>
    <t>v_Cz2ut3p7nw0</t>
  </si>
  <si>
    <t>A small toddler is in the bathroom brushing his teeth.</t>
  </si>
  <si>
    <t>As he frantically brushes,a woman comes to assist him as he points to different things on the counter.</t>
  </si>
  <si>
    <t>The young boy keeps brushing and then they end up switching tooth brushes.</t>
  </si>
  <si>
    <t>Eventually,the woman puts toothpaste on the brush and the boy cleans his teeth.</t>
  </si>
  <si>
    <t>Once he is done,he is given a bar of soap and has to wash hands.</t>
  </si>
  <si>
    <t>Finally he is done and he grabs his toy and runs out of the bathroom.</t>
  </si>
  <si>
    <t>v_StvwTXdXG2U</t>
  </si>
  <si>
    <t>The video leads into several shots of people riding around on skateboards and performing tricks.</t>
  </si>
  <si>
    <t>Many more people riding are shown and leads into a young man speaking to the camera and a picture of a t-shirt.</t>
  </si>
  <si>
    <t>v_meAHw06Mh-Y</t>
  </si>
  <si>
    <t>A man is seen speaking to the camera and leads into him cutting tiles and measuring them along a wall.</t>
  </si>
  <si>
    <t>The man uses a saw to cut the wall as well as the tile while using various other tools to cut around the sides.</t>
  </si>
  <si>
    <t>More tiles are being shown cut out as the man continues to speak and lay them down on the floor.</t>
  </si>
  <si>
    <t>v_moxpALb09zU</t>
  </si>
  <si>
    <t>A girl is talking to the camera while using her hands.</t>
  </si>
  <si>
    <t>The camera does a blurred scene change.</t>
  </si>
  <si>
    <t>The girl points down and wipes her hair.</t>
  </si>
  <si>
    <t>The girl waves at the screen.</t>
  </si>
  <si>
    <t>The scene changes to the girl standing in a shower.</t>
  </si>
  <si>
    <t>The girl shaves her legs in the shower.</t>
  </si>
  <si>
    <t>She shows us her shave product in the can and on her hands.</t>
  </si>
  <si>
    <t>The girl shows us her razor then starts shaving.</t>
  </si>
  <si>
    <t>v_485DjSbjOV8</t>
  </si>
  <si>
    <t>Two people are seen standing up behind a set of drums looking at the camera.</t>
  </si>
  <si>
    <t>The two then begin playing the drums while a small girl walks in and out of frame.</t>
  </si>
  <si>
    <t>The two pause for a moment then continue playing with one stopping and letting the other finish.</t>
  </si>
  <si>
    <t>v_rnPfQuWS4Rk</t>
  </si>
  <si>
    <t>A man in a kilt prepares himself to toss a large hammer in a competition.</t>
  </si>
  <si>
    <t>After his preparations he swings the hammer around in a circle and tosses it as far as he can.</t>
  </si>
  <si>
    <t>v_snG89ed-64M</t>
  </si>
  <si>
    <t>A small group of people are seen playing lacrosse on a field running up and down the field and pushing one another.</t>
  </si>
  <si>
    <t>Several shots of players hitting one another is shown as well as players pushing other people.</t>
  </si>
  <si>
    <t>One team scores several goals and are immediately followed by teammates cheering.</t>
  </si>
  <si>
    <t>v_DWal5PJry6k</t>
  </si>
  <si>
    <t>A doctor went inside the room, then she wash her hands, wipe her hands with paper towel.</t>
  </si>
  <si>
    <t>A medical practitioner is washing her hand with soap and water, while the other medical practitioner in white coat is on her phone.</t>
  </si>
  <si>
    <t>A man in yellow coat is washing his hands, then the man in blue shirt is giving interview.</t>
  </si>
  <si>
    <t>v_EsOajUNpEzU</t>
  </si>
  <si>
    <t>A man talks while holding bagpipes.</t>
  </si>
  <si>
    <t>He then plays the bagpipes.</t>
  </si>
  <si>
    <t>The man moves his fingers to change the sound while he plays.</t>
  </si>
  <si>
    <t>v_YOLDcsX7EiA</t>
  </si>
  <si>
    <t>A person is skiing down a hill of snow.</t>
  </si>
  <si>
    <t>They go off of a jump and fly in the air.</t>
  </si>
  <si>
    <t>They land back on the snow and continue skiing down the hill.</t>
  </si>
  <si>
    <t>v_AtHnNOkaoUk</t>
  </si>
  <si>
    <t>A camera zooms in on a large truck that shows a person walking around from behind as well as another.</t>
  </si>
  <si>
    <t>The men begin pulling a rope and working from the back while the cameraman speaks to the camera.</t>
  </si>
  <si>
    <t>The man continues to pan around the snowy area and watch the men work from behind.</t>
  </si>
  <si>
    <t>v_teemFjum3oU</t>
  </si>
  <si>
    <t>A small child is seen sitting on top of a slide while looking over to another child playing.</t>
  </si>
  <si>
    <t>The boy rides down the slide several more times with the girl's assistance and a man standing holding a baby and watching.</t>
  </si>
  <si>
    <t>v_gU67yCVXHnQ</t>
  </si>
  <si>
    <t>A girl is looking at the camera.</t>
  </si>
  <si>
    <t>She turns around and is getting her hair brushed.</t>
  </si>
  <si>
    <t>She is looking at her phone.</t>
  </si>
  <si>
    <t>v_ifDsS6ZRsRM</t>
  </si>
  <si>
    <t>A woman's feet are shown as she warms up at ballet.</t>
  </si>
  <si>
    <t>A blonde woman is speaking to the camera, which pans out to her performing various dance moves while talking.</t>
  </si>
  <si>
    <t>She moves slowly at each step.</t>
  </si>
  <si>
    <t>She then stops and speaks her final words.</t>
  </si>
  <si>
    <t>v_-2VNLsk1s34</t>
  </si>
  <si>
    <t>A large man is seen stepping up into a circle and throws several shot puts off into the distance.</t>
  </si>
  <si>
    <t>Several more men are seen stepping up to the circle throwing a shot put off into the distance.</t>
  </si>
  <si>
    <t>People in the audience are seen cheering to one another as their scores are shown in the end.</t>
  </si>
  <si>
    <t>v_F_DHgp5hERs</t>
  </si>
  <si>
    <t>A man speaks to the camera while another man sits on a piece of exercise equipment behind him.</t>
  </si>
  <si>
    <t>The instructor continues moving around near the man and has him show how to machine works.</t>
  </si>
  <si>
    <t>He points to his body showing the muscles worked and walks around the man exercising.</t>
  </si>
  <si>
    <t>v_R8-iriCwcyE</t>
  </si>
  <si>
    <t>A gymnasts wipes chalk on his hands while getting ready.</t>
  </si>
  <si>
    <t>The gymnast stands on a platforms and swings himself onto a set of double bars.</t>
  </si>
  <si>
    <t>The gymnast does a double bar routine during a competition.</t>
  </si>
  <si>
    <t>The gymnast strikes his leg accidentally on the bars bringing him to a stop.</t>
  </si>
  <si>
    <t>The gymnast dismounts from the double bars and lands on the mat.</t>
  </si>
  <si>
    <t>A female gymnasts sits in a chair and waits for her turn.</t>
  </si>
  <si>
    <t>The female gymnasts stretches out her arms before the routine.</t>
  </si>
  <si>
    <t>A replay shows the highlights of the gymnasts routine on the double bars.</t>
  </si>
  <si>
    <t>v_mfENhAPlES8</t>
  </si>
  <si>
    <t>A man puts a black lens in his eye.</t>
  </si>
  <si>
    <t>Then, the man takes off the lens and after puts it again.</t>
  </si>
  <si>
    <t>v_92kGXXfm6ok</t>
  </si>
  <si>
    <t>A man is seen bending forward grabbing a large set of weights and lifting it on his shoulders.</t>
  </si>
  <si>
    <t>The man then lifts it up over his head and ends by throwing it back down.</t>
  </si>
  <si>
    <t>v_U_4goX5w_1c</t>
  </si>
  <si>
    <t>A black male athlete run in the field then hopped and jumped and landed on the sandy field.</t>
  </si>
  <si>
    <t>The athlete run around and cheered and kneel down and pray.</t>
  </si>
  <si>
    <t>The athlete run and ripped his shirt off, while he reach of the woman and give her a hug and cheered.</t>
  </si>
  <si>
    <t>v_sGTDKZuG1vE</t>
  </si>
  <si>
    <t>A man is kneeling down in front of a sink.</t>
  </si>
  <si>
    <t>He starts scrubbing the inside of the sink with a sponge.</t>
  </si>
  <si>
    <t>He takes a white towel and wipes off the counter and sink.</t>
  </si>
  <si>
    <t>He sprays the mirror with Windex and wipes the mirror off.</t>
  </si>
  <si>
    <t>v_tkmoslnsmwY</t>
  </si>
  <si>
    <t>A rapid river is running past a tree.</t>
  </si>
  <si>
    <t>A group of rafters don their gear, pushing their raft into the water.</t>
  </si>
  <si>
    <t>The paddle through the rapids, trying to stay upright and together.</t>
  </si>
  <si>
    <t>v_uatIP3FGQXk</t>
  </si>
  <si>
    <t>A large group of kids are seen standing around a field playing a game with one another.</t>
  </si>
  <si>
    <t>One boy throws a ball to another and the other kicks it off into the distance.</t>
  </si>
  <si>
    <t>The kids continue to play with one another as well as run along the field.</t>
  </si>
  <si>
    <t>v_CQweu0ZYNHU</t>
  </si>
  <si>
    <t>Three men stand together wearing heavily padded clothing with suspenders.</t>
  </si>
  <si>
    <t>The two men on the end strike the one in the middle below the belt and he falls to the ground in pain.</t>
  </si>
  <si>
    <t>One of the men is seen from behind walking in a hallway.</t>
  </si>
  <si>
    <t>The man sits on a bmx bike on the top of a ramp getting ready.</t>
  </si>
  <si>
    <t>the man drops into the ramp and falls hard slamming on the bottom.</t>
  </si>
  <si>
    <t>The man does tricks and jumps on the ramp riding a bike.</t>
  </si>
  <si>
    <t>One of the men in purple rides through a skate board park wearing the padded suit.</t>
  </si>
  <si>
    <t>Another man in grey shirt rides a skateboard on the half pipe ramp and does tricks.</t>
  </si>
  <si>
    <t>The three men ride together on the large ramp in formation.</t>
  </si>
  <si>
    <t>The man in purple falls and is struck in the face with his skateboard.</t>
  </si>
  <si>
    <t>v_w_OiqLfRJHI</t>
  </si>
  <si>
    <t>Two men are kneeling down holding paintball guns.</t>
  </si>
  <si>
    <t>They are walking down the street holding their paintball guns.</t>
  </si>
  <si>
    <t>They begin to play a game of paintballing.</t>
  </si>
  <si>
    <t>v_tVIY6uyH3aA</t>
  </si>
  <si>
    <t>A person is seen wearing a blue shirt and standing before a fence.</t>
  </si>
  <si>
    <t>The person bends down in front of the fence and begins spraying it down.</t>
  </si>
  <si>
    <t>The person continues spraying the fence while the camera captures from behind.</t>
  </si>
  <si>
    <t>v_caoMescJ1J4</t>
  </si>
  <si>
    <t>Three men are sitting on a couch with the man in the middle smiling, the man on the right playing a harmonica and the man on the far left holding his finger to his upper lip area and making a noise with his bottom lip by plucking it with his hand.</t>
  </si>
  <si>
    <t>The man on the right taps his foot as the two men play music.</t>
  </si>
  <si>
    <t>The camera pans to an onlooker standing on the side of the room watching and smiling.</t>
  </si>
  <si>
    <t>The two men stop playing and the man in the middle shrugs as the other two men smile.</t>
  </si>
  <si>
    <t>v_OKhVHhchsyI</t>
  </si>
  <si>
    <t>Three young children, 2 girls and a boy, are playing at a beach and piling sand onto a big pile as waves continue to go in and out.</t>
  </si>
  <si>
    <t>The camera person then pans around the beach to show the rest of the beach and various other people that are there.</t>
  </si>
  <si>
    <t>The camera person then focuses on two women talking and standing together.</t>
  </si>
  <si>
    <t>Then focuses back onto the children in the sand that are continuing to dig into the sand and pile sand into a big pile.</t>
  </si>
  <si>
    <t>One of the girls then runs out of the shot and the other girl and the only boy remain near their small pile of sand.</t>
  </si>
  <si>
    <t>v_j73Ks4r5tbg</t>
  </si>
  <si>
    <t>A girl with blonde hair and red nails sits in a chair in bedroom and talks to the camera while smoking and showing off a bottle of blue nailpolish.</t>
  </si>
  <si>
    <t>The girl rolls away from the camera in the chair to get a bottle of blue nail polish and hold it up to the screen.</t>
  </si>
  <si>
    <t>The girl then begins to smoke a cigarette in front of the camera while talking.</t>
  </si>
  <si>
    <t>The girl, finally, takes one long inhale and leans in to exhale into the camera before falling back.</t>
  </si>
  <si>
    <t>v_DgVo1IAVrDM</t>
  </si>
  <si>
    <t>A helmet camera is put on and then a man goes skateboarding.</t>
  </si>
  <si>
    <t>He zooms through the city and goes on a highway.</t>
  </si>
  <si>
    <t>He passes a truck and other people.</t>
  </si>
  <si>
    <t>v_OVRYoPA6h-Y</t>
  </si>
  <si>
    <t>A man stands in a field talking.</t>
  </si>
  <si>
    <t>He hits a bowling ball with a croquet mallet and then hold up a bowling ball with a big 8 on it.</t>
  </si>
  <si>
    <t>A woman with a large chalice is in the same field talking.</t>
  </si>
  <si>
    <t>Cars pass by and people walk around in the background.</t>
  </si>
  <si>
    <t>A bowling ball that is cut in half is on the ground.</t>
  </si>
  <si>
    <t>A couple of kids look at the half bowling ball.</t>
  </si>
  <si>
    <t>A man hits the "8" ball with a croquet mallet and does a little dance.</t>
  </si>
  <si>
    <t>A woman hits 1 bowling ball against another with a mallet.</t>
  </si>
  <si>
    <t>A different man hits a bowling ball with a mallet.</t>
  </si>
  <si>
    <t>A young girl hits the ball with the mallet.</t>
  </si>
  <si>
    <t>Another man hits a bowling ball and does a dance, The young girls play while a man dressed like a joker talks.</t>
  </si>
  <si>
    <t>The game ends and all of the materials for the game are gathered.</t>
  </si>
  <si>
    <t>The woman gives her chalice to the young girls who are very excited.</t>
  </si>
  <si>
    <t>v_RzlX3Ai9AH4</t>
  </si>
  <si>
    <t>Text states the video will show how to chalk paint.</t>
  </si>
  <si>
    <t>An armoire is shown, and a woman is holding one of the drawers.</t>
  </si>
  <si>
    <t>She sands down the wood before applying a coat of chalk paint with a brush.</t>
  </si>
  <si>
    <t>She holds the cans of paint as she talks about the finished product.</t>
  </si>
  <si>
    <t>The painted armoire is shown a final time.</t>
  </si>
  <si>
    <t>v_cV9xeDlKJok</t>
  </si>
  <si>
    <t>A show of a dumpster is shown as well as women in gear standing in front of it.</t>
  </si>
  <si>
    <t>The woman edges herself along the dumpster while other people walk into frame.</t>
  </si>
  <si>
    <t>The woman then moves herself around on roller blades while the camera follows her movements.</t>
  </si>
  <si>
    <t>v_UpmzSgLLj-s</t>
  </si>
  <si>
    <t>We see a quick title screen.</t>
  </si>
  <si>
    <t>We then see a man working on various things in a bike factory.</t>
  </si>
  <si>
    <t>The man puts a bike together quick, puts it in a box, then on a conveyor belt.</t>
  </si>
  <si>
    <t>We then see a person putting tools on the bike box.</t>
  </si>
  <si>
    <t>The man begins to take the pieces part and put the bike together.</t>
  </si>
  <si>
    <t>We see the factory briefly.</t>
  </si>
  <si>
    <t>We return to the man putting the bike together.</t>
  </si>
  <si>
    <t>He finishes and we see the customer service phone number.</t>
  </si>
  <si>
    <t>We then see the end title screen.</t>
  </si>
  <si>
    <t>v_ygHElEUxVwA</t>
  </si>
  <si>
    <t>A group of a man and three women are on a gym floor.</t>
  </si>
  <si>
    <t>They are dancing in unison, performing several moves.</t>
  </si>
  <si>
    <t>When they are done, one woman laughs and runs away.</t>
  </si>
  <si>
    <t>v_Jdtr90RIkHk</t>
  </si>
  <si>
    <t>A man is riding a skateboard indoors and rides it onto a short standing pole on the ground.</t>
  </si>
  <si>
    <t>The same man is now standing outside talking and the words on the bottom of the screen say his name is "Shawn Connelly" and he's the Founder- San Francisco Skate Club and while he's speaking various words appear at the bottom of the screen at various times as well as clips of him skateboarding showing different moves that the words mention.</t>
  </si>
  <si>
    <t>The man ends the video of just him talking, no text on the screen, and no other clips showing while he's talking.</t>
  </si>
  <si>
    <t>v_cc17BiSDn8w</t>
  </si>
  <si>
    <t>A man in a red kayak rolls into the water, and out of the water.</t>
  </si>
  <si>
    <t>He rolls into the water once more.</t>
  </si>
  <si>
    <t>He then is in a blue kayak and rolls into the water and out of the water.</t>
  </si>
  <si>
    <t>He does it once more.</t>
  </si>
  <si>
    <t>v_a7FNzxXWvgU</t>
  </si>
  <si>
    <t>A man wearing a black shirt opens a bag of bread and pulls out three slices of bread.</t>
  </si>
  <si>
    <t>The man raises an empty bottle of Miracle Whip and tosses it backhanded.</t>
  </si>
  <si>
    <t>The man then opens the refrigerator and pulls out a new bottle of Miracle Whip.</t>
  </si>
  <si>
    <t>He then uses a knife to scoop out the miracle whip on to the bread slices.</t>
  </si>
  <si>
    <t>The man then opens a bag of Swiss cheese and places a slice on each bread slice.</t>
  </si>
  <si>
    <t>The man then gets a container of Genoa Salami from the fridge and piles slices onto the bread slices.</t>
  </si>
  <si>
    <t>He then puts the bread slices on top of each other and completes the sandwich.</t>
  </si>
  <si>
    <t>v_RZurdKhOxk0</t>
  </si>
  <si>
    <t>We see a man and a woman standing foreheads together.</t>
  </si>
  <si>
    <t>The people then dance together.</t>
  </si>
  <si>
    <t>The lady holds her legs out at her side.</t>
  </si>
  <si>
    <t>The man swings the woman around.</t>
  </si>
  <si>
    <t>The lady shakes her hips.</t>
  </si>
  <si>
    <t>The lady bends down and the man wraps his arms around her.</t>
  </si>
  <si>
    <t>The people back up from each other.</t>
  </si>
  <si>
    <t>v_BoK5y7jdhzA</t>
  </si>
  <si>
    <t>A lacrosse player wearing a white jersey and holding a lacrosse stick is talking about the positions of lacrosse.</t>
  </si>
  <si>
    <t>He is standing in a field that is next to a busy road with many cars passing by.</t>
  </si>
  <si>
    <t>He is demonstrating the various positions and ways of using the lacrosse stick with another man.</t>
  </si>
  <si>
    <t>He explains how the goals are scored in lacrosse.</t>
  </si>
  <si>
    <t>v_uHmoFLB-PLc</t>
  </si>
  <si>
    <t>A boy holds a guitar in a room.</t>
  </si>
  <si>
    <t>He is sitting on a bed.</t>
  </si>
  <si>
    <t>He begins to play the guitar.</t>
  </si>
  <si>
    <t>Eventually he finishes the song.</t>
  </si>
  <si>
    <t>v_aKhD_bFB7MA</t>
  </si>
  <si>
    <t>There's a person walking on stilts on a sidewalk where several cars are parked.</t>
  </si>
  <si>
    <t>He is demonstrating how to walk on stilts.</t>
  </si>
  <si>
    <t>He is joined by two other men who also join him in the tutorial.</t>
  </si>
  <si>
    <t>The man on stilts shows how fast he can run while on the stilts as well as jump high up.</t>
  </si>
  <si>
    <t>While he's running on the stilts, his friend drives alongside him in a car.</t>
  </si>
  <si>
    <t>The man continues to do stunts on the stilts.</t>
  </si>
  <si>
    <t>v_eJvOgEahkys</t>
  </si>
  <si>
    <t>A young girl is seen standing at a ballet bar performing ballet moves.</t>
  </si>
  <si>
    <t>A girl is seen dancing on stage followed by a large group of girls warming up.</t>
  </si>
  <si>
    <t>The girls continue stretching and lead into the woman pointing her foot.</t>
  </si>
  <si>
    <t>v_gTh9bd9yV9E</t>
  </si>
  <si>
    <t>A teen puts make up to an man on his face.</t>
  </si>
  <si>
    <t>Then, the teen puts mascara, lip sticks and paint the eyelid with an eyeliner.</t>
  </si>
  <si>
    <t>Then, the teen puts color on the cheeks, then she eyeliners the eyelids.</t>
  </si>
  <si>
    <t>After, the teen paint the mouth and put lipstick on the cheeks and paint the eyelids.</t>
  </si>
  <si>
    <t>v_91Wdp_uaWrY</t>
  </si>
  <si>
    <t>Two people are fencing in a room.</t>
  </si>
  <si>
    <t>A person is standing next to a wall watching them.</t>
  </si>
  <si>
    <t>They stop fencing and walk away.</t>
  </si>
  <si>
    <t>v_hlFJj2dT3sU</t>
  </si>
  <si>
    <t>A boy is on a tennis court outside.</t>
  </si>
  <si>
    <t>He serves the ball with a racquet.</t>
  </si>
  <si>
    <t>He serves it a few more times, hitting it each time.</t>
  </si>
  <si>
    <t>v_LYOQ0gVySxE</t>
  </si>
  <si>
    <t>Coffee is ground up in an electric grinder.</t>
  </si>
  <si>
    <t>A cup of coffee and coffee press are set on a table.</t>
  </si>
  <si>
    <t>Milk is poured into the cup of coffee.</t>
  </si>
  <si>
    <t>The cup of coffee is picked up and set back down on the saucer.</t>
  </si>
  <si>
    <t>v_YvIfwsbuiKI</t>
  </si>
  <si>
    <t>A male figure is seen in a gym bending on mat and carrying out instructions to the camera on how to perform an exercise.</t>
  </si>
  <si>
    <t>He demonstrates on how to properly do exercises on an elastic band that is attached to a fixed pole.</t>
  </si>
  <si>
    <t>He grabs the elastic band and pulls it towards himself.</t>
  </si>
  <si>
    <t>Afterwards he pushes the band away from himself as he and demonstrates the proper use of the equipment .</t>
  </si>
  <si>
    <t>v_Vx6vP1oxiAg</t>
  </si>
  <si>
    <t>A woman is seen leading a camel around with two small children riding on the back.</t>
  </si>
  <si>
    <t>The kids waves to the camera while it pans around their ride and the camel spitting into the air.</t>
  </si>
  <si>
    <t>v_8Nv52hFr0tg</t>
  </si>
  <si>
    <t>A female gymnast stands idle while being watched by a crowd.</t>
  </si>
  <si>
    <t>A close up of a second woman saying something is shown.</t>
  </si>
  <si>
    <t>The gymnast performs a routine on a beam.</t>
  </si>
  <si>
    <t>The female gymnast finishes her routine and dismounts.</t>
  </si>
  <si>
    <t>People are shown applauding the gymnast.</t>
  </si>
  <si>
    <t>The gymnast walks away from the beam.</t>
  </si>
  <si>
    <t>v_kH8o0M69KGc</t>
  </si>
  <si>
    <t>A man is seen bending over a large set of weights with another walking behind him.</t>
  </si>
  <si>
    <t>The man lifts the bar up over his head and throws it back down.</t>
  </si>
  <si>
    <t>The man does this again while people watch on the sides.</t>
  </si>
  <si>
    <t>v_arbdFQpe0fk</t>
  </si>
  <si>
    <t>A pinata is seen swinging around the middle of people followed by a girl grabbing a stick.</t>
  </si>
  <si>
    <t>She moves all around the room swinging at the pinata as well as another girl swinging with her dad.</t>
  </si>
  <si>
    <t>A young boy walks up to try to hit it as well as another boy.</t>
  </si>
  <si>
    <t>v_k2gc3YcVjwM</t>
  </si>
  <si>
    <t>A guy waves and then speaks.</t>
  </si>
  <si>
    <t>A male approaches and grabs a plate.</t>
  </si>
  <si>
    <t>The male takes the plate to the sink.</t>
  </si>
  <si>
    <t>The male dips the plate into the water and uses a white rug to wash it.</t>
  </si>
  <si>
    <t>The male rinses the washed plate.</t>
  </si>
  <si>
    <t>The male soaks the white plate and then puts it on a dish drying rack.</t>
  </si>
  <si>
    <t>The male gives a thumbs up.</t>
  </si>
  <si>
    <t>v_6YmZNDXap64</t>
  </si>
  <si>
    <t>A man is seen spinning a rubix cube into his hands followed by more people attempting to solve the puzzle and speak to the camera.</t>
  </si>
  <si>
    <t>More people are shown attempting to solve the puzzle as well as speaking to the camera and smiling.</t>
  </si>
  <si>
    <t>v_YG_jr8Efdxk</t>
  </si>
  <si>
    <t>A large group of people are shown sitting on the sidelines as well as various shots of athletes preparing for an event.</t>
  </si>
  <si>
    <t>One woman is seen lifting a bar several times while her coach yells to encourage her.</t>
  </si>
  <si>
    <t>She finishes her set and walks away with several other people nearby.</t>
  </si>
  <si>
    <t>v_hx0WYKDa7PM</t>
  </si>
  <si>
    <t>A cameraman follows a man as he walks up a diving board.</t>
  </si>
  <si>
    <t>The diver gets to the edge of the board and stretches before falling forwards in the water.</t>
  </si>
  <si>
    <t>The diver dives into the water a second time.</t>
  </si>
  <si>
    <t>The diver gets out of the water and walks away as a cameraman follows him.</t>
  </si>
  <si>
    <t>v__yk7gjnHkjs</t>
  </si>
  <si>
    <t>A man swings and throws the hammer repeatedly.</t>
  </si>
  <si>
    <t>The man hops on one leg at the end and walks away.</t>
  </si>
  <si>
    <t>We switch to a man throwing shot put.</t>
  </si>
  <si>
    <t>Men on the sideline clap and jump.</t>
  </si>
  <si>
    <t>The man in red and blue raises a red flag.</t>
  </si>
  <si>
    <t>We see a man throw the hammer repeatedly.</t>
  </si>
  <si>
    <t>v_GZiG-aSzIJI</t>
  </si>
  <si>
    <t>There are two white cars that arrive in secluded area where there are warehouses.</t>
  </si>
  <si>
    <t>Four men get off the car and walk towards a man wearing a mask to cover his face.</t>
  </si>
  <si>
    <t>There are some people hiding behind trucks with guns in their hands.</t>
  </si>
  <si>
    <t>One of the men comes out and opens fire.</t>
  </si>
  <si>
    <t>He shoots his gun in the air.</t>
  </si>
  <si>
    <t>That provokes the other people and a huge gun fight breaks out.</t>
  </si>
  <si>
    <t>The men randomly begin shooting at each other.</t>
  </si>
  <si>
    <t>During that time, one of the men get shot in the head and he collapses and falls down.</t>
  </si>
  <si>
    <t>v_xgb-qIgWHw0</t>
  </si>
  <si>
    <t>A musician plays a set of drums on an elevated jumbo screen as a camera pans in and out on the performance.</t>
  </si>
  <si>
    <t>A musician with a headset attached to his ears and over his mouth, begins to play a set of drums.</t>
  </si>
  <si>
    <t>As the musician plays the drums the camera pans in for a closeup and then pans out.</t>
  </si>
  <si>
    <t>The musician ends the performance, stands, and waives both sticks at the audience.</t>
  </si>
  <si>
    <t>v_FrDKwP9XaOo</t>
  </si>
  <si>
    <t>Males pull a rope in a tag of war match.</t>
  </si>
  <si>
    <t>The males take steps to the right.</t>
  </si>
  <si>
    <t>The males are being pulled to the left.</t>
  </si>
  <si>
    <t>The males raise and let go of the rope now closer to the left.</t>
  </si>
  <si>
    <t>v_mouMMOraPyw</t>
  </si>
  <si>
    <t>A close up of a person is seen speaking to a person behind them and paddling along the water.</t>
  </si>
  <si>
    <t>The people continue riding along the water as the water splashes around them and the woman stops to wipe her face off.</t>
  </si>
  <si>
    <t>v_8dXbbJWFEJo</t>
  </si>
  <si>
    <t>A group of athletes row on canoes during a race in between buoys on a waterway.</t>
  </si>
  <si>
    <t>The men cross the final numbered buoys and glide while slowing down after the race.</t>
  </si>
  <si>
    <t>v_JJzBlV3p1Wc</t>
  </si>
  <si>
    <t>A woman in an outdoor environment teaches a young boy and girl how to wash clothes using a washboard and a metal bucket.</t>
  </si>
  <si>
    <t>A young boy pulls on a metal lever protruding from a metal bucket with a washboard in it.</t>
  </si>
  <si>
    <t>Two young girls watch as a woman in a white apron demonstrates to the boy and girl how to turn the lever and also hangs clothes on a clothes line.</t>
  </si>
  <si>
    <t>The young girl begins to pull the lever while the boy helps the woman hang clothes, and then all of the children take turns operating different parts of the washboard mechanism.</t>
  </si>
  <si>
    <t>v_eChLCFAGyx0</t>
  </si>
  <si>
    <t>The video takes place in a theater showing a symphony play a song.</t>
  </si>
  <si>
    <t>The video shows close ups of several of the symphony members as they play their instruments.</t>
  </si>
  <si>
    <t>The camera then pans out to show the audience.</t>
  </si>
  <si>
    <t>The symphony continues to play as the conductor leads.</t>
  </si>
  <si>
    <t>The video ends showing the entire symphony.</t>
  </si>
  <si>
    <t>v_XfF30DaqAGU</t>
  </si>
  <si>
    <t>A woman is seen standing before a bar and bends down in front of him.</t>
  </si>
  <si>
    <t>She grabs the weights and lifts it over her head and then back down.</t>
  </si>
  <si>
    <t>She continuously lifts the weight up over her head.</t>
  </si>
  <si>
    <t>v_B4LYBLihttQ</t>
  </si>
  <si>
    <t>The young female is standing in the kitchen talking to the camera.</t>
  </si>
  <si>
    <t>The female put the pasta in boiling water, chopped the garlic and pour olive oil in the pan, she shredded the orange peel and put in the pan and added tomatoes and seafood.</t>
  </si>
  <si>
    <t>The woman drain the pasta, and put it on the sauce and put them in the white bowls.</t>
  </si>
  <si>
    <t>v_txMaVvdALeM</t>
  </si>
  <si>
    <t>A large group of people are riding in a huge raft.</t>
  </si>
  <si>
    <t>They paddle down the rapids, trying to stay upright.</t>
  </si>
  <si>
    <t>They flip over, falling out of the raft.</t>
  </si>
  <si>
    <t>v_g6L-l5sgFEQ</t>
  </si>
  <si>
    <t>We see the title card and a pained dresser.</t>
  </si>
  <si>
    <t>A lady sits on the floor and discusses painting.</t>
  </si>
  <si>
    <t>The lady paints the dresser while talking about it.</t>
  </si>
  <si>
    <t>We see the painted end product.</t>
  </si>
  <si>
    <t>We see the end cards for the video.</t>
  </si>
  <si>
    <t>v_FKAlXR9NkKw</t>
  </si>
  <si>
    <t>A lady walks down a hall while carrying a bucket of cleaning supplies.</t>
  </si>
  <si>
    <t>A lady cleans a window with newspapers.</t>
  </si>
  <si>
    <t>The lady sprays the newspaper.</t>
  </si>
  <si>
    <t>The ingredients to make the spray is shown.</t>
  </si>
  <si>
    <t>The lady sprays the window.</t>
  </si>
  <si>
    <t>v_DTprdtsGCts</t>
  </si>
  <si>
    <t>Pipes are being shown on a rock.</t>
  </si>
  <si>
    <t>A man is walking on a trail.</t>
  </si>
  <si>
    <t>A large structure behind a fence is shown.</t>
  </si>
  <si>
    <t>A boat is in the water surrounding a rock.</t>
  </si>
  <si>
    <t>A man sits on top of a rock.</t>
  </si>
  <si>
    <t>A man starts playing an instrument.</t>
  </si>
  <si>
    <t>A large rock wall is shown.</t>
  </si>
  <si>
    <t>The man continues playing the instrument.</t>
  </si>
  <si>
    <t>v_fpIS8jWoK9w</t>
  </si>
  <si>
    <t>The camera watches a man in a hat talking with someone from a low angle.</t>
  </si>
  <si>
    <t>The setting changes and the man in the hat talks with another man while the two look at papers.</t>
  </si>
  <si>
    <t>The man in the hat sits down and talks to the camera.</t>
  </si>
  <si>
    <t>The man drinks from a bottle of water.</t>
  </si>
  <si>
    <t>A woman applies an ink pattern to the man's body.</t>
  </si>
  <si>
    <t>The man lays on his side as the woman tattoos over the ink pattern.</t>
  </si>
  <si>
    <t>Still images of the completed tattoo are shown.</t>
  </si>
  <si>
    <t>v_s6oXeM9OluM</t>
  </si>
  <si>
    <t>A woman is shown holding a cat while a dog stands by her feet.</t>
  </si>
  <si>
    <t>She talks to the camera and shows off her cat nails.</t>
  </si>
  <si>
    <t>She grabs a tool and begins cutting the cat's claws.</t>
  </si>
  <si>
    <t>She adjusts the cat a bit but finishes her nails and lets her go.</t>
  </si>
  <si>
    <t>v_TS-p15iwQPc</t>
  </si>
  <si>
    <t>A class of children dressed in white gi's are walking, kicking and punching in a classroom while their teacher walks around them.</t>
  </si>
  <si>
    <t>The class stops and the instructor talks and walks around them.</t>
  </si>
  <si>
    <t>The class then turns around and begins to walk, kick and punch in the direction they just came from.</t>
  </si>
  <si>
    <t>The class turns around when they get to the end, stops, and the instructor begins talking and demonstrating a kick and a punch to them, moves out of the way and the class resumes.</t>
  </si>
  <si>
    <t>When they reach the end they turn around again to walk, kick and punch back in the direction they came from and once again the instructor stops them to talk and demonstrate the moves and once again the class resumes their movements and when hey get to the end of the room they turn around and end their routine with their legs apart and arms in front of them.</t>
  </si>
  <si>
    <t>v_uMw7YplUbAM</t>
  </si>
  <si>
    <t>A man is seen holding an accordion while speaking to the camera and smiling.</t>
  </si>
  <si>
    <t>He then plays the instrument while looking at the camera and ends by speaking more to the camera.</t>
  </si>
  <si>
    <t>v_DjyO6zWUiDw</t>
  </si>
  <si>
    <t>A boy is standing on a stool in front of a kitchen sink.</t>
  </si>
  <si>
    <t>He is washing the dishes under the water.</t>
  </si>
  <si>
    <t>He puts the dishes into a black strainer.</t>
  </si>
  <si>
    <t>v_RINsqxGLQdQ</t>
  </si>
  <si>
    <t>Several shots of people riding around kite surfing are shown as well as people speaking to the camera.</t>
  </si>
  <si>
    <t>The kids attempt the wind surfing and are seen moving their arms and legs around and waving to the camera.</t>
  </si>
  <si>
    <t>Two girls are seen dancing as well as people speaking to the camera and kids looking at the camera.</t>
  </si>
  <si>
    <t>v_uE15Mhtj9nE</t>
  </si>
  <si>
    <t>A woman is explaining how to remove wallpaper.</t>
  </si>
  <si>
    <t>She turns around and bends over to pick up a steamer.</t>
  </si>
  <si>
    <t>She shows how to steam the wallpaper in sections.</t>
  </si>
  <si>
    <t>She steps off the ladder and continues to steam the wallpaper.</t>
  </si>
  <si>
    <t>She moves the ladder out of the way then she steams more wallpaper, all the way to the bottom, across and the middle.</t>
  </si>
  <si>
    <t>She moves the ladder, climbs up it and peels the wallpaper from the wall, picking the pieces that stick from the wall.</t>
  </si>
  <si>
    <t>She pulls the residue from the wall.</t>
  </si>
  <si>
    <t>She walks out of camera range and comes back with a scraper to remove the left pieces.</t>
  </si>
  <si>
    <t>She bends down again and walks out of camera range again.</t>
  </si>
  <si>
    <t>She has a sponge and is cleaning the wall.</t>
  </si>
  <si>
    <t>She does more scraping and scrubbing.</t>
  </si>
  <si>
    <t>She turns around and smiles.</t>
  </si>
  <si>
    <t>v_nGOEmEDesPI</t>
  </si>
  <si>
    <t>There are snowflakes falling over a forest.</t>
  </si>
  <si>
    <t>A man in an orange jacket snowmobiles across a snowy field.</t>
  </si>
  <si>
    <t>The man snowboards down the mountain.</t>
  </si>
  <si>
    <t>Two men snowmobile through the forest.</t>
  </si>
  <si>
    <t>A man in a dark jacket snowboards through a route filled with trees.</t>
  </si>
  <si>
    <t>The man in the orange jacket looks at the camera.</t>
  </si>
  <si>
    <t>The man in the orange jacket snowmobiles down a very steep mountain.</t>
  </si>
  <si>
    <t>The man in the orange jacket snowmobiles off a jump and does tricks.</t>
  </si>
  <si>
    <t>The man in the orange jacket starts a fire.</t>
  </si>
  <si>
    <t>The man in the dark jacket continues to ski through treacherous areas filled with trees.</t>
  </si>
  <si>
    <t>v_7wyt_-SoudU</t>
  </si>
  <si>
    <t>man is welding a machine in a dark room.</t>
  </si>
  <si>
    <t>man is welding a metal pot and smoke is spreading out of the pot.</t>
  </si>
  <si>
    <t>man is wearing welding mask in a dark room welding something.</t>
  </si>
  <si>
    <t>v_5aUWT0CmJlc</t>
  </si>
  <si>
    <t>A close up shots of a man riding around is shown and leads into him taking off part of his shows.</t>
  </si>
  <si>
    <t>He shows off several objects and pushes a puck along some ice while the camera sits on the object and the man follows behind.</t>
  </si>
  <si>
    <t>v_0cYB-WFrVxk</t>
  </si>
  <si>
    <t>A boat pulls a person out of the water.</t>
  </si>
  <si>
    <t>They stand up and start water skiing behind the boat.</t>
  </si>
  <si>
    <t>The person falls and lets go of the rope.</t>
  </si>
  <si>
    <t>v_AUwam1VhQm0</t>
  </si>
  <si>
    <t>A large slide is shown with dozens of children climbing up and going down.</t>
  </si>
  <si>
    <t>Children run up and down the side and continue to ride down the slide.</t>
  </si>
  <si>
    <t>The camera pans all around the slides and shows the kids going down.</t>
  </si>
  <si>
    <t>v_OJYajhN1RHs</t>
  </si>
  <si>
    <t>A woman does a hair dressing routine by brushing and blowdrying hair.</t>
  </si>
  <si>
    <t>The woman sits and has the hairdresser work her magic in under ten minutes.</t>
  </si>
  <si>
    <t>v_Jmip8PuILhM</t>
  </si>
  <si>
    <t>A woman paints a square frame with legs.</t>
  </si>
  <si>
    <t>She turns it and paints another side.</t>
  </si>
  <si>
    <t>The camera pans to flowers.</t>
  </si>
  <si>
    <t>v_Y6rHCVo28kM</t>
  </si>
  <si>
    <t>A person is seen sitting in a chair with a woman standing behind him cutting his hair.</t>
  </si>
  <si>
    <t>She continuously combs his hair and measures it along the side.</t>
  </si>
  <si>
    <t>She finally finishes the cut and fades away from his face.</t>
  </si>
  <si>
    <t>v_EBdkGs_jFDw</t>
  </si>
  <si>
    <t>A person cleans a window screen, and then puts detergent on the lower part of the window and brush.</t>
  </si>
  <si>
    <t>Then, the person cleans the borders of the window with a cloth, and shows the dirt in the cloth.</t>
  </si>
  <si>
    <t>After, the person takes a bottle from the sill and continues cleaning the borders of the window screen.</t>
  </si>
  <si>
    <t>v_L9gznB55hhE</t>
  </si>
  <si>
    <t>A young woman is sitting on a step and then a poster saying I can do it is shown.</t>
  </si>
  <si>
    <t>The girl comes back and continues talking about what she is about to do.</t>
  </si>
  <si>
    <t>She then brings up a knife and talks about it as the camera zooms in on it.</t>
  </si>
  <si>
    <t>She then starts cutting a stick and words are displayed at the bottom showing the steps needed to complete the fire.</t>
  </si>
  <si>
    <t>A pocket knife is pulled out and she begins cutting a small piece of tinder.</t>
  </si>
  <si>
    <t>v_xWIKFgygROg</t>
  </si>
  <si>
    <t>A man wearing an earring looks to the side.</t>
  </si>
  <si>
    <t>He is shown holding up a bow and arrow, aiming, then shooting at his target.</t>
  </si>
  <si>
    <t>The scene is repeated several times.</t>
  </si>
  <si>
    <t>v_uVcyJg_3Fj8</t>
  </si>
  <si>
    <t>A time lapse video is shown of people walking around a house.</t>
  </si>
  <si>
    <t>Later, they begin to put up a Christmas tree with two people involved in the process.</t>
  </si>
  <si>
    <t>They put lights on the tree and light them up.</t>
  </si>
  <si>
    <t>Next, they begin to put several different ornaments on the tree.</t>
  </si>
  <si>
    <t>Lastly, they put the skirt under the tree and end the video with a kiss.</t>
  </si>
  <si>
    <t>v_qz47x5-R-BU</t>
  </si>
  <si>
    <t>band is in stage and the front man is singing.</t>
  </si>
  <si>
    <t>woman is playing drums wearing a black cap.</t>
  </si>
  <si>
    <t>v_xRfSkg8j7Dg</t>
  </si>
  <si>
    <t>A garden is shown from the outside of a house.</t>
  </si>
  <si>
    <t>The camera turns to take in various plants and flowers.</t>
  </si>
  <si>
    <t>We then get a good look at the grass.</t>
  </si>
  <si>
    <t>v_wBiRGLLjFVU</t>
  </si>
  <si>
    <t>Boys balance on slack lines and do various tricks.</t>
  </si>
  <si>
    <t>People balances on a slack line in a park and slowly walks across the length of the rope between two trees.</t>
  </si>
  <si>
    <t>Boys balance across a slack line placed over a small pond at a park.</t>
  </si>
  <si>
    <t>v_Bnw54GNBKlU</t>
  </si>
  <si>
    <t>woman is sitting in a sidewalk talking to the camera next to a green bucket.</t>
  </si>
  <si>
    <t>woman is jumping on sidewalk playing trick.</t>
  </si>
  <si>
    <t>another woman is in the sidewalk jumping playing trick.</t>
  </si>
  <si>
    <t>v_xcworhtkwNY</t>
  </si>
  <si>
    <t>A band is seated outside on asphalt.</t>
  </si>
  <si>
    <t>They are playing a series of drums with sticks and their hands.</t>
  </si>
  <si>
    <t>Numerous people pass by on foot and bike.</t>
  </si>
  <si>
    <t>v_fxEcsM0EaA4</t>
  </si>
  <si>
    <t>People are jumping rope on a stage.</t>
  </si>
  <si>
    <t>They switch places and a different person starts jumping.</t>
  </si>
  <si>
    <t>A man stands and holds the jump rope.</t>
  </si>
  <si>
    <t>v_whcxrkF2hws</t>
  </si>
  <si>
    <t>The Province of Albay seal is shown.</t>
  </si>
  <si>
    <t>Several team members are on a court outdoors, playing volleyball.</t>
  </si>
  <si>
    <t>They lob the ball back and forth over the net in front of an audience.</t>
  </si>
  <si>
    <t>Afterward, they celebrate, laughing and smiling.</t>
  </si>
  <si>
    <t>v_LHe5cTzHB3o</t>
  </si>
  <si>
    <t>There are two men boxing in an indoor boxing room that has mirrors on one entire wall.</t>
  </si>
  <si>
    <t>There is another person standing in the same room who is video taping them fight.</t>
  </si>
  <si>
    <t>The boxer in the red shorts punches the boxer in the black shorts.</t>
  </si>
  <si>
    <t>The boxer in black falls down and lands on his back and groans.</t>
  </si>
  <si>
    <t>Then he stands right back up while the boxer in red walks around him.</t>
  </si>
  <si>
    <t>v__4CLYKFzmoY</t>
  </si>
  <si>
    <t>A young man is wearing headphones and standing in front of a microphone.</t>
  </si>
  <si>
    <t>He begins playing the violin.</t>
  </si>
  <si>
    <t>He closes his eyes, listening to himself as he plays.</t>
  </si>
  <si>
    <t>v_sYhUC2uQR7I</t>
  </si>
  <si>
    <t>A gym room with several large boxing bags aligned along the perimeter of the room is shown.</t>
  </si>
  <si>
    <t>A group of guys then come in the building and they start to run around the bags as a warm up.</t>
  </si>
  <si>
    <t>Once they are finished,the men pair up with one another and three groups are shown boxing one another.</t>
  </si>
  <si>
    <t>A bumper sticker then appears saying,"Keep your Eyes on the Prize" and then more pairs of men begin kick boxing.</t>
  </si>
  <si>
    <t>v_ejzgfj6QKB8</t>
  </si>
  <si>
    <t>A man is in a yard with a cricket bat.</t>
  </si>
  <si>
    <t>He flips the bat over and over again.</t>
  </si>
  <si>
    <t>He trips, then kicks the ball into the air, hitting it.</t>
  </si>
  <si>
    <t>v_AzNHZyeXHBM</t>
  </si>
  <si>
    <t>A woman is standing on a track talking.</t>
  </si>
  <si>
    <t>She jumps into a pile of sand.</t>
  </si>
  <si>
    <t>She is sprinting down the track.</t>
  </si>
  <si>
    <t>It shows her stretching and jumping into a pile of sand.</t>
  </si>
  <si>
    <t>v_2EfjOGiEeJs</t>
  </si>
  <si>
    <t>The camera pans around a large group of people wandering around and leads into people playing a soccer match.</t>
  </si>
  <si>
    <t>The players are shown watching on the side and show more shots of the people and the city.</t>
  </si>
  <si>
    <t>v_nHkVfEKklJA</t>
  </si>
  <si>
    <t>A young boy jokes around sitting at a drum set.</t>
  </si>
  <si>
    <t>A boy plays a drum set at home.</t>
  </si>
  <si>
    <t>The parents watch the boy play the drums.</t>
  </si>
  <si>
    <t>v_l4YcjFl6SDc</t>
  </si>
  <si>
    <t>A hand is rubbing a chalk to a blue tip.</t>
  </si>
  <si>
    <t>The man is concentrating on the pool table, slowly hit the ball with the billiard stick.</t>
  </si>
  <si>
    <t>An old man with beard is giving interview.</t>
  </si>
  <si>
    <t>The man is arranging the ball on the table and then hit them and they all went into the holes.</t>
  </si>
  <si>
    <t>v_GQzwzOM9db8</t>
  </si>
  <si>
    <t>The athlete who is wearing gray tights and black shirt with number 2 on it started go on the beam and started to swirl around.</t>
  </si>
  <si>
    <t>When he got of from the beam, he walked towards the yellow container that contains white powder, then went back to the beam and did his tricks by swirling around.</t>
  </si>
  <si>
    <t>v_jxAZc0VgG4w</t>
  </si>
  <si>
    <t>An athletic woman is shown running down a track and jumping into a large sand pit.</t>
  </si>
  <si>
    <t>Her jump is then shown again several times in slow motion and another runner takes a turn at the jump.</t>
  </si>
  <si>
    <t>Her jump is shown again in slow motion and she waves to the audience while smiling.</t>
  </si>
  <si>
    <t>v_ShT4biEuQDo</t>
  </si>
  <si>
    <t>A shirtless man is shoving snow outside at the curb.</t>
  </si>
  <si>
    <t>He waves his hands around and motions at the passing cars.</t>
  </si>
  <si>
    <t>He continues to wave and roll his hands in the air as more cars pass.</t>
  </si>
  <si>
    <t>He continues shoveling the snow.</t>
  </si>
  <si>
    <t>v_XU8FzYcRat4</t>
  </si>
  <si>
    <t>A small group of men are seen standing on a sandy field hitting a ball back and fourth.</t>
  </si>
  <si>
    <t>The men begin a game of volleyball and hit the ball all around the area.</t>
  </si>
  <si>
    <t>The men continue playing while the camera captures them moving around.</t>
  </si>
  <si>
    <t>v_c8LevTVQ5nk</t>
  </si>
  <si>
    <t>A young boy is seen opening up presents with another's help and various shots of him playing a drum he received.</t>
  </si>
  <si>
    <t>The mother is interviewed and shows more shots of the boy playing several different instruments.</t>
  </si>
  <si>
    <t>It finally shows the boy grown up and ends with information for a movie trailer.</t>
  </si>
  <si>
    <t>v_Z3NtsxP6w-g</t>
  </si>
  <si>
    <t>A man is seen speaking to the camera and leads into actors being interviewed about a film.</t>
  </si>
  <si>
    <t>Several shots of the film is shown as well as stills from other movies and appearances together.</t>
  </si>
  <si>
    <t>The couple is then shown performing a tango routine on a large stage and ends by posing on stage with the audience cheering.</t>
  </si>
  <si>
    <t>v_KHOTebb8UC8</t>
  </si>
  <si>
    <t>A woman is talking about an elliptical exercise machine specially designed for women.</t>
  </si>
  <si>
    <t>Alongside her is the pro fitness expert who is demonstrating how the machine works.</t>
  </si>
  <si>
    <t>He shows the buttons that need to be pressed in order to start the elliptical.</t>
  </si>
  <si>
    <t>After he gets the machine started, the lady hops onto the machine and begins using the elliptical.</t>
  </si>
  <si>
    <t>She continues to exercise on the machine as the fitness trainer gives her tips on how the machine will benefit her.</t>
  </si>
  <si>
    <t>v_r1x3hjFWGYM</t>
  </si>
  <si>
    <t>We see an intro screen with contact lenses.</t>
  </si>
  <si>
    <t>We see a man wash his hand and take a contact from a new package.</t>
  </si>
  <si>
    <t>The person holds their eye open and inserts the contact lens.</t>
  </si>
  <si>
    <t>The man smiles and we see his face .</t>
  </si>
  <si>
    <t>We are then shown how to remove the contact lens with instructions.</t>
  </si>
  <si>
    <t>v_Z-kXPcLsxBg</t>
  </si>
  <si>
    <t>A purple rope is attached to a blue one, which is then stretched between two trees.</t>
  </si>
  <si>
    <t>A man bounces and balances on the rope as three other men watch.</t>
  </si>
  <si>
    <t>The other men take turns, some falling and rebalancing.</t>
  </si>
  <si>
    <t>v_hQ4xkr6VpnA</t>
  </si>
  <si>
    <t>First the woman is shown tracing her finger down her neck.</t>
  </si>
  <si>
    <t>Then she moves a part of her hair out of her way and starts to braid a part of her hair.</t>
  </si>
  <si>
    <t>Then she braids another braid that is smaller than the first one, but she connects the hair, by using a couple of strands from the last braid.</t>
  </si>
  <si>
    <t>v_ehO8oXanK1Y</t>
  </si>
  <si>
    <t>A woman does a karate routine with a partner and throws a bunch which is blocked twice.</t>
  </si>
  <si>
    <t>The woman practices a karate chops to her partner who watches and lifts hands.</t>
  </si>
  <si>
    <t>The woman throws a blow to her partner who catches it and throws her to the ground.</t>
  </si>
  <si>
    <t>v_S7RWgSxlZ-M</t>
  </si>
  <si>
    <t>A couple of tools are sitting on the edge of a table.</t>
  </si>
  <si>
    <t>A man adjusts the position of the tools.</t>
  </si>
  <si>
    <t>He uses a knife in the crevices, sharpening the knife.</t>
  </si>
  <si>
    <t>v_r8ZIHLqFPfg</t>
  </si>
  <si>
    <t>Vassen cloud nine red colored contacts are in the container they belong in.</t>
  </si>
  <si>
    <t>A blondish haired woman with brown eyes places one of them in her eye.</t>
  </si>
  <si>
    <t>You can see the difference of the brown and the contact very clearly and it looks pretty great.</t>
  </si>
  <si>
    <t>She then put the other contact in so you are able to see how both lenses look at a distance.</t>
  </si>
  <si>
    <t>v_EzX0FZI6pCg</t>
  </si>
  <si>
    <t>A young man is standing in a netted green circular area.</t>
  </si>
  <si>
    <t>The man is holding a ball and begins to spin himself around and around multiple times and then throws the ball.</t>
  </si>
  <si>
    <t>After he throws the ball he falls hard and quickly onto the ground.</t>
  </si>
  <si>
    <t>v_4j7_nh61bvo</t>
  </si>
  <si>
    <t>The video by TMZ is showing several overweight men as part of the sumo destruction event.</t>
  </si>
  <si>
    <t>It shows a picture of singer George Michael too.</t>
  </si>
  <si>
    <t>There's a panel of people sitting in a studio talking about the event.</t>
  </si>
  <si>
    <t>They are reading a script and laughing.</t>
  </si>
  <si>
    <t>There are pictures of sumo wrestlers shown too.</t>
  </si>
  <si>
    <t>It also shows sumo wrestlers wrestling as spectators watch the event.</t>
  </si>
  <si>
    <t>v_mxZRW_Xy7ks</t>
  </si>
  <si>
    <t>three woman are walking next to a house in a parking lot.</t>
  </si>
  <si>
    <t>people are snowboarding between two fences in a small hall going down a small slope.</t>
  </si>
  <si>
    <t>people are standing in a snowy mountain in snowboards.</t>
  </si>
  <si>
    <t>people are eating sitting outside a tent.</t>
  </si>
  <si>
    <t>people are snwoboarding going down a snowy slope ad doing tricks in mountains.</t>
  </si>
  <si>
    <t>v_DMw9Cb_Xy2A</t>
  </si>
  <si>
    <t>A man shoots an arrow with his bow.</t>
  </si>
  <si>
    <t>He grabs another arrow and shoots again.</t>
  </si>
  <si>
    <t>Once more, he shoots an arrow.</t>
  </si>
  <si>
    <t>He finds another arrow and shoots.</t>
  </si>
  <si>
    <t>He takes another shot of an arrow.</t>
  </si>
  <si>
    <t>Another arrow is grabbed and he shoots.</t>
  </si>
  <si>
    <t>He takes another one and shoots it.</t>
  </si>
  <si>
    <t>He grabs another arrow from his waist and shoots again.</t>
  </si>
  <si>
    <t>He shoots an arrow once more.</t>
  </si>
  <si>
    <t>He grabs a final arrow and shoots.</t>
  </si>
  <si>
    <t>A person walks towards the hay where the arrows have been shot.</t>
  </si>
  <si>
    <t>v_tnXjdv_GM9g</t>
  </si>
  <si>
    <t>A man prepares to run down a track.</t>
  </si>
  <si>
    <t>He runs very fast down the path.</t>
  </si>
  <si>
    <t>He takes a giant leap, landing in the sand.</t>
  </si>
  <si>
    <t>v_7Nj1Y-fyq_c</t>
  </si>
  <si>
    <t>A man dressed in business attire enters a kitchen with some children behind him, he shakes a woman's hand, rubs her shoulder and then introduces the children to the woman, and the whole time black text on the top of the screen reads "'Lying' Ryan has a few minutes to kill before a flight".</t>
  </si>
  <si>
    <t>More clips continue to play of the man in the kitchen, talking, handling cleaning products, and washing dishes, but a lot of negative words about him are appearing on the screen.</t>
  </si>
  <si>
    <t>The man is out of the kitchen now and walking then stops to shake hands and talk to a man, but a negative message about him still appears on the screen.</t>
  </si>
  <si>
    <t>v_ofrkSTRhCE4</t>
  </si>
  <si>
    <t>A woman is seen running down a road while looking at her watch and pointing to things in front of her.</t>
  </si>
  <si>
    <t>She continues running down the street while other people applaud her and she keeps running.</t>
  </si>
  <si>
    <t>v_i-LI4TpJNQ8</t>
  </si>
  <si>
    <t>man is sitting in a kayak next to the sidewalk.</t>
  </si>
  <si>
    <t>man is taking out the kayak from the water.</t>
  </si>
  <si>
    <t>man is in the river holding the row and doing kayaking and other men are beside him.</t>
  </si>
  <si>
    <t>v_b8S0HFHh_p0</t>
  </si>
  <si>
    <t>A man is recording himself in a lever with another man.</t>
  </si>
  <si>
    <t>The ride goes up higher and the man with a hat is talking to the other.</t>
  </si>
  <si>
    <t>The ride reaches the top and the man holds out his arms.</t>
  </si>
  <si>
    <t>He counts down and drops the man down to bungee jump.</t>
  </si>
  <si>
    <t>The man makes it to the bottom safely and the ride comes back down.</t>
  </si>
  <si>
    <t>v_OrVgspx6Axs</t>
  </si>
  <si>
    <t>Outside in oak creek there is some bikers getting ready yo race down the dirt.</t>
  </si>
  <si>
    <t>When the gates go down they all go as fast as they can through the obstacle of dirt.</t>
  </si>
  <si>
    <t>There are a few people sitting by in the stands watching as the bikers go off.</t>
  </si>
  <si>
    <t>They even show some of the kids waiting and having a good time watching the race.</t>
  </si>
  <si>
    <t>v_4vdclFJFrdk</t>
  </si>
  <si>
    <t>A woman practices floor gymnastics while others engage in various activities in the background.</t>
  </si>
  <si>
    <t>A second woman practices floor gymnastics.</t>
  </si>
  <si>
    <t>The two women are shown performing the same action in turn.</t>
  </si>
  <si>
    <t>The first woman is shown practicing more floor gymnastics, with occasional slow motion replays of her action.</t>
  </si>
  <si>
    <t>The second woman is shown performing some sort of pose.</t>
  </si>
  <si>
    <t>The first woman is shown performing gymnastics once again.</t>
  </si>
  <si>
    <t>The second woman is shown stretching her leg in the air.</t>
  </si>
  <si>
    <t>The first woman is shown performing gymnastics once more.</t>
  </si>
  <si>
    <t>The second woman is shown in some sort of pose once again.</t>
  </si>
  <si>
    <t>The first woman is shown performing gymnastics yet again.</t>
  </si>
  <si>
    <t>v_fFWHlFZEm3M</t>
  </si>
  <si>
    <t>A humongous red, black and white ship is shown on the water, then a smaller ship is shown quickly approaching the boat that is filming and suddenly it crashes into the boat and it has black smoke coming from the top of it.</t>
  </si>
  <si>
    <t>A lot of people are shown on the boat with life vests moving quickly about the ship, and men are frantically pulling at rope.</t>
  </si>
  <si>
    <t>A man and a woman are now sweeping the area where the boat was hit and another man is helping to pick up broken pieces.</t>
  </si>
  <si>
    <t>v_VRS48f5tj_c</t>
  </si>
  <si>
    <t>A lady plays the harp and another plays the flute in an orchestra and we see the conductor and return to the flute lady.</t>
  </si>
  <si>
    <t>We see the whole orchestra playing and return to the flute lady and the orchestra cut back and forth.</t>
  </si>
  <si>
    <t>We watch the conductor as he works and see the orchestra.</t>
  </si>
  <si>
    <t>We see the harp again and the orchestra before returning to the harp.</t>
  </si>
  <si>
    <t>v_p2n_FtzA1gk</t>
  </si>
  <si>
    <t>A woman is sitting on the edge of a bath tub.</t>
  </si>
  <si>
    <t>She begins shaving her leg with a razor.</t>
  </si>
  <si>
    <t>She looks at the bottom of the razor.</t>
  </si>
  <si>
    <t>v_aT5S8PcnlXo</t>
  </si>
  <si>
    <t>There's an athlete doing the hammer throw in a large stadium with some spectators and few other players watching him.</t>
  </si>
  <si>
    <t>He begins by swinging the hammer string in his hands while rotating his body.</t>
  </si>
  <si>
    <t>Two people step forward to see where the athlete's ball has landed.</t>
  </si>
  <si>
    <t>The athlete does another hammer throw and the distance of his throw is measured annd his statistics are shown on screen.</t>
  </si>
  <si>
    <t>The spectators in the bleachers watch the sporting event.</t>
  </si>
  <si>
    <t>v_ejkGxGrEdO4</t>
  </si>
  <si>
    <t>A woman and dog are seen standing in a large field performing tricks with a frisbee.</t>
  </si>
  <si>
    <t>The woman and dog are shown in several more clips playing with the frisbee and performing tricks.</t>
  </si>
  <si>
    <t>The dog jumps up and down as well as chases after the frisbee while the woman watches on the side.</t>
  </si>
  <si>
    <t>v_j5WshG7CEYY</t>
  </si>
  <si>
    <t>Two pairs of females are in a room playing a game of Foosball.</t>
  </si>
  <si>
    <t>The girls on the left make two goals and they begin to cheer.</t>
  </si>
  <si>
    <t>v_bRXOj9Jm1_E</t>
  </si>
  <si>
    <t>A man runs and dives into the water on a beach.</t>
  </si>
  <si>
    <t>A man carrying a surf board walks on the beach.</t>
  </si>
  <si>
    <t>People are surfing in the water.</t>
  </si>
  <si>
    <t>A man is sitting in the sand.</t>
  </si>
  <si>
    <t>More people surf in the water.</t>
  </si>
  <si>
    <t>Two ladies in bikinis are on the beach.</t>
  </si>
  <si>
    <t>People are riding waves in the water surfing.</t>
  </si>
  <si>
    <t>v_1MQkI4UafqE</t>
  </si>
  <si>
    <t>The video leads into several clips of young children practicing gymnastic moves in a large gym.</t>
  </si>
  <si>
    <t>The video continues on with the kids flipping and jumping around on the mats.</t>
  </si>
  <si>
    <t>v_ByTL6_iHoIA</t>
  </si>
  <si>
    <t>man is scuba diving under water and saying hi to the camera.</t>
  </si>
  <si>
    <t>people are scuba diving watching the fishes are swimming between rocks.</t>
  </si>
  <si>
    <t>people are under the sea scuba diving recording everything.</t>
  </si>
  <si>
    <t>v_TlwJfzlZZsE</t>
  </si>
  <si>
    <t>A man spins and throws a ball onto the field.</t>
  </si>
  <si>
    <t>Another man spins and throws a ball on the field.</t>
  </si>
  <si>
    <t>People in the stands are huging the athlete.</t>
  </si>
  <si>
    <t>v_kzeKQBi6Rhg</t>
  </si>
  <si>
    <t>An introduction comes onto the screen for a video about how to play different songs on the violin.</t>
  </si>
  <si>
    <t>A man comes onto the screen with a violin and begins to explain different techniques for playing the violin.</t>
  </si>
  <si>
    <t>He moves closer to the camera so that you can see the detail of what he is doing with his hands.</t>
  </si>
  <si>
    <t>He begins to play different notes on the violin as he moves his fingers.</t>
  </si>
  <si>
    <t>The video ends with the closing credits shown across the screen.</t>
  </si>
  <si>
    <t>v_c9mrRiwmhZw</t>
  </si>
  <si>
    <t>A man is standing in front of the camera talking and then moves behind the table.</t>
  </si>
  <si>
    <t>On the table,he has wrapping paper,a yard stick,tape and a pencil and moves them to the other side of the box.</t>
  </si>
  <si>
    <t>The box is then picked up and placed on top of the wrapping paper and the man measures the wrapping paper.</t>
  </si>
  <si>
    <t>The wrapping paper is then taped and the rest is measured before it taped.</t>
  </si>
  <si>
    <t>v_orR865dd2l4</t>
  </si>
  <si>
    <t>A woman and man play shuffleboard outside.</t>
  </si>
  <si>
    <t>The woman goes first and then the man takes his turn.</t>
  </si>
  <si>
    <t>v_Cx6oTdEq40w</t>
  </si>
  <si>
    <t>A man is shown wearing a helmet and climbing up on a rock wall.</t>
  </si>
  <si>
    <t>He continues to work his way up the rock wall while the camera captures his movements and panning around the mountains and water around them.</t>
  </si>
  <si>
    <t>The climber checks his rope and shakes the clip off of his rope.</t>
  </si>
  <si>
    <t>v_pg-DMwEM3K4</t>
  </si>
  <si>
    <t>People load into orange canoes.</t>
  </si>
  <si>
    <t>People row canoes on a body of water.</t>
  </si>
  <si>
    <t>Two guys paddle their canoe.</t>
  </si>
  <si>
    <t>v_RDq85fMq41s</t>
  </si>
  <si>
    <t>A smiling girl wearing braces and glasses lifts a pink bag above her head as she's standing in front of the middle body of a horse, and the words "Grooming with Erin".</t>
  </si>
  <si>
    <t>Now the horse is fully visible and the girl reaches into her pink bag to grab a brush and begins brushing the horse all over its body from front to back and on each side.</t>
  </si>
  <si>
    <t>The girl goes back to the pink bag, grabs another brush and begins brushing the horse again from head to toe and all around its body on each side.</t>
  </si>
  <si>
    <t>The girl once again goes to the pink to return the brush she was using and grabs another brush where she once again begins to brush the horse from head to toe and on all sides.</t>
  </si>
  <si>
    <t>The girls to the bag to drop the brush and then grabs a green tool, walks over to the horses front left foot, picks it up and begins cleaning out the shoe, then walks around the horse and does the rest of its shoes.</t>
  </si>
  <si>
    <t>When the girl is done with cleaning out the shoes, she returns the tool back to the pink bag and grabs a brush from off camera, brushes the mane, kisses the horse, and then returns the brush back to the pink bag, walks towards the camera and smiles big into it.</t>
  </si>
  <si>
    <t>v_mxIsgAmJHsM</t>
  </si>
  <si>
    <t>A woman spins a rod on the air while spinning and dancing, then she throws the rod high and spins before to catch the rod.</t>
  </si>
  <si>
    <t>The woman continues spinning the rod around body, also throw the rod in the air.</t>
  </si>
  <si>
    <t>Then, the woman rolls the rod on her arms, then she throw the rod in the air and and does a cartwheel before catching the rod.</t>
  </si>
  <si>
    <t>Next, the woman rolls the rod on her neck graciously and end her performance.</t>
  </si>
  <si>
    <t>v_HWymkBdgm1M</t>
  </si>
  <si>
    <t>First the elderly woman goes to hug the young man and then a man in a blue shirt plays the piano beautifully of different melodies.</t>
  </si>
  <si>
    <t>Then two little boys run outside the door while the man who's standing by the door looks tired and pitiful.</t>
  </si>
  <si>
    <t>v_Zev1KxIua7o</t>
  </si>
  <si>
    <t>A large group of people are seen standing in a large field holding instruments.</t>
  </si>
  <si>
    <t>One man leads in front as the group walks away and begins playing as a band.</t>
  </si>
  <si>
    <t>The group continues playing together and ends by walking away.</t>
  </si>
  <si>
    <t>v_1OJa2iiFxfk</t>
  </si>
  <si>
    <t>A young man with a backpack is talking and walking through a station.</t>
  </si>
  <si>
    <t>There is a man sitting on the ground shining a shoe.</t>
  </si>
  <si>
    <t>He applies ointment to the shoe and resumes buffing the shoe.</t>
  </si>
  <si>
    <t>The customer moves his right foot down and places his left foot on the stand and the man starts polishing the shoe.</t>
  </si>
  <si>
    <t>Two men on either side of the shoe shiner is observing the crowd.</t>
  </si>
  <si>
    <t>The shiner continues to buff the left shoe.</t>
  </si>
  <si>
    <t>The train is moving along the station as a crowd walks by.</t>
  </si>
  <si>
    <t>The shiner returns to buffing the right shoe.</t>
  </si>
  <si>
    <t>The shiner wipes the shoe with a cloth.</t>
  </si>
  <si>
    <t>The man resumes buffing the left shoe.</t>
  </si>
  <si>
    <t>The man drops his block and resumes buffing.</t>
  </si>
  <si>
    <t>The man takes the cloth to shine the left shoe.</t>
  </si>
  <si>
    <t>The customer observes his shiny shoes.</t>
  </si>
  <si>
    <t>The customer steps away from the shoe shiner.</t>
  </si>
  <si>
    <t>v_dkG9YRNJllQ</t>
  </si>
  <si>
    <t>A man is seen wearing a reef blower and blowing all around a trampoline.</t>
  </si>
  <si>
    <t>Kids are seen jumping on the trampoline while the man blows around them.</t>
  </si>
  <si>
    <t>The man continues to blow as the kids jump around.</t>
  </si>
  <si>
    <t>v_XlR3u3bROWM</t>
  </si>
  <si>
    <t>A lacrosse team huddles and then practices.</t>
  </si>
  <si>
    <t>A baby is shown and then there are people interviewed.</t>
  </si>
  <si>
    <t>A helmet is shown and more interviews are conducted.</t>
  </si>
  <si>
    <t>v_8xm7fWZ0RmE</t>
  </si>
  <si>
    <t>An Asian man is standing by the keyboard, he is wearing a red shirt with black top inside.</t>
  </si>
  <si>
    <t>Two people, one girl and one boy are sitting, the girl is wearing a white top, while the boy is wearing a white stripe sweater.</t>
  </si>
  <si>
    <t>The man started playing on the keyboard, he has his hands shown, he is wearing a black bead bracelet, then he continue playing while the two people in white is listening.</t>
  </si>
  <si>
    <t>When the man finished playing his keyboard, people cheered for him.</t>
  </si>
  <si>
    <t>v__0IkiqDouX8</t>
  </si>
  <si>
    <t>A camera pans around a large body of water followed by people swimming in the water.</t>
  </si>
  <si>
    <t>Clips are shown of people surfing as well as swimming in the water and smiling to the camera.</t>
  </si>
  <si>
    <t>More clips are shown of people close up moving along the water.</t>
  </si>
  <si>
    <t>v_Fe-DUewB8ok</t>
  </si>
  <si>
    <t>A child boxes a gloved adult kneeing on the floor.</t>
  </si>
  <si>
    <t>The child also practices karate kicks.</t>
  </si>
  <si>
    <t>The adult and child high five with gloved hands.</t>
  </si>
  <si>
    <t>The adult starts to get off the floor.</t>
  </si>
  <si>
    <t>v_njsO-Nlwkmg</t>
  </si>
  <si>
    <t>A child plays with a vacuum attachment piece in a bedroom.</t>
  </si>
  <si>
    <t>The mother vacuums the floor of the bedroom.</t>
  </si>
  <si>
    <t>The child brings the vacuum attachment into the next bedroom.</t>
  </si>
  <si>
    <t>v_VFSSZXuMmgg</t>
  </si>
  <si>
    <t>People are rollerblading and doing tricks.</t>
  </si>
  <si>
    <t>A person is skateboarding at a skate park.</t>
  </si>
  <si>
    <t>A white car is in the street.</t>
  </si>
  <si>
    <t>v_DsUbSyRX-B4</t>
  </si>
  <si>
    <t>Outside at the playground a boy has climbed to the top of the swing set while other children are swinging.</t>
  </si>
  <si>
    <t>The boy at the top is just sitting casually while another child is being pushed by a friend on the swing.</t>
  </si>
  <si>
    <t>She is building up a lot of speed and is going really high.</t>
  </si>
  <si>
    <t>She jumps off but does not land very well at all, she crashed down into the grass.</t>
  </si>
  <si>
    <t>v_TQepyWudKYQ</t>
  </si>
  <si>
    <t>A man stands on a field.</t>
  </si>
  <si>
    <t>The crowd in the stadium cheers on.</t>
  </si>
  <si>
    <t>Players on the field prepare to start a game.</t>
  </si>
  <si>
    <t>The pitcher pitches the ball.</t>
  </si>
  <si>
    <t>The batter tries to hit the ball but misses.</t>
  </si>
  <si>
    <t>The pitchers team excitedly exits the field.</t>
  </si>
  <si>
    <t>v_5YsdlM3Stjo</t>
  </si>
  <si>
    <t>There's a brown horse tied in a stable.</t>
  </si>
  <si>
    <t>A woman in a green shirt and brown boots walks in and begins scrubbing the horse.</t>
  </si>
  <si>
    <t>She continues scrubbing and cleaning the horse on his stomach.</t>
  </si>
  <si>
    <t>She scrubs the horse's neck area and back area thoroughly.</t>
  </si>
  <si>
    <t>She then walks to the horse's other side and continues scrubbing.</t>
  </si>
  <si>
    <t>The horse begins moving his neck and head as she continues scrubbing.</t>
  </si>
  <si>
    <t>Then she goes in front of the horse and cleans his mouth.</t>
  </si>
  <si>
    <t>v_auxBRPzLiIo</t>
  </si>
  <si>
    <t>Three girls are riding stationary bikes.</t>
  </si>
  <si>
    <t>A man is standing in front of them holding a camera.</t>
  </si>
  <si>
    <t>Another man walks in front of them.</t>
  </si>
  <si>
    <t>v_cukeWRPJzf8</t>
  </si>
  <si>
    <t>An underwater view is being shown as a woman dressed like a mermaid is swimming.</t>
  </si>
  <si>
    <t>A large nurse whale swims alongside her.</t>
  </si>
  <si>
    <t>Multiple pictures of the swimming mermaid are shown.</t>
  </si>
  <si>
    <t>v_u-YaDbGZoPk</t>
  </si>
  <si>
    <t>A picture of a scrubber is shown followed by a man using the item on a set of windows.</t>
  </si>
  <si>
    <t>He then wipes down the glass with another rag and points to the window and closing it while credits roll.</t>
  </si>
  <si>
    <t>v_W5g1IIAOZqs</t>
  </si>
  <si>
    <t>People gather in an indoor exhibition.</t>
  </si>
  <si>
    <t>A man and a robot play ping pong in the exhibition.</t>
  </si>
  <si>
    <t>People wears lanyards and watch around the exhibits, while a man explains a person holding two discs.</t>
  </si>
  <si>
    <t>Other people sits in a eating area while reading and texting.</t>
  </si>
  <si>
    <t>v_7OcfzMIZsxA</t>
  </si>
  <si>
    <t>People are eating ice cream cones.</t>
  </si>
  <si>
    <t>A person puts ice cream into an ice cream cone.</t>
  </si>
  <si>
    <t>A woman in glasses talks to the camera.</t>
  </si>
  <si>
    <t>v_jbh_K0yyJFo</t>
  </si>
  <si>
    <t>Two very large men are in the middle of a ring wearing sumo wrestling outfits.</t>
  </si>
  <si>
    <t>They are getting in position and waiting for the referee to tell them to start the match.</t>
  </si>
  <si>
    <t>Once the ref says to start they begin the match both running towards one another immediately.</t>
  </si>
  <si>
    <t>The tan skinned man knocks the other man down tot the ground and he wins the match.</t>
  </si>
  <si>
    <t>v__Rcb5kuhn90</t>
  </si>
  <si>
    <t>A woman manipulates a Rubik's cube while a man watches on in a competitive setting.</t>
  </si>
  <si>
    <t>Two men walk through the camera frame in the background.</t>
  </si>
  <si>
    <t>The woman puts the solved Rubik's cube on the table before her.</t>
  </si>
  <si>
    <t>v_7IIi_92vRLo</t>
  </si>
  <si>
    <t>An intro leads into various pictures of girls with long hair as well as girls who have their hair braided together.</t>
  </si>
  <si>
    <t>A girl's hair length is measured followed by more pictures of her long hair and speaking to the camera.</t>
  </si>
  <si>
    <t>A set of hands is then seen cutting the girl's hair and showing her ponytail to the girl.</t>
  </si>
  <si>
    <t>More pictures of the girl's new hair is shown as well as old pictures of her.</t>
  </si>
  <si>
    <t>v_Zk4Ewz3v6aQ</t>
  </si>
  <si>
    <t>A man wearing a black shirt and black shorts is standing next to an exercise machine.</t>
  </si>
  <si>
    <t>He sits on the exercise machine and starts working out.</t>
  </si>
  <si>
    <t>He stops working out and releases the bar.</t>
  </si>
  <si>
    <t>v_jIb_BfiRsQ4</t>
  </si>
  <si>
    <t>A man fry vegetables in a pan and stir with a large spoon.</t>
  </si>
  <si>
    <t>Then the man brake eggs in a bowl and mix well, after the man add the eggs in the pan to do an omelette.</t>
  </si>
  <si>
    <t>He roll the omelette and flip it in the air, then the man serves the omelette on a dish.</t>
  </si>
  <si>
    <t>v_SbX8KDWMhio</t>
  </si>
  <si>
    <t>A woman is dancing along to some music while standing in front of a television.</t>
  </si>
  <si>
    <t>As she is dancing she begins to smoke a hookah pipe.</t>
  </si>
  <si>
    <t>The camera shows two other women in the room as they dance and smoke the hookah pipe with her.</t>
  </si>
  <si>
    <t>the camera turns to a man that is in the room with a camera taking pictures.</t>
  </si>
  <si>
    <t>v_IGcsVPa34Hc</t>
  </si>
  <si>
    <t>A small girl is making cookies with her mother in her kitchen.</t>
  </si>
  <si>
    <t>She wants her mom to pretend that she is Santa Claus.</t>
  </si>
  <si>
    <t>The laughs and rolls the cookie dough on the cutting board.</t>
  </si>
  <si>
    <t>The mother opens the oven and puts the tray full of cookie dough into the oven for baking.</t>
  </si>
  <si>
    <t>The mother then takes the cookie cutter and makes some more cookies for baking, Then both mother and daughter go through the cookie recipe as they place the cookie dough on the tray.</t>
  </si>
  <si>
    <t>After the cookies are baked, they decorate the cookies with sprinkles and frosting.</t>
  </si>
  <si>
    <t>The girl proudly shows the finished cookie after it's done.</t>
  </si>
  <si>
    <t>v_5ohc1_X2W80</t>
  </si>
  <si>
    <t>Two people are shown pushing around a lawn mower and cutting the lawn.</t>
  </si>
  <si>
    <t>The bump into each other when one turns around the other follows close behind.</t>
  </si>
  <si>
    <t>The male walks up to the house and continues coming back around towards the woman.</t>
  </si>
  <si>
    <t>v_n9teiB6FW84</t>
  </si>
  <si>
    <t>A person is seen riding along a bike trail while a person wearing a camera following from behind.</t>
  </si>
  <si>
    <t>More clips are shown of people riding bikes along the trail while the camera captures it from several angles.</t>
  </si>
  <si>
    <t>v_THOVGzbo8w8</t>
  </si>
  <si>
    <t>A close up of a lacrosse game is shown that leads into a man speaking to the camera.</t>
  </si>
  <si>
    <t>More shots are shown of the game with the players running up and down the field as well as many others speaking to the camera.</t>
  </si>
  <si>
    <t>v_Gp5Vos--_0k</t>
  </si>
  <si>
    <t>A man is seen wearing a helmet and kneeling down in a large room.</t>
  </si>
  <si>
    <t>Uses a torch on an object while another person walks into frame.</t>
  </si>
  <si>
    <t>In the end he zooms in on the object he torched.</t>
  </si>
  <si>
    <t>v_7j8cTyXi5a4</t>
  </si>
  <si>
    <t>A woman is standing behind a table.</t>
  </si>
  <si>
    <t>She picks up a rag and a bottle of oil.</t>
  </si>
  <si>
    <t>She puts oil onto the rag and starts to clean her boots with it.</t>
  </si>
  <si>
    <t>v_zdoGEZO5Ldc</t>
  </si>
  <si>
    <t>A boy sits at a table with a girl beside him.</t>
  </si>
  <si>
    <t>He is trying to solve a rubik's cube while she times him.</t>
  </si>
  <si>
    <t>A counter counts quickly as he tries his best to solve the puzzle.</t>
  </si>
  <si>
    <t>He finally solves the cube, and stands up from the table.</t>
  </si>
  <si>
    <t>v_ypf6WHYpeRU</t>
  </si>
  <si>
    <t>A man is helping a boy fly a kite.</t>
  </si>
  <si>
    <t>A woman is standing next to them.</t>
  </si>
  <si>
    <t>The kites are flying in the sky above water.</t>
  </si>
  <si>
    <t>The man walks up the hill.</t>
  </si>
  <si>
    <t>v_ok3Kpgv0PzE</t>
  </si>
  <si>
    <t>The female gymnast raised her arm as the judge raise the flag.</t>
  </si>
  <si>
    <t>The gymnast jump to the beam, balanced herself, did thumbling several times run and balanced herself and did thumbling.</t>
  </si>
  <si>
    <t>The girl jump of the beam landing to the blue mat.</t>
  </si>
  <si>
    <t>v_ZreBacTw5Hw</t>
  </si>
  <si>
    <t>A highway with signs overhead are shown before we see a beach scene and a set of trophies.</t>
  </si>
  <si>
    <t>A bunch of volleyball players gather to start a game.</t>
  </si>
  <si>
    <t>The game commences, the people trying their best to win.</t>
  </si>
  <si>
    <t>v_Tfqln6lL7q0</t>
  </si>
  <si>
    <t>A camera pans around person's faces on a snowy hill as well as them riding down a mountain.</t>
  </si>
  <si>
    <t>The people continue skiing down the snowy path moving back and fourth and ending by stopping at the bottom.</t>
  </si>
  <si>
    <t>v_WdX_4wwtkGg</t>
  </si>
  <si>
    <t>A man wearing a hat is seen holding up a harmonica and begins playing with his hands.</t>
  </si>
  <si>
    <t>He continues playing the instrument to the camera and ends with him putting the instrument down then holding it up again.</t>
  </si>
  <si>
    <t>v_9yktj7NCdFI</t>
  </si>
  <si>
    <t>Two small children are seen drawing with chalk on a side walk while they occasionally looking back to the camera.</t>
  </si>
  <si>
    <t>The girl is then seen play hop scotch jumping down the chalk while the boy watches from behind.</t>
  </si>
  <si>
    <t>A woman then helps the boy jump followed by the young girl helping.</t>
  </si>
  <si>
    <t>The boy jumps on his own and then leads into the two walking on a sidewalk beam.</t>
  </si>
  <si>
    <t>The girl swings her arms up and then the two jump down.</t>
  </si>
  <si>
    <t>v_vPZf3F3bNAA</t>
  </si>
  <si>
    <t>An athletic man steps up before a track while holding a javelin ad standing ready.</t>
  </si>
  <si>
    <t>The man runs down, throws the javelin, and walks back while his throw is shown again several times in slow motion.</t>
  </si>
  <si>
    <t>In the end he is seen celebrating and running around the field.</t>
  </si>
  <si>
    <t>v_yScYLIJ_txA</t>
  </si>
  <si>
    <t>Six people in helmets race on dirt bikes around a circular, paved track surrounded by grass, game tents and onlookers.</t>
  </si>
  <si>
    <t>The people start the race behind a closed and grated fence, which then opens and allows them to start racing from an elevated platform down onto the paved raceway.</t>
  </si>
  <si>
    <t>The racers pedal with one person in a white jacket in the lead.</t>
  </si>
  <si>
    <t>The race ends with the same person in the white jacket remaining in the lead until they approach the end of the track and an orange, white striped cone.</t>
  </si>
  <si>
    <t>v_GEHPJEgMm_I</t>
  </si>
  <si>
    <t>A young man is shown swinging a tennis racket over and over again while hitting a ball at the same time.</t>
  </si>
  <si>
    <t>He continues to perform this swing several times and hits the ball every time.</t>
  </si>
  <si>
    <t>v_s3OxuR2zsZM</t>
  </si>
  <si>
    <t>A grinder machine is shown on a patio.</t>
  </si>
  <si>
    <t>A man talks while he shows the parts of the machine.</t>
  </si>
  <si>
    <t>He then demonstrates how the machine is used.</t>
  </si>
  <si>
    <t>v_JWFJGkUKVfk</t>
  </si>
  <si>
    <t>A man is kneeling down in a garage looking at tools on the ground.</t>
  </si>
  <si>
    <t>He then grabs a metal mask and positions himself correctly on the floor.</t>
  </si>
  <si>
    <t>Once comfortable,the mask is held in position and he begins firing away at the object on the ground.</t>
  </si>
  <si>
    <t>Finally,he takes it off and begins to chisel the object and beating the rust off of it.</t>
  </si>
  <si>
    <t>v_ycYPyXN0CPg</t>
  </si>
  <si>
    <t>A person is seen wearing a mask over their face and holding a hose in their hand.</t>
  </si>
  <si>
    <t>The person then begins spraying down the fence with the hose.</t>
  </si>
  <si>
    <t>The person continuously sprays along the fence while the camera captures it's movements.</t>
  </si>
  <si>
    <t>v_NURIoQoKk1E</t>
  </si>
  <si>
    <t>An introduction comes onto the screen showing a girl who will demonstrate how she blow dries her hair.</t>
  </si>
  <si>
    <t>She puts some mousse into her hand and proceeds to work it through her hair.</t>
  </si>
  <si>
    <t>She takes out a brow dryer and begins to blow dry her hair from the back to the front.</t>
  </si>
  <si>
    <t>She sections her hair, takes out a brush, and begins to blow dry her hair with the brush.</t>
  </si>
  <si>
    <t>When she is finished, the closing credits for the video show on the screen.</t>
  </si>
  <si>
    <t>v_N1JcXEim40g</t>
  </si>
  <si>
    <t>a woman is standing outside a beam.</t>
  </si>
  <si>
    <t>She mounts the beam, then does several flips and hand springs over the bar.</t>
  </si>
  <si>
    <t>She dismounts, raising her arms in the air.</t>
  </si>
  <si>
    <t>v_tRatWgaZ-a0</t>
  </si>
  <si>
    <t>A person is shown swimming through a pool while others swim around her.</t>
  </si>
  <si>
    <t>The people pass a ball around in the water while another team of players play int eh background.</t>
  </si>
  <si>
    <t>v_7_xkhnbnI7M</t>
  </si>
  <si>
    <t>A lady holds a cat in her lap on the floor.</t>
  </si>
  <si>
    <t>The lady then clips the cats claws.</t>
  </si>
  <si>
    <t>The cat tries to escape and the person calms the cat with a hair holder.</t>
  </si>
  <si>
    <t>The cat tries hard to escape.</t>
  </si>
  <si>
    <t>The lady finishes an the cat runs off and we see another cat sitting on a bed surrounded by clutter.</t>
  </si>
  <si>
    <t>v_5yGj9JooT_Q</t>
  </si>
  <si>
    <t>Two men are fighting with bows and arrows in a room.</t>
  </si>
  <si>
    <t>A man jumps off a stack of mats.</t>
  </si>
  <si>
    <t>Another man does a flip off the wall.</t>
  </si>
  <si>
    <t>v_85HxidMLf5Y</t>
  </si>
  <si>
    <t>A man cleans a small board of wood with a cloth in a workshop.</t>
  </si>
  <si>
    <t>Then, the man uses flannel to polish the wood board thoroughly.</t>
  </si>
  <si>
    <t>v_o8n1YnT8ZZ8</t>
  </si>
  <si>
    <t>Lemons are juiced one at a time and then put in a pot with sugar.</t>
  </si>
  <si>
    <t>Sparkling water is added and then the mixture is added to this creating sparkling lemonade.</t>
  </si>
  <si>
    <t>v_2eep4G5Tgho</t>
  </si>
  <si>
    <t>A man is outside of a building.</t>
  </si>
  <si>
    <t>He is using commercial lawn mowing equipment.</t>
  </si>
  <si>
    <t>He walks back and forth as he mows the grass.</t>
  </si>
  <si>
    <t>v_8z8FprjMNbI</t>
  </si>
  <si>
    <t>An elderly woman wearing glasses is standing in front of a car.</t>
  </si>
  <si>
    <t>She walks over to the car, and cannot get the door open at first.</t>
  </si>
  <si>
    <t>She gets inside the car, then gets out and cleans the snow off the car before getting back in and driving away.</t>
  </si>
  <si>
    <t>v_QakbOSMJ0AA</t>
  </si>
  <si>
    <t>A close up of a man's face is seen followed by a razor on the side and the person combing it's hair.</t>
  </si>
  <si>
    <t>The person continues shaving and combing the mans hair as well as shaving his beard covering in shaving cream.</t>
  </si>
  <si>
    <t>The man wipes off the face when he's done and showing off the clean shave.</t>
  </si>
  <si>
    <t>v_1ezOsdHncXo</t>
  </si>
  <si>
    <t>Drawings of hand soap bottles and humans are shown.</t>
  </si>
  <si>
    <t>A little girl is standing next to a white sink, she opened the faucet, wash her hand, rub her hand with soap, rinse her hand thoroughly, turned off the water and smiled at the camera.</t>
  </si>
  <si>
    <t>v_ETZOazHvdZg</t>
  </si>
  <si>
    <t>We see a bowler in front of a crowd stand and hold the ball.</t>
  </si>
  <si>
    <t>the bowler throws a strike and the crowd claps, a lady holds her hands in front of her face and the bowler wipes his hands.</t>
  </si>
  <si>
    <t>The man throws another strike and falls.</t>
  </si>
  <si>
    <t>He rises from the ground as the crowd claps.</t>
  </si>
  <si>
    <t>the man throws a third strike and is seen laying on the ground.</t>
  </si>
  <si>
    <t>He gets up and shakes the hand of men around and we see a lady holding her hands in front of her face.</t>
  </si>
  <si>
    <t>We then see an older man talking alone in a room.</t>
  </si>
  <si>
    <t>v_N7ppHQNikv8</t>
  </si>
  <si>
    <t>There is a boy sitting on a beach building sand castles with a water bottle and a sand bucket.</t>
  </si>
  <si>
    <t>Another little boy wearing a pink float comes running and joins him.</t>
  </si>
  <si>
    <t>The boy pours some water on the sand castle.</t>
  </si>
  <si>
    <t>Then a girls wearing a pink floral bathing suit joins the boys and helps them build the sand castle.</t>
  </si>
  <si>
    <t>v_zTzF5R_VhGk</t>
  </si>
  <si>
    <t>A man in glasses and beret is talking.</t>
  </si>
  <si>
    <t>He is shown playing a harmonica while he also plays a keyboard.</t>
  </si>
  <si>
    <t>He talks about the mechanics of the hormonica in between playing.</t>
  </si>
  <si>
    <t>v_M6sXLVNtTSA</t>
  </si>
  <si>
    <t>A group of men, boys and camels are in a desert area.</t>
  </si>
  <si>
    <t>One man is sitting on a camel.</t>
  </si>
  <si>
    <t>The man explains the correct way to ride a camel.</t>
  </si>
  <si>
    <t>A man in the background holds a video camera.</t>
  </si>
  <si>
    <t>Another man hands the camels reigns to the man riding and the camel starts walking.</t>
  </si>
  <si>
    <t>The camel turns it's head around and yells at the man riding him.</t>
  </si>
  <si>
    <t>The man riding kicks the camel in the side and he starts walking again.</t>
  </si>
  <si>
    <t>v_1KKVWzCwRSA</t>
  </si>
  <si>
    <t>Several different men are seen trying to snow board but, falling down over and over.</t>
  </si>
  <si>
    <t>Many different people are in the background watching and doing different things in the snow.</t>
  </si>
  <si>
    <t>The man that were falling give up and stay in a sitting position.</t>
  </si>
  <si>
    <t>v_1Dpm9kvn3M8</t>
  </si>
  <si>
    <t>A man is seen speaking to the camera while holding up a cigarette.</t>
  </si>
  <si>
    <t>The man takes several puffs out of the cigarette while still looking back to the camera.</t>
  </si>
  <si>
    <t>He continues smoking and looking back up to the camera.</t>
  </si>
  <si>
    <t>v_3HHAEmr0Q34</t>
  </si>
  <si>
    <t>A man is seen standing on a court holding down a tennis racket.</t>
  </si>
  <si>
    <t>The man then bounces the racket down and hits the tennis ball balancing on top.</t>
  </si>
  <si>
    <t>His hit is shown again in slow motion.</t>
  </si>
  <si>
    <t>v_QGZN8aXpXHU</t>
  </si>
  <si>
    <t>We see a boy in a jacket standing outside and talking.</t>
  </si>
  <si>
    <t>The boy goes in a building .</t>
  </si>
  <si>
    <t>The boy sits in a chair and test a haircut.</t>
  </si>
  <si>
    <t>The lady then uses scissors.</t>
  </si>
  <si>
    <t>We see the kid with his new hair cut.</t>
  </si>
  <si>
    <t>The lady give the little boy a red balloon.</t>
  </si>
  <si>
    <t>We see the boy as he walks to the door.</t>
  </si>
  <si>
    <t>v_Xbk1XePzTIA</t>
  </si>
  <si>
    <t>A man introduces himself to the camera and says he will show how to build a fire.</t>
  </si>
  <si>
    <t>He begins to break his starting stick and put leaves at the bottom of his filled fire pit.</t>
  </si>
  <si>
    <t>He turns on the lighter and starts at the bottom with the leaves.</t>
  </si>
  <si>
    <t>We see the full fire at night.</t>
  </si>
  <si>
    <t>v_kgmcYBRYkAk</t>
  </si>
  <si>
    <t>A boy in red overalls is playing hopscotch.</t>
  </si>
  <si>
    <t>A woman walks behind him and sits down.</t>
  </si>
  <si>
    <t>The boy finishes and reaches for the person filming.</t>
  </si>
  <si>
    <t>v_8ao9LZLn0Hs</t>
  </si>
  <si>
    <t>Four little girls , dressed in white dresses with red sashes, stand in a line, on a stage and play the violin together.</t>
  </si>
  <si>
    <t>Four little girls begin to play violin on a stage on a stage with a pink backdrop.</t>
  </si>
  <si>
    <t>The girl play together using both hands to play the violin before ending the performance and taking a bow together.</t>
  </si>
  <si>
    <t>v_5x1diXJ8gME</t>
  </si>
  <si>
    <t>A small group of men are seen riding around on various horses holding sticks in their hand and preparing for a game.</t>
  </si>
  <si>
    <t>The men then throw the ball down and all ride around on horses attempting to hit the ball and one scores a goal.</t>
  </si>
  <si>
    <t>A person holds up a flag and shows other people watching on the sides.</t>
  </si>
  <si>
    <t>A person then scores two more goals and the goalies raise their flag each time.</t>
  </si>
  <si>
    <t>v_Rewtuc-f6wU</t>
  </si>
  <si>
    <t>a boy is holding a very long pole.</t>
  </si>
  <si>
    <t>The camera turns upright suddenly.</t>
  </si>
  <si>
    <t>the boy runs with the pole, vaulting over a bar and onto a mat.</t>
  </si>
  <si>
    <t>v_Rl6US0JizDs</t>
  </si>
  <si>
    <t>An introduction comes onto the screen for a video about mixing a drink called the "Yah Yah".</t>
  </si>
  <si>
    <t>She goes over all the ingredients needed for the drink.</t>
  </si>
  <si>
    <t>She begins by taking a glass and filling it with ice.</t>
  </si>
  <si>
    <t>She add all the ingredients to the glass over the ice.</t>
  </si>
  <si>
    <t>v_VRiUhsafjRM</t>
  </si>
  <si>
    <t>We see a person waving something.</t>
  </si>
  <si>
    <t>A white screen then two boys in the kitchen.</t>
  </si>
  <si>
    <t>We see a counter with ingredient.</t>
  </si>
  <si>
    <t>The boys then mix ingredients in a bowl.</t>
  </si>
  <si>
    <t>We see a person shift flour in a bowl.</t>
  </si>
  <si>
    <t>Someone stirs the cookie dough in a bowl.</t>
  </si>
  <si>
    <t>The dough is put on a sheet.</t>
  </si>
  <si>
    <t>A boy washes the dishes.</t>
  </si>
  <si>
    <t>The cookies are put in an oven.</t>
  </si>
  <si>
    <t>A boy plays a guitar the other boy sings.</t>
  </si>
  <si>
    <t>Each boy eats a cookie and we see them come out of the oven.</t>
  </si>
  <si>
    <t>A poked cookie breaks apart.</t>
  </si>
  <si>
    <t>A boy shakes his head yes and plays with a big black dog.</t>
  </si>
  <si>
    <t>v_61W153jXL3U</t>
  </si>
  <si>
    <t>A man is showing washing his face with water into a sink and putting lotion into his hand.</t>
  </si>
  <si>
    <t>He rubs the soap together in his hands and massages into his face thoroughly.</t>
  </si>
  <si>
    <t>He then wipes his face off with a towel and speaking to the camera and pouring more lotion.</t>
  </si>
  <si>
    <t>He once again presses the lotion into his face and a recap is shown of his face.</t>
  </si>
  <si>
    <t>v_LFiGhD1OEws</t>
  </si>
  <si>
    <t>A group of young people play field hockey on a field while a man watches from a fence bordering the playing field.</t>
  </si>
  <si>
    <t>A man in field hockey goal gear stands in the center of a semi circle formed by young people dressed in field hockey attire.</t>
  </si>
  <si>
    <t>The man interviews from the sidelines while the people play field hockey and at one point is presented with a burgundy jersey by the players.</t>
  </si>
  <si>
    <t>The man then plays a game of field hockey in which he ends standing in the semi circle again tossing a ball up and down and looking into the camera while surrounded by players.</t>
  </si>
  <si>
    <t>v_00Dk03Jr70M</t>
  </si>
  <si>
    <t>A man enters a room and piles plaster onto a base.</t>
  </si>
  <si>
    <t>The man adds swipes the plaster on the wall then gets more and adds it.</t>
  </si>
  <si>
    <t>The man gets more plaster and swipes it on the wall.</t>
  </si>
  <si>
    <t>The man then walks and turns off the camera.</t>
  </si>
  <si>
    <t>v_5xI8T41HejM</t>
  </si>
  <si>
    <t>man and woman are standing on top of a big rock jumping into a lake.</t>
  </si>
  <si>
    <t>wo guys are sitting on a side of the rock talking with a woman on the lake.</t>
  </si>
  <si>
    <t>v_d3crFny-e3E</t>
  </si>
  <si>
    <t>A large cliff is seen near the ocean.</t>
  </si>
  <si>
    <t>Several boats are nearby, and people are kayaking through the area.</t>
  </si>
  <si>
    <t>A man is rappeling up the side of the cliff.</t>
  </si>
  <si>
    <t>He stands triumphantly on the back of a small boat.</t>
  </si>
  <si>
    <t>v_ta4QlTBHTTw</t>
  </si>
  <si>
    <t>A man demonstrates Tai Chi combat with other person.</t>
  </si>
  <si>
    <t>The man performs Tai Chi while talking, then he shows the movements with the man.</t>
  </si>
  <si>
    <t>After, the man moves the body and the hands while explaining.</t>
  </si>
  <si>
    <t>v_pIv2jZdHP0k</t>
  </si>
  <si>
    <t>A pair of shoes is on the floor, and a man wearing socks stands behind them.</t>
  </si>
  <si>
    <t>He takes out a shoestring and begins lacing the shoes.</t>
  </si>
  <si>
    <t>He then puts the shoes on, and shows how they look.</t>
  </si>
  <si>
    <t>v_w1qa9NOiFbE</t>
  </si>
  <si>
    <t>Scenes of a small rural village under a heavy rainstorm are shown.</t>
  </si>
  <si>
    <t>A woman washes items by a container in the rain while other individuals stand around.</t>
  </si>
  <si>
    <t>A close up of a wash basin by the container is shown.</t>
  </si>
  <si>
    <t>v_jC1He93cebg</t>
  </si>
  <si>
    <t>A woman is seen standing on a piece of exercise equipment and moving herself around.</t>
  </si>
  <si>
    <t>The woman moves her feet on the machine as well as showing how the machine works.</t>
  </si>
  <si>
    <t>Another man is seen exercising and ends with text on the screen.</t>
  </si>
  <si>
    <t>v_kTSuw4T-_Nk</t>
  </si>
  <si>
    <t>A woman is seen sitting in a chair looking down with others beside her.</t>
  </si>
  <si>
    <t>The camera pans all around the people sitting and leads to one putting an objects on his leg.</t>
  </si>
  <si>
    <t>She rips off the object showing the hair as well as his leg and others laughing.</t>
  </si>
  <si>
    <t>v_2gV2apTrRHs</t>
  </si>
  <si>
    <t>A police officer spins around while dancing.</t>
  </si>
  <si>
    <t>The boy does a hand stand.</t>
  </si>
  <si>
    <t>The police officer does a disco John Travolta dance.</t>
  </si>
  <si>
    <t>The police officer does a break dancing routine.</t>
  </si>
  <si>
    <t>The group of children walk together on the grass.</t>
  </si>
  <si>
    <t>v_v-qFJJx0bTs</t>
  </si>
  <si>
    <t>A large group of people are seen standing on each side of a rope with many people watching on the sides.</t>
  </si>
  <si>
    <t>The men then begin a game of tug of war with one another with one man helping teams on the side and ends with one team falling down.</t>
  </si>
  <si>
    <t>v_dot-t-Nen_k</t>
  </si>
  <si>
    <t>A man is standing in front of a net.</t>
  </si>
  <si>
    <t>A man is standing in front of a wood fence.</t>
  </si>
  <si>
    <t>Men are playing lacrosse on a field.</t>
  </si>
  <si>
    <t>v_fzwNgtDwgKQ</t>
  </si>
  <si>
    <t>A man drives in circles a four wheels motorcycle in a field with high weeds while dust.</t>
  </si>
  <si>
    <t>Then, the man goes to another place to continue driving in circles.</t>
  </si>
  <si>
    <t>v_DPw74KWZzGY</t>
  </si>
  <si>
    <t>Two people are seen sitting in front of cameras playing instruments while the camera zooms in.</t>
  </si>
  <si>
    <t>The man then sings to the camera while playing his instrument and speaks to the camera, ending with the two playing again.</t>
  </si>
  <si>
    <t>v_4XavNhCs-Do</t>
  </si>
  <si>
    <t>There is man wearing a blue shirt and another man in black seated on a rock, talking about rock climbing.</t>
  </si>
  <si>
    <t>They are seated at a very high altitude in the mountains.</t>
  </si>
  <si>
    <t>The person in blue is demonstrating how the rope is fastened from the rocks.</t>
  </si>
  <si>
    <t>He is also showing tight rope walking from one end to another.</t>
  </si>
  <si>
    <t>Then the person in black also walks on a tight rope.</t>
  </si>
  <si>
    <t>v_Gi1N3FtCZGo</t>
  </si>
  <si>
    <t>a boy is inside a gym.</t>
  </si>
  <si>
    <t>He lifts a barbell up to his chest.</t>
  </si>
  <si>
    <t>He pauses, then lifts it over his head.</t>
  </si>
  <si>
    <t>v_P-YyUw0iuBQ</t>
  </si>
  <si>
    <t>A group of boys are seen sitting around talking to one another and playing various games.</t>
  </si>
  <si>
    <t>The men hit one another while they switch places and continue to play more games.</t>
  </si>
  <si>
    <t>v_xBO66pI09rE</t>
  </si>
  <si>
    <t>A family is shown doing mouthwash.</t>
  </si>
  <si>
    <t>One woman tries to laugh and is successful in not spitting it up.</t>
  </si>
  <si>
    <t>v_0hfKWxuVT5k</t>
  </si>
  <si>
    <t>Several bodies of water are shown and a man appears paddling a small boat.</t>
  </si>
  <si>
    <t>Several other people are then shown paddling throughout the city in a small boats,passing several trees and city buildings.</t>
  </si>
  <si>
    <t>As they continue there journey,they pass under bridges,restaurants and other landmarks and then there names appear across the screen.</t>
  </si>
  <si>
    <t>v_UEtVbSLGhfY</t>
  </si>
  <si>
    <t>A person leads a large dog on a leash back and fourth on a hard wood floor.</t>
  </si>
  <si>
    <t>The dog drags the woman person around behind him and looks out the door and smiles.</t>
  </si>
  <si>
    <t>v_wsmMniNThlI</t>
  </si>
  <si>
    <t>Two people are horseback riding on a snowy trail.</t>
  </si>
  <si>
    <t>As they are riding they pass a set of glass igloos planted on the estate.</t>
  </si>
  <si>
    <t>They reach a clearing where there is open land and several trees.</t>
  </si>
  <si>
    <t>v_2xmu01HHhKY</t>
  </si>
  <si>
    <t>We see a lady slowly playing a drum.</t>
  </si>
  <si>
    <t>We pan right and see a man on drums.</t>
  </si>
  <si>
    <t>We see a person in orange enter.</t>
  </si>
  <si>
    <t>The lady stops drumming and shows her hands.</t>
  </si>
  <si>
    <t>We then see the camera operator.</t>
  </si>
  <si>
    <t>The lady and the boy in orange struggle over an instrument.</t>
  </si>
  <si>
    <t>The lady pretends to bite the boy, then laughs.</t>
  </si>
  <si>
    <t>We see a man enter the room.</t>
  </si>
  <si>
    <t>v_ru7UAr2488M</t>
  </si>
  <si>
    <t>hockey players are getting out the dressers to a field.</t>
  </si>
  <si>
    <t>hockey players are skating in an ice court in a roofed gym.</t>
  </si>
  <si>
    <t>mani s welding something in a dark room and the players are in the court playing.</t>
  </si>
  <si>
    <t>men are sitting on bus looking at his phones and seeing though the window and in the dressers geting ready to play and in the field.</t>
  </si>
  <si>
    <t>v_qXQBHaML9Xg</t>
  </si>
  <si>
    <t>A person flips over another person and gets thrown into the bushes.</t>
  </si>
  <si>
    <t>A person in a red shirt starts running towards them.</t>
  </si>
  <si>
    <t>v_5LveCNjz_zg</t>
  </si>
  <si>
    <t>A woman is holding a black cat snuggled in a purple blanket.</t>
  </si>
  <si>
    <t>The cat is meowing as the woman holds her paws.</t>
  </si>
  <si>
    <t>there's another man with nail clippers, slipping the cat's nails.</t>
  </si>
  <si>
    <t>The cat meows loudly in pain and the woman kisses the cat to calm her down.</t>
  </si>
  <si>
    <t>The man continues to clip the cat's nails as the woman cajoles the cat and kisses the cat's ears.</t>
  </si>
  <si>
    <t>The man continues clipping the nails until he's done.</t>
  </si>
  <si>
    <t>v_BmZwZLKxHCY</t>
  </si>
  <si>
    <t>A little girl is sitting in a rocking chair.</t>
  </si>
  <si>
    <t>She puts on compact makeup from a case.</t>
  </si>
  <si>
    <t>She then applies eye shadow and lipstick.</t>
  </si>
  <si>
    <t>v_DHiFKO68gT8</t>
  </si>
  <si>
    <t>Several shots of riders standing around a sand pit are shown followed by many angles of people riding bikes over jumps.</t>
  </si>
  <si>
    <t>The camera captures several angles of the people riding along a bike track and interviewing them in between shots.</t>
  </si>
  <si>
    <t>In the end all the riders are shown on screen as well as being interviewed and jumping along one last time.</t>
  </si>
  <si>
    <t>v_0p34rFNYj_M</t>
  </si>
  <si>
    <t>An adult female and a young female is in the beach, the adult female is dumping the sand from the pail to the ground.</t>
  </si>
  <si>
    <t>The woman in polka dots is sitting on the ground and showing her pants.</t>
  </si>
  <si>
    <t>The young girl is pointing on to something and waving at the camera.</t>
  </si>
  <si>
    <t>v_zo8XBVxxkmo</t>
  </si>
  <si>
    <t>Three men are seen sitting on the ground speaking to one another and leading into them riding down a road.</t>
  </si>
  <si>
    <t>More shots are shown of people skateboarding down a road performing several tricks and walking away.</t>
  </si>
  <si>
    <t>v_AMU1mHpR6Os</t>
  </si>
  <si>
    <t>A close up of a razor is shown an leads into several clips of dogs getting their cut trimmed.</t>
  </si>
  <si>
    <t>Several tools are shown are then shown on cats and them laying down being pet.</t>
  </si>
  <si>
    <t>v_1FlnQzPzS2Q</t>
  </si>
  <si>
    <t>A man is running down a street.</t>
  </si>
  <si>
    <t>A white car is right behind him on the street.</t>
  </si>
  <si>
    <t>People are riding bicycles next to him.</t>
  </si>
  <si>
    <t>v_ZSLzzrc8pro</t>
  </si>
  <si>
    <t>A camera shows a closet that pans into two girls seen riding on an elliptical.</t>
  </si>
  <si>
    <t>One girl moves up and down on the machine while the other hangs on in front, leading to them jumping and speaking to the camera hiding in the closet.</t>
  </si>
  <si>
    <t>v_yxSBQXuOwuc</t>
  </si>
  <si>
    <t>A logo is shown with water drop sounds playing in the background.</t>
  </si>
  <si>
    <t>A man is then shown wearing scubba gear and giving various hand signals to the camera.</t>
  </si>
  <si>
    <t>The water sounds still play and the man shows you various moves and what they mean under water.</t>
  </si>
  <si>
    <t>The logo then reappears on the screen and the video ends.</t>
  </si>
  <si>
    <t>v_40Sf-iICgzw</t>
  </si>
  <si>
    <t>A small child is shown playing drums while a group of people behind him watch and smile.</t>
  </si>
  <si>
    <t>The boy continues to play the drums and a baby in the arms of a man behind him climbs off his lap.</t>
  </si>
  <si>
    <t>v_GuzLtwhxsxA</t>
  </si>
  <si>
    <t>A close up of a canoe is shown followed by a man pushing the canoe along in various areas.</t>
  </si>
  <si>
    <t>His paddling is slowed down to demonstrate how to properly paddle while more shots of the man paddling in fast motion are shown.</t>
  </si>
  <si>
    <t>The ending shows a beautiful picture of a sun set.</t>
  </si>
  <si>
    <t>v_e5rZPT7BJas</t>
  </si>
  <si>
    <t>A person is peeling a sticker off of a white shoe.</t>
  </si>
  <si>
    <t>They wipe the shoe with a towel.</t>
  </si>
  <si>
    <t>v_aVDVMN9hE8A</t>
  </si>
  <si>
    <t>A person takes out cheese from a box, then he takes a jar that puts on the counter with two napkins, then he opens the fridge.</t>
  </si>
  <si>
    <t>A man puts water on his face while holding a pail, then takes a sponge and throws over the table.</t>
  </si>
  <si>
    <t>The person puts two bottles and two slices of bread on the table, then he slices the cheese.</t>
  </si>
  <si>
    <t>After, the person puts the cheese and jam on the bread, then he eats the sandwich and drink soda from bottle.</t>
  </si>
  <si>
    <t>v_T84iinm8-V0</t>
  </si>
  <si>
    <t>A fencing match is taking place inside an auditorium.</t>
  </si>
  <si>
    <t>Two men in full fencing gear begin fighting.</t>
  </si>
  <si>
    <t>They stab and swing, fencing for the crowd.</t>
  </si>
  <si>
    <t>Several people are shown performing various sports in the closing images.</t>
  </si>
  <si>
    <t>v_HsfrvjsaIDU</t>
  </si>
  <si>
    <t>A man is shown holding a long trimmer.</t>
  </si>
  <si>
    <t>He uses the trimmer to weedeat the bushes.</t>
  </si>
  <si>
    <t>Leaves fall to the ground in droves as he trims.</t>
  </si>
  <si>
    <t>v_r10jGF9lQYM</t>
  </si>
  <si>
    <t>A man and boys standard sit on the snow and ice fish.</t>
  </si>
  <si>
    <t>We see a tittle screen and a plane flys overhead in the sky and we see the people on the ice and a truck in the distance.</t>
  </si>
  <si>
    <t>A kids walks over to the truck where a lady is cooking hot dogs in the truck bed full of food.</t>
  </si>
  <si>
    <t>We see a title screen and see frozen fish sitting in the snow.</t>
  </si>
  <si>
    <t>v_jkn6uvmqwh4</t>
  </si>
  <si>
    <t>A parade procession walks down the street in a parade.</t>
  </si>
  <si>
    <t>A group of members in green uniforms walks waving flags.</t>
  </si>
  <si>
    <t>Members of the procession walk down the street holding small horn brass instruments.</t>
  </si>
  <si>
    <t>A drum line passes by walking down the street playing their instruments.</t>
  </si>
  <si>
    <t>Members of the procession walk down the street holding large flared horn instruments.</t>
  </si>
  <si>
    <t>v_pSdlIsd_vZc</t>
  </si>
  <si>
    <t>The video is very poor quality and it shows a man holding the camera and he is at a park with other people that includes another adult and a small child that looks like a girl.</t>
  </si>
  <si>
    <t>The man climbs onto the park equipment with the little girl.</t>
  </si>
  <si>
    <t>The child and the man then appear on the slide and the little girl goes down the slide alone while smiling the whole time and the man remains at the top of the slide.</t>
  </si>
  <si>
    <t>v_dN9ZPc7NMVQ</t>
  </si>
  <si>
    <t>A woman and young boy are shown smiling and washing their hands in the sink when the woman begins washing his face.</t>
  </si>
  <si>
    <t>The boy smiles with the woman washing his face and the woman dries his face off with a paper towel.</t>
  </si>
  <si>
    <t>v_d0woFZ26Cx0</t>
  </si>
  <si>
    <t>A view is seen of a pool table, balls being triangled, and numerous people shooting the balls into the corner pockets during a competition.</t>
  </si>
  <si>
    <t>A woman walks around holding a scorecard as they play.</t>
  </si>
  <si>
    <t>v_yvzlX5St_Ok</t>
  </si>
  <si>
    <t>People are driving bumper cars on a brown floor.</t>
  </si>
  <si>
    <t>The bumper cars collide with each other.</t>
  </si>
  <si>
    <t>A girl laughs out loud.</t>
  </si>
  <si>
    <t>v_qJrJeICcevI</t>
  </si>
  <si>
    <t>A bunch of people ride camels.</t>
  </si>
  <si>
    <t>The camel gets down and kneels.</t>
  </si>
  <si>
    <t>v_1lu7Sbu3a6o</t>
  </si>
  <si>
    <t>We see a lady and a girl on a raft on a snowy hill.</t>
  </si>
  <si>
    <t>The lady and a man push people down the hill.</t>
  </si>
  <si>
    <t>The people slide in rafts down the hill.</t>
  </si>
  <si>
    <t>The little girl stands and looks behind her.</t>
  </si>
  <si>
    <t>v_j0Iv6dmSw0k</t>
  </si>
  <si>
    <t>A group of people are sitting and clapping while men standing up dressed in gi's along a mirrored wall go through different motions of karate.</t>
  </si>
  <si>
    <t>Elvis Presley is now dressed in his concert clothing, standing on stage doing his karate moves, and then it goes back to him standing in front of the mirrored wall and demonstrating his karate moves while he's wearing his gi.</t>
  </si>
  <si>
    <t>Once again Elvis Presley is back on stage in his concert clothing the video ends with him doing his karate moves on stage.</t>
  </si>
  <si>
    <t>v_ki2kGFwczMg</t>
  </si>
  <si>
    <t>An athlete wearing a white shirt and red shorts is running with a javelin in his hand in a stadium with several spectators.</t>
  </si>
  <si>
    <t>There is a person seated on a white bench wearing a blue uniform, tying his shoelaces.</t>
  </si>
  <si>
    <t>The javelin thrower runs and throws the javelin and falls to the ground.</t>
  </si>
  <si>
    <t>He gets up and raises his hands up high in victory.</t>
  </si>
  <si>
    <t>He comes running again and throws the javelin and falls to the ground.</t>
  </si>
  <si>
    <t>The third time, his action is repeated in slow motion.</t>
  </si>
  <si>
    <t>v_jE2jDJ9WHeE</t>
  </si>
  <si>
    <t>Player practice lacrosse in a field.</t>
  </si>
  <si>
    <t>Then, teams play lacrosse and a player score for his team.</t>
  </si>
  <si>
    <t>A coach takes notes, and then players train lacrosse.</t>
  </si>
  <si>
    <t>Then two teams play lacrosse in a field throwing the call with a stick.</t>
  </si>
  <si>
    <t>v_xT7eQmyr1-Y</t>
  </si>
  <si>
    <t>A man walks through his yard and retrieves a push leaf blower.</t>
  </si>
  <si>
    <t>The man walks the blower around the yard and blows leaves to the side.</t>
  </si>
  <si>
    <t>The man finishes and pushes the leaf blower beside the fence with the other machinery then walks away.</t>
  </si>
  <si>
    <t>v_gCf7wYa4AFA</t>
  </si>
  <si>
    <t>Woman in pink points to the goal.</t>
  </si>
  <si>
    <t>Girl in black shoots and score goal.</t>
  </si>
  <si>
    <t>Teammates congratulate the girl in black for the goal.</t>
  </si>
  <si>
    <t>Players get into their positions.</t>
  </si>
  <si>
    <t>Girl in black runs after the ball.</t>
  </si>
  <si>
    <t>Girl in black hits the ball to her teammate.</t>
  </si>
  <si>
    <t>Girls run after the ball.</t>
  </si>
  <si>
    <t>v_52tZGZGuWP4</t>
  </si>
  <si>
    <t>A man is sitting in a room with two congas in between his legs.</t>
  </si>
  <si>
    <t>One of them is slightly smaller than the other and he tends to play that one and only hitting the larger every couple of beats.</t>
  </si>
  <si>
    <t>His whole face appears in the frame and you can see him bobbing his head and focusing more on his sound.</t>
  </si>
  <si>
    <t>v_WdNtrGxSm1Y</t>
  </si>
  <si>
    <t>An intro leads into a woman holding a dog and frisbee and then throwing the fribee for the dog to catch.</t>
  </si>
  <si>
    <t>The dog brings it back and the girl throws the object several more times, with the dog chaseing and coming back each time.</t>
  </si>
  <si>
    <t>v_55FFh89yqVw</t>
  </si>
  <si>
    <t>The lady puts contents of a bottle in her palms, and the lady rubs it on her face.</t>
  </si>
  <si>
    <t>The lady makes funny faces.</t>
  </si>
  <si>
    <t>The lady washes her face.</t>
  </si>
  <si>
    <t>The lady towel dries her face.</t>
  </si>
  <si>
    <t>The lady puts spots of white lotion on her face and rubs it in.</t>
  </si>
  <si>
    <t>The lady presents a small tube product.</t>
  </si>
  <si>
    <t>v_gOUqdgxwNPw</t>
  </si>
  <si>
    <t>A young person is holding on to a rope as he is boogie boarding through the river.</t>
  </si>
  <si>
    <t>The young person then does a 360 flip in the water and keeps going and shortly after,he does another trick.</t>
  </si>
  <si>
    <t>Then another person is shown and begins doing more rigorous tricks in the water.</t>
  </si>
  <si>
    <t>Next,a series of pictures are shown of other people doing tricks.</t>
  </si>
  <si>
    <t>Next, a snowboarder is shown and then they young person comes back with a still image of him and his awards.</t>
  </si>
  <si>
    <t>v_19SHLOheCmo</t>
  </si>
  <si>
    <t>three women are standing in a park in a field doing yoga.</t>
  </si>
  <si>
    <t>man is running in the park behind the women.</t>
  </si>
  <si>
    <t>an old man is walking fast in the park.</t>
  </si>
  <si>
    <t>v_2l50doS2wB4</t>
  </si>
  <si>
    <t>A man is seen holding onto a pair of shoes while speaking to the camera and spraying them down.</t>
  </si>
  <si>
    <t>The man scrubs the shoes down with a rag while continuing to speak to the camera.</t>
  </si>
  <si>
    <t>In the end he holds up the shoes while still speaking and giving the camera a thumbs up.</t>
  </si>
  <si>
    <t>v_Y76yy0chbhU</t>
  </si>
  <si>
    <t>A couple of teams are on an open field.</t>
  </si>
  <si>
    <t>They are playing lacrosse together.</t>
  </si>
  <si>
    <t>They run around, trying to hit the ball.</t>
  </si>
  <si>
    <t>v_uvs1pb32xZM</t>
  </si>
  <si>
    <t>A small group of children are seen running around an indoor field kicking a soccer ball.</t>
  </si>
  <si>
    <t>The kids move up and down in between poles while still kicking the ball.</t>
  </si>
  <si>
    <t>The kids are then shown kicking balls into a goal one after the other.</t>
  </si>
  <si>
    <t>v_4DCxc6mO864</t>
  </si>
  <si>
    <t>A girl is standing in the back of a room that has paper air ballon, and she begins to dance moving her legs back and forth and slightly moving her arms.</t>
  </si>
  <si>
    <t>The girl then picks it up and begins to move more of her arms along with her legs and dances in a small area in the room while facing the camera.</t>
  </si>
  <si>
    <t>The girl then turns to her side and we see her dancing from the side, she turns to face the back and dances a bit that way, then turns again and again until we've seen her dance in all different directions.</t>
  </si>
  <si>
    <t>v_OgaurUPiWYI</t>
  </si>
  <si>
    <t>Four bikers at the start of the line are wearing different colors of uniforms and helmets, they are about to get start the race.</t>
  </si>
  <si>
    <t>The race started, the bikers bike and race in the race track where they jumped and hopped and went to the curb, the one player, when he reached the finish line, he fell on his side and stood up and walked towards the people.</t>
  </si>
  <si>
    <t>v_kbWQIXFOK54</t>
  </si>
  <si>
    <t>A camera pans around a dresser followed by several objects and ingredients being shown to the camera.</t>
  </si>
  <si>
    <t>A woman is then seen painting the dresser with several coats and sanding it down.</t>
  </si>
  <si>
    <t>She places the pieces together and ends by smiling to the camera.</t>
  </si>
  <si>
    <t>v_qAXE_vqt56g</t>
  </si>
  <si>
    <t>The cartoon of heroes fighting with an evil character.</t>
  </si>
  <si>
    <t>The heroes fight and then sit on front a log.</t>
  </si>
  <si>
    <t>v_qdMjXJTsX94</t>
  </si>
  <si>
    <t>A spinning logo with a purple background then text are seen on the screen.</t>
  </si>
  <si>
    <t>A woman in blue dress plays a drum set in a studio.</t>
  </si>
  <si>
    <t>v_eHxRr7Zhsek</t>
  </si>
  <si>
    <t>The video opens with the host using purple nail tape to create a pattern, slowly applying and making sure it is straight.</t>
  </si>
  <si>
    <t>Next a matte coat is applied over the nail and tape.</t>
  </si>
  <si>
    <t>The tape is gently peeled off the nail, and a top coat is applied to the intersection of lines.</t>
  </si>
  <si>
    <t>Next, a micro bead is placed where the lines meet.</t>
  </si>
  <si>
    <t>The next nail project features a white painted nail and host makes two black C's to mimic the Chanel logo.</t>
  </si>
  <si>
    <t>Gradually the logo is made bolder with more application.</t>
  </si>
  <si>
    <t>Finally a matte top coat is applied to finish it off.</t>
  </si>
  <si>
    <t>v_E6ePEI4UOtU</t>
  </si>
  <si>
    <t>A mop stands upright next to a bucket.</t>
  </si>
  <si>
    <t>A person absorbs all the water from a bowl using a mop.</t>
  </si>
  <si>
    <t>Water is poured into a large bucket.</t>
  </si>
  <si>
    <t>The mop in dunked in the bucket of water then spun dry in the tray.</t>
  </si>
  <si>
    <t>A soiled area of a hardwood floor is mopped clean.</t>
  </si>
  <si>
    <t>A mop is used around various furniture and appliances to get into corners of rooms.</t>
  </si>
  <si>
    <t>v_wrn5qM9aVeo</t>
  </si>
  <si>
    <t>A chef is seen speaking to the camera and leads into him holding a board followed by cutting up dough.</t>
  </si>
  <si>
    <t>The man peels the dough pieces with a machine and lays them flat to roll out dough.</t>
  </si>
  <si>
    <t>The man then rolls out the flattened dough and shows off his finished pasta.</t>
  </si>
  <si>
    <t>v_IvkpOoeCM3A</t>
  </si>
  <si>
    <t>This video shows people participating in the world artistic pool championship.</t>
  </si>
  <si>
    <t>Smooth, but suspenseful music is playing throughout the whole video as people shoot pool balls into the holes by themselves.</t>
  </si>
  <si>
    <t>Not everyone is participating, some people are just watching and others are walking around for some other reasons.</t>
  </si>
  <si>
    <t>v_RK8VF2pL72I</t>
  </si>
  <si>
    <t>A woman is sitting in a chair knitting.</t>
  </si>
  <si>
    <t>She looks up and talks to someone.</t>
  </si>
  <si>
    <t>She continues knitting in her hands.</t>
  </si>
  <si>
    <t>v_gk6NAPqfJoY</t>
  </si>
  <si>
    <t>A person skies and slides on a platform.</t>
  </si>
  <si>
    <t>A person falls on the ice.</t>
  </si>
  <si>
    <t>A person skies and does flips.</t>
  </si>
  <si>
    <t>A person puts their gloved hand on the camera.</t>
  </si>
  <si>
    <t>v_45ymM0irIIY</t>
  </si>
  <si>
    <t>A comedian is seen speaking to the camera and leads into a bull running into a pit and various clips of men fighting bulls.</t>
  </si>
  <si>
    <t>A close up of the bull fighting is shown and pans back to the comedian speaking to the camera.</t>
  </si>
  <si>
    <t>v_iJahVlx_yDE</t>
  </si>
  <si>
    <t>Two people are seen standing at the bottom of a snowy hill speaking to one another when a person comes riding down on a tube.</t>
  </si>
  <si>
    <t>More people are seen flying down the mountain with one crashing into another and the person getting out to drag the tubes.</t>
  </si>
  <si>
    <t>v_XNTy5ZTMqVU</t>
  </si>
  <si>
    <t>A woman is talking inside an office to the camera while displaying sign language.</t>
  </si>
  <si>
    <t>Two hands appear, demonstrating several signs indicating the rock, paper, scissors game.</t>
  </si>
  <si>
    <t>The woman continues talking about the game, then it shows several clips of various people using the game to win or make decisions.</t>
  </si>
  <si>
    <t>It cuts to an article regarding tricks for winning the game before concluding with the woman speaking on last time.</t>
  </si>
  <si>
    <t>v_gN_Kq57w72s</t>
  </si>
  <si>
    <t>An image shows a bag of m&amp;m's and a bag of Maltersers being suspended in midair, appearing to pour onto a cake.</t>
  </si>
  <si>
    <t>A woman bakes a round cake, frosting it and surrounding it by chocolate bars.</t>
  </si>
  <si>
    <t>She then pours maltesers and m&amp;ms into bowls.</t>
  </si>
  <si>
    <t>She prepares the bags, making them look neat before sprinkling the candies onto the top of the cake, completely covering it.</t>
  </si>
  <si>
    <t>She then places sticks into the cake, and runs frosting up the sides of the stucks before adhering the candlies to the sticks.</t>
  </si>
  <si>
    <t>She then balances the bags atop the sticks.</t>
  </si>
  <si>
    <t>v_rpDBtiySZ3o</t>
  </si>
  <si>
    <t>Several people are preparing to play volleyball on the beach.</t>
  </si>
  <si>
    <t>The camera zooms out and the people begin to play the game, tossing the ball back and forth to each other.</t>
  </si>
  <si>
    <t>v_aHKZIUD3wPI</t>
  </si>
  <si>
    <t>A man is seen standing before a hedge holding onto a tool.</t>
  </si>
  <si>
    <t>The man uses the tool all along the hedge while trimming the top.</t>
  </si>
  <si>
    <t>He continues pushing the tool over the hedge while walking away from the camera.</t>
  </si>
  <si>
    <t>v_MFx2omPfM2o</t>
  </si>
  <si>
    <t>A large group of people are seen riding in bumper cars and bumping into one another.</t>
  </si>
  <si>
    <t>The people continue crashing into one another while laughing and beginning to get out of the car.</t>
  </si>
  <si>
    <t>v_a1ltYmbbBYI</t>
  </si>
  <si>
    <t>Two men are sumo wrestling on a ring.</t>
  </si>
  <si>
    <t>A man in a robe is standing behind them.</t>
  </si>
  <si>
    <t>A man trips and falls into the audience.</t>
  </si>
  <si>
    <t>v_rgJ00nNS_r0</t>
  </si>
  <si>
    <t>A group of men play croquet on a large grass covered field at an outdoor social event.</t>
  </si>
  <si>
    <t>The men begin playing croquet with one man making a sexual reference with the croquet stick as people walk by on the grass.</t>
  </si>
  <si>
    <t>The group of men are accompanied by onlookers as they continue to maneuver the croquet ball with their mallets.</t>
  </si>
  <si>
    <t>One croquet goal is accomplished on the grass by one player in brown shoes and a blue pants in the final clip.</t>
  </si>
  <si>
    <t>v_S-4ftlylgig</t>
  </si>
  <si>
    <t>A measuring tape is shown up close.</t>
  </si>
  <si>
    <t>We see a track person preparing to run.</t>
  </si>
  <si>
    <t>He runs, taking a huge leap into the sand, landing on the number 18.</t>
  </si>
  <si>
    <t>v_hSq0yL5AB40</t>
  </si>
  <si>
    <t>Several clips of people are shown waving to the camera and watch people riding bikes.</t>
  </si>
  <si>
    <t>Many people are shown riding around on bikes around a long track and the camera panning around.</t>
  </si>
  <si>
    <t>v_Cb3IonOw0bs</t>
  </si>
  <si>
    <t>A lady sits in a tub and rubs her legs with water while wearing an exfoliater glove.</t>
  </si>
  <si>
    <t>The camera zooms out and we see it's a set with camera equipment around.</t>
  </si>
  <si>
    <t>The lady then shaves her legs with an electric shaver.</t>
  </si>
  <si>
    <t>We see the lady smile and continue to shave her legs.</t>
  </si>
  <si>
    <t>v_h-_dzZ3cCfc</t>
  </si>
  <si>
    <t>A man is shown talking to the camera while walking slowly onto the field with a group of players.</t>
  </si>
  <si>
    <t>Various players are shown one on one with several shots of stadium and cities are shown.</t>
  </si>
  <si>
    <t>The athletes prepare themselves for the match and are shown playing out on the field.</t>
  </si>
  <si>
    <t>The men cheer when they score a goal and sit on the bench after being tired.</t>
  </si>
  <si>
    <t>They run through stadiums and speak to the camera about being a professional athlete.</t>
  </si>
  <si>
    <t>v_n50dwUENM1E</t>
  </si>
  <si>
    <t>There's a woman in her kitchen demonstrating how to use Astra Clean composite sink cleaner She sprays the kitchen sink with the Astra Clean quirt bottle and then uses a brush to scrub the sink.</t>
  </si>
  <si>
    <t>After she's done, she looks impressed at the sparkly clean kitchen sink.</t>
  </si>
  <si>
    <t>She puts the bottle down on the sink and walks away.</t>
  </si>
  <si>
    <t>v_QX-uieRfKgg</t>
  </si>
  <si>
    <t>The man with black apron is brushing the counter.</t>
  </si>
  <si>
    <t>The man in apron smoothen the ski board, then brushed off the dust.</t>
  </si>
  <si>
    <t>The man put polish on the board and continue to scrape and brush the board.</t>
  </si>
  <si>
    <t>v_C8m_dPhMGbg</t>
  </si>
  <si>
    <t>An intro leads into several clips of a person riding down a snowy hill on a snowboard.</t>
  </si>
  <si>
    <t>The person continues riding down through the snow and falling at one point but cleaning off his goggles and speaking to others.</t>
  </si>
  <si>
    <t>v_r0685Fhcfjs</t>
  </si>
  <si>
    <t>A large yard is shown with leaves laid out front and a man speaking to the camera.</t>
  </si>
  <si>
    <t>The man pushes the leaves around the yard.</t>
  </si>
  <si>
    <t>The man holds up the leaves and speaks to the camera.</t>
  </si>
  <si>
    <t>v_46ac33Z6V4E</t>
  </si>
  <si>
    <t>person in a dog costome is walking in the outside of a snowy house.</t>
  </si>
  <si>
    <t>person in the costume and cross the street to a car.</t>
  </si>
  <si>
    <t>man sart cleaning he snow from the driver's window and the back window.</t>
  </si>
  <si>
    <t>v_6E4_XOsT89k</t>
  </si>
  <si>
    <t>A person is standing on top of a high diving board.</t>
  </si>
  <si>
    <t>They jump off and do flips into the water.</t>
  </si>
  <si>
    <t>The crowd watches the person dive.</t>
  </si>
  <si>
    <t>v_ROvaMfVEMSw</t>
  </si>
  <si>
    <t>A man is seen sitting on a horse and riding into a pit swinging a rope.</t>
  </si>
  <si>
    <t>The man throws the rope onto a calf and jumps off the horse.</t>
  </si>
  <si>
    <t>He ties up the calf and ends by running back to the horse.</t>
  </si>
  <si>
    <t>v_8qAdvUvNuts</t>
  </si>
  <si>
    <t>A view of the countryside is seen in multiple images, including buildings, trees, fields and flowers near the ocean.</t>
  </si>
  <si>
    <t>A man is shown mountain climbing up the side of a cliff.</t>
  </si>
  <si>
    <t>v_2n6MvpNewpI</t>
  </si>
  <si>
    <t>man is mopping the floor in a laundry room.</t>
  </si>
  <si>
    <t>man squeeze out the mop in a bucket.</t>
  </si>
  <si>
    <t>v_sFQ7AaId8zg</t>
  </si>
  <si>
    <t>A woman shows a little girl to turn a handle, then, the little girl peels an orange spinning the handle of the machine.</t>
  </si>
  <si>
    <t>The handle gets stuck and the woman tries to help the girl.</t>
  </si>
  <si>
    <t>After, the girl continues turning the handle to peel the orange.</t>
  </si>
  <si>
    <t>v_89S-sQUWIcg</t>
  </si>
  <si>
    <t>A large group of people are seen running around a field playing a game with one another while the camera pans around the area.</t>
  </si>
  <si>
    <t>The games continues on as people cheer on the sides and the men continue playing with one another.</t>
  </si>
  <si>
    <t>v_cqkcRy3k4v0</t>
  </si>
  <si>
    <t>people are riding camels in the sand, the camel kneel down and the man and the woman go down.</t>
  </si>
  <si>
    <t>camel in the back kneel down and people go down in the back are cars and people walking in the parking lot and taking pictures.</t>
  </si>
  <si>
    <t>men go on a camel and the camel stands up.</t>
  </si>
  <si>
    <t>v_bULG65Ec5fo</t>
  </si>
  <si>
    <t>A man is climbing up a mountain trying to find the right spots to pull himself up.</t>
  </si>
  <si>
    <t>He finds a good place to hang his rope on the mountain and starts to climb up again.</t>
  </si>
  <si>
    <t>He decides to move it up a little bit more to a better spot.</t>
  </si>
  <si>
    <t>Then, he starts climbing again struggling a bit before finally making it over the tough spot.</t>
  </si>
  <si>
    <t>v_3eQqgH3PJBo</t>
  </si>
  <si>
    <t>A man in a black shirt and white gloves places billiard balls on a pool table.</t>
  </si>
  <si>
    <t>A man with a light blue shirt inspects the position of the billiard balls up close.</t>
  </si>
  <si>
    <t>The man in the light blue shirt gets into position with the cue stick and breaks the billiards balls and the balls go in many directions.</t>
  </si>
  <si>
    <t>The man in the black shirt returns and inspects the table and then steps back.</t>
  </si>
  <si>
    <t>The man in the light blue shirt prepares for his next shot by walking from one side of the billiard table to the other looking for his next shot.</t>
  </si>
  <si>
    <t>He chalks the tip of the cue stick before taking his shot.</t>
  </si>
  <si>
    <t>He then prepares for his next shot walking around the billiard table.</t>
  </si>
  <si>
    <t>v_hOdSTik8_nw</t>
  </si>
  <si>
    <t>The coach is coaching his team.</t>
  </si>
  <si>
    <t>The guy in the black in the back walks off.</t>
  </si>
  <si>
    <t>The coach is then speaking to the parents.</t>
  </si>
  <si>
    <t>two new guys arrive in the back.</t>
  </si>
  <si>
    <t>The coach is on the field with the teams.</t>
  </si>
  <si>
    <t>the yellow bus drives past.</t>
  </si>
  <si>
    <t>the red team is listening to the coach.</t>
  </si>
  <si>
    <t>The kids are playing the game.</t>
  </si>
  <si>
    <t>The kids are listening to the coach.</t>
  </si>
  <si>
    <t>The game is on again.</t>
  </si>
  <si>
    <t>A white bus drives past.</t>
  </si>
  <si>
    <t>v_ekgfptN7tQk</t>
  </si>
  <si>
    <t>The word Surfer is on the screen.</t>
  </si>
  <si>
    <t>A surfer is taking to the camera.</t>
  </si>
  <si>
    <t>A surfer is walking on the beach.</t>
  </si>
  <si>
    <t>A man is surfing in the water while the man is taking again.</t>
  </si>
  <si>
    <t>There are a crowd of surfers on the island.</t>
  </si>
  <si>
    <t>Several surfers are in the water and the man is still being interviewed.</t>
  </si>
  <si>
    <t>v_03BMaaMEcNo</t>
  </si>
  <si>
    <t>Two people are seen sitting before a wave pool and one leads another out onto the water on a board.</t>
  </si>
  <si>
    <t>The person falls when another attempts to ride the board on the water.</t>
  </si>
  <si>
    <t>The person continues riding along the water and ends with the camera panning around the area and the boy falls.</t>
  </si>
  <si>
    <t>v_5gc896my38M</t>
  </si>
  <si>
    <t>Several couples are shown running outside and doing various activities outside in the sun.</t>
  </si>
  <si>
    <t>More and more people begin talking and each of them has a bottle of sun screen and starts to squirt it on their arms in effort to protect their skin.</t>
  </si>
  <si>
    <t>A small blue bottle of the sun screen is then shown and several more people begin talking about the product.</t>
  </si>
  <si>
    <t>The website to buy the product is shown and the whole video plays again as if its looped.</t>
  </si>
  <si>
    <t>v_EY4YIa-kNgs</t>
  </si>
  <si>
    <t>A young boy holds a dish scrub as he speaks.</t>
  </si>
  <si>
    <t>He turns to the sink behind him where there are dishes sitting in water.</t>
  </si>
  <si>
    <t>He drops the scrub into the sink and lays a glass down.</t>
  </si>
  <si>
    <t>He grabs a towel and cleans the glass and moves on to scrub the glass as well.</t>
  </si>
  <si>
    <t>He puts down the scrub and grabs the glass to place it in the right side of the sink where he wets the glass and puts it away in the dish rack.</t>
  </si>
  <si>
    <t>He moves to grab the towel and clean a dish.</t>
  </si>
  <si>
    <t>He soaks the dish in water and moves it to the dish rack.</t>
  </si>
  <si>
    <t>He returns to use the towel and clean a knife.</t>
  </si>
  <si>
    <t>He soaks the knife in the water and moves it to the dish rack, the boy goes back to clean a fork with the towel.</t>
  </si>
  <si>
    <t>He moves the fork to the water to rinse soap off it.</t>
  </si>
  <si>
    <t>The young boy stands in front of camera, speaking.</t>
  </si>
  <si>
    <t>v_WcQV3OzK_sc</t>
  </si>
  <si>
    <t>A man is seen recording a small child who is having her hair combed by a woman standing behind her.</t>
  </si>
  <si>
    <t>Several people and kids watch on the side and the woman puts the girls hair into ponytails.</t>
  </si>
  <si>
    <t>She speaks to the camera and cuts the girls hair when the dad puts the hair on his head and makes the kids laugh.</t>
  </si>
  <si>
    <t>The woman continues cutting her hair while others watch and speaks to the camera, followed by the woman straightening the hair and showing it off in slow motion.</t>
  </si>
  <si>
    <t>The girl holds her hair and screams in excitement at the camera.</t>
  </si>
  <si>
    <t>v_MNSDK-vCwTM</t>
  </si>
  <si>
    <t>Two girls are seen speaking to the camera while holding cups in their hands and laughing to one another.</t>
  </si>
  <si>
    <t>The camera zooms in on the cups and the girl continue laughing while finally drinking from the cup.</t>
  </si>
  <si>
    <t>They hold the liquid into their mouth and spit it out and laugh in the end.</t>
  </si>
  <si>
    <t>v_TNVdpnrtn5A</t>
  </si>
  <si>
    <t>A man is seen speaking to the camera as well as bowing to the camera.</t>
  </si>
  <si>
    <t>The man kneels down on his knees several times and bows again.</t>
  </si>
  <si>
    <t>He turns himself around still bowing and ends by standing up.</t>
  </si>
  <si>
    <t>v_Bg526A61c1w</t>
  </si>
  <si>
    <t>Before an Olympic weight lifting event, a Chinese competitor is shown preparing by working out in a gym.</t>
  </si>
  <si>
    <t>He then practices for the event by lifting the big Olympic sized weights.</t>
  </si>
  <si>
    <t>At the competition, he picks up the weights from a squatting position before rising up and then throwing the weights down on completion.</t>
  </si>
  <si>
    <t>Various successful lifts are shown and the competitor hugs his trainer.</t>
  </si>
  <si>
    <t>v_UgrOTFBD7tA</t>
  </si>
  <si>
    <t>Mountains are seen in the distance with clouds moving over top during the afternoon.</t>
  </si>
  <si>
    <t>Mountain climbers use ropes and hooks to metal clips up along cracks in a sheer rock face.</t>
  </si>
  <si>
    <t>The climber sets a metal round clips into the crack of the rock face.</t>
  </si>
  <si>
    <t>Clouds move over a mountain range at sunset.</t>
  </si>
  <si>
    <t>v_wJOHmxQZPR4</t>
  </si>
  <si>
    <t>A woman is seen hosting a news segment speaking to the camera and transitions into a group of men walking in a straight line.</t>
  </si>
  <si>
    <t>The people then perform in front of a large group of people and one performer is interviewed in between.</t>
  </si>
  <si>
    <t>The news segment then begins talking to other people in the studio who give their opinions and ends with the host laughing and smiling.</t>
  </si>
  <si>
    <t>v_HqxTRzf11tc</t>
  </si>
  <si>
    <t>A person is seen standing ready in front of a large track with people sitting and standing around watching him.</t>
  </si>
  <si>
    <t>The persons ticks their arms out and runs down the track into the sit pit and flips over.</t>
  </si>
  <si>
    <t>v_MKLoBzvca30</t>
  </si>
  <si>
    <t>A man in a white hat is holding a black ball and talking.</t>
  </si>
  <si>
    <t>People are playing a game of indoor soccer.</t>
  </si>
  <si>
    <t>A man in a white jacket is talking to the camera.</t>
  </si>
  <si>
    <t>v_GrqBqKMW4ps</t>
  </si>
  <si>
    <t>A man is doing a gymnastics routine on parallel bars.</t>
  </si>
  <si>
    <t>He dismounts and lands on a mat.</t>
  </si>
  <si>
    <t>He gives several people high fives as he walks off the mat.</t>
  </si>
  <si>
    <t>v_jl10JmELMqY</t>
  </si>
  <si>
    <t>An older woman is shown talking to the camera and begins knitting on a couch.</t>
  </si>
  <si>
    <t>She continues talking to the camera while the lens zoom in and out of her hands continuing to knit.</t>
  </si>
  <si>
    <t>She shows off her sweater and finally puts her knitting gear down.</t>
  </si>
  <si>
    <t>v_EQK_o1qHx7M</t>
  </si>
  <si>
    <t>There's a young boy standing in his kitchen with a jug of water, some lemons and some apples behind him on the counter.</t>
  </si>
  <si>
    <t>He is pointing to the lemons.</t>
  </si>
  <si>
    <t>His mother comes and helps him squeeze the juice out of the lemons.</t>
  </si>
  <si>
    <t>Both the mother and son use a lemon juicer to squeeze the juice and add it to the jug of water.</t>
  </si>
  <si>
    <t>The mother makes sure that all the juice is properly squeezed out of the lemons, so she uses her hands.</t>
  </si>
  <si>
    <t>Then she adds some food coloring to the lemonade and stirs it well.</t>
  </si>
  <si>
    <t>She then pours the lemonade in a glass with ice and gives it to her son.</t>
  </si>
  <si>
    <t>He takes a sip of the lemonade and smiles.</t>
  </si>
  <si>
    <t>v_L-A8RECKhtQ</t>
  </si>
  <si>
    <t>A picture of a man is seen and leads into a man bending down on a lawn and performing various dance moves.</t>
  </si>
  <si>
    <t>The man sings along while performing his routine and is then seen running across the yard with a lawn mower.</t>
  </si>
  <si>
    <t>More dancing and singing is seen, a picture of holding cards is shown, and ends with him cutting the grass and holding down with a friend.</t>
  </si>
  <si>
    <t>v_al_769KF6Qc</t>
  </si>
  <si>
    <t>A woman walks over to a flower bed and wheelbarrow as she talks.</t>
  </si>
  <si>
    <t>She demonstrates how to mulch, picking up the material and showing how to pack it around plants.</t>
  </si>
  <si>
    <t>v_ac1M42uRXS8</t>
  </si>
  <si>
    <t>Two girls are on an indoor basketball court.</t>
  </si>
  <si>
    <t>They are performing using batons and wearing purple dresses.</t>
  </si>
  <si>
    <t>They spin and toss, throwing the batons into the air as they perform.</t>
  </si>
  <si>
    <t>v_X3hQtXddMd4</t>
  </si>
  <si>
    <t>A camera and logo appear briefly.</t>
  </si>
  <si>
    <t>A person wake boards on a lake while being towed.</t>
  </si>
  <si>
    <t>They pass a person in the water.</t>
  </si>
  <si>
    <t>They come to a stop by a dock.</t>
  </si>
  <si>
    <t>v_sNQQ2Fpxbzw</t>
  </si>
  <si>
    <t>A black screen is shown with green words on it and then the screen moves to a white paper with black words.</t>
  </si>
  <si>
    <t>After, a green Lacrosse team appears and they begin to compete.</t>
  </si>
  <si>
    <t>Someone makes a goal and then the ball is placed back in the middle of the field.</t>
  </si>
  <si>
    <t>When they are finished still images from the game are shown.</t>
  </si>
  <si>
    <t>Finally,a black screen appears and the score is shown in blue and green writing.</t>
  </si>
  <si>
    <t>v_sYAGVE3luRo</t>
  </si>
  <si>
    <t>People are playing instruments marching down a street.</t>
  </si>
  <si>
    <t>They start marching in a circle in a room.</t>
  </si>
  <si>
    <t>A person holding a baton stands in front of the band.</t>
  </si>
  <si>
    <t>v_nfBBazBLQFk</t>
  </si>
  <si>
    <t>A man stands on the roof of a building, and two others appear.</t>
  </si>
  <si>
    <t>They are flying kites in the air over the brick building.</t>
  </si>
  <si>
    <t>The men make the kites dip and dive as they talk and interact.</t>
  </si>
  <si>
    <t>v_tJbScqVWPsU</t>
  </si>
  <si>
    <t>An outdoor scene by the beach shows a large crowd near a resort.</t>
  </si>
  <si>
    <t>They are cheering as several professional skateboarders perform stunts in a ramp pit.</t>
  </si>
  <si>
    <t>The flip and turn in the air, going up and down the ramp.</t>
  </si>
  <si>
    <t>The winners pose for photos with cakes when they are done.</t>
  </si>
  <si>
    <t>v_PUI2Qrn0qbE</t>
  </si>
  <si>
    <t>kids are driving on bumper cars spinning and bumping.</t>
  </si>
  <si>
    <t>kid is wearing blue shirt and clash with the fence holding the handles with both hands.</t>
  </si>
  <si>
    <t>girl is wearing a leather jacket spining in the bumper car in the amusement car.</t>
  </si>
  <si>
    <t>v_lhnhGI-rrzM</t>
  </si>
  <si>
    <t>There's a young man wearing a blue shirt and a black helmet skateboarding on a two way road.</t>
  </si>
  <si>
    <t>He is going at a steady and fast speed as he passes through a few cars and lots of trees.</t>
  </si>
  <si>
    <t>He also passes through some residential areas as he skateboards.</t>
  </si>
  <si>
    <t>He finally slows down as cameraman approaches a gray car.</t>
  </si>
  <si>
    <t>The cameraman gets into the car and takes the skateboard away.</t>
  </si>
  <si>
    <t>The skateboarder is kneeling on the side of the main road.</t>
  </si>
  <si>
    <t>He then gets up and walks away.</t>
  </si>
  <si>
    <t>v_PntiXZ692xM</t>
  </si>
  <si>
    <t>We see a magazine on a black background.</t>
  </si>
  <si>
    <t>People begin running on country roads in a marathon.</t>
  </si>
  <si>
    <t>We see them get drinks at a table.</t>
  </si>
  <si>
    <t>A man is running and holding a camera facing himself.</t>
  </si>
  <si>
    <t>The man who is running is seen again.</t>
  </si>
  <si>
    <t>We see a person point at a lake.</t>
  </si>
  <si>
    <t>We cross the finish line.</t>
  </si>
  <si>
    <t>A man is in a lake cooling off.</t>
  </si>
  <si>
    <t>v_2KYGAq5qQCI</t>
  </si>
  <si>
    <t>A close up is shown of a room with a window.</t>
  </si>
  <si>
    <t>a man is smoothing mud over the wall.</t>
  </si>
  <si>
    <t>He measures and cuts then spreads again.</t>
  </si>
  <si>
    <t>When he is done, the wall is completely smooth.</t>
  </si>
  <si>
    <t>v_W0EN9JeU66A</t>
  </si>
  <si>
    <t>A young child is moving back and fourth on a swing while laughing and smiling to the camera.</t>
  </si>
  <si>
    <t>The child continues pumping their legs and then is stiff while looking off into the distance.</t>
  </si>
  <si>
    <t>v_4w_46rTInXI</t>
  </si>
  <si>
    <t>A bunch of people are playing beer pong in different outfits.</t>
  </si>
  <si>
    <t>Then people bong a beer.</t>
  </si>
  <si>
    <t>A lot of dancing happens at the end.</t>
  </si>
  <si>
    <t>v_wVahCLOq4s0</t>
  </si>
  <si>
    <t>woman is sitting in front of a white table holding a halloween pumpkin.</t>
  </si>
  <si>
    <t>woman holds a knife and and cut the pumpkin head and remove all the seeds from the inside.</t>
  </si>
  <si>
    <t>woman daw the face with black markers and open the holes on the pumpkin.</t>
  </si>
  <si>
    <t>v_5zCY_vezHaU</t>
  </si>
  <si>
    <t>A man in black shirt is stalking in front of the camera, then the calendar and then drawing is shown.</t>
  </si>
  <si>
    <t>The blonde man is talking in front of the camera, while behind him is an empty ramp, then the man skateboard in a wooden ramp, then is is showing how to skateboard, then he skateboard and did tricks on a wooden ramp, then he continue to talk, and then skateboard again.</t>
  </si>
  <si>
    <t>v_PgfUSPHXluA</t>
  </si>
  <si>
    <t>woman wearing a red shirt is arm wretling again anothe woman laying on the floor.</t>
  </si>
  <si>
    <t>a blonde woman wearing grey shirt is arm wrestling with another woman on a room.</t>
  </si>
  <si>
    <t>the winner woman is making poses laying on the floor.</t>
  </si>
  <si>
    <t>v_grvzIljsqcI</t>
  </si>
  <si>
    <t>A young woman is seen looking at the camera while taking a drink and fixing her hair.</t>
  </si>
  <si>
    <t>The woman then holds up a pack of cigarettes and begins smoking a cigarette.</t>
  </si>
  <si>
    <t>The woman continuously smokes and drinks one after the other while continuing to look to the camera.</t>
  </si>
  <si>
    <t>v_LrputIUn4oY</t>
  </si>
  <si>
    <t>There are different athletes in the beginning of the video, but then 2 people are shown diving into the water while a huge crowd watches them.</t>
  </si>
  <si>
    <t>In the end, the men's 10m synchro platform is held.</t>
  </si>
  <si>
    <t>v_r40TuTkt9y4</t>
  </si>
  <si>
    <t>Various shots of landscapes are shown that interments with people riding in a large raft.</t>
  </si>
  <si>
    <t>At one point the raft flips over the men riding down the river.</t>
  </si>
  <si>
    <t>More shots of people riding down the river are shown as well as people speaking to the camera.</t>
  </si>
  <si>
    <t>v_mGsenLq9yEU</t>
  </si>
  <si>
    <t>A news woman is talking in a news room.</t>
  </si>
  <si>
    <t>Bullfighters are shown inside a ring.</t>
  </si>
  <si>
    <t>They are trying to entice the bull with capes.</t>
  </si>
  <si>
    <t>v_VVyE6rVJEuI</t>
  </si>
  <si>
    <t>Two people are dancing in a room.</t>
  </si>
  <si>
    <t>They turn to the side and continue dancing.</t>
  </si>
  <si>
    <t>They finish and pose at the end.</t>
  </si>
  <si>
    <t>v_kJrHvEECvEA</t>
  </si>
  <si>
    <t>A woman standing outside on the roof smoking a cigarette.</t>
  </si>
  <si>
    <t>She blows smoke and plays around with her hair.</t>
  </si>
  <si>
    <t>She keeps smoking and blowing smoking casually all by her lonesome.</t>
  </si>
  <si>
    <t>She exhales one last time and then put her cigarette out on a wall.</t>
  </si>
  <si>
    <t>v_PDaGlIxn6Pk</t>
  </si>
  <si>
    <t>A couple of teams are playing lacrosse on an open field.</t>
  </si>
  <si>
    <t>A crowd watches the game intently.</t>
  </si>
  <si>
    <t>The players run back and forth across the field, hitting the ball into goals.</t>
  </si>
  <si>
    <t>v_x-WGuz3_2Fc</t>
  </si>
  <si>
    <t>A man is seen speaking to the camera while peeling potatoes and looking to the camera.</t>
  </si>
  <si>
    <t>The camera pans around the man continuously as he continues to peel the potatoes and speak.</t>
  </si>
  <si>
    <t>v_IpFsz2xc3sY</t>
  </si>
  <si>
    <t>A woman is speaking to a webcam in her bedroom.</t>
  </si>
  <si>
    <t>She begins to play with her hair, separating part of it and braiding it.</t>
  </si>
  <si>
    <t>She places the first braid into her mouth while creating another one.</t>
  </si>
  <si>
    <t>She criss crosses the braids, and places a rubberband on it.</t>
  </si>
  <si>
    <t>She begins to do the same process with the other side of her hair.</t>
  </si>
  <si>
    <t>The video finishes by cutting a still image of the same girl and panning up and down.</t>
  </si>
  <si>
    <t>v_uHLEUps_ahs</t>
  </si>
  <si>
    <t>A man is standing in front of a white screen.</t>
  </si>
  <si>
    <t>He is talking about the saxophone in his hands and showing the proper hand positions.</t>
  </si>
  <si>
    <t>He demonstrates how to play the instrument.</t>
  </si>
  <si>
    <t>v_vb1CG5i1lEs</t>
  </si>
  <si>
    <t>A person wearing a large, white suit is shown spraying down a fence with water.</t>
  </si>
  <si>
    <t>The person is shown from various angles performing the task and makes the fence look brand new.</t>
  </si>
  <si>
    <t>v_qXUdnj4VN80</t>
  </si>
  <si>
    <t>A female seems to be doing tricks with a hula hooping while being very flexible with her body.</t>
  </si>
  <si>
    <t>the lady also rides a one wheel bike while hula hooping.</t>
  </si>
  <si>
    <t>the girl then hula hoops while standing on a mat then hula hoops with two hula hoops standing in the same spot.</t>
  </si>
  <si>
    <t>the girl then hula hoops hanging upside down,she also hula hoops around her hand while doing a split on a mat.</t>
  </si>
  <si>
    <t>the girl hula hoops a big tire hula hoop then hula hoops with three hula hoops using her two hands and one feet in the air.</t>
  </si>
  <si>
    <t>the girl then's try to hula hoop a lot of hula hoops at one time as other girls keep adding more to her.</t>
  </si>
  <si>
    <t>v_exzuzQLrv7g</t>
  </si>
  <si>
    <t>Three men dressed in fencing gear are standing in a gym.</t>
  </si>
  <si>
    <t>The man in the middle is talking and the other two remain still.</t>
  </si>
  <si>
    <t>The two men begin making movements as the man instructs them to, showing off the different fencing techniques.</t>
  </si>
  <si>
    <t>They fight slowly, showing each step before culminating into the man's final words onscreen.</t>
  </si>
  <si>
    <t>v_xcrGhwE7R5E</t>
  </si>
  <si>
    <t>A man is talking in his kitchen.</t>
  </si>
  <si>
    <t>He shows how to mix a sauce into pasta, and season it.</t>
  </si>
  <si>
    <t>He then shows how to plate and serve the food.</t>
  </si>
  <si>
    <t>v_81F42Yyw_iY</t>
  </si>
  <si>
    <t>A woman pole vaults over a tall bar.</t>
  </si>
  <si>
    <t>She lands on a yellow mat under her.</t>
  </si>
  <si>
    <t>v_D2IDRG8_6To</t>
  </si>
  <si>
    <t>A young man is talking the the camera.</t>
  </si>
  <si>
    <t>The man stands with a stick in his hand.</t>
  </si>
  <si>
    <t>The man points away from himself.</t>
  </si>
  <si>
    <t>The man takes the stick and pushes pucks around the ground.</t>
  </si>
  <si>
    <t>v_3cjtV-ldvto</t>
  </si>
  <si>
    <t>woman put an egg on a bowl and mix it with vanilla.</t>
  </si>
  <si>
    <t>quick oats and baking powder, cocoa powder and salt are mixed in a bowl.</t>
  </si>
  <si>
    <t>a chocolate bar are cut in pieces with nuts and put in a bowl.</t>
  </si>
  <si>
    <t>sugar and butter are mixed in a bowl till cream and put the vanilla and the powder ingredients with the chocolate and he nuts.</t>
  </si>
  <si>
    <t>themix is wrap and put in a refrigerator.</t>
  </si>
  <si>
    <t>batch is in a pan and ar ready to eat.</t>
  </si>
  <si>
    <t>v_gCxLG4hinNw</t>
  </si>
  <si>
    <t>A man is standing on a show playing bagpipes while other around him watch in amazement.</t>
  </si>
  <si>
    <t>The man continues to play and the audience claps when he finishes.</t>
  </si>
  <si>
    <t>He hands the instrument to a man walking in and gives the host a handshake.</t>
  </si>
  <si>
    <t>He talks to the host a bit and strikes a pose before the host finishes with the guest.</t>
  </si>
  <si>
    <t>v_yaWwad6WXVY</t>
  </si>
  <si>
    <t>A person practice dribbling and shooting the ball walking or running in the court, while a man watch the training.</t>
  </si>
  <si>
    <t>The man stands and leave the court.</t>
  </si>
  <si>
    <t>After, several men practice basketball in a court.</t>
  </si>
  <si>
    <t>v_-KjJxkFUhv4</t>
  </si>
  <si>
    <t>The word Happy is written in pebbles on the side of the sand.</t>
  </si>
  <si>
    <t>A large body of crystal blue water is shown and a large boat with people are in it.</t>
  </si>
  <si>
    <t>The individuals began dancing and jumping off the boat and enjoy themselves in the water.</t>
  </si>
  <si>
    <t>As the people continue,three or four people are in the water swimming with goggles on.</t>
  </si>
  <si>
    <t>v_XnctHnlJB4g</t>
  </si>
  <si>
    <t>A man in red stands on a stage.</t>
  </si>
  <si>
    <t>He lifts a barbell over his head.</t>
  </si>
  <si>
    <t>He drops the barbell on the ground.</t>
  </si>
  <si>
    <t>Several people cheer him on.</t>
  </si>
  <si>
    <t>v_x08PpU3uQ6Y</t>
  </si>
  <si>
    <t>The woman in white shirt is standing, then kneel down next to a big plastic bag on the ground.</t>
  </si>
  <si>
    <t>She opened the bag, put the content of the bag in the uneven hole on the ground, and flatten it using her gloved hand.</t>
  </si>
  <si>
    <t>She looked at the camera and talked while she's kneeling next to the plastic bags.</t>
  </si>
  <si>
    <t>She put another bag on the ground, flatten them using her hand until the area is covered.</t>
  </si>
  <si>
    <t>She walks forward, bend sideward to flatten some more dirt.</t>
  </si>
  <si>
    <t>v_xS-F-9E3xKk</t>
  </si>
  <si>
    <t>Two women are on a stand opposite one another at a table beginning to arm wrestle.</t>
  </si>
  <si>
    <t>There is a brief hold up before they begin,because their thumb positing is inaccurate.</t>
  </si>
  <si>
    <t>Once they finally begin,the girl on the left wins but she is quickly stopped and they have to restart and the same girl wins again.</t>
  </si>
  <si>
    <t>v_Kj2SF5bCxJ8</t>
  </si>
  <si>
    <t>A kid spreads peanut butter in two slices of bread.</t>
  </si>
  <si>
    <t>Then, the kid adds on top jelly.</t>
  </si>
  <si>
    <t>After, the kid gives a bite to the peanut butter and jelly sandwich.</t>
  </si>
  <si>
    <t>v_kBDTz-dwQ2k</t>
  </si>
  <si>
    <t>There is a woman in a white blouse along with a man in a white shirt in a studio practicing ballroom dancing.</t>
  </si>
  <si>
    <t>They are in a room with a wall full of mirrors.</t>
  </si>
  <si>
    <t>The lady is explaining the steps of the dance as they both demonstrate the moves and foot work involved in the dance.</t>
  </si>
  <si>
    <t>They go back and forth as they take their steps while holding each other's hands.</t>
  </si>
  <si>
    <t>v_ANB_IQfi9kA</t>
  </si>
  <si>
    <t>A man runs past an approaching storm.</t>
  </si>
  <si>
    <t>Surfers are seen in the water, and people are walking with their surfboards.</t>
  </si>
  <si>
    <t>A group of women gather, and a praying mantis is seen.</t>
  </si>
  <si>
    <t>Numerous surfers are then shown, going through and over various waves.</t>
  </si>
  <si>
    <t>v_qF3EbR8y8go</t>
  </si>
  <si>
    <t>woman is painting in a white paper green leaves in a chinese tree.</t>
  </si>
  <si>
    <t>a red paint is shown and woman put a stamp on the corner of the paper.</t>
  </si>
  <si>
    <t>woman is painting a blue ad purple chinese flower.</t>
  </si>
  <si>
    <t>a red and black flowers are painted on a white paper with very detail for the same woman in a dark room.</t>
  </si>
  <si>
    <t>woman used some black painting for make details, put the red stamp on the corner and finished the painting with yellow and reddetails on the flowers.</t>
  </si>
  <si>
    <t>v_gMV5Mso7758</t>
  </si>
  <si>
    <t>A close up of a man is shown followed by him asking a woman a question on the beach.</t>
  </si>
  <si>
    <t>He then is shown speaking to several different people holding a frisbee and playing a game.</t>
  </si>
  <si>
    <t>Many women laugh with the men and the man gives several of them a kiss.</t>
  </si>
  <si>
    <t>v_tzChPctqAP4</t>
  </si>
  <si>
    <t>Two men are seen jumping and kicking around one another performing various flips and tricks.</t>
  </si>
  <si>
    <t>The men continue spinning around one another as well as performing gymnastics moves in different locations.</t>
  </si>
  <si>
    <t>v_ivBgqENFmt0</t>
  </si>
  <si>
    <t>A planter of flowers is seen in front of a home.</t>
  </si>
  <si>
    <t>A roofer nails tiles into the roof beams of a home.</t>
  </si>
  <si>
    <t>The construction worker slides tiles into place on a roof.</t>
  </si>
  <si>
    <t>A crew of construction workers get tiles up onto a roof.</t>
  </si>
  <si>
    <t>A finished tile roof is seen when the job is done.</t>
  </si>
  <si>
    <t>A worker uses a spatula tool to apply grout in between tiles on the roof.</t>
  </si>
  <si>
    <t>v_YULJjXegG1w</t>
  </si>
  <si>
    <t>A basketball court is shown outdoors.</t>
  </si>
  <si>
    <t>A man runs up, and does several consecutive lay ups.</t>
  </si>
  <si>
    <t>He makes a few baskets, then tries again and again.</t>
  </si>
  <si>
    <t>Some kids run by, waving at the camera.</t>
  </si>
  <si>
    <t>v_Qf6gZtm9BIg</t>
  </si>
  <si>
    <t>A man is standing outside talking.</t>
  </si>
  <si>
    <t>He gets onto a slack line and starts to cross it.</t>
  </si>
  <si>
    <t>He falls off onto the grass.</t>
  </si>
  <si>
    <t>v_Lan3mtnCmlw</t>
  </si>
  <si>
    <t>We see a Santa clause underwater in the ocean.</t>
  </si>
  <si>
    <t>We see white and yellow fish swimming around the man.</t>
  </si>
  <si>
    <t>We sit above the man seeing his bubbles.</t>
  </si>
  <si>
    <t>The man swims under a rock arch.</t>
  </si>
  <si>
    <t>v__0CqozZun3U</t>
  </si>
  <si>
    <t>man is standing in the botom of a stairs and is cleaning the snow hil in the street a snowplow is passing and the man is cleaning the snow and doing a path.</t>
  </si>
  <si>
    <t>man is standing in front of a car and is cleaning the windshield and all the windows.</t>
  </si>
  <si>
    <t>v_FmRLElPPWV8</t>
  </si>
  <si>
    <t>People prepare to go canoeing and then launch their boats.</t>
  </si>
  <si>
    <t>People then go down the stream.</t>
  </si>
  <si>
    <t>v_Pp4U2Ql7bhY</t>
  </si>
  <si>
    <t>A man in a Batman shirt is sitting down talking.</t>
  </si>
  <si>
    <t>A person starts welding a piece of metal.</t>
  </si>
  <si>
    <t>He takes a brush and brushes off the piece of metal.</t>
  </si>
  <si>
    <t>He puts all the pieces in a black bag.</t>
  </si>
  <si>
    <t>v_BdAPzcdrk9g</t>
  </si>
  <si>
    <t>A small group of people are seen standing on two sides of a net.</t>
  </si>
  <si>
    <t>The people then begin playing a game of badminton with one another.</t>
  </si>
  <si>
    <t>They continue to hit the birdie around while serving it to the other side and hitting it back.</t>
  </si>
  <si>
    <t>v_fLCWIE8a4AU</t>
  </si>
  <si>
    <t>A crowd of about one thousand people are outside and in the stadium watching a bull fight.</t>
  </si>
  <si>
    <t>Three young men are in the center and begin to tamper with two black and white bulls.</t>
  </si>
  <si>
    <t>The two bulls are now fighting with one another and the crowd begins to close in on them to see the action.</t>
  </si>
  <si>
    <t>v_VOTBtV0CQ8c</t>
  </si>
  <si>
    <t>A camera pans around a lake and shows a boat moving along the water.</t>
  </si>
  <si>
    <t>A person is seen riding behind the boat on a pair of skis.</t>
  </si>
  <si>
    <t>More shots are shown of the boat riding around with a person skiing in the back.</t>
  </si>
  <si>
    <t>v_Lm7KLQgzQDk</t>
  </si>
  <si>
    <t>A large group of people are seen standing together dressed up with one man speaking into a mic and pointing.</t>
  </si>
  <si>
    <t>The man then busts out into song and dance with another man and pointing to the groom gradually.</t>
  </si>
  <si>
    <t>v_PLWeVDUH_Cw</t>
  </si>
  <si>
    <t>Business men walk through a busy crowd.</t>
  </si>
  <si>
    <t>A business man plays against a table tennis professional.</t>
  </si>
  <si>
    <t>Two businessmen play on a team against the table tennis pro.</t>
  </si>
  <si>
    <t>The match ends and the business men shake hands with the athlete.</t>
  </si>
  <si>
    <t>v_lMFp8FPeDHI</t>
  </si>
  <si>
    <t>A preteen boy is out in an open park filming challenges on monkey bars he points to the left.</t>
  </si>
  <si>
    <t>The camera pans over to the left to show the slide in another part of the jungle gym.</t>
  </si>
  <si>
    <t>The camera pans back to the monkey bars.</t>
  </si>
  <si>
    <t>The boy attempts to climb the monkey bars starting from the second from the top rung of the ladder on the inside and falls, he gets up and goes to the ladder.</t>
  </si>
  <si>
    <t>The boy attempts the climb again, this time from the top rung of the ladder on the inside and falls, he gets up and goes to the ladder again.</t>
  </si>
  <si>
    <t>The boy attempts to climb again, from the top bar on the inside and falls again, he gets up and goes to the ladder again.</t>
  </si>
  <si>
    <t>The boy attempts to climb again, this time he adjusts again standing on the second rung on the inside and falls again when he attempts to climb.</t>
  </si>
  <si>
    <t>The boy attempts to climb again using the same starting point and falls, he gets up and goes toward the ladder but decides he is done and says good-bye.</t>
  </si>
  <si>
    <t>v_zfi8f5NnYaY</t>
  </si>
  <si>
    <t>A man is seen riding around on a horse holding a stick and then pausing to sit.</t>
  </si>
  <si>
    <t>He is then seen again walking with a large group of people drinking water and then shakes hands of several people while walking back.</t>
  </si>
  <si>
    <t>v_kCD0iQFnHA4</t>
  </si>
  <si>
    <t>A close up of a dough is shown and leads into a person spreading frosting on a pastry.</t>
  </si>
  <si>
    <t>She puts the pastry onto the cake and continues putting frosting all around the cake.</t>
  </si>
  <si>
    <t>The camera zooms around the cake and shows the woman putting a face on the cake and showing off the finished result.</t>
  </si>
  <si>
    <t>v_4rv1uLmbyHA</t>
  </si>
  <si>
    <t>Two news anchors are talking in a room.</t>
  </si>
  <si>
    <t>A man is making food in a kitchen.</t>
  </si>
  <si>
    <t>He cooks mushrooms in a pan.</t>
  </si>
  <si>
    <t>He adds the food into a bowl.</t>
  </si>
  <si>
    <t>v_owLQzBg4olo</t>
  </si>
  <si>
    <t>A long colorful scarf is seen running over chairs.</t>
  </si>
  <si>
    <t>A woman is seen knitting the scarf in a purple dress.</t>
  </si>
  <si>
    <t>Three other woman sit together and knit a section of the scarf.</t>
  </si>
  <si>
    <t>v_C7so_y5I_9s</t>
  </si>
  <si>
    <t>We see images of a man opening blinds and carrying a boarding outside.</t>
  </si>
  <si>
    <t>We see a man riding jet skis and performing flips.</t>
  </si>
  <si>
    <t>We see a man sitting on the dock.</t>
  </si>
  <si>
    <t>We see the jet skier ride over a ramp.</t>
  </si>
  <si>
    <t>We see a shoe briefly.</t>
  </si>
  <si>
    <t>v_hf1JuvacaJc</t>
  </si>
  <si>
    <t>Individuals bowl at their lanes and knock down pins.</t>
  </si>
  <si>
    <t>A guy bowls a strike and open his mouth to express anguish.</t>
  </si>
  <si>
    <t>v_nyEcPLZQerc</t>
  </si>
  <si>
    <t>Students are interviewed and then run a race.</t>
  </si>
  <si>
    <t>Everyone seems happy to be involved with the College of Charleston.</t>
  </si>
  <si>
    <t>v_VyD5Z0S9tXU</t>
  </si>
  <si>
    <t>A chef demonstrates how to peel a potato using a potato peeler and a potato, in a kitchen in front of cutting board.</t>
  </si>
  <si>
    <t>The man talks to the camera and begins to peel the potato with the peeler peeling of slices of skin and gesturing at the table.</t>
  </si>
  <si>
    <t>The man peels the potato until it has no more skin on it.</t>
  </si>
  <si>
    <t>v_UmuWttAYfco</t>
  </si>
  <si>
    <t>Two men are standing together on a table with their fist up as the referee holds their wrist.</t>
  </si>
  <si>
    <t>The referee then lets go and almost instantly the arm wrestling match is over and a winner is declared,the winner moves on and several more matches begin to take place and they too are ended abruptly.</t>
  </si>
  <si>
    <t>Near the end however,the opponents finally match and it takes forever to declare a winner as they struggle to move their hands.</t>
  </si>
  <si>
    <t>v_XToVLTbQEm4</t>
  </si>
  <si>
    <t>men are playing basket in a roofed wooden court.</t>
  </si>
  <si>
    <t>man is alone doing lay ups to the basket.</t>
  </si>
  <si>
    <t>another man arrives to the court and start playing together.</t>
  </si>
  <si>
    <t>v_U9b8U-EymNw</t>
  </si>
  <si>
    <t>A company log is on the screen.</t>
  </si>
  <si>
    <t>A boat is floating on the water.</t>
  </si>
  <si>
    <t>A tube has water running through it and there are floats on the water.</t>
  </si>
  <si>
    <t>The camera is scanning the boat.</t>
  </si>
  <si>
    <t>Two women are sitting on the boat, one is poking the other.</t>
  </si>
  <si>
    <t>A plastic seat is inflated then a board is put into the water.</t>
  </si>
  <si>
    <t>A woman is on the board and holding on to a line attached to the boat.</t>
  </si>
  <si>
    <t>A woman is driving the boat while the other woman is boarding behind her.</t>
  </si>
  <si>
    <t>A woman is taking a selfie while on the boat.</t>
  </si>
  <si>
    <t>The woman is doing tricks with the board on the water.</t>
  </si>
  <si>
    <t>She let go of the line and floated freely.</t>
  </si>
  <si>
    <t>v_RA61jh8HwPI</t>
  </si>
  <si>
    <t>A woman is seen putting makeup on her face and leads into several pictures of makeup.</t>
  </si>
  <si>
    <t>Many more pictures of products are shown with text across the screen.</t>
  </si>
  <si>
    <t>More pictures of products are shown that end with more text and a woman pushing away makeup.</t>
  </si>
  <si>
    <t>v_-6prmNqkAN8</t>
  </si>
  <si>
    <t>A large snowy mountain is seen as people gather on the ice.</t>
  </si>
  <si>
    <t>They hit several pucks, sweeping them in a game.</t>
  </si>
  <si>
    <t>v_3sL7fLHM09c</t>
  </si>
  <si>
    <t>A female gymnast is demonstrating a gymnastics performance on bars.</t>
  </si>
  <si>
    <t>Other gymnasts and an instructor are watching the female gymnast perform.</t>
  </si>
  <si>
    <t>Another female gymnast is practicing in the background.</t>
  </si>
  <si>
    <t>v_Z9gstJONME4</t>
  </si>
  <si>
    <t>A man is lifting weights in the gym.</t>
  </si>
  <si>
    <t>The ball goes to the man's chest for the first time.</t>
  </si>
  <si>
    <t>The man takes a break.</t>
  </si>
  <si>
    <t>v_YAPkcWlWmYg</t>
  </si>
  <si>
    <t>A girl is seen listening to music and transitions into her performing a dance routine outside on a walk way.</t>
  </si>
  <si>
    <t>She continues dancing around while smiling to the camera and ends by walking away and giving two peace signs to the camera.</t>
  </si>
  <si>
    <t>v_gGYje5UGLdY</t>
  </si>
  <si>
    <t>A person is seen walking into frame in front of a pair of drums.</t>
  </si>
  <si>
    <t>He then begins playing the drums back and fourth.</t>
  </si>
  <si>
    <t>He continues to play on the drums and ends by turning the camera off.</t>
  </si>
  <si>
    <t>v_QBy64z68s0w</t>
  </si>
  <si>
    <t>A young girl performs her gymnastics routine on the balance beam.</t>
  </si>
  <si>
    <t>The young girl gets on the beam and continues her routine.</t>
  </si>
  <si>
    <t>The young girl falls off the beam.</t>
  </si>
  <si>
    <t>The young girl gets back on the beam and finishes her routine.</t>
  </si>
  <si>
    <t>v_KSu59HUet3E</t>
  </si>
  <si>
    <t>A man with white shirt is standing in front of a machine.</t>
  </si>
  <si>
    <t>He turned around and pointed the machine.</t>
  </si>
  <si>
    <t>The machine is being shown.</t>
  </si>
  <si>
    <t>A man who is wearing a white shirt keeps talking, while behind him a man in gray shirt walked and reach something in the machine.</t>
  </si>
  <si>
    <t>The man in gray shirt put a powdery stuff in the machine.</t>
  </si>
  <si>
    <t>He is shaking the bag.</t>
  </si>
  <si>
    <t>The man in white shirt is putting cement on the wall.</t>
  </si>
  <si>
    <t>The man is holding a blue long tube pointing on the wall.</t>
  </si>
  <si>
    <t>The man in gray uniform used the tube/pump and spray the cement on the wall.</t>
  </si>
  <si>
    <t>An old man is smoothing the cement on the wall.</t>
  </si>
  <si>
    <t>v_NiQaDgj8Z10</t>
  </si>
  <si>
    <t>A lady hula hoop with five hula hoops and one by one she takes on off of her and tosses it until she tossed away all five hula hoops she was hula hooping with.</t>
  </si>
  <si>
    <t>the lady then hula hoops with 300 hula hoops with will be a world record.</t>
  </si>
  <si>
    <t>the lady starts by putting the 300 hula hoops around her body as she bend over to get a good grip on them,she then stands straight up and starts to twirl all 300 hula hoops around her body.</t>
  </si>
  <si>
    <t>finally she manages to twirl all the hula hoop around her hole body and finishes with the hula hoops on the ground and she bows to the people who is watching her.</t>
  </si>
  <si>
    <t>v_NKQehrewXlM</t>
  </si>
  <si>
    <t>A man is seen jogging on the side of the road as well as speaking to the camera.</t>
  </si>
  <si>
    <t>Clips are shown of him warming up on the side and running up along mountainsides.</t>
  </si>
  <si>
    <t>He continues speaking to the camera while running around a neighborhood and people showing off his movements.</t>
  </si>
  <si>
    <t>v_06eyqLosXjU</t>
  </si>
  <si>
    <t>A man is standing behind two inverted drums.</t>
  </si>
  <si>
    <t>He begins to play them with small sticks.</t>
  </si>
  <si>
    <t>He finishes playing and walks away.</t>
  </si>
  <si>
    <t>v_8W-x068F4tE</t>
  </si>
  <si>
    <t>An athletic man is seen standing before a beam and begins performing a gymnastics routine.</t>
  </si>
  <si>
    <t>He swings himself around and around performing flips and tricks and ends by kissing the crowd and walking away.</t>
  </si>
  <si>
    <t>v_Zrv8_-Y-jSM</t>
  </si>
  <si>
    <t>A special effect intro screen appears which is mainly blue and white words in the middle of the screen appear and they read "ROPE SKIPPING".</t>
  </si>
  <si>
    <t>Behind the words there are 4 girls with their own jump ropes and they're all rope skipping separately and eventually they jump in unison.</t>
  </si>
  <si>
    <t>White words appear on the screen that read "Klasse 7c/Fr Leifels", the girls drop to the ground to end their routine and they smile and look around.</t>
  </si>
  <si>
    <t>v_VTFIAQVjHv8</t>
  </si>
  <si>
    <t>A man in a grey print hoodie is standing against a wall introducing himself and then explaining that he is going to give a tutorial for some tricks.</t>
  </si>
  <si>
    <t>A stop start animation with a desk calendar is shown with flip animation drawings blending into framed animation leading to the title of the group and the skateboard tutorial they are about to explain.</t>
  </si>
  <si>
    <t>Footage of a skateboarder doing a trick in front of a camera is followed by the man in the grey hoodie explaining that he is going to show how to do a frontside 180 on a skateboard and what it can be used for as well as the fundamentals befor learning the trick.</t>
  </si>
  <si>
    <t>He then goes into the explanation of how to do the trick in depth as well as footage being shown while he's talking about the trick.</t>
  </si>
  <si>
    <t>The camera pans up and a black screen appears with white letters and a website address followed by a film company and a site channel.</t>
  </si>
  <si>
    <t>v_rteN6_HkMkI</t>
  </si>
  <si>
    <t>A man is shown smoking a cigarette while walking several dogs attached to chains on his belt.</t>
  </si>
  <si>
    <t>A man is talking from behind a table.</t>
  </si>
  <si>
    <t>Several scenes are then shown of the actor while the news person talks about him.</t>
  </si>
  <si>
    <t>v_rojFvhZw_z8</t>
  </si>
  <si>
    <t>A woman is getting ready to bath her dog in her front yard.</t>
  </si>
  <si>
    <t>She takes a hose and wets the dog first.</t>
  </si>
  <si>
    <t>There is another little puppy running around the dog and a little kitten too.</t>
  </si>
  <si>
    <t>The woman takes some liquid soap and scrubs it on the dog.</t>
  </si>
  <si>
    <t>After she's done washing, she wipes him dry with a towel.</t>
  </si>
  <si>
    <t>then she bathes the little puppy the same way with soap and water.</t>
  </si>
  <si>
    <t>The dog is playing on a rug after the bath is over with wet fur on his body.</t>
  </si>
  <si>
    <t>The little puppy is running around the dog with wet fur too.</t>
  </si>
  <si>
    <t>v_aCSG6pfivy4</t>
  </si>
  <si>
    <t>A tray of cookies is shown, followed by butter being beaten in a bowl.</t>
  </si>
  <si>
    <t>Ingredients are added one at a time, mixing them all together.</t>
  </si>
  <si>
    <t>The dough is piped onto the tray, then baked.</t>
  </si>
  <si>
    <t>v_DuDF7hkrjYo</t>
  </si>
  <si>
    <t>A woman is standing in a room talking.</t>
  </si>
  <si>
    <t>She picks up a plastic bottle.</t>
  </si>
  <si>
    <t>She starts dusting a dresser.</t>
  </si>
  <si>
    <t>She wipes it off with a towel.</t>
  </si>
  <si>
    <t>She dumps olive oil onto a rag and rubs it onto the dresser.</t>
  </si>
  <si>
    <t>v_W34A9wUi-4g</t>
  </si>
  <si>
    <t>team is in a court playing futsal, running through the court, while people is siting on stands watchin the game.</t>
  </si>
  <si>
    <t>team are standing on sides charging a penalty.</t>
  </si>
  <si>
    <t>people are in a roofed gym playing and waching the game.</t>
  </si>
  <si>
    <t>v_ZoKZTceDTLA</t>
  </si>
  <si>
    <t>We see a man talking while walking through a house.</t>
  </si>
  <si>
    <t>We see another man working on the floor.</t>
  </si>
  <si>
    <t>We see a man laying tile in another room.</t>
  </si>
  <si>
    <t>Two men are in the same room working on different projects.</t>
  </si>
  <si>
    <t>We see the man talking to the camera again.</t>
  </si>
  <si>
    <t>v_eJnSC8C3OIw</t>
  </si>
  <si>
    <t>A website address is typed in.</t>
  </si>
  <si>
    <t>Skateboards skate and do tricks down stairs and on benches throughout a city.</t>
  </si>
  <si>
    <t>A skateboarder rides a concrete ramp in a skate park.</t>
  </si>
  <si>
    <t>Skateboarders ride the banks of a drainage ditch.</t>
  </si>
  <si>
    <t>Different skateboarders ride in a concrete ramp doing tricks.</t>
  </si>
  <si>
    <t>The city lights are seen at night with passing traffic in fast motion.</t>
  </si>
  <si>
    <t>v_vNyXwHA_k5A</t>
  </si>
  <si>
    <t>People are dancing on a stage.</t>
  </si>
  <si>
    <t>People in the audience are raising their hands.</t>
  </si>
  <si>
    <t>A man in a white shirt starts singing and dancing on the stage.</t>
  </si>
  <si>
    <t>v_KyDS9Zg76Jg</t>
  </si>
  <si>
    <t>A chef demonstrates how to cut and chop several vegetables as he prepares an asian inspired meal.</t>
  </si>
  <si>
    <t>A chef in a white chefs outfit in a kitchen, boils potatoes and onions in a pot.</t>
  </si>
  <si>
    <t>The chef talks to the camera and takes a series of vegetables and chops them up on a counter.</t>
  </si>
  <si>
    <t>The chef then puts the vegetables along with some oil into a bowl and sticks two large chopsticks in to showcase the finished product.</t>
  </si>
  <si>
    <t>v_x5MPJnwJrfE</t>
  </si>
  <si>
    <t>A woman is seen laying down on a table with a man tattooing her from behind.</t>
  </si>
  <si>
    <t>A woman watches on the side as the man continues tattooing and the woman having him stop.</t>
  </si>
  <si>
    <t>The woman continues trying to get the tattoo but stopping and speaking to the camera because it hurt so bad.</t>
  </si>
  <si>
    <t>v_N5J9Zb07uuQ</t>
  </si>
  <si>
    <t>A man is seen standing on a ladder and leads into several pictures of him on the ladder and then painting the wall with another.</t>
  </si>
  <si>
    <t>They're seen hanging up posters, climbing up and down ladders, and finally cutting carious foods on a large stick afterwards.</t>
  </si>
  <si>
    <t>v_qYpb_3oAM0k</t>
  </si>
  <si>
    <t>A man is sitting down on a chair.</t>
  </si>
  <si>
    <t>He starts playing an accordion in his lap.</t>
  </si>
  <si>
    <t>He stops playing and looks at the camera.</t>
  </si>
  <si>
    <t>v_QZCBVJHF81w</t>
  </si>
  <si>
    <t>A man is seen walking forward speaking to the camera and begins washing a car.</t>
  </si>
  <si>
    <t>The man scrubs all around the car while still speaking to the camera.</t>
  </si>
  <si>
    <t>He continues to wash the car and stops for a moment to speak to the camera.</t>
  </si>
  <si>
    <t>v_9_wuEvN2OnQ</t>
  </si>
  <si>
    <t>A woman is trying to play bad-mitten.</t>
  </si>
  <si>
    <t>She is hitting the shuttle cock.</t>
  </si>
  <si>
    <t>She is walking around the court, looking around.</t>
  </si>
  <si>
    <t>She is trying to play the game with not much effort.</t>
  </si>
  <si>
    <t>She hands another racket to a friend.</t>
  </si>
  <si>
    <t>She is not really playing.</t>
  </si>
  <si>
    <t>The other player is a more serious player as she serves.</t>
  </si>
  <si>
    <t>The game of bad-mitten continues as the first player missed again and again.</t>
  </si>
  <si>
    <t>People walk in front of the camera.</t>
  </si>
  <si>
    <t>The camera shows the other two players.</t>
  </si>
  <si>
    <t>The game goes on for a while longer before it ends.</t>
  </si>
  <si>
    <t>v_UoGoOznvKew</t>
  </si>
  <si>
    <t>A woman is seen looking at the camera and holding up a piece of makeup.</t>
  </si>
  <si>
    <t>She then takes out her contacts and holds up another container.</t>
  </si>
  <si>
    <t>She then puts another set of contacts in and smiles to the camera.</t>
  </si>
  <si>
    <t>v_FMUaey1tigI</t>
  </si>
  <si>
    <t>A man adjust his camera and captures a close up of his hand and face.</t>
  </si>
  <si>
    <t>A young child wearing a green shirt is playing some conga percussion instruments.</t>
  </si>
  <si>
    <t>An older boy wearing a burgundy shirt moves into the picture behind the child who is playing the Conga's and begins to dance.</t>
  </si>
  <si>
    <t>The boy in the burgundy shirt walks out of the picture as the young conga player also walks away as the camera follows him.</t>
  </si>
  <si>
    <t>The young child returns to continue playing the conga's as a child wearing a blue shirt walks behind the young conga player.</t>
  </si>
  <si>
    <t>v_4E40jmmc2N8</t>
  </si>
  <si>
    <t>A large man is seen sitting in the middle of a circle looking away from the camera.</t>
  </si>
  <si>
    <t>The man then spins himself around with a discuss in his hands.</t>
  </si>
  <si>
    <t>Finally he throws the object off into the distance.</t>
  </si>
  <si>
    <t>v_XCwPsQwzfiA</t>
  </si>
  <si>
    <t>A woman is pouring ingredients into a Kitchen aid.</t>
  </si>
  <si>
    <t>She turns it on and mixes the ingredients together.</t>
  </si>
  <si>
    <t>She pours the mixture into to cake pans.</t>
  </si>
  <si>
    <t>A piece of cake is shown on a plate.</t>
  </si>
  <si>
    <t>v_eECoZPqsTYI</t>
  </si>
  <si>
    <t>A man is seen playing drums on a set of buckets while several people walk past him and others record him.</t>
  </si>
  <si>
    <t>The man continues to play as the camera pans all around him and people continue to walk around him and show off the area.</t>
  </si>
  <si>
    <t>v_pcrNMrBmy1I</t>
  </si>
  <si>
    <t>Two teams are playing lacrosse outdoors.</t>
  </si>
  <si>
    <t>Players score and jump and run to celebrate the scores.</t>
  </si>
  <si>
    <t>A player take the ball on the stick and run to the goal to score, where a player scores.</t>
  </si>
  <si>
    <t>The board shows the winner.</t>
  </si>
  <si>
    <t>v_bKVrokdj7HM</t>
  </si>
  <si>
    <t>There's a man wearing s white shirt playing the drum set in a room.</t>
  </si>
  <si>
    <t>He begins by playing the snare drum and the bass drum.</t>
  </si>
  <si>
    <t>Then he continues playing by hitting the cymbals and the hi-hat.</t>
  </si>
  <si>
    <t>He stops for a bit and then resumes playing the drum set.</t>
  </si>
  <si>
    <t>He plays rhythmically as he picks up speed and plays the drum set.</t>
  </si>
  <si>
    <t>Then he stops and gets up to turn off the camera.</t>
  </si>
  <si>
    <t>v_8M_RipfsJI8</t>
  </si>
  <si>
    <t>A man is reaching into water and washing his face.</t>
  </si>
  <si>
    <t>A woman is working on the otherside of the water.</t>
  </si>
  <si>
    <t>The man splashes the worker with water.</t>
  </si>
  <si>
    <t>A woman looks on and laughs at the man.</t>
  </si>
  <si>
    <t>v_Da9uVKDLwVY</t>
  </si>
  <si>
    <t>A small collie is standing on top of a table.</t>
  </si>
  <si>
    <t>He is tied in place, and a man begins brushing him all over.</t>
  </si>
  <si>
    <t>He stands still as he is being groomed.</t>
  </si>
  <si>
    <t>v_ndGz8-hHSt4</t>
  </si>
  <si>
    <t>A person puts on a welding helmet.</t>
  </si>
  <si>
    <t>Then, the person weld a piece of metal.</t>
  </si>
  <si>
    <t>Then, the person finish to weld and rise his helmet but it folds down.</t>
  </si>
  <si>
    <t>v_BfSqo9ONd6g</t>
  </si>
  <si>
    <t>There's a dirt biking event going on which is sponsored by Monster energy drink.</t>
  </si>
  <si>
    <t>There are several contestants participating in the event.</t>
  </si>
  <si>
    <t>One of the contestants falls off his bike and seems like he's injured.</t>
  </si>
  <si>
    <t>He gets up right away and walks to the corner.</t>
  </si>
  <si>
    <t>v_dZMMhVx7yY4</t>
  </si>
  <si>
    <t>A man is seen speaking to the camera followed by him talking to random women on the beach.</t>
  </si>
  <si>
    <t>They play a game together and when he wins the girl gives him a kiss.</t>
  </si>
  <si>
    <t>When they lose the girl smacks him.</t>
  </si>
  <si>
    <t>Several girls laugh and play along while getting a kiss or slapping the man.</t>
  </si>
  <si>
    <t>v_Lg-mJS-BZZo</t>
  </si>
  <si>
    <t>A person is seen wearing a funny costume while holding onto a piece of machinery.</t>
  </si>
  <si>
    <t>The man pushes the machinery around the lawn while looking into the camera.</t>
  </si>
  <si>
    <t>The man continues using the machine while looking off into the camera.</t>
  </si>
  <si>
    <t>v_zUt53fHpqc8</t>
  </si>
  <si>
    <t>A group of men are shown cheering and jumping around in slow motion.</t>
  </si>
  <si>
    <t>Many people are present as trophies are displayed.</t>
  </si>
  <si>
    <t>A bunch of people gather to play beer pong and drink.</t>
  </si>
  <si>
    <t>Various shots of the action at different tables is shown and then the video cuts to an internet address to find out more information.</t>
  </si>
  <si>
    <t>v_KsKUIIHiMg0</t>
  </si>
  <si>
    <t>There are two women in a bathroom washing clothes in blue buckets filled with foamy soap water.</t>
  </si>
  <si>
    <t>The women soak the clothes in the soap water and rinse them out to clean them.</t>
  </si>
  <si>
    <t>Then she put the clothes in a large metal drum that spins rapidly to drain off excess water.</t>
  </si>
  <si>
    <t>They then go on top of their building in an open terrace where ropes are tied across the walls.</t>
  </si>
  <si>
    <t>They begin hanging the clothes on the clothesline for drying.</t>
  </si>
  <si>
    <t>v_UXc2y7lR5t0</t>
  </si>
  <si>
    <t>A boy hangs on monkey bars.</t>
  </si>
  <si>
    <t>He crosses the obstacle easily.</t>
  </si>
  <si>
    <t>He looks proud of himself.</t>
  </si>
  <si>
    <t>He smiles at the camera.</t>
  </si>
  <si>
    <t>v_hKE7vI--XGU</t>
  </si>
  <si>
    <t>A woman wearing a shawl stands in front of a tropical plant outdoors.</t>
  </si>
  <si>
    <t>A woman presents a band on stage for a performance.</t>
  </si>
  <si>
    <t>A flute player plays a part of a song during the performance.</t>
  </si>
  <si>
    <t>The band plays a song together during the performance.</t>
  </si>
  <si>
    <t>v_93jSVyXW5gc</t>
  </si>
  <si>
    <t>woman is standing in a shooting room holding a bow and throwing the arrow into a board.</t>
  </si>
  <si>
    <t>woman stands in a bg large field holding a bow and thowing arrow to baloons.</t>
  </si>
  <si>
    <t>woman is standing in a small court holding a bow and throwing an arow to an apple in a man's head.</t>
  </si>
  <si>
    <t>man is standing in a alrge green field showing a woman how to shoot an arrow and the woman pulls out a gun from the pockets and shot to the board.</t>
  </si>
  <si>
    <t>man is standing next to a tree holding a camera.</t>
  </si>
  <si>
    <t>woman is throwing arros to a watermelon.</t>
  </si>
  <si>
    <t>woman is throwing arrows to movie posters and talking to the camera.</t>
  </si>
  <si>
    <t>v_oLrkd6M2WRY</t>
  </si>
  <si>
    <t>man is talking to the camera standing next to a box.</t>
  </si>
  <si>
    <t>man is assembling a shuffleboard court in a sidewalk.</t>
  </si>
  <si>
    <t>man start playing the suffleboard hitting the pucks.</t>
  </si>
  <si>
    <t>v_CIJp-SG3sWE</t>
  </si>
  <si>
    <t>A girl walks to the edge of the diving board.</t>
  </si>
  <si>
    <t>The girl extends her hands.</t>
  </si>
  <si>
    <t>The girl dives into pool.</t>
  </si>
  <si>
    <t>The girl swims to the edge of the pool.</t>
  </si>
  <si>
    <t>v_5nvximBXhFI</t>
  </si>
  <si>
    <t>A tall garage building is shown in the dark and then several teen age boys appear skateboarding in the inside of it.</t>
  </si>
  <si>
    <t>As they come around the corner,they hold on to each others shirts and come down the slanted road in a single file line and a boy is shown holding a camera with a selfie stick recording the action.</t>
  </si>
  <si>
    <t>After,a black male appears talking in the car and the boys are then shown walking up a set of stairs.</t>
  </si>
  <si>
    <t>The action continues and all the boys join one another back in the garage and the male that was talking in the video is seen skating with the rest of the boys.</t>
  </si>
  <si>
    <t>v_WmQC309JCAI</t>
  </si>
  <si>
    <t>Men in a jerseys are standing around with their arms crossed just kind of staring into space.</t>
  </si>
  <si>
    <t>Then, you see them on the field playing a game and later talking a little bit about it.</t>
  </si>
  <si>
    <t>They each seem to recall their own memories of times they won medal and stare at their medals.</t>
  </si>
  <si>
    <t>they stand around in a small group talking and then you see an audience cheering and clapping.</t>
  </si>
  <si>
    <t>v_BaJwohtZMtA</t>
  </si>
  <si>
    <t>A person shows up on a stage dancing in the dark with an LED hula hoop.</t>
  </si>
  <si>
    <t>As the person dances the LED lights on the hula hoop begin to change colors.</t>
  </si>
  <si>
    <t>The closing credits show up on the screen as the video ends.</t>
  </si>
  <si>
    <t>v_NfjeG6AsoJA</t>
  </si>
  <si>
    <t>kids are playing on the playground in the school ground.</t>
  </si>
  <si>
    <t>kids are swingin in the swing on a side.</t>
  </si>
  <si>
    <t>little kid stands on the edge of the slide.</t>
  </si>
  <si>
    <t>v_rBsRSdPFOww</t>
  </si>
  <si>
    <t>A chef dressed in a white chef's outfit is demonstrating how to sharpen kitchen knives using a tool called Rada knife sharpener.</t>
  </si>
  <si>
    <t>He is standing in a kitchen in front of the counter that has a variety of raw vegetables displayed.</t>
  </si>
  <si>
    <t>He places a kitchen towel on the counter and then places the knife on top of it.</t>
  </si>
  <si>
    <t>He then demonstrates how to use the Rada sharpening tool to sharpen the kitchen knife by running iit back and forth in gentle and steady motion.</t>
  </si>
  <si>
    <t>v_HfpCQGe9eA0</t>
  </si>
  <si>
    <t>A guy rises to his feet.</t>
  </si>
  <si>
    <t>The guy walks on a tight rope.</t>
  </si>
  <si>
    <t>The guy turns to walk back.</t>
  </si>
  <si>
    <t>The guy walks backwards on the tight rope.</t>
  </si>
  <si>
    <t>The guy steps off the tight rope and smiles.</t>
  </si>
  <si>
    <t>v_hZRgO5Kd-rE</t>
  </si>
  <si>
    <t>A man is seen speaking to the camera and leads into various ingredients begin shown and a person slicing up cheese.</t>
  </si>
  <si>
    <t>The person mixes ingredients together and lays them on slices of bread to create a sandwich.</t>
  </si>
  <si>
    <t>The person presses the food into a presser and takes a large bite afterwards.</t>
  </si>
  <si>
    <t>v_EML3BvJxknA</t>
  </si>
  <si>
    <t>An older man is sitting in a tube while an older woman climbs on the back.</t>
  </si>
  <si>
    <t>The man in the tube is wearing skiis and eventually rides behind the boat with the woman on top.</t>
  </si>
  <si>
    <t>The couple continue riding on top of each other on the skis while the camera zooms in and out to capture the movement.</t>
  </si>
  <si>
    <t>v_3OGD7if0zs8</t>
  </si>
  <si>
    <t>A woman stands in a kitchen, staring at the camera.</t>
  </si>
  <si>
    <t>The person opens an oven and pulls out a tray of chocolate chip cookies.</t>
  </si>
  <si>
    <t>The woman stares at the cookies, and a second batch is checked.</t>
  </si>
  <si>
    <t>The woman scoops the cookies off the tray, loosening them.</t>
  </si>
  <si>
    <t>v_OVpvpvmV2pg</t>
  </si>
  <si>
    <t>A little boy is smiling close to the camera.</t>
  </si>
  <si>
    <t>He uses a wrench to remove the bolts from a kids' bike tires.</t>
  </si>
  <si>
    <t>When he is done, he laughs loudly.</t>
  </si>
  <si>
    <t>v_huI9TvxZxmM</t>
  </si>
  <si>
    <t>A man and woman dressed up on stage waiting to start their performance.</t>
  </si>
  <si>
    <t>The performance begins and the start dancing very beautifully.</t>
  </si>
  <si>
    <t>They work very well together, he picks her up on his shoulders.</t>
  </si>
  <si>
    <t>They use the chair as a prop and dance until it time to stop and then they hug.</t>
  </si>
  <si>
    <t>v_TADJh_DZOfE</t>
  </si>
  <si>
    <t>A female athlete claps her hands.</t>
  </si>
  <si>
    <t>The female athlete runs and elevates her body over a heighten hurdle.</t>
  </si>
  <si>
    <t>The female athlete rises and yells in joy.</t>
  </si>
  <si>
    <t>The female athlete dances and spins.</t>
  </si>
  <si>
    <t>The female athlete walks away.</t>
  </si>
  <si>
    <t>v_9o2iojC7gSw</t>
  </si>
  <si>
    <t>A indoor course is panned with camera in a warehouse setting.</t>
  </si>
  <si>
    <t>An athlete runs down a track and pole vaults over a high bar and onto a cushioned landing pad.</t>
  </si>
  <si>
    <t>The pole vaulter discusses events and sets down some wooden pools before use.</t>
  </si>
  <si>
    <t>The athlete discusses more and is seen on television screens doing previous pole vaults.</t>
  </si>
  <si>
    <t>The athlete sits with a coach and watches a tv screen.</t>
  </si>
  <si>
    <t>The athlete stands and talks on the track and does a warm up run jumping on the mats.</t>
  </si>
  <si>
    <t>The athlete lays on a mat next to a female athlete and stretches.</t>
  </si>
  <si>
    <t>The athlete does multiple pole vaults during practice onto the mat.</t>
  </si>
  <si>
    <t>The outside of the warehouse is seen in a city setting.</t>
  </si>
  <si>
    <t>v_x1Z_3-X49HY</t>
  </si>
  <si>
    <t>A close up of a cat is seen sitting in a person's lap.</t>
  </si>
  <si>
    <t>The person then grabs a pair of clippers and begins cutting the nails of the cat.</t>
  </si>
  <si>
    <t>He continues cutting the nails and shows off the cat paws in the end.</t>
  </si>
  <si>
    <t>v_MCnvxOLnbsg</t>
  </si>
  <si>
    <t>A silver car is parked in the street.</t>
  </si>
  <si>
    <t>A man power washes the car in the street.</t>
  </si>
  <si>
    <t>He then dries it off.</t>
  </si>
  <si>
    <t>The car is now completely clean.</t>
  </si>
  <si>
    <t>v_AyYpsQ4xOo8</t>
  </si>
  <si>
    <t>A woman talks to the camera in a street environment while pedestrians and cars pass by.</t>
  </si>
  <si>
    <t>The woman peeks out from behind a wall.</t>
  </si>
  <si>
    <t>The woman looks at a laptop screen with a man.</t>
  </si>
  <si>
    <t>The man applies a tattoo pattern to the woman's upper arm, with the video sometimes passing in accelerated time.</t>
  </si>
  <si>
    <t>The woman shows the completed tattoo while talking to the camera.</t>
  </si>
  <si>
    <t>v_O0uVjGlOW8M</t>
  </si>
  <si>
    <t>A vast ocean view is shown as a wave crashes in.</t>
  </si>
  <si>
    <t>This is repeated from several different angles.</t>
  </si>
  <si>
    <t>People are then shown surfing through the waves.</t>
  </si>
  <si>
    <t>v_ZeugCIqbsD4</t>
  </si>
  <si>
    <t>A man is standing in front of a table.</t>
  </si>
  <si>
    <t>He is holding a potato and peeler over a bowl.</t>
  </si>
  <si>
    <t>He peels the potato one strip at a time.</t>
  </si>
  <si>
    <t>v_YpA8T0ZjRIo</t>
  </si>
  <si>
    <t>Cars are getting washed at a car wash.</t>
  </si>
  <si>
    <t>A play room in the car wash is being shown.</t>
  </si>
  <si>
    <t>The outside of the car wash building is shown.</t>
  </si>
  <si>
    <t>v_vr0Wi359kWM</t>
  </si>
  <si>
    <t>An intro shows off the products of the video.</t>
  </si>
  <si>
    <t>The host shows off each product and how they help clean a shoe.</t>
  </si>
  <si>
    <t>First we see the sneaker get cleaned.</t>
  </si>
  <si>
    <t>A basketball shoe is cleaned next.</t>
  </si>
  <si>
    <t>Some ads play to close the video.</t>
  </si>
  <si>
    <t>v_j5cmc3cnLeU</t>
  </si>
  <si>
    <t>A couple dances in red outfits on a stage for a large audience on a stage lit with colorful lighting.</t>
  </si>
  <si>
    <t>A man and a woman passionately hold each other standing still in an embrace.</t>
  </si>
  <si>
    <t>The man dips his female partner down who does the splits at the end of the dance.</t>
  </si>
  <si>
    <t>v_08uNrWxxHGY</t>
  </si>
  <si>
    <t>A woman with long hair paints on a large panel in time lapse video.</t>
  </si>
  <si>
    <t>The woman is still painting the panel, but now with a change of clothing.</t>
  </si>
  <si>
    <t>The woman is still painting the panel, but with yet another change of clothing.</t>
  </si>
  <si>
    <t>The woman paints with a fourth different set of clothing.</t>
  </si>
  <si>
    <t>The woman continues to paint with a fifth different set of clothing.</t>
  </si>
  <si>
    <t>The woman continues to paint with a sixth different set of clothing.</t>
  </si>
  <si>
    <t>A closeup of the completed picture is shown.</t>
  </si>
  <si>
    <t>v_8Mdnvm8olC0</t>
  </si>
  <si>
    <t>An "IAAF" logo appears with the words "Long Jump Men".</t>
  </si>
  <si>
    <t>Several men run down a track and perform a long jump in a professional sports venue.</t>
  </si>
  <si>
    <t>A scoreboard graphic is shown for all the participating players.</t>
  </si>
  <si>
    <t>v_ScWdvpS6epQ</t>
  </si>
  <si>
    <t>People are standing on a blue mat.</t>
  </si>
  <si>
    <t>They begin doing a cheerleading routine on the mat.</t>
  </si>
  <si>
    <t>They hold up signs in front of the mat.</t>
  </si>
  <si>
    <t>v_xoXTlNWkC7w</t>
  </si>
  <si>
    <t>A black screen is shown and various white words are shown.</t>
  </si>
  <si>
    <t>After,a Caucasian man is shown playing the hand drums and stomping his foot.</t>
  </si>
  <si>
    <t>v_6YvF2YHee5I</t>
  </si>
  <si>
    <t>A shovel rakes along the snow covered ground of a yard.</t>
  </si>
  <si>
    <t>It pulls up the snow in large amounts.</t>
  </si>
  <si>
    <t>A man pulls up the shovel, and sets it aside.</t>
  </si>
  <si>
    <t>v_NurRl6_NLbg</t>
  </si>
  <si>
    <t>We see a blue intro screen.</t>
  </si>
  <si>
    <t>We see kids riding dirt bikes.</t>
  </si>
  <si>
    <t>We see another title screen and the intermediate riders are seen.</t>
  </si>
  <si>
    <t>We see the screen go blue again and we see the experts.</t>
  </si>
  <si>
    <t>Another title screen is shown and we see the credits.</t>
  </si>
  <si>
    <t>v_OixwThoO8z4</t>
  </si>
  <si>
    <t>A black screen appears and handwritten looking white text appears on the screen and it say's "Bart Rollin".</t>
  </si>
  <si>
    <t>A man is outdoors in a city skating with and without a shirt on in different locations, falling a few times and skating both at day and night while people look on at different locations, and sometimes he's alone.</t>
  </si>
  <si>
    <t>When the man is done skating the outro appears and it includes a screenshot of what looks like a bloody finger, a white screen with a male faintly drawn on it and black words scroll from bottom to top until just the white screen with the male drawing is only visible.</t>
  </si>
  <si>
    <t>v_3UOWHwwxczI</t>
  </si>
  <si>
    <t>A man is seen speaking to the camera and leads into clips of him climbing along a wall.</t>
  </si>
  <si>
    <t>The man continues climbing along the rock wall and ends by looking back to the camera.</t>
  </si>
  <si>
    <t>v_IJUokB_p3Yo</t>
  </si>
  <si>
    <t>Two boys are sitting in a booth inside a building.</t>
  </si>
  <si>
    <t>They are talking about doing clips.</t>
  </si>
  <si>
    <t>They then talk while eating bowls of vanilla ice cream.</t>
  </si>
  <si>
    <t>v_GsNyn-6DDJM</t>
  </si>
  <si>
    <t>A woman is sitting down in a chair.</t>
  </si>
  <si>
    <t>A boy is brushing her long hair.</t>
  </si>
  <si>
    <t>She laughs and covers her mouth with her hand.</t>
  </si>
  <si>
    <t>v_Z_F01eV0Iqw</t>
  </si>
  <si>
    <t>The video begins with a little boy in a motorcycle helmet, in a restaurant.</t>
  </si>
  <si>
    <t>The cameraman hands him skis.</t>
  </si>
  <si>
    <t>A woman and baby come sit near him and he attempts to walk, only to fall.</t>
  </si>
  <si>
    <t>Next are clips of the little boy skiing with his father down a snowy slope.</t>
  </si>
  <si>
    <t>At one point, he glides on a small ramp.</t>
  </si>
  <si>
    <t>He also faces a tumble.</t>
  </si>
  <si>
    <t>Soon the boy and his family load their vehicle to leave.</t>
  </si>
  <si>
    <t>The video ends with a picture of the little boy and his dad.</t>
  </si>
  <si>
    <t>v_3JNNjd9fv7U</t>
  </si>
  <si>
    <t>A woman is seen kneeling down next to a vacuum followed by several pictures of her vacuuming and moving around the carpet.</t>
  </si>
  <si>
    <t>More pictures are shown of the carpet as well as her kneeling down and she empties out a vacuum while still speaking to the camera.</t>
  </si>
  <si>
    <t>v_YnvefOl6a7k</t>
  </si>
  <si>
    <t>A man is shown standing next to a tree holding christmas decorations in his hands.</t>
  </si>
  <si>
    <t>He then hangs the decorations all around the tree while looking back and speaking to the camera.</t>
  </si>
  <si>
    <t>v_QvP8tPp8Wog</t>
  </si>
  <si>
    <t>There's a young man in a red shirt playing an acoustic guitar.</t>
  </si>
  <si>
    <t>He strums the guitar using his pick and moves his fingers along the chords.</t>
  </si>
  <si>
    <t>After he is done playing, he looks up and smiles.</t>
  </si>
  <si>
    <t>v_u3qNB8GDOzY</t>
  </si>
  <si>
    <t>A ladder is leaning against a house.</t>
  </si>
  <si>
    <t>A piece of wood goes up and down the ladder.</t>
  </si>
  <si>
    <t>v_dth916VxJUw</t>
  </si>
  <si>
    <t>A man stands in front of a set of pull up and double bars at a park.</t>
  </si>
  <si>
    <t>The man does shoulder dips on the set of parallel bars.</t>
  </si>
  <si>
    <t>The man does push ups with his feet up on the parallel bars.</t>
  </si>
  <si>
    <t>The man does pull ups on one of the bars.</t>
  </si>
  <si>
    <t>The man walks back up in front of the equipment after the routine.</t>
  </si>
  <si>
    <t>v_hOcP06xuKFg</t>
  </si>
  <si>
    <t>A person grabs a disk from a pile of disks.</t>
  </si>
  <si>
    <t>They throw it down a shuffle board.</t>
  </si>
  <si>
    <t>The continue to throw disks down the shuffleboard.</t>
  </si>
  <si>
    <t>v_gDexNGeZln0</t>
  </si>
  <si>
    <t>A person is seen speaking to the camera and leads into a close up of the ground and another person sitting on the side.</t>
  </si>
  <si>
    <t>More shots are shown of logs and sticks as well as a fire pit and a boy cutting a stick.</t>
  </si>
  <si>
    <t>v_YZacstLO0XA</t>
  </si>
  <si>
    <t>A man is demonstrating how to make a three egg omelette in his kitchen.</t>
  </si>
  <si>
    <t>He starts by cracking the eggs in a clear glass bowl.</t>
  </si>
  <si>
    <t>He then beats the eggs well and adds some butter into the saucepan.</t>
  </si>
  <si>
    <t>He pours the raw egg batter into the pan.</t>
  </si>
  <si>
    <t>He lifts the pan and moves it around to shuffle the eggs.</t>
  </si>
  <si>
    <t>He then tops is off with some grated cheese.</t>
  </si>
  <si>
    <t>He takes a fork and slides the omelette into a white plate.</t>
  </si>
  <si>
    <t>He then garnishes it with some greens on top for a healthy touch.</t>
  </si>
  <si>
    <t>v_z4qaGiWt-bo</t>
  </si>
  <si>
    <t>A team is on a field as a runner throws the ball, which the batter hits and is caught.</t>
  </si>
  <si>
    <t>The coach instructs the players as they continue the game.</t>
  </si>
  <si>
    <t>The players walk away, then a view of the ball coming at the bat is shown.</t>
  </si>
  <si>
    <t>v_mqa1ptnQWWo</t>
  </si>
  <si>
    <t>A wall is shown, covered in hanging tools.</t>
  </si>
  <si>
    <t>A man is in a workshop, talking about roofing shingles.</t>
  </si>
  <si>
    <t>He demonstrates how to apply glue, tile, and then hammer and nail the tiles into place.</t>
  </si>
  <si>
    <t>v_bQVMoeBK7XU</t>
  </si>
  <si>
    <t>A bottle of aging cream is shown and a woman begins to apply it on her face in her T-zone.</t>
  </si>
  <si>
    <t>Once it is evenly displayed,several paragraphs begin to show about the use of the product and what each week should be.</t>
  </si>
  <si>
    <t>After,a short sentence appears and tells you to go on their web page to get more details.</t>
  </si>
  <si>
    <t>v_ExMpLopi9ug</t>
  </si>
  <si>
    <t>Gymasts are standing in a competition room.</t>
  </si>
  <si>
    <t>A man mounts a beam.</t>
  </si>
  <si>
    <t>He begins to spin, flips, and do several tricks.</t>
  </si>
  <si>
    <t>He dismounts, raising his arms into the air and bowing.</t>
  </si>
  <si>
    <t>v_uzgIBU9arcU</t>
  </si>
  <si>
    <t>A baby is seen swinging back and fourth on a swing while laughing and smiling to the camera.</t>
  </si>
  <si>
    <t>The baby continues moving back and fourth while looking up to the camera and smiling.</t>
  </si>
  <si>
    <t>v_r9xmgB116dE</t>
  </si>
  <si>
    <t>An Asian woman is sitting, then she ride the skateboard and began skating on the empty road.</t>
  </si>
  <si>
    <t>The girl is skateboarding side to side, and while holding a selfie stick.</t>
  </si>
  <si>
    <t>The girl skateboard on the sidewalk, near the water, in a narrow path, and park.</t>
  </si>
  <si>
    <t>v_feYYvRmqCgI</t>
  </si>
  <si>
    <t>A group of people sitting on elevated bleachers, watch a man on a horse lasso a small black calf in a, dirt covered, indoor, rodeo ring.</t>
  </si>
  <si>
    <t>The man emerges into the ring from a floor level door, on a horse, chasing after a small black calf.</t>
  </si>
  <si>
    <t>The man simultaneously throws a rope around the calfs neck and dismounts the horse, while the horse is in motion.</t>
  </si>
  <si>
    <t>Upon landing on the ground after the dismount, the man runs to the calf and ties the calf up in the rope, and then walks back to the horse and mounts the horse again while two men enter the ring and grab for the tied up calf.</t>
  </si>
  <si>
    <t>v_iPXyExgGD5Q</t>
  </si>
  <si>
    <t>A man is shown in a bathroom choosing a toothbrush.</t>
  </si>
  <si>
    <t>He then brushes his teeth and sees blood.</t>
  </si>
  <si>
    <t>He uses listerine mouth wash for thirty seconds to kill the germs.</t>
  </si>
  <si>
    <t>v_NZ5iioSnCO8</t>
  </si>
  <si>
    <t>A close up of a table is shown as well as a man standing around the table and pointing to the side.</t>
  </si>
  <si>
    <t>Two men are watching on the side as the game continues and another man records on his phone.</t>
  </si>
  <si>
    <t>v_TlDkQ8SNG64</t>
  </si>
  <si>
    <t>A boy sits a top a camel.</t>
  </si>
  <si>
    <t>The camel begins to move with the help of a handler.</t>
  </si>
  <si>
    <t>People appear in the background.</t>
  </si>
  <si>
    <t>v_2WvbAEMG5DU</t>
  </si>
  <si>
    <t>A mother and child in swim suits build sand castles on the beach.</t>
  </si>
  <si>
    <t>The child destroys the sand castles.</t>
  </si>
  <si>
    <t>The mother throws the plastic mold frustrated.</t>
  </si>
  <si>
    <t>v_7KYj4FQUESo</t>
  </si>
  <si>
    <t>A person is shown vacuuming a large rug with a green vacuum cleaner.</t>
  </si>
  <si>
    <t>A caption comes up on the screen while the man continues to use the vacuum all over the rug.</t>
  </si>
  <si>
    <t>v_6Epn-R6sg5U</t>
  </si>
  <si>
    <t>A close up of a pool table is shown followed by a person walking around the sides.</t>
  </si>
  <si>
    <t>The person then hits a pool ball continuously around the table.</t>
  </si>
  <si>
    <t>The man then sinks the last ball and celebrates with a group of people.</t>
  </si>
  <si>
    <t>v_JUvqA51RX0Y</t>
  </si>
  <si>
    <t>A man throws a ball onto the sidewalk.</t>
  </si>
  <si>
    <t>He plays hopscotch to pick it up.</t>
  </si>
  <si>
    <t>A little kid runs around in front of him.</t>
  </si>
  <si>
    <t>v_7lNAmkaMyyg</t>
  </si>
  <si>
    <t>A man holding an ice scraper is pushing ice off of his car while the camera zoom in.</t>
  </si>
  <si>
    <t>The camera shows his hands mutiple times close up gradually pushing piece by piece of ice off.</t>
  </si>
  <si>
    <t>v_X7-1DRvX-LU</t>
  </si>
  <si>
    <t>A woman is in a living room in front of a fire.</t>
  </si>
  <si>
    <t>She cuts wrapping paper in strips, then wraps it neatly around a box.</t>
  </si>
  <si>
    <t>She tapes the box, then lays it down gently on the table.</t>
  </si>
  <si>
    <t>v_2Xfigl8xrXc</t>
  </si>
  <si>
    <t>A woman wearing a black shirt begins talking and then someone getting their legs waxed appears.</t>
  </si>
  <si>
    <t>As she talks,a layer of wax if placed on the leg and then a white piece of paper.</t>
  </si>
  <si>
    <t>v_8dhDEj0Dd5s</t>
  </si>
  <si>
    <t>A gymnast is standing at a pose waiting to begin her performance.</t>
  </si>
  <si>
    <t>She starts to twirl her baton and move her body a long with it doing flips and everything.</t>
  </si>
  <si>
    <t>She begins to do one handed cartwheels and swinging the baton around her neck.</t>
  </si>
  <si>
    <t>She does a stunning performance and once it is over she freezes in place.</t>
  </si>
  <si>
    <t>v_eoOzE3cpqVg</t>
  </si>
  <si>
    <t>A man in gear is shown pointing two guns.</t>
  </si>
  <si>
    <t>He is hiding behind rocks, sneaking up on other paintball players.</t>
  </si>
  <si>
    <t>They shoot at each other as he goes back behind the rocks to hide.</t>
  </si>
  <si>
    <t>v_FCFSLuCZKj4</t>
  </si>
  <si>
    <t>A person is using a large armed window washing mechanism to wash the exterior, front, glass window of a sandwich store.</t>
  </si>
  <si>
    <t>The person is a man with grey hair and glasses and he uses the tool to wash the very top of the window all the way to the base of the glass.</t>
  </si>
  <si>
    <t>The man continues to wash all four glass panes one by one using squiggly motions before leaving the window and walking away from the store.</t>
  </si>
  <si>
    <t>v_anO5Xhewrsw</t>
  </si>
  <si>
    <t>A little girl is sitting at a drum set with headphones on.</t>
  </si>
  <si>
    <t>She plays the drums and cymbals, keeping a fast beat.</t>
  </si>
  <si>
    <t>She bangs her head back and forth as she plays.</t>
  </si>
  <si>
    <t>v_MFfJ4V9Dqvg</t>
  </si>
  <si>
    <t>A little girl is playing in the sand.</t>
  </si>
  <si>
    <t>The girl grabs a shovel.</t>
  </si>
  <si>
    <t>A person walks in front of the camera.</t>
  </si>
  <si>
    <t>The camera pans to the water.</t>
  </si>
  <si>
    <t>The girl walks to the water.</t>
  </si>
  <si>
    <t>The girl walks into the water.</t>
  </si>
  <si>
    <t>v_RUv9YPd_0Zc</t>
  </si>
  <si>
    <t>An introduction comes onto the screen for a presentation about auto repair.</t>
  </si>
  <si>
    <t>The video displays several different parts of the car that is being worked on.</t>
  </si>
  <si>
    <t>The a dent fixing mechanism is attached to the cars to show how it works to repair one wheel.</t>
  </si>
  <si>
    <t>Then it shows another wheel being repaired by the same mechanism.</t>
  </si>
  <si>
    <t>Next, the closing credits for the video appear on the screen.</t>
  </si>
  <si>
    <t>v_Z4KErmUO3gw</t>
  </si>
  <si>
    <t>We see two ladies dancing in a field.</t>
  </si>
  <si>
    <t>We switch to ladies dancing around a bull in a rind.</t>
  </si>
  <si>
    <t>We see the ladies stand next to each other.</t>
  </si>
  <si>
    <t>We see the ladies on their knees in the field.</t>
  </si>
  <si>
    <t>We see three ladies on the field.</t>
  </si>
  <si>
    <t>We see two ladies dancing.</t>
  </si>
  <si>
    <t>We see the closing screens.</t>
  </si>
  <si>
    <t>v_r8MwPAJWPDk</t>
  </si>
  <si>
    <t>People are rock climbing up rocks.</t>
  </si>
  <si>
    <t>A person falls off of the rock into the water below.</t>
  </si>
  <si>
    <t>v_tg6HOGy0BBQ</t>
  </si>
  <si>
    <t>A man sits down with his leg on a chair.</t>
  </si>
  <si>
    <t>A person puts waxing strips on his leg and pulls off the hair.</t>
  </si>
  <si>
    <t>He puts his shirt over his face.</t>
  </si>
  <si>
    <t>v_SSldR9yOJq8</t>
  </si>
  <si>
    <t>A person wearing a costume is seen standing and posing inside a canoe and eventually pushes themselves down the river.</t>
  </si>
  <si>
    <t>The person moves in the canoe slowly and the camera follows him moving along the water in the canoe.</t>
  </si>
  <si>
    <t>v_ubR7XPBJQH8</t>
  </si>
  <si>
    <t>Two men are seen performing martial arts moves against one another and leads into a man speaking.</t>
  </si>
  <si>
    <t>The man then demonstrates several martial arts moves with another man while still speaking to the camera.</t>
  </si>
  <si>
    <t>The man continues these motions while stopping to demonstrate how it's properly done.</t>
  </si>
  <si>
    <t>v_KKEyKFmatq0</t>
  </si>
  <si>
    <t>People are playing a game of soccer in an indoor arena.</t>
  </si>
  <si>
    <t>A man picks up the ball and throws it someone else.</t>
  </si>
  <si>
    <t>People fall onto the arena floor.</t>
  </si>
  <si>
    <t>v_KujAY-AST9M</t>
  </si>
  <si>
    <t>Guys stand around in an indoor court.</t>
  </si>
  <si>
    <t>Two guys play relay soccer, an athlete touches the hands of his opponent and a goalie before he kicks a served ball.</t>
  </si>
  <si>
    <t>A player kicks the ball towards the goalie from center court.</t>
  </si>
  <si>
    <t>The guys pause for a short while.</t>
  </si>
  <si>
    <t>v_3X2CY79a0X8</t>
  </si>
  <si>
    <t>A man pushes a lawnmower cutting down a high patch of weeds in a yard.</t>
  </si>
  <si>
    <t>The man turns over the lawnmower on its side then clears out tangled grass.</t>
  </si>
  <si>
    <t>The man backs up and swings the lawnmower around in a circle and turns the lawnmower in the opposite direction.</t>
  </si>
  <si>
    <t>v_9g1omTdpoYs</t>
  </si>
  <si>
    <t>Various cupcakes are shown sitting on a plate and lettering comes up stating how to make them.</t>
  </si>
  <si>
    <t>Several ingredients are shown and the person mixing the ingredients together in a bowl.</t>
  </si>
  <si>
    <t>The person blends all the ingredients and puts them in a pan to cook.</t>
  </si>
  <si>
    <t>The cupcakes are finally cooked and set out on a plate to enjoy.</t>
  </si>
  <si>
    <t>v_s6pFNNnub80</t>
  </si>
  <si>
    <t>Several pictures are shown of nails close up and leads into a person painting text onto a nail.</t>
  </si>
  <si>
    <t>The person shows close ups of nail polish and continues painting on the nail.</t>
  </si>
  <si>
    <t>The woman finishes her design and shows off another picture of nails.</t>
  </si>
  <si>
    <t>v_2bEr09bbqAA</t>
  </si>
  <si>
    <t>A man sits in a kayak and holds his oar in a river showing how to use it properly.</t>
  </si>
  <si>
    <t>The man leans back in his kayak to show balance techniques.</t>
  </si>
  <si>
    <t>The kayak rider paddles into the white wash below a water fall and flips over then rights himself again.</t>
  </si>
  <si>
    <t>v_yyUmEgvq3B0</t>
  </si>
  <si>
    <t>A man is seen walking with a chair and puts it in the middle of a bowling lane.</t>
  </si>
  <si>
    <t>He high fives the audience and throws the ball over the chair and hits all the pins.</t>
  </si>
  <si>
    <t>He same shot is shown several times and he sits down in his chair laughing.</t>
  </si>
  <si>
    <t>v_5Z5DAI4Grb0</t>
  </si>
  <si>
    <t>A title page pans into hands holding a paint brush with a portrait in the background.</t>
  </si>
  <si>
    <t>She holds another picture beside her and pushes the brush into paint.</t>
  </si>
  <si>
    <t>She then begins painting the picture and adding more color to the portrait.</t>
  </si>
  <si>
    <t>v_6V6XB0KmYkk</t>
  </si>
  <si>
    <t>A large group of people are seen playing hockey around an arena performing various tricks with the puck.</t>
  </si>
  <si>
    <t>The men continue to hit the puck around one another as the camera captures them from several sides.</t>
  </si>
  <si>
    <t>The man push the puck around more over and under obstacles.</t>
  </si>
  <si>
    <t>v_2i_rotAjuoE</t>
  </si>
  <si>
    <t>First there is a screen shown for a small amount of time letting viewers know what this video is about.</t>
  </si>
  <si>
    <t>Then there is a man riding different horses in different settings where people watch them.</t>
  </si>
  <si>
    <t>In the first one, the horse runs with him on his back and he tries to jump over a wooden obstacle, but fails and there are many more fails.</t>
  </si>
  <si>
    <t>v_4wiLmu1yTZI</t>
  </si>
  <si>
    <t>A man with curly hair is seen speaking to the camera with a serious conviction.</t>
  </si>
  <si>
    <t>He then brushes through his hair with a dog in frame and shows off his poofy hair.</t>
  </si>
  <si>
    <t>He then is seen again with wet hair and closes his eyes to the camera.</t>
  </si>
  <si>
    <t>v_eyWerZITH1Y</t>
  </si>
  <si>
    <t>A man jumps onto a balance beam.</t>
  </si>
  <si>
    <t>They begin to do a gymnastics routine on the balance beam.</t>
  </si>
  <si>
    <t>They jump off onto a mat next to it.</t>
  </si>
  <si>
    <t>v_-4Q_zG9EChY</t>
  </si>
  <si>
    <t>A man is seen standing on a rope and begins walking across the rope.</t>
  </si>
  <si>
    <t>The man continues walking while the camera captures his movements.</t>
  </si>
  <si>
    <t>He walks all along the rope to the end and jumps off.</t>
  </si>
  <si>
    <t>v_hhHiBeL08-M</t>
  </si>
  <si>
    <t>A close up of a porch is shown with the camera panning all around.</t>
  </si>
  <si>
    <t>The camera walks to the end of the porch.</t>
  </si>
  <si>
    <t>The camera turns around while still looking at the porch.</t>
  </si>
  <si>
    <t>v_ZbFyGkfGFcE</t>
  </si>
  <si>
    <t>Children are playing on the beach.</t>
  </si>
  <si>
    <t>They are building a sand castle.</t>
  </si>
  <si>
    <t>A girl dumps a bucket full of sand in front of her.</t>
  </si>
  <si>
    <t>v_wIthr5w6RV4</t>
  </si>
  <si>
    <t>A man in a hat is talking to a camera.</t>
  </si>
  <si>
    <t>He is dressed up in a sumo wrestling outfit and playing curling.</t>
  </si>
  <si>
    <t>He is playing tennis on a tennis court.</t>
  </si>
  <si>
    <t>v_uaqcvxz_5fY</t>
  </si>
  <si>
    <t>A city view is seen from a skyscraper.</t>
  </si>
  <si>
    <t>Two men are shown cleaning windows on the side of the building.</t>
  </si>
  <si>
    <t>They squeegee and wipe down the glass professionally.</t>
  </si>
  <si>
    <t>They then check their work before finishing.</t>
  </si>
  <si>
    <t>v_ZGSi-QAkf5A</t>
  </si>
  <si>
    <t>There some geese flying in the sky above a park.</t>
  </si>
  <si>
    <t>A man is talking in his microphone as some men are playing cricket behind him in the park.</t>
  </si>
  <si>
    <t>It is a sunny day with geese walking around the park and people enjoying a casual game of cricket.</t>
  </si>
  <si>
    <t>There's a man hitting the ball with his cricket bat and another person trying to catch his ball.</t>
  </si>
  <si>
    <t>A squirrel is sitting on the park bench and enjoying the sunshine as well.</t>
  </si>
  <si>
    <t>v_CB0yYGVNcOk</t>
  </si>
  <si>
    <t>A man is seen playing a saxophone into the camera and leads into him speaking.</t>
  </si>
  <si>
    <t>More shots are shown of him playing the instrument while pausing to play more.</t>
  </si>
  <si>
    <t>He continues playing along and ends by smiling to the camera.</t>
  </si>
  <si>
    <t>v_fkUnZB6NTT8</t>
  </si>
  <si>
    <t>Several people are shown in photos, gathered together in winter gear in the snow.</t>
  </si>
  <si>
    <t>They ride in intertubes down a hill together, laughing and talking with each other.</t>
  </si>
  <si>
    <t>They are then shown in after even celebratory photos, posing together.</t>
  </si>
  <si>
    <t>v_s3HhNlysFDs</t>
  </si>
  <si>
    <t>A cross appears in the style of the tile under the water in a pool.</t>
  </si>
  <si>
    <t>A man in a swim cap swims through the water toward the camera.</t>
  </si>
  <si>
    <t>He is shown swimming from numerous angles.</t>
  </si>
  <si>
    <t>v_o4_Vi7asvxg</t>
  </si>
  <si>
    <t>Two people are dressed in all black riding their bicycles down the road.</t>
  </si>
  <si>
    <t>The two boys are then pictured on a split screen against each other putting on their helmets.</t>
  </si>
  <si>
    <t>The two then put on their green biking gloves and get back on the bikes.</t>
  </si>
  <si>
    <t>A skate park is then shown and one of the boys begin doing tricks over the bumps.</t>
  </si>
  <si>
    <t>Once completed,the bikes are walked over and the boys begin to shake each others hand.</t>
  </si>
  <si>
    <t>After the tricks continue and they keep jumping and doing tricks over the hills.</t>
  </si>
  <si>
    <t>v_Xr8zB1aIBzg</t>
  </si>
  <si>
    <t>People wait in an indoor gym as the instructor walks out.</t>
  </si>
  <si>
    <t>The class starts a stepercize class using black boxes.</t>
  </si>
  <si>
    <t>The class finishes by waving their arms and the instructor walks away.</t>
  </si>
  <si>
    <t>v_ZA_XYgP4fMA</t>
  </si>
  <si>
    <t>Two men are seen arm wrestling with one another while holding their arms down to the sides.</t>
  </si>
  <si>
    <t>They keep starting again until one of them eventually wins.</t>
  </si>
  <si>
    <t>v_y3Wfx-RvTpk</t>
  </si>
  <si>
    <t>A man is standing under a basketball goal.</t>
  </si>
  <si>
    <t>A group of boys is listening to the coach.</t>
  </si>
  <si>
    <t>They begin warming up by doing lay ups.</t>
  </si>
  <si>
    <t>The boys line up, prepared to play the game.</t>
  </si>
  <si>
    <t>v_OVpila9fAaQ</t>
  </si>
  <si>
    <t>people are in a lake wakeboarding being pulled by a boat.</t>
  </si>
  <si>
    <t>a lot of people are standing on a dock watching the wakeboarding competition.</t>
  </si>
  <si>
    <t>people are walking on the dock wearing winter clothes.</t>
  </si>
  <si>
    <t>v_ZXEc0cahpuw</t>
  </si>
  <si>
    <t>There is a woman whose wearing nothing but shorts and a tshirt.</t>
  </si>
  <si>
    <t>She is shown sitting on a rock while washing the little bit of clothes she has in the river.</t>
  </si>
  <si>
    <t>v_LOINRpWGrlw</t>
  </si>
  <si>
    <t>Someone is at the bowling alley on a lane with a red ball.</t>
  </si>
  <si>
    <t>He throws the ball, his foot goes up and the ball rolls to hit the pins.</t>
  </si>
  <si>
    <t>Multiple people take their turns doing the same stance and everything more or less.</t>
  </si>
  <si>
    <t>You never see the balls hit the pins just everyone throwing the ball.</t>
  </si>
  <si>
    <t>v_-1IlTIWPNs4</t>
  </si>
  <si>
    <t>A cameraman walks down a snowy driveway to capture a young child shoveling up snow.</t>
  </si>
  <si>
    <t>The boy speaks into the camera and continues pushing the snow around with a shovel.</t>
  </si>
  <si>
    <t>v_nYlAXMmPWw0</t>
  </si>
  <si>
    <t>Five women are in a room dancing.</t>
  </si>
  <si>
    <t>They dance around in a circle.</t>
  </si>
  <si>
    <t>They continue dancing together in the room.</t>
  </si>
  <si>
    <t>v_-ntEh6HpeX0</t>
  </si>
  <si>
    <t>A woman wearing gloves is in front of a sink.</t>
  </si>
  <si>
    <t>She sprays it down with a cleaning solution.</t>
  </si>
  <si>
    <t>She then scrubs the sink until it is clean.</t>
  </si>
  <si>
    <t>v_ct3uprBbPHw</t>
  </si>
  <si>
    <t>A man stands in front of the camera, then starts combing his hair forward.</t>
  </si>
  <si>
    <t>He then focuses on the sides and back of his hair, again combing down.</t>
  </si>
  <si>
    <t>He brings the brush all around his hair, adding his left hand to swipe along.</t>
  </si>
  <si>
    <t>v_NSegylr0MBg</t>
  </si>
  <si>
    <t>We see a man adjust the camera and shake his hair.</t>
  </si>
  <si>
    <t>We see commentary on the screen.</t>
  </si>
  <si>
    <t>The image is in color and the man blow drys his hair.</t>
  </si>
  <si>
    <t>The man uses a brush and instructions appear.</t>
  </si>
  <si>
    <t>We see more instructions on the screen.</t>
  </si>
  <si>
    <t>Instruction tell views to mold hair.</t>
  </si>
  <si>
    <t>More instructions appear on the screen.</t>
  </si>
  <si>
    <t>The man adds pomades to his hair.</t>
  </si>
  <si>
    <t>The man brushes his hair with a brush.</t>
  </si>
  <si>
    <t>We see the scene go dark and the writing appears on the screen.</t>
  </si>
  <si>
    <t>v_L-rPS8tlAy4</t>
  </si>
  <si>
    <t>A horse runs wild with a trainer chasing after it.</t>
  </si>
  <si>
    <t>A horse runs after and bucks a bull that charges it with its horns.</t>
  </si>
  <si>
    <t>The horse is let out of the coral by the cowboys.</t>
  </si>
  <si>
    <t>The horses intestines hang from its body from the injury.</t>
  </si>
  <si>
    <t>The horse lies on the ground having a seizure.</t>
  </si>
  <si>
    <t>A bull chases after a cowboy on a horse carrying a lasso.</t>
  </si>
  <si>
    <t>v_dm5WXFiQZUQ</t>
  </si>
  <si>
    <t>A motorcyclist is in the bed and is woken up by an alarm clock.</t>
  </si>
  <si>
    <t>The motorcyclist gets out of bed and prepares to leave by bathing using the bathroom and reading the newspaper.</t>
  </si>
  <si>
    <t>He rides the motorcycle down the hall and into the elevator.</t>
  </si>
  <si>
    <t>He exits the building and rides the motorcycle into a casino where he performs several tricks as people watch.</t>
  </si>
  <si>
    <t>He exits the casino and the closing credits show up on the screen.</t>
  </si>
  <si>
    <t>v_k7nuduqYOdQ</t>
  </si>
  <si>
    <t>A close up of a weight is shown.</t>
  </si>
  <si>
    <t>Several individuals are shown lifting barbells with weights in various ways in a gym while other individuals watch or exercise in the background.</t>
  </si>
  <si>
    <t>A screen with a logo and contact information is shown.</t>
  </si>
  <si>
    <t>v_HxenZkvSkPc</t>
  </si>
  <si>
    <t>We see a lady walking a dog.</t>
  </si>
  <si>
    <t>We see a man walking the dog.</t>
  </si>
  <si>
    <t>We return to the lady walking the dog.</t>
  </si>
  <si>
    <t>The dog pulls the lady down the street.</t>
  </si>
  <si>
    <t>We see the lady and the man talking.</t>
  </si>
  <si>
    <t>The man walks the dog up the stairs and in the driveway.</t>
  </si>
  <si>
    <t>We see the lady put a harness son the dog and walk him as the man watches.</t>
  </si>
  <si>
    <t>We then see the black closing screen.</t>
  </si>
  <si>
    <t>v_2b_hjshny54</t>
  </si>
  <si>
    <t>Female swimmer jump off into the water at a swim meet.</t>
  </si>
  <si>
    <t>They quickly race down the swim lanes.</t>
  </si>
  <si>
    <t>The swimmers repeatedly go back and forth down the swim lanes using various swimming techniques.</t>
  </si>
  <si>
    <t>v_RuBLAghI1vE</t>
  </si>
  <si>
    <t>There are some people curling in an indoor ice rink.</t>
  </si>
  <si>
    <t>There are some girls getting ready with the curling sticks and prepping the rink to play curling.</t>
  </si>
  <si>
    <t>Two girls dressed in black gear are playing the game as they go through the rink with their curling sticks pushing the rock.</t>
  </si>
  <si>
    <t>One of the players glides through the floor and pushes the rock to the end of the rink.</t>
  </si>
  <si>
    <t>The two players continue playing as they go through the rink and slide the rocks till the end of the line.</t>
  </si>
  <si>
    <t>Two other players wearing pink play the game as they slide the rocks through the rink.</t>
  </si>
  <si>
    <t>v_1FMjfLRpXwM</t>
  </si>
  <si>
    <t>The lady in black is doing a hairstyle tutorial and demonstrating on another woman who is seated next to her.</t>
  </si>
  <si>
    <t>She shows the hairspray that she has used on the model.</t>
  </si>
  <si>
    <t>She uses the hairspray on the model's hair and sprays it.</t>
  </si>
  <si>
    <t>She then takes a pair of scissors and cuts the rubber band off and spray her hair again.</t>
  </si>
  <si>
    <t>She pulls her braid apart and rubs her fingers over it.</t>
  </si>
  <si>
    <t>She then twists the braid and pins it up on the model's head.</t>
  </si>
  <si>
    <t>She twists it again and tightens it up and secures it with a pin again.</t>
  </si>
  <si>
    <t>She also makes a bun out of the braid to complete the hairstyle.</t>
  </si>
  <si>
    <t>She shows the hairspray bottle again that she has used on the model.</t>
  </si>
  <si>
    <t>v_jCw0kBph-v4</t>
  </si>
  <si>
    <t>A man and woman are standing in a starkly white room.</t>
  </si>
  <si>
    <t>They lay plastic on the ground and fill a tub with white paint.</t>
  </si>
  <si>
    <t>They then demonstrate how to hang a strip of wallpaper onto the wall.</t>
  </si>
  <si>
    <t>v_6azNzt8rXAs</t>
  </si>
  <si>
    <t>A man is seen practicing his ping pong abilities followed by him playing the game against another person.</t>
  </si>
  <si>
    <t>A man watches on the side as the men continue to play with more people stopping to watch.</t>
  </si>
  <si>
    <t>v_hKLDr9ZaDb8</t>
  </si>
  <si>
    <t>A woman in a bikini is standing in a room.</t>
  </si>
  <si>
    <t>She begins to hula hoop with a lit up hula hoop.</t>
  </si>
  <si>
    <t>The hula hoop is seen sitting next to a shirt.</t>
  </si>
  <si>
    <t>v_O67GDqPk_ug</t>
  </si>
  <si>
    <t>A person walks into frame holding a tool and cutting a tree up and down.</t>
  </si>
  <si>
    <t>The person continues using the tool on the tree and uses a small one to finish out the sides, presenting a small tree in the end.</t>
  </si>
  <si>
    <t>v_fKbrGn6c3us</t>
  </si>
  <si>
    <t>A woman is standing in front of an ironing board while talking.</t>
  </si>
  <si>
    <t>She shows off a white shirt, which she sprays with something in a can.</t>
  </si>
  <si>
    <t>She arranges the shirt on the ironing board, then begins to iron the shirt.</t>
  </si>
  <si>
    <t>After she irons the shirt, the screen goes to an advertisement for Expert Village.</t>
  </si>
  <si>
    <t>v_I8doQJXPqwo</t>
  </si>
  <si>
    <t>Two women are at the carwash.</t>
  </si>
  <si>
    <t>A car is covered in soap suds.</t>
  </si>
  <si>
    <t>The women begin to use a water hose to clean off the soap.</t>
  </si>
  <si>
    <t>They work the hose and brush all over the car.</t>
  </si>
  <si>
    <t>They finish hosing it off.</t>
  </si>
  <si>
    <t>v_dj_GBrR5N4E</t>
  </si>
  <si>
    <t>A young man prepares to complete a routine on the parallel bars.</t>
  </si>
  <si>
    <t>Many people are in bleachers in the background walking around, sitting and watching.</t>
  </si>
  <si>
    <t>The young man uses a spring board to mount the bars.</t>
  </si>
  <si>
    <t>A man standing nearby pulls the spring board out of the way.</t>
  </si>
  <si>
    <t>Several judges sit at a table in front of the bleachers watching.</t>
  </si>
  <si>
    <t>The young man completes his parallel bar routine.</t>
  </si>
  <si>
    <t>The young man then dismounts, lands and bows.</t>
  </si>
  <si>
    <t>He walks away as another man in the same uniform approaches.</t>
  </si>
  <si>
    <t>v_Lg6QZST92xo</t>
  </si>
  <si>
    <t>A close up of a log is seen and a person swinging an ax up and down.</t>
  </si>
  <si>
    <t>The person swings the ax against the dog and cuts it in half.</t>
  </si>
  <si>
    <t>The person performs this several more times.</t>
  </si>
  <si>
    <t>v_tydn-vo3DaY</t>
  </si>
  <si>
    <t>Various people are seen doing sit ups with other's help and transitions into several shots of people performing grueling tasks.</t>
  </si>
  <si>
    <t>One man climbs a wall and does push ups while another is interviewed by the camera and several people climb a wall.</t>
  </si>
  <si>
    <t>More shots of the people exercising are shown as well as climbing rock walls and several push ups.</t>
  </si>
  <si>
    <t>v_C6OmnTWhsEc</t>
  </si>
  <si>
    <t>A man wearing a white shirt and frog pattern headgear touches his nipples while holding a recorder.</t>
  </si>
  <si>
    <t>The man brings the recorder to his right nostril.</t>
  </si>
  <si>
    <t>The man begins to play the recorder.</t>
  </si>
  <si>
    <t>The scene cuts to the man, having finished playing, bowing while touching his nipples.</t>
  </si>
  <si>
    <t>v_bqA-WmqF19E</t>
  </si>
  <si>
    <t>People are playing pool in a room.</t>
  </si>
  <si>
    <t>A man shoots at the ball and makes it into the pocket.</t>
  </si>
  <si>
    <t>People are standing behind him playing pool on another table.</t>
  </si>
  <si>
    <t>v_OhpILjGpQTs</t>
  </si>
  <si>
    <t>We see the title card fade out.</t>
  </si>
  <si>
    <t>We see two kids on a camel at a carnival.</t>
  </si>
  <si>
    <t>The man leads the camel out of the pen as he smokes a cigarette.</t>
  </si>
  <si>
    <t>They pass the petting zoo.</t>
  </si>
  <si>
    <t>We see the mom taking pictures of the kids.</t>
  </si>
  <si>
    <t>The ending card is shown.</t>
  </si>
  <si>
    <t>v_5CtecK635eI</t>
  </si>
  <si>
    <t>There is one man who's in the room with two other men and he lifts up a weigh that weighs over 400 pounds.</t>
  </si>
  <si>
    <t>Next he lifts up a weight that is heavier than the last one.</t>
  </si>
  <si>
    <t>He gets, a handshake and a hug from an elderly man.</t>
  </si>
  <si>
    <t>Then someone gives him money and someone else who's sitting in a chair gives him a highfive.</t>
  </si>
  <si>
    <t>v_RO5WKh6dViA</t>
  </si>
  <si>
    <t>A group of children play on playground equipment watched by parents.</t>
  </si>
  <si>
    <t>A child swings across the monkey bars.</t>
  </si>
  <si>
    <t>The child gets to the other side bows and runs back to the monkey bars jumping and laughing.</t>
  </si>
  <si>
    <t>The child jumps around happily and falls down but get right back up.</t>
  </si>
  <si>
    <t>v_8874vqLm958</t>
  </si>
  <si>
    <t>A woman is seen on an elliptical trainer in an ad.</t>
  </si>
  <si>
    <t>Then we see the various components and options for using the machine.</t>
  </si>
  <si>
    <t>A woman scrolls through a digital screen, then is seen riding the elliptical.</t>
  </si>
  <si>
    <t>v_ZG4ApSk5iKw</t>
  </si>
  <si>
    <t>A man is doing various tasks while doing crunches.</t>
  </si>
  <si>
    <t>He raises the back on his work out machine and starts doing crunches again.</t>
  </si>
  <si>
    <t>He sits up and continues talking to the camera.</t>
  </si>
  <si>
    <t>v_FrVitupq7sQ</t>
  </si>
  <si>
    <t>Two men are seen standing on a tennis court holding rackets and speaking to the camera.</t>
  </si>
  <si>
    <t>Several slow motion scenes are shown performing a correct tennis serve with the men demonstrating right after.</t>
  </si>
  <si>
    <t>The men do this for several turns with one slow motion of a man performing the trick done afterwards.</t>
  </si>
  <si>
    <t>v_eUvvxpAK3_8</t>
  </si>
  <si>
    <t>A man is seen speaking to the camera and begins polishing a black shoe with a brush.</t>
  </si>
  <si>
    <t>He points around the shoe and flips the shoe around with his hands.</t>
  </si>
  <si>
    <t>v_HVmZOfkh8Pk</t>
  </si>
  <si>
    <t>A boy talks in a field, then he plays with a person using a stick to hit a ball.</t>
  </si>
  <si>
    <t>The boy throws the ball to the other boy and score.</t>
  </si>
  <si>
    <t>The boys talk in the field.</t>
  </si>
  <si>
    <t>v_AItKK-a8eEI</t>
  </si>
  <si>
    <t>We see people surfing in the ocean Two men are taking images.</t>
  </si>
  <si>
    <t>We see a title screen then two men stand on the beach with a camera.</t>
  </si>
  <si>
    <t>We see the surfers in the ocean.</t>
  </si>
  <si>
    <t>We see the third title screen and two men on the beach with a camera.</t>
  </si>
  <si>
    <t>We then see the surfers in the ocean.</t>
  </si>
  <si>
    <t>We see a man on a boat with a camera.</t>
  </si>
  <si>
    <t>We then see the closing title screen.</t>
  </si>
  <si>
    <t>v_7LhgGs4TrYA</t>
  </si>
  <si>
    <t>a man is seated, talking to the camera.</t>
  </si>
  <si>
    <t>He is wearing a suit and tie with a colorful background.</t>
  </si>
  <si>
    <t>He continues talking, using his hands as he goes.</t>
  </si>
  <si>
    <t>v_fruimvo90vA</t>
  </si>
  <si>
    <t>A woman is seen running down a long track and jumping into a pit.</t>
  </si>
  <si>
    <t>The camera watches her as she walks away and sticks her tongue out to another person.</t>
  </si>
  <si>
    <t>v__Yt94ffXcCE</t>
  </si>
  <si>
    <t>A boy welds a piece of metal in an indoor shop while wearing a protective coat, helmet, goggles and gloves.</t>
  </si>
  <si>
    <t>A boy in a shop talks to the camera while standing in front of a piece of metal and handling welding tools in preparation to weld.</t>
  </si>
  <si>
    <t>The boy begins to weld creating extreme sparks of fire like reactions in front of him over the material being welded.</t>
  </si>
  <si>
    <t>The boy shows a close up of the red hot tip of the tool, finishes welding, and pans the camera to another young boy dressed in the same protective welding gear behind him.</t>
  </si>
  <si>
    <t>v__AuJBnTClQ8</t>
  </si>
  <si>
    <t>Several close ups are shown of a razor that leads into a man shaving another's face.</t>
  </si>
  <si>
    <t>The man shows his face again with the shaver putting cream on and beginning to shave.</t>
  </si>
  <si>
    <t>The man uses various tools on the other to shave as well as speaks to the camera.</t>
  </si>
  <si>
    <t>v_iCveBOc8JzM</t>
  </si>
  <si>
    <t>A young lady shows a a beauty cream bottle.</t>
  </si>
  <si>
    <t>Then, the young girl puts cream on hrs finger and rubs her shoulder.</t>
  </si>
  <si>
    <t>v_v0NEZPgjcXI</t>
  </si>
  <si>
    <t>A video game for WWE professional wrestling starts, showing a three on one match.</t>
  </si>
  <si>
    <t>The player controlling Roman Reigns hits a big move on his opponent, and his team comes in for a big coordinated attack.</t>
  </si>
  <si>
    <t>v_S9KUHyvFuGc</t>
  </si>
  <si>
    <t>man is riding a horse inside a barn and with a rope catch a bull.</t>
  </si>
  <si>
    <t>man is standing on side of te barn.</t>
  </si>
  <si>
    <t>v_v7OW60YncY4</t>
  </si>
  <si>
    <t>A man is seen speaking to a camera and leads into he pouring liquid into a bowl and rubbing it into a wooden object.</t>
  </si>
  <si>
    <t>He then paints down the area with a brush and nails fabric to the back, creating a chair and having the camera pan down.</t>
  </si>
  <si>
    <t>v_z60D7p37Lws</t>
  </si>
  <si>
    <t>A woman spins a young boy in circles.</t>
  </si>
  <si>
    <t>The boy is holding a long stick and wearing a blindfold.</t>
  </si>
  <si>
    <t>The woman stops spinning the boy and aims him at a pinata hanging from the ceiling.</t>
  </si>
  <si>
    <t>The boy swings and hits the pinata once.</t>
  </si>
  <si>
    <t>He then swings and misses many times.</t>
  </si>
  <si>
    <t>The boy finally gives up and takes the blindfold off.</t>
  </si>
  <si>
    <t>A different woman walks in and stops near the pinata.</t>
  </si>
  <si>
    <t>v_eNq-jGrQuV0</t>
  </si>
  <si>
    <t>A small young boy is outside running across a green field,he then reappears wearing a green helmet and a stick in his hand that is shaped like a paddle.</t>
  </si>
  <si>
    <t>The boy then gathers with the rest of his team,they stand in a line, and begins scrimmaging against one another.</t>
  </si>
  <si>
    <t>As the game continues,the kids run back and forth across the field and the coaches trail behind them.</t>
  </si>
  <si>
    <t>v_l_36uVP3LnI</t>
  </si>
  <si>
    <t>A screen says triple jump on it.</t>
  </si>
  <si>
    <t>A man is standing in a field before running and jumping into a square of dirt.</t>
  </si>
  <si>
    <t>He walks away from the jump and talks to the camera.</t>
  </si>
  <si>
    <t>It is shown again in slow motion.</t>
  </si>
  <si>
    <t>v_-ux1hQSR1AM</t>
  </si>
  <si>
    <t>An athletic man dressed in blue approaches the gymnastic horse and stands there and stares at it for a few seconds.</t>
  </si>
  <si>
    <t>The man then approaches it and puts his two hands on it and begins doing various moves on it where he twists, turns and maneuvers his body very skillfully all around the gymnastic horse.</t>
  </si>
  <si>
    <t>The the man finishes the end of his routine and jumps off of the gymnastic horse landing on his two feet, holds his two arms up in the air, claps his hands once and then takes a bow.</t>
  </si>
  <si>
    <t>v_x7M1yRFtnxY</t>
  </si>
  <si>
    <t>People are running around obstacles playing a game of paintball.</t>
  </si>
  <si>
    <t>A boy looks around a corner and gets down on the ground.</t>
  </si>
  <si>
    <t>An American flag is shown on the screen.</t>
  </si>
  <si>
    <t>v_vF-XFROSmv4</t>
  </si>
  <si>
    <t>There's a man wearing a white colored vest and blue hard hat rowing in a yellow row boat with double sided oar.</t>
  </si>
  <si>
    <t>He is demonstrating the correct way to row the boat while staying afloat.</t>
  </si>
  <si>
    <t>He is in a water body that has some strong waves.</t>
  </si>
  <si>
    <t>He is showing how to do the strokes with the oars to go against the water current.</t>
  </si>
  <si>
    <t>He goes in circles as he demonstrates how to row against powerful waves.</t>
  </si>
  <si>
    <t>v_7ezC4N3ArmQ</t>
  </si>
  <si>
    <t>men are at sides of table playing beerpong.</t>
  </si>
  <si>
    <t>a man is sitting in a chair next to the table watching the men while are playing.</t>
  </si>
  <si>
    <t>the men are Accommodating the cups on the table.</t>
  </si>
  <si>
    <t>v_Marb8CMxPV0</t>
  </si>
  <si>
    <t>Various people are seen standing in an open area performing several tricks with their dogs.</t>
  </si>
  <si>
    <t>Many people watch on the sidelines and more people continue to show tricks with their dogs.</t>
  </si>
  <si>
    <t>Several people are interviewed by the camera and leads into even more tricks being shown.</t>
  </si>
  <si>
    <t>v_6ZUHLsyJ6yo</t>
  </si>
  <si>
    <t>A line of drummers play inside a superdome.</t>
  </si>
  <si>
    <t>Several bass drummers appear wearing jerseys.</t>
  </si>
  <si>
    <t>They all play a beat as people with cameras walk between them.</t>
  </si>
  <si>
    <t>v__gnMuU1UJnM</t>
  </si>
  <si>
    <t>A black screen appears with white words that read "SPORT BEZ BARIER CURLING NA WOZKACH".</t>
  </si>
  <si>
    <t>An ice cleaner is now riding on an ice rink, and then people on wheelchairs start wheeling onto the rink.</t>
  </si>
  <si>
    <t>A woman on a wheelchair begins speaking and the words on the screen say her name is "Agnieszka Kachel".</t>
  </si>
  <si>
    <t>The rink is shown again and it shows gray objects with colorful tops are being pushed on the ice with sticks that the people in wheelchairs are holding and it switches back and forth to the woman talking alone and to the people on the ice playing.</t>
  </si>
  <si>
    <t>A white outro screen appears with black letters that include a list of names, websites and logos.</t>
  </si>
  <si>
    <t>v_dXLhYjRSNcs</t>
  </si>
  <si>
    <t>A gymnast is seen climbing onto a set of uneven bars and performing a routine while many watch on the side.</t>
  </si>
  <si>
    <t>He performs various flips and tricks and ends by jumping down and putting his arms up.</t>
  </si>
  <si>
    <t>v_w_PJ9N8CMo8</t>
  </si>
  <si>
    <t>A man washes his face in front of a mirror.</t>
  </si>
  <si>
    <t>He laughs at the camera.</t>
  </si>
  <si>
    <t>He rubs his face some more.</t>
  </si>
  <si>
    <t>He bends into the sink to rinse it.</t>
  </si>
  <si>
    <t>v_iBpyYbLv1WU</t>
  </si>
  <si>
    <t>A man is strumming away on his guitar aggressively.</t>
  </si>
  <si>
    <t>Another man with a blue guitar is playing and knocking around all over his guitar.</t>
  </si>
  <si>
    <t>A man in a red shirt who has an electric guitar is tapping his foot keeping tempo and playing a tune.</t>
  </si>
  <si>
    <t>He plays up and down a scale or tune.</t>
  </si>
  <si>
    <t>v_azCsE98qwus</t>
  </si>
  <si>
    <t>A woman wearing a red outfit raises her hands and feet, alternating them in a slow and methodical fashion.</t>
  </si>
  <si>
    <t>She puts on a show on a stage, going back and forth fluidly.</t>
  </si>
  <si>
    <t>The woman turns in several different directions, providing different actions before standing straight and still as her finale.</t>
  </si>
  <si>
    <t>v_Z5lRHCRBA_E</t>
  </si>
  <si>
    <t>A black screen with white zooming text of a girls performance on the uneven bars.</t>
  </si>
  <si>
    <t>A gymnast strides to the uneven bars jumps off a board and grabs on to the bars and goes through her routine.</t>
  </si>
  <si>
    <t>There is text that appears on the screen describing what she has to do.</t>
  </si>
  <si>
    <t>She ends her routine and lands on the mat as the crowd cheers.</t>
  </si>
  <si>
    <t>A black screen with white text appears followed by the gymnasts score.</t>
  </si>
  <si>
    <t>v_IC-Rd7ouQmE</t>
  </si>
  <si>
    <t>A group of people are seen sitting on bikes and waiting before a track.</t>
  </si>
  <si>
    <t>A bar let's go and the men ride around a long track on the bikes behind one another.</t>
  </si>
  <si>
    <t>v_x3WVWHn3teI</t>
  </si>
  <si>
    <t>A man is seen standing in front of a bike speaking to the camera and leads into shots of him riding around.</t>
  </si>
  <si>
    <t>The man continues to speak to the camera as more shots are shown of him riding the dirt bike around a track.</t>
  </si>
  <si>
    <t>v__gO4UzCTqhk</t>
  </si>
  <si>
    <t>A woman is seen speaking to the camera in front of a large bush.</t>
  </si>
  <si>
    <t>The woman then uses a shovel along some dirt.</t>
  </si>
  <si>
    <t>The camera pans around the plant when she is finished.</t>
  </si>
  <si>
    <t>v_UIH5arBo3-Y</t>
  </si>
  <si>
    <t>An older man with glasses and gray hairs sits and sings as he plays the guitar.</t>
  </si>
  <si>
    <t>The man pauses for a second.</t>
  </si>
  <si>
    <t>The man finishes his song and stops.</t>
  </si>
  <si>
    <t>We see the ending title screen with a cat on it.</t>
  </si>
  <si>
    <t>v_cNCrFL2l83o</t>
  </si>
  <si>
    <t>A bald man is standing next to the counter with glass and stirrer in front of him.</t>
  </si>
  <si>
    <t>The man put ice in the glass, put clear liquid in the glass, added orange juice, he mix the contents as he pour the orange juice, then add red liquid that fell under the orange juice.</t>
  </si>
  <si>
    <t>v_FutaoYIC4Ok</t>
  </si>
  <si>
    <t>A young lady roller skate on the road in the forest.</t>
  </si>
  <si>
    <t>Then she arrives pass on front of an abandoned car.</t>
  </si>
  <si>
    <t>v_d1doBRc_hAM</t>
  </si>
  <si>
    <t>A man is seen riding on a treadmill followed by several images of the treadmill and a man taking pictures.</t>
  </si>
  <si>
    <t>A person undoes the machine and then rides on the machine and leads into more people taking pictures of the machine and people riding.</t>
  </si>
  <si>
    <t>v_LAU_pVRs9RQ</t>
  </si>
  <si>
    <t>Two men are sitting at the table with their arms on the table, they are positioned for arm wrestling.</t>
  </si>
  <si>
    <t>A in blue shirt is standing at the center holding both hands of the player.</t>
  </si>
  <si>
    <t>The man with the bear broke his arm after the other man push it down.</t>
  </si>
  <si>
    <t>v_iPPfX25MUQ0</t>
  </si>
  <si>
    <t>Tourists rides camels while people pull the camels with a rope.</t>
  </si>
  <si>
    <t>Men helps a couple to unload the camels and feed them.</t>
  </si>
  <si>
    <t>v_eD2SW7ibzmM</t>
  </si>
  <si>
    <t>Two men start dancing on a stage.</t>
  </si>
  <si>
    <t>They put their hands up next to their face.</t>
  </si>
  <si>
    <t>An album of a woman is shown on the screen.</t>
  </si>
  <si>
    <t>v_blCvgADz8LY</t>
  </si>
  <si>
    <t>A man bends down and picks up a large weight.</t>
  </si>
  <si>
    <t>He lifts it up over his head.</t>
  </si>
  <si>
    <t>He then drops it onto the ground.</t>
  </si>
  <si>
    <t>v_3792wPKkdXI</t>
  </si>
  <si>
    <t>a man and a woman are arm wrestling on top of a table in middle of stage and the woman wins.</t>
  </si>
  <si>
    <t>people are in stands around the stage watching the competition.</t>
  </si>
  <si>
    <t>v_tokwDYW6rS0</t>
  </si>
  <si>
    <t>A Howcast logo is the opening scene of the video.</t>
  </si>
  <si>
    <t>A woman is showing paintings of her work.</t>
  </si>
  <si>
    <t>An instructional slide is shown.</t>
  </si>
  <si>
    <t>The woman is explaining the materials used.</t>
  </si>
  <si>
    <t>She then describes the brushes she uses.</t>
  </si>
  <si>
    <t>She shows the paint pallet and various colors of paint.</t>
  </si>
  <si>
    <t>She explains the bottles of paint.</t>
  </si>
  <si>
    <t>She then instructs on how to clean the brushes with liquid and paper towels.</t>
  </si>
  <si>
    <t>The video ends with the same logo it started with.</t>
  </si>
  <si>
    <t>v_n04N7AuqZsY</t>
  </si>
  <si>
    <t>A group of girls in field hockey outfits walks onto a green field in a line.</t>
  </si>
  <si>
    <t>The girls are then seen in front of a male coach talking to them and pointing to spots on the field.</t>
  </si>
  <si>
    <t>Several girls are interviewed from the field and bleachers before and as video of the girls practicing field hockey are shown.</t>
  </si>
  <si>
    <t>The girls are then shown playing field hockey on a large green field interspersed with an interview from the coach.</t>
  </si>
  <si>
    <t>v_tww0AR8NanU</t>
  </si>
  <si>
    <t>man is standing talking to the camera showing a big metal piece.</t>
  </si>
  <si>
    <t>te man in the room is playing the harmonica.</t>
  </si>
  <si>
    <t>the man stops playing and keeps talking to the camera in a small white room.</t>
  </si>
  <si>
    <t>v_Scjxbdh6b54</t>
  </si>
  <si>
    <t>A white BMW 3 series is in a garage being cleaned by two men wearing safety jackets.</t>
  </si>
  <si>
    <t>Once the front is cleaned,the men move towards the back spraying the vehicle and come back to spray the rim and go back to the trunk to get all of the spots.</t>
  </si>
  <si>
    <t>v_1P_BTFhNZFo</t>
  </si>
  <si>
    <t>There are two girls wearing sparkly blue tank tops and black skirts doing a coordinated dance with sticks in their hands in a gym.</t>
  </si>
  <si>
    <t>They begin by facing their backs to the camera and break into a dance move by raising their sticks up in the air.</t>
  </si>
  <si>
    <t>Then they fling their sticks in the air and catch it and turn around to face the camera.</t>
  </si>
  <si>
    <t>They continue dancing in coordination by going in circles and twirling their bodies simultaneously.</t>
  </si>
  <si>
    <t>Then they do front flips together and continue twirling their bodies in circular motion.</t>
  </si>
  <si>
    <t>One of the dancers does a front flip while the other throws the stick in the air and catches it.</t>
  </si>
  <si>
    <t>They continue dancing as they fling their sticks and catch them in their hands as they coordinate themselves.</t>
  </si>
  <si>
    <t>After they're finished with the dancing, they stand together and wave to the camera.</t>
  </si>
  <si>
    <t>v_4WNso9fVJG8</t>
  </si>
  <si>
    <t>A woman with short hair is wearing an earphone and eyeglasses is showing two clips, then she clipped both sides of her hair, showed her blue and white contact lenses containers and removed her eyeglasses.</t>
  </si>
  <si>
    <t>She showed her hand, then showed a sclera lenses, and put it on her right eye pupil, went closer to the camera to show her eye, then removed the contact lens from her eye by pinching it.</t>
  </si>
  <si>
    <t>v_pT2fO9vlVn0</t>
  </si>
  <si>
    <t>A man is shown in a gym class leading at as the people step up and down on thier steppers.</t>
  </si>
  <si>
    <t>The man is very enthusiastically jumping up and down trying to keep the motivation going.</t>
  </si>
  <si>
    <t>He is very into it as is the class and they are dancing in sync with each other.</t>
  </si>
  <si>
    <t>They conclude the routine by clapping and celebrating their hard work.</t>
  </si>
  <si>
    <t>v_TZ9JbvClnZA</t>
  </si>
  <si>
    <t>A close up of a bowling lane is seen with a man standing in front.</t>
  </si>
  <si>
    <t>The man throws a ball down the lane and hits several pins.</t>
  </si>
  <si>
    <t>He finally walks back up the lane.</t>
  </si>
  <si>
    <t>v_TvlCdfubl9Y</t>
  </si>
  <si>
    <t>man wearing a green shirt is assembling a bicycle on the middle of a living room.</t>
  </si>
  <si>
    <t>another man wearing a blue sweater is helping the other man assembling the bicycles.</t>
  </si>
  <si>
    <t>men are assembling three bicycles on living room.</t>
  </si>
  <si>
    <t>v_8sTJGmY-SGQ</t>
  </si>
  <si>
    <t>A man is seen standing with his arms up and walks in between a set of uneven bars.</t>
  </si>
  <si>
    <t>The man then hopes up on the bars and begins spinning himself around.</t>
  </si>
  <si>
    <t>He continues spinning on the bars and ends by jumping down on the sides.</t>
  </si>
  <si>
    <t>v_5Chl3x_mx40</t>
  </si>
  <si>
    <t>The players are playing curling in an ice court.</t>
  </si>
  <si>
    <t>The players pushed the stone and two people are brushing the front of the stone until it reached the target.</t>
  </si>
  <si>
    <t>An Asian girl pushed the stone and the other girl is brushing the front of the stone until it hit other stones.</t>
  </si>
  <si>
    <t>v_gY-8BUnSgf4</t>
  </si>
  <si>
    <t>A Man is shown throwing a bowling ball down a lane.</t>
  </si>
  <si>
    <t>It then intercuts to a bunch of different throws of the ball towards the pins.</t>
  </si>
  <si>
    <t>A woman interview the professional bowler and put on an apparatus on his wrist.</t>
  </si>
  <si>
    <t>He then is shown gripping the ball and makes a throw in slow motion.</t>
  </si>
  <si>
    <t>This is shown several times from different angles.</t>
  </si>
  <si>
    <t>After a series of these action shots, the video then moves to a man speaking directly into the camera, with the logo of the show appearing as it ends.</t>
  </si>
  <si>
    <t>v_QNKjKB4k4D0</t>
  </si>
  <si>
    <t>A man on a horse goes through a rodeo fence.</t>
  </si>
  <si>
    <t>He dismounts, roping and tying a calf.</t>
  </si>
  <si>
    <t>When he is done, he walks back to his horse and gets back on.</t>
  </si>
  <si>
    <t>v_DlE6Rtuo__o</t>
  </si>
  <si>
    <t>A close up of a tattoo artist is seen drawing along a person's leg.</t>
  </si>
  <si>
    <t>The artist continues drawing all over the person's leg while looking up every once in a while to the camera.</t>
  </si>
  <si>
    <t>v_h1bdAd1cXSw</t>
  </si>
  <si>
    <t>A young child is seen walking to the end of a diving board and looking off into the camera.</t>
  </si>
  <si>
    <t>The boy then dives into the water and the camera captures him moving from underwater.</t>
  </si>
  <si>
    <t>v_wqThk38AdEA</t>
  </si>
  <si>
    <t>woman is standing in the middle of stage playing the flute.</t>
  </si>
  <si>
    <t>women are standing in sage behind the woman with the flute standing holding microphones.</t>
  </si>
  <si>
    <t>men are standing behind the women playing different instruments.</t>
  </si>
  <si>
    <t>v_nDggAkf1ulc</t>
  </si>
  <si>
    <t>There's a little girl in a pink shirt and black tights and pink shoes playing hop scotch in a playground.</t>
  </si>
  <si>
    <t>She jumps around on the colorful squares as she has fun.</t>
  </si>
  <si>
    <t>Then she goes around a small water fountain that is next to the hop scotch squares.</t>
  </si>
  <si>
    <t>She is enjoying herself running around in the playground.</t>
  </si>
  <si>
    <t>v_Tg1G0EtWw9s</t>
  </si>
  <si>
    <t>A man is seated at a black jack table.</t>
  </si>
  <si>
    <t>He is talking about the game and showing the cards and chips.</t>
  </si>
  <si>
    <t>He shows how to deal each hand, and how to dispense the chips to the winners.</t>
  </si>
  <si>
    <t>v_gtd2Ye-raxE</t>
  </si>
  <si>
    <t>A male gymnast hops up onto bars and begins performing a gymnastics routine.</t>
  </si>
  <si>
    <t>He swings around the bars over and over again while the judges watch and critique.</t>
  </si>
  <si>
    <t>The man eventually jumps off and the video fades away into an effect.</t>
  </si>
  <si>
    <t>v_fQDj7pnGdVY</t>
  </si>
  <si>
    <t>A man wearing boxing gloves is seen hitting a bag in an empty room.</t>
  </si>
  <si>
    <t>He continuously hits the bag over and over again while pausing in between punches to catch his breath.</t>
  </si>
  <si>
    <t>v_WlYhEPyLcBc</t>
  </si>
  <si>
    <t>Two couples play badminton in a court.</t>
  </si>
  <si>
    <t>A man enter in the court and goes to sit left the court with other person.</t>
  </si>
  <si>
    <t>v_h8cXVe6N6Oc</t>
  </si>
  <si>
    <t>There's a woman long black hair looking in a mirror and brushing her hair.</t>
  </si>
  <si>
    <t>There's another woman with blond hair that makes a face looking angry and disgusted.</t>
  </si>
  <si>
    <t>v_EsYsshh2CyA</t>
  </si>
  <si>
    <t>A bartender begins speaking to the camera and pours ice into a glass.</t>
  </si>
  <si>
    <t>She think instructs to mix rum and lemon juice into the glass and an ounce of different rum.</t>
  </si>
  <si>
    <t>Finally she mixes grenadine with some sweet and sour mix with soda water.</t>
  </si>
  <si>
    <t>Finally she mixes all the components together and creates a nice alcoholic beverage.</t>
  </si>
  <si>
    <t>v_Z3jo5hbPo1Q</t>
  </si>
  <si>
    <t>A young girl is standing on a stage in front of 4 judges that are sitting along a table and they are talking to her.</t>
  </si>
  <si>
    <t>The girl then begins her performance where she is dancing ballet and singing and when they pan to the judges and the audience they seem pleased with her performance.</t>
  </si>
  <si>
    <t>When the girl is done performing, she gets a standing ovation from the audience and some of the judges.</t>
  </si>
  <si>
    <t>The judges then take turns speaking with her expressing their approval, and the girl is very happy about it.</t>
  </si>
  <si>
    <t>The girl then runs off the stage and behind the curtains she gives a man who is possibly her dad, a kiss and a hug.</t>
  </si>
  <si>
    <t>v_FC5FsugGt8o</t>
  </si>
  <si>
    <t>A group of women are seen walking around a sandy area and begin playing a match of volleyball with one another.</t>
  </si>
  <si>
    <t>The girls continue playing the match while others watch on the sidelines and walk back slowly in the end.</t>
  </si>
  <si>
    <t>v_m210FwMsnTQ</t>
  </si>
  <si>
    <t>A girl does a balance beam routine and jumps around.</t>
  </si>
  <si>
    <t>After stretching, the woman does four flips.</t>
  </si>
  <si>
    <t>The woman dismounts and finishes the routine.</t>
  </si>
  <si>
    <t>v_oFtwNVuasmU</t>
  </si>
  <si>
    <t>On a river outside the boys are walking down the street as cars pass by.</t>
  </si>
  <si>
    <t>There are many people out doing many different activities on the water.</t>
  </si>
  <si>
    <t>Some of the boys do jumps off the bridge and other are riding behind a boat.</t>
  </si>
  <si>
    <t>it's a nice summer day to be out and enjoy fun in the sun by the water.</t>
  </si>
  <si>
    <t>v_fYQTAuBS7zw</t>
  </si>
  <si>
    <t>A guy shows you how to hold a small sharp ending stick in your hand and between your fingers to use as a weapon.</t>
  </si>
  <si>
    <t>The man shows you how to throw the sharp ended stick into the wall and make it stick from different distances.</t>
  </si>
  <si>
    <t>v_zKYqEsVfEnU</t>
  </si>
  <si>
    <t>Two men are seen standing together with one speaking to the camera and the other laying on the floor.</t>
  </si>
  <si>
    <t>The man kneels behind him and points to his body while the man laying door moves his arms and legs to demonstrate proper exercises.</t>
  </si>
  <si>
    <t>v_bj4nkWPdqIY</t>
  </si>
  <si>
    <t>A close up of a track is shown followed by a woman walking slowly away.</t>
  </si>
  <si>
    <t>Several shots are then shown of her performing long jumps in various places.</t>
  </si>
  <si>
    <t>She continues jumping in slow motion and ends with her landing in one last pit.</t>
  </si>
  <si>
    <t>v_Wm1CL_g91G4</t>
  </si>
  <si>
    <t>There's a lady in green sanding the counter giving out tickets to people who are purchasing them for snow tubing.</t>
  </si>
  <si>
    <t>Several people are out snow tubing down a snow caped slope.</t>
  </si>
  <si>
    <t>People are going downhill on their snow tubes wearing winter gear and goggles.</t>
  </si>
  <si>
    <t>Some of them are snow tubing in groups of threes.</t>
  </si>
  <si>
    <t>They are enjoying themselves coming down the slope rapidly.</t>
  </si>
  <si>
    <t>v_PXBcPu2_KOo</t>
  </si>
  <si>
    <t>An athlete climbs on the pommel horse to perform jumps and flips.</t>
  </si>
  <si>
    <t>The athlete flips backwards and then continues with her routine.</t>
  </si>
  <si>
    <t>The athlete stands on the border on the pommel horse and runs to jump, then flips and fall stand on the floor.</t>
  </si>
  <si>
    <t>v_dyLGepr7VR0</t>
  </si>
  <si>
    <t>Two men and a woman are seen walking up onto a stage while a group of people are seen behind them in mirrors.</t>
  </si>
  <si>
    <t>The three then perform a dance routine while the people in the audience follow from behind.</t>
  </si>
  <si>
    <t>The man pump up the crowd and continue dancing as the others follow along in the mirror.</t>
  </si>
  <si>
    <t>v_ShozMaLUS20</t>
  </si>
  <si>
    <t>Old man is raking leaves outside his home in the fall.</t>
  </si>
  <si>
    <t>Man is narrating the action.</t>
  </si>
  <si>
    <t>There is a bike parked next to the house.</t>
  </si>
  <si>
    <t>v_50MmJszF2XM</t>
  </si>
  <si>
    <t>A female coach and cheer director talks to the camera.</t>
  </si>
  <si>
    <t>She then spots a little girl through a backflip.</t>
  </si>
  <si>
    <t>She helps her do several different tasks, explaining the process as they go.</t>
  </si>
  <si>
    <t>v_7Ozl-ud1zTo</t>
  </si>
  <si>
    <t>A large group of people are seen standing on a beach looking off into the distance.</t>
  </si>
  <si>
    <t>Several shots are shown of people riding a surf board and others watching on the side.</t>
  </si>
  <si>
    <t>More people are seen riding the waves in various shots.</t>
  </si>
  <si>
    <t>v_7XGimCWcafc</t>
  </si>
  <si>
    <t>A large off-roading truck drives by along a dirt track next to a body of water and comes to a stop.</t>
  </si>
  <si>
    <t>Many spectators approach the vehicle, while the driver climbs out of the vehicle and attempts to remove a tire from the back of the truck.</t>
  </si>
  <si>
    <t>A worker and some assistants approaches the vehicle with a spare tire, and some men begin to jack up the rear of the truck to try to replace the rear passenger side tire.</t>
  </si>
  <si>
    <t>While the tire is being replaced, the driver climbs back into the truck, and a specator takes a picture of the vehicle.</t>
  </si>
  <si>
    <t>Other spectators come to the driver side to talk with the driver.</t>
  </si>
  <si>
    <t>The tire is replaced and the truck drives off.</t>
  </si>
  <si>
    <t>A detailed look at the tire that was replaced is shown.</t>
  </si>
  <si>
    <t>v_Uw_4gKpmAhI</t>
  </si>
  <si>
    <t>There are three contractors remodeling a house that is torn down for renovation.</t>
  </si>
  <si>
    <t>One of the contractors is cementing a brick wall.</t>
  </si>
  <si>
    <t>The other contractor is breaking an existing wall in the living room.</t>
  </si>
  <si>
    <t>The entire house is under renovation with furniture and boxes lying around the house with dust.</t>
  </si>
  <si>
    <t>v_5Q8ltS84BBg</t>
  </si>
  <si>
    <t>kid is sitting in a red room talkin to the camera.</t>
  </si>
  <si>
    <t>the kid grabs a guitar and start playing it and singing.</t>
  </si>
  <si>
    <t>kid is playing the guitar and talking to the camera in a small room.</t>
  </si>
  <si>
    <t>v_MOH9q_3Z9zg</t>
  </si>
  <si>
    <t>A little girl is shown in several images receiving a haircut.</t>
  </si>
  <si>
    <t>She is then shown in video form as her long hair is cut off in the style of a ponytail, meant to be donated to a group called Locks of Love.</t>
  </si>
  <si>
    <t>The girl is shown in various photos, holding the hair she is going to donate.</t>
  </si>
  <si>
    <t>v_J8Ziy8QR8WQ</t>
  </si>
  <si>
    <t>Guys throw balls on a field.</t>
  </si>
  <si>
    <t>A guy holds a few balls and talks.</t>
  </si>
  <si>
    <t>A man holding a flat bat walks across the field followed by a male holding one ball in each hand.</t>
  </si>
  <si>
    <t>Two men sit with one man holding a flat bat.</t>
  </si>
  <si>
    <t>Guys hit balls with the flat bat.</t>
  </si>
  <si>
    <t>v__9v34KLET0g</t>
  </si>
  <si>
    <t>A man is seen speaking to the camera behind a table with various ingredients and glasses laid out.</t>
  </si>
  <si>
    <t>The man mixes the ingredients into a glass together and juices a lime into the glass.</t>
  </si>
  <si>
    <t>He then pushes the ingredients around and pours liquids into the glass, creating an alcoholic drink.</t>
  </si>
  <si>
    <t>He presents the glass while the ingredients list is laid out and he walks away from the frame.</t>
  </si>
  <si>
    <t>v_n8gFxENOyR0</t>
  </si>
  <si>
    <t>A man is wearing a contraption which holds his small son on his back as he hikes in the woods.</t>
  </si>
  <si>
    <t>We see the boy playing in an indoor porch at the house.</t>
  </si>
  <si>
    <t>The boy runs into the yard and his dad puts a helmet on him and helps him skateboard.</t>
  </si>
  <si>
    <t>The dad skateboards and holds the boy.</t>
  </si>
  <si>
    <t>We then see the ending screen and switch to the boy sitting on a rock high five his dad and we return to the close screen.</t>
  </si>
  <si>
    <t>v_P4dx0xrr6fM</t>
  </si>
  <si>
    <t>An athlete walks onto a field.</t>
  </si>
  <si>
    <t>He spins in circles around a platform.</t>
  </si>
  <si>
    <t>He tosses a ball a great distance, and walks away.</t>
  </si>
  <si>
    <t>v_tuhEnqKmUKg</t>
  </si>
  <si>
    <t>There's a teenage boy wearing a black beanie hat skateboarding through the city streets.</t>
  </si>
  <si>
    <t>He skateboards wearing a white shirt while jumping over a small cement wall.</t>
  </si>
  <si>
    <t>Then he jumps over another wall while skateboarding.</t>
  </si>
  <si>
    <t>Then in a green shirt, he skateboards past a school, straight into a basketball court and then jumps over a metal railing.</t>
  </si>
  <si>
    <t>Then back in a white shirt, he tries stunts by jumping up to a metal hand rail on his skateboard.</t>
  </si>
  <si>
    <t>v_YAWoigyJ9sA</t>
  </si>
  <si>
    <t>A person is drinking from a coffee cup and looking away from the camera.</t>
  </si>
  <si>
    <t>His eyes pand up to the camera at the last second and he smiles.</t>
  </si>
  <si>
    <t>v_uWJUoJyvFF0</t>
  </si>
  <si>
    <t>A woman is sitting in a living room on a couch talking to the camera explaining what she is about to do.</t>
  </si>
  <si>
    <t>The camera pans down and the lady begins showing important aspects of the object she is knitting.</t>
  </si>
  <si>
    <t>When she is done,she grabs the needle,puts the thread in it and finishes knitting.</t>
  </si>
  <si>
    <t>v_0_GpcrCLdag</t>
  </si>
  <si>
    <t>First a boy is shown eating a thin waffle.</t>
  </si>
  <si>
    <t>then an elderly lady is shown drinking water from a small glass.</t>
  </si>
  <si>
    <t>Next there is a little boy shown dipping his hand into a parfait and then grabbing a spoon from another boy and then eating the parfait.</t>
  </si>
  <si>
    <t>Finally a boy is shown eating a spoonful of a milkshake from a glass that has waffles in it.</t>
  </si>
  <si>
    <t>v_Ygt3z-K-ZMQ</t>
  </si>
  <si>
    <t>Women mix a variety of alcoholic drinks for consumption.</t>
  </si>
  <si>
    <t>Steps are shown for a beautiful whiskey sour.</t>
  </si>
  <si>
    <t>v_tmBTO0cA_qw</t>
  </si>
  <si>
    <t>A man stands in front of a counter with his hands down in front of equipment.</t>
  </si>
  <si>
    <t>He uses the surface to rub a knife blade back and forth, sharpening it.</t>
  </si>
  <si>
    <t>When he is done, he checks the blade before lying the knife back down.</t>
  </si>
  <si>
    <t>v_o7z-u08tc-Y</t>
  </si>
  <si>
    <t>A small group of people are seen holding onto a rope and playing tug of war.</t>
  </si>
  <si>
    <t>The camera pans around the other team playing with the group while others watch on the side.</t>
  </si>
  <si>
    <t>The people continue playing back and fourth and end by smiling to the camera.</t>
  </si>
  <si>
    <t>v_W0dCIs9Y8yg</t>
  </si>
  <si>
    <t>The camera follows a small child on skis as he or she maneuvers past a crowd of people.</t>
  </si>
  <si>
    <t>The child skis down a slope with other people at various points along the trail.</t>
  </si>
  <si>
    <t>The child stops as the cameraperson approaches.</t>
  </si>
  <si>
    <t>v_R2qPyJVTUlI</t>
  </si>
  <si>
    <t>Women are dressed up in fancy clothing.</t>
  </si>
  <si>
    <t>A woman is putting something onto another woman's body.</t>
  </si>
  <si>
    <t>v_T8nteSe3U9Q</t>
  </si>
  <si>
    <t>A man and a woman stand outside while he sprays her with sunblock.</t>
  </si>
  <si>
    <t>They are both laughing and having a good time.</t>
  </si>
  <si>
    <t>She turns around so he can get her back thoroughly as they both playfully flirt with each other.</t>
  </si>
  <si>
    <t>He starts to spray her and she gives him directions as to where he missed applying it.</t>
  </si>
  <si>
    <t>She then turns around for him to get her arms, face and any of the other areas that he missed.</t>
  </si>
  <si>
    <t>v_OLRDf3vO8lw</t>
  </si>
  <si>
    <t>Family day at the beach, father and son are walking around and then they start to play in the sand.</t>
  </si>
  <si>
    <t>They have a sand in buckets trying to build sand castles.</t>
  </si>
  <si>
    <t>When they take the bucket up the sand isn't very stable at all.</t>
  </si>
  <si>
    <t>The little boy goes and kick down all the castle parts that they were creating.</t>
  </si>
  <si>
    <t>v_gvHQDDF7EGU</t>
  </si>
  <si>
    <t>A man is seen playing a saxophone and transitions from various locations of the person playing the instrument.</t>
  </si>
  <si>
    <t>The man is then seen side by side with himself and more shots of him playing in a room.</t>
  </si>
  <si>
    <t>v_30y8Uy0B_uk</t>
  </si>
  <si>
    <t>A man is hanging on a rock wall and talking to the camera.</t>
  </si>
  <si>
    <t>The man swings back and fourth and how to keep your balance when rock climbing.</t>
  </si>
  <si>
    <t>He begins climbing up the wall and talking about keeping straight arms.</t>
  </si>
  <si>
    <t>He continues climbing up the wall and where to position your feet and how to push.</t>
  </si>
  <si>
    <t>He finally makes it to the top of the rock wall and faces the camera.</t>
  </si>
  <si>
    <t>v_YED3l3gkrk4</t>
  </si>
  <si>
    <t>A tutorial is given on how to make a perfect french manicure.</t>
  </si>
  <si>
    <t>An advertisement is shown at the end.</t>
  </si>
  <si>
    <t>v_RGVDeXqN1ao</t>
  </si>
  <si>
    <t>A woman dressed in a black shirt representing the company Bents is standing in a garden and demonstrating how to use Cellophane to wrap a plant for gift purposes.</t>
  </si>
  <si>
    <t>She cuts a rectangular piece of the Cellophane and place the pot over it in the center.</t>
  </si>
  <si>
    <t>Then she brings to together the edges of the Cellophane towards the top of the plant.</t>
  </si>
  <si>
    <t>She takes a decorate piece of ribbon to tie the scrunched up cellophane together to make it look like a bow on top.</t>
  </si>
  <si>
    <t>v_vBdm15wRqig</t>
  </si>
  <si>
    <t>Boys get out a train and walk in the street holding surfboards.</t>
  </si>
  <si>
    <t>They, the boys surf in a choppy river in a city.</t>
  </si>
  <si>
    <t>A boy put his surfboard on the rives,jump on and surf, then fell, also other boys surf.</t>
  </si>
  <si>
    <t>After, the boys are inside a train.</t>
  </si>
  <si>
    <t>v_ysbUc6WS12k</t>
  </si>
  <si>
    <t>There's a bon fire lit in an open ground next to some tents and bikes.</t>
  </si>
  <si>
    <t>There's a person dressed in a biker's suit who comes up and sets fire to a pile of wood sticks.</t>
  </si>
  <si>
    <t>The fire begins to spread through the twigs and wood sticks and bursts into large flames.</t>
  </si>
  <si>
    <t>v_-YjGbsbDoxs</t>
  </si>
  <si>
    <t>A lady named Linda, creator of Paint Along is demonstrating how to do an acrylic painting.</t>
  </si>
  <si>
    <t>She starts with a one inch flat brush and yellow and white acrylic paint.</t>
  </si>
  <si>
    <t>She makes X patterns across the canvas with the yellow color.</t>
  </si>
  <si>
    <t>She continues the same pattern on the top part of the canvas.</t>
  </si>
  <si>
    <t>Then she draws straight lines across the canvas with an orange color.</t>
  </si>
  <si>
    <t>She then takes a liner brush to do some finer detailing on the painting such as branches of a tree.</t>
  </si>
  <si>
    <t>She takes a flatter brush to demonstrate a dabbing technique with excess paint to show flower petals.</t>
  </si>
  <si>
    <t>She ends the video with the abstract painting technique.</t>
  </si>
  <si>
    <t>v_jdAJ7cJBxnQ</t>
  </si>
  <si>
    <t>We see a man in a pool playing a game while a man in white stands on the sideline waving his arm.</t>
  </si>
  <si>
    <t>The ball is thrown and the goalie in front of the net jumps to stop the ball.</t>
  </si>
  <si>
    <t>The goalie then dips deep underwater.</t>
  </si>
  <si>
    <t>v_hHpcr5tYWso</t>
  </si>
  <si>
    <t>An Asian woman with black hair in beige jacket and printed blouse, is talking in front of the camera.</t>
  </si>
  <si>
    <t>Four black and white kites with blue and yellow diamond print on them are flying from the ground, a green octopus, dragons and other shapes of kites are flying in the sky, while men in red pull the kites.</t>
  </si>
  <si>
    <t>v_r5NqGSZsN0E</t>
  </si>
  <si>
    <t>A young woman is shown sitting down and speaking to the camera white holding a shirt.</t>
  </si>
  <si>
    <t>She ties the shirt around her arm and dips it into the water and scrubs it with her hands.</t>
  </si>
  <si>
    <t>v_bF55ewgaJLA</t>
  </si>
  <si>
    <t>A man is seated in a chair, holding a saxophone.</t>
  </si>
  <si>
    <t>He stands as he plays, his fingers moving up and down the instrument.</t>
  </si>
  <si>
    <t>The screen cuts to black and white text.</t>
  </si>
  <si>
    <t>v_hZD-CjWt0Rg</t>
  </si>
  <si>
    <t>A player's stats show on the screen.</t>
  </si>
  <si>
    <t>Montages of several indoor soccer games show.</t>
  </si>
  <si>
    <t>The stats of the player are shown again.</t>
  </si>
  <si>
    <t>v_8H3Wy96BwHM</t>
  </si>
  <si>
    <t>We see numbers slots on asphalt.</t>
  </si>
  <si>
    <t>We then see kids riding BMX bikes cut with scenes of other things.</t>
  </si>
  <si>
    <t>We see kids talking to the camera.</t>
  </si>
  <si>
    <t>We see a gate open and kids start riding.</t>
  </si>
  <si>
    <t>We see a coach standing with kids.</t>
  </si>
  <si>
    <t>We see another coach standing with kids.</t>
  </si>
  <si>
    <t>We see kids pass the finish line.</t>
  </si>
  <si>
    <t>We see the emblem on the screen with kids sitting on their bikes.</t>
  </si>
  <si>
    <t>We then see the close screen.</t>
  </si>
  <si>
    <t>v_OCQ9OyMKQKw</t>
  </si>
  <si>
    <t>A man wearing a hat is standing outside.</t>
  </si>
  <si>
    <t>He picks up a chainsaw off of the ground.</t>
  </si>
  <si>
    <t>He begins to chop down a bush next to him.</t>
  </si>
  <si>
    <t>v_YKzVHb16eUk</t>
  </si>
  <si>
    <t>There are a bunch of children standing around a table and the main focus is a boy who is cutting stuff on a blue tray.</t>
  </si>
  <si>
    <t>The boy walks away from the tray and an adult starts cutting.</t>
  </si>
  <si>
    <t>The adult stops cutting and another boy begins to cut the objects very slowly,the adult interrupts the child to demonstrate how to cut and the child walks away.</t>
  </si>
  <si>
    <t>v__f0S0vQZ9JM</t>
  </si>
  <si>
    <t>Two people are seen speaking to the camera followed by several drinks laid out.</t>
  </si>
  <si>
    <t>The people then begin mixing ingredients with one another and speaking to one another.</t>
  </si>
  <si>
    <t>The people continue mixing drinks with one another and presenting them to the camera.</t>
  </si>
  <si>
    <t>v_2gc5VDx2xY8</t>
  </si>
  <si>
    <t>There is a man on a horse waiting for the time to get going to start.</t>
  </si>
  <si>
    <t>Once the gates open a cow starts running and the man on the horse chases after it with a tassel.</t>
  </si>
  <si>
    <t>He swings the tassel in the air a few times and throws it catching the cow and then tying him down.</t>
  </si>
  <si>
    <t>There is an audience in the stands watching the man do this and there is another man on a different horse at the side waiting.</t>
  </si>
  <si>
    <t>v_lJeJ2LFna5o</t>
  </si>
  <si>
    <t>A crowd gathers watching a volleyball game.</t>
  </si>
  <si>
    <t>A volleyball player hits the ball.</t>
  </si>
  <si>
    <t>The player's teammate also hits the ball.</t>
  </si>
  <si>
    <t>The player hits the ball three more times.</t>
  </si>
  <si>
    <t>The players teammate hits the ball.</t>
  </si>
  <si>
    <t>The other player hits the ball over the net.</t>
  </si>
  <si>
    <t>The ball returns and one of the players hits the ball.</t>
  </si>
  <si>
    <t>The players teammate dives to hit the ball.</t>
  </si>
  <si>
    <t>The other player hits the ball to the other team.</t>
  </si>
  <si>
    <t>The ball returns and one of the players hits the ball out of bounds.</t>
  </si>
  <si>
    <t>v_aw89asgFHbs</t>
  </si>
  <si>
    <t>A girl does flips across a mat.</t>
  </si>
  <si>
    <t>The mat is black and red.</t>
  </si>
  <si>
    <t>Several girls watch her and clap.</t>
  </si>
  <si>
    <t>She then does some backflips.</t>
  </si>
  <si>
    <t>v_B2HIj_QWaG0</t>
  </si>
  <si>
    <t>A woman is playing a violin on the street while various people walk around here and behind her.</t>
  </si>
  <si>
    <t>She smiles into the camera while playing and continues playing the song while several people bend down to tip her and walk around her.</t>
  </si>
  <si>
    <t>v_Tv3v-UpBJ2Y</t>
  </si>
  <si>
    <t>A small group of people are seen standing on a field holding onto a rope.</t>
  </si>
  <si>
    <t>A man stands in front as the group begins pulling the rope to one side.</t>
  </si>
  <si>
    <t>The people continue pulling until one falls down afterwards.</t>
  </si>
  <si>
    <t>v_N_FbnDY_2j8</t>
  </si>
  <si>
    <t>A person ski on the pent of a hill covered with snow.</t>
  </si>
  <si>
    <t>Then, the person arrives to a flat area where there are four people.</t>
  </si>
  <si>
    <t>v_hXBeu7o9uUM</t>
  </si>
  <si>
    <t>A man is standing in a room holding a large instrument.</t>
  </si>
  <si>
    <t>He begins to play the instrument behind a microphone.</t>
  </si>
  <si>
    <t>A man in a green shirt is talking into a microphone.</t>
  </si>
  <si>
    <t>v_a9ItMklOTyE</t>
  </si>
  <si>
    <t>It looks like this is an arabic language that is being written or something.</t>
  </si>
  <si>
    <t>Then on a field there is men playing a game throwing the ball.</t>
  </si>
  <si>
    <t>Some coaches are walking around with hats to keep the sun out of their eyes.</t>
  </si>
  <si>
    <t>The game looks pretty intense, one man puts all of his might into one of the throws he make.</t>
  </si>
  <si>
    <t>v_Yp-NJgTAOCc</t>
  </si>
  <si>
    <t>The scene comes into focus showing the outside of a building, with some text at the bottom that says it is a school for breakdancing.</t>
  </si>
  <si>
    <t>A man is doing some paperwork while some other men are standing in the background next to a projector screen.</t>
  </si>
  <si>
    <t>A large number of kids inside a gym are practicing breakdancing.</t>
  </si>
  <si>
    <t>The kids are inside a classroom watching a presentation by the man seen earlier.</t>
  </si>
  <si>
    <t>The kids are seen once again inside the gym practicing their breakdancing moves.</t>
  </si>
  <si>
    <t>The screen goes black and a graphic appears on screen showing the company's logo and youtube channel information.</t>
  </si>
  <si>
    <t>v_qlbuekEsXL4</t>
  </si>
  <si>
    <t>A boy on a horse is released from a gate.</t>
  </si>
  <si>
    <t>He ropes a calf, dragging it to the ground.</t>
  </si>
  <si>
    <t>He dismounts, tying the calf with rope before getting back on his horse.</t>
  </si>
  <si>
    <t>v_UAgb3FEjBN8</t>
  </si>
  <si>
    <t>An intro leads into a small child riding a dirt bike on a dirt path.</t>
  </si>
  <si>
    <t>Several shots of the boy grown up are shown followed by more footage of the boy riding a dirt bike.</t>
  </si>
  <si>
    <t>v_iiyYRmc1YiA</t>
  </si>
  <si>
    <t>We see a crowd of people watching an event.</t>
  </si>
  <si>
    <t>The men fiddle with a metal handle.</t>
  </si>
  <si>
    <t>They hold hands in preparation for the match and the judge touches their hands.</t>
  </si>
  <si>
    <t>The men begin their arm wrestling match, and the guy on the right wins.</t>
  </si>
  <si>
    <t>The guys shake hands and hug.</t>
  </si>
  <si>
    <t>We see a shot of one of the contestants.</t>
  </si>
  <si>
    <t>v_517rgTzIobE</t>
  </si>
  <si>
    <t>Two men are playing racket ball in an indoor court.</t>
  </si>
  <si>
    <t>The two men, one in black and the other in a red shirt playing racket ball against each other.</t>
  </si>
  <si>
    <t>The man in black begins the first serve and the man in the red shirt returns his serve.</t>
  </si>
  <si>
    <t>They continue playing racket ball.</t>
  </si>
  <si>
    <t>Then the same players play racket ball on a different occasion wearing black and the other wearing a yellow shirt.</t>
  </si>
  <si>
    <t>They continue serving and hitting the ball against the wall.</t>
  </si>
  <si>
    <t>They play several rounds on the game.</t>
  </si>
  <si>
    <t>They are back again in the red and black shirts playing racket ball.</t>
  </si>
  <si>
    <t>They run to hit and the ball served by the opponent as they continue to play.</t>
  </si>
  <si>
    <t>v_mkF3Rlj3JSs</t>
  </si>
  <si>
    <t>A girl gives tips on how to brush your hair with a round brush.</t>
  </si>
  <si>
    <t>She strokes the hair in front of her, covering her face.</t>
  </si>
  <si>
    <t>She flips her hair up and then finishes what she needs to do.</t>
  </si>
  <si>
    <t>v_t04jE7d0Obw</t>
  </si>
  <si>
    <t>We see a man give a lady a rose.</t>
  </si>
  <si>
    <t>The man and the woman then perform a dance in front of a crowd.</t>
  </si>
  <si>
    <t>35 The man spins the lady making her dress flounce and looks at her chest.</t>
  </si>
  <si>
    <t>The dance repeats over and over again many times.</t>
  </si>
  <si>
    <t>The man bends the woman forward looking at her chest two times and almost puts his hand on her neck.</t>
  </si>
  <si>
    <t>v_bVMxBXeYMr0</t>
  </si>
  <si>
    <t>A black man caresses his beard and face in a loving way.</t>
  </si>
  <si>
    <t>The black man uses a clipper trimmer to trim his beard and face.</t>
  </si>
  <si>
    <t>The black man attaches an orange attachment to the clippers and continues trimming his beard.</t>
  </si>
  <si>
    <t>The black man washes his face and beard and displays an array of accessories and applies them to his face and beard.</t>
  </si>
  <si>
    <t>v_Gr5jGxLEp70</t>
  </si>
  <si>
    <t>A large group of people are seen wandering around a festival with shots of people speaking are shown as well as playing crochet.</t>
  </si>
  <si>
    <t>More people are seen playing the game as several others watch on the sidelines and critique.</t>
  </si>
  <si>
    <t>v_5Bo0gFXxDQk</t>
  </si>
  <si>
    <t>A person wearing a blue shirt is sitting on the floor welding.</t>
  </si>
  <si>
    <t>He is wearing protective gear to cover his face and eyes.</t>
  </si>
  <si>
    <t>He also has protective gloves on that are brown in color.</t>
  </si>
  <si>
    <t>He continues welding a long metal rod with welding tool directed towards the rod.</t>
  </si>
  <si>
    <t>v_s2PFIKG5PYI</t>
  </si>
  <si>
    <t>A large piece of machinery is seen sitting in a room.</t>
  </si>
  <si>
    <t>A robot arm then moves into frame attempting to push things around.</t>
  </si>
  <si>
    <t>The robot fails and pulls it's arm back in.</t>
  </si>
  <si>
    <t>v_iOpoR0UeJNg</t>
  </si>
  <si>
    <t>The scene transitions to various people training in gymnastics.</t>
  </si>
  <si>
    <t>Two women are interviewed on camera sequentially.</t>
  </si>
  <si>
    <t>The scene transitions to more gymnastic practice segments.</t>
  </si>
  <si>
    <t>v_2U_BUV8PLtk</t>
  </si>
  <si>
    <t>A pair of handlebars are detached from the bike and is laying down flat on a table.</t>
  </si>
  <si>
    <t>The man then picks up the handlebars and sticks them back into the bike tightening them with a key.</t>
  </si>
  <si>
    <t>v_toS-_4Ik5us</t>
  </si>
  <si>
    <t>A person is seen dealing cards as well as several shots of a casino table and poker chips being dealt.</t>
  </si>
  <si>
    <t>A band is playing, a person is seen smoking a cigarette, as well as people bartending and speaking to one another.</t>
  </si>
  <si>
    <t>In the end more people are seen enjoying the casino and moving around.</t>
  </si>
  <si>
    <t>v_tbOIyG1RCUI</t>
  </si>
  <si>
    <t>A blindfolded man wearing boxing gloves is seen hitting a punching bag while many watch him on the sides.</t>
  </si>
  <si>
    <t>He continues punching when a person on the roof pulls the bag up higher.</t>
  </si>
  <si>
    <t>v_UIZkQUo8VtA</t>
  </si>
  <si>
    <t>A truck is seen parked in front of a house with several shots of the house shown.</t>
  </si>
  <si>
    <t>A man is then seen standing on the roof hosing down the top and again standing in front of the house watering.</t>
  </si>
  <si>
    <t>The camera shows the truck parked out front again and the final product of the roof.</t>
  </si>
  <si>
    <t>v_8gKV8f3qSOg</t>
  </si>
  <si>
    <t>A woman in a purple dress is seated, speaking to the camera.</t>
  </si>
  <si>
    <t>She is shown massaging cream into her face, then rinsing it off with water and patting dry with a towel.</t>
  </si>
  <si>
    <t>She then speaks to the camera again.</t>
  </si>
  <si>
    <t>v_A-Oz6mBBBZQ</t>
  </si>
  <si>
    <t>Three girls are sitting on the beach, making a mound with sand and water.</t>
  </si>
  <si>
    <t>They use a bowl to form a mold.</t>
  </si>
  <si>
    <t>v_aHzNMe-VKfE</t>
  </si>
  <si>
    <t>A little boy is in the house playing in his shirt and diaper.</t>
  </si>
  <si>
    <t>He has a little hockey stick and he is using it to swing at a rolling back.</t>
  </si>
  <si>
    <t>The ball keeps coming toward him and he keeps swinging trying to hit it.</t>
  </si>
  <si>
    <t>He is having a lot of fun and staying entertained playing inside alone.</t>
  </si>
  <si>
    <t>v_xgIxKDm9M38</t>
  </si>
  <si>
    <t>The man walks out from his house and opens his car door on a snowy day.</t>
  </si>
  <si>
    <t>The man lifts up the windshield wipers of his car.</t>
  </si>
  <si>
    <t>The man uses a house broom to sweep snow off of his car.</t>
  </si>
  <si>
    <t>The dog plays with the owners.</t>
  </si>
  <si>
    <t>The man gets in his car and backs it towards the house into a parking spot.</t>
  </si>
  <si>
    <t>v_vFRSso8WQfY</t>
  </si>
  <si>
    <t>A woman is standing in a kitchen at the island in front of a blender and various ingredients.</t>
  </si>
  <si>
    <t>She places apples and sugar into the blender with ice, and blends them together.</t>
  </si>
  <si>
    <t>She then pours the mixture into two glasses while she continues talking.</t>
  </si>
  <si>
    <t>v_USCVBB97pOc</t>
  </si>
  <si>
    <t>A man has a tool he uses to trim cat claws, he messes around with it a little bit and then he gets up to find his cat.</t>
  </si>
  <si>
    <t>He pets the cat a little bit as to not make it so suspicious and scared.</t>
  </si>
  <si>
    <t>He gets the kitty in a good position and starts feeling for her claws and one by one starts to clip them.</t>
  </si>
  <si>
    <t>Then he moves her the other arms and pets her some more, showing the difference between her clawed and declawed nails.</t>
  </si>
  <si>
    <t>v_MhO48WnApoM</t>
  </si>
  <si>
    <t>There are people standing on a frozen body of water and are looking into a small hole that has a fishing wire in it and they watch it as it bobs up and down.</t>
  </si>
  <si>
    <t>The standing man pulls the pole and wire up higher and the man kneeling on the ice pulls the fish out of the ice water and puts it onto the ice.</t>
  </si>
  <si>
    <t>Another man takes a picture of the fish, the kneeling man unhooks it and the standing man picks it up, holds it by its gills and poses with it.</t>
  </si>
  <si>
    <t>v_LvbM6zv8XVc</t>
  </si>
  <si>
    <t>People are dancing on the beach.</t>
  </si>
  <si>
    <t>A woman is laying down on a red towel.</t>
  </si>
  <si>
    <t>A man is laying on a green towel.</t>
  </si>
  <si>
    <t>Two dogs are next to them on the beach.</t>
  </si>
  <si>
    <t>v_IV5llWEEfAw</t>
  </si>
  <si>
    <t>A sailboat sails through rough waters in the ocean.</t>
  </si>
  <si>
    <t>The skipper is seen manning the steering wheel at the back of the boat.</t>
  </si>
  <si>
    <t>The mast of the ship is seen in full view.</t>
  </si>
  <si>
    <t>v_o00AfbAIOlA</t>
  </si>
  <si>
    <t>The boy is opening the box.</t>
  </si>
  <si>
    <t>He then removes the bike.</t>
  </si>
  <si>
    <t>He is removing the packaging.</t>
  </si>
  <si>
    <t>He is assembling the bike.</t>
  </si>
  <si>
    <t>We see images of the bike.</t>
  </si>
  <si>
    <t>The Subscribe page shows up.</t>
  </si>
  <si>
    <t>v_g6tF83rCXh0</t>
  </si>
  <si>
    <t>A female weight lifter is preparing to lift a barbell.</t>
  </si>
  <si>
    <t>She lifts with her knees, raising the bar to her chest.</t>
  </si>
  <si>
    <t>She then stands, lifting it over her head before dropping the barbell back to the ground.</t>
  </si>
  <si>
    <t>v_okC18bPTils</t>
  </si>
  <si>
    <t>The man is standing above water before he goes scuba diving.</t>
  </si>
  <si>
    <t>He's underwater along with a few other people where there's shells and rocks in the sand.</t>
  </si>
  <si>
    <t>There is also wooden logs and small lobsters crawling around.</t>
  </si>
  <si>
    <t>v_JBnL0T2XzGs</t>
  </si>
  <si>
    <t>A group is playing ice hockey for fun in an indoor rink as a man speaks to the camera.</t>
  </si>
  <si>
    <t>Two women sweep, fighting over the puck, as a woman talks to the camera.</t>
  </si>
  <si>
    <t>v_FGKdmKX1z64</t>
  </si>
  <si>
    <t>A man is seen speaking to the camera wearing a microphone and begins wiping down a window.</t>
  </si>
  <si>
    <t>He uses several tools and objects to clean the glass and continues wiping down while looking at the camera.</t>
  </si>
  <si>
    <t>v_8EyYHnijfnI</t>
  </si>
  <si>
    <t>A woman sits in a chair.</t>
  </si>
  <si>
    <t>Another woman puts something up her nose.</t>
  </si>
  <si>
    <t>She then pierces it with a needle.</t>
  </si>
  <si>
    <t>She puts a piece of jewelry on it next.</t>
  </si>
  <si>
    <t>v_yjd9UOJdes8</t>
  </si>
  <si>
    <t>A girl is shown speaking to the camera as well as dancing and then is seen playing the violin.</t>
  </si>
  <si>
    <t>She plays the instrument while dancing at the same time and ends with her speaking to the camera.</t>
  </si>
  <si>
    <t>v_pULb9WvZwU4</t>
  </si>
  <si>
    <t>Multiple men are loaded onto a crane boom bucket.</t>
  </si>
  <si>
    <t>When three men are safely aboard, the crane begins to lift them up in the air slowly.</t>
  </si>
  <si>
    <t>Once they reach the top of the crane, the view switches and they can be seen looking over the landscape.</t>
  </si>
  <si>
    <t>The man that is preparing to bungee jump is at the edge of the boom looking around nervously.</t>
  </si>
  <si>
    <t>One at a time the men jump out of the boom and hang above a small body of water.</t>
  </si>
  <si>
    <t>There certificate of accomplishment ends the video.</t>
  </si>
  <si>
    <t>v_DPsa28MmdoI</t>
  </si>
  <si>
    <t>The words "The Shotover River In Flood" appear on screen.</t>
  </si>
  <si>
    <t>First person video shows a raft full of people heading down and extremely rough river in-between rocky cliffs.</t>
  </si>
  <si>
    <t>The words "Big thanks to River Guide J-Rod" appear on screen.</t>
  </si>
  <si>
    <t>v_JqFFXs0RAnI</t>
  </si>
  <si>
    <t>A person competes solving a cube puzzle behind a chronometer, while a woman takes notes and watch the person.</t>
  </si>
  <si>
    <t>The person solves the puzzle, then he stands, raise his arms and walk.</t>
  </si>
  <si>
    <t>The person shake hands with people in the room.</t>
  </si>
  <si>
    <t>Suddenly, the person runs making thumps up and pose for a picture.</t>
  </si>
  <si>
    <t>v_eypKc4FyZ2s</t>
  </si>
  <si>
    <t>A boy with a gardening pot is watering her bush outside in the yard.</t>
  </si>
  <si>
    <t>He and another boy get together and the other boy begins to start playing croquet while he talks.</t>
  </si>
  <si>
    <t>Another taller boy comes and joins them and talks about the game.</t>
  </si>
  <si>
    <t>Then, They start to hit balls rying to make it through the obstacles.</t>
  </si>
  <si>
    <t>v_ReOsTqcQBmY</t>
  </si>
  <si>
    <t>Three people are jumping rope and doing tricks.</t>
  </si>
  <si>
    <t>Other people sit and stand at tables in the background and watch or film the jump ropers.</t>
  </si>
  <si>
    <t>Four different people are now jumping rope and doing tricks.</t>
  </si>
  <si>
    <t>Another group of three people shows off their jump rope skills.</t>
  </si>
  <si>
    <t>Another group of three in red shorts jumps rope.</t>
  </si>
  <si>
    <t>People in the background walk around.</t>
  </si>
  <si>
    <t>A group of four girls jump rope.</t>
  </si>
  <si>
    <t>The first group of people jumps rope with a fourth person.</t>
  </si>
  <si>
    <t>A different group of four in red and black jump rope.</t>
  </si>
  <si>
    <t>A different team of jump ropers watches in the background.</t>
  </si>
  <si>
    <t>A team of four in black and yellow jump rope.</t>
  </si>
  <si>
    <t>v_IKeV3kdX-_I</t>
  </si>
  <si>
    <t>A cowboy in a horse ran towards the field and chase a cattle.</t>
  </si>
  <si>
    <t>The cowboy got off the horse and chase after the cattle, when he catched the cattle he tied the cattle.</t>
  </si>
  <si>
    <t>v_G7zChU3ma0M</t>
  </si>
  <si>
    <t>A man is standing in front of a lane with his legs spread apart, and then another man goes to roll a bowling ball between his legs and he does so, but he accidentally hits his fist into the man's private parts and they both begin to laugh.</t>
  </si>
  <si>
    <t>A blue screen appears and text on the screen appears and say's "Bowling Fails FailCorporation".</t>
  </si>
  <si>
    <t>Various clips of various different people falling while trying to roll the ball, laughing, and even accidentally throwing the ball into the ceiling plays.</t>
  </si>
  <si>
    <t>A blue screen appears with logos, and text that say "FailCorporation Subscribe Next video" appear.</t>
  </si>
  <si>
    <t>v_jCVi9xt3GUY</t>
  </si>
  <si>
    <t>A woman is washing dishes with soap and a scrub in her kitchen sink.</t>
  </si>
  <si>
    <t>She takes the scrub that is soaked in liquid soap and scrubs it on the bowl to thoroughly clean it.</t>
  </si>
  <si>
    <t>She places the plates and bowls on top of each other in the sink as she washes them.</t>
  </si>
  <si>
    <t>v_UCOn2HkJJt8</t>
  </si>
  <si>
    <t>A man rides a four wheeler in a field.</t>
  </si>
  <si>
    <t>The man stands up on the four wheeler and hits his break lights to inspect a target.</t>
  </si>
  <si>
    <t>A man holding a bow and arrow is talking and demonstrating features on the bow he's holding.</t>
  </si>
  <si>
    <t>A website scrolls across the screen while the man fires the bow at a target.</t>
  </si>
  <si>
    <t>The camera then zooms in on the target.</t>
  </si>
  <si>
    <t>The website scrolls across the screen again and the man fires three more arrows.</t>
  </si>
  <si>
    <t>The screen changes to gray and the man shows the brand of bow is a Bowtech.</t>
  </si>
  <si>
    <t>v_RztM-NVwV5o</t>
  </si>
  <si>
    <t>woman is in studio talking in the news holding a paintball gun and shot a wall.</t>
  </si>
  <si>
    <t>a man and a woman are in a field doing shots and playing with the small pain balls.</t>
  </si>
  <si>
    <t>they recharge the guns and are playing in a green backyard paintball practicing shots and wearing masks.</t>
  </si>
  <si>
    <t>v_bnItfkwBogY</t>
  </si>
  <si>
    <t>A woman performs a dance routine with a hoop on a stage.</t>
  </si>
  <si>
    <t>The woman performs the routine with two hoops.</t>
  </si>
  <si>
    <t>The woman returns to performing with one hoop.</t>
  </si>
  <si>
    <t>v__sgg_QEjcEE</t>
  </si>
  <si>
    <t>A black screen appears with red and white letters on it that say "DISCUS THROW Example of CORRECTION of a DELIVERY PROBLEM for a beginner".</t>
  </si>
  <si>
    <t>A young lady is now standing on a concrete circle and she begins swinging her red discus, then swings her body and then throws it.</t>
  </si>
  <si>
    <t>A black screen appears with white letters that say "Out of several faults we select ONE problem", and the video continues to show the problem and words appear on the screen to explain them.</t>
  </si>
  <si>
    <t>The same young lady is now standing in a different area holding a hand towel as she practices her swings and words on the screen give tips.</t>
  </si>
  <si>
    <t>The girl is back on the concrete circle swinging her disc and she then throws the disc.</t>
  </si>
  <si>
    <t>A black screen appears again with red and white words that say "OTHER SIMILAR EXERCISES ON THE SAME IDEA: FOCUS ON THE LOW POINT OF THE IMPLEMENT TRAJECTORY.</t>
  </si>
  <si>
    <t>A boy is now standing on the concrete circle and he's practicing his swings with a shirt.</t>
  </si>
  <si>
    <t>A man is now indoors and he's practicing his swings with a golf club.</t>
  </si>
  <si>
    <t>The outro screen is mainly white with a black design on it and the name of the company and a person.</t>
  </si>
  <si>
    <t>v_o8PA6XW32oI</t>
  </si>
  <si>
    <t>a person begins to solve a rubix cube.</t>
  </si>
  <si>
    <t>They start turning it in all directions.</t>
  </si>
  <si>
    <t>They have solved the rubix cube.</t>
  </si>
  <si>
    <t>v_M0ygYlmTHy4</t>
  </si>
  <si>
    <t>A group of people play water volleyball in an outdoor pool.</t>
  </si>
  <si>
    <t>The people begin to play competitively with volleyball in the water.</t>
  </si>
  <si>
    <t>the camera changes angle and catches the people playing from behind with the net between the people and the camera.</t>
  </si>
  <si>
    <t>v_U-mwyUsNOMU</t>
  </si>
  <si>
    <t>A person is seen kneeling down next to a hole of ice and reeling in a fish.</t>
  </si>
  <si>
    <t>The person continues reeling in on the rod while the camera zooms in on the hole.</t>
  </si>
  <si>
    <t>Finally the person grabs the fish and presents it to the camera.</t>
  </si>
  <si>
    <t>v_hW25ecQ1GUc</t>
  </si>
  <si>
    <t>A close up of a chair is seen followed by a woman walking into frame.</t>
  </si>
  <si>
    <t>The woman sits in the chair and begins putting a pair of shoes on.</t>
  </si>
  <si>
    <t>She puts both on and stands up to move her feet around.</t>
  </si>
  <si>
    <t>v_6WlnhNQOWFA</t>
  </si>
  <si>
    <t>A man is seen standing before a game of hopscotch drawn out and begins jumping down the path while others follow.</t>
  </si>
  <si>
    <t>The camera continues to follow the man as he jumps down the path and captures several others doing the same as well.</t>
  </si>
  <si>
    <t>v_TPqgLJpxyvY</t>
  </si>
  <si>
    <t>A person rolls over in bed and looks at their phone.</t>
  </si>
  <si>
    <t>They sit up on their bed and rub their face.</t>
  </si>
  <si>
    <t>They wash their hands and face.</t>
  </si>
  <si>
    <t>They start rollerblading and doing tricks.</t>
  </si>
  <si>
    <t>v_g1lqpONbOKY</t>
  </si>
  <si>
    <t>We see a girl gymnast on a balance beam performing.</t>
  </si>
  <si>
    <t>The girl prepares to do a flip and falls on the bar and hurts herself.</t>
  </si>
  <si>
    <t>The girl stands crying and a lady comes to help her.</t>
  </si>
  <si>
    <t>v_aSPPD0fDI3g</t>
  </si>
  <si>
    <t>Make up is shown on a table.</t>
  </si>
  <si>
    <t>A woman sits on her bed and applies makeup to her face.</t>
  </si>
  <si>
    <t>She uses a large brush to apply powder to her face.</t>
  </si>
  <si>
    <t>She puts a backpack on and walks out the door.</t>
  </si>
  <si>
    <t>v_UvIS1-hwgaQ</t>
  </si>
  <si>
    <t>A man approaches a large mountain, with friends, and climbs it while attached to a green rope until he reaches the top.</t>
  </si>
  <si>
    <t>A group of young people approach the base of a mountain and set down their things where they smile and prepare to climb the mountain.</t>
  </si>
  <si>
    <t>A long green rope is shown on a large rock after which a man in glasses begins to climb a mountain using metal hooks in the mountain and his feet to climb the mountain.</t>
  </si>
  <si>
    <t>The man smiles and gives the camera a thumbs up when he gets to the top of the mountain.</t>
  </si>
  <si>
    <t>v_Z_lah8-xYx8</t>
  </si>
  <si>
    <t>A man and woman walk out onto the pier of a boat.</t>
  </si>
  <si>
    <t>They are playing a sweeping game.</t>
  </si>
  <si>
    <t>The woman pushes the puck, which slides into the camera.</t>
  </si>
  <si>
    <t>The scene is repeated in slow motion.</t>
  </si>
  <si>
    <t>v_RmTDHszp1v0</t>
  </si>
  <si>
    <t>A man in a white shirt is standing next to parallel bars.</t>
  </si>
  <si>
    <t>A boy jumps onto the parallel bars and starts swinging back and forth.</t>
  </si>
  <si>
    <t>The boy starts doing a routine on the parallel bars.</t>
  </si>
  <si>
    <t>v_zNMLz9GIQLk</t>
  </si>
  <si>
    <t>A man is seen using a wet rag on a window and moving the cleaner all around the glass.</t>
  </si>
  <si>
    <t>He continuously dips the object in cleaner and cleans all around the glass while using a rag close behind.</t>
  </si>
  <si>
    <t>v_v8jzbjQqNhE</t>
  </si>
  <si>
    <t>A man holding his kayak talk to the camera.</t>
  </si>
  <si>
    <t>He is in his kayak paddling downstream.</t>
  </si>
  <si>
    <t>Another rower passes him and does a flip.</t>
  </si>
  <si>
    <t>He talks to the camera again.</t>
  </si>
  <si>
    <t>We see the parking lot off camera.</t>
  </si>
  <si>
    <t>Back in the water passing a waterfall.</t>
  </si>
  <si>
    <t>Talking head to camera again.</t>
  </si>
  <si>
    <t>Point of view shots from his kayak.</t>
  </si>
  <si>
    <t>Talking head as he very animatedly talks to the camera.</t>
  </si>
  <si>
    <t>Point of view from the boat following another rower.</t>
  </si>
  <si>
    <t>Talking head interspersed with shots from the water illustrating the technques he talks about in his talking head shots.</t>
  </si>
  <si>
    <t>v_Yh9eGll8fYQ</t>
  </si>
  <si>
    <t>Two people are seen speaking to one another and leads into a man standing on the edge and jumping.</t>
  </si>
  <si>
    <t>The man's jump is shown several times from different camera as he jumps off the side and back up again.</t>
  </si>
  <si>
    <t>v_l7nsRRyzD4k</t>
  </si>
  <si>
    <t>A group of people is building sand castles on the beach.</t>
  </si>
  <si>
    <t>A girl waves to the camera.</t>
  </si>
  <si>
    <t>A man is seen digging in the sand.</t>
  </si>
  <si>
    <t>A girl is seen looking through a beach bag.</t>
  </si>
  <si>
    <t>The girl finds what she is looking for.</t>
  </si>
  <si>
    <t>v_bTE3HEy_kVk</t>
  </si>
  <si>
    <t>We see two roof images side by side.</t>
  </si>
  <si>
    <t>We then see images of one roof.</t>
  </si>
  <si>
    <t>We see the roof up close and see moss growing on it.</t>
  </si>
  <si>
    <t>we see the insulation and the roof as it is being installed.</t>
  </si>
  <si>
    <t>A man is screwing the roof into place.</t>
  </si>
  <si>
    <t>We see the finished new roof.</t>
  </si>
  <si>
    <t>We see the ending screen credits.</t>
  </si>
  <si>
    <t>v_XSDIekFXkv0</t>
  </si>
  <si>
    <t>A person stands on his hands on a trampoline above a swimming pool, then the boy flips in the air and dives into the water.</t>
  </si>
  <si>
    <t>After, the boy stands on the trampoline with the back facing the pool, then jumps, flips and dive in the water.</t>
  </si>
  <si>
    <t>Now, the boy stands on the trampoline facing the pool, then jumps, flips and dive in the water, then do the same but this time with the back facing the pool.</t>
  </si>
  <si>
    <t>At the end, the boy enters the trampoline running and flip in the air, then he stands on the trampoline and flips and end diving in the water.</t>
  </si>
  <si>
    <t>v_7rd23-3wEyU</t>
  </si>
  <si>
    <t>A man is seen speaking to the camera while leading into various pictures of speaking as well as smoking.</t>
  </si>
  <si>
    <t>The man continues speaking while showing pictures intermittently of smoking and cigarettes close up.</t>
  </si>
  <si>
    <t>v_rzomS2gZGQ4</t>
  </si>
  <si>
    <t>A man stands by his ice ridden car.</t>
  </si>
  <si>
    <t>He rakes the entire sheet onto the ground, watching it shatter.</t>
  </si>
  <si>
    <t>v_YIb8sArOPww</t>
  </si>
  <si>
    <t>A gymnast performs a balance beam gymnastic routine in a professional sports event with an audience in the bleachers.</t>
  </si>
  <si>
    <t>A girl stands in front of a balance beam in a gymnast outfit and jumps on the beam where she begins to execute a gymnastic routine on the balance beam.</t>
  </si>
  <si>
    <t>The girl stands on the beam and performs back flips on the beam before landing one final back flip off of the beam where she lands on a mat and exits the area in front of an audience in bleachers.</t>
  </si>
  <si>
    <t>v_zyPisOj2Tdo</t>
  </si>
  <si>
    <t>A woman peforms before a court on a basketball gym.</t>
  </si>
  <si>
    <t>She is a majorette, flipping and throwing her baton into the air.</t>
  </si>
  <si>
    <t>The crowd watches as she flips, throws, and turns.</t>
  </si>
  <si>
    <t>v_jMQgOcM9vZA</t>
  </si>
  <si>
    <t>Multiple short clips play of different hockey moves and the names of the moves appear on the screen with it.</t>
  </si>
  <si>
    <t>When the clips are done in intro screen appears with a cloud and the hockey ground as backdrop, the NHL logo and the words "HOCKEY SKILLS".</t>
  </si>
  <si>
    <t>A group of people wearing all of their hockey gear are standing or kneeling on the ground while the look at a man who is standing and talking without a helmet on his head and the words on the screen say his name is "KEVIN WEEKES".</t>
  </si>
  <si>
    <t>The man begins to demonstrate multiple different moves near the goal and he continues to talk throughout all of the demonstrations as the rest of the people watch him.</t>
  </si>
  <si>
    <t>When the man is done talking and demonstrating other people in the group go up to the goal separately and they each do what they man was demonstrating.</t>
  </si>
  <si>
    <t>A screen appears with a backdrop of clouds on top and hockey rink at the bottom with the logo in the middle and the words "HOCKEY SKILLS".</t>
  </si>
  <si>
    <t>v_SaBcTNvRA6g</t>
  </si>
  <si>
    <t>A woman is seen showing off a glass of honey.</t>
  </si>
  <si>
    <t>She shows off the bottle of honey as well as a bowl of water and a towel.</t>
  </si>
  <si>
    <t>She shows her hair pulled back.</t>
  </si>
  <si>
    <t>She opens the bottle of honey and lathers it all over her face.</t>
  </si>
  <si>
    <t>She holds up a cat.</t>
  </si>
  <si>
    <t>She returns to lathering her face and waits in anticipation.</t>
  </si>
  <si>
    <t>While she waits, she plays some instruments and with her cat.</t>
  </si>
  <si>
    <t>Finally, she rinses her face with water and dries her face off with a towel.</t>
  </si>
  <si>
    <t>She proudly shows off her bottle of honey.</t>
  </si>
  <si>
    <t>v_V5MvrOzQWZo</t>
  </si>
  <si>
    <t>A gymnast is standing near a bar with her hands in the air.</t>
  </si>
  <si>
    <t>The girl gets on the bar and performs.</t>
  </si>
  <si>
    <t>The girl flips on the bar.</t>
  </si>
  <si>
    <t>The girl performs 2 flips and almost falls off the bar.</t>
  </si>
  <si>
    <t>The girl does 2 perfect flips.</t>
  </si>
  <si>
    <t>The girls flips, then runs, flips and dismounts.</t>
  </si>
  <si>
    <t>The cloud claps as she walks away.</t>
  </si>
  <si>
    <t>v_EwzkySgI6CQ</t>
  </si>
  <si>
    <t>A blonde woman is lying on a table as a tattoo artist is putting a design on her pelvis.</t>
  </si>
  <si>
    <t>She cringes in pain as he works.</t>
  </si>
  <si>
    <t>We see a temporary close up of her heaving abdomen as he continues.</t>
  </si>
  <si>
    <t>v_g_KbloQigw8</t>
  </si>
  <si>
    <t>Text is shown across the screen followed by a man kneeling down in dirt.</t>
  </si>
  <si>
    <t>The man using a torch to light a spark on the machine in front of him.</t>
  </si>
  <si>
    <t>He stops to look back at the camera.</t>
  </si>
  <si>
    <t>v_p6ea3QpXryw</t>
  </si>
  <si>
    <t>A dart board is shown against a wall.</t>
  </si>
  <si>
    <t>A man lifts his arm in slow motion, throwing darts one after another at the board.</t>
  </si>
  <si>
    <t>He walks up to the board and reaches for it.</t>
  </si>
  <si>
    <t>v_P-ENnGQ_FuU</t>
  </si>
  <si>
    <t>A red car is shown with the words Unique Car Wash.</t>
  </si>
  <si>
    <t>Men are shown inside a car garage, soaping down a car with a sponge.</t>
  </si>
  <si>
    <t>They are then seen using a sprayer to clean the tires and spray the residue off the vehicle.</t>
  </si>
  <si>
    <t>They use rags to wipe it clean and detail the inside of the car.</t>
  </si>
  <si>
    <t>v_jto8_gMKUjE</t>
  </si>
  <si>
    <t>The Pinta rowing team works together to make it down the whitewater.</t>
  </si>
  <si>
    <t>They have a refreshing dip under a waterfall to cool off.</t>
  </si>
  <si>
    <t>They pose together with other rafters.</t>
  </si>
  <si>
    <t>Falling underwater can be a scary undertaking.</t>
  </si>
  <si>
    <t>All in all it is a fun and relaxing time.</t>
  </si>
  <si>
    <t>v_MiTTWddOuaM</t>
  </si>
  <si>
    <t>Two men walk in the street holding a box, then they assemble a soccer table.</t>
  </si>
  <si>
    <t>People plays soccer table in the street.</t>
  </si>
  <si>
    <t>After, the men carry the table and enters a train where they continue playing.</t>
  </si>
  <si>
    <t>After the man carry the soccer table to a park and other places where people play and paint it.</t>
  </si>
  <si>
    <t>v_mW9iDH07j40</t>
  </si>
  <si>
    <t>A woman is seen putting on a jacket followed by her cutting parts of the vest off and holding up an iron.</t>
  </si>
  <si>
    <t>She then irons the shirts and finishes by putting the vest on.</t>
  </si>
  <si>
    <t>v_19fGZFUE7yE</t>
  </si>
  <si>
    <t>A man in a black tuxedo is speaking to the camera.</t>
  </si>
  <si>
    <t>A person walks by in the background.</t>
  </si>
  <si>
    <t>A group of people walk by in the background.</t>
  </si>
  <si>
    <t>We see a game of poker being played.</t>
  </si>
  <si>
    <t>An odd man appears in front of the camera.</t>
  </si>
  <si>
    <t>We see the first man, then cards being dealt and we fade to a black screen.</t>
  </si>
  <si>
    <t>v_KBfCXpgGhdw</t>
  </si>
  <si>
    <t>a lot of people are sitting on terraces in a big field and people is walking in the entrance of a big stadium.</t>
  </si>
  <si>
    <t>men are standing on a sandy area walking.</t>
  </si>
  <si>
    <t>man are talking to the camera standing on the sand.</t>
  </si>
  <si>
    <t>men are standing on motorbikes getting ready for a motocross competition.</t>
  </si>
  <si>
    <t>man is talking to the camera and standing on a podium.</t>
  </si>
  <si>
    <t>v_huo2ldsQHUI</t>
  </si>
  <si>
    <t>A bunch of people are inside a dimly lit gym.</t>
  </si>
  <si>
    <t>They are riding recumbent bikes while being led.</t>
  </si>
  <si>
    <t>They clap their hands and pedal quickly.</t>
  </si>
  <si>
    <t>v_ibDWgL2D2l4</t>
  </si>
  <si>
    <t>A young child is seen holding a stick and hitting the pinata with the stick.</t>
  </si>
  <si>
    <t>Older women the bring hr back and have her hand the stick to another child.</t>
  </si>
  <si>
    <t>v_JW5P5FdOrcw</t>
  </si>
  <si>
    <t>A woman is standing up talking and holding a blue mop.</t>
  </si>
  <si>
    <t>She is showing the bottom of the mop.</t>
  </si>
  <si>
    <t>A bottle of vinegar is shown on a table next to alcohol and soap.</t>
  </si>
  <si>
    <t>She begins mopping the hardwood floor.</t>
  </si>
  <si>
    <t>A dog is laying down on a bed.</t>
  </si>
  <si>
    <t>v_5AoshxUQv0U</t>
  </si>
  <si>
    <t>A man in a blue shirt picks up a child.</t>
  </si>
  <si>
    <t>He lifts him up to sit on his shoulder.</t>
  </si>
  <si>
    <t>He throws the kid on his back onto a bed.</t>
  </si>
  <si>
    <t>v_zLVNSgR4IoA</t>
  </si>
  <si>
    <t>The man is jumped to the two white poles and stand on his arms.</t>
  </si>
  <si>
    <t>The man in red shirt outside the court is watching the athlete as he swing on the pole.</t>
  </si>
  <si>
    <t>The athlete swing and then jumped of the pole and swing up and the air and landed on the mat.</t>
  </si>
  <si>
    <t>v_-h3NbdE8N9M</t>
  </si>
  <si>
    <t>A team is on a field, trying to get the ball from their opponents.</t>
  </si>
  <si>
    <t>They are playing a game of lacrosse.</t>
  </si>
  <si>
    <t>They fight over the ball, trying to get it into a goal.</t>
  </si>
  <si>
    <t>v_cudeag10U7Q</t>
  </si>
  <si>
    <t>A woman is riding a bike down the street, then others are shown as well.</t>
  </si>
  <si>
    <t>The people speak to the camera in between takes of riding their bikes on city roads.</t>
  </si>
  <si>
    <t>The bike is called an elliptico, enabling them to stand and pedal as they ride.</t>
  </si>
  <si>
    <t>v_R7vb6cuP6GE</t>
  </si>
  <si>
    <t>A person is seen speaking to the camera while holding a snowboard and leads into him riding down a snowy hill.</t>
  </si>
  <si>
    <t>The man continues riding the snowboard down the hill and ends with him stopping at the bottom.</t>
  </si>
  <si>
    <t>v_7VWp-Dfvqkg</t>
  </si>
  <si>
    <t>A man is seen speaking into a microphone with another man on stage.</t>
  </si>
  <si>
    <t>One man then leads into playing harmonica on the stage while others watch on the side.</t>
  </si>
  <si>
    <t>The man continues playing while others walk in and out of frame as well as play.</t>
  </si>
  <si>
    <t>v_dla6qDuAXTw</t>
  </si>
  <si>
    <t>An older man is shown standing behind a swing set while pushing a small girl back and fourth.</t>
  </si>
  <si>
    <t>He grabs and holds the girl and gives her several pushes while the girl sticks her head back and smiles.</t>
  </si>
  <si>
    <t>v_TgantuXBiJg</t>
  </si>
  <si>
    <t>A young girl is seen putting makeup on outside while other people on the side watch and also play with makeup.</t>
  </si>
  <si>
    <t>The girls continue to attempt to put makeup on as the camera pans back and fourth between the two.</t>
  </si>
  <si>
    <t>v_Ggw7rtn3J-8</t>
  </si>
  <si>
    <t>A commercial exhibits a varied array of welding equipment and demonstrates how to weld using the equipment.</t>
  </si>
  <si>
    <t>A welding helmet, clamps,welding kit and gloves are shown in line on a white background.</t>
  </si>
  <si>
    <t>A person begins to use the welding tools to weld inside of a car producing fire sparks as the welding takes place.</t>
  </si>
  <si>
    <t>a closeup of the welded area is shown before a marketing template presents across the screen.</t>
  </si>
  <si>
    <t>v_R6INcHHxlNs</t>
  </si>
  <si>
    <t>A person is seen shirtless standing in a kitchen and holding a mop.</t>
  </si>
  <si>
    <t>The man looks back and laughs to the camera while holding the mop.</t>
  </si>
  <si>
    <t>He continues to laugh and dance around while pushing the mop around.</t>
  </si>
  <si>
    <t>v_xTEXsZO-PVI</t>
  </si>
  <si>
    <t>A small sail boat with two men in it is pulling a water skier behind it.</t>
  </si>
  <si>
    <t>A wind surfer goes by.</t>
  </si>
  <si>
    <t>A man in the sail boat leans back to pull on the sail in the boat.</t>
  </si>
  <si>
    <t>Another wind surfer goes by.</t>
  </si>
  <si>
    <t>v_xAaHXwTz1Ug</t>
  </si>
  <si>
    <t>A kite is flying in the sky.</t>
  </si>
  <si>
    <t>A little girl is holding the string of the kite.</t>
  </si>
  <si>
    <t>She's walking backwards and talking to someone while watching the kite.</t>
  </si>
  <si>
    <t>v_P7lUYSLtErY</t>
  </si>
  <si>
    <t>A man is in a dance room that has mirrors along the walls, wooden floors, and he's dancing alone.</t>
  </si>
  <si>
    <t>There is a woman that is standing in the corner and recording him the whole time.</t>
  </si>
  <si>
    <t>When he moves more to the other side of the room as he's dancing, more people watching and recording him are revealed.</t>
  </si>
  <si>
    <t>The man does he last dance move, smiles, takes a few steps and then takes a bow.</t>
  </si>
  <si>
    <t>v_cNCkHqOnJV0</t>
  </si>
  <si>
    <t>The sky is shown that leads into a man speaking to the camera with his friend.</t>
  </si>
  <si>
    <t>Several people are then seen sitting in tubes riding down a river past one another.</t>
  </si>
  <si>
    <t>The people continuing riding down the river through tunnels and paths while the man still speaks to the camera.</t>
  </si>
  <si>
    <t>v_F4GwrEQUvDc</t>
  </si>
  <si>
    <t>An athlete runs with a stick, then he shoot the javelin and walks away in a stadium.</t>
  </si>
  <si>
    <t>Then, a man holds a javelin and runs to throw the javelin, then another athlete also shoot the javelin.</t>
  </si>
  <si>
    <t>v_lhdro5SnxU0</t>
  </si>
  <si>
    <t>A man is sitting on the stairs talking.</t>
  </si>
  <si>
    <t>He is standing over a sink.</t>
  </si>
  <si>
    <t>He sprays the sink with a cleaning agent.</t>
  </si>
  <si>
    <t>He takes a sponge and scrubs the inside of the sinks.</t>
  </si>
  <si>
    <t>He turns the water on and sprays the hose around the sink.</t>
  </si>
  <si>
    <t>He wipes the sink off with a towel.</t>
  </si>
  <si>
    <t>The man is sitting on the stairs again.</t>
  </si>
  <si>
    <t>v_SqfB4ohs2Ro</t>
  </si>
  <si>
    <t>We see an opening screen a map and still images.</t>
  </si>
  <si>
    <t>Men hammering roof tiles on a panel of roof inside.</t>
  </si>
  <si>
    <t>We see a man tap a hook into the wood.</t>
  </si>
  <si>
    <t>We see a title screen again.</t>
  </si>
  <si>
    <t>We see the men working on roofs.</t>
  </si>
  <si>
    <t>We see two screens with men working on roofs side by side.</t>
  </si>
  <si>
    <t>We see the ending title screens.</t>
  </si>
  <si>
    <t>v_IsVpeZoK5FI</t>
  </si>
  <si>
    <t>A large group of people are seen exercising in a class together with a man leading them in front.</t>
  </si>
  <si>
    <t>The group continues to move around together over a bar and ends with text across the screen.</t>
  </si>
  <si>
    <t>v_CbfgZlo0Ut4</t>
  </si>
  <si>
    <t>A man talks inside a car dealer.</t>
  </si>
  <si>
    <t>After, a car exits a car wash.</t>
  </si>
  <si>
    <t>A crew of people clean a car by hand.</t>
  </si>
  <si>
    <t>v_ggNmtMAdqe0</t>
  </si>
  <si>
    <t>A man welds a section of a steel beam in a workshop.</t>
  </si>
  <si>
    <t>The tip of the welding gun is adjusted using pliers.</t>
  </si>
  <si>
    <t>The man marks and measures pieces of plate metal in between making welds on it.</t>
  </si>
  <si>
    <t>The man demonstrates the angle to make a weld on the piece of plate metal.</t>
  </si>
  <si>
    <t>v_fVtiM88rOJI</t>
  </si>
  <si>
    <t>A telescopic view of multiple people dressed in biking gear is shown.</t>
  </si>
  <si>
    <t>The crowd spreads out, walking around with guns in hand.</t>
  </si>
  <si>
    <t>They aim at various objects.</t>
  </si>
  <si>
    <t>The men hide behind a wall, shooting at each other as they run by.</t>
  </si>
  <si>
    <t>v__1JGrGGCY9k</t>
  </si>
  <si>
    <t>A large group of people are seen wandering around a dance studio with a man in front.</t>
  </si>
  <si>
    <t>The man then begins to lead a dance class in front of the group of people.</t>
  </si>
  <si>
    <t>The people continue dancing around following the man and moving their arms and legs around.</t>
  </si>
  <si>
    <t>v_SID0y9y6Uk4</t>
  </si>
  <si>
    <t>Two men prepare for a fencing match.</t>
  </si>
  <si>
    <t>The video shows several highlights of people fencing each other in various matches.</t>
  </si>
  <si>
    <t>Some win the matches quite quickly.</t>
  </si>
  <si>
    <t>Two men constantly go back and fourth towards each other.</t>
  </si>
  <si>
    <t>The man wins over and over again.</t>
  </si>
  <si>
    <t>He is shown practicing for his upcoming matches against another.</t>
  </si>
  <si>
    <t>He seems to win over and over again.</t>
  </si>
  <si>
    <t>v_IaRYt0J7pHI</t>
  </si>
  <si>
    <t>people are standing in a hair salon sitting on chairs.</t>
  </si>
  <si>
    <t>woman is standing behind anoter drying her hair combing it and talking to the camera.</t>
  </si>
  <si>
    <t>woman is sitting on a chair while woman behind her is drying her hair.</t>
  </si>
  <si>
    <t>v_hWZ3B28_fAs</t>
  </si>
  <si>
    <t>The leads into a man playing a long guitar in front of a home while moving his fingers up and down.</t>
  </si>
  <si>
    <t>The man continues playing and the video leads out to text above his head.</t>
  </si>
  <si>
    <t>v_aR05GUXDiYg</t>
  </si>
  <si>
    <t>A male player in yellow and black shirt is carrying a small kid who is wearing the same shirt while they are being interviewed by the reporter who is wearing white shirt and holding a microphone.</t>
  </si>
  <si>
    <t>Different teams in different uniform colors are playing soccer in the table.</t>
  </si>
  <si>
    <t>v_MERZe5qdfWc</t>
  </si>
  <si>
    <t>Various shots of a snowy mountain are shown as well as a person riding up a hill.</t>
  </si>
  <si>
    <t>The person looks to others around him and is seen riding down mountain.</t>
  </si>
  <si>
    <t>The person rides down several times more with people attached on the sides.</t>
  </si>
  <si>
    <t>v_I58i4uJkHJ0</t>
  </si>
  <si>
    <t>A female Russian gymnast is on a mat in front of a large arena with several people watching her.</t>
  </si>
  <si>
    <t>The girl then starts doing a series of cartwheels and ends up jumping on the balance beam to do her routine.</t>
  </si>
  <si>
    <t>Once she is done,the girl ends doing several tricks and walks off to the side.</t>
  </si>
  <si>
    <t>People begin to cheer for her and her replay is shown,and her score of approximately 28 is shown across the bottom of the screen.</t>
  </si>
  <si>
    <t>v_EO9ZKeBSGSw</t>
  </si>
  <si>
    <t>A girl in a baseball uniform is standing at the end of a hopscotch game.</t>
  </si>
  <si>
    <t>A girl in a red shirt is playing hopscotch.</t>
  </si>
  <si>
    <t>A ball player is playing hopscotch.</t>
  </si>
  <si>
    <t>The girls laugh at each other.</t>
  </si>
  <si>
    <t>v_D-BRqQhL74Q</t>
  </si>
  <si>
    <t>Three girls are seen holding a rope with one walking away and two playing tug of war.</t>
  </si>
  <si>
    <t>Two girls switch places and the final two compete against one another playing tug of war back and fourth.</t>
  </si>
  <si>
    <t>v_Fhk2t6beztU</t>
  </si>
  <si>
    <t>A girl is seen rollerblading down a long road with several people walking around her.</t>
  </si>
  <si>
    <t>The camera zooms in on her face and shows all the people around the area followed by the cameraman's feet.</t>
  </si>
  <si>
    <t>v_8GJWokVCzUM</t>
  </si>
  <si>
    <t>This man is wearing a red tank top, black shorts, and shoes.</t>
  </si>
  <si>
    <t>He runs on the race track and the he does the triple jump in which he almost makes it to the end.</t>
  </si>
  <si>
    <t>v_JH-Q5JNTgwE</t>
  </si>
  <si>
    <t>A camera pans around a city and leads into several clips of people playing in a casino.</t>
  </si>
  <si>
    <t>A man is seen speaking to the camera as well as being interviewed by the news.</t>
  </si>
  <si>
    <t>More men are seen being interviewed while showing off clips of the casino.</t>
  </si>
  <si>
    <t>v_AHd87Cn-NkU</t>
  </si>
  <si>
    <t>A close up of a sink is seen with cleaner on top while the camera zooms in on the sink.</t>
  </si>
  <si>
    <t>A woman is then seen rubbing down the sink with a rag and shows off the sink in the end.</t>
  </si>
  <si>
    <t>v_MlkXsUDCoww</t>
  </si>
  <si>
    <t>A person is seen pushing a lawn mower all across the yard.</t>
  </si>
  <si>
    <t>The person pushes the mower along the edge of the grass and throughout the rest of the grass.</t>
  </si>
  <si>
    <t>The man then grabs a weed wacker and cuts the weeds along the edge.</t>
  </si>
  <si>
    <t>v_UGCn1zgYboQ</t>
  </si>
  <si>
    <t>One man is seen moving a fooseball table around quickly as possible while another man watches on the side.</t>
  </si>
  <si>
    <t>The men then play a game against one another while one continues to move the poles quickly.</t>
  </si>
  <si>
    <t>v_xsRNDo8Upys</t>
  </si>
  <si>
    <t>A large group of dancers are seen standing on a stage and beginning to perform a routine.</t>
  </si>
  <si>
    <t>The girls continue dancing with one another and ending by holding a pose.</t>
  </si>
  <si>
    <t>v_9qOfesI3bGE</t>
  </si>
  <si>
    <t>A man is seated with an accordian on his lap.</t>
  </si>
  <si>
    <t>He pulls it in and out as he plays the keyboard with his other hand.</t>
  </si>
  <si>
    <t>He is shown with two different accordians as he continues to play.</t>
  </si>
  <si>
    <t>v_w4QM4nztkkE</t>
  </si>
  <si>
    <t>A wrestler is in the middle of the ring waiting for his opponent.</t>
  </si>
  <si>
    <t>Once he comes in they grab a hold of a rope and begin to play tug of war with it, pulling each other.</t>
  </si>
  <si>
    <t>They struggle trying to beat the other when finally the red head wrestler makes the other fall.</t>
  </si>
  <si>
    <t>He gloats, jumping up and down and banging his hands against his chest.</t>
  </si>
  <si>
    <t>v_ctHNLEOtgPY</t>
  </si>
  <si>
    <t>A man crouches in a dance studio.</t>
  </si>
  <si>
    <t>He lifts himself onto his hands.</t>
  </si>
  <si>
    <t>He holds his feet up in the air.</t>
  </si>
  <si>
    <t>He then lays on his back on the ground.</t>
  </si>
  <si>
    <t>v_fmdG9uPnWHQ</t>
  </si>
  <si>
    <t>a blonde woman is playing with dogs, she is kissing them and giiving them a shower, the woman is holding a scissor and is cutting the dog's hair.</t>
  </si>
  <si>
    <t>blonde woman is with a beatiful white dog in a table a veterinarian's office.</t>
  </si>
  <si>
    <t>the woman is with the black dog and is styling the dog's hair.</t>
  </si>
  <si>
    <t>woman shows their diplomas and awards and is with a white puddle combing her hair.</t>
  </si>
  <si>
    <t>woman comb the black dog's hair and plays with it.</t>
  </si>
  <si>
    <t>woman holds the white dog paw and cut her nails.</t>
  </si>
  <si>
    <t>woman is with the black dog giving him a shower and styling his hair.</t>
  </si>
  <si>
    <t>woman is talking while in the bottom a blonde woman is combing a white puddle.</t>
  </si>
  <si>
    <t>blonde woman holds the white puddle and is talking to the camera giving the web adress to the dog salon white shows how comb and shower the dogs.</t>
  </si>
  <si>
    <t>v_8_RfK2rp2To</t>
  </si>
  <si>
    <t>An athlete is seen standing ready holding a pole and begins running down a large track over a beam.</t>
  </si>
  <si>
    <t>The woman then jumps over the beam and throws her arms in the air to celebrate and run around the field.</t>
  </si>
  <si>
    <t>The woman does flips on the mat while celebrating and ends with her jump shown again and her sitting in front of her score.</t>
  </si>
  <si>
    <t>v_FjZKKAEEHbY</t>
  </si>
  <si>
    <t>A young woman is seen standing next to a horse and speaking to a small group.</t>
  </si>
  <si>
    <t>She pushes the horse a bit and begins brushing it's tail while still speaking to the group.</t>
  </si>
  <si>
    <t>She stops brushing while speaking to the group and walking away.</t>
  </si>
  <si>
    <t>v_p1-APric9UM</t>
  </si>
  <si>
    <t>A slightly rotund man is shown standing in a kitchen while holding a can of drink.</t>
  </si>
  <si>
    <t>The man is laughing and speaking to the camera about the can in his hand.</t>
  </si>
  <si>
    <t>He pours the drink into a glass, and proceeds to drink it alongside a male friend.</t>
  </si>
  <si>
    <t>The two men drink the contents of their glasses while they talk.</t>
  </si>
  <si>
    <t>v_5MnHirHxqkA</t>
  </si>
  <si>
    <t>A woman is seen speaking to the camera and laying her hands across a pair of pants on an ironing table.</t>
  </si>
  <si>
    <t>She begins ironing the pants and ends by showing the crease she made in the middle.</t>
  </si>
  <si>
    <t>v_LSCQ1yqocHg</t>
  </si>
  <si>
    <t>There's a man standing in a kitchen and washing his hands in steel kitchen sink.</t>
  </si>
  <si>
    <t>He takes a pump from the liquid hand soap from the sink counter.</t>
  </si>
  <si>
    <t>He then turns on the water and and washes his hands.</t>
  </si>
  <si>
    <t>After he's done washing, he uses a white hand towel that is lying next to the sink on the counter.</t>
  </si>
  <si>
    <t>v_lgWH94ea3-U</t>
  </si>
  <si>
    <t>A man is using a hookah inside a room.</t>
  </si>
  <si>
    <t>He turns and blows a pillar of smoke.</t>
  </si>
  <si>
    <t>Another man takes the hookah and takes a hit as well.</t>
  </si>
  <si>
    <t>v_oN_5o1t_Lvk</t>
  </si>
  <si>
    <t>A girl demonstrates several advanced dance, and gymnastic moves in many different locations throughout a city.</t>
  </si>
  <si>
    <t>A girl stands on a grass covered field and paved sidewalk and performs several gymnastic flips and cheerleading moves.</t>
  </si>
  <si>
    <t>The girl then returns to the grass and does several more advanced backflips.</t>
  </si>
  <si>
    <t>The girl advances to a wooden walkway and performs dance moves and performs a walking handstand in another location.</t>
  </si>
  <si>
    <t>The video finally ends with the girl performing dance moves in a tunnel and sidewalk.</t>
  </si>
  <si>
    <t>v_nxs4o4S43oY</t>
  </si>
  <si>
    <t>A man is cutting his beard with scissors.</t>
  </si>
  <si>
    <t>He uses a shaver to shave off the beard.</t>
  </si>
  <si>
    <t>He collects the hair in the sink.</t>
  </si>
  <si>
    <t>He puts shaving cream on his face and uses a razor to finish shaving.</t>
  </si>
  <si>
    <t>He wipes his face with a towel.</t>
  </si>
  <si>
    <t>He smiles and gives a thumbs up.</t>
  </si>
  <si>
    <t>v_mYrTrVCYSY0</t>
  </si>
  <si>
    <t>A man runs down two streets in a marathon, in a city setting, as onlookers from the sideline cheer and clap.</t>
  </si>
  <si>
    <t>A man in black shorts with a number pinned to his chest is running down a city street in a marathon.</t>
  </si>
  <si>
    <t>People on the sidelines are clapping for the man and smiling as he continues to run.</t>
  </si>
  <si>
    <t>The man runs down another street where he runs for a short time behind a bicycler, and as a motorcyclist comes up from behind him near the sidewalk which has a metal barrier running the length of it.</t>
  </si>
  <si>
    <t>v_fwqDDFkOaCc</t>
  </si>
  <si>
    <t>A violinist, Lindsay Stirling is performing live with some other participants on a stage in front of an audience.</t>
  </si>
  <si>
    <t>She begins by playing the violin while the other performers dance in a choreographed fashion.</t>
  </si>
  <si>
    <t>The violinist dances as she plays the instrument along with five other dancers.</t>
  </si>
  <si>
    <t>They dance in a modern and hip hop style of dancing.</t>
  </si>
  <si>
    <t>Then only two of the dancers stay on the stage with the violinist and dance in a Salsa style.</t>
  </si>
  <si>
    <t>After they leave the stage, one of the male dancers does some modern style of dancing as he rotates on his knees.</t>
  </si>
  <si>
    <t>Then the entire dance team comes on stage and continues dancing in coordinated steps as the violinist plays and dances along with them.</t>
  </si>
  <si>
    <t>Then they leave the stage with only the violinist performing as she continues to dance and play the instrument.</t>
  </si>
  <si>
    <t>v_58he7Xcwfws</t>
  </si>
  <si>
    <t>A weightlifter prepares for his first lift.</t>
  </si>
  <si>
    <t>Friends are watching and one films.</t>
  </si>
  <si>
    <t>He squats and he lifts the bar.</t>
  </si>
  <si>
    <t>He holds it for a moment, then drops it.</t>
  </si>
  <si>
    <t>He starts all over again and completes a second lift.</t>
  </si>
  <si>
    <t>v_wUg9S2xx850</t>
  </si>
  <si>
    <t>A group of people are seen standing on a field when a man runs towards a woman with a soccer ball.</t>
  </si>
  <si>
    <t>one girls swing another around while a man grabs a ball and throws it to another.</t>
  </si>
  <si>
    <t>v_gEOVtyRAaFY</t>
  </si>
  <si>
    <t>A woman is holding a cat in her lap.</t>
  </si>
  <si>
    <t>The cat is slapping at the pair of trimmers in her hand.</t>
  </si>
  <si>
    <t>She uses the trimmers to cut the cat's nails, one at a time.</t>
  </si>
  <si>
    <t>v_LKeQMeUZFso</t>
  </si>
  <si>
    <t>A person walks up to a vacuum cleaner and picks up the wand.</t>
  </si>
  <si>
    <t>The person vacuums a carpet in the hallway of a home.</t>
  </si>
  <si>
    <t>The person turns off the vacuum then replaces the attachment with a larger one for carpets.</t>
  </si>
  <si>
    <t>The person adjusts a knob on the vacuum cleaner.</t>
  </si>
  <si>
    <t>v_ZWlh8sQE2Z4</t>
  </si>
  <si>
    <t>A man kneels on one knee in a room and talks to the camera.</t>
  </si>
  <si>
    <t>The man raises his right arm and reaches to the ground with his left hand.</t>
  </si>
  <si>
    <t>The man switches and does the other side.</t>
  </si>
  <si>
    <t>v_BCzsVKHrN5Y</t>
  </si>
  <si>
    <t>A large yard is seen covered in snow with a person walking into frame.</t>
  </si>
  <si>
    <t>The man is seen holding a shovel and begins pushing it around the area.</t>
  </si>
  <si>
    <t>The man clears out all the snow and shows off a path in the end.</t>
  </si>
  <si>
    <t>v_4BRCZaaITn0</t>
  </si>
  <si>
    <t>A man is mowing his lawn around a tree in front of his house.</t>
  </si>
  <si>
    <t>He walks back and forth, avoiding the rocks.</t>
  </si>
  <si>
    <t>He turns at the driveway and returns again.</t>
  </si>
  <si>
    <t>v_UFfi0gxL6_Y</t>
  </si>
  <si>
    <t>A woman in a dress holding a violin addresses an audience.</t>
  </si>
  <si>
    <t>The woman plays the violin as other musicians look on.</t>
  </si>
  <si>
    <t>The woman finishes her playing and everyone applauds.</t>
  </si>
  <si>
    <t>v_WmOTDAim7XM</t>
  </si>
  <si>
    <t>A man is holding a chain saw over his head.</t>
  </si>
  <si>
    <t>He starts clipping the top of the hedge.</t>
  </si>
  <si>
    <t>People are walking on the sidewalk behind him.</t>
  </si>
  <si>
    <t>v_7edBQl3VD1o</t>
  </si>
  <si>
    <t>A man in an orange jacket holding skis is walking on the snow to a hill.</t>
  </si>
  <si>
    <t>The person holding the camera puts their skis down and holds the poles.</t>
  </si>
  <si>
    <t>The man in the orange jacket skis down the hill.</t>
  </si>
  <si>
    <t>The man holding the camera follows.</t>
  </si>
  <si>
    <t>They ski down the snowy hill.</t>
  </si>
  <si>
    <t>The man in the orange jacket can be seen in front of him skiing.</t>
  </si>
  <si>
    <t>They both stop and talk to a lady at the bottom of the hill.</t>
  </si>
  <si>
    <t>He takes off his glove and pulls his cell phone out.</t>
  </si>
  <si>
    <t>A man in a blue coat walks up to them and talks to them.</t>
  </si>
  <si>
    <t>v_TmA7xnrULME</t>
  </si>
  <si>
    <t>A small group of kids are seen playing with two adults on a beach pushing sand into a pile.</t>
  </si>
  <si>
    <t>The kids continue grabbing water while the camera pans around the other people swimming in the area.</t>
  </si>
  <si>
    <t>v_GdrutQ4RrDs</t>
  </si>
  <si>
    <t>A woman is seated in front of a camera.</t>
  </si>
  <si>
    <t>Her hair is in spiral curlers.</t>
  </si>
  <si>
    <t>She demonstrates how to remove them, showing the final result.</t>
  </si>
  <si>
    <t>v_mQHY2uMOMP4</t>
  </si>
  <si>
    <t>The video instructor, Stephanie is talking about a hair tutorial.</t>
  </si>
  <si>
    <t>She is demonstrating how to cut long hair on men.</t>
  </si>
  <si>
    <t>Her model is seated in a chair next to her as she combs his wet hair.</t>
  </si>
  <si>
    <t>She shows how the hair is parted and sectioned before cutting the hair She uses scissors to point cut the tips of the model's hair.</t>
  </si>
  <si>
    <t>She continues the procedure on the model's hair.</t>
  </si>
  <si>
    <t>She then explains how to blow dry the hair to get the finished look on the model.</t>
  </si>
  <si>
    <t>She finally gives information about her website.</t>
  </si>
  <si>
    <t>v_2NAbdlHXcTI</t>
  </si>
  <si>
    <t>A man does a disk throw.</t>
  </si>
  <si>
    <t>He spins around and throws the disk.</t>
  </si>
  <si>
    <t>v_9YnYdsmjkIY</t>
  </si>
  <si>
    <t>A man sits in a chair and talks while holding a harmonica and occasionally playing it while sitting in a front of green cloth backdrop.</t>
  </si>
  <si>
    <t>A bald man sits in a wooden chair and talks to the camera while holding, pointing to and occasionally playing a harmonica in his hands.</t>
  </si>
  <si>
    <t>The camera zooms in for a tighter shot of the man as he talks and before the man pulls the harmonica directly up to his face and plays the harmonica briefly before pulling the harmonica away and looking into the camera.</t>
  </si>
  <si>
    <t>v_xICaX0kCCF4</t>
  </si>
  <si>
    <t>A man in Sesame Street costume is riding a recumbent bike.</t>
  </si>
  <si>
    <t>A man dressed as Ernie soon joins Bert.</t>
  </si>
  <si>
    <t>They bike together, as if in a race.</t>
  </si>
  <si>
    <t>They both get up and walk away.</t>
  </si>
  <si>
    <t>v_Aq2w52hpwig</t>
  </si>
  <si>
    <t>A person is seen sitting along the water with a close up of a paddle is shown.</t>
  </si>
  <si>
    <t>The camera pans around to another group of people sitting in a canoe across from them.</t>
  </si>
  <si>
    <t>More people are seen sitting in the water as well as boats along the water.</t>
  </si>
  <si>
    <t>v_ouv2veXexVw</t>
  </si>
  <si>
    <t>A group of soccer players await the return of a soccer ball to the field.</t>
  </si>
  <si>
    <t>One soccer player kicks the ball into the field.</t>
  </si>
  <si>
    <t>Another soccer player takes hold of the ball and passes it to another soccer player.</t>
  </si>
  <si>
    <t>The soccer players kicks it to the goalie.</t>
  </si>
  <si>
    <t>The goalie kicks it to a nearby soccer player.</t>
  </si>
  <si>
    <t>The soccer player kicks it to another soccer player.</t>
  </si>
  <si>
    <t>v_kr4RUFi1UGs</t>
  </si>
  <si>
    <t>Two men are rappeling up the side of a steep rock cliff.</t>
  </si>
  <si>
    <t>One of the men climbs about halfway up, before letting go and releasing himself back toward the ground.</t>
  </si>
  <si>
    <t>v_S-mMmPO6a9s</t>
  </si>
  <si>
    <t>A man pushes a lawnmower on a lawn.</t>
  </si>
  <si>
    <t>Two children help him push it.</t>
  </si>
  <si>
    <t>They make several passes on the lawn.</t>
  </si>
  <si>
    <t>Several cars drive by them.</t>
  </si>
  <si>
    <t>v_1RMNLqb8OWI</t>
  </si>
  <si>
    <t>man carrying a lawn blower is blowing the dust in the sidewalk walking in street.</t>
  </si>
  <si>
    <t>man is cleaning the sidewalk from the dry leaves pouring out the sidewalk.</t>
  </si>
  <si>
    <t>man is walking in sidewalk watching the man that is carrying the blower.</t>
  </si>
  <si>
    <t>v_G3cINUdHdGo</t>
  </si>
  <si>
    <t>A man in a red shirt speaks and demonstrates how to throw darts against a dart board while three other people in red shirts watch behind him.</t>
  </si>
  <si>
    <t>A man in a red shirt faces the camera and begins to talk while holding darts in his hand and while three men behind him watch.</t>
  </si>
  <si>
    <t>The man turns away from the camera, standing at a profile view and facing a dartboard attached to a wall, he starts aiming at the dartboard with the darts in his hand.</t>
  </si>
  <si>
    <t>The man then throws three darts against the dartboard, two of which stick to the board, the man goes to retrieve a dart from the board and gestures with his fist and a smile.</t>
  </si>
  <si>
    <t>v_WSGXoKV9vLs</t>
  </si>
  <si>
    <t>A hand is pouring liquid into a martini glass and white words on the left of the screen appear and they say "Girls Mixing Drinks dot com" and "Keylime Pie with Lee".</t>
  </si>
  <si>
    <t>A blonde woman appears at a bar and the website appears at random times while the woman is grabbing cups, alcohol and ice as she makes her drink in a martini glass.</t>
  </si>
  <si>
    <t>The woman fills the martini glass with ice and water.</t>
  </si>
  <si>
    <t>The woman then moves onto a large silver silver shaker and begins putting alcohol and other liquids in it, covers it with a small clear cup and begins shaking the contents.</t>
  </si>
  <si>
    <t>When she's done shaking the liquids, she empties the ice and water from the martini cup, then fills it with the liquid from the shaker, puts a lime on the edge, pushes the martini glass forward and smiles.</t>
  </si>
  <si>
    <t>The last screen appears with a red background and the website displayed in the middle.</t>
  </si>
  <si>
    <t>v_Sx3YbcKbuYk</t>
  </si>
  <si>
    <t>A pile of kindling flanked by rocks is shown.</t>
  </si>
  <si>
    <t>The kindling is lit with a torch.</t>
  </si>
  <si>
    <t>The fire is started, and we watch as it begins to burn.</t>
  </si>
  <si>
    <t>v_S24MDjduWIY</t>
  </si>
  <si>
    <t>A man is seen speaking to the camera while people practice basketball drills intermittently.</t>
  </si>
  <si>
    <t>The man ties a rope around a ball and continues having him perform layups on the court.</t>
  </si>
  <si>
    <t>More clips are shown of them practicing while the man speaks to the camera.</t>
  </si>
  <si>
    <t>v_10uSu442cOE</t>
  </si>
  <si>
    <t>A girl plays a brass flute standing on stage during a performance.</t>
  </si>
  <si>
    <t>The girl finishes the performance and lowers her instrument.</t>
  </si>
  <si>
    <t>v_mtC3trP8ahY</t>
  </si>
  <si>
    <t>Two teams of boys are in a grass field playing a game.</t>
  </si>
  <si>
    <t>They have little poles with nets that they use to catch the balls in and throw.</t>
  </si>
  <si>
    <t>One of the boys from the red team throws the ball over to the other side.</t>
  </si>
  <si>
    <t>Then one of the kids int he black uniform comes running back and throws the ball.</t>
  </si>
  <si>
    <t>v_2NITA0d4vqo</t>
  </si>
  <si>
    <t>Two men play pingpong using different tricks.</t>
  </si>
  <si>
    <t>A man shows off a camera box, and the ping pong player uses it.</t>
  </si>
  <si>
    <t>The box busts open so the player uses a camera part to play.</t>
  </si>
  <si>
    <t>He uses a battery to hit back, and then uses a different tool.</t>
  </si>
  <si>
    <t>Various strange objects are used to play the game.</t>
  </si>
  <si>
    <t>The man breaks an egg with the ball.</t>
  </si>
  <si>
    <t>More strange items including a bat, watch and candy bar are used.</t>
  </si>
  <si>
    <t>The man is filmed uploading the video to YouTube.</t>
  </si>
  <si>
    <t>v_674t-jyyKeg</t>
  </si>
  <si>
    <t>A woman tries to eat ice cream to a child, but the child refuses to eat the ice cream, then the woman eats the ice cream in the spoon.</t>
  </si>
  <si>
    <t>After, the woman gives ice cream to the child, and then the woman cleans the child's mouth.</t>
  </si>
  <si>
    <t>An old woman feeds a boy ice cream.</t>
  </si>
  <si>
    <t>v_PIGH5p2iMoI</t>
  </si>
  <si>
    <t>A marching band is playing on a field.</t>
  </si>
  <si>
    <t>A man in a trench coat is talking into a microphone.</t>
  </si>
  <si>
    <t>A team is playing lacrosse on a field of grass.</t>
  </si>
  <si>
    <t>v_zxm4KYn7r8c</t>
  </si>
  <si>
    <t>A man is seen speaking to the camera in various clips as well as shooting a bow and arrow.</t>
  </si>
  <si>
    <t>The man demonstrates several times how to properly shoot a bow in different locations while looking back to speak to the camera.</t>
  </si>
  <si>
    <t>v_-deoJLN27hE</t>
  </si>
  <si>
    <t>Two soccer teams play a game of soccer in front of a crowded audience in bleachers, in which the team with the blue and white uniforms makes a series of goals.</t>
  </si>
  <si>
    <t>The team with the yellow and blue uniforms wins a goal on the field against the black and white team and reacts by hugging and smiling each other.</t>
  </si>
  <si>
    <t>The yellow and blue team go on to make a series of goals, sometimes sliding after the final kick, with the audience standing for them each time a goal is made and wearing yellow shirts.</t>
  </si>
  <si>
    <t>A digital scoreboard is shown with the score as the yellow and blue team goes on to make more goals.</t>
  </si>
  <si>
    <t>v_BD4i-g3U5Kw</t>
  </si>
  <si>
    <t>An ice rink is shown with a hockey game in progress with the first long shot goal is made followed by a replay.</t>
  </si>
  <si>
    <t>A goal by the other team in red shows twice.</t>
  </si>
  <si>
    <t>A heated battle of two teams ends with an orange team player scoring.</t>
  </si>
  <si>
    <t>Two more teams make long scoring shots from left to right.</t>
  </si>
  <si>
    <t>A white teams scores after a player falls on the ice rink.</t>
  </si>
  <si>
    <t>Another few games and a second player falls before a goal.</t>
  </si>
  <si>
    <t>A higher aerial view is seen of the last game to show.</t>
  </si>
  <si>
    <t>v_7t666Y8cLGk</t>
  </si>
  <si>
    <t>A lady uses a Shisha pipe while sitting.</t>
  </si>
  <si>
    <t>The lady blows the smoke into a cut, soapy bottle half.</t>
  </si>
  <si>
    <t>The bubble pops releasing the smoke.</t>
  </si>
  <si>
    <t>The bubble float away with the smoke still enclosed and falls to the floor.</t>
  </si>
  <si>
    <t>v_QPKJDlQSO6c</t>
  </si>
  <si>
    <t>A camera pans all around a beer pong table as well as people talking and speaking into a microphone.</t>
  </si>
  <si>
    <t>More people step up to play the beer pong while a man raps into the mic and others react.</t>
  </si>
  <si>
    <t>Several shots are shown of people playing the game and cheering with one another.</t>
  </si>
  <si>
    <t>v_zJquKzopJuI</t>
  </si>
  <si>
    <t>A group of men standing beside each other are all bent forward chugging beer through very long straws.</t>
  </si>
  <si>
    <t>There are people in front of them watching them and pointing at them as they chug.</t>
  </si>
  <si>
    <t>They made it a game they are racing to see who can finish first.</t>
  </si>
  <si>
    <t>They all stop around the same time and the people watching continue to be very rowdy.</t>
  </si>
  <si>
    <t>v_-v-Zail6TNw</t>
  </si>
  <si>
    <t>An eight year old girl is playing a harmonica on a stage.</t>
  </si>
  <si>
    <t>The camera zooms in on the girl as the girl begins to play harder and harder, taking deeper and deeper breaths.</t>
  </si>
  <si>
    <t>The girl stops playing, takes a look to her left really quickly, then beings to smile while looking at the camera and clapping.</t>
  </si>
  <si>
    <t>v_ITVfOVR34Jo</t>
  </si>
  <si>
    <t>The army are lined up, they are divided into four groups, they started to do war practice by shooting by group with paint gun, they hide among the stone walls and vacant cars.</t>
  </si>
  <si>
    <t>The army grab their paint guns on the table and loaded them with paint balls.</t>
  </si>
  <si>
    <t>v_Ek2OvKMdvys</t>
  </si>
  <si>
    <t>A girl is dressed in a pink and black outfit talking in a room laying on a blue yoga mat.</t>
  </si>
  <si>
    <t>The lady then lays on her back and puts her hand across her chest.</t>
  </si>
  <si>
    <t>Before she begins,she talks about her stomach and how to put your hands behind your neck the correct way.</t>
  </si>
  <si>
    <t>Finally,she does about four crunches and shows that your head should be up and as well as your body before she finishes her crunches.</t>
  </si>
  <si>
    <t>v_TY4-gh8DV04</t>
  </si>
  <si>
    <t>A woman work out in a cardio machine pulling a handle in a gym.</t>
  </si>
  <si>
    <t>A person enters the gym.</t>
  </si>
  <si>
    <t>v_uZk7ciOa5aE</t>
  </si>
  <si>
    <t>A male and female dance duo are in the middle of a ballroom floor surrounded by people preparing to dance; however,the music doesn't start and they are delayed.</t>
  </si>
  <si>
    <t>They then begin to dance and shuffle their feet across the tile and spin each other around.</t>
  </si>
  <si>
    <t>The both then do a split,finish the routine and go out to mingle with the crowd.</t>
  </si>
  <si>
    <t>v_c4f6d1GRDEw</t>
  </si>
  <si>
    <t>A man is seen standing in front of a table holding up a bar of wax and other objects.</t>
  </si>
  <si>
    <t>He pushes the wax into a sander and begins using it on a ski board.</t>
  </si>
  <si>
    <t>He moves the sander all along the board and ends by showing it off to the camera.</t>
  </si>
  <si>
    <t>v_rua32XjJh54</t>
  </si>
  <si>
    <t>We see a man throwing a curling stone.</t>
  </si>
  <si>
    <t>We see a man, 2 girls, then an older man interviewed.</t>
  </si>
  <si>
    <t>We see a man throwing the stone.</t>
  </si>
  <si>
    <t>We see the older man interviewed.</t>
  </si>
  <si>
    <t>We see two boys talking in the rink.</t>
  </si>
  <si>
    <t>We see a young man with longer hair being interviewed followed by two girls.</t>
  </si>
  <si>
    <t>We see the boy curl, then be interviewed and a girl interviewed.</t>
  </si>
  <si>
    <t>We see the people curling, a girl speaks, and a group of girls talks before they walk away.</t>
  </si>
  <si>
    <t>v_99KPQLxH4cw</t>
  </si>
  <si>
    <t>Several shots are shown of various snow boarders grinding down rails into snow with one falling and hurting himself.</t>
  </si>
  <si>
    <t>More shots of people wiping out in the end are shown as well as people talking to one another in a circle.</t>
  </si>
  <si>
    <t>v_P00O62PPzNU</t>
  </si>
  <si>
    <t>A large group of people seen pulling a rope away from one another.</t>
  </si>
  <si>
    <t>More games are shown of people playing tug of war.</t>
  </si>
  <si>
    <t>People watch on the sides as the men continue to play with one another.</t>
  </si>
  <si>
    <t>v_CB41iJu4ZVY</t>
  </si>
  <si>
    <t>A gymnast is seen standing ready with her arms up in the air in front of a large crowd.</t>
  </si>
  <si>
    <t>The girl then jumps up onto a beam and begins performing gymnastic tricks.</t>
  </si>
  <si>
    <t>The girl continues flipping and spinning around and ends with her jumping off to the side.</t>
  </si>
  <si>
    <t>v_T5GVJRbvNb8</t>
  </si>
  <si>
    <t>A young man runs and jumps over a bar onto a mat multiple times.</t>
  </si>
  <si>
    <t>People run and walk around a track in the background.</t>
  </si>
  <si>
    <t>The same young man then jumps over the bar using a springboard landing on the mat several times.</t>
  </si>
  <si>
    <t>People walk around a field house near the track.</t>
  </si>
  <si>
    <t>v_SsW-IeF0bzE</t>
  </si>
  <si>
    <t>Several kids are driving bumper cars in a group at a fair.</t>
  </si>
  <si>
    <t>A younger girl gets stuck and a man walks over to help her.</t>
  </si>
  <si>
    <t>The groups time runs out and all of the kids stand up and exit the bumper car area.</t>
  </si>
  <si>
    <t>The kids all go down the stairs and back to the fair area.</t>
  </si>
  <si>
    <t>There are lots of people of all ages around doing different things at the fair.</t>
  </si>
  <si>
    <t>v_ggDfJLB8jTk</t>
  </si>
  <si>
    <t>Shooting targets are shown on the grass.</t>
  </si>
  <si>
    <t>A man uses a bow and arrow to hit the targets.</t>
  </si>
  <si>
    <t>A man shoots a bow behind a pile of sticks.</t>
  </si>
  <si>
    <t>v_B92SbWzu8yI</t>
  </si>
  <si>
    <t>A young child is seen standing behind a set of drums and then begins playing the drums.</t>
  </si>
  <si>
    <t>The boys continues playing on the drums and ends with him kissing his fingers and giving a peace sign.</t>
  </si>
  <si>
    <t>v_Jifw8dC5yTM</t>
  </si>
  <si>
    <t>A young man in blue t-shirt walks through small dance studio room.</t>
  </si>
  <si>
    <t>The young man sets his stereo down on a chair.</t>
  </si>
  <si>
    <t>The man young man warms up and does a one handed handstand.</t>
  </si>
  <si>
    <t>The man does a break dance routine doing hand stands and spins.</t>
  </si>
  <si>
    <t>End credits are shown with names written in cursive.</t>
  </si>
  <si>
    <t>v_Coctj-3Yzic</t>
  </si>
  <si>
    <t>There are people in a garage standing around a long wooden table that has a lot of red solo cups on it.</t>
  </si>
  <si>
    <t>They all start throwing ping pong balls in attempt to get them to land in a red solo cup.</t>
  </si>
  <si>
    <t>Suddenly, one of them falls backwards into the table and the table falls.</t>
  </si>
  <si>
    <t>All the men start laughing, pull the table off of the man, and only one of the men go to help the person up.</t>
  </si>
  <si>
    <t>v_tOiPx5Veyd8</t>
  </si>
  <si>
    <t>A man is seen interviewing another man on camera and leads into several groups of people playing shuffle board.</t>
  </si>
  <si>
    <t>The camera pans back to the man being interviewed and ends with the host having one final word to the camera.</t>
  </si>
  <si>
    <t>v_6iwKUJUUlaQ</t>
  </si>
  <si>
    <t>Two woman are outdoors outside of a building and are playing hopscotch on cemented ground.</t>
  </si>
  <si>
    <t>There is white text on the screen.</t>
  </si>
  <si>
    <t>The younger woman in shorts jumps on the squares and an older woman wearing a dress also jumps on the squares.</t>
  </si>
  <si>
    <t>The young girl falls over.</t>
  </si>
  <si>
    <t>The older woman walks and celebrates raising her arms.</t>
  </si>
  <si>
    <t>The two look at the camera and give a thumbs up.</t>
  </si>
  <si>
    <t>v_78UikTQkGgg</t>
  </si>
  <si>
    <t>A close up of subway is seen and leads into a woman speaking to the camera and cutting up a piece of bread.</t>
  </si>
  <si>
    <t>The woman then lays out various ingredients on the bread and rolls it up in a wrap.</t>
  </si>
  <si>
    <t>Several pictures are then shown in the end of the sandwich all ready and people enjoying the sandwich.</t>
  </si>
  <si>
    <t>v_1Xav7gMRCOQ</t>
  </si>
  <si>
    <t>A man is standing inside a gym.</t>
  </si>
  <si>
    <t>He jumps on and off an exercise stepper, front to back and side to side.</t>
  </si>
  <si>
    <t>He spins as he climbs on and off.</t>
  </si>
  <si>
    <t>v_G72bQBMZmzs</t>
  </si>
  <si>
    <t>Two sumo wrestlers are shown on a set with hundreds of people watching in the back taking pictures.</t>
  </si>
  <si>
    <t>The video continues to show several different athletes fighting in a ring and pulling the other down within a matter of seconds.</t>
  </si>
  <si>
    <t>v_xQcJ8gTPRSU</t>
  </si>
  <si>
    <t>Two people are seen speaking to the camera and leads into the man peel a pear and scoping out the sides.</t>
  </si>
  <si>
    <t>The man then cuts the fruit and presents it onto a plate while still speaking to the camera.</t>
  </si>
  <si>
    <t>v_UOF3w4T-bBE</t>
  </si>
  <si>
    <t>A group of guy friends are in the bathroom talking and having fun daring on of the boys to shave his leg.</t>
  </si>
  <si>
    <t>The camera pans over to the boy's leg showing one of his friends shaving the hair off his leg with an electric razor.</t>
  </si>
  <si>
    <t>v_-YVhOi8vt_Q</t>
  </si>
  <si>
    <t>A person places down a rubik's cube on a folder.</t>
  </si>
  <si>
    <t>The puzzle is then solved in 11 seconds.</t>
  </si>
  <si>
    <t>v_eGA5tbX8oH0</t>
  </si>
  <si>
    <t>A family is in the living room I'm trying to get out after being snowed in.</t>
  </si>
  <si>
    <t>A man opens the door and tries to jump over the snow that is in the way.</t>
  </si>
  <si>
    <t>He gets stuck in the snow and his family tries to help him get out.</t>
  </si>
  <si>
    <t>Once he gets out he throws them a shovel to shovel the snow on the floor.</t>
  </si>
  <si>
    <t>The video ends with the credits shown on the screen.</t>
  </si>
  <si>
    <t>v_Z1POv1Qeno0</t>
  </si>
  <si>
    <t>People are floating down a river in rafts.</t>
  </si>
  <si>
    <t>We then see people getting rafts at a building.</t>
  </si>
  <si>
    <t>A man is in a boat people floating in a raft.</t>
  </si>
  <si>
    <t>A bus sits in front of the rafting facility and men stack rafts as other men walk with their rafts.</t>
  </si>
  <si>
    <t>A man and a woman are floating down the river in separate rafts.</t>
  </si>
  <si>
    <t>v_TpB_zMG3XBA</t>
  </si>
  <si>
    <t>We see a lady and two men standing in a lake.</t>
  </si>
  <si>
    <t>The lady then jet skis.</t>
  </si>
  <si>
    <t>We see the head of the person on the boat on the left bob in and out of the shot.</t>
  </si>
  <si>
    <t>The boat turns and we no longer see land in the background.</t>
  </si>
  <si>
    <t>The lady falls off the ski.</t>
  </si>
  <si>
    <t>A man walks over to help the lady in the lake.</t>
  </si>
  <si>
    <t>v_SiqB6_9kNQU</t>
  </si>
  <si>
    <t>At the fair the bumper cars are being used.</t>
  </si>
  <si>
    <t>A bunch of different people are riding around bumping into each other.</t>
  </si>
  <si>
    <t>They are just driving around aimlessly in circles as they hit and get hot by other riders.</t>
  </si>
  <si>
    <t>This is innocent fun during summer nights when you're bored and the fair is in town.</t>
  </si>
  <si>
    <t>v_AnRYS02tvRA</t>
  </si>
  <si>
    <t>A man and woman play rock paper scissors.</t>
  </si>
  <si>
    <t>The woman wins and smiles.</t>
  </si>
  <si>
    <t>The woman puts a blind fold on.</t>
  </si>
  <si>
    <t>The woman gives the man a hug.</t>
  </si>
  <si>
    <t>v_k0w1lMRoqYk</t>
  </si>
  <si>
    <t>A young girl is seen talking to the camera and leads into her browsing the internet then raking up leads in a yard.</t>
  </si>
  <si>
    <t>The girl is then seen sitting in the leaves and transitions into speaking with her mother in the kitchen.</t>
  </si>
  <si>
    <t>She is shown speaking to the camera one more time and ends with various pictures of kids.</t>
  </si>
  <si>
    <t>v_XftM9eALPy0</t>
  </si>
  <si>
    <t>A large arena houses many people.</t>
  </si>
  <si>
    <t>Poles are set up in the arena.</t>
  </si>
  <si>
    <t>Gymnasts perform on the poles.</t>
  </si>
  <si>
    <t>They do many tricks on them.</t>
  </si>
  <si>
    <t>v_1Xt1gZfZ2Rw</t>
  </si>
  <si>
    <t>A man is brushing the bottom of a ski.</t>
  </si>
  <si>
    <t>He melts wax onto the bottom of the ski and irons it.</t>
  </si>
  <si>
    <t>He then scrapes the wax off with a tool.</t>
  </si>
  <si>
    <t>He uses a brush to brush the bottom of the ski.</t>
  </si>
  <si>
    <t>v_FRag7CCTP4k</t>
  </si>
  <si>
    <t>An athlete is shown warming up in front of a pole while several others in the background run around a track.</t>
  </si>
  <si>
    <t>The man eventually prepares for his jump and jumps over the pole.</t>
  </si>
  <si>
    <t>He swings his arms up to celebrate and others around him clap for him.</t>
  </si>
  <si>
    <t>v_3xEonDbWxTM</t>
  </si>
  <si>
    <t>A lady stands with a pot and shows an area of a wall.</t>
  </si>
  <si>
    <t>The wall is cleaned with a wet towel using the solution in the pot.</t>
  </si>
  <si>
    <t>The lady points to an area of the wall that is discolored.</t>
  </si>
  <si>
    <t>v__gJFrtUQDLw</t>
  </si>
  <si>
    <t>An image is shown of an album cover that leads into a young man playing a harmonica slowly.</t>
  </si>
  <si>
    <t>The man rocks back and fourth to the song and interments between pictures of a band and himself playing.</t>
  </si>
  <si>
    <t>v__wqhA-Ceqwc</t>
  </si>
  <si>
    <t>man is standing in front of a counter showing how to sharpening a knife.</t>
  </si>
  <si>
    <t>in the background man is cooking in the back counter.</t>
  </si>
  <si>
    <t>man is explaining and checking the areas of the knife.</t>
  </si>
  <si>
    <t>v_9Hw3xvJJTy0</t>
  </si>
  <si>
    <t>Three wrestlers were in the ring and crowd iswatching intently.</t>
  </si>
  <si>
    <t>One wrestler named, East of Angeles, back away and climb the ladder.</t>
  </si>
  <si>
    <t>Another wrestler, TandumisGreat, gets up and starts climbing the other side of the ladder.</t>
  </si>
  <si>
    <t>They started hitting each other on top of the ladder.</t>
  </si>
  <si>
    <t>TandumisGreat climb on the back of East of Angeles and they both fall off the ladder, knocking East of Angeles.</t>
  </si>
  <si>
    <t>TandumISGReat climbs once again on the top of the ladder and holds the hanging money bank.</t>
  </si>
  <si>
    <t>v_pZZVzBD8bZY</t>
  </si>
  <si>
    <t>Various shots are shown of large crowd celebrating in the distance and people riding motorcycles around.</t>
  </si>
  <si>
    <t>The people continue riding around in slow motion as the camera captures their movements.</t>
  </si>
  <si>
    <t>v_w83HV_L4AiU</t>
  </si>
  <si>
    <t>A cartoon animation is shown with various hands and lobsters and demonstrating how to play rock paper scissors.</t>
  </si>
  <si>
    <t>More text is shown as well as hands and animals and shows steps on how to play the game.</t>
  </si>
  <si>
    <t>v_OCT2h1kmZoA</t>
  </si>
  <si>
    <t>We see an animated opening sequence.</t>
  </si>
  <si>
    <t>We see men riding snowboards on a ski slope.</t>
  </si>
  <si>
    <t>We see a man riding on the back part of the snowboard.</t>
  </si>
  <si>
    <t>We see a person in a bright pink jacket .</t>
  </si>
  <si>
    <t>A man is snowboarding with bare arms.</t>
  </si>
  <si>
    <t>Another man with no coat on is snowboarding.</t>
  </si>
  <si>
    <t>We see the ending sequence.</t>
  </si>
  <si>
    <t>v_6koP53YFNjg</t>
  </si>
  <si>
    <t>People are throwing balls into plastic cups.</t>
  </si>
  <si>
    <t>A hand knocks over a red plastic cup and wastes the liquid inside.</t>
  </si>
  <si>
    <t>A male reaches for a ball that rolls under a table.</t>
  </si>
  <si>
    <t>A plastic cup has a white suspension inside.</t>
  </si>
  <si>
    <t>A man welds and machine carves a wooden board.</t>
  </si>
  <si>
    <t>A guy carries a lady as they gesture and cheer.</t>
  </si>
  <si>
    <t>v__Xydl5mYkQ8</t>
  </si>
  <si>
    <t>A counter is shown with beer cans on it.</t>
  </si>
  <si>
    <t>A man is in a bathroom, using a toilet.</t>
  </si>
  <si>
    <t>He flushes, then smiles and talks to the camera.</t>
  </si>
  <si>
    <t>v_w69pipCSlM4</t>
  </si>
  <si>
    <t>The skier adjusts the rope with his red and black skis extending in front of him over the water as he prepares to ski.</t>
  </si>
  <si>
    <t>The boat pulls him off the dock and into the water as he rests upright, his skis out in front of him.</t>
  </si>
  <si>
    <t>As the boat picks up speed, the skier rises, and holds onto the rope, steering left and right.</t>
  </si>
  <si>
    <t>He just seems to miss a buoy as he cuts through water and the boat's wake.</t>
  </si>
  <si>
    <t>The boat turns towards the land with large buildings coming into view, and slowly he is taken back to the dock.</t>
  </si>
  <si>
    <t>v_Wi9bm9omdoM</t>
  </si>
  <si>
    <t>A small group of children are seen playing hand games with one another and finally hitting the loser on the head with a bottle.</t>
  </si>
  <si>
    <t>The kids continue to play the hand game with one another that leads into the beating another with a bottle.</t>
  </si>
  <si>
    <t>v_RatbnDSuY7w</t>
  </si>
  <si>
    <t>A man claps after performing a high jump on the field.</t>
  </si>
  <si>
    <t>We are shown the instant replay in slow motion a couple of times.</t>
  </si>
  <si>
    <t>He walks onto the field, shaking hands with his competitors.</t>
  </si>
  <si>
    <t>v_uFtP9Z_K87U</t>
  </si>
  <si>
    <t>Several shots of people are shown in water as well as landscapes around an island and people riding and moving around a boat.</t>
  </si>
  <si>
    <t>More shots of people scuba diving are shown as well as fish swimming around and people in the ocean.</t>
  </si>
  <si>
    <t>In the end the camera shows several shots of the boat and people moving away on a smaller boat.</t>
  </si>
  <si>
    <t>v_B3YfGd4Wt24</t>
  </si>
  <si>
    <t>A group of kids are seen practicing various cheer leading moves in a gym as well as woman speaking to the camera.</t>
  </si>
  <si>
    <t>Several shots are shown of the girl's outfits as well as them demonstrating moves.</t>
  </si>
  <si>
    <t>v_-Q03gEypilg</t>
  </si>
  <si>
    <t>This woman is walking, jumping, and flipping on the balance beam.</t>
  </si>
  <si>
    <t>When she's done she walks off the stage and goes to her dad.</t>
  </si>
  <si>
    <t>v_MYWnPFGvxwQ</t>
  </si>
  <si>
    <t>A backyard is shown as a man sitting on an electric lawn mower begins to cut the grass.</t>
  </si>
  <si>
    <t>He makes it to the other side but then starts to run into the tree.</t>
  </si>
  <si>
    <t>After,he back up,runs into the tree again and cuts around it.</t>
  </si>
  <si>
    <t>v_VEXswbPrwxE</t>
  </si>
  <si>
    <t>A bull comes out of the gate at a rodeo and man in the ring jumps on then off his back.</t>
  </si>
  <si>
    <t>The man picks up his fallen hat in the ring.</t>
  </si>
  <si>
    <t>The man runs around dodging the charging bull.</t>
  </si>
  <si>
    <t>The man drops his hat in the ring.</t>
  </si>
  <si>
    <t>The man jumps on the wall to avoid the bull.</t>
  </si>
  <si>
    <t>Another man opens the gate and calls to the bull to enter the pin.</t>
  </si>
  <si>
    <t>v_m2DOej6tPNs</t>
  </si>
  <si>
    <t>We see people doing a dance routine in a basketball court.</t>
  </si>
  <si>
    <t>The people wave their hands in the air.</t>
  </si>
  <si>
    <t>The camera pans left to show others.</t>
  </si>
  <si>
    <t>The camera pans right and we see others.</t>
  </si>
  <si>
    <t>The lades stand still and wave their arms in the air.</t>
  </si>
  <si>
    <t>The camera pans down to the ground.</t>
  </si>
  <si>
    <t>v_8nj8tlvLyUo</t>
  </si>
  <si>
    <t>Someone is running on the beach towards so sand castle competitions.</t>
  </si>
  <si>
    <t>A dog jumps in some sand dirt and is so happy about it.</t>
  </si>
  <si>
    <t>There are so many awesome and different things being made out of sand, it looks like it takes a lot of time and energy.</t>
  </si>
  <si>
    <t>There are people walking around and looking at all of them.</t>
  </si>
  <si>
    <t>v_wBODR3P39Nw</t>
  </si>
  <si>
    <t>A few pictures of a high school field hockey team are shown.</t>
  </si>
  <si>
    <t>Two teams of young girls are playing field hockey.</t>
  </si>
  <si>
    <t>The goalie is shown falling to the ground while making a save.</t>
  </si>
  <si>
    <t>The goalie makes another sliding save.</t>
  </si>
  <si>
    <t>The goalie kicks the ball away from the net.</t>
  </si>
  <si>
    <t>The game ends and the girls give high fives.</t>
  </si>
  <si>
    <t>v_TLQFjTXZ58E</t>
  </si>
  <si>
    <t>A man is standing outside in his front lawn with his mower.</t>
  </si>
  <si>
    <t>He talks about different lengths of grass for a while and then bends down to his mower.</t>
  </si>
  <si>
    <t>He uses a ruler to show more detailed and then moves the mower to the sidewalk to talk some more.</t>
  </si>
  <si>
    <t>He starts mowing his lawn finally going up and down the lawn.</t>
  </si>
  <si>
    <t>v_ae-aDWHvAGc</t>
  </si>
  <si>
    <t>Two women are shown standing behind a shuffle board table when one pushes a puck across the board.</t>
  </si>
  <si>
    <t>The other woman prepares her push and send it to a man standing on the other side.</t>
  </si>
  <si>
    <t>They push the puck several more times while the camera follows their movements.</t>
  </si>
  <si>
    <t>v_xmAcpNTJUxo</t>
  </si>
  <si>
    <t>A person with a white mask and a sheet over his head walks back from the camera and grabs a pumpkin.</t>
  </si>
  <si>
    <t>The min then starts to carve the pumpkin and takes out the pumpkin sees.</t>
  </si>
  <si>
    <t>When they are all cleaned and taken out and placed in the oven as the man takes a sip of alcohol.</t>
  </si>
  <si>
    <t>v_onW5hJXnI5s</t>
  </si>
  <si>
    <t>This is a documentary on horseback riding.</t>
  </si>
  <si>
    <t>They explain the power, thrill, fun, grace, flying, friends, freedom, and love of horseback riding.</t>
  </si>
  <si>
    <t>They then show the difficulties of training horses, the dangers of riding them, and the downside of competition.</t>
  </si>
  <si>
    <t>Then they show the highlights of competitive riding.</t>
  </si>
  <si>
    <t>v_MLU2wreEGIg</t>
  </si>
  <si>
    <t>A small child is seen standing before a set of monkey bars.</t>
  </si>
  <si>
    <t>The boy then pushes himself along across the monkey bars.</t>
  </si>
  <si>
    <t>He jumps down in the end and begins walking across a bridge.</t>
  </si>
  <si>
    <t>v_sV6NoTdFaPE</t>
  </si>
  <si>
    <t>A young woman is seen speaking to the camera while holding onto a field hockey stick.</t>
  </si>
  <si>
    <t>The girl then hits the ball all around the yard while the camera follows.</t>
  </si>
  <si>
    <t>She continues to hit the ball around and stops to look at the camera.</t>
  </si>
  <si>
    <t>v_ibHRKaD5MbM</t>
  </si>
  <si>
    <t>A pinata is hanging from a tree, and a woman brings a girl with a stick over to it.</t>
  </si>
  <si>
    <t>She helps her whack the pinata several times.</t>
  </si>
  <si>
    <t>v_L61yQxW8HVE</t>
  </si>
  <si>
    <t>An intro screen appears that include a logo and the words "Expert Village Presents".</t>
  </si>
  <si>
    <t>A woman is now sitting and talking while holding a clarinet.</t>
  </si>
  <si>
    <t>The woman then puts the clarinet to her mouth and begins playing for a few seconds.</t>
  </si>
  <si>
    <t>The woman stops playing and resumes talking and using a lot of hand motioning, then resumes playing.</t>
  </si>
  <si>
    <t>The woman once again stops playing and begins talking while using her hands a lot and holding it in front of her face and etc.</t>
  </si>
  <si>
    <t>The woman begins playing once more until the outro of a white screen appears and it include a logo, and information for:copyright, rights and website.</t>
  </si>
  <si>
    <t>v_M_OPqcaCDYI</t>
  </si>
  <si>
    <t>A group of six are on a little boat sitting waiting for the whistle to blow.</t>
  </si>
  <si>
    <t>Once it is blown they begin to paddle as quickly as they possibly can, working very well together.</t>
  </si>
  <si>
    <t>They almost hit a wall of rocks but are able to turn in time not to and are able to continue in route.</t>
  </si>
  <si>
    <t>Waves, pick up and then they do hit a different wall of rock, where they turn around at to go back.</t>
  </si>
  <si>
    <t>v_fp0dd844oUU</t>
  </si>
  <si>
    <t>A man in gray long sleeves talks in a stage of Ultimate Guinness World Records.</t>
  </si>
  <si>
    <t>A young table tennis player is standing in front of table with spectators behind her.</t>
  </si>
  <si>
    <t>Two players play table tennis and continue playing for a minute and record 173 hits.</t>
  </si>
  <si>
    <t>The play is reviewed and the young player was introduced as Ai Fukuhara, with a record of most table tennis counter hits .</t>
  </si>
  <si>
    <t>The man in stage talks again while walking around the stage.</t>
  </si>
  <si>
    <t>v_s7ajQRC7w9w</t>
  </si>
  <si>
    <t>A woman is holding onto a wind surfboard in the water.</t>
  </si>
  <si>
    <t>She steps onto the board and starts wind surfing.</t>
  </si>
  <si>
    <t>She holds onto the kite of the wind surf.</t>
  </si>
  <si>
    <t>v_jmWtHelsblo</t>
  </si>
  <si>
    <t>A large group of people are shown performing a dance routine together with one woman leading in front.</t>
  </si>
  <si>
    <t>The people continue moving their arms and legs around together to move their bodies and obtain exercise.</t>
  </si>
  <si>
    <t>v_oNN6NE8fq0U</t>
  </si>
  <si>
    <t>A man talks to the audience while seated on stage before a performance.</t>
  </si>
  <si>
    <t>A man plays the keys of an accordion while opening and closing the air box.</t>
  </si>
  <si>
    <t>The man sings a few verses loudly with excitement.</t>
  </si>
  <si>
    <t>The man finishes the song and gathers up his notes from the podium.</t>
  </si>
  <si>
    <t>v_7AtINKDyH2Q</t>
  </si>
  <si>
    <t>There is a team of players playing hurling in an outdoor field.</t>
  </si>
  <si>
    <t>A person named Donal Cusack explains what hurling is and what is comprises of.</t>
  </si>
  <si>
    <t>The team players are playing a game of hurling with their bats as they try to hit the ball into the goal.</t>
  </si>
  <si>
    <t>v___c8enCfzqw</t>
  </si>
  <si>
    <t>A lady in black jacket is posing for the camera, then a man with medium length hair is shown, the man touched her hair to check on it, then the girl blow dry her hair.</t>
  </si>
  <si>
    <t>The lady sat at the center of the studio with her wet hair, she put a white cream on her hand then rub it on her hair.</t>
  </si>
  <si>
    <t>The girl blow dry her hair with white blower, sectioned her hair, brushed her hair with roller brush while blow drying it at the same time, she roll the brush downwards and upwards.</t>
  </si>
  <si>
    <t>She styled her hair by brushing and combing it to give more volume.</t>
  </si>
  <si>
    <t>v_tIaNvRDp0eE</t>
  </si>
  <si>
    <t>Several people are seen sitting in tubes at the top of a hill.</t>
  </si>
  <si>
    <t>The men speak to one another while one climbs in.</t>
  </si>
  <si>
    <t>The men all finally ride down the hill together while getting out in the end and laughing with one another.</t>
  </si>
  <si>
    <t>v_u0WgmhffTyI</t>
  </si>
  <si>
    <t>A male toddler is sitting on the floor near a female toddler and they are playing miniature floor foosball.</t>
  </si>
  <si>
    <t>The young male takes his hand and reaches inside to grab the soccer ball.</t>
  </si>
  <si>
    <t>As they keep playing, a set of feet appear and hold down the end of the board.</t>
  </si>
  <si>
    <t>Once they are removed,the two kids continue playing the game and moving the handles on the bars.</t>
  </si>
  <si>
    <t>The camera then zooms in on the boy and then the girl expressing their emotions.</t>
  </si>
  <si>
    <t>Each of them continues to play and adjust their body position as they become more focused.</t>
  </si>
  <si>
    <t>A goal is finally made and the girl goes into the goal and picks the ball out.</t>
  </si>
  <si>
    <t>v_Cul7VFkLTMc</t>
  </si>
  <si>
    <t>A group of surfers are on their boards surfing waves.</t>
  </si>
  <si>
    <t>One of the surfers is swallowed by one of the waves.</t>
  </si>
  <si>
    <t>Two surfers surf close to each other and are knocked down by a wave.</t>
  </si>
  <si>
    <t>A surfer is casually swimming when a wave crashes straight into him.</t>
  </si>
  <si>
    <t>A surfer attempts to surf but is quickly thrown off his board by a wave.</t>
  </si>
  <si>
    <t>v__LKFGLH8XxI</t>
  </si>
  <si>
    <t>A little girl is playing with a toy hair dryer.</t>
  </si>
  <si>
    <t>She continues playing with the toy hair dryer and talking.</t>
  </si>
  <si>
    <t>She picks up a toy curler and sets it down on the desk in front of her.</t>
  </si>
  <si>
    <t>v_TCFDMNSYTVw</t>
  </si>
  <si>
    <t>Two people are skiing, holding a rope.</t>
  </si>
  <si>
    <t>Waves are opened in their crest.</t>
  </si>
  <si>
    <t>They move under a small bridge.</t>
  </si>
  <si>
    <t>The boy in green bends over.</t>
  </si>
  <si>
    <t>The boy in green zooms out to the side.</t>
  </si>
  <si>
    <t>The boy moves to the side of the boat and then flips over the second skier.</t>
  </si>
  <si>
    <t>The boy leans back on his board and flips back over the other skier.</t>
  </si>
  <si>
    <t>The boy in green swings out again and flips over the skier giving him a high five.</t>
  </si>
  <si>
    <t>The two skiers have a conversation while riding.</t>
  </si>
  <si>
    <t>Both skiers swing out and swing to the other side of the boat.</t>
  </si>
  <si>
    <t>The boys continue to wave and talk.</t>
  </si>
  <si>
    <t>v_tEnhhhWqnWQ</t>
  </si>
  <si>
    <t>A woman does a dance with a hulahoop.</t>
  </si>
  <si>
    <t>She throws it up, catches it, and dances around the room.</t>
  </si>
  <si>
    <t>v_gPofktt3hUw</t>
  </si>
  <si>
    <t>A young man puts cement to the ceiling and even with a flat tool.</t>
  </si>
  <si>
    <t>the man wears stilts on his feet.</t>
  </si>
  <si>
    <t>The man puts cement on the empty spaces and strokes with the tool to even the ceiling.</t>
  </si>
  <si>
    <t>v_dxgeEdlt7do</t>
  </si>
  <si>
    <t>Dirt bikes race across a bumpy track.</t>
  </si>
  <si>
    <t>A rider falls off his bike and a trailing bike hits him and knocks him back to the ground.</t>
  </si>
  <si>
    <t>The words "2014 FIM MOTOCROSS WORLD CHAMPIONSHIP MXGP" appear on screen followed by social links.</t>
  </si>
  <si>
    <t>v_kBUDMFgWO9I</t>
  </si>
  <si>
    <t>A view of a very large diving platform with different heights is shown and people around the pool are walking.</t>
  </si>
  <si>
    <t>A person on one of the platforms dive into the pool.</t>
  </si>
  <si>
    <t>The diver hitting the pool causes a small splash.</t>
  </si>
  <si>
    <t>Video then freezes and there are no movements.</t>
  </si>
  <si>
    <t>v_YxUNzzrgJnI</t>
  </si>
  <si>
    <t>A car is driving down a road with passengers.</t>
  </si>
  <si>
    <t>The men gather on a bridge, adorning equipment.</t>
  </si>
  <si>
    <t>A man in a gorilla costume walks along the bridge.</t>
  </si>
  <si>
    <t>The men take turns bungee jumping from the bridge.</t>
  </si>
  <si>
    <t>The people wave as they drive away, then are shown posing for a picture.</t>
  </si>
  <si>
    <t>v_v05j8FVewPc</t>
  </si>
  <si>
    <t>A woman is talking and is excited.</t>
  </si>
  <si>
    <t>She pulls out a pink sweater to iron.</t>
  </si>
  <si>
    <t>She irons the pink sweater.</t>
  </si>
  <si>
    <t>v_9qNM5tNMxK4</t>
  </si>
  <si>
    <t>There are two players wearing a red and white shirt and the other wearing black and white shirt, playing racket ball in an indoor court with a few spectators.</t>
  </si>
  <si>
    <t>The player in red hits the ball with a front hand swing and his opponent leaps forward to return the ball.</t>
  </si>
  <si>
    <t>The player in red continues to swing his racket in a front hand as he never fails to miss a single shot.</t>
  </si>
  <si>
    <t>The player in black misses one shot, but he immediately grabs the ball and they continue to play again.</t>
  </si>
  <si>
    <t>Both the players continue on a great rally without missing a shot.</t>
  </si>
  <si>
    <t>The player in red runs swiftly across the court to hit the ball back.</t>
  </si>
  <si>
    <t>Then they play five rounds continuously using back hand swings until the player in black misses a shot.</t>
  </si>
  <si>
    <t>Then they begin their final round where the player in black and white ends the final shot.</t>
  </si>
  <si>
    <t>They end the game by shaking hands and walk out of the court.</t>
  </si>
  <si>
    <t>v_mwGs9TeYpM0</t>
  </si>
  <si>
    <t>A man is seen speaking to the camera in a large field while holding a lacrosse stick.</t>
  </si>
  <si>
    <t>He points to himself while holding up the stick and continues to speak to the camera and how to properly hold the stick.</t>
  </si>
  <si>
    <t>v_XuwqWdp-u2M</t>
  </si>
  <si>
    <t>A girl swings her stick away at a pinata.</t>
  </si>
  <si>
    <t>A group of people watch her from behind and cheer her on.</t>
  </si>
  <si>
    <t>She continues to swing away at the pinata and the object moves back and fourth in the wind.</t>
  </si>
  <si>
    <t>v_K8Fq9kjfK_U</t>
  </si>
  <si>
    <t>A camera pans around a large gymnasium and leads into two performers walking to the middle of the stage.</t>
  </si>
  <si>
    <t>The girls perform a dance routine use batons and end by holding a pose.</t>
  </si>
  <si>
    <t>v_MF3VcmCCgzY</t>
  </si>
  <si>
    <t>One woman and two men, wearing white pants, white shirt and black and white belts demonstrate martial arts moves, barefoot, on a large patch of grass in front of a body of water and a city scape of buildings.</t>
  </si>
  <si>
    <t>A woman with blonde hair in a ponytail and a black belt, demonstrates martial arts moves first exhibiting shoulder and arm moves and footwork.</t>
  </si>
  <si>
    <t>A man in a white belt demonstrates martial arts moves using knee bends.</t>
  </si>
  <si>
    <t>A third man in a black belt demonstrates martial arts moves exhibiting floor work, leg swipes and high kicks.</t>
  </si>
  <si>
    <t>v_LMxfRVcBrD8</t>
  </si>
  <si>
    <t>A woman chef is demonstrating how to make restaurant style pasta.</t>
  </si>
  <si>
    <t>She begins with adding spaghetti in a large pot of boiling water.</t>
  </si>
  <si>
    <t>She sautes chopped onions and some Italian dressing along with garlic on a saucepan.</t>
  </si>
  <si>
    <t>She then adds a cup of grape tomatoes.</t>
  </si>
  <si>
    <t>She checks the pasta for it's softness.</t>
  </si>
  <si>
    <t>She removes the cooked pasta off of the gas and pours it into a plate.</t>
  </si>
  <si>
    <t>Then she adds the cooked sauce right over the pasta.</t>
  </si>
  <si>
    <t>She chops fresh basil with a pair of scissors and garnishes it over the pasta along with some cheese Then she shows an Alfredo sauce recipe.</t>
  </si>
  <si>
    <t>She sprinkles grated Parmesan cheese over the Alfredo pasta to finish off.</t>
  </si>
  <si>
    <t>v_8HY9CPl9CqE</t>
  </si>
  <si>
    <t>A group of swimmers are getting ready to perform.</t>
  </si>
  <si>
    <t>The crowd watches the girls get ready.</t>
  </si>
  <si>
    <t>A girl dives off the diving board and people cheer.</t>
  </si>
  <si>
    <t>She climbs out of the pool while another swimmer gets ready to jump.</t>
  </si>
  <si>
    <t>v_2PCZkpF1_wU</t>
  </si>
  <si>
    <t>A large multilayer red velvet cake is shown, along with the multitude of ingredients.</t>
  </si>
  <si>
    <t>A hand turns on an oven, before mixing the ingredients together in a bowl.</t>
  </si>
  <si>
    <t>Throughout, some random tidbits and facts are shared.</t>
  </si>
  <si>
    <t>v_Z47Ig2AqKfg</t>
  </si>
  <si>
    <t>A man is on a stage amongst bright flashing lights and music.</t>
  </si>
  <si>
    <t>He is quickly playing a violin for the audience.</t>
  </si>
  <si>
    <t>He pauses to dance, then goes back to playing as they clap and cheer.</t>
  </si>
  <si>
    <t>v_wbrnTczxvVw</t>
  </si>
  <si>
    <t>There are two women dressed in black and blue tank tops demonstrating how to use the hula hoop.</t>
  </si>
  <si>
    <t>They both begin spinning with blue and silver hula hoops.</t>
  </si>
  <si>
    <t>They are in a spacious room with little furniture and hardwood floors.</t>
  </si>
  <si>
    <t>The woman in the blue tank top shows how to hula hoop in fast motion.</t>
  </si>
  <si>
    <t>Then both the women show how to twirl the hoop by raising it high up above their heads.</t>
  </si>
  <si>
    <t>They bend their backs to lower themselves down as the continue to hula hoop.</t>
  </si>
  <si>
    <t>They talk to each other as they share tips about ways to hula hoop.</t>
  </si>
  <si>
    <t>v_CF6Q5ojrAJo</t>
  </si>
  <si>
    <t>The men are taking turns chopping a log in two.</t>
  </si>
  <si>
    <t>The chop over and over again.</t>
  </si>
  <si>
    <t>The log breaks in two.</t>
  </si>
  <si>
    <t>v_D_zM6YmlUnw</t>
  </si>
  <si>
    <t>A woman wearing a tan apron is holding a knife and talking.</t>
  </si>
  <si>
    <t>She then shows an appliance on the table and tilts it upwards.</t>
  </si>
  <si>
    <t>She turns a dial on the appliance and sets it back down.</t>
  </si>
  <si>
    <t>She picks the knife back up and places it on the appliance.</t>
  </si>
  <si>
    <t>She turns the dial again on the appliance.</t>
  </si>
  <si>
    <t>She picks the knife back up and places it in the appliance and slowly draws it back several times.</t>
  </si>
  <si>
    <t>She slices a tomato on a wood block with the knife.</t>
  </si>
  <si>
    <t>She grabs a second knife and puts it in the appliance.</t>
  </si>
  <si>
    <t>v_pbTzltaBByk</t>
  </si>
  <si>
    <t>A close up of a hedge is shown followed by a man walking into frames with tools and beginning to cut the hedge.</t>
  </si>
  <si>
    <t>The man continues cutting all along the hedge while moving in and out of frame.</t>
  </si>
  <si>
    <t>v_woLR9wHe0Vs</t>
  </si>
  <si>
    <t>We see a man in a yard raking with a title on the screen.</t>
  </si>
  <si>
    <t>We see a tree trunk and leaves falling.</t>
  </si>
  <si>
    <t>We see the man talking and see the yard as he rakes.</t>
  </si>
  <si>
    <t>We then see the man as he blows it with a leaf blower and a vacuum.</t>
  </si>
  <si>
    <t>v_9-hrNWXnuY8</t>
  </si>
  <si>
    <t>Several images of dogs are shown outside in the field.</t>
  </si>
  <si>
    <t>A young woman then appears in a grassy field and play with her dog and throwing a red Frisbee to him.</t>
  </si>
  <si>
    <t>The girl then kneels down in the grass and holds the Frisbee over her head and congratulates her dog as the trick is completed and they continue to do it over and over again.</t>
  </si>
  <si>
    <t>v_lpZytCK-g1M</t>
  </si>
  <si>
    <t>A young boy kneels outside and washes his face and hands from small dishes, in front of him, filled with water and soap.</t>
  </si>
  <si>
    <t>A boy kneels in a corner of an outdoor patio in front of a row of bowls.</t>
  </si>
  <si>
    <t>The boy splashes water on his face and lathers his hands with soapy water from the dishes.</t>
  </si>
  <si>
    <t>The boy continues washing his face as a woman in a light colored dress garment walks past him.</t>
  </si>
  <si>
    <t>v_nT1-fINd4nA</t>
  </si>
  <si>
    <t>A person uses a leaf blows and blows leafs.</t>
  </si>
  <si>
    <t>The dog runs to the right and out of the path.</t>
  </si>
  <si>
    <t>The dog runs back and fort in front of the leaf blower.</t>
  </si>
  <si>
    <t>v_y7tActqdm9A</t>
  </si>
  <si>
    <t>Two wildebeests lock horns in a fight for dominance.</t>
  </si>
  <si>
    <t>The fight continues with the rest of the wildebeest herd looking on.</t>
  </si>
  <si>
    <t>The fight continues on as one wildabeast pushes the other away from the herd near a river.</t>
  </si>
  <si>
    <t>One wildebeest gives up and runs off as the other wildebeest chases.</t>
  </si>
  <si>
    <t>v_K7rfN2W0ts4</t>
  </si>
  <si>
    <t>A person's hands are seen at a poker table grabbing cards while another deals.</t>
  </si>
  <si>
    <t>The dealer continuously throws out cards while also putting chips in.</t>
  </si>
  <si>
    <t>The person playing does the same several times.</t>
  </si>
  <si>
    <t>v_cufmgoo7E_k</t>
  </si>
  <si>
    <t>An intro leads into a horse tied up to a calf with a man roping a rope around the animal.</t>
  </si>
  <si>
    <t>A man is then shown being interviewed on camera as well as an other woman beside him.</t>
  </si>
  <si>
    <t>v_oofh5aSJUSc</t>
  </si>
  <si>
    <t>A man wearing a ghost shirt is playing a game of beer pong.</t>
  </si>
  <si>
    <t>He lines up four cups, throwing the balls into the cups.</t>
  </si>
  <si>
    <t>He continues until all the balls have gone into the cups perfectly.</t>
  </si>
  <si>
    <t>v_r-rNYo8ju4k</t>
  </si>
  <si>
    <t>A group of men are all seen standing around one another on a beach while speaking and laughing to one another.</t>
  </si>
  <si>
    <t>Then men the begin putting sunscreen on one another down a line.</t>
  </si>
  <si>
    <t>v_p1pkFRHG7UY</t>
  </si>
  <si>
    <t>A tall building is shown with a tower.</t>
  </si>
  <si>
    <t>People are applauding for people that are jumping off of the top of the building.</t>
  </si>
  <si>
    <t>v_n5xfkpQ8PWM</t>
  </si>
  <si>
    <t>A woman wraps several Christmas gifts.</t>
  </si>
  <si>
    <t>A woman smiles and cuts a wrapping paper with a scissor.</t>
  </si>
  <si>
    <t>The woman places a teddy bear in a bowl.</t>
  </si>
  <si>
    <t>A woman puts two crystal presents in a white and pink box.</t>
  </si>
  <si>
    <t>A woman holds up a covered gift wrapped in silver wrapping paper.</t>
  </si>
  <si>
    <t>A woman places a jewelry box in a box.</t>
  </si>
  <si>
    <t>The woman presents a gold bowl.</t>
  </si>
  <si>
    <t>The woman holds out stacked, wrapped gifts with her hands.</t>
  </si>
  <si>
    <t>The woman blows glitter papers from the palm of her hand.</t>
  </si>
  <si>
    <t>The sponsor of the clips is introduced and displayed on the screen.</t>
  </si>
  <si>
    <t>v_bfZZdTPYmos</t>
  </si>
  <si>
    <t>There's a man wearing a white graphic shirt, sitting with bongo drums drumming a beat on the drums.</t>
  </si>
  <si>
    <t>He is wearing headphones as he drums a beat on the drums.</t>
  </si>
  <si>
    <t>He continues playing the drums.</t>
  </si>
  <si>
    <t>After a while he changes the beat after pausing for a little time.</t>
  </si>
  <si>
    <t>Then continues playing another beat on the drums.</t>
  </si>
  <si>
    <t>Then he stops for a little bit and rearranges the drums to play again.</t>
  </si>
  <si>
    <t>Another person is drumming beats on an electrical drum set that has several drums.</t>
  </si>
  <si>
    <t>v_kHyEIbBnzYM</t>
  </si>
  <si>
    <t>A man is seen walking over to a young girl who stands on a stage and begins performing martial arts.</t>
  </si>
  <si>
    <t>She performs several flips and tricks and bows to a man in the end while everyone claps for her.</t>
  </si>
  <si>
    <t>v_rBQO0Nf05vg</t>
  </si>
  <si>
    <t>The man in black shirt and blue jeans is rolling an old red carpet and vacuum the floor.</t>
  </si>
  <si>
    <t>He then unroll the new gray carpet, install it by cutting it and nailing the carpet on the floor, he removed the excess carpet on the wall, flattened it with a tool, then vacuum once the installation is complete.</t>
  </si>
  <si>
    <t>v_jXARa4T2G8o</t>
  </si>
  <si>
    <t>An intro leads into a camera panning around various snow locations with people moving and plows moving.</t>
  </si>
  <si>
    <t>The camera shows several different people stretching and warming up followed by two people falling over and standing up.</t>
  </si>
  <si>
    <t>Several clips are shown of snow boarders doing tricks on a mountain as well as jumps and grinds.</t>
  </si>
  <si>
    <t>v_8Yfm6gbKRho</t>
  </si>
  <si>
    <t>A man runs onto the field of a sporting game.</t>
  </si>
  <si>
    <t>Cricket players are pitched balls during a game in a large stadium.</t>
  </si>
  <si>
    <t>The cricket player hits a high pop fly that is caught.</t>
  </si>
  <si>
    <t>The cricket players pose for photos.</t>
  </si>
  <si>
    <t>The players all line up for a race on the adjacent track.</t>
  </si>
  <si>
    <t>v_xmGucghu2FI</t>
  </si>
  <si>
    <t>An intro of text leads into several clips of athletes throwing javelins off into the distance.</t>
  </si>
  <si>
    <t>The video continues with several more athletes being shown performing impressive throws with the Javelin.</t>
  </si>
  <si>
    <t>v_zh2Thxc6NVI</t>
  </si>
  <si>
    <t>A man in a red jacket is talking on a hockey rink.</t>
  </si>
  <si>
    <t>Several people start playing hockey on the ice.</t>
  </si>
  <si>
    <t>He gives another player a hug.</t>
  </si>
  <si>
    <t>v_3nLA8R3ULSE</t>
  </si>
  <si>
    <t>man is riding a motorbike in a dusty path inside a dome.</t>
  </si>
  <si>
    <t>motorbikes are riding bikes doing motocross in a field inside a dome.</t>
  </si>
  <si>
    <t>people are in bikes in a competition.</t>
  </si>
  <si>
    <t>v_5sYPXv0RkiM</t>
  </si>
  <si>
    <t>A man stands next to a pile of wood holding tools on his shoulders.</t>
  </si>
  <si>
    <t>The man uses a large ax to chop logs standing upright in a grassy forested area area.</t>
  </si>
  <si>
    <t>v_3dR4MEUDHa0</t>
  </si>
  <si>
    <t>Two men are playing ping pong together, one guy is wearing a black suit, the guy in the black suit has a unique style.</t>
  </si>
  <si>
    <t>The man in the black suit spikes the ping pong ball and celebrates.</t>
  </si>
  <si>
    <t>The camera scene switches to show the players from another perspective, the player in the black suit makes another spike on the ball.</t>
  </si>
  <si>
    <t>Now two players proceed to play the player in the black suit at once, he spiked the ball on both players.</t>
  </si>
  <si>
    <t>The man in the black suit is using nunchucks to play ping pong, they now have 4 players playing against him, the man in the black suit taunts them by reading a book while playing, he also pauses the ping pong balls, takes a sip of water and resumes The man starts laughing at them, and the men are frustrated.</t>
  </si>
  <si>
    <t>A final challenger arrives and walks towards him.</t>
  </si>
  <si>
    <t>The challenger spikes the ball so hard it kills him.</t>
  </si>
  <si>
    <t>v_MEwGjGcV_Ik</t>
  </si>
  <si>
    <t>Two people front to front push discs on the floor with a stick in a gym.</t>
  </si>
  <si>
    <t>A man pass on front a clock.</t>
  </si>
  <si>
    <t>v_FkQ1V0V_XCs</t>
  </si>
  <si>
    <t>A lady sits and discusses, indoors.</t>
  </si>
  <si>
    <t>The lady shows off her painted nails.</t>
  </si>
  <si>
    <t>The lady presents her nail polishes.</t>
  </si>
  <si>
    <t>The lady paints her fingernail.</t>
  </si>
  <si>
    <t>The puts nail polish on a folder and uses them to embellish her fingernail.</t>
  </si>
  <si>
    <t>The lady raises her foot and shows off her sock.</t>
  </si>
  <si>
    <t>v_OUY4TkdjnyA</t>
  </si>
  <si>
    <t>The topic of the video shows how to play foosball.</t>
  </si>
  <si>
    <t>It begins with a title screen.</t>
  </si>
  <si>
    <t>Then a clip is shown of a little boy who puts a ball shaped like an eyeball on a foosball table.</t>
  </si>
  <si>
    <t>A screen with words shows up.</t>
  </si>
  <si>
    <t>Then, a clip is shown of two boys playing with the foosball table, one of whom is reading a magazine while playing.</t>
  </si>
  <si>
    <t>Several additional clips appear showing the boys playing foosball in different ways.</t>
  </si>
  <si>
    <t>The video ends with one of the boys falling asleep while playing.</t>
  </si>
  <si>
    <t>v_tuhHQ-lHIs4</t>
  </si>
  <si>
    <t>A group of kids poses with the arms in the air.</t>
  </si>
  <si>
    <t>Another group of kids poses holding up peace signs.</t>
  </si>
  <si>
    <t>A third group of kids poses with their arms around each other.</t>
  </si>
  <si>
    <t>A fourth group of kids poses with their mouths open.</t>
  </si>
  <si>
    <t>A fifth group of kids poses smiling.</t>
  </si>
  <si>
    <t>A group of kids stands on a line in a gym.</t>
  </si>
  <si>
    <t>A girl flips across the gym.</t>
  </si>
  <si>
    <t>A young boy bounces a dodge ball.</t>
  </si>
  <si>
    <t>A group of kids in blue all run toward the center of the gym.</t>
  </si>
  <si>
    <t>A young boy aims a dodge ball at a group of kids on the opposite side of the gym and throws the ball hitting one of them.</t>
  </si>
  <si>
    <t>A young boy in blue celebrates.</t>
  </si>
  <si>
    <t>Another older boy in blue throws a dodge ball.</t>
  </si>
  <si>
    <t>A little boy runs to the line holding two balls and throws one of them.</t>
  </si>
  <si>
    <t>A boy in blue throws a ball while a boy behind him runs.</t>
  </si>
  <si>
    <t>A boy in pink throws a ball.</t>
  </si>
  <si>
    <t>A young boy in white dips down and a ball flies over his head.</t>
  </si>
  <si>
    <t>A boy in pink and then a girl in pink throw a ball.</t>
  </si>
  <si>
    <t>several kids in white celebrate.</t>
  </si>
  <si>
    <t>A group of kids runs toward the center of the gym.</t>
  </si>
  <si>
    <t>The white team plays and a very young player throws the ball.</t>
  </si>
  <si>
    <t>A boy in green throws the ball and the blue team runs to throw several balls back.</t>
  </si>
  <si>
    <t>Another boy and girl run and throw a ball at the same time.</t>
  </si>
  <si>
    <t>A boy in white throws a ball.</t>
  </si>
  <si>
    <t>A group of adults stands on the line on the gym floor.</t>
  </si>
  <si>
    <t>The adults play do0dge ball.</t>
  </si>
  <si>
    <t>A group of kids and adults hold up trophy's and wave.</t>
  </si>
  <si>
    <t>v_6Pj1Ocz8MUo</t>
  </si>
  <si>
    <t>A teen skateboard down a road while turning around and spinning.</t>
  </si>
  <si>
    <t>Another youth skateboard on the road while making turns.</t>
  </si>
  <si>
    <t>A boy holds a skateboard on his hand.</t>
  </si>
  <si>
    <t>A young man skateboard until a busy street, then the teen continue skateboarding.</t>
  </si>
  <si>
    <t>v_hzU9--vcDMY</t>
  </si>
  <si>
    <t>A man puts on paintball gear in a mirror grabs his gun and runs through the snow.</t>
  </si>
  <si>
    <t>Men duck behind trees, plywood walls and fences on a paintball field.</t>
  </si>
  <si>
    <t>Men shoot back and forth at each other.</t>
  </si>
  <si>
    <t>Men run and duck looking for a place to hide.</t>
  </si>
  <si>
    <t>The men sit on either side of the wall looking for each other then stand up and face each other.</t>
  </si>
  <si>
    <t>A man talks in front of a paintball park sign.</t>
  </si>
  <si>
    <t>v_QBlveXzAZsY</t>
  </si>
  <si>
    <t>Several bikes are in a shop lined up.</t>
  </si>
  <si>
    <t>We see people looking at the bikes, and a large box containing one.</t>
  </si>
  <si>
    <t>A man opens the box and removes the bike, He shows the pieces to the camera.</t>
  </si>
  <si>
    <t>v_OYMGPkucZYI</t>
  </si>
  <si>
    <t>Ehow and Style are on the screen.</t>
  </si>
  <si>
    <t>A woman is standing at a table with a shoe and a can of hairspray.</t>
  </si>
  <si>
    <t>The woman sprays hairspray on a scuff mark on the shoe and takes a cotton tip and rubs the scuff mark out.</t>
  </si>
  <si>
    <t>The scuff mark is gone and she talks to the camera.</t>
  </si>
  <si>
    <t>The video ends with a ehow promo.</t>
  </si>
  <si>
    <t>v_cTbkhIaj_Xc</t>
  </si>
  <si>
    <t>A group of men are standing a field and a man rolls a red ball to the other team and it is kicked out.</t>
  </si>
  <si>
    <t>After,the team switches and continue to play games of kickball.</t>
  </si>
  <si>
    <t>Now two more teams approach and the captains play Rock,Paper,Scissor to determine who will start the game.</t>
  </si>
  <si>
    <t>The woman loses and the men begin to play kicking the ball and running to the bases.</t>
  </si>
  <si>
    <t>v_xF7etZzLFbY</t>
  </si>
  <si>
    <t>A man walks alongside a boy who is mowing the lawn.</t>
  </si>
  <si>
    <t>He instructs the boy on how to turn the mower and go around a small tree.</t>
  </si>
  <si>
    <t>He continues walking and guiding the boy.</t>
  </si>
  <si>
    <t>v_RQwgREUcreI</t>
  </si>
  <si>
    <t>A woman holding a doll undoes curlers from the dolls hair.</t>
  </si>
  <si>
    <t>The woman shoes off the dolls hair.</t>
  </si>
  <si>
    <t>The woman turns the doll around to show off the back of the dolls head.</t>
  </si>
  <si>
    <t>The woman continues to show off the dolls hair.</t>
  </si>
  <si>
    <t>v_D1x5KVBdiuI</t>
  </si>
  <si>
    <t>A person is seen putting a weight on followed by a woman lifting a bar up over her head.</t>
  </si>
  <si>
    <t>Another person is seen after her lifting up a large set of weights over their heads.</t>
  </si>
  <si>
    <t>Several more people are seen lifting heavy weights over their heads while others watch on the side.</t>
  </si>
  <si>
    <t>v_J5xPmg3tmtg</t>
  </si>
  <si>
    <t>A man is seen speaking to the camera while holding sponge and a sander in each hand.</t>
  </si>
  <si>
    <t>The man then wets the sander and uses it along a set of skis.</t>
  </si>
  <si>
    <t>He guides it along the ski and stops to speak to the camera and smile.</t>
  </si>
  <si>
    <t>v_Yfg0bZbxjVg</t>
  </si>
  <si>
    <t>A lady sits on a bathtub and talks while playing with a dog.</t>
  </si>
  <si>
    <t>The lady puts the dog in the water and washes him.</t>
  </si>
  <si>
    <t>The lady adds more soap.</t>
  </si>
  <si>
    <t>The lady rinses the dog and wraps in him in a mustard orange towel.</t>
  </si>
  <si>
    <t>the lady sits and talks as the dog sits in her lap.</t>
  </si>
  <si>
    <t>The ending credits roll up the screen.</t>
  </si>
  <si>
    <t>v_P62B_iDlQXM</t>
  </si>
  <si>
    <t>A circle of green grass is shown with a trail of rocks surrounding it,a brick wall,and some trees.</t>
  </si>
  <si>
    <t>A man then comes and starts to cut the grass going around its perimeter.</t>
  </si>
  <si>
    <t>After,he takes the lawn mower and starts going vertically across the grass until the whole thing has been completed.</t>
  </si>
  <si>
    <t>v_-ucwgrxTBEg</t>
  </si>
  <si>
    <t>Two people are demonstrating Tai Chi.</t>
  </si>
  <si>
    <t>There is a garden with colorful flowers shown outside the Tai Chi school building.</t>
  </si>
  <si>
    <t>The instructors wearing blue robes are showing the basic moves used in Tai Chi.</t>
  </si>
  <si>
    <t>They are swaying their hands above their heads from left to right.</t>
  </si>
  <si>
    <t>Then the instructor demonstrates arm strength by tapping his right arm over his extended left arm.</t>
  </si>
  <si>
    <t>Both the instructors stand facing each other as they demonstrate slow and gradual hand movements.</t>
  </si>
  <si>
    <t>v_FbvTQ1-FCag</t>
  </si>
  <si>
    <t>A man is shooting a bow and arrow.</t>
  </si>
  <si>
    <t>The dart board that they are shooting at is shown.</t>
  </si>
  <si>
    <t>People are celebrating and clapping hands.</t>
  </si>
  <si>
    <t>v_j7rvKBvvvRg</t>
  </si>
  <si>
    <t>A man is on front a sink talking and wash a dish, then he puts it on the counter.</t>
  </si>
  <si>
    <t>The man put dish soap on a dish and scrub it while rinsing with water.</t>
  </si>
  <si>
    <t>Then the man shows his tattooed arms, then continues washing dishes.</t>
  </si>
  <si>
    <t>v_SNuH7bpgHuY</t>
  </si>
  <si>
    <t>The two bulls run into each other and they bump heads fighting until they knock each other down.</t>
  </si>
  <si>
    <t>Then the people run over to them and some are holding rope, while one checks on it's bloody head.</t>
  </si>
  <si>
    <t>v_16T82DHJClA</t>
  </si>
  <si>
    <t>The door opens and another man comes in and arm wrestles.</t>
  </si>
  <si>
    <t>They start fighting in the room.</t>
  </si>
  <si>
    <t>They arm wrestle again at the table.</t>
  </si>
  <si>
    <t>v_g0ns-bQ4PjE</t>
  </si>
  <si>
    <t>The lady in pink is belly dancing on the stage.</t>
  </si>
  <si>
    <t>The man is playing a keyboard, while the other man is playing the drum.</t>
  </si>
  <si>
    <t>The lady turned around, swirling around the stage and shake her hips.</t>
  </si>
  <si>
    <t>v_8GeLWWLIar4</t>
  </si>
  <si>
    <t>We see a dancing man on the cover of a book then on a street.</t>
  </si>
  <si>
    <t>We see the man sitting on the floor talking to a camera.</t>
  </si>
  <si>
    <t>We see the man illustrating break dance moves.</t>
  </si>
  <si>
    <t>The man is talking and sitting still.</t>
  </si>
  <si>
    <t>We see the man dance fast.</t>
  </si>
  <si>
    <t>We see the man perform a leg sweep move.</t>
  </si>
  <si>
    <t>We see an animated close scene and a subscribe page.</t>
  </si>
  <si>
    <t>v_kUxz_SPi72U</t>
  </si>
  <si>
    <t>A man is seen kneeling down beside a tire while holding up various tools.</t>
  </si>
  <si>
    <t>The man then takes off a hubcap and places it back on the tire.</t>
  </si>
  <si>
    <t>He turns to speak to the camera.</t>
  </si>
  <si>
    <t>v_xSMmdsV65Bc</t>
  </si>
  <si>
    <t>A White plastering tool is shown with a brown wooden handle on it.</t>
  </si>
  <si>
    <t>A person then picks it up and begins to bend it showing how the object works.</t>
  </si>
  <si>
    <t>After,the object is demonstrated on the corner of the walls and then the plaster is washed off in the grass.</t>
  </si>
  <si>
    <t>v_xr64cSwpNOM</t>
  </si>
  <si>
    <t>A man competes in a strong man competition and stands on a log chopping it with an ax in hand.</t>
  </si>
  <si>
    <t>The man finally splits the log below his feet.</t>
  </si>
  <si>
    <t>A second man in the competition in vest picks up and drops a large spherical weight on a tire repeatedly.</t>
  </si>
  <si>
    <t>A A man in red steps onto a log and receives an ax by a referee.</t>
  </si>
  <si>
    <t>v_wAt_OsQe-qM</t>
  </si>
  <si>
    <t>A man is talking inside a room in a house.</t>
  </si>
  <si>
    <t>He is holding a stick and violin.</t>
  </si>
  <si>
    <t>He then demonstrates how to play the violin.</t>
  </si>
  <si>
    <t>v_1G3rv9ssDY4</t>
  </si>
  <si>
    <t>Two professional bikers are biking at the Peckham BMX Club.</t>
  </si>
  <si>
    <t>The bikers are going over a curbed surface at full speed.</t>
  </si>
  <si>
    <t>There are several other bikers doing the same activity on another curved surface.</t>
  </si>
  <si>
    <t>There are five bikers wearing helmets standing ready to start a race.</t>
  </si>
  <si>
    <t>They begin racing at high speed over a curved road.</t>
  </si>
  <si>
    <t>Two more batches of racers start the same race.</t>
  </si>
  <si>
    <t>A single biker is going through the curved road at very high speed.</t>
  </si>
  <si>
    <t>v_hHxEBnhLsXs</t>
  </si>
  <si>
    <t>A person perform wake board holding a ski water rope.</t>
  </si>
  <si>
    <t>The man jumps an obstacle several times and lands in the water.</t>
  </si>
  <si>
    <t>Then, the man jumps the obstacle and spin around.</t>
  </si>
  <si>
    <t>Then, the man slides on ramps while flipping in the air.</t>
  </si>
  <si>
    <t>v_w8gNl6HWctA</t>
  </si>
  <si>
    <t>A man exercises by doing animated stretches in a doorway while holding a tennis racket.</t>
  </si>
  <si>
    <t>A woman approaches him and the two begin to talk.</t>
  </si>
  <si>
    <t>The man and woman begin to play tennis in a closed gym room by hitting the tennis ball against a wall with their tennis racket.</t>
  </si>
  <si>
    <t>The man becomes irate as he plays and begins stomping, yelling, wildly gesturing and pushing the woman down on the floor when she falls as they play the game.</t>
  </si>
  <si>
    <t>When the game ends the woman leaves, looking upset and the man looks satisfied as he begins doing wild stretches in front of the doorway and talking to another person.</t>
  </si>
  <si>
    <t>v__aEA1UuTai8</t>
  </si>
  <si>
    <t>A girl is standing on top of a balance beam.</t>
  </si>
  <si>
    <t>She does forward flips on the beam.</t>
  </si>
  <si>
    <t>She watches as other girls do the same.</t>
  </si>
  <si>
    <t>v_bAD_-DEgubk</t>
  </si>
  <si>
    <t>There's a young boy playing lacrosse in his front yard.</t>
  </si>
  <si>
    <t>he is holding a yellow lacrosse stick.</t>
  </si>
  <si>
    <t>He is excited as he plays the game while his mother cheers him up to play.</t>
  </si>
  <si>
    <t>He picks up the yellow ball and throws it across to his father.</t>
  </si>
  <si>
    <t>When his father throws the ball to him, he catches it with the lacrosse stick.</t>
  </si>
  <si>
    <t>His mother gets excited and shouts out for him.</t>
  </si>
  <si>
    <t>v_XFlWVBU4z9E</t>
  </si>
  <si>
    <t>A woman attempts to remove her coffee from a glove compartment, but it won't budge.</t>
  </si>
  <si>
    <t>She leans forward, waving away the camera man as she tries to take a drink.</t>
  </si>
  <si>
    <t>She finally is able to remove the cup.</t>
  </si>
  <si>
    <t>v_yE5euaQmcXw</t>
  </si>
  <si>
    <t>A man is seen grabbing a puck and curling along the ice in front of others.</t>
  </si>
  <si>
    <t>The people push the puck down the ice and celebrate with one another.</t>
  </si>
  <si>
    <t>People on the sidelines cheer and the men walk away.</t>
  </si>
  <si>
    <t>v_c7fu7RcM2iE</t>
  </si>
  <si>
    <t>A group of men do freestyle running jumps throughout the city.</t>
  </si>
  <si>
    <t>The men run together in a group.</t>
  </si>
  <si>
    <t>Each man does a set of multiple jumps in a continuous line.</t>
  </si>
  <si>
    <t>The filming is interrupted by building staff.</t>
  </si>
  <si>
    <t>v_wiflxvRl04M</t>
  </si>
  <si>
    <t>A woman is seen walking into frame and nodding at the camera that leads into her pouring mouthwash out and into her mouth.</t>
  </si>
  <si>
    <t>She rinses the mouthwash around, gurgles the liquid into her mouth, then spits it out and smiles.</t>
  </si>
  <si>
    <t>v_po_mfZ5LUVo</t>
  </si>
  <si>
    <t>A young man stands on the start line of a swimming pool.</t>
  </si>
  <si>
    <t>Then, the young man gets in the water and swims to the other side of the pull.</t>
  </si>
  <si>
    <t>After, the young man gets off the pool.</t>
  </si>
  <si>
    <t>v_wfUKi83iJCU</t>
  </si>
  <si>
    <t>Two men are showering in an outside shower.</t>
  </si>
  <si>
    <t>People are playing water polo in the water.</t>
  </si>
  <si>
    <t>They get out of the water and are walking next to the pool.</t>
  </si>
  <si>
    <t>v_fUivipdikFU</t>
  </si>
  <si>
    <t>A group of women are gathered in an indoor gym.</t>
  </si>
  <si>
    <t>They are being led by an instructor.</t>
  </si>
  <si>
    <t>They are doing zumba dances using steppers.</t>
  </si>
  <si>
    <t>v_g_qHPA0RkAY</t>
  </si>
  <si>
    <t>A line of knives and cutting utensils are on a table.</t>
  </si>
  <si>
    <t>A woman is cutting the top off of a pumpkin and raking the seeds into a bowl.</t>
  </si>
  <si>
    <t>Then she begins gutting the seeds from the pumpkin.</t>
  </si>
  <si>
    <t>She draws a face on the outside before using a knife to begin carving out the face of her pumpkin.</t>
  </si>
  <si>
    <t>Finally she places the top back in place, and puts a candle inside.</t>
  </si>
  <si>
    <t>v_fqOp0uhdEyM</t>
  </si>
  <si>
    <t>Michele Obama and another woman are hula hooping outside on a sunny day.</t>
  </si>
  <si>
    <t>As the camera zooms out a young boy and another woman to the side are also seen hula hooping while people behind run past.</t>
  </si>
  <si>
    <t>A closeup back to Michele Obama's face where she looks like she is getting quite the workout, making a smirk on her face.</t>
  </si>
  <si>
    <t>The camera angles down to just the two women's hips with the hula hoops as in the beginning and back up to mostly just seeing Michele's face.</t>
  </si>
  <si>
    <t>Michele now runs and jumps into a jumprope where she fails to successfully jump in the jump rope twice, both times looking embarrassed.</t>
  </si>
  <si>
    <t>The third time she prepares herself and runs towards the jump rope successfully jumping a couple times before being unable to do anymore.</t>
  </si>
  <si>
    <t>Now Michele is running through a foot course on the ground, while a young man trails behind.</t>
  </si>
  <si>
    <t>She is now going back and forth through another obstacle of sticks and runs towards the woods where she stops and points.</t>
  </si>
  <si>
    <t>She runs all the way back down the field, giving high fives to random people on the field at her arrival.</t>
  </si>
  <si>
    <t>v_YFIkhFEtD8w</t>
  </si>
  <si>
    <t>A person's hands are seen close up solving a rubix cube followed by a man speaking to the camera.</t>
  </si>
  <si>
    <t>The man then solves a rubix cube blind folded while a timer captures his score.</t>
  </si>
  <si>
    <t>He finishes the cube and takes off the headpiece in the end.</t>
  </si>
  <si>
    <t>v_i7L1KNGeEqU</t>
  </si>
  <si>
    <t>snowboarder is in big field in white snow.</t>
  </si>
  <si>
    <t>a cubicle in the mountain and slip down the mountain in snowboard.</t>
  </si>
  <si>
    <t>people is in cubicle and moving down the mountain in snowboard and pass by a parking lot.</t>
  </si>
  <si>
    <t>v_Is0_Qv6NLm0</t>
  </si>
  <si>
    <t>Two young guys stand together and hold up money.</t>
  </si>
  <si>
    <t>The young guys talk to a homeless man and shake his hand.</t>
  </si>
  <si>
    <t>The men talk with a homeless youth sitting outside a store.</t>
  </si>
  <si>
    <t>The group all walks together down a street.</t>
  </si>
  <si>
    <t>The men hold an arm wrestling contest standing on an outside patio.</t>
  </si>
  <si>
    <t>The man wins and both contestants are given prize money.</t>
  </si>
  <si>
    <t>v_99dCcB5Unmo</t>
  </si>
  <si>
    <t>A dancer's feet are shown in a classroom as well as a ballet class occurring in the background.</t>
  </si>
  <si>
    <t>The teacher instructs the girls how to perform proper ballet moves, as the students follow.</t>
  </si>
  <si>
    <t>The girls move their arms in the correct position and eventually turn to one side.</t>
  </si>
  <si>
    <t>Finally the instructor teaches the girls to extend their legs and perform a proper move.</t>
  </si>
  <si>
    <t>v_V1CX5B7ih6c</t>
  </si>
  <si>
    <t>Two men are on a padded surface, fighting.</t>
  </si>
  <si>
    <t>They jump and kick at each other.</t>
  </si>
  <si>
    <t>They roll around on the mat until one of them pins the other.</t>
  </si>
  <si>
    <t>v_-kAlrG4jS9M</t>
  </si>
  <si>
    <t>A man is shown bullfighting in front of a crowd.</t>
  </si>
  <si>
    <t>The man falls and is run over by the bull.</t>
  </si>
  <si>
    <t>The man is escorted out of the arena.</t>
  </si>
  <si>
    <t>The man falling over and being run over is replayed.</t>
  </si>
  <si>
    <t>Two people are shown reacting to the incident.</t>
  </si>
  <si>
    <t>Slow motion video and still images of the man's injury are shown.</t>
  </si>
  <si>
    <t>The video content repeats starting from the two people reacting.</t>
  </si>
  <si>
    <t>v_b82y7f7TFbw</t>
  </si>
  <si>
    <t>A woman talks about playing pool.</t>
  </si>
  <si>
    <t>She explains the right way to stand and how to shoot a ball when playing pool.</t>
  </si>
  <si>
    <t>v_y5wu5pysE14</t>
  </si>
  <si>
    <t>A guy runs and jumps over a pole without touching it and lands on mats,as some people in the back ground watch and others do there practices.</t>
  </si>
  <si>
    <t>the guy seems to be practicing how high he can jump by jumping over the pole many times,each time a person raises the pole higher and higher to see if the guy can jump over it.</t>
  </si>
  <si>
    <t>one jump the guy knocked the pole down when he tried to hump over it.</t>
  </si>
  <si>
    <t>the guy knock the pole down six time out of all his jumps.</t>
  </si>
  <si>
    <t>v_dpU5CcFqAPU</t>
  </si>
  <si>
    <t>Players are pulling the rope in a tug of war match.</t>
  </si>
  <si>
    <t>A man squats on the floor and rises.</t>
  </si>
  <si>
    <t>Guys pulling the left side of the rope falls to the ground.</t>
  </si>
  <si>
    <t>The guys let go of the rope, get off the lawn, and hug in celebration.</t>
  </si>
  <si>
    <t>v_tvzl11XL01k</t>
  </si>
  <si>
    <t>There's a woman dressed in a beige sweater demonstrating how to wrap Christmas gifts.</t>
  </si>
  <si>
    <t>she begins with cutting the gift wrapping paper neatly to fit the size of the box.</t>
  </si>
  <si>
    <t>She folds the paper evenly to cover the entire box.</t>
  </si>
  <si>
    <t>Then she uses scotch tape to seal the ends securely.</t>
  </si>
  <si>
    <t>She takes some decorative ribbon and other decorative items to top the box to add a special touch to the presents.</t>
  </si>
  <si>
    <t>v_MO8Dfz2Lp3w</t>
  </si>
  <si>
    <t>A group of young men play volleyball on a sandy beach in front of the ocean.</t>
  </si>
  <si>
    <t>A group of men in swim trunks and bikini briefs play volleyball in the sand at the beach in front of a tall green volley ball net.</t>
  </si>
  <si>
    <t>The men are competitive as they play using feet and head and chest to move the ball around.</t>
  </si>
  <si>
    <t>One man is lying on the sand and then gets up to play more volleyball.</t>
  </si>
  <si>
    <t>v_lO2Y1vkpyNc</t>
  </si>
  <si>
    <t>A man is seen hosting a news segment that leads into a player standing on a field.</t>
  </si>
  <si>
    <t>A person hits a ball and teammates cheer followed by more people playing the game.</t>
  </si>
  <si>
    <t>The sport continues on with people throwing balls an hitting them as well as teammates cheering and the host finishes speaking.</t>
  </si>
  <si>
    <t>v_iVGGeRlJekQ</t>
  </si>
  <si>
    <t>a stands woman by a ball and sets it in place.</t>
  </si>
  <si>
    <t>Another woman appears and they wrap the ball in wrapping paper.</t>
  </si>
  <si>
    <t>They finish wrapping and taping the ball.</t>
  </si>
  <si>
    <t>they take the camera and start to talk into it.</t>
  </si>
  <si>
    <t>v_ClE77VhGQsk</t>
  </si>
  <si>
    <t>A woman is seen speaking to the camera while people use exercise equipment around her.</t>
  </si>
  <si>
    <t>More shots are shown of people using the machine as well as people speaking to the camera and close ups of the machine.</t>
  </si>
  <si>
    <t>v_AJtJcV2_l1Q</t>
  </si>
  <si>
    <t>A construction man introduces the video and talks about placing shingles on a roof.</t>
  </si>
  <si>
    <t>He places some shingles down and nails them in.</t>
  </si>
  <si>
    <t>He nails in a metal piece that runs along the corner of the roof and building to help keep things in place.</t>
  </si>
  <si>
    <t>He repeats this process before closing the video.</t>
  </si>
  <si>
    <t>v_JAO5R6VA8r4</t>
  </si>
  <si>
    <t>A shot of a room is shown when a man walks into frame.</t>
  </si>
  <si>
    <t>The man then begins jump roping over and over again.</t>
  </si>
  <si>
    <t>He continues to jump rope and ends by walking out of frame.</t>
  </si>
  <si>
    <t>v_J8VMY1SPJaY</t>
  </si>
  <si>
    <t>A woman is seen speaking to the camera that leads into clips of people riding in kayaks and camels wandering around.</t>
  </si>
  <si>
    <t>More clips are shown of people riding around the water in a kayak.</t>
  </si>
  <si>
    <t>The person paddles themselves along the water with other people riding near him.</t>
  </si>
  <si>
    <t>v_35Xzs3Bz1hQ</t>
  </si>
  <si>
    <t>A working man carried a tray of coffee to a table with guest.</t>
  </si>
  <si>
    <t>Another man is talking to some reporters with the microphone.</t>
  </si>
  <si>
    <t>Another entrepreneur talks with the the reporters about the coffee business.</t>
  </si>
  <si>
    <t>Then they are in the coffee shop them making coffee and working around.</t>
  </si>
  <si>
    <t>v_ojQdrhHT_gE</t>
  </si>
  <si>
    <t>People are driving in bumper cars and bump into one another and are forced to stop.</t>
  </si>
  <si>
    <t>The three bumper cars break away and begin to drive in different directions as they continue to bump into one another.</t>
  </si>
  <si>
    <t>Two girls in a bumper car bump into a wall and briefliy have a hard time getting back to moving.</t>
  </si>
  <si>
    <t>People are constantly driving their bumper cars and bumping into things until the ride is over.</t>
  </si>
  <si>
    <t>v_kC8DS6b76yI</t>
  </si>
  <si>
    <t>There's a man wearing a black shirt and a green bandana demonstrating how to spray paint a microfiber sofa.</t>
  </si>
  <si>
    <t>He is using a red can of spray paint to demonstrate how to paints a cream colored sofa with red paint.</t>
  </si>
  <si>
    <t>He continues to spray paint the back and the arm rests of the sofa.</t>
  </si>
  <si>
    <t>He then places one unpainted of the seat cushions back on the sofa.</t>
  </si>
  <si>
    <t>v_coK0QVLhuj0</t>
  </si>
  <si>
    <t>Several shots of people grooming dogs are shown as well as a woman speaking to the camera in several settings.</t>
  </si>
  <si>
    <t>Dogs are seen being scrubbed, nails clipped, and brushed down with combs by several people and another woman showing off the collars they have in store.</t>
  </si>
  <si>
    <t>More shots of the store are shown as well as many dogs being groomed.</t>
  </si>
  <si>
    <t>v_5VHqMj5iikc</t>
  </si>
  <si>
    <t>A bike is pulled up to a stop in a park.</t>
  </si>
  <si>
    <t>A rider takes off from a gate on the dirt bike.</t>
  </si>
  <si>
    <t>He takes the turns and curves sharply, going over hills.</t>
  </si>
  <si>
    <t>v_eu3CLlQ9c2s</t>
  </si>
  <si>
    <t>A man replaces a tire on his bike rim using tools.</t>
  </si>
  <si>
    <t>The man reattaches the bicycle wheel to the frame of the bike.</t>
  </si>
  <si>
    <t>The sun goes down as the day gets later.</t>
  </si>
  <si>
    <t>The man stands up his bike and gets ready to depart.</t>
  </si>
  <si>
    <t>v_uZpVDAd7da8</t>
  </si>
  <si>
    <t>person with scissors kneels in the grass.</t>
  </si>
  <si>
    <t>We see the shadow of the cameraman over the person.</t>
  </si>
  <si>
    <t>The person is cutting grass with child proof scissors.</t>
  </si>
  <si>
    <t>v_hyv8OkQcgEA</t>
  </si>
  <si>
    <t>Men blows dead leaves pushing a leaf blower machine on the ground or holding a machine on the back.</t>
  </si>
  <si>
    <t>Then, a man explains how to operate a leaf blow machine while men continue blowing the leaves.</t>
  </si>
  <si>
    <t>Another man explains while other men vacuum and blows leaves.</t>
  </si>
  <si>
    <t>v_U2u9JboK97A</t>
  </si>
  <si>
    <t>We see an image and a title card.</t>
  </si>
  <si>
    <t>We see a man playing basketball.</t>
  </si>
  <si>
    <t>The shot he made is seen in reverse.</t>
  </si>
  <si>
    <t>We see a gym with teenagers shooting basketball.</t>
  </si>
  <si>
    <t>We see a title card on black.</t>
  </si>
  <si>
    <t>A man is shooting basketball in a gym.</t>
  </si>
  <si>
    <t>We see a man dunk the ball twice.</t>
  </si>
  <si>
    <t>We see the ending title card on black.</t>
  </si>
  <si>
    <t>v_9YxgMsdO9GE</t>
  </si>
  <si>
    <t>Two people are seen riding down a road with a dog.</t>
  </si>
  <si>
    <t>One person is riding a bike and the other a skateboard while the camera follows close behind.</t>
  </si>
  <si>
    <t>Several other dogs run by and the people continue riding down the road path.</t>
  </si>
  <si>
    <t>v_tTIsHfF0UgA</t>
  </si>
  <si>
    <t>man is holding a pole with an ice cream and giving it to a little child.</t>
  </si>
  <si>
    <t>people are standing and walking behind the boy in a amusement park.</t>
  </si>
  <si>
    <t>v_O9crPOB_9tE</t>
  </si>
  <si>
    <t>A man is surfing in rough ocean water, riding on and against, massive high waves while onlookers on motorboats watch and commentate.</t>
  </si>
  <si>
    <t>The man, in a wetsuit, is standing and riding on a yellow surfboard and a red surfboard first on a calm wave and then on a series of large and high waves.</t>
  </si>
  <si>
    <t>The man rides the rough waves on the surfboard with the waves at time covering his entire body and surfboard.</t>
  </si>
  <si>
    <t>The man hugs and shakes hands with people upon completing the rough surf episode and rides one last lone, high wave before fading to black.</t>
  </si>
  <si>
    <t>v_GZsplhHXQy0</t>
  </si>
  <si>
    <t>A man performs a kettle throw in front of an outdoor stadium filled with spectators in the audience.</t>
  </si>
  <si>
    <t>A man on a round dirt area on a field swings a ball around and around while standing in place.</t>
  </si>
  <si>
    <t>The man lets the ball go, where it flies in the air ahead of him.</t>
  </si>
  <si>
    <t>The man stops and bends with his knees as he watches the ball fly in the air.</t>
  </si>
  <si>
    <t>v_PG3f3Wkkptk</t>
  </si>
  <si>
    <t>A man guides a camel with kids riding on the back along a beach shoreline.</t>
  </si>
  <si>
    <t>Beach goers stand and walk along the shoreline in bathing suits.</t>
  </si>
  <si>
    <t>v_lAa8tS962Qg</t>
  </si>
  <si>
    <t>A teen explains how to flip and turn a surfboard with the feet.</t>
  </si>
  <si>
    <t>Then, the teen shows how to rise the tips of the surfboard.</t>
  </si>
  <si>
    <t>Then, the teen stands on the surfboard and demonstrates how to turn it to the side.</t>
  </si>
  <si>
    <t>After, the teen puts his hand in shoes on the surfboard and demonstrates a turn.</t>
  </si>
  <si>
    <t>Next, the teen make the turn with his feet.</t>
  </si>
  <si>
    <t>v_Quj1J31xQFM</t>
  </si>
  <si>
    <t>People are rowing down a body of water.</t>
  </si>
  <si>
    <t>A guy rinses his face with water from the body of water.</t>
  </si>
  <si>
    <t>The guy runs his water fingers through this hair.</t>
  </si>
  <si>
    <t>A man with a mustache leans over, wets his hand, and whips his face.</t>
  </si>
  <si>
    <t>v_EJr0qHpy77g</t>
  </si>
  <si>
    <t>A guy stands in a court holding a colorful stick and touches a pinata.</t>
  </si>
  <si>
    <t>A guy swings a stick at a pinata.</t>
  </si>
  <si>
    <t>The guy stops and puts the stick besides him.</t>
  </si>
  <si>
    <t>v_gXVjjjvjVf4</t>
  </si>
  <si>
    <t>A man is seated in front of a small canvas.</t>
  </si>
  <si>
    <t>He uses a long pointed brush to create an image.</t>
  </si>
  <si>
    <t>He then fills the image with paints.</t>
  </si>
  <si>
    <t>v_8v4NoUJMssI</t>
  </si>
  <si>
    <t>A man pours coffee into a mug.</t>
  </si>
  <si>
    <t>The man grabs open a beer bottle with the use of a jug.</t>
  </si>
  <si>
    <t>The man pours the beer into the mug.</t>
  </si>
  <si>
    <t>The man drinks the drink.</t>
  </si>
  <si>
    <t>v_rWoSJ9YBy5E</t>
  </si>
  <si>
    <t>We see a man talking to a camera then hold a curling stone then people laughing at the man.</t>
  </si>
  <si>
    <t>The man throws the curling stone as people sweep brooms in front of the stone.</t>
  </si>
  <si>
    <t>Three ladies throw the stone and slides down the track.</t>
  </si>
  <si>
    <t>We see people partying an lights flashing.</t>
  </si>
  <si>
    <t>Images flash of people curing again, and a group of people jump in the air.</t>
  </si>
  <si>
    <t>We see a title screen for curling.</t>
  </si>
  <si>
    <t>v_DuLweixeP8I</t>
  </si>
  <si>
    <t>Two people are sword fighting on a stage for an audience.</t>
  </si>
  <si>
    <t>A guy gestures the the result of each match.</t>
  </si>
  <si>
    <t>The audience members look on.</t>
  </si>
  <si>
    <t>v_HtuDZLsOK6M</t>
  </si>
  <si>
    <t>Various shots of scenery are shown and leads to a person scratching a dog and pulling a rope.</t>
  </si>
  <si>
    <t>More shots of people riding a boat are shown, seagulls flying, and people playing music.</t>
  </si>
  <si>
    <t>Next a person is seen drawing on a map and ends with an anchor and pictures of people.</t>
  </si>
  <si>
    <t>v_Kz6I9Zx5E_0</t>
  </si>
  <si>
    <t>A team of young cheerleaders are in a gym doing toss ups and flips.</t>
  </si>
  <si>
    <t>The owner then comes along and begins to talk as the video goes over the materials each person will need.</t>
  </si>
  <si>
    <t>After,three girls are shown standing in a straddle position and begins to clap and lunge with their right hand to the side and go down.</t>
  </si>
  <si>
    <t>The girls continue to do the cheer and when they are done, the owner joins in.</t>
  </si>
  <si>
    <t>Once the coach disappears,the girls continue the cheer and the video ends.</t>
  </si>
  <si>
    <t>v_SzLlB2SgtQo</t>
  </si>
  <si>
    <t>The video leads into several shots of different people riding around windsurfing while passing one another.</t>
  </si>
  <si>
    <t>A man is seen talking to the camera and leads into a shot of a person wind surfing and waving to the camera.</t>
  </si>
  <si>
    <t>More people are shown surfing and waving to the camera while moving around the ocean continuously.</t>
  </si>
  <si>
    <t>v_LHiui4s2X1s</t>
  </si>
  <si>
    <t>Two people are seen standing in front of a large crowd with one cheering and shoving his arms back and fourth.</t>
  </si>
  <si>
    <t>The men throw the ball back and fourth and switch places with another, ending with the same man cheering and hugging another.</t>
  </si>
  <si>
    <t>v_AjSFqqfzml0</t>
  </si>
  <si>
    <t>We see a play button on a screen.</t>
  </si>
  <si>
    <t>We sees a lady shave her legs with a pink razor.</t>
  </si>
  <si>
    <t>We then see the ending screen play button.</t>
  </si>
  <si>
    <t>v_N7z9_g196z0</t>
  </si>
  <si>
    <t>Titles in bold lettering are seen on the page against still images and a dark background.</t>
  </si>
  <si>
    <t>Men play a game of croquet in a grassy yard.</t>
  </si>
  <si>
    <t>Men kneels down and hits the croquet ball like a billiard shot.</t>
  </si>
  <si>
    <t>The man runs holding up his stick celebrating.</t>
  </si>
  <si>
    <t>A man skips on the grass holding his stick smiling.</t>
  </si>
  <si>
    <t>v_YLT7YEwUCwI</t>
  </si>
  <si>
    <t>A man is seen speaking to the camera and leads into him sitting still in a pool.</t>
  </si>
  <si>
    <t>The man then begins swimming around the pool back and fourth with others.</t>
  </si>
  <si>
    <t>Several shots are shown of him swimming around people as well as moving in the water.</t>
  </si>
  <si>
    <t>v_UyThFVEvNsI</t>
  </si>
  <si>
    <t>Two women are playing badminton on a stage.</t>
  </si>
  <si>
    <t>People are playing the game of the price is right.</t>
  </si>
  <si>
    <t>A woman wins and walks on the stage to give the host a hug.</t>
  </si>
  <si>
    <t>v_jDlF26-Uu2I</t>
  </si>
  <si>
    <t>Two girls are standing on a grass field.</t>
  </si>
  <si>
    <t>One of the girls starts doing cheerleading moves.</t>
  </si>
  <si>
    <t>The other girl stands next to her talking.</t>
  </si>
  <si>
    <t>v__I1DKeGg_w8</t>
  </si>
  <si>
    <t>A man is practicing throwing darts at his dart board.</t>
  </si>
  <si>
    <t>He throws them all and then he has to get over to get them all off.</t>
  </si>
  <si>
    <t>Once he has them all off he starts to throw them again.</t>
  </si>
  <si>
    <t>He repeats this cycle a few times over and over again.</t>
  </si>
  <si>
    <t>v_H5TETCI731k</t>
  </si>
  <si>
    <t>A man talks indoors, then a lady talks in a field while girls runs on her side.</t>
  </si>
  <si>
    <t>The lady talks with girls who plays a game hitting a ball with a stick.</t>
  </si>
  <si>
    <t>Girls take turns to talk, while other players practice shooting balls to the goal and display the city of Baltimore, the players of the Ravens and the roads of the city.</t>
  </si>
  <si>
    <t>v_r1ZhBGLfRWY</t>
  </si>
  <si>
    <t>A boy is twirled around and prepared to break a pinata.</t>
  </si>
  <si>
    <t>Instead he hits a girl in the face.</t>
  </si>
  <si>
    <t>v_kAmDOTsp5cs</t>
  </si>
  <si>
    <t>A man skip rope in a drive way, then the man jumps and skip rope.</t>
  </si>
  <si>
    <t>After, the man holds the rope on his left hand and skip while turning the rope.</t>
  </si>
  <si>
    <t>Next, the man alternate skipping rope and flip the rope side to side on front.</t>
  </si>
  <si>
    <t>Also, the man jump rope criss cross and jumps rope double.</t>
  </si>
  <si>
    <t>Then the man jumps rope doing squatting jumps and jump lunges.</t>
  </si>
  <si>
    <t>v_Tu1oKxyfHTs</t>
  </si>
  <si>
    <t>A male is wearing black and white swimming shorts, standing at the edge of a diving board, bounces a few times and then jumps out of view and into the water.</t>
  </si>
  <si>
    <t>An older shirtless man wearing black shorts begins to walk on the same board of the male who previously jumped but then stops.</t>
  </si>
  <si>
    <t>On a shorter board a male wearing blue swim underwear walks to the edge of the board jumps a few times, stops, turns around and walks back.</t>
  </si>
  <si>
    <t>The male walks to the edge of the board again, jumps a few times, then once again turns around and walks back.</t>
  </si>
  <si>
    <t>The male tries one more time and walks to the edge of the diving board and finally jumps and does a few flips before landing in the water and then swims to the edge of the pool.</t>
  </si>
  <si>
    <t>v_K-t4tUTq_Ik</t>
  </si>
  <si>
    <t>People are standing on a tennis court.</t>
  </si>
  <si>
    <t>They are playing a game of tennis.</t>
  </si>
  <si>
    <t>A man in a white shirt hits the tennis ball.</t>
  </si>
  <si>
    <t>v_vpu4Bwq-xHI</t>
  </si>
  <si>
    <t>There are lots of adults in the room (elderly or young) and they're all watching this girl play the clarinet.</t>
  </si>
  <si>
    <t>First the girl walks to the front of the classroom as she holds her clarinet and the man who plays the piano gets up from his seat to play the piano.</t>
  </si>
  <si>
    <t>Then he starts playing the piano and she plays the clarinet along with the piano, when she's done everyone claps for her.</t>
  </si>
  <si>
    <t>v_uqzy1FAUpPM</t>
  </si>
  <si>
    <t>A man gets ready to to preform an event.</t>
  </si>
  <si>
    <t>He begins to start running fast.</t>
  </si>
  <si>
    <t>He is running down the lane and the he jumps 3 times into the sand.</t>
  </si>
  <si>
    <t>He runs out of the pit happily.</t>
  </si>
  <si>
    <t>He continues to walk around cheering as it cuts to the crowd and announcers.</t>
  </si>
  <si>
    <t>He blows a kiss to the crowd.</t>
  </si>
  <si>
    <t>He goes and starts hugging fans.</t>
  </si>
  <si>
    <t>v_Nc71GzZhAHE</t>
  </si>
  <si>
    <t>cars are driving in a snowy highway.</t>
  </si>
  <si>
    <t>a sign to a sugar mountain is shown and peolpe practicing snowboard.</t>
  </si>
  <si>
    <t>people is snowboarding down a snowy hill.</t>
  </si>
  <si>
    <t>snowy cars are riding in snowy hill.</t>
  </si>
  <si>
    <t>men are snowboarding in a hill.</t>
  </si>
  <si>
    <t>v_FEGf7ejk8Fc</t>
  </si>
  <si>
    <t>A young child is seen sitting in a chair in front of a table with a large body.</t>
  </si>
  <si>
    <t>The hands are then seen writing a note and rubbing against the face while the child laughs and the hands continue moving.</t>
  </si>
  <si>
    <t>v_qbUQVhjQJ48</t>
  </si>
  <si>
    <t>A man pushes a disc in front of a hopscotch game.</t>
  </si>
  <si>
    <t>Another person pushes a disc towards the hopscotch.</t>
  </si>
  <si>
    <t>The first man makes a funny face.</t>
  </si>
  <si>
    <t>v_XzNMQl0EdEo</t>
  </si>
  <si>
    <t>A lone man in a room with a green screen backdrop performs a break dancing move on a patch of hardwood floors, using his back to spin.</t>
  </si>
  <si>
    <t>The man stops dancing and stands in front of the camera talking to it before demonstrating basic break dance moves including using the hands and knees to perform spins from the floor.</t>
  </si>
  <si>
    <t>The man continues to demonstrate break dance moves and talk to the camera until he gives a peace sign to the camera and the screen fades to a marketing graphic.</t>
  </si>
  <si>
    <t>v_M6i-5nzy5Bk</t>
  </si>
  <si>
    <t>Clips of women and men are pole vaulting indoors while a lot of people are moving about around them or just watching, and a banner at the bottom reads that it's at "Texas Elite Pole Vaulting Competition Bell County Expo Center on 12 28 13".</t>
  </si>
  <si>
    <t>As various clips of different people are pole vaulting, a man and woman are standing indoors next to one another and talking to the camera with the words at the bottom of the screen say their names are Kaitlin Petrillose &amp; Jack Chapman Competitor &amp; Chairman".</t>
  </si>
  <si>
    <t>The view blurs and white words on the screen appear in the middle and say "Killeen Daily Herald By Marianne Gish".</t>
  </si>
  <si>
    <t>v_Yd0q08-cpJU</t>
  </si>
  <si>
    <t>A curtain is seen, and a belly dancer walks onto the stage.</t>
  </si>
  <si>
    <t>She performs for the audience, shaking her hips and sucking her belly in and out.</t>
  </si>
  <si>
    <t>When she finishes, she throws her arms into the air and the screen goes black.</t>
  </si>
  <si>
    <t>v_lUrHCNqVl-A</t>
  </si>
  <si>
    <t>An athletic man is seen standing in a circle followed by spinning around and throwing an object off into the distance.</t>
  </si>
  <si>
    <t>More people are seen stepping up throwing the object while the camera watches.</t>
  </si>
  <si>
    <t>Several people watch on the sidelines.</t>
  </si>
  <si>
    <t>v_9peoWGfb9jc</t>
  </si>
  <si>
    <t>A man is seen putting tape on a set of skis on each end and begins rubbing wax on the ski.</t>
  </si>
  <si>
    <t>The man then takes a sander and runs it all along the length of the ski.</t>
  </si>
  <si>
    <t>The man then takes a board and rubs it along the ski and ends by taking it off.</t>
  </si>
  <si>
    <t>v_a7DEFV0_nCE</t>
  </si>
  <si>
    <t>A large beach is shown as well as people standing around on the beach and looking at the sky.</t>
  </si>
  <si>
    <t>People are seen flying kites up in the air while people look around and watch.</t>
  </si>
  <si>
    <t>More people are seen flying kites up in the air with some grabbing them off the ground.</t>
  </si>
  <si>
    <t>v_QHF28_yGOV8</t>
  </si>
  <si>
    <t>A man in a black wet suit and carrying a surfboard is talking to the camera man, about to get in the water.</t>
  </si>
  <si>
    <t>Dramatic music plays while showing various clips of surfers in the water, riding waves.</t>
  </si>
  <si>
    <t>The video ends as the man in the black wet suit comes on shore after riding a wave and smiling.</t>
  </si>
  <si>
    <t>v_-YMpwZkNc2A</t>
  </si>
  <si>
    <t>A man walks into frame and speaks to the camera while holding a razor and razor heads in his hands.</t>
  </si>
  <si>
    <t>A scene appears over the man's video and he is seen rubbing cream on his face and shaving off the hair.</t>
  </si>
  <si>
    <t>He leaves a bit of hair on his chin and is seen again speaking to the camera and walks away.</t>
  </si>
  <si>
    <t>v_x7lP6GKepco</t>
  </si>
  <si>
    <t>Various people are shown in a workshop working while pushing objects, driving machinery, working machinery and etcetera.</t>
  </si>
  <si>
    <t>A woman is shown putting a long metal piece into a large machinery and the words "TODAY'S TOPIC: WELDING" appears on the screen followed by a person wearing a mask and welding with a torch.</t>
  </si>
  <si>
    <t>A woman is now standing at a machine and she is grabbing various metal objects and putting them into a machine that welds them together.</t>
  </si>
  <si>
    <t>The outro appears and it's a white screen with a red and blue logo, website and hashtag information.</t>
  </si>
  <si>
    <t>v_bwcgMTHFRV8</t>
  </si>
  <si>
    <t>A large band is walking down a parade and there a lot of people walking alongside, and standing on the sidelines watching or taking photos and videos.</t>
  </si>
  <si>
    <t>The view changes to women carrying and swinging flags on a pole and then switches back to the large band that comes to a stop and continues to play for the crowd.</t>
  </si>
  <si>
    <t>The band resumes walking and so does the crowd around and behind them.</t>
  </si>
  <si>
    <t>v_G-xh30e4s8E</t>
  </si>
  <si>
    <t>A man sits in a room in front of a flag.</t>
  </si>
  <si>
    <t>He is playing a black wind instrument.</t>
  </si>
  <si>
    <t>His fingers position over the holes.</t>
  </si>
  <si>
    <t>He is wearing sunglasses as he plays.</t>
  </si>
  <si>
    <t>v_Jy9kiITFsjI</t>
  </si>
  <si>
    <t>People are in the stands of an arena.</t>
  </si>
  <si>
    <t>A bull gets drug out of the arena by horses.</t>
  </si>
  <si>
    <t>A woman is talking to the camera.</t>
  </si>
  <si>
    <t>v_CDWHstJThJA</t>
  </si>
  <si>
    <t>A group of young Asian men are indoors with a lot of spectators in the stands holding signs and cheering them on.</t>
  </si>
  <si>
    <t>Two young Asian men stand up with their bow and arrows and they each take turns at shooting at their bulls eye target while the crowd cheers them on after each shot is made, and occasionally 3 suited people are shown making commentaries.</t>
  </si>
  <si>
    <t>When the men are done shooting at the target,one of them raise their arm in victory, they shake each others hands,hug, take a bow and wave to the cheering crowd.</t>
  </si>
  <si>
    <t>v_zm8gZpwZkRE</t>
  </si>
  <si>
    <t>A woman is in a room with chairs.</t>
  </si>
  <si>
    <t>She is playing the violin.</t>
  </si>
  <si>
    <t>Two men are playing drums with her.</t>
  </si>
  <si>
    <t>The camera pans between them.</t>
  </si>
  <si>
    <t>v_dVLIfsEMD8Y</t>
  </si>
  <si>
    <t>A man is throwing darts on to a dart board.</t>
  </si>
  <si>
    <t>He throws one and makes it to the center of the board.</t>
  </si>
  <si>
    <t>He throws again and also makes it to the center.</t>
  </si>
  <si>
    <t>Every single shot makes it right in the center of the board.</t>
  </si>
  <si>
    <t>v_-cwPzzcNpGs</t>
  </si>
  <si>
    <t>Two men sit together at a booth and compete in an arm wrestling match.</t>
  </si>
  <si>
    <t>The friends gathered around watching make challenges with the arm wrestlers after the match.</t>
  </si>
  <si>
    <t>The men shake hands and talk after the match.</t>
  </si>
  <si>
    <t>v_I5N4rwhRa0o</t>
  </si>
  <si>
    <t>The title and logo appear on the screen.</t>
  </si>
  <si>
    <t>A man holding a saxophone plays and talks to the camera in between.</t>
  </si>
  <si>
    <t>A man holds the saxophone up to show the bottom.</t>
  </si>
  <si>
    <t>The man takes the mouthpiece off his saxophone, and replaces it.</t>
  </si>
  <si>
    <t>We see a closeup of the man playing the saxophone, it zooms out and in on him again.</t>
  </si>
  <si>
    <t>We see a closeup of the opening of the horn.</t>
  </si>
  <si>
    <t>The screen goes black and we see the end screen.</t>
  </si>
  <si>
    <t>v_uYLYJABDubw</t>
  </si>
  <si>
    <t>We see two ladies arm wrestling.</t>
  </si>
  <si>
    <t>The right lady looks at the camera.</t>
  </si>
  <si>
    <t>The right lady wins the match.</t>
  </si>
  <si>
    <t>The left lady drops her head to the table.</t>
  </si>
  <si>
    <t>The right lady throws her arms in the air and talks to the camera.</t>
  </si>
  <si>
    <t>v_wqM6TdjBCfs</t>
  </si>
  <si>
    <t>A man chops wood with an ax on the snow.</t>
  </si>
  <si>
    <t>A person stands behind the man.</t>
  </si>
  <si>
    <t>A person handles the spliced firewood to a man.</t>
  </si>
  <si>
    <t>The man continues chopping firewood with the ax.</t>
  </si>
  <si>
    <t>The ax gets stack in a piece of wood, but the man get it off and continues cutting the firewood.</t>
  </si>
  <si>
    <t>v_ZksAXEVmFrg</t>
  </si>
  <si>
    <t>An elderly white woman with short blonde hair and glasses begins talking in the corner of the gymnasium.</t>
  </si>
  <si>
    <t>The small girls then enter the gym and a male coach begins assisting them as they walk across the balance beam.</t>
  </si>
  <si>
    <t>v_fm4ZaId1sL0</t>
  </si>
  <si>
    <t>An Asian woman wearing a blue shirt and begins talking and throwing her hands up at the camera.</t>
  </si>
  <si>
    <t>She then grabs an iron and continues to iron a yellow piece of cloth on the ironing board.</t>
  </si>
  <si>
    <t>Once the front is finished,she grabs it and flips it over so she can complete the ironing.</t>
  </si>
  <si>
    <t>v_qPZwXF1Xcpw</t>
  </si>
  <si>
    <t>The camera pans over a grass field surrounded by a track, with people doing indistinct things in the background.</t>
  </si>
  <si>
    <t>A man is shown engaging in shot put.</t>
  </si>
  <si>
    <t>Judges measure the man's throw.</t>
  </si>
  <si>
    <t>The audience is shown clapping as the man receives congratulations from people nearby.</t>
  </si>
  <si>
    <t>A replay of the throw is shown.</t>
  </si>
  <si>
    <t>v_4aiE_-yQWZE</t>
  </si>
  <si>
    <t>Several people are dressed in sweatsuits rolling out mats in a large gym.</t>
  </si>
  <si>
    <t>After the mats are rolled out,other individuals begin walking across the floor dressed in fencing uniforms.</t>
  </si>
  <si>
    <t>The athletes then begin walking around and talking to each other as a small mascot walks across the mat.</t>
  </si>
  <si>
    <t>Finally,a match begins and once it is over about five of the individuals pose for a picture.</t>
  </si>
  <si>
    <t>The camera then speeds up and shows several teams and people entering and leaving the gym.</t>
  </si>
  <si>
    <t>Next,fencing matches are shown between about 12 pairs of people and they line up and give each other a high five before huddling up and having a talk with their coach.</t>
  </si>
  <si>
    <t>v_W8eqlIPRWCk</t>
  </si>
  <si>
    <t>A black screen appears with blue letters that say "Jayne Clarke Field Hockey Clips 2009".</t>
  </si>
  <si>
    <t>The clips begin to play and there are a series of small clips put together of the girl playing with a team, practicing alone, and practicing on a course.</t>
  </si>
  <si>
    <t>The video ends with the girl practicing alone on a empty and large blue indoor court.</t>
  </si>
  <si>
    <t>v_6tdIiKzMVcg</t>
  </si>
  <si>
    <t>We see strong men arm wrestling.</t>
  </si>
  <si>
    <t>We see two men hug after the match.</t>
  </si>
  <si>
    <t>A host in a white suit narrates.</t>
  </si>
  <si>
    <t>We see a camera man right behind the table.</t>
  </si>
  <si>
    <t>The final match starts and ends very quickly and the men hug.</t>
  </si>
  <si>
    <t>We see a mirage of images.</t>
  </si>
  <si>
    <t>v_R8RrOgz9hj8</t>
  </si>
  <si>
    <t>A large group of people are seen riding down multiple rafts down a rigorous river while paddling continuously.</t>
  </si>
  <si>
    <t>Several shots are shown of the people riding down while holding their sticks up into the air and ends with people stopping to eat.</t>
  </si>
  <si>
    <t>v_iODCh_DsGak</t>
  </si>
  <si>
    <t>A man in a suit and a woman in a dress are standing in front of an audience.</t>
  </si>
  <si>
    <t>They begin to dance on the floor.</t>
  </si>
  <si>
    <t>They finish dancing and the audience claps.</t>
  </si>
  <si>
    <t>v_WreRcthWXv8</t>
  </si>
  <si>
    <t>A person is holding onto a motorcycle wearing roller blades and being dug along a street.</t>
  </si>
  <si>
    <t>A man is standing by a fountain of water.</t>
  </si>
  <si>
    <t>People are doing roller skating tricks.</t>
  </si>
  <si>
    <t>v_7FtSO6hPcxU</t>
  </si>
  <si>
    <t>A man talks to the camera in a close up view.</t>
  </si>
  <si>
    <t>Scenes of the man's daily activities are shown.</t>
  </si>
  <si>
    <t>Scenes of the man getting serviced at a hair salon is shown, usually with other individuals in the background.</t>
  </si>
  <si>
    <t>Scenes of the man talking to the camera with various others are shown.</t>
  </si>
  <si>
    <t>More scenes from the hair salon are shown.</t>
  </si>
  <si>
    <t>v_47SHPAe0s0k</t>
  </si>
  <si>
    <t>Three men are seen riding on top of horses around one another and leads into a bull running in and chasing a man on a horse.</t>
  </si>
  <si>
    <t>The man rides around the bull and shows several more shots of the riders riding around the bull.</t>
  </si>
  <si>
    <t>At one point more men run into the pit and the bull lays down on it's side while the audience cheers and the man holds his arms up.</t>
  </si>
  <si>
    <t>v_CAa74sedG9A</t>
  </si>
  <si>
    <t>Kids are on a field, kicking a ball back and forth.</t>
  </si>
  <si>
    <t>A girl runs up and kicks at the boy.</t>
  </si>
  <si>
    <t>She runs down the sideline and tries to take the ball while other girls watch from the sidelines.</t>
  </si>
  <si>
    <t>The kids continue playing until the clip ends.</t>
  </si>
  <si>
    <t>v_WlsVDIIo2dk</t>
  </si>
  <si>
    <t>Several couples of men and women are shown performing a tango routine in front of a group of people.</t>
  </si>
  <si>
    <t>Many people watch on the sides and one couple laughs and walk away in the end.</t>
  </si>
  <si>
    <t>v_Ib1xMq2aUl0</t>
  </si>
  <si>
    <t>These 3 men are shown rollerblading outdoors in the middle of the street.</t>
  </si>
  <si>
    <t>They are dancing, going in circles, and spinning around.</t>
  </si>
  <si>
    <t>v__7JooVc_sCQ</t>
  </si>
  <si>
    <t>A group of bike riders are awaiting to start a race, eventually all falling down when the gate open.</t>
  </si>
  <si>
    <t>A close up shot of a bike is done while a man puts his gear on to ride.</t>
  </si>
  <si>
    <t>One rider is shown riding around while another does various tricks.</t>
  </si>
  <si>
    <t>Several different bikers are shown riding up and down tracks and flying through at record speeds.</t>
  </si>
  <si>
    <t>v__vVKdZM5Cy8</t>
  </si>
  <si>
    <t>A man is shown holding a volleyball talking to the camera and leads into showing various jumps.</t>
  </si>
  <si>
    <t>He continues talking to the camera and moving around the gym hitting the ball.</t>
  </si>
  <si>
    <t>v_gsfIHiBB6xE</t>
  </si>
  <si>
    <t>The men on the field grab their tools.</t>
  </si>
  <si>
    <t>We see men in a field cutting tall grass as other watch.</t>
  </si>
  <si>
    <t>The left man uses a sickle and takes the lead over the man with the weed wacker.</t>
  </si>
  <si>
    <t>The man with the sickle finishes.</t>
  </si>
  <si>
    <t>The crowd claps for the man.</t>
  </si>
  <si>
    <t>The shirtless man walks away.</t>
  </si>
  <si>
    <t>The camera pans right to show the other man working on the grass.</t>
  </si>
  <si>
    <t>v_xrbKvttgcMA</t>
  </si>
  <si>
    <t>A boy is standing on a court holding a racquet in his right hand, a ball comes his way and he hits it very hard.</t>
  </si>
  <si>
    <t>The boy walks towards the left and a man is there hitting the ball and he and the boy go back and forth taking turns hitting the ball very hard against the wall in front of them.</t>
  </si>
  <si>
    <t>The ball rolls on the ground, the boy picks it up and hits it to the wall and once more the man hits the ball and the camera points to the ground.</t>
  </si>
  <si>
    <t>v_WC3GCmEqCBc</t>
  </si>
  <si>
    <t>A chef is seen standing behind a counter speaking to the camera.</t>
  </si>
  <si>
    <t>The man is then seen holding up several tools and presenting them to the camera.</t>
  </si>
  <si>
    <t>The man then uses the tool in a bowl of salad and presents it to the camera.</t>
  </si>
  <si>
    <t>v_84g4J1rxkQc</t>
  </si>
  <si>
    <t>A man is in the woods, balancing on a tight rope.</t>
  </si>
  <si>
    <t>He walks back and forth on the rope, then jumps.</t>
  </si>
  <si>
    <t>v_rs7er4e67ec</t>
  </si>
  <si>
    <t>The video begins with details of a field hockey team's victory in the final championship game.</t>
  </si>
  <si>
    <t>The stadium shows the two teams competing in the game hockey.</t>
  </si>
  <si>
    <t>The crowd is loudly cheering as one team becomes victorious.</t>
  </si>
  <si>
    <t>The players jump on each other with joy as they celebrate.</t>
  </si>
  <si>
    <t>There is a stage of singers performing live music as they celebrate the victory of the winning team.</t>
  </si>
  <si>
    <t>v_0FTaJwbFdZI</t>
  </si>
  <si>
    <t>A woman is doing a dance routine on a stage.</t>
  </si>
  <si>
    <t>She twirls and kicks her legs around.</t>
  </si>
  <si>
    <t>She moves all around the stages and bends her body in numerous ways.</t>
  </si>
  <si>
    <t>She continues shaking her body for the audience to see.</t>
  </si>
  <si>
    <t>She shakes her hips back and fourth while moving her arms in various ways.</t>
  </si>
  <si>
    <t>v_mnS-nMZne3I</t>
  </si>
  <si>
    <t>A man walks onto a diving board.</t>
  </si>
  <si>
    <t>He jumps on the diving board several times and jumps into a pool.</t>
  </si>
  <si>
    <t>The man surfaces and stands up in the pool.</t>
  </si>
  <si>
    <t>v_rq-Xyoo5Rs0</t>
  </si>
  <si>
    <t>People are doing flips by running and jumping to the wall.</t>
  </si>
  <si>
    <t>boys do back flips on a blue mat.</t>
  </si>
  <si>
    <t>A kid jumps over several other kids laying on the mat.</t>
  </si>
  <si>
    <t>Two guys body roll with each other on the mat.</t>
  </si>
  <si>
    <t>v_BTtMoBOHrlQ</t>
  </si>
  <si>
    <t>Two men are posing in a photo for martial arts.</t>
  </si>
  <si>
    <t>A group is gathered inside a room, shown in various martial arts poses.</t>
  </si>
  <si>
    <t>They change movements, text on the screen showing what they are doing.</t>
  </si>
  <si>
    <t>It ends with an ad for the school.</t>
  </si>
  <si>
    <t>v_mwndGBRpOPg</t>
  </si>
  <si>
    <t>A person is seen riding a surfboard with a kite on top along the water.</t>
  </si>
  <si>
    <t>The person pushes themselves up into the air and flips back down.</t>
  </si>
  <si>
    <t>He continues riding along the water.</t>
  </si>
  <si>
    <t>v_CrCtYGvG9Uw</t>
  </si>
  <si>
    <t>A man is talking to a camera about his hair.</t>
  </si>
  <si>
    <t>Another man comes in and begins cutting the first boy's fair.</t>
  </si>
  <si>
    <t>He brushes his hair and cuts through it with a fine comb.</t>
  </si>
  <si>
    <t>The stylist performs various styles and techniques on the hair.</t>
  </si>
  <si>
    <t>The stylist puts gel in the hair and the boy is finished with his cut.</t>
  </si>
  <si>
    <t>v_fYuJdh9gqr0</t>
  </si>
  <si>
    <t>A man in a hard hat is looking at a building.</t>
  </si>
  <si>
    <t>A second man walks up and shakes the first mans hand.</t>
  </si>
  <si>
    <t>Both men acknowledge the building and discuss.</t>
  </si>
  <si>
    <t>Three men are spackling the wall as two comparisons are shown.</t>
  </si>
  <si>
    <t>The two men inspect the wall.</t>
  </si>
  <si>
    <t>Another man walks up and is introduced to the other man.</t>
  </si>
  <si>
    <t>The man walks away as the first two continue talking.</t>
  </si>
  <si>
    <t>v_vMdSEzQkRTg</t>
  </si>
  <si>
    <t>A person stands on front a wood fire in the woods.</t>
  </si>
  <si>
    <t>Then, the person light a match and throw it in the wood fire, then a fire lit.</t>
  </si>
  <si>
    <t>v_WsHzMciP5X8</t>
  </si>
  <si>
    <t>A large audience is seen watching a sports game and leads into a coin toss.</t>
  </si>
  <si>
    <t>The audience cheers more and leads into people throwing a ball and others hitting it.</t>
  </si>
  <si>
    <t>More shots of the game being played are shown as well as others watching on the sides.</t>
  </si>
  <si>
    <t>v_QBJelFFVJu0</t>
  </si>
  <si>
    <t>The harmonica is held up and shown.</t>
  </si>
  <si>
    <t>A person holds a harmonica between his hands a plays a song.</t>
  </si>
  <si>
    <t>The person finishes the song and holds up the harmonica.</t>
  </si>
  <si>
    <t>v_XgaEYidtX6E</t>
  </si>
  <si>
    <t>Walking down the street holding onto a skate board the boy puts his board down and begins to skate.</t>
  </si>
  <si>
    <t>Then three friends join him and they skate down the road.</t>
  </si>
  <si>
    <t>While on the board they bend down with their hands behind their backs to build up some more momentum.</t>
  </si>
  <si>
    <t>They ride around all over from one area to another enjoying their free time boarding.</t>
  </si>
  <si>
    <t>v_wqZzLAPmr9k</t>
  </si>
  <si>
    <t>An image is shown of a plate of sardine pasta, along with a list of ingredients.</t>
  </si>
  <si>
    <t>Water is salted and boiled for the pasta, and vegetables are sauteed in olive oil.</t>
  </si>
  <si>
    <t>Sardines are added, then mixed with the spaghetti noodles, creating a finished dish.</t>
  </si>
  <si>
    <t>v_YcxPoVlukf4</t>
  </si>
  <si>
    <t>A hockey player talks in an interview on tv.</t>
  </si>
  <si>
    <t>Several stills of him playing ice hockey are shown as he talks.</t>
  </si>
  <si>
    <t>He continues talking as the pictures flash across the screen.</t>
  </si>
  <si>
    <t>v_Y-1QkIGm81w</t>
  </si>
  <si>
    <t>The man wearing gray sweater is playing guitar.</t>
  </si>
  <si>
    <t>The man looked on the guitar.</t>
  </si>
  <si>
    <t>The man in blue shirt play his guitar, then poke the threads.</t>
  </si>
  <si>
    <t>v_zVMDHCnT-d4</t>
  </si>
  <si>
    <t>Two men are seated in a room in front of a robotic arm.</t>
  </si>
  <si>
    <t>One of the men is using a controller to make the arm pick up a bottle.</t>
  </si>
  <si>
    <t>The arm brings the bottle to the man's face, so he can take a drink.</t>
  </si>
  <si>
    <t>Then the robot returns the bottle to the table.</t>
  </si>
  <si>
    <t>v_cRBnLFujD3g</t>
  </si>
  <si>
    <t>Performers sings and dancers on a concert stage.</t>
  </si>
  <si>
    <t>A performer climbs down the stairs.</t>
  </si>
  <si>
    <t>Several performers pose, gesture, and point towards the audience.</t>
  </si>
  <si>
    <t>A performer break dances on stage.</t>
  </si>
  <si>
    <t>The break dancer lays on the stage floor.</t>
  </si>
  <si>
    <t>A performer raises the standing break dancer's hand in the air.</t>
  </si>
  <si>
    <t>The break dancer gives a performer five.</t>
  </si>
  <si>
    <t>A performer squats and gestures.</t>
  </si>
  <si>
    <t>v_M8aDrPK7D94</t>
  </si>
  <si>
    <t>A man jumps off of a bridge and bungee jumps.</t>
  </si>
  <si>
    <t>It shows him climbing back up onto the ledge.</t>
  </si>
  <si>
    <t>He jumps again off the bridge.</t>
  </si>
  <si>
    <t>v_b-p57jzkrQI</t>
  </si>
  <si>
    <t>A man in a chefs outfit is standing in a kitchen.</t>
  </si>
  <si>
    <t>He flips something that is in a pan.</t>
  </si>
  <si>
    <t>He uses a spoon to stir what is in the pan.</t>
  </si>
  <si>
    <t>v_gCxLSh-cgng</t>
  </si>
  <si>
    <t>An introduction comes onto the screen for a video about playing tennis.</t>
  </si>
  <si>
    <t>And man comes on to talk about the lessons that he will be teaching in the video.</t>
  </si>
  <si>
    <t>He swings the racket several times to demonstrate a good form for swinging the tennis racket.</t>
  </si>
  <si>
    <t>Another man comes onto the screen and performs the several tennis wings while the other man narrates.</t>
  </si>
  <si>
    <t>As the video ends the closing credits are displayed on the screen.</t>
  </si>
  <si>
    <t>v_nuqxJvTbG9w</t>
  </si>
  <si>
    <t>A woman is seen kicking a ball out into a field of people and then running back to the home plate.</t>
  </si>
  <si>
    <t>She then kicks the ball again while others around her run and grab the ball from the field.</t>
  </si>
  <si>
    <t>v_2j-DRUk2yCs</t>
  </si>
  <si>
    <t>A close up is shown of an image on a cell phone.</t>
  </si>
  <si>
    <t>A male gymnast runs, flipping back and forth across a mat.</t>
  </si>
  <si>
    <t>He is then shown flipping far into the air before standing before the cheering crowd.</t>
  </si>
  <si>
    <t>v_tV_1whw_S4g</t>
  </si>
  <si>
    <t>Two people are wrestling in a ring.</t>
  </si>
  <si>
    <t>A referee is standing on the side of the ring watching them.</t>
  </si>
  <si>
    <t>The crowd behind them is cheering.</t>
  </si>
  <si>
    <t>v_BMzspHz04Q8</t>
  </si>
  <si>
    <t>A gymnast in a pink outfit stretches before starting routine.</t>
  </si>
  <si>
    <t>She jumps on the balance beam and balances herself.</t>
  </si>
  <si>
    <t>She begins her balance beam routine.</t>
  </si>
  <si>
    <t>She does several flips and somersaults.</t>
  </si>
  <si>
    <t>She is getting ready to dismount.</t>
  </si>
  <si>
    <t>She flips several times in the air during her dismount and lands perfectly.</t>
  </si>
  <si>
    <t>v_Y1kCMRoDjWk</t>
  </si>
  <si>
    <t>A man stands by a row of hedges.</t>
  </si>
  <si>
    <t>He then begins to trim them with sheers.</t>
  </si>
  <si>
    <t>He trims the top of a bush.</t>
  </si>
  <si>
    <t>Several different groomed bushes are shown.</t>
  </si>
  <si>
    <t>v_8XB_0x_erho</t>
  </si>
  <si>
    <t>A little chinese boy sits in a room on the floor with books and toys around him while he looks into the camera.</t>
  </si>
  <si>
    <t>the little chinese boy then goes outside and start playing in a park,having fun by his self while the camera man record him.</t>
  </si>
  <si>
    <t>the boy little slides down the slide,climb steps while smiling and having fun.</t>
  </si>
  <si>
    <t>v_Ib3XqmBqy10</t>
  </si>
  <si>
    <t>Various shots of people are shown followed by several shots of kids jumping rope.</t>
  </si>
  <si>
    <t>A man then speakers to various kids on a court and shows more shots of the kids jumping rope together.</t>
  </si>
  <si>
    <t>The man then jumps rope while more kids perform tricks with their jump ropes and ends with the man speaking to one more jumper.</t>
  </si>
  <si>
    <t>v_PZjWkB_q2lE</t>
  </si>
  <si>
    <t>Cars are being washed at a car wash.</t>
  </si>
  <si>
    <t>A man in a red shirt talks to a man in a black shirt.</t>
  </si>
  <si>
    <t>The car is going through an automatic car wash.</t>
  </si>
  <si>
    <t>Someone is now scrubbing a car to wash it.</t>
  </si>
  <si>
    <t>They walk into a garage and inspect the cars.</t>
  </si>
  <si>
    <t>v_yNwdhK5UKec</t>
  </si>
  <si>
    <t>Four men in the studio are playing different instrument.</t>
  </si>
  <si>
    <t>The man with big guitar is singing while playing his guitar.</t>
  </si>
  <si>
    <t>The man playing harmonica stopped playing and looked at the man singing, then he continue to play his harmonica.</t>
  </si>
  <si>
    <t>Two men behind the four men are playing instruments.</t>
  </si>
  <si>
    <t>The man with guitar pull out a white cloth and wave it.</t>
  </si>
  <si>
    <t>v_WUTHTWQb-5g</t>
  </si>
  <si>
    <t>A young girl is standing in a room with a grey sweater,black tights,and pink shoes.</t>
  </si>
  <si>
    <t>In her hand she has a croquet stick and is fiddling with the small ball.</t>
  </si>
  <si>
    <t>She does it for quite some times keeping it still until eventually walking with the ball and ending the video.</t>
  </si>
  <si>
    <t>v_nFfMY4CQq50</t>
  </si>
  <si>
    <t>A guy standing in a bathroom speaks and gestures.</t>
  </si>
  <si>
    <t>A person shaving his chin is shown.</t>
  </si>
  <si>
    <t>A guy puts cream from a blue tube in his palm and applies it to his chin.</t>
  </si>
  <si>
    <t>A guy puts gel from a blue tube in his palm and applies it to his chin.</t>
  </si>
  <si>
    <t>A guy washes his face.</t>
  </si>
  <si>
    <t>v_Eh0OoXQDLVc</t>
  </si>
  <si>
    <t>A woman talks to the camera while young girls stand behind her.</t>
  </si>
  <si>
    <t>The woman continues to talk to the camera while demonstrating individual dance movements, as the young girls follow along.</t>
  </si>
  <si>
    <t>The woman leads the girls in practicing the entire sequence.</t>
  </si>
  <si>
    <t>The girls perform the sequence on their own.</t>
  </si>
  <si>
    <t>v_jsu65VwKf74</t>
  </si>
  <si>
    <t>A player of a read team performs a free shot on front a soccer goal, and the players scores.</t>
  </si>
  <si>
    <t>Again a player wearing red t-shirt scores, and the players jumps and hug to celebrate.</t>
  </si>
  <si>
    <t>Then, a player with white t-shirt scores, and the teams continue playing.</t>
  </si>
  <si>
    <t>The red team scores again, and people celebrate.</t>
  </si>
  <si>
    <t>v_7LmSZAoD6-c</t>
  </si>
  <si>
    <t>woman is running to make a high jump and start walking and the woman makes the same high jump 3 times.</t>
  </si>
  <si>
    <t>woman loose the hair sits on the floor and untie the shoes.</t>
  </si>
  <si>
    <t>v_n913aoCh1IQ</t>
  </si>
  <si>
    <t>People stand on a slack rope and cross it on a beach.</t>
  </si>
  <si>
    <t>A man falls off into the dirt.</t>
  </si>
  <si>
    <t>A man takes his shirt off and throws it on the sand.</t>
  </si>
  <si>
    <t>A man continues doing tricks on the slack rope.</t>
  </si>
  <si>
    <t>v_xhyCKLKaG0c</t>
  </si>
  <si>
    <t>Dragon ball z characters are yelling at one another standing in front of each other.</t>
  </si>
  <si>
    <t>They start to play paper scissors rock to see who will win.</t>
  </si>
  <si>
    <t>They have watchers standing by very stressed about how it will end up.</t>
  </si>
  <si>
    <t>They just keep playing and one of the other characters starts to get really angry.</t>
  </si>
  <si>
    <t>v_xbWAmySRE88</t>
  </si>
  <si>
    <t>Two women are standing behind a young woman who is sitting in a chair getting her hair done.</t>
  </si>
  <si>
    <t>The video begins with a title page showing that a video of a versatile sew-in is about to be done.</t>
  </si>
  <si>
    <t>First image,the braid pattern is shown on the individuals head as some of her hair is left out around the perimeter of her head.</t>
  </si>
  <si>
    <t>A lady then grabs weave, a needle and begins to sew in the hair.</t>
  </si>
  <si>
    <t>Once she shows how the sew-in is secured,the finished product is shown and the girl now has long curly hair.</t>
  </si>
  <si>
    <t>v_CEQqdt0vV0o</t>
  </si>
  <si>
    <t>A man is standing and talking inside a gym to the camera.</t>
  </si>
  <si>
    <t>He stands on the open surface, dancing back and forth.</t>
  </si>
  <si>
    <t>He demonstrates several moves as he goes.</t>
  </si>
  <si>
    <t>v_bay60VGnTls</t>
  </si>
  <si>
    <t>A woman in a tan suit is talking.</t>
  </si>
  <si>
    <t>A man in a green shirt is playing tennis while sitting on the ground.</t>
  </si>
  <si>
    <t>People walk along a sidewalk.</t>
  </si>
  <si>
    <t>The man in the green shirt is talking into a microphone.</t>
  </si>
  <si>
    <t>A man in a purple shirt then talks into the microphone.</t>
  </si>
  <si>
    <t>The man in green shirt continues to play tennis.</t>
  </si>
  <si>
    <t>v_6ciZ58xAV9I</t>
  </si>
  <si>
    <t>A gymnast wearing a red and white uniform prepares to mount a pommel horse for his exercise.</t>
  </si>
  <si>
    <t>The gymnast jumps onto the pommel horse and starts with scissor moves.</t>
  </si>
  <si>
    <t>The gymnast moves into a spinning exercise while on the pommel horse.</t>
  </si>
  <si>
    <t>The gymnast moves into a hand stand while walking with his hands.</t>
  </si>
  <si>
    <t>The gymnast goes from the hand stand to his dismount.</t>
  </si>
  <si>
    <t>v_ErEr4Sxdprw</t>
  </si>
  <si>
    <t>A man is in the gym in tight he bends over picks up a weight over his head and drops it back down.</t>
  </si>
  <si>
    <t>He walks back and loosens up before walking back up and doing it again adding more weight.</t>
  </si>
  <si>
    <t>He does this multiple times adding more and more weight to the rack.</t>
  </si>
  <si>
    <t>He finally lifts 374 pounds and calls it quits.</t>
  </si>
  <si>
    <t>v_8oI4xGqkzSE</t>
  </si>
  <si>
    <t>A man kicks a Frisbee to a dog.</t>
  </si>
  <si>
    <t>The dog does various tricks while catching the Frisbee.</t>
  </si>
  <si>
    <t>The dog jumps off the man to catch the toy.</t>
  </si>
  <si>
    <t>Several other dogs also do a tricks to catch the toy.</t>
  </si>
  <si>
    <t>A man swings a dog around on a toy.</t>
  </si>
  <si>
    <t>v_rYrO0KnZ7F0</t>
  </si>
  <si>
    <t>We see steps to carve a pumpkin.</t>
  </si>
  <si>
    <t>A person cleans a pumpkin.</t>
  </si>
  <si>
    <t>We see step and a person carves the pumpkin.</t>
  </si>
  <si>
    <t>We see another step and person uses carved bits to make cat ears.</t>
  </si>
  <si>
    <t>v_Tu9QF2ALd2s</t>
  </si>
  <si>
    <t>A close up of a blender is seen with various ingredients on the inside.</t>
  </si>
  <si>
    <t>A person's hand then blends the mixture together and moves their hand away from the camera.</t>
  </si>
  <si>
    <t>v_MEU83dUao4g</t>
  </si>
  <si>
    <t>A woman is seen with markings on her tongue and a person placing paper towels on her tongue.</t>
  </si>
  <si>
    <t>The man then pierces the girls tongue and she looks at the camera smiling.</t>
  </si>
  <si>
    <t>v_5TV-V6Cxero</t>
  </si>
  <si>
    <t>A shirtless man is standing on porch while instructing how to build a redneck fire.</t>
  </si>
  <si>
    <t>He shows a beer bottle and some other alcohol cans.</t>
  </si>
  <si>
    <t>He demonstrates a campfire that he has set up in a pit.</t>
  </si>
  <si>
    <t>There are three men standing near the campfire pit to demonstrate step three.</t>
  </si>
  <si>
    <t>One of the men picks up a gasoline can and ours some of it into the campfire pit.</t>
  </si>
  <si>
    <t>Another man lights the bonfire up to start the fire.</t>
  </si>
  <si>
    <t>The bonfire continues burning as the fireworks crackle in the pit.</t>
  </si>
  <si>
    <t>One of the instructors comes back and point to the redneck campfire.</t>
  </si>
  <si>
    <t>v_q2JRY6-riYA</t>
  </si>
  <si>
    <t>People are sitting in blue bumper cars.</t>
  </si>
  <si>
    <t>They drive around and bump into each other.</t>
  </si>
  <si>
    <t>A little boy in a hat waves at the camera.</t>
  </si>
  <si>
    <t>v_WE9Md637nbc</t>
  </si>
  <si>
    <t>A pair of dirty nike sneakers are seen on a counter.</t>
  </si>
  <si>
    <t>A man fills a bowl with water, then adds a cleaning solution.</t>
  </si>
  <si>
    <t>He uses a brush to scrub the shoes clean.</t>
  </si>
  <si>
    <t>v_6180cMhkWJA</t>
  </si>
  <si>
    <t>A man is seated in front of some video monitors and related equipment.</t>
  </si>
  <si>
    <t>He reminds us that when we were young we weren't afraid to try because we liked it.</t>
  </si>
  <si>
    <t>We then see some kids playing soccer along with some older players, obviously enjoying themselves.</t>
  </si>
  <si>
    <t>We see the man once again, who advises us not to ever grow up.</t>
  </si>
  <si>
    <t>v_t1s7ST4FRJc</t>
  </si>
  <si>
    <t>There are four women dancing to a choreographed dance to some Hip Hop music in a studio.</t>
  </si>
  <si>
    <t>They follow a synchronized and rhythmic beat to follow the same steps as the rest of the dancers.</t>
  </si>
  <si>
    <t>They continue following the steps one after the other in a structured manner where everybody is shaking their hands and legs rhythmically.</t>
  </si>
  <si>
    <t>Their dance moves change as the music changes and they slow down or move faster according to the beat of the song.</t>
  </si>
  <si>
    <t>v_Qs0hIRhHPVM</t>
  </si>
  <si>
    <t>A still picture of a man caught in mid-air about to attack a punching bag, a black and white picture of woman kicking the punching bag, two bare chested men in a boxing position, a silhouette of a man kicking a blurry person, two men in a boxing ring, two men holding a championship belt with their hand covered with boxing gloves.</t>
  </si>
  <si>
    <t>One man in blue shorts is kicking the kicking pad worn by the other man in black shorts.</t>
  </si>
  <si>
    <t>Two men that are barechested are boxing each other outside the boxing ring.</t>
  </si>
  <si>
    <t>v_D-y_N4u0uRQ</t>
  </si>
  <si>
    <t>A man enters a car holding a briefcase.</t>
  </si>
  <si>
    <t>Then, the man smokes a cigarette in office, and a nurse gives him papers.</t>
  </si>
  <si>
    <t>After, an elegant woman smokes and then smile.</t>
  </si>
  <si>
    <t>v_UbVTGLlR0L8</t>
  </si>
  <si>
    <t>People raft down a stony river on inflatable boats.</t>
  </si>
  <si>
    <t>Two men are in the water and other men help get in the boat.</t>
  </si>
  <si>
    <t>The men pass between high mountains.</t>
  </si>
  <si>
    <t>v_yslzj3NGuLU</t>
  </si>
  <si>
    <t>A woman removes the snow on the top of a car using a brush, also removes snow on the side windows and back window.</t>
  </si>
  <si>
    <t>After, the woman continues taking snow from the hood of the car and the front window that has a lot of snow.</t>
  </si>
  <si>
    <t>v_Eaq95CTpfZI</t>
  </si>
  <si>
    <t>A person is mixing drinks behind a bar.</t>
  </si>
  <si>
    <t>A person is playing a game of shuffleboard.</t>
  </si>
  <si>
    <t>v_7x5oY2Myd7I</t>
  </si>
  <si>
    <t>A team is playing ice hockey in front of a crowded stadium.</t>
  </si>
  <si>
    <t>The players are shown crashing into each other.</t>
  </si>
  <si>
    <t>A countdown of ten is being shown as we see bloopers from different sporting events, from hockey, to baseball, to football and basketball as people fall down and make mistakes.</t>
  </si>
  <si>
    <t>v_l5HNvNpRTpk</t>
  </si>
  <si>
    <t>Words are being displayed across the screen that read how to make the perfect sandwich.</t>
  </si>
  <si>
    <t>The ingredients you will need are bread, cheese, ham, turkey sub kit deli meat, kraft real mayo, spicy brown mustard, seasoning and a knife.</t>
  </si>
  <si>
    <t>Spread mayo on both slices of bread then put on mustard and cheese on both slices of bread put ham then turkey meat and add other seasoning to your taste.</t>
  </si>
  <si>
    <t>v_T98RJsOiQWc</t>
  </si>
  <si>
    <t>A small child is seen holding a stick and swinging at a pinata.</t>
  </si>
  <si>
    <t>A girl is seen blindfolding another while a man plays with the camera on the side.</t>
  </si>
  <si>
    <t>The man holds the stick and gestures to the girl on the side.</t>
  </si>
  <si>
    <t>v_uY0ngQlbIZc</t>
  </si>
  <si>
    <t>Two men that are matching each other are playing a game of racket ball.</t>
  </si>
  <si>
    <t>They are in an indoor enclosed court area playing the game.</t>
  </si>
  <si>
    <t>They are moving around all over the court trying to hit the ball.</t>
  </si>
  <si>
    <t>The bald man begins to walk out of the court smiling.</t>
  </si>
  <si>
    <t>v_mIi5fkvHDAo</t>
  </si>
  <si>
    <t>A female news anchor is talking about a clip that will be shown.</t>
  </si>
  <si>
    <t>Monkeys are skiing behind a boat in the water.</t>
  </si>
  <si>
    <t>Another monkey is seen driving a speed boat pulling a skiing monkey.</t>
  </si>
  <si>
    <t>Several people watch and take photos and video from the shore.</t>
  </si>
  <si>
    <t>The monkey driving the speed boat is shown again.</t>
  </si>
  <si>
    <t>The monkey circles the steering wheel with the boat moving.</t>
  </si>
  <si>
    <t>The monkey then drives the boat to a set of buoys where three people are waiting for him.</t>
  </si>
  <si>
    <t>Three news anchors discuss the monkeys.</t>
  </si>
  <si>
    <t>v_XRb38sJzuY4</t>
  </si>
  <si>
    <t>A young boy is seen grabbing a ball and walking forward speaking to the camera.</t>
  </si>
  <si>
    <t>He is then seen in a shot holding on a stick and hitting a ball.</t>
  </si>
  <si>
    <t>He continues hitting the ball into a goal wile looking back to the camera.</t>
  </si>
  <si>
    <t>v_RI-l0tK8Ok0</t>
  </si>
  <si>
    <t>A man and a woman are standing by a piano.</t>
  </si>
  <si>
    <t>The man and the woman play the piano together.</t>
  </si>
  <si>
    <t>They switch places and continue playing the piano.</t>
  </si>
  <si>
    <t>They switch places again, rapidly.</t>
  </si>
  <si>
    <t>They do it again, laughing away together.</t>
  </si>
  <si>
    <t>Finally they finish and walk away together happily.</t>
  </si>
  <si>
    <t>v_Xpb1Lup1GAU</t>
  </si>
  <si>
    <t>A woman sits by a window knitting a white piece.</t>
  </si>
  <si>
    <t>The woman holds up a pattern book with an image of the piece she is working on.</t>
  </si>
  <si>
    <t>The woman continues her knitting.</t>
  </si>
  <si>
    <t>The woman shows off her work so far and continues knitting.</t>
  </si>
  <si>
    <t>v_aK0238Rz6UA</t>
  </si>
  <si>
    <t>A large bow is laying on a table.</t>
  </si>
  <si>
    <t>The close up details of the archery set are being shown.</t>
  </si>
  <si>
    <t>A man is shown pulling back and arrow and letting it go.</t>
  </si>
  <si>
    <t>v_Q6XjxUlbP2M</t>
  </si>
  <si>
    <t>A group of people ride in bumper cars in a huge bumper car ride at an amusement park.</t>
  </si>
  <si>
    <t>Two yellow bumper cars are stuck in the middle of the track until they get bumped by another car.</t>
  </si>
  <si>
    <t>The rest of the bumper car drivers continue to follow the course.</t>
  </si>
  <si>
    <t>v_X6IoTFqaegc</t>
  </si>
  <si>
    <t>A woman's hand is shown wiping a glass screen followed by various objects sitting on a table.</t>
  </si>
  <si>
    <t>The woman sprays the glass and follows the object down the glass.</t>
  </si>
  <si>
    <t>She does this several times and shows where to plug in and how to use the tool.</t>
  </si>
  <si>
    <t>v_xcSWHI3K0KA</t>
  </si>
  <si>
    <t>A man is running on a track with a javelin.</t>
  </si>
  <si>
    <t>We see him throw again in slow motion.</t>
  </si>
  <si>
    <t>v_ZGnnFIDJjaY</t>
  </si>
  <si>
    <t>A man is sitting in a chair on the beach and is approached by another man, the first man gets up and applies lotion to the second man.</t>
  </si>
  <si>
    <t>A woman and a man are sitting on a towel at the beach and a man approaches.</t>
  </si>
  <si>
    <t>The sitting man gets up and puts lotion on the man who approached.</t>
  </si>
  <si>
    <t>Five guys are laying on the beach when a woman approaches them.</t>
  </si>
  <si>
    <t>One man gets up and applies lotion to the womans back.</t>
  </si>
  <si>
    <t>Five guys are laying on towels at the beach and a man approaches them.</t>
  </si>
  <si>
    <t>v_YkqO2oi9SIk</t>
  </si>
  <si>
    <t>A group of swimmers cliff dive into a body of water surrounded by onlookers, large rocks, buildings and boats, in a judged competition.</t>
  </si>
  <si>
    <t>The swimmers jump off a man made metal cliff wrapped in sponsored advertisement art and graphics.</t>
  </si>
  <si>
    <t>A group of judges hold up scorecards with numbers on them as car drive by on a nearby street and onlookers sit side by side on a raised wall watching.</t>
  </si>
  <si>
    <t>Two swimmers hug while one swimmer jumps up and down and three more hold up trophies.</t>
  </si>
  <si>
    <t>v_XB139ATiXuk</t>
  </si>
  <si>
    <t>A well attended classical concert is shown.</t>
  </si>
  <si>
    <t>The composer speaks to the audience about music.</t>
  </si>
  <si>
    <t>The crowd applauds and smiles.</t>
  </si>
  <si>
    <t>The composer talks about music and the orchestra behind him.</t>
  </si>
  <si>
    <t>One member comes out to play the saxophone for a solo as the crowd claps along.</t>
  </si>
  <si>
    <t>The orchestra gradually joins in for a full performance.</t>
  </si>
  <si>
    <t>The song slows and builds as the crowd joins back in with claps.</t>
  </si>
  <si>
    <t>The song ends and the crowd applauds thunderously.</t>
  </si>
  <si>
    <t>The saxophonist bows and returns to her seat.</t>
  </si>
  <si>
    <t>v_Vg5Vfb16Kb8</t>
  </si>
  <si>
    <t>A little girl wearing a pink blouse sits on a bed squinting her eyes.</t>
  </si>
  <si>
    <t>The little girl then puts on purple lipstick on her lips.</t>
  </si>
  <si>
    <t>The little girl continues putting on lipstick while speaking to the camera man about putting on makeup.</t>
  </si>
  <si>
    <t>v_KZ-6u3MUp44</t>
  </si>
  <si>
    <t>A game is in progress in front of a crowd.</t>
  </si>
  <si>
    <t>A man spins, throwing a disc through the air.</t>
  </si>
  <si>
    <t>He walks around the field afterward.</t>
  </si>
  <si>
    <t>v_J5wZTdD4XeU</t>
  </si>
  <si>
    <t>Two men are on a platform, fencing.</t>
  </si>
  <si>
    <t>They jab at each other with their swords.</t>
  </si>
  <si>
    <t>A woman watches as they parlay back and forth.</t>
  </si>
  <si>
    <t>v_uyp6t45rOD8</t>
  </si>
  <si>
    <t>An athlete performs high jump and lands on the mat while person takes notes.</t>
  </si>
  <si>
    <t>Then, the athlete performs high jump successfully.</t>
  </si>
  <si>
    <t>After, the man perform high jump but drops the horizontal pole.</t>
  </si>
  <si>
    <t>The athlete perform high jumps successfully.</t>
  </si>
  <si>
    <t>The athlete perform a high jump, but the pole falls.</t>
  </si>
  <si>
    <t>v_7A7XJLhRVVE</t>
  </si>
  <si>
    <t>A large pontoon boat is sailing across an ocean and runs into a large wave that covers the people as well as the boat in water.</t>
  </si>
  <si>
    <t>The people on the boat continue walking around but the water knocks them over and they start to hold onto the wheels to steer the boat back in the right direction.</t>
  </si>
  <si>
    <t>v_Dutm5TiFBqQ</t>
  </si>
  <si>
    <t>A very muscular shirtless man is about to arm wrestle with a man in an orange hoodie.</t>
  </si>
  <si>
    <t>Another man in a yellow hoodie comes over.</t>
  </si>
  <si>
    <t>They begin the match, the man in the orange hoodie looks to be struggling.</t>
  </si>
  <si>
    <t>The shirtless man wins and then wrestles the man in the yellow, he wins and they all stand around talking.</t>
  </si>
  <si>
    <t>v_p4cQt5On74M</t>
  </si>
  <si>
    <t>Several people are outside in a large field on segways playing a game.</t>
  </si>
  <si>
    <t>They continue to move around and hitting the ball with a long racket.</t>
  </si>
  <si>
    <t>As they game goes on,the referee walks on the field and watches them.</t>
  </si>
  <si>
    <t>v_JYh2Oejg_lQ</t>
  </si>
  <si>
    <t>A person with long hair shows a rubik's cube.</t>
  </si>
  <si>
    <t>The person begins to solve it .</t>
  </si>
  <si>
    <t>They toss it up and it is magically solved.</t>
  </si>
  <si>
    <t>v_fFu37ig0pkY</t>
  </si>
  <si>
    <t>A woman is dancing outside on the sidewalk.</t>
  </si>
  <si>
    <t>She grabs a baton and starts twirling it around.</t>
  </si>
  <si>
    <t>She starts juggling the batons in the air.</t>
  </si>
  <si>
    <t>She does a back flip and goes into the splits.</t>
  </si>
  <si>
    <t>v_OG7-gtjRaEg</t>
  </si>
  <si>
    <t>Several children stand in front of a cage.</t>
  </si>
  <si>
    <t>A women is inside with a tiger.</t>
  </si>
  <si>
    <t>The children pull on a rope that against the tiger.</t>
  </si>
  <si>
    <t>They let go of the rope at the end.</t>
  </si>
  <si>
    <t>v_SGdhHAZHwmI</t>
  </si>
  <si>
    <t>A woman in a suit is talking to a camera.</t>
  </si>
  <si>
    <t>A woman is putting contact lenses into her eyes.</t>
  </si>
  <si>
    <t>Contact lenses are shown on a hand.</t>
  </si>
  <si>
    <t>The woman in the suit continues talking to the camera.</t>
  </si>
  <si>
    <t>v_te1znGPS_Vw</t>
  </si>
  <si>
    <t>guys are having a paint ball fight with each other.</t>
  </si>
  <si>
    <t>A guy explain how to hide and protect yourself when in the filed,How to crawl ,where to place your foot and hands when crawling.</t>
  </si>
  <si>
    <t>v_wSGrM1nrWq4</t>
  </si>
  <si>
    <t>A hair dryer and advertisement are shown with some info about the dryer.</t>
  </si>
  <si>
    <t>A woman shows how to use the dryer with different brushes.</t>
  </si>
  <si>
    <t>The same woman then shows how to use the dryer with different attachments for different kinds of hair.</t>
  </si>
  <si>
    <t>The dryer and advertising info are shown again.</t>
  </si>
  <si>
    <t>v_lHVn-5OwXMw</t>
  </si>
  <si>
    <t>man is in a big stadium waking in the field.</t>
  </si>
  <si>
    <t>men are playing criquet in a field rnning on side to side with a lot of audience sitting on stands.</t>
  </si>
  <si>
    <t>v_hjtGItcwkQA</t>
  </si>
  <si>
    <t>A group of sail boats sail together through choppy water on a windy day.</t>
  </si>
  <si>
    <t>Two men pull on the rigging seated on the small sailboat.</t>
  </si>
  <si>
    <t>The sail boat makes a turn in front of the bow of another boat only partly seen.</t>
  </si>
  <si>
    <t>v_kzm9ckZ5gU0</t>
  </si>
  <si>
    <t>Two men on a ladder fight in a professional wrestling match.</t>
  </si>
  <si>
    <t>The men flip off the ladder on to the mat.</t>
  </si>
  <si>
    <t>The referee kneels near by.</t>
  </si>
  <si>
    <t>The man in red crawls to the man in blue and pins him winning the match.</t>
  </si>
  <si>
    <t>We see a replay of the match.</t>
  </si>
  <si>
    <t>v_d3VVwwVkJBs</t>
  </si>
  <si>
    <t>This elderly man is blowing the leaves out of the way using a leaf blower.</t>
  </si>
  <si>
    <t>First the camera is giving viewers a close up view only showing the man's face.</t>
  </si>
  <si>
    <t>Then the camera zooms out and shows the man blowing the leaves using a machine and when he's done half doing his job, he turns the leaf blower off.</t>
  </si>
  <si>
    <t>v_bV_vdBbOubE</t>
  </si>
  <si>
    <t>little kid is holding a red tennis racket close to her face but then put it on the floor and jump on top.</t>
  </si>
  <si>
    <t>little kid is standing in a small room playing in a Hopscotch.</t>
  </si>
  <si>
    <t>the girl is grabing toys from the floor.</t>
  </si>
  <si>
    <t>v_Xm23RMCpDd8</t>
  </si>
  <si>
    <t>A man stands on a field in an outdoor game surrounded by bleachers with people in them and performs a hammer throw.</t>
  </si>
  <si>
    <t>The man spins the hammer around many times and then lets the hammer go to fly into the hair and land in the field.</t>
  </si>
  <si>
    <t>A slow motion video of the hammer landing appears as the man looks happy with the score and dries off with a towel.</t>
  </si>
  <si>
    <t>v_IkXuooaGnCc</t>
  </si>
  <si>
    <t>Letters are shown on a screen.</t>
  </si>
  <si>
    <t>A blue bucket is put into a sink.</t>
  </si>
  <si>
    <t>A man starts mopping the hardwood floors.</t>
  </si>
  <si>
    <t>He mops the tile in the bathroom.</t>
  </si>
  <si>
    <t>v_d83YCo6xLkk</t>
  </si>
  <si>
    <t>A person is seen standing on a beach looking down at sand.</t>
  </si>
  <si>
    <t>The person then begins building a large sand castle in front of them.</t>
  </si>
  <si>
    <t>The person continues working around the sand and ends by walking out of frame.</t>
  </si>
  <si>
    <t>v_gNFrILoB8LY</t>
  </si>
  <si>
    <t>A man dances and pulls his pants, which are falling down, back up, as he sweeps a cafe floor.</t>
  </si>
  <si>
    <t>A man, with his back to an elevated camera, begins to dance while sweeping a coffee shop floor.</t>
  </si>
  <si>
    <t>The man begins to pulls his pants up as his blue underwear shows from the twisting of the dance, which has pulled down his pants.</t>
  </si>
  <si>
    <t>The man then turns to face the camera and smiles while pulling his pants up.</t>
  </si>
  <si>
    <t>v_SlT6OBmQqpc</t>
  </si>
  <si>
    <t>A young man is seen standing in front of the camera and begins spinning in circles.</t>
  </si>
  <si>
    <t>He continues spinning and then does several kicks and punches while also throwing darts.</t>
  </si>
  <si>
    <t>v_3DDo37BcChI</t>
  </si>
  <si>
    <t>An ax rests in a fallen tree.</t>
  </si>
  <si>
    <t>A man picks up the ax, and chops the trunk of the tree.</t>
  </si>
  <si>
    <t>He continues chopping until the log is in half, then walks away.</t>
  </si>
  <si>
    <t>v_QdTUPBtxAV0</t>
  </si>
  <si>
    <t>A smiling young boy slides down a red slide that has netting on each side and a brand name, website, email and telephone appear on the screen when he reaches the bottom.</t>
  </si>
  <si>
    <t>Then two other children behind him that are little girls slide down.</t>
  </si>
  <si>
    <t>Just as the girls are reaching the bottom of the slide boy gets up and leaves the slide and the girls follow right behind him.</t>
  </si>
  <si>
    <t>v_6BKkSQ7uGco</t>
  </si>
  <si>
    <t>We see the title card on black.</t>
  </si>
  <si>
    <t>We see a lady riding slowly on an elliptical machine and pulling the handles.</t>
  </si>
  <si>
    <t>We switch to the lady riding without holding the handles.</t>
  </si>
  <si>
    <t>We then see the bike in stair stepper mode and using the handles.</t>
  </si>
  <si>
    <t>We then see her using the bike in stair stepper mode without the handles.</t>
  </si>
  <si>
    <t>v_p-lwebxSYyo</t>
  </si>
  <si>
    <t>People are painting a wooden fence in a yard.</t>
  </si>
  <si>
    <t>A dog walks behind them.</t>
  </si>
  <si>
    <t>They continue painting the fence.</t>
  </si>
  <si>
    <t>v_cau489T9DLE</t>
  </si>
  <si>
    <t>woman is standing in a small room doing tricks with a baton.</t>
  </si>
  <si>
    <t>men are running on a side of the woman.</t>
  </si>
  <si>
    <t>women enter to a room.</t>
  </si>
  <si>
    <t>v_xbEI98IA-XU</t>
  </si>
  <si>
    <t>Title credits are shown on the screen.</t>
  </si>
  <si>
    <t>A woman talks to the camera in a gym.</t>
  </si>
  <si>
    <t>The woman demonstrates a lifting exercise.</t>
  </si>
  <si>
    <t>The woman turns back to the camera and talks again.</t>
  </si>
  <si>
    <t>End credits roll on the screen.</t>
  </si>
  <si>
    <t>v_uFMlVrTUoR8</t>
  </si>
  <si>
    <t>A man dumps a wheelbarrow of mulch on the lawn.</t>
  </si>
  <si>
    <t>He rakes it out over the ground.</t>
  </si>
  <si>
    <t>He brings another wheelbarrow full of mulch and rakes it out over the lawn.</t>
  </si>
  <si>
    <t>v_LE05u6TR9MI</t>
  </si>
  <si>
    <t>A large group of people are seen standing in a crowd yelling and playing a game of volleyball.</t>
  </si>
  <si>
    <t>The group of girls continue to play while people cheer on the sides as well as cheerleaders.</t>
  </si>
  <si>
    <t>v_1Y3BV0Awjuo</t>
  </si>
  <si>
    <t>We see an Asian script on the title screen.</t>
  </si>
  <si>
    <t>We see food on a table and a lady picking at a potato.</t>
  </si>
  <si>
    <t>The potato is cut, then dropped in a pot.</t>
  </si>
  <si>
    <t>It's transferred to cold water and the skin just slides off when pulled.</t>
  </si>
  <si>
    <t>We see a red illustration on a potato and a potato is mashed.</t>
  </si>
  <si>
    <t>Two more potatoes are peeled easily, Another potato is boiled and dropped in cold water.</t>
  </si>
  <si>
    <t>v_-ap649M020k</t>
  </si>
  <si>
    <t>Several clips are shown of people wandering around areas, looking to the camera, and skateboarding down a hill.</t>
  </si>
  <si>
    <t>Several more people are shown skateboarding own various areas as well as swimming, rolling joints, and and surfing on the water.</t>
  </si>
  <si>
    <t>The men perform tricks, get naked, swim underwater, cut open a watermelon, as well as various other activities that lead back into skateboarding.</t>
  </si>
  <si>
    <t>v_PfNtxlM1QHw</t>
  </si>
  <si>
    <t>A crowd of people are at a stadium watching a bull fight.</t>
  </si>
  <si>
    <t>A petite man is standing in front of the bull with a red cloth and taunting the bull.</t>
  </si>
  <si>
    <t>Once the bull moves,three more men come out with pink cloths and begin taunting the bulls and he hits them with his horns.</t>
  </si>
  <si>
    <t>The men finally leave the bull alone and he lays down on his side and they begin giving him something in the mouth.</t>
  </si>
  <si>
    <t>Once laid to rest, another man comes and wraps something around his mouth to secure him as another set of men walk out guiding horses.</t>
  </si>
  <si>
    <t>v_DpoIgaZ1m_U</t>
  </si>
  <si>
    <t>Two men spar in a karate practice match inside a gym studio.</t>
  </si>
  <si>
    <t>The instructor trips the student after catching the punches.</t>
  </si>
  <si>
    <t>The instructor does a sliding kick on the student.</t>
  </si>
  <si>
    <t>The instructor catches the kicks of the student.</t>
  </si>
  <si>
    <t>v_LpTVTiu8oro</t>
  </si>
  <si>
    <t>A shirtless man with a machete walks out into the front yard.</t>
  </si>
  <si>
    <t>He starts hitting the grass repeatedly over and over cutting the grass.</t>
  </si>
  <si>
    <t>Instead of using a lawnmower he is cutting the grass with a machete.</t>
  </si>
  <si>
    <t>He stands right up and walks up to a patch and then starts to use the machete towards it also.</t>
  </si>
  <si>
    <t>v_zlXvqnBqVvI</t>
  </si>
  <si>
    <t>The two people take shots with their pucks down the board.</t>
  </si>
  <si>
    <t>The person changes the score on the board posted on a pole.</t>
  </si>
  <si>
    <t>A player walks down the board to retrieve the pucks.</t>
  </si>
  <si>
    <t>Two people play a leisurely game of shuffle board on an outdoor court.</t>
  </si>
  <si>
    <t>v_F6BJoTLozoc</t>
  </si>
  <si>
    <t>An empty stage with four lights are shown as a crowd of people stand waiting for something to happen.</t>
  </si>
  <si>
    <t>A lady with a orange and yellow cape and skirt then comes out from the side and starts to belly dance.</t>
  </si>
  <si>
    <t>The woman then drops the cape and begins walking towards the crowd moving her chest and smiling at the people.</t>
  </si>
  <si>
    <t>v_B4zPg1ftxf4</t>
  </si>
  <si>
    <t>We see people playing paintball on a football field.</t>
  </si>
  <si>
    <t>The people take off and head out into the field.</t>
  </si>
  <si>
    <t>The man is crawling on the ground.</t>
  </si>
  <si>
    <t>He fills his gun with orange balls.</t>
  </si>
  <si>
    <t>A person walks up to the bag near the man.</t>
  </si>
  <si>
    <t>The man reloads his gun with blue balls.</t>
  </si>
  <si>
    <t>We see a man behind a fence and the man is walking.</t>
  </si>
  <si>
    <t>v_4FGdbFzq-8I</t>
  </si>
  <si>
    <t>A man is seen sitting in the back of a car waxing down a surf board and another man speaking to the camera.</t>
  </si>
  <si>
    <t>Slow motion shots of a man surfing are shown and the man continues speaking.</t>
  </si>
  <si>
    <t>v_GKpeX_lWMgg</t>
  </si>
  <si>
    <t>People are riding in sailboats from the view of a large ocean liner.</t>
  </si>
  <si>
    <t>A woman leans against the edge, watching the boats.</t>
  </si>
  <si>
    <t>v_krUhklOpyQU</t>
  </si>
  <si>
    <t>A man is filming inside of am apartment looking around at several different things.</t>
  </si>
  <si>
    <t>A little boy comes into the scene and quickly exits out of the view of the camera.</t>
  </si>
  <si>
    <t>The boy comes onto the camera again doing karate moves with a stick.</t>
  </si>
  <si>
    <t>The man gets a close up of the boy while he talks to the boy in another language.</t>
  </si>
  <si>
    <t>the boy does a bow and the video ends.</t>
  </si>
  <si>
    <t>v_iFTYM1Ez5ZM</t>
  </si>
  <si>
    <t>An athlete in a white and blue uniform prepares to compete in a Triple Jump competition in a track and field tournament.</t>
  </si>
  <si>
    <t>The competitor gradually begins by running slowly then picking up speed to a sprint and landing one foot on the white marker line and two more hops on each foot and then jumps over the sand course.</t>
  </si>
  <si>
    <t>The competitor skips and runs off of the track and goes to the spectator stands and celebrates his jump.</t>
  </si>
  <si>
    <t>A close up of the competitors foot position landing on the white marker line is shown on a close up and the jump is shown in slow motion and at regular speed multiple times.</t>
  </si>
  <si>
    <t>v_xGpaEqbVgBI</t>
  </si>
  <si>
    <t>The camera pans around a large group of people playing a soccer match on a field with many people watching on the sides.</t>
  </si>
  <si>
    <t>The players walk around the field a bit and lead into them playing the game.</t>
  </si>
  <si>
    <t>A person's hand then covers the camera and moves all around the area.</t>
  </si>
  <si>
    <t>v_SvM0twHYsus</t>
  </si>
  <si>
    <t>A woman looks through a large pile of clothing and begins throwing at the camera man.</t>
  </si>
  <si>
    <t>She miles his direction while talking and irons some clothes on the table.</t>
  </si>
  <si>
    <t>v_8leZKBY0B6I</t>
  </si>
  <si>
    <t>A person is seen turning her neck to the side and a person wearing gloves holding a needle.</t>
  </si>
  <si>
    <t>The person then pierces the ear of the girl sitting down.</t>
  </si>
  <si>
    <t>He puts an earring through the piercing and makes sure it's in place.</t>
  </si>
  <si>
    <t>v_1ILXipBgbTs</t>
  </si>
  <si>
    <t>There are several people dressed in safety vests and helmets sailing in a speed boat to go tubing in water.</t>
  </si>
  <si>
    <t>They travel through the lake and arrive at a spot where they get off the boat and jump into the water with their tubes.</t>
  </si>
  <si>
    <t>They get onto the yellow tubes and float along the water.</t>
  </si>
  <si>
    <t>v_tgnyGoKM2tM</t>
  </si>
  <si>
    <t>We see a man talking in a bike shop.</t>
  </si>
  <si>
    <t>The man touches the handle bars of a bike then grabs a wire off a table.</t>
  </si>
  <si>
    <t>The man strings the wire through the bikes brake system.</t>
  </si>
  <si>
    <t>The man adds a black plastic sheath over the wire and attaches it to the wheel brace.</t>
  </si>
  <si>
    <t>v_diZvvLb46O8</t>
  </si>
  <si>
    <t>The team in white and red uniform danced in the court.</t>
  </si>
  <si>
    <t>The team individually do jumping rope, danced on the ground.</t>
  </si>
  <si>
    <t>The team do jumping ropes where two females hold the end of the jumping rope, rotating them as the other team member jumped inside the rope and dance.</t>
  </si>
  <si>
    <t>v_6ITE3hona-4</t>
  </si>
  <si>
    <t>a person is assembling a vacuum on the carpet.</t>
  </si>
  <si>
    <t>They plug the vacuum in.</t>
  </si>
  <si>
    <t>They turn the vacuum on and begin vacuuming the floor.</t>
  </si>
  <si>
    <t>They take the attachment hose off and vacuum the base boards and stairs.</t>
  </si>
  <si>
    <t>They take the filter out and empty it.</t>
  </si>
  <si>
    <t>They unplug the vacuum and put it in the closet.</t>
  </si>
  <si>
    <t>v_nTsXn3oHf_8</t>
  </si>
  <si>
    <t>A small boy plays on a stair stepper in a store.</t>
  </si>
  <si>
    <t>We back up and see the boys legs.</t>
  </si>
  <si>
    <t>The camera zooms in on the boy again.</t>
  </si>
  <si>
    <t>v_E4AoMNfsuaw</t>
  </si>
  <si>
    <t>A little girl in a diaper uses a small vacuum.</t>
  </si>
  <si>
    <t>She is vacuuming dirt out from under a chair in a living room.</t>
  </si>
  <si>
    <t>She uses the brush to suck up dirt on the floor.</t>
  </si>
  <si>
    <t>v_xfyoEDb6kVg</t>
  </si>
  <si>
    <t>A boy spins around a gym with a tennis racket and pushes a ball around to another boy.</t>
  </si>
  <si>
    <t>The boys run back and fourth bouncing balls against a wall with their hands and a tennis racket.</t>
  </si>
  <si>
    <t>They slide around the floor pushing the ball and continue hitting the ball back and fourth across the gym.</t>
  </si>
  <si>
    <t>v_bMRx3vSVZUQ</t>
  </si>
  <si>
    <t>A man is seen in several shots looking off into the distance followed by others riding around on boards.</t>
  </si>
  <si>
    <t>The men gear up on the sides while speaking to the camera and ride around on the water.</t>
  </si>
  <si>
    <t>The people continue to ride around while others watch on the side.</t>
  </si>
  <si>
    <t>v_xs4MvE_uAtU</t>
  </si>
  <si>
    <t>A person uses a brush to scrub a shoe over a sink.</t>
  </si>
  <si>
    <t>They wipe the shoe off with a white towel.</t>
  </si>
  <si>
    <t>He lifts up the shoe to show the camera.</t>
  </si>
  <si>
    <t>v_q_eRxmeGJBY</t>
  </si>
  <si>
    <t>We see an image of a male gymnast in mid swing.</t>
  </si>
  <si>
    <t>We see a title card with a family on it.</t>
  </si>
  <si>
    <t>A man swings around on a pommel horse.</t>
  </si>
  <si>
    <t>A man in blue plan swing his legs back and forth.</t>
  </si>
  <si>
    <t>The man in red shorts is spinning wildly.</t>
  </si>
  <si>
    <t>He then spins on a round device.</t>
  </si>
  <si>
    <t>v_C2KzNljiTIU</t>
  </si>
  <si>
    <t>A woman is seated, brushing her hair with her back to the camera.</t>
  </si>
  <si>
    <t>She continues brushing with long strokes.</t>
  </si>
  <si>
    <t>She leans her head to one side, continuing to brush.</t>
  </si>
  <si>
    <t>v_vXOT_VXWOqo</t>
  </si>
  <si>
    <t>Several shots are shown of large groups of people running around a field.</t>
  </si>
  <si>
    <t>Audience members are seen cheering while people play soccer on the side.</t>
  </si>
  <si>
    <t>People continue playing up and down the field while others watch them play.</t>
  </si>
  <si>
    <t>v_UlddctIswqo</t>
  </si>
  <si>
    <t>A girl wearing an orange hoodie and a girl wearing a black blouse enter a home and go into the kitchen.</t>
  </si>
  <si>
    <t>The girls are preparing to bake cookies.</t>
  </si>
  <si>
    <t>The cell phone rings and both girls get excited.</t>
  </si>
  <si>
    <t>Some one is at the front door and the girl in the orange hoodie runs through the house to go answer the door.</t>
  </si>
  <si>
    <t>The girl in the black blouse is at the door disguised as a man.</t>
  </si>
  <si>
    <t>The girl in the orange hoodie squeezes a bar of butter and it falls to the floor and slams the door shut.</t>
  </si>
  <si>
    <t>The girl in the black blouse turns and walks away dejected.</t>
  </si>
  <si>
    <t>v_zCND0HJq6Iw</t>
  </si>
  <si>
    <t>A white man is on the stage with long dreads throwing up the piece sign to the audience.</t>
  </si>
  <si>
    <t>After their interaction,the man begins to play the wind pipes on his back as he walks back and forth across the stage.</t>
  </si>
  <si>
    <t>The crowd is shown and the camera goes back to the stage and several lights come on as the guitarist begins to play.</t>
  </si>
  <si>
    <t>v_3boxQwSpv-8</t>
  </si>
  <si>
    <t>A little girl smiles and talks to the camera.</t>
  </si>
  <si>
    <t>She and other children are then shown washing their hands at sinks.</t>
  </si>
  <si>
    <t>They talk about singing the birthday song or counting to know how long they should wash their hands.</t>
  </si>
  <si>
    <t>v_xM5OQYON59w</t>
  </si>
  <si>
    <t>We see a man with a ball he is preparing to throw shotput.</t>
  </si>
  <si>
    <t>The man lifts his arm.</t>
  </si>
  <si>
    <t>The man spins and throws the ball.</t>
  </si>
  <si>
    <t>We see men in the distance measure.</t>
  </si>
  <si>
    <t>We see the thrower grab his jacket and walk away.</t>
  </si>
  <si>
    <t>v_G-giwt-TN8A</t>
  </si>
  <si>
    <t>We see a tractor and a title screen.</t>
  </si>
  <si>
    <t>We see a tractor blowing leaves.</t>
  </si>
  <si>
    <t>We see the tractor up close.</t>
  </si>
  <si>
    <t>We then see flowers on trees.</t>
  </si>
  <si>
    <t>v_7tdlcmbuLOA</t>
  </si>
  <si>
    <t>A man is seen speaking to the camera that leads into several clips of people wake boarding.</t>
  </si>
  <si>
    <t>The man then speaks to a woman and helps demonstrate how to properly ride the wake board.</t>
  </si>
  <si>
    <t>The boat then takes off and helps the girl ride along while she falls the first time then successfully rides.</t>
  </si>
  <si>
    <t>v_nxNJNn8blDw</t>
  </si>
  <si>
    <t>An old man with eyeglasses is standing in front of model tiles talking to the camera.</t>
  </si>
  <si>
    <t>A group of men in black started to removed the first half of the carpet in the living room, then replaced it with lighter, newer carpet.</t>
  </si>
  <si>
    <t>The group of men in black shirts moved the couch from the wall to other side and removed the other half of the carpet, exposing the green floor.</t>
  </si>
  <si>
    <t>The group of men put the carpet on the floor, they measure it, cut it and taped it.</t>
  </si>
  <si>
    <t>When the new carpet is properly installed, the men vacuum the carpet while the lady walked in the living room.</t>
  </si>
  <si>
    <t>The men and the old man and the woman removed the TV from the wall and installed a wooden TV set furniture, while the other men and the lady arranged the couch and put the pillows on it.</t>
  </si>
  <si>
    <t>v_XBbSLB3Ov0w</t>
  </si>
  <si>
    <t>A group of eight people are white rafting in somewhat calm water as the two people in the back paddle them down the water.</t>
  </si>
  <si>
    <t>The two people in the back continue paddling and the camera zooms in on them but the water is too calm for them to get the full experience and nothing is happening.</t>
  </si>
  <si>
    <t>Lastly, a blue screen flashes and white words appear.</t>
  </si>
  <si>
    <t>v_2VYQ4q24D-4</t>
  </si>
  <si>
    <t>Two cars are parked on the side of the road as train passes by.</t>
  </si>
  <si>
    <t>All of a sudden,the angle shifts and a boy begins skateboarding down the hill and throughout the city.</t>
  </si>
  <si>
    <t>v_vOI3hJ45lag</t>
  </si>
  <si>
    <t>A man sits on a table with accordions.</t>
  </si>
  <si>
    <t>Then the man holds an accordion while touching the buttons and talking.</t>
  </si>
  <si>
    <t>v_iOgmO3MMeH4</t>
  </si>
  <si>
    <t>A woman plays piano in a room decorated with candles.</t>
  </si>
  <si>
    <t>Katty Perry walks with a man in street, they she plays the piano, then she talks with the man.</t>
  </si>
  <si>
    <t>v_-5KAycAQlC4</t>
  </si>
  <si>
    <t>A man is being pulled on a water ski as he floats in the water casually.</t>
  </si>
  <si>
    <t>He mounts the water ski and tears through the water at fast speeds.</t>
  </si>
  <si>
    <t>Two men are shown sitting in the boat, before cutting back to the turbulent water skiing.</t>
  </si>
  <si>
    <t>v_uR-o9wILN6U</t>
  </si>
  <si>
    <t>The man in blue shirt with cap is hitting the thick rope.</t>
  </si>
  <si>
    <t>The man get on the rope and the crowd applauded.</t>
  </si>
  <si>
    <t>The man in blue shirt started to bounced on the rope doing some tricks like sitting on the rope, bouncing on his chest, cartwheel and walking on the rope.</t>
  </si>
  <si>
    <t>v_Jk3oA2mhPD8</t>
  </si>
  <si>
    <t>A young girl is doing gymnastics on a blue mat.</t>
  </si>
  <si>
    <t>She does several back flips on a trampoline.</t>
  </si>
  <si>
    <t>She does a flip into a pile of foam pieces.</t>
  </si>
  <si>
    <t>v_MduMjuxuIac</t>
  </si>
  <si>
    <t>Men walk out on a stage clap and high five.</t>
  </si>
  <si>
    <t>The men perform a cheerleader routine.</t>
  </si>
  <si>
    <t>They hold five men in the air and flip them and flip four men in groups.</t>
  </si>
  <si>
    <t>One man is lifted high and swings two men on his arms to the other side then five men make a star like shape.</t>
  </si>
  <si>
    <t>the men kneel and dance and pose for the finish.</t>
  </si>
  <si>
    <t>The men jump and cheer as they leave the stage.</t>
  </si>
  <si>
    <t>A person in the front row stands in front of the camera.</t>
  </si>
  <si>
    <t>v_Ga-204sSRoc</t>
  </si>
  <si>
    <t>A man is seen kneeling of a roof while holding a piece of wood.</t>
  </si>
  <si>
    <t>He begins hammering down the piece of wood while the camera pans around.</t>
  </si>
  <si>
    <t>He continues hammering around and looks back at the camera.</t>
  </si>
  <si>
    <t>v_KeTYxQkYfQw</t>
  </si>
  <si>
    <t>A man is seen looking to the camera and snapping his fingers.</t>
  </si>
  <si>
    <t>This leads into a man playing an instrument while the camera watches.</t>
  </si>
  <si>
    <t>The man continues to play moving his hands up and down and looking back to the camera.</t>
  </si>
  <si>
    <t>v_rtJTJ10ppRc</t>
  </si>
  <si>
    <t>A group of people are outside at the beach playing sand volley ball.</t>
  </si>
  <si>
    <t>The ball falls and a fat boy with yellow shirts takes the ball and tries to serve it.</t>
  </si>
  <si>
    <t>However,the ball doesn't make it over the net,rolls back and he goes to get it.</t>
  </si>
  <si>
    <t>v_Cx1614E1Mgk</t>
  </si>
  <si>
    <t>A man is talking and playing drums in a split screen.</t>
  </si>
  <si>
    <t>As he explains the process, he uses his hands to beat out a tune.</t>
  </si>
  <si>
    <t>He continues talking and playing until it switches exclusively to him playing the drums.</t>
  </si>
  <si>
    <t>v_LlhgIOYsxsE</t>
  </si>
  <si>
    <t>People are sitting work out machines.</t>
  </si>
  <si>
    <t>They begin pulling a rope to work out.</t>
  </si>
  <si>
    <t>A woman is standing next to a work out machine.</t>
  </si>
  <si>
    <t>v_yRD0WDE5IG0</t>
  </si>
  <si>
    <t>Several people exercise in a room.</t>
  </si>
  <si>
    <t>The step on and off of a platform in rhythm.</t>
  </si>
  <si>
    <t>They are very dancing intensely.</t>
  </si>
  <si>
    <t>Some of them spin in circles.</t>
  </si>
  <si>
    <t>v__tPDUYSu1IQ</t>
  </si>
  <si>
    <t>There are two men elbow wrestling on a table.</t>
  </si>
  <si>
    <t>There are several people are watching them wrestle.</t>
  </si>
  <si>
    <t>In another scene, there are two more men elbow wrestling.</t>
  </si>
  <si>
    <t>There are a series of elbow wrestling events shown in the video where one man is more forceful than the other and ends up winning the wrestling game.</t>
  </si>
  <si>
    <t>There are some over dramatized scenes where people are elbow wrestling and over reacting to the game.</t>
  </si>
  <si>
    <t>There are also some referees seen acting as moderators in the elbow wrestling match.</t>
  </si>
  <si>
    <t>v_MO37MVz4uuA</t>
  </si>
  <si>
    <t>A brunette woman is sitting in a room and has her left arm raised and is looking at her armpit.</t>
  </si>
  <si>
    <t>The woman puts her arm down and talks into the camera and a black cat climbs on furniture behind her while she's still talking.</t>
  </si>
  <si>
    <t>The woman is now standing in her shower fully clothed and she's applying a lot of shaving cream to her right leg that's propped on a wall.</t>
  </si>
  <si>
    <t>The woman is now standing upright and has a lot of shaving cream on her left armpit and falls, then she's standing with shaving cream all over her and then claps her hands.</t>
  </si>
  <si>
    <t>The woman is back in the room talking, then appears back in the shower with a razor and shaving her legs.</t>
  </si>
  <si>
    <t>The woman is talking in the room again and her black cat goes up to her and the woman continues to talk and ends with a clip of her carefully getting out of the bathtub.</t>
  </si>
  <si>
    <t>v_MFvdMVCzfB0</t>
  </si>
  <si>
    <t>A girl wearing a red shirt and white shorts is standing in her bathroom at the sink with a toothbrush in her hand.</t>
  </si>
  <si>
    <t>She takes some toothpaste and puts it on her brush and begins brushing.</t>
  </si>
  <si>
    <t>She starts to dance as she brushes her teeth and wiggles her body too.</t>
  </si>
  <si>
    <t>She continues brushing and dances faster and laughs.</t>
  </si>
  <si>
    <t>Then she realizes that her mouth is full of toothpaste foam and that it is coming out, she spits it out in the sink.</t>
  </si>
  <si>
    <t>v_DZVJtWJrWTU</t>
  </si>
  <si>
    <t>A young woman with red and black hair is shown using a hair dryer.</t>
  </si>
  <si>
    <t>She uses a large round brush to brush her hair straight as it dries.</t>
  </si>
  <si>
    <t>When she is done, she rakes her hand through her hair and brushes it into place.</t>
  </si>
  <si>
    <t>v_sfeUXTuKMs8</t>
  </si>
  <si>
    <t>Photos of horses are shown followed by the "Equestrian Life" logo.</t>
  </si>
  <si>
    <t>A woman stands outside with a brown horse and puts on a helmet.</t>
  </si>
  <si>
    <t>The woman talks to the camera and mounts the horse.</t>
  </si>
  <si>
    <t>She continues to speak to the camera and then walks the horse in a circle.</t>
  </si>
  <si>
    <t>v_e9R62cyqW4A</t>
  </si>
  <si>
    <t>A person is seen riding a bike down a long road followed by a large camel off in the distance.</t>
  </si>
  <si>
    <t>The animal moves closer while the camera zooms in the three people riding on the top the camel and passing by more riding camels.</t>
  </si>
  <si>
    <t>v_tqanHyXTFFw</t>
  </si>
  <si>
    <t>A woman is seen speaking to the camera that leads into a man speaking to a group.</t>
  </si>
  <si>
    <t>Another man speaks to the camera while the demonstrator points to a bike and takes off a wheel.</t>
  </si>
  <si>
    <t>More people speak to the camera while the man demonstrates how to put air in a tire and well as taking it apart.</t>
  </si>
  <si>
    <t>v_XCejO7RyWdA</t>
  </si>
  <si>
    <t>A woman in a pink shirt is standing outside.</t>
  </si>
  <si>
    <t>A brown dog is playing with a frisbee.</t>
  </si>
  <si>
    <t>The dog is standing on the woman's back.</t>
  </si>
  <si>
    <t>v_l12QfUhRLLc</t>
  </si>
  <si>
    <t>stadium is shown with a lot of people in the audience sitting on stands watching a criquet game.</t>
  </si>
  <si>
    <t>men are being interviewed in the field.</t>
  </si>
  <si>
    <t>v_aQAAzVQ_gSA</t>
  </si>
  <si>
    <t>A man is standing at a toy machine before he looks up and runs, jumping over a counter.</t>
  </si>
  <si>
    <t>He grabs a bowling ball and begins bowling.</t>
  </si>
  <si>
    <t>The men do backflips and slide as they bowl, sometimes rolling the balls under each other.</t>
  </si>
  <si>
    <t>One is blindfolded before making a strike, then the other does hand stands on the equipment.</t>
  </si>
  <si>
    <t>v_5yqHTGQm2B0</t>
  </si>
  <si>
    <t>Men on these robotic looking pogo sticks are playing basketball inside of a court.</t>
  </si>
  <si>
    <t>They are walking on the pogo sticks and jumping a bit too.</t>
  </si>
  <si>
    <t>They try to get the ball in the hoop and continue bouncing around the court.</t>
  </si>
  <si>
    <t>A man in green does a flip in the air and shoots the ball into the hoop.</t>
  </si>
  <si>
    <t>v_kTJDylL6pCU</t>
  </si>
  <si>
    <t>A dog is seen standing in a bath tub chained to a tub and a woman walks into frame and grabs the dog.</t>
  </si>
  <si>
    <t>She hold up a bottle and sprays it around the dog, rubbing it into it's fur while speaking to the camera.</t>
  </si>
  <si>
    <t>She then takes a hose and sprays the dog with water and ends by looking back to the camera.</t>
  </si>
  <si>
    <t>v_yr_ZOq9ZB9E</t>
  </si>
  <si>
    <t>Three teenage boys carry their skateboards up a paved park trail.</t>
  </si>
  <si>
    <t>A camera mounted on the skateboard captures scenes of the young skaters cruising in different directions and performing different tricks.</t>
  </si>
  <si>
    <t>A skateboarder in a green hoodie skates on a narrow dirt trail lined with trees.</t>
  </si>
  <si>
    <t>v_U0mKdo2-Gfc</t>
  </si>
  <si>
    <t>A weather map is shown for a second, then two news women sitting at a desk.</t>
  </si>
  <si>
    <t>Several people are shown warming up for a race.</t>
  </si>
  <si>
    <t>A gun is fired, and the race begins.</t>
  </si>
  <si>
    <t>We go back to the women in the news room, talking.</t>
  </si>
  <si>
    <t>v_fBbjlXgtd50</t>
  </si>
  <si>
    <t>A woman wearing classes dances in front of the camera.</t>
  </si>
  <si>
    <t>The woman turns around while raising an arm.</t>
  </si>
  <si>
    <t>The woman turns around again.</t>
  </si>
  <si>
    <t>v_VLg5XqBRorY</t>
  </si>
  <si>
    <t>We see a chef at an omelette bar making multiple omelets at the same time.</t>
  </si>
  <si>
    <t>We see the man pour more egg into the pans.</t>
  </si>
  <si>
    <t>The man sprinkles seasonings on the omelets.</t>
  </si>
  <si>
    <t>The man pours the omelettes on plates.</t>
  </si>
  <si>
    <t>We see photos of the chef.</t>
  </si>
  <si>
    <t>v_zaPxNw11llc</t>
  </si>
  <si>
    <t>An individual stands behind a netted area.</t>
  </si>
  <si>
    <t>The individual begins to swing for a hammer throw.</t>
  </si>
  <si>
    <t>The individual releases the weight.</t>
  </si>
  <si>
    <t>v_QjKmQO_9TaA</t>
  </si>
  <si>
    <t>A man is dancing in a room.</t>
  </si>
  <si>
    <t>He steps up and down on a small black stepping stool.</t>
  </si>
  <si>
    <t>He then dances with a woman in the room.</t>
  </si>
  <si>
    <t>v_54VcTlhF2H8</t>
  </si>
  <si>
    <t>man is standing on a race track ready to make gymnastics in parallels in the midle of a stadium.</t>
  </si>
  <si>
    <t>a lot of people are sitting or walking on stands.</t>
  </si>
  <si>
    <t>the man lands in the floor, greets and people applauds.</t>
  </si>
  <si>
    <t>v_0vCynjlkM5A</t>
  </si>
  <si>
    <t>A green race car comes into a pit stop.</t>
  </si>
  <si>
    <t>The man with the jack lifts the car up.</t>
  </si>
  <si>
    <t>The pit crew begins to work on the car by changing the front and rear tires of the car.</t>
  </si>
  <si>
    <t>The jack man then takes the jack out as a man in a pink shirt comes in front of the camera.</t>
  </si>
  <si>
    <t>v_wOwWidUOaxc</t>
  </si>
  <si>
    <t>A man is seen kneeling down in a picture followed by two men bending down towards one another.</t>
  </si>
  <si>
    <t>They begin wrestling and one man pushes the other down and their clip is shown again.</t>
  </si>
  <si>
    <t>v_ZX8sFpq471A</t>
  </si>
  <si>
    <t>A man and a woman are in a room with several targets behind them talking.</t>
  </si>
  <si>
    <t>The lady is then shown in another room demonstrating the proper technique to be efficient in archery.</t>
  </si>
  <si>
    <t>Two pattern continues and then the girl comes back and is shown with bows behind her back before shooting at a target on the wall.</t>
  </si>
  <si>
    <t>v_W5jswt09V3s</t>
  </si>
  <si>
    <t>A group of men are playing instruments outside a building.</t>
  </si>
  <si>
    <t>Two men crouch in front of each other as they play.</t>
  </si>
  <si>
    <t>The men jump up, and begin doing martial arts moves around each other, simulating kicks and flips.</t>
  </si>
  <si>
    <t>v__n0cR3Oshxg</t>
  </si>
  <si>
    <t>A man sits on front a bowl, then a woman shows cookie dough in bowls, then review a cookbook.</t>
  </si>
  <si>
    <t>Then, the woman make dough balls and putsion a baking pan, also a teen makes dough balls and puts in baking pan.</t>
  </si>
  <si>
    <t>After, the man put the cookies in the oven.</t>
  </si>
  <si>
    <t>v_R2cL7miVEwA</t>
  </si>
  <si>
    <t>A large group of people are seen running along a field and leads into them playing a field hockey game.</t>
  </si>
  <si>
    <t>The game continues on with arrows pointing to various players as well as shots of people falling down.</t>
  </si>
  <si>
    <t>v_lx83HHNNrlc</t>
  </si>
  <si>
    <t>A man holds the handle of a cleaning tool.</t>
  </si>
  <si>
    <t>The man cleans the kitchen floor.</t>
  </si>
  <si>
    <t>A lady discusses with the man.</t>
  </si>
  <si>
    <t>The man takes the mop out of the red bucket and moves the bucket aside.</t>
  </si>
  <si>
    <t>The lady stands next to a male.</t>
  </si>
  <si>
    <t>The lady gestures with her hands.</t>
  </si>
  <si>
    <t>The man hands the mop to the lady and empties the red bucket in the sink.</t>
  </si>
  <si>
    <t>The male grabs alcohol, while the lady mops.</t>
  </si>
  <si>
    <t>The man hands the bucket and mop to the male.</t>
  </si>
  <si>
    <t>The man waves and salutes.</t>
  </si>
  <si>
    <t>The lady laughs out loud.</t>
  </si>
  <si>
    <t>The man washes his hand.</t>
  </si>
  <si>
    <t>v_uOmCwWVJnLQ</t>
  </si>
  <si>
    <t>A bar of exercise equipment is shown in a living room.</t>
  </si>
  <si>
    <t>The different details of the equipment are being shown.</t>
  </si>
  <si>
    <t>The man holds on to the bar of the machine as he talks about it.</t>
  </si>
  <si>
    <t>v_U6KrVIJSeDo</t>
  </si>
  <si>
    <t>A close up of an exercise equipment is shown followed by a man walking into frame and begins using the machine.</t>
  </si>
  <si>
    <t>The man moves back and fourth on the machine while the camera continues to capture his movements.</t>
  </si>
  <si>
    <t>v_UmU8dx36O9w</t>
  </si>
  <si>
    <t>A woman is seen sitting in front of the camera and begins putting a contact lens in her eyes.</t>
  </si>
  <si>
    <t>The woman keeps attempting to put the lens in her eye while looking around trying again.</t>
  </si>
  <si>
    <t>She succeeds the last time and is seen cheering to the camera.</t>
  </si>
  <si>
    <t>v_BsSZDCHPjtY</t>
  </si>
  <si>
    <t>A large lake is seen with a man sitting in a tube as well as others looking around the area.</t>
  </si>
  <si>
    <t>The men crash with one hitting up against a log and leads into the tube being moved around and the person sitting back on.</t>
  </si>
  <si>
    <t>v_5Ra6milBrOM</t>
  </si>
  <si>
    <t>An introduction animation is shown with the title of video.</t>
  </si>
  <si>
    <t>A female coach in sweats gives instructions to a group of students in a gym for a physical activity by acting out the routine.</t>
  </si>
  <si>
    <t>The students mimic the instructors motions.</t>
  </si>
  <si>
    <t>The coach points to different areas of the gym and individual groups of students.</t>
  </si>
  <si>
    <t>A student in black shorts runs across the gym.</t>
  </si>
  <si>
    <t>A group of students plays rock paper sissor.</t>
  </si>
  <si>
    <t>Students run around the perimeter of the gym to different stations.</t>
  </si>
  <si>
    <t>A student wearing a hat sits on the bench and looks sick.</t>
  </si>
  <si>
    <t>A animated page shows credits for the video.</t>
  </si>
  <si>
    <t>v_Bvry1S-bYXU</t>
  </si>
  <si>
    <t>A girl competes vault gymnastic in front the judges while spectators observe from the bleachers.</t>
  </si>
  <si>
    <t>The gymnast approach to her coaches to talk and then they leave.</t>
  </si>
  <si>
    <t>After, the a flashback of the performance of the gymnast is show.</t>
  </si>
  <si>
    <t>v_uThAYmmxBFk</t>
  </si>
  <si>
    <t>A large group of people are seen moving around a room performing an exercise routine.</t>
  </si>
  <si>
    <t>The people move up and down on beams while moving their arms around and a woman leading in front.</t>
  </si>
  <si>
    <t>The group continue dancing with one another and end by holding a pose.</t>
  </si>
  <si>
    <t>v_OyV4eki18GE</t>
  </si>
  <si>
    <t>A baby in a hat is sitting on a chair.</t>
  </si>
  <si>
    <t>A man is holding the baby playing with a ball.</t>
  </si>
  <si>
    <t>A baby is sleeping on a couch.</t>
  </si>
  <si>
    <t>v_D-XCWhvStd4</t>
  </si>
  <si>
    <t>We see the title screens for the video.</t>
  </si>
  <si>
    <t>We see a person skiing.</t>
  </si>
  <si>
    <t>We switch to a workshop and a list of tools.</t>
  </si>
  <si>
    <t>We see a man adds a band on a ski and the ski sits on a contraption.</t>
  </si>
  <si>
    <t>A man brushes and rubs the ski.</t>
  </si>
  <si>
    <t>We see colorful wax and a man turning a dial.</t>
  </si>
  <si>
    <t>The man pours wax and we get instructions before he irons the wax on the ski.</t>
  </si>
  <si>
    <t>The man scrapes the wax and brushes the ski.</t>
  </si>
  <si>
    <t>We get a ski fact and the video end card shows.</t>
  </si>
  <si>
    <t>v_SXwCedd4MKg</t>
  </si>
  <si>
    <t>A person is seen throwing a frisbee off into the distance and a dog chasing after it.</t>
  </si>
  <si>
    <t>Several shots are shown of dogs running after frisbees after their owner throws them.</t>
  </si>
  <si>
    <t>More dogs are seen chasing after the frisbees while the owner watches from behind.</t>
  </si>
  <si>
    <t>v_tQT-iQIv-KY</t>
  </si>
  <si>
    <t>A group of coaches, gymnasts and parents stand and sit around a gym while a few of the gymnasts perform or practice.</t>
  </si>
  <si>
    <t>A young girl in purple does a balance beam routine.</t>
  </si>
  <si>
    <t>A girl in the back ground does a floor routine.</t>
  </si>
  <si>
    <t>When the floor routine ends the crowd all claps and several young gymnasts get up and walk around.</t>
  </si>
  <si>
    <t>A woman hold up a sign that says 965.</t>
  </si>
  <si>
    <t>The girl on the balance beam ends her routine and walks over and hugs a woman in purple.</t>
  </si>
  <si>
    <t>v__zR5wVbz3xU</t>
  </si>
  <si>
    <t>A man jumps onto bars and starts swinging on them.</t>
  </si>
  <si>
    <t>He does a flip off them and lands on a mat.</t>
  </si>
  <si>
    <t>v_uXX2lSVAXq8</t>
  </si>
  <si>
    <t>A medical processional puts a device and needle in someones face.</t>
  </si>
  <si>
    <t>It is actually a piercing.</t>
  </si>
  <si>
    <t>He cleans it and then she gets up.</t>
  </si>
  <si>
    <t>v_YK5n3YTf8pI</t>
  </si>
  <si>
    <t>A group of photographers take pictures as a weight lifter shows up on stage and prepares his hands.</t>
  </si>
  <si>
    <t>He lifts a barbell at the knees, then pauses at his chest.</t>
  </si>
  <si>
    <t>He lifts the barbell over his head before dropping it back to the ground.</t>
  </si>
  <si>
    <t>v_COx5Bf0PsQs</t>
  </si>
  <si>
    <t>A platter with lemonade drinks sits on a counter top.</t>
  </si>
  <si>
    <t>A woman squeezes a lemon.</t>
  </si>
  <si>
    <t>She adds sugar to a large pitcher.</t>
  </si>
  <si>
    <t>She stirs the sugar with a large wooden spoon.</t>
  </si>
  <si>
    <t>She proceeds to add water to the pitcher in order to dilute.</t>
  </si>
  <si>
    <t>Afterwards, she adds more sugar to the pitcher.</t>
  </si>
  <si>
    <t>She pours the finished lemonade into a cup.</t>
  </si>
  <si>
    <t>The steps of making lemonade are presented once more.</t>
  </si>
  <si>
    <t>v_VFUk9WX8y5w</t>
  </si>
  <si>
    <t>A group of people holding skateboards stand on the start line, then people skateboard down the road.</t>
  </si>
  <si>
    <t>They get in a school bus, then, they skateboard on the road.</t>
  </si>
  <si>
    <t>A boy falls on the ground, and other people continue skateboarding.</t>
  </si>
  <si>
    <t>Two, people fall on the road.</t>
  </si>
  <si>
    <t>After, a man gives the start to people who skateboard on the road until reach the finish line to receive their trophies.</t>
  </si>
  <si>
    <t>A person skateboard jumping on a ramp.</t>
  </si>
  <si>
    <t>v_Rh2UGc42X0M</t>
  </si>
  <si>
    <t>A woman smiles before sledding down a hill on an intertube.</t>
  </si>
  <si>
    <t>She laughs and waves at the camera on the way down the hill.</t>
  </si>
  <si>
    <t>Several people are then shown sledding together before coming to a stop on a snowy slope.</t>
  </si>
  <si>
    <t>v_M0UsJ31h64U</t>
  </si>
  <si>
    <t>A large group of people are shown swimming around in a pool playing water polo.</t>
  </si>
  <si>
    <t>The match continues on with people passing the ball around the pool while many sit along the sidelines and watch.</t>
  </si>
  <si>
    <t>v_PUzd4mfmzqo</t>
  </si>
  <si>
    <t>A man in an outdoor basketball court explains how to do layup drills with both arms, over hand, underhand, right and left hand layup with two steps.</t>
  </si>
  <si>
    <t>He then goes to the hash marks on the court and shows various variations of a layup from various distances and how to do the drills for practice.</t>
  </si>
  <si>
    <t>He then comes back to the camera and explains what he did.</t>
  </si>
  <si>
    <t>v_W07hi9Y37Jg</t>
  </si>
  <si>
    <t>A man plays the accordion on a stage in front of a music stand while wearing a red suit jacket.</t>
  </si>
  <si>
    <t>A man sits on a chair on a stage and plays the accordion in front of a music stands.</t>
  </si>
  <si>
    <t>The man runs his fingers up and down the keys and pulls the accordion open and closed with a free hands before ending the performance and rubbing his hair with his hand.</t>
  </si>
  <si>
    <t>v_tJSF2GAp9TU</t>
  </si>
  <si>
    <t>A man jumps on parallel bars and does a gymnastics routine.</t>
  </si>
  <si>
    <t>The audience is watching him in the stands.</t>
  </si>
  <si>
    <t>He jumps off and lands on the mat with his hands raised.</t>
  </si>
  <si>
    <t>v_QePg4GKh3rw</t>
  </si>
  <si>
    <t>A gymnast is seen standing ready and waves one arm into the air.</t>
  </si>
  <si>
    <t>She jumps onto a set of uneven bars and performs a gymnastics routine consisting on flips and tricks.</t>
  </si>
  <si>
    <t>She jumps off the bars in the end and waves her arms in the air while her coach claps for her.</t>
  </si>
  <si>
    <t>v_CEEJ1gzdmAk</t>
  </si>
  <si>
    <t>Guys are playing hockey on an ice arena.</t>
  </si>
  <si>
    <t>Some players are laid out.</t>
  </si>
  <si>
    <t>A pile of players lay on a fallen athlete.</t>
  </si>
  <si>
    <t>A player gets knocked to the ice and his helmet too.</t>
  </si>
  <si>
    <t>A guy has a head injury and is blooding on the ice after he falls.</t>
  </si>
  <si>
    <t>v_6yD5jZn6SEs</t>
  </si>
  <si>
    <t>A gymnast is seen leaning over a long bar with a person standing next to her on the ground.</t>
  </si>
  <si>
    <t>The girl then hops herself up on the beam.</t>
  </si>
  <si>
    <t>Finally the girl begins to swing down around.</t>
  </si>
  <si>
    <t>v_UaiKJ_7mKIA</t>
  </si>
  <si>
    <t>A group stands at a train station.</t>
  </si>
  <si>
    <t>A man shovels snow from the sidewalk.</t>
  </si>
  <si>
    <t>A man in a wheelchair goes down a sidewalk on a cold winter day.</t>
  </si>
  <si>
    <t>A woman in snow jacket shovels snow from a sidewalk.</t>
  </si>
  <si>
    <t>A man breaks up ice with a spade.</t>
  </si>
  <si>
    <t>A man shovels snow from a sidewalk into a tree lined planter.</t>
  </si>
  <si>
    <t>v_mhqfGS59FG0</t>
  </si>
  <si>
    <t>Two people are seen holding tennis rackets and hitting a ball around in a small room.</t>
  </si>
  <si>
    <t>The men continue to hit the ball back and fourth to one another and run around the hit the ball.</t>
  </si>
  <si>
    <t>v_rIqITS6qMB0</t>
  </si>
  <si>
    <t>A guy stands in the fields and lights a piece of paper.</t>
  </si>
  <si>
    <t>A guy tosses the piece of paper towards stack wood and then runs.</t>
  </si>
  <si>
    <t>The wood catches on fire.</t>
  </si>
  <si>
    <t>The guy walks towards a man.</t>
  </si>
  <si>
    <t>v_HPv-d6qybdE</t>
  </si>
  <si>
    <t>A camera pans all around an indoor gym and leads into clips of people pole volting over a bar.</t>
  </si>
  <si>
    <t>Several people are shown running with a pole over a beam and onto a mat one after the other.</t>
  </si>
  <si>
    <t>More people take their turns while others walk around the gym and watch them on the sides.</t>
  </si>
  <si>
    <t>v_lRRBeGRTpdc</t>
  </si>
  <si>
    <t>the word BRENMAR is in the center of the screen going around, then change to the word UNiiQU3 and Hoola Hoop.</t>
  </si>
  <si>
    <t>three women wearing all black are standing holding a white hoola hoope on her hands.</t>
  </si>
  <si>
    <t>a man is bending on the floor srronded by hoola hoops.</t>
  </si>
  <si>
    <t>woman wearing black pants and white shirt starts dancing with a hoola hoop arond his neck.</t>
  </si>
  <si>
    <t>second woman with yellow hair starts dancing two people appears and a set of dancing women appears doing tricks with a hoola hoop while the man is watching them, woman with green jacket is singing the song.</t>
  </si>
  <si>
    <t>women appears in a dark room with brilliant hoola hoops dancing and doing tricks, woman with yellow hair keeps dancing alone.</t>
  </si>
  <si>
    <t>v_m6w3Skrc89s</t>
  </si>
  <si>
    <t>The man in black shirt is kneeling and reached for his back leg.</t>
  </si>
  <si>
    <t>The man slightly moved forward.</t>
  </si>
  <si>
    <t>The man paused forward while he is holding his ankle.</t>
  </si>
  <si>
    <t>v_NSi8DorB6L0</t>
  </si>
  <si>
    <t>This man is water skiing and he does it sitting down and standing up, except he's holding onto the handle bars backwards.</t>
  </si>
  <si>
    <t>While he's skiing he tries to around to stand forward like normal, but he goes flying when he tries to turn around.</t>
  </si>
  <si>
    <t>v_voaGOm-rl9Y</t>
  </si>
  <si>
    <t>A person is shoveling snow off their sidewalk.</t>
  </si>
  <si>
    <t>A dog is jumping in the snow he is throwing.</t>
  </si>
  <si>
    <t>Words come onto the screen.</t>
  </si>
  <si>
    <t>v_nQjxgOz1WYo</t>
  </si>
  <si>
    <t>A man is seen acting crazy towards a camera while sitting at a poker table with another man.</t>
  </si>
  <si>
    <t>The men stick their tongues out at the camera and the camera moves in on another table with people playing.</t>
  </si>
  <si>
    <t>In the end he faces the camera towards himself.</t>
  </si>
  <si>
    <t>v_4EQYvkfMUWw</t>
  </si>
  <si>
    <t>A teen holds a violin and then plays on front of other teens that talk and laugh.</t>
  </si>
  <si>
    <t>Teens talk and make comments and a woman laugh.</t>
  </si>
  <si>
    <t>Then people in the room applauds.</t>
  </si>
  <si>
    <t>v_rDlPcW_2nG0</t>
  </si>
  <si>
    <t>Two women standing in the kitchen, one girl is wearing a black top and the other one is wearing a beige top.</t>
  </si>
  <si>
    <t>The woman in beige showed a sandwich on the kitchen counter, then started peeing the green cucumber using a peeler, then start slicing the cucumber.</t>
  </si>
  <si>
    <t>She then spread butter on the bread, placed the sliced cucumber on the bread, sprinkle some salt, cut the edges of the bread then sliced it into triangle, then placed in on the white plate, then both of the women ate the sandwich.</t>
  </si>
  <si>
    <t>v_6w4OWjY6k_k</t>
  </si>
  <si>
    <t>A young child is seen walking forward with a stick in his hand and pushing a puck down a track.</t>
  </si>
  <si>
    <t>He walks back while another boy hits the puck and several people watch on the sidelines.</t>
  </si>
  <si>
    <t>The young boy continues to walk back and fourth.</t>
  </si>
  <si>
    <t>v_qJYp25ni6tg</t>
  </si>
  <si>
    <t>A man is seen speaking to the camera followed by various ingredients laid out and him chopping up vegetables.</t>
  </si>
  <si>
    <t>The man continues cutting and mixes the ingredients into a bowl.</t>
  </si>
  <si>
    <t>He pours liquid into the bowl and ends by presenting it on a plate.</t>
  </si>
  <si>
    <t>v_DR2sW3Wd8fo</t>
  </si>
  <si>
    <t>A video of the swan lake ballet is shown.</t>
  </si>
  <si>
    <t>They perform the act and interview some of the cast.</t>
  </si>
  <si>
    <t>v_-rJVr9sQ1h8</t>
  </si>
  <si>
    <t>The video leads into several shots of dogs walking around and leads into a woman petting a dogs fur.</t>
  </si>
  <si>
    <t>The woman continues brushing and shows clips of the dog running along a park.</t>
  </si>
  <si>
    <t>v_Q8Y9pmhvJqE</t>
  </si>
  <si>
    <t>Two adult men in helmets are teaching little boys how to play ice hockey.</t>
  </si>
  <si>
    <t>The boys gather in a circle, hitting their sticks on the ground.</t>
  </si>
  <si>
    <t>They then cheer and skate away.</t>
  </si>
  <si>
    <t>v_F1-PnXa9SwQ</t>
  </si>
  <si>
    <t>A woman in a white dress starts a lawn mower.</t>
  </si>
  <si>
    <t>She starts mowing the lawn.</t>
  </si>
  <si>
    <t>She turns around and goes back the other way.</t>
  </si>
  <si>
    <t>v_QQfH0FDsYPc</t>
  </si>
  <si>
    <t>A man is seen standing on a field and begins swinging an object around and around.</t>
  </si>
  <si>
    <t>He continues swinging and finishes by standing on the field.</t>
  </si>
  <si>
    <t>v_o1DCCTev0CQ</t>
  </si>
  <si>
    <t>A sign says superfresco easy on the screen.</t>
  </si>
  <si>
    <t>A man is shown painting a wall with grey paint.</t>
  </si>
  <si>
    <t>He uses broad sweeps to completely cover the wall.</t>
  </si>
  <si>
    <t>v_96krk6Ka9Vc</t>
  </si>
  <si>
    <t>Several views are seen from the inside of a stadium.</t>
  </si>
  <si>
    <t>A group of teams walk onto the field, cheering.</t>
  </si>
  <si>
    <t>The crowd cheers as the teams make goals during the game.</t>
  </si>
  <si>
    <t>v_pi4p4zdoqmw</t>
  </si>
  <si>
    <t>A man in surfing attire is featured with his name and size of his board.</t>
  </si>
  <si>
    <t>The video cuts to the beach and the man begins to surf.</t>
  </si>
  <si>
    <t>He catches waves but wipes out early on most of them.</t>
  </si>
  <si>
    <t>A bird appears to divebomb into the ocean.</t>
  </si>
  <si>
    <t>Other surfers further out appear.</t>
  </si>
  <si>
    <t>v_jwyLw2n_YVw</t>
  </si>
  <si>
    <t>A woman walks into the kitchen and turns the knobs on the oven.</t>
  </si>
  <si>
    <t>A blender is then put on the counter and the lever is pulled down followed by a tea bag being placed in a cup.</t>
  </si>
  <si>
    <t>The lady then moves to a counter and adds a piece of baking paper over two large racks.</t>
  </si>
  <si>
    <t>She then grabs the boiling hot water and pours it into the mug.</t>
  </si>
  <si>
    <t>She returns back to the counter and begins placing rolls of cookie dough on the racks.</t>
  </si>
  <si>
    <t>Its finally time for the cookies to be in put in the oven and she sets the timer on her phone so she won't burn them.</t>
  </si>
  <si>
    <t>After the time is up,she takes them out of the oven adds one on a plate and takes it to a girl down the hall.</t>
  </si>
  <si>
    <t>v_bNR0MmJ9d8I</t>
  </si>
  <si>
    <t>A man speaks to the camera.</t>
  </si>
  <si>
    <t>He rolls a big box into the room and proceeds to open a box where a bicycle sits inside.</t>
  </si>
  <si>
    <t>From the inside of the box, he takes out a small box full of tools for the use of assembling the bicycle.</t>
  </si>
  <si>
    <t>He's seen speaking to the camera again.</t>
  </si>
  <si>
    <t>He removes all of the boxes sitting around the bicycle and assembles the bike.</t>
  </si>
  <si>
    <t>Again, he speaks to the camera.</t>
  </si>
  <si>
    <t>He removes two pedals from bags and attaches both pedals onto the bicycle.</t>
  </si>
  <si>
    <t>He takes the bicycle for a ride.</t>
  </si>
  <si>
    <t>Briefly, he speaks to the camera.</t>
  </si>
  <si>
    <t>v_28GYivx4lyk</t>
  </si>
  <si>
    <t>We see two people playing foosball.</t>
  </si>
  <si>
    <t>A man in a black shirt leave the room and turns before leaving.</t>
  </si>
  <si>
    <t>A man puts his face in front of the camera.</t>
  </si>
  <si>
    <t>v_bkRQgwbP0WM</t>
  </si>
  <si>
    <t>A man is showing a boy trying to solve a rubix cube.</t>
  </si>
  <si>
    <t>A timer is going to time the boy and other people around him are trying as well.</t>
  </si>
  <si>
    <t>On lookers are going from table to table to watch.</t>
  </si>
  <si>
    <t>A boy grabs a pen and the man solves the puzzle.</t>
  </si>
  <si>
    <t>v_fU2mbWwVSXU</t>
  </si>
  <si>
    <t>A man in white uniform is standing at the kitchen counter.</t>
  </si>
  <si>
    <t>The man pull out a knife and sharpener, he touched the edge of the knife.</t>
  </si>
  <si>
    <t>The man hold the metal knife sharpener and slowly sharpen the knife from side to side.</t>
  </si>
  <si>
    <t>The man use different types of tools to sharpen the knife such as machine and water stone.</t>
  </si>
  <si>
    <t>v_wlO7PcigY-s</t>
  </si>
  <si>
    <t>A man drops a tennis racquet with ball then hits the ball.</t>
  </si>
  <si>
    <t>Another person does the same trick and then shows that he is from Serbia.</t>
  </si>
  <si>
    <t>v_TKGjHAmCaRo</t>
  </si>
  <si>
    <t>A man is playing with a dog on the grass.</t>
  </si>
  <si>
    <t>he then flips and throws a Frisbee.</t>
  </si>
  <si>
    <t>The dog runs side to side and chases it.</t>
  </si>
  <si>
    <t>He grabs two other Frisbees and tosses them around while the dog jumps.</t>
  </si>
  <si>
    <t>He throws the Frisbee some more while the dog runs.</t>
  </si>
  <si>
    <t>The dog continues jumping side to side and running in all directions as they get thrown.</t>
  </si>
  <si>
    <t>v_q23IYtwNOkE</t>
  </si>
  <si>
    <t>A man and an woman sip a blue liquid and rinse his mouth.</t>
  </si>
  <si>
    <t>Then, the woman bend and throw the liquid while the man continues rinsing his mouth.</t>
  </si>
  <si>
    <t>v__nBOWe_VhXg</t>
  </si>
  <si>
    <t>A woman is shown talking to the camera and leads into her beginning to paint a picture.</t>
  </si>
  <si>
    <t>She moves her brush back and fourth on the canvas and putting various colors and swirls around the sides.</t>
  </si>
  <si>
    <t>v_0wwx4wnHv-U</t>
  </si>
  <si>
    <t>A person is seen standing on a tennis court bouncing a ball.</t>
  </si>
  <si>
    <t>Another man is seen standing ready on the other side in front of a large audience.</t>
  </si>
  <si>
    <t>The man then hits the ball over the net and bounces back on the other side.</t>
  </si>
  <si>
    <t>v__kG3DxvGnnQ</t>
  </si>
  <si>
    <t>A girl is seen sitting in a chair with another person wiping her face and handing her a mirror to look in.</t>
  </si>
  <si>
    <t>He then pierces the girl's cheeks and the camera zooms in on the girl's face when he's done.</t>
  </si>
  <si>
    <t>v_9LraB2HBC0g</t>
  </si>
  <si>
    <t>A woman is seen speaking to the camera while standing in a shower and holding various objects.</t>
  </si>
  <si>
    <t>The woman then rubs lotions all over her legs and begins shaving her legs and ending by speaking to the camera.</t>
  </si>
  <si>
    <t>v__g2D5oXLCZI</t>
  </si>
  <si>
    <t>A man is seen speaking to the camera holding a basketball.</t>
  </si>
  <si>
    <t>The man then begins throwing the ball in the hoop several times.</t>
  </si>
  <si>
    <t>He walks back to the camera and continues speaking while moving his hands.</t>
  </si>
  <si>
    <t>v_2OPk79DNQdM</t>
  </si>
  <si>
    <t>A young woman is seen speaking to the camera and transitions into her with her hair in front of her face.</t>
  </si>
  <si>
    <t>She slowly brushes and parts her hair and flips her hair back in the end.</t>
  </si>
  <si>
    <t>v_3gc3nddr8TE</t>
  </si>
  <si>
    <t>A small group of girls are seen huddled up and begin moving around the field.</t>
  </si>
  <si>
    <t>More women are seen running around the large field playing field hockey.</t>
  </si>
  <si>
    <t>The girls continue to play against one another and end by waling away.</t>
  </si>
  <si>
    <t>v_6iTymXuGFhg</t>
  </si>
  <si>
    <t>A close up is shown of a young child moving around on a swing and people standing around him to push.</t>
  </si>
  <si>
    <t>The camera continues to follow the boy around the yard while the mom lays in the grass and then the daughter swinging around.</t>
  </si>
  <si>
    <t>The parents play with the kids more, give them a kiss, and the dad walks away with the daughter.</t>
  </si>
  <si>
    <t>v_jG1kgKJkf8c</t>
  </si>
  <si>
    <t>A street performer is sitting down on a crate and drumming on buckets and pans with drum sticks.</t>
  </si>
  <si>
    <t>He busts on of the buckets and in frustration, stabs it with the stick.</t>
  </si>
  <si>
    <t>He replaces the bucket and starts over in his beat as a crowd gathers.</t>
  </si>
  <si>
    <t>He rearranges the buckets once again and continues drumming.</t>
  </si>
  <si>
    <t>v_l0Sz7dqLzqs</t>
  </si>
  <si>
    <t>A large crowd is seen sitting in front of a pool followed by several shots of two people diving into a pool.</t>
  </si>
  <si>
    <t>More shots are shown of divers performing impressive stunts into the pool and ends with them walking away and their score being shown.</t>
  </si>
  <si>
    <t>A man speaks off into the distance and the divers stand together to get their medals.</t>
  </si>
  <si>
    <t>v_22n4w0uferc</t>
  </si>
  <si>
    <t>A screen appears with a snowy mountain with pine trees and an overlay on the screen of a logo and words that say "Efficient Hot Waxing Tips Reduces time material waste, cost and mess".</t>
  </si>
  <si>
    <t>A pair of skis are in a workshop and a man is doing some work on them that included rounds rubbing wax on the skis, ironing the skis, scraping skis while words on the bottom appear throughout the entire process as it explains what is being done.</t>
  </si>
  <si>
    <t>The man is now sharpening the edges of a file then begins to scrape the skis, then finishes up by ironing it with different clothes between the iron and skis.</t>
  </si>
  <si>
    <t>The outro screen appears and it's the exact picture like the intro but the words now say "Checkout our video Scraping &amp; Brushing" and it also includes the company logo.</t>
  </si>
  <si>
    <t>v_9K97gmkVbyQ</t>
  </si>
  <si>
    <t>A woman is seen speaking to the camera while grabbing various bags and laying them out.</t>
  </si>
  <si>
    <t>She puts and object into a bag while pointing to a box next to her.</t>
  </si>
  <si>
    <t>She stuffs paper into the bag and ends by tying a bow on top.</t>
  </si>
  <si>
    <t>v_r3H_75-lRjE</t>
  </si>
  <si>
    <t>A man plays the harmonica on front a microphone, then he ends and say goodbye.</t>
  </si>
  <si>
    <t>Then, a girl steps on the stage and speaks with the microphone.</t>
  </si>
  <si>
    <t>v_nJMS8jN3uU4</t>
  </si>
  <si>
    <t>There are four kids of varying ages playing kick ball in their backyard.</t>
  </si>
  <si>
    <t>The girl in pink kicks the ball to her brother in the orange shirt while the little kids run around and play.</t>
  </si>
  <si>
    <t>There's a little baby sitting on the ground in a baby bouncer watching them play.</t>
  </si>
  <si>
    <t>v_V2PhVadSbpQ</t>
  </si>
  <si>
    <t>A man talks to the camera while intermittently raking leaves.</t>
  </si>
  <si>
    <t>A closeup of a pile of leaves is shown.</t>
  </si>
  <si>
    <t>v_yDCZNNI3tDo</t>
  </si>
  <si>
    <t>A lady is talking to the camera then she laughs and looks down and the camera focuses elsewhere.</t>
  </si>
  <si>
    <t>The camera is back to the lady and a man is now cutting her hair as her mouth is open in disbelief and the man is laughing as he cuts her hair in one quick motion around her head.</t>
  </si>
  <si>
    <t>The lady is so in shock and drops hair from her lap and looks down at the ground at all the hair, touches her hair, stands up to look in the mirror, screams, cries, starts freaking out, sits back down and stands back up to look in the mirror.</t>
  </si>
  <si>
    <t>The lady looks in the mirror and is smiling but you can tell she's not happy.</t>
  </si>
  <si>
    <t>v_omuYi2Vhgjo</t>
  </si>
  <si>
    <t>A young boy is seen smiling and laughing into the camera and beginning to play piano.</t>
  </si>
  <si>
    <t>The boy plays furiously on the piano at a fast pace and leads into him wearing a different shirt and still playing.</t>
  </si>
  <si>
    <t>He finishes by putting his body onto the piano and then smiling into the camera.</t>
  </si>
  <si>
    <t>v_8UJ5PGzu1PE</t>
  </si>
  <si>
    <t>A man lays a Coca Cola bottle on a bundle of hay.</t>
  </si>
  <si>
    <t>The man shots an arrow from a bow.</t>
  </si>
  <si>
    <t>The arrow uncaps the bottle.</t>
  </si>
  <si>
    <t>v_mCdKLZGnKxk</t>
  </si>
  <si>
    <t>Someone is placing a vent on the roof of a house.</t>
  </si>
  <si>
    <t>They seal the vent with glue.</t>
  </si>
  <si>
    <t>v_jKPgBtesr74</t>
  </si>
  <si>
    <t>Two boys are standing behind a table.</t>
  </si>
  <si>
    <t>They have a glass and a lemon on the table.</t>
  </si>
  <si>
    <t>They pour it into a pitcher of water and make a drink.</t>
  </si>
  <si>
    <t>They pour the drink into two glasses.</t>
  </si>
  <si>
    <t>They both take a drink out of the straw.</t>
  </si>
  <si>
    <t>v_74MEdLMrXAQ</t>
  </si>
  <si>
    <t>Boys play indoor soccer while kicking the ball and passing it to playmates, then the referee enter to the center and gives instructions.</t>
  </si>
  <si>
    <t>Then, the referee puts the ball on the goal area and a boy kick the ball, but the goalkeeper stop the ball.</t>
  </si>
  <si>
    <t>The boys play shooting the ball to the goalkeeper stops the ball.</t>
  </si>
  <si>
    <t>After, a player scores and the teams continue playing.</t>
  </si>
  <si>
    <t>v_bpfak_VIJ8o</t>
  </si>
  <si>
    <t>Several shots of landscapes are shown that leads into a man and woman speaking to the camera.</t>
  </si>
  <si>
    <t>The couple walk onto a sandy pit and pan around a group of players.</t>
  </si>
  <si>
    <t>More people are seen speaking to the camera that shows shots of them playing volleyball and ending with the couple.</t>
  </si>
  <si>
    <t>v_NVnjzpoY1O8</t>
  </si>
  <si>
    <t>An elderly priest is sitting down in his chair indoors in a large building and 3 different men break dance on the ground in front of him as the people around him start clapping and lights go off from all the flashes.</t>
  </si>
  <si>
    <t>When the men are done dancing they stand up together in front of the people and the priest, and they take their bow to the priest and to the people.</t>
  </si>
  <si>
    <t>The men then walk over to the priest and each kiss his hand and white words appear on the screen and say "Bilder: Reuters Redigering: Malin Lagerlof".</t>
  </si>
  <si>
    <t>v_AU3_oU1_rfA</t>
  </si>
  <si>
    <t>An eHow intro comes onto the screen with music in the background.</t>
  </si>
  <si>
    <t>I man appears on the screen narrating the video about how to shave.</t>
  </si>
  <si>
    <t>A man is shown getting his skin moisturized and having shaving cream buffed onto his face.</t>
  </si>
  <si>
    <t>The video ends with the eHow closing credits.</t>
  </si>
  <si>
    <t>v_-0NfmccuL9Q</t>
  </si>
  <si>
    <t>A man has a few tools and is pumping his car up some so he can take off the tire.</t>
  </si>
  <si>
    <t>He uses the tool to take off all of the nuts one by one.</t>
  </si>
  <si>
    <t>Then he grabs the tire off and moves it over and he puts on another tire.</t>
  </si>
  <si>
    <t>He does everything he did before but the opposite, putting the nuts back on in place to tighten the tire on, he then brings the car back down.</t>
  </si>
  <si>
    <t>v_sFKOnFMJF2Q</t>
  </si>
  <si>
    <t>A teen skateboards in a road, then he walks with a friend holding his skateboard, then they skateboard.</t>
  </si>
  <si>
    <t>A car enters the street where the teen skateboard.</t>
  </si>
  <si>
    <t>A youth wearing a pink t-shirt skateboard on the street.</t>
  </si>
  <si>
    <t>The teen walks holding his skateboard.</t>
  </si>
  <si>
    <t>Teens skateboard in the street making tricks and turn.</t>
  </si>
  <si>
    <t>After, two teens walk in the street, and then they skateboard.</t>
  </si>
  <si>
    <t>v_l6a56j87obQ</t>
  </si>
  <si>
    <t>A man is standing on a stage at night time with a lot of stage lights, a band behind him, and a crowd in front of him and he's playing a bag pipe.</t>
  </si>
  <si>
    <t>Another man comes onto the stage playing the guitar and the lights go flashing.</t>
  </si>
  <si>
    <t>When the man is done playing the bagpipe another man runs on the stage to grab it from him, and the man who was playing the bagpipe gets something to drink, then grabs a mic and starts singing and waving his right arm in the air.</t>
  </si>
  <si>
    <t>v_EMgWolnolDg</t>
  </si>
  <si>
    <t>Two men outside in the woods while one man wearing a knit cap balances on a rope tied across two trees while one man with a black beard supports the man with the knit cap.</t>
  </si>
  <si>
    <t>The man with the beard releases the man on the rope and moves away.</t>
  </si>
  <si>
    <t>A man in a green hoodie balances on the rope while the man in the beard supports the man on the rope.</t>
  </si>
  <si>
    <t>A Man in a grey shirt pushes off of a man wearing a black shirt and performs a back somersault and lands firmly on the leaf covered ground.</t>
  </si>
  <si>
    <t>v_wlx5YuEHsO8</t>
  </si>
  <si>
    <t>A white intro screen appears with special effects and a lot of coloring that include words, numbers, and logos.</t>
  </si>
  <si>
    <t>Men are then shown in a dark room filled with people as they put on shirts, shakes hands with others, pose and then they begin a game of Foosball while images of their flag briefly show up on the screen and a lot of people around them watch as different men team up against one another.</t>
  </si>
  <si>
    <t>When they are done playing a man and a woman are standing and talking at a mic while one man hands over a box to another man and they walk off the stage.</t>
  </si>
  <si>
    <t>The same white screen from the beginning appears with special effects and lot of colored words then it fades to black.</t>
  </si>
  <si>
    <t>v_v79nh_3vpVk</t>
  </si>
  <si>
    <t>A man in a white shirt is talking to the camera.</t>
  </si>
  <si>
    <t>A girl then talks to the camera.</t>
  </si>
  <si>
    <t>Pink water bottles are in a box.</t>
  </si>
  <si>
    <t>They walk onto the field and start playing.</t>
  </si>
  <si>
    <t>v_mFSdzT5gXQs</t>
  </si>
  <si>
    <t>A computer generated game of a man, he starts spinning.</t>
  </si>
  <si>
    <t>He turns around quickly and lets go of the frisbee and the refs run up to mark where it lands.</t>
  </si>
  <si>
    <t>The man starts to do it again, he spins and throws again.</t>
  </si>
  <si>
    <t>The score shows up on the screen before he spins and throws again and then he cheers in excitment.</t>
  </si>
  <si>
    <t>v_Vp63nbOfxgs</t>
  </si>
  <si>
    <t>Some is carrying an instrument case walking around outside, they put the case down on the ground and take out a violin.</t>
  </si>
  <si>
    <t>The woman plays the violin everywhere she goes and she dances while she plays too.</t>
  </si>
  <si>
    <t>She does some movements of her body making her back bend down almost touching the ground while still jamming out on the violin.</t>
  </si>
  <si>
    <t>She is very intense about it, she plays and plays and when she is done she walks away casually.</t>
  </si>
  <si>
    <t>v_8729_qnILMM</t>
  </si>
  <si>
    <t>A woman plays flute sit on a piano while moving her feet.</t>
  </si>
  <si>
    <t>The woman finish playing bow and smiles.</t>
  </si>
  <si>
    <t>v_Ie7DREiXp08</t>
  </si>
  <si>
    <t>A woman is seen speaking to the camera and pouring out liquids into a case.</t>
  </si>
  <si>
    <t>She then pulls contacts into the case and then places one in each eye.</t>
  </si>
  <si>
    <t>She holds up the case in the end followed by her putting the contacts back into the case.</t>
  </si>
  <si>
    <t>v_AXA-G5DdNrU</t>
  </si>
  <si>
    <t>People raft down a rocky river.</t>
  </si>
  <si>
    <t>Suddenly, the boat turn over and all men fall in the water.</t>
  </si>
  <si>
    <t>Then, people reach the shore, while a man climbs a rock.</t>
  </si>
  <si>
    <t>After, persons in a boat rescue a man in the water and recover the boat.</t>
  </si>
  <si>
    <t>two men stand in the shore next to a ladder.</t>
  </si>
  <si>
    <t>Rafters are still in the water waiting.</t>
  </si>
  <si>
    <t>v_K-rEA43wOS0</t>
  </si>
  <si>
    <t>People play beer pong while other persons watch.</t>
  </si>
  <si>
    <t>People get happy when the ball get inside a cup.</t>
  </si>
  <si>
    <t>Then, a man throw a ball inside a cup, and a person drink the liquid in the cup.</t>
  </si>
  <si>
    <t>A man throw a ball inside a cup and people congratulates and hug the man.</t>
  </si>
  <si>
    <t>v_6VNFwlzQiuc</t>
  </si>
  <si>
    <t>A person is seen speaking to the camera and walking into a tattoo shop, followed by a person getting tattooed by an artist.</t>
  </si>
  <si>
    <t>The man continues speaking to the camera while another is being tattooed in the background and continues speaking to the camera.</t>
  </si>
  <si>
    <t>v_JKCwcCMAnxg</t>
  </si>
  <si>
    <t>We see a blue title card.</t>
  </si>
  <si>
    <t>A man and a woman begin dancing in a ballroom.</t>
  </si>
  <si>
    <t>They pause and the lady sweeps her leg.</t>
  </si>
  <si>
    <t>The man dips the lady.</t>
  </si>
  <si>
    <t>The lady slides to the ground.</t>
  </si>
  <si>
    <t>The lady does the splits.</t>
  </si>
  <si>
    <t>The man lifts the lady in the air.</t>
  </si>
  <si>
    <t>We switch and see people dancing in different locations.</t>
  </si>
  <si>
    <t>We see the blue ending screen.</t>
  </si>
  <si>
    <t>v_fhXVqPPDjN8</t>
  </si>
  <si>
    <t>A man is seen dancing in a nightclub with two women around him.</t>
  </si>
  <si>
    <t>The three continue dancing with one another while others dance on the side.</t>
  </si>
  <si>
    <t>The people dance around one another while the camera captures their movements.</t>
  </si>
  <si>
    <t>v_5RKzXZ-0xQ8</t>
  </si>
  <si>
    <t>A person paint nails to a woman using purple nail polish.</t>
  </si>
  <si>
    <t>A woman is looking down.</t>
  </si>
  <si>
    <t>v_PQgydNnSggw</t>
  </si>
  <si>
    <t>A woman is seen sitting in a chair speaking and waving to the camera and looks into a mirror showing her and the camera man.</t>
  </si>
  <si>
    <t>A tattoo artist then steps into frame and begins tattooing a symbol on the girl's neck.</t>
  </si>
  <si>
    <t>In the end pictures of the girl's tattoo are shown.</t>
  </si>
  <si>
    <t>v_ulJxGEx2r7o</t>
  </si>
  <si>
    <t>An intro leads to a small group of small children standing on a stage holding instruments.</t>
  </si>
  <si>
    <t>They begin playing the instruments while the camera zooms in out of each of them playing.</t>
  </si>
  <si>
    <t>v_BZK8b0xCkB0</t>
  </si>
  <si>
    <t>A woman wearing a santa hat is talking.</t>
  </si>
  <si>
    <t>She puts Christmas lights onto the tree.</t>
  </si>
  <si>
    <t>She puts ribbon around the tree.</t>
  </si>
  <si>
    <t>She strings decorations around the tree.</t>
  </si>
  <si>
    <t>She puts bulbs on the Christmas tree.</t>
  </si>
  <si>
    <t>She puts small stuffed animals on the tree.</t>
  </si>
  <si>
    <t>She puts candy canes on the tree.</t>
  </si>
  <si>
    <t>She puts a star on the tree.</t>
  </si>
  <si>
    <t>The star falls off the tree.</t>
  </si>
  <si>
    <t>She puts cotton underneath the tree.</t>
  </si>
  <si>
    <t>v_rkgeHZjFskY</t>
  </si>
  <si>
    <t>A young girl in a room talks to a camera and shows off her hair style.</t>
  </si>
  <si>
    <t>She then goes back to before it was braided and combs it out, sectioning it off.</t>
  </si>
  <si>
    <t>She then takes two sections and intertwines them, and grabs more lengths of hair as she goes down the braid.</t>
  </si>
  <si>
    <t>She then tucks the braid to the side and grabs lengths of hair to secure it to the side and incorporates lengths from the back of her hair.</t>
  </si>
  <si>
    <t>Her hair is succesfully braided and she shows off the finished look.</t>
  </si>
  <si>
    <t>v_pbeQcGC3nXY</t>
  </si>
  <si>
    <t>A man in fencing gear begins to talk about fencing gear getting ready to talk about his fencing experiences.</t>
  </si>
  <si>
    <t>He gets dressed in his gear and goes to the studio for practice.</t>
  </si>
  <si>
    <t>He and another man practice with one another while a timer is running.</t>
  </si>
  <si>
    <t>There is a certain stance and way you move your feet when you fence that helps with moving towards and from the opponet .</t>
  </si>
  <si>
    <t>v_uCLUexLKpnU</t>
  </si>
  <si>
    <t>A camera pans all around a sky showing kites in the air.</t>
  </si>
  <si>
    <t>A person is then seen riding a kite board on the water.</t>
  </si>
  <si>
    <t>The person continues to ride around while the camera watches.</t>
  </si>
  <si>
    <t>v_eeD2_hKG7zE</t>
  </si>
  <si>
    <t>A young girl is seen standing before a set of monkey bars and smiling while speaking to the camera.</t>
  </si>
  <si>
    <t>She then carries herself along the set of monkey bars and moves back and fourth on the play set.</t>
  </si>
  <si>
    <t>She makes her way back to the start and climbs down the ladder finally looking at the camera.</t>
  </si>
  <si>
    <t>v_TXq9MO-dYhI</t>
  </si>
  <si>
    <t>A woman talks on front the blinds.</t>
  </si>
  <si>
    <t>Then, the woman plays four tam-tams, she mainly plays the tam-tam on front her.</t>
  </si>
  <si>
    <t>Then, the woman stops playing and smile.</t>
  </si>
  <si>
    <t>v_28QW8P1x_LE</t>
  </si>
  <si>
    <t>A man and two women are doing an aerobic dance inside a building.</t>
  </si>
  <si>
    <t>They perform several moves, speeding up with time.</t>
  </si>
  <si>
    <t>They stop, clapping and wiping the hair out of their faces when they are done.</t>
  </si>
  <si>
    <t>v_tSR4Pj_muN0</t>
  </si>
  <si>
    <t>A man is walking in a field.</t>
  </si>
  <si>
    <t>We see his back and see blood and a harness in his skin and another two men one who has the skin harness.</t>
  </si>
  <si>
    <t>We see the men climbing and standing on a crane high in the sky.</t>
  </si>
  <si>
    <t>The men with the skin harness jump off a crane high above a forest.</t>
  </si>
  <si>
    <t>We see the ground below.</t>
  </si>
  <si>
    <t>v_Relgb880pRI</t>
  </si>
  <si>
    <t>A cartoon of an archway is shown and leads into a man placing tomatoes onto a plate.</t>
  </si>
  <si>
    <t>He puts onions and other ingredients onto a plate and cuts up several more ingredients.</t>
  </si>
  <si>
    <t>He places the final ingredients into the bowl while talking to the camera and pans out on the meal he made.</t>
  </si>
  <si>
    <t>v_cKFTf1vZQOw</t>
  </si>
  <si>
    <t>Two male kids are outside on a driveway talking to one another.</t>
  </si>
  <si>
    <t>Once they have finished their conversation,they begin skateboarding down the road into an open park.</t>
  </si>
  <si>
    <t>The two boys arrive at their destination stop and talk then one takes off and the other boy follows him and they keep rollerblading.</t>
  </si>
  <si>
    <t>v_WXMb7XF6k8o</t>
  </si>
  <si>
    <t>A series of women are shown in close up of their faces.</t>
  </si>
  <si>
    <t>A stylist is standing beside a girl seated in his chair.</t>
  </si>
  <si>
    <t>He gives instructions on how to style her hair.</t>
  </si>
  <si>
    <t>He uses a dryer to blow her hair, then clips it.</t>
  </si>
  <si>
    <t>v_v13d7g_uUXM</t>
  </si>
  <si>
    <t>A man is seen walking into frame bending down to grab a set of weights and begins to lift himself upward.</t>
  </si>
  <si>
    <t>He then lifts the weight up over his shoulder several times while jumping to give himself momentum.</t>
  </si>
  <si>
    <t>v_FBqtQ3HCk48</t>
  </si>
  <si>
    <t>A man carves a pumpkin and a piece of ice, then the man holds a carved pumpkin and put it on a bench.</t>
  </si>
  <si>
    <t>A young man takes pictures of artistic ice sculptures, while a person carves a piece of ice in the street.</t>
  </si>
  <si>
    <t>The man shows how to carve a pumpkin using carving tools to make faces.</t>
  </si>
  <si>
    <t>The carved pumpkins with scary faces and an ice sculptures are displayed in a room.</t>
  </si>
  <si>
    <t>v_EDEFxLnf_Wk</t>
  </si>
  <si>
    <t>People are spinning on exercise bikes.</t>
  </si>
  <si>
    <t>v_OOKHi7EBNKk</t>
  </si>
  <si>
    <t>An individual wearing face covering drags an inner tube type device along the snow, surrounded by other people doing the same thing.</t>
  </si>
  <si>
    <t>The individual walks towards another individual wearing a red jacket.</t>
  </si>
  <si>
    <t>The individual hands the rein for the device to the person in the red jacket and sits on the device.</t>
  </si>
  <si>
    <t>The person in the red jacket pulls the device downhill and the first individual rides down the slope.</t>
  </si>
  <si>
    <t>The first individual dismounts and resumes pulling the device.</t>
  </si>
  <si>
    <t>The individual pulls the device along some sort of covered walkway with a moving floor.</t>
  </si>
  <si>
    <t>v_ryZuSiZNN2o</t>
  </si>
  <si>
    <t>A field of two teams are shown fighting over a lacrosse ball in the middle of a large green field.</t>
  </si>
  <si>
    <t>They then get up and continue playing across the large field.</t>
  </si>
  <si>
    <t>Shortly after,a small brawl begins in the middle of the pool and a man in a black uniform nose begins to bleed and the game is at a halt and replays are shown.</t>
  </si>
  <si>
    <t>v__IlyE43ZUH8</t>
  </si>
  <si>
    <t>An ad for Beckon Call services appears.</t>
  </si>
  <si>
    <t>A man is standing in a backyard speaking.</t>
  </si>
  <si>
    <t>He picks up several window screens while he talks about them.</t>
  </si>
  <si>
    <t>He adds them to the stack and walks away.</t>
  </si>
  <si>
    <t>v_ll4HKY9ZBOA</t>
  </si>
  <si>
    <t>A marching band stands ready on a street while an audience watches.</t>
  </si>
  <si>
    <t>The conductor conducts the band.</t>
  </si>
  <si>
    <t>The band plays on the street while the audience watches.</t>
  </si>
  <si>
    <t>v_Tb875ldI6AY</t>
  </si>
  <si>
    <t>A young man is seen speaking to the camera and begins holding a cigarette.</t>
  </si>
  <si>
    <t>The man takes a puff from the cigarette while still speaking to the camera.</t>
  </si>
  <si>
    <t>The man continues smoking while looking off and speaking to the camera.</t>
  </si>
  <si>
    <t>v_AHXcJCpvkAQ</t>
  </si>
  <si>
    <t>A title screen leads into two women stepping up and down on a block.</t>
  </si>
  <si>
    <t>They perform several different exercises on the beam and move together in a synchronized motion.</t>
  </si>
  <si>
    <t>The girls spin round and round then hope back up and then down on the beam.</t>
  </si>
  <si>
    <t>v_VmD2k_dtddc</t>
  </si>
  <si>
    <t>Two teams are on a field with referees.</t>
  </si>
  <si>
    <t>They are involved in a game of lacrosse.</t>
  </si>
  <si>
    <t>They run across the field, trying to keep the ball out of the opponent's goal.</t>
  </si>
  <si>
    <t>v_p-JFdMUWVvU</t>
  </si>
  <si>
    <t>An older man is seen standing before two pucks while another person pushes them along the ice.</t>
  </si>
  <si>
    <t>The man bends down several times and then glides along the ice with the pucks.</t>
  </si>
  <si>
    <t>v_53tCYiyAyf0</t>
  </si>
  <si>
    <t>An intro leads into a man throwing darts onto a board.</t>
  </si>
  <si>
    <t>He looks closely off into the distance and continues throwing darts.</t>
  </si>
  <si>
    <t>The camera shows the board in the end and the man throwing it.</t>
  </si>
  <si>
    <t>v_38qpTblXDTw</t>
  </si>
  <si>
    <t>A woman sits on a riding lawnmower in the distance.</t>
  </si>
  <si>
    <t>The woman drives the lawnmower towards the camera.</t>
  </si>
  <si>
    <t>The woman begins to turn the mower at a fence corner.</t>
  </si>
  <si>
    <t>v_cMndipw7_As</t>
  </si>
  <si>
    <t>A person mends steel with a welding equipment.</t>
  </si>
  <si>
    <t>A person uses a hammer and a flat equipment to remove debris.</t>
  </si>
  <si>
    <t>A person uses a flat equipment to remove melted steel debris.</t>
  </si>
  <si>
    <t>The person places two dumbbell shaped steel in opening that he is welding.</t>
  </si>
  <si>
    <t>A person uses a flat equipment to clean the welded opening.</t>
  </si>
  <si>
    <t>A person uses a flat equipment to move the dumbbell shaped steels and then removes them with his hand.</t>
  </si>
  <si>
    <t>The credits of the video is shown.</t>
  </si>
  <si>
    <t>v_gmPoDbH-odg</t>
  </si>
  <si>
    <t>A woman hands from a red bar and does several arm pull ups.</t>
  </si>
  <si>
    <t>She then uncrosses her legs and jumps down with her hands at her side.</t>
  </si>
  <si>
    <t>A Life Fitness logo then flashes on the screen.</t>
  </si>
  <si>
    <t>v_LxwKUIJdt_4</t>
  </si>
  <si>
    <t>A person is seen blow leaves around a yard using a leaf blower sitting on his back.</t>
  </si>
  <si>
    <t>The camera follows him as the man moves up and down the yard blowing leaves all around the area.</t>
  </si>
  <si>
    <t>v_gOKkjA2yvGo</t>
  </si>
  <si>
    <t>A man is sitting on a cycle bike working out.</t>
  </si>
  <si>
    <t>A man is standing up next to him talking.</t>
  </si>
  <si>
    <t>A black and white logo comes onto the screen.</t>
  </si>
  <si>
    <t>v_KvscV2XxyTE</t>
  </si>
  <si>
    <t>Gymnast Micah Ross mounts the balance beam before a celebrated audience as the crowd cheers and shouts her name.</t>
  </si>
  <si>
    <t>Her routine begins with a flip, split, and summersault.</t>
  </si>
  <si>
    <t>She then performs two backwards flips and a pirouette.</t>
  </si>
  <si>
    <t>A forward flip and jump follows along with a sideways flip.</t>
  </si>
  <si>
    <t>After briefly wobbling on the bar, Micah regains her composure and performs a forward summersault.</t>
  </si>
  <si>
    <t>Ross successfully dismounts with a double flip to the applause of the audience.</t>
  </si>
  <si>
    <t>v_KX-vl2o8U1w</t>
  </si>
  <si>
    <t>A drummer is drumming, then the stick broke.</t>
  </si>
  <si>
    <t>A boy in blue shirt hit the drum, but the big drum keeps moving, then it fell.</t>
  </si>
  <si>
    <t>A boy with earphones is drumming and the stick got stuck in the instrument.</t>
  </si>
  <si>
    <t>The band is playing, while the man is singing, the drummer fell off the his chair.</t>
  </si>
  <si>
    <t>The marching band play their drums, then one of the drummers fell on the ground, a person came to help him.</t>
  </si>
  <si>
    <t>A drummer on stage fell of the stage.</t>
  </si>
  <si>
    <t>v_3am00ii0n-o</t>
  </si>
  <si>
    <t>A guy and a lady interact.</t>
  </si>
  <si>
    <t>The lady holds up papers and books.</t>
  </si>
  <si>
    <t>The guy claps and cheers.</t>
  </si>
  <si>
    <t>The lady plays a flute while looking down a the notes on the papers.</t>
  </si>
  <si>
    <t>The lady stops playing the flute and presents it.</t>
  </si>
  <si>
    <t>The guy plays a harmonica.</t>
  </si>
  <si>
    <t>The guy looks angry, and the lady look apologetic.</t>
  </si>
  <si>
    <t>The guy puts his head down.</t>
  </si>
  <si>
    <t>The guy and lady wave bye.</t>
  </si>
  <si>
    <t>The guy takes the flute from the lady and pretends to hit her on her chin.</t>
  </si>
  <si>
    <t>v_u7dfBgc_SqU</t>
  </si>
  <si>
    <t>A woman is standing in the sunlight, posing and modeling for the camera.</t>
  </si>
  <si>
    <t>She shows off her natural hair, then demonstrates how to style it using a blow out.</t>
  </si>
  <si>
    <t>v_xcDAjcRX93A</t>
  </si>
  <si>
    <t>A man is seen standing with his arms up and then begins a gymnasts routine.</t>
  </si>
  <si>
    <t>The man continues swinging around on the uneven bars and jumping off to finish.</t>
  </si>
  <si>
    <t>The man walks away while his score is shown and his routine is shown again in slow motion.</t>
  </si>
  <si>
    <t>v_a_EkYuPdaJ0</t>
  </si>
  <si>
    <t>A man talks stand on front a fence of a backyard.</t>
  </si>
  <si>
    <t>Then, the man talks a person in a paint shop, and the person shows him tools in a showcase.</t>
  </si>
  <si>
    <t>After, the man shows the buttons of the painting machine in the backyard.</t>
  </si>
  <si>
    <t>After, the man puts blue tape on the side of the fence and covers a rail.</t>
  </si>
  <si>
    <t>Then, the man paint the fence with the hose of the machine while wearing a mask.</t>
  </si>
  <si>
    <t>The man continues explaining on front the machine and buckets of paint.</t>
  </si>
  <si>
    <t>v_DjY-7jEpxZ0</t>
  </si>
  <si>
    <t>A group of kids are in a classroom like setting standing in a circle.</t>
  </si>
  <si>
    <t>In the middle of the circle,a woman is hitting a pinata wrapped in blue wall paper.</t>
  </si>
  <si>
    <t>v_q8mReXud6fE</t>
  </si>
  <si>
    <t>little kid is jumping on dry leaves.</t>
  </si>
  <si>
    <t>woman is raking dry leaves on a yard.</t>
  </si>
  <si>
    <t>kid kneels and grabs a dry leaf to put it in the trash bin.</t>
  </si>
  <si>
    <t>v_pKV8lrvbX6Q</t>
  </si>
  <si>
    <t>A little girl swings across the monkey bars on a play ground.</t>
  </si>
  <si>
    <t>She goes across each bar before jumping to the ground.</t>
  </si>
  <si>
    <t>She goes back to the beginning, and swings across the bars again.</t>
  </si>
  <si>
    <t>v_x99PS_O6JW8</t>
  </si>
  <si>
    <t>A young man is talking to the camera outside while taking puffs off of a hookah.</t>
  </si>
  <si>
    <t>He puts the pipe away and takes a swing out of an energy drink.</t>
  </si>
  <si>
    <t>He moves the camera to show another man and continues smoking the hookah next to the other man.</t>
  </si>
  <si>
    <t>Both look into the camera while smoking and the boy still continues drinking the energy drink.</t>
  </si>
  <si>
    <t>v_X-xQLFHZIOU</t>
  </si>
  <si>
    <t>a lot of people are sitting on stands on a bullring.</t>
  </si>
  <si>
    <t>bullfighters are holding red cloth nad running to a bull.</t>
  </si>
  <si>
    <t>v_Ly21QMQ4kGA</t>
  </si>
  <si>
    <t>Several awards are pictured over a fire place and then moves to the wall on the left.</t>
  </si>
  <si>
    <t>A table of food is shown and the person recording grabs a cookie and leaves the room.</t>
  </si>
  <si>
    <t>The next room he enters,there are several people standing around playing beer pong and he proceeds to walk through the house.</t>
  </si>
  <si>
    <t>v_yyvc2OSPx1Y</t>
  </si>
  <si>
    <t>A woman is shown in wal-mart, laughing and choosing earrings from a rack.</t>
  </si>
  <si>
    <t>She sits in a chair, and an employee shoots an earring into her lobe with a piercing gun.</t>
  </si>
  <si>
    <t>She cringes in pain as it enters her ear.</t>
  </si>
  <si>
    <t>v_6TxGVSw6Ayw</t>
  </si>
  <si>
    <t>We see three separate intro screens.</t>
  </si>
  <si>
    <t>We see a man making shots in hockey with title screens in between.</t>
  </si>
  <si>
    <t>A man shoots a shot at hockey and makes it and we see a slow motion recap.</t>
  </si>
  <si>
    <t>The man takes another shot and makes it and we see a recap of that as well.</t>
  </si>
  <si>
    <t>We see the shot from above, and a recap.</t>
  </si>
  <si>
    <t>v_FqlXey9KFZA</t>
  </si>
  <si>
    <t>A guy is operating a electric presser.</t>
  </si>
  <si>
    <t>A man is whipping with a dark rug.</t>
  </si>
  <si>
    <t>The guy is gesturing at the machine's work.</t>
  </si>
  <si>
    <t>v_xeFS0RuvVGA</t>
  </si>
  <si>
    <t>A group of boys play water catch with a yellow ball in an outdoor pool surrounded by a fence and tall trees and foliage.</t>
  </si>
  <si>
    <t>A group of boys play catch in an outdoor pool with a yellow ball , throwing the ball to each other and and then throwing the ball out of the pool to an unseen party.</t>
  </si>
  <si>
    <t>The ball is thrown back into the pool and the boys proceed to throw it back out again.</t>
  </si>
  <si>
    <t>v_mi6wetIKq2w</t>
  </si>
  <si>
    <t>An intro filled with special effects of different screens coming together appear and the end result is a square sign that reads "GETITSWEET GET IT SWEET 2014" and the color them is white, pink, dark pink, and brown with the effect of chocolate dripping from the top portion of the sign.</t>
  </si>
  <si>
    <t>A batch of cinnamon roll cookies on a tray appear and a quick list of the ingredients appear along with the actual ingredients in different bowls.</t>
  </si>
  <si>
    <t>The ingredients are now shown being poured into a large clear bowl getting mixed up with a hand mixer, and instructions occasionally pop up on the screen.</t>
  </si>
  <si>
    <t>When the ingredients are thoroughly mixed the person flattens it between plastic, cools it, then puts it on a cutting board to roll it out, then adds sugar and cinnamon to the flat surface.</t>
  </si>
  <si>
    <t>The person then rolls it and puts it on a piece of saran wrap that's next to the cutting board then wraps the saran wrap around it, rolls it a little where the instructions say to cool it for 30 minutes.</t>
  </si>
  <si>
    <t>Once it's done being cooled it's removed,sliced on the cutting board, placed on a cooking sheet, and then cooked.</t>
  </si>
  <si>
    <t>The cooked products are then shown on white plates with a cup of coffee and the person picks it up and bites it.</t>
  </si>
  <si>
    <t>The last screen is a youtube promotion of the person's channel that has 2 small videos you can click on, and wording encouraging you to subscribe.</t>
  </si>
  <si>
    <t>v_CzXF0CQn2Fk</t>
  </si>
  <si>
    <t>people are in a small room dancing doing a choreography.</t>
  </si>
  <si>
    <t>the man stops dancing and keep doing the choreography.</t>
  </si>
  <si>
    <t>man wearing red shorts and grey shirt leading the choreography in front of the people in the room.</t>
  </si>
  <si>
    <t>v_Z-gDuGMpClo</t>
  </si>
  <si>
    <t>A window on a car is tolled down and a shirtless man walks to the are.</t>
  </si>
  <si>
    <t>We see shirtless men in small tight underwear washing cars.</t>
  </si>
  <si>
    <t>The men walk in the parking lot in a line with only underwear on.</t>
  </si>
  <si>
    <t>A man shakes his wet hair.</t>
  </si>
  <si>
    <t>A man washes another man's butt.</t>
  </si>
  <si>
    <t>A man wipes the water back and looks at the camera.</t>
  </si>
  <si>
    <t>Men do dances in a line and scenes of washing the car.</t>
  </si>
  <si>
    <t>v_Rc_pWU_3WLk</t>
  </si>
  <si>
    <t>Two sumo wrestlers stand in an arena.</t>
  </si>
  <si>
    <t>One knocks the other one out.</t>
  </si>
  <si>
    <t>The winner stands tall on the arena.</t>
  </si>
  <si>
    <t>The crowd looks at the winner.</t>
  </si>
  <si>
    <t>v_WwDGutCfElc</t>
  </si>
  <si>
    <t>The video shows a man in glasses and headphones, wearing a brown hat and shirt doing a tutorial on how to play a PVC flute.</t>
  </si>
  <si>
    <t>He takes the flute in his hands and begins playing by moving his fingers along the holes as he blows into the flute.</t>
  </si>
  <si>
    <t>He continues playing the flute till he finishes the tune.</t>
  </si>
  <si>
    <t>v_BlfFKVGQbi8</t>
  </si>
  <si>
    <t>A man plays many games of shuffleboard in a room occupied by other people and many other shuffle boards.</t>
  </si>
  <si>
    <t>A man in a collared shirt and glasses plays shuffleboard with metal pucks and a long wooden shuffleboard in front of a lit scoreboard in a room.</t>
  </si>
  <si>
    <t>The man puts paper towels over his eyes and under his glasses to absorb sweat from the intensity of the shuffleboard game.</t>
  </si>
  <si>
    <t>The man continues to play shuffleboard with a few onlookers in a room with a final visual shot of all but one of the pucks off of the shuffleboard.</t>
  </si>
  <si>
    <t>v_OzjjQ4SZ8PY</t>
  </si>
  <si>
    <t>A woman wearing scuba diving gear is under the water.</t>
  </si>
  <si>
    <t>She explores the ocean floor, looking at the fish and wildlife as a man swims behind her.</t>
  </si>
  <si>
    <t>They give ok signals to the person with the camera.</t>
  </si>
  <si>
    <t>v_Yr6Oyltj6Eo</t>
  </si>
  <si>
    <t>An athletic woman is shown jumping in slow motion over a pole, followed by several more women attempting the same jump.</t>
  </si>
  <si>
    <t>Several more women follow behind performing the jump while the camera captures them in slow motion.</t>
  </si>
  <si>
    <t>v_0tJ7eW6TKKM</t>
  </si>
  <si>
    <t>The people are shown slowly jogging in this marathon.</t>
  </si>
  <si>
    <t>There is only one man who juggles white balls in his hands while jogging backwards throughout the whole thing.</t>
  </si>
  <si>
    <t>In the end, the number of people lessens and there is just one person running and the man who juggles balls.</t>
  </si>
  <si>
    <t>v_SLfZUqfyfjs</t>
  </si>
  <si>
    <t>A man is outside trying to shovel off snow off of their windshield.</t>
  </si>
  <si>
    <t>The man then goes inside and starts talking.</t>
  </si>
  <si>
    <t>Once finished,he walks outside from his garage and test the product of the IceScreen.</t>
  </si>
  <si>
    <t>v_uy7WAwrrNiA</t>
  </si>
  <si>
    <t>People are standing on a field looking up at kites in the sky.</t>
  </si>
  <si>
    <t>A kite is shown in the sky by a tree.</t>
  </si>
  <si>
    <t>A boy chases after the kite and catches is.</t>
  </si>
  <si>
    <t>v_KxWvKN_kGMY</t>
  </si>
  <si>
    <t>Various pictures show people bring canoes off a truck and loading them into the water.</t>
  </si>
  <si>
    <t>The people are then seen fishing as well as riding down the river shown in several pictures.</t>
  </si>
  <si>
    <t>v_WTOTYZOu3MQ</t>
  </si>
  <si>
    <t>The barefoot man serve the ball but missed it.</t>
  </si>
  <si>
    <t>The man served the ball and hit the wall but it just bounced so low that the man can't hit it.</t>
  </si>
  <si>
    <t>The man chase after the ball picke it up and hit, then a shirtless man came up to him and teach him how to serve the ball.</t>
  </si>
  <si>
    <t>v_eS445rQ9SBo</t>
  </si>
  <si>
    <t>A woman is smiling at the camera.</t>
  </si>
  <si>
    <t>The woman takes an iron and starts ironing a white shirt in small circular patterns.</t>
  </si>
  <si>
    <t>The woman uses both hands to push the iron.</t>
  </si>
  <si>
    <t>She resumes ironing with one hand in the same spot.</t>
  </si>
  <si>
    <t>The woman inspects the star on the shirt.</t>
  </si>
  <si>
    <t>The woman then resumes ironing the pattern.</t>
  </si>
  <si>
    <t>The woman peels the paper away from the pattern and then resumes ironing.</t>
  </si>
  <si>
    <t>The woman holds up the the shirt after she is done.</t>
  </si>
  <si>
    <t>v_Gl8HTsP7Jfk</t>
  </si>
  <si>
    <t>A boy speaks to a camera while holding a lacrosse stick and hitting balls into a net.</t>
  </si>
  <si>
    <t>The boy throws several balls into the net over and over again hitting directly into the net.</t>
  </si>
  <si>
    <t>v_I9HV59QQkNw</t>
  </si>
  <si>
    <t>A man is sitting on a couch, drinking a beer from a bottle.</t>
  </si>
  <si>
    <t>He drops the bottle from his mouth, smiling.</t>
  </si>
  <si>
    <t>v_pG0uYjcjBR8</t>
  </si>
  <si>
    <t>People are standing around in a circle.</t>
  </si>
  <si>
    <t>Two people begin fighting in the circle.</t>
  </si>
  <si>
    <t>A man is doing flips outside on the grass.</t>
  </si>
  <si>
    <t>They continue to flight inside the circle.</t>
  </si>
  <si>
    <t>A man is standing outside talking in front of a street.</t>
  </si>
  <si>
    <t>A man does several back flips on the grass.</t>
  </si>
  <si>
    <t>v_u4nL6NXfsak</t>
  </si>
  <si>
    <t>A woman stands talking to the camera, with a dog in front of her.</t>
  </si>
  <si>
    <t>The woman holds the dog's front leg as she talks.</t>
  </si>
  <si>
    <t>The woman brushes the dog with a blue brush.</t>
  </si>
  <si>
    <t>v_B_NQ_U2JEp4</t>
  </si>
  <si>
    <t>A ad for premier packaging appears.</t>
  </si>
  <si>
    <t>A woman is standing in an office in front of a basket filled with small gifts.</t>
  </si>
  <si>
    <t>She shows how she used cellophane and a hair dryer to shrink wrap the gifts in the basket and keep the safe and presentable.</t>
  </si>
  <si>
    <t>v_r1v5fEOypSM</t>
  </si>
  <si>
    <t>A person rides a wake board behind a boat through the choppy water.</t>
  </si>
  <si>
    <t>The wake boarder jumps over the wake of the boat and does flips.</t>
  </si>
  <si>
    <t>The wake boarder does a final jump and falls into the water.</t>
  </si>
  <si>
    <t>v_9N1525JmqZQ</t>
  </si>
  <si>
    <t>A close up of a fireplace is seen with the camera moving around the front.</t>
  </si>
  <si>
    <t>The camera zooms in on the pit and shows a man kneeling own in front.</t>
  </si>
  <si>
    <t>The man lays plaster out on the front and begins putting tiling down over the plaster.</t>
  </si>
  <si>
    <t>v_q7Pp1TAgv3I</t>
  </si>
  <si>
    <t>The video pans into several shots of people performing arm wrestling matches and screaming afterwards.</t>
  </si>
  <si>
    <t>Many people are seen playing with one another and screaming to the crowd after their performance.</t>
  </si>
  <si>
    <t>v_TwQQPCjT_A4</t>
  </si>
  <si>
    <t>A man and a woman are sitting behind a table.</t>
  </si>
  <si>
    <t>Players are playing soccer on dirt, outside.</t>
  </si>
  <si>
    <t>Fans and players cheer or celebrate.</t>
  </si>
  <si>
    <t>v_Uru0CastJqU</t>
  </si>
  <si>
    <t>A person is seen walking forward and jumping up and down and diving in a pool.</t>
  </si>
  <si>
    <t>The same person is shown several more times performing various dives off a high board while the camera captures him from several angles.</t>
  </si>
  <si>
    <t>v_1GXQLnTalcg</t>
  </si>
  <si>
    <t>A video tutorial plays with a woman talking in the background about how to brush your teeth.</t>
  </si>
  <si>
    <t>She lists out the tools you need and steps to brush.</t>
  </si>
  <si>
    <t>A man opens a bottle and puts toothpaste on it.</t>
  </si>
  <si>
    <t>He begins brushing his teeth following the woman's instructions.</t>
  </si>
  <si>
    <t>The man rinses his mouth out with water and smiles with the woman's voice.</t>
  </si>
  <si>
    <t>v_d1JA5V3hO3Q</t>
  </si>
  <si>
    <t>A man talks in a blue room then sprays a toy car and pretends to wash it.</t>
  </si>
  <si>
    <t>We see a title screen and people in suits wash cars as a joke.</t>
  </si>
  <si>
    <t>A man and a small boy with high powered hoses wash cars followed by cheerleaders.</t>
  </si>
  <si>
    <t>We see a black van with people getting out and a man in a top hat touch the car.</t>
  </si>
  <si>
    <t>The people get in the black van and drive away adn teh car owners stand on the street.</t>
  </si>
  <si>
    <t>We then see the ending scene.</t>
  </si>
  <si>
    <t>v_FsQWaEejutU</t>
  </si>
  <si>
    <t>A man is smoking a pipe and blowing smoke rings.</t>
  </si>
  <si>
    <t>The man uses profanity and flips the camera off.</t>
  </si>
  <si>
    <t>Another man is standing by watching him.</t>
  </si>
  <si>
    <t>v_ZwDfAhQVKLQ</t>
  </si>
  <si>
    <t>A person is seen walking into frame in a dark room and walks down a long set of stairs.</t>
  </si>
  <si>
    <t>A man is seen in the corner moving back and fourth on exercise equipment.</t>
  </si>
  <si>
    <t>A woman then speaks to the man as he continues rowing and showing a close up of the machine.</t>
  </si>
  <si>
    <t>v_aEyTdUOp-qs</t>
  </si>
  <si>
    <t>A man walks up with a mop and bucket.</t>
  </si>
  <si>
    <t>He takes them up out of the bucket and begins to mop the floor.</t>
  </si>
  <si>
    <t>After a moment she begins to pretend that he is dancing with the mop.</t>
  </si>
  <si>
    <t>v_jfnFrt9nfSo</t>
  </si>
  <si>
    <t>A man in a blue shirt is playing basketball on a court.</t>
  </si>
  <si>
    <t>He shoots at the hoop and misses it.</t>
  </si>
  <si>
    <t>A person in a white shirt is standing behind them on a tennis court.</t>
  </si>
  <si>
    <t>v_CCL8kqQMCRw</t>
  </si>
  <si>
    <t>A young boy attempts to break open a pinata at his birthday party inside a garage.</t>
  </si>
  <si>
    <t>Another boy nearly walks into the range of the boy's stick but is saved by an adult.</t>
  </si>
  <si>
    <t>The boy continues bashing the pinata before taking a break and handing the stick to another boy.</t>
  </si>
  <si>
    <t>v_M-IRMq2DmY0</t>
  </si>
  <si>
    <t>A brunette woman is sitting in a bubble bath with one leg out shaving it with a pink razor.</t>
  </si>
  <si>
    <t>The woman goes up one stroke of the razor and begins again.</t>
  </si>
  <si>
    <t>She repeats this process shaving up the leg and beginning again a few times around her leg.</t>
  </si>
  <si>
    <t>v__4wEUsTft44</t>
  </si>
  <si>
    <t>In a blue room two men are using tools and fixing up the carpet.</t>
  </si>
  <si>
    <t>It seems like they just put in new carpet and now they are making sure it is held down correctly.</t>
  </si>
  <si>
    <t>They use a nail gun of some type to nail the ends of the corner.</t>
  </si>
  <si>
    <t>One of the men walks around checking to see if anything is missed.</t>
  </si>
  <si>
    <t>v_ZLXhlWhrkno</t>
  </si>
  <si>
    <t>We see a clearing in the woods.</t>
  </si>
  <si>
    <t>We zoom in on a buck walking in the woods.</t>
  </si>
  <si>
    <t>The buck stops and looks left, then right.</t>
  </si>
  <si>
    <t>The buck is drinking from a puddle the runs off startled.</t>
  </si>
  <si>
    <t>The buck stands in the clearing.</t>
  </si>
  <si>
    <t>A man is working with a bow while another films the animal.</t>
  </si>
  <si>
    <t>The hunter shoots the animal with a bow and it dies slowly.</t>
  </si>
  <si>
    <t>The hunter is photographed with the dead animal.</t>
  </si>
  <si>
    <t>v_eCd8x8KqxKQ</t>
  </si>
  <si>
    <t>Several shots of a casino are shown as well as people getting passes and walking around the inside.</t>
  </si>
  <si>
    <t>The camera pans around several tables of games being played as well as slot machines and people playing with one another.</t>
  </si>
  <si>
    <t>v_ISJodiRZ_uo</t>
  </si>
  <si>
    <t>A girl with braided hair asks a worker at an equestrian center some questions.</t>
  </si>
  <si>
    <t>The woman responds and talks about horse care.</t>
  </si>
  <si>
    <t>The girl brushes the horse's mane.</t>
  </si>
  <si>
    <t>The two continue going over horse care.</t>
  </si>
  <si>
    <t>The girl and woman both work on brushing techniques.</t>
  </si>
  <si>
    <t>The woman brushes the horses tail is lots of care as the girl watches.</t>
  </si>
  <si>
    <t>v_xZdCmghMcvU</t>
  </si>
  <si>
    <t>A woman stands by watching a chef removing leaves from a piece of lettuce.</t>
  </si>
  <si>
    <t>The chef shows the woman how to cut some parts of the lettuce.</t>
  </si>
  <si>
    <t>The chef and the woman have a long conversation regarding the lettuce.</t>
  </si>
  <si>
    <t>v_AjohJX4RedM</t>
  </si>
  <si>
    <t>A woman is sitting on a rowing machine.</t>
  </si>
  <si>
    <t>The woman places her feet into the straps of the rowing machine.</t>
  </si>
  <si>
    <t>The woman holds onto the rowing cables and rows.</t>
  </si>
  <si>
    <t>The woman stops and demonstrates the motor area of the machine.</t>
  </si>
  <si>
    <t>Back sitting on the rowing machine, she rows one more time and places the cables down.</t>
  </si>
  <si>
    <t>The woman removes her feet from the straps.</t>
  </si>
  <si>
    <t>v_C4QrTmNDADY</t>
  </si>
  <si>
    <t>A man is seen laying on the floor and begins demonstrating how to properly perform dance moves as well as the wrong way to perform them.</t>
  </si>
  <si>
    <t>The man continues moving all around the floor and leads into several clips of people performing the move.</t>
  </si>
  <si>
    <t>v_dXTfrVz9A9o</t>
  </si>
  <si>
    <t>A man cleans the snow with a self lifted shovel that has a rod to impulse up the shovel.</t>
  </si>
  <si>
    <t>The man puts the shovel in the snow and it lifts and throws snow.</t>
  </si>
  <si>
    <t>The man shovel heavy hardened snow from the ground effortlessly.</t>
  </si>
  <si>
    <t>The person shows the shovel that has behind a weight lifter.</t>
  </si>
  <si>
    <t>v_TSVdiNxLu50</t>
  </si>
  <si>
    <t>Several shots are shown of people walking on a beach and leads into many people surfing on the water.</t>
  </si>
  <si>
    <t>Dozens of people are shown in various clips riding along waves in the water as well as people sitting in the water from behind.</t>
  </si>
  <si>
    <t>v_MMnTMB6AmuU</t>
  </si>
  <si>
    <t>A woman stands up and starts jump roping.</t>
  </si>
  <si>
    <t>The rest of the women stand up and join her jump roping.</t>
  </si>
  <si>
    <t>They do a hand stand on the ground in front of them.</t>
  </si>
  <si>
    <t>v_Lv6ypQZWIEg</t>
  </si>
  <si>
    <t>A young child walks across some sand carrying equipment around her waist.</t>
  </si>
  <si>
    <t>While on a school field, she throws a stick.</t>
  </si>
  <si>
    <t>Back on the sand, she continues walking with the equipment attached to her waist.</t>
  </si>
  <si>
    <t>She throws a pebble into the beach.</t>
  </si>
  <si>
    <t>On a school track, she throws a stick.</t>
  </si>
  <si>
    <t>She throws another stick in a grassy field, where her coaches watch on.</t>
  </si>
  <si>
    <t>A man gives her a medal.</t>
  </si>
  <si>
    <t>In a grassy field, she throws a stick.</t>
  </si>
  <si>
    <t>v_MXbwIfqSq_Q</t>
  </si>
  <si>
    <t>A picture of a man is shown and then drawings of human vertebrae.</t>
  </si>
  <si>
    <t>The man in gray out is standing in a room and started to rotate his hands forward and backward.</t>
  </si>
  <si>
    <t>The man is swaying side to side and move his arms in front of him.</t>
  </si>
  <si>
    <t>v_V9ktV85lA9E</t>
  </si>
  <si>
    <t>A man is standing in front of a cat who keeps walking on his wrapping paper.</t>
  </si>
  <si>
    <t>The man pushes the cat down on the paper and folds it around the cat.</t>
  </si>
  <si>
    <t>He then tapes the paper onto the cat, leaving only the head sticking out.</t>
  </si>
  <si>
    <t>He then places a bow on the cat's head.</t>
  </si>
  <si>
    <t>v_S1bEYnNyLZE</t>
  </si>
  <si>
    <t>A mother tries to brush a baby's teeth.</t>
  </si>
  <si>
    <t>The baby takes the toothbrush and tries herself.</t>
  </si>
  <si>
    <t>The baby spits out some of this toothpaste but keeps trying.</t>
  </si>
  <si>
    <t>v_E2sbaDQabkA</t>
  </si>
  <si>
    <t>A black and yellow jump rope lies on the floor while three people are in the background.</t>
  </si>
  <si>
    <t>The title, "Jump Rope Steffisburg", appears on the screen while several people in green shirts run behind.</t>
  </si>
  <si>
    <t>Two young women perform a somersault.</t>
  </si>
  <si>
    <t>A large group of people in green shirts perform various jump rope stunts in a large gymnasium.</t>
  </si>
  <si>
    <t>Someone picks up a yellow and black jump rope from the floor and walks off with it.</t>
  </si>
  <si>
    <t>v_kq7KVmvkYPc</t>
  </si>
  <si>
    <t>A black screen advertises the video.</t>
  </si>
  <si>
    <t>A man is shown lying down while someone shaves his beard.</t>
  </si>
  <si>
    <t>The blade is shown very close to the skin as the man shaves him carefully, rinsing between scrapings.</t>
  </si>
  <si>
    <t>The screen fades to black as the man finishes the shaving.</t>
  </si>
  <si>
    <t>v_sI7qq85QaA0</t>
  </si>
  <si>
    <t>Two males play table tennis in a small room.</t>
  </si>
  <si>
    <t>Another man walks in the background.</t>
  </si>
  <si>
    <t>v_kbK-9Me0BnA</t>
  </si>
  <si>
    <t>A group of women are standing around as one of them is on a camel .</t>
  </si>
  <si>
    <t>The camel lifts up an the trainers and other friends stare on.</t>
  </si>
  <si>
    <t>They seem to be having a great time as the camera pulls back to show them all.</t>
  </si>
  <si>
    <t>They move ahead with the camel very slowly an the lady riding it waves.</t>
  </si>
  <si>
    <t>The video then cuts, showing the camel come to a stop before dropping down to the ground to let the woman off.</t>
  </si>
  <si>
    <t>She pets it and the video ends.</t>
  </si>
  <si>
    <t>v_U-ApHGUtLMA</t>
  </si>
  <si>
    <t>Guys are standing around near a stall.</t>
  </si>
  <si>
    <t>A guy horseback riding chases a cattle.</t>
  </si>
  <si>
    <t>The guy lassoes the cattle and gets off his horse to tie up the cattle's legs.</t>
  </si>
  <si>
    <t>Two men remove the rope around the cattle's neck and legs.</t>
  </si>
  <si>
    <t>The cattle rises and runs away.</t>
  </si>
  <si>
    <t>v_8xYzQMbI5fM</t>
  </si>
  <si>
    <t>A person is seen making marks on a paper using a tool as well as a pencil.</t>
  </si>
  <si>
    <t>He then screws the tools in place of the holes and the camera pans down the finished area.</t>
  </si>
  <si>
    <t>He then wipes down the area, measures out more area, and then rolling the paper down over a tool.</t>
  </si>
  <si>
    <t>Finally he takes a sharp object and runs it all along the paper.</t>
  </si>
  <si>
    <t>v_kRMskyrrRcA</t>
  </si>
  <si>
    <t>A person in a holding a Rubik's Cube.</t>
  </si>
  <si>
    <t>The person starts to solve the Rubik's Cube.</t>
  </si>
  <si>
    <t>The person places the solved Rubik's Cube on the desk and hurriedly click something.</t>
  </si>
  <si>
    <t>The person shows his computer screen.</t>
  </si>
  <si>
    <t>The person picks up the Rubik's Cube and shows each face of the solved Rubik's Cube.</t>
  </si>
  <si>
    <t>v_rC24UspQv14</t>
  </si>
  <si>
    <t>The boy is standing under the tree with blindfold thing to hit the pinata but missed it.</t>
  </si>
  <si>
    <t>A man came up to him and assist him, the boy hit the pinata once.</t>
  </si>
  <si>
    <t>The man rotate the little girl and then let walk a little and the girl hit the pinata.</t>
  </si>
  <si>
    <t>A young man hit the pinata ad the kids are lined up to take their turns to hit the pinata.</t>
  </si>
  <si>
    <t>v_qcaaF0SqVss</t>
  </si>
  <si>
    <t>A wrestler in maroon brief is provoking the black man.</t>
  </si>
  <si>
    <t>The black man attacked the other wrestler but he was knocked down.</t>
  </si>
  <si>
    <t>The wrestler with maroon brief carried the black man and slam him on the floor.</t>
  </si>
  <si>
    <t>v_KNpeiKm3xyM</t>
  </si>
  <si>
    <t>There's a man sitting with the Olympics logo behind him, talking about sports.</t>
  </si>
  <si>
    <t>A group photograph of a many people of different age groups is shown.</t>
  </si>
  <si>
    <t>There are some people playing beach volley ball in the sand on a sunny day with several people watching them.</t>
  </si>
  <si>
    <t>One of the players hits the ball to his opponent by punching it with his fist.</t>
  </si>
  <si>
    <t>Another player returns the ball by kicking it across the net.</t>
  </si>
  <si>
    <t>The players continue playing the game by punching the ball across the net.</t>
  </si>
  <si>
    <t>v_8KxL1itwI3Q</t>
  </si>
  <si>
    <t>An open field is covered in snow and then suddenly a large bear appears on a table and is then put in a box.</t>
  </si>
  <si>
    <t>Martha Stewart then begins taping the box.</t>
  </si>
  <si>
    <t>The box is then placed on top of the counter and wrapping paper is put on both ends to about six inches up the box.</t>
  </si>
  <si>
    <t>More wrapping paper is then pulled out and wrapped around the now covered box in the center.</t>
  </si>
  <si>
    <t>After being taped,several red glitter bows are placed on top of the wrapping paper.</t>
  </si>
  <si>
    <t>On the counter,appears several more rows of rapping paper and tubes.</t>
  </si>
  <si>
    <t>The socks are then placed in a tube and covered in the silver wrapping paper.</t>
  </si>
  <si>
    <t>The woman then takes a circular shaped object and traces it with a pencil and makes squiggles in the middle of it.</t>
  </si>
  <si>
    <t>After they are cut out,they are placed on the end of the tubes and stacked together to give the illusion of fire wood.</t>
  </si>
  <si>
    <t>v_bKEvJveN6k4</t>
  </si>
  <si>
    <t>A group of kids are throwing balls at one another in a bouncy room where the floors are inflatable bounce platforms.</t>
  </si>
  <si>
    <t>The children on the right side of the room throw balls at the children on the left side of the room as balls come flying onto their side of the mat in an effort to hit them.</t>
  </si>
  <si>
    <t>The children hurl and dodge with one child in a blue t-shirt retreating into the far right corner of the bounce room to try to avoid a ball which comes hurling at him from the other side.</t>
  </si>
  <si>
    <t>v_zW_8T8w7304</t>
  </si>
  <si>
    <t>A young child is seen mopping a floor with a mop and moving around all areas of the room.</t>
  </si>
  <si>
    <t>He stops to play with the mop a bit and pushes a box back under a stand.</t>
  </si>
  <si>
    <t>v_a68k87VXX1c</t>
  </si>
  <si>
    <t>A woman in a black shirt is dancing in a room.</t>
  </si>
  <si>
    <t>A small dog on the floor next to her watches.</t>
  </si>
  <si>
    <t>She claps her hands together at the end.</t>
  </si>
  <si>
    <t>v_45Bscg4Qe-I</t>
  </si>
  <si>
    <t>A group of people go to a bowling alley and fail hilariously.</t>
  </si>
  <si>
    <t>A woman talks to the pins and figures out how the pins are set up and replaced.</t>
  </si>
  <si>
    <t>v_XptFota2__4</t>
  </si>
  <si>
    <t>A small group of people are seen sitting around a table speaking to one another while using a hookah and vapor pen at the same time.</t>
  </si>
  <si>
    <t>The men continue smoking and looking into the camera when one starts showing off his body and panning around the room.</t>
  </si>
  <si>
    <t>v_M1hPI8WvySo</t>
  </si>
  <si>
    <t>A tutorial on how to wrap a gift, first you put doe enough wrapping paper and place the gift on top of it to make sure it is a decent size.</t>
  </si>
  <si>
    <t>Then, You fold one of the corners of the wrapping paper into triangles and press it out repeatedly.</t>
  </si>
  <si>
    <t>You would then cut the edges and tape doen the outside of the wrapping so it sticks down.</t>
  </si>
  <si>
    <t>Finally, You put the gift inside of the paper and fold the paper around it nicely and tape it down and you have a pretty wrapped present.</t>
  </si>
  <si>
    <t>v__cZD6JN-SYg</t>
  </si>
  <si>
    <t>Various pictures of men are shown in the beginning of the video followed by several lines of text shown.</t>
  </si>
  <si>
    <t>The men are then seen kicking soccer balls into a goal while they save some and the goalie blocks.</t>
  </si>
  <si>
    <t>v_W4XaqnwD6gU</t>
  </si>
  <si>
    <t>A man is seen playing a violin while the camera pans all around him moving his arms up and down.</t>
  </si>
  <si>
    <t>The man continues to play while others play behind him and the violinist playing and looking at the audience.</t>
  </si>
  <si>
    <t>v_kl_JsmJ84PI</t>
  </si>
  <si>
    <t>A group of people are seen playing a game of soccer in an indoor field while a group of people watch on the sides.</t>
  </si>
  <si>
    <t>People shown fighting in the stands and players walk around watching the fight and the paramedics take a man away.</t>
  </si>
  <si>
    <t>v_L2MfC4jcRo0</t>
  </si>
  <si>
    <t>A screen with text gives details of an event.</t>
  </si>
  <si>
    <t>Boys faces are seen up close in an intense facial expression.</t>
  </si>
  <si>
    <t>Two boys play an intense game of table soccer.</t>
  </si>
  <si>
    <t>The boy wins the game and the other strikes him with a handle of the table tennis game.</t>
  </si>
  <si>
    <t>v_avBlEff5U5U</t>
  </si>
  <si>
    <t>A man is in his front yard going back and forth mowing his lawn.</t>
  </si>
  <si>
    <t>The video then shows him mowing the lawn in a different location than the first location.</t>
  </si>
  <si>
    <t>v_DfpUMDpSbS4</t>
  </si>
  <si>
    <t>A man is seen speaking to the camera while standing behind a set of weights and pointing to his body.</t>
  </si>
  <si>
    <t>The man then bends down and grabs the bar while still speaking to the camera.</t>
  </si>
  <si>
    <t>The man lifts the bar up then back down again while still speaking to the camera.</t>
  </si>
  <si>
    <t>v_yCPeF59MOEk</t>
  </si>
  <si>
    <t>A man in a white tuxedo is led to a pinata by a woman in a wedding dress.</t>
  </si>
  <si>
    <t>He hits at the pinata that keeps moving up and down.</t>
  </si>
  <si>
    <t>v_1RQOgX36Z2E</t>
  </si>
  <si>
    <t>A man is working inside a shop.</t>
  </si>
  <si>
    <t>He rolls a tire over to a piece of equipment.</t>
  </si>
  <si>
    <t>He shows how to mount the tire onto the equipment.</t>
  </si>
  <si>
    <t>v_xlPpP0eVL9A</t>
  </si>
  <si>
    <t>A woman is talking inside an office.</t>
  </si>
  <si>
    <t>She is shown giving a facial treatment to an older woman.</t>
  </si>
  <si>
    <t>She wipes her face down with substances and lotions.</t>
  </si>
  <si>
    <t>v_q53Ajkll_kw</t>
  </si>
  <si>
    <t>A woman in a black dress is playing a bag pipe on stage.</t>
  </si>
  <si>
    <t>The word "Ilbo" is in a red font and scrolls down on the left hand side of the screen.</t>
  </si>
  <si>
    <t>The camera zooms into the woman's fingers.</t>
  </si>
  <si>
    <t>The camera shifts to somebody playing a piano.</t>
  </si>
  <si>
    <t>A band is also playing musical instruments in the background.</t>
  </si>
  <si>
    <t>The camera zooms into the face of the woman playing the bag pipe.</t>
  </si>
  <si>
    <t>The woman finishes playing and the audience applause.</t>
  </si>
  <si>
    <t>v_hYBctolxeqQ</t>
  </si>
  <si>
    <t>a boy sits in his room behind a large drum set.</t>
  </si>
  <si>
    <t>He plays the drums and cymbals gently.</t>
  </si>
  <si>
    <t>He speeds up his tempo and strength as he builds confidence.</t>
  </si>
  <si>
    <t>v_ABMVo0NDhKo</t>
  </si>
  <si>
    <t>A guy is standing on a beach flying a kite.</t>
  </si>
  <si>
    <t>The guy continuously looks away from the kite's position.</t>
  </si>
  <si>
    <t>A man approaches the guy.</t>
  </si>
  <si>
    <t>v_T3XGYHEFVIQ</t>
  </si>
  <si>
    <t>A man is wearing protective gear.</t>
  </si>
  <si>
    <t>He is using a welder and creating a bright light as he works on metal.</t>
  </si>
  <si>
    <t>When he is done, he stops and looks at the camera, showing off the completed welding.</t>
  </si>
  <si>
    <t>v_It2fslENHXs</t>
  </si>
  <si>
    <t>An large outdoor sports field is shown.</t>
  </si>
  <si>
    <t>A man runs and does a successful pole vault.</t>
  </si>
  <si>
    <t>He stands up from the pad and picks up the pole.</t>
  </si>
  <si>
    <t>v_FT_34R0dZnA</t>
  </si>
  <si>
    <t>A camera pans around a park as well as a lake and a man speaking to the camera.</t>
  </si>
  <si>
    <t>The camera pans around a canoe filled with objects and leads into the man padding down and speaking to the camera.</t>
  </si>
  <si>
    <t>More shots are shown of animals nearby as well as a man and woman speaking to the camera.</t>
  </si>
  <si>
    <t>v_b02GzZM5iGI</t>
  </si>
  <si>
    <t>People are playing volleyball on a beach.</t>
  </si>
  <si>
    <t>A girl falls down onto the sand.</t>
  </si>
  <si>
    <t>A girl raises her hands in the air.</t>
  </si>
  <si>
    <t>v_IjKWgD0y4rc</t>
  </si>
  <si>
    <t>A white screen appears with black text that comes in twice on the screen and then scrolls off screen while fading out.</t>
  </si>
  <si>
    <t>Three children in life vests and two supervising adults are on a raft waiting to go rafting.</t>
  </si>
  <si>
    <t>The group rafting down a river with all it's bumps and water splashing.</t>
  </si>
  <si>
    <t>There is a yellow text that comes on screen showing the locations they are at.</t>
  </si>
  <si>
    <t>The children are at the destination as one young girl comes close to the cam and waves at it.</t>
  </si>
  <si>
    <t>A white screen appears and two words appear one in yellow at the top of the sceeen and one in blue at the bottom on the screen and both then move off screen.</t>
  </si>
  <si>
    <t>v_dQs2-z3TIes</t>
  </si>
  <si>
    <t>A woman is on stage speaking to a little girl while holding a microphone.</t>
  </si>
  <si>
    <t>The girl speaks into the microphone, then performs a ballet piece.</t>
  </si>
  <si>
    <t>She dances around the stage for the audience.</t>
  </si>
  <si>
    <t>She falls onto one knee as she completes her performance.</t>
  </si>
  <si>
    <t>v_uug0bhnLgHs</t>
  </si>
  <si>
    <t>A person stirs a large bowl of lemonade.</t>
  </si>
  <si>
    <t>A woman is chopping up a potato.</t>
  </si>
  <si>
    <t>She adds the potato to a large pot of water.</t>
  </si>
  <si>
    <t>She adds lemons and lettuce and cucumbers to the bowl.</t>
  </si>
  <si>
    <t>She mixes it all together in a bowl.</t>
  </si>
  <si>
    <t>v_bM7Tgb1mJfc</t>
  </si>
  <si>
    <t>We see a man instructing another man on shooting arrow.</t>
  </si>
  <si>
    <t>The mans first arrow misses.</t>
  </si>
  <si>
    <t>The man loads another arrow.</t>
  </si>
  <si>
    <t>We see the targets in front of a backdrop.</t>
  </si>
  <si>
    <t>The man hits the backdrop and it collapses.</t>
  </si>
  <si>
    <t>The people all stand around laughing.</t>
  </si>
  <si>
    <t>The instructor walks over to the targets.</t>
  </si>
  <si>
    <t>v_rJKrXQ4v-9s</t>
  </si>
  <si>
    <t>A plume of smoke is shown going across a pair of skis.</t>
  </si>
  <si>
    <t>A man is carving designs, burning them into the wood.</t>
  </si>
  <si>
    <t>He then rakes an iron across the boards, setting the image.</t>
  </si>
  <si>
    <t>v_yATxB9giT34</t>
  </si>
  <si>
    <t>A man is seen speaking into a mike that transitions into a close up of a beer pong table as well as people playing.</t>
  </si>
  <si>
    <t>Shots of beer are poured, people playing rock, paper, scissors, dealing money, and computer screens for music.</t>
  </si>
  <si>
    <t>More people are shown playing beer pong while being interviewed on camera and walking around a room.</t>
  </si>
  <si>
    <t>Several more shots are shown of people dancing, playing pong, fighting, and speaking to one another.</t>
  </si>
  <si>
    <t>v_veaxOUe_8HE</t>
  </si>
  <si>
    <t>Two people are seen speaking to the camera and leads into several clips of people playing volleyball with one another.</t>
  </si>
  <si>
    <t>The people continue to play the sport while others speak to the camera as well as watch on the sides and high five each other.</t>
  </si>
  <si>
    <t>v_WaWkDf6b_j4</t>
  </si>
  <si>
    <t>A man walks along a bare field while a woman walks around beside him.</t>
  </si>
  <si>
    <t>He walks back and fourth preparing to jump and eventually jumps over a pole.</t>
  </si>
  <si>
    <t>A girl claps for him and the same move is shown again in slow motion.</t>
  </si>
  <si>
    <t>v_DVZCBD8-y2I</t>
  </si>
  <si>
    <t>A video shows how to clean snow off a car.</t>
  </si>
  <si>
    <t>A person folds a blue cloth, wrapping it around a snow brush neatly.</t>
  </si>
  <si>
    <t>He then uses the brush to gently wipe snow off a vehicle.</t>
  </si>
  <si>
    <t>The video ends with an advertisement for an auto shop.</t>
  </si>
  <si>
    <t>v_q1e275n6R3c</t>
  </si>
  <si>
    <t>A pregnant lady prepares a pumpkin for decoration and carving.</t>
  </si>
  <si>
    <t>The lady places wax paper over the pumpkin and pokes holes over the wax paper drawing.</t>
  </si>
  <si>
    <t>The lady removes the wax paper and proceeds to cut out the the hole tracings of the mouth and eyes that was traced with the punched out holes from the wax paper.</t>
  </si>
  <si>
    <t>The completed carved pumpkins are displayed.</t>
  </si>
  <si>
    <t>v_IFmtu3Sd7iI</t>
  </si>
  <si>
    <t>Several scuba divers are seen swimming around the ocean while sharks move around them underneath.</t>
  </si>
  <si>
    <t>The camera continuously follows the sharks around the water and the scuba divers interact with one another while they move.</t>
  </si>
  <si>
    <t>v_aINlF3UDJ7s</t>
  </si>
  <si>
    <t>A blue screen appears and on the left side a clear bottle is pouring liquid into a clear martini glass and white words appear on the left side of the screen that say "Girls Mixing Drinks dot com Notre Dame Pick-Me-Up with Stacey".</t>
  </si>
  <si>
    <t>A brunette woman wearing all black is standing in a bar talking, she picks up a clear drinking glass, puts ice in it and touches all the ingredients she's going to use while talking about them.</t>
  </si>
  <si>
    <t>The woman then begins to measure out each alcohol into a shot glass, pours them into the cup, squirts liquid from a clear bottle into the cup, pours some soda from a can into the cup, pours juice from a box into the cup, then adds a straw to the cup and pushes the cup to the front of the counter.</t>
  </si>
  <si>
    <t>Throughout the whole time she's making the drink the website pops up from time to time at the bottom of the screen, then the outro screen appears with a two tone red diagonal background of thick stripes and the website in the middle reads www dot GirlsMakingDrinks dot com.</t>
  </si>
  <si>
    <t>v_1SQAnbh_lcM</t>
  </si>
  <si>
    <t>A woman is standing behind a counter sharpening a knife.</t>
  </si>
  <si>
    <t>She pours water on the knife sharpener and continues sharpening the knife.</t>
  </si>
  <si>
    <t>She picks up a knife sharpener and sharpens the knife.</t>
  </si>
  <si>
    <t>v_sCTmSj_tsDQ</t>
  </si>
  <si>
    <t>Men appear in a field with bulls and the words "Bullfight Laos" appear on screen.</t>
  </si>
  <si>
    <t>The men gather around the field where two bulls are.</t>
  </si>
  <si>
    <t>The bulls are encouraged to fight with their horns while the people watch.</t>
  </si>
  <si>
    <t>v_NK0WynwKc34</t>
  </si>
  <si>
    <t>A small baby hits a bongo in a room.</t>
  </si>
  <si>
    <t>The baby stops and takes something off his hand.</t>
  </si>
  <si>
    <t>The baby goes back to playing the drum.</t>
  </si>
  <si>
    <t>v_jGoW5WVAtX4</t>
  </si>
  <si>
    <t>We see the outside of a restaurant with a snow like graphic on the bottom.</t>
  </si>
  <si>
    <t>We see men inside the bar and one man speaking into a microphone.</t>
  </si>
  <si>
    <t>We then see ladies playing beer pong against a team of men.</t>
  </si>
  <si>
    <t>Two teams of men play beer pong together as a man stands behind them holding a camera in the air.</t>
  </si>
  <si>
    <t>We switch and see other teams in the room playing and see two ladies talking.</t>
  </si>
  <si>
    <t>We then see a lady toss a ball across a table.</t>
  </si>
  <si>
    <t>v_uavao6fYoMM</t>
  </si>
  <si>
    <t>A drawing of a court is shown on the screen.</t>
  </si>
  <si>
    <t>We see a game of soccer in progress on an outdoor field.</t>
  </si>
  <si>
    <t>The men are kicking the ball away from each other.</t>
  </si>
  <si>
    <t>They try to get the ball into the opposing goals.</t>
  </si>
  <si>
    <t>v_8C6iIFY47Kc</t>
  </si>
  <si>
    <t>Two wrestlers meet at a table inside a wrestling ring.</t>
  </si>
  <si>
    <t>They sit at the table and hold each other's hands, prepared to arm wrestle.</t>
  </si>
  <si>
    <t>The men try hard to beat each other, pushing hard on each side.</t>
  </si>
  <si>
    <t>One wins, then they get up and start fighting inside the ring.</t>
  </si>
  <si>
    <t>One is kicked out of the ring, leaving the giant as the victor.</t>
  </si>
  <si>
    <t>v_4bw6ocN0jGU</t>
  </si>
  <si>
    <t>A dog is running by a lake.</t>
  </si>
  <si>
    <t>A man is wake boarding behind a boat.</t>
  </si>
  <si>
    <t>A person is sitting in the water.</t>
  </si>
  <si>
    <t>v_k2vkwy2vdP4</t>
  </si>
  <si>
    <t>A man is riding a water motorboat in the ocean.</t>
  </si>
  <si>
    <t>Beside him appears a man on a surfboard.</t>
  </si>
  <si>
    <t>The man on the surfboard speeds past, leaving him in his wake.</t>
  </si>
  <si>
    <t>v_aS6Qv9N5mG0</t>
  </si>
  <si>
    <t>A small group of people are seen playing games with one another in a large gymnasium.</t>
  </si>
  <si>
    <t>Many people watch on the sidelines an the people pass a bad mitten back and fourth to one another.</t>
  </si>
  <si>
    <t>v_gCx-ucvPhDY</t>
  </si>
  <si>
    <t>A man in a black Speedo is standing on a diving board with his hand down on his sides.</t>
  </si>
  <si>
    <t>He then begins running and does two hops to get to the end of the board.</t>
  </si>
  <si>
    <t>Finally,he is at the end of the diving board and does a flip into the water as the crowd on the side watches.</t>
  </si>
  <si>
    <t>v_6dJrQV3Jzbw</t>
  </si>
  <si>
    <t>A large group of people are seen running down a field playing a game of lacrosse.</t>
  </si>
  <si>
    <t>The people hit the ball all along the field while a ref watches them on the side.</t>
  </si>
  <si>
    <t>The group continue to play together while the camera moves back and fourth.</t>
  </si>
  <si>
    <t>v_BNa85xIhNqA</t>
  </si>
  <si>
    <t>A large kite is seen flying over a beach with people wandering around on the sides.</t>
  </si>
  <si>
    <t>A man is seen flying the large kite while others watch him on the side.</t>
  </si>
  <si>
    <t>Another kite is shown flying beside his and leads into a show of the ocean.</t>
  </si>
  <si>
    <t>v_ZN9kbYULUtw</t>
  </si>
  <si>
    <t>A young boy is seen stretching in a circle while taking his shirt off and looking off into the distance.</t>
  </si>
  <si>
    <t>The boy then begins performing various martial arts in front of a large crowd.</t>
  </si>
  <si>
    <t>The boy continues kicking and spinning around while ending to bow to the camera.</t>
  </si>
  <si>
    <t>v_Gi9aPJOgn6M</t>
  </si>
  <si>
    <t>A car commercial begins with numerous people washing a vehicle as it goes through a professional car wash.</t>
  </si>
  <si>
    <t>The people stand in a group, waving their rags in the air at the camera, as if to say goodbye.</t>
  </si>
  <si>
    <t>Then it cuts to a final screen advertising the name of the service.</t>
  </si>
  <si>
    <t>v_N1c3C_Npr-E</t>
  </si>
  <si>
    <t>A police officer is riding a horse down the street very slowly.</t>
  </si>
  <si>
    <t>Many bystanders are walking by, cars are passing and casually moving along.</t>
  </si>
  <si>
    <t>its just a normal day riding down the street protecting serving, making sure no crimes are being committed.</t>
  </si>
  <si>
    <t>He rides with one of his hands on his gun and the other steering the horse.</t>
  </si>
  <si>
    <t>v_vjVtKL3xd8w</t>
  </si>
  <si>
    <t>We see a green opening screen.</t>
  </si>
  <si>
    <t>We see a ladies hair in a close up.</t>
  </si>
  <si>
    <t>A lady speaks while sitting on a couch.</t>
  </si>
  <si>
    <t>We see a lady putting a roller in her hair.</t>
  </si>
  <si>
    <t>We then see the finished product.</t>
  </si>
  <si>
    <t>v_yeQDfh6K6Sc</t>
  </si>
  <si>
    <t>A man turns on a camera.</t>
  </si>
  <si>
    <t>A man in a black shirt is squatting on a couch and smoking hookah.</t>
  </si>
  <si>
    <t>The man attempts to blow smoke rings.</t>
  </si>
  <si>
    <t>The man blows smoke directly at the camera.</t>
  </si>
  <si>
    <t>The man again proceeds to blow smoke directly at the camera.</t>
  </si>
  <si>
    <t>The man reaches to turn the camera off.</t>
  </si>
  <si>
    <t>v_QJmoA3byOzo</t>
  </si>
  <si>
    <t>The camera zooms in to show the car's front right wheel.</t>
  </si>
  <si>
    <t>The camera zooms out to show the man spraying the car with soap.</t>
  </si>
  <si>
    <t>The camera zooms in again to show the soap running down the back of the car, then the camera moves to show the left side of the car.</t>
  </si>
  <si>
    <t>Then two men spray water on the car to wash the soap off.</t>
  </si>
  <si>
    <t>v_J_SD_hhGET8</t>
  </si>
  <si>
    <t>A woman walks to the middle of the room.</t>
  </si>
  <si>
    <t>She performs belly dancing moves.</t>
  </si>
  <si>
    <t>She extends her fingers out and finishes her dancing.</t>
  </si>
  <si>
    <t>v_Us795clHJmw</t>
  </si>
  <si>
    <t>A woman spins a blindfold person holding a stick on front a piñata.</t>
  </si>
  <si>
    <t>Then, the person hits the strong, while the piñata is moving.</t>
  </si>
  <si>
    <t>The person laugh and the woman approach her.</t>
  </si>
  <si>
    <t>v_w8rTULZCkzk</t>
  </si>
  <si>
    <t>An introduction is shown for a video about how to clean running spikes.</t>
  </si>
  <si>
    <t>A guy explains that he will clean the spikes while showing the dirt on the spikes.</t>
  </si>
  <si>
    <t>He begins by brushing mud off the spikes into a sink.</t>
  </si>
  <si>
    <t>He puts a small amount of water into the sink and continues scrubbing.</t>
  </si>
  <si>
    <t>He takes them out of the sink and puts some newspaper inside the shows to help them dry.</t>
  </si>
  <si>
    <t>v_k5vE0ehf5TA</t>
  </si>
  <si>
    <t>An individual uses a vacuum cleaner hose to play with a dog.</t>
  </si>
  <si>
    <t>The camera switches to a more side view of the dog.</t>
  </si>
  <si>
    <t>The camera switches to a more top down view of the dog.</t>
  </si>
  <si>
    <t>v_cvuSpqwxRYE</t>
  </si>
  <si>
    <t>A man dips a sponge into a bucket.</t>
  </si>
  <si>
    <t>He uses the sponge to wipe black mud all over a boy.</t>
  </si>
  <si>
    <t>Other people are covering people in paint.</t>
  </si>
  <si>
    <t>They are preparing for the running of the bulls in spain.</t>
  </si>
  <si>
    <t>v_8ycO15nH8YM</t>
  </si>
  <si>
    <t>We see a title screen on white.</t>
  </si>
  <si>
    <t>A lady has a cake turned upside down she puts back in the tray.</t>
  </si>
  <si>
    <t>The lady slices parts of the cake and flips it again.</t>
  </si>
  <si>
    <t>The lady cuts the edges off the cake.</t>
  </si>
  <si>
    <t>The lady moves everything and brings it back.</t>
  </si>
  <si>
    <t>v_4EoFt8F3_nw</t>
  </si>
  <si>
    <t>A man is seen walking beside a hedge in a public area with a dog beside him.</t>
  </si>
  <si>
    <t>The dog is seen walking on it's two legs and hops down in the end.</t>
  </si>
  <si>
    <t>v_cjFHlsWZY4c</t>
  </si>
  <si>
    <t>Someone is drawing on tape and cutting it out.</t>
  </si>
  <si>
    <t>They dip a paint brush in paint and paint it put it on a sponge.</t>
  </si>
  <si>
    <t>They put that on their nail and put a top coat on.</t>
  </si>
  <si>
    <t>They put glitter over the heart on the nail.</t>
  </si>
  <si>
    <t>v_r8RJSDKy9iA</t>
  </si>
  <si>
    <t>A young girl has several people holding her eye open while another tries to put in a contact lens.</t>
  </si>
  <si>
    <t>They cannot get the lens in at the eye at first and try over and over again.</t>
  </si>
  <si>
    <t>They eventually succeed in getting the lens in but the girl stands up as thers laugh.</t>
  </si>
  <si>
    <t>v_4mRdgV8t4KY</t>
  </si>
  <si>
    <t>People are riding horses in an indoor arena.</t>
  </si>
  <si>
    <t>People are sitting outside the arena watching them.</t>
  </si>
  <si>
    <t>They stop the horses and the girl turns around.</t>
  </si>
  <si>
    <t>v_H8aW-6HhMBA</t>
  </si>
  <si>
    <t>A man and a woman are sitting in Hooters the restaurant,the female is an employee and the guy is a regular customer.</t>
  </si>
  <si>
    <t>He grabs a beer and then kisses the girls.</t>
  </si>
  <si>
    <t>He tries three more times and he is successful but the third girl was by accident and she hits the guy and becomes extremely upset by it.</t>
  </si>
  <si>
    <t>The male does it again and more girls in the restaurant begins to kiss him.</t>
  </si>
  <si>
    <t>v_hANXaoStVR0</t>
  </si>
  <si>
    <t>There's a man in the swimming pool playing water polo.</t>
  </si>
  <si>
    <t>He is in the pool playing water polo with a yellow ball and two other people.</t>
  </si>
  <si>
    <t>He throws the ball across and the people sitting by the pool and watching him play cheer loudly.</t>
  </si>
  <si>
    <t>v_6mrjcnKVJyY</t>
  </si>
  <si>
    <t>Two men are seen wearing boxing gloves and punching and kicking one another.</t>
  </si>
  <si>
    <t>The men continue going back and fourth with each other and a text appears at the end of the video.</t>
  </si>
  <si>
    <t>v_VshQp9mHeh4</t>
  </si>
  <si>
    <t>A boy runs into the shot and kicks a soccer ball.</t>
  </si>
  <si>
    <t>The ball lobs toward a crowd in a park.</t>
  </si>
  <si>
    <t>Few other boys try to catch the moving ball.</t>
  </si>
  <si>
    <t>One boy eventually kicks the ball back toward the camera.</t>
  </si>
  <si>
    <t>A girl comes in from the sidelines and kicks the ball back toward the crowd of boys and the kids continue this cycle of kicking.</t>
  </si>
  <si>
    <t>v_SOkS5d8GjZ4</t>
  </si>
  <si>
    <t>A man and a woman are shown sitting at a table with a cigarette in her mouth and their arms crossed at one another.</t>
  </si>
  <si>
    <t>They begin arm wrestles and the girl with the cigarette beats the man.</t>
  </si>
  <si>
    <t>v_ZVKUKjVYwF8</t>
  </si>
  <si>
    <t>A person is seen moving down a set of stairs and holding out various measuring items.</t>
  </si>
  <si>
    <t>The man kneels down and begins putting carpeting down on the floor as well as on the stairs.</t>
  </si>
  <si>
    <t>The man finishes putting the carpet down and the camera zooming in on his work.</t>
  </si>
  <si>
    <t>v_jNGa0jPAMjI</t>
  </si>
  <si>
    <t>A seated man looks at a clipboard.</t>
  </si>
  <si>
    <t>The man begins smoking from a large pipe.</t>
  </si>
  <si>
    <t>The camera pans down to show the various items on the table before him.</t>
  </si>
  <si>
    <t>The camera pans back up to the man.</t>
  </si>
  <si>
    <t>v_aEWVDbV76_Q</t>
  </si>
  <si>
    <t>People sail in a boat in a river, and a man pulls a string of a person that sets up to perform water ski.</t>
  </si>
  <si>
    <t>Then, the person water ski behind the boat while people watch.</t>
  </si>
  <si>
    <t>The person falls in the water, but stands again and continues doing water ski.</t>
  </si>
  <si>
    <t>A boat appears in the river behind the person, while the person water ski.</t>
  </si>
  <si>
    <t>The person falls again in the water, the people in the boat laugh and a man does thumbs up.</t>
  </si>
  <si>
    <t>v_1TWdrO8cCxA</t>
  </si>
  <si>
    <t>A girl with a jump rope is in athletic shorts and a t-shirt, holding a jump-rope.</t>
  </si>
  <si>
    <t>She begins to preform complicated stunts, such as hand-stands, flips, and the splits while jumping rope.</t>
  </si>
  <si>
    <t>She has a brief mishap as she drops the jump rope and then picks it up to resume her performance.</t>
  </si>
  <si>
    <t>Many people are sitting on the sidelines, some watching as an audience, some are judges, some are filming the event.</t>
  </si>
  <si>
    <t>v_p3LvCbxC_ZE</t>
  </si>
  <si>
    <t>A camera pans around a large yard to show two people moving a wooden bar.</t>
  </si>
  <si>
    <t>One man then steps on the bar and begins using a tool to cut down hedges.</t>
  </si>
  <si>
    <t>The man looks back to the speak to the camera and the men move the bar.</t>
  </si>
  <si>
    <t>v_cWU5059m_1Q</t>
  </si>
  <si>
    <t>We see a guy in a gym holding a jump rope.</t>
  </si>
  <si>
    <t>The guy does a jump rope routine.</t>
  </si>
  <si>
    <t>The guy does a flip with the rope.</t>
  </si>
  <si>
    <t>The guy does two push ups.</t>
  </si>
  <si>
    <t>The guys leg gets caught on the rope.</t>
  </si>
  <si>
    <t>The guy jumps high and the rope gets tangled again.</t>
  </si>
  <si>
    <t>The guy finishes and lays on the ground.</t>
  </si>
  <si>
    <t>The guy gets up and walks away.</t>
  </si>
  <si>
    <t>v_Qz_PtO18pXE</t>
  </si>
  <si>
    <t>A woman is posing on a diving board.</t>
  </si>
  <si>
    <t>She springs backward into the water in front of a watching group.</t>
  </si>
  <si>
    <t>v_IIAg_MFuCoY</t>
  </si>
  <si>
    <t>We see a couple dance on a dance floor in a club.</t>
  </si>
  <si>
    <t>We see a man looks in the camera and opens his mouth as a group of people walk past.</t>
  </si>
  <si>
    <t>A man in a black shirt walks past the camera and stands their for a moment.</t>
  </si>
  <si>
    <t>The lady shimmy's and bends down to the ground and back up.</t>
  </si>
  <si>
    <t>The man dips the woman and the smile at the camera.</t>
  </si>
  <si>
    <t>v_wEgt41AJaU4</t>
  </si>
  <si>
    <t>A small group of people are seen running around an outdoor arena and playing paintball with one another.</t>
  </si>
  <si>
    <t>One man runs forward and a large cloud of smoke spins around and a man waves his arms in the air while another helps.</t>
  </si>
  <si>
    <t>v_UaCSf-kW2Ho</t>
  </si>
  <si>
    <t>People are sitting down in chairs playing drums.</t>
  </si>
  <si>
    <t>People are walking past on the sidewalk.</t>
  </si>
  <si>
    <t>A person pushing a stroller walks behind them.</t>
  </si>
  <si>
    <t>v_Ac_8KQGAe0c</t>
  </si>
  <si>
    <t>A cat is standing on a table getting petted.</t>
  </si>
  <si>
    <t>A person takes the cats paw and starts clipping its nails.</t>
  </si>
  <si>
    <t>The person picks the cat up to clip their back paws.</t>
  </si>
  <si>
    <t>The person pets the cat after clipping its nails.</t>
  </si>
  <si>
    <t>v_cM67XJS7yM8</t>
  </si>
  <si>
    <t>A woman is seen looking at the camera then crying and hugging a group of people.</t>
  </si>
  <si>
    <t>Shots of people playing shuffle board are shown followed by people celebrating and the woman speaking to the camera.</t>
  </si>
  <si>
    <t>More shots of celebrating are shown and the team mates all hug one another.</t>
  </si>
  <si>
    <t>v_s4pnHlWlt5k</t>
  </si>
  <si>
    <t>A young boy is standing in the grass swinging a bat at a pinata.</t>
  </si>
  <si>
    <t>People are watching the boy.</t>
  </si>
  <si>
    <t>A girl in a blue swimsuit takes the bat and starts swinging at the pinata.</t>
  </si>
  <si>
    <t>v_fEsTL9tYOVc</t>
  </si>
  <si>
    <t>We see a GoPro and the title card.</t>
  </si>
  <si>
    <t>We see the water and a boat full of people riding on the water and put on wet suits and enter the water.</t>
  </si>
  <si>
    <t>We see the people underwater swimming around.</t>
  </si>
  <si>
    <t>A person is swimming in a crevasse.</t>
  </si>
  <si>
    <t>We see an animal on a rock.</t>
  </si>
  <si>
    <t>We see part of a ship.</t>
  </si>
  <si>
    <t>We are shown various sea life.</t>
  </si>
  <si>
    <t>We see the people near the ship.</t>
  </si>
  <si>
    <t>People are holding a large sea-slug.</t>
  </si>
  <si>
    <t>We see a large underwater turtle on the ground.</t>
  </si>
  <si>
    <t>Bubble float to the surface and the video ends.</t>
  </si>
  <si>
    <t>v_zX9DZ_x9rJ4</t>
  </si>
  <si>
    <t>A black intro screen with white words appear and it notes the location, the people, and the cake they are going to make.</t>
  </si>
  <si>
    <t>A man and woman wearing red aprons appear in a kitchen with a white kitchen aid mixer in front of them and a banner on the screen displaying all the ingredients.</t>
  </si>
  <si>
    <t>The view then changes to a shot from above to show what the man is doing, and the banner on the screen is still showing the ingredients that are being used.</t>
  </si>
  <si>
    <t>The view changes from front to a top angle as the man is mixing the ingredients.</t>
  </si>
  <si>
    <t>The view then changes back to a front view and the man moves the kitchen aid to the side and grabs from the counter behind them, a baked cake and a plate with a slice of cake on it.</t>
  </si>
  <si>
    <t>The outro includes a picture of the man and woman standing together, their names, the name of the cake they made, their address and the news station that aired it.</t>
  </si>
  <si>
    <t>The credits then begin to scroll from bottom to top on a black screen with white letters.</t>
  </si>
  <si>
    <t>v_2NAs35b7fck</t>
  </si>
  <si>
    <t>A group of men are playing soccer.</t>
  </si>
  <si>
    <t>One player kicks the ball into the goal before going for the opposing goal.</t>
  </si>
  <si>
    <t>They continue fighting over the ball for an extended period.</t>
  </si>
  <si>
    <t>v_DzCk5xjSF9o</t>
  </si>
  <si>
    <t>A lady in white stripes shirt is standing next to a young boy, they are standing at the counter, they cut the side of the bread, put spread on it, roll the bread in a plastic, cut the side of the bread, put meat on the bread, shredded the cheese, roll the bread in the plastic.</t>
  </si>
  <si>
    <t>The woman sliced the plastic with bread in it then put it in a rectangle plate.</t>
  </si>
  <si>
    <t>v_VOnP9N7FAT8</t>
  </si>
  <si>
    <t>A woman is sitting down in a chair playing an accordion.</t>
  </si>
  <si>
    <t>She stops playing and puts her arm down.</t>
  </si>
  <si>
    <t>Words flash onto the screen.</t>
  </si>
  <si>
    <t>v_ORVjNqVSLe0</t>
  </si>
  <si>
    <t>A person shaves the back legs of a man using a shaver while he is lying face down.</t>
  </si>
  <si>
    <t>Then the man turns face up, and the person starts to shave the legs.</t>
  </si>
  <si>
    <t>After, the person uses a machine on the legs, and then a picture shows the legs before and after shave.</t>
  </si>
  <si>
    <t>v_Tp4g0ErB2oQ</t>
  </si>
  <si>
    <t>A woman behind a fence watch a group of players in a field.</t>
  </si>
  <si>
    <t>An old lady pass behind the woman.</t>
  </si>
  <si>
    <t>People play hurling in a field.</t>
  </si>
  <si>
    <t>v_nxFbmoV3Idk</t>
  </si>
  <si>
    <t>A man puts a tire over a machine and rotates the rime.</t>
  </si>
  <si>
    <t>Then,the man uses a tool to loose the rime, then the machine removes the rubber tire.</t>
  </si>
  <si>
    <t>After, the man takes glue and brush the tire, and then using the machine he puts the rubber tire in the rim.</t>
  </si>
  <si>
    <t>v_YDz0pyc26Ss</t>
  </si>
  <si>
    <t>Several people are outdoors, one of which is riding and performing tricks on a skateboard.</t>
  </si>
  <si>
    <t>The man goes into a group of people before another man, then another are shown going downhill on the street riding their skateboards.</t>
  </si>
  <si>
    <t>They perform several tricks and flips as they go.</t>
  </si>
  <si>
    <t>The people clap as the winner is announced.</t>
  </si>
  <si>
    <t>v_7NMds32-lMc</t>
  </si>
  <si>
    <t>Men are lifting heavy weights over their head several times.</t>
  </si>
  <si>
    <t>A man in a blue shirt is watching one of the men.</t>
  </si>
  <si>
    <t>A man in a gray shirt is mimicking the person lifting the weight.</t>
  </si>
  <si>
    <t>v_lGRZ3F7tW2c</t>
  </si>
  <si>
    <t>A large group of kids are seen practicing basketball drills on a court and passing the ball quickly to one another.</t>
  </si>
  <si>
    <t>Several boys make baskets while still speaking to one another an the coach moves in and speaks to the boys.</t>
  </si>
  <si>
    <t>He walks away and more drills are shown with the boys.</t>
  </si>
  <si>
    <t>v_Tz3OXEWBSVA</t>
  </si>
  <si>
    <t>Several close ups of plants are shown with a man walking into frame and speaking to the camera.</t>
  </si>
  <si>
    <t>The man continues to speak while pointing to the camera and begins laying out mulch to put all over the plants.</t>
  </si>
  <si>
    <t>The man continues pushing dirt around and ends by watering all the plants.</t>
  </si>
  <si>
    <t>v_YoXZfvf5Teg</t>
  </si>
  <si>
    <t>The intro is a white screen, the website on the top left,the words "Howcast original" appear and afterwards another set of words describing the lesson appear and it reads "Vibrato Beginner Violin Lessons".</t>
  </si>
  <si>
    <t>A woman named Julie Artzt Becker is holding her violin is sitting and talking in front of a blue screen.</t>
  </si>
  <si>
    <t>The woman puts the violin up to her chin and continues to talk.</t>
  </si>
  <si>
    <t>The woman then puts her fingers onto the strings and with her other hand she touches and points on her fingers on the strings as well as taking the bow to her strings every now and then.</t>
  </si>
  <si>
    <t>The woman talks throughout the entire video as she's demonstrating her movements or pointing towards her finger motions.</t>
  </si>
  <si>
    <t>Eventually the woman stops talking and ends with a smile and the words "Howcast original" appear on the white screen.</t>
  </si>
  <si>
    <t>v_nUghBtcrTPA</t>
  </si>
  <si>
    <t>Two men are fighting in an asian art form outside.</t>
  </si>
  <si>
    <t>They are taking swings and hits as well as kicks at each other throughout.</t>
  </si>
  <si>
    <t>v_9IIcG8AiUnA</t>
  </si>
  <si>
    <t>A man is standing inside a kitchen in front of a small table.</t>
  </si>
  <si>
    <t>He shows and talks about olive oil and lemon juice.</t>
  </si>
  <si>
    <t>He uses the items to clean and polish the table of scratches.</t>
  </si>
  <si>
    <t>v_7Iy7Cjv2SAE</t>
  </si>
  <si>
    <t>An intro leads into a woman using a brush to push hair off a large dog.</t>
  </si>
  <si>
    <t>She continues brushing on several other dogs and giving them pets before sitting down and petting them.</t>
  </si>
  <si>
    <t>v_GAEavSUmQRk</t>
  </si>
  <si>
    <t>A man in glasses speaks to the camera.</t>
  </si>
  <si>
    <t>He demonstrates a key around his neck and points to his trumpet.</t>
  </si>
  <si>
    <t>He attaches the key to the trumpet and continues to speak and demonstrate important features of the trumpet.</t>
  </si>
  <si>
    <t>v_PQkambF3iEk</t>
  </si>
  <si>
    <t>Two people are seen fixing up a car and changing the tires on a vehicle.</t>
  </si>
  <si>
    <t>Another man walks into frame as well as several others recording the incident.</t>
  </si>
  <si>
    <t>A person climbs into the car and drives away with everyone watching.</t>
  </si>
  <si>
    <t>v_tPZYyaX63yE</t>
  </si>
  <si>
    <t>A person is holding a red leaf blower.</t>
  </si>
  <si>
    <t>They begin to blow the leaves in the yard.</t>
  </si>
  <si>
    <t>They show the leaf blower again.</t>
  </si>
  <si>
    <t>v_6lyXvR5VtTQ</t>
  </si>
  <si>
    <t>An older man and young woman are seen spinning around a stick while the girl is blindfolded and people sitting around her watch.</t>
  </si>
  <si>
    <t>The girl then swings the stick around the air aiming for the pinata and hitting the object several times.</t>
  </si>
  <si>
    <t>She continues to swing around the air until the end when she finally hits it.</t>
  </si>
  <si>
    <t>v_qZvP5BvVbcg</t>
  </si>
  <si>
    <t>Some people are skiing down a mountain and following each other.</t>
  </si>
  <si>
    <t>They finish by going faster and faster until they finish.</t>
  </si>
  <si>
    <t>v_RWir3muDHg0</t>
  </si>
  <si>
    <t>A lot of men are standing outdoors on a dirt field and there are two teams standing along a rope while a lot of people are standing around watching them.</t>
  </si>
  <si>
    <t>The men wearing yellow and blue shirts pick up the rope and are getting in position to play tug o war.</t>
  </si>
  <si>
    <t>Suddenly the men start pulling on the rope as other men are instructing them and the spectators are cheering.</t>
  </si>
  <si>
    <t>The men in the yellow and blue shirts are easily pulling the rope and they have won while the people around them cheer.</t>
  </si>
  <si>
    <t>v_S-VSs8o98Ho</t>
  </si>
  <si>
    <t>Cigarettes are placed down on a table.</t>
  </si>
  <si>
    <t>Someone shuffles cards onto the table.</t>
  </si>
  <si>
    <t>A man pushes a broom behind them.</t>
  </si>
  <si>
    <t>They continue playing cards at the table.</t>
  </si>
  <si>
    <t>v_tCkHrK6mRME</t>
  </si>
  <si>
    <t>A video leads into several clips of a man performing tricks with a dog.</t>
  </si>
  <si>
    <t>The man continues performing tricks with the dog as the camera captures him from several angles as well as others doing tricks with their dogs.</t>
  </si>
  <si>
    <t>v_Jy8JurvYlH4</t>
  </si>
  <si>
    <t>A little girl walks into a bathroom and starts talking to the camera.</t>
  </si>
  <si>
    <t>The bathroom transforms into a factory.</t>
  </si>
  <si>
    <t>The girl picks up a toothbrush and continues to talk.</t>
  </si>
  <si>
    <t>Toothpaste is applied to a tooth brush.</t>
  </si>
  <si>
    <t>The girl brushes her teeth and the factory changes back to a bathroom.</t>
  </si>
  <si>
    <t>v_HadTAlDM5YM</t>
  </si>
  <si>
    <t>A man is speaking into a microphone.</t>
  </si>
  <si>
    <t>A man wearing a black cape is getting his beard shaved.</t>
  </si>
  <si>
    <t>A person puts a white towel over the man's face.</t>
  </si>
  <si>
    <t>He puts shaving cream on the man's face.</t>
  </si>
  <si>
    <t>He then puts a towel over the mans face again.</t>
  </si>
  <si>
    <t>He then shaves the mans beard with a razor.</t>
  </si>
  <si>
    <t>The man puts a towel on the other man's face again.</t>
  </si>
  <si>
    <t>He takes the cape off and stands up.</t>
  </si>
  <si>
    <t>v_4L0mci9CTPg</t>
  </si>
  <si>
    <t>A couple dances on a ballroom floor with people seated at tables nearby.</t>
  </si>
  <si>
    <t>People nearby take photos of the couple.</t>
  </si>
  <si>
    <t>The couple finishes and leaves the dance floor.</t>
  </si>
  <si>
    <t>v_CbQPrRwG2BM</t>
  </si>
  <si>
    <t>A young girl shows his long hair until the waist.</t>
  </si>
  <si>
    <t>Then, a hairdresser cuts short the hair of the the young girl.</t>
  </si>
  <si>
    <t>After, the girl shows her short and long hair and two braids.</t>
  </si>
  <si>
    <t>v_IjBMVPd2Rcs</t>
  </si>
  <si>
    <t>There's a person dressed in a blue track suit demonstrating how to use a rowing machine.</t>
  </si>
  <si>
    <t>He sits on the bar of the machine and secures his feet into the foot rest.</t>
  </si>
  <si>
    <t>Then he begins by pulling the rope towards his chest while straightening his legs.</t>
  </si>
  <si>
    <t>Then he continues to use the machine in back and forth motion.</t>
  </si>
  <si>
    <t>Then comes to a rest by releasing the rope and leaning backwards.</t>
  </si>
  <si>
    <t>v_uqlErIm56Jg</t>
  </si>
  <si>
    <t>A close up of a sneaker is shown followed by a person turning on a faucet and letting the water run over the shoe.</t>
  </si>
  <si>
    <t>The person then takes show polish and begins scrubbing the shoe with a toothbrush while still running it under the water.</t>
  </si>
  <si>
    <t>The person turns off the water and presents the shoe in the sink.</t>
  </si>
  <si>
    <t>v_spAlIMm8jSg</t>
  </si>
  <si>
    <t>A woman jumps onto two bars and does a gymnastics routine.</t>
  </si>
  <si>
    <t>The audience is watching her perform.</t>
  </si>
  <si>
    <t>She jumps off the bars and lands on the mat with her hands in the air.</t>
  </si>
  <si>
    <t>A replay of her performance is shown.</t>
  </si>
  <si>
    <t>Words are then shown on the screen.</t>
  </si>
  <si>
    <t>v_8ohisLftwZ4</t>
  </si>
  <si>
    <t>Two men play squash in a room.</t>
  </si>
  <si>
    <t>A player goes to find the ball and throw it to his partner.</t>
  </si>
  <si>
    <t>Then, the two men continues playing squash.</t>
  </si>
  <si>
    <t>A man pick up a ball from the floor and continues squash.</t>
  </si>
  <si>
    <t>v__ucD-3rUWWE</t>
  </si>
  <si>
    <t>Two sets of people are in the middle of the woods kayaking,in vibrant white water surrounded by large rocks.</t>
  </si>
  <si>
    <t>They begin to move to their left and fall over the first hill of large rocks and meet in the corner and begin talking.</t>
  </si>
  <si>
    <t>The second person begins to kayak and goes ferociously down the next steep hill of rocks and waits.</t>
  </si>
  <si>
    <t>Shortly after,the man in the blue jacket follows suit and comes behind them.</t>
  </si>
  <si>
    <t>Lastly,they take two pictures with the forest as back drop near a brown sign with white words reading Great Falls Overlook.</t>
  </si>
  <si>
    <t>v_W8ILh7ickB4</t>
  </si>
  <si>
    <t>The person is squeezing the lemons in the squeezer.</t>
  </si>
  <si>
    <t>The person pour the lemon into the white spray bottle and added water.</t>
  </si>
  <si>
    <t>The person spray the lemon juice in a bow and rub the bowl with sponge.</t>
  </si>
  <si>
    <t>v_0xxl3iG3VKY</t>
  </si>
  <si>
    <t>An sportsman launch a javelin in a stadium.</t>
  </si>
  <si>
    <t>The javelin flies in the air and lands in the green track, then a man runs toward it.</t>
  </si>
  <si>
    <t>The sportsman walk raising his hands and clap his hands.</t>
  </si>
  <si>
    <t>A cameraman film the athlete.</t>
  </si>
  <si>
    <t>The gymnast launch a javelin in the stadium.</t>
  </si>
  <si>
    <t>v_ir759AX1EYY</t>
  </si>
  <si>
    <t>Several pictures are shown of people shining shoes for others in various locations using rags and brushes on their shoes.</t>
  </si>
  <si>
    <t>The video continues with many more pictures being shown of people shining shoes and a man standing with an apron in the end.</t>
  </si>
  <si>
    <t>v_keFBEoBy0zY</t>
  </si>
  <si>
    <t>A door with red signs are covering it.</t>
  </si>
  <si>
    <t>A fireman runs outside carrying a board.</t>
  </si>
  <si>
    <t>He sleds down the road behind a car, going around turns and falling down a few times.</t>
  </si>
  <si>
    <t>v_JGxSaJ7XoPQ</t>
  </si>
  <si>
    <t>A girl in a purple blouse sits on a fence post as she is brushing a horse who is tied to the fence.</t>
  </si>
  <si>
    <t>The girl stands on the fence post while reaching to brush the horses mane.</t>
  </si>
  <si>
    <t>The girl continues standing on the fence post leans onto the horses back and brushes the back of the horse as she smile at the camera.</t>
  </si>
  <si>
    <t>The girl mounts onto the horses back as she continues to brush the horses neck and mane.</t>
  </si>
  <si>
    <t>The girl in the purple blouse dismounts the horse and stands on the fence post brushes the horses hind quarter.</t>
  </si>
  <si>
    <t>v_bf3ac4bkIIo</t>
  </si>
  <si>
    <t>Various pictures of ingredients are shown with text across the screen and leads into a woman washing and peeling lemons.</t>
  </si>
  <si>
    <t>She rolls the lemons on a table and cut them into halves.</t>
  </si>
  <si>
    <t>Then she juices the lemon and pours the mixture into a large pot with sugar.</t>
  </si>
  <si>
    <t>She boils the pot and pours the final result into several glasses, enjoying a sip in the end.</t>
  </si>
  <si>
    <t>v_uvnrLngXHh8</t>
  </si>
  <si>
    <t>A boar bristle brush is shown, then a video dvd of how to shave.</t>
  </si>
  <si>
    <t>A man is lying down, lather on his face while a barber shaves his beard.</t>
  </si>
  <si>
    <t>The man then lathers his head and shaves it with a straight razor as well.</t>
  </si>
  <si>
    <t>An image of the dvd is shown again.</t>
  </si>
  <si>
    <t>v_xv6h1JNMX8g</t>
  </si>
  <si>
    <t>A man and a dog are standing in a field surrounded by a group of people.</t>
  </si>
  <si>
    <t>The dog goes on and then the man is seen walking off of the field.</t>
  </si>
  <si>
    <t>However,a lady remains and her and her dog begin doing Frisbee and tricks at the Purina Dog challenge.</t>
  </si>
  <si>
    <t>v_bFm6E4cz5tM</t>
  </si>
  <si>
    <t>A man water ski on front a glacier.</t>
  </si>
  <si>
    <t>The man watch a seal and a whale in the cold water.</t>
  </si>
  <si>
    <t>The man water ski in the water holding a rope pulled by a boat.</t>
  </si>
  <si>
    <t>The man bends to pass a glacier, then he pass over an iceberg.</t>
  </si>
  <si>
    <t>A whale swim in the ocean.</t>
  </si>
  <si>
    <t>After, the man passes over an iceberg and spins, then snowboard over a big iceberg.</t>
  </si>
  <si>
    <t>The man slide from an iceberg and falls in the water, and people stand to watch an iceberg falls.</t>
  </si>
  <si>
    <t>v_8rimo9x4qqw</t>
  </si>
  <si>
    <t>A snowboarder gives a tutorial for how to hit a jump.</t>
  </si>
  <si>
    <t>A few techniques are shown in four parts.</t>
  </si>
  <si>
    <t>v_jVM8v6uJx8c</t>
  </si>
  <si>
    <t>The intro comes onto the screen introducing a video about ho to climb rocks.</t>
  </si>
  <si>
    <t>A man appears on the screen hanging from a harness to give some instructions.</t>
  </si>
  <si>
    <t>The video cuts to him climbing the wall while he continues his narration.</t>
  </si>
  <si>
    <t>The video cuts to another person in a green shirt getting help to try to climb the wall.</t>
  </si>
  <si>
    <t>The video shows a split screen with two views of a man climbing the wall.</t>
  </si>
  <si>
    <t>Then, a woman is shown trying to climb the wall.</t>
  </si>
  <si>
    <t>A warning is displayed on the screen at the end of the video.</t>
  </si>
  <si>
    <t>v_8hrRE3_sWXo</t>
  </si>
  <si>
    <t>We see the opening credits on a black screen.</t>
  </si>
  <si>
    <t>We then see a man coaching a man in a garage and talking to the camera.</t>
  </si>
  <si>
    <t>The man in gray gets on his knee on the blue mat.</t>
  </si>
  <si>
    <t>The man stands and gets on both of his knees.</t>
  </si>
  <si>
    <t>The kneeling man stands up again.</t>
  </si>
  <si>
    <t>We see a title screen and see the kneeling man holding a machine which he pulls down and out.</t>
  </si>
  <si>
    <t>He releases the cord, The credits on the video run.</t>
  </si>
  <si>
    <t>v_rBCf1qjOwCc</t>
  </si>
  <si>
    <t>litle kids are standing in front of a ouse talking to the camera and making lemonade.</t>
  </si>
  <si>
    <t>the kid opens a pot and grab sugar and poured into a cup of water, lemon juice and mix it with a spoon.</t>
  </si>
  <si>
    <t>v_XgbTh1BCciA</t>
  </si>
  <si>
    <t>A man is seen standing ready with a set of bagpipes and begins playing them for the camera.</t>
  </si>
  <si>
    <t>The man continues playing and then stops to look at the camera.</t>
  </si>
  <si>
    <t>v_XqxJsWQqKRk</t>
  </si>
  <si>
    <t>A white screen with blue and white shapes and black words flash across the screen.</t>
  </si>
  <si>
    <t>A smiling black man is in a residential kitchen and he's wearing a santa hat and pouring ingredients into a large bowl.</t>
  </si>
  <si>
    <t>A hand pushes a clear bowl filled with dark figs and a cutting board appears immediately afterwards and the instructions on the screen say to cut the stems off of 1lb of figs and quarter them.</t>
  </si>
  <si>
    <t>While the list of ingredients are shown that include: 1lb Figs, 1lb Raisins, 1lb Cherries, 1lb Currants, 1lb Prunes, Port Wine and Angostura Bitters; they are all poured into a white bucket.</t>
  </si>
  <si>
    <t>Stirring begins immediately and the instructions on the screen say to let it soak for at least two weeks to up to 30 days.</t>
  </si>
  <si>
    <t>30 days later the contents are stirred and put into a food processor and turned into a paste.</t>
  </si>
  <si>
    <t>The man greases a 10x3 round cake pan and covers it with parchment paper.</t>
  </si>
  <si>
    <t>A list and bowls of more ingredients are prepared and poured into a large metal pot and stirred vigorously.</t>
  </si>
  <si>
    <t>A large rectangular metal pan appears with instructions that say to fill it with a pan of hot water.</t>
  </si>
  <si>
    <t>The circular cake pan that was previous greased appears, and the stirred contents are poured into it and placed into the pan of hot water where they're all placed into the oven.</t>
  </si>
  <si>
    <t>When it's done baking and cooled the cake is put on a plate where it's glazed, cut and a slice is put on another plate.</t>
  </si>
  <si>
    <t>v_e_X0K2t8API</t>
  </si>
  <si>
    <t>A blindfolded man swings at a pinata with a bat while others look on from nearby seats.</t>
  </si>
  <si>
    <t>The man succeeds in breaking the pinata.</t>
  </si>
  <si>
    <t>The man removes his blindfold as some of the others approach him.</t>
  </si>
  <si>
    <t>v_WUSEdPfHPoY</t>
  </si>
  <si>
    <t>two men enter a squash court to compete in a game of squash.</t>
  </si>
  <si>
    <t>One man is wearing a white shirt and the other man is wearing a dark shirt.</t>
  </si>
  <si>
    <t>The men begin playing while the game progresses each man serves from the serving box.</t>
  </si>
  <si>
    <t>The game finishes with a hand shake and a wave to the crowd.</t>
  </si>
  <si>
    <t>A girl in a pink blouse enters the squash court as another man enters the court.</t>
  </si>
  <si>
    <t>v_AAQp3iEJxJc</t>
  </si>
  <si>
    <t>Several pictures lead into clips of people riding down a river on canoes and kayaks.</t>
  </si>
  <si>
    <t>Several people are shown riding along the rough rivers while paddling themselves along.</t>
  </si>
  <si>
    <t>The people continue to push themselves along the water while the camera follows their movements.</t>
  </si>
  <si>
    <t>v_X1pGJqP89Nk</t>
  </si>
  <si>
    <t>Women sit outside in small chairs and hand wash clothes in plastic tubs.</t>
  </si>
  <si>
    <t>The lady scrubs a garment on a wooden board.</t>
  </si>
  <si>
    <t>The lady rings out the water from a garment then tosses it aside when done washing it.</t>
  </si>
  <si>
    <t>v_18k_K9cFFJg</t>
  </si>
  <si>
    <t>A boy is skating in a parking lot.</t>
  </si>
  <si>
    <t>He does several moves, dancing and talking.</t>
  </si>
  <si>
    <t>The boy skates around the parking lot on inline skates.</t>
  </si>
  <si>
    <t>v_Z3bPr9odxpw</t>
  </si>
  <si>
    <t>A large group of people are seen walking on a stage with a man speaking to the crowd and leads into the group dancing with one another.</t>
  </si>
  <si>
    <t>The people continue dancing together as the camera captures them from several angles.</t>
  </si>
  <si>
    <t>v_l7EktV5FYGk</t>
  </si>
  <si>
    <t>The camera focuses on a man piloting a sailboat in a harbor environment.</t>
  </si>
  <si>
    <t>The boat's sail dips into the water.</t>
  </si>
  <si>
    <t>The man rights the sailboat and continues.</t>
  </si>
  <si>
    <t>v_AdnLY0a6yn0</t>
  </si>
  <si>
    <t>A man is practicing indoors, he is doing intervals of jumping while running.</t>
  </si>
  <si>
    <t>Once he lands in the sand he goes back to start again.</t>
  </si>
  <si>
    <t>He does this over and over each time starting farther back.</t>
  </si>
  <si>
    <t>Then the practice is over and it's done.</t>
  </si>
  <si>
    <t>v_qRmaZNDyDhA</t>
  </si>
  <si>
    <t>A van drives down a country road and pulls to the side of the road with a flat tire.</t>
  </si>
  <si>
    <t>The driver fumbles with a hand jack and is frustrated.</t>
  </si>
  <si>
    <t>The driver then uses an electric car jack to lift the car wheel up instead.</t>
  </si>
  <si>
    <t>The woman plugs in a an electric hand drill that and uses it to remove the lug nuts.</t>
  </si>
  <si>
    <t>The woman puts a new tire on the car and bolts it in place.</t>
  </si>
  <si>
    <t>The woman lowers the car wheel off of the jack.</t>
  </si>
  <si>
    <t>A man points to the different tools in a tool box.</t>
  </si>
  <si>
    <t>The man hooks a charger up to the car battery.</t>
  </si>
  <si>
    <t>v_iKH8FgONbVw</t>
  </si>
  <si>
    <t>A man kneel on a ball and holds a rod.</t>
  </si>
  <si>
    <t>The man push her body forward pushing the rod.</t>
  </si>
  <si>
    <t>Then, the man bring his body to a straight position, then again bring his body forward.</t>
  </si>
  <si>
    <t>v_5sdUW55eS4M</t>
  </si>
  <si>
    <t>A woman is mopping the white tiled floor with a mop.</t>
  </si>
  <si>
    <t>The woman put the mop in a green bucket, and put it in a strainer to squeeze out the excess water, then she pushed the floor map handle as she squeeze out the water and began mopping the floor, and under the chairs, side of the couch, the liquid on the floor.</t>
  </si>
  <si>
    <t>v_56sQMnSUWaI</t>
  </si>
  <si>
    <t>A black woman does a routine on the balance beam.</t>
  </si>
  <si>
    <t>She spins, jumps, twirls, and flips.</t>
  </si>
  <si>
    <t>She falls off, finishes her routine, and them dismounts to a clapping audience.</t>
  </si>
  <si>
    <t>v_CSk99DHanfg</t>
  </si>
  <si>
    <t>People on a boat suit up in scuba gear then jump into the water.</t>
  </si>
  <si>
    <t>Scuba divers swim through a cave area.</t>
  </si>
  <si>
    <t>A tropical beach is seen.</t>
  </si>
  <si>
    <t>Sea turtles graze and swim in the ocean.</t>
  </si>
  <si>
    <t>Various fish are seen swimming through the reef.</t>
  </si>
  <si>
    <t>A manta ray swims in the ocean over a reef.</t>
  </si>
  <si>
    <t>v_X1E7i3ocxKY</t>
  </si>
  <si>
    <t>A tattoo parlor is shown from the outside then inside.</t>
  </si>
  <si>
    <t>An array of tattoo choices are shown on a wall.</t>
  </si>
  <si>
    <t>An artist is shown drawing and coloring in tattoos on a piece of paper.</t>
  </si>
  <si>
    <t>v_nYxjWwJrHwk</t>
  </si>
  <si>
    <t>A group of people are gathered on a snowy hill.</t>
  </si>
  <si>
    <t>They are walking around with intertubes.</t>
  </si>
  <si>
    <t>They ride the intertubes down the snowy mountainside.</t>
  </si>
  <si>
    <t>v_zqqiiZCmPLw</t>
  </si>
  <si>
    <t>A young ballerina wearing a tutu is seen standing at a ballet barr performing various ballet moves and moving to the floor.</t>
  </si>
  <si>
    <t>She continues moving around the floor dancing and leads to her holding a razor and putting lotion on her legs.</t>
  </si>
  <si>
    <t>She shaves her legs while moving her legs around and continues dancing with the razor in sight.</t>
  </si>
  <si>
    <t>v_vZVnMzH4pkc</t>
  </si>
  <si>
    <t>A man throws a ball into a cup.</t>
  </si>
  <si>
    <t>Another man throws a ball into a cup.</t>
  </si>
  <si>
    <t>The two men pick up a cup and drink it.</t>
  </si>
  <si>
    <t>v_yacDrjVTUak</t>
  </si>
  <si>
    <t>A man is standing in front of wires and puts on a welding helmet.</t>
  </si>
  <si>
    <t>He starts to weld the corner of the room.</t>
  </si>
  <si>
    <t>The man sands the corner where he was welding.</t>
  </si>
  <si>
    <t>He continues to weld in the same corner.</t>
  </si>
  <si>
    <t>The man pushes his helmet up and replaces the wires and sands the same area again.</t>
  </si>
  <si>
    <t>He places his gloves down and shows the weld he finished.</t>
  </si>
  <si>
    <t>v_4YGuIycW_IA</t>
  </si>
  <si>
    <t>A man stands outside holding a bottle of sun screen and talking.</t>
  </si>
  <si>
    <t>He sprays the sun screen on his arm and rubs it in.</t>
  </si>
  <si>
    <t>v_pZsHrSHAOqs</t>
  </si>
  <si>
    <t>A man wearing a blue shirt throws a bowling ball down a bowling alley.</t>
  </si>
  <si>
    <t>The ball strikes both pins and bounces into the adjoining alley striking the pin down there too.</t>
  </si>
  <si>
    <t>A seated man in a red shirt shakes his head.</t>
  </si>
  <si>
    <t>The man in the blue shirt walks back.</t>
  </si>
  <si>
    <t>v_sOL5ksIFX50</t>
  </si>
  <si>
    <t>An introduction comes onto the screen for a video about the winter sport curling.</t>
  </si>
  <si>
    <t>Curlers ar shown as they take different shot and sweep down the ice.</t>
  </si>
  <si>
    <t>The video ends with the closing credits and graphics.</t>
  </si>
  <si>
    <t>v_UO9bRJmfMzI</t>
  </si>
  <si>
    <t>A man scrapes snow off of the side of a car.</t>
  </si>
  <si>
    <t>He then scrapes snow off the hood.</t>
  </si>
  <si>
    <t>He then moves to the other side to remove more snow.</t>
  </si>
  <si>
    <t>Finally he finishes clearing the car.</t>
  </si>
  <si>
    <t>v_qlP8qKtGE7U</t>
  </si>
  <si>
    <t>A little baby boy is sitting in his high chair dipping a fork into a glass of chocolate milk being held by an adult.</t>
  </si>
  <si>
    <t>The adult takes several turn dipping the fork in the cup and licking it.</t>
  </si>
  <si>
    <t>Then he pauses for a minute and starts to play with the fork.</t>
  </si>
  <si>
    <t>v_aVHmi3Kjr_Q</t>
  </si>
  <si>
    <t>A christmas tree is shown followed by several people moving in fast motion hanging up a set of lights.</t>
  </si>
  <si>
    <t>The people move all around the house up and down the ladder and end by turning off the lights to see.</t>
  </si>
  <si>
    <t>v_kI6maggAugg</t>
  </si>
  <si>
    <t>A very slow playing video of a very strong man is shown as he picks up a barbell that has a lot of heavy weights on it, and he squats for a little bit with it at his chest.</t>
  </si>
  <si>
    <t>The man then stands up and holds the barbell to his chest.</t>
  </si>
  <si>
    <t>The man then tries to hold the barbell above his head while he squats but he ends up dropping the barbell and then looks at his hands as if they failed him.</t>
  </si>
  <si>
    <t>v_e1bHYT-G__8</t>
  </si>
  <si>
    <t>A special effect bowling theme intro appears and the text in the middle read "CHRIS HARDWICK'S ALL STAR Celebrity Bowling".</t>
  </si>
  <si>
    <t>There are four men posing in a bowling alley, all are wearing yellow shirts and their team name text say's "nerdist".</t>
  </si>
  <si>
    <t>A group of 4 people appear next and there are 3 men and 1 woman and the team name text say's "WWE Superstars".</t>
  </si>
  <si>
    <t>Clips begin to play and it includes various people bowling, talking, demonstrating bowling, giving interviews, hanging out, laughing, playing around, shaving facial hair, doing pushups, eating, feeding one another and etcetera.</t>
  </si>
  <si>
    <t>Large yellow words on the screen appear and it say's "Team Nerdist Wins!" and the entire team gets up and celebrates.</t>
  </si>
  <si>
    <t>A nerdist team member happily speaks into the camera, and then unhappy member from another team unhappily speaks to the camera.</t>
  </si>
  <si>
    <t>v_q-mpNUe0JNo</t>
  </si>
  <si>
    <t>We see a title card on a black screen.</t>
  </si>
  <si>
    <t>It changes to skateboarding performing tricks.</t>
  </si>
  <si>
    <t>We see a photographer taking pictures.</t>
  </si>
  <si>
    <t>A man jumps a fire hydrant.</t>
  </si>
  <si>
    <t>We see a man jump over stairs up close.</t>
  </si>
  <si>
    <t>A man rides with lots of cameras flashing.</t>
  </si>
  <si>
    <t>The camera slows down and the scene ends.</t>
  </si>
  <si>
    <t>We see a black screen and credits.</t>
  </si>
  <si>
    <t>v_U6Xnw2RGjsI</t>
  </si>
  <si>
    <t>A young man pumps up and down kneeling on both legs.</t>
  </si>
  <si>
    <t>The student jumps up from the kneeling position and lands on top of a stack of mat then lands on the ground.</t>
  </si>
  <si>
    <t>v_HIIUd1osd_I</t>
  </si>
  <si>
    <t>People and dogs are walking down a trail.</t>
  </si>
  <si>
    <t>Pink flowers on a bush are shown.</t>
  </si>
  <si>
    <t>People are walking dogs on leashes down a street.</t>
  </si>
  <si>
    <t>v_ojVY8I3GPa4</t>
  </si>
  <si>
    <t>A bull is in a ring, looking at the bullfighters on the outside.</t>
  </si>
  <si>
    <t>A bunch of fighters walk up behind it.</t>
  </si>
  <si>
    <t>They begin to fight with the bull, sometimes pulling his tail and waving the cape in front of him to make him charge.</t>
  </si>
  <si>
    <t>v_EsGpVb1-W0E</t>
  </si>
  <si>
    <t>A man is seen speaking to the camera while holding a tennis racket and begins hitting the ball against the wall.</t>
  </si>
  <si>
    <t>He continues speaking to the camera and transitions to him hitting the ball.</t>
  </si>
  <si>
    <t>v_eQ9cmxPKvT8</t>
  </si>
  <si>
    <t>A man in a gray sweat shirt is standing at a bus stop.</t>
  </si>
  <si>
    <t>He starts roller blading down a street and doing tricks.</t>
  </si>
  <si>
    <t>The man is skating backwards.</t>
  </si>
  <si>
    <t>v_r7E7cVoJ0JE</t>
  </si>
  <si>
    <t>A man in black pants is standing on a roof and nailing a long shingle onto the roof.</t>
  </si>
  <si>
    <t>A man in blue shorts appears on the right and is also nailing long shingles on the roof.</t>
  </si>
  <si>
    <t>The zoom goes in on the an wearing long black pants and he's nailing shingles onto the outside perimeter of the roof.</t>
  </si>
  <si>
    <t>v_AYhduTuI_zM</t>
  </si>
  <si>
    <t>A woman is seen playing a flute while a man speaks into a microphone and two people play the piano behind her.</t>
  </si>
  <si>
    <t>The woman pauses to speak to the man and the man takes the flute from her and plays.</t>
  </si>
  <si>
    <t>The man hands her back the flute to play and ends by still speaking to her.</t>
  </si>
  <si>
    <t>v_UCZGbQFg6io</t>
  </si>
  <si>
    <t>An athletic man is seen running down a track into a pit.</t>
  </si>
  <si>
    <t>Several more people are seen running down the track into a pit.</t>
  </si>
  <si>
    <t>One after another more people jump.</t>
  </si>
  <si>
    <t>v_9bFevj6bomQ</t>
  </si>
  <si>
    <t>A news anchor in white coat is talking in front of the camera.</t>
  </si>
  <si>
    <t>The player kicked the ball and hit the goal.</t>
  </si>
  <si>
    <t>Two players in the court started to argue and pushed each other and fight, one of the player threw the ball to the other person, the players started to chase and pushed each other, then team in blue uniforms walked away.</t>
  </si>
  <si>
    <t>Team in white uniforms stayed at the court and cheered.</t>
  </si>
  <si>
    <t>v_sN1MPx9hb1I</t>
  </si>
  <si>
    <t>An intro is shown of a woman knitting with her hands while various pictures of cats are shown in the background.</t>
  </si>
  <si>
    <t>Text on how to knit appears while her hands continue moving to demonstrate how to properly knit.</t>
  </si>
  <si>
    <t>v_SH0t2-GgwiQ</t>
  </si>
  <si>
    <t>A woman talks and lie down on the floor, then she bend her legs and lift both.</t>
  </si>
  <si>
    <t>Then, the woman lifts the two legs straight.</t>
  </si>
  <si>
    <t>After, the woman lifts only one leg and the other leg rest bend on the floor.</t>
  </si>
  <si>
    <t>v_JY-H1u1hJZw</t>
  </si>
  <si>
    <t>The little boy sits in the blue kayak holding paddles.</t>
  </si>
  <si>
    <t>Then someone else is shown paddling in the water and there are people standing on shore.</t>
  </si>
  <si>
    <t>The camera turns around a few times to show the trees and the sky.</t>
  </si>
  <si>
    <t>v_0z_dyY_89ys</t>
  </si>
  <si>
    <t>A female news woman is talking to the camera in a news room.</t>
  </si>
  <si>
    <t>Another woman shows off a series of cleaning supplies.</t>
  </si>
  <si>
    <t>She instructs on how to use them, but not to mix certain elements.</t>
  </si>
  <si>
    <t>She pours the liquids into cups and changes into a sprayer bottle for cleaning a kitchen.</t>
  </si>
  <si>
    <t>v_lmYmYYXs1mo</t>
  </si>
  <si>
    <t>A man is standing at a counter with a Smith knife.</t>
  </si>
  <si>
    <t>He demonstrates how to sharpen the knife.</t>
  </si>
  <si>
    <t>He pours oil on the sharpening tool and runs the knife over it.</t>
  </si>
  <si>
    <t>He cleans the tool and puts it away.</t>
  </si>
  <si>
    <t>v_YnFDzvuDJSQ</t>
  </si>
  <si>
    <t>A woman in red is standing beside a table explaining some things.</t>
  </si>
  <si>
    <t>she puts her hand on the christmas tree and talks some more about it.</t>
  </si>
  <si>
    <t>She grabs some red ribbon and begins to tie into a bow.</t>
  </si>
  <si>
    <t>She then goes to place it on to the christmas tree and continues to speak about it.</t>
  </si>
  <si>
    <t>v_MIAhrxkYadk</t>
  </si>
  <si>
    <t>Hair styling tools are shown in closeup.</t>
  </si>
  <si>
    <t>A woman walks down a street an into a salon.</t>
  </si>
  <si>
    <t>The woman interacts with a man in the salon.</t>
  </si>
  <si>
    <t>The man and woman look at pictures of hairstyles together.</t>
  </si>
  <si>
    <t>Scenes of the woman with her hair being cut and styled are shown.</t>
  </si>
  <si>
    <t>The man and woman interact as they examine her new style.</t>
  </si>
  <si>
    <t>A closeup of hair on the floor is shown.</t>
  </si>
  <si>
    <t>v_e5e16U5hnzY</t>
  </si>
  <si>
    <t>A man and women are talking to a camera and the girl demonstrates on how to properly hold a discuss.</t>
  </si>
  <si>
    <t>Secondly she shows the proper stance of throwing the item and throws the discuss how into the air.</t>
  </si>
  <si>
    <t>She demonstrates bending down and spinning with the disk and does one throw full out.</t>
  </si>
  <si>
    <t>The man then tries to throw how the woman did and attempts to throw more and get better.</t>
  </si>
  <si>
    <t>v_Epl3pExUuNs</t>
  </si>
  <si>
    <t>People are sitting in bumper cars crashing into each other.</t>
  </si>
  <si>
    <t>They stop and get out of the cars.</t>
  </si>
  <si>
    <t>A boy in a white shirt walks out with a boy in a blue shirt.</t>
  </si>
  <si>
    <t>v_sUrqd6Qn8Qw</t>
  </si>
  <si>
    <t>A woman is seen sitting on a piece of exercise equipment with her arms and legs strapped in.</t>
  </si>
  <si>
    <t>The woman is seen moving back and fourth on the machine while looking forward.</t>
  </si>
  <si>
    <t>The woman continues to move on the machine while the camera watches her movements.</t>
  </si>
  <si>
    <t>v_u0PEB9bXWpY</t>
  </si>
  <si>
    <t>A lady shows off her fingernails.</t>
  </si>
  <si>
    <t>The lady puts drops of white paint on her finger nails.</t>
  </si>
  <si>
    <t>The lady uses a toothpick and drags it through the white paint.</t>
  </si>
  <si>
    <t>She doe another fingernail with the same process.</t>
  </si>
  <si>
    <t>The lady shows us the flower designs on her nails.</t>
  </si>
  <si>
    <t>v_Mgy7IRETxSk</t>
  </si>
  <si>
    <t>The marching bands are in positioned in the field.</t>
  </si>
  <si>
    <t>Then The band started to play their instruments.</t>
  </si>
  <si>
    <t>The ladies with flags moved their flags up and down and rotate them as the band plays.</t>
  </si>
  <si>
    <t>v_uYqNIBbz4_Q</t>
  </si>
  <si>
    <t>A man is seen standing outside holding a rope and tying it around a tree bark.</t>
  </si>
  <si>
    <t>He then axes the log on the ground and breaks it into two.</t>
  </si>
  <si>
    <t>v_sWEbq5Ry63Q</t>
  </si>
  <si>
    <t>A man is shown point to a bicycle tire and cutting a piece of wire using pliers.</t>
  </si>
  <si>
    <t>He then moves to bars around and spinning the wheel followed by a stick pressing against the tire.</t>
  </si>
  <si>
    <t>He pushes a tube into the tire and adjusts the wires using a device.</t>
  </si>
  <si>
    <t>He tests the wheel out thoroughly and assures the bike is ready to go.</t>
  </si>
  <si>
    <t>v_HKkzII7ap7E</t>
  </si>
  <si>
    <t>A woman is talking to a camera.</t>
  </si>
  <si>
    <t>She picks up a flute and starts playing.</t>
  </si>
  <si>
    <t>She puts the flue down on her lap and continues talking.</t>
  </si>
  <si>
    <t>She puts the flute back up to her mouth and continues to play.</t>
  </si>
  <si>
    <t>She puts the flute back down and nods her head.</t>
  </si>
  <si>
    <t>She puts the flute back up to her lips and plays.</t>
  </si>
  <si>
    <t>v_8UvKQnfXnCk</t>
  </si>
  <si>
    <t>A person is water skiing behind a boat.</t>
  </si>
  <si>
    <t>Another boat is seen in the water behind them.</t>
  </si>
  <si>
    <t>They are going around yellow cones in the water.</t>
  </si>
  <si>
    <t>v_etWdTMJ9_To</t>
  </si>
  <si>
    <t>A man is seen walking down a field followed by several people running back and fourth.</t>
  </si>
  <si>
    <t>The men throw the ball around the yard and continue to run up and down on the grass.</t>
  </si>
  <si>
    <t>v_M0cKfbLMlSA</t>
  </si>
  <si>
    <t>Two pairs of men are getting ready to box.</t>
  </si>
  <si>
    <t>Both pairs of men are seen boxing.</t>
  </si>
  <si>
    <t>Another pair of men are seen talking and gesturing about boxing in the distance.</t>
  </si>
  <si>
    <t>The main pair of boxers take a short break.</t>
  </si>
  <si>
    <t>All groups stop boxing and begin to talk.</t>
  </si>
  <si>
    <t>One of the men begins hanging on a rope and swinging forwards and backwards.</t>
  </si>
  <si>
    <t>v_bCtiTOEf9KI</t>
  </si>
  <si>
    <t>A woman dressed in a black tank top and black tights is doing stomach crunches on a mat.</t>
  </si>
  <si>
    <t>She is exercising on a hardwood floor in the gym.</t>
  </si>
  <si>
    <t>She continues doing her stomach crunches.</t>
  </si>
  <si>
    <t>v_bW4AfWvteIo</t>
  </si>
  <si>
    <t>An intro leads into a close up of a fooseball table and panning around several specs of the table.</t>
  </si>
  <si>
    <t>Two people are seen playing with one another while the camera shows the table in several spots and the boys high fiving one another.</t>
  </si>
  <si>
    <t>v_NNuIaUFYGCE</t>
  </si>
  <si>
    <t>Various pictures of people painting are shown using several tools on hard walls.</t>
  </si>
  <si>
    <t>More pictures are shown of people plastering with various text images shown inside.</t>
  </si>
  <si>
    <t>v_YCHmXwLhs3A</t>
  </si>
  <si>
    <t>A man is assembling a bike on a table.</t>
  </si>
  <si>
    <t>He is putting training wheels on the back wheel of the bike.</t>
  </si>
  <si>
    <t>He puts the front tire on the bike.</t>
  </si>
  <si>
    <t>He puts the handlebars on the bike.</t>
  </si>
  <si>
    <t>He puts the pedals onto the bike.</t>
  </si>
  <si>
    <t>He puts the seat onto the bike.</t>
  </si>
  <si>
    <t>v_kYrztBFfaZ8</t>
  </si>
  <si>
    <t>A man swings a baseball bat.</t>
  </si>
  <si>
    <t>He hits a ball and it goes onto a roof.</t>
  </si>
  <si>
    <t>A man is running and throwing a ball.</t>
  </si>
  <si>
    <t>v_XZ1IuZjsk8A</t>
  </si>
  <si>
    <t>A woman is pouring shots of alcohol into a glass of ice.</t>
  </si>
  <si>
    <t>She shakes the glass and sets it down.</t>
  </si>
  <si>
    <t>She then pours it into another glass and sticks a straw in it.</t>
  </si>
  <si>
    <t>She holds up the drink while talking.</t>
  </si>
  <si>
    <t>v_p8uTRV3u3JM</t>
  </si>
  <si>
    <t>Two groups of men wearing uniforms, one with dark shirts and one with white shirts, are playing on an indoor volleyball court.</t>
  </si>
  <si>
    <t>The man in the darker jersey wearing number 17 dives to the ground to save the ball.</t>
  </si>
  <si>
    <t>A team member wearing a dark shirt spikes the ball but it goes out of bounds and the team with the lighter shirts cheer on while the guy who spiked the ball out of bounds bends over in disappointment.</t>
  </si>
  <si>
    <t>v_QuU6I9w1btI</t>
  </si>
  <si>
    <t>Two vacuums one taller and one is shorter is show.</t>
  </si>
  <si>
    <t>The vacuum is being use on the carpet, wooden floor, on the corner, under the table and on the side of the trash can and then the carpet.</t>
  </si>
  <si>
    <t>A hand is pulling out a tube, used the tube to vacuum the stairs and the corner of the ceiling, then a hand took out the tube and threw away the dust from the transparent tube.</t>
  </si>
  <si>
    <t>A woman is carrying the vacuum and put it in the storage.</t>
  </si>
  <si>
    <t>A woman is walking at the factory, then a person is drawing the vacuum in a white sheet.</t>
  </si>
  <si>
    <t>v_Cdiv-IzHcjQ</t>
  </si>
  <si>
    <t>A person irons a brown paper.</t>
  </si>
  <si>
    <t>The person flips the iron around and continues ironing.</t>
  </si>
  <si>
    <t>The peels the ironed paper off and lays it down.</t>
  </si>
  <si>
    <t>The person leaves the iron on a new brown paper.</t>
  </si>
  <si>
    <t>v_SbY68ygmuEA</t>
  </si>
  <si>
    <t>A crowd watches as several runners in a race jog past.</t>
  </si>
  <si>
    <t>They all keep jogging, coming in at the end of the race.</t>
  </si>
  <si>
    <t>v_m7cHlmcFk9Y</t>
  </si>
  <si>
    <t>A cat is in a woman's lap in the bathroom.</t>
  </si>
  <si>
    <t>She pulls a towel over the cat's head.</t>
  </si>
  <si>
    <t>She then gently tries to clip his claws one at a time.</t>
  </si>
  <si>
    <t>v_D9EQ6jCH0_M</t>
  </si>
  <si>
    <t>A woman is scrubbing a white chair with a yellow sponge.</t>
  </si>
  <si>
    <t>She is now pouring something onto a rag and washing a white table.</t>
  </si>
  <si>
    <t>She is spray painting the chair and table she just washed.</t>
  </si>
  <si>
    <t>The finished furniture is shown.</t>
  </si>
  <si>
    <t>v_Exu0qsz42fQ</t>
  </si>
  <si>
    <t>A young child is sitting playing on a drum set.</t>
  </si>
  <si>
    <t>Using his foot for the base and drumming on the snare like a natural.</t>
  </si>
  <si>
    <t>A woman is on a piano playing along with the child.</t>
  </si>
  <si>
    <t>They have a small audience sitting and watching them perform.</t>
  </si>
  <si>
    <t>v_Fdjw9ld-hbA</t>
  </si>
  <si>
    <t>A man dressed in a blue uniform is fighting against a male dressed in an all red uniform.</t>
  </si>
  <si>
    <t>The man in the red,picks him up and drops him down on the wrestling match.</t>
  </si>
  <si>
    <t>After,the referee drops down and pounds the mat counting down the end of the match.</t>
  </si>
  <si>
    <t>v_FLbTQGyoEMk</t>
  </si>
  <si>
    <t>A young woman speaks as she smiles.</t>
  </si>
  <si>
    <t>She squeezes the side of her right eye and pokes out a contact lens.</t>
  </si>
  <si>
    <t>She moves on to her left eye and pokes out a contact lens.</t>
  </si>
  <si>
    <t>v_rDADR0Lg4U8</t>
  </si>
  <si>
    <t>A group of female players walk onto a court behind their coach.</t>
  </si>
  <si>
    <t>They engage in a lacrosse game, fighting over the ball with their bats.</t>
  </si>
  <si>
    <t>The girls celebrate their win with flowers and hugs.</t>
  </si>
  <si>
    <t>v_YwUW6Qh_5TA</t>
  </si>
  <si>
    <t>A gymnast is seen standing with his arms out and hops on a board.</t>
  </si>
  <si>
    <t>He then begins spinning himself around while judges watch on the sides.</t>
  </si>
  <si>
    <t>He continues his routine and jumps down with his arms up.</t>
  </si>
  <si>
    <t>v_ZREM_AcXHX8</t>
  </si>
  <si>
    <t>A new segment leads into clips of a woman speaking to the camera and holding up a bow and arrow.</t>
  </si>
  <si>
    <t>The girl shoots the bow while still speaking to the camera and bending the bow.</t>
  </si>
  <si>
    <t>She continues speaking while using her hands and showing off pictures to the camera.</t>
  </si>
  <si>
    <t>v_XGj9lakgSic</t>
  </si>
  <si>
    <t>A girl dances as she sits in a booth.</t>
  </si>
  <si>
    <t>The girl mixes ingredients together in a pot.</t>
  </si>
  <si>
    <t>The girl adds dried ingredients to the pot.</t>
  </si>
  <si>
    <t>The girl adds tomato and eggs from a plate to the pot.</t>
  </si>
  <si>
    <t>The girls waves goodbye and leans back on the booth.</t>
  </si>
  <si>
    <t>v_iXLXRHHFp60</t>
  </si>
  <si>
    <t>There's a brown horse tied outside a polo club.</t>
  </si>
  <si>
    <t>There are several jockeys playing polo on the field in an event.</t>
  </si>
  <si>
    <t>There are also several spectators standing and watching the event.</t>
  </si>
  <si>
    <t>One of the polo players is trotting on the horse across the field.</t>
  </si>
  <si>
    <t>Another game of polo takes place where several spectators are watching.</t>
  </si>
  <si>
    <t>After the event is over, the judge hands awards to the winners.</t>
  </si>
  <si>
    <t>There's a British flag flying high in the field.</t>
  </si>
  <si>
    <t>v_OsiES8BiRac</t>
  </si>
  <si>
    <t>A belly dancer walks onto the stage from behind the curtains.</t>
  </si>
  <si>
    <t>The belly dancer dances on stage shaking her hips and body.</t>
  </si>
  <si>
    <t>The belly dancer spins in circles during the performance.</t>
  </si>
  <si>
    <t>The dancers turns with her back to the audience and dances.</t>
  </si>
  <si>
    <t>The dancer bows at the end of the performance.</t>
  </si>
  <si>
    <t>v_aXXes0e-eM0</t>
  </si>
  <si>
    <t>two kids are in a litle car watching a little kid holding a pole hitting a lightning mcqueen piñata.</t>
  </si>
  <si>
    <t>people are gathered around the little kid.</t>
  </si>
  <si>
    <t>v_tDG8VoRQTuM</t>
  </si>
  <si>
    <t>There are two people talking about stilts used by stunt men.</t>
  </si>
  <si>
    <t>They are standing on a street near several clubs and restaurants.</t>
  </si>
  <si>
    <t>One of the men is demonstrating how the stilts are used in stunts.</t>
  </si>
  <si>
    <t>Henry, the guy dressed in the white shirt is showing how high he can jump with the stilts and perform stunts.</t>
  </si>
  <si>
    <t>He shows numerous tricks on how he jumps up high and over benches and tables.</t>
  </si>
  <si>
    <t>He shows how he uses the Power Riser jumping skills on the streets and in the park.</t>
  </si>
  <si>
    <t>v_l7rzaG3aDyw</t>
  </si>
  <si>
    <t>A woman is seen performing a belly dancing routine on a stage with flowers hanging in the background.</t>
  </si>
  <si>
    <t>She continues performing her routine and ends by spinning around and posing.</t>
  </si>
  <si>
    <t>v_MNduaJtXy1A</t>
  </si>
  <si>
    <t>A large group of people are seen standing around and smiling to one another.</t>
  </si>
  <si>
    <t>They begin playing a set of drums while another man is seen playing the piano.</t>
  </si>
  <si>
    <t>More people are seen on the sides dancing to the music.</t>
  </si>
  <si>
    <t>v_drjYCuezfA8</t>
  </si>
  <si>
    <t>A woman in white shirt is standing next to a metal sink, she take out two white plates, silver container, strainer, spoons, and placed it on the metal container next to the sink.</t>
  </si>
  <si>
    <t>She then take a pan in the sink, put water, put liquid soap in a sponge, rub it on the plates, lid, container, spoons.</t>
  </si>
  <si>
    <t>She wiped the counter with her hand, then placed a green basket, rinse the plates, lid, container, pan, and put them in the basket.</t>
  </si>
  <si>
    <t>v_Aqx7rM9gZgg</t>
  </si>
  <si>
    <t>A woman in a blue shirt stands next to a brown horse.</t>
  </si>
  <si>
    <t>She holds onto the horses red lead.</t>
  </si>
  <si>
    <t>She is brushing the side of the horse.</t>
  </si>
  <si>
    <t>She steps away from the horse and bends down.</t>
  </si>
  <si>
    <t>She picks up a larger brush and begins brushing the horse again.</t>
  </si>
  <si>
    <t>She is brushing the horses face and neck.</t>
  </si>
  <si>
    <t>She is brushing the horses front leg in a downward motion.</t>
  </si>
  <si>
    <t>v_SXRSA62VbZg</t>
  </si>
  <si>
    <t>A tattoo salon has displayed a metallic blue motor cycle.</t>
  </si>
  <si>
    <t>there's a person sitting on the counter of the salon.</t>
  </si>
  <si>
    <t>A customer walks in and gives a child's picture to the tattoo artist.</t>
  </si>
  <si>
    <t>The tattoo artist traces the child's picture on a paper.</t>
  </si>
  <si>
    <t>Then he cleans the client's arms with alcohol.</t>
  </si>
  <si>
    <t>The artist wears a pair of latex gloves and begins tattooing the client's arm.</t>
  </si>
  <si>
    <t>He replicates the image traced from the picture on the client's arm along with some additional designs.</t>
  </si>
  <si>
    <t>He then takes a picture of the client's tattooed arm on a cellphone.</t>
  </si>
  <si>
    <t>v_kLflIBGCNrc</t>
  </si>
  <si>
    <t>A large group of people are seen swimming around a pool playing a game while the video pauses to show off players.</t>
  </si>
  <si>
    <t>The camera continues to pan around the players swimming all around the pool throwing a ball and others reacting on the sidelines.</t>
  </si>
  <si>
    <t>v_qAMf2UUH1xI</t>
  </si>
  <si>
    <t>A person jumps in the ocean and we see them being pulled on a line.</t>
  </si>
  <si>
    <t>We see divers underwater and see sealife and people on boats.</t>
  </si>
  <si>
    <t>A person with a camera on their head jumps from the boat into the water.</t>
  </si>
  <si>
    <t>Two men wave and we see sealife including a dolphin swimming next to the boat.</t>
  </si>
  <si>
    <t>A lady pretends to beat a man up by hitting him in the head while underwater.</t>
  </si>
  <si>
    <t>v_d7gTlJhEwrM</t>
  </si>
  <si>
    <t>A woman in a pink shirt sprints down a track and jumps into sand.</t>
  </si>
  <si>
    <t>A replay of her jump is shown several times.</t>
  </si>
  <si>
    <t>She walks away onto the grass.</t>
  </si>
  <si>
    <t>v_Fde_qSwXRzY</t>
  </si>
  <si>
    <t>Two boy scouts are seen standing and speaking to a large group of people and attempting to light a match.</t>
  </si>
  <si>
    <t>One cups his hands and creates a flame using oxygen and puts the flame into a pit.</t>
  </si>
  <si>
    <t>v_oZgyW8Yca_M</t>
  </si>
  <si>
    <t>A woman at a beach talks to the camera.</t>
  </si>
  <si>
    <t>The camera pans back and forth to show activity other beachgoers' activity around the woman.</t>
  </si>
  <si>
    <t>The woman dumps a bucket of sand on the beach.</t>
  </si>
  <si>
    <t>The woman combines sand and water in a bucket.</t>
  </si>
  <si>
    <t>The woman dumps the mixture out on the beach.</t>
  </si>
  <si>
    <t>v_-wcSkAAeOK8</t>
  </si>
  <si>
    <t>A woman is seen speaking to the camera while standing in front of an exercise bike.</t>
  </si>
  <si>
    <t>The woman continues speaking and begins climbing onto the bike.</t>
  </si>
  <si>
    <t>She spins herself around on the bike while sitting and standing and the camera panning around the girl.</t>
  </si>
  <si>
    <t>v_tLxv2E7gj5c</t>
  </si>
  <si>
    <t>Two people are seen running inside an indoor closed room and hitting a tennis ball around with rackets.</t>
  </si>
  <si>
    <t>The men continue running around hitting the ball off the wall.</t>
  </si>
  <si>
    <t>v_rmMCA60HqZ0</t>
  </si>
  <si>
    <t>A fat women and a thin woman talk face to face in a beauty salon.</t>
  </si>
  <si>
    <t>The fat woman talks and the thin woman wash and puts cream to her face.</t>
  </si>
  <si>
    <t>Then, the fat woman pass a device over the face of the thin woman.</t>
  </si>
  <si>
    <t>v_72PUOTjZpQU</t>
  </si>
  <si>
    <t>A large group of people are seen standing in a gymnasium with two people in front.</t>
  </si>
  <si>
    <t>The group then begins dancing with one another and leads into another large group of people.</t>
  </si>
  <si>
    <t>People are seen speaking to the camera and leads into them jumping up in the end.</t>
  </si>
  <si>
    <t>v_fqWjjWqsJPU</t>
  </si>
  <si>
    <t>A man speaks to the camera which follows an intro screen to him skating.</t>
  </si>
  <si>
    <t>He continues talking to the camera and performing various tricks on his board throughout the area.</t>
  </si>
  <si>
    <t>v_jEGTpBJrD4s</t>
  </si>
  <si>
    <t>This man is shown playing one drum in the beginning of the video and he says a few words.</t>
  </si>
  <si>
    <t>Then a man sits next to him and starts to play his guitar and the other man slowly joins to start playing the drums.</t>
  </si>
  <si>
    <t>The man who is sitting next to the man playing the drums is not only playing the guitar, but he's singing too.</t>
  </si>
  <si>
    <t>v_8eMjzrhxv2U</t>
  </si>
  <si>
    <t>We see a man walking on the ice.</t>
  </si>
  <si>
    <t>He moves a stick and pulls a fishing line out of a hole.</t>
  </si>
  <si>
    <t>The man pulls a fish out of the hole.</t>
  </si>
  <si>
    <t>He picks the fish up and shows us the fish.</t>
  </si>
  <si>
    <t>The man then throws the fish back into the hole.</t>
  </si>
  <si>
    <t>v_tzsgg_o6xHo</t>
  </si>
  <si>
    <t>A woman in man in black clothing stand in together and discuss a routine.</t>
  </si>
  <si>
    <t>The woman begins dancing and goes in a circle a few times while the man watches.</t>
  </si>
  <si>
    <t>The woman continues discussing the routine then holds hands with her partner and they begin dancing together.</t>
  </si>
  <si>
    <t>v_8ATFQNEWHL0</t>
  </si>
  <si>
    <t>A woman is talking about how to make a salad.</t>
  </si>
  <si>
    <t>She breaks up the lettuce into smaller parts.</t>
  </si>
  <si>
    <t>v_XxM72xEvsjE</t>
  </si>
  <si>
    <t>A man and young child are seen pushing a lawn mower across the yard while the boy smiles to the camera.</t>
  </si>
  <si>
    <t>The man and boy continue to push the lawn mower along the yard while stopping to look at the camera.</t>
  </si>
  <si>
    <t>v_XThYcZoFMMs</t>
  </si>
  <si>
    <t>All the ingredients you need to make butter cake are on the counter, someone is pointing at each ingredient and starts grabbing them.</t>
  </si>
  <si>
    <t>They use a mixer to mix some of the ingredients together.</t>
  </si>
  <si>
    <t>They add the eggs in one by one while the mixer is still mixing and then they turn it off and add some more in.</t>
  </si>
  <si>
    <t>They use a pan and and put a bottom in it and scoop out the mixture into it before finally getting ready to put it into the oven to bake.</t>
  </si>
  <si>
    <t>v_Y_dtU10XIsg</t>
  </si>
  <si>
    <t>A close up of a crack is seen.</t>
  </si>
  <si>
    <t>A woman is outside, shoveling snow.</t>
  </si>
  <si>
    <t>A dog wags his tail as he tries to help.</t>
  </si>
  <si>
    <t>v_ZUZ7EVzHS5E</t>
  </si>
  <si>
    <t>A group of men are outside in a large field on horses playing a game of polo.</t>
  </si>
  <si>
    <t>Player number three takes the ball all the way to the end of the field and he is then trailed by four other people.</t>
  </si>
  <si>
    <t>Once they leave the end of the field,they all begin trotting back to the middle by the referee on a horse.</t>
  </si>
  <si>
    <t>v_RAmQyeaBu-k</t>
  </si>
  <si>
    <t>Several shots are shown of signs and landscapes and leads into a person tying a rope.</t>
  </si>
  <si>
    <t>Several people are seen wandering around and smiling to the camera as well as climbing up a rock.</t>
  </si>
  <si>
    <t>More people are seen climbing up the rock as well as a man climbing down.</t>
  </si>
  <si>
    <t>v_QLbWA54l1Sg</t>
  </si>
  <si>
    <t>The two people hold out hands to begin an arm wrestling match.</t>
  </si>
  <si>
    <t>The women compete in an arm wrestling match seated at a table.</t>
  </si>
  <si>
    <t>The women switch hands and and arm wrestle with their left hands.</t>
  </si>
  <si>
    <t>The women have a rematch with their dominate hands.</t>
  </si>
  <si>
    <t>The two athletes flex their arms.</t>
  </si>
  <si>
    <t>v_j1oB2NAlYsQ</t>
  </si>
  <si>
    <t>There is a diver wearing yellow swim trunks is diving from a diving board in an indoor swimming pool.</t>
  </si>
  <si>
    <t>He jumps off of the diving board several times as some other people are leisurely swimming in the pool.</t>
  </si>
  <si>
    <t>He does the backward and forward diving moves as another young man watches him dive right into the pool.</t>
  </si>
  <si>
    <t>Then another young man dives from the same diving board.</t>
  </si>
  <si>
    <t>They both do the forward diving move.</t>
  </si>
  <si>
    <t>Another diver goes up much higher and dives right into to pool.</t>
  </si>
  <si>
    <t>v_HPyLSmDjsHY</t>
  </si>
  <si>
    <t>A young girl is seen sitting in front of a camera and presents various nail objects to the camera.</t>
  </si>
  <si>
    <t>She then begins painting all her nails thoroughly and ends the video with various pictures of her and her nails.</t>
  </si>
  <si>
    <t>v_2Vf8yqNHaGM</t>
  </si>
  <si>
    <t>A little boy in a yellow shirt is holding a yellow ruffled stick.</t>
  </si>
  <si>
    <t>He tries to hit the Batman pinata hanging, he missed then he hit him, he go around the pinata to hit it.</t>
  </si>
  <si>
    <t>v_q-FOdt9a7Js</t>
  </si>
  <si>
    <t>A person is pushing a snow plow through snow.</t>
  </si>
  <si>
    <t>They are clearing a path down a sidewalk.</t>
  </si>
  <si>
    <t>A white car dives by on the street.</t>
  </si>
  <si>
    <t>v_0fNBm46reNg</t>
  </si>
  <si>
    <t>A small group of people are seen pulling mulch into a bin when another is seen raking around the tree.</t>
  </si>
  <si>
    <t>They continue to scrape out of the mulch while measuring out the area and leads into one cutting the grass around the tree.</t>
  </si>
  <si>
    <t>They lay out more dirt evenly while some are grabbing bags behind them.</t>
  </si>
  <si>
    <t>v_Flh-37A4HWY</t>
  </si>
  <si>
    <t>A person holds a coffee mug in a pool of koi.</t>
  </si>
  <si>
    <t>The koi swim towards the coffee mug.</t>
  </si>
  <si>
    <t>v_IZCzbslH8jo</t>
  </si>
  <si>
    <t>A woman is on a court playing with a stick.</t>
  </si>
  <si>
    <t>She hits a ball on the court.</t>
  </si>
  <si>
    <t>She demonstrates how to swing and hit the ball.</t>
  </si>
  <si>
    <t>v_hUzsmIWojH0</t>
  </si>
  <si>
    <t>A man runs up to a beam and jumps over it several times.</t>
  </si>
  <si>
    <t>He makes at least six attempts.</t>
  </si>
  <si>
    <t>v_TPu-vPWJtIA</t>
  </si>
  <si>
    <t>Women in leotards dance together in a line.</t>
  </si>
  <si>
    <t>Women jump into the pool.</t>
  </si>
  <si>
    <t>Women synchronize dance in the pool.</t>
  </si>
  <si>
    <t>Announcers talk to the camera.</t>
  </si>
  <si>
    <t>Men in the side of pool talk.</t>
  </si>
  <si>
    <t>Man in yellow talks to the camera.</t>
  </si>
  <si>
    <t>Man in pink leotard jumps out of the pool.</t>
  </si>
  <si>
    <t>v_cRTsarldNlc</t>
  </si>
  <si>
    <t>a boy stands on a field with a shot put in hand.</t>
  </si>
  <si>
    <t>The boy begins to spin around.</t>
  </si>
  <si>
    <t>The boy throws the shot put.</t>
  </si>
  <si>
    <t>The spins and throws another shot put.</t>
  </si>
  <si>
    <t>v_Ou24uqaFRPg</t>
  </si>
  <si>
    <t>A furniture renovation company advertises their services by showing several homes and tools they have worked on and use and what type of work they do.</t>
  </si>
  <si>
    <t>A man in an apron carefully puts a colored substance on a plate.</t>
  </si>
  <si>
    <t>The man mixes two of the different colored substances with a paint brush.</t>
  </si>
  <si>
    <t>The man carefully touches the paint brush to an old table coloring portions of the table that have been damaged.</t>
  </si>
  <si>
    <t>A different man in an apron and face mask sands an old table.</t>
  </si>
  <si>
    <t>The man then puts polish on a rag and polishes the table.</t>
  </si>
  <si>
    <t>The man polishes a different old table.</t>
  </si>
  <si>
    <t>Information on how to reach the restoration company is displayed.</t>
  </si>
  <si>
    <t>v_p74gAY-kWaY</t>
  </si>
  <si>
    <t>A woman is seen standing beside a girl sitting down brushing her hair.</t>
  </si>
  <si>
    <t>A boy watches on the side as the woman continues to brush the hair.</t>
  </si>
  <si>
    <t>The woman speaks to the girl while running the brush all over her hair.</t>
  </si>
  <si>
    <t>v_LG7p5JrgMfE</t>
  </si>
  <si>
    <t>A man dressed in a black suit and woman dressed in a black dress are dancing together to Latino music.</t>
  </si>
  <si>
    <t>They are doing a combination of ball room dancing and waltz.</t>
  </si>
  <si>
    <t>They are dancing on the sidewalk of a city where there are several bystanders observing and watching them dance.</t>
  </si>
  <si>
    <t>They continue dancing hand in hand to the music.</t>
  </si>
  <si>
    <t>A group of people standing on the right begin to applaud them.</t>
  </si>
  <si>
    <t>The couple continues to swirl and twirl as the music plays and more people in the crowd applaud.</t>
  </si>
  <si>
    <t>The lady finally jumps into the man's arms as the music comes to an end.</t>
  </si>
  <si>
    <t>The crowd cheers and applaud's loudly at the couple.</t>
  </si>
  <si>
    <t>v_TtrDWeSW3mg</t>
  </si>
  <si>
    <t>How To Expo is demonstrating how to make a three bean salad with black beans, garbanzo beans and kidney beans.</t>
  </si>
  <si>
    <t>The presenter shows minced garlic, chopped onions and chopped red bell pepper, along with chopped parsley and one teaspoon of cumin.</t>
  </si>
  <si>
    <t>She also shows the dressing ingredients like olive oil, red wine vinegar and salt.</t>
  </si>
  <si>
    <t>Then she takes a large bowl and begins mixing all the ingredients together.</t>
  </si>
  <si>
    <t>She mixes everything with the three types of beans.</t>
  </si>
  <si>
    <t>She takes large spatula and mixes everything well.</t>
  </si>
  <si>
    <t>then she takes some olive oil and vinegar and mixes it together for the dressing.</t>
  </si>
  <si>
    <t>She pours the salad into a plate and tops is with the salad dressing.</t>
  </si>
  <si>
    <t>v_Vx4ZW7Xseyg</t>
  </si>
  <si>
    <t>A guy is diving off a diving board doing flips in the air and lands in a pool of water,the guy dives and do different flips many different times.</t>
  </si>
  <si>
    <t>the man seems to be practicing his dives and flips of the diving board.</t>
  </si>
  <si>
    <t>the guy is trying to jump his highest to get a better diving flip.</t>
  </si>
  <si>
    <t>v_KJQi_5e72lM</t>
  </si>
  <si>
    <t>A man is seen talking to the camera as he sets up a ski on a work bench inside of a Ski shop.</t>
  </si>
  <si>
    <t>After lining up the ski and securing it on the bench he uses a plastic card and goes over the bottom of the ski three times.</t>
  </si>
  <si>
    <t>Afterwards he uses a bristled brush and scrubs the bottom of the ski.</t>
  </si>
  <si>
    <t>Finally he uses a soft brush and runs it over the ski once more .</t>
  </si>
  <si>
    <t>v_H5kerJ_FoBU</t>
  </si>
  <si>
    <t>The video starts with a title screen shot.</t>
  </si>
  <si>
    <t>A man in a white shirt is showing applying plaster to a room.</t>
  </si>
  <si>
    <t>As he applies the plaster, a voice is describing the techniques used by the company.</t>
  </si>
  <si>
    <t>The video ends as the man reaches the end of the room.</t>
  </si>
  <si>
    <t>v_aIvWwX--xKw</t>
  </si>
  <si>
    <t>A woman is standing behind a counter in a kitchen.</t>
  </si>
  <si>
    <t>She takes the lid off of a pot of salad.</t>
  </si>
  <si>
    <t>She moves the salad into a new bowl.</t>
  </si>
  <si>
    <t>She takes the towel and puts it over the lettuce.</t>
  </si>
  <si>
    <t>She takes the lettuce and puts it in a wooden bowl.</t>
  </si>
  <si>
    <t>She tosses the salad with two spoons.</t>
  </si>
  <si>
    <t>v_zHzKPtrgv1k</t>
  </si>
  <si>
    <t>A set of kids are in bumper cars and begin driving and hitting each other.</t>
  </si>
  <si>
    <t>One of the young kids runs into wall and the males who are operating the ride assist the child.</t>
  </si>
  <si>
    <t>v_InA8Xbg-hvo</t>
  </si>
  <si>
    <t>The words how to apply mascara appear.</t>
  </si>
  <si>
    <t>A woman with long black hair is talking to the camera.</t>
  </si>
  <si>
    <t>She holds up a wand of mascara.</t>
  </si>
  <si>
    <t>She then shows how to apply it, one eye at a time.</t>
  </si>
  <si>
    <t>v_o8EOFXW5GJo</t>
  </si>
  <si>
    <t>Several shots of plates are shown with food leading into a man preparing food.</t>
  </si>
  <si>
    <t>The man then puts more food into a plate and spinning around ingredients.</t>
  </si>
  <si>
    <t>He continues to put food onto a plate and ends by presenting it to the camera.</t>
  </si>
  <si>
    <t>v_saMBbZcDAjM</t>
  </si>
  <si>
    <t>Two people are seen hitting a ping pong table back and fourth in the middle of an outdoor park.</t>
  </si>
  <si>
    <t>They drop the ball and pick it up and then continue playing again.</t>
  </si>
  <si>
    <t>v_u2hzK9YyIXY</t>
  </si>
  <si>
    <t>A person's shoe is seen sitting in a sink and the person scrubs the outside of the shoe with water running.</t>
  </si>
  <si>
    <t>The person turns the water off and let's the dirt from the shoe run down the sink.</t>
  </si>
  <si>
    <t>v_GdEKSyad_rk</t>
  </si>
  <si>
    <t>A man is water skiing on a river.</t>
  </si>
  <si>
    <t>He leans backward, still holding on.</t>
  </si>
  <si>
    <t>He also turns and lifts one foot in the air.</t>
  </si>
  <si>
    <t>v_j30ZbXEi8sc</t>
  </si>
  <si>
    <t>A large marching band are seen standing in the middle of a lawn.</t>
  </si>
  <si>
    <t>The middle of the group begin to play followed by the rest around them.</t>
  </si>
  <si>
    <t>The group take turns playing back and fourth and end by standing still.</t>
  </si>
  <si>
    <t>v_Lfj9JC7uWmE</t>
  </si>
  <si>
    <t>man are playing war of a tug in an open field in font of a lake.</t>
  </si>
  <si>
    <t>men are standing in sidewalk watching the men playing and taking pictures.</t>
  </si>
  <si>
    <t>men reunite and pose to a picture and a lot of camcorders are taking pictures.</t>
  </si>
  <si>
    <t>v_AuS32BoK0Bg</t>
  </si>
  <si>
    <t>A man is putting on a pair of shoes.</t>
  </si>
  <si>
    <t>He grabs his skies and boards a lift.</t>
  </si>
  <si>
    <t>He is then shown skiing down various hills and mountains.</t>
  </si>
  <si>
    <t>v_-pLiSHAz4fo</t>
  </si>
  <si>
    <t>A man talking about how to work out in a certain position.</t>
  </si>
  <si>
    <t>He explains it and shows in detail how it should be done.</t>
  </si>
  <si>
    <t>Then he grabs the bar and demonstrates like that also.</t>
  </si>
  <si>
    <t>He begins to do it in repetition a few times before finishing up.</t>
  </si>
  <si>
    <t>v_k4WHaby5jd8</t>
  </si>
  <si>
    <t>A man is in the garbage and he brings out a suitcase and takes a bike out of it.</t>
  </si>
  <si>
    <t>He begins to unravel the bike and start putting it all together.</t>
  </si>
  <si>
    <t>He screws in some pieces and put the hand bars on using a a pocket knife.</t>
  </si>
  <si>
    <t>He inflates the tires with air and finishes putting the rest together, and then he rides off.</t>
  </si>
  <si>
    <t>v_8ZyBER6U9Wc</t>
  </si>
  <si>
    <t>Three girls that are matching clothes are jumping rope at a competition.</t>
  </si>
  <si>
    <t>They start to switch places between jumpers, doing tricks while jumping.</t>
  </si>
  <si>
    <t>They move up and down the floor while never stopping.</t>
  </si>
  <si>
    <t>Then they drop their rope and bow.</t>
  </si>
  <si>
    <t>v_RrgUFU70PNQ</t>
  </si>
  <si>
    <t>A group of men are in a ring around a mat.</t>
  </si>
  <si>
    <t>Two crouch in front of each other before springing onto the mat, fighting and kicking.</t>
  </si>
  <si>
    <t>They are performing a type of martial arts, fighting their oponent as cameras flash.</t>
  </si>
  <si>
    <t>v_Q6SooTA1os4</t>
  </si>
  <si>
    <t>A dog runs around a house from room to room.</t>
  </si>
  <si>
    <t>Two men take the dog into the bathroom and get him in the bath tub.</t>
  </si>
  <si>
    <t>One of the men washes the dog.</t>
  </si>
  <si>
    <t>The other man records what is happening.</t>
  </si>
  <si>
    <t>The dog hops out of the tub and one of the men dries him off.</t>
  </si>
  <si>
    <t>One man holds the dogs mouth open while the other man brushes the dogs teeth.</t>
  </si>
  <si>
    <t>v_Jvxk68D3F2w</t>
  </si>
  <si>
    <t>A camera pans all around a paintball course and shows a closeup of a person speaking.</t>
  </si>
  <si>
    <t>Several clips are seen of people running around the course and shooting paintball at one another.</t>
  </si>
  <si>
    <t>More close ups are shown of a gun as well as a man speaking to the camera and others socializing with one another.</t>
  </si>
  <si>
    <t>v_WMxQ5hc4s78</t>
  </si>
  <si>
    <t>A small table sits atop another table.</t>
  </si>
  <si>
    <t>A man enters wearing a black hoodie.</t>
  </si>
  <si>
    <t>He opens a jar and pulls out something.</t>
  </si>
  <si>
    <t>He then varnishes the table.</t>
  </si>
  <si>
    <t>v_PT18KK_6jmU</t>
  </si>
  <si>
    <t>An intro of a black screen with a logo and the words CAMERON HANSEN GALLERY appear along with the website at the bottom right.</t>
  </si>
  <si>
    <t>A school of fish swimming in the ocean appears and the location and the description of the video is displayed.</t>
  </si>
  <si>
    <t>A series of many different videos begin and it includes footage from underwater with a snorkeler, many different sea life swimming and even an elephant swimming.</t>
  </si>
  <si>
    <t>The next set of clips include various different footage of people who are above water and the scenery around them.</t>
  </si>
  <si>
    <t>It then switches to caves and it shows the outside, inside, and then the snorkeler back under water holding a flashlight to see as it's very dark.</t>
  </si>
  <si>
    <t>The focus goes back to other clips where the elephant is swimming again, a still shot picture of the beach is displayed, and more clips from the water above.</t>
  </si>
  <si>
    <t>It ends with a picture of a large tree branch near the water and the words The Andaman Islands appear at the top and fades to an all black screen.</t>
  </si>
  <si>
    <t>v_-Pa52Pf_Raw</t>
  </si>
  <si>
    <t>A young woman is sitting in the doorway of a building.</t>
  </si>
  <si>
    <t>She is staring at the camera.</t>
  </si>
  <si>
    <t>She keeps taking puffs from a cigarette as she sits.</t>
  </si>
  <si>
    <t>v_hMUoeOFmquI</t>
  </si>
  <si>
    <t>A news segment begins and black and white picture of a smiling girl appears on the screen and the banner on the screen says "HENRICO TEEN DIES AFTER RACE FATHER RECOUNTS DAUGHTER'S FINAL MOMENTS".</t>
  </si>
  <si>
    <t>The newscaster appears with her parents talking about the girl while clips of the race play, and still shot pictures of the girl appear on the camera.</t>
  </si>
  <si>
    <t>When the pictures and video clips of the interview and race are over, the newscaster is speaking alone back at the news station.</t>
  </si>
  <si>
    <t>v_fkmYC91-biI</t>
  </si>
  <si>
    <t>Two little kids are sitting indian style on the carpet inside the house,they have a hookah and are smoking it.</t>
  </si>
  <si>
    <t>They take turns inhaling and exhaling the smoke.</t>
  </si>
  <si>
    <t>They exhale from their nose like they do it often and have been trained like little pros.</t>
  </si>
  <si>
    <t>It is very sad these children are allowed to do this like its normal, they seem to enjoy it too.</t>
  </si>
  <si>
    <t>v_TFkI_wKMypE</t>
  </si>
  <si>
    <t>Two girls are seen speaking to the camera with one giving a thumbs up.</t>
  </si>
  <si>
    <t>The girls then play a game of hop scotch with each other and high giving one another in the end.</t>
  </si>
  <si>
    <t>v_K757XUwinrc</t>
  </si>
  <si>
    <t>A woman is seen holding onto a brush and grabbing a brush.</t>
  </si>
  <si>
    <t>Another girl brushes through her hair while the camera pans her movements.</t>
  </si>
  <si>
    <t>She continues brushing the other's hair while looking to the camera.</t>
  </si>
  <si>
    <t>v_luDywPbDOEQ</t>
  </si>
  <si>
    <t>We see a white title screen.</t>
  </si>
  <si>
    <t>We then see a lady moping and wringing the mop by hand.</t>
  </si>
  <si>
    <t>We see a bucket which rings a round mop without touching it.</t>
  </si>
  <si>
    <t>A lady changes the mop head with her foot.</t>
  </si>
  <si>
    <t>Three ladies give endorsements and we see them using the mop.</t>
  </si>
  <si>
    <t>We then see more of the mop in action.</t>
  </si>
  <si>
    <t>v_oeSyeZqlC1g</t>
  </si>
  <si>
    <t>People sits on steps, after people are on boats in a river.</t>
  </si>
  <si>
    <t>An adult and several teen in canoes holds paddles.</t>
  </si>
  <si>
    <t>The man shows the teens how to move the oars.</t>
  </si>
  <si>
    <t>The teens follow the instructions of the man and row the oars.</t>
  </si>
  <si>
    <t>v_sax2PjbeLdk</t>
  </si>
  <si>
    <t>There are shoes placed on the floor just lying there.</t>
  </si>
  <si>
    <t>Someone puts their feet into one of their shoes very slowly.</t>
  </si>
  <si>
    <t>They begin to buckle the straps on the left shoe.</t>
  </si>
  <si>
    <t>Then they put their foot more securely into the right shoe, finally bucking the straps on that shoe too.</t>
  </si>
  <si>
    <t>v_f-r9g_-5huM</t>
  </si>
  <si>
    <t>A man and woman are talking.</t>
  </si>
  <si>
    <t>A man starts playing a harmonica.</t>
  </si>
  <si>
    <t>The crowd watches him play.</t>
  </si>
  <si>
    <t>v_RTIzzeNaH2Q</t>
  </si>
  <si>
    <t>A bike is being shown in the narrow walkway.</t>
  </si>
  <si>
    <t>An old man wearing gray shirt is putting on and screwing the black handle bars in the front of the bike, then put the front wheel of the bike, tighten the screw, and lastly he put the seat on.</t>
  </si>
  <si>
    <t>v_DOfpOkDHe_8</t>
  </si>
  <si>
    <t>A girl is standing in her home with her hands behind her back and her legs shoulder width apart.</t>
  </si>
  <si>
    <t>The girl then firmly drops her hands to her side, brings her feet together and does a bow and continues to do a routine of various karate moves.</t>
  </si>
  <si>
    <t>The girl ends her routing a little further from the point she started and firmly drops her hands to her side and does a little bow, then opens her legs shoulder length apart and goes back into the same position as she was in when she started.</t>
  </si>
  <si>
    <t>After she is done holding the position for a while the girl relaxes and then walks away.</t>
  </si>
  <si>
    <t>v_DxtISmKol2I</t>
  </si>
  <si>
    <t>Two people are seen kneeling down before a board and pushing down objects.</t>
  </si>
  <si>
    <t>Other people watch on the side as the two robots begin to attack one another.</t>
  </si>
  <si>
    <t>One pushes the other off the side and the men put the robots back to battle several more.</t>
  </si>
  <si>
    <t>v_ig8RaXkocJ0</t>
  </si>
  <si>
    <t>A man has his hands in the air.</t>
  </si>
  <si>
    <t>Two wrestlers are shown jumping into the ring.</t>
  </si>
  <si>
    <t>They collapse as different people do the same jump.</t>
  </si>
  <si>
    <t>v_-BVpaPkee2I</t>
  </si>
  <si>
    <t>An athletic woman is seen talking to the camera and leads into her teaching a cycling class with others.</t>
  </si>
  <si>
    <t>More shots of her leading are shown in different areas.</t>
  </si>
  <si>
    <t>v_VsFHNZHhNwI</t>
  </si>
  <si>
    <t>A lady sits in the shower washing a fluffy dog.</t>
  </si>
  <si>
    <t>The lady leans over the dog and washes his front paw on the left.</t>
  </si>
  <si>
    <t>v_SI0GumzxYt4</t>
  </si>
  <si>
    <t>A camera follows around a small boat that is moving along the water as well as landscapes.</t>
  </si>
  <si>
    <t>The camera zooms in on the boat and shows people riding inside.</t>
  </si>
  <si>
    <t>v_QHd9bJOuvIU</t>
  </si>
  <si>
    <t>A man is walking up a ladder to a roof.</t>
  </si>
  <si>
    <t>He is standing in front of a house talking.</t>
  </si>
  <si>
    <t>Men are putting new shingles onto a roof.</t>
  </si>
  <si>
    <t>v_4chhQzVxWkA</t>
  </si>
  <si>
    <t>A baby is swimming in a pool on its back.</t>
  </si>
  <si>
    <t>The baby is kicking its feet in the water.</t>
  </si>
  <si>
    <t>Someone's hand is holding that baby in the water.</t>
  </si>
  <si>
    <t>v_pjF6uBZHVRE</t>
  </si>
  <si>
    <t>The starting list for the men's pole vault event is displayed over the background of the competition area.</t>
  </si>
  <si>
    <t>Multiple vaulters attempt to vault, one after another, some successfully and some not.</t>
  </si>
  <si>
    <t>The camera cuts to a man wiping his face with a towel, then a quick shot of the last vault attempt, then a quick shot of another man walking away from the camera.</t>
  </si>
  <si>
    <t>Another man in white and blue vaults and is successful.</t>
  </si>
  <si>
    <t>The camera cuts to four other competitors watching.</t>
  </si>
  <si>
    <t>The camera cuts to a man in white and blue celebrating while holding a flag against his black.</t>
  </si>
  <si>
    <t>The man who celebrated is being interviewed.</t>
  </si>
  <si>
    <t>A different competitor, wearing red, is being interviewed.</t>
  </si>
  <si>
    <t>v_UMS4-qifK9A</t>
  </si>
  <si>
    <t>A man sits down in front of a bed.</t>
  </si>
  <si>
    <t>He starts to play an electric guitar.</t>
  </si>
  <si>
    <t>He finishes playing and stands up.</t>
  </si>
  <si>
    <t>v_xNiYjTyCTtg</t>
  </si>
  <si>
    <t>Two girls are standing in a shop and hug each other.</t>
  </si>
  <si>
    <t>The two girls acknowledge the girl holding the camera.</t>
  </si>
  <si>
    <t>They each show their ears that they are wanting to be pierced.</t>
  </si>
  <si>
    <t>The woman working in the shop straightens the girls head and marks her ear and pierces her right ear, as the girl makes faces.</t>
  </si>
  <si>
    <t>The woman looks shocked as the worker talks to her and holds the mirror for h er to see the ear.</t>
  </si>
  <si>
    <t>To be continued is shown on the screen.</t>
  </si>
  <si>
    <t>The girl shows her ear as she sits in the chair and tries not to cry as the camera zooms in on her ear.</t>
  </si>
  <si>
    <t>v_HrWr7FmBYn4</t>
  </si>
  <si>
    <t>A woman is seen speaking to a camera and leads into herself with wet hair and brushing it through.</t>
  </si>
  <si>
    <t>Her hair is snow dry and she puts clips into her hair and begins curling.</t>
  </si>
  <si>
    <t>She continues curling the ends of her hair and runs her fingers through in the end and smiles at the camera while giving a thumbs up.</t>
  </si>
  <si>
    <t>v_4S5ethZhgqs</t>
  </si>
  <si>
    <t>A big green garbage can is pushed up against a brick wall and a reindeer jumps out drinking from a coffee cup.</t>
  </si>
  <si>
    <t>The reindeer continues to drink out of the coffee cup and eventually falls out of over the garbage can.</t>
  </si>
  <si>
    <t>v_uPqh5uA1mhA</t>
  </si>
  <si>
    <t>The screen shows the words Shot Put Men.</t>
  </si>
  <si>
    <t>Kurt Roberts, in a yellow top, throws the ball and a man rushes to measure the throw.</t>
  </si>
  <si>
    <t>Kurt drinks from a Gatorade bottle.</t>
  </si>
  <si>
    <t>Reese Hoffa steps up and throws the ball and a man rushes to measure the throw.</t>
  </si>
  <si>
    <t>Reese adjusts his shirt and waits for his score.</t>
  </si>
  <si>
    <t>Davis Storl sits and is featured on the screen.</t>
  </si>
  <si>
    <t>He then throws the ball and the man rushes to measure the distance.</t>
  </si>
  <si>
    <t>He is shown standing with his team and an instant replay of the throw is shown.</t>
  </si>
  <si>
    <t>The score is shown on the screen.</t>
  </si>
  <si>
    <t>Fans are shown doing the wave.</t>
  </si>
  <si>
    <t>v_DJ5tenTs0A0</t>
  </si>
  <si>
    <t>A child ski on the snow holding two poles and wearing skies.</t>
  </si>
  <si>
    <t>Adults ski behind the child.</t>
  </si>
  <si>
    <t>Then the child stops, then start to walk until start sliding on the hill.</t>
  </si>
  <si>
    <t>v_2Mw-3jScc0M</t>
  </si>
  <si>
    <t>An aerial view of a field and animals is shown.</t>
  </si>
  <si>
    <t>People mill around a dartboard and then start doing lumberjack things with logs.</t>
  </si>
  <si>
    <t>A boat is prepared and the group starts water skiing, wakeboarding, and the like.</t>
  </si>
  <si>
    <t>At the end, people relax on the boat.</t>
  </si>
  <si>
    <t>v_yJ5zO0T9jgk</t>
  </si>
  <si>
    <t>People are playing badminton on a court.</t>
  </si>
  <si>
    <t>An audience is watching them play.</t>
  </si>
  <si>
    <t>A cartoon of people playing the game is shown.</t>
  </si>
  <si>
    <t>A man in a blue sweater is talking to the camera.</t>
  </si>
  <si>
    <t>v_m0_F34CgAco</t>
  </si>
  <si>
    <t>The baker is putting a safe ring on a silicone molder.</t>
  </si>
  <si>
    <t>The baker pour the batter in the purple molder, then he place a silicone tray in the oven and put the cake in the oven.</t>
  </si>
  <si>
    <t>The baker turn over the cake in the plate and put icing and fruits on top.</t>
  </si>
  <si>
    <t>The baker put safety ling on the molder, put jelly in it, then he put the jelly off the molder.</t>
  </si>
  <si>
    <t>The baker made popsicles and cake decorations and chocolates using the molder.</t>
  </si>
  <si>
    <t>v_Lh-cI4M0dNw</t>
  </si>
  <si>
    <t>A man is seen riding along on a horse and then ropes a calf while others watch.</t>
  </si>
  <si>
    <t>The man then ties up the calf and climbs up on the horse and others step into the ring.</t>
  </si>
  <si>
    <t>v_2_tzemKY72E</t>
  </si>
  <si>
    <t>A female gymnast is shown in a photograph.</t>
  </si>
  <si>
    <t>She is then shown preparing and then mounting a high beam.</t>
  </si>
  <si>
    <t>She flips and turns on the beam, changing between two beams.</t>
  </si>
  <si>
    <t>She dismounts, throwing her arms into the air triumphantly.</t>
  </si>
  <si>
    <t>v_Hg1tl2hFWGc</t>
  </si>
  <si>
    <t>a child is sitting on a counter with a container of water colors.</t>
  </si>
  <si>
    <t>She is using a paint brush to apply the paints to her face.</t>
  </si>
  <si>
    <t>She then starts putting the paint all over her chest.</t>
  </si>
  <si>
    <t>v_l8boztVhl7w</t>
  </si>
  <si>
    <t>A countdown is shown that leads into a person scoring a basket in a game.</t>
  </si>
  <si>
    <t>More text are shown counting down a list and showing another person scoring a point.</t>
  </si>
  <si>
    <t>Several more shots are shown of people performing impressive sport tactics while the list counts down.</t>
  </si>
  <si>
    <t>v_U2-GFZxIufw</t>
  </si>
  <si>
    <t>A boat goes on to a lake with a rope behind it.</t>
  </si>
  <si>
    <t>A boy grabs the rope and goes in the water after the boat.</t>
  </si>
  <si>
    <t>The boat begins to speed up.</t>
  </si>
  <si>
    <t>The boy is brought to his feet and begins to water ski.</t>
  </si>
  <si>
    <t>v_3MqnXsnEAkM</t>
  </si>
  <si>
    <t>A man walks onto a mat and lifts a large weight over his head.</t>
  </si>
  <si>
    <t>A man in a red shirt is sitting down.</t>
  </si>
  <si>
    <t>A man walks up and lifts a large weight over his head and drops it on the ground.</t>
  </si>
  <si>
    <t>Another man comes onto the mat and lifts a weight over their head.</t>
  </si>
  <si>
    <t>v_7VvcQNSAd24</t>
  </si>
  <si>
    <t>A man is seen standing in front of a mirror holding a razor.</t>
  </si>
  <si>
    <t>He then begins shaving his face while still looking in the mirror.</t>
  </si>
  <si>
    <t>He finishes shaving his face and looks back smiling at the camera.</t>
  </si>
  <si>
    <t>v_7ftCKS5SCCk</t>
  </si>
  <si>
    <t>little girl with long hair is dancing in a living room with a lot of boots and shoes on the floor, she put them on and take it off.</t>
  </si>
  <si>
    <t>girl is on skateboard in the living room and to the room again.</t>
  </si>
  <si>
    <t>little girl is in library and grab something and then starts dancing in the room.</t>
  </si>
  <si>
    <t>v_LGku-onF4VI</t>
  </si>
  <si>
    <t>People are sitting behind large drums.</t>
  </si>
  <si>
    <t>They start playing the drums with their hands.</t>
  </si>
  <si>
    <t>People stand on the street watching them.</t>
  </si>
  <si>
    <t>A man picks up his chair and turns it upside down on the drums.</t>
  </si>
  <si>
    <t>v_p8_hwwgyoZE</t>
  </si>
  <si>
    <t>A man and woman are on a stage together.</t>
  </si>
  <si>
    <t>They quickly play drums before a crowd.</t>
  </si>
  <si>
    <t>An older man is then seen also playing drums.</t>
  </si>
  <si>
    <t>v_vgO3mzJGbSI</t>
  </si>
  <si>
    <t>A camera pans around a shop and pans back to a girl talking.</t>
  </si>
  <si>
    <t>She points to her face multiple times and gives a little tour of her room.</t>
  </si>
  <si>
    <t>She continues talking to the camera and eventually shows footage of her getting her nose pierced.</t>
  </si>
  <si>
    <t>She apears back in the room with the pierced nose and shows off a drink and sushi.</t>
  </si>
  <si>
    <t>Finally she shows a book as well as a bag with white powder and herself in a pony tail.</t>
  </si>
  <si>
    <t>v__jT57LdAHUs</t>
  </si>
  <si>
    <t>A man talks on front the drummer and holding two sticks.</t>
  </si>
  <si>
    <t>The man pretends to play the drums, and then continues talking.</t>
  </si>
  <si>
    <t>v_modITAJlP_0</t>
  </si>
  <si>
    <t>A woman wearing light blue tank top and black shorts is exercising on an elliptical.</t>
  </si>
  <si>
    <t>She continues walking on the elliptical as she moves her hands forward and backwards.</t>
  </si>
  <si>
    <t>She then finishes her exercise routine, gets off the equipment and takes a drink of water from a blue water bottle.</t>
  </si>
  <si>
    <t>She walks away holding the bottle in her hand.</t>
  </si>
  <si>
    <t>v_Bdpqtvdx2T8</t>
  </si>
  <si>
    <t>We see a little girl painting a fence red.</t>
  </si>
  <si>
    <t>The girl puts more paint on her brush.</t>
  </si>
  <si>
    <t>The girl fills her brush again.</t>
  </si>
  <si>
    <t>We see the fence and an adult shows her how to paint.</t>
  </si>
  <si>
    <t>The adult points at a missed spot.</t>
  </si>
  <si>
    <t>v_qfCqVXhNPE8</t>
  </si>
  <si>
    <t>A woman with black hair is explaining something.</t>
  </si>
  <si>
    <t>The woman pulls out a container with hair rolls.</t>
  </si>
  <si>
    <t>The woman pulls out a bottle of shampoo.</t>
  </si>
  <si>
    <t>The woman rolls her hair and pins it in place and leaves it for ten minutes.</t>
  </si>
  <si>
    <t>The women removes the rolls from her hair.</t>
  </si>
  <si>
    <t>The woman takes out hair spray and sprays it on her hair.</t>
  </si>
  <si>
    <t>v_0IxId05Eo6k</t>
  </si>
  <si>
    <t>There are a lot of people indoors in a large building walking, or hanging out, and the banner below say's "WHAT IN THE WORLD? China's National Tug-of-War Championships" and he logo on the right say's "east SPORTS WEST".</t>
  </si>
  <si>
    <t>There are two sets of people along a rope and they are separated in the middle by referees.</t>
  </si>
  <si>
    <t>They take a bow, pick up the rope, and each team begins to tug on the rope until a winner is called.</t>
  </si>
  <si>
    <t>A woman referee is now standing with her two arms up and she lets them down to indicate that the two teams can start tugging on the rope, and they do until she blows a whistle to indicate the winner.</t>
  </si>
  <si>
    <t>Two short clips play and it shows a womens tug-of-war match, then a mens but it doesn't show much and then it goes straight to outdoor shots of the city and text on the screen appear with the network logo, website, and rights of the video.</t>
  </si>
  <si>
    <t>v_98MoyGZKHXc</t>
  </si>
  <si>
    <t>A man drives a car, the car stops with a flat tire.</t>
  </si>
  <si>
    <t>The man turn off the emergency lights, and then uses a repair kit to inflate the tire.</t>
  </si>
  <si>
    <t>Then, the man advance the car a little and the tire inflates.</t>
  </si>
  <si>
    <t>After, the man drives his car.</t>
  </si>
  <si>
    <t>v_6I1aP4O04R8</t>
  </si>
  <si>
    <t>A large pile of leaves are seen blowing around a yard as a person uses a tool to push them along.</t>
  </si>
  <si>
    <t>The camera continues to capture the man blowing the leaves and uses several camera effects on the frames.</t>
  </si>
  <si>
    <t>v_6qghJRLpHpo</t>
  </si>
  <si>
    <t>A small group of people are seen riding kayaks down a rough river with one person performing a flip in the water.</t>
  </si>
  <si>
    <t>The person performs several more flips with the camera captures him from far away.</t>
  </si>
  <si>
    <t>v_lZ2X-e33E0A</t>
  </si>
  <si>
    <t>We see the opening title screens.</t>
  </si>
  <si>
    <t>A man walks into a room and grabs a bucket and returns with it.</t>
  </si>
  <si>
    <t>We see a man in a bright shirt mix plaster in a bucket and spread it on a wall.</t>
  </si>
  <si>
    <t>The man adds more plaster to his base and spreads it on the wall.</t>
  </si>
  <si>
    <t>v_teZ99ahe1zY</t>
  </si>
  <si>
    <t>Various people are shown riding around on horses holding sticks in the air and riding around one another.</t>
  </si>
  <si>
    <t>People walk in and out of frame and the people continue moving around on horses.</t>
  </si>
  <si>
    <t>v_iTc3UCWgUF0</t>
  </si>
  <si>
    <t>A man sits down in a chair putting his sneakers on and points to a fox running in.</t>
  </si>
  <si>
    <t>The fox stands by the man and jumps up and down on his lap while he continues to put his shoes on.</t>
  </si>
  <si>
    <t>v__rs8dhCdI1w</t>
  </si>
  <si>
    <t>A person puts tape on a leather sofa to form a square.</t>
  </si>
  <si>
    <t>Then, the person apply foam to a sponge and cleans inside the square.</t>
  </si>
  <si>
    <t>After, the person clean with a cloth and peels the tape.</t>
  </si>
  <si>
    <t>Next, the person cleans all the sofa putting foam on a cloth and rubbing the sofa.</t>
  </si>
  <si>
    <t>v_9xtYwXpaiZ0</t>
  </si>
  <si>
    <t>A shoe polishing machine sits in a living room.</t>
  </si>
  <si>
    <t>A man walks up to the shoe polishing machine a turns it on.</t>
  </si>
  <si>
    <t>The man wearing blue jeans begins bushing his black shoes.</t>
  </si>
  <si>
    <t>The man then begins brushing and polishing his brown shoes.</t>
  </si>
  <si>
    <t>The man approaches the shoe polishing machine and brushes his grey sneakers.</t>
  </si>
  <si>
    <t>The man crouches down and pulls out a dust bin from under the polishing machine.</t>
  </si>
  <si>
    <t>v_fJMVz_TBWU0</t>
  </si>
  <si>
    <t>A large group of people are seen standing in a crowd when a man holding a set of bag pipes walks up and gives everyone the devil horns.</t>
  </si>
  <si>
    <t>They give the horns back and the man plays while walking up and down the stage.</t>
  </si>
  <si>
    <t>v_NVWk38z7f4U</t>
  </si>
  <si>
    <t>Several signs for tattoo shops are shown, along with a girl speaking to the camera.</t>
  </si>
  <si>
    <t>She shows off the tattoo she wants to get.</t>
  </si>
  <si>
    <t>The woman sits in a chair as a tattoo artist makes a snowflake on her arm.</t>
  </si>
  <si>
    <t>She talks to the camera the entire time as he inks her.</t>
  </si>
  <si>
    <t>Afterward, she shows off her completed tattoo and speaks about it.</t>
  </si>
  <si>
    <t>v_c-TD6-GESQk</t>
  </si>
  <si>
    <t>A man is standing in a gym.</t>
  </si>
  <si>
    <t>He bends down and picks up a large weight.</t>
  </si>
  <si>
    <t>He sets it down and talks to the camera.</t>
  </si>
  <si>
    <t>v_z93quI8Gxx4</t>
  </si>
  <si>
    <t>The woman is riding a camel as she talks to the camera.</t>
  </si>
  <si>
    <t>A man is guiding the camel and giving the camel food.</t>
  </si>
  <si>
    <t>The woman is reporting while she is on the back of the camel.</t>
  </si>
  <si>
    <t>v_rrNJt73BG_8</t>
  </si>
  <si>
    <t>A person opens a faucet and wet the hands.</t>
  </si>
  <si>
    <t>The person uses soap to rub vigorously the hands.</t>
  </si>
  <si>
    <t>After, the person rinse the hand thoroughly with plenty water.</t>
  </si>
  <si>
    <t>After the person dry the hands with a clean towel, and turns the the sink using the towel.</t>
  </si>
  <si>
    <t>v_q2-2jIQGfvg</t>
  </si>
  <si>
    <t>The words "speed cubing 53 sec" appear on a black screen.</t>
  </si>
  <si>
    <t>A young man sits at a table and starts playing with a Rubik's Cube.</t>
  </si>
  <si>
    <t>The man solves the puzzle completing all sides of the cube and the screen goes black.</t>
  </si>
  <si>
    <t>v_SFDvkbDZTjA</t>
  </si>
  <si>
    <t>A cat is scratching its paws on the carpet.</t>
  </si>
  <si>
    <t>A man holds the cats paw and starts clipping its nails.</t>
  </si>
  <si>
    <t>He holds the cat outside.</t>
  </si>
  <si>
    <t>v_TFdv2VQ8-Hg</t>
  </si>
  <si>
    <t>A group of people gather on a tarmac.</t>
  </si>
  <si>
    <t>They board the plane before taking off, showing the runway and clouds in the sky.</t>
  </si>
  <si>
    <t>They are in an airport, then driving down the road.</t>
  </si>
  <si>
    <t>Finally they are riding a boat in the coean, looking at a map and chartering the waters.</t>
  </si>
  <si>
    <t>They go surfing in the large waves.</t>
  </si>
  <si>
    <t>v_on2DKKcvWhE</t>
  </si>
  <si>
    <t>An introduction comes onto the screen for a video that will show a demo of some janitorial products.</t>
  </si>
  <si>
    <t>A man on the screen begins to describe a mop and bucket set that are used for cleaning floors.</t>
  </si>
  <si>
    <t>He then begins to demonstrate how to use the mop and bucket set.</t>
  </si>
  <si>
    <t>Next he shows the buckets close up and begins to describe how to use the buckets.</t>
  </si>
  <si>
    <t>At the end of the video the closing credits are shown.</t>
  </si>
  <si>
    <t>v_FBtrv1Vg8hU</t>
  </si>
  <si>
    <t>A young woman on a white horse is shown riding through the field.</t>
  </si>
  <si>
    <t>The lady is then shown exercising on a blue mat doing several yoga stretches.</t>
  </si>
  <si>
    <t>After,she is pictured in her home talking while sitting on the couch.</t>
  </si>
  <si>
    <t>Finally,the screen returns and she is shown in horseback riding in the field going through the stable.</t>
  </si>
  <si>
    <t>v_clUgEizjVkM</t>
  </si>
  <si>
    <t>A small group of people are seen skating around the ice playing a game of hockey against one another.</t>
  </si>
  <si>
    <t>One member scores as the camera pans around them and a man watching.</t>
  </si>
  <si>
    <t>v_PZ4miMXdjHE</t>
  </si>
  <si>
    <t>A man is seen standing in a large pit with a group of children and teaching them how to stand.</t>
  </si>
  <si>
    <t>The kids then get powder on their hands and the man chases them around and has fun.</t>
  </si>
  <si>
    <t>v_8NcRuVMSQLs</t>
  </si>
  <si>
    <t>The camera pans around an athletic woman standing ready and others watching her on the side.</t>
  </si>
  <si>
    <t>She jumps high over a pole and walks away as her jump is shown again in slow motion and another runner steps up.</t>
  </si>
  <si>
    <t>Several more women are shown jumping over the beam while their scores are shown immediately afterwards.</t>
  </si>
  <si>
    <t>v_nEv28s46Kvo</t>
  </si>
  <si>
    <t>We see an opening screen as a black and white film.</t>
  </si>
  <si>
    <t>We then see people putting on fencing gear.</t>
  </si>
  <si>
    <t>The two men fence in between title screens.</t>
  </si>
  <si>
    <t>The men switch from outdoors to indoors.</t>
  </si>
  <si>
    <t>We see a man's helmet.</t>
  </si>
  <si>
    <t>We see a men fighting in slow motion.</t>
  </si>
  <si>
    <t>The men finish and walk away from each other.</t>
  </si>
  <si>
    <t>v_HRjSOacCdWI</t>
  </si>
  <si>
    <t>A man picks up a heavy weight.</t>
  </si>
  <si>
    <t>He drops it to the ground.</t>
  </si>
  <si>
    <t>v_rX2tRvv2ZfU</t>
  </si>
  <si>
    <t>There's a woman dressed in a brown dress standing next to another lady in blue who is demonstrating a recipe.</t>
  </si>
  <si>
    <t>They are standing next to the kitchen counter that has several bowls filled with various ingredient in it.</t>
  </si>
  <si>
    <t>The chef is talking about the recipes that the ingredients are used for.</t>
  </si>
  <si>
    <t>There's a white plate with shredded meat on the kitchen counter.</t>
  </si>
  <si>
    <t>The chef then picks up the meat plate and gives it to the lady in brown.</t>
  </si>
  <si>
    <t>The presenter then empties the meat into a blue bowl.</t>
  </si>
  <si>
    <t>The chef continues to explain the recipe.</t>
  </si>
  <si>
    <t>Then they add some chopped cucumber to the blue bowl and mix it with a spoon.</t>
  </si>
  <si>
    <t>The chef shows the cucumbers she has used in the salad.</t>
  </si>
  <si>
    <t>Then they add chopped cherry tomatoes, followed by sliced white onions and some leafy greens.</t>
  </si>
  <si>
    <t>Then they add some more garnishing on top of the salad.</t>
  </si>
  <si>
    <t>v_ilE77hVgjjo</t>
  </si>
  <si>
    <t>A girl moves around an indoor playground.</t>
  </si>
  <si>
    <t>The girl slides down and climbs up a slide with boy.</t>
  </si>
  <si>
    <t>A finger touches the girls hair and head.</t>
  </si>
  <si>
    <t>v_VLQQVNIZQqo</t>
  </si>
  <si>
    <t>A man holds a hummer sits on the ground.</t>
  </si>
  <si>
    <t>Then, the man spins the hammer several times and throw it far.</t>
  </si>
  <si>
    <t>Other man perform the hammer throw while people watch.</t>
  </si>
  <si>
    <t>v_uWnlmM2uOs4</t>
  </si>
  <si>
    <t>There are many people in bathing suits standing in a lake with motor boats behind them.</t>
  </si>
  <si>
    <t>One girl wearing a bikini and holding a Coke can in her hand is rubbing sunscreen on another woman's chest.</t>
  </si>
  <si>
    <t>There are some men standing in swim trunks behind them, talking to each other.</t>
  </si>
  <si>
    <t>v_ZuHwSBCjfds</t>
  </si>
  <si>
    <t>News clippings of a water polo player are shown, as well as images and stills.</t>
  </si>
  <si>
    <t>We then see the water polo games in video, as the players try to lob the ball into a net.</t>
  </si>
  <si>
    <t>The people fight over the ball, and a small crowd claps and cheers.</t>
  </si>
  <si>
    <t>v_eXK0iVPl1j8</t>
  </si>
  <si>
    <t>A crowd is gathered around a black tiled area.</t>
  </si>
  <si>
    <t>A man in black does some breakdance moves.</t>
  </si>
  <si>
    <t>He then trades off with a man in white, Several breakdancers trade off displaying moves as the crowd looks on.</t>
  </si>
  <si>
    <t>Finally, the last breakdancer finishes his routine.</t>
  </si>
  <si>
    <t>v_MewROhYmQP0</t>
  </si>
  <si>
    <t>A polo match is being held outdoors in a field.</t>
  </si>
  <si>
    <t>A player on a horse hits the ball.</t>
  </si>
  <si>
    <t>A wide shot of the polo field action is shown.</t>
  </si>
  <si>
    <t>v_Mu8-AwcMqaw</t>
  </si>
  <si>
    <t>A young woman is seen speaking to the camera and leads into her showing off her hair then tying it into a ponytail.</t>
  </si>
  <si>
    <t>She sprays down her hair and then braids her bangs followed by pushing the braid back into a ponytail.</t>
  </si>
  <si>
    <t>She puts a bow in her hair in the end and smiles off to the camera.</t>
  </si>
  <si>
    <t>v_uzXbaoWOm5o</t>
  </si>
  <si>
    <t>A white screen appears and happy faces are displayed and black text words read "happyface Entertainment".</t>
  </si>
  <si>
    <t>There are two Asian women standing face to face very close to one another and talking about a can while subtitles show up at the bottom.</t>
  </si>
  <si>
    <t>The woman holding the bottle on the right tries to unscrew the bottle open and has a hard time so someone reaches in and opens it for her and hands it back.</t>
  </si>
  <si>
    <t>The women laugh, smell the contents in the bottle and the brunette tastes a little bit of it and they both laugh.</t>
  </si>
  <si>
    <t>v_li16LYa7us8</t>
  </si>
  <si>
    <t>A black screen appears with the white letters and numbers that say EXAM 2012.</t>
  </si>
  <si>
    <t>An outdoor of a two story older building is shown and the white letters on the screen say Bolshoi Ballet Academy.</t>
  </si>
  <si>
    <t>A blonde woman is shown sitting at a piano and as she begins to play a bunch of young women are shown dressed in their ballet gear and are dancing ballet on a stage while people watch them.</t>
  </si>
  <si>
    <t>Some of the girls are shown putting on tutus that stick straight out, they walk onto the stage and begin dancing as their tutus that stick straight out bounce with them.</t>
  </si>
  <si>
    <t>The women end their ballet routine, and they all walk to the side of the stage to grab the hand of the woman, they all routine to the stage, take a bow, and all the ballet dances celebrate their performance and give on another hugs.</t>
  </si>
  <si>
    <t>v_u024Wa07GNs</t>
  </si>
  <si>
    <t>A sandwich is sitting on a counter.</t>
  </si>
  <si>
    <t>There are many vegetables around the sandwich.</t>
  </si>
  <si>
    <t>A person puts cucumbers on top of the sandwich.</t>
  </si>
  <si>
    <t>v_en6lOb4wRUU</t>
  </si>
  <si>
    <t>A man is shown smoking a cigarette continuously blowing smoke out of his mouth and looking into the camera.</t>
  </si>
  <si>
    <t>He puts sunglasses on and continues taking puffs off the cigarette.</t>
  </si>
  <si>
    <t>He pans the camera to a crack in the floor and back to his face smoking outside.</t>
  </si>
  <si>
    <t>v_KCxa27MM7Cg</t>
  </si>
  <si>
    <t>Two small children as seen sitting at a table laughing with one another.</t>
  </si>
  <si>
    <t>One girl is seen painting another's nails while she looks off into the distance.</t>
  </si>
  <si>
    <t>The girl continues painting the others' nails while she laughs into the camera.</t>
  </si>
  <si>
    <t>v_fCE3Eo7_Nmw</t>
  </si>
  <si>
    <t>A person takes a knife and cut the ends of a potato, then the person peels the potato.</t>
  </si>
  <si>
    <t>After, the person cut the potato in squares.</t>
  </si>
  <si>
    <t>v_LnqAgjTpi0k</t>
  </si>
  <si>
    <t>We see a pink opening scene.</t>
  </si>
  <si>
    <t>A lady walks up stairs and people are gathered in a plaza outdoors.</t>
  </si>
  <si>
    <t>We see a race banner and people moving under the banner.</t>
  </si>
  <si>
    <t>Runners are running down a city street in a marathon.</t>
  </si>
  <si>
    <t>We see a stadium like structure a km 8.</t>
  </si>
  <si>
    <t>We see a fountain spraying water.</t>
  </si>
  <si>
    <t>A mariachi band sits on the sidewalk playing music followed by drummers.</t>
  </si>
  <si>
    <t>We see the end and a cup of coffee and a medal.</t>
  </si>
  <si>
    <t>A lady photo shops her picture in with the mariachi band.</t>
  </si>
  <si>
    <t>v_exPOJAoyG7Q</t>
  </si>
  <si>
    <t>There's a girl talking about cheer leading, gymnastics and tumbling.</t>
  </si>
  <si>
    <t>She is demonstrating how to do somersaults, cartwheels, round off and back and front walkover.</t>
  </si>
  <si>
    <t>She also shows various other moves like aerial, tic- toc and back handspring.</t>
  </si>
  <si>
    <t>She continues to demonstrate several other gymnastic moves by swiftly moving her body through front flips.</t>
  </si>
  <si>
    <t>v_4Xvn1xXvYdU</t>
  </si>
  <si>
    <t>A man in brown jacket is pulling out an arrow from the target board, then he was talking to the camera, then he pull out his bow and started to use it with his bow to hit the target board, he fired his bows several times.</t>
  </si>
  <si>
    <t>The man went to the target board and talked to the camera.</t>
  </si>
  <si>
    <t>v_5j6j4NJkUXA</t>
  </si>
  <si>
    <t>A boy is shown swinging on a piece of gymnastic equipment with others training in the background.</t>
  </si>
  <si>
    <t>The camera shows several shots of different boys swinging on the equipment around and around with the camera panning to different angles.</t>
  </si>
  <si>
    <t>v_Se7eQXlW-BA</t>
  </si>
  <si>
    <t>A man and woman are seen standing on a bowling lane with another reading in the distance.</t>
  </si>
  <si>
    <t>A woman walks in and speaks to the blonde woman and hands her some bowling shoes.</t>
  </si>
  <si>
    <t>The man speaks over and the girl throws the bowling ball with her heels on.</t>
  </si>
  <si>
    <t>v_5c1jHhHUwPI</t>
  </si>
  <si>
    <t>pitcher throw the ball to the batter playing criquet.</t>
  </si>
  <si>
    <t>the batter is fighing with the man and other people trye to calm him down.</t>
  </si>
  <si>
    <t>a lo of people wearing black unifroms are running in the field fighting.</t>
  </si>
  <si>
    <t>v_oEZToisRw4w</t>
  </si>
  <si>
    <t>Various women are seen walking around with shot puts in their hands followed by more shots of athletes walking around, throwing the ball, and waving to the crowd.</t>
  </si>
  <si>
    <t>The video continues on with several different shots of female athletes throwing shot puts as well as cheering to the crowd and moving around.</t>
  </si>
  <si>
    <t>v_KnI7IWbLWmE</t>
  </si>
  <si>
    <t>Two men play bagpipes, while being photographed at an outdoor military and police ceremony with a speaker at a podium surrounded by men in uniform and in front of a formally seated audience.</t>
  </si>
  <si>
    <t>Two men play bagpipes in front of a row of police officers and a man in a military uniform, all as a photographer takes their photo from below.</t>
  </si>
  <si>
    <t>The camera pans to a man in a suit standing at a podium in front of a group of people who are standing along with the rows of people in uniform behind the speaker.</t>
  </si>
  <si>
    <t>The camera then pans to three military planes flying overhead as part of the ceremony before returning to the people, who are standing, in front of the man at the podium.</t>
  </si>
  <si>
    <t>v_LnEed8TnWwk</t>
  </si>
  <si>
    <t>Shots of people standing on the sides are shown as well as a group of girls playing tug of war with one another.</t>
  </si>
  <si>
    <t>Several more shots are shown of girls playing tug of war against one another while people celebrate on the sides as well as with their team mates.</t>
  </si>
  <si>
    <t>v_SMhW9V-cJsQ</t>
  </si>
  <si>
    <t>A man wearing gloves is on his hands and knees using a power tool that is creating sparks.</t>
  </si>
  <si>
    <t>He continues using the object as the camera man watches and finishes burning the object.</t>
  </si>
  <si>
    <t>v_p31a9wkiSHA</t>
  </si>
  <si>
    <t>boy is standing in front of a door talking with other boys in front of a kitchen.</t>
  </si>
  <si>
    <t>man walks to the living room in front of a ping pong table.</t>
  </si>
  <si>
    <t>man are putting the shoes, grabs a skateboard and is skateboarding by a sidewalk with her friends.</t>
  </si>
  <si>
    <t>man is hanging from lianas on a tree on a park.</t>
  </si>
  <si>
    <t>v_lIb8_YksZyg</t>
  </si>
  <si>
    <t>A kid is standing with some men at a chair lift, dressed in ski gear.</t>
  </si>
  <si>
    <t>The boy skis down a hill, but falls down.</t>
  </si>
  <si>
    <t>He then is shown doing a flip in the air, followed by several ramp and flipping tricks.</t>
  </si>
  <si>
    <t>When they are done, they go inside a building.</t>
  </si>
  <si>
    <t>v_zIvC3Yytcv0</t>
  </si>
  <si>
    <t>Various groups of men are shown that leads into a man wearing a uniform and speaking to the camera.</t>
  </si>
  <si>
    <t>He then leads a group of people to play an instrument all together while the camera pans around.</t>
  </si>
  <si>
    <t>v_bESksIhdEvo</t>
  </si>
  <si>
    <t>A man is seen standing in front of a sink scrubbing it down with a sponge.</t>
  </si>
  <si>
    <t>The man continues wiping down the counter while occasionally looking at the camera.</t>
  </si>
  <si>
    <t>v_ynda_PQe_CM</t>
  </si>
  <si>
    <t>Several men are playing indoor soccer.</t>
  </si>
  <si>
    <t>A large crowd watches from the stands.</t>
  </si>
  <si>
    <t>A man wearing yellow kicks the ball into the goal and celebrates with his team before a replay of his goal is shown.</t>
  </si>
  <si>
    <t>The game continues and two men knock each other down before the red team scores a goal and a replay is shown.</t>
  </si>
  <si>
    <t>The yellow team tries to score and is blocked multiple times before finally scoring and a replay of this goal is shown twice.</t>
  </si>
  <si>
    <t>The game continues until the red team scores.</t>
  </si>
  <si>
    <t>A man from each team kicks the ball at the goal, each man gets the ball in the net and it flies back out.</t>
  </si>
  <si>
    <t>The same thing happens for one more man from each team.</t>
  </si>
  <si>
    <t>When the next red team member kicks, the goalie blocks the ball.</t>
  </si>
  <si>
    <t>Another man from each team scores before the goalie blocks a ball kicked by a man in yellow.</t>
  </si>
  <si>
    <t>Another ball from thew red team is blocked and two men from the sidelines in suits jump up and run on to the court and shake hands with a few players.</t>
  </si>
  <si>
    <t>The players celebrate some being followed by a camera.</t>
  </si>
  <si>
    <t>Men in suits hand a trophy to a man in yellow and he holds it over his head with everyone in the background celebrating.</t>
  </si>
  <si>
    <t>v_YW3mCNKVaa4</t>
  </si>
  <si>
    <t>A view is shown of steep mountain snow.</t>
  </si>
  <si>
    <t>Skiers are traveling on a lift.</t>
  </si>
  <si>
    <t>They are sledding on the snow down a steep hill.</t>
  </si>
  <si>
    <t>v_8NfYYT8d3EQ</t>
  </si>
  <si>
    <t>A text that reads "Deeba's Recipe" appears on the screen.</t>
  </si>
  <si>
    <t>The video then cuts to a woman standing behind a table filled with cooking ingredients.</t>
  </si>
  <si>
    <t>She speaks to the camera while showing some of what she has prepped for the dish.</t>
  </si>
  <si>
    <t>She places the various ingredients into a bowl and garnishes it very precisely.</t>
  </si>
  <si>
    <t>She then pours a sauce all over it.</t>
  </si>
  <si>
    <t>She then speaks to the camera some more to offer tips on how to make the dish.</t>
  </si>
  <si>
    <t>Another set of text showing "Deeba's" recipe is shown again.</t>
  </si>
  <si>
    <t>v_Me3ykrZobJE</t>
  </si>
  <si>
    <t>A person is seen holding a wrapped gift and begins wrapping paper around a box.</t>
  </si>
  <si>
    <t>The girl pushes it down on the sides and begins tapping the box.</t>
  </si>
  <si>
    <t>She finishes tapping all around the box and ends by presenting it to the camera.</t>
  </si>
  <si>
    <t>v_IQp6JF5v1qc</t>
  </si>
  <si>
    <t>The screen opens up with an ACDC promo.</t>
  </si>
  <si>
    <t>A little boy is speaking to the camera.</t>
  </si>
  <si>
    <t>The little boy begins to break dance and does many flips.</t>
  </si>
  <si>
    <t>He stands up and begins to rap.</t>
  </si>
  <si>
    <t>v_dHzX9NqyBZw</t>
  </si>
  <si>
    <t>man is standing behind a counte behind the pool.</t>
  </si>
  <si>
    <t>two men are standing on top of trampolines and make a Synchronized jump into the pool.</t>
  </si>
  <si>
    <t>man is going up the stairs to the trampoline.</t>
  </si>
  <si>
    <t>v_So4BX0I1VRI</t>
  </si>
  <si>
    <t>The person is shown knocking down 9 of the bowling pins, which means he has a spare.</t>
  </si>
  <si>
    <t>Next he knocks all of the pins down and gets a strike.</t>
  </si>
  <si>
    <t>v_a_sm5Hv7HNw</t>
  </si>
  <si>
    <t>Three kids are climbing up a mountain with out any rope.</t>
  </si>
  <si>
    <t>Then, they are hanging out in their room laughing and having fun.</t>
  </si>
  <si>
    <t>They're just three best friend doing everything together, walking, shopping, relaxing and climbing mountains.</t>
  </si>
  <si>
    <t>When they get to the top of the mountain they hug each other.</t>
  </si>
  <si>
    <t>v__-M4xNBhSEI</t>
  </si>
  <si>
    <t>A group is playing football on a large field.</t>
  </si>
  <si>
    <t>A green ball suddenly bounces across the fifty yard line.</t>
  </si>
  <si>
    <t>It comes to a stop, and the people back away.</t>
  </si>
  <si>
    <t>v_mc5XVTo5PVk</t>
  </si>
  <si>
    <t>A female gymnast mounts a high beam in front of her coach.</t>
  </si>
  <si>
    <t>She does several flips forward and backward.</t>
  </si>
  <si>
    <t>She dismounts, and he claps as she walks away.</t>
  </si>
  <si>
    <t>v_reit7blyxIo</t>
  </si>
  <si>
    <t>A man is lying in bed under the covers.</t>
  </si>
  <si>
    <t>He sits up on the edge of the bed, scratching his beard.</t>
  </si>
  <si>
    <t>He then stares at the shaver on his table, picking it up.</t>
  </si>
  <si>
    <t>The man shaves his bear, making it much shorter before lying down in bed, cuddling with the bag filled with his beard hair.</t>
  </si>
  <si>
    <t>v_5cTnHXcD7DE</t>
  </si>
  <si>
    <t>A large group of people are seen running down the street while many watch on the sides.</t>
  </si>
  <si>
    <t>Several people are seen speaking to the camera as more shots are shown of people running.</t>
  </si>
  <si>
    <t>People cheer others on on the sides as well as marching bands playing and people still running.</t>
  </si>
  <si>
    <t>v_Ayix_aDOrzs</t>
  </si>
  <si>
    <t>A girl is shown looking at several pictures of hairstyle and leads into another cutting one's hair.</t>
  </si>
  <si>
    <t>The kids sits patiently with a towel on her head and speaking to the camera.</t>
  </si>
  <si>
    <t>A goldfish is shown followed by a man cutting and styling her hair.</t>
  </si>
  <si>
    <t>The man cuts the girl's hair and styles it into an adorable look.</t>
  </si>
  <si>
    <t>The girl smiles and leaves the hair salon looking happy.</t>
  </si>
  <si>
    <t>v_4q7LmVSgIPk</t>
  </si>
  <si>
    <t>A person is talking on camera while showing various tools on the ground.</t>
  </si>
  <si>
    <t>A person is putting objects in front of a tire to move the car.</t>
  </si>
  <si>
    <t>A person drives the car over the object to move it.</t>
  </si>
  <si>
    <t>The tire is now sitting on top of an object and they take it off.</t>
  </si>
  <si>
    <t>A person brings out an old bike and talk about what needs to be done.</t>
  </si>
  <si>
    <t>v_W0RYvQUUNe0</t>
  </si>
  <si>
    <t>The person is parasailing the water.</t>
  </si>
  <si>
    <t>As the person sail, he started to bounce on the water.</t>
  </si>
  <si>
    <t>The person maneuver the sail to turn around.</t>
  </si>
  <si>
    <t>v_SvMIG1JlcMk</t>
  </si>
  <si>
    <t>Women are dancing on a stage.</t>
  </si>
  <si>
    <t>Women are waving flags around behind them.</t>
  </si>
  <si>
    <t>A woman is doing a belly dance in the middle of the stage.</t>
  </si>
  <si>
    <t>v_IeqBzYDyHGQ</t>
  </si>
  <si>
    <t>The video begins with shots of people cheering as well as several shots of players standing on a sand pit.</t>
  </si>
  <si>
    <t>The crowd is seen doing the wave and continues to cheer as the camera shows various clips of a soccer match going on.</t>
  </si>
  <si>
    <t>v_soDdkeamoMM</t>
  </si>
  <si>
    <t>A boy is swinging back and forth.</t>
  </si>
  <si>
    <t>The boy then falls on his face and cries.</t>
  </si>
  <si>
    <t>v_H2-rEH9TXR4</t>
  </si>
  <si>
    <t>A woman in blue shorts hands a man a dart.</t>
  </si>
  <si>
    <t>A man in a white hat throws a dart at a board.</t>
  </si>
  <si>
    <t>The woman walks up to the board.</t>
  </si>
  <si>
    <t>v_ztogHoQpE4A</t>
  </si>
  <si>
    <t>A man is working over the back of a trailer.</t>
  </si>
  <si>
    <t>He is welding the metal between two pieces of wood.</t>
  </si>
  <si>
    <t>Sparks fly as he works, crouching down on the sidewalk.</t>
  </si>
  <si>
    <t>v_rHWOESWciSc</t>
  </si>
  <si>
    <t>A man in a chef's outfit is talking in a kitchen while holding a potato.</t>
  </si>
  <si>
    <t>A man is working behind him as he peels the potato with a tool.</t>
  </si>
  <si>
    <t>He peels extremely fast, finishing in seconds.</t>
  </si>
  <si>
    <t>v_ZjbBmS8Q8kM</t>
  </si>
  <si>
    <t>First different kinds pool balls are shown lined up.</t>
  </si>
  <si>
    <t>Then the boy starts to play pool all by himself with the balls.</t>
  </si>
  <si>
    <t>v_kdQfR6oqJ_M</t>
  </si>
  <si>
    <t>There are several jockey riding brown horses in a stadium during a derby event.</t>
  </si>
  <si>
    <t>There crowd is cheering loudly as they stand with straw hats and umbrellas.</t>
  </si>
  <si>
    <t>The jockeys are getting ready to play polo as they move around with their sticks.</t>
  </si>
  <si>
    <t>A woman cheers loudly in the camera.</t>
  </si>
  <si>
    <t>The jockeys ride slowly around the field.</t>
  </si>
  <si>
    <t>v_fX3tcnTdAN4</t>
  </si>
  <si>
    <t>The boys lacrosse team is shown working out.</t>
  </si>
  <si>
    <t>They are then running drills on the gravel.</t>
  </si>
  <si>
    <t>Next, the team is in a scrimmage on the field.</t>
  </si>
  <si>
    <t>After that they were shown playing an actual game, running back and forth.</t>
  </si>
  <si>
    <t>Lastly a few members are at a professional game.</t>
  </si>
  <si>
    <t>v_1gradpCDbPU</t>
  </si>
  <si>
    <t>A woman is seen bending over a sink with a small child next to her.</t>
  </si>
  <si>
    <t>The woman and child stick their hands under a sink to wash them off.</t>
  </si>
  <si>
    <t>The woman dries the girls hands in the end and shows her putting lotion on.</t>
  </si>
  <si>
    <t>v_zgdT41KjjrE</t>
  </si>
  <si>
    <t>A guy stands next to horses with a clipboard.</t>
  </si>
  <si>
    <t>A guy walks under a horse fence.</t>
  </si>
  <si>
    <t>A person leads a horse.</t>
  </si>
  <si>
    <t>The guy gets on top of the horse.</t>
  </si>
  <si>
    <t>The guy pats the horse and goes horseback riding.</t>
  </si>
  <si>
    <t>People go horseback riding down a trail.</t>
  </si>
  <si>
    <t>v_aRurjtzwmS8</t>
  </si>
  <si>
    <t>A shot of a building leads into a 3d game of men sumo wrestling.</t>
  </si>
  <si>
    <t>The game continues on with the characters fighting and a ref watching on the side.</t>
  </si>
  <si>
    <t>The game ends and shows more pictures of men sumo wrestling and pointing.</t>
  </si>
  <si>
    <t>v_JMIvoKPtxRA</t>
  </si>
  <si>
    <t>A red, white and black intro has a logo and the words and letter W2K15.</t>
  </si>
  <si>
    <t>The video game begins and there are 3 characters against 1 character and they are wrestling in a rink performing numerous tricks like strangling, hitting, running into the character to make them fall, or picking them up and then slamming them down to the ground while the referee is standing in the corner.</t>
  </si>
  <si>
    <t>A new round begins with different characters wrestling and the referee tries to stop them but one of the characters picks the referee up and then slams him to the ground where he lays there for a few seconds.</t>
  </si>
  <si>
    <t>The referee gets up and then kicks one of the characters out of the rink then he drops on the ground to bang his hand on the rink to end the wresting round.</t>
  </si>
  <si>
    <t>The outro video begins and it's the same as the intro video.</t>
  </si>
  <si>
    <t>v_Zest0gXEWEc</t>
  </si>
  <si>
    <t>A logo for "The Galley" with the tagline "Reinventing the Kitchen" briefly appears.</t>
  </si>
  <si>
    <t>The scene is narrated by a female speaker.</t>
  </si>
  <si>
    <t>A woman with blond hair prepares a sink dishwashing station with a hanging sink and drying bars above a metal channel.</t>
  </si>
  <si>
    <t>The woman washes glasses, plates and knives and then places each on the racks to dry.</t>
  </si>
  <si>
    <t>The woman finishes by pulling the plug on the hanging sink allowing the water to flow away in the channel underneath.</t>
  </si>
  <si>
    <t>"The Galley" logo appears again.</t>
  </si>
  <si>
    <t>v_tETVZtWqdDs</t>
  </si>
  <si>
    <t>woman is in the news talking to the camera about a hand sunscreen.</t>
  </si>
  <si>
    <t>woman is holding a sunscreen tube and put it in her arms, hands and face and the woman in studio keeps talkin about the natural sunscreen.</t>
  </si>
  <si>
    <t>v_LmEUkoYh0nQ</t>
  </si>
  <si>
    <t>A text intro leads into several shots of a pumpkin as well as tools followed by a man carving the pumpkin.</t>
  </si>
  <si>
    <t>The man draws and cuts away all around the front of the pumpkin while moving in fast motion.</t>
  </si>
  <si>
    <t>The man finishes his pumpkin and the camera pans all around the side.</t>
  </si>
  <si>
    <t>v_KqOLTkf5ujs</t>
  </si>
  <si>
    <t>a man is standing outside with a paint pan.</t>
  </si>
  <si>
    <t>He talks as he demonstrates how to paint outdoor wood.</t>
  </si>
  <si>
    <t>He shows off a paint roller.</t>
  </si>
  <si>
    <t>He continues talking about the process as he stands there.</t>
  </si>
  <si>
    <t>v_1DvNkSGk-JA</t>
  </si>
  <si>
    <t>A man is holding onto a bar as he is standing on a water ski.</t>
  </si>
  <si>
    <t>He is being pulled through the water by a motor boat.</t>
  </si>
  <si>
    <t>He is water skiing over a long lake, trying to remain upright.</t>
  </si>
  <si>
    <t>v_WUYSGCwm6OM</t>
  </si>
  <si>
    <t>A woman in a bathrobe facing a mirror cleans her hands.</t>
  </si>
  <si>
    <t>The camera cuts to closeup scenes of her fingers picking up a contact lens and holding it up.</t>
  </si>
  <si>
    <t>The camera briefly cuts to the woman's face before returning.</t>
  </si>
  <si>
    <t>The woman puts the contact lens on her eye.</t>
  </si>
  <si>
    <t>The woman applies contact lens solution into her lens carrying case.</t>
  </si>
  <si>
    <t>The woman washes her hands.</t>
  </si>
  <si>
    <t>The woman removes the contact lens from her eye.</t>
  </si>
  <si>
    <t>The woman places the lens on her palm and, using solution, cleans it.</t>
  </si>
  <si>
    <t>The woman places the lens into the case and adds solution.</t>
  </si>
  <si>
    <t>The woman begins to leave the camera frame.</t>
  </si>
  <si>
    <t>v_XPN_PSadJ_A</t>
  </si>
  <si>
    <t>A person is seen sitting on a bike before a track looking down.</t>
  </si>
  <si>
    <t>The man then begins riding down the track with several others riding in front.</t>
  </si>
  <si>
    <t>The person rides all around the area and ends with a go pro logo.</t>
  </si>
  <si>
    <t>v_8TNzCiy8iaY</t>
  </si>
  <si>
    <t>A man wearing a suit in the city walks down the streets of new york and meets up with another man who likes just like him.</t>
  </si>
  <si>
    <t>The men compare items and then perform a dance routine in the center.</t>
  </si>
  <si>
    <t>The men grabs hands to end the routine then walk away from one another.</t>
  </si>
  <si>
    <t>v_MmYNcmba_Ps</t>
  </si>
  <si>
    <t>An athlete is seen walking forward while shaking her arms and legs around and adjusting her swim suit.</t>
  </si>
  <si>
    <t>The girl bends forward and performs a dive into the pool while the camera pans back to a scoreboard.</t>
  </si>
  <si>
    <t>v__5UtmlGMIUc</t>
  </si>
  <si>
    <t>A man has his foot up on the toilet.</t>
  </si>
  <si>
    <t>He starts shaving his leg with a shaver.</t>
  </si>
  <si>
    <t>He pulls up his pants and starts shaving his other leg.</t>
  </si>
  <si>
    <t>v_FhWxgGQtCJY</t>
  </si>
  <si>
    <t>A man is shoveling up some mulch into a wheel barrel.</t>
  </si>
  <si>
    <t>He brings the wheel barrel over and dumps it in a pile where a woman is using a rake to spread it evenly out.</t>
  </si>
  <si>
    <t>They continue to bring over loads of the mulch and a man dumps over a little tractor of dirt.</t>
  </si>
  <si>
    <t>He rides off on the little deer john tractor while the others continue raking.</t>
  </si>
  <si>
    <t>v_pKOwZrmQan4</t>
  </si>
  <si>
    <t>A person is seen walking around a field followed by several shots off the field and people watching on the sides.</t>
  </si>
  <si>
    <t>The video transitions into several shots of trainers doing tricks with their dogs using frisbees.</t>
  </si>
  <si>
    <t>The people continuously throw the frisbee around the field while the dog chases afterwards and runs around the field.</t>
  </si>
  <si>
    <t>v_n7AaZhEOJSY</t>
  </si>
  <si>
    <t>The video begins with a man performing various ballet moves while the camera follows and repeats in slow motion.</t>
  </si>
  <si>
    <t>The man interviews the camera and leads into another dancer performing steps.</t>
  </si>
  <si>
    <t>Several more people are seen performing dance moves and speaking to the camera.</t>
  </si>
  <si>
    <t>v_qi_6u0mMJQM</t>
  </si>
  <si>
    <t>A person shows a piece of furniture.</t>
  </si>
  <si>
    <t>Then, the person covers a wood box with carpet and cuts the leftovers.</t>
  </si>
  <si>
    <t>Then, the person fold the carpet on the borders and cut the parts not needed.</t>
  </si>
  <si>
    <t>v_MOBJ_kpzHc0</t>
  </si>
  <si>
    <t>A caucasion woman is standing in the kitchen talking to a toddler and they begin banging their fist on the island.</t>
  </si>
  <si>
    <t>A red screen appears with a picture of lemonade and the two reappear.</t>
  </si>
  <si>
    <t>The lady begins talking extremely energetic to the camera.</t>
  </si>
  <si>
    <t>The two then begin dumping ingredients into a blender,beginning with strawberries and ending with syrup.</t>
  </si>
  <si>
    <t>Lastly,the toddler dumps a cup of ice in the blender and the lady blends the ingredients.</t>
  </si>
  <si>
    <t>Once done,the lady grabs two cups and fills them up and the two of them enjoy a drink together.</t>
  </si>
  <si>
    <t>v_F54PZypvzCc</t>
  </si>
  <si>
    <t>A little boy is standing in a living room.</t>
  </si>
  <si>
    <t>He is throwing darts at a target.</t>
  </si>
  <si>
    <t>He walks over and removes the darts before trying again.</t>
  </si>
  <si>
    <t>v_GvRPOGpObyU</t>
  </si>
  <si>
    <t>Alcohol is shown being poured into a glass and leads into a woman holding up a glass and pouring ice into it.</t>
  </si>
  <si>
    <t>The woman then pours various alcohol mixes into the glass and ends by presenting the glass to the camera.</t>
  </si>
  <si>
    <t>v_p4KNKI2UZLc</t>
  </si>
  <si>
    <t>An American gymnast climbs the balance beam, the she performs four flips backwards and one flip forward.</t>
  </si>
  <si>
    <t>Then, the gymnast spins backward one time on her side, then she jumps and flips two times backwards.</t>
  </si>
  <si>
    <t>After the gymnast jumps, spins and turns.</t>
  </si>
  <si>
    <t>The gymnast stands on the end of the beam, then she runs and flips to times and end stand on the mat.</t>
  </si>
  <si>
    <t>After, the gymnast raise her arms and she is congratulated by people.</t>
  </si>
  <si>
    <t>The routine of the gymnast is repeated again.</t>
  </si>
  <si>
    <t>v_cqxrPBGP4nU</t>
  </si>
  <si>
    <t>A before and after picture of a sink is shown.</t>
  </si>
  <si>
    <t>A person is then shown putting cleaner on a sponge and scrubbing a sink.</t>
  </si>
  <si>
    <t>The cleaning products and the clean sink are then shown.</t>
  </si>
  <si>
    <t>v_9ntzCNcFTKM</t>
  </si>
  <si>
    <t>Six children wearing white clothing and orange belts are in a room with others watching.</t>
  </si>
  <si>
    <t>A man yells an order and the children demonstrate their Taekwondo.</t>
  </si>
  <si>
    <t>The man yells again and the children line up and bow.</t>
  </si>
  <si>
    <t>The children demonstrate poses as the man orders them.</t>
  </si>
  <si>
    <t>They then perform more martial arts moves.</t>
  </si>
  <si>
    <t>They return to the line they were standing in previously.</t>
  </si>
  <si>
    <t>They demonstrate additional moves including kicks and punches.</t>
  </si>
  <si>
    <t>They line up again and bow for a second time.</t>
  </si>
  <si>
    <t>v_K5X_ytiMuqc</t>
  </si>
  <si>
    <t>A girl talks to a camera shes holding on followed by shots of a store and her dog in a car.</t>
  </si>
  <si>
    <t>She records several items shown around the store and then herself in a bikini.</t>
  </si>
  <si>
    <t>She puts the lotion on herself standing in front of a lake and smiling into the camera.</t>
  </si>
  <si>
    <t>v_Mg8y0rgD16M</t>
  </si>
  <si>
    <t>Several pictures of various foods are shown and leads into a person cutting foods on a cutting board.</t>
  </si>
  <si>
    <t>More pictures are shown while the man cuts up vegetables and mixes them into a bowl.</t>
  </si>
  <si>
    <t>He stirs around the ingredients and more pictures of the foods are shown.</t>
  </si>
  <si>
    <t>v_yjQ-0AGqFS4</t>
  </si>
  <si>
    <t>We see a boy playing drums in an instrument store.</t>
  </si>
  <si>
    <t>We see a man across the room playing drums.</t>
  </si>
  <si>
    <t>We see a girl, another boy, and the dad.</t>
  </si>
  <si>
    <t>We see the man across the room, then the boy.</t>
  </si>
  <si>
    <t>The boy in stripes touches something on the drums.</t>
  </si>
  <si>
    <t>We see the boy and the man at the same time.</t>
  </si>
  <si>
    <t>The boy in the stripes shirt rocks back and forth.</t>
  </si>
  <si>
    <t>The boy finishes and looks at the camera.</t>
  </si>
  <si>
    <t>v_V3dTp7_NyiE</t>
  </si>
  <si>
    <t>a man is working outside in a garden.</t>
  </si>
  <si>
    <t>He uses trimmers to cut pieces of a plant.</t>
  </si>
  <si>
    <t>When he is done, the plant is fully trimmed.</t>
  </si>
  <si>
    <t>v_qBEdCDpoeTc</t>
  </si>
  <si>
    <t>A blue screen flashes with yellow writing with a title page and several paragraphs.</t>
  </si>
  <si>
    <t>A man then appears in a cage with a circle in it spinning in circles before he throws a shot put.</t>
  </si>
  <si>
    <t>The video replays and it stops as he makes the correct steps to throw the ball beginning with the shoulder and following through with the rest of the body.</t>
  </si>
  <si>
    <t>v_kQoGS3YjBXk</t>
  </si>
  <si>
    <t>A man is shown speaking to the camera and leads into him standing in front of a bike frame.</t>
  </si>
  <si>
    <t>He points to the frame while speaking to the camera and leads into him screwing objects into place.</t>
  </si>
  <si>
    <t>The person continues to screw the frame as well as the chain while turning and speaking to the camera.</t>
  </si>
  <si>
    <t>v_rFx-j3NhSgI</t>
  </si>
  <si>
    <t>An empty gymnasium is shown when a girl hits a button the computer and begins starting a routine.</t>
  </si>
  <si>
    <t>She twirls around the gym floor with a baton and moves her arms around.</t>
  </si>
  <si>
    <t>She kicks her legs continuously with her arms.</t>
  </si>
  <si>
    <t>v_gIzsM5cv7XM</t>
  </si>
  <si>
    <t>A young girl is standing in the room in a black cami and black and white legs preparing talking.</t>
  </si>
  <si>
    <t>She is then shown talking to a young girl with a pink sweater and black skirt and multiple games of rock paper scissors are being played between her and two other girls.</t>
  </si>
  <si>
    <t>The girl with the pink sweater wins and she sits on the girls face.</t>
  </si>
  <si>
    <t>Afterwards,the three girls stand together and start talking to the camera.</t>
  </si>
  <si>
    <t>v_L2J_QI2_qms</t>
  </si>
  <si>
    <t>women are making some gymnasic jumps in a hallway.</t>
  </si>
  <si>
    <t>men and women are in department stores doing gymnastics jumps.</t>
  </si>
  <si>
    <t>woman is making a hand stand ni a parking lot and on stores.</t>
  </si>
  <si>
    <t>man is sanding in a fence in a mall looking o the first floor.</t>
  </si>
  <si>
    <t>v_flfLCoLHm2k</t>
  </si>
  <si>
    <t>A girl waves to the camera and begins speaking followed by various ingredients laid out.</t>
  </si>
  <si>
    <t>The girl then puts the ingredients on a plate and puts saran wrap over the food.</t>
  </si>
  <si>
    <t>She mixes up the food with other ingredients followed by bread on top and cut into pieces.</t>
  </si>
  <si>
    <t>She takes a bite of the food and eventually leads to pictures of her food next to a cup of tea.</t>
  </si>
  <si>
    <t>v_LeSq1XE93mE</t>
  </si>
  <si>
    <t>A band is shown on a stage.</t>
  </si>
  <si>
    <t>A man is playing guitar, and the man to his right is playing the drums.</t>
  </si>
  <si>
    <t>The person in front of them is dancing and singing.</t>
  </si>
  <si>
    <t>v_l5xW6UZWwBs</t>
  </si>
  <si>
    <t>There two old men wearing straw hats, dressed in t-shirts and shorts getting ready to play shuffleboard.</t>
  </si>
  <si>
    <t>There two other men standing a few yards away with their cue sticks.</t>
  </si>
  <si>
    <t>A woman with gray hair and a yellow shirt is seen playing shuffleboard.</t>
  </si>
  <si>
    <t>There are two discs on the ground that get hit by another disc.</t>
  </si>
  <si>
    <t>Several spectators are watching a shuffleboard event where various people are competing and playing.</t>
  </si>
  <si>
    <t>One of the players adjusts his discs before hitting it with the cue stick.</t>
  </si>
  <si>
    <t>v_vJyJG6Lvy9Q</t>
  </si>
  <si>
    <t>White text appears on a blue background.</t>
  </si>
  <si>
    <t>A girl in makeup and cheerleading outfit is shown at a game.</t>
  </si>
  <si>
    <t>Then we see a gymnast doing flips across a mat before doing a back handspring in several different styles.</t>
  </si>
  <si>
    <t>v_j8bfR_d_TlM</t>
  </si>
  <si>
    <t>A person makes a jack o lantern.</t>
  </si>
  <si>
    <t>First they cut the top off of a green pumpkin and scoop the seeds and other stuff out.</t>
  </si>
  <si>
    <t>The remaining insides are cut and scraped off with an ice cream scoop.</t>
  </si>
  <si>
    <t>A design is drawn on the pumpkin and then cut out.</t>
  </si>
  <si>
    <t>The inside of the pumpkin gets sprayed with mold remover and patted dry.</t>
  </si>
  <si>
    <t>A candle is placed inside and lit and the lid is put back on.</t>
  </si>
  <si>
    <t>With the lights turned down the jack o lantern can be viewed.</t>
  </si>
  <si>
    <t>v_I8m878YGmU8</t>
  </si>
  <si>
    <t>The video leads into several shots of olympic runners completing long jumps into pits of sand.</t>
  </si>
  <si>
    <t>The video continues on showing several different runners completing their jumps and them cheering to the crowd afterwards.</t>
  </si>
  <si>
    <t>v_ZDlw4L7oNfs</t>
  </si>
  <si>
    <t>Two people are chilling out on their skateboards.</t>
  </si>
  <si>
    <t>They fix some of the parts and then go skating around.</t>
  </si>
  <si>
    <t>v_8B3qhnSB7U8</t>
  </si>
  <si>
    <t>A woman is seen sitting in a chair laughing while a man points in front of her.</t>
  </si>
  <si>
    <t>The man then holds a gun up to her nose and pierces her nose.</t>
  </si>
  <si>
    <t>A woman plays with the girls hair while speaking to the girl and showing off her nose piercing.</t>
  </si>
  <si>
    <t>v_1ZuUq5rVwPs</t>
  </si>
  <si>
    <t>A carpenter sprays a ceiling with paint.</t>
  </si>
  <si>
    <t>A second carpenter smooths out the paint on the ceiling.</t>
  </si>
  <si>
    <t>The first carpenter sprays paint all over the ceiling.</t>
  </si>
  <si>
    <t>A couple of carpenters smooth out the paint on the ceiling.</t>
  </si>
  <si>
    <t>One of the carpenters is seen spraying the ceiling and stops for a second to move a light.</t>
  </si>
  <si>
    <t>The painting continues as well as the smoothing out of the paint.</t>
  </si>
  <si>
    <t>v_kWh_zSLpZuQ</t>
  </si>
  <si>
    <t>Kids are shown playing basketball on a court.</t>
  </si>
  <si>
    <t>The coach is talking to them and trying to tell them how to play.</t>
  </si>
  <si>
    <t>The kids perform lay ups.</t>
  </si>
  <si>
    <t>v_Tm1ebIrDyz0</t>
  </si>
  <si>
    <t>We see a girl run and perform a high jump and make it over the bar.</t>
  </si>
  <si>
    <t>We then see a replay and and slow motion replay.</t>
  </si>
  <si>
    <t>v_agX22QLvOcU</t>
  </si>
  <si>
    <t>A man is dribbling a basketball.</t>
  </si>
  <si>
    <t>He jumps and shoots the basketball into the hoop.</t>
  </si>
  <si>
    <t>Words are shown on the screen at the end.</t>
  </si>
  <si>
    <t>v_G4mX4StOvQE</t>
  </si>
  <si>
    <t>A woman is kneeling down on a blue mat.</t>
  </si>
  <si>
    <t>A man stands behind her talking.</t>
  </si>
  <si>
    <t>The woman starts moving her legs and arms.</t>
  </si>
  <si>
    <t>v_u_RzyIJi8qc</t>
  </si>
  <si>
    <t>Two men are standing outside with a crowd of people lifting weights and exercising.</t>
  </si>
  <si>
    <t>Many people begin to film the guys on their phone,the weight lifting continues and several people come back to do interviews.</t>
  </si>
  <si>
    <t>More people are shown and then a logo comes that is sponsored by Reebok.</t>
  </si>
  <si>
    <t>v_osLHgm_yuMc</t>
  </si>
  <si>
    <t>People are running around playing paintball.</t>
  </si>
  <si>
    <t>A man falls into a large puddle of mud.</t>
  </si>
  <si>
    <t>A man falls down and another man runs up to check on him.</t>
  </si>
  <si>
    <t>v_EgPk-mmJyS8</t>
  </si>
  <si>
    <t>A woman is seen speaking to the camera and leads into her laying out a paid of shorts.</t>
  </si>
  <si>
    <t>She then demonstrates how to properly iron the clothing items.</t>
  </si>
  <si>
    <t>v_0dgmG3h9RLA</t>
  </si>
  <si>
    <t>A person is playing bagpipes out in a park.</t>
  </si>
  <si>
    <t>A man and two boys watching from a far.</t>
  </si>
  <si>
    <t>The camera shoots areas all around the park while the bagpipes play.</t>
  </si>
  <si>
    <t>v_8im-T1bsyHs</t>
  </si>
  <si>
    <t>An athlete is seen running down a large track and throwing a javelin into the air.</t>
  </si>
  <si>
    <t>Her throw is shown again in slow motion followed by several more athletes who take their turns.</t>
  </si>
  <si>
    <t>v_81w6SClSFMU</t>
  </si>
  <si>
    <t>We see an opening title screens.</t>
  </si>
  <si>
    <t>People are working on cameras in a workshop.</t>
  </si>
  <si>
    <t>We see them mount it to a tube.</t>
  </si>
  <si>
    <t>the lady then dances the hula hoop with the tube.</t>
  </si>
  <si>
    <t>We see a blonde man making adjustments to the tube.</t>
  </si>
  <si>
    <t>We see the closing end screen.</t>
  </si>
  <si>
    <t>v_NxnEKnqWLCI</t>
  </si>
  <si>
    <t>A camera pans around a group of people sitting at a table followed by a man holding a surf board.</t>
  </si>
  <si>
    <t>The man carries the board out onto the water and begins riding the water.</t>
  </si>
  <si>
    <t>The person continues to ride around following behind another person on the water.</t>
  </si>
  <si>
    <t>v_Sh8JODtAMhc</t>
  </si>
  <si>
    <t>Various shots of a theme park are shown including rides moving, people playing games, and other people interacting with one another.</t>
  </si>
  <si>
    <t>Two men are then shown driving around an area on bumper cars while laughing to the camera and others speaking to the camera.</t>
  </si>
  <si>
    <t>The men continue riding around and ends with a woman pulling down a cover for the game.</t>
  </si>
  <si>
    <t>v_9ZnJyY_-Hzw</t>
  </si>
  <si>
    <t>A man walks across a tightrope, as seen from the view of the underside of the rope.</t>
  </si>
  <si>
    <t>A pan out of the river and a ferry is seen in Hong Kong.</t>
  </si>
  <si>
    <t>A man puts on a show as he balances in several different positions on a tightrope for a small crowd.</t>
  </si>
  <si>
    <t>Another man joins him,and they balance,walk, and do push ups.</t>
  </si>
  <si>
    <t>v_lHnSteuHdZ4</t>
  </si>
  <si>
    <t>A person is walking slow on ice,trying to to crack it.</t>
  </si>
  <si>
    <t>the person made many mid size hole in the ice and have fishing line hanging deep in the water underneath.</t>
  </si>
  <si>
    <t>the person walking to one of the hole and checks the fishing line to see if he caught nay fish.</t>
  </si>
  <si>
    <t>the guy then pulls hard on the fishing line and drags it in.</t>
  </si>
  <si>
    <t>finally he uses a long metal hook to hook the fish he caught and brings it out the hole.</t>
  </si>
  <si>
    <t>he then unhooks the long hook and use his tools to unhook the small fishing hook the the fish mouth leaving the fish bloody.</t>
  </si>
  <si>
    <t>v__nvQDglPcmc</t>
  </si>
  <si>
    <t>water polo team is standing by the pool talking to the camera.</t>
  </si>
  <si>
    <t>man jumps in the water and is holding a ball and sart playing in the pool.</t>
  </si>
  <si>
    <t>v_I637SOXSbHY</t>
  </si>
  <si>
    <t>A man bends down and picks up two kettle bells.</t>
  </si>
  <si>
    <t>He raises and lowers the kettle bells.</t>
  </si>
  <si>
    <t>He puts them down on the grass in front of him.</t>
  </si>
  <si>
    <t>v__s20ZN8WZbo</t>
  </si>
  <si>
    <t>A man stands behind a bar with several mixed drinks.</t>
  </si>
  <si>
    <t>He pours ice into a glass and tops it with different liquors.</t>
  </si>
  <si>
    <t>He then adds a small straw.</t>
  </si>
  <si>
    <t>v_RlC3n0VSGOU</t>
  </si>
  <si>
    <t>An intro leads into clips of people riding surfboards on the water as well as jet skis.</t>
  </si>
  <si>
    <t>The camera pans around the area and continues to show more clips of people surfing.</t>
  </si>
  <si>
    <t>A close up of a surf board is shown followed by many more people surfing on the water.</t>
  </si>
  <si>
    <t>v_HfjvlIAEsJY</t>
  </si>
  <si>
    <t>A screen appears with bike spokes as the background and red words that read "Overhauling &amp; Adjusting Cup &amp; Cone Hubs" and a website in gray right under the red words.</t>
  </si>
  <si>
    <t>A man then enters and from behind he uses tools on the hub to take it apart, clean it thoroughly, grease it, then he puts it all back together and makes sure everything is secured tight.</t>
  </si>
  <si>
    <t>The outro is a spinning wheel with fast scrolling words going from the bottom to the top then it quickly fades to a black screen.</t>
  </si>
  <si>
    <t>v_ObU5as8-u-s</t>
  </si>
  <si>
    <t>To teams play hurling in a field while holding stick.</t>
  </si>
  <si>
    <t>A woman stand and a lady walk on front a bench.</t>
  </si>
  <si>
    <t>The referee extend his left arm.</t>
  </si>
  <si>
    <t>v_gK71Ut9XQ-Y</t>
  </si>
  <si>
    <t>Various shots of tools are shown that lead into a man sitting down holding a guitar.</t>
  </si>
  <si>
    <t>The man then strums the guitar for a bit and pauses.</t>
  </si>
  <si>
    <t>He is then shown playing again as well as more tools being shown.</t>
  </si>
  <si>
    <t>v_wfy5UXaAVnQ</t>
  </si>
  <si>
    <t>Multiple groups of people in boats are out exploring a river.</t>
  </si>
  <si>
    <t>Wind blows the trees in the Grand Canyon.</t>
  </si>
  <si>
    <t>A group of people on a white boat paddle away at the waters in the river.</t>
  </si>
  <si>
    <t>Multiple groups battle high violent waters.</t>
  </si>
  <si>
    <t>At one point, the violent waters seem to almost topple one of the groups.</t>
  </si>
  <si>
    <t>A brave, single kayaker paddles away at the waters.</t>
  </si>
  <si>
    <t>v_pExl_cwmT8M</t>
  </si>
  <si>
    <t>A middle aged man is standing in the street wearing rollerblades.</t>
  </si>
  <si>
    <t>The man precisely skates in-between a tight row of small cones.</t>
  </si>
  <si>
    <t>The man does a handstand after completing the course and goes back to the beginning.</t>
  </si>
  <si>
    <t>v_iH8eHkIHrg4</t>
  </si>
  <si>
    <t>Two men walk along the beach with their surfboards.</t>
  </si>
  <si>
    <t>They enter the water and the surfer with the white board catches a wave.</t>
  </si>
  <si>
    <t>White board catches another wave as the blue board opts out, more waves taken by white board are shown.</t>
  </si>
  <si>
    <t>The surfer on the blue board catches a few waves.</t>
  </si>
  <si>
    <t>The white board surfer is shown gliding across more waves, clearly like an expert.</t>
  </si>
  <si>
    <t>v_Bl2Hqx3h9Fw</t>
  </si>
  <si>
    <t>A series of screens appear with white and purple words in paragraph form.</t>
  </si>
  <si>
    <t>A person is then shown walking out to the car with a utensil taking the snow off of the glass.</t>
  </si>
  <si>
    <t>Then another screen appears with white words and displays a sentence and the location.</t>
  </si>
  <si>
    <t>v_iUOCQ9sE2_A</t>
  </si>
  <si>
    <t>Two people are seen standing on a mat and begin fighting one another.</t>
  </si>
  <si>
    <t>The men pause for a moment and continue fighting on while people watch on the side.</t>
  </si>
  <si>
    <t>The boys continue fighting and stop in the end.</t>
  </si>
  <si>
    <t>v_brrf2inGs7E</t>
  </si>
  <si>
    <t>A person is seen turning on a faucet and rubbing their hands under the water.</t>
  </si>
  <si>
    <t>The person pushes soap into their hands, watching the soap drip down, and then scrubs their hands.</t>
  </si>
  <si>
    <t>v_-ApIBtH_pVc</t>
  </si>
  <si>
    <t>There's a woman with a hand tattoo and red painted nails attaching and screwing a parts in the trunk of a car to attach the spare tire.</t>
  </si>
  <si>
    <t>Then she places the spare tire into the metal case.</t>
  </si>
  <si>
    <t>She takes the plastic dial and screws it in securely to fit the spare tire in the trunk.</t>
  </si>
  <si>
    <t>She places the cover over the tire inside the trunk.</t>
  </si>
  <si>
    <t>v_pON-g7IJKEY</t>
  </si>
  <si>
    <t>There are many kids ranging from toddlers to teenagers enjoying themselves at a backyard birthday party.</t>
  </si>
  <si>
    <t>There is a Disney princess piñata hanging from a tree.</t>
  </si>
  <si>
    <t>The kids are enjoying hitting the piñata with a blue stick.</t>
  </si>
  <si>
    <t>they kids take turns to hit the piñata.</t>
  </si>
  <si>
    <t>A little girl dressed in a purple skirt tries to tear the piñata by hitting it hard with the stick.</t>
  </si>
  <si>
    <t>v_Mil3AyFfjX4</t>
  </si>
  <si>
    <t>A young child is seen standing before a shuffleboard table holding a stick.</t>
  </si>
  <si>
    <t>The boy then pushes the puck across the game.</t>
  </si>
  <si>
    <t>The camera follows the pucks movements and leads back to the boy.</t>
  </si>
  <si>
    <t>v_4xmQoAK3QNc</t>
  </si>
  <si>
    <t>A man hits a ball with a bat.</t>
  </si>
  <si>
    <t>Three men stand on a field.</t>
  </si>
  <si>
    <t>One man throws a ball on the field.</t>
  </si>
  <si>
    <t>Three men flip a coin.</t>
  </si>
  <si>
    <t>v_0PnAEoMx-v0</t>
  </si>
  <si>
    <t>A person is playing an acoustic guitar.</t>
  </si>
  <si>
    <t>There is a Christmas tree behind him.</t>
  </si>
  <si>
    <t>A logo with words comes onto the screen.</t>
  </si>
  <si>
    <t>v_uINj6L2EEUs</t>
  </si>
  <si>
    <t>Different views around a city are seen.</t>
  </si>
  <si>
    <t>A large crowd is seen cheering inside a large auditorium.</t>
  </si>
  <si>
    <t>Athletes walk together through a hallway then stand on logs and chop through them in a competition.</t>
  </si>
  <si>
    <t>Two athletes walk through wearing green and orange jerseys then saw through large logs in a competition.</t>
  </si>
  <si>
    <t>The judge inspects the log and declares a winner to the crowds delight.</t>
  </si>
  <si>
    <t>Two athletes walk through a hallway then chop an upright log in a competition.</t>
  </si>
  <si>
    <t>Cheerleaders enter through a hallway then dance on stage.</t>
  </si>
  <si>
    <t>Two athletes enter through a hallway then use a hand saw to cut through a log.</t>
  </si>
  <si>
    <t>Two athletes enter through a hallway then place boards into a log to stand on while chopping it down.</t>
  </si>
  <si>
    <t>Athletes compete in a chainsaw competition and saw through large logs before congratulating each other.</t>
  </si>
  <si>
    <t>The winner is seen holding a trophy along with runners up and the crowd cheers.</t>
  </si>
  <si>
    <t>v_Xv2-EY_zKNM</t>
  </si>
  <si>
    <t>These 2 different teams are running on the field because they're playing shinty.</t>
  </si>
  <si>
    <t>Only half of the crowd is filled with people, while the other side is empty with no one there to watch anything.</t>
  </si>
  <si>
    <t>In the end, someone wins and people in the crowd clap and cheer.</t>
  </si>
  <si>
    <t>v_T3CHT7rQQVc</t>
  </si>
  <si>
    <t>A man is seated with an electric guitar.</t>
  </si>
  <si>
    <t>He is speaking to the camera, then he starts playing.</t>
  </si>
  <si>
    <t>Another man plays the chords on a table.</t>
  </si>
  <si>
    <t>v_P_b6_k2ocYw</t>
  </si>
  <si>
    <t>A woman in a hat and a vest stands buy a cart.</t>
  </si>
  <si>
    <t>She is crocheting something black and white.</t>
  </si>
  <si>
    <t>A car drives by the cart.</t>
  </si>
  <si>
    <t>Another person reaches into the car.</t>
  </si>
  <si>
    <t>v_OSw73cXwjR4</t>
  </si>
  <si>
    <t>A person wearing a hat is sitting no a couch.</t>
  </si>
  <si>
    <t>They begin playing an accordion.</t>
  </si>
  <si>
    <t>They are pointing at buttons on the accordion with a screwdriver.</t>
  </si>
  <si>
    <t>v_P5lLZ_jsA2o</t>
  </si>
  <si>
    <t>A gymnast is seen swinging around on a bar doing various flips and tricks across two sets of beams.</t>
  </si>
  <si>
    <t>She continues spinning around and ends with her hands up and her coach clapping.</t>
  </si>
  <si>
    <t>People watch on the sides and her scores are shown in the end.</t>
  </si>
  <si>
    <t>v_Zk4EvGw7cAw</t>
  </si>
  <si>
    <t>There are two high school students in the high school cafeteria standing next to a table where some students are sitting.</t>
  </si>
  <si>
    <t>One of the students is undressing and changing his shorts while the other student in a red shirt is watching him.</t>
  </si>
  <si>
    <t>After the student finishes changing, the boy in the red shirt makes fun of him.</t>
  </si>
  <si>
    <t>The student gets provoked and punches the boy in the red shirt on his face, causing him to fall on the ground on his head.</t>
  </si>
  <si>
    <t>v_ueKSGag6w4Q</t>
  </si>
  <si>
    <t>A woman walks around a stage holding a saxophone.</t>
  </si>
  <si>
    <t>She starts to play the saxophone as she dances.</t>
  </si>
  <si>
    <t>She stops and talks to the crowd again.</t>
  </si>
  <si>
    <t>She starts to play and dance again.</t>
  </si>
  <si>
    <t>v_XZCmkuDKltY</t>
  </si>
  <si>
    <t>A man is seen sitting before a table with a rubix cube on it and his hands on a platform.</t>
  </si>
  <si>
    <t>He then solves the rubix cube in a matter of seconds and shows off his time to the camera.</t>
  </si>
  <si>
    <t>v_96HJ_LqNdkg</t>
  </si>
  <si>
    <t>This girl is doing a video of how to make your white shoes become sparkly clean.</t>
  </si>
  <si>
    <t>You will need a toothbrush, baby powder, a glass cup or bowl, bleach, and q-tips, blowdryer, and water.</t>
  </si>
  <si>
    <t>First she adds water pours a little bit of baby powder into the small bowl and she mixes it up using the toothbrush.</t>
  </si>
  <si>
    <t>She puts the baby powder soaked toothbrush onto the shoe and starts to rub it there.</t>
  </si>
  <si>
    <t>Then she grabs the blowdryer and blowdrys the shoe and scrubs them again.</t>
  </si>
  <si>
    <t>Then she pours bleach into the small bowl that has baby powder in it and she puts the toothbrush in the bowl and rubs it on the shoe again.</t>
  </si>
  <si>
    <t>Finally she wets a cloth with water and wipes the shoe off.</t>
  </si>
  <si>
    <t>v_0ZzKrBk1ac8</t>
  </si>
  <si>
    <t>A man and a woman are arm wrestling on a table.</t>
  </si>
  <si>
    <t>A woman in a white shirt walks past them.</t>
  </si>
  <si>
    <t>The woman wins and walks away.</t>
  </si>
  <si>
    <t>v_AFnEr0_wStU</t>
  </si>
  <si>
    <t>A piercing artist removes a tissue from a woman's nose and wipes part of the nose.</t>
  </si>
  <si>
    <t>The woman holds piercing pliers up against a woman's nose.</t>
  </si>
  <si>
    <t>She pierces a needle through the nose and holds the pliers in place.</t>
  </si>
  <si>
    <t>She removes the pliers from the woman's nose.</t>
  </si>
  <si>
    <t>The woman sitting down speaks.</t>
  </si>
  <si>
    <t>The piercing artist touches the needle and the nose as she screws a nose ring on.</t>
  </si>
  <si>
    <t>The piercing artists arranges the piercing inside the nose with some pliers.</t>
  </si>
  <si>
    <t>The piercing artist touches the piercing.</t>
  </si>
  <si>
    <t>The piercing artists uses a tissue to collect blood around the piercing.</t>
  </si>
  <si>
    <t>A collection of artwork is seen on the wall.</t>
  </si>
  <si>
    <t>The piercing artist continually uses a tissue to wipe blood from the woman's nose.</t>
  </si>
  <si>
    <t>The woman stands up and waves.</t>
  </si>
  <si>
    <t>v_SX075xQ0j6c</t>
  </si>
  <si>
    <t>We see a book on a table.</t>
  </si>
  <si>
    <t>We see image in the book with videos of people knitting.</t>
  </si>
  <si>
    <t>We see a lady teaching two girls.</t>
  </si>
  <si>
    <t>We see a teacher teaching a boy to knit.</t>
  </si>
  <si>
    <t>We see a lady teaching a group of children to knit.</t>
  </si>
  <si>
    <t>v_RPKcM8q74FE</t>
  </si>
  <si>
    <t>A group of kids are in bumper cars.</t>
  </si>
  <si>
    <t>They ride around, trying to hit each other.</t>
  </si>
  <si>
    <t>They bump into the other cars as they go.</t>
  </si>
  <si>
    <t>v_WmPkqkqAxyc</t>
  </si>
  <si>
    <t>A man is seen standing in a large field holding onto a tool.</t>
  </si>
  <si>
    <t>The man then uses the tool on the grass in font of him quickly.</t>
  </si>
  <si>
    <t>The man continues to cut the grass while the camera captures his movement.</t>
  </si>
  <si>
    <t>v_b2uAgV5n3FU</t>
  </si>
  <si>
    <t>A man splits hardwood for use in wood stoves.</t>
  </si>
  <si>
    <t>There are two techniques used, one with an ax and one with a hammer and ax.</t>
  </si>
  <si>
    <t>v_0EDEA8dZeGo</t>
  </si>
  <si>
    <t>First the man sets his timer that's attached to his chest and he sits down and puts his leg onto the ski.</t>
  </si>
  <si>
    <t>Next he stands up while holding onto something and he starts water skiing as he gets pulled by the boat.</t>
  </si>
  <si>
    <t>But, he eventually falls off and is seen standing in the water.</t>
  </si>
  <si>
    <t>v_G6LjkB0xv2k</t>
  </si>
  <si>
    <t>A woman exercises at a machine.</t>
  </si>
  <si>
    <t>The camera focuses on and features specific parts of the machine.</t>
  </si>
  <si>
    <t>The woman demonstrates folding the machine for storage.</t>
  </si>
  <si>
    <t>The woman continues to exercise on the machine.</t>
  </si>
  <si>
    <t>v_0Zg9UgCp4a4</t>
  </si>
  <si>
    <t>A group of men are outside sitting around a fountain playing a game of oddly drawn hopscotch.</t>
  </si>
  <si>
    <t>One boy takes his turn and then they all begin talking again.</t>
  </si>
  <si>
    <t>Next,a boy tries to jump over the bricks but ends up falling.</t>
  </si>
  <si>
    <t>Another boy jumps after him and he is successful.</t>
  </si>
  <si>
    <t>However,the next boy jumps and has to stand on one foot and collect all of the pieces thrown behind him.</t>
  </si>
  <si>
    <t>v_MzqovHjEKE4</t>
  </si>
  <si>
    <t>A man is seen speaking to the camera and leads into him holding up a tool and pointing to several bushes.</t>
  </si>
  <si>
    <t>The man then trims along the bush while stopping to speak to the camera and holding up the tool.</t>
  </si>
  <si>
    <t>v_xMImWgn3owc</t>
  </si>
  <si>
    <t>A gymnast is seen standing on a beam and begins performing gymnastic moves on the beam.</t>
  </si>
  <si>
    <t>The girl spins and flips all along the beam while the camera captures her movements.</t>
  </si>
  <si>
    <t>She ends her routine but jumping down off the side with her arms up and walking away.</t>
  </si>
  <si>
    <t>v_kH50-giCeDM</t>
  </si>
  <si>
    <t>Two men walk to the barrel in a yard at a barbecue and the men both reach for the last beer in the barrel.</t>
  </si>
  <si>
    <t>The men do rock paper scissors and the right man hits the left with a rock, takes the beer and walks off.</t>
  </si>
  <si>
    <t>We see a beer poured in a glass.</t>
  </si>
  <si>
    <t>We see the injured man with his hand up and a man walks past and gives him a high five.</t>
  </si>
  <si>
    <t>v_1LrEiYVd3qg</t>
  </si>
  <si>
    <t>A man is seen speaking to the camera in front of a large trailer in he moods.</t>
  </si>
  <si>
    <t>The man is then seen kneeling over a fire and begins lighting a flame into a pit.</t>
  </si>
  <si>
    <t>A boy is seen walking around with a tennis racket and points to the ground while the man is still sitting in front of the fire.</t>
  </si>
  <si>
    <t>v_hniQpwn3Ob4</t>
  </si>
  <si>
    <t>An intro leads into several clips of different athletes performing shotput throws in a circle.</t>
  </si>
  <si>
    <t>More men continue to step up and throw the object while many watch on the sidelines.</t>
  </si>
  <si>
    <t>v_soHEsBIljbI</t>
  </si>
  <si>
    <t>A teen girl sits on the floor holding a shoe.</t>
  </si>
  <si>
    <t>She is then shown wiping the shoe down with a cleaning solution.</t>
  </si>
  <si>
    <t>She shows the shoe close up after she is done.</t>
  </si>
  <si>
    <t>v_gSOUhz7yQ-s</t>
  </si>
  <si>
    <t>A man is standing outside of a large window and begins to clean it with a long stick.</t>
  </si>
  <si>
    <t>One the window is wet,he takes the razor like stick and drags it up and down getting the water off.</t>
  </si>
  <si>
    <t>After the two top windows are complete,he leaves the other two untouched and walks away.</t>
  </si>
  <si>
    <t>v_0T7yANM5I5Y</t>
  </si>
  <si>
    <t>A man bends at the knees in front of a barbell.</t>
  </si>
  <si>
    <t>He lifts it slowly, bringing it to his chest.</t>
  </si>
  <si>
    <t>He pauses, then lifts it over his head before dropping it back to the ground.</t>
  </si>
  <si>
    <t>v_lAZIxuxjogI</t>
  </si>
  <si>
    <t>A man is standing on a ledge of a tower.</t>
  </si>
  <si>
    <t>He jumps off and bungee jumps.</t>
  </si>
  <si>
    <t>It is shown in slow motion.</t>
  </si>
  <si>
    <t>v_Wd8Kz1XRpdg</t>
  </si>
  <si>
    <t>The camera pans around several men drinking a large container of alcohol and the camera panning back to the beginning.</t>
  </si>
  <si>
    <t>The camera continues capturing the men drinking as well as talking to one another and one rubbing his eyes in the end.</t>
  </si>
  <si>
    <t>v_-aWU5Yj_OPw</t>
  </si>
  <si>
    <t>A young man is seated in a living room.</t>
  </si>
  <si>
    <t>He is playing an electronic keyboard.</t>
  </si>
  <si>
    <t>The keyboard is printing a document as he goes.</t>
  </si>
  <si>
    <t>v_sZf6ijFwPDs</t>
  </si>
  <si>
    <t>A lady explains drinks and the mixing of them,she grabs a cup with ice and add some liquor to it by using a shot glass to get the right measurement.</t>
  </si>
  <si>
    <t>the lady then mix another type of liquor to the first type she poured in the glass.</t>
  </si>
  <si>
    <t>finally she adds a type of juice to the drink with a sliced orange and straw.</t>
  </si>
  <si>
    <t>v_1Cdqwg7Giv4</t>
  </si>
  <si>
    <t>A man is spinning in circles and throwing a discuss for a competition.</t>
  </si>
  <si>
    <t>The video slows down and shows the same throw but in slow motion.</t>
  </si>
  <si>
    <t>Another man comes up to the plate and throws the discuss.</t>
  </si>
  <si>
    <t>Again the video slows down and shows the same throw in slow motion.</t>
  </si>
  <si>
    <t>A third player steps up and throws the discuss in slow motion.</t>
  </si>
  <si>
    <t>Several other players step up and take their turn throwing the disk.</t>
  </si>
  <si>
    <t>v_rKTpKq7bh_U</t>
  </si>
  <si>
    <t>We see an image of a lady and a child.</t>
  </si>
  <si>
    <t>The lady fades, the child plays a flute and we see a man.</t>
  </si>
  <si>
    <t>The man is crying as the child plays, We see the people in the sky.</t>
  </si>
  <si>
    <t>We see a man and woman embracing in the sky.</t>
  </si>
  <si>
    <t>We see images of nature.</t>
  </si>
  <si>
    <t>The people in the sky bow and dance.</t>
  </si>
  <si>
    <t>The man lays down in a prayer position.</t>
  </si>
  <si>
    <t>The child finishes playing the flute.</t>
  </si>
  <si>
    <t>v_5YVN5d8DkSk</t>
  </si>
  <si>
    <t>The camera pans around several pitting sitting at a bar as well as bartenders attending to people's needs.</t>
  </si>
  <si>
    <t>More shots are shown of people interacting in the restaurant and finally people speaking to the camera.</t>
  </si>
  <si>
    <t>v_eS1USHkyb2U</t>
  </si>
  <si>
    <t>A young woman is seen brushing her hair that leads into her speaking to the camera.</t>
  </si>
  <si>
    <t>She holds up several brushes while speaking to the camera as well as various objects.</t>
  </si>
  <si>
    <t>She uses scissors to get hair out of a brush as well as a toothbrush and bowl to clean out her brushes.</t>
  </si>
  <si>
    <t>v_Oi-atN4-Oqk</t>
  </si>
  <si>
    <t>A young man dance in a room moving his hands and putting behind his back.</t>
  </si>
  <si>
    <t>Then, the man put his hand behind his head.</t>
  </si>
  <si>
    <t>The reflection of the man is in the mirror.</t>
  </si>
  <si>
    <t>v_C1vhQIJtLsw</t>
  </si>
  <si>
    <t>A man is seen standing on stilts in a city square while other people around him roller blade.</t>
  </si>
  <si>
    <t>The man takes off running down the block and then runs back to where he started.</t>
  </si>
  <si>
    <t>v_f0JySdrM_l8</t>
  </si>
  <si>
    <t>A woman in a blue shirt spins around and throws a ball onto the field.</t>
  </si>
  <si>
    <t>Another person comes and throws a disk onto the field.</t>
  </si>
  <si>
    <t>People are standing at the side of the field is watching.</t>
  </si>
  <si>
    <t>v_x7yOoVf5-Do</t>
  </si>
  <si>
    <t>A business and the area around it is shown and the name on the business say's "LUMBERJACK NATIONALS" carved in a wooden sign, and the white text below say's "Columbia Basin BMX RICHLAND, WA".</t>
  </si>
  <si>
    <t>A boy dressed in biking gear is putting on a helmet while standing and text on the right side of the screen appear and say "@BryceBetts13Z CHASE STAYSTRONG" as the boy gets on his bike and pushes it out of screen.</t>
  </si>
  <si>
    <t>The boy is now on the curvy and twisty dirt bike track riding around very fast and occasionally other people are shown riding on the track, too.</t>
  </si>
  <si>
    <t>A special effect outro appears with the boy still riding around the track and other text and logos appear on the screen until it fades to a white screen that end with a clip art on the left and large words that read MENDO MEDIA on the right.</t>
  </si>
  <si>
    <t>v_hBT_SN8IGsQ</t>
  </si>
  <si>
    <t>Players on a field are running around playing a game.</t>
  </si>
  <si>
    <t>They get into a big fight on the field.</t>
  </si>
  <si>
    <t>The ref comes and breaks the fight up.</t>
  </si>
  <si>
    <t>A man in a yellow striped shirt is talking to the referee.</t>
  </si>
  <si>
    <t>v_wG0OD99mjdY</t>
  </si>
  <si>
    <t>Several clips are shown of people climbing up and down rock walls while many others speak to the camera.</t>
  </si>
  <si>
    <t>Several more people are shown climbing on the rocks while speaking to the camera and making their way up and down.</t>
  </si>
  <si>
    <t>v_VAKQMtYrl4I</t>
  </si>
  <si>
    <t>Several dogs walk down a street.</t>
  </si>
  <si>
    <t>They are on leashes held by their owners.</t>
  </si>
  <si>
    <t>The stream of them is endless.</t>
  </si>
  <si>
    <t>A woman holds her dog.</t>
  </si>
  <si>
    <t>v_4qONyTNaPOI</t>
  </si>
  <si>
    <t>A still shot picture of a body of water appears and yellow words appear on the screen and read "AMERICAN DISK" and include the website.</t>
  </si>
  <si>
    <t>A brunette woman is now speaking next to the water and she's smiling the whole time.</t>
  </si>
  <si>
    <t>Various clips of people play and they are all standing next to or in the water as well and they all appear happy.</t>
  </si>
  <si>
    <t>People are now on the water and doing various different things, with a large circular board that they're either standing, sitting, squatting, kneeling, riding or doing tricks on while they sometimes are getting pulled by a fast moving boat.</t>
  </si>
  <si>
    <t>A black screen appears and the yellow words are displayed on the screen and read "The Disk", and once again the brunette woman is speaking while standing by the water.</t>
  </si>
  <si>
    <t>The screen then goes to black and displays their website in yellow letters.</t>
  </si>
  <si>
    <t>v_iKJB-RU_PKY</t>
  </si>
  <si>
    <t>A close up of a table is shown that leads into several clip of a puck moving along the table from various angles.</t>
  </si>
  <si>
    <t>People push and look down towards the pucks as they move along and continue to play the game with one another back and fourth.</t>
  </si>
  <si>
    <t>v_4U13LEMIdi4</t>
  </si>
  <si>
    <t>A cat is sitting in a cat bed.</t>
  </si>
  <si>
    <t>It is licking its paw.</t>
  </si>
  <si>
    <t>It then wipes its paw on its ear.</t>
  </si>
  <si>
    <t>v_gXUm7nobsfU</t>
  </si>
  <si>
    <t>A woman in a sparkling green dress talks on a stage.</t>
  </si>
  <si>
    <t>A couple is shown dancing, kicking and swirling creatively.</t>
  </si>
  <si>
    <t>When they are done, they hold hands as the crowd cheers.</t>
  </si>
  <si>
    <t>They walk over to the woman in a green dress, hugging her before leaving the stage.</t>
  </si>
  <si>
    <t>v_mAfp5ABlKyM</t>
  </si>
  <si>
    <t>Two men are playing table tennis while two judges sit at either end.</t>
  </si>
  <si>
    <t>The men hit the ball back and forth.</t>
  </si>
  <si>
    <t>The winner raises his hands as the crowd cheers.</t>
  </si>
  <si>
    <t>The scene is replayed of his successful hit.</t>
  </si>
  <si>
    <t>v_cQ3pZhIBPHI</t>
  </si>
  <si>
    <t>A man is in a gym kneeling down holding a medium sized medicine ball.</t>
  </si>
  <si>
    <t>He then sits up and starts to throw the ball back and forth against the wall.</t>
  </si>
  <si>
    <t>After,a list of cues appear before showing off the venue and their youtube page.</t>
  </si>
  <si>
    <t>v_uLhOFVNmRu8</t>
  </si>
  <si>
    <t>A man in green sitting at the end of the sand square taking video, on the sides of the square are three men.</t>
  </si>
  <si>
    <t>The young athlete in blue uniform run in a narrow lane, hopped and jump on the sandy ground.</t>
  </si>
  <si>
    <t>v_7KT-z20qxI4</t>
  </si>
  <si>
    <t>Three people are in a news room, talking to the camera.</t>
  </si>
  <si>
    <t>A team is playing ice hockey, and celebrating as they win a game.</t>
  </si>
  <si>
    <t>The happy teammates smile for interviews in the locker room after.</t>
  </si>
  <si>
    <t>The news casters are shown holding number sticks and laughing.</t>
  </si>
  <si>
    <t>v_MWn4qozlaMs</t>
  </si>
  <si>
    <t>A woman is seen pulling food out of a fridge and speaking to a girl who walks downstairs.</t>
  </si>
  <si>
    <t>They women continue speaking when a man also walks down the stairs.</t>
  </si>
  <si>
    <t>The woman and man then speak and the other woman walks upstairs.</t>
  </si>
  <si>
    <t>v_D9A_9FH7e-A</t>
  </si>
  <si>
    <t>We see a ladies hands with nail polish on them.</t>
  </si>
  <si>
    <t>The lady puts tape on her finger around her nail and puts clear and white polish on them.</t>
  </si>
  <si>
    <t>The lady adds drops of nail polish to a glass of fluid and pulls it through.</t>
  </si>
  <si>
    <t>The lady puts her nail in the cup and uses a stick to remove the polish.</t>
  </si>
  <si>
    <t>The lady pulls the tape of then puts a clear coat over her fingernails.</t>
  </si>
  <si>
    <t>v_EqhnCfb5vEc</t>
  </si>
  <si>
    <t>A woman is on stage doing a belly dance routine, she is very passionate about it.</t>
  </si>
  <si>
    <t>She starts to spin in circles, her dress twirling along with her.</t>
  </si>
  <si>
    <t>Her dress comes up over head and then down to her shoulders, she continues to spin in circles and takes the dress off and holds it like a baby.</t>
  </si>
  <si>
    <t>She goes back to spinning around until her dance is over and then she drops to the floor.</t>
  </si>
  <si>
    <t>v_4rmo35vpG00</t>
  </si>
  <si>
    <t>A woman and girl are trying to get a dog into a shower.</t>
  </si>
  <si>
    <t>The dog keeps jumping back out.</t>
  </si>
  <si>
    <t>They finally give the dog a bath outdoors with a hose.</t>
  </si>
  <si>
    <t>v_2glmVDTPY44</t>
  </si>
  <si>
    <t>A man snowboards over snow covered slopes and hills and several other objects like railings, roofs, garages and tree stumps.</t>
  </si>
  <si>
    <t>A man snowboards over snow covered hill.</t>
  </si>
  <si>
    <t>The man then continues to snowboard off of a garage roof, a stair railing and several other places.</t>
  </si>
  <si>
    <t>The man does a complete spin in the snow in the final shot.</t>
  </si>
  <si>
    <t>v_0bbL30qENMg</t>
  </si>
  <si>
    <t>A boy rinses his face with water in a bathroom sink.</t>
  </si>
  <si>
    <t>The boys laugh and joke together in the bathroom.</t>
  </si>
  <si>
    <t>A boy rubs soap on his hands and then onto his face.</t>
  </si>
  <si>
    <t>The boy rinses the soap off from his face in the sink.</t>
  </si>
  <si>
    <t>The boy rolls up the towel and throws it in the corner of the room.</t>
  </si>
  <si>
    <t>v_VbWomrZXIus</t>
  </si>
  <si>
    <t>An old man flips an skateboard with his feet, then take it and throw to the floor and skate.</t>
  </si>
  <si>
    <t>After, the man hit the skateboard with his foot and it raise high, the man tries to catch the skateboard but he miss it.</t>
  </si>
  <si>
    <t>A boy almost get hit with a skateboard.</t>
  </si>
  <si>
    <t>Then the man skate on the park and then goes to a skateboard track.</t>
  </si>
  <si>
    <t>v_UJiQEkByWcM</t>
  </si>
  <si>
    <t>A young boy in a blue sweater jumps out from the side and stands in front of a dart board.</t>
  </si>
  <si>
    <t>Once he calms down,he turns around and begins throwing darts on the board.</t>
  </si>
  <si>
    <t>After all of the darts are thrown,the camera zooms in on the darts to show what he had done.</t>
  </si>
  <si>
    <t>v_4E8rMLHIpag</t>
  </si>
  <si>
    <t>A man in a black hat is talking to the camera.</t>
  </si>
  <si>
    <t>He starts playing a violin on his shoulder.</t>
  </si>
  <si>
    <t>He stops playing and puts the violin down to his side.</t>
  </si>
  <si>
    <t>v_Yd98o-oEGvI</t>
  </si>
  <si>
    <t>A man and a dog is out in a field and the dog holds the frisbee between his legs and the dog jumps over the person's back and fetches the frisbee.</t>
  </si>
  <si>
    <t>The game continues and the two continues to play with the frisbee while the owner puts his legs up for the dog to get.</t>
  </si>
  <si>
    <t>Now,the human has four or five frisbees and starts to throw them rapidly for the dog to get.</t>
  </si>
  <si>
    <t>v_2YE_8XDuDBI</t>
  </si>
  <si>
    <t>A view of a home is briefly shown.</t>
  </si>
  <si>
    <t>It pans to another room and it shows a small child sitting at a drum set, sucking on a pacifier and holding two drumsticks and hitting the drums.</t>
  </si>
  <si>
    <t>The child hits the cymbals a few times with his left hand then he grabs the drumsticks and starts hitting all of the drums.</t>
  </si>
  <si>
    <t>v_4ELWxQw0PPE</t>
  </si>
  <si>
    <t>Two men are seen holding hands with a ref holding them together and leads into an arm wrestling match.</t>
  </si>
  <si>
    <t>One man wins and then goes on to arm wrestle several more people.</t>
  </si>
  <si>
    <t>v_90cHokbZy6A</t>
  </si>
  <si>
    <t>a man is talking outside in a garden.</t>
  </si>
  <si>
    <t>He is holding a pocket knife in his hand.</t>
  </si>
  <si>
    <t>He uses a stone to sharpen the knife for the camera.</t>
  </si>
  <si>
    <t>v_xOGOd2UJaMY</t>
  </si>
  <si>
    <t>People are standing in a circle clapping.</t>
  </si>
  <si>
    <t>Two people start fighting in the circle.</t>
  </si>
  <si>
    <t>Women are dancing and holding sticks.</t>
  </si>
  <si>
    <t>v_v9vc_d-qFnk</t>
  </si>
  <si>
    <t>An athletic man is seen steeping up to a set of uneven bars and puts his arms up to present he's ready.</t>
  </si>
  <si>
    <t>The man continues to spin himself around performing flips and tricks on the uneven bars.</t>
  </si>
  <si>
    <t>The man continues to flip around and ends by wobbling but putts his hands up to finish.</t>
  </si>
  <si>
    <t>v_jJ5t3ZUxP7Y</t>
  </si>
  <si>
    <t>A man walks over to the end of a table that has a bunch of red cups arranged in a triangle.</t>
  </si>
  <si>
    <t>He begins to toss a ball into the cups.</t>
  </si>
  <si>
    <t>The video goes to black and a graphic appears to close the clip.</t>
  </si>
  <si>
    <t>v_GK_DCUGw5lM</t>
  </si>
  <si>
    <t>A woman in a black shirt is dancing.</t>
  </si>
  <si>
    <t>She is twirling a baton.</t>
  </si>
  <si>
    <t>She catches the baton and twirls.</t>
  </si>
  <si>
    <t>v_r3lN8kgtgw4</t>
  </si>
  <si>
    <t>A group travels to a river, getting into inflatable rafts.</t>
  </si>
  <si>
    <t>They paddle quickly down the river through the raging white rapids and over small waterfalls.</t>
  </si>
  <si>
    <t>They float slowly back as water sprays down on them from a fall.</t>
  </si>
  <si>
    <t>v_zuqNxHmtBD8</t>
  </si>
  <si>
    <t>We see a man's face up close with his name imposed over it as the man prepares to run on a track.</t>
  </si>
  <si>
    <t>The man runs down the track and performs a long jump and throws his arms in the air.</t>
  </si>
  <si>
    <t>We see another man stretching his arms.</t>
  </si>
  <si>
    <t>The jumper waits for the scores to appear on the screen and the man who jumped throws his hands in the air and runs away.</t>
  </si>
  <si>
    <t>A reply of the jump is played.</t>
  </si>
  <si>
    <t>v_mX3gbTBdbKY</t>
  </si>
  <si>
    <t>A group of men are on camera, singing in a video and talking.</t>
  </si>
  <si>
    <t>They are wearing sunglasses as they change from a lot to a paint covered warehouse.</t>
  </si>
  <si>
    <t>A man is covered in paint and wearing boxing gloves as he gloats to the camera.</t>
  </si>
  <si>
    <t>v_TiiSh9R89vM</t>
  </si>
  <si>
    <t>There are two people out on a snow tubing slope where one of them is video taping his experience of snow tubing with his friend.</t>
  </si>
  <si>
    <t>There's a woman who picks up some ice that's fallen o the ground.</t>
  </si>
  <si>
    <t>There are several people waiting in line to go snow tubing.</t>
  </si>
  <si>
    <t>After they reach the top of the slope, they get into their tubes and begin sliding downhill.</t>
  </si>
  <si>
    <t>They go down the snow covered slopes till they reach the bottom.</t>
  </si>
  <si>
    <t>v_3fAVDJyrSQs</t>
  </si>
  <si>
    <t>People are standing around a camp site chopping wood.</t>
  </si>
  <si>
    <t>A boy stands holding a stick.</t>
  </si>
  <si>
    <t>A man throws pieces of wood into a pile.</t>
  </si>
  <si>
    <t>Chairs at the camp site are shown.</t>
  </si>
  <si>
    <t>A man walks towards the camera talking.</t>
  </si>
  <si>
    <t>They continue chopping wood at the camp site.</t>
  </si>
  <si>
    <t>v_Jxhz1ln7UXk</t>
  </si>
  <si>
    <t>A person is seen walking around a yard as well as many people standing.</t>
  </si>
  <si>
    <t>The people then beginning playing a game with one another and running around the yard.</t>
  </si>
  <si>
    <t>The people huddle up together while leading into more shots of people playing the game and speaking to the camera.</t>
  </si>
  <si>
    <t>v_-gZjpAPEhR4</t>
  </si>
  <si>
    <t>A close up of a person's roller blades are shown with a man standing in frame.</t>
  </si>
  <si>
    <t>The person then lights up his blades and jumps in place.</t>
  </si>
  <si>
    <t>The person continues riding around and kicking his feet up while the sparks fly.</t>
  </si>
  <si>
    <t>v_9vzbohxkIKA</t>
  </si>
  <si>
    <t>A person's hand are seen dealing cards onto a table as well as several clips of a casino being shown.</t>
  </si>
  <si>
    <t>More shots are shown of people dealing cards to others as well as people cheering and continuing to deal cards.</t>
  </si>
  <si>
    <t>v_DXIHbnyfNGA</t>
  </si>
  <si>
    <t>A computer monitor sits on a desk.</t>
  </si>
  <si>
    <t>A boy puts on gloves.</t>
  </si>
  <si>
    <t>He then puts on a helmet.</t>
  </si>
  <si>
    <t>He then rides a longboard.</t>
  </si>
  <si>
    <t>v_nK7XMj4gYJs</t>
  </si>
  <si>
    <t>A man is demonstrating a gymnastics performance on two bars.</t>
  </si>
  <si>
    <t>There are spectators watching the performance.</t>
  </si>
  <si>
    <t>A person is photographing the performance.</t>
  </si>
  <si>
    <t>The gymnast jumps off the bars and another gymnast is running towards them.</t>
  </si>
  <si>
    <t>v_yNmV_c3rlLA</t>
  </si>
  <si>
    <t>A man is playing the hand drums in a living room.</t>
  </si>
  <si>
    <t>The man throws his head back.</t>
  </si>
  <si>
    <t>We zoom in on the man's hands.</t>
  </si>
  <si>
    <t>We zoom out and see the whole man.</t>
  </si>
  <si>
    <t>He finishes playing and takes a bow.</t>
  </si>
  <si>
    <t>v__nTjmHQ0-gQ</t>
  </si>
  <si>
    <t>A man springs on a track and jumps onto a dirt area.</t>
  </si>
  <si>
    <t>A second man does the same.</t>
  </si>
  <si>
    <t>A third man follows him.</t>
  </si>
  <si>
    <t>A fourth man goes after him.</t>
  </si>
  <si>
    <t>A fifth man starts to sprint as he holds a long bar.</t>
  </si>
  <si>
    <t>v_WLpjci5dN8s</t>
  </si>
  <si>
    <t>Words are written on the screen.</t>
  </si>
  <si>
    <t>A knife is put into a sharpener and moved back and forth and used on a circular sharpener.</t>
  </si>
  <si>
    <t>A pair of scissors is sharpened on the sharpener.</t>
  </si>
  <si>
    <t>The scissors cut a purple towel and a piece of paper.</t>
  </si>
  <si>
    <t>Words are shown on the screen again.</t>
  </si>
  <si>
    <t>v_lS_bztQjpGM</t>
  </si>
  <si>
    <t>A girl with long blond hair, wearing a blue robe is doing a tutorial on how to use hot rollers in her hair.</t>
  </si>
  <si>
    <t>There is another woman wearing white who is demonstrating how to section out her hair and start putting the rollers in the her one by one.</t>
  </si>
  <si>
    <t>After she's done putting the rollers all over the head, she uses a blow dryer to add some heat to the hair.</t>
  </si>
  <si>
    <t>Then she removes the rollers from the model's hair and starts to run her fingers through the hair.</t>
  </si>
  <si>
    <t>She then parts her hair gently with a brush.</t>
  </si>
  <si>
    <t>She shows how to finish off the look by running her fingers through her hair without using a brush.</t>
  </si>
  <si>
    <t>v_goXkohySkU8</t>
  </si>
  <si>
    <t>A man wearing a black vest holds white disc's in his hand while a border collie stands in front of him.</t>
  </si>
  <si>
    <t>The man steps froward and slaps the white discs on his thigh.</t>
  </si>
  <si>
    <t>The man steps forward switching each foot as the boarder collie runs between the mans legs.</t>
  </si>
  <si>
    <t>The man taps his head with the white disc he crouches and the boarder collie jumps on his back and balances their.</t>
  </si>
  <si>
    <t>The man tosses the the disc over his head and the boarder collie catches it and runs off.</t>
  </si>
  <si>
    <t>v_inw7wXFL9dw</t>
  </si>
  <si>
    <t>Various clips are shown of young people dancing and partying with one another as well as drinking and playing beer pong.</t>
  </si>
  <si>
    <t>More shots are shown of people looking and speaking to the camera while playing pong and drinking beer with one another.</t>
  </si>
  <si>
    <t>v_RpItv2ztook</t>
  </si>
  <si>
    <t>A video of skier on a snowy hill shoots video of themselves as skiing as other skiers go past.</t>
  </si>
  <si>
    <t>The skier goes past the ski lifts as they go around a corner and go past the lifts again.</t>
  </si>
  <si>
    <t>They then turn back around and go under the lift and travel further down hill on a path passing blue fences, a trail marker sign and ending at a lodge.</t>
  </si>
  <si>
    <t>v_zrXTMcKFa5E</t>
  </si>
  <si>
    <t>A child goes and plays in a playplace.</t>
  </si>
  <si>
    <t>She climbs, goes down slides, rocks back and forth, and has general merriment.</t>
  </si>
  <si>
    <t>v_A1k7CSI7aRs</t>
  </si>
  <si>
    <t>Outside as a group looks on, a man lifts a guy onto his shoulder and throws him on a table which breaks.</t>
  </si>
  <si>
    <t>Outside, a male back flips on a trampoline and lands on his face.</t>
  </si>
  <si>
    <t>Two men lay the male down and look at his face, and another person moves a laying individual to look at the male's face.</t>
  </si>
  <si>
    <t>v_cS19K2310Lc</t>
  </si>
  <si>
    <t>A picture is shown of a baby juxtaposed beside a little girl.</t>
  </si>
  <si>
    <t>A woman is seen with a young girl as she speaks.</t>
  </si>
  <si>
    <t>She then has the girl sit down as she proceeds to braid her hair in long, thick pieces.</t>
  </si>
  <si>
    <t>She pins the hair in place, then waves goodbye to the camera.</t>
  </si>
  <si>
    <t>v_Po6tK3rYE8E</t>
  </si>
  <si>
    <t>A man rolls out a sheet of wallpaper from a tube, then a large photo.</t>
  </si>
  <si>
    <t>He applies the sheet and photos to the wall, creating a real life photography mural.</t>
  </si>
  <si>
    <t>He wipes the images onto the wall cleanly.</t>
  </si>
  <si>
    <t>v_eil9mWGJB8E</t>
  </si>
  <si>
    <t>A crowd is gathered around two women who are arm wrestling.</t>
  </si>
  <si>
    <t>The women grab each others hands and push as hard as they can until one of them loses.</t>
  </si>
  <si>
    <t>They redo the arm wrestling.</t>
  </si>
  <si>
    <t>One of the girls lets her hand loose and the other girl opens her mouth in shock.</t>
  </si>
  <si>
    <t>v_XM3SktXBbHU</t>
  </si>
  <si>
    <t>A person is seen in the middle of a large gymnasium jumping around with another man in the middle raising his arms up.</t>
  </si>
  <si>
    <t>The person on silts then jumps over the person with their arms up as well as another.</t>
  </si>
  <si>
    <t>v_1nXLVjfupto</t>
  </si>
  <si>
    <t>Two men are seen standing behind a table speaking to the camera and then hold up various objects to the camera.</t>
  </si>
  <si>
    <t>They use tools on a tin can and then are seen sitting outside holding up more tools.</t>
  </si>
  <si>
    <t>v_YSO5CGeeTmE</t>
  </si>
  <si>
    <t>A band is marching down a street playing drums.</t>
  </si>
  <si>
    <t>A woman in a black hat is standing on the street watching them.</t>
  </si>
  <si>
    <t>People are standing up watching the band.</t>
  </si>
  <si>
    <t>v_JMJp9kFudNA</t>
  </si>
  <si>
    <t>A man is shown running around a field with a dog holding a frisbee into the hair.</t>
  </si>
  <si>
    <t>The man moves around the frisbee with the dog and performs several tricks in slow motion with the dog.</t>
  </si>
  <si>
    <t>He's shown in several more locations from various camera angles performing more and more tricks with the dog.</t>
  </si>
  <si>
    <t>v_Vm07Uu4_iCE</t>
  </si>
  <si>
    <t>A man is seen kneeling down to a tire an then places it on a machine.</t>
  </si>
  <si>
    <t>He continues to use the machine to take the rubber off of the tire and ends by placing it back down.</t>
  </si>
  <si>
    <t>v_zxzBoK5t0XY</t>
  </si>
  <si>
    <t>A horse is seen off in the distance followed by a man speaking to the camera in front of a large group of horses.</t>
  </si>
  <si>
    <t>Various people are then seen riding around on horses through different landscapes and being led by people.</t>
  </si>
  <si>
    <t>The men continue to lead people around on the horses through a large body of water.</t>
  </si>
  <si>
    <t>v_pyeTqpj2EPo</t>
  </si>
  <si>
    <t>A chef is working in a kitchen.</t>
  </si>
  <si>
    <t>He presses buttons on a digital screen.</t>
  </si>
  <si>
    <t>He prepares a large dish of pasta, which he cooks in the machine.</t>
  </si>
  <si>
    <t>v_BIL1t2eQrDU</t>
  </si>
  <si>
    <t>A man is shown talking to a camera followed by him and another woman standing near a volleyball net.</t>
  </si>
  <si>
    <t>The man throws the ball to the girl who bounces it back to him.</t>
  </si>
  <si>
    <t>He continues to speak and demonstrate various volleyball moves to do appropriately.</t>
  </si>
  <si>
    <t>v_1sp7zRy1Rxo</t>
  </si>
  <si>
    <t>A large group of people are sitting around a table and transitions into people sitting on a ski lift.</t>
  </si>
  <si>
    <t>They begin taking turns riding down the snowy mountain and several shots are shown of them riding the lift and down the mountain.</t>
  </si>
  <si>
    <t>v_UcnzlGqUEyA</t>
  </si>
  <si>
    <t>A person picks up a piece of fruit.</t>
  </si>
  <si>
    <t>A brush is shown on the screen.</t>
  </si>
  <si>
    <t>A man is shaving his beard.</t>
  </si>
  <si>
    <t>v_c2ejr7Lci8s</t>
  </si>
  <si>
    <t>A person is seen riding a unicycle in the middle of a forest while holding an instrument.</t>
  </si>
  <si>
    <t>The man continues riding down the path as the camera follows his movements.</t>
  </si>
  <si>
    <t>v_bXT72HACH4I</t>
  </si>
  <si>
    <t>A black screen appears with a red and white logo on the upper left, black and white words going diagonal on the upper middle that read "SOKOL DOBRIS" and the bottom have purple and white words that read "ROPE SKIPPING".</t>
  </si>
  <si>
    <t>Next shown is a still shot of black shirt with the logo on the upper left of the chest and the word "DOBRIS" under it and a red and white jump rope is on top of it.</t>
  </si>
  <si>
    <t>There are 4 different people standing on an indoor court, and 3 are holding ends of 2 different jump ropes and 1 person is rope jumping.</t>
  </si>
  <si>
    <t>Various clips of people rope jumping play and sometimes there's just 1 person jumping alone, but most times there are between 2 and 4 and a lot of times they are alternating between jumping and holding the rope.</t>
  </si>
  <si>
    <t>The clips of videos ends and various still shot pictures involving rope jumping are shown on the screen and a black screen appears when the pictures are done and the purple and white letters appear on the screen that say "ROPE SKIPPING".</t>
  </si>
  <si>
    <t>v_9MGnF59gZfM</t>
  </si>
  <si>
    <t>A man with a bow and arrow is practicing his aim and form.</t>
  </si>
  <si>
    <t>He shoots an arrow and grabs another one from behind hm and gets ready to shoot again.</t>
  </si>
  <si>
    <t>He pulls back the string on the bow and releases it along with the arrow.</t>
  </si>
  <si>
    <t>He continues this routine over and over, practicing for perfection.</t>
  </si>
  <si>
    <t>v_fGDVlbI90pw</t>
  </si>
  <si>
    <t>A young girl wearing a gray sweater with long red colored hair is brushing her hair.</t>
  </si>
  <si>
    <t>She is using a silver paddle brush to remove the knots from her hair and de-tangle it as she brushes it through.</t>
  </si>
  <si>
    <t>She suddenly begins to scream as she brushes her hair.</t>
  </si>
  <si>
    <t>v_OkMH4AlF8hQ</t>
  </si>
  <si>
    <t>A young child is seen holding an ice cream cone and speaking to the camera while smiling.</t>
  </si>
  <si>
    <t>She speaks to the camera man holding a doll in the other hand, then sits down on the ground.</t>
  </si>
  <si>
    <t>v_BUhpWV98EjM</t>
  </si>
  <si>
    <t>A woman and a man are standing outside doing some interesting techniques with one another.</t>
  </si>
  <si>
    <t>They seem to work well with one another moving in sync of or less never hitting the other.</t>
  </si>
  <si>
    <t>They are doing some type of karate or something.</t>
  </si>
  <si>
    <t>The one grabs the man intensely and hugs him it looked they wanted to kiss but they didn't.</t>
  </si>
  <si>
    <t>v_EE2nFMHRacg</t>
  </si>
  <si>
    <t>A group of elderly people are seated on chairs outside.</t>
  </si>
  <si>
    <t>A man is playing a tune using a stick and a saw.</t>
  </si>
  <si>
    <t>The men next to him are holding instruments, waiting their turn.</t>
  </si>
  <si>
    <t>v_xeOHoiH-dmo</t>
  </si>
  <si>
    <t>A playground is shown and a back yard as the camera pans over to a window on a roof.</t>
  </si>
  <si>
    <t>The video shows various pictures on how to fix a roof and the man pans over the window again with material.</t>
  </si>
  <si>
    <t>He places various objects around the window and shows more pictures of the roof with the finished product.</t>
  </si>
  <si>
    <t>v_NnW_1eQV9GU</t>
  </si>
  <si>
    <t>A rodeo rider comes out of the gate on a bull and gets thrown off.</t>
  </si>
  <si>
    <t>The rodeo clowns distract the bull as the rider gets to safety.</t>
  </si>
  <si>
    <t>A clown gets hurt and goes for treatment from a pretty lady.</t>
  </si>
  <si>
    <t>A group of men on horses talk and as they ride away, the clown restarts his job in the ring.</t>
  </si>
  <si>
    <t>The clown gets injured again as he jumps over a bulls head and the other clowns help him up.</t>
  </si>
  <si>
    <t>v_WWhL75t7p8A</t>
  </si>
  <si>
    <t>A large group of people are seen holding a rope while two more walk into frame and the camera closes in on the people.</t>
  </si>
  <si>
    <t>The camera continues to pan around the people and leads into a match of tug of war and the women celebrating.</t>
  </si>
  <si>
    <t>v_cYMweZa5J1I</t>
  </si>
  <si>
    <t>Guys stand or sit around their dirt bikes.</t>
  </si>
  <si>
    <t>Guys are riding their dirt bikes.</t>
  </si>
  <si>
    <t>A guy takes off his upper body armor while sitting on his dirt bike.</t>
  </si>
  <si>
    <t>v_sn1OtmEJxng</t>
  </si>
  <si>
    <t>A long line of bikers are shown in the dark at an event.</t>
  </si>
  <si>
    <t>A man is speaking onstage to the people as they prepare for the main event.</t>
  </si>
  <si>
    <t>The people run and jog past the cheering crowd, until the reach the finish line, where they stop to talk and hold up the rope they tore down.</t>
  </si>
  <si>
    <t>v_lzb6HHN59K4</t>
  </si>
  <si>
    <t>A dog owner takes three dogs to a dog cleaning service and company where the dogs are washed and dried.</t>
  </si>
  <si>
    <t>Three dogs are shown getting dirty by waking in mud puddles and through dirt and grass.</t>
  </si>
  <si>
    <t>The dogs are then loaded in a vehicle and taken to a dog washing company where they are placed in wash sinks.</t>
  </si>
  <si>
    <t>All three dogs are washed and dried by people after which the people are shown cleaning the area where the dogs were washed.</t>
  </si>
  <si>
    <t>v_UomiLRs--C8</t>
  </si>
  <si>
    <t>A man is begining to weld.</t>
  </si>
  <si>
    <t>He starts to weld a piece of metal onto a frame.</t>
  </si>
  <si>
    <t>He finishes his weld and backs away.</t>
  </si>
  <si>
    <t>v_Sfdj_kMDUh8</t>
  </si>
  <si>
    <t>A man is unrolling carpet onto the floor.</t>
  </si>
  <si>
    <t>He is on his knees cutting the carpet.</t>
  </si>
  <si>
    <t>He is putting glue onto the floor.</t>
  </si>
  <si>
    <t>He then lays the carpet down on top of it and smooths it out.</t>
  </si>
  <si>
    <t>He then vacuums the carpet when he is finished.</t>
  </si>
  <si>
    <t>v_gC4B1Az2Mk0</t>
  </si>
  <si>
    <t>A little boy is seated on the floor with a cup and a spoon.</t>
  </si>
  <si>
    <t>He is eating a white substance as his mother comes to check on him.</t>
  </si>
  <si>
    <t>He continues eating slowly as she walks past.</t>
  </si>
  <si>
    <t>v_iBEUNOMTr8M</t>
  </si>
  <si>
    <t>A couple of women are talking as they stand in a backyard.</t>
  </si>
  <si>
    <t>They are holding moss killer attached to hoses.</t>
  </si>
  <si>
    <t>The women spray the moss killer onto the roof of a shed, killing the growth with the liquid.</t>
  </si>
  <si>
    <t>They then hold up the moss killer strips in a box.</t>
  </si>
  <si>
    <t>v_a0hFDXB1RgY</t>
  </si>
  <si>
    <t>A man is sitting in a kayak in the river while speaking to the camera about his trip.</t>
  </si>
  <si>
    <t>He moves slowly in the water while giving instructions on how to properly move the kayak.</t>
  </si>
  <si>
    <t>He begins paddling up the stream and showing what to do if you get stuck.</t>
  </si>
  <si>
    <t>v_YDIRaWzfyYY</t>
  </si>
  <si>
    <t>man is talking to a camera and holding a knife and some magazines.</t>
  </si>
  <si>
    <t>man holds the knife and shavea small piece of his arm.</t>
  </si>
  <si>
    <t>man grabs some rocks from a cup of water and sharp the knife.</t>
  </si>
  <si>
    <t>man use the knife to cut the magazine.</t>
  </si>
  <si>
    <t>v_b7fs8OAJzQk</t>
  </si>
  <si>
    <t>A man is seen in the ocean waters.</t>
  </si>
  <si>
    <t>He is riding a pair of water skis.</t>
  </si>
  <si>
    <t>He is being drug by a boat as he skis through the waves.</t>
  </si>
  <si>
    <t>v_RMrL2txm79c</t>
  </si>
  <si>
    <t>A person washes and cuts open a pumpkin.</t>
  </si>
  <si>
    <t>The person cleans to the insides and draws a face on the pumpkin.</t>
  </si>
  <si>
    <t>They carve the face to make a jackolantern.</t>
  </si>
  <si>
    <t>We then see the carved pumpkin with a candle inside and the closing screen.</t>
  </si>
  <si>
    <t>v_TxLBvNWVk-4</t>
  </si>
  <si>
    <t>We see a series of bowling bloopers.</t>
  </si>
  <si>
    <t>We see a baby throw a ball and an adult fall.</t>
  </si>
  <si>
    <t>We see a lady fall while sitting on a bench.</t>
  </si>
  <si>
    <t>We see a man put a bowling ball in a cannon and shoot it across a field.</t>
  </si>
  <si>
    <t>v_0gm_g4rYCic</t>
  </si>
  <si>
    <t>A large group is inside a raft on a river.</t>
  </si>
  <si>
    <t>A man in a kayak is next to them.</t>
  </si>
  <si>
    <t>They float into the rapids, trying to go through them.</t>
  </si>
  <si>
    <t>v_tL90IPP3hbA</t>
  </si>
  <si>
    <t>A logo is seen and captions are shown on the screen.</t>
  </si>
  <si>
    <t>Trees and mulch are shown with a slight breeze.</t>
  </si>
  <si>
    <t>Several people are shown planting a tree.</t>
  </si>
  <si>
    <t>The people are spreading mulch around the tree.</t>
  </si>
  <si>
    <t>Several logos are shown on the screen.</t>
  </si>
  <si>
    <t>v_bghOBRA0z-Y</t>
  </si>
  <si>
    <t>A man gives a harmonica lesson with closeups and basically a way to tell about how to play the harmonica.</t>
  </si>
  <si>
    <t>The man introduces other types of harmonicas as well.</t>
  </si>
  <si>
    <t>v_yUHN5TIprwk</t>
  </si>
  <si>
    <t>A text intro leads into a person seen sitting on an exercise bike.</t>
  </si>
  <si>
    <t>The person speaks to a class she is speaking while peddling her feet.</t>
  </si>
  <si>
    <t>The woman continues moving her feet as well as others in the class.</t>
  </si>
  <si>
    <t>v_Lh50gF5l0dw</t>
  </si>
  <si>
    <t>A man wearing a blue shirt is throwing the shot put.</t>
  </si>
  <si>
    <t>He is going in a circular motion on a red circle painted on the ground.</t>
  </si>
  <si>
    <t>He throws the shot put into the air.</t>
  </si>
  <si>
    <t>Another man is swinging in circular motion, ready to throw the shot put.</t>
  </si>
  <si>
    <t>v_I9wra8bj2sg</t>
  </si>
  <si>
    <t>A horseman throws a rope to catch a calf while people watch.</t>
  </si>
  <si>
    <t>Intermediately, the man get down the horse and tie the calf.</t>
  </si>
  <si>
    <t>Men walks behind the horse.</t>
  </si>
  <si>
    <t>After, the man get in the horse.</t>
  </si>
  <si>
    <t>v_0-kEI13BtcY</t>
  </si>
  <si>
    <t>Ducks are swimming in the water.</t>
  </si>
  <si>
    <t>People are moving dirt around in a park.</t>
  </si>
  <si>
    <t>A woman in a black shirt and glasses talks to the camera.</t>
  </si>
  <si>
    <t>People are raking the dirt around.</t>
  </si>
  <si>
    <t>Different people are talking to the camera.</t>
  </si>
  <si>
    <t>The people continue to landscape at the park.</t>
  </si>
  <si>
    <t>v_C1kmoJttp4M</t>
  </si>
  <si>
    <t>A still shot picture of an omelette being poured out of a pan and onto a white plate appears and the white text on it say's "How to make an omelette".</t>
  </si>
  <si>
    <t>A white screen with a clipart of red lion wearing a crown appears and the blue words "British Lion Quality are around he lion.</t>
  </si>
  <si>
    <t>A woman is now in the kitchen standing in front of a pan on a stove, she turns the oven on, grabs a large measuring cup and begins cracking eggs into it then adds various other ingredients to the eggs, and then whisks it all up.</t>
  </si>
  <si>
    <t>The woman then puts butter in the pan, melts it all around, then pours her egg mix into the pan.</t>
  </si>
  <si>
    <t>The woman grabs her wooden spatula and starts manipulating the eggs in the pan making sure it doesn't stick and that it cooks thoroughly.</t>
  </si>
  <si>
    <t>The woman then takes the egg to the white plate and folds it onto it then adds a handful of greens next to it.</t>
  </si>
  <si>
    <t>A white screen appears with the red clipart lion in the middle and the blue words "British Lion Quality" going around it.</t>
  </si>
  <si>
    <t>v_ez9uLqGV7AA</t>
  </si>
  <si>
    <t>A man is skateboarding down a sidewalk.</t>
  </si>
  <si>
    <t>He does a flip on the skateboard.</t>
  </si>
  <si>
    <t>He falls off the skateboard onto the ground.</t>
  </si>
  <si>
    <t>v_tD30qafrkhM</t>
  </si>
  <si>
    <t>A man and woman are having sex and kissing inside a shower.</t>
  </si>
  <si>
    <t>She pushes him away and starts crying.</t>
  </si>
  <si>
    <t>A couple is having sex on a bed.</t>
  </si>
  <si>
    <t>The woman pulls out a feather and licks it.</t>
  </si>
  <si>
    <t>She rubs it on the mans face.</t>
  </si>
  <si>
    <t>She has a knife and rubs it down his chest.</t>
  </si>
  <si>
    <t>She looks up at him and lights a cigarette.</t>
  </si>
  <si>
    <t>She lays on her back and laughs.</t>
  </si>
  <si>
    <t>The woman is talking and laughing while holding a snake.</t>
  </si>
  <si>
    <t>The woman is talking to someone.</t>
  </si>
  <si>
    <t>A table with food on it is shown.</t>
  </si>
  <si>
    <t>A wine glass is given to a man by the woman.</t>
  </si>
  <si>
    <t>He denies the drink and she takes a sip.</t>
  </si>
  <si>
    <t>They begin to kiss each other.</t>
  </si>
  <si>
    <t>v_ZeUNeRiU6YY</t>
  </si>
  <si>
    <t>The camera follows a person in red pants snowboarding down a slope.</t>
  </si>
  <si>
    <t>The camera briefly pans away from the woman to focus on the slope.</t>
  </si>
  <si>
    <t>The camera pans away from the woman to focus on the slope.</t>
  </si>
  <si>
    <t>v_-K_cgWfJxiU</t>
  </si>
  <si>
    <t>A man is seen speaking to the camera holding a paddle and sitting in a kayak.</t>
  </si>
  <si>
    <t>The man then paddles himself around the area on the kayak flipping around and looking to the camera.</t>
  </si>
  <si>
    <t>v_injaml6fr7s</t>
  </si>
  <si>
    <t>A woman rides a horse in an indoor barn while playing a game of solo polo.</t>
  </si>
  <si>
    <t>A woman rides a horse in an indoor barn and plays polo while holding a polo stick and chasing a red ball in the indoor setting.</t>
  </si>
  <si>
    <t>The woman hits at the ball while riding the horse in circles.</t>
  </si>
  <si>
    <t>the woman rides the horse until the sun begins to set and the scene gets darker and darker.</t>
  </si>
  <si>
    <t>v_CUJJViubZ9c</t>
  </si>
  <si>
    <t>Wrestlers are fighting in a ring.</t>
  </si>
  <si>
    <t>A man is picked up and thrown down by other men.</t>
  </si>
  <si>
    <t>A man falls on a table and breaks it.</t>
  </si>
  <si>
    <t>v_8fLHaW3YvJY</t>
  </si>
  <si>
    <t>A man wearing glasses is standing outside in the snow with some gadgets talking.</t>
  </si>
  <si>
    <t>He brings forward the blue large shovel looking gadget, still talking and then grabs another shovel.</t>
  </si>
  <si>
    <t>He throws the shovel and then walks to demonstrate how to shovel up the snow.</t>
  </si>
  <si>
    <t>He continues to talk and then starts using the shovel gadget again.</t>
  </si>
  <si>
    <t>He shovels piles out some piles of snow.</t>
  </si>
  <si>
    <t>v_WkWCbz54JSU</t>
  </si>
  <si>
    <t>People are standing in a bull ring.</t>
  </si>
  <si>
    <t>A bull starts chasing a man holding a colorful blanket.</t>
  </si>
  <si>
    <t>Two horses are dragging a bull off the arena.</t>
  </si>
  <si>
    <t>v_Nd209mI-wq0</t>
  </si>
  <si>
    <t>man is sitting in a music store playing an acoustic guitar and talking to the camera showing the ibanez guitar.</t>
  </si>
  <si>
    <t>man starts playing the guitar showing how the guitar sounds connected to an amplifier.</t>
  </si>
  <si>
    <t>v_vmFfa1yv72k</t>
  </si>
  <si>
    <t>Several peoples outfits are being panned from the bottom up.</t>
  </si>
  <si>
    <t>Then a group of cups are on the table and they begin playing beer pong with a group of people.</t>
  </si>
  <si>
    <t>Several rooms and couples are shown and the ball is thrown in a cup.</t>
  </si>
  <si>
    <t>Once done,the camera pans out and you can see the couples are competing against each other in a room together.</t>
  </si>
  <si>
    <t>Couples come back and more beer pong games come back.</t>
  </si>
  <si>
    <t>v_e__FVkfXB-U</t>
  </si>
  <si>
    <t>A man is throwing a blue frisbee and a dog is chasing after it.</t>
  </si>
  <si>
    <t>The dog is jumping over the man kneeling down on the grass.</t>
  </si>
  <si>
    <t>They continue to play frisbee with the dog.</t>
  </si>
  <si>
    <t>v_hJI5PEg2UuA</t>
  </si>
  <si>
    <t>This elderly man is standing up cutting the red tomato into slices.</t>
  </si>
  <si>
    <t>He is in the kitchen cutting the tomato using a cheap knife.</t>
  </si>
  <si>
    <t>It looks hard for him trying to use a knife that barely does anything to try and cut the tomato, but the difference shows in good products.</t>
  </si>
  <si>
    <t>v_DLlooZTLPdI</t>
  </si>
  <si>
    <t>Several bikers are riding back and for the at a festival in the dessert.</t>
  </si>
  <si>
    <t>A man dressed in women's clothing comes onto the screen and begins to hula hoop while a camera is attached to the hula hoop.</t>
  </si>
  <si>
    <t>Several other people perform inside the hula hoop camera while the music plays.</t>
  </si>
  <si>
    <t>Then several people are shown waling up to the hula hoop camera getting ready to hula hoop.</t>
  </si>
  <si>
    <t>The man that is dressed as a woman gives some one a hug.</t>
  </si>
  <si>
    <t>The video ends with people riding on a bicycle while the camera is attached to the bike.</t>
  </si>
  <si>
    <t>v_lIqAkmaXnXg</t>
  </si>
  <si>
    <t>A woman is sitting on a chair while she pulls thin art foil pieces from a small table in front of her, and applies it to a small dresser that is also in front of her.</t>
  </si>
  <si>
    <t>The woman then takes her brush and begins brushing all of the pieces of foils on the top drawer while holding a hand under it to catch all the pieces that fall.</t>
  </si>
  <si>
    <t>The woman then closes the drawer and brushes it some more.</t>
  </si>
  <si>
    <t>v_N8nv95D4-pw</t>
  </si>
  <si>
    <t>A woman is in a gym talking.</t>
  </si>
  <si>
    <t>the woman demonstrates how to do an exercise with a step.</t>
  </si>
  <si>
    <t>v_j5Fq7Y8EJk8</t>
  </si>
  <si>
    <t>A man rides a jetski on a river with the camera at a distance.</t>
  </si>
  <si>
    <t>The man jetskis while holding the camera at arm's length.</t>
  </si>
  <si>
    <t>The man is shown waterskiing while pulled by the jetski.</t>
  </si>
  <si>
    <t>The man falls and is briefly submerged.</t>
  </si>
  <si>
    <t>v_9qgO4EQiQzI</t>
  </si>
  <si>
    <t>A person is seen placing a mat down on a floor with various tools laid out around him.</t>
  </si>
  <si>
    <t>He measures the floor with a ruler followed by him putting plaster down on the floor and putting the mat back down.</t>
  </si>
  <si>
    <t>v_RJ5U2y6ccvA</t>
  </si>
  <si>
    <t>A young baby is outside in murky water holding on to a white bar.</t>
  </si>
  <si>
    <t>Two men push him and he is shown riding a water vehicle being pulled by some type of thing.</t>
  </si>
  <si>
    <t>As he moves,a woman is on the side of him following him and stopping him along the way making sure he is okay.</t>
  </si>
  <si>
    <t>v_sbvk9FNaAH0</t>
  </si>
  <si>
    <t>A hand is seen playing with a machine followed by shots of a beach and a young boy carrying a wind sail.</t>
  </si>
  <si>
    <t>Many people stand on the beach walking around and leading into a man pulling up a sail on a boat and people preparing to wind surf.</t>
  </si>
  <si>
    <t>Several shots are shown of people riding along the water with a kite as well as people on a boat and various landscapes.</t>
  </si>
  <si>
    <t>In the end a shot of a sunset is shown.</t>
  </si>
  <si>
    <t>v_3xUAyMuqBrQ</t>
  </si>
  <si>
    <t>A man is putting ingredients into a pan.</t>
  </si>
  <si>
    <t>He stirs it together over a stove.</t>
  </si>
  <si>
    <t>He puts it on a plate and shows the camera.</t>
  </si>
  <si>
    <t>v_a6lCnOqNaMY</t>
  </si>
  <si>
    <t>A man is running down the track.</t>
  </si>
  <si>
    <t>He throws a javelin onto the field.</t>
  </si>
  <si>
    <t>The audience is behind him in the stands watching.</t>
  </si>
  <si>
    <t>v_eZ_IOp638kQ</t>
  </si>
  <si>
    <t>An athletic man is seen running to throw a ball and another person hits it into the audience.</t>
  </si>
  <si>
    <t>More clips are shown of people playing the game on the field with the audience cheers and players move around the field.</t>
  </si>
  <si>
    <t>v_FXb8rBMvol4</t>
  </si>
  <si>
    <t>People are coming off of a van holding snowboards.</t>
  </si>
  <si>
    <t>A man straps his snowboard on.</t>
  </si>
  <si>
    <t>Several people are snowboarding down a hill.</t>
  </si>
  <si>
    <t>A man in goggles talks.</t>
  </si>
  <si>
    <t>A woman holds a child up to kiss a man.</t>
  </si>
  <si>
    <t>People are snowboarding down a hill.</t>
  </si>
  <si>
    <t>A man talks to the camera.</t>
  </si>
  <si>
    <t>Several people do tricks on their snowboards.</t>
  </si>
  <si>
    <t>A man talks to the camera again.</t>
  </si>
  <si>
    <t>Several more people are snowboarding and talking.</t>
  </si>
  <si>
    <t>A man with a beard talks to the camera.</t>
  </si>
  <si>
    <t>A man takes off his snowboard.</t>
  </si>
  <si>
    <t>v_e2fXKrG2BkY</t>
  </si>
  <si>
    <t>Two boys in blue karate suits and red belts are standing on a stage in a school cafeteria and they are doing a karate routine in unison.</t>
  </si>
  <si>
    <t>When they are done, they turn to one another, bow, and do some karate matches that involve gently throwing one another to ground and when done with the matches they each take a bow facing the crowd.</t>
  </si>
  <si>
    <t>The boys then start another karate routine and they are doing various moves with their arms and legs while doing them in unison as much as possible.</t>
  </si>
  <si>
    <t>When done they both take a bow facing the crowd and they both run off the school stage.</t>
  </si>
  <si>
    <t>v_L_fvvmvV-Tc</t>
  </si>
  <si>
    <t>A man and a little boy are mowing a lawn.</t>
  </si>
  <si>
    <t>The man pushes the real mower back and forth.</t>
  </si>
  <si>
    <t>The little boy follows him with a toy mower.</t>
  </si>
  <si>
    <t>v_Z6xXj6tbMCo</t>
  </si>
  <si>
    <t>A man is seen doing various flips and tricks on a gym floor while others practice behind him.</t>
  </si>
  <si>
    <t>The man continues slipping around the room while people walking him stop and watch.</t>
  </si>
  <si>
    <t>v_nmUJ2GfVkKY</t>
  </si>
  <si>
    <t>An athlete performs a long jump at a professional sports event as onlookers watch and clap.</t>
  </si>
  <si>
    <t>A man in an athletic outfit and a paper number pinned to his chest paces on a sports field.</t>
  </si>
  <si>
    <t>The man runs a distance and performs a long jump.</t>
  </si>
  <si>
    <t>The man smiles and paces after the long jump as a British flag waves in the background and a template of his score goes across the screen along with slow motion re-inactments.</t>
  </si>
  <si>
    <t>The man takes his shoes off while sitting on a bench.</t>
  </si>
  <si>
    <t>v_Fp8e9dbWeSg</t>
  </si>
  <si>
    <t>A group of people are seen riding in bumper cars and running into one another.</t>
  </si>
  <si>
    <t>The people keep bumping into each other and driving around and then stop to climb out of the cars.</t>
  </si>
  <si>
    <t>v_qGf6earGAOc</t>
  </si>
  <si>
    <t>People are driving in a car down the street.</t>
  </si>
  <si>
    <t>A man is wake boarding in water full of berries.</t>
  </si>
  <si>
    <t>A van is driving on a road by the water.</t>
  </si>
  <si>
    <t>v_8j75QYV-iCg</t>
  </si>
  <si>
    <t>a young girl in a yellow outfit poses with a baton.</t>
  </si>
  <si>
    <t>She begins to dance, twirling the baton as she goes.</t>
  </si>
  <si>
    <t>The girl spins, sits, slides, and twirls as she performs.</t>
  </si>
  <si>
    <t>She falls to the ground in a pose and smiles as she finishes.</t>
  </si>
  <si>
    <t>v_Q_v6MdHJ7Go</t>
  </si>
  <si>
    <t>A man is seen kneeling on a floor and puts his hands behind his head.</t>
  </si>
  <si>
    <t>He then bends his body forward and performs several jumps onto his feet.</t>
  </si>
  <si>
    <t>v_OIA7lPraPSM</t>
  </si>
  <si>
    <t>Three people are riding skateboards on a road in a city and the text on the bottom left screen say "Three regulars Justice - New Jack" and they are skating fast going forward, turning, curving, bending down and doing other various tricks all throughout the city and not wearing any helmets or other safety gear.</t>
  </si>
  <si>
    <t>Two of the guys are stopped on a road and then all of a sudden one of them picks up a skateboard and throws it very hard against the wall.</t>
  </si>
  <si>
    <t>The guys are shown skateboarding again and this time they are wearing helmets as they skateboard down the roads in this city going very fast and doing multiple various tricks.</t>
  </si>
  <si>
    <t>v_9cD-Z6Aw7bE</t>
  </si>
  <si>
    <t>We see young ladies hug each other on a track.</t>
  </si>
  <si>
    <t>We then see replay from their run.</t>
  </si>
  <si>
    <t>A lady swings her arms as she finishes.</t>
  </si>
  <si>
    <t>We see a 4 ladies throwing the hammer.</t>
  </si>
  <si>
    <t>A lady hugs someone after her thrown.</t>
  </si>
  <si>
    <t>A lady hugs a woman and a man.</t>
  </si>
  <si>
    <t>v__dp7ZH3Upuw</t>
  </si>
  <si>
    <t>A small boy swings out off a large piece of playground equipment.</t>
  </si>
  <si>
    <t>He swings across the bars, trying to hold on.</t>
  </si>
  <si>
    <t>He makes it all the way to the end before jumping off.</t>
  </si>
  <si>
    <t>v_rSTXxDLYxTQ</t>
  </si>
  <si>
    <t>A close up of shoes are shown followed by a person holding the shoes and rubbing polish around the shoes.</t>
  </si>
  <si>
    <t>The man then rubs polish into the other shoe on the table as well as back to the one he started on.</t>
  </si>
  <si>
    <t>He takes a brush and uses it on the shoe, ending with him grabbing the camera.</t>
  </si>
  <si>
    <t>v_tYV23sjRgt8</t>
  </si>
  <si>
    <t>This woman is showing viewers how to make a whiskey sour.</t>
  </si>
  <si>
    <t>First she pours one ounce of whiskey over ice into the ross glass.</t>
  </si>
  <si>
    <t>Then she pours citrus into the glass and puts a straw into it.</t>
  </si>
  <si>
    <t>v_y47RXYfefvQ</t>
  </si>
  <si>
    <t>A man is in a snowy parking lot.</t>
  </si>
  <si>
    <t>He is using a brush to wipe snow off the back windshielf of his car.</t>
  </si>
  <si>
    <t>He glances at the camera, then keeps wiping.</t>
  </si>
  <si>
    <t>v_74qSBsksI-E</t>
  </si>
  <si>
    <t>A man is seen speaking to the camera and begins holding a razor up to his face.</t>
  </si>
  <si>
    <t>The man then shaves his face around the sides and ends by still speaking to the camera.</t>
  </si>
  <si>
    <t>v_JhiX65Okpt0</t>
  </si>
  <si>
    <t>A woman is performing partial arts moves with a man on a stage.</t>
  </si>
  <si>
    <t>A band plays instruments in the background.</t>
  </si>
  <si>
    <t>The two spin, flip, and kick, taking turns.</t>
  </si>
  <si>
    <t>v_rxwmIyvVVUU</t>
  </si>
  <si>
    <t>A lady plays pool alone indoors.</t>
  </si>
  <si>
    <t>The white ball falls off the pool table.</t>
  </si>
  <si>
    <t>The lady picks up the white ball from the floor.</t>
  </si>
  <si>
    <t>v_ilX9ntIzaoQ</t>
  </si>
  <si>
    <t>We see a man run and jump on a raft as it slides down a long snowy hill.</t>
  </si>
  <si>
    <t>The raft stops and the cameraman gets up and walks around while filming the ground.</t>
  </si>
  <si>
    <t>A hand then covers the camera.</t>
  </si>
  <si>
    <t>v_Q_Rufuciohg</t>
  </si>
  <si>
    <t>An older woman peels a potato over a table.</t>
  </si>
  <si>
    <t>She sets the knife down on the table.</t>
  </si>
  <si>
    <t>v_3VoIt9XkPEM</t>
  </si>
  <si>
    <t>People are floating down a river in tubes.</t>
  </si>
  <si>
    <t>A person's feet are shown on a tube.</t>
  </si>
  <si>
    <t>People are standing on the short next to their tubes.</t>
  </si>
  <si>
    <t>v_bdKB3QYNFbc</t>
  </si>
  <si>
    <t>men are in a dust racetrack riding bikes doing tricks.</t>
  </si>
  <si>
    <t>little kids are going down a slide in a dust pathway.</t>
  </si>
  <si>
    <t>v_wV2c3sdctbs</t>
  </si>
  <si>
    <t>A boy is explaining how to put on toes shoes on his left foot.</t>
  </si>
  <si>
    <t>Then, the boy raise the right foot and take out the toe shoe and continue explaining.</t>
  </si>
  <si>
    <t>v_9xOUoTQLea4</t>
  </si>
  <si>
    <t>A person makes a pot of coffee.</t>
  </si>
  <si>
    <t>The person then adds a bunch of sugary products to it.</t>
  </si>
  <si>
    <t>The man drinks it and then calls people from a smart phone.</t>
  </si>
  <si>
    <t>v_5iQsKA84vWo</t>
  </si>
  <si>
    <t>There two women boxers competing in kickboxing against each other in a boxing event.</t>
  </si>
  <si>
    <t>The referee is standing next to them.</t>
  </si>
  <si>
    <t>There are several spectators watching the boxers compete.</t>
  </si>
  <si>
    <t>After the referee gives a go, the contestants begin the match.</t>
  </si>
  <si>
    <t>The crowd cheers for them as they compete.</t>
  </si>
  <si>
    <t>The boxer in the black uniform punches the boxer in red and makes her fall down.</t>
  </si>
  <si>
    <t>The boxer in red kicks her opponent.</t>
  </si>
  <si>
    <t>The boxer in black strikes back at her opponent and the boxer in red punches her face.</t>
  </si>
  <si>
    <t>The referee declares the boxer in black as the winner and crowd applauds her victory.</t>
  </si>
  <si>
    <t>v_8B4M8AsGZmQ</t>
  </si>
  <si>
    <t>A camera pans around a person standing and leads into him looking off into the distance and carrying gear.</t>
  </si>
  <si>
    <t>The man suits up as the camera shows close ups of his board.</t>
  </si>
  <si>
    <t>The man is then seen doing numerous tricks over the water while following behind a boat.</t>
  </si>
  <si>
    <t>v_0ufZs4e24Xs</t>
  </si>
  <si>
    <t>Two men are boxing inside a gym.</t>
  </si>
  <si>
    <t>The two men kick and alternate blows with punches.</t>
  </si>
  <si>
    <t>v_dXdhOe0DPC4</t>
  </si>
  <si>
    <t>A woman is sanding a book shelf with a sander.</t>
  </si>
  <si>
    <t>She touches the sanded portion with her hand.</t>
  </si>
  <si>
    <t>She stands next to the shelf talking.</t>
  </si>
  <si>
    <t>v_LZ1142kuCnI</t>
  </si>
  <si>
    <t>A person is seen walking around a room carrying a broom.</t>
  </si>
  <si>
    <t>She pushes it along the wall beside her.</t>
  </si>
  <si>
    <t>In the end she turns around and pushes it back.</t>
  </si>
  <si>
    <t>v_SLPD1U5iDjY</t>
  </si>
  <si>
    <t>A woman is seen outside playing a game of beach volley ball serving it over the net in slow motion.</t>
  </si>
  <si>
    <t>It makes it over the net and the other team of two balls is able to hit it back over the net.</t>
  </si>
  <si>
    <t>Both pairs of people continue to play the game and eventually the side with the man and woman on the team end up winning.</t>
  </si>
  <si>
    <t>v_kMHMdqkGRB4</t>
  </si>
  <si>
    <t>A gymnast is seen standing before a large beam and putting his hands up in the air.</t>
  </si>
  <si>
    <t>He then performs a gymnasts routine while swinging himself all around the bar and ends by jumping down.</t>
  </si>
  <si>
    <t>v_cJyl4yqFuK0</t>
  </si>
  <si>
    <t>A young child is seen sitting next to a tub and bending over the side.</t>
  </si>
  <si>
    <t>A person speaks to her on the side while she looks back to the camera.</t>
  </si>
  <si>
    <t>She bends further into the sink then moves back to the camera to look.</t>
  </si>
  <si>
    <t>v_66BGqvwHbUw</t>
  </si>
  <si>
    <t>A camera zooms in on a person playing guitar and leads into a man speaking.</t>
  </si>
  <si>
    <t>Several more shots of people playing guitar and guitars on walls are shown as well as the same man speaking to the camera.</t>
  </si>
  <si>
    <t>v_erxnWYOO1ew</t>
  </si>
  <si>
    <t>We see a man jumping on jump stilts.</t>
  </si>
  <si>
    <t>We see a person sitting in the yard.</t>
  </si>
  <si>
    <t>The man on the stilts stops and turns around towards the camera.</t>
  </si>
  <si>
    <t>v_wO9DGYTAX70</t>
  </si>
  <si>
    <t>Slow motion shows of people riding horses over jumps are shown that lead into a woman speaking to the camera with a horse behind her.</t>
  </si>
  <si>
    <t>The woman then wears a glove and brushes the horse all over while the capture captures her movements and the horse.</t>
  </si>
  <si>
    <t>She brushes the back of it's tail and finishes around it's belly.</t>
  </si>
  <si>
    <t>v_Q2PC60uwjdY</t>
  </si>
  <si>
    <t>Beets are being chopped up on a chopping block.</t>
  </si>
  <si>
    <t>They are put in a pan and covered with water.</t>
  </si>
  <si>
    <t>Kale is being chopped up on a cutting board.</t>
  </si>
  <si>
    <t>It is tossed in salt for a few minutes.</t>
  </si>
  <si>
    <t>Carrots are grated over the kale.</t>
  </si>
  <si>
    <t>A tomato is diced and mixed with dressing.</t>
  </si>
  <si>
    <t>This is then poured over the kale.</t>
  </si>
  <si>
    <t>A man takes a bite of the salad.</t>
  </si>
  <si>
    <t>v_mgEX5A1o2jg</t>
  </si>
  <si>
    <t>A person is seen moving in fast motion unpacking a bag and piecing together parts of a tire.</t>
  </si>
  <si>
    <t>Many people stop to watch on the sidelines while the man continues to build the bike and finishes by packing everything up and holding his arms out while smiling.</t>
  </si>
  <si>
    <t>v_7pYrfYFoxdc</t>
  </si>
  <si>
    <t>A woman climbs into the back of a van with other people.</t>
  </si>
  <si>
    <t>Several men are standing together in a line before we see a person in a gorilla suit.</t>
  </si>
  <si>
    <t>Many people are dancing, falling off skateboards, and performing various tricks like tightrope walking and flips.</t>
  </si>
  <si>
    <t>The group walks out of the building together, making signs and faces at the camera.</t>
  </si>
  <si>
    <t>v_vWsPUB8dQMU</t>
  </si>
  <si>
    <t>A train goes by on a track, and several cars are seen driving on a wet road.</t>
  </si>
  <si>
    <t>A woman gets out, and crouches by a flat tire.</t>
  </si>
  <si>
    <t>She uses equipment to lift the car from the ground, then removes the tire.</t>
  </si>
  <si>
    <t>She replaces the bad tire with a spare.</t>
  </si>
  <si>
    <t>she then puts away her equipment and gives a thumbs up before driving safely away.</t>
  </si>
  <si>
    <t>v_ekzUyQo2R9Y</t>
  </si>
  <si>
    <t>There's a person wakeboarding in a lake.</t>
  </si>
  <si>
    <t>He is being pulled by a red rope that is fastened to a steamboat.</t>
  </si>
  <si>
    <t>He is going at a steady speed behind the steamboat.</t>
  </si>
  <si>
    <t>v_-jl_v7zi17A</t>
  </si>
  <si>
    <t>A woman is seen riding on a piece of exercise equipment followed by several shots of her adjusting the equipment and moving it around.</t>
  </si>
  <si>
    <t>More shots are shown of her riding the equipment and changing the settings on the front.</t>
  </si>
  <si>
    <t>v_JuC7EY32Spg</t>
  </si>
  <si>
    <t>An older women is shown sitting on a front step putting socks on with a small dog standing near her.</t>
  </si>
  <si>
    <t>She then puts her shoe on the foot and the dog looks off into the distance.</t>
  </si>
  <si>
    <t>v_GvDu_0ktsJ0</t>
  </si>
  <si>
    <t>A cooker shows ingredients to make salad pasta while talking.</t>
  </si>
  <si>
    <t>The cooker puts pasta on a square container and adds vegetables.</t>
  </si>
  <si>
    <t>Then, the cooker adds cheese, broth, white cream, salt and then he mix it.</t>
  </si>
  <si>
    <t>The man serves the pasta with a piece of tomato and he taste the salad.</t>
  </si>
  <si>
    <t>v_CZRkT9Lno3k</t>
  </si>
  <si>
    <t>An athletic woman is seen standing ready holding a pole in her hands and looking down and back.</t>
  </si>
  <si>
    <t>She then holds the stick up and pole volts herself onto a mat.</t>
  </si>
  <si>
    <t>She waves to the crowd and then walks away with others getting ready around her.</t>
  </si>
  <si>
    <t>v_rDYeRbucGt4</t>
  </si>
  <si>
    <t>A man is seated cross legged watching a show.</t>
  </si>
  <si>
    <t>A man is kneeling in front of the crowd, talking.</t>
  </si>
  <si>
    <t>He continues talking as the crowd is enraptured, listening to his every word.</t>
  </si>
  <si>
    <t>v_UjG_uHlFf3s</t>
  </si>
  <si>
    <t>A clip of the show top Gear is shown with one man sitting in a car speaking to the camera, and another speaking to the camera in a different car.</t>
  </si>
  <si>
    <t>Two men speak on walkie talkies on the side and the men drive the cars into one another.</t>
  </si>
  <si>
    <t>One pushes the car back and the men all get out and speak to one another.</t>
  </si>
  <si>
    <t>Another car is test with the men speaking to the camera and pushes the car back while others look in disbelief.</t>
  </si>
  <si>
    <t>v_QTfz_zprGcQ</t>
  </si>
  <si>
    <t>A BTRtv reporter visits a soul cycle studio and store, interviews a soul cycle instructor and takes a sample soul cycle class.</t>
  </si>
  <si>
    <t>A reporter holding a microphone, stands outside of a soul cycle store speaking to the camera, and then enters the store and interviews a soul cycle instructor.</t>
  </si>
  <si>
    <t>The reporter then changes clothes and takes a soul cycle class interspersed with video of instructor led soul cycle classes.</t>
  </si>
  <si>
    <t>The reporter returns to interviewing the soul cycle instructor with a final shot of rows of clothing hanging in the soul cycle store.</t>
  </si>
  <si>
    <t>v_Zk3JXtS2fOY</t>
  </si>
  <si>
    <t>An olympic fencing match is shown.</t>
  </si>
  <si>
    <t>Each side scores points and then a new match is shown.</t>
  </si>
  <si>
    <t>v_9sbiZgFefA4</t>
  </si>
  <si>
    <t>We see a title screen on black.</t>
  </si>
  <si>
    <t>We then see a woman skating down a street in a city.</t>
  </si>
  <si>
    <t>Cars begin to pass the lady.</t>
  </si>
  <si>
    <t>The lady passes parked cars.</t>
  </si>
  <si>
    <t>The lady talks as she stands in front of a building door.</t>
  </si>
  <si>
    <t>She talks near a highway.</t>
  </si>
  <si>
    <t>We see the ending screen on black.</t>
  </si>
  <si>
    <t>v_QQQ7jSVSG3A</t>
  </si>
  <si>
    <t>A group of belly dancers are posing onstage.</t>
  </si>
  <si>
    <t>They begin to dance, swirling their scarves around their bodies as they dance.</t>
  </si>
  <si>
    <t>They drop the scarves, focusing solely on the dance before dropping to the ground, then rising and dancing off stage.</t>
  </si>
  <si>
    <t>v_itlF0DEBetk</t>
  </si>
  <si>
    <t>A man is raking leaves in his yard.</t>
  </si>
  <si>
    <t>He has bagged several leaves as he rakes them out of a bird bath.</t>
  </si>
  <si>
    <t>He continues raking, then opens a bag to pour rocks around the bird bath.</t>
  </si>
  <si>
    <t>v_5pPQc85IXtU</t>
  </si>
  <si>
    <t>People competes bike cross in a field.</t>
  </si>
  <si>
    <t>People bike on a bumpy track where a crowd gather to watch the bike cross competition.</t>
  </si>
  <si>
    <t>A biker falls on the ground.</t>
  </si>
  <si>
    <t>The bikers arrive to the finish line.</t>
  </si>
  <si>
    <t>v_ZmoSxXei954</t>
  </si>
  <si>
    <t>A man is seen standing in a gym holding a racket while the camera pans out to show two men.</t>
  </si>
  <si>
    <t>The men move around one another in the gym hitting a ball off the wall.</t>
  </si>
  <si>
    <t>The two continue hitting the ball around and walking around to hit it.</t>
  </si>
  <si>
    <t>v_zB8kwWJqQ8Q</t>
  </si>
  <si>
    <t>men and women are in team playing foosball in a table in a basket court.</t>
  </si>
  <si>
    <t>referee is standing in front of table watching the game.</t>
  </si>
  <si>
    <t>people is sitting in terraces behind the court watching the game.</t>
  </si>
  <si>
    <t>v_GBdj6erXjDM</t>
  </si>
  <si>
    <t>A girl sits in the drivers seat of a car and enjoys a ice cream cone.</t>
  </si>
  <si>
    <t>The girl laughs while trying to eat the ice cream.</t>
  </si>
  <si>
    <t>The girl licks the ice cream cone with the tip of her tongue.</t>
  </si>
  <si>
    <t>v_crfrKqFp0Zg</t>
  </si>
  <si>
    <t>A man is seen standing in a black room and proceeds to play a flute while the camera captures him.</t>
  </si>
  <si>
    <t>The man continues to lay the instrument while moving his hands up and down and moving his head to the beat.</t>
  </si>
  <si>
    <t>v_3Vj0GcB_qh4</t>
  </si>
  <si>
    <t>Two young girls stand in front of a fireplace holding violins.</t>
  </si>
  <si>
    <t>The girls begin playing a piece of music on the violins and then bow at the end.</t>
  </si>
  <si>
    <t>Two younger children appear outdoors with a website address overlaid.</t>
  </si>
  <si>
    <t>v_o7O6XJYVDRE</t>
  </si>
  <si>
    <t>Supplies to wrap a gift is laying on a wooden table.</t>
  </si>
  <si>
    <t>A gift wrapped present is wrapped with a clear plastic and taped in place.</t>
  </si>
  <si>
    <t>Red ribbons are tied at each end.</t>
  </si>
  <si>
    <t>A scissor is used to cut off the excess clear plastic at each end.</t>
  </si>
  <si>
    <t>The final wrapped product is laying on the table.</t>
  </si>
  <si>
    <t>v_tnWmUCOEdFY</t>
  </si>
  <si>
    <t>A woman with long hair is seen looking deep into the camera and stroking her face.</t>
  </si>
  <si>
    <t>She then brushes her hair and ends the video by smiling.</t>
  </si>
  <si>
    <t>v_e9p0xmsU3h0</t>
  </si>
  <si>
    <t>A girl plays in a indoor plastic ball pool with a slide.</t>
  </si>
  <si>
    <t>The girl climbs up the stair case then slides down the slide.</t>
  </si>
  <si>
    <t>The girl climbs up a staircase then crawls through a tunnel.</t>
  </si>
  <si>
    <t>The girl slides down into a ball pool then climbs back up the slide.</t>
  </si>
  <si>
    <t>The girl plays with the tick-tack-toe board before sliding back down.</t>
  </si>
  <si>
    <t>The child swings on a swing set.</t>
  </si>
  <si>
    <t>The child walks into a trampoline room then jumps up and down.</t>
  </si>
  <si>
    <t>The child walks over a suspension bridge then then over a bridge with nets.</t>
  </si>
  <si>
    <t>The girl slides into the ball pool then climbs up onto the wall and jumps back in.</t>
  </si>
  <si>
    <t>the girl climbs up the slide railing.</t>
  </si>
  <si>
    <t>The girl slides down a steep orange slide.</t>
  </si>
  <si>
    <t>Balls are thrown at the girl and she throws them back laughing.</t>
  </si>
  <si>
    <t>v_0bXzFAKRoBU</t>
  </si>
  <si>
    <t>A man is seen playing the drums with another man beside him with several lights flash around his face.</t>
  </si>
  <si>
    <t>Another man is seen holding a guitar and several shots of a stage are shown.</t>
  </si>
  <si>
    <t>The musician grabs a microphone and the guitarist jumps on stage with a cigarette in his mouth.</t>
  </si>
  <si>
    <t>v_9lX18LyTuAQ</t>
  </si>
  <si>
    <t>A man holding a violin is speaking to the camera with a young boy who is also holding a violin.</t>
  </si>
  <si>
    <t>The boys talk back and fourth for a while and the man shows the boy how to properly play the violin.</t>
  </si>
  <si>
    <t>The boy then does exactly what the instructor taught him while the instructor corrects his playing.</t>
  </si>
  <si>
    <t>v_C7rGK81C7SU</t>
  </si>
  <si>
    <t>A persons hands are seen laying clay out onto a cake and begins painting objects on the side.</t>
  </si>
  <si>
    <t>The woman puts the decorations around the cake and continues decorating more objects on the side.</t>
  </si>
  <si>
    <t>She finishes the cake by adding the final decorations and presenting it to the camera.</t>
  </si>
  <si>
    <t>v_9dqz5ojw-ys</t>
  </si>
  <si>
    <t>People are in stands watching two teams in a pool play pool soccer.</t>
  </si>
  <si>
    <t>The players are yelling and then the ball is hit towards the goal and deflected as the crowd cheers them on.</t>
  </si>
  <si>
    <t>The ball is then thrown back into the pool.</t>
  </si>
  <si>
    <t>v_9wukG78Z0u8</t>
  </si>
  <si>
    <t>A man is kneeling inside a gym.</t>
  </si>
  <si>
    <t>He has a barbell resting on his shoulders as he hops up.</t>
  </si>
  <si>
    <t>He stands fully, then drops the weights.</t>
  </si>
  <si>
    <t>v_GWJw2jR2mTY</t>
  </si>
  <si>
    <t>A man wearing a white shirt stands in a kitchen with a mop.</t>
  </si>
  <si>
    <t>The man begins mopping the floor while standing in front of washing machines.</t>
  </si>
  <si>
    <t>The man mopping takes a few steps and slips as his left leg slides on the floor and he falls to the floor.</t>
  </si>
  <si>
    <t>v_9mL3eC5iizc</t>
  </si>
  <si>
    <t>Two trains drive along an elevated rail in a city.</t>
  </si>
  <si>
    <t>The camera pans to show a man playing a harmonica while sitting on a log beside a river.</t>
  </si>
  <si>
    <t>A woman walks near the train tracks while a train drives by.</t>
  </si>
  <si>
    <t>The woman sees the harmonica playing man in the distance.</t>
  </si>
  <si>
    <t>She watches him and listens to him playing.</t>
  </si>
  <si>
    <t>She walks away leaving the man.</t>
  </si>
  <si>
    <t>The man finishes playing and remains seated.</t>
  </si>
  <si>
    <t>v_o2mqzjWJJNw</t>
  </si>
  <si>
    <t>A man wearing a heavy apron, heavy gloves and large plastic mask over his face walks over to a tool sitting on a wooden table.</t>
  </si>
  <si>
    <t>The man picks up the tool and touches it to something on the table making sparks fly.</t>
  </si>
  <si>
    <t>A continuous spray of sparks shoots off of the tool.</t>
  </si>
  <si>
    <t>The man stops and and takes a step back while pulling his face mask up and looking at the item on the table.</t>
  </si>
  <si>
    <t>The man pulls his face mask back down and begins to use the tool again sending sparks flying again.</t>
  </si>
  <si>
    <t>The man pauses and backs away looking at the item on the table.</t>
  </si>
  <si>
    <t>He touches the tool to the item one more time.</t>
  </si>
  <si>
    <t>The man then looks at the tool he is using and shakes it a little before sitting it down on the table.</t>
  </si>
  <si>
    <t>The man then removes one of his gloves and walks away.</t>
  </si>
  <si>
    <t>v_PqrexMJ5ohk</t>
  </si>
  <si>
    <t>A close up of balls moving around a pool table are shown followed by a person walking around the table.</t>
  </si>
  <si>
    <t>Two men then hit the balls around the table back and fourth while many watch and react around them.</t>
  </si>
  <si>
    <t>v_qZIJRg7hJ0o</t>
  </si>
  <si>
    <t>A small group of people are seen sitting in bumper cars playing a game with one another.</t>
  </si>
  <si>
    <t>The people driving around in the cars while others watch on the sides.</t>
  </si>
  <si>
    <t>Another shot is shown of people playing bumper cars and crashing into one another.</t>
  </si>
  <si>
    <t>v_uIl5Tj74sLw</t>
  </si>
  <si>
    <t>a girl stands in front of a bathroom mirror and vigorously rubs her face.</t>
  </si>
  <si>
    <t>The girl turns on the faucet.</t>
  </si>
  <si>
    <t>The girl then splashes water on her face several times.</t>
  </si>
  <si>
    <t>The girl wipes her face with a towel.</t>
  </si>
  <si>
    <t>v_e5VrEH2X8LI</t>
  </si>
  <si>
    <t>An intro leads into a bearded man talking to the camera and presenting an object to the screen.</t>
  </si>
  <si>
    <t>He uses the tool to push a carpet area over and continues talking to the camera.</t>
  </si>
  <si>
    <t>v_GRGBMJG1Koc</t>
  </si>
  <si>
    <t>Several multi colored and shaped kites fly high in the air above a beach setting interspersed with images of people preparing to fly kites and onlookers.</t>
  </si>
  <si>
    <t>Several kites fly in the air, in a bright blue sky, over a sandy area.</t>
  </si>
  <si>
    <t>A man is seen kneeling over some equipment in the sand.</t>
  </si>
  <si>
    <t>More kites fly as people watch the varied styles of kite, including one kite shaped like a dog.</t>
  </si>
  <si>
    <t>v_otrk9uW9UjU</t>
  </si>
  <si>
    <t>A lady lays on a yoga mat in a carpeted room and does sit ups while talking.</t>
  </si>
  <si>
    <t>A finger enters the screen.</t>
  </si>
  <si>
    <t>The lady finishes and stops.</t>
  </si>
  <si>
    <t>v_BLmAF2wbTz8</t>
  </si>
  <si>
    <t>A bartender is shown speaking to the camera while pouring ice into a glass and various liquids into a blender.</t>
  </si>
  <si>
    <t>He pours more ice into the blender and mixes up the liquids all together.</t>
  </si>
  <si>
    <t>He pours out the liquid and places a straw into the glass while the camera pans around.</t>
  </si>
  <si>
    <t>v_ERVK6vQbor4</t>
  </si>
  <si>
    <t>A man in a gym is donning a pair of boxing gloves.</t>
  </si>
  <si>
    <t>He begins punching the bag, going around in circles as he does so.</t>
  </si>
  <si>
    <t>He continues punching, then we see a slight view of a man jumping rope.</t>
  </si>
  <si>
    <t>v_puwMWETdvL0</t>
  </si>
  <si>
    <t>We see a black opening logo.</t>
  </si>
  <si>
    <t>A man etches a pumpkin with a knife like tool.</t>
  </si>
  <si>
    <t>The man then carves a logo into the pumpkin.</t>
  </si>
  <si>
    <t>We see the pumpkin with a light inside of it.</t>
  </si>
  <si>
    <t>We then see the same logo as the open.</t>
  </si>
  <si>
    <t>v_waTjpd7yDkc</t>
  </si>
  <si>
    <t>A man and a woman wearing roller blades kneel facing each other on a basketball court.</t>
  </si>
  <si>
    <t>A dog runs by the man and woman.</t>
  </si>
  <si>
    <t>the man and woman rise together.</t>
  </si>
  <si>
    <t>The man and woman perform a paired roller blade routine.</t>
  </si>
  <si>
    <t>The man and woman finish the routine and move towards the camera.</t>
  </si>
  <si>
    <t>v_AElVyfjSHIo</t>
  </si>
  <si>
    <t>A man is seen speaking to the camera and leads into him playing on a set of drums.</t>
  </si>
  <si>
    <t>The man continues speaking to the camera with his hands and moving the sticks while looking around.</t>
  </si>
  <si>
    <t>v_drfE5oASHaU</t>
  </si>
  <si>
    <t>The host enters a gun store and dances around.</t>
  </si>
  <si>
    <t>Afterward the into plays for the show.</t>
  </si>
  <si>
    <t>He then goes on to talk for a while in the store and plays around with a gun on a few cuts.</t>
  </si>
  <si>
    <t>Afterward a outro for the segment plays with credits.</t>
  </si>
  <si>
    <t>v_NW42KGlKi_c</t>
  </si>
  <si>
    <t>A camera pans out away from a beach followed by hundreds of people rowing canoes.</t>
  </si>
  <si>
    <t>The people are seen running along the beach as well as rowing the canoes and a man sitting at a table.</t>
  </si>
  <si>
    <t>The man checks his phone and looks off into the distance and another shot of people canoeing are shown.</t>
  </si>
  <si>
    <t>v_nN1u9BVysQs</t>
  </si>
  <si>
    <t>We see the title on the black screen.</t>
  </si>
  <si>
    <t>We see instruments and the wall with the school name.</t>
  </si>
  <si>
    <t>People are shown warming up.</t>
  </si>
  <si>
    <t>We are then shown Capoeira technique.</t>
  </si>
  <si>
    <t>People are practicing Capoeira moves.</t>
  </si>
  <si>
    <t>The ladies are explaining why they chose Capoeira.</t>
  </si>
  <si>
    <t>We are shown the end card for the website.</t>
  </si>
  <si>
    <t>v_78WY5lXk42A</t>
  </si>
  <si>
    <t>A man spreads a white sheet onto a wall.</t>
  </si>
  <si>
    <t>He then presses a sheet with a photo printed onto it onto the white background.</t>
  </si>
  <si>
    <t>When he is finished, there is a photo of a yellow motorbike parked against a brick wall on a living room wall.</t>
  </si>
  <si>
    <t>v_SQiIQDKhnh0</t>
  </si>
  <si>
    <t>A man is standing in front of an armoire as he talks.</t>
  </si>
  <si>
    <t>There is a close up of the armoire, spanning up its length.</t>
  </si>
  <si>
    <t>The man touches several cracks and chips in the wood, talking about them.</t>
  </si>
  <si>
    <t>Several household items are individually shown on the screen.</t>
  </si>
  <si>
    <t>The man uses the items to scrape, clean, and cover the cracks and scratches.</t>
  </si>
  <si>
    <t>The finished product, free of cracks and scratches, is shown as the man says his final words to the camera.</t>
  </si>
  <si>
    <t>v_Q6tYENILn40</t>
  </si>
  <si>
    <t>a man is seated at a piano.</t>
  </si>
  <si>
    <t>He starts playing a tune, looking back and forth at the keys as he plays.</t>
  </si>
  <si>
    <t>He stops, turning his head and speaking.</t>
  </si>
  <si>
    <t>v_5o9iv0wC59g</t>
  </si>
  <si>
    <t>A man wearing a dark blue shirt and sporting a braid begins playing the bongos.</t>
  </si>
  <si>
    <t>He begins drumming on the bongos to a beat as he shakes his head rhythmically.</t>
  </si>
  <si>
    <t>He continues drumming on the bongos alternating between the two drums.</t>
  </si>
  <si>
    <t>He plays for some time and then stops drumming on the bongos.</t>
  </si>
  <si>
    <t>v_RG0wtfLnNrE</t>
  </si>
  <si>
    <t>A large group of people are seen sitting inside a raft and paddling themselves along a rough river.</t>
  </si>
  <si>
    <t>The camera pans all around to people sitting in the raft and continuing to move along and move under a bridge.</t>
  </si>
  <si>
    <t>v_rKnQNI9PNFI</t>
  </si>
  <si>
    <t>We see a newscaster speak.</t>
  </si>
  <si>
    <t>We see a man in a room then a fight and men in an office before more fighting in an action movie.</t>
  </si>
  <si>
    <t>We return to the newscaster as she discusses a superhero movie.</t>
  </si>
  <si>
    <t>Her screen changes to the title screen.</t>
  </si>
  <si>
    <t>v_5HEunlL4nF0</t>
  </si>
  <si>
    <t>A young woman is seen walking into frame hitting a ball around a room.</t>
  </si>
  <si>
    <t>The girl walks around the room back and fourth while holding a tennis racket and hitting a ball.</t>
  </si>
  <si>
    <t>The girl continues to hit the ball around while the camera watches.</t>
  </si>
  <si>
    <t>v_9voJIuym_f8</t>
  </si>
  <si>
    <t>There are two brown hot dog dogs standing at a gate that's at the end of a staircase.</t>
  </si>
  <si>
    <t>One of the dogs closest to the gate gets the gate open and both of the dogs go running up the stairs at a very fast pace while the camera person runs after them.</t>
  </si>
  <si>
    <t>The dogs are so fast that the camera person can't keep up with them and when they find them, the dogs are trying very hard to get into a bath tub that has water in it.</t>
  </si>
  <si>
    <t>The first dog succeeds in jumping in and starts swimming in the water, and the other dog can't get in and continues to jump and struggle until the camera person puts the dog in the tub and now both dogs are playing and swimming happily in the water.</t>
  </si>
  <si>
    <t>v_T8mTuW85NNo</t>
  </si>
  <si>
    <t>A tv news anchor reports on a story.</t>
  </si>
  <si>
    <t>A variety of people are shown watching their hands, as the report speaks on germs.</t>
  </si>
  <si>
    <t>A tv news anchor appears.</t>
  </si>
  <si>
    <t>v_V2QIntSKqhA</t>
  </si>
  <si>
    <t>People ride camels through the desert.</t>
  </si>
  <si>
    <t>A person carrying a camera or luggage walks with one of the groups.</t>
  </si>
  <si>
    <t>The first camel group begins walking back to the camera.</t>
  </si>
  <si>
    <t>v_r-GVVgxtoMk</t>
  </si>
  <si>
    <t>A group of little girls and boys are dressed like princesses and princes.</t>
  </si>
  <si>
    <t>One of the girls begins tapping a pinata with a baseball bat.</t>
  </si>
  <si>
    <t>She taps it over and over again, but doesn't break the pinata.</t>
  </si>
  <si>
    <t>v_TnYCazY5WEM</t>
  </si>
  <si>
    <t>A group is playing volleyball on a beach.</t>
  </si>
  <si>
    <t>The men volley ball back and forth over the net.</t>
  </si>
  <si>
    <t>One of the players falls on the sand.</t>
  </si>
  <si>
    <t>v_C4td7rprQGM</t>
  </si>
  <si>
    <t>A woman talks on front a hopscotch.</t>
  </si>
  <si>
    <t>Then, the woman hops n the hopscotch while talking.</t>
  </si>
  <si>
    <t>The woman turns when arrives to the end of the hopscotch and continues hopping.</t>
  </si>
  <si>
    <t>v_hXjxOvlNxQM</t>
  </si>
  <si>
    <t>A wrestler picks up another wrestler from the ground.</t>
  </si>
  <si>
    <t>The wrestler lifts him up into the air.</t>
  </si>
  <si>
    <t>Lastly, the wrestler drops him hard onto the floor.</t>
  </si>
  <si>
    <t>v_a25vC5zsf6A</t>
  </si>
  <si>
    <t>A large wheel is spinning nonstop on a stand.</t>
  </si>
  <si>
    <t>We get a close up of the truing stand, and the spokes.</t>
  </si>
  <si>
    <t>The bike wheel is then adjusted and fixed.</t>
  </si>
  <si>
    <t>v_nypZiLC1_Z8</t>
  </si>
  <si>
    <t>A close up of bicycle handlebars are shown as well as a person adjusting the handlebars.</t>
  </si>
  <si>
    <t>The camera zooms in on the bars and the person pours liquid into the side.</t>
  </si>
  <si>
    <t>The man continues working and ends by putting the handlebars back and riding away.</t>
  </si>
  <si>
    <t>v_JGRpVcxltKE</t>
  </si>
  <si>
    <t>A woman on screen talks about lemonade.</t>
  </si>
  <si>
    <t>She juices her lemons on a cutting board, with a knife and bowl.</t>
  </si>
  <si>
    <t>She strains her juice into a bigger cup.</t>
  </si>
  <si>
    <t>At an oven, she prepares simple sugar with water and sugar.</t>
  </si>
  <si>
    <t>She mixes all of her ingredients in a pitcher to make lemonade.</t>
  </si>
  <si>
    <t>She shows other lemonade recipes.</t>
  </si>
  <si>
    <t>v_cJiwi-wB1FY</t>
  </si>
  <si>
    <t>A man in a blue shirt lifts a kid onto a counter.</t>
  </si>
  <si>
    <t>The kid starts throwing darts at balloons on the wall.</t>
  </si>
  <si>
    <t>The woman behind the counter hands the boy a toy.</t>
  </si>
  <si>
    <t>v_S7ktlGGweeA</t>
  </si>
  <si>
    <t>Two women are seen speaking to one another and lead into a game of volleyball played by a large group of people.</t>
  </si>
  <si>
    <t>The people continue playing back and fourth while the audience cheers and stops to speak to one another.</t>
  </si>
  <si>
    <t>v_ZmVy3gSaKv0</t>
  </si>
  <si>
    <t>A man dives into a large pool repeatedly.</t>
  </si>
  <si>
    <t>A man sitting on the side middle takes photos while sitting.</t>
  </si>
  <si>
    <t>The sitting man stands and takes photos of the diver.</t>
  </si>
  <si>
    <t>The diver swims to the edge of the pool.</t>
  </si>
  <si>
    <t>v_fqoEZaCd7hU</t>
  </si>
  <si>
    <t>A person with no arms is seen sitting in a chair and playing the guitar with his feet.</t>
  </si>
  <si>
    <t>He continues playing while singing along and moving his feet up and down the guitar.</t>
  </si>
  <si>
    <t>v_yrvV4Ncqyf0</t>
  </si>
  <si>
    <t>A woman in a white dress walks into her house all happy only to be very disappointed when she see's the dishes in the sink.</t>
  </si>
  <si>
    <t>She changes out of her dress in to some comfortable clothing and gets in the kitchen ready to do the dishes.</t>
  </si>
  <si>
    <t>She is very childishly blowing bubbles with the soap and dancing around.</t>
  </si>
  <si>
    <t>She dries some of the dishes with a rag and put the rest in the dishwasher, once the dishes are done in the dish washer she takes them out and puts them all away.</t>
  </si>
  <si>
    <t>v_PHIZza_xVog</t>
  </si>
  <si>
    <t>A woman puts some lotion on her hand.</t>
  </si>
  <si>
    <t>She rubs the lotion onto her face.</t>
  </si>
  <si>
    <t>A cartoon demonstration is shown on the screen.</t>
  </si>
  <si>
    <t>v_WnLYDJ8Jwv8</t>
  </si>
  <si>
    <t>A girl is shown washing and scrubbing her face several times while speaking into the camera.</t>
  </si>
  <si>
    <t>She finishes by turning on the faucet and rinsing water through her face.</t>
  </si>
  <si>
    <t>v_LAkaYds-8X0</t>
  </si>
  <si>
    <t>A young man plays bowling with other man while throwing balls and pins.</t>
  </si>
  <si>
    <t>A ball exit form a container.</t>
  </si>
  <si>
    <t>A man holds a bowling ball on his hands.</t>
  </si>
  <si>
    <t>The young man goes to a room of the bowling facility, they he continues playing.</t>
  </si>
  <si>
    <t>v_w6Avae5on_0</t>
  </si>
  <si>
    <t>A child is hitting a ball over a net in a gym.</t>
  </si>
  <si>
    <t>A man stands on the other side, lobbing the ball back to him.</t>
  </si>
  <si>
    <t>They continue hitting the ball back and forth.</t>
  </si>
  <si>
    <t>v_z0vMpInrDqM</t>
  </si>
  <si>
    <t>A person is seen sitting before a camera and leads into him looking and holding up a contact lens.</t>
  </si>
  <si>
    <t>The person then holds their eye open and putting the lens in followed by looking back to the camera.</t>
  </si>
  <si>
    <t>v_-rx6D1uBsUU</t>
  </si>
  <si>
    <t>There are several workers packing many rafts in a truck to be hauled away.</t>
  </si>
  <si>
    <t>There's a fast flowing turbulent river flowing under a bridge.</t>
  </si>
  <si>
    <t>The scenic mountain view shows clouds blowing in the wind.</t>
  </si>
  <si>
    <t>There are many rafters outside a log cabin packing and getting ready for their rafting trip.</t>
  </si>
  <si>
    <t>The rafters begin their adventure in the wild and turbulent river water as they try to stay afloat.</t>
  </si>
  <si>
    <t>The river waves are so turbulent that it causes the raft to overturn and drown the rafters in the strong waves.</t>
  </si>
  <si>
    <t>The rafters try hard to stay in the raft as they fight the fierce waves of the river to stay afloat.</t>
  </si>
  <si>
    <t>The waves are so strong that it becomes hard for the rafters to in the raft.</t>
  </si>
  <si>
    <t>They are forcefully thrown out in the river as the raft overturns on them.</t>
  </si>
  <si>
    <t>One of the rafters smiles and talks about his experience as he walks back with his fellow rafters.</t>
  </si>
  <si>
    <t>v_XzbvKQ-o5Ow</t>
  </si>
  <si>
    <t>A large group of people are seen sitting around a gym when a girl runs in and performs a routine on the uneven bars.</t>
  </si>
  <si>
    <t>The girl continues swinging around and ends with her jumping off the side and waving to the audience.</t>
  </si>
  <si>
    <t>v_oYhVH1vIXFM</t>
  </si>
  <si>
    <t>This video shows you how to make spaghetti with sausage with a simple tomato sauce.</t>
  </si>
  <si>
    <t>First she puts the sausage on a baking sheet that has aluminum foil on it and she puts it in the oven.</t>
  </si>
  <si>
    <t>Next she pours tomatoes into a small blender and she blends them up.</t>
  </si>
  <si>
    <t>Then she pours crushed red peppers and garlic into the skillet and she pours the tomato sauce into it.</t>
  </si>
  <si>
    <t>Then she stirs it up and takes the sausage out to cut them into tiny pieces and she lets them cook some more.</t>
  </si>
  <si>
    <t>Finally she puts them into the skillet with the pasta and cooks everything together creating a nice meal.</t>
  </si>
  <si>
    <t>v_kGLMybXl5Kk</t>
  </si>
  <si>
    <t>A man is seen walking into frame and begins bending down in front of a set of weights.</t>
  </si>
  <si>
    <t>The man then lifts the weights up and down over his shoulders while the camera watches form behind.</t>
  </si>
  <si>
    <t>The man walks in and out of frame walking back towards the weights and another man coming into frame to lift.</t>
  </si>
  <si>
    <t>v_nEcOF04KK0g</t>
  </si>
  <si>
    <t>A man stirs shoe shine crafting materials into a jar.</t>
  </si>
  <si>
    <t>He prepares the shoe for shining.</t>
  </si>
  <si>
    <t>He explains his method of shoe shining.</t>
  </si>
  <si>
    <t>The man shines the top of a shoe and finishes by fixing the laces of the shoe.</t>
  </si>
  <si>
    <t>v_yXH7GcOduNo</t>
  </si>
  <si>
    <t>A woman is seen standing in the middle of a sand pit and begins swinging an object around.</t>
  </si>
  <si>
    <t>She spins this around herself several times then begins swinging herself around.</t>
  </si>
  <si>
    <t>She continues swinging and finishes by throwing it off into the distance.</t>
  </si>
  <si>
    <t>v_zdaD55zVNdQ</t>
  </si>
  <si>
    <t>A man throws a hammer throw in a judged sports performance, outside, on a grass covered field with a group of onlookers on the side lines.</t>
  </si>
  <si>
    <t>A man approaches a square, paved,white surface surrounded by black netting .</t>
  </si>
  <si>
    <t>The man spins in place to gain momentum and releases/throws the hammer ball.</t>
  </si>
  <si>
    <t>Two people emerge with a long tape measure to measure the distance the hammer ball was thrown.</t>
  </si>
  <si>
    <t>The athlete runs off jumping and smiling and chest bumps another player.</t>
  </si>
  <si>
    <t>v_u1ZFiwJJXSQ</t>
  </si>
  <si>
    <t>A woman stands talking on a yoga mat in a driveway area.</t>
  </si>
  <si>
    <t>The woman does an aerobic workout stepping back and forth and lifting arms on the mat.</t>
  </si>
  <si>
    <t>The woman jumps back and forth in a doing a more vigorous workout.</t>
  </si>
  <si>
    <t>v_yvTmIulkl7c</t>
  </si>
  <si>
    <t>A little girl is inside a covered porch.</t>
  </si>
  <si>
    <t>She swings a baton at a small pinata.</t>
  </si>
  <si>
    <t>She is blindfolded as she continues to swing again and again.</t>
  </si>
  <si>
    <t>v_EfQtRtIFGVo</t>
  </si>
  <si>
    <t>A woman shows off her nails followed by several clips of nails being painted by a brush.</t>
  </si>
  <si>
    <t>The brush makes several lines on the nails and shows celebrities with fashionable nails.</t>
  </si>
  <si>
    <t>The video speeds up and shows off several different designs for nail polish and examples.</t>
  </si>
  <si>
    <t>v_mt3G8TrI-uY</t>
  </si>
  <si>
    <t>A close up of a person's nails are shown followed by a person filing the nails of another.</t>
  </si>
  <si>
    <t>Several products are shown close up as well as a person's nails being painted and put under heat.</t>
  </si>
  <si>
    <t>The person continues painting the nails and puts on a gem in the end.</t>
  </si>
  <si>
    <t>v_r4oAhRg4H14</t>
  </si>
  <si>
    <t>We see shots of people playing soccer in an indoor arena.</t>
  </si>
  <si>
    <t>We see a man hop and deflect a ball from the net in slow motion.</t>
  </si>
  <si>
    <t>We see two men collide in slow motion.</t>
  </si>
  <si>
    <t>v_KoCjfxd302Q</t>
  </si>
  <si>
    <t>The little boy is at the sink brushing the pot.</t>
  </si>
  <si>
    <t>The boy lift the brush from the pot and brush the sink instead, then he put it in the pot.</t>
  </si>
  <si>
    <t>The boy brushes the lid of the pot, and an adult put plates in the pot and the boy took it out and dip the fork.</t>
  </si>
  <si>
    <t>v_xh8qQfCYDBY</t>
  </si>
  <si>
    <t>A person wearing safety gear holds a metal rod with a clamp.</t>
  </si>
  <si>
    <t>Then, the person weld on a surface.</t>
  </si>
  <si>
    <t>Smoke comes form the clamp.</t>
  </si>
  <si>
    <t>v_gc04Okw4DTs</t>
  </si>
  <si>
    <t>A painting of a cloudy sky over mountains is displayed on a canvas.</t>
  </si>
  <si>
    <t>A brush begins painting blue onto the canvas.</t>
  </si>
  <si>
    <t>A complete image is shown in brilliant colors of a beach before going back to the brush strokes in progress.</t>
  </si>
  <si>
    <t>The ocean is completed in the final scene.</t>
  </si>
  <si>
    <t>v_pleP5-tuJ_Q</t>
  </si>
  <si>
    <t>An old woman is knitting on a bed.</t>
  </si>
  <si>
    <t>A little girl is sitting on the floor knitting as well.</t>
  </si>
  <si>
    <t>She talks to the camera as she learns to knit.</t>
  </si>
  <si>
    <t>v_RnZ-icC6xbQ</t>
  </si>
  <si>
    <t>A young man is standing in an open doorway with his hands over his head palms facing towards him on a bar secured at the top of the doorway.</t>
  </si>
  <si>
    <t>The young man lifts himself up and places his feet in the gap between the bar and the top of the door frame.</t>
  </si>
  <si>
    <t>The young man lowers his body, extending himself the full length of the doorway, hands behind his head, elbows out.</t>
  </si>
  <si>
    <t>The young man does two sit ups.</t>
  </si>
  <si>
    <t>The camera shows the top of the doorway focusing on the bar and the young man's feet secured at the top of the doorway.</t>
  </si>
  <si>
    <t>The camera returns to the full view of the young man doing sit ups in the doorway.</t>
  </si>
  <si>
    <t>The young man does three more sit ups.</t>
  </si>
  <si>
    <t>v_dm5ZnhOeBBQ</t>
  </si>
  <si>
    <t>A woman is standing next to a vacuum.</t>
  </si>
  <si>
    <t>She dumps something onto the floor.</t>
  </si>
  <si>
    <t>She takes the vacuum and vacuums up the mess.</t>
  </si>
  <si>
    <t>She takes the hose off the vacuum and starts using that on the floor.</t>
  </si>
  <si>
    <t>v_CE93IieQkAg</t>
  </si>
  <si>
    <t>A man is driving a riding lawn mower.</t>
  </si>
  <si>
    <t>He starts mowing the lawn on the lawn mower.</t>
  </si>
  <si>
    <t>He raises his hand and continues mowing the lawn.</t>
  </si>
  <si>
    <t>v_0A-p1Q0rseE</t>
  </si>
  <si>
    <t>A mixologist is talking about how to make alcoholic drinks.</t>
  </si>
  <si>
    <t>She talks about the drinks she makes a lot of favorites.</t>
  </si>
  <si>
    <t>She starts with a voda soda and how to make one.</t>
  </si>
  <si>
    <t>The next drink she makes is vodka seven.</t>
  </si>
  <si>
    <t>Then she makes a screwdriver, a greyhound, and then mixed with cranberry juice.</t>
  </si>
  <si>
    <t>v_ZwIu2pPxB3Y</t>
  </si>
  <si>
    <t>A camera pans away from a set of exercise equipment and leads into a woman's feet moving along.</t>
  </si>
  <si>
    <t>The woman is then seen using the machine as well as adjusting the settings and continuing to run.</t>
  </si>
  <si>
    <t>v_JAEMwQqh51c</t>
  </si>
  <si>
    <t>A man dressed for cold weather is outside in the snow fumbling with a chain in his hands.</t>
  </si>
  <si>
    <t>The chain is then placed around a tree stump and the man picks up an ax.</t>
  </si>
  <si>
    <t>The man hits the stumps continuously until the stump is broken up into pieces and then he unchains it in the back of his truck.</t>
  </si>
  <si>
    <t>v_n0Az4cLruf4</t>
  </si>
  <si>
    <t>A man is inside a gym while speaking to the camera.</t>
  </si>
  <si>
    <t>Other men are working out behind him.</t>
  </si>
  <si>
    <t>He demonstrates via volunteer how to use a rowing machine.</t>
  </si>
  <si>
    <t>v_flneQOXwGxw</t>
  </si>
  <si>
    <t>Men are standing on a field talking.</t>
  </si>
  <si>
    <t>A man kicks another man.</t>
  </si>
  <si>
    <t>That man swings a bat at him.</t>
  </si>
  <si>
    <t>v_I5setZ8js9I</t>
  </si>
  <si>
    <t>A man is riding a surfboard in the ocean.</t>
  </si>
  <si>
    <t>He stands up on the board during a wave.</t>
  </si>
  <si>
    <t>He surfs through the wave, weaving in and out.</t>
  </si>
  <si>
    <t>v_hjaUbrqPe-w</t>
  </si>
  <si>
    <t>People are sitting in rafts going down a river.</t>
  </si>
  <si>
    <t>A man is standing on the side of a river taking a picture.</t>
  </si>
  <si>
    <t>People are getting out of the raft onto land.</t>
  </si>
  <si>
    <t>v_fjGqWAxenL0</t>
  </si>
  <si>
    <t>A person is welding a metal outside.</t>
  </si>
  <si>
    <t>The person stops welding the metal on the floor.</t>
  </si>
  <si>
    <t>The person moves the welding tool behind.</t>
  </si>
  <si>
    <t>v_vZmDiMGYCo0</t>
  </si>
  <si>
    <t>Two small kids sit in a box at the top of slide in an indoor play area.</t>
  </si>
  <si>
    <t>A little girl joins and plays on the slide.</t>
  </si>
  <si>
    <t>The girls leaves and the boys take turns going down the slide.</t>
  </si>
  <si>
    <t>The boys connect a slide to the first one and try out the new slide.</t>
  </si>
  <si>
    <t>Two kids run over and away.</t>
  </si>
  <si>
    <t>The last boy runs off and we see the slide ladder.</t>
  </si>
  <si>
    <t>v_9d8ttpHu3cc</t>
  </si>
  <si>
    <t>Two people are kayaking down a rough river.</t>
  </si>
  <si>
    <t>Now only one person can be seen going by the rocks.</t>
  </si>
  <si>
    <t>There is an edge of a porch with a pair of shoes and a pair of legs up on the edge of the porch.</t>
  </si>
  <si>
    <t>v_UciHec7xncc</t>
  </si>
  <si>
    <t>A young child is seen speaking to the camera and begins climbing across a set of monkey bars.</t>
  </si>
  <si>
    <t>She makes it to the other side smiling to the camera and then climbs down afterwards.</t>
  </si>
  <si>
    <t>v_nQM5LT1-ZRU</t>
  </si>
  <si>
    <t>We see a man in a room talking about a bike.</t>
  </si>
  <si>
    <t>We then see the man adjusting the handle bar of the bike.</t>
  </si>
  <si>
    <t>The man demonstrates how the levers sit and adjusts the brake levers.</t>
  </si>
  <si>
    <t>The man demonstrates the sitting positions and braking and screws them tight.</t>
  </si>
  <si>
    <t>The man then, and adjusts the shifter lever.</t>
  </si>
  <si>
    <t>We see a recap and the closing scene of the video.</t>
  </si>
  <si>
    <t>v_nwttSIR1qvs</t>
  </si>
  <si>
    <t>An introduction comes onto the screen for a video about how to fix a stinky sink.</t>
  </si>
  <si>
    <t>A man comes onto the screen and explain several days ago about getting the smell out of your sink.</t>
  </si>
  <si>
    <t>He first explain how you can use different chemicals and core them down the drain to get the smell out.</t>
  </si>
  <si>
    <t>Then he shows you how to remove bottom of the sink to clean it out which may help with the smell.</t>
  </si>
  <si>
    <t>The video it's with the closing credits shown on the screen.</t>
  </si>
  <si>
    <t>v_hCFCYe_Jp-k</t>
  </si>
  <si>
    <t>There's a woman in a gray shirt and black tights and very short hair performing tricks with a small stick in her backyard by the swing.</t>
  </si>
  <si>
    <t>She is juggling between two sticks in her hand and trying to catch one stick while throwing the other in the air.</t>
  </si>
  <si>
    <t>v_9AzESzqOtb0</t>
  </si>
  <si>
    <t>A man runs down a track outside.</t>
  </si>
  <si>
    <t>He is holding a long javelin.</t>
  </si>
  <si>
    <t>He pole vaults over a bar.</t>
  </si>
  <si>
    <t>He does the same thing again indoors.</t>
  </si>
  <si>
    <t>v_hY73M6hJqgU</t>
  </si>
  <si>
    <t>A person is seen beating eggs and mixing them into a bowl while separating the shells from the eggs.</t>
  </si>
  <si>
    <t>They mix the eggs around a bowl and place butter and milk into another bowl and mix them all together.</t>
  </si>
  <si>
    <t>They add several more ingredients to the mixture and show the end result of cookies sitting on a plate.</t>
  </si>
  <si>
    <t>v_4efxBizoKyQ</t>
  </si>
  <si>
    <t>A man is close up to the camera introducing the video.</t>
  </si>
  <si>
    <t>His wife is cleaning off a piece of white bedframe quickly.</t>
  </si>
  <si>
    <t>The man again shows his face and goes back to his wife.</t>
  </si>
  <si>
    <t>v_x_lN_QxbEjQ</t>
  </si>
  <si>
    <t>A black intro screen appears and it includes a lot of text in white, blue and green that include numbers and letters, and then a logo to the right side that's for QUICKSILVER and the clips will be from a surfing competition in PIHA, AUCKLAND NEW ZEALAND.</t>
  </si>
  <si>
    <t>The beach is shown and there are multiple people and tents and the people are watching and cheering on various different surfers who are surfing big and long waves.</t>
  </si>
  <si>
    <t>The outro appears and it's the same black screen with the logo and text as it was for the intro.</t>
  </si>
  <si>
    <t>v_VvbWwNDHJf4</t>
  </si>
  <si>
    <t>A woman is seen wearing roller blades and looking back to the camera.</t>
  </si>
  <si>
    <t>She attempts to ride around while another person beside her tries to help.</t>
  </si>
  <si>
    <t>Another person is seen holding sticks in the distance and walking towards the camera.</t>
  </si>
  <si>
    <t>v_tI87cD7sv-Y</t>
  </si>
  <si>
    <t>A teen talks, then he takes off a contact lens from the right eye.</t>
  </si>
  <si>
    <t>Then, teen puts the contact lens on the index finger and then puts again it in his right aye.</t>
  </si>
  <si>
    <t>After, the teen continues talking.</t>
  </si>
  <si>
    <t>v_sxZTPWMnyFY</t>
  </si>
  <si>
    <t>A person putting weights on is shown followed by a woman lifting weights on her back.</t>
  </si>
  <si>
    <t>She puts the weights down and another woman is shown lifting a heavy set of weights.</t>
  </si>
  <si>
    <t>Several more people are shown performing their lifting talents and ends with a logo of the gym shown.</t>
  </si>
  <si>
    <t>v_Ai6RYjJ97Zg</t>
  </si>
  <si>
    <t>A woman talks, then she puts slices of bread on a hot baking pan on the stove.</t>
  </si>
  <si>
    <t>Then, the woman puts cream cheese on the bread and cooks meat.</t>
  </si>
  <si>
    <t>When the meat is done, the woman puts sauerkraut and cheese on top, then cover it and make sandwiches.</t>
  </si>
  <si>
    <t>v_kVzojOj5_Zg</t>
  </si>
  <si>
    <t>A volleyball instructor is giving information about his volleyball skills in salt lake city.</t>
  </si>
  <si>
    <t>He plays with another instructor on the court.</t>
  </si>
  <si>
    <t>He just talks and talks for a while about all about it.</t>
  </si>
  <si>
    <t>You see the the volley ball net and then the coach continues to talk.</t>
  </si>
  <si>
    <t>v_OSjsVUg_wXA</t>
  </si>
  <si>
    <t>A marching band plays in a stadium while the cheerleaders perform on side.</t>
  </si>
  <si>
    <t>A team of football players gather behind the marching band.</t>
  </si>
  <si>
    <t>A cheerleader pass behind the marching band.</t>
  </si>
  <si>
    <t>The cheerleaders in the bleachers perform with pom poms.</t>
  </si>
  <si>
    <t>Then, the cheerleaders next to the band performs jumping and moving around.</t>
  </si>
  <si>
    <t>v_zGT6EplIOHY</t>
  </si>
  <si>
    <t>People kick a ball indoor between yellow cones on fake grass.</t>
  </si>
  <si>
    <t>A player kicks a ball over a guy's head.</t>
  </si>
  <si>
    <t>Players kick a ball that knocks down a yellow cone which they pick up.</t>
  </si>
  <si>
    <t>v_Tssba1kYoo4</t>
  </si>
  <si>
    <t>A person sits holding a laptop while a woman curls her hair.</t>
  </si>
  <si>
    <t>The woman takes a lock of hair and puts above the head, then she curls the hair with a curling iron.</t>
  </si>
  <si>
    <t>v_B0enQXEBfKk</t>
  </si>
  <si>
    <t>A man and a woman set up to dance before an audience.</t>
  </si>
  <si>
    <t>The man and woman dance before the audience.</t>
  </si>
  <si>
    <t>The camera shows three judges of the event standing and clapping or pointing.</t>
  </si>
  <si>
    <t>v_nhky9RGjzwc</t>
  </si>
  <si>
    <t>Two women are arm wrestling on a table.</t>
  </si>
  <si>
    <t>A woman in a referee uniform is standing behind them.</t>
  </si>
  <si>
    <t>One of the girls walks away.</t>
  </si>
  <si>
    <t>v_O36pn7cHNVc</t>
  </si>
  <si>
    <t>A group of elderly people are meeting in a park.</t>
  </si>
  <si>
    <t>They talk and do yoga together.</t>
  </si>
  <si>
    <t>They perform several yoga moves with the help of an instructor.</t>
  </si>
  <si>
    <t>They then say goodbye and go on their way.</t>
  </si>
  <si>
    <t>v_ZKo1lM6TJTY</t>
  </si>
  <si>
    <t>A gymnast holds a ball attached with a string and then spins holding the ball.</t>
  </si>
  <si>
    <t>Then, the gymnast throw the ball while spinning in the field.</t>
  </si>
  <si>
    <t>v_fsoAdigH0X4</t>
  </si>
  <si>
    <t>A man is mowing the lawn.</t>
  </si>
  <si>
    <t>He looks up and speaks to someone.</t>
  </si>
  <si>
    <t>The man continues to mow the lawn.</t>
  </si>
  <si>
    <t>v_-2dxp-mv2zo</t>
  </si>
  <si>
    <t>A female chef in white uniform shows a stack of baking pans in a large kitchen presenting them.</t>
  </si>
  <si>
    <t>The pans are filled with pastries and loaded into the oven.</t>
  </si>
  <si>
    <t>A knife is used to cut cylinder shaped dough into rounds.</t>
  </si>
  <si>
    <t>A tray of potatoes is loaded into the oven and removed.</t>
  </si>
  <si>
    <t>A large tray of cake is flipped over and placed on counter.</t>
  </si>
  <si>
    <t>A large tray of meat is prepared then it is removed from the oven by a helper when done.</t>
  </si>
  <si>
    <t>The woman chef stands behind the stack of tins and picks one up.</t>
  </si>
  <si>
    <t>v_HF_a81qOmVQ</t>
  </si>
  <si>
    <t>The man in yellow shirt is bouncing the ball on the paddle.</t>
  </si>
  <si>
    <t>The player almost hit the ball with the paddle.</t>
  </si>
  <si>
    <t>Two player as pushing each other.</t>
  </si>
  <si>
    <t>v_ZXm8ed-ZHRs</t>
  </si>
  <si>
    <t>A woman is seen speaking in the middle of a large gymnasium and leads into several different gymnasts performing one after the another on uneven bars.</t>
  </si>
  <si>
    <t>The gymnasts continue to move all around the bars and ends with one girl going over and over and everyone waving in the end.</t>
  </si>
  <si>
    <t>v_ktfxYSZjJyM</t>
  </si>
  <si>
    <t>woman is in a lake windsurfing with a red windsurf.</t>
  </si>
  <si>
    <t>other people are in the back windsurfing in the lake.</t>
  </si>
  <si>
    <t>sailboat is standing in the back of people windsurfing.</t>
  </si>
  <si>
    <t>v_pn1XDTlNMso</t>
  </si>
  <si>
    <t>Two women are seen speaking to the camera and lead into rubbing down furniture as well as showing off polish.</t>
  </si>
  <si>
    <t>The women continue speaking as they show off how the polish works as well as the scenery in the area and another woman speaking to the camera.</t>
  </si>
  <si>
    <t>v_h3uTJ7HknzA</t>
  </si>
  <si>
    <t>A person dance and flips Capoeira while a band play music.</t>
  </si>
  <si>
    <t>Then, a woman talks with the man, after the man dance in group with other people.</t>
  </si>
  <si>
    <t>After, the man dance in group and with a partner, then all say bye.</t>
  </si>
  <si>
    <t>v_hwP4uLVR-uc</t>
  </si>
  <si>
    <t>A band is on stage and a girl with a trumpet and boy beating the drums are playing.</t>
  </si>
  <si>
    <t>They have a little duet while the saxophones int he bank are paused.</t>
  </si>
  <si>
    <t>The trumpet player walks over and picks up a bell.</t>
  </si>
  <si>
    <t>Then it's just the drummer banging on the drums.</t>
  </si>
  <si>
    <t>v_QMFtjdg6d2A</t>
  </si>
  <si>
    <t>A man in a green shirt is waving a red towel.</t>
  </si>
  <si>
    <t>A brown bull knocks a person to the ground.</t>
  </si>
  <si>
    <t>People are standing on the sides watching.</t>
  </si>
  <si>
    <t>v_0MyaFtXcTKI</t>
  </si>
  <si>
    <t>A small child is seen wandering around a playground while the camera follows closely behind.</t>
  </si>
  <si>
    <t>The boy plays with several other kids on the playground and is seen climbing around the sides and going down the slide.</t>
  </si>
  <si>
    <t>More clips are shown of the kids playing with one another and laughing to the camera.</t>
  </si>
  <si>
    <t>v_sFQ343Qq4TE</t>
  </si>
  <si>
    <t>A man is seen walking away from the camera and begins an exercise routine while speaking to the camera.</t>
  </si>
  <si>
    <t>The man moves up and down a bar while swinging his arms around and walks to the camera in the end.</t>
  </si>
  <si>
    <t>v_HtZ0bvriAvQ</t>
  </si>
  <si>
    <t>A gymnast wearing a red and black uniform jumps on the horse bar.</t>
  </si>
  <si>
    <t>She comes running again and jumps on the horse bar and does a front flip.</t>
  </si>
  <si>
    <t>The the third time she jumps again on the horse bar and raises her left foot, does a front flip and gets off the bar.</t>
  </si>
  <si>
    <t>She repeats the same steps again and jumps off the horse bar.</t>
  </si>
  <si>
    <t>v_EVcn8N-YxtI</t>
  </si>
  <si>
    <t>Two people are seen performing tango moves slowly while text appears on the screen.</t>
  </si>
  <si>
    <t>The woman then does the same moves by herself while the man and woman's silhouette is shown beside them.</t>
  </si>
  <si>
    <t>Then the man performs his moves alone and leads into the couple performing again.</t>
  </si>
  <si>
    <t>v_fppEk17hs8M</t>
  </si>
  <si>
    <t>A team is on the ice, playing a game of hockey.</t>
  </si>
  <si>
    <t>They slide around, hitting the puck and trying to keep it away from their opponents.</t>
  </si>
  <si>
    <t>The goalie attemps to keep the puck from going into the goal.</t>
  </si>
  <si>
    <t>v_bqBJ1tcHCHk</t>
  </si>
  <si>
    <t>An intro leads into various pictures of horse tools and a woman speaking to the camera holding a brush.</t>
  </si>
  <si>
    <t>She then brushes the horse's mane thoroughly while still looking to the camera and speaking.</t>
  </si>
  <si>
    <t>v_mrqSaH_FIcs</t>
  </si>
  <si>
    <t>A man talks with a saleswoman who trims a plant in a pot, then the man put away the plant.</t>
  </si>
  <si>
    <t>After, the man puts a bush on front the saleswoman who trim it while the man points the plant and talks with the woman.</t>
  </si>
  <si>
    <t>v_-PbWrGLuHT8</t>
  </si>
  <si>
    <t>A person is seen riding a board along the water with a kite on top.</t>
  </si>
  <si>
    <t>More clips are shown of the person riding back and fourth on the board.</t>
  </si>
  <si>
    <t>The person continues to ride the board along the water.</t>
  </si>
  <si>
    <t>v_c8GFfLcwFrE</t>
  </si>
  <si>
    <t>A man is surfing on a large wave in the water.</t>
  </si>
  <si>
    <t>The water and the sky is red.</t>
  </si>
  <si>
    <t>Several people are surfing on the water.</t>
  </si>
  <si>
    <t>v_Bg_CMSihJl0</t>
  </si>
  <si>
    <t>A woman with glasses on is knitting.</t>
  </si>
  <si>
    <t>A girl in a black shirt is sitting down talking.</t>
  </si>
  <si>
    <t>The woman knitting talks back to the girl.</t>
  </si>
  <si>
    <t>v_2cYfV33Qw4Y</t>
  </si>
  <si>
    <t>A man talks to the camera as people begin going down a man made white water river on kayaks.</t>
  </si>
  <si>
    <t>The people get slightly stuck, then unstuck as they go down small waterfalls.</t>
  </si>
  <si>
    <t>A woman falls out, and is pulled back in by another person.</t>
  </si>
  <si>
    <t>We then see several images of people in kayaks on the rapids.</t>
  </si>
  <si>
    <t>v_6dc-fQCzOiw</t>
  </si>
  <si>
    <t>A person talks in the street, then the person skateboard on the road.</t>
  </si>
  <si>
    <t>Then, the person kicks the skateboard back.</t>
  </si>
  <si>
    <t>After the person jumps off it and the skateboard slides on the road.</t>
  </si>
  <si>
    <t>Next , the person practice skateboard dragging a foot, after the person use the grass to do tricks.</t>
  </si>
  <si>
    <t>v_K7oJNZsI1Cc</t>
  </si>
  <si>
    <t>woman is standing in a big room holding an épée and aman walks in and holds other épée and start fighting with the woman.</t>
  </si>
  <si>
    <t>kids enters in a room and run to the man and woman.</t>
  </si>
  <si>
    <t>man gives a black mask to the woman and wear it.</t>
  </si>
  <si>
    <t>v_Ocvdvqvu7I8</t>
  </si>
  <si>
    <t>A child in a stable brushing a horse hair.</t>
  </si>
  <si>
    <t>the child walks away from the horse while speaking to get a bottle of liquid then returns to brushing the horse hair.</t>
  </si>
  <si>
    <t>v_NuSM8LfLR90</t>
  </si>
  <si>
    <t>A camera zooms in on a person performing a routine on a large stage spinning a baton into the air.</t>
  </si>
  <si>
    <t>The person continues the routine and ends with a split and the audience applauding.</t>
  </si>
  <si>
    <t>v__akwfjIbsUA</t>
  </si>
  <si>
    <t>A young boy is seen standing on top of a slide and edging his way down.</t>
  </si>
  <si>
    <t>The boy rides all down the slide and the camera follows him walking around afterwards.</t>
  </si>
  <si>
    <t>v_kIjYdddY3Xk</t>
  </si>
  <si>
    <t>A boy stands at a sink in a kitchen.</t>
  </si>
  <si>
    <t>He is wiping his shoe down.</t>
  </si>
  <si>
    <t>He turns around and smiles at the camera.</t>
  </si>
  <si>
    <t>v_PV6OCwbp6nQ</t>
  </si>
  <si>
    <t>A woman is speaking to her class about jump roping.</t>
  </si>
  <si>
    <t>She puts the rope under her feet and starts demonstrating a little bit.</t>
  </si>
  <si>
    <t>She begins to jump rope going very quickly.</t>
  </si>
  <si>
    <t>She stops and continue to talk more before starting to jump again.</t>
  </si>
  <si>
    <t>v_OoyoTLkSOuY</t>
  </si>
  <si>
    <t>A woman is wearing a towel and standing next to a bath tub.</t>
  </si>
  <si>
    <t>She puts shaving cream on her leg and shaves her leg.</t>
  </si>
  <si>
    <t>v_xxvBR4zdV48</t>
  </si>
  <si>
    <t>A man in the tuxedo starts explaining black jack.</t>
  </si>
  <si>
    <t>A dealer deals cards to four players.</t>
  </si>
  <si>
    <t>Several close ups of cards are shown.</t>
  </si>
  <si>
    <t>The man in the tuxedo continues to explain the rules of blackjack.</t>
  </si>
  <si>
    <t>v_BHQasKzBDQU</t>
  </si>
  <si>
    <t>two women are standing no a table arm wrestling in the middle of stage.</t>
  </si>
  <si>
    <t>referee wearing black and white shirt is standing behind the girls.</t>
  </si>
  <si>
    <t>two hot women are arm wrestling on a table and referees are standing in front or sitting in the back.</t>
  </si>
  <si>
    <t>women are in a bar arm wrestling and a lot of people are around them watching them.</t>
  </si>
  <si>
    <t>v_EwoxOKwqUPI</t>
  </si>
  <si>
    <t>A woman plays a game of beer pong with a short man dressed as a leprechaun.</t>
  </si>
  <si>
    <t>A DJ plays spins a pair of turntables on stage for the crowd.</t>
  </si>
  <si>
    <t>The woman scores a shot and celebrates.</t>
  </si>
  <si>
    <t>The two players hug each other and raise the woman's arm in victory.</t>
  </si>
  <si>
    <t>v_fTQYGNJpSUk</t>
  </si>
  <si>
    <t>An animated new paper clipping is shown and the video consists of a bunch of letters in black block letters giving the title.</t>
  </si>
  <si>
    <t>Shortly after, a young female begins talking while and throws down a curling object.</t>
  </si>
  <si>
    <t>The young woman then walks over to a male dressed in all black and begins asking him questions about the game.</t>
  </si>
  <si>
    <t>While they are talking, a game is being played and the two watches them.</t>
  </si>
  <si>
    <t>After,the man begins teaching her various techniques used in the game and they begin to glide across the floor.</t>
  </si>
  <si>
    <t>Once they are finished,the woman comes back to the camera and begins talking about the sport.</t>
  </si>
  <si>
    <t>v_tkQK_2celDY</t>
  </si>
  <si>
    <t>A gray dog is walking outdoors, and the owner is young white male who is walking along with the dog outdoors and talking to the camera.</t>
  </si>
  <si>
    <t>A screen appears that displays two logos in the middel and the text above the logos read "BEHIND THE SCENES" and under the logo words read "PRESENTED BY:GEICO".</t>
  </si>
  <si>
    <t>A man is now dressed in protective gear and he is joined by many others who are dressed the same and clips of them playing paintball guns in an open area and on a course.</t>
  </si>
  <si>
    <t>A man is now standing on a very high platform looking down at a large group of people, and the words "COMIC-CON SAN DIEGO CA" are at the bottom right, and the man jumps onto a very large air mattress, he gets up and begins running along a very long obstacle course requiring him to do various different things and the view is from a camera that his is wearing around his neck.</t>
  </si>
  <si>
    <t>He completes the obstacle course and an outro screen appears with 3 small different video screens playing over the main screen and the top words on the screen say "PRESENTED BY GEICO".</t>
  </si>
  <si>
    <t>v_S2MHi_oC3Lg</t>
  </si>
  <si>
    <t>A girl is shown talking to the camera and showing various paints.</t>
  </si>
  <si>
    <t>She zooms in on products she owns and puts paint on a pallet.</t>
  </si>
  <si>
    <t>She dabs a brush in the paint and begins painting her nails.</t>
  </si>
  <si>
    <t>She performs several different styles on the nails and several pictures of finished nails.</t>
  </si>
  <si>
    <t>v_ik8uSCSBv1U</t>
  </si>
  <si>
    <t>A man stands on a tennis court preparing to serve the ball.</t>
  </si>
  <si>
    <t>The man hits the tennis ball across the court.</t>
  </si>
  <si>
    <t>The man turns and walks back to his basket and grabs a ball from his pocket.</t>
  </si>
  <si>
    <t>The man bounces the ball on the ground.</t>
  </si>
  <si>
    <t>v_vX0fg06e9co</t>
  </si>
  <si>
    <t>A woman is seen bending down to take a sip of water and leads into her spinning a hula hoop around herself.</t>
  </si>
  <si>
    <t>The woman continues spinning the hula hoop around while grabbing several more and performing tricks in the city center.</t>
  </si>
  <si>
    <t>v_n2sTs3k9G-U</t>
  </si>
  <si>
    <t>A man is seen hanging up a bicycle wheel and speaking to the camera.</t>
  </si>
  <si>
    <t>He begins adjusting the bike and unscrewing the settings on the back.</t>
  </si>
  <si>
    <t>He then puts on a pair of training wheels and showing how it moves.</t>
  </si>
  <si>
    <t>v_qp9OcGPufEc</t>
  </si>
  <si>
    <t>A dog is seen running around a man in the middle of an open field.</t>
  </si>
  <si>
    <t>The man performs tricks with the dog while the dog jumps on his back.</t>
  </si>
  <si>
    <t>He continues to roam around with the dog performing tricks with the dog and frisbee.</t>
  </si>
  <si>
    <t>v_4_3m_-SGzXw</t>
  </si>
  <si>
    <t>graphic about how to do digital wallpaper is shown.</t>
  </si>
  <si>
    <t>man is in a room with a digital paper machine and the machine is printing a sign.</t>
  </si>
  <si>
    <t>men are sticking the wallpaper to a white wall.</t>
  </si>
  <si>
    <t>v_gYvYh9aMohY</t>
  </si>
  <si>
    <t>A boy is jumping rope and doing tricks around in circles.</t>
  </si>
  <si>
    <t>Then, Another boy is jumping rope as well and swirling it around and he eventually throws his rope.</t>
  </si>
  <si>
    <t>There is a larger group of 5 that jump rope in sync and do a lot of cool tricks.</t>
  </si>
  <si>
    <t>Followed by a lot of videos of many different people jumping and in groups together doing it in competitions and for fun or practice.</t>
  </si>
  <si>
    <t>v_pPn5f_ked3s</t>
  </si>
  <si>
    <t>A woman clapping in the sidelines, cheering someone on.</t>
  </si>
  <si>
    <t>Coaches standing on the other side of the fence watching to rate.</t>
  </si>
  <si>
    <t>The runner runs down the turf super fast.</t>
  </si>
  <si>
    <t>He jumps at the end and lands smoothly into the sand, while one of the coaches pulls a string over.</t>
  </si>
  <si>
    <t>v_vZzl0RbIQPM</t>
  </si>
  <si>
    <t>The host greets the video and introduces her recipe.</t>
  </si>
  <si>
    <t>The ingredients list appears and the host talks about them.</t>
  </si>
  <si>
    <t>The host begins to make the drink by starting a syrup.</t>
  </si>
  <si>
    <t>Next lemons are sliced on a cutting board.</t>
  </si>
  <si>
    <t>The many lemons are juiced one by one.</t>
  </si>
  <si>
    <t>The host fills the container with ice and pours in the liquid ingredients, followed by basil and lemon slices.</t>
  </si>
  <si>
    <t>The host decorates some straws and finishes her drink.</t>
  </si>
  <si>
    <t>v_7EEpIeXhO54</t>
  </si>
  <si>
    <t>A large pool is seen followed by a person walking in and falling off a board.</t>
  </si>
  <si>
    <t>Another person is seen walking off a diving board and jumping into the water.</t>
  </si>
  <si>
    <t>Several more clips are shown of people attempting to dive in the water but failing.</t>
  </si>
  <si>
    <t>v__BWSmg81iMM</t>
  </si>
  <si>
    <t>A band wearing Scottish kilts plays bagpipes and other instruments in the front University auditorium.</t>
  </si>
  <si>
    <t>The crowd looks around and anticipates the event.</t>
  </si>
  <si>
    <t>The school sign is seen hanging above the podium.</t>
  </si>
  <si>
    <t>v_LvkqCFRC5Vk</t>
  </si>
  <si>
    <t>A man in a brown suit is talking.</t>
  </si>
  <si>
    <t>People are running around on a field playing lacrosse.</t>
  </si>
  <si>
    <t>v_KfX3APC8lp4</t>
  </si>
  <si>
    <t>A woman comes onto the screen kneeling down holding a stick.</t>
  </si>
  <si>
    <t>She begins to stretch deeper into the position while holding the stick for balance.</t>
  </si>
  <si>
    <t>She stops right before the video ends.</t>
  </si>
  <si>
    <t>v_bFPfj889BhU</t>
  </si>
  <si>
    <t>People are riding in sail boats on the water.</t>
  </si>
  <si>
    <t>People are standing on a bar on a boat.</t>
  </si>
  <si>
    <t>People take the sail down off the boat.</t>
  </si>
  <si>
    <t>v_SHzmpIt0Euw</t>
  </si>
  <si>
    <t>Man begins to rip up carpet underlay.</t>
  </si>
  <si>
    <t>He measures the slat to put between the door opening.</t>
  </si>
  <si>
    <t>Then he places materials underneath the carpet underlay.</t>
  </si>
  <si>
    <t>He puts a wooden slat in the door entrance.</t>
  </si>
  <si>
    <t>He picks the slat up.</t>
  </si>
  <si>
    <t>He cuts the slat.</t>
  </si>
  <si>
    <t>He lays the slat down again.</t>
  </si>
  <si>
    <t>He drills it into place.</t>
  </si>
  <si>
    <t>He then lays his hands on the top of the slat.</t>
  </si>
  <si>
    <t>v_9tks__Y0mqI</t>
  </si>
  <si>
    <t>A lady is feeding a baby ice cream in a car.</t>
  </si>
  <si>
    <t>The lady hands the ice cream to the lady next to her and feed the baby something else.</t>
  </si>
  <si>
    <t>The baby reaches for the food.</t>
  </si>
  <si>
    <t>The baby reaches for the food again.</t>
  </si>
  <si>
    <t>The lady wipes the babies face and stands her up.</t>
  </si>
  <si>
    <t>We see the ladies talking.</t>
  </si>
  <si>
    <t>v_YS3Q47uz3HI</t>
  </si>
  <si>
    <t>There's a lady doing a tutorial on how to make a cotton soft Ogura cake.</t>
  </si>
  <si>
    <t>She begins by mixing the ingredients in a large bowl placed on her kitchen counter.</t>
  </si>
  <si>
    <t>She adds some eggs to the flour along with vanilla essence.</t>
  </si>
  <si>
    <t>Then she uses a hand mixer to blend the ingredients together.</t>
  </si>
  <si>
    <t>She then whips up some cream and sugar to make frosting.</t>
  </si>
  <si>
    <t>She adds the frosting to the cake batter and mixes it well.</t>
  </si>
  <si>
    <t>Then she pours the mixture in a baking bowl.</t>
  </si>
  <si>
    <t>She places the bowl in a cookie sheet and places it on the oven rack.</t>
  </si>
  <si>
    <t>She bakes the cake and pulls it out when it's done.</t>
  </si>
  <si>
    <t>She also shows some other baked goodies that she has prepared.</t>
  </si>
  <si>
    <t>v_beejEQ04nkY</t>
  </si>
  <si>
    <t>A woman is seen hosting a news segment that leads into a clip of a dog jumping.</t>
  </si>
  <si>
    <t>People are shown doing tricks with their dogs and running all across a field.</t>
  </si>
  <si>
    <t>More clips are shown of people throwing frisbees and dogs following after.</t>
  </si>
  <si>
    <t>v_k-071peyck4</t>
  </si>
  <si>
    <t>Several people are outdoors, washing laundry in open basins.</t>
  </si>
  <si>
    <t>The women use a pump to bring in water into the basins.</t>
  </si>
  <si>
    <t>v_dxvKVBrNMDw</t>
  </si>
  <si>
    <t>A woman is seen speaking to the camera while holding a hula hoop and then proceeds to spin the object around her.</t>
  </si>
  <si>
    <t>She continues hula hooping over and over again and leads into pictures of people hula hooping in the end.</t>
  </si>
  <si>
    <t>v_WVJEFQpO5jg</t>
  </si>
  <si>
    <t>A man lifts a ball in the air and holds it against his neck and throws the ball far.</t>
  </si>
  <si>
    <t>The man holds the ball against his neck and twists his back and throws it.</t>
  </si>
  <si>
    <t>The man grabs the ball and takes a big step behind him and throws the ball.</t>
  </si>
  <si>
    <t>The man twists his body a few times as he holds the ball against his neck.</t>
  </si>
  <si>
    <t>The man does a 90 degree move around as he holds the ball against his neck.</t>
  </si>
  <si>
    <t>The man holds the ball against his neck as he does a full 180 degree rotation with his body.</t>
  </si>
  <si>
    <t>He pretends to hold the ball as he rotates his body into a 270 degree movement.</t>
  </si>
  <si>
    <t>v_SpwOzrXw9JU</t>
  </si>
  <si>
    <t>A man is seen speaking to the camera and leads into him holding several objects out on a table.</t>
  </si>
  <si>
    <t>The man then sharpens an object on a board and finishes by brushing off the board.</t>
  </si>
  <si>
    <t>v_YqB7UEdhKug</t>
  </si>
  <si>
    <t>A man is standing up playing a saxophone.</t>
  </si>
  <si>
    <t>A band is playing behind him.</t>
  </si>
  <si>
    <t>Blue and white words come onto the screen.</t>
  </si>
  <si>
    <t>v_CteuM2BUmHo</t>
  </si>
  <si>
    <t>We see the opening screen on gray.</t>
  </si>
  <si>
    <t>We then see a man on discs smoothing a concrete floor.</t>
  </si>
  <si>
    <t>The man removes concrete from his trowel.</t>
  </si>
  <si>
    <t>The man uses his hand to remove concrete.</t>
  </si>
  <si>
    <t>v_DDwBAbeGejE</t>
  </si>
  <si>
    <t>woman is sitting in studio giving the news.</t>
  </si>
  <si>
    <t>a person is in a yard sweeping dry leaves.</t>
  </si>
  <si>
    <t>old woman is being interviewed and is talking to the camera in a living room.</t>
  </si>
  <si>
    <t>a woman and a man are being interviewed and are talking to the camera while they are sweeping the leaves.</t>
  </si>
  <si>
    <t>old woman is agani alking and back in studio talking to the camera.</t>
  </si>
  <si>
    <t>v_pMXz0BKQOLQ</t>
  </si>
  <si>
    <t>A food attendant prepares an ice cream cone from a frozen yogurt dispenser.</t>
  </si>
  <si>
    <t>The man happily watches his ice cream being prepared.</t>
  </si>
  <si>
    <t>The man enjoys is ice cream eating it as fast as he can.</t>
  </si>
  <si>
    <t>The man rubs his head and is relieved.</t>
  </si>
  <si>
    <t>v_5iIlhXLDsf8</t>
  </si>
  <si>
    <t>A man is speaking inside a gym.</t>
  </si>
  <si>
    <t>He lies on the ground to do sit ups, talking about the mechanics of the act.</t>
  </si>
  <si>
    <t>The man demonstrates how to do sit ups over and over again.</t>
  </si>
  <si>
    <t>v_nSsll1A6Gxw</t>
  </si>
  <si>
    <t>A woman with long hair is seen sitting behind a piano and speaking to the camera.</t>
  </si>
  <si>
    <t>She places her hands around the piano and begins playing a song.</t>
  </si>
  <si>
    <t>She continues playing the instrument and pauses to speak to the camera a bit.</t>
  </si>
  <si>
    <t>She plays some more and ends with her still speaking to the camera.</t>
  </si>
  <si>
    <t>v_c8ntlBKuVmc</t>
  </si>
  <si>
    <t>A bench is shown in a backyard in front of bushes.</t>
  </si>
  <si>
    <t>A man is using a ladder to trim the hedges.</t>
  </si>
  <si>
    <t>He moves the bench, and walks around with the ladder, continuing to trim hedges.</t>
  </si>
  <si>
    <t>v_0Qed9-9yp9Q</t>
  </si>
  <si>
    <t>A man is seen hopping over bars as well as throwing an object in different locations.</t>
  </si>
  <si>
    <t>The men is then seen lifting weights as well as throwing the object around more and walking away from the camera.</t>
  </si>
  <si>
    <t>He continues practicing by throwing the object around and the camera following his movements.</t>
  </si>
  <si>
    <t>v_aZQWCEejbk8</t>
  </si>
  <si>
    <t>A girl walks up to a slide, sits down, then goes down the slide.</t>
  </si>
  <si>
    <t>She walks back to do it again.</t>
  </si>
  <si>
    <t>v_K1EW6wZDnOs</t>
  </si>
  <si>
    <t>A small horse is outside in a field being held by a rope that is attached to a belt wrapped around the horse's neck.</t>
  </si>
  <si>
    <t>The person with the rope in his hand has a torch like item in his right hand but it appears to only have air in it and begins moving it back and forth across the horses face and mouth.</t>
  </si>
  <si>
    <t>However,the horse doesn't seem to please and begins moving his lip trying to avoid the treatment.</t>
  </si>
  <si>
    <t>v_l9jSJaV0DA0</t>
  </si>
  <si>
    <t>A boy demonstrates how to ride a skateboard in the street through example.</t>
  </si>
  <si>
    <t>A boy stands, outdoors, holding a skateboard in his arms and then puts the board down and begins to step on it.</t>
  </si>
  <si>
    <t>The boy then stands on the board rocking back and forth on it.</t>
  </si>
  <si>
    <t>The boy then exhibits upper body twists while standing on the skateboard and eventually pushes off and rides into the street on the skateboard.</t>
  </si>
  <si>
    <t>The boy then returns to the curbside and puts one foot on the board and the other on the ground as he stands still.</t>
  </si>
  <si>
    <t>v_BIy2GQjWUsA</t>
  </si>
  <si>
    <t>We see a rubber glove on the floor.</t>
  </si>
  <si>
    <t>A person cuts the glove in half and puts a hole in the end.</t>
  </si>
  <si>
    <t>The person puts the glove on a dog with it's claw sticking through the hole.</t>
  </si>
  <si>
    <t>A person shows a clipping tool.</t>
  </si>
  <si>
    <t>The person then sands the dogs claw with an electric sander.</t>
  </si>
  <si>
    <t>v_yUSo_xjyGhM</t>
  </si>
  <si>
    <t>Two young boys are at a sink.</t>
  </si>
  <si>
    <t>One of the boys has no hands.</t>
  </si>
  <si>
    <t>He is washing the dishes.</t>
  </si>
  <si>
    <t>The other boy helps him clean.</t>
  </si>
  <si>
    <t>v_4qstg-tiRvQ</t>
  </si>
  <si>
    <t>Cheerleaders stand in a gym in the group.</t>
  </si>
  <si>
    <t>the girls then perform a routine.</t>
  </si>
  <si>
    <t>The girls break into three groups and the two on the sides kneel while the middle group squats.</t>
  </si>
  <si>
    <t>They kneel and throw their hands in the air at the finish.</t>
  </si>
  <si>
    <t>v_FsXl6whrCWk</t>
  </si>
  <si>
    <t>A woman in a black shirt is sitting on a bench.</t>
  </si>
  <si>
    <t>A man sits behind a desk.</t>
  </si>
  <si>
    <t>Two people are sitting on a bean bag chair.</t>
  </si>
  <si>
    <t>A man is drinking from a mug.</t>
  </si>
  <si>
    <t>v_DfiPwDSjjHE</t>
  </si>
  <si>
    <t>A woman in a pink shirt is talking.</t>
  </si>
  <si>
    <t>She picks up a clear box and opens it.</t>
  </si>
  <si>
    <t>She closes the box and puts it away.</t>
  </si>
  <si>
    <t>She picks up a large stuffed animal.</t>
  </si>
  <si>
    <t>She then picks up a small red bag.</t>
  </si>
  <si>
    <t>She picks up some different fabrics and ribbons.</t>
  </si>
  <si>
    <t>v_j4YrzUjxAp8</t>
  </si>
  <si>
    <t>Vacuum parts are displayed on the floor.</t>
  </si>
  <si>
    <t>A person vacuums the carpet.</t>
  </si>
  <si>
    <t>A person wets and vacuums the carpet.</t>
  </si>
  <si>
    <t>A person vacuums or soaks up coffee from the carpet.</t>
  </si>
  <si>
    <t>A person scrubs and dries a tiled floor with a vacuum.</t>
  </si>
  <si>
    <t>A person empties the contents of the vacuum in a white sink.</t>
  </si>
  <si>
    <t>Ways a vacuum can be used are showed in split screens.</t>
  </si>
  <si>
    <t>v_5MJmwr1cmnU</t>
  </si>
  <si>
    <t>A large wave is seen moving on the water followed by several people carrying surf boards and surfing along the water.</t>
  </si>
  <si>
    <t>The people continue riding along the water on surf boards and walking around on the beach.</t>
  </si>
  <si>
    <t>v_hXrNCak63u0</t>
  </si>
  <si>
    <t>A robot is sitting behind a piano in a room.</t>
  </si>
  <si>
    <t>Its hands are lighting up no the piano keys.</t>
  </si>
  <si>
    <t>v_2DvMNOas7jY</t>
  </si>
  <si>
    <t>A person is seen riding down a long street on a skateboard while the camera follows from behind.</t>
  </si>
  <si>
    <t>The person continues riding down the hill with the camera capturing scenery and cars as well as placing his hand on the boarder in front of him.</t>
  </si>
  <si>
    <t>In the end he passes by the boarder and makes a stop by the car.</t>
  </si>
  <si>
    <t>v_J959vSGFedM</t>
  </si>
  <si>
    <t>A man is lying on his back on a tile floor.</t>
  </si>
  <si>
    <t>He is trying to do sit ups, slowing down and grimacing as the effort becomes more difficult with each one.</t>
  </si>
  <si>
    <t>He stops, lying back and laughing.</t>
  </si>
  <si>
    <t>v_g-l5CI29DPQ</t>
  </si>
  <si>
    <t>A girl is playing hopscotch on a back porch.</t>
  </si>
  <si>
    <t>A person is sitting down on a picnic table watching them.</t>
  </si>
  <si>
    <t>The other person gets up and starts playing.</t>
  </si>
  <si>
    <t>v_bQa8S4Z-1cE</t>
  </si>
  <si>
    <t>A person is seen pulling items out of a box and present them to the camera.</t>
  </si>
  <si>
    <t>The man then rubs down a shoe with a rag and presents more items to the camera as it pans around.</t>
  </si>
  <si>
    <t>v_Wgr9YpWni30</t>
  </si>
  <si>
    <t>A person is seen tying their shoes and leads into several shots of people jumping and moving around on rope.</t>
  </si>
  <si>
    <t>Several shots of landscapes are shown as well as more people attempting jumps and tricks on a long rope tied to trees.</t>
  </si>
  <si>
    <t>v_nsdB1r31-70</t>
  </si>
  <si>
    <t>A woman and a little a boy are swinging on a tire swing.</t>
  </si>
  <si>
    <t>A person pushing a stroller is behind them.</t>
  </si>
  <si>
    <t>The boy turns away from the camera.</t>
  </si>
  <si>
    <t>v_xYW64moSLKg</t>
  </si>
  <si>
    <t>A woman is under water and she gracefully come up from underneath.</t>
  </si>
  <si>
    <t>She later is swimming with tom and jerry very pretty and oddly.</t>
  </si>
  <si>
    <t>Then a she is hanging from a hoop up above and jumps down into the water.</t>
  </si>
  <si>
    <t>She does a lot of different shows involving her dancing and swimming around in the water.</t>
  </si>
  <si>
    <t>v_Xueo66Jb8T4</t>
  </si>
  <si>
    <t>A white screen appears with a black brand name that say's "THE SHINGLE HOG" and it has a picture of a hog in the o of the word HOG.</t>
  </si>
  <si>
    <t>A quick picture of a red and black tool is shown, then a man is talking and clips of people removing shingles play in between moments shown when the man talks.</t>
  </si>
  <si>
    <t>The tool is now shown on its own and the brand and logo is displayed on the screen to the upper right.</t>
  </si>
  <si>
    <t>Now there are clips of people on the roof using the tool to remove shingles and once again the man appears talking in between clips.</t>
  </si>
  <si>
    <t>A black screen appears and it has a list with a lot of white words on it and the title is "Shingle Hog Savings".</t>
  </si>
  <si>
    <t>The man talking and the clips of the man using the shingle machine play until a white outro screen appears that include the brand name, logo, product info and website.</t>
  </si>
  <si>
    <t>v_WVM8itzRVjs</t>
  </si>
  <si>
    <t>Four men in sports uniforms are shown along with information about AIB.</t>
  </si>
  <si>
    <t>The first man introduces himself.</t>
  </si>
  <si>
    <t>The second man introduces himself.</t>
  </si>
  <si>
    <t>the third man introduces himself.</t>
  </si>
  <si>
    <t>Finally, the fourth man introduces himself.</t>
  </si>
  <si>
    <t>The first man is then shown practicing by trying to hit targets on the wall.</t>
  </si>
  <si>
    <t>The second man to introduce himself takes a turn trying to hit the targets on the wall.</t>
  </si>
  <si>
    <t>The man wearing white shorts then tries the practice wall out.</t>
  </si>
  <si>
    <t>And finally the man with red hair gives it a try.</t>
  </si>
  <si>
    <t>The first man to practice gives a comment on his performance.</t>
  </si>
  <si>
    <t>The last man to practice with red hair talks.</t>
  </si>
  <si>
    <t>Info about the AIB and the upcoming game are shown.</t>
  </si>
  <si>
    <t>v_MjHlAvy2qVY</t>
  </si>
  <si>
    <t>A large group of people are seen sitting on a beach with several putting sunscreen all over their bodies.</t>
  </si>
  <si>
    <t>Shots of scientists are shown making the sun screen while interacting with one another and speaking to the camera.</t>
  </si>
  <si>
    <t>Finally a man is seen packing up a fish in a shop.</t>
  </si>
  <si>
    <t>v_1fyxOUEihAQ</t>
  </si>
  <si>
    <t>kid is holding a blower and is blowing leaves from the street.</t>
  </si>
  <si>
    <t>the kid walks in a sidewalk and cleans the dry leaves with the blower and a man help him.</t>
  </si>
  <si>
    <t>old man is holding a rake raking the dry leaves.</t>
  </si>
  <si>
    <t>v_pc_QYeZG9GA</t>
  </si>
  <si>
    <t>a little boy is in a messy living room.</t>
  </si>
  <si>
    <t>He is using an electric toothbrush.</t>
  </si>
  <si>
    <t>He scrubs his teeth with the toothbrush while he smiles.</t>
  </si>
  <si>
    <t>v_pcFn1KBwn6Y</t>
  </si>
  <si>
    <t>A man in a light blue shirt breaks the pool balls to start the game.</t>
  </si>
  <si>
    <t>He walks around the table looking for a good spot to hit.</t>
  </si>
  <si>
    <t>Then he moves around the table again and makes it in again.</t>
  </si>
  <si>
    <t>He finally hits the black ball in and ends the game.</t>
  </si>
  <si>
    <t>v_9uitA8tmSfE</t>
  </si>
  <si>
    <t>A woman jumps into a pool.</t>
  </si>
  <si>
    <t>A woman is holding a large camera laughing.</t>
  </si>
  <si>
    <t>Several more women dive off diving boards into the water.</t>
  </si>
  <si>
    <t>v_Sw4QZTF7sOI</t>
  </si>
  <si>
    <t>A chef speaks to the camera.</t>
  </si>
  <si>
    <t>She moves on to cut a lot of mushrooms.</t>
  </si>
  <si>
    <t>She moves around the mushrooms she just cut up.</t>
  </si>
  <si>
    <t>v_rNQbSptv1cM</t>
  </si>
  <si>
    <t>We see the starting title card.</t>
  </si>
  <si>
    <t>A cheerleader jumps and a boy walks up and talks.</t>
  </si>
  <si>
    <t>We see the girl perform cheerleader jumps and arm maneuvers.</t>
  </si>
  <si>
    <t>We see her feet up close.</t>
  </si>
  <si>
    <t>The girl stretches by bending to the ground, and sits on the ground stretching.</t>
  </si>
  <si>
    <t>v_ICzctKJ6nqc</t>
  </si>
  <si>
    <t>The young woman with long blonde hair is showing her wrist that has a few scars from a surgery.</t>
  </si>
  <si>
    <t>Then she takes a neon green colored hula hoop and spins it around her body.</t>
  </si>
  <si>
    <t>She demonstrates how to effectively use the hula hoop by holding the hoop up towards her chest.</t>
  </si>
  <si>
    <t>Then she begins spinning with the hoop on her chest.</t>
  </si>
  <si>
    <t>She shows how to spin the hoop and rotate the hoop around her body without dropping it down.</t>
  </si>
  <si>
    <t>She continues showing how to properly rotate and spin the the hoop with her hands lowered next to her body.</t>
  </si>
  <si>
    <t>Then she stops and twirls the hoop in her hand.</t>
  </si>
  <si>
    <t>v_-vPshfXc1fc</t>
  </si>
  <si>
    <t>A man is welding a circular metal piece.</t>
  </si>
  <si>
    <t>A green light appears out of no where.</t>
  </si>
  <si>
    <t>The man continues welding the circular metal piece.</t>
  </si>
  <si>
    <t>v_a2Xwx37YbhE</t>
  </si>
  <si>
    <t>A black and white dog is at a dog park and the owner is bending down and moving in front of the dog as it watches him.</t>
  </si>
  <si>
    <t>The owner then walks more into the grass holding onto frisbees and is not only joined by the black and white dog but another dog that is brown and white.</t>
  </si>
  <si>
    <t>The man begins to throw the frisbees in the air and the dogs take turn catching them and doing tricks to get them that even include jumping on the man's back.</t>
  </si>
  <si>
    <t>v_Paj9y9YMSg0</t>
  </si>
  <si>
    <t>People are riding horses in a field.</t>
  </si>
  <si>
    <t>They are playing polo on horses.</t>
  </si>
  <si>
    <t>A person standing on the sidelines waves a white flag.</t>
  </si>
  <si>
    <t>v_j59UZGZtuNg</t>
  </si>
  <si>
    <t>Two girls walk up to a pool, ready to dive.</t>
  </si>
  <si>
    <t>One of them raises her arms into the air, then dives into the water before surfacing.</t>
  </si>
  <si>
    <t>v_SWbUJh4XuMQ</t>
  </si>
  <si>
    <t>A welding tool is applied to a surface.</t>
  </si>
  <si>
    <t>A guy that is holding a welding tool is wearing a helmet.</t>
  </si>
  <si>
    <t>Two gloved hands are using a welding gun and stick on an object.</t>
  </si>
  <si>
    <t>v_8d8juWOKb0c</t>
  </si>
  <si>
    <t>A man is dressed in dark medieval armor.</t>
  </si>
  <si>
    <t>Several instances of men dressed in different kinds of armor and holding various shields are showing jousting against one another.</t>
  </si>
  <si>
    <t>Ultimately, the man with the round shield is defeated when he tumbles to the ground and stabbed in the back.</t>
  </si>
  <si>
    <t>The winner now jousts against a man carrying a blue diamond shaped shield.</t>
  </si>
  <si>
    <t>They joust several times but the man with the blue shield is defeated when he is hit in the head and chest and falls on his back onto the other warrior's knees.</t>
  </si>
  <si>
    <t>A close up of the surviving warrior is shown, clearly satisfied with his victories.</t>
  </si>
  <si>
    <t>v_7DY1vm9RiIk</t>
  </si>
  <si>
    <t>The video begins with a title sequence and logo.</t>
  </si>
  <si>
    <t>Several clips begin playing of volleyball fields with spectators.</t>
  </si>
  <si>
    <t>The first clip shows the players celebrating.</t>
  </si>
  <si>
    <t>The video moves on to members of a band.</t>
  </si>
  <si>
    <t>It then continues to show clips of men playing volleyball.</t>
  </si>
  <si>
    <t>The video ends with a closeup of the audience and a title sequence.</t>
  </si>
  <si>
    <t>v_gRqvh21b8Hw</t>
  </si>
  <si>
    <t>People begin to dive into an empty pool and you see them underneath the water.</t>
  </si>
  <si>
    <t>Then, above from the dive board two swimmers are standing by and one of them dives in.</t>
  </si>
  <si>
    <t>A group of kids holding the camera film themselves diving in and doing cool tricks and flips into the pool.</t>
  </si>
  <si>
    <t>From very high above they record their view from the top to the water and the swim once they're in.</t>
  </si>
  <si>
    <t>v_ZbAfEWdGBzQ</t>
  </si>
  <si>
    <t>Two wrestling women are fighting in a ring.</t>
  </si>
  <si>
    <t>They do a suplex, and the referee counts to three as the dark haired woman wins.</t>
  </si>
  <si>
    <t>v_UOswYEzeJ-M</t>
  </si>
  <si>
    <t>A group of boys are playing ball on a court.</t>
  </si>
  <si>
    <t>They are being guided by their coach.</t>
  </si>
  <si>
    <t>They run with the balls, trying to make baskets.</t>
  </si>
  <si>
    <t>v_Pf8eE_zup_k</t>
  </si>
  <si>
    <t>A hand fills a cup with water.</t>
  </si>
  <si>
    <t>A woman puts two glasses on the counter.</t>
  </si>
  <si>
    <t>The woman puts beer and orange juice in a big glass, then she pours liquor in the small glass.</t>
  </si>
  <si>
    <t>After, the woman puts the small glass inside the big glass.</t>
  </si>
  <si>
    <t>v_M4DcibAnW_E</t>
  </si>
  <si>
    <t>A large wave is shown followed by a person standing up on a surf board.</t>
  </si>
  <si>
    <t>The person is shown surfing all along the water while the camera films from behind.</t>
  </si>
  <si>
    <t>The man continues surfing and paddles himself towards a boat.</t>
  </si>
  <si>
    <t>v_32-Bxdbf3mQ</t>
  </si>
  <si>
    <t>A man in a red shirt drives an orange tractor around the lawn.</t>
  </si>
  <si>
    <t>A dog runs around the yard.</t>
  </si>
  <si>
    <t>A woman drives the orange tractor.</t>
  </si>
  <si>
    <t>v_UiK3kYsvvQ8</t>
  </si>
  <si>
    <t>Two women are seen walking on stage and lead into them performing a belly dancing routine.</t>
  </si>
  <si>
    <t>The women dance all around the stage while lights flash around them.</t>
  </si>
  <si>
    <t>The women continue to dance around one another and end by laughing with one another.</t>
  </si>
  <si>
    <t>v_DJNmAoSQu6k</t>
  </si>
  <si>
    <t>A news woman is talking to a camera.</t>
  </si>
  <si>
    <t>She has a conversation with a man who is also a newscaster.</t>
  </si>
  <si>
    <t>Images of hand molds are shown in the background.</t>
  </si>
  <si>
    <t>v_cp4n_xpbBDs</t>
  </si>
  <si>
    <t>A black screen appears and the white words on it read "Rob Lane is the MillionaireMaintenance Man".</t>
  </si>
  <si>
    <t>A man wearing glasses appears outdoors in front of a fence and he's holding an air brush machine and talking.</t>
  </si>
  <si>
    <t>The man then turns around and walks to the fence and begins airbrushing onto it.</t>
  </si>
  <si>
    <t>The man stops airbrushing and starts talking again while hand motioning to the fence and to this airbrush machine.</t>
  </si>
  <si>
    <t>v_6YtaXJJKUKM</t>
  </si>
  <si>
    <t>A woman is seen speaking to the camera while a small fooseball table sits before her.</t>
  </si>
  <si>
    <t>The woman continues speaking as she spins around the game occasionally and leads into her playing with another girl.</t>
  </si>
  <si>
    <t>v_ARkMGkD2RDs</t>
  </si>
  <si>
    <t>A dumbell appears on screen with the words "Catalyst Athletics" overlaid.</t>
  </si>
  <si>
    <t>A man lifts weights over his head in a gym.</t>
  </si>
  <si>
    <t>A woman then lifts weights over her head.</t>
  </si>
  <si>
    <t>A "Catalyst Athletics" logo appears with social media links.</t>
  </si>
  <si>
    <t>v_jsfPXYQuikQ</t>
  </si>
  <si>
    <t>A boy is balanced on the end of a diving board.</t>
  </si>
  <si>
    <t>He dives, flipping backwards as he goes.</t>
  </si>
  <si>
    <t>He lands gracefully in the water.</t>
  </si>
  <si>
    <t>v_Z7BPvGPizYE</t>
  </si>
  <si>
    <t>A man uses a course brush and hand towel to prepare the ski to be worked on while it sits on a rack.</t>
  </si>
  <si>
    <t>The man melts a wax bar across the ski surface with an iron then uses it to blend in the wax.</t>
  </si>
  <si>
    <t>A man sharpens a flat edge then scrapes the outer layer of wax from the skis surface.</t>
  </si>
  <si>
    <t>The man uses a course brush then a towel to finish preparing the skis surface.</t>
  </si>
  <si>
    <t>v_74HRnmwIhfM</t>
  </si>
  <si>
    <t>A plate of creamy cabonara is shown and the ingredients appear in small clear dishes.</t>
  </si>
  <si>
    <t>Salt is then added to a pan and the spaghetti begins to boil.</t>
  </si>
  <si>
    <t>A bit of oil is then placed in a skillet and Canadian bacon and onions are being fried.</t>
  </si>
  <si>
    <t>Next,more ingredients are added with pasta and egg yolks.</t>
  </si>
  <si>
    <t>Finally,the sauce is done and all of the ingredients are compiled and cheese is added to the dish as it is positioned on the plate.</t>
  </si>
  <si>
    <t>After,more entrees are shown and the screen ends on the url of Ulampinoy's website.</t>
  </si>
  <si>
    <t>v_3PiN6rDgg_E</t>
  </si>
  <si>
    <t>A woman demonstrates how to use one container of powdered pigment to make many different hair, nail, and face makeup products.</t>
  </si>
  <si>
    <t>A woman talks to the camera in front of a counter filled with makeup.</t>
  </si>
  <si>
    <t>The camera shows different makeup pieces with accompanying descriptions cards in between cutting back to the woman talking.</t>
  </si>
  <si>
    <t>The woman begins to apply some of the makeup to her face, including lips and to her nails via nail polish.</t>
  </si>
  <si>
    <t>The woman uses some of the makeup to make hair streaks in another persons hair.</t>
  </si>
  <si>
    <t>The woman then uses the containers of powdered makeup to make foundation and eye shadow before smiling and displaying the entire line of colors and displaying a marketing graphic.</t>
  </si>
  <si>
    <t>v_Bs3OMhhUlY4</t>
  </si>
  <si>
    <t>A small group of boys are seen standing on the edge of a pool and grab one another by the sides.</t>
  </si>
  <si>
    <t>The boys then all jump into the pool together at once with some looking at the camera.</t>
  </si>
  <si>
    <t>v_GLsIq3P-J3A</t>
  </si>
  <si>
    <t>A man is seen speaking to the camera while the camera pans out to a card table and the man dealing cards.</t>
  </si>
  <si>
    <t>The man lays out several cards while flipping over more and pointing to objects laid out on the table.</t>
  </si>
  <si>
    <t>v_1ATBCBUgflA</t>
  </si>
  <si>
    <t>Various ingredients are laid out on a table and leads into a person pouring the ingredients into a bowl.</t>
  </si>
  <si>
    <t>The person stirs thoroughly and then wipes down a table with a cloth.</t>
  </si>
  <si>
    <t>v_PG-AK5fawJI</t>
  </si>
  <si>
    <t>A TV presenter and an actress are putting googles to play rock, paper and scissors pie on front a pie with white cream.</t>
  </si>
  <si>
    <t>After playing a while, the woman turn a handle that raise the pie that lands on the face of the actress.</t>
  </si>
  <si>
    <t>Then, the pie lands for the second time on the face of the actress, as well on the face of the TV presenter.</t>
  </si>
  <si>
    <t>The TV presenter stands holding ducks on both hands, then he pretends eats the duck on the right hand.</t>
  </si>
  <si>
    <t>v_LqBp5qgcwLY</t>
  </si>
  <si>
    <t>Several shots of a city are shown as well as people walking around and speaking to one another.</t>
  </si>
  <si>
    <t>People are then seen paving along walls as well as handing out pamphlets and speaking to one another.</t>
  </si>
  <si>
    <t>The people touch the materials on the walls and ends by speaking to the camera.</t>
  </si>
  <si>
    <t>v_r34VM4v0ShI</t>
  </si>
  <si>
    <t>Some supplies needed to shine shoes are shown.</t>
  </si>
  <si>
    <t>An older man shines a shoe and talks about how he shines shoes and how he learned to shine shoes as a child.</t>
  </si>
  <si>
    <t>The same man is shown shining another mans shoes.</t>
  </si>
  <si>
    <t>The same man shines shoes in a shop while other people sit or walk around.</t>
  </si>
  <si>
    <t>An old black and white photo is shown of a barber shop.</t>
  </si>
  <si>
    <t>The older man shines another shoe and talks about shining shoes.</t>
  </si>
  <si>
    <t>A different man is seen in the background walking away.</t>
  </si>
  <si>
    <t>v_nTNkGOtp7aQ</t>
  </si>
  <si>
    <t>man is standing in a trampoline and make a vig somersault into the pool.</t>
  </si>
  <si>
    <t>two men are sitting in the first floor of the trampoline watching the jump.</t>
  </si>
  <si>
    <t>man get outs the pool, grab a towel and dry his face.</t>
  </si>
  <si>
    <t>people are walking around the pool carrying bags.</t>
  </si>
  <si>
    <t>v_zc-RT9tpoBA</t>
  </si>
  <si>
    <t>A man is sitting inside a room.</t>
  </si>
  <si>
    <t>He is talking to the camera animatedly.</t>
  </si>
  <si>
    <t>He is talking about and demonstrating how to play a harmonica.</t>
  </si>
  <si>
    <t>v_WXQol1TisqE</t>
  </si>
  <si>
    <t>Several walking or horseriding individuals walk by the foreground while the camera focuses on a group of people in the background.</t>
  </si>
  <si>
    <t>A gate opens and a horseriding man chases a cow.</t>
  </si>
  <si>
    <t>The man lassos and secures the cow.</t>
  </si>
  <si>
    <t>Others run up to help with the cow.</t>
  </si>
  <si>
    <t>v_Zq9jr2S5wGM</t>
  </si>
  <si>
    <t>A woman in white and gray shirt is talking, then a glass and pitcher of lemonade with straw is shown.</t>
  </si>
  <si>
    <t>Two lemons is in small bowl, then the blonde woman talks in the camera, a hand cut the lemon, squeeze the lemon in the bowl, pour the lemon in the pitcher using a strainer.</t>
  </si>
  <si>
    <t>The woman talks then the pot is placed in the stove, added water, then added the sugar, added the zest of lemon and mixed the pot, the woman added yellow liquid in the pitcher, added the ice and sliced lemons and pour the juice in the glass.</t>
  </si>
  <si>
    <t>v_dXSlCw8AXv0</t>
  </si>
  <si>
    <t>A person is seen riding along the water on a surfboard as well as others speaking to one another.</t>
  </si>
  <si>
    <t>A man is seen speaking to the camera as well as more clips of people riding on the water.</t>
  </si>
  <si>
    <t>More people speak to one another as well as into the camera and end by riding away on the boards.</t>
  </si>
  <si>
    <t>v_-DaX_1bBNAo</t>
  </si>
  <si>
    <t>A woman wearing a bra is standing in a room.</t>
  </si>
  <si>
    <t>She throws a dart across the room.</t>
  </si>
  <si>
    <t>A man with a hat stands next to her.</t>
  </si>
  <si>
    <t>v_cgfJnog1WLE</t>
  </si>
  <si>
    <t>A young lady with broad shoulders and pig tails approaches a stage in prepares her mind.</t>
  </si>
  <si>
    <t>The lady cracks her knuckles and then bends down and tries to lift the weights.</t>
  </si>
  <si>
    <t>Too much weight is on the bar and the girls ends up twisting her arm in a circle,drops the bar and cries out in agony.</t>
  </si>
  <si>
    <t>Another girl then walks up and lifts the bar half way,realizes shes incapable and drops it.</t>
  </si>
  <si>
    <t>After she walks off she brushes her self off and attempts again and raises it over her head,drops it, and walks away congratulating herself.</t>
  </si>
  <si>
    <t>A screen of scores are then shown and a different girl attempts the weight.</t>
  </si>
  <si>
    <t>The second young lady comes back and does the same thing as well as the female who came after her.</t>
  </si>
  <si>
    <t>The girl comes back but realizes the weight is too heavy and gives up lifting it.</t>
  </si>
  <si>
    <t>However,the original girl comes back and continues to lift more and more weight with ease until the last time,she then bows and they walk up to an Olympic stage and receive their metal.</t>
  </si>
  <si>
    <t>v_LZ-Cy0GqCiU</t>
  </si>
  <si>
    <t>A photo is zoomed in on of a man being gored by a bull.</t>
  </si>
  <si>
    <t>A bull charges a man and knocks him around until people come out and distract him.</t>
  </si>
  <si>
    <t>It cuts to the man again being charged by the bull.</t>
  </si>
  <si>
    <t>He gets knocked around again until people come out to distract the bull.</t>
  </si>
  <si>
    <t>He is carried off out of the ring.</t>
  </si>
  <si>
    <t>Once again the bull charges the man and knocks him down.</t>
  </si>
  <si>
    <t>People come out and distract the bull.</t>
  </si>
  <si>
    <t>He is carried out for a last time.</t>
  </si>
  <si>
    <t>v_l_cjSGt5j40</t>
  </si>
  <si>
    <t>An older man is seen sitting on a log in a public space in front of a piano.</t>
  </si>
  <si>
    <t>The man then plays the piano while the camera captures him playing.</t>
  </si>
  <si>
    <t>The man sings to the camera while continuing to play and the camera moving around his movements.</t>
  </si>
  <si>
    <t>v_Mh-qSztuLtE</t>
  </si>
  <si>
    <t>A huge crowd is gathered outside.</t>
  </si>
  <si>
    <t>They are all performing an exercise dance known as zumba.</t>
  </si>
  <si>
    <t>v_LZ4dINjqX5U</t>
  </si>
  <si>
    <t>An athletic man is seen standing with his arms a up and begins performing a gymnastics routine.</t>
  </si>
  <si>
    <t>He spins himself round and round on the bar performing several flips and tricks and ends with him sticking his arms up into the air.</t>
  </si>
  <si>
    <t>v_Xd_xJnlUHm0</t>
  </si>
  <si>
    <t>A young boy is talking to the camera in his bedroom.</t>
  </si>
  <si>
    <t>He removes things from drawers, like lip gloss and puts it on for the camera.</t>
  </si>
  <si>
    <t>He applies messy makeup and poses for the camera.</t>
  </si>
  <si>
    <t>v_I5YCAQXHoFw</t>
  </si>
  <si>
    <t>A camera pans all around a beach showing water crashing on the waves.</t>
  </si>
  <si>
    <t>A person is then seen wearing gloves and painting down an arm chair.</t>
  </si>
  <si>
    <t>The person continues painting down the chair and showing it off in the end.</t>
  </si>
  <si>
    <t>v_jcX2QAiqP9U</t>
  </si>
  <si>
    <t>Kids are shown in side of a gym playing indoor soccer.</t>
  </si>
  <si>
    <t>One of the kids makes a great move to get around a defender and almost scores.</t>
  </si>
  <si>
    <t>He is then shown scoring on a different occasion before the video ends.</t>
  </si>
  <si>
    <t>v_v5O_Yfeqza4</t>
  </si>
  <si>
    <t>A young man is seen speaking to the camera and leads into him throwing darts onto a board.</t>
  </si>
  <si>
    <t>He holds his hands up in excitement as the camera zooms in on the darts.</t>
  </si>
  <si>
    <t>v_7AkyOhKkT6g</t>
  </si>
  <si>
    <t>Mj's mommy is playing around with her hair smoothing it out.</t>
  </si>
  <si>
    <t>She goes to the bathroom with clips in her hair and gets out treatments and shampoos.</t>
  </si>
  <si>
    <t>She begins to apply the hair things to her hair and combing it out, she starts to part her hair and put in curlers.</t>
  </si>
  <si>
    <t>She begins to talk about what she is doing with her hair while she waits to take out the curlers, when she takes them out her hair is perfectly curled.</t>
  </si>
  <si>
    <t>v_-tvhSol-wTs</t>
  </si>
  <si>
    <t>A man is seen talking to the camera while holding a tennis racket and begins demonstrating how to hit the ball.</t>
  </si>
  <si>
    <t>The man continues to speak and hit the ball while moving around the gym and gesturing to the camera.</t>
  </si>
  <si>
    <t>v_gQLH5G88ClE</t>
  </si>
  <si>
    <t>A close up of a christmas tree is shown followed by close ups of ornaments.</t>
  </si>
  <si>
    <t>Two people are then seen moving around the tree decorating as well as turning the lights off.</t>
  </si>
  <si>
    <t>They finish decorating the tree and playing with one another and laughing.</t>
  </si>
  <si>
    <t>In the end close ups of the trees are shown as well as a bear.</t>
  </si>
  <si>
    <t>v_1YGz5CQBflM</t>
  </si>
  <si>
    <t>A man is seen blowing a kiss as well as taking off his jacket and interacting with another man.</t>
  </si>
  <si>
    <t>The man prepares his arm as the other grabs his hand and he pretends to kick his head.</t>
  </si>
  <si>
    <t>More people step up to arm wrestle this man while food is being shown and the loser gets food all over him.</t>
  </si>
  <si>
    <t>v_fI12XNNqldA</t>
  </si>
  <si>
    <t>Two people are seen kneeling before a plant sitting on the ground and speaking to one another.</t>
  </si>
  <si>
    <t>The men continue to move dirt around the plant and end by standing next to the tree and pulling roots away and dumping more soil around it.</t>
  </si>
  <si>
    <t>v_xFqGY-y4OUg</t>
  </si>
  <si>
    <t>A close up is shown of a pool room.</t>
  </si>
  <si>
    <t>A man and woman enter the room, grabbing cues.</t>
  </si>
  <si>
    <t>They engage in a game of pool together, hitting the balls into the pockets.</t>
  </si>
  <si>
    <t>v_9i7ABIB99Ow</t>
  </si>
  <si>
    <t>Step by step instructions to make creamy pasta, first putting the pasta into boiling water and stirring it.</t>
  </si>
  <si>
    <t>Then in another pan adding sausage and onions and stirring it all together.</t>
  </si>
  <si>
    <t>Adding tomatoes and heavy cream to make it pasty.</t>
  </si>
  <si>
    <t>Finally adding the pasta to it, along with some cheese and parsley flakes and mixing it all together.</t>
  </si>
  <si>
    <t>v_7hDCO9fJb90</t>
  </si>
  <si>
    <t>A man stands next to a young girl dressed in a gymnastic outfit in a gym and talks to the camera.</t>
  </si>
  <si>
    <t>The man then coaches the girl on the gym bars in a gymnastic practice session as the girl swings on the bars in a gym filled with other children practicing gymnastics.</t>
  </si>
  <si>
    <t>The man then closes standing next to the girl again and talking into the camera.</t>
  </si>
  <si>
    <t>v_srR0M_HL3Ao</t>
  </si>
  <si>
    <t>A person surfboard in the choppy water of the ocean.</t>
  </si>
  <si>
    <t>A woman stands on front a swimming pool talking, then a slide show of pictures and a man talking in an event is shown.</t>
  </si>
  <si>
    <t>Then, the prince Harry of England sits in an event while people dance and perform.</t>
  </si>
  <si>
    <t>After, people play polo in a field riding horse an throwing a ball with a pole, also the woman and the man talks.</t>
  </si>
  <si>
    <t>v_n_CMnVD7kCg</t>
  </si>
  <si>
    <t>Several shots are shown of people performing impressive gymnastics flips in a large gymnasium.</t>
  </si>
  <si>
    <t>The people continuously perform flips and tricks onto the mats with some being shown in slow motion and in pictures.</t>
  </si>
  <si>
    <t>v_6d9z33GFEGo</t>
  </si>
  <si>
    <t>A man is holding a wine glass and talking.</t>
  </si>
  <si>
    <t>He takes a drink of the wine and sets the glass down.</t>
  </si>
  <si>
    <t>He shows bottles that are sitting on a counter.</t>
  </si>
  <si>
    <t>He pours oil into a pan on a stove.</t>
  </si>
  <si>
    <t>He adds seasonings to the pan.</t>
  </si>
  <si>
    <t>He stirs a pot that is on the stove.</t>
  </si>
  <si>
    <t>He takes a scoop of what's in the pot and adds it to the pan.</t>
  </si>
  <si>
    <t>He begins to stir the pasta that is in the pan.</t>
  </si>
  <si>
    <t>He scoops the pasta out of the pan onto a plate.</t>
  </si>
  <si>
    <t>He picks up his wine glass again.</t>
  </si>
  <si>
    <t>v_f4983HmCNiM</t>
  </si>
  <si>
    <t>A group of dirt bikers are waiting on a ramp.</t>
  </si>
  <si>
    <t>They take off when it opens, going around in circles on the track, racing each other.</t>
  </si>
  <si>
    <t>Some fall off their bikes.</t>
  </si>
  <si>
    <t>They make it through the finish line, ending the race.</t>
  </si>
  <si>
    <t>v_N4wKdmmX0lk</t>
  </si>
  <si>
    <t>A woman takes a few steps with a pair of jumping apparatus.</t>
  </si>
  <si>
    <t>The woman begins jumping around rapidly.</t>
  </si>
  <si>
    <t>The woman is joined by a man who is also jumping around in a pair of jumping apparatus.</t>
  </si>
  <si>
    <t>v_HjVQNiy4uuw</t>
  </si>
  <si>
    <t>A man is seen riding on a long river with another person riding behind.</t>
  </si>
  <si>
    <t>The camera transitions into several people riding in tubes and pushing themselves down a river.</t>
  </si>
  <si>
    <t>v_DzCVpvVJCo8</t>
  </si>
  <si>
    <t>A girl is seen laying down on a table while a man wearing gloves holds scissors to her belly button.</t>
  </si>
  <si>
    <t>He then pierces the girl's stomach and she sits up and walks away in the end smiling.</t>
  </si>
  <si>
    <t>v_XP5Oqr1giQ4</t>
  </si>
  <si>
    <t>A man is bull fighting =, he has a pink sheet and is running away backwards from the bull that is coming toward him.</t>
  </si>
  <si>
    <t>There are three men now and one of them gets completely trampled by the bull.</t>
  </si>
  <si>
    <t>Then about six more men stand in a line messing with the bull.</t>
  </si>
  <si>
    <t>It's very dangerous messing with a bull and teasing him, these people can seriously get hurt.</t>
  </si>
  <si>
    <t>v_oijpI0s_R04</t>
  </si>
  <si>
    <t>The colorful title screen is seen.</t>
  </si>
  <si>
    <t>Two people in a room dance slowly to the back.</t>
  </si>
  <si>
    <t>A title screen loads and we see the man dance alone.</t>
  </si>
  <si>
    <t>We see a title and the lady in the green room dancing alone.</t>
  </si>
  <si>
    <t>A title loads and we see the man's feet as he dances.</t>
  </si>
  <si>
    <t>A title loads and we see the ladies feet as she dances.</t>
  </si>
  <si>
    <t>v_aXm3sPITCKM</t>
  </si>
  <si>
    <t>A man is seen speaking to the camera while brushing his hair and looking around a bathroom.</t>
  </si>
  <si>
    <t>The man continues brushing his hair and begins playing with his facial hair.</t>
  </si>
  <si>
    <t>The man points the camera around his head showing off his hair and smiling to the camera.</t>
  </si>
  <si>
    <t>v_X5gh32tHdsc</t>
  </si>
  <si>
    <t>Men are playing indoor tennis inside a building while soccer is on the tv in the background.</t>
  </si>
  <si>
    <t>They hit the ball back and forth for a while.</t>
  </si>
  <si>
    <t>Other men in the room occasionally look up.</t>
  </si>
  <si>
    <t>v_Mo9-1cuMVtQ</t>
  </si>
  <si>
    <t>We see a newscaster in a studio talking.</t>
  </si>
  <si>
    <t>We then see a soccer game indoors.</t>
  </si>
  <si>
    <t>A man talks in front of the camera and we see the crowd.</t>
  </si>
  <si>
    <t>We see the game in progress.</t>
  </si>
  <si>
    <t>The man talks again and we see the game again.</t>
  </si>
  <si>
    <t>The man talks one more time and we return to the game.</t>
  </si>
  <si>
    <t>We see the newscaster in the studio again.</t>
  </si>
  <si>
    <t>v_nOvrsb0XyGk</t>
  </si>
  <si>
    <t>We see a number of men throwing darts and a woman keeping score.</t>
  </si>
  <si>
    <t>The man grabs the darts off the board and walks away.</t>
  </si>
  <si>
    <t>Another man shoots, grabs his darts and goes.</t>
  </si>
  <si>
    <t>A third guy shoots darts and goes.</t>
  </si>
  <si>
    <t>The fourth guy shoots and goes.</t>
  </si>
  <si>
    <t>the first guy returns for another chance.</t>
  </si>
  <si>
    <t>the second guy goes again.</t>
  </si>
  <si>
    <t>the third guy plays again.</t>
  </si>
  <si>
    <t>The fourth guy takes his turn.</t>
  </si>
  <si>
    <t>And we see them repeat.</t>
  </si>
  <si>
    <t>v_ERcMdKNF_pc</t>
  </si>
  <si>
    <t>A gymnast prepares to mount a beam.</t>
  </si>
  <si>
    <t>He mounts, then spins and flips several times.</t>
  </si>
  <si>
    <t>He dismounts, raising his arms into the air.</t>
  </si>
  <si>
    <t>v_mpj1rR1wXKU</t>
  </si>
  <si>
    <t>We see a couple of opening screens.</t>
  </si>
  <si>
    <t>We see a man in a blue shirt bowling talking in a bowling alley.</t>
  </si>
  <si>
    <t>The man picks purple ball from the dispenser and talks to the camera.</t>
  </si>
  <si>
    <t>The man holds the ball out then we see him putting his fingers in the ball and talks to the camera.</t>
  </si>
  <si>
    <t>The man puts the ball down and grabs another, then another and talks.</t>
  </si>
  <si>
    <t>We then see the man roll the ball down the aisle.</t>
  </si>
  <si>
    <t>v_PN99KIY7jRY</t>
  </si>
  <si>
    <t>A man serves a tennis ball with his racket.</t>
  </si>
  <si>
    <t>He brings the racket down to his side.</t>
  </si>
  <si>
    <t>v_3tfGg2rVv6o</t>
  </si>
  <si>
    <t>little girl is doing gymnastics in the middle of the court holding batons.</t>
  </si>
  <si>
    <t>pictures of woman are shown.</t>
  </si>
  <si>
    <t>v_0pGXfomqurw</t>
  </si>
  <si>
    <t>woman wearing sport clothing is climbing stairs and talking to the camera.</t>
  </si>
  <si>
    <t>woman is in gym talking on the camera and with other man while a woman is making exercise in an orbitrek.</t>
  </si>
  <si>
    <t>v_Jtlvh2w1aUM</t>
  </si>
  <si>
    <t>A person blows leaf off of a lawn and walkway using a leaf blower.</t>
  </si>
  <si>
    <t>The person begins by pointing the leaf blower towards leaves around a bush and near grass.</t>
  </si>
  <si>
    <t>The person blows leaves out of a tight corner and then progresses to a walkway.</t>
  </si>
  <si>
    <t>The person blows leaves from a walkway and across a lawn.</t>
  </si>
  <si>
    <t>v_XxbuqeqOGaM</t>
  </si>
  <si>
    <t>A chef in the kitchen wearing a chef hat is giving instructions on how to sharpen a knife.</t>
  </si>
  <si>
    <t>He brings the knife to a sharpener and begins slowly to demonstrate.</t>
  </si>
  <si>
    <t>He picks up the sharpening tool and talks about what he will do next and begins to sharpen again.</t>
  </si>
  <si>
    <t>Then he shows all of the pieces that come with the kit and talks about it all.</t>
  </si>
  <si>
    <t>v_wfFnIYdSjCI</t>
  </si>
  <si>
    <t>A small group of children are seen running around a lacrosse field playing a game with one another.</t>
  </si>
  <si>
    <t>The camera continues to follow the people around as they chase the ball and run up and down the field.</t>
  </si>
  <si>
    <t>v_WUcjqCvYfQ0</t>
  </si>
  <si>
    <t>A couple is sitting outside talking.</t>
  </si>
  <si>
    <t>They go in the house and gather supplies for shaving, which are listed on the screen.</t>
  </si>
  <si>
    <t>The woman lathers the man up, Then shaves his beard and mustache using a beaver boar brush and razor.</t>
  </si>
  <si>
    <t>She then rinses him clean, and applies aftershave.</t>
  </si>
  <si>
    <t>He is then shown giving her a shoulder rub.</t>
  </si>
  <si>
    <t>v_4MKbQ816r9A</t>
  </si>
  <si>
    <t>A tall thin male is standing in a bar surrounded by liquor.</t>
  </si>
  <si>
    <t>The male has a cup of ice in front of him that he pours into a regular glass that he then adds liquor into.</t>
  </si>
  <si>
    <t>Followed by two more shots of different clear liquors.</t>
  </si>
  <si>
    <t>He then takes two syrup like liquor and pour them in the cup.</t>
  </si>
  <si>
    <t>Once everything is in the glass,he puts the mixer on top of it and shakes it up.</t>
  </si>
  <si>
    <t>Finally,the drink is complete and he pours it into another glass and adds a straw for it to be served.</t>
  </si>
  <si>
    <t>v_Qtj7QFDjH1A</t>
  </si>
  <si>
    <t>A young man is seen standing in front of the camera playing a set of bagpipes.</t>
  </si>
  <si>
    <t>He continues playing the instrument and ends by holding it in his hands and a picture of him playing guitar.</t>
  </si>
  <si>
    <t>v_2ptdloHcTcs</t>
  </si>
  <si>
    <t>A person is seen riding a surf board through a wave and leads into several more people riding waves and sitting along the water.</t>
  </si>
  <si>
    <t>More shots of people surfing incredible waves are shown with some wiping out but overall riding along.</t>
  </si>
  <si>
    <t>v_f2fyhNjY3EA</t>
  </si>
  <si>
    <t>Boats are seen sailing through dark ocean water.</t>
  </si>
  <si>
    <t>We see a first person view of sailing on a boat.</t>
  </si>
  <si>
    <t>The boats are seen floating through the water.</t>
  </si>
  <si>
    <t>v_fgP3D3Gqn6U</t>
  </si>
  <si>
    <t>People sit on a bench at a rodeo.</t>
  </si>
  <si>
    <t>We see people standing around a fence.</t>
  </si>
  <si>
    <t>The gate open and calf and a man come out we see four men hogtie calf's.</t>
  </si>
  <si>
    <t>We see a calf running in the ring and another calf being hogtied.</t>
  </si>
  <si>
    <t>A man and a little boy are walking and holding the reins of a horse.</t>
  </si>
  <si>
    <t>We see an older man holding the reins of a horse.</t>
  </si>
  <si>
    <t>The camera points to the ground and the video ends.</t>
  </si>
  <si>
    <t>v_-cApkmTI3F8</t>
  </si>
  <si>
    <t>A man is seen drinking out of a cup held by a woman who is also drinking from a bottle.</t>
  </si>
  <si>
    <t>The two continue drinking as others record them and then stop immediately.</t>
  </si>
  <si>
    <t>v_YIYZHQUOtnA</t>
  </si>
  <si>
    <t>A groups of students exercise and cheers on a competition, then boys wearing red t-shirt throw bowling balls and throw all the pins and celebrates.</t>
  </si>
  <si>
    <t>Then, young people wearing green t-shirts are successful playing bowling.</t>
  </si>
  <si>
    <t>After, girls play bowling who throw all the pins with the bowling bowl.</t>
  </si>
  <si>
    <t>The winners of the competition receive closed envelopes and trophies.</t>
  </si>
  <si>
    <t>v_EbqurNRxneE</t>
  </si>
  <si>
    <t>A woman is kneeling on the sandy beach.</t>
  </si>
  <si>
    <t>She is helping a baby with suntan lotion.</t>
  </si>
  <si>
    <t>She rubs the lotion on the baby's skin.</t>
  </si>
  <si>
    <t>v_d4B9z_WJAKs</t>
  </si>
  <si>
    <t>Four men are playing bad mitten.</t>
  </si>
  <si>
    <t>There are clips of great shots from teams.</t>
  </si>
  <si>
    <t>The yellow team makes several points in a row.</t>
  </si>
  <si>
    <t>Denmark's team made several points.</t>
  </si>
  <si>
    <t>The clip ends with the yellow team holding trophies.</t>
  </si>
  <si>
    <t>v_ArT40PO05h8</t>
  </si>
  <si>
    <t>A man is playing a ukulele for a woman while a man watches from behind a curtain.</t>
  </si>
  <si>
    <t>Suddenly, the video cuts to several different people doing window washing tricks.</t>
  </si>
  <si>
    <t>The video ends with a man on the phone doing a comedy skit about windows.</t>
  </si>
  <si>
    <t>v_PRkEpM8ffak</t>
  </si>
  <si>
    <t>A person is seen using a piece of exercise equipment moving up and down on the machine.</t>
  </si>
  <si>
    <t>The camera pans all around the man using the machine and zooms all around the man moving around.</t>
  </si>
  <si>
    <t>v_H9ejAfleKUg</t>
  </si>
  <si>
    <t>A camera is seen zooming in on a building and leads into a man climbing up a large rock.</t>
  </si>
  <si>
    <t>The man continuously climbs up the rock while looking around and finally makes it to the top while the camera pans around.</t>
  </si>
  <si>
    <t>v_mB0MeZjjCmU</t>
  </si>
  <si>
    <t>A vanilla sponge cake is shown on the title screen.</t>
  </si>
  <si>
    <t>A white plate is then placed on a brown table alongside four brown eggs.</t>
  </si>
  <si>
    <t>They are then put in a silver bowl and they are whisked at a rapid pace as sugar is gradually added it and the whipping continues.</t>
  </si>
  <si>
    <t>After,milk,butter,flour,banana pudding,salt and vanilla extract are shown on a table.</t>
  </si>
  <si>
    <t>The milk and butter are heated up then added in a large bowl with the cake batter to be whisked.</t>
  </si>
  <si>
    <t>The vanilla is then added and poured into another bowl before the final product is shown.</t>
  </si>
  <si>
    <t>v_srARxP_ocyg</t>
  </si>
  <si>
    <t>A woman is seen kicking a man wearing gloves in his hands.</t>
  </si>
  <si>
    <t>The man then walks around the circle while people take turns hitting the man.</t>
  </si>
  <si>
    <t>The man continues walking around while they hit him.</t>
  </si>
  <si>
    <t>v_8NRv-75RlPI</t>
  </si>
  <si>
    <t>An elliptical trainer is shown, as well as its components.</t>
  </si>
  <si>
    <t>A woman is shown working out on the elliptical.</t>
  </si>
  <si>
    <t>She pedals and demonstrates the mechanics of the programming screen.</t>
  </si>
  <si>
    <t>v_w6P9JrTGRlE</t>
  </si>
  <si>
    <t>A dog is dressed in clothes and a human is behind him only showing his hands.</t>
  </si>
  <si>
    <t>As to look like the dog is part human and doing human like stuff.</t>
  </si>
  <si>
    <t>He is feeding himself breakfast and then wipes his face.</t>
  </si>
  <si>
    <t>After that he grabs a cup of coffee to drink.</t>
  </si>
  <si>
    <t>He struggles to grab another napkin to wipe his face again.</t>
  </si>
  <si>
    <t>v_lO1r4df9uUc</t>
  </si>
  <si>
    <t>A man is seen skiing behind a boat.</t>
  </si>
  <si>
    <t>He holds on tight as he is pulled through the water.</t>
  </si>
  <si>
    <t>The man is water skiing until the end of the clip.</t>
  </si>
  <si>
    <t>v_xE9anOqq2XQ</t>
  </si>
  <si>
    <t>An athletic man is seen standing ready while holding a javelin and then runs down the track and throws the pole into a field.</t>
  </si>
  <si>
    <t>He walks away with his hands on his hips and his same throw is shown again.</t>
  </si>
  <si>
    <t>Several more athletes step up to throw the javelin into the field followed by their same throw shown again and them laughing to the camera.</t>
  </si>
  <si>
    <t>v_x--RoqrwiLI</t>
  </si>
  <si>
    <t>A man in a large green field practices over seven hammer throws in the field with a measuring tape in front of him stretched along the ground.</t>
  </si>
  <si>
    <t>A bare chested man in black track pants spins a hammer throw around and around until he releases into a field in front of him.</t>
  </si>
  <si>
    <t>The man then goes on to perform at least six more hammer throws in the same way in the same location.</t>
  </si>
  <si>
    <t>v_-NndIs9BaS4</t>
  </si>
  <si>
    <t>man is standing in a gren field and start jumping the rope.</t>
  </si>
  <si>
    <t>man drops the rope and explain how to jump and holds the rope again.</t>
  </si>
  <si>
    <t>v_dUBkspFNj-E</t>
  </si>
  <si>
    <t>Guys are playing pool in front of an audience.</t>
  </si>
  <si>
    <t>A guy changes his pool stick.</t>
  </si>
  <si>
    <t>The two men stand close together and give an interview.</t>
  </si>
  <si>
    <t>A man puts his arm around his partner's shoulders, and his partner dances.</t>
  </si>
  <si>
    <t>A man sits on his pool game partner's lap after he makes his shot, .</t>
  </si>
  <si>
    <t>v_xpmXZBpYrM0</t>
  </si>
  <si>
    <t>A person applies leg lube to their leg and then proceeds to shave the leg and then wipe their leg down with a wet rag.</t>
  </si>
  <si>
    <t>A person in a bathroom, with one foot on top of a toilet cover rubs leg lube on their leg.</t>
  </si>
  <si>
    <t>The person then begins to shave the length of their leg with a blue razor.</t>
  </si>
  <si>
    <t>The person wipes their leg down with wet rag after holding the rag under the bathroom sink tap before holding a bottle of leg lube in their hand in a closeup view.</t>
  </si>
  <si>
    <t>v_bOp6pObPeZ4</t>
  </si>
  <si>
    <t>A woman and a man are dancing on a stage.</t>
  </si>
  <si>
    <t>There is a band playing behind them.</t>
  </si>
  <si>
    <t>There is an audience sitting in chairs clapping for them.</t>
  </si>
  <si>
    <t>v_C1djGYqkhYI</t>
  </si>
  <si>
    <t>A young girl in a green leotard begins twirling a baton and doing tricks.</t>
  </si>
  <si>
    <t>The girl begins to incorporate her arms and does a flip and continues to flip the baton over her hands and arms.</t>
  </si>
  <si>
    <t>As the young lady continues her performance, she twirls the baton between her legs and over her head,catches it and does a gallop.</t>
  </si>
  <si>
    <t>The rest of the young girl's performance is a set of twirls and twist and then she runs off the floor to finish her performance.</t>
  </si>
  <si>
    <t>v_lkCpF06uEmE</t>
  </si>
  <si>
    <t>A person lifts a 90 kg weight until the shoulder and then above the head, then the man drops the weight to the floor.</t>
  </si>
  <si>
    <t>Then, the man lifts 95 kg weight above his head.</t>
  </si>
  <si>
    <t>After, the man lifts a weight of 101 kg successfully.</t>
  </si>
  <si>
    <t>v_rjzQD0vwnP0</t>
  </si>
  <si>
    <t>A close up of a car is seen followed by a person holding a scraper.</t>
  </si>
  <si>
    <t>The person pushes ice all along the car while looking to the camera.</t>
  </si>
  <si>
    <t>The person continues clearing off ice with the scraper while the camera captures her movements.</t>
  </si>
  <si>
    <t>v_Tp6MFA0SbFU</t>
  </si>
  <si>
    <t>A female wrestler is holding another wrestler upside down.</t>
  </si>
  <si>
    <t>She slams her down onto the mat, on her back.</t>
  </si>
  <si>
    <t>v_JgfVp6Estgw</t>
  </si>
  <si>
    <t>Various shots of landscapes are shown including deer heads and tree houses and leads into a man shooting a bow and arrow.</t>
  </si>
  <si>
    <t>He hits the stuffed animal and leads into more shots of him and another using the bow and arrow.</t>
  </si>
  <si>
    <t>The camera pans around areas that they hit and shows one man walking away.</t>
  </si>
  <si>
    <t>v_aorWXCqqyJs</t>
  </si>
  <si>
    <t>Some people are surfing in rough ocean waves.</t>
  </si>
  <si>
    <t>They lay down on their boards, disappearing into the water.</t>
  </si>
  <si>
    <t>The girl just rides the surf with her father helping.</t>
  </si>
  <si>
    <t>v_y1CzJvvItrM</t>
  </si>
  <si>
    <t>A man is standing on a ladder wiping down a wall.</t>
  </si>
  <si>
    <t>A black bucket is sitting next to him.</t>
  </si>
  <si>
    <t>A man is standing up throwing mud at the wall.</t>
  </si>
  <si>
    <t>v_qD52CX0CSBs</t>
  </si>
  <si>
    <t>A woman is seen speaking to the camera while standing next to a horse and petting the horse on the side.</t>
  </si>
  <si>
    <t>The horse sniffs all around the woman while she pets him down and turns his head in the end.</t>
  </si>
  <si>
    <t>v_0xtS7g7vZLU</t>
  </si>
  <si>
    <t>A camera pans out a wooden table with a boy with glasses showing it off.</t>
  </si>
  <si>
    <t>The boy pushes various pucks across the wooden board to see where it ends up.</t>
  </si>
  <si>
    <t>The boy pushes several more pucks and the boy holding the camera walks to the end to show the results.</t>
  </si>
  <si>
    <t>v_BOqca4eckEs</t>
  </si>
  <si>
    <t>A girl is standing with a group of people on a long platform made of wood.</t>
  </si>
  <si>
    <t>She is attached to a rope and with several people behind her then she is pushed off of the stand participating in a free fall.</t>
  </si>
  <si>
    <t>The female falls then hangs down over the water for a long period of time.</t>
  </si>
  <si>
    <t>v_hFzMCWZ3Jps</t>
  </si>
  <si>
    <t>A woman is seen looking into the camera while brushing her hair and leads into her putting her hair into a ponytail.</t>
  </si>
  <si>
    <t>The girl then braids more hair into her and ends by waving to the camera.</t>
  </si>
  <si>
    <t>v_ULBhK8jXNws</t>
  </si>
  <si>
    <t>There is a truck being driven on the road in the beginning of the video.</t>
  </si>
  <si>
    <t>Then a man is shown sitting by the poolside, surfing in the water with other people.</t>
  </si>
  <si>
    <t>v_jAlYwQevBxA</t>
  </si>
  <si>
    <t>People are seen walking around a snowy area carrying boards in their hands and riding along the trail.</t>
  </si>
  <si>
    <t>The people ride down the snowy mountain continuously while looking back to the camera.</t>
  </si>
  <si>
    <t>The people continue to ride around while zooming in on their feet.</t>
  </si>
  <si>
    <t>v_EdJgTx0iFeE</t>
  </si>
  <si>
    <t>A woman is seen speaking to the camera holding a hula hoop and leads into her spinning around the hula hoop.</t>
  </si>
  <si>
    <t>The woman continues to push the object around her waist while spinning herself around as well as dancing in place.</t>
  </si>
  <si>
    <t>v_9u-wH-UBuRc</t>
  </si>
  <si>
    <t>A thin man and a fat man perform arm wrestling while a cameraman film them.</t>
  </si>
  <si>
    <t>The thin man win the arm wrestling competition.</t>
  </si>
  <si>
    <t>v_b_DY76Y6ekg</t>
  </si>
  <si>
    <t>People in harnesses walk on a platform with trees far below in the background.</t>
  </si>
  <si>
    <t>The man sits on a bench and is hooked to a large white rope.</t>
  </si>
  <si>
    <t>The man shakes a lady's hand.</t>
  </si>
  <si>
    <t>The man stands and walks to the edge of the platform assisted by two people.</t>
  </si>
  <si>
    <t>The lady then pushes the man off the edge and the camera pans down to watch the mans' bungee jump.</t>
  </si>
  <si>
    <t>A man with stick holds it out and the man catches it and they release the man from the rope.</t>
  </si>
  <si>
    <t>v_I-1UKECfQko</t>
  </si>
  <si>
    <t>Several people lay in tubes in the snow.</t>
  </si>
  <si>
    <t>More people are standing around them.</t>
  </si>
  <si>
    <t>Eventually some of them go down the hill.</t>
  </si>
  <si>
    <t>They reach the bottom of the hill.</t>
  </si>
  <si>
    <t>v_kxUkqmzS2wc</t>
  </si>
  <si>
    <t>A man puts shaving cream on his face.</t>
  </si>
  <si>
    <t>He starts shaving his face with a razor.</t>
  </si>
  <si>
    <t>He dries his face off with a towel.</t>
  </si>
  <si>
    <t>v_KjXvBqmh5C4</t>
  </si>
  <si>
    <t>A shot of a gym is shown followed by several clips of a person attempting to pole volt and others socializing.</t>
  </si>
  <si>
    <t>Several people speak to the camera and lead into them pole volting.</t>
  </si>
  <si>
    <t>More people are seen speaking to one another as well as the camera and using a pole to get over a bar.</t>
  </si>
  <si>
    <t>v_-b2lkhdJXf4</t>
  </si>
  <si>
    <t>A small white ball dashed out into the court and hits a player smack dab in the head.</t>
  </si>
  <si>
    <t>Another player then steals the ball and starts kicking it until its more into his control, and kicks it straight into the goal.</t>
  </si>
  <si>
    <t>A small replay shows how he managed to kick it in there.</t>
  </si>
  <si>
    <t>A short montage of similar moves, the player kicking a ball straight into the goal.</t>
  </si>
  <si>
    <t>A short amount of footage shows how the player reacts to his own shot.</t>
  </si>
  <si>
    <t>v_1oyWMusaDTI</t>
  </si>
  <si>
    <t>A man is kite surfing on the edge of the board.</t>
  </si>
  <si>
    <t>The camera zoom in and shows the board then zooms back out.</t>
  </si>
  <si>
    <t>We see the road in the distance and see cars driving.</t>
  </si>
  <si>
    <t>We see a second person kitesurfing.</t>
  </si>
  <si>
    <t>v_W06Ojnv-Wxg</t>
  </si>
  <si>
    <t>A gymnast is seen jumping onto a set of uneven bars and performing a gymnastics routine in front of others.</t>
  </si>
  <si>
    <t>The man continues flipping around the bars and ends with him jumping down and bowing to the crowd.</t>
  </si>
  <si>
    <t>v_IuntoXkEWPI</t>
  </si>
  <si>
    <t>A small child is seen climbing up a slide at a playground very slowly.</t>
  </si>
  <si>
    <t>She edges her way up to the top and then slides down the slide.</t>
  </si>
  <si>
    <t>v_wsrSku74OpM</t>
  </si>
  <si>
    <t>A close up of solo cups are shown followed by a man throwing balls.</t>
  </si>
  <si>
    <t>A person moves the cups alongside the table while the person continues throwing and the men switch place.</t>
  </si>
  <si>
    <t>The two continue taking turns while the camera captures their movements.</t>
  </si>
  <si>
    <t>v_cdb7VSVuUl8</t>
  </si>
  <si>
    <t>Two men in inflatable sumo wrestler costumes entertain the public by street performing in a public square.</t>
  </si>
  <si>
    <t>Two men in inflatable sumo wrestler outfits talk to the camera and begin to entertain the people passing by as they stand in a paved public square.</t>
  </si>
  <si>
    <t>The two men show a little boy how to use an automated scooter, perform mock sumo wrestling matches, and take pictures with the audience as well as dancing with the audience before ending the performance and speaking again to the camera.</t>
  </si>
  <si>
    <t>v_NmmFlMtvE68</t>
  </si>
  <si>
    <t>We see a person bring a dog into a shelter.</t>
  </si>
  <si>
    <t>We see a black screen with writing.</t>
  </si>
  <si>
    <t>We then see a lady use an electric shaver then scissors to groom a dog.</t>
  </si>
  <si>
    <t>The groomer kisses the puppy.</t>
  </si>
  <si>
    <t>We see shot of the dog after the grooming.</t>
  </si>
  <si>
    <t>We then see a black title screen.</t>
  </si>
  <si>
    <t>v_JZDTcGPKw2w</t>
  </si>
  <si>
    <t>woman is riding a horse in a barn and another woman is leading the horse with a rope.</t>
  </si>
  <si>
    <t>photos of various people riding horses are shown.</t>
  </si>
  <si>
    <t>woma is riding a horse in a barn and pictures of people riding horses.</t>
  </si>
  <si>
    <t>woman is riding a horse in a riding track.</t>
  </si>
  <si>
    <t>and a girl is jumping in the tracks too.</t>
  </si>
  <si>
    <t>childs are in a living room playing in front of a tv and pictues of theirs on the mood are shown.</t>
  </si>
  <si>
    <t>childs are in a bridge dancing and jumping into the pool.</t>
  </si>
  <si>
    <t>v_uowNtTu74nA</t>
  </si>
  <si>
    <t>The video leads into several shots of surfers moving along the water and riding waves past other people.</t>
  </si>
  <si>
    <t>Several shots are shown on how to properly surf and is followed by more shots shown in slow motion.</t>
  </si>
  <si>
    <t>v_t6iq95QPZIg</t>
  </si>
  <si>
    <t>The back of a speed boat is shown followed by feet jumping into water and looking around underwater.</t>
  </si>
  <si>
    <t>A person holds a stick out and grabs a fish and pokes at sharks.</t>
  </si>
  <si>
    <t>v_7YOV0kZQIAo</t>
  </si>
  <si>
    <t>A man plays a saxophone while facing the camera.</t>
  </si>
  <si>
    <t>The man finishes playing and smiles at his instrument.</t>
  </si>
  <si>
    <t>v_cCYLiE1fiEo</t>
  </si>
  <si>
    <t>A person steps on a tan mat several times.</t>
  </si>
  <si>
    <t>They take their shoes off and put a different pair of shoes on.</t>
  </si>
  <si>
    <t>They continue stepping on the mat in the new shoes.</t>
  </si>
  <si>
    <t>They take those shoes off and walk away.</t>
  </si>
  <si>
    <t>v_Bs3TR80BRco</t>
  </si>
  <si>
    <t>A man is in a forest, and his feet are shown with and without shoes.</t>
  </si>
  <si>
    <t>He mounts a tightrope and balances on it.</t>
  </si>
  <si>
    <t>He uses the tightrope to walk, showing the proper positions to maintain balance.</t>
  </si>
  <si>
    <t>v_MvKhjWRNTvI</t>
  </si>
  <si>
    <t>A woman pics up a bottle filled with red bullets.</t>
  </si>
  <si>
    <t>The cotton pad is removed, then a gun is loaded.</t>
  </si>
  <si>
    <t>She shoots the paint bullets at a target, spattering it red.</t>
  </si>
  <si>
    <t>Several targets are shown getting spattered.</t>
  </si>
  <si>
    <t>v_U8SmnfsEzOc</t>
  </si>
  <si>
    <t>A man is taking a bike apart on a subway.</t>
  </si>
  <si>
    <t>He is putting a tire back on the bike.</t>
  </si>
  <si>
    <t>v_jWzLhOqcGtE</t>
  </si>
  <si>
    <t>They run on the court and continue to dribble the ball.</t>
  </si>
  <si>
    <t>They jump up and make a basket.</t>
  </si>
  <si>
    <t>v_nqmw4BCi6io</t>
  </si>
  <si>
    <t>A mop's attributes are demonstrated through computer graphics close-ups of various parts.</t>
  </si>
  <si>
    <t>The mop is demonstrated in actual use.</t>
  </si>
  <si>
    <t>The preparation of the mop head is shown.</t>
  </si>
  <si>
    <t>More component closeups are shown.</t>
  </si>
  <si>
    <t>The mop head is demonstrated again.</t>
  </si>
  <si>
    <t>v_hs81dVKvvdw</t>
  </si>
  <si>
    <t>A person is sitting down getting their arm tattooed.</t>
  </si>
  <si>
    <t>They stand up and show the tattoo.</t>
  </si>
  <si>
    <t>v_5bZ2FdbAKiQ</t>
  </si>
  <si>
    <t>A gymnast is seen standing ready with her arms up and turns to face the beam.</t>
  </si>
  <si>
    <t>Just jumps up on the beam and begins perform a gymnastic routine until she falls off.</t>
  </si>
  <si>
    <t>She climbs back up on the beam and ends by flipping off the beam.</t>
  </si>
  <si>
    <t>v_ymEh5T11kSQ</t>
  </si>
  <si>
    <t>Two people are seen standing on a sandy beach with one kicking the ball and passing it to another.</t>
  </si>
  <si>
    <t>The boys continue passing the ball back and fourth while many people are seen walking around and playing in the water.</t>
  </si>
  <si>
    <t>v_FSfxYKauc9w</t>
  </si>
  <si>
    <t>Two teams of hockey players are inside of the rink playing a game.</t>
  </si>
  <si>
    <t>The puck is hit behind the goal and the team hits it back out and the game continues.</t>
  </si>
  <si>
    <t>After fighting for it,the players hit the puck down on the other end and it is blocked by the goalie.</t>
  </si>
  <si>
    <t>Each team rallies back and forth with the puck but neither of them are successful and they are blocked on both ends of the rink.</t>
  </si>
  <si>
    <t>v_7gRbYNWSUjk</t>
  </si>
  <si>
    <t>A man practice martial arts in a gym turning and spinning around.</t>
  </si>
  <si>
    <t>Then, the man leans on her hands to spin his body and make turns.</t>
  </si>
  <si>
    <t>After, the man stands on his hands and tilt his body to the sides and front.</t>
  </si>
  <si>
    <t>Next, the stands on his hands and rotates his body.</t>
  </si>
  <si>
    <t>v_Q43BuVI2r-s</t>
  </si>
  <si>
    <t>Two men are walking down planks with one rolling out paper and putting tape across.</t>
  </si>
  <si>
    <t>Other men lay down a green sheet of paper and continue taping down the paper.</t>
  </si>
  <si>
    <t>One last set of paper is laid across with tape and the men continue working.</t>
  </si>
  <si>
    <t>v_ACnOpQNrhqs</t>
  </si>
  <si>
    <t>We see a college volleyball game being played by women.</t>
  </si>
  <si>
    <t>A group of ladies passes.</t>
  </si>
  <si>
    <t>A lady falls and slides across the ground.</t>
  </si>
  <si>
    <t>Two ladies high five each other.</t>
  </si>
  <si>
    <t>Three ladies fall into the crowd on the left.</t>
  </si>
  <si>
    <t>A lady misses and falls.</t>
  </si>
  <si>
    <t>A person dangles a set of keys.</t>
  </si>
  <si>
    <t>v_vcl8rFSCH4w</t>
  </si>
  <si>
    <t>A close up of people are shown sitting on a snowy hill and looking to the camera.</t>
  </si>
  <si>
    <t>The people then all ride in tubes down the snowy trail with one moving around at the bottom.</t>
  </si>
  <si>
    <t>v_P3q6n0ZjumU</t>
  </si>
  <si>
    <t>A teen boy has a bunch of darts in his hands.</t>
  </si>
  <si>
    <t>He throws each dart, trying to hit his target on the wall.</t>
  </si>
  <si>
    <t>A cell phone camera above the dart board records as he throws, then gets hit by a dart before falling onto the carpet.</t>
  </si>
  <si>
    <t>v_6G1wS1p1ig0</t>
  </si>
  <si>
    <t>A large group of kids are seen dancing in a room followed by men moving around and laughing.</t>
  </si>
  <si>
    <t>More clips are shown of people jump roping in different rooms and laughing with one another.</t>
  </si>
  <si>
    <t>v_p377oL-EM_E</t>
  </si>
  <si>
    <t>A black screen appears with yellow writing on it.</t>
  </si>
  <si>
    <t>Once gone,a field is shown and a buff females throws a shot put into the field and a replay is shown.</t>
  </si>
  <si>
    <t>v_lGAK_3Jp2I8</t>
  </si>
  <si>
    <t>A man body slams another man on a ring.</t>
  </si>
  <si>
    <t>A referee taps on the ground several times.</t>
  </si>
  <si>
    <t>The crowd cheers for the people.</t>
  </si>
  <si>
    <t>v_QNsonWAaFk4</t>
  </si>
  <si>
    <t>Men snarl and we see the crowd and shots of volleyball play.</t>
  </si>
  <si>
    <t>We see ladies on the sidelines.</t>
  </si>
  <si>
    <t>A tall man is shown from the legs up as he jumps.</t>
  </si>
  <si>
    <t>A man misses a shot and looks behind him and two men look behind them.</t>
  </si>
  <si>
    <t>We see men cheer and jump.</t>
  </si>
  <si>
    <t>A shot is made and team hugs.</t>
  </si>
  <si>
    <t>v_Vc4NSwtI5jM</t>
  </si>
  <si>
    <t>A man cleans the rim of a wheel with a brush, then the man rinse the car with a hose.</t>
  </si>
  <si>
    <t>After, the man applies detergent with a washing scrub brush.</t>
  </si>
  <si>
    <t>Next, the car enters inside an automatic car wash machine.</t>
  </si>
  <si>
    <t>v_f98FHTGx64Q</t>
  </si>
  <si>
    <t>Two people arm wrestle and take off clothes.</t>
  </si>
  <si>
    <t>They get dressed up and go extreme kite flying in a hurricane.</t>
  </si>
  <si>
    <t>The kites crash into the people once.</t>
  </si>
  <si>
    <t>v_OUPEzXXawCs</t>
  </si>
  <si>
    <t>People are riding horses on a field.</t>
  </si>
  <si>
    <t>A dog and a person cross in front of the camera.</t>
  </si>
  <si>
    <t>The horses are running around on the field.</t>
  </si>
  <si>
    <t>v_J6T9pokWX1E</t>
  </si>
  <si>
    <t>The exterior of a business is shown and the blue and white sign on it say's "BORONIA DOG GROOMING &amp; PET SUPPLIES" with a picture of a dog in water and covered with suds and paw prints on the sides of it, and the word "DOG GROOMING" is along the front facing of the ledge that sticks out.</t>
  </si>
  <si>
    <t>A woman is talking and in between there are clips playing of groomers grooming dogs, customers, dogs walking in the store, products and dogs walking in the store.</t>
  </si>
  <si>
    <t>The same clip of the exterior of the building that was shown in the beginning, is the same exterior view that is shown at the end.</t>
  </si>
  <si>
    <t>v_roTIeCtx94Q</t>
  </si>
  <si>
    <t>woman puts butter in a bowl with sugar, and flour and mix it in a kitchen aid, adding eggs, vanilla and flour, when the mix is homogenous add chocolate chips.</t>
  </si>
  <si>
    <t>the dough is molded in balls and in a tray to the oven.</t>
  </si>
  <si>
    <t>v_NS8qkB39x9U</t>
  </si>
  <si>
    <t>A camera pans around a dark kitchen and leads to the person walking down a set of stairs.</t>
  </si>
  <si>
    <t>Clothes are seen on the floor followed by a woman in curlers smoking a cigarette and playing on the computer.</t>
  </si>
  <si>
    <t>She speaks to the camera and gets a shot of her and the camera man together.</t>
  </si>
  <si>
    <t>v_nHafujMomWg</t>
  </si>
  <si>
    <t>A man is in front of a cutting board covered in potatoes.</t>
  </si>
  <si>
    <t>He uses a peeler to peel the skin from a potato.</t>
  </si>
  <si>
    <t>He moves quickly, peeling until all the potatoes are bare.</t>
  </si>
  <si>
    <t>v_YPFk9ftkzl4</t>
  </si>
  <si>
    <t>A boy is sitting at a wooden table in a cafe.</t>
  </si>
  <si>
    <t>He lights a hookah, then pulls a drag on the smoke.</t>
  </si>
  <si>
    <t>He sits back, blowing smoke out of his mouth.</t>
  </si>
  <si>
    <t>v_ePqfnkzAQjQ</t>
  </si>
  <si>
    <t>A girl sits and endures pain as she gets a traditional Polynesian tattoo.</t>
  </si>
  <si>
    <t>The artists stop for a moment and clean off the area.</t>
  </si>
  <si>
    <t>They begin to continue tattooing her hand as she endures visibly the pain.</t>
  </si>
  <si>
    <t>v_6dNh6AxVLx8</t>
  </si>
  <si>
    <t>The video starts with several shots of bmx riders riding along a track with one taking a hard fall.</t>
  </si>
  <si>
    <t>Several more shots of people riding on a track are shown with many standing on the sidelines to watch.</t>
  </si>
  <si>
    <t>More falls are shown with a slow motion affect and more people continue to ride around.</t>
  </si>
  <si>
    <t>v_1bcm3LHTI_w</t>
  </si>
  <si>
    <t>A black screen appears with white,red,green and blue words that say "membrillo films" on one screen, "Mateo Bervelillo" ,and "Trillizos".</t>
  </si>
  <si>
    <t>A man is now outdoors, sits on a wooden box, and begins tapping his fingers onto the box and bouncing his feet on the ground.</t>
  </si>
  <si>
    <t>Another man who looks like the first man comes out of a door and sits on the chair outdoor near the first man and he begins hitting a bongo.</t>
  </si>
  <si>
    <t>A third man who looks like the two previous men before him, come out of a door and sit on the last chair and he plays on his bongo.</t>
  </si>
  <si>
    <t>v_UnZtNrtvSPA</t>
  </si>
  <si>
    <t>woman is standing in front of the camera in a white room playing with her hair.</t>
  </si>
  <si>
    <t>woman is sitting in a shair and a woman behind her start grabbing a small section of he hair doing a braid and anchoring it with a bobby pin and decorating it with hair pins.</t>
  </si>
  <si>
    <t>v_Qn61vl2khuo</t>
  </si>
  <si>
    <t>We see the black title screen.</t>
  </si>
  <si>
    <t>We see a lady and a man working on a machine.</t>
  </si>
  <si>
    <t>We see the people standing and talking about the product with shots of the machine.</t>
  </si>
  <si>
    <t>We see the display on the machine.</t>
  </si>
  <si>
    <t>The lady gets on, sets the time, and runs on the machine.</t>
  </si>
  <si>
    <t>We see just the man talking then using the machine.</t>
  </si>
  <si>
    <t>We return to the people talking together.</t>
  </si>
  <si>
    <t>We see the closing title screens.</t>
  </si>
  <si>
    <t>v_FMmrxy3OanA</t>
  </si>
  <si>
    <t>The video begins with a title sequence showing a girl throwing clothing at a man, and a title screen.</t>
  </si>
  <si>
    <t>The man and his family are in a backyard speaking to the camera.</t>
  </si>
  <si>
    <t>After he speaks, they cheer.</t>
  </si>
  <si>
    <t>The man and woman put on a tutu and blindfolds.</t>
  </si>
  <si>
    <t>They then begin to hula hoop until the woman loses.</t>
  </si>
  <si>
    <t>Afterward, they speak to the camera and wave goodbye.</t>
  </si>
  <si>
    <t>v_z-94IUxC4Xc</t>
  </si>
  <si>
    <t>Several shots of scenery are shown followed by a person performing a trick on a skateboard and others riding down a hill.</t>
  </si>
  <si>
    <t>Several shots are shown of people riding down the street on skateboards and doing several tricks while the camera zooms in.</t>
  </si>
  <si>
    <t>One man falls in the end and his board crashes along the side.</t>
  </si>
  <si>
    <t>v_2Ua6E2a6kT4</t>
  </si>
  <si>
    <t>A man is seen speaking to the camera while standing out in a back yard.</t>
  </si>
  <si>
    <t>He pans to a man spraying down a fence with a hose and another man watching on the side.</t>
  </si>
  <si>
    <t>The man continues to spray down the hose while another watches on the side and pans back to the camera man.</t>
  </si>
  <si>
    <t>v_ZsqjU0X3mxY</t>
  </si>
  <si>
    <t>A pale young woman in a white dress is standing in the forest with long curly brownish-reddish hair and begins skipping.</t>
  </si>
  <si>
    <t>Then she is shown with a black shirt and long hair and begins talking in a dark staircase.</t>
  </si>
  <si>
    <t>She stands up,flips her pony tail and the camera pans her outfit and she has on a black shirt and blue shorts and begins walking up the stairs.</t>
  </si>
  <si>
    <t>Next,she goes into a room and begins talking to a woman with a black shirt and blonde hair.</t>
  </si>
  <si>
    <t>The lady holds up a white index card with sketches of two heads.</t>
  </si>
  <si>
    <t>The lady washes her hairs and begins cutting it with a pair of shears to a very short length.</t>
  </si>
  <si>
    <t>The girl sits in the chair and begins shaking her ear length hair and holding up the cut off hair in her hands.</t>
  </si>
  <si>
    <t>The hairdresser begins blow drying her hair,cutting it and styling it.</t>
  </si>
  <si>
    <t>She continues to get her hair down while her hair is panned over on the counter and the floor.</t>
  </si>
  <si>
    <t>Then she sits on a bench and smiles at the thought of her short hair cut.</t>
  </si>
  <si>
    <t>v_1XicledQXng</t>
  </si>
  <si>
    <t>A person is seen walking into frame in front of a large closet.</t>
  </si>
  <si>
    <t>The woman then lets her hair down along her back.</t>
  </si>
  <si>
    <t>She brushes her hair continuously and ends by walking out of frame.</t>
  </si>
  <si>
    <t>v_2Tm_2wgv2Zs</t>
  </si>
  <si>
    <t>A small group of people are seen standing before a fooseball table grabbing onto poles.</t>
  </si>
  <si>
    <t>The men play against one another while taking breaks to get a drink and speak with team mates.</t>
  </si>
  <si>
    <t>The people shake hands with one another and hug friends and family.</t>
  </si>
  <si>
    <t>v_r4QPhlrqqP4</t>
  </si>
  <si>
    <t>A woman stands and talks in a garden next to a bed of herbs and plants and a wheelbarrow filled with mulch.</t>
  </si>
  <si>
    <t>A herb garden appears with a woman standing next to it in a large garden next to a wheelbarrow filled with mulch.</t>
  </si>
  <si>
    <t>The woman begins to talk to the camera while gesturing to the flowerbed and the mulch, before eventually picking up a handful of the mulch.</t>
  </si>
  <si>
    <t>The woman continues talking before the scene morphs into video of a small red potatoes on the ground pulled up by the root.</t>
  </si>
  <si>
    <t>v_dbLtukGqkhI</t>
  </si>
  <si>
    <t>People are standing on a roof top looking up.</t>
  </si>
  <si>
    <t>A woman in a green shirt eats chips.</t>
  </si>
  <si>
    <t>A man in a blue shirt is pointing to the sky and moving his hand in circles.</t>
  </si>
  <si>
    <t>There are many kites in the sky around them.</t>
  </si>
  <si>
    <t>v_ATBbNtNlBnY</t>
  </si>
  <si>
    <t>We see a man using an electric sander to sharpen a variety of things.</t>
  </si>
  <si>
    <t>He uses a caliper and ruler on a item.</t>
  </si>
  <si>
    <t>We see him sharpening more things and beveling a tool.</t>
  </si>
  <si>
    <t>The man adjust some screws and moves an arm.</t>
  </si>
  <si>
    <t>We see the item comes with a 7 year warranty.</t>
  </si>
  <si>
    <t>The man adds an oil to the item, and we see the packaging.</t>
  </si>
  <si>
    <t>We see the ending credits for the video.</t>
  </si>
  <si>
    <t>v_smJtFktW640</t>
  </si>
  <si>
    <t>A small group of women are seen dancing together doing choreography with one leading the group in the front.</t>
  </si>
  <si>
    <t>the woman continue dancing with one another and ends with a zumba logo shown in the background.</t>
  </si>
  <si>
    <t>v_epZjMuRRXLo</t>
  </si>
  <si>
    <t>A woman is seen standing in front of a mirror and begins jumping rope while smiling at the camera.</t>
  </si>
  <si>
    <t>She continues jumping over and over again swinging her arms and ends by stopping to smile at the camera.</t>
  </si>
  <si>
    <t>v_jaRSbVCkxlU</t>
  </si>
  <si>
    <t>woman is standing in a kitchen in front of a camera holding a door.</t>
  </si>
  <si>
    <t>woman cuts the door and spread chocolate cream on he top and put another layer of cake.</t>
  </si>
  <si>
    <t>the woman spread the chocolate cream again in the top and put another layer of cake and spread the cream on top and at sides.</t>
  </si>
  <si>
    <t>woman flatten the cream and varnish it.</t>
  </si>
  <si>
    <t>thw woman grabs white fondant and kneads it and then cover the cake with it with her hands and cuts the remaining, adds ornamens on top.</t>
  </si>
  <si>
    <t>v_iXaW8uyzBNs</t>
  </si>
  <si>
    <t>A man is riding a bike.</t>
  </si>
  <si>
    <t>He is talking on a cell phone in a kitchen.</t>
  </si>
  <si>
    <t>He is then talking on a phone near a garage.</t>
  </si>
  <si>
    <t>He starts painting a wooden fence.</t>
  </si>
  <si>
    <t>He sits down and eats food.</t>
  </si>
  <si>
    <t>He then finished painting the fence.</t>
  </si>
  <si>
    <t>He jumps in the air to celebrate.</t>
  </si>
  <si>
    <t>v_kW_2ihjROgw</t>
  </si>
  <si>
    <t>A baby is sitting at a tiny table outside.</t>
  </si>
  <si>
    <t>He is smoking a cigarette and waving at adults.</t>
  </si>
  <si>
    <t>He high fives a woman, then continues to smoke.</t>
  </si>
  <si>
    <t>v_x2uByejBIiY</t>
  </si>
  <si>
    <t>A woman is seen holding ingredients in their hands while speaking to the camera and boiling water.</t>
  </si>
  <si>
    <t>She fries nuts on a pan and pours them on a plate while mixing more ingredients into a pan and pouring it over the nuts.</t>
  </si>
  <si>
    <t>She mixes them all together and shows off several plates in the end.</t>
  </si>
  <si>
    <t>v_UcQ63-sQ9bI</t>
  </si>
  <si>
    <t>A close up of a guitar is seen followed by a person strumming the back.</t>
  </si>
  <si>
    <t>The person moves their hands up and down the neck of the guitar while moving it to play.</t>
  </si>
  <si>
    <t>The man continues to play the instrument and stops in the end.</t>
  </si>
  <si>
    <t>v_Vshvpb9eecg</t>
  </si>
  <si>
    <t>A woman is seen walking into frame while speaking to the camera and putting her face in cream.</t>
  </si>
  <si>
    <t>The woman then rubs the cream on her face while still speaking to the camera.</t>
  </si>
  <si>
    <t>The camera pans around the kitchen while the woman continues to rub her hands in the lotion.</t>
  </si>
  <si>
    <t>v_VVLeWYKoNUE</t>
  </si>
  <si>
    <t>We see a person jet-skiing behind a boat.</t>
  </si>
  <si>
    <t>The boat runs aground into some brush.</t>
  </si>
  <si>
    <t>The skier is laying in the lake.</t>
  </si>
  <si>
    <t>v_SA2GomtZkvE</t>
  </si>
  <si>
    <t>A man plays an accordion in the street.</t>
  </si>
  <si>
    <t>He is wearing a hoodie.</t>
  </si>
  <si>
    <t>He is sitting next to his bike.</t>
  </si>
  <si>
    <t>A man walks in the background.</t>
  </si>
  <si>
    <t>v_Y5qDKbTkCaY</t>
  </si>
  <si>
    <t>The words "The Shot Put" appear on screen over an athlete.</t>
  </si>
  <si>
    <t>"The Shot Put Introduction" appears on screen followed by several athletes performing the sport.</t>
  </si>
  <si>
    <t>The words "Thank you for Watching" appears on the screen.</t>
  </si>
  <si>
    <t>v_FjMeS0FCvas</t>
  </si>
  <si>
    <t>A man lifts up a large pitcher of beer and starts drinking it.</t>
  </si>
  <si>
    <t>People sitting around a table cheer him on.</t>
  </si>
  <si>
    <t>The man puts his hands in the air and laughs.</t>
  </si>
  <si>
    <t>The people around the table start pumping their hands in the air.</t>
  </si>
  <si>
    <t>The man claps his hands.</t>
  </si>
  <si>
    <t>v_rsJUOsr1u3o</t>
  </si>
  <si>
    <t>A man is standing over an oven cooking something in a pan.</t>
  </si>
  <si>
    <t>He bends down to check the flame.</t>
  </si>
  <si>
    <t>He tosses the pan a few times.</t>
  </si>
  <si>
    <t>He is adding seasonings to the pan.</t>
  </si>
  <si>
    <t>He pours a liquid into the pan.</t>
  </si>
  <si>
    <t>He shakes the pan again.</t>
  </si>
  <si>
    <t>v_Cq7Myyfbtn0</t>
  </si>
  <si>
    <t>A person helps another person walk on stilts on the sidewalk.</t>
  </si>
  <si>
    <t>The person walks by themselves.</t>
  </si>
  <si>
    <t>The man sits down in a chair.</t>
  </si>
  <si>
    <t>v_CXb3Ce7s6G0</t>
  </si>
  <si>
    <t>Several screens are shown of bright orange lettering on a black background.</t>
  </si>
  <si>
    <t>A man and a woman are standing upright in a pool, and the man is showing the woman swimming techniques.</t>
  </si>
  <si>
    <t>The woman begins to emulate the man's actions, moving her arms and dipping her head under the water.</t>
  </si>
  <si>
    <t>The man shows her how to swim outward by doing so himself.</t>
  </si>
  <si>
    <t>The woman watches as he swims away.</t>
  </si>
  <si>
    <t>v_RRIGf87R6jc</t>
  </si>
  <si>
    <t>A girl is pouring ingredients into a bowl and mixing them together.</t>
  </si>
  <si>
    <t>She uses a cookie cutter to cut shapes out of the dough.</t>
  </si>
  <si>
    <t>She is dipping the dough into a white glaze.</t>
  </si>
  <si>
    <t>v_12sz7NMvyfI</t>
  </si>
  <si>
    <t>A person is blowing leaves in the back of their yard.</t>
  </si>
  <si>
    <t>The kid is having some trouble but is generally doing an ok job.</t>
  </si>
  <si>
    <t>v_XSNenkxgryQ</t>
  </si>
  <si>
    <t>A news anchor presents a story behind a desk in a large newsroom.</t>
  </si>
  <si>
    <t>People are seen smoking regular cigarettes and electric cigarettes.</t>
  </si>
  <si>
    <t>The news anchor talks with a guest in the newsroom.</t>
  </si>
  <si>
    <t>Professionals are seen in there offices discussing the subject.</t>
  </si>
  <si>
    <t>Text is seen against a red background with a website and information.</t>
  </si>
  <si>
    <t>v_DthkauVLag0</t>
  </si>
  <si>
    <t>A man is shown smiling and talking into the camera and holding a young boy up on a sink.</t>
  </si>
  <si>
    <t>The man holds the boys eyes open while he laughs and brushes his teeth.</t>
  </si>
  <si>
    <t>v_GA8XzZTETPE</t>
  </si>
  <si>
    <t>A ballerina starts dancing on a stage.</t>
  </si>
  <si>
    <t>She does several spins on the stage.</t>
  </si>
  <si>
    <t>She does a leap on the stage.</t>
  </si>
  <si>
    <t>She lays down on the stage.</t>
  </si>
  <si>
    <t>v_TVeIcQOvMZI</t>
  </si>
  <si>
    <t>A man is seen speaking to the camera that leads into a person playing crochet.</t>
  </si>
  <si>
    <t>Several shots are shown of children hitting the balls as well as speaking to the camera.</t>
  </si>
  <si>
    <t>More kids and adults speak to the camera while showing how they hit the ball.</t>
  </si>
  <si>
    <t>v_g5-CU3qfSWY</t>
  </si>
  <si>
    <t>A person is seen running down a long track with a pole and attempting to push herself forward.</t>
  </si>
  <si>
    <t>Her run is shown again in slow motion as another person attempts to push over the pole and fails.</t>
  </si>
  <si>
    <t>More clips are shown of people attempting to jump over the wall and not making it high enough.</t>
  </si>
  <si>
    <t>v_dLLvpM-gB8Q</t>
  </si>
  <si>
    <t>Two kids are playing in the back of a truck.</t>
  </si>
  <si>
    <t>People are standing around a yellow ice cream truck.</t>
  </si>
  <si>
    <t>Two kids are sitting down on a sidewalk eating ice cream.</t>
  </si>
  <si>
    <t>v_2NyOIsFJ3Tw</t>
  </si>
  <si>
    <t>We then see a girl run and fall on a slip and slide.</t>
  </si>
  <si>
    <t>We see another title screen and watch the kids slide down slide and across their slip and slide.</t>
  </si>
  <si>
    <t>A kid slides down the slide on a raft.</t>
  </si>
  <si>
    <t>v_aQHGZzqZLxs</t>
  </si>
  <si>
    <t>A man is demonstrating how to kindle a small pit of fire.</t>
  </si>
  <si>
    <t>First, the man shows off the flint he has for the fire.</t>
  </si>
  <si>
    <t>He then puts the flint into a pile of wood.</t>
  </si>
  <si>
    <t>The man then lights the fire, which slowly spreads throughout the wood.</t>
  </si>
  <si>
    <t>The man then pokes the fire with pieces of flat wood to spread the fire.</t>
  </si>
  <si>
    <t>The man then shakes the twigs on the wood to further spread the fire.</t>
  </si>
  <si>
    <t>v_mOVPZhGyUrs</t>
  </si>
  <si>
    <t>There are two men playing ping pong in a basement.</t>
  </si>
  <si>
    <t>One of the players is wearing a black shirt and the other is a blue shirt.</t>
  </si>
  <si>
    <t>There is a mattress leaning against the basement wall.</t>
  </si>
  <si>
    <t>The players continue playing a smooth rally.</t>
  </si>
  <si>
    <t>Then the person in black misses the shot.</t>
  </si>
  <si>
    <t>They continue playing ping pong for a few more rounds.</t>
  </si>
  <si>
    <t>The person in blue hits the ball in the net.</t>
  </si>
  <si>
    <t>They continue playing more till the person in blue drops the ball on the ground.</t>
  </si>
  <si>
    <t>v_m22vOf2fw1M</t>
  </si>
  <si>
    <t>A person trims the top of a pink hedge using a hedge trimmer.</t>
  </si>
  <si>
    <t>Then, the man trim the sides of the pink hedge on front a house.</t>
  </si>
  <si>
    <t>v_-KbDXeEoQ1E</t>
  </si>
  <si>
    <t>Various pictures of shown of a girl and a horse and leads into a person riding a horse over jumps.</t>
  </si>
  <si>
    <t>More pictures are shown off the horse and person together followed by more clips of the girl riding the horse.</t>
  </si>
  <si>
    <t>In the end the horse is seen tied up to the stables and the girl wanders around him.</t>
  </si>
  <si>
    <t>v_p0_buoe9M7I</t>
  </si>
  <si>
    <t>A young woman is sitting on a red lounge chair as a tattoo artist begins doing his job.</t>
  </si>
  <si>
    <t>As he applies the needle,the girl fringes in her face but stays as still as possible.</t>
  </si>
  <si>
    <t>The tattoo is finally finished and the man dabs the rest of the tattoo on her foot.</t>
  </si>
  <si>
    <t>v_LNK_yYs6UOA</t>
  </si>
  <si>
    <t>A man walks into a circle on a field.</t>
  </si>
  <si>
    <t>He spins while holding a disc.</t>
  </si>
  <si>
    <t>He lets go of the disc, letting it fly through the air.</t>
  </si>
  <si>
    <t>v_r9X01daYa5o</t>
  </si>
  <si>
    <t>A man is sitting down in a chair.</t>
  </si>
  <si>
    <t>He is wearing a mask on his face.</t>
  </si>
  <si>
    <t>He is welding something in front of him.</t>
  </si>
  <si>
    <t>v_FuaxI8PkeHQ</t>
  </si>
  <si>
    <t>A young boy is seen sitting in a chair looking away with others walking by.</t>
  </si>
  <si>
    <t>The man then takes a sip of a drink and makes a funny face.</t>
  </si>
  <si>
    <t>v_F6cNWYlfUs8</t>
  </si>
  <si>
    <t>A large group of people are seen walking in the snow with several being interviewed on the camera.</t>
  </si>
  <si>
    <t>They're seen inside a shop sharpening skiis and laughing with one another.</t>
  </si>
  <si>
    <t>v_Zm32ORZly10</t>
  </si>
  <si>
    <t>A small group of people are seen standing around with one woman holding signs and leads into people playing tug of war.</t>
  </si>
  <si>
    <t>Several shots of the games are shown as well as a girl dancing and kids warming up.</t>
  </si>
  <si>
    <t>the kids play more tug of a war and a close up of a person's face is seen in slow motion.</t>
  </si>
  <si>
    <t>v_Tko7eefi1BI</t>
  </si>
  <si>
    <t>A woman is sitting outside on a white chair playing at accordion.</t>
  </si>
  <si>
    <t>There is a music stand sitting in front of her.</t>
  </si>
  <si>
    <t>v_S-8ogZOLiWU</t>
  </si>
  <si>
    <t>We see a man putting on gear and then hockey player walking to the rink.</t>
  </si>
  <si>
    <t>We see the crowd clapping.</t>
  </si>
  <si>
    <t>We see a game of hockey being played.</t>
  </si>
  <si>
    <t>We see people clapping in the crowd.</t>
  </si>
  <si>
    <t>A man's hand is shaken and see the whole team on the ice.</t>
  </si>
  <si>
    <t>v_5wchVLM0f5Y</t>
  </si>
  <si>
    <t>A man is seen solving a rubix cube was another sits beside him and watches.</t>
  </si>
  <si>
    <t>He solves the puzzle and puts it down on the table then smiles at the camera.</t>
  </si>
  <si>
    <t>v_vr7iD3pjmSU</t>
  </si>
  <si>
    <t>An archery competition montage video shows pitched battles taking place in fields, convention halls of hotels, indoor arenas, and warehouses.</t>
  </si>
  <si>
    <t>A logo for Archery Tag appears and an ad plays for another video and subscription.</t>
  </si>
  <si>
    <t>v_W4aPcuQSxFI</t>
  </si>
  <si>
    <t>A close up of a sink is shown followed by a person turning on a faucet and grabbing the camera.</t>
  </si>
  <si>
    <t>She faces a table and sprays down a rag followed by pushing the rag along the floor.</t>
  </si>
  <si>
    <t>The woman continues cleaning the floor and walks back to the camera.</t>
  </si>
  <si>
    <t>v_ZpuZEui-Bu0</t>
  </si>
  <si>
    <t>There are two little girls standing in an indoor court learning to play squash.</t>
  </si>
  <si>
    <t>They are standing with their racquets and trying to hit the ball against the wall.</t>
  </si>
  <si>
    <t>They attempt to hit the ball but end up brushing it on the floor.</t>
  </si>
  <si>
    <t>They run around the court trying to catch the ball with their racquets.</t>
  </si>
  <si>
    <t>they run around smiling with their oversized racquets and run to follow the ball around the court.</t>
  </si>
  <si>
    <t>v_55ziFpzx5oc</t>
  </si>
  <si>
    <t>Four young women and a man are on the stage, while one girl is playing the guitar.</t>
  </si>
  <si>
    <t>The lady in yellow began singing, then the lady in pink shirt.</t>
  </si>
  <si>
    <t>When the girls are finished singing the crowd cheered.</t>
  </si>
  <si>
    <t>v_PzNpPDd-VWE</t>
  </si>
  <si>
    <t>We see a man fall in the water in reverse.</t>
  </si>
  <si>
    <t>We watch people walk on a slackline over a body of water.</t>
  </si>
  <si>
    <t>We see a series of falls.</t>
  </si>
  <si>
    <t>A man makes it across.</t>
  </si>
  <si>
    <t>We see a man climb a tree and get a coconut.</t>
  </si>
  <si>
    <t>The pan puts a tap in the coconut and pours it in his mouth as he lays on the ground.</t>
  </si>
  <si>
    <t>The man sits up and smiles.</t>
  </si>
  <si>
    <t>v_AS1nLh3xfxI</t>
  </si>
  <si>
    <t>A close up of boots are seen as well as person digging a hole.</t>
  </si>
  <si>
    <t>The person lays out dirt and cut a hole into it while also putting a plant inside.</t>
  </si>
  <si>
    <t>The person waters the plant and ends by laying out more dirt.</t>
  </si>
  <si>
    <t>v_ZNsX4KYJlVQ</t>
  </si>
  <si>
    <t>A boy is standing at the counter facing backwards from the dart board.</t>
  </si>
  <si>
    <t>His mom is standing beside him and he is getting ready to throw his dart.</t>
  </si>
  <si>
    <t>He throws it and completely misses the dart board all together.</t>
  </si>
  <si>
    <t>He hits the top of the wall and he goes over to reach for it and take it out.</t>
  </si>
  <si>
    <t>v_8wNsOZHTsj0</t>
  </si>
  <si>
    <t>A man splits logs into using an ax in a grassy yard while his wife retrieves the pieces.</t>
  </si>
  <si>
    <t>A man splits logs in the yard by himself.</t>
  </si>
  <si>
    <t>The man sets his ax blade into the log and takes a brake.</t>
  </si>
  <si>
    <t>v_wv2baWJtSoc</t>
  </si>
  <si>
    <t>A man in a blue shirt is sitting down holding a bar on an exercise machine.</t>
  </si>
  <si>
    <t>He pushes off and uses the exercise machine.</t>
  </si>
  <si>
    <t>v_4Mo-IYfNKBo</t>
  </si>
  <si>
    <t>We see a man mopping a floor under women's feet.</t>
  </si>
  <si>
    <t>The middle lady uses her foot to move the mop.</t>
  </si>
  <si>
    <t>The left lady then moves the mop with her foot.</t>
  </si>
  <si>
    <t>The middle lady does it again then the man finishes mopping the floor.</t>
  </si>
  <si>
    <t>v_L6BxxvCbwpQ</t>
  </si>
  <si>
    <t>A guy is crawling on the ground.</t>
  </si>
  <si>
    <t>The guy is using a box knife to cut the carpet.</t>
  </si>
  <si>
    <t>The guy looks behind him.</t>
  </si>
  <si>
    <t>There are a lot of papers on the wall.</t>
  </si>
  <si>
    <t>v_4gQpW3zR-Aw</t>
  </si>
  <si>
    <t>A group of men are seen leading a camel around while a person rides on top of the camel.</t>
  </si>
  <si>
    <t>One man leads the camera around with the person on top and people recording them from the sides.</t>
  </si>
  <si>
    <t>The man lays the camel down for the person to climb off and the rider smiles and waves to the camera.</t>
  </si>
  <si>
    <t>v_xlOc6r6E08w</t>
  </si>
  <si>
    <t>A man is running down a pathway in the field in slow motion preparing to throw a javelin.</t>
  </si>
  <si>
    <t>As he comes closer,he begins to turn and run sideways and throws the javelin.</t>
  </si>
  <si>
    <t>Once it is released,he stumbles and has difficulty trying to catch his balance as the rest of the people surrounding him look to see his distance.</t>
  </si>
  <si>
    <t>v_eCzDH6PdtlE</t>
  </si>
  <si>
    <t>A gymnast performs on a pommel horse on front a crowd in the bleachers.</t>
  </si>
  <si>
    <t>Then, she flips backwards and lands stand on the foam mat.</t>
  </si>
  <si>
    <t>v_rQc7UhpiDU8</t>
  </si>
  <si>
    <t>A man is seen shooting a bow and arrow followed by another man taking a bow and aiming.</t>
  </si>
  <si>
    <t>Another man is seen kneeling down before bows and speaking to the camera.</t>
  </si>
  <si>
    <t>He points to various boxes and continues looking into the camera and speaking.</t>
  </si>
  <si>
    <t>v_wDlbcTFI90o</t>
  </si>
  <si>
    <t>The video is a tutorial about installing deck tiles.</t>
  </si>
  <si>
    <t>There's a contractor working on a deck.</t>
  </si>
  <si>
    <t>He begins installing the interlocking wooden tiles on a concrete deck surface.</t>
  </si>
  <si>
    <t>He covers the entire deck with the wooden tiles to evenly cover the surface area.</t>
  </si>
  <si>
    <t>v_HbXNXmCRFh4</t>
  </si>
  <si>
    <t>An older man is in a pool and he's holding a yellow ball in front of his face.</t>
  </si>
  <si>
    <t>The man throws it to a dog who is balancing on a blue floating device and the dog hits it back to the man using his nose.</t>
  </si>
  <si>
    <t>The man throws it back to the dog and the dog hits it back and then he slips off the floating device and splashes into the water.</t>
  </si>
  <si>
    <t>v_QbhMOqg9Tmg</t>
  </si>
  <si>
    <t>women are insisde a bathtub shving her legs with ceam and water.</t>
  </si>
  <si>
    <t>women are laughing in front of a mirror.</t>
  </si>
  <si>
    <t>v_T3rh5gQVFKA</t>
  </si>
  <si>
    <t>We see a wolf fall in the title screen.</t>
  </si>
  <si>
    <t>We see the landscape of a small town.</t>
  </si>
  <si>
    <t>A boy rides down a street on a skateboard.</t>
  </si>
  <si>
    <t>Four boys on skateboards ride past.</t>
  </si>
  <si>
    <t>We see a boy almost fall two times.</t>
  </si>
  <si>
    <t>We See the board on the curb.</t>
  </si>
  <si>
    <t>A group of boys walking up a hill.</t>
  </si>
  <si>
    <t>The end credits play and we see a boy on a bus.</t>
  </si>
  <si>
    <t>v_n9MONPwq7x0</t>
  </si>
  <si>
    <t>A man dressed in a black sweatshirt and black shorts, along with another person dressed in white athletic wear are standing in a tennis court near the net.</t>
  </si>
  <si>
    <t>They are both holding tennis rackets.</t>
  </si>
  <si>
    <t>The person in black is giving a tutorial on how to return a serve in tennis.</t>
  </si>
  <si>
    <t>There is a player demonstrating the serve as the coach explains.</t>
  </si>
  <si>
    <t>Then the person in white begins taking about more about the tennis serve and how to play effectively.</t>
  </si>
  <si>
    <t>The player continues to demonstrate the serves.</t>
  </si>
  <si>
    <t>v_SsAmEJvdpyU</t>
  </si>
  <si>
    <t>People are doing tricks on roller blades.</t>
  </si>
  <si>
    <t>A man jumps down a flight of stairs on roller blades.</t>
  </si>
  <si>
    <t>A man in a white shirt jumps down a flight of stairs.</t>
  </si>
  <si>
    <t>v_smGijLg8Cho</t>
  </si>
  <si>
    <t>Three men are set up to play darts.</t>
  </si>
  <si>
    <t>The man in the peach shirts throws a dart at the dart board.</t>
  </si>
  <si>
    <t>A man in blue hits a cue ball.</t>
  </si>
  <si>
    <t>The man in peach lines back up and shoots three darts at the dart board and removes them.</t>
  </si>
  <si>
    <t>He lines back up in front of the board and throws one more dart.</t>
  </si>
  <si>
    <t>More people gather around as two men remove the darts from the dartboards and walk back a distance.</t>
  </si>
  <si>
    <t>Both men throw a dart at the dartboard.</t>
  </si>
  <si>
    <t>The man in peach walks to remove the darts.</t>
  </si>
  <si>
    <t>A woman stands by the dart board and smiles.</t>
  </si>
  <si>
    <t>The man in peach throws three darts at the board again and smiles as he removes them.</t>
  </si>
  <si>
    <t>v_eqWQOAjF4-k</t>
  </si>
  <si>
    <t>We see a little boy standing on a platform on a jungle gym.</t>
  </si>
  <si>
    <t>The boy climbs across on the monkey bars.</t>
  </si>
  <si>
    <t>The boy reaches the other platform and turns and smiles for the camera.</t>
  </si>
  <si>
    <t>v_xlCOq0ryx-Y</t>
  </si>
  <si>
    <t>Two men sit in a room smoking cigarettes one playing guitar the other on keyboard.</t>
  </si>
  <si>
    <t>The man on guitar on the right takes his cigarette out of his mouth and puts it down.</t>
  </si>
  <si>
    <t>The man on the left takes his cigarette out and wipes mouth on his arm.</t>
  </si>
  <si>
    <t>They finish and the man on the left wipes his mouth and the right takes his cigarette out and blows smoke.</t>
  </si>
  <si>
    <t>v_XbSQ_7vh7yc</t>
  </si>
  <si>
    <t>An older woman and young child are seen washing dishes in a sink and speaking to one another.</t>
  </si>
  <si>
    <t>The people play in the water and the girl blows bubbles while the woman washes dishes.</t>
  </si>
  <si>
    <t>v_548xC74c6MQ</t>
  </si>
  <si>
    <t>A colorful hexagonal shaped kite is flying high in the air.</t>
  </si>
  <si>
    <t>The clear blue skies and the bright sun shinning make the kite look very colorful and radiant.</t>
  </si>
  <si>
    <t>v_0WVkoTBmhA0</t>
  </si>
  <si>
    <t>A cartoon animation video is shown with people wandering around and rockets being shot.</t>
  </si>
  <si>
    <t>Two men fight robots of evil and ends with a to be continued.</t>
  </si>
  <si>
    <t>v_xmb7j1e0wts</t>
  </si>
  <si>
    <t>A woman is seen speaking to the camera and leads into her laying out various food items and mixing ingredients into a blender.</t>
  </si>
  <si>
    <t>She pours more out more flours into the mixer and shows several shots of cookies being made.</t>
  </si>
  <si>
    <t>She lays out more ingredients, pours of spoonfuls of dough onto a pan, and then breaks apart a cooked cookie.</t>
  </si>
  <si>
    <t>v_ouEWLFNLLos</t>
  </si>
  <si>
    <t>An elderly man is walking and a large white bird is biting at his right foot.</t>
  </si>
  <si>
    <t>The man turns around and points and scolds the bird and continues to walk.</t>
  </si>
  <si>
    <t>The man then bends down near some stairs, wipes the outside of the building and the bird continues to attack the man.</t>
  </si>
  <si>
    <t>The man scolds the bird again and motions to the small dog that's also there that the dog and bird should interact but the bird keeps messing with the man and the dog stays out of it.</t>
  </si>
  <si>
    <t>v_FRX4LTw9650</t>
  </si>
  <si>
    <t>Various women are seen looking at the camera followed by a man speaking to the camera.</t>
  </si>
  <si>
    <t>Several tools are shown that lea into one woman brushing out her hair.</t>
  </si>
  <si>
    <t>Another woman brushes her hair and leads into more clips of women smiling and looking to the camera.</t>
  </si>
  <si>
    <t>v_4llkVfMzsN4</t>
  </si>
  <si>
    <t>Two people are playing wall ball in a room.</t>
  </si>
  <si>
    <t>A boy falls down diving for the ball.</t>
  </si>
  <si>
    <t>A person walks in front of the room.</t>
  </si>
  <si>
    <t>v_lMbDEY-CVwE</t>
  </si>
  <si>
    <t>A man is indoors, as he picks a frisbee off the ground.</t>
  </si>
  <si>
    <t>He then uses several frisbees to train and display the stunts of a medium sized collie dog.</t>
  </si>
  <si>
    <t>The dog runs off screen and brings back the frisbees.</t>
  </si>
  <si>
    <t>The scene ends with the dog trying desperately to remove a frisbee from the seated man's hand.</t>
  </si>
  <si>
    <t>v_6iBXtHrJ4gc</t>
  </si>
  <si>
    <t>An older man is seen walking towards the camera and points to various plants around him.</t>
  </si>
  <si>
    <t>The camera pans around the area with all the plants growing and shows the man holding a tool.</t>
  </si>
  <si>
    <t>The man then uses the tool along a hedge of bushes while looking back and smiling to the camera.</t>
  </si>
  <si>
    <t>v_ajYA9O6R-AY</t>
  </si>
  <si>
    <t>A young girl is seen speaking to the camera standing before a game of hop scotch drawn out.</t>
  </si>
  <si>
    <t>The girl then throws a rock and hops to end while grabbing it and hopping back.</t>
  </si>
  <si>
    <t>v_qVy_WDpLHRM</t>
  </si>
  <si>
    <t>A woman is standing behind a vacuum.</t>
  </si>
  <si>
    <t>She begins vacuuming the carpet.</t>
  </si>
  <si>
    <t>She takes off the hose attachment and cleans a lamp and the stairs.</t>
  </si>
  <si>
    <t>She empties the filter of the vacuum into the trash can.</t>
  </si>
  <si>
    <t>v_WKLLTGbDI7w</t>
  </si>
  <si>
    <t>The recipe for making limeade is shown.</t>
  </si>
  <si>
    <t>Limes are juiced and then combined with water and sugar.</t>
  </si>
  <si>
    <t>The whole thing is stirred.</t>
  </si>
  <si>
    <t>v_IkjulgI7gzg</t>
  </si>
  <si>
    <t>There are two body builders dressed in a black shirts demonstrating weightlifting in a gym.</t>
  </si>
  <si>
    <t>One of the bodybuilders is lifting the weights while the other is explaining the correct method of doing it.</t>
  </si>
  <si>
    <t>He bodybuilder lifts the weight gradually at first and then swiftly picks himself up to raise the weights.</t>
  </si>
  <si>
    <t>The other bodybuilder continues to explain the weightlifting strategies that is used professionally.</t>
  </si>
  <si>
    <t>v_5Eb_NVjFah0</t>
  </si>
  <si>
    <t>We see a title screen slide down the screen .</t>
  </si>
  <si>
    <t>We then watch an older boy and a boy bowl in a bowling alley.</t>
  </si>
  <si>
    <t>A small boy in an orange shirt rolls the ball down the aisle.</t>
  </si>
  <si>
    <t>We watch an older boy in a green shirt roll the ball 5 times and get 4 strikes.</t>
  </si>
  <si>
    <t>We see a title screen and a slow motion of one of the shots of the older boy.</t>
  </si>
  <si>
    <t>v_WttP_X-aCEA</t>
  </si>
  <si>
    <t>A man is shown outside in a kid park with grey shorts on a a pair of black and white Puma sneakers.</t>
  </si>
  <si>
    <t>He then pulls him self up on top of the monkey bars and stands on top of them and goes into a hand stand.</t>
  </si>
  <si>
    <t>Once he has got his balance,he travels across is and jumps off one he has gotten to the end.</t>
  </si>
  <si>
    <t>v_RJpWgi0EaUE</t>
  </si>
  <si>
    <t>Three individuals sit on stage and have a conversation.</t>
  </si>
  <si>
    <t>Two boys dance in the same fashion.</t>
  </si>
  <si>
    <t>An image of a man is incorporated into the screen with the dancers.</t>
  </si>
  <si>
    <t>The man cover his face with his hand.</t>
  </si>
  <si>
    <t>The man and woman gesture the dancers hand movements.</t>
  </si>
  <si>
    <t>This man gets off his seat and knees.</t>
  </si>
  <si>
    <t>The man gets of his knees and sits back down.</t>
  </si>
  <si>
    <t>The man and female touch hands while sitting.</t>
  </si>
  <si>
    <t>The man claps his hands together.</t>
  </si>
  <si>
    <t>The man waves at a man backstage to join them.</t>
  </si>
  <si>
    <t>A standing man who is backstage claps.</t>
  </si>
  <si>
    <t>The two boy dancers are shown extending one hand.</t>
  </si>
  <si>
    <t>A man walks from backstage.</t>
  </si>
  <si>
    <t>The man shake hands and hugs one of the man on stage.</t>
  </si>
  <si>
    <t>The female stands and also hugs the man.</t>
  </si>
  <si>
    <t>A man stand and then sits.</t>
  </si>
  <si>
    <t>The man in a black suit dances and then sits.</t>
  </si>
  <si>
    <t>The man in a brown suit returns to the backstage area.</t>
  </si>
  <si>
    <t>The man is shown while backstage.</t>
  </si>
  <si>
    <t>The show's name is shown.</t>
  </si>
  <si>
    <t>v_knY08LrNyHg</t>
  </si>
  <si>
    <t>Several shots are shown of people pushing sail boats into the water as well as riding them around one another.</t>
  </si>
  <si>
    <t>People are seen riding around on jet skis following the boat as well as close ups of the boats being shown as well as underwater.</t>
  </si>
  <si>
    <t>More people are seen riding on smaller boats and end by dragging a boat back to shore.</t>
  </si>
  <si>
    <t>v_5QZpCDyXNx4</t>
  </si>
  <si>
    <t>Kids are riding bicycles around a dirt track.</t>
  </si>
  <si>
    <t>One of them tips over and falls.</t>
  </si>
  <si>
    <t>They continue to go around the track.</t>
  </si>
  <si>
    <t>Another person crashes and falls.</t>
  </si>
  <si>
    <t>v_RcDEaYPwI6I</t>
  </si>
  <si>
    <t>A group of dancers in red outfits dance on stage.</t>
  </si>
  <si>
    <t>A group of cheerleaders in pink stand on a field while a group in white walk up to great the coach.</t>
  </si>
  <si>
    <t>A solo woman in a red blouse discusses the events in a room with lit up letters in the background.</t>
  </si>
  <si>
    <t>Both teams of women line up on the field together.</t>
  </si>
  <si>
    <t>Both groups of women dance together in unison with the coach leading in front.</t>
  </si>
  <si>
    <t>The women in pink uniforms dance on the field.</t>
  </si>
  <si>
    <t>The women in white uniforms dance on the field.</t>
  </si>
  <si>
    <t>v_Uot4XZns2b4</t>
  </si>
  <si>
    <t>We see a man prying shingles up around a pipe.</t>
  </si>
  <si>
    <t>The man then pushes the pipe down and nails it.</t>
  </si>
  <si>
    <t>The man add tar to the pipe base and nails shingles down around it.</t>
  </si>
  <si>
    <t>The man then puts tar under the top shingle.</t>
  </si>
  <si>
    <t>We see the house and a truck parked in the driveway.</t>
  </si>
  <si>
    <t>v_5aTek77vxBA</t>
  </si>
  <si>
    <t>A woman kneels outdoors on a concrete ground and rinses clothes out and washes them using a metal bucket for the rinsing and the ground as a washboard for the clothes.</t>
  </si>
  <si>
    <t>A little girl walks up to the woman and pours more water in the woman’s metal bucket then walks away to stand next to a well where another woman is kneeling and washing clothes in the same way.</t>
  </si>
  <si>
    <t>The first woman is shown again this time washing a large white sheet against the ground using the metal bucket again for the water supply.</t>
  </si>
  <si>
    <t>v_v7o9uSu9AVI</t>
  </si>
  <si>
    <t>A strong man is lifting his legs up and down across parallel bars.</t>
  </si>
  <si>
    <t>He begins to do shrugs on the bars.</t>
  </si>
  <si>
    <t>He starts to walk his body across with his hands.</t>
  </si>
  <si>
    <t>He circles around on the edge of the bars with his arms.</t>
  </si>
  <si>
    <t>He swings his legs and leaps with his arms across the parallel bars.</t>
  </si>
  <si>
    <t>A man does dips on the parallel bars.</t>
  </si>
  <si>
    <t>Another man does dips down to his elbows on the parallel bars.</t>
  </si>
  <si>
    <t>He then starts to do dips down to his armpits on the parallel bars called Russian Dips, while keeping his legs in the air.</t>
  </si>
  <si>
    <t>A man does dips with his body in front of the bar and legs swoops underneath the bar.</t>
  </si>
  <si>
    <t>He then does pushups on the parallel bars, by going down, pushing forward, then up.</t>
  </si>
  <si>
    <t>He begins to do pushups, with his knees tucked, with the parallel bars.</t>
  </si>
  <si>
    <t>A different man does leg dips, swings his legs up and around each parallel bar and pushes forward across the parallel bars.</t>
  </si>
  <si>
    <t>When he reaches the end, he tucks in his knees and lifts his body up and perpendicular to the bars.</t>
  </si>
  <si>
    <t>He then does knee and leg raises.</t>
  </si>
  <si>
    <t>A different man keeps his legs straight out and moves them across each bar.</t>
  </si>
  <si>
    <t>A different man brings his legs straight up into a V-shape on the bars.</t>
  </si>
  <si>
    <t>He then rests his elbows on the bars and swings his body perpendicular to the bars then parallel to the bars.</t>
  </si>
  <si>
    <t>He begins to do shoulder stands on the bars.</t>
  </si>
  <si>
    <t>He switches to doing a head stand and holds.</t>
  </si>
  <si>
    <t>A different man starts to swing his body from under the bars and presses himself up and over the bars.</t>
  </si>
  <si>
    <t>v_DzdNjXensv0</t>
  </si>
  <si>
    <t>A group of people are gathered outdoors at a market.</t>
  </si>
  <si>
    <t>People walk by looking at all the wares.</t>
  </si>
  <si>
    <t>A dog appears, as people continue to bustle.</t>
  </si>
  <si>
    <t>v_3j52keiQuiw</t>
  </si>
  <si>
    <t>A gymnast mounts a low beam in front of a crowd.</t>
  </si>
  <si>
    <t>She does bends, handsprings, and forward and back flips on the beam.</t>
  </si>
  <si>
    <t>She dismounts proudly, lifting her arms into the air.</t>
  </si>
  <si>
    <t>v_2OEa00knM9E</t>
  </si>
  <si>
    <t>A man is seen sitting on a horse with a rope in his hands.</t>
  </si>
  <si>
    <t>He then rides in on a horse and ropes up a calf with the rope.</t>
  </si>
  <si>
    <t>Several people are shown riding in and roping up cattle while others watch on the side.</t>
  </si>
  <si>
    <t>v_6h-WE-0eBlA</t>
  </si>
  <si>
    <t>A man is leaning over a pool table, hitting the ball with his cue.</t>
  </si>
  <si>
    <t>A woman in a pink bikini spins her cue as she waits her turn.</t>
  </si>
  <si>
    <t>Then she takes a shot at the ball, knocking them into the holes.</t>
  </si>
  <si>
    <t>v_1RJgvoFfbkI</t>
  </si>
  <si>
    <t>Two men are in the middle of the court fighting one another.</t>
  </si>
  <si>
    <t>They are practicing their moves while others stand by and watch.</t>
  </si>
  <si>
    <t>It's like a culture practiced by many who actually enjoy it and think it is a fun sport.</t>
  </si>
  <si>
    <t>They take it very seriously, some fight and some enjoy watching.</t>
  </si>
  <si>
    <t>v_O2Vd29Slt7g</t>
  </si>
  <si>
    <t>A young man on the roof of a tall building, with the backdrop of a city skyline, performs a series of dance moves, gymnastics moves, tumbling moves and high kicks.</t>
  </si>
  <si>
    <t>The man begins with his back to the camera and stands facing the city skyline from the roof top.</t>
  </si>
  <si>
    <t>The man then begins a series of high kicks, handless back flips, and breakdance moves.</t>
  </si>
  <si>
    <t>The dance moves end with more high kicks, head stands and semi martial art moves, as the camera circles the man, as the man finishes, and walks, with back to camera, to the edge of the roof again.</t>
  </si>
  <si>
    <t>v_rb-PUa4uGLQ</t>
  </si>
  <si>
    <t>A person wearing a costume is seen sitting in the middle of the street playing an accordion.</t>
  </si>
  <si>
    <t>The person continues playing while the camera zooms in and several cars and people move behind him.</t>
  </si>
  <si>
    <t>v_hRIXXCe0Hi0</t>
  </si>
  <si>
    <t>We see a man talking to a camera.</t>
  </si>
  <si>
    <t>We see shots of men and a crowd of people.</t>
  </si>
  <si>
    <t>The men play rock paper scissors.</t>
  </si>
  <si>
    <t>A lady in the crowd jumps up and down.</t>
  </si>
  <si>
    <t>We see the man high five each other.</t>
  </si>
  <si>
    <t>We see a lady in front a person in costume.</t>
  </si>
  <si>
    <t>The man in red raises his hands in triumph.</t>
  </si>
  <si>
    <t>Ladies bring a big check to the man in red.</t>
  </si>
  <si>
    <t>v_poERMbR_nY4</t>
  </si>
  <si>
    <t>People slides on inflatable sleds down the hill.</t>
  </si>
  <si>
    <t>People take turns to sled down the hills.</t>
  </si>
  <si>
    <t>Then people get together to sled on group.</t>
  </si>
  <si>
    <t>Also, people sled on on a line down the hill.</t>
  </si>
  <si>
    <t>v_q0P0EvJOfRQ</t>
  </si>
  <si>
    <t>A woman is seen dancing in the street placing an instrument while others watch on the side.</t>
  </si>
  <si>
    <t>The woman continues to play the instrument while moving her leg up and down and the people clap for her on the side.</t>
  </si>
  <si>
    <t>v_iNMxIXAcHYU</t>
  </si>
  <si>
    <t>First the man puts pink lipstick on his lips and he says he's a joker.</t>
  </si>
  <si>
    <t>Then he puts it on the side of his lips and the people laugh.</t>
  </si>
  <si>
    <t>Next he puts 2 thick lines of it under his eyes and he says something, he also attempts to put it on his chin, but the video ends.</t>
  </si>
  <si>
    <t>v_zacXKdNZHrI</t>
  </si>
  <si>
    <t>A text intro leads into a boy sitting on a stool holding an accordion.</t>
  </si>
  <si>
    <t>The boy then begins playing the instrument while looking away from the camera.</t>
  </si>
  <si>
    <t>The boy continues to play while looking around the room and pulling the accordion around.</t>
  </si>
  <si>
    <t>v_Zg7J_rLXbuk</t>
  </si>
  <si>
    <t>A girl lifts her arm and prepares to mount the balance beam in an arena.</t>
  </si>
  <si>
    <t>The girl get on and performs a routine on the balance beam.</t>
  </si>
  <si>
    <t>The girl is laying on the beam and does a flip to the standing position.</t>
  </si>
  <si>
    <t>The girl flips across the beam.</t>
  </si>
  <si>
    <t>The girl runs flips and dismounts the beam.</t>
  </si>
  <si>
    <t>The crowd cheers and claps for the girl as she lifts her hands.</t>
  </si>
  <si>
    <t>v_4taBobzpYNU</t>
  </si>
  <si>
    <t>A woman is seen speaking to the camera holding a sharpening tool in her hands.</t>
  </si>
  <si>
    <t>She then demonstrates how to properly cut the knife and placing the object down while speaking.</t>
  </si>
  <si>
    <t>v_e0-lO2jb8vo</t>
  </si>
  <si>
    <t>A baton twirler is standing on the gym floor.</t>
  </si>
  <si>
    <t>She begins her routine.</t>
  </si>
  <si>
    <t>She tosses the baton in the air.</t>
  </si>
  <si>
    <t>She does flips and twists.</t>
  </si>
  <si>
    <t>She continues to twirl the baton and dance.</t>
  </si>
  <si>
    <t>She drops her baton and goes after it.</t>
  </si>
  <si>
    <t>She is twirling, dancing and flipping again.</t>
  </si>
  <si>
    <t>She drops the baton again.</t>
  </si>
  <si>
    <t>She now has two batons and is twirling and dancing and throwing them in the air.</t>
  </si>
  <si>
    <t>She dropped it a third time.</t>
  </si>
  <si>
    <t>She picked it up and added a third baton and finished her routine.</t>
  </si>
  <si>
    <t>v_z9MMLl1isUk</t>
  </si>
  <si>
    <t>old man is holding a green pole hitting a piñata in the middle of a room.</t>
  </si>
  <si>
    <t>little kids are dancin and jumpin behind the man.</t>
  </si>
  <si>
    <t>man givs the pole to a kid and other kids stands behind him.</t>
  </si>
  <si>
    <t>v_ynpvos7UFZo</t>
  </si>
  <si>
    <t>There are some people knitting with yarn and knitting needles at a cultural center.</t>
  </si>
  <si>
    <t>A rack of knitted hats and sweaters is stacked up against the wall.</t>
  </si>
  <si>
    <t>A finished gray sweater with black embroidery is shown.</t>
  </si>
  <si>
    <t>A women representing The Daily news channel is talking about the sweater and then she wears it.</t>
  </si>
  <si>
    <t>There are people sitting and knitting with yarn and needles.</t>
  </si>
  <si>
    <t>There's a man named John George talking about his knitting experience in the class.</t>
  </si>
  <si>
    <t>He along with his other fellow knitters demonstrates how they knit.</t>
  </si>
  <si>
    <t>Another person named Charles Henry is talking about his knitting experience at the cultural center.</t>
  </si>
  <si>
    <t>Several people are seen at the cultural center sitting together and knitting as one of the organizers talks.</t>
  </si>
  <si>
    <t>The news reporter wears the gray sweater and looks very happy in it.</t>
  </si>
  <si>
    <t>v_J4WbF-bJ1T8</t>
  </si>
  <si>
    <t>Two people are fencing in a polka dot walled room, while dressed in fencing gear and fencing masks including a fencing weapon.</t>
  </si>
  <si>
    <t>An animated graphic populates displaying the physique of the two fencers in a grid pattern with the two animated figures exhibiting some fence/weapon movement.</t>
  </si>
  <si>
    <t>A cut away appears of several people interviewing and talking to the camera in front of an extreme fencing sign along with still images of people preparing to fence.</t>
  </si>
  <si>
    <t>The two people dressed in fencing outfits begin to fence in a demonstration.</t>
  </si>
  <si>
    <t>v_sx4zAnVDV9Y</t>
  </si>
  <si>
    <t>A CBS NEWS anchor reports on a story.</t>
  </si>
  <si>
    <t>A marching band appears on a large field performing.</t>
  </si>
  <si>
    <t>A student of the marching band gives an interview along with the marching band instructor.</t>
  </si>
  <si>
    <t>The marching band practices their performance.</t>
  </si>
  <si>
    <t>v_XnrQRuchl7E</t>
  </si>
  <si>
    <t>This young woman is in the studio playing the piano.</t>
  </si>
  <si>
    <t>No one else is in there with her and she looks very serious about what she's doing.</t>
  </si>
  <si>
    <t>She is wearing a pink t-shirt and flower colored leggings, then at some point she stops.</t>
  </si>
  <si>
    <t>v_i0jy3fjw8xQ</t>
  </si>
  <si>
    <t>A group of people are standing on an outdoor bridge.</t>
  </si>
  <si>
    <t>They are putting equipment around each other's bodies to protect them.</t>
  </si>
  <si>
    <t>The person jumps off the side of the bridge on a bungee cord, swinging over the water below.</t>
  </si>
  <si>
    <t>v_VIQG4W0vYxw</t>
  </si>
  <si>
    <t>a lot of people are gathered in a square.</t>
  </si>
  <si>
    <t>people start to run in the street and by the bay.</t>
  </si>
  <si>
    <t>v_Scv939uhNCc</t>
  </si>
  <si>
    <t>A group of young men are sitting at a table with Rubik cubes in front of them.</t>
  </si>
  <si>
    <t>The two boys to the right have already started and the two boys on the left are at a delay.</t>
  </si>
  <si>
    <t>In eight seconds,the boy solves his cube and the boys behind them jump up and begins to congratulate him as the others continue to solve their.</t>
  </si>
  <si>
    <t>v_smfBAiFujmE</t>
  </si>
  <si>
    <t>A person is seen sitting in the water with a pair of skis attached to his feet.</t>
  </si>
  <si>
    <t>The man then gets up on the skis and rides along the water behind a boat.</t>
  </si>
  <si>
    <t>v_5eM2Hcvj6R8</t>
  </si>
  <si>
    <t>A view of a wide berth of trees in a forest is shown.</t>
  </si>
  <si>
    <t>A woman walks out holding a hula hoop.</t>
  </si>
  <si>
    <t>She begins using the hoop seductively while dancing.</t>
  </si>
  <si>
    <t>She spins, flips, and does cartwheels while using the hoop.</t>
  </si>
  <si>
    <t>She finishes her performance with a frozen, upward staring pose.</t>
  </si>
  <si>
    <t>v_pRGlbeqRfM0</t>
  </si>
  <si>
    <t>man weaing a green shirt is standing next to a little girl.</t>
  </si>
  <si>
    <t>girl wearing glasses is talking to the camera.</t>
  </si>
  <si>
    <t>the man and the girl are drinking from a white cup.</t>
  </si>
  <si>
    <t>the girl holds the drink in her mouth and spit it on the grass and the man do the same.</t>
  </si>
  <si>
    <t>v_tSk1GWyofaU</t>
  </si>
  <si>
    <t>A girl walks to the end of a diving board and lifts her hands.</t>
  </si>
  <si>
    <t>The girl jumps on the diving board to prepare herself.</t>
  </si>
  <si>
    <t>The girl then does a backwards flipping dive into the pool.</t>
  </si>
  <si>
    <t>v_j6Kf_y7k-yU</t>
  </si>
  <si>
    <t>People watch competitors get ready near a red stage.</t>
  </si>
  <si>
    <t>The competitors put their robots down in the circle as the judge instructs them.</t>
  </si>
  <si>
    <t>The judge signals the beginning of the competition.</t>
  </si>
  <si>
    <t>The robots begin to move, and one of the robots is pushed out of the circle.</t>
  </si>
  <si>
    <t>The competitors walk back up to the stage and replace their robots.</t>
  </si>
  <si>
    <t>The judge signals for the competition to begin again and everyone applauds when one of them wins.</t>
  </si>
  <si>
    <t>v_X2GUUIGudxs</t>
  </si>
  <si>
    <t>A man stands in a room wearing blue.</t>
  </si>
  <si>
    <t>He is applying a picture to the wall.</t>
  </si>
  <si>
    <t>He uses a tool to smooth it out.</t>
  </si>
  <si>
    <t>He cuts the paper at the bottom.</t>
  </si>
  <si>
    <t>v_ThWgMXhkS2E</t>
  </si>
  <si>
    <t>A man standing outside of a building window cleaning with a large squeegee.</t>
  </si>
  <si>
    <t>He goes over the door window and then uses another gadget after to wipe down the soap.</t>
  </si>
  <si>
    <t>He starts all the way at the top making sure to get in the corners of the window.</t>
  </si>
  <si>
    <t>The window looks very clean and nice once he is down doing all of that.</t>
  </si>
  <si>
    <t>v_IhuwmiSPx0w</t>
  </si>
  <si>
    <t>A group of cheerleaders perform on stage while people watch.</t>
  </si>
  <si>
    <t>Then, the cheerleaders make a tower and then jump, then they do cartwheels.</t>
  </si>
  <si>
    <t>Two cheerleaders get up in a tower and then flips and fall on the arms of people.</t>
  </si>
  <si>
    <t>The girls do again a tower and then spin and jump.</t>
  </si>
  <si>
    <t>The cheerleaders raise the girls up and then flip down, then they continue performing.</t>
  </si>
  <si>
    <t>v__dFzOHyZSNk</t>
  </si>
  <si>
    <t>Two men are long boarding down a hill.</t>
  </si>
  <si>
    <t>He stops and puts his foot down on the ground.</t>
  </si>
  <si>
    <t>He is standing on his board upside down.</t>
  </si>
  <si>
    <t>A man in a green shirt is sitting on the ground with his long board in front of him.</t>
  </si>
  <si>
    <t>v_uqd8A4iJ6Bo</t>
  </si>
  <si>
    <t>The person is shown mixing the ingredients.</t>
  </si>
  <si>
    <t>The person rolls the dough and cuts it into little pieces and flattens the tiny balls out using their hands.</t>
  </si>
  <si>
    <t>The person uses a fork to put lines in the dough.</t>
  </si>
  <si>
    <t>Then the person puts the cookies on a baking sheet in a pan and bakes them for 15 minutes.</t>
  </si>
  <si>
    <t>Then takes the cookies out when they're done.</t>
  </si>
  <si>
    <t>v_rLlm6h0Nfvo</t>
  </si>
  <si>
    <t>A person flips and throw to the air a hula ring, then the woman pass the hula ring through her body.</t>
  </si>
  <si>
    <t>After, the woman pass the hula ring around her waist fast.</t>
  </si>
  <si>
    <t>Then, the woman does an exercise with her feet and body.</t>
  </si>
  <si>
    <t>v_drMXYzlmJQU</t>
  </si>
  <si>
    <t>grandma is talking with a little blond child sitting in a coach while is knitting in a red thread in a liing room.</t>
  </si>
  <si>
    <t>child holds the thread and run in the room pulling it and the woman is talking to him, the child grabs the thread from the floor and run in the living room.</t>
  </si>
  <si>
    <t>v_MwkRK7A46P4</t>
  </si>
  <si>
    <t>Several news logos are shown and then a male reporter shows up talking behind his desk.</t>
  </si>
  <si>
    <t>The camera then flips to a woman and she begins doing interviews with men who were playing a game of soccer.</t>
  </si>
  <si>
    <t>Many quarters are being played and after the goals are made,the players start to jump on each other's back and jump for joy and show their happiness.</t>
  </si>
  <si>
    <t>v_VzR7cskYnng</t>
  </si>
  <si>
    <t>Two men perform kick box in a room while a man supervise the moves.</t>
  </si>
  <si>
    <t>A person leans on the wall behind the men.</t>
  </si>
  <si>
    <t>A little child pass on front the men.</t>
  </si>
  <si>
    <t>A woman walks and stand on front the men.</t>
  </si>
  <si>
    <t>v_1hTqfvjis9E</t>
  </si>
  <si>
    <t>A large man is standing on a circular dome in a field.</t>
  </si>
  <si>
    <t>He holds a steel ball on a rope as he talks.</t>
  </si>
  <si>
    <t>He then shows how to stand before swinging the ball around his head in circles.</t>
  </si>
  <si>
    <t>He lets go, and the ball flies far across the field as he walks away.</t>
  </si>
  <si>
    <t>v_Nn4sVR3__DQ</t>
  </si>
  <si>
    <t>A mom is sitting at the top of a slide with her little baby.</t>
  </si>
  <si>
    <t>She is contemplating going down for a while.</t>
  </si>
  <si>
    <t>She finally slides down it with baby.</t>
  </si>
  <si>
    <t>When they reach the bottom she lets him go and he starts to walk around.</t>
  </si>
  <si>
    <t>v_YXl4cEB7E3Y</t>
  </si>
  <si>
    <t>A boy is standing in the middle of a parking lot.</t>
  </si>
  <si>
    <t>He is wearing a hat with a feather in it and sunglasses.</t>
  </si>
  <si>
    <t>He is playing a bagpipe.</t>
  </si>
  <si>
    <t>v_E3KLk-55yC0</t>
  </si>
  <si>
    <t>A man is seen kicking a soccer ball on his feet and gradually passing it to a wall.</t>
  </si>
  <si>
    <t>The man continues kicking the ball off of his foot and against the wall while the camera captures him.</t>
  </si>
  <si>
    <t>v_g0jF_Gh8c8g</t>
  </si>
  <si>
    <t>men are standing on ice fishing in a large ice region.</t>
  </si>
  <si>
    <t>man grabbed a fish from the ice and lay on the floor.</t>
  </si>
  <si>
    <t>v_n0Th8ZqMeGk</t>
  </si>
  <si>
    <t>A man is on a snowboard on a snowy hill.</t>
  </si>
  <si>
    <t>He glides over the thickly packed snow.</t>
  </si>
  <si>
    <t>He goes through a marker, and jumps over obstacles.</t>
  </si>
  <si>
    <t>v_Wg0xG-eRTho</t>
  </si>
  <si>
    <t>A standing pair of legs appear and the words "Summer Leg Routine" are displayed on the screen.</t>
  </si>
  <si>
    <t>The legs are now bent with the knee up from the ground and the girl rubs the mango scrub all over her legs, then wipes the excess off with a towel.</t>
  </si>
  <si>
    <t>On the upper right hand of the screen a small video plays and shows a VEET product while the girl takes two VEET wax strips and puts them on her leg, then removes them in the order they were put on.</t>
  </si>
  <si>
    <t>The girl then takes another VEET product which turns out to be wiping strips and wipes her legs down, then takes a towel to her legs.</t>
  </si>
  <si>
    <t>After she's done wiping her legs she takes Nivea lotion and rubs them all over her legs, stands up and then shows her legs to the camera at various angles.</t>
  </si>
  <si>
    <t>v_pJEOK1DbTfU</t>
  </si>
  <si>
    <t>A gymnast is doing flips and handsprings on a high bar.</t>
  </si>
  <si>
    <t>She goes forward and backward several times.</t>
  </si>
  <si>
    <t>The screen stops as she goes to the top of the beam.</t>
  </si>
  <si>
    <t>v_ipYVfTYZze8</t>
  </si>
  <si>
    <t>A camera pans around a large snowy hill as well as people sitting on a ski lift and riding around a mountain.</t>
  </si>
  <si>
    <t>The people do flips and tricks as well as follow one another down a hill and catch each other skiing from several angles.</t>
  </si>
  <si>
    <t>v_BMa9v2uZBp8</t>
  </si>
  <si>
    <t>A man in a coat is pulling a board up a hill of snow.</t>
  </si>
  <si>
    <t>He starts snowboarding down the hill.</t>
  </si>
  <si>
    <t>The man lifts the goggles off of his face and smiles.</t>
  </si>
  <si>
    <t>People are snowboarding down a hill together.</t>
  </si>
  <si>
    <t>v_Ar3eaYtLlKI</t>
  </si>
  <si>
    <t>A man puts dog treats into another man's hand.</t>
  </si>
  <si>
    <t>The man is walking a dog down the sidewalk.</t>
  </si>
  <si>
    <t>Someone else is walking behind them.</t>
  </si>
  <si>
    <t>v_INmaUkmVK24</t>
  </si>
  <si>
    <t>A man is seen kneeling down with a razor and looking up towards the camera.</t>
  </si>
  <si>
    <t>The man shaves off part of his leg and holds up an object while walking away.</t>
  </si>
  <si>
    <t>v_E0DbrJVJUho</t>
  </si>
  <si>
    <t>A black screen with a white banner at the bottom has various information that include a website, state, phone number and logo.</t>
  </si>
  <si>
    <t>A white screen follows and it includes a logo, name of the products and indicates that this is an "INSTRUCTIONAL VIDEO".</t>
  </si>
  <si>
    <t>Another white screen appears and a content list appears and there 1-5.</t>
  </si>
  <si>
    <t>On the next white screen a cardboard box is shown and then it begins to show the many different contents that come in the box, along with the names of them next to it.</t>
  </si>
  <si>
    <t>A woman is now standing in a hallway as she puts together her cleaning tool by screwing the top portion onto her pole and applying a cloth to the end, then she straps her spray bottle onto her hip.</t>
  </si>
  <si>
    <t>The woman then begins to spray the cloth on the cleaning tool and starts cleaning various different areas in the office including windows, elevator doors, TVs and changing out the clothes in between to suit the surface she is working on.</t>
  </si>
  <si>
    <t>The woman is now seen at a double glass door as she's now holding a cloth in her hand to clean the doors and other surfaces.</t>
  </si>
  <si>
    <t>The woman is then shown putting the different clothes into the washer and then hanging her cleaning tool up on the wall.</t>
  </si>
  <si>
    <t>A black screen appears and it includes the same white banner as it did in the very beginning.</t>
  </si>
  <si>
    <t>v_bTC_MdhURLg</t>
  </si>
  <si>
    <t>A man is rubbing his hands in a frantic manner as he stands next to a female.</t>
  </si>
  <si>
    <t>The camera shifts and you can see he is in a casino playing a game of Black Jack.</t>
  </si>
  <si>
    <t>Once the dealer has flipped over all of the cards,the two are shown again talking and smiling.</t>
  </si>
  <si>
    <t>v_HoQQlRzybmA</t>
  </si>
  <si>
    <t>A large choppy waterfall is shown.</t>
  </si>
  <si>
    <t>A man is laying on a slack line over the water.</t>
  </si>
  <si>
    <t>A person is playing the guitar sitting on a rock.</t>
  </si>
  <si>
    <t>v_m4ef0fCA2WU</t>
  </si>
  <si>
    <t>Children of different ages are playing on a playground.</t>
  </si>
  <si>
    <t>A couple of women are in the playground area talking.</t>
  </si>
  <si>
    <t>A young woman holding a baby walks to a swing and puts the baby in the swing.</t>
  </si>
  <si>
    <t>She then walks in front of the baby and sits in the adult seat attached to the baby swing.</t>
  </si>
  <si>
    <t>Another woman walks past with a few kids.</t>
  </si>
  <si>
    <t>The woman on the swing swings the baby while talking to him and making faces at him.</t>
  </si>
  <si>
    <t>v_C_bwHYiX-Vw</t>
  </si>
  <si>
    <t>A man shows how to change a tube in a tire.</t>
  </si>
  <si>
    <t>He takes the old tube out, puts the new one in, then pumps it up.</t>
  </si>
  <si>
    <t>v_mrT7FqQ0lCs</t>
  </si>
  <si>
    <t>Several shots of text are shown followed by a person walking into frame.</t>
  </si>
  <si>
    <t>The person then walks in and out of frame performing various dance moves on the ground.</t>
  </si>
  <si>
    <t>The person continues moving around on the ground and demonstrating how to perform moves.</t>
  </si>
  <si>
    <t>v_Vbkq1ldn3A8</t>
  </si>
  <si>
    <t>People are seen sitting at a table while a man stands beside them and taking a puff from a hookah.</t>
  </si>
  <si>
    <t>He hands the hose to a girl sitting who takes a few rips and the man is shown speaking to the camera.</t>
  </si>
  <si>
    <t>the girls hands the hose to other one sitting while she takes a few hits and passes it back to the other person.</t>
  </si>
  <si>
    <t>v_UAAk2SxqSvs</t>
  </si>
  <si>
    <t>Two boys skateboard through the streets at different times wearing helmets.</t>
  </si>
  <si>
    <t>A skateboarder in a blue t-shirt and black helmet skateboards through streets bordering countrysides and residential neighborhoods.</t>
  </si>
  <si>
    <t>A skateboarder wearing all black falls off of the skateboard onto the paved street, gets up and walks off.</t>
  </si>
  <si>
    <t>v_XbvlEwmvLko</t>
  </si>
  <si>
    <t>A man is seen with a rope in his mouth and rides in on a horse immediately roping a calf.</t>
  </si>
  <si>
    <t>He throws the calf down and ties him up, followed by several other men performing the same trick at different speeds.</t>
  </si>
  <si>
    <t>v_kzBTJEMgoj0</t>
  </si>
  <si>
    <t>A woman cleans a cafeteria floor with a mop while occasionally talking to the camera.</t>
  </si>
  <si>
    <t>The woman walks to and cleans a different part of the cafeteria floor.</t>
  </si>
  <si>
    <t>The woman plunges the mop head into a bucket.</t>
  </si>
  <si>
    <t>A number of people walk by in the background.</t>
  </si>
  <si>
    <t>v_vrWcBuRPDBw</t>
  </si>
  <si>
    <t>A man is standing next a brown horse.</t>
  </si>
  <si>
    <t>The horses are getting a drink of water.</t>
  </si>
  <si>
    <t>They continue walking along the trail on the horses.</t>
  </si>
  <si>
    <t>A picture of a brown house is shown.</t>
  </si>
  <si>
    <t>v__ENXbB6aaa4</t>
  </si>
  <si>
    <t>An intro begins for DX sports and shows two men skating down a road.</t>
  </si>
  <si>
    <t>The continue riding down the road while the camera follows them close behind down the winding road.</t>
  </si>
  <si>
    <t>The men eventually get to a car and their ride down the long road.</t>
  </si>
  <si>
    <t>v_3mymOHc5-Gs</t>
  </si>
  <si>
    <t>A man shows a boot and shining tools.</t>
  </si>
  <si>
    <t>Then, the man cleans the shoe with a cloth.</t>
  </si>
  <si>
    <t>After, the man points the tip of the shoe and applies black paint and shows insoles .</t>
  </si>
  <si>
    <t>Then, the man polish the shoes using a cream, after spray the shoes.</t>
  </si>
  <si>
    <t>v_fGA7nlbGmHU</t>
  </si>
  <si>
    <t>A kid is sitting behind a drum set.</t>
  </si>
  <si>
    <t>He starts playing the drums in front of him.</t>
  </si>
  <si>
    <t>He stands up and waves at the crowd.</t>
  </si>
  <si>
    <t>v_jfIcmcE320Q</t>
  </si>
  <si>
    <t>man is playing with a ball making balance with a lacrosse pole.</t>
  </si>
  <si>
    <t>little kid grab the ball from the floor with the pole.</t>
  </si>
  <si>
    <t>kid is playing with a ball in a green grassy field.</t>
  </si>
  <si>
    <t>v__Mz7KEe_mz0</t>
  </si>
  <si>
    <t>A forested area is seen and young men walk up the street.</t>
  </si>
  <si>
    <t>Groups of skateboarders race each other down a forested road and are pulled by trolley cars back to the top.</t>
  </si>
  <si>
    <t>Skateboarders ride down a forested street one after the other doing skids and hard turns as friends watch along the side.</t>
  </si>
  <si>
    <t>v_GQ1eaxmDlzQ</t>
  </si>
  <si>
    <t>A large group of people are seen sitting around a stage and leads into a man and woman hosting.</t>
  </si>
  <si>
    <t>The hosts lead into a large group of people on the stage performing a dance routine with one another.</t>
  </si>
  <si>
    <t>The people continue dancing around one another and end with the judges clapping and the host leading them off.</t>
  </si>
  <si>
    <t>v_zWA4Fb4fVmE</t>
  </si>
  <si>
    <t>little kid is playing saxophone in front of a wall.</t>
  </si>
  <si>
    <t>people are passing in front of the kid.</t>
  </si>
  <si>
    <t>old man kneels and put some coins in he hat of the kid.</t>
  </si>
  <si>
    <t>v_U9Ofeof4rlA</t>
  </si>
  <si>
    <t>An athletic man is seen standing in a circle with his arms out to the side.</t>
  </si>
  <si>
    <t>The man then begins swinging around an object around and around.</t>
  </si>
  <si>
    <t>The man continues to spin and ends by throwing it off into the distance.</t>
  </si>
  <si>
    <t>v_IJV7CwRhFvw</t>
  </si>
  <si>
    <t>There are three people playing racquetball on the enclosed court and the view is from the person wearing the camera.</t>
  </si>
  <si>
    <t>The camera person picks the ball up with racquet balances it on the racquet, rolls it off and then hits to the wall.</t>
  </si>
  <si>
    <t>The view changes to the door and there are two men standing at the door waiting to hit the ball.</t>
  </si>
  <si>
    <t>v_TVbPV7X49tw</t>
  </si>
  <si>
    <t>We see flashing images of motorcycle riding.</t>
  </si>
  <si>
    <t>We see a man talk standing high above a city.</t>
  </si>
  <si>
    <t>We then see motorcycle stunts.</t>
  </si>
  <si>
    <t>A bike jumps a group of people in a plaza.</t>
  </si>
  <si>
    <t>We see four bikes jump a ramp one after another.</t>
  </si>
  <si>
    <t>We see a man in red talking.</t>
  </si>
  <si>
    <t>A man jumps off his bike.</t>
  </si>
  <si>
    <t>A man kisses a woman on his bike.</t>
  </si>
  <si>
    <t>We see boy is talking.</t>
  </si>
  <si>
    <t>A bike is kicking up smoke.</t>
  </si>
  <si>
    <t>A man puts his arm in the air.</t>
  </si>
  <si>
    <t>We see a bike smash a bottle stop.</t>
  </si>
  <si>
    <t>v_1VAugQRO05g</t>
  </si>
  <si>
    <t>A black and white video is shown of a young marching band walking down the street in a parade.</t>
  </si>
  <si>
    <t>Several people in the band walk by then a close up of a boy playing the trumpet is shown and he is highlighted.</t>
  </si>
  <si>
    <t>The video continues and the majorette girls begin dancing.</t>
  </si>
  <si>
    <t>Now they are at a stand still and playing without marching as the little kids begin to watch them.</t>
  </si>
  <si>
    <t>v_x0tjkH_zfXA</t>
  </si>
  <si>
    <t>Two boys are raking leaves in a yard using large green and red rakes.</t>
  </si>
  <si>
    <t>A dog continuously runs through the leaves, messing them up.</t>
  </si>
  <si>
    <t>The boys laugh and keep trying to rake the leaves.</t>
  </si>
  <si>
    <t>v_KlxUgvLHP7M</t>
  </si>
  <si>
    <t>A large stage is seen that transitions to various angles of people performing jump roping tricks on a stage in slow motion.</t>
  </si>
  <si>
    <t>More shots are shown of various people performing incredible jump roping skills and ends with one group holding their arms up.</t>
  </si>
  <si>
    <t>v_AA1wvSZ4Mno</t>
  </si>
  <si>
    <t>A camera pans all around a yard and shows two dogs on leashes.</t>
  </si>
  <si>
    <t>The dogs move with the person as cars move in and out of frame.</t>
  </si>
  <si>
    <t>The camera pans around the sky in the end.</t>
  </si>
  <si>
    <t>v_P-6ITEpg0mw</t>
  </si>
  <si>
    <t>1 The opening of the video.</t>
  </si>
  <si>
    <t>2 a girl does a lot of flips on the bars.</t>
  </si>
  <si>
    <t>v_WMx0-3GZGUI</t>
  </si>
  <si>
    <t>A little girl is in a kitchen talking.</t>
  </si>
  <si>
    <t>The girl mixes several things from small bowls in a bigger bowl.</t>
  </si>
  <si>
    <t>An adult helps the girl spray her baking pans.</t>
  </si>
  <si>
    <t>The girl puts her mixture into the pans and puts them in an easy bake oven.</t>
  </si>
  <si>
    <t>The girl then removes what she made from the oven.</t>
  </si>
  <si>
    <t>A younger boy watches while eating a cupcake.</t>
  </si>
  <si>
    <t>The young girls cuts the desert she made and eats it.</t>
  </si>
  <si>
    <t>v_cfKMu6aeMwU</t>
  </si>
  <si>
    <t>A man is seen speaking to the camera while a woman works out on a machine in front of him and adjusts the settings.</t>
  </si>
  <si>
    <t>The man continues moving on the machine showing off it's different settings while the man continues to speak to the camera.</t>
  </si>
  <si>
    <t>v_x1Mb7cN8WgU</t>
  </si>
  <si>
    <t>A person is hammering nails into a roof.</t>
  </si>
  <si>
    <t>She slide tiles onto the roof and nail them into place.</t>
  </si>
  <si>
    <t>v_LTmYxVYBa90</t>
  </si>
  <si>
    <t>A group of people are sitting on camels in the sand beside a hill.</t>
  </si>
  <si>
    <t>A man reaches for the chain on the camels mouth as the camel sits.</t>
  </si>
  <si>
    <t>The man in light blue assists the man in dark blue to untie.</t>
  </si>
  <si>
    <t>The second camel holding the next couple starts to sit on the ground.</t>
  </si>
  <si>
    <t>v_vB2qMaP_JaI</t>
  </si>
  <si>
    <t>A woman braids her hair slowly.</t>
  </si>
  <si>
    <t>She then ties the braids together and ties the end together.</t>
  </si>
  <si>
    <t>v_K68iNoSnZMg</t>
  </si>
  <si>
    <t>A woman and a boy peel potatoes on front a trash can.</t>
  </si>
  <si>
    <t>Then, the boy puts the potato and the peeler over the counter, but again he takes it.</t>
  </si>
  <si>
    <t>The woman finishes to cut the potato.</t>
  </si>
  <si>
    <t>v_sJFgo9H6zNo</t>
  </si>
  <si>
    <t>A little boy playing on a jungle gym.</t>
  </si>
  <si>
    <t>He is climbing up a set of stairs.</t>
  </si>
  <si>
    <t>Now is sliding fast down a slide.</t>
  </si>
  <si>
    <t>Another boy is shown playing in the grass.</t>
  </si>
  <si>
    <t>Now the first boy is being picked up by a woman.</t>
  </si>
  <si>
    <t>Now he is going to go down the slide once again.</t>
  </si>
  <si>
    <t>The boy likes playing with a large wheel on the playground.</t>
  </si>
  <si>
    <t>Once again he goes down the slide, but with dad right behind him.</t>
  </si>
  <si>
    <t>He goes down the slide a 4th time but with another little boy.</t>
  </si>
  <si>
    <t>He goes down the slide several more times.</t>
  </si>
  <si>
    <t>v_ciIaZrpHqgs</t>
  </si>
  <si>
    <t>A group of teams are shown doing various sports events involving snow.</t>
  </si>
  <si>
    <t>The camera then shows handicap individuals playing a game where they are sitting in a wheelchair pushing puck like objects with handles.</t>
  </si>
  <si>
    <t>A man is then shown and begins talking describing the game that is taking place.</t>
  </si>
  <si>
    <t>v_HwYZEZYgeBI</t>
  </si>
  <si>
    <t>An intro leads into several tools laid out on a table and a women walking in an removing a plant.</t>
  </si>
  <si>
    <t>The woman then pulls out a rag and wipes off the table.</t>
  </si>
  <si>
    <t>She tend holds the rag again, sprays down the table, and wipes down the table in a proper motion.</t>
  </si>
  <si>
    <t>She is then shown again dusting over various areas and places the plant back on the table and pushing the chairs in.</t>
  </si>
  <si>
    <t>v_ekn9AFX2XX8</t>
  </si>
  <si>
    <t>A woman sits by the beach applying sunscreen to the top of her back.</t>
  </si>
  <si>
    <t>An air balloon flies through the air.</t>
  </si>
  <si>
    <t>A dj is seen spinning a disc.</t>
  </si>
  <si>
    <t>A woman walks her suitcase.</t>
  </si>
  <si>
    <t>Some graphic cars crash into each other.</t>
  </si>
  <si>
    <t>High orange flames are seen.</t>
  </si>
  <si>
    <t>v_U7OZcgwLRcc</t>
  </si>
  <si>
    <t>Three different women are shown in succession.</t>
  </si>
  <si>
    <t>Each woman is seated, playing drums and cymbals.</t>
  </si>
  <si>
    <t>They are billed as the top three female drummers in the world as they play continuously.</t>
  </si>
  <si>
    <t>v_C3BBG_9Vo48</t>
  </si>
  <si>
    <t>This video shows how to make a microwaved cake using Ganache frosting.</t>
  </si>
  <si>
    <t>First the woman adds 1 cup of sugar to 1/4 cup of vegetable oil and she puts it in a mixing bowl.</t>
  </si>
  <si>
    <t>then she mixes the sugar until it dissolves and he adds 1 whole cup of milk along with two teaspoons of lemon juice.</t>
  </si>
  <si>
    <t>Next she adds 1 teaspoon of vanilla extract and she mixes everything up, then she adds 1 1/4 cups of all purpose flour along with 1/4 cup of unsweetened cocoa powder and salt.</t>
  </si>
  <si>
    <t>Then she adds baking powder and baking soda and she whisks it until smooth.</t>
  </si>
  <si>
    <t>Finally, she pours the mix into a microwavable safe dish and it's done.</t>
  </si>
  <si>
    <t>She then let's the cake stand for 15 minutes.</t>
  </si>
  <si>
    <t>v_xZEl3yh0Cos</t>
  </si>
  <si>
    <t>A man wearing sunglasses is talking to the camera.</t>
  </si>
  <si>
    <t>He displays how to cut the strings on the front of a bike, and remove part of the tire.</t>
  </si>
  <si>
    <t>He replaces the part, explaining how the process is done as he goes.</t>
  </si>
  <si>
    <t>He then speaks to the camera further.</t>
  </si>
  <si>
    <t>v_WzAGE-xKDpw</t>
  </si>
  <si>
    <t>A man sitting on an exercise equipment.</t>
  </si>
  <si>
    <t>He put his feet on a holder, and put the strap on.</t>
  </si>
  <si>
    <t>He pull the bar, at the same time pushed his legs.</t>
  </si>
  <si>
    <t>He repeat the process several times.</t>
  </si>
  <si>
    <t>v_6KXVjADefBY</t>
  </si>
  <si>
    <t>A person vacuum dirt from a couch with a hand vacuum with a brush nozzle.</t>
  </si>
  <si>
    <t>Then, the person vacuum the crevasses of the couch using a crevasse noodle Then, the person uses a handle held vacuum to clean the top of the couch and the floor.</t>
  </si>
  <si>
    <t>After, the woman shows the battery of the vacuum and then she keeps it.</t>
  </si>
  <si>
    <t>v_ILeNuidJc00</t>
  </si>
  <si>
    <t>There's an outdoor swimming pool with a very high diving board.</t>
  </si>
  <si>
    <t>There's a woman in a green swim suit who dives down into the pool.</t>
  </si>
  <si>
    <t>She is doing various diving moves such as backward, forward and pike.</t>
  </si>
  <si>
    <t>She also does the hand stand before diving swiftly into the pool.</t>
  </si>
  <si>
    <t>She repeats her steps and dives several times into the pool.</t>
  </si>
  <si>
    <t>v_wVCDyGGog4I</t>
  </si>
  <si>
    <t>A small group of people are seen standing ready in a park with their arms and legs by their sides.</t>
  </si>
  <si>
    <t>The group then begins moving around with fans in their hands moving their arms and legs.</t>
  </si>
  <si>
    <t>The group continues moving around together and ends with them standing together and looking off into the distance.</t>
  </si>
  <si>
    <t>v_eT9oCTQUMhA</t>
  </si>
  <si>
    <t>A diver stretches out on a high dive platform bending at the waist.</t>
  </si>
  <si>
    <t>The diver towels off then tosses down her towel and approaches the end of the diving board for a first attempt.</t>
  </si>
  <si>
    <t>The diver makes multiple dives doing flips in the air before landing in the water.</t>
  </si>
  <si>
    <t>v_T4g31MwZ2ds</t>
  </si>
  <si>
    <t>Broken glass sits on the ground.</t>
  </si>
  <si>
    <t>A young man stretches in front of it.</t>
  </si>
  <si>
    <t>He then does break dancing moves.</t>
  </si>
  <si>
    <t>He puts his legs behind his head.</t>
  </si>
  <si>
    <t>v_zMrUSfQ_mzo</t>
  </si>
  <si>
    <t>A boy is seated at a table in a crowded room.</t>
  </si>
  <si>
    <t>He has a rubik's cube, and tries to solve the puzzle.</t>
  </si>
  <si>
    <t>He times himself as he finishes the cube, tossing it down on the table.</t>
  </si>
  <si>
    <t>v_KA6YYIl2z4E</t>
  </si>
  <si>
    <t>The video begins with various words and instructions on how to insert &amp; remove Halloween contact lenses.</t>
  </si>
  <si>
    <t>A contact lens container is then filled with contact solution and the contacts into both sides of the container.</t>
  </si>
  <si>
    <t>The woman then puts her thumb and finger into the left side and pulls out a white contact lens and inserts it into her right eye and blinks a few times as the words "featuring White Out contact lens" on the bottom of the screen.</t>
  </si>
  <si>
    <t>The woman reaches into the right side of the contact lens container and pulls out the other contact lens and inserts it into her left eye and then blinks multiple times.</t>
  </si>
  <si>
    <t>The woman then reaches back into her left eye first, then into her right to remove the contact lenses and a shot of them sitting in the contact lens container appears.</t>
  </si>
  <si>
    <t>Video ends with a screen telling you to subscribe to their YouTube channel for more helpful videos.</t>
  </si>
  <si>
    <t>v__8-4M5XVuwI</t>
  </si>
  <si>
    <t>A woman and man are raking leaves outside their home.</t>
  </si>
  <si>
    <t>They move the leaves into a firepit, burning them.</t>
  </si>
  <si>
    <t>v_jRnJRqvmZvk</t>
  </si>
  <si>
    <t>Boys arm wrestle in a match for a large crowd.</t>
  </si>
  <si>
    <t>The crowd congratulates the winner.</t>
  </si>
  <si>
    <t>The two boys shake hands after the match.</t>
  </si>
  <si>
    <t>v_Lme4KL45gwk</t>
  </si>
  <si>
    <t>A young boy is seen wearing a helmet, speaking to the camera, and holding up pads.</t>
  </si>
  <si>
    <t>The boy is then shown in various clips riding around on the board while also speaking to the camera.</t>
  </si>
  <si>
    <t>The boy demonstrates how to perform proper skating moves while bending down and grabbing his board.</t>
  </si>
  <si>
    <t>v_3zPoB-_JxEc</t>
  </si>
  <si>
    <t>A man talks on a telephone.</t>
  </si>
  <si>
    <t>The man puts a cigarette in his mouth.</t>
  </si>
  <si>
    <t>The man lights the cigarette.</t>
  </si>
  <si>
    <t>The man removes the cigarette from his mouth and holds it in his hand.</t>
  </si>
  <si>
    <t>v_K8W0PtyPlD4</t>
  </si>
  <si>
    <t>A group of adults plays a game of beach volleyball.</t>
  </si>
  <si>
    <t>Groups of children of kids play a game of beach volleyball.</t>
  </si>
  <si>
    <t>Rules are shown for the game.</t>
  </si>
  <si>
    <t>A group of girls play a volley ball game.</t>
  </si>
  <si>
    <t>A group of adults play a volleyball game on an overcast day.</t>
  </si>
  <si>
    <t>v_Le6fNx5IWRI</t>
  </si>
  <si>
    <t>A stadium is seen from above with a large audience.</t>
  </si>
  <si>
    <t>Gymnasts compete in an event and do stationary platform routine with hand grips.</t>
  </si>
  <si>
    <t>The medalists of the competition receive their awards and stand together waving.</t>
  </si>
  <si>
    <t>Athletes give interviews after the competition.</t>
  </si>
  <si>
    <t>v_I4B52tt3mNM</t>
  </si>
  <si>
    <t>woman is in front of a mirror make a yawn and drinks mouthwash and spit it in the handwash and smils at the camera.</t>
  </si>
  <si>
    <t>man stands in front of the mirror try to open the mouthwash bottle and drinks from it and is disgusted by it.</t>
  </si>
  <si>
    <t>v_ksyr3tHc0Vs</t>
  </si>
  <si>
    <t>Various text intro leads into a man holding a shot put and spinning himself around.</t>
  </si>
  <si>
    <t>The man throws the object off into the distance as the camera follows it's throw.</t>
  </si>
  <si>
    <t>v_SB08N4L6Ujw</t>
  </si>
  <si>
    <t>Several women are seen moving around a gym performing various exercises on a beam.</t>
  </si>
  <si>
    <t>The woman continue jumping up and down and leads into one moving a tire around as well as jumping up and down a punching a bag.</t>
  </si>
  <si>
    <t>The coach then speaks to the camera.</t>
  </si>
  <si>
    <t>v_D9eo9NfFhkg</t>
  </si>
  <si>
    <t>A bald man and a woman wearing handkerchief in her hair stand and wave next to a customized bus.</t>
  </si>
  <si>
    <t>The lady ads a scoop of ice cream to a sugar cone.</t>
  </si>
  <si>
    <t>The bald headed man places a menu on the side of the bus.</t>
  </si>
  <si>
    <t>The lady from the ice cream parlour bus hands an ice cream cone to a client.</t>
  </si>
  <si>
    <t>Multiple images and clips of many different people eating and showing their ice cream.</t>
  </si>
  <si>
    <t>The bald man and the lady inside of the ice cream parlour bus are shown working and picking up supplies as more images of patrons eat and show their ice cream treats.</t>
  </si>
  <si>
    <t>v_ttsZ4M-AKgY</t>
  </si>
  <si>
    <t>A group of bikers are going down a busy street filled with cars.</t>
  </si>
  <si>
    <t>They are seen with cameras mounted on skateboards before they start boarding in traffic.</t>
  </si>
  <si>
    <t>The man dismounts his board and takes off his helmet before running.</t>
  </si>
  <si>
    <t>v_JNr0oI927ng</t>
  </si>
  <si>
    <t>A woman is seen standing at the end of a diving board with her arms down and facing forward.</t>
  </si>
  <si>
    <t>The woman then begins jumping up and down on the board and diving back into the water.</t>
  </si>
  <si>
    <t>v_XeC4nqBB5BM</t>
  </si>
  <si>
    <t>A close up on the inside of a space ship is shown followed by a woman with crazy hair speaking into the microphone.</t>
  </si>
  <si>
    <t>She then plays a song on a flute with shots of another man in a different location playing a flute.</t>
  </si>
  <si>
    <t>The camera pans back and fourth between the two and ends with the man speaking to the camera, the woman waving back, and the man soluting.</t>
  </si>
  <si>
    <t>v_No2adeap68I</t>
  </si>
  <si>
    <t>A man is seen wiping down a door and then puts a large poster over the door.</t>
  </si>
  <si>
    <t>He puts the paper down and trims around the edges, ending with several pictures of posters shown and how to buy.</t>
  </si>
  <si>
    <t>v_KzK4sf7RmRM</t>
  </si>
  <si>
    <t>Bags of icing are sitting on a counter.</t>
  </si>
  <si>
    <t>Someone puts the icing in cake and muffin pans.</t>
  </si>
  <si>
    <t>They bake them in the oven.</t>
  </si>
  <si>
    <t>They put them on a plate and start to ice them.</t>
  </si>
  <si>
    <t>v_HDHS_7pOiDk</t>
  </si>
  <si>
    <t>A woman is shown outside high five two kids that are playing near her.</t>
  </si>
  <si>
    <t>The woman helps the girl down and jumps along the ground until she falls.</t>
  </si>
  <si>
    <t>v_UdBFm97tOJs</t>
  </si>
  <si>
    <t>A woman stares blankly at the camera.</t>
  </si>
  <si>
    <t>She takes a drink of tea.</t>
  </si>
  <si>
    <t>She repeats the same action exactly.</t>
  </si>
  <si>
    <t>She then takes another drink and makes a menacing face.</t>
  </si>
  <si>
    <t>v_F3tKnLz9YyE</t>
  </si>
  <si>
    <t>A boy and his dog are seen swimming under water in a large bowl.</t>
  </si>
  <si>
    <t>The two come above the surface and the dog runs around while the boy rubs his eyes.</t>
  </si>
  <si>
    <t>v_xijxN7XB4d8</t>
  </si>
  <si>
    <t>A man is standing in a bedroom practicing his violin.</t>
  </si>
  <si>
    <t>Another day passes by and it is now sunlight outside as the boy practices playing his instrument once more.</t>
  </si>
  <si>
    <t>The practicing continues on for several more days in the same room and finishes on until day 7.</t>
  </si>
  <si>
    <t>Finally,the man takes a set in the room and begins talking and demonstrating effective ways to hold the violin and play it efficiently.</t>
  </si>
  <si>
    <t>v_SOyOank50IY</t>
  </si>
  <si>
    <t>We see an opening screen on black.</t>
  </si>
  <si>
    <t>We see a man and woman washing dishes and talking.</t>
  </si>
  <si>
    <t>An image of a lady pops up on the screen.</t>
  </si>
  <si>
    <t>We see the ladies image again.</t>
  </si>
  <si>
    <t>The lady pops up in the subtitles.</t>
  </si>
  <si>
    <t>We see them from a darker, higher camera.</t>
  </si>
  <si>
    <t>We see them from the higher camera again.</t>
  </si>
  <si>
    <t>v_xH8l5rCWrMU</t>
  </si>
  <si>
    <t>woman is posing to the camera in a white game in a presentation.</t>
  </si>
  <si>
    <t>woman is standing in a kitchen talking to the camera and showing a plate of pasta and the ingedients.</t>
  </si>
  <si>
    <t>woman is chopping vegetables and saute vegetables in a pan.</t>
  </si>
  <si>
    <t>hen mix the vegetables with pasta.</t>
  </si>
  <si>
    <t>v_wz_kM0oBW5g</t>
  </si>
  <si>
    <t>We see a shuffle curling court.</t>
  </si>
  <si>
    <t>Arrows point to stones on the court.</t>
  </si>
  <si>
    <t>A lady walks off and returns.</t>
  </si>
  <si>
    <t>Arrows appear to point to the stones.</t>
  </si>
  <si>
    <t>We see two ladies, a different lady, then others.</t>
  </si>
  <si>
    <t>We see a team of player throw the stones.</t>
  </si>
  <si>
    <t>We see the crowd clap.</t>
  </si>
  <si>
    <t>We see the score appear on the screen.</t>
  </si>
  <si>
    <t>v_IRj0d3cLi6g</t>
  </si>
  <si>
    <t>A young child plays a bagpipe next to an adult bagpiper.</t>
  </si>
  <si>
    <t>The young bagpiper marches in place while playing his bagpipe while onlookers watch from behind.</t>
  </si>
  <si>
    <t>The adult bagpiper and the child stand next to each other while performing.</t>
  </si>
  <si>
    <t>The child finishes playing and walks forward to the camera.</t>
  </si>
  <si>
    <t>v_y80Jbcb5GWA</t>
  </si>
  <si>
    <t>A little boy is shown swinging on a swing on the public playground.</t>
  </si>
  <si>
    <t>He swings high into the air as someone pushes him.</t>
  </si>
  <si>
    <t>The boy smiles and talks to the person with the camera.</t>
  </si>
  <si>
    <t>v_7IW2BELXDHA</t>
  </si>
  <si>
    <t>Men are playing a sport n the sand.</t>
  </si>
  <si>
    <t>A man sits on the sand injured.</t>
  </si>
  <si>
    <t>v_nd5l829R8mw</t>
  </si>
  <si>
    <t>A marching band plays in the street.</t>
  </si>
  <si>
    <t>People walks behind the marching band.</t>
  </si>
  <si>
    <t>People pass on front a large window of a store.</t>
  </si>
  <si>
    <t>v_klqHoK_8ar8</t>
  </si>
  <si>
    <t>A man is painting the something on the floor green.</t>
  </si>
  <si>
    <t>She stroke up and down repeatedly trying to make sure he doesn't miss any spots in the area.</t>
  </si>
  <si>
    <t>He stands up a bit and looks at the piece for a little before dunking his brush back in the paint and starting again.</t>
  </si>
  <si>
    <t>He moves along to parts he hasn't yet gone over to paint.</t>
  </si>
  <si>
    <t>v_ewTlNriXY3c</t>
  </si>
  <si>
    <t>There is a competitive game of tug of war going on in an open field.</t>
  </si>
  <si>
    <t>Where a team wearing blue is competing against another team.</t>
  </si>
  <si>
    <t>The coach is giving directions to the team on how to pull the rope.</t>
  </si>
  <si>
    <t>He is encouraging them to not give and continue their efforts.</t>
  </si>
  <si>
    <t>There are spectators watching the event and cheering for the participants.</t>
  </si>
  <si>
    <t>There are few more rounds of tug of war played s the spectators watch and cheer for the players.</t>
  </si>
  <si>
    <t>The coach continues to encourage the players.</t>
  </si>
  <si>
    <t>After they win the tug of war, all the spectators run out and hug the players.</t>
  </si>
  <si>
    <t>A cameraman takes their pictures.</t>
  </si>
  <si>
    <t>The entire team poses for a team picture after their win.</t>
  </si>
  <si>
    <t>v__p0eoCHZ8BA</t>
  </si>
  <si>
    <t>A woman starts brushing a horse.</t>
  </si>
  <si>
    <t>She gets a pink brush and starts brushing the horse again.</t>
  </si>
  <si>
    <t>She gets a black brush and continues brushing the horse.</t>
  </si>
  <si>
    <t>She starts brushing the legs on the horse.</t>
  </si>
  <si>
    <t>She lifts up the horses foot and cleans the bottom of the foot.</t>
  </si>
  <si>
    <t>v_otGlbzsPIi0</t>
  </si>
  <si>
    <t>A man is seen speaking to the camera and leads into him holding a cooking pan out a hot stove.</t>
  </si>
  <si>
    <t>The man mixes ingredients together into a bowl and pours it into a pan while continuously stirring.</t>
  </si>
  <si>
    <t>He pours the food onto a plate and still holds the pan in his hand.</t>
  </si>
  <si>
    <t>v_HSEnmPWF5GY</t>
  </si>
  <si>
    <t>A montage of a priest is giving communion to people.</t>
  </si>
  <si>
    <t>Jesus and Mother Teresa are shown as a montage continues.</t>
  </si>
  <si>
    <t>v_DHfiz3MNbcc</t>
  </si>
  <si>
    <t>A young lady with burnette hair is standing behind a black counter in a bar with several alcohol on it.</t>
  </si>
  <si>
    <t>She then grabs a clear glass and puts ice in it.</t>
  </si>
  <si>
    <t>Next comes the liquor and she pours,orange juice and syrup in it and the drink is complete.</t>
  </si>
  <si>
    <t>v_FBL7iWMmTHU</t>
  </si>
  <si>
    <t>four men are standing on racquetball court.</t>
  </si>
  <si>
    <t>one man serves the ball.</t>
  </si>
  <si>
    <t>The men then begin to volley.</t>
  </si>
  <si>
    <t>One team scores a point.</t>
  </si>
  <si>
    <t>They all repeat the process.</t>
  </si>
  <si>
    <t>v_no9vPN7D-1s</t>
  </si>
  <si>
    <t>A person in an orange protective suit and a metal black mask solders something in an industrial setting.</t>
  </si>
  <si>
    <t>A person stands next to a black box in a metal helmet as fire sparks erupt from a wired box on the right.</t>
  </si>
  <si>
    <t>A large grey wheel spins behind the worker in the midst of the fire sparks and another worker walking by in a blue protective suit.</t>
  </si>
  <si>
    <t>v_Ch_qHjUtOpE</t>
  </si>
  <si>
    <t>Two women are standing on others' shoulders.</t>
  </si>
  <si>
    <t>They lift another woman into the air, balancing her between them before dropping her to be caught.</t>
  </si>
  <si>
    <t>However, the girls below are knocked to the ground.</t>
  </si>
  <si>
    <t>v_jIKAVLlyXIQ</t>
  </si>
  <si>
    <t>A man cuts into a piece of wood with an ax.</t>
  </si>
  <si>
    <t>Then, his action is replayed in slow motion.</t>
  </si>
  <si>
    <t>Next he takes a piece of the wood he cut an throws it into a pile.</t>
  </si>
  <si>
    <t>v_sDdgFSFaAdY</t>
  </si>
  <si>
    <t>An introduction comes onto the screen for a video about furniture repair.</t>
  </si>
  <si>
    <t>A woman is shown on the screen with gloves on and a cloth in her hand rubbing cream on a leather ottoman to repair the wear and tear.</t>
  </si>
  <si>
    <t>The video ends with the graphics for the closing credits at the end.</t>
  </si>
  <si>
    <t>v_jXORdfzz4oE</t>
  </si>
  <si>
    <t>man is standing in the court with a net behind he.</t>
  </si>
  <si>
    <t>men are playing volyball in a oofed court gym.</t>
  </si>
  <si>
    <t>v_lkSkFmHYdtI</t>
  </si>
  <si>
    <t>A young male athlete is standing in a field and turns backwards in a small circle.</t>
  </si>
  <si>
    <t>He then extends his arms and begins moving them back and forth.</t>
  </si>
  <si>
    <t>Once ready,he spins around and throws the discus out in the field,walks away and looks back at the distance.</t>
  </si>
  <si>
    <t>v_cvFFwMKFg7Q</t>
  </si>
  <si>
    <t>Two people are raking leaves in a park.</t>
  </si>
  <si>
    <t>The man in the rear turns his back to the camera.</t>
  </si>
  <si>
    <t>The lady on the left turns to the right.</t>
  </si>
  <si>
    <t>v_R6MnhM2omiE</t>
  </si>
  <si>
    <t>The man uses his match to set fire to the wooden logs.</t>
  </si>
  <si>
    <t>The fire is really small at first, but then it grows and gets bigger.</t>
  </si>
  <si>
    <t>After a while the video ends still showing the fire created by matches and tree branches.</t>
  </si>
  <si>
    <t>v_Y6UKk3t8Hj8</t>
  </si>
  <si>
    <t>The Livestrong website is showing a video on boxing.</t>
  </si>
  <si>
    <t>A woman boxer, Jolie Glassman is demonstrating how to properly punch and box the punching bag.</t>
  </si>
  <si>
    <t>She is in a gym demonstrating kicking and punching techniques.</t>
  </si>
  <si>
    <t>v_zrR9hGDeQhg</t>
  </si>
  <si>
    <t>A person is seen riding down a snowy hill close up as well as another person and child riding down the mountain.</t>
  </si>
  <si>
    <t>Several more clips are shown of people riding down the mountain from various angles with people yelling and cheering.</t>
  </si>
  <si>
    <t>v_QkqsI11OtC8</t>
  </si>
  <si>
    <t>We see a child playing hopscotch in a yard.</t>
  </si>
  <si>
    <t>An older girl the jumps.</t>
  </si>
  <si>
    <t>The first girl jumps back to the start location.</t>
  </si>
  <si>
    <t>The older girl then goes again.</t>
  </si>
  <si>
    <t>v_WnoJmKZC_qg</t>
  </si>
  <si>
    <t>A man demonstrates, through example how to play the recorder.</t>
  </si>
  <si>
    <t>A man stands in front of two windows covered in closed beige blinds, holding a wooden recorder instrument with both hands in front of him, while talking to the camera.</t>
  </si>
  <si>
    <t>The camera closes up on the body of the wooden recorder as the man begins to play lifting his fingers off of the various hole to make noise.</t>
  </si>
  <si>
    <t>The camera stays in a close up shot of just the man’s hands and the bottom of the recorder for the rest of the clip.</t>
  </si>
  <si>
    <t>v_qgQVbGtIn0M</t>
  </si>
  <si>
    <t>A group of rocks are shown washed up against the banks of a large blue river.</t>
  </si>
  <si>
    <t>The camera continues to span the river and a mountain range is shown.</t>
  </si>
  <si>
    <t>Another angle is shown and a small circle appears on the screen.</t>
  </si>
  <si>
    <t>Two hikers wearing backpacks are visible and show a rope.</t>
  </si>
  <si>
    <t>One man then gets in the water and tightens the ropes around a tree from one side of the water to another and sits on the rope.</t>
  </si>
  <si>
    <t>The man then stands up and attempts to tight rope across the water but falls into the water.</t>
  </si>
  <si>
    <t>v_U7SRRMoCGks</t>
  </si>
  <si>
    <t>A man is seen standing before an exercise beam and begins moving himself on the bars while others practice around him.</t>
  </si>
  <si>
    <t>The man continues to workout on the beam and pauses to speak to the camera while using his hands.</t>
  </si>
  <si>
    <t>v_brZ1m2qNUzc</t>
  </si>
  <si>
    <t>A person is seen wiping down a rag followed by several ingredients attached to her hip.</t>
  </si>
  <si>
    <t>She sprays down the rag and is then seen again washing various windows around an office.</t>
  </si>
  <si>
    <t>She wipes down door handles as well and then puts the rags into a washing machine, hanging up the pole in the end.</t>
  </si>
  <si>
    <t>v_z4B1JZQnHl4</t>
  </si>
  <si>
    <t>A group of skaters are going quickly around an outdoor track.</t>
  </si>
  <si>
    <t>A man who curls in a wheelchair speaks to the camera.</t>
  </si>
  <si>
    <t>A man is shown with a puck, performing.</t>
  </si>
  <si>
    <t>Several people alternate playing with talking to the camera.</t>
  </si>
  <si>
    <t>v_uc1RbyLfuSs</t>
  </si>
  <si>
    <t>A person is wind sailing through a body of water.</t>
  </si>
  <si>
    <t>The person passes someone swimming.</t>
  </si>
  <si>
    <t>The person turns on their board.</t>
  </si>
  <si>
    <t>v_xqYII12ta4E</t>
  </si>
  <si>
    <t>A group of cheerleaders are wearing dark red, white and black uniforms standing in formation getting ready to do their routine, and the words below on the screen say "Mill Creek HS Class AAAAA".</t>
  </si>
  <si>
    <t>The cheerleaders begin their routine and it includes a lot of jumping, cheering, flipping, either in sync or separetly, throwing and catching other cheerleaders, and many other moves.</t>
  </si>
  <si>
    <t>They end their routine, cheer themselves on and 2 women from the audience run up and hug some of the cheerleaders.</t>
  </si>
  <si>
    <t>v_HGK_K2XqhTA</t>
  </si>
  <si>
    <t>A teen shakes his hand on front a glass of water while a youth watch him.</t>
  </si>
  <si>
    <t>Then, the teen takes the glass shaking his hand and drinks the water while the laugh.</t>
  </si>
  <si>
    <t>After, the youth takes the glass, then holds a cup while the teen fold his right hand.</t>
  </si>
  <si>
    <t>Next, the teen takes a cup and pretend to drink while making gestures of pain.</t>
  </si>
  <si>
    <t>v_q7Ap96aMkZ8</t>
  </si>
  <si>
    <t>We see people jogging on a city street.</t>
  </si>
  <si>
    <t>We zoom in on a shirtless man juggling.</t>
  </si>
  <si>
    <t>We pan backwards towards the other runners.</t>
  </si>
  <si>
    <t>v_FwV1XbjLJHY</t>
  </si>
  <si>
    <t>A woman talks in a bar, then she puts ice in a stainless steel glass.</t>
  </si>
  <si>
    <t>Then the woman adds to the cup two measures of liquor, juice and sugar.</t>
  </si>
  <si>
    <t>After, the woman puts a cup on top and shake it, and serves in a cup with a slice of lemon.</t>
  </si>
  <si>
    <t>v_4CRacVTadPQ</t>
  </si>
  <si>
    <t>A woman in a yellow shirt is holding a bottle in her hand.</t>
  </si>
  <si>
    <t>She opens the bottle and pours it into a bucket on the ground.</t>
  </si>
  <si>
    <t>She puts a mop rag into the bucket and puts it on her mop.</t>
  </si>
  <si>
    <t>She then lifts the bucket out of the room.</t>
  </si>
  <si>
    <t>She starts mopping the tile on the floor.</t>
  </si>
  <si>
    <t>v_DU36SNYN-rw</t>
  </si>
  <si>
    <t>The tile screen plays with a picture of a long field.</t>
  </si>
  <si>
    <t>A man walks up with a disk and a dog hold onto it as he passes a few people.</t>
  </si>
  <si>
    <t>The man starts playing with the dog by throwing the think and having him bring it back.</t>
  </si>
  <si>
    <t>He then claps for the dog.</t>
  </si>
  <si>
    <t>The credits roll at the end.</t>
  </si>
  <si>
    <t>v_68m6uCPwwNo</t>
  </si>
  <si>
    <t>A red ball sits between two poles.</t>
  </si>
  <si>
    <t>A cricket bat begins swinging.</t>
  </si>
  <si>
    <t>Two shoes sit on either side.</t>
  </si>
  <si>
    <t>The bat strikes the ball.</t>
  </si>
  <si>
    <t>v_aWKZSqbOi2Q</t>
  </si>
  <si>
    <t>A large group of girls dressed in cheerleading outfits are standing in formation and at the same exact moment the girls do a flip in sync and they begin their very detailed routine that includes, jumps, flips, hand claps and etcetera.</t>
  </si>
  <si>
    <t>They break off into 5 different groups where all the girls huddle in each group and throw one girl in the air and hold her up, but suddenly the front group is unstable and the girl they are holding up drops, and the girls below all catch her and they just wait until the girls are done to resume their routine in sync.</t>
  </si>
  <si>
    <t>They are all standing still in formation when suddenly one of the girls pulls off her left shoe and throws it to the side and they all remain still for a few seconds.</t>
  </si>
  <si>
    <t>The girls resume their cheer and break up in 5 sections once again to hold a girl up in the air, but once again, the middle group loses the balance of the girl on top and they fail and she falls in their catch and they resume their routine that now include multiple flips from each girl until the finish.</t>
  </si>
  <si>
    <t>v_sz0GhFkkXYI</t>
  </si>
  <si>
    <t>A man leans forward as a baby in a swing tries to grab and chew on his hair.</t>
  </si>
  <si>
    <t>The baby laughs, swinging back and forth, then tries to grab the camera.</t>
  </si>
  <si>
    <t>v_xyZ87TEcDSI</t>
  </si>
  <si>
    <t>A few people go surfing on waves.</t>
  </si>
  <si>
    <t>They fall sometimes but are ok.</t>
  </si>
  <si>
    <t>v_KkBMOQOGTdk</t>
  </si>
  <si>
    <t>Band members in full dress stand in a yard.</t>
  </si>
  <si>
    <t>They are using a rake to rake leaves.</t>
  </si>
  <si>
    <t>A man walks by as they rake.</t>
  </si>
  <si>
    <t>v_VnBZR-yBLXA</t>
  </si>
  <si>
    <t>A woman is seen standing behind a counter speaking to the camera and then beginning to peel a potato.</t>
  </si>
  <si>
    <t>She continues to peel potatoes while pausing to speak to the camera and smile.</t>
  </si>
  <si>
    <t>v_EHVkkRI7mBQ</t>
  </si>
  <si>
    <t>Young men an a car talk and play around before arriving at the ski slope.</t>
  </si>
  <si>
    <t>We see men snowboarding over obstacles and ramps on the ski slope.</t>
  </si>
  <si>
    <t>A man jumps a ramp and falls to the ground.</t>
  </si>
  <si>
    <t>We see the boys standing in the parking lot and are shown their names.</t>
  </si>
  <si>
    <t>The last boy removes his helmet, shakes his hair and smiles at the camera.</t>
  </si>
  <si>
    <t>v_QjFioni0uCM</t>
  </si>
  <si>
    <t>A man is standing behind a woman sitting in a chair.</t>
  </si>
  <si>
    <t>He is putting a product into her hair.</t>
  </si>
  <si>
    <t>He begins to blow dry her hair.</t>
  </si>
  <si>
    <t>She starts to blow dry her hair herself.</t>
  </si>
  <si>
    <t>v_gJydcG-d1cs</t>
  </si>
  <si>
    <t>A woman holds a flute and practices the keys while lying down.</t>
  </si>
  <si>
    <t>A woman in a formal dress holds up a flute and gestures while talking.</t>
  </si>
  <si>
    <t>A woman plays the flute with exaggerated blowing.</t>
  </si>
  <si>
    <t>A woman plays a flute in a room with other instruments hanging in the background.</t>
  </si>
  <si>
    <t>The two women play flutes together.</t>
  </si>
  <si>
    <t>The woman shake their hands with a cramp.</t>
  </si>
  <si>
    <t>v_HK9tOFFF5II</t>
  </si>
  <si>
    <t>a scene from th big bang theory is shown and the man is lying down in a table in a tattoo room and a tattoo artist is standing by him.</t>
  </si>
  <si>
    <t>man in the bed stands and talk to a woman and remove the fake tattoo sleeves.</t>
  </si>
  <si>
    <t>v_rfxXEgc9RTQ</t>
  </si>
  <si>
    <t>A close up of a person's feet are shown followed by two men seen in an open room holding tennis rackets and hitting a ball.</t>
  </si>
  <si>
    <t>Then men hit the ball all around the room while running to each side to hit the ball.</t>
  </si>
  <si>
    <t>v_Cl0lsFUR5HE</t>
  </si>
  <si>
    <t>A vacant beach is visible and people began to pull their cars up against the coast.</t>
  </si>
  <si>
    <t>The sidewalk then appears and a boy begins to skateboard down the road near the beach.</t>
  </si>
  <si>
    <t>He continues doing tricks and skateboarding through the city passing people and cars.</t>
  </si>
  <si>
    <t>After a while,he sits down a takes a break and begins talking to another guy before he eventually gets back up to continue skateboarding.</t>
  </si>
  <si>
    <t>v_ptlSMte8xz0</t>
  </si>
  <si>
    <t>A guy is skiing with a camera on his helmet to show us what he is seeing as he ski.</t>
  </si>
  <si>
    <t>the guy ski down the hill and passes a guy that was in front of him.</t>
  </si>
  <si>
    <t>As the guy skis he start to come cross other skiers also skiing,finally the skier makes it to the end of down hill slop and comes to a stop.</t>
  </si>
  <si>
    <t>v_-0i3BpAQAgE</t>
  </si>
  <si>
    <t>A man and a woman are playing rock paper scissors.</t>
  </si>
  <si>
    <t>The man gets on his knee and pulls out a ring.</t>
  </si>
  <si>
    <t>They hug next to the swimming pool.</t>
  </si>
  <si>
    <t>They give each other a kiss.</t>
  </si>
  <si>
    <t>v_jwv7eQpeGW4</t>
  </si>
  <si>
    <t>A man is running down a track he jumps into a pile of sand.</t>
  </si>
  <si>
    <t>He runs down the track again and jumps into the sand several times.</t>
  </si>
  <si>
    <t>Scores are shown on the screen.</t>
  </si>
  <si>
    <t>v_-vKXPND_mD8</t>
  </si>
  <si>
    <t>A man wearing a green outfit is leading a camel.</t>
  </si>
  <si>
    <t>Two people are sitting on top of the camel.</t>
  </si>
  <si>
    <t>A man is walking next to the camel.</t>
  </si>
  <si>
    <t>v_lHsPZ49cpG8</t>
  </si>
  <si>
    <t>People are playing a game on a field using horses.</t>
  </si>
  <si>
    <t>The camera person rides near the parking lot on the right.</t>
  </si>
  <si>
    <t>The camera person rides near the parking lot again.</t>
  </si>
  <si>
    <t>The person slows down near the goal.</t>
  </si>
  <si>
    <t>v_4kriQ6h6ymI</t>
  </si>
  <si>
    <t>A graphic shows and then photos follow of a girl growing up with horseback riding.</t>
  </si>
  <si>
    <t>Three years after those photos the girl moves and she is shown riding horses.</t>
  </si>
  <si>
    <t>The girl is shown with other girls posing with some awards for horseback riding.</t>
  </si>
  <si>
    <t>Another video is shown of the girl riding the horse indoors.</t>
  </si>
  <si>
    <t>Photos of the girl taking care of her horses close out the video.</t>
  </si>
  <si>
    <t>v_RfsugL4sLso</t>
  </si>
  <si>
    <t>A woman is seen brushing her teeth and leads into toothpaste being spread on a toothbrush.</t>
  </si>
  <si>
    <t>Another girl brushes her teeth and shows several stills on how to properly brush teeth.</t>
  </si>
  <si>
    <t>More clips are shown of people brushing their teeth.</t>
  </si>
  <si>
    <t>v_sQo4gMcgfT4</t>
  </si>
  <si>
    <t>Several people are in bumper scooters moving around in a small entrapment.</t>
  </si>
  <si>
    <t>Finally,they get out of the big clump and start to move around the gym easier.</t>
  </si>
  <si>
    <t>The ride finally ends,and all of the people get out and a girl and boy walk up to the camera giving a thumbs up.</t>
  </si>
  <si>
    <t>v_09MaNbzc2TA</t>
  </si>
  <si>
    <t>A large group of people are seen wandering around a beached area followed by people dancing and enjoying the beach.</t>
  </si>
  <si>
    <t>Several clips are shown of a soccer match going on as well as fans celebrating to the camera.</t>
  </si>
  <si>
    <t>In the end the team all celebrates together while confetti falls from the sky.</t>
  </si>
  <si>
    <t>v_amCD-2TIKw0</t>
  </si>
  <si>
    <t>A woman is playing music on a stereo in a busy city.</t>
  </si>
  <si>
    <t>Another woman is standing on the sidewalk with headphones.</t>
  </si>
  <si>
    <t>They both smile at each other as they groove to the music.</t>
  </si>
  <si>
    <t>The woman picks up the stereo and starts walking.</t>
  </si>
  <si>
    <t>The other woman follows her on the same sidewalk.</t>
  </si>
  <si>
    <t>They walk together holding the stereo.</t>
  </si>
  <si>
    <t>A man in a red shirt starts dancing next to a car with another woman.</t>
  </si>
  <si>
    <t>They join the woman walking with the stereo in her hand.</t>
  </si>
  <si>
    <t>Several other people join them as they walk and dance to the music.</t>
  </si>
  <si>
    <t>All the people break into a synchronized dance right on the street.</t>
  </si>
  <si>
    <t>v_vH9gqDUaBQ0</t>
  </si>
  <si>
    <t>An old man talks next a sailboat in the shore, then the man carry the sailboat to the ocean.</t>
  </si>
  <si>
    <t>The old man sails the boat sitting on the border of the boat and pulling a handle.</t>
  </si>
  <si>
    <t>Then, the old man sits for awhile, and then continues sailing and stops when he talks.</t>
  </si>
  <si>
    <t>After, the old man stops and the boat turn over, then he pulls the boat to the shore.</t>
  </si>
  <si>
    <t>After, the old man continues sailing in the ocean.</t>
  </si>
  <si>
    <t>v_QKIkAfzncFc</t>
  </si>
  <si>
    <t>A person's hands are seen playing a set of bongo drums and pausing to talk to the camera.</t>
  </si>
  <si>
    <t>He presses a button on his phone and plays the drums again and ending with one final smack on the drum.</t>
  </si>
  <si>
    <t>v_dnJJWt0SBTc</t>
  </si>
  <si>
    <t>People are standing in a line holding swords.</t>
  </si>
  <si>
    <t>A man in a white jacket is talking into a microphone.</t>
  </si>
  <si>
    <t>Another older gentlemen is talking into a microphone.</t>
  </si>
  <si>
    <t>v_dGHCQVdC27c</t>
  </si>
  <si>
    <t>A man covers a wall with cement using a hose.</t>
  </si>
  <si>
    <t>A person works behind the wall.</t>
  </si>
  <si>
    <t>The person is covering the last section of the wall.</t>
  </si>
  <si>
    <t>v_UzmnkYD5YTA</t>
  </si>
  <si>
    <t>A person is seen walking into frame holding an instrument in front of a piano.</t>
  </si>
  <si>
    <t>He plays the instrument in front of the piano and walks back to the camera.</t>
  </si>
  <si>
    <t>v_CX5QUmM97DI</t>
  </si>
  <si>
    <t>The logo "FAB" appears with two crossed swords.</t>
  </si>
  <si>
    <t>The words "Meyerco Machete Cut Test" follow on screen.</t>
  </si>
  <si>
    <t>A man is trimming a damaged bush using a machette.</t>
  </si>
  <si>
    <t>The man continues chopping the cut branch on a deck.</t>
  </si>
  <si>
    <t>v_cpeevuvJKjE</t>
  </si>
  <si>
    <t>A group of ballet of dancers compete with a group of hip hop dancers.</t>
  </si>
  <si>
    <t>A boy dance hip hop, spins and make a flip.</t>
  </si>
  <si>
    <t>After, the boy climbs on a column to make a flip backward and stand on his hands, then a ballet dancer is raised by her friends.</t>
  </si>
  <si>
    <t>Then, a boy runs and break a door to enter to the other side where a girl is surprised.</t>
  </si>
  <si>
    <t>v_5OhIRnEFMyw</t>
  </si>
  <si>
    <t>A girl smiles at a camera holding a violin and pulls her hair behind her head.</t>
  </si>
  <si>
    <t>She continues talking to the camera followed by her playing the violin.</t>
  </si>
  <si>
    <t>She takes her hair down and continues talking to the camera and showing various violin moves while singing.</t>
  </si>
  <si>
    <t>She once again puts her hair up and continues with her playing.</t>
  </si>
  <si>
    <t>v_0kfJ7Lu4tvo</t>
  </si>
  <si>
    <t>A person turns on the emergency lights of a car and takes out the emergency tire.</t>
  </si>
  <si>
    <t>Then, the man loose the lug nuts of the tire, and then reads the manual.</t>
  </si>
  <si>
    <t>After, the man puts a jack below the car to raise it.</t>
  </si>
  <si>
    <t>Next, the man puts the emergency tire and tight the lug nuts.</t>
  </si>
  <si>
    <t>At the end, the man keeps the jack and the flat tire.</t>
  </si>
  <si>
    <t>v_Lou-YFz3kb0</t>
  </si>
  <si>
    <t>A woman is seen speaking to the camera while holding a violin.</t>
  </si>
  <si>
    <t>The woman continues speaking and them begins demonstrating how to play a song.</t>
  </si>
  <si>
    <t>She finishes playing the song and smiles to the camera.</t>
  </si>
  <si>
    <t>v_CV3pIbE8BnE</t>
  </si>
  <si>
    <t>A person is seen bending over his legs with a person putting shaving cream all over his leg.</t>
  </si>
  <si>
    <t>The person then grabs a razor and begins shaving the man's leg while dipping it into a sink.</t>
  </si>
  <si>
    <t>The woman continues shaving his leg while panning back to the sink and him having a drink.</t>
  </si>
  <si>
    <t>v_D32TzYSHM08</t>
  </si>
  <si>
    <t>A man ball rolls across a baseball field and a small boy in a green shirt kicks the ball and runs around the bases.</t>
  </si>
  <si>
    <t>The boy stops and looks at the camera then starts running again.</t>
  </si>
  <si>
    <t>A person runs in front of the camera.</t>
  </si>
  <si>
    <t>The boy makes it to home as a lady chases a ball to the fence.</t>
  </si>
  <si>
    <t>v_YmhbwAv0Xbc</t>
  </si>
  <si>
    <t>The boy in the red hat and the blue coat is being pulled in a red tube by a rope over some icy roads.</t>
  </si>
  <si>
    <t>A man in a black hat has his turn with the tube.</t>
  </si>
  <si>
    <t>A man in a grey hat hits a snow embankment with the tube.</t>
  </si>
  <si>
    <t>A man goes up a snow hill in the tube.</t>
  </si>
  <si>
    <t>More people begin sliding but this time it is with a small sled, not a tube.</t>
  </si>
  <si>
    <t>A man lets go of the rope and hits an embankment of snow.</t>
  </si>
  <si>
    <t>A group of friends sit on a couch together.</t>
  </si>
  <si>
    <t>v_OZpxc1X8Bsc</t>
  </si>
  <si>
    <t>A man wearing only black shorts, sandals and a gear belt, climbs a rock using a rope in a natural environment filled with trees and foliage.</t>
  </si>
  <si>
    <t>The man in the black shorts stands at the bottom of the rock and begins to climb the rock.</t>
  </si>
  <si>
    <t>The man climbs from the bottom using knees to gain balance and a rope to steady when losing grip with the rocks.</t>
  </si>
  <si>
    <t>The man reaches the top of the rock as the tan rope, behind, dangles.</t>
  </si>
  <si>
    <t>v_6gzU9P-5tqE</t>
  </si>
  <si>
    <t>A man falls down while trying bowl down a lane.</t>
  </si>
  <si>
    <t>A woman falls down trying to bowl.</t>
  </si>
  <si>
    <t>A man throws a bowling ball and it hits the ceiling.</t>
  </si>
  <si>
    <t>A man slips and falls as he's trying to bowl.</t>
  </si>
  <si>
    <t>v_v1ukgczEA5A</t>
  </si>
  <si>
    <t>A person flips a ski upside down.</t>
  </si>
  <si>
    <t>They melt onto onto the bottom of the ski.</t>
  </si>
  <si>
    <t>They run the iron over the top of the was on the ski.</t>
  </si>
  <si>
    <t>v_PSAfQ1qjtOA</t>
  </si>
  <si>
    <t>A gymnast stands and waves her arms before a performance.</t>
  </si>
  <si>
    <t>The gymnast hops up and mounts the balance beam.</t>
  </si>
  <si>
    <t>The gymnast does a routine on the balance beam doing flips and hand springs.</t>
  </si>
  <si>
    <t>The gymnast jump and does the splits in the air.</t>
  </si>
  <si>
    <t>The gymnast dismounts the balance beam onto the mat.</t>
  </si>
  <si>
    <t>v_wQHMoyzJx_w</t>
  </si>
  <si>
    <t>We see a white opening scene.</t>
  </si>
  <si>
    <t>We see a lady in a kitchen talking and cooking.</t>
  </si>
  <si>
    <t>The lady cuts a potato and puts it in the water.</t>
  </si>
  <si>
    <t>The lady puts the potato in cold water.</t>
  </si>
  <si>
    <t>The lady peels the skin off the potato easily.</t>
  </si>
  <si>
    <t>v_sx_npA4wRrw</t>
  </si>
  <si>
    <t>A chef is mixing water and vinegar in a glass bowl and adding dried chilies to it.</t>
  </si>
  <si>
    <t>Then in a blender, the chef mixes capers, garlic, anchovies and black olives along with some olive oil.</t>
  </si>
  <si>
    <t>The chef mashes the ingredients into a paste.</t>
  </si>
  <si>
    <t>The chef adds some garlic to oil in a saute pan and sautes it with some sun dried tomatoes.</t>
  </si>
  <si>
    <t>Then adds in the olive tapenade to the pan.</t>
  </si>
  <si>
    <t>The chef then chops some parsley and garlic together.</t>
  </si>
  <si>
    <t>Then he adds some spaghetti to boiling salt water and cooks it.</t>
  </si>
  <si>
    <t>He adds the chopped parsley to the spaghetti and mixes it well along with the olive tapenade.</t>
  </si>
  <si>
    <t>v_7yndv2xOmn0</t>
  </si>
  <si>
    <t>A person is putting black icing on a cake.</t>
  </si>
  <si>
    <t>They pour icing on the top out of a pot.</t>
  </si>
  <si>
    <t>They put strawberries, blueberries, raspberries and black berries on top of the cake.</t>
  </si>
  <si>
    <t>v_8Kj5Whf2JyA</t>
  </si>
  <si>
    <t>A large group of people are see bouncing around on trampolines throwing dodgeballs to one another.</t>
  </si>
  <si>
    <t>The camera pans around to the people on the outside and back onto the kids playing.</t>
  </si>
  <si>
    <t>v_ezugU3qibVQ</t>
  </si>
  <si>
    <t>A pink screen appears that have black numbers and words that read "handbagbuyer 82", then hearts appear to fade out the intro screen and a smiling blonde woman wearing green appears talking straight to the camera.</t>
  </si>
  <si>
    <t>The woman then picks up a tray with a cover that includes colorful curlers of different sizes and she continues talking while pointing at them.</t>
  </si>
  <si>
    <t>The woman then picks up a black bag and grabs a silver clip from it, puts it back in the bag and puts the bag on the side and continues to talk.</t>
  </si>
  <si>
    <t>The woman is now standing in a bathroom wearing a red sweater with hello kitty on the front and she's brushing her hair, rolling it in curlers and clipping each one individually with the silver clip and curlers she showed earlier.</t>
  </si>
  <si>
    <t>When she completes putting all the curlers that can fit on her entire head, she smiles to the camera and turns her head from side to side.</t>
  </si>
  <si>
    <t>The woman is now standing in the bathroom wearing green again and she has her hair down and she's talking and using her hands to move her hair around to show the curls.</t>
  </si>
  <si>
    <t>The outro screan is pink and ends with black words and then a black screen that has a clip art red pair of lips on it.</t>
  </si>
  <si>
    <t>v_xfOs5nRsSuQ</t>
  </si>
  <si>
    <t>woman is standing in a green field practicing balance a ball in a golf club.</t>
  </si>
  <si>
    <t>another woman is in the court and its practicing with the girl passing the ball from a golf club to another.</t>
  </si>
  <si>
    <t>in the background cars are parked in a parking lot.</t>
  </si>
  <si>
    <t>v_CrnNXizH0IQ</t>
  </si>
  <si>
    <t>A man is seen speaking to the camera while pointing to various tools and wooden objects in front of him.</t>
  </si>
  <si>
    <t>The man unhooks the side followed by sanding it down on the side.</t>
  </si>
  <si>
    <t>The man then takes a screwdriver and drills in holes while stopping to sand it and show it to the camera.</t>
  </si>
  <si>
    <t>v_CaDoaqs_5jE</t>
  </si>
  <si>
    <t>A camera pans all around a frozen lake with trees and leads into a group of people fishing around a hole.</t>
  </si>
  <si>
    <t>The men continue to sit around the holes with a pole speaking to one another and wandering around the ice.</t>
  </si>
  <si>
    <t>v_vUuC72xikqw</t>
  </si>
  <si>
    <t>A close up of a pumpkin is seen followed by a child scouping out the middle.</t>
  </si>
  <si>
    <t>Another child next to her is seen cutting out the pumpkin when an adults walks into frame.</t>
  </si>
  <si>
    <t>The adults helps the children with one smiling to the camera and holding up seeds while the camera pans around the room.</t>
  </si>
  <si>
    <t>v_28P5f3p_32g</t>
  </si>
  <si>
    <t>A man is shown holding a knife while taking to the camera and smiling.</t>
  </si>
  <si>
    <t>He begins cutting the tomato laid out on the table in various sections.</t>
  </si>
  <si>
    <t>He then sharpens the knife on the machine next to the vegetable and shows how much better it works.</t>
  </si>
  <si>
    <t>v_7MWDmMh3zyA</t>
  </si>
  <si>
    <t>A group of people are in tubes floating on top of murky water with huge rocks in it.</t>
  </si>
  <si>
    <t>The camera scans the crowd and people continuously paddle their way across the water.</t>
  </si>
  <si>
    <t>v_L3X8OmIbj2c</t>
  </si>
  <si>
    <t>Guys arm wrestle indoors in the presence of two referees.</t>
  </si>
  <si>
    <t>The referees point in the direction of the winner.</t>
  </si>
  <si>
    <t>The players give a dab handshake.</t>
  </si>
  <si>
    <t>v_83WXP5z80Y0</t>
  </si>
  <si>
    <t>Title screens are shown on the video.</t>
  </si>
  <si>
    <t>The woman demonstrates using a hula hoop in a large room while another person talks.</t>
  </si>
  <si>
    <t>Another person looks in through the window of the door.</t>
  </si>
  <si>
    <t>The woman stops hula hooping and takes a bow.</t>
  </si>
  <si>
    <t>The ending credits roll.</t>
  </si>
  <si>
    <t>v_X_9NiZmR2tQ</t>
  </si>
  <si>
    <t>Two people are playing tennis on a court.</t>
  </si>
  <si>
    <t>One person falls back on their back.</t>
  </si>
  <si>
    <t>v_cBCi-pOE5NQ</t>
  </si>
  <si>
    <t>A man has his sax around his neck and he is explaining about reeds and mouth pieces and how you should put your mouth on it or what nor.</t>
  </si>
  <si>
    <t>He talks for a while about this, demonstrates how you would move your tongue to make sound.</t>
  </si>
  <si>
    <t>He blows into the sax to demonstrate a little more.</t>
  </si>
  <si>
    <t>He even briefly puts his finger in mouth to try to explain a little better as well.</t>
  </si>
  <si>
    <t>v_rjgu0ucCW7U</t>
  </si>
  <si>
    <t>A man pushes a lawn mower around a grass lawn area with tents cutting the grass.</t>
  </si>
  <si>
    <t>The man cuts the tall grass around a tree.</t>
  </si>
  <si>
    <t>The man shuts down the lawnmower and takes a break.</t>
  </si>
  <si>
    <t>v_0Z_mhRoqG2E</t>
  </si>
  <si>
    <t>A close up of a landscape is shown followed by a woman climbing up a rock on it's side.</t>
  </si>
  <si>
    <t>The woman continues climbing and ends with her reaching the top and throwing her arms up.</t>
  </si>
  <si>
    <t>v_KDPa4AvVt0s</t>
  </si>
  <si>
    <t>A group of people is playing dodge ball in a court.</t>
  </si>
  <si>
    <t>People joke to the camera.</t>
  </si>
  <si>
    <t>v_fY2IeYSxY4U</t>
  </si>
  <si>
    <t>A white wall is shown with pegs poking out and strips of tape hanging down and a girl begins cliff climbing the wall as a man in a blue shirt begins to talk.</t>
  </si>
  <si>
    <t>The young lady continues progressing up the wall as the man continues to talk in a split screen.</t>
  </si>
  <si>
    <t>The man lifts his foot up to talk about a certain position and the girl demonstrates it as she begins getting off the plate.</t>
  </si>
  <si>
    <t>v_lC12SCZ_-1o</t>
  </si>
  <si>
    <t>A small car is covered in a thick layer of snow.</t>
  </si>
  <si>
    <t>A man appears with a sweeper.</t>
  </si>
  <si>
    <t>He uses it to rake all the snow off the vehicle.</t>
  </si>
  <si>
    <t>v_ZIBWRRBft8g</t>
  </si>
  <si>
    <t>man is kneeling on the floor talking to the camera and showing the tiles above the wooden floor.</t>
  </si>
  <si>
    <t>man is showing a place without the wooden floor and its putting the wooden pole in the floor measuring the space.</t>
  </si>
  <si>
    <t>the man puts a wood sheet in space and put floor tiles.</t>
  </si>
  <si>
    <t>v_pAAGm-KEFW0</t>
  </si>
  <si>
    <t>There is a boy sitting on the bed showing off his sunburn and putting cream on it.</t>
  </si>
  <si>
    <t>A friend is shaking his head because of the other guy's sunburn.</t>
  </si>
  <si>
    <t>The friend lifts his shirt to show his sunburn as well.</t>
  </si>
  <si>
    <t>The camera pans around room and back to the first guy.</t>
  </si>
  <si>
    <t>A girl walks by carrying a plate, puts it on the table and does a dance.</t>
  </si>
  <si>
    <t>The camera pans to a mirror with two men standing in it with a phone and waving.</t>
  </si>
  <si>
    <t>The camera looks over the balcony of the room.</t>
  </si>
  <si>
    <t>A woman puts a plate of food on a table and a man walks back inside.</t>
  </si>
  <si>
    <t>The sunburned man is taking his shirt off and laying it on the bed.</t>
  </si>
  <si>
    <t>His friends help him with cream on his sunburn.</t>
  </si>
  <si>
    <t>The woman is sitting at the table eating.</t>
  </si>
  <si>
    <t>v_QvM8SFUUvsw</t>
  </si>
  <si>
    <t>A man is shown solving a rubix rube at record speed while a timer is going and a man records him.</t>
  </si>
  <si>
    <t>Another player at a younger age is shown solving the rubix cube as well as a third patron shortly after.</t>
  </si>
  <si>
    <t>v_BJM1rUjXvkQ</t>
  </si>
  <si>
    <t>The candied fruits are in the bowl, then the woman pour liqueur in it and mixed them.</t>
  </si>
  <si>
    <t>The woman added brown sugar on the butter, then added eggs one by one and mixed and then cream, then flour, baking soda, cinnamon powder and mixed them well.</t>
  </si>
  <si>
    <t>The dried fruit mixture is added in the batter, and then shredded nuts and they were mixed well together.</t>
  </si>
  <si>
    <t>The batter is pour into the pan, smooth the batter and making sure that its evenly distributed.</t>
  </si>
  <si>
    <t>v_Y39LnzOipck</t>
  </si>
  <si>
    <t>A man is seen standing and looking around and then cleans off a bowling ball and stands before a lane.</t>
  </si>
  <si>
    <t>The man throws the ball down and hits several pins.</t>
  </si>
  <si>
    <t>v_I3WRp3QB8eg</t>
  </si>
  <si>
    <t>A girl is seen speaking to the camera and walks into a hair salon and shakes hands with an stylist.</t>
  </si>
  <si>
    <t>Several shots of an artist are shown and the man then begins cutting the girl's hair.</t>
  </si>
  <si>
    <t>He hands her the hair and washes her hair followed by more cuts and looking into a mirror.</t>
  </si>
  <si>
    <t>In the end her hair looks just like the artist and she is seen smiling and hugs a person, ending with a side by side picture of the artist and her.</t>
  </si>
  <si>
    <t>v__DiTdY1Mtj4</t>
  </si>
  <si>
    <t>A person is seen bending over near a crowd and begins playing a game of shuffleboard.</t>
  </si>
  <si>
    <t>The people continue playing back and fourth on the mat while other people playing around them and walk into frame.</t>
  </si>
  <si>
    <t>A man and woman are seen speaking to one another and is again shown pushing the pucks.</t>
  </si>
  <si>
    <t>v_RLdlDewtKbE</t>
  </si>
  <si>
    <t>An intro is shown for a cricket game.</t>
  </si>
  <si>
    <t>Several players begin to play a cricket game on a field.</t>
  </si>
  <si>
    <t>A man stumbles over one of the cricket posts.</t>
  </si>
  <si>
    <t>The players shake hands as the game ends.</t>
  </si>
  <si>
    <t>The results of the game a then shown on the screen.</t>
  </si>
  <si>
    <t>v_0EbXjHsMBmM</t>
  </si>
  <si>
    <t>At a store by the name of skinny ski's there is a table set up with things needed to saw down skis.</t>
  </si>
  <si>
    <t>A man uses some equipment to melt some wax over a ski, going over it a few times.</t>
  </si>
  <si>
    <t>He then directly uses the iron right on the ski too smoothen out the wax he just melted over it, going over it a few times.</t>
  </si>
  <si>
    <t>He then shows a package of dibloc low fluoro hot wax and information on how to contact for services.</t>
  </si>
  <si>
    <t>v_HVU5EmblAP8</t>
  </si>
  <si>
    <t>A man is playing the drums with is hands.</t>
  </si>
  <si>
    <t>The man pauses then plays again.</t>
  </si>
  <si>
    <t>The man pauses then plays slower.</t>
  </si>
  <si>
    <t>v_qb_5_9xDYqc</t>
  </si>
  <si>
    <t>An African American male is standing outside next to a tall rock wall.</t>
  </si>
  <si>
    <t>The man continues touching the rock and begins stretching.</t>
  </si>
  <si>
    <t>After, he begins to actively and ferociously climb the wall and come down on the other side but he does it without any ropes attached to him.</t>
  </si>
  <si>
    <t>v_MleQSQt6Utw</t>
  </si>
  <si>
    <t>A boy in a blue shirt is playing in the sand on the beach.</t>
  </si>
  <si>
    <t>A man in a white shirt is standing behind him helping him.</t>
  </si>
  <si>
    <t>A man in blue shorts is also helping the boy make the sand castle.</t>
  </si>
  <si>
    <t>v_GFQuGc1yY8o</t>
  </si>
  <si>
    <t>A man is shown with a woman dancing in front of a large crowd on a tv show.</t>
  </si>
  <si>
    <t>The woman spins around as the man leads her through the routine.</t>
  </si>
  <si>
    <t>She then is lifted up and spun around again.</t>
  </si>
  <si>
    <t>They dance very romantically and she is spun around various times before being tipped backwards by the man as they continue to dance.</t>
  </si>
  <si>
    <t>The two dancers reach out to one another and the routine ends.</t>
  </si>
  <si>
    <t>v_rML1aj5XW0M</t>
  </si>
  <si>
    <t>A wrestler is hoisted on a man's shoulders.</t>
  </si>
  <si>
    <t>The man throws the wrestler on a table.</t>
  </si>
  <si>
    <t>The other man hollers out loud.</t>
  </si>
  <si>
    <t>One of the other men stands over the injured man.</t>
  </si>
  <si>
    <t>v_1C0Ur7fen8s</t>
  </si>
  <si>
    <t>A group of boys are playing a game of foosball with girls.</t>
  </si>
  <si>
    <t>The two groups stand on either side of the machine.</t>
  </si>
  <si>
    <t>They use the little men to hit the ball back and forth.</t>
  </si>
  <si>
    <t>v_LlgGMRw16UY</t>
  </si>
  <si>
    <t>Teen compete skateboard down the road very fast.</t>
  </si>
  <si>
    <t>A teen falls face down from his skateboard on the ground.</t>
  </si>
  <si>
    <t>Another teen falls on the road.</t>
  </si>
  <si>
    <t>Other teens continue skating and some on them falls while skating.</t>
  </si>
  <si>
    <t>v_QXZkejzunpk</t>
  </si>
  <si>
    <t>People ride bikes on a bumpy track circuit.</t>
  </si>
  <si>
    <t>Then, they arrive to the finish line where people is washing the competition.</t>
  </si>
  <si>
    <t>v_XxMzH75Bhr8</t>
  </si>
  <si>
    <t>A large group of men are seen running around an indoor field when one scores a goal and the audience cheers.</t>
  </si>
  <si>
    <t>Several more shots of goals are shown followed by slowed down shots of each goal.</t>
  </si>
  <si>
    <t>Close up of players are shown and ends with a group of players all hugging and cheering with one another.</t>
  </si>
  <si>
    <t>v_aFlumCYsZgM</t>
  </si>
  <si>
    <t>A boy enjoys an ice cream cone.</t>
  </si>
  <si>
    <t>A girl eats licks and eats an ice cream cone.</t>
  </si>
  <si>
    <t>The boy finishes the ice cream cone.</t>
  </si>
  <si>
    <t>The girl lightly licks the ice cream cone.</t>
  </si>
  <si>
    <t>v_CkC1wxAaDjM</t>
  </si>
  <si>
    <t>An archery tournament begins and the montage shows the players hiding behind shields and firing back and forth.</t>
  </si>
  <si>
    <t>The parents of the children are shown watching the battle.</t>
  </si>
  <si>
    <t>v_gaNiULmtQg8</t>
  </si>
  <si>
    <t>A girl jumps onto a balance beam.</t>
  </si>
  <si>
    <t>She begins to do a routine on the balance beam.</t>
  </si>
  <si>
    <t>She dismounts and lands on the mat with her hands in the air.</t>
  </si>
  <si>
    <t>v_9XanCE5nX2Q</t>
  </si>
  <si>
    <t>There is a woman dancing on stage in front of a man in the beginning.</t>
  </si>
  <si>
    <t>There are many different women doing hip hop moves.</t>
  </si>
  <si>
    <t>v_Qg3Lih9PTBM</t>
  </si>
  <si>
    <t>Two sumos wrestle fiercely while a judge watch them.</t>
  </si>
  <si>
    <t>Then, the sumo wearing black slip pushed out of the ring the other sumo.</t>
  </si>
  <si>
    <t>Then, two sumo wrestle and trip with the judge, one of them falls.</t>
  </si>
  <si>
    <t>After, the sumosn continue wrestling and the sumo with black slip falls out the ring.</t>
  </si>
  <si>
    <t>v_QEfXMtnI6rw</t>
  </si>
  <si>
    <t>A man is seen speaking to the camera while holding up a piece of paper.</t>
  </si>
  <si>
    <t>The man also holds up a razor and begins writing on the paper.</t>
  </si>
  <si>
    <t>The man is then seen shaving his face and ending with credits.</t>
  </si>
  <si>
    <t>v_zyh16NahocQ</t>
  </si>
  <si>
    <t>We see a lady talking in the bathroom.</t>
  </si>
  <si>
    <t>She shows us her blow dryer box.</t>
  </si>
  <si>
    <t>She brings the blow dryer box back into view.</t>
  </si>
  <si>
    <t>The lady grabs and lifts her hair.</t>
  </si>
  <si>
    <t>The lady shows us dryer attachments and the dryer.</t>
  </si>
  <si>
    <t>The lady brushes hear hair and adds blow drys her hair.</t>
  </si>
  <si>
    <t>v_x9BN93AXNTQ</t>
  </si>
  <si>
    <t>A close up of a computer is shown followed by a man stepping into frame and singing into the microphone.</t>
  </si>
  <si>
    <t>The man continues singing while the camera captures him and fades to black in the end.</t>
  </si>
  <si>
    <t>v_5vlGKyxl22M</t>
  </si>
  <si>
    <t>An old woman talks before run in a marathon where there is a lot of people participate.</t>
  </si>
  <si>
    <t>Then, the woman cross the finish line and people help her.</t>
  </si>
  <si>
    <t>A cameraman films on front the finish line while people is arriving.</t>
  </si>
  <si>
    <t>A woman raise her arms when cross the finish line.</t>
  </si>
  <si>
    <t>v_3Z4b34lBnyU</t>
  </si>
  <si>
    <t>A very large man wearing a black speedo is standing in a wrestling rink huffing and puffing.</t>
  </si>
  <si>
    <t>A referee walks past the man, a man from the ground stands up and the very large man kicks him, picks him up, then slams him onto the rink.</t>
  </si>
  <si>
    <t>The man just lays there writhing in pain.</t>
  </si>
  <si>
    <t>v_memk6ryZCjE</t>
  </si>
  <si>
    <t>Two women are seen speaking to one another and leads into them performing martial arts against one another.</t>
  </si>
  <si>
    <t>The girls continue to fight and leads into one sitting down while the other continues to perform moves.</t>
  </si>
  <si>
    <t>v_qPZBSTNEl78</t>
  </si>
  <si>
    <t>A girl in red outfit serves the ball to her friend on an outdoor tennis match.</t>
  </si>
  <si>
    <t>The friend returns the ball and the two play a round of tennis.</t>
  </si>
  <si>
    <t>The ball is deflected by the net and the partner loses the round.</t>
  </si>
  <si>
    <t>v_IdEcXDZ4Cos</t>
  </si>
  <si>
    <t>Several men stand on a pier.</t>
  </si>
  <si>
    <t>One of the men is shirtless.</t>
  </si>
  <si>
    <t>They bring out some raw meat.</t>
  </si>
  <si>
    <t>One of the men gets on a board and does tricks.</t>
  </si>
  <si>
    <t>v_2zwUExKXw9s</t>
  </si>
  <si>
    <t>A group sits on horses as the stand and take a rest.</t>
  </si>
  <si>
    <t>The group rides on the horses along a trail.</t>
  </si>
  <si>
    <t>v_Ni7Lqloy5Qc</t>
  </si>
  <si>
    <t>A woman is seen speaking to the camera as well as other people in a car wit her.</t>
  </si>
  <si>
    <t>Shots of her and her friend are shown through a frame and leads into them looking at tattoos.</t>
  </si>
  <si>
    <t>They're shown singing in the car and waiting to get a tattoo down while still speaking to the camera.</t>
  </si>
  <si>
    <t>The girls are then each shown getting tattoos done and ends with pictures of their tattoos being shown off.</t>
  </si>
  <si>
    <t>v_Mk9n7isIyBs</t>
  </si>
  <si>
    <t>A woman wearing a pink and white shirt and black tights is standing in her front yard.</t>
  </si>
  <si>
    <t>She is holding two batons in her and twirling them.</t>
  </si>
  <si>
    <t>She twirls her body and turns around several times as she twirls the batons in both her hands.</t>
  </si>
  <si>
    <t>She also moves her foot back and forth and walks and lifts her foot as she twirls.</t>
  </si>
  <si>
    <t>She then throws the baton from underneath her leg and catches it with her other hand.</t>
  </si>
  <si>
    <t>she continues twirling the baton near a shady tree.</t>
  </si>
  <si>
    <t>she turns her entire body around as she twirls the batons.</t>
  </si>
  <si>
    <t>She finally bows down and holds the baton straight in her hand.</t>
  </si>
  <si>
    <t>v_zChDaAcfc2o</t>
  </si>
  <si>
    <t>We see water flowing over a river.</t>
  </si>
  <si>
    <t>A title appears on the screen.</t>
  </si>
  <si>
    <t>A person in a canoe goes over the waterfall.</t>
  </si>
  <si>
    <t>The person rides the rapids of the river.</t>
  </si>
  <si>
    <t>We see people on a rock on the riverbank watching the canoer.</t>
  </si>
  <si>
    <t>The person in the canoe smiles and talks to the camera.</t>
  </si>
  <si>
    <t>v_dL--vW-AJJo</t>
  </si>
  <si>
    <t>A close up of tires are shown followed by a man working on a tire as well as being interviewed on camera.</t>
  </si>
  <si>
    <t>The camera captures the tool on the tires from several angles as well as lifting up the car to work underneath.</t>
  </si>
  <si>
    <t>More shots of the men working as shown as one speaks to the camera and ends by fading to white.</t>
  </si>
  <si>
    <t>v_Qfi8dqC4E4s</t>
  </si>
  <si>
    <t>A man and woman wearing red jackets, the man was cheering, while the woman is taking video using her iPad, she has very serious look on her face, the woman handed the iPad to the man.</t>
  </si>
  <si>
    <t>A woman is picking up a pole, putting it inside the bigger pole, a man in blue jacket looked up from the ground.</t>
  </si>
  <si>
    <t>A male athlete wearing red and blue top, blue shorts ran, hopped and jumped, he fell on the #18 sand then got up walked around the grass and field towards the group of people.</t>
  </si>
  <si>
    <t>A male athlete wearing blue top ran to the lane, started hopping after passing the white line and jumped to the sand, hit the sandy ground then stood up, then walked to the track field.</t>
  </si>
  <si>
    <t>A male athlete in red and blue uniform started to run to the field, hopped when passed the white line then jumped towards bed of sandy ground, he hit the ground, fell on his side and stood up and walked towards the field.</t>
  </si>
  <si>
    <t>A woman in red top is shown.</t>
  </si>
  <si>
    <t>v_BnAG37ecNbA</t>
  </si>
  <si>
    <t>A woman is sitting on a hospital bed with a razor handle in her mouth and people around her are moving her hair out of her face.</t>
  </si>
  <si>
    <t>The woman then starts to pull the razor up and down the part of her left leg that she can reach with her bend.</t>
  </si>
  <si>
    <t>The woman then grabs the razor from her mouth with her right hand and starts shaving her left leg.</t>
  </si>
  <si>
    <t>The woman puts the razor handle back in her mouth and tries to shave again but it falls out of her mouth and she drops her head in frustration then leans back on the bed, laughs, and then crosses her arms.</t>
  </si>
  <si>
    <t>v_Et8xkGzQOTA</t>
  </si>
  <si>
    <t>A man in a black hat is standing on the street.</t>
  </si>
  <si>
    <t>A person starts dancing on the street.</t>
  </si>
  <si>
    <t>A man starts break dancing in front of a car.</t>
  </si>
  <si>
    <t>v_ghFOHoBiyD8</t>
  </si>
  <si>
    <t>A man wearing glasses is holding a book and talking.</t>
  </si>
  <si>
    <t>He is shown entering a bowling alley.</t>
  </si>
  <si>
    <t>The man interviews players and joins them in a game of bowling.</t>
  </si>
  <si>
    <t>A player explains the techniques he uses.</t>
  </si>
  <si>
    <t>v_rhfoyYzp93Q</t>
  </si>
  <si>
    <t>A person is paddling down a river in a canoe.</t>
  </si>
  <si>
    <t>The person turns and looks back.</t>
  </si>
  <si>
    <t>v_dUvZ6-IVo34</t>
  </si>
  <si>
    <t>A man is seen speaking to the camera while holding up an instrument.</t>
  </si>
  <si>
    <t>The man then begins playing the instrument in front of the camera.</t>
  </si>
  <si>
    <t>The man continues to play the instrument and stops to look at the camera.</t>
  </si>
  <si>
    <t>v_Cu8kOOnAjaw</t>
  </si>
  <si>
    <t>A dog is close to the camera, play fighting with another dog.</t>
  </si>
  <si>
    <t>They jump off a man's lap, then back on again as they continue to play.</t>
  </si>
  <si>
    <t>The man puts his glasses back on as the dogs calm down and lie down on his lap.</t>
  </si>
  <si>
    <t>v_eRh6V0bcBpU</t>
  </si>
  <si>
    <t>Inside a man and a woman are playing a game of raquet ball.</t>
  </si>
  <si>
    <t>She begins to talk about it for a little bit very causally.</t>
  </si>
  <si>
    <t>Then, she goes to practice hitting it by herself for a little bit.</t>
  </si>
  <si>
    <t>This is a game she really enjoys to play, its a hobby.</t>
  </si>
  <si>
    <t>v_X1bmeq4u6YE</t>
  </si>
  <si>
    <t>A video shows how to make curry toast.</t>
  </si>
  <si>
    <t>The curry is in a pan and the bread and butter are on a tray.</t>
  </si>
  <si>
    <t>The man applies the butter, then the curry to the bread before toasting it.</t>
  </si>
  <si>
    <t>A cartoon charicature of a stick person dances at the end.</t>
  </si>
  <si>
    <t>v_nuEK3POl9jA</t>
  </si>
  <si>
    <t>At the 2008 Olympics, a man prepares to lift a loaded barbell.</t>
  </si>
  <si>
    <t>He bends down and works his way up with great effort, finally lifting the barbell over his head.</t>
  </si>
  <si>
    <t>He drops the weights and they crash to the ground.</t>
  </si>
  <si>
    <t>He celebrates and we see that the Olympian has set a record.</t>
  </si>
  <si>
    <t>v_tp0L6sR1qts</t>
  </si>
  <si>
    <t>A man is seen rolling out a bike and begins checking the tires with another man.</t>
  </si>
  <si>
    <t>One man cuts a wire and checks more tires and another man spins the tires once more.</t>
  </si>
  <si>
    <t>v_JU_o9ZtH-VM</t>
  </si>
  <si>
    <t>A balded man is seen speaking to the camera with a head sitting behind him with a head full of hair.</t>
  </si>
  <si>
    <t>He then cuts the hair on the dummy in a certain fashion and the camera zooms in on the finished result in the end.</t>
  </si>
  <si>
    <t>v_5k0KMrksf8c</t>
  </si>
  <si>
    <t>Two teams are standing at the scrimmage line together waiting to play the game.</t>
  </si>
  <si>
    <t>The game begins and the two teams fight each ferociously in a game of Lacrosse.</t>
  </si>
  <si>
    <t>One person gets hit so bad,he is out and remains laying down on the field as the rest of the players take off down the field.</t>
  </si>
  <si>
    <t>v_z6IsPWucZnU</t>
  </si>
  <si>
    <t>A baby is shown floating upside down in a pool.</t>
  </si>
  <si>
    <t>Trainers are teaching the child how to stay afloat.</t>
  </si>
  <si>
    <t>He is learning how to swim, keeping himself above water.</t>
  </si>
  <si>
    <t>v__O6ONcIPR_s</t>
  </si>
  <si>
    <t>A wind kite is shown in the air.</t>
  </si>
  <si>
    <t>A man in a black shirt is controlling the wind kite and falls on the ground.</t>
  </si>
  <si>
    <t>Dogs are running around on the grass.</t>
  </si>
  <si>
    <t>v_qYN_YrwUCBs</t>
  </si>
  <si>
    <t>An introduction graphic comes onto the screen presenting a volleyball championship.</t>
  </si>
  <si>
    <t>A man comes onto the screen announcing the competition before it begins.</t>
  </si>
  <si>
    <t>Different girls are shown playing beach volley ball as the narrator tells the story of their road to the championship.</t>
  </si>
  <si>
    <t>Many of the team members are shown talking on the court and strategizing for the win.</t>
  </si>
  <si>
    <t>The video cuts to a conference room where there is a discussion about the volleyball players.</t>
  </si>
  <si>
    <t>The video ends with the graphics for the c losing credits.</t>
  </si>
  <si>
    <t>v_NKZzGiS5hv0</t>
  </si>
  <si>
    <t>men are siting in a dark room talking to the camera.</t>
  </si>
  <si>
    <t>sumo wrestlers are standing in stage ready to fight and people are gathered around them and sitting in he terraces.</t>
  </si>
  <si>
    <t>men are talking in the dark room and explaining their point of view.</t>
  </si>
  <si>
    <t>v_RQO61KXeBos</t>
  </si>
  <si>
    <t>A man starts running down with a stick he places it down and jumps over a really high obstacle, he lands and gloats.</t>
  </si>
  <si>
    <t>The next man takes his turn and he does the same using the stick to get over the obstacle and jumping up with excitement after landing.</t>
  </si>
  <si>
    <t>Then another man takes his turn and when he lands he throws off his helmet and yells and jumps for joy like the previous men.</t>
  </si>
  <si>
    <t>The audience is very thrilled too, they all take more turns trying to get the best score.</t>
  </si>
  <si>
    <t>v__nup1BwPnXc</t>
  </si>
  <si>
    <t>We see kids in purple pose for a photo.</t>
  </si>
  <si>
    <t>The kids then play tug of war as two girls stand nearby cheering.</t>
  </si>
  <si>
    <t>We switch to a girl and a boy cheering.</t>
  </si>
  <si>
    <t>We see two different kids cheering.</t>
  </si>
  <si>
    <t>We switch the cheering kids again.</t>
  </si>
  <si>
    <t>The kids win and an jump and cheer as one girl talks to a teacher.</t>
  </si>
  <si>
    <t>v_sA8fmJulHMs</t>
  </si>
  <si>
    <t>Several shirtless men are gathered in a room, one smokes a cigarette as the rest cheer him on.</t>
  </si>
  <si>
    <t>He sucks down the cigarette all the way down to the bud.</t>
  </si>
  <si>
    <t>He coughs a bit and then inhales it in his nose, pointing to the camera afterwards.</t>
  </si>
  <si>
    <t>v_eM-l2d8e-CA</t>
  </si>
  <si>
    <t>Pucks are seen sitting along the ice as well as a man speaking to the camera and people walking around.</t>
  </si>
  <si>
    <t>More clips are shown of people curling on the ice while also speaking to the camera.</t>
  </si>
  <si>
    <t>The people continue to push the puck along the ice while looking back to the camera as well as speaking to the camera.</t>
  </si>
  <si>
    <t>v_PgoRelvwBUI</t>
  </si>
  <si>
    <t>We see a tire well on a table in a clamp.</t>
  </si>
  <si>
    <t>A man puts a vice grip on the well.</t>
  </si>
  <si>
    <t>The man pushes and spins a tire over the wheel well.</t>
  </si>
  <si>
    <t>v_V3ZDyR7mVpc</t>
  </si>
  <si>
    <t>We see waterski and the side of a boat.</t>
  </si>
  <si>
    <t>We see a boy standing on a dock, people gas their boat then board.</t>
  </si>
  <si>
    <t>We see two boys playing.</t>
  </si>
  <si>
    <t>We see a person water skiing on a lake.</t>
  </si>
  <si>
    <t>We see the cars in the parking lot near the lake and a dog sniffs the camera.</t>
  </si>
  <si>
    <t>We see a shop then a person paddling on a kayak.</t>
  </si>
  <si>
    <t>A person jumps into the water and we see the water skier again.</t>
  </si>
  <si>
    <t>A boy on a trampoline in a shop, people on a raft and a boy jumps in the water.</t>
  </si>
  <si>
    <t>We see a boy on a toy bike, the water skier falls.</t>
  </si>
  <si>
    <t>A person on skis jumps a ramp.</t>
  </si>
  <si>
    <t>v_otWcr0Rxy5g</t>
  </si>
  <si>
    <t>a group of performers are standing on a stage.</t>
  </si>
  <si>
    <t>They turn, and begin playing the drums.</t>
  </si>
  <si>
    <t>They put on sunglasses while they play for the audience.</t>
  </si>
  <si>
    <t>v_uqAFtPVzEEs</t>
  </si>
  <si>
    <t>A news man is standing in front of a screen talking as it displays a volleyball game on the beach.</t>
  </si>
  <si>
    <t>Then we see the players, fighting over and kicking the ball, alternating with speaking to the camera individually before going back to scenes from the game.</t>
  </si>
  <si>
    <t>v_qpdREcmjhUw</t>
  </si>
  <si>
    <t>A young boy has a long stick in had and is pushing a puck across a white triangle with numbers in it.</t>
  </si>
  <si>
    <t>The puck goes to far down the board and the toddler chases after it.</t>
  </si>
  <si>
    <t>Once the puck is back on the board,he takes off running back down the board.</t>
  </si>
  <si>
    <t>v_9x7FyIJdVsI</t>
  </si>
  <si>
    <t>A male is shown deep underwater in a pool doing a breast stroke.</t>
  </si>
  <si>
    <t>As he is swimming,a man in an orange polo is standing on the outside describing his technique.</t>
  </si>
  <si>
    <t>v_DsnVkCHbEVM</t>
  </si>
  <si>
    <t>A series of screen flashes and it shows statistics about driving drunk and when to take breaks driving.</t>
  </si>
  <si>
    <t>After, a group of about forty individuals are in a large pool playing water polo.</t>
  </si>
  <si>
    <t>The people take turns going back and forth throwing the ball and a person finally makes a goal.</t>
  </si>
  <si>
    <t>v_wj0D-wiqEb0</t>
  </si>
  <si>
    <t>A man is playing a wooden instrument inext to another man, sitting inside a small room.</t>
  </si>
  <si>
    <t>When he is done, he lowers his instrument and smiles broadly.</t>
  </si>
  <si>
    <t>They appear to be riding inside a train.</t>
  </si>
  <si>
    <t>v_sbvdGKpHy2M</t>
  </si>
  <si>
    <t>The interior and supplies of an old fashioned barber shop are shown.</t>
  </si>
  <si>
    <t>A man sharpens a razor strap.</t>
  </si>
  <si>
    <t>He shows off the cream as he puts it on his client.</t>
  </si>
  <si>
    <t>He then gently and professionally gives the man a beard shave.</t>
  </si>
  <si>
    <t>The man lies still as he applies a cloth, then aftershave.</t>
  </si>
  <si>
    <t>A close up is shown of the clean shaven face.</t>
  </si>
  <si>
    <t>v_Ti3z17QofU8</t>
  </si>
  <si>
    <t>We see an opening scene on a black background.</t>
  </si>
  <si>
    <t>We see a man hammer a nail.</t>
  </si>
  <si>
    <t>The man shows us some bolts.</t>
  </si>
  <si>
    <t>We see the man screw a screw in.</t>
  </si>
  <si>
    <t>v_WYjtYDyHUxY</t>
  </si>
  <si>
    <t>Several shots are shown of paintball are shown followed by many pictures of guns.</t>
  </si>
  <si>
    <t>More pictures of guns are shown and ends with text across the screen.</t>
  </si>
  <si>
    <t>v_vLJz4a4NvRI</t>
  </si>
  <si>
    <t>We see an opening title screen and a man and lady look happy and the lady throws her hands in the air.</t>
  </si>
  <si>
    <t>We see a man dealing blackjack in front of a screen.</t>
  </si>
  <si>
    <t>We see a C emblem screen.</t>
  </si>
  <si>
    <t>We see the man continue to deal cards.</t>
  </si>
  <si>
    <t>v_v-mNvC8zVhE</t>
  </si>
  <si>
    <t>A young lady is in a room rolling down a piece of grey and white wallpaper on a wall.</t>
  </si>
  <si>
    <t>She is now on another wall and is using a utensil to smooth out the paper.</t>
  </si>
  <si>
    <t>Then,she is shown cutting the grey wallpaper and brushing it.</t>
  </si>
  <si>
    <t>Finally,she moves to another flower piece and begins to cut off the excess paper ensuring it is measured correctly.</t>
  </si>
  <si>
    <t>v_PzERiygIpkg</t>
  </si>
  <si>
    <t>A person is seen sticking their hands under a dink and rubbing soap on their hands.</t>
  </si>
  <si>
    <t>The person scrubs their hands thoroughly and then runs them under a faucet.</t>
  </si>
  <si>
    <t>She then grabs a paper towel to dry her hands and show them off.</t>
  </si>
  <si>
    <t>v_4WrU5OdkvY0</t>
  </si>
  <si>
    <t>A man is seen stretching on the floor followed by people fencing with one another.</t>
  </si>
  <si>
    <t>People move back and fourth around an arena fencing with one another and the camera capturing their movements.</t>
  </si>
  <si>
    <t>They continue fighting back and fourth and end by walking away.</t>
  </si>
  <si>
    <t>v_h2HRRkwHoKw</t>
  </si>
  <si>
    <t>There is a busy restaurant by the lakeside where nearly all the tables are occupied by guests dining there.</t>
  </si>
  <si>
    <t>The server fills in ice in the glasses and barista makes coffee.</t>
  </si>
  <si>
    <t>The customers are busy eating their food that is served.</t>
  </si>
  <si>
    <t>The bartender is mixing drinks to make various cocktails.</t>
  </si>
  <si>
    <t>The barista is making latte and cappuccino.</t>
  </si>
  <si>
    <t>A lady customer is seen enjoying her drinks.</t>
  </si>
  <si>
    <t>v_3_Gha8keu-A</t>
  </si>
  <si>
    <t>A group of women stand facing the camera.</t>
  </si>
  <si>
    <t>An older woman walks to the head of the group.</t>
  </si>
  <si>
    <t>The group dance together facing the camera.</t>
  </si>
  <si>
    <t>v_gHYcZYkrxxQ</t>
  </si>
  <si>
    <t>A man in a snow covered parking lot lined with tall street lamps scrapes hardened snow and ice off of his maroon sports car at night.</t>
  </si>
  <si>
    <t>The man begins by scraping ice and snow off of the bottom of his windshield and the hood of his car and front grill.</t>
  </si>
  <si>
    <t>The man then scrapes and kicks at ice chunks surrounding the area around the front passenger tire.</t>
  </si>
  <si>
    <t>Lastly, the man scrapes ice off of the trunk of the car and the rear passenger tire area before waiving and walking toward the camera.</t>
  </si>
  <si>
    <t>v_-s1MQAiOMeY</t>
  </si>
  <si>
    <t>A black template with scrolling print with white lettering goes across the screen in an upward motion.</t>
  </si>
  <si>
    <t>A motor boat with two canoe like hulls on either side of the sail, sails across an ocean, in daylight, with two people hanging on to the side.</t>
  </si>
  <si>
    <t>The image of the boat on the water changes to night vision with only green and white colors reflecting before the credits roll.</t>
  </si>
  <si>
    <t>v_MuOkEmd4Gp0</t>
  </si>
  <si>
    <t>There are four people participating the BMX dirt biking competition.</t>
  </si>
  <si>
    <t>They are doing incredible stunts on their bikes by jumping up high over ditches and steep terrain.</t>
  </si>
  <si>
    <t>One of the bikers takes a fall after he leaps over a hilly road.</t>
  </si>
  <si>
    <t>Several other bikers go in full speed over hilly terrain and steep hills.</t>
  </si>
  <si>
    <t>People are gathered to watch and participate in the BMX event.</t>
  </si>
  <si>
    <t>The bikers continue doing their stunts as they go over hilly terrain and hilltops.</t>
  </si>
  <si>
    <t>The winners of the race are awarded trophies and certificates.</t>
  </si>
  <si>
    <t>They proudly raise their trophies high up to show their accomplishment.</t>
  </si>
  <si>
    <t>v_xUHXFXela-0</t>
  </si>
  <si>
    <t>man is climbong a rock wall atached to harness.</t>
  </si>
  <si>
    <t>a group of friends are standing on the field and above them the man is climbing the rock wall.</t>
  </si>
  <si>
    <t>man is climbong the rock wall holding it and the other people on the floor is attached to harness ready to climb the wall too.</t>
  </si>
  <si>
    <t>v_wEwp63lUsrE</t>
  </si>
  <si>
    <t>A man wearing gloves is seen speaking to the camera while holding up various objects to the camera.</t>
  </si>
  <si>
    <t>He then puts the objects together to create a large flame and hammers down a tool in the end and shows the results.</t>
  </si>
  <si>
    <t>v_oYmE833AO2w</t>
  </si>
  <si>
    <t>A man in grey shirt applies plaster with a handheld spatula to the interior wall of a building.</t>
  </si>
  <si>
    <t>The main points to the corners of the room to show the line he is working.</t>
  </si>
  <si>
    <t>The man in applies more plaster the the wall and covers more area.</t>
  </si>
  <si>
    <t>The man in grey stops to discuss with his partner.</t>
  </si>
  <si>
    <t>The man in grey along with his partner begin to apply a coating on the wall together.</t>
  </si>
  <si>
    <t>The man in grey watches and gives tips to his friend.</t>
  </si>
  <si>
    <t>The man in grey and the friend both apply plaster together higher up on the wall and ceiling.</t>
  </si>
  <si>
    <t>v_R_HDifqMHSY</t>
  </si>
  <si>
    <t>A singer is shown standing on a piano on a large stage and talking into the mic while a drummer plays in the background.</t>
  </si>
  <si>
    <t>He continues singing to the audience followed by jumping off the piano and dancing around the stage.</t>
  </si>
  <si>
    <t>The drums continue to play and the lights flicker behind him while people shuffle other drums around the set.</t>
  </si>
  <si>
    <t>The two men then begin playing the drums back to back with each other while switching between drum kits and movements.</t>
  </si>
  <si>
    <t>v_l_R7AbA-d04</t>
  </si>
  <si>
    <t>A camera pans in on a television set that leads into a man holding a stick in front of a large crowd.</t>
  </si>
  <si>
    <t>He speaks to a woman and a shot of people playing shuffle board is shown in slow motion.</t>
  </si>
  <si>
    <t>v_ni6VySdH0XY</t>
  </si>
  <si>
    <t>A person is sharpening a knife behind a table.</t>
  </si>
  <si>
    <t>People are standing in front of the table watching.</t>
  </si>
  <si>
    <t>He picks up the knife sharpener and uses it to sharpen the knife.</t>
  </si>
  <si>
    <t>v_bXCOtMuaJf4</t>
  </si>
  <si>
    <t>A woman is seen washing dishes in a sink while a man speaks to the camera and zooms in on the dishes.</t>
  </si>
  <si>
    <t>The man continues to speak to the camera and demonstrate how to properly wash dishes.</t>
  </si>
  <si>
    <t>v_sbT8DfccM7I</t>
  </si>
  <si>
    <t>A person is seen standing in front of a picnic table speaking to the camera while holding a bike wheel.</t>
  </si>
  <si>
    <t>He then puts the tire on the ground, moving his hands around the make sure the tire is properly inflated.</t>
  </si>
  <si>
    <t>He paces the tire back onto the table then pulls out a rope to tie it with.</t>
  </si>
  <si>
    <t>v_Oheg1qwrESg</t>
  </si>
  <si>
    <t>Two people are seen moving back and fourth on a large mat while fencing with one another.</t>
  </si>
  <si>
    <t>The audience cheers as they finish and ends by showing the match again in slow motion.</t>
  </si>
  <si>
    <t>v_afL6f_pwgMs</t>
  </si>
  <si>
    <t>A person is seen sitting in a tube drinking a beer while other people are seen siting off in the distance.</t>
  </si>
  <si>
    <t>More shots are shown of the people riding along in tubes while drinking beers and speaking to one another.</t>
  </si>
  <si>
    <t>v_gLsHOCeeVUM</t>
  </si>
  <si>
    <t>A girl is seen speaking to the camera and leads into her holding bottles and washing her face.</t>
  </si>
  <si>
    <t>She wipes her face down with a towel and then puts lotion all over her face.</t>
  </si>
  <si>
    <t>v_4r0qYLCucEI</t>
  </si>
  <si>
    <t>A man dressed inn a black shirt and camouflage print shorts is demonstrating how to fix the rubber tires on a car wheel rim.</t>
  </si>
  <si>
    <t>He shows all the tools that are required to do the process.</t>
  </si>
  <si>
    <t>He takes the rubber tire and sprays it with a liquid.</t>
  </si>
  <si>
    <t>Then he fits the inner rim of the wheel into the tire.</t>
  </si>
  <si>
    <t>He uses a mallet to secure it in tightly.</t>
  </si>
  <si>
    <t>He then uses a tool to tighten the various screws that run across the entire diameter of the inner circle of the tire.</t>
  </si>
  <si>
    <t>Then he uses a torque wrench to tighten the screws further.</t>
  </si>
  <si>
    <t>He fills in air and checks the tire pressure.</t>
  </si>
  <si>
    <t>v_yEn-5y95DI0</t>
  </si>
  <si>
    <t>A group of girls are posing for a picture.</t>
  </si>
  <si>
    <t>They are then shown playing volleyall on a field in front of several tents.</t>
  </si>
  <si>
    <t>They lob the ball back and forth.</t>
  </si>
  <si>
    <t>A boy makes a hand gesture in front of the camera as he smiles.</t>
  </si>
  <si>
    <t>Again we are shown the group of girls posing in the photograph.</t>
  </si>
  <si>
    <t>v_lrM8LSnXmSw</t>
  </si>
  <si>
    <t>A woman is seen speaking to the camera while standing in front of a board.</t>
  </si>
  <si>
    <t>She begins moving up and down the board while spinning herself around and moving her body.</t>
  </si>
  <si>
    <t>She continues to move and stops to face the camera in the end.</t>
  </si>
  <si>
    <t>v_7lUaR1veDJU</t>
  </si>
  <si>
    <t>We see people playing water polo in a pool.</t>
  </si>
  <si>
    <t>A man in the rear on the right throws the ball to a player closer to the goal.</t>
  </si>
  <si>
    <t>That player then throws the ball across to a man on the left.</t>
  </si>
  <si>
    <t>A man grabs the ball and throws it in the goal.</t>
  </si>
  <si>
    <t>v_j_IJQAywTuU</t>
  </si>
  <si>
    <t>A young boy is seen riding along a skateboard followed by several more shots of people riding on boards.</t>
  </si>
  <si>
    <t>The boys perform several tricks while the camera pans into the sky and move up and down the track.</t>
  </si>
  <si>
    <t>v_rzZutQSmyJo</t>
  </si>
  <si>
    <t>A woman is playing a set of bagpipes in a room.</t>
  </si>
  <si>
    <t>She laughs as a man helps her adjust the pipes, and continues to play.</t>
  </si>
  <si>
    <t>v_hQIwXufRVGY</t>
  </si>
  <si>
    <t>A large black dog is walking down the street.</t>
  </si>
  <si>
    <t>He is holding the leash of another dog in his mouth.</t>
  </si>
  <si>
    <t>The second dog allows the first to lead him wherever he goes.</t>
  </si>
  <si>
    <t>v_afORRx0QZgI</t>
  </si>
  <si>
    <t>A woman lays on the floor in a room.</t>
  </si>
  <si>
    <t>Music starts to play and she gets up and begins belly dancing.</t>
  </si>
  <si>
    <t>As she dances, others watch.</t>
  </si>
  <si>
    <t>In the background, a child gives a woman a hug as they watch on.</t>
  </si>
  <si>
    <t>The music stops and the dancer walks off stage.</t>
  </si>
  <si>
    <t>v_izSjI7hH1-Y</t>
  </si>
  <si>
    <t>A young woman is sitting a chair extremely still as a pair of scissors are being put up her nose.</t>
  </si>
  <si>
    <t>The person who is piercing her septum continues to hold it and grabs the needle with the other hand.</t>
  </si>
  <si>
    <t>Once he pierces it,a drop of snot flies from her nose and the girl begins talking until the balls are on the end of the ring.</t>
  </si>
  <si>
    <t>v_iwHZqcYwZYU</t>
  </si>
  <si>
    <t>A man steps on a diving board and jumps.</t>
  </si>
  <si>
    <t>Then, the man flips three times and and dive in the pool.</t>
  </si>
  <si>
    <t>v_hR1HPLOmR1I</t>
  </si>
  <si>
    <t>A pinata is hanging from the ceiling.</t>
  </si>
  <si>
    <t>A boy is hitting the pinata with a stick.</t>
  </si>
  <si>
    <t>People are standing behind him watching.</t>
  </si>
  <si>
    <t>v_ThYidZUtnuo</t>
  </si>
  <si>
    <t>A worker removes moss from the top of a roof.</t>
  </si>
  <si>
    <t>Another worker sprays water all over the roof.</t>
  </si>
  <si>
    <t>The roof is then really clean.</t>
  </si>
  <si>
    <t>v_eC90hOqQ0yk</t>
  </si>
  <si>
    <t>Two men are seen kneeling before one another and begin wrestling one another.</t>
  </si>
  <si>
    <t>A large group of people are seen watching on the side while the men fight.</t>
  </si>
  <si>
    <t>The men continue fighting with one pushing the other out into the ring.</t>
  </si>
  <si>
    <t>v_--mFXNrRZ5E</t>
  </si>
  <si>
    <t>Two men are dressed in fencing gear.</t>
  </si>
  <si>
    <t>They are battling on a court with their swords.</t>
  </si>
  <si>
    <t>Green lines occasionally indicate the moves they are making.</t>
  </si>
  <si>
    <t>They stab at each other with the swords and jump about the stage.</t>
  </si>
  <si>
    <t>v_3IdaN49b9xg</t>
  </si>
  <si>
    <t>A person put objects in a pumpkin on a desk while looking inside it.</t>
  </si>
  <si>
    <t>When the man walks away, the pumpkin blast and turn on an light to see the a mouth and two eyes.</t>
  </si>
  <si>
    <t>v_894d9_pty3o</t>
  </si>
  <si>
    <t>A group of people are skiing down the side of a mountain.</t>
  </si>
  <si>
    <t>A group of moose are baying between scenes of lifts and helicopters overhead.</t>
  </si>
  <si>
    <t>People give each other high fives as they ski.</t>
  </si>
  <si>
    <t>v_6QImnhUemH0</t>
  </si>
  <si>
    <t>The man puts the mop into the blue mop bucket first and then he starts mopping.</t>
  </si>
  <si>
    <t>First he mops near the stove and the counter.</t>
  </si>
  <si>
    <t>Then he mops on the floor that between the refrigerator and another counter.</t>
  </si>
  <si>
    <t>Then he mops the center of the kitchen floor.</t>
  </si>
  <si>
    <t>v_7LvEI5zhENk</t>
  </si>
  <si>
    <t>We see a shot of a track and field arena.</t>
  </si>
  <si>
    <t>A lady in a blue shirt from Uzbekistan runs and performs a high jump and we see her score.</t>
  </si>
  <si>
    <t>We see a lady from china run and perform a high jump and see her score and we see her manager and a slow motion.</t>
  </si>
  <si>
    <t>An different lady from Uzbekistan performs a high jump and we see her score.</t>
  </si>
  <si>
    <t>The first lady performs again and knocks the bar over and looks disappointed.</t>
  </si>
  <si>
    <t>The lady from China has a second turn and also knocks over the bar and looks mad.</t>
  </si>
  <si>
    <t>The second lady from Uzbekistan performs and clears the bar and almost cries.</t>
  </si>
  <si>
    <t>We see the arena and scoreboard on the screen.</t>
  </si>
  <si>
    <t>v_UZNw4utsywI</t>
  </si>
  <si>
    <t>Several clips are shown of people riding around on skateboards in a park while looking back and smiling to the camera.</t>
  </si>
  <si>
    <t>The video continues with many more shots of people performing grinds and tricks on their skateboards and speaking to the camera.</t>
  </si>
  <si>
    <t>In the end they are seen driving around together in a car and laughing with one another.</t>
  </si>
  <si>
    <t>v_nxDAt9SkPoA</t>
  </si>
  <si>
    <t>A group of men and women are doing jump rope for aerobic exercise.</t>
  </si>
  <si>
    <t>They run in a circle, jumping as they run.</t>
  </si>
  <si>
    <t>They then lay out mats, and do several yoga cool down moves.</t>
  </si>
  <si>
    <t>v_WQXoBfyUpaY</t>
  </si>
  <si>
    <t>We see a man and a woman enter a bar room in costumes.</t>
  </si>
  <si>
    <t>The man and woman perform a dance.</t>
  </si>
  <si>
    <t>The man flips the woman and swings her around.</t>
  </si>
  <si>
    <t>The man picks up the woman and puts her on his shoulders.</t>
  </si>
  <si>
    <t>He then flips her off and onto the ground.</t>
  </si>
  <si>
    <t>The man puts the lady on his shoulder and flips her two times.</t>
  </si>
  <si>
    <t>The man spins the lady around and around and dips the lady.</t>
  </si>
  <si>
    <t>The crowd claps for the people.</t>
  </si>
  <si>
    <t>The man spins the lady around.</t>
  </si>
  <si>
    <t>The dances finish and take their bows and shake hands.</t>
  </si>
  <si>
    <t>v_S5Aj9b5T284</t>
  </si>
  <si>
    <t>Several men play table football while an audience watches on.</t>
  </si>
  <si>
    <t>A bald individual retrieves the ball and reinserts it into play.</t>
  </si>
  <si>
    <t>The bald individual reaches for the table for some reason.</t>
  </si>
  <si>
    <t>The bald individual retrieves the ball and reinserts it into play again.</t>
  </si>
  <si>
    <t>The players shake hands as the match ends.</t>
  </si>
  <si>
    <t>v_ursegSrjG1M</t>
  </si>
  <si>
    <t>A man is seen speaking to the camera and leads into clips of him moving dirt.</t>
  </si>
  <si>
    <t>Other men help plant the areas while moving around wheel barrows and planting plants while still speaking to the camera.</t>
  </si>
  <si>
    <t>v_IBte7CKOLSs</t>
  </si>
  <si>
    <t>A man throws a bowling balls and throws all the pins every time.</t>
  </si>
  <si>
    <t>Then, the man continues playing bowling successfully.</t>
  </si>
  <si>
    <t>The man miss one pin in the last play.</t>
  </si>
  <si>
    <t>v_LkA7hS3FBkQ</t>
  </si>
  <si>
    <t>A rests underneath a car in place but not lifting it off the ground.</t>
  </si>
  <si>
    <t>A man uses an electric drill to wind up the floor jack and lift the car tire off the ground.</t>
  </si>
  <si>
    <t>The man uses the electric drill again to mind down the floor jack and lower the car.</t>
  </si>
  <si>
    <t>v_PUHGXI6N0DA</t>
  </si>
  <si>
    <t>A male gymnast walks up to a beam, powdering his hands.</t>
  </si>
  <si>
    <t>He mounts the beam, then spins around it several times, changing between bars.</t>
  </si>
  <si>
    <t>He dismounts, then raises his arms into the air.</t>
  </si>
  <si>
    <t>v_a-6lVnhqU4w</t>
  </si>
  <si>
    <t>A young woman is holding a tablet to record a video of people running in a race and she is standing in the stands at a track filled with people.</t>
  </si>
  <si>
    <t>A man is running across the grass field with an orange shirt and a flag on the grass in the middle of the track.</t>
  </si>
  <si>
    <t>Another man in a black shirt runs towards the man in the orange shirt.</t>
  </si>
  <si>
    <t>The young woman continues to video the track with her tablet.</t>
  </si>
  <si>
    <t>The man in the orange shirt is running across the grass again.</t>
  </si>
  <si>
    <t>The young woman puts her tablet down after trying to video the game and looks off into the distance at the people on the track.</t>
  </si>
  <si>
    <t>Everyone starts clapping together in the stands.</t>
  </si>
  <si>
    <t>There is a photo with a guy wearing a track uniform.</t>
  </si>
  <si>
    <t>v_dzpsJQN4o-Y</t>
  </si>
  <si>
    <t>The door opens and two people wearing slippers enter the room.</t>
  </si>
  <si>
    <t>A logo briefly appears on the screen.</t>
  </si>
  <si>
    <t>Two men standing in front of a pair of bathroom sinks and mirrors remove the robes they're wearing to reveal spandex clothing, then turn to face the camera to speak.</t>
  </si>
  <si>
    <t>A large group of people ride bicycles down the road.</t>
  </si>
  <si>
    <t>A barefoot man stands in a bathroom.</t>
  </si>
  <si>
    <t>The title "How to Shave Your Legs" appears over a man performing that action.</t>
  </si>
  <si>
    <t>The men discuss and demonstrate using an electric razor to shave your legs.</t>
  </si>
  <si>
    <t>One then discusses how high your legs should be shaved.</t>
  </si>
  <si>
    <t>The man demonstrates how to lather up your legs.</t>
  </si>
  <si>
    <t>The two men demonstrate how to use a razor to shave your legs.</t>
  </si>
  <si>
    <t>They then demonstrate how to rinse your legs off.</t>
  </si>
  <si>
    <t>A man rides a bike down the road.</t>
  </si>
  <si>
    <t>The two men shave their other leg.</t>
  </si>
  <si>
    <t>v_Ye6_xb7h7jc</t>
  </si>
  <si>
    <t>two kids are standing in front of a christmas tree showing purple boots that are on the christmas tree hanging.</t>
  </si>
  <si>
    <t>the kids are pointing out the balls and the ornamens.</t>
  </si>
  <si>
    <t>the kids stands next to the three and say goodbye to the camera.</t>
  </si>
  <si>
    <t>v_bQ0L24YbGGI</t>
  </si>
  <si>
    <t>A person lifts them up in the air over them.</t>
  </si>
  <si>
    <t>Ballerinas are dancing on a stage.</t>
  </si>
  <si>
    <t>v_U7x4eGLBITE</t>
  </si>
  <si>
    <t>People are pulled up a hill on a tug rope sitting on inter tubes.</t>
  </si>
  <si>
    <t>A family pulls their inter tubes along by hand and the top of the hill.</t>
  </si>
  <si>
    <t>A person sits in an inter tube at the top of a hill then rides down the slope laughing.</t>
  </si>
  <si>
    <t>The family straps together the inter tubes in a circular grouping with the kids sitting in them.</t>
  </si>
  <si>
    <t>The family rides in a large grouping of inter tubes down a snowy slope.</t>
  </si>
  <si>
    <t>v_3kcGcDv0NOw</t>
  </si>
  <si>
    <t>An athletic man is seen spinning in circles and throwing a discuss long across a field.</t>
  </si>
  <si>
    <t>He steps up and throws several more balls in a circle while in the end wiping sweat off his face with his shirt.</t>
  </si>
  <si>
    <t>v_UNPQdg_tWh4</t>
  </si>
  <si>
    <t>A man is seen walking across a yard while holding a stick in his hand.</t>
  </si>
  <si>
    <t>The man is then seen playing a game of crochet while others watch on the side.</t>
  </si>
  <si>
    <t>The man continues to hit the ball around as well as bend down and measure out his shots.</t>
  </si>
  <si>
    <t>v_yHXZZEucV1I</t>
  </si>
  <si>
    <t>The credits of clip are shown.</t>
  </si>
  <si>
    <t>Limes are cut into pieces on a white cutting board.</t>
  </si>
  <si>
    <t>The cut limes are placed in a blender with a liquid and blended.</t>
  </si>
  <si>
    <t>The liquid is added to a pitcher with a strainer.</t>
  </si>
  <si>
    <t>The credits of video are shown.</t>
  </si>
  <si>
    <t>v_GLHsjvmOXRs</t>
  </si>
  <si>
    <t>A news woman sits at a desk, talking.</t>
  </si>
  <si>
    <t>We see numerous people running into water with kayaks, racing down a river of rapids.</t>
  </si>
  <si>
    <t>When they are done, several of the competitors are interviewed on camera, and others walk in the water on fake kayaks.</t>
  </si>
  <si>
    <t>v_eXUcFgDxslw</t>
  </si>
  <si>
    <t>We see a pregnant lady doing ballet in a studio.</t>
  </si>
  <si>
    <t>The lady spins and does a pliea.</t>
  </si>
  <si>
    <t>The people in the background clap for the lady.</t>
  </si>
  <si>
    <t>The lady then walks off camera while laughing.</t>
  </si>
  <si>
    <t>v_cht49ZCSDmY</t>
  </si>
  <si>
    <t>Two water faucets are running and show a persons hands under the sink.</t>
  </si>
  <si>
    <t>The man moves his hands around and then ends with him wiping his hands through his hair.</t>
  </si>
  <si>
    <t>v_PWriIL3pTWY</t>
  </si>
  <si>
    <t>A man in a pink suit talks to a man in a red suit and man not wearing a shirt.</t>
  </si>
  <si>
    <t>They play rock paper scissors.</t>
  </si>
  <si>
    <t>The man in the pink suit celebrates.</t>
  </si>
  <si>
    <t>The man not wearing a shirt chases the man in the pink suit.</t>
  </si>
  <si>
    <t>The man in the pink suit falls down.</t>
  </si>
  <si>
    <t>The man not wearing a shirt throws a white barrel at the man on the ground.</t>
  </si>
  <si>
    <t>A man in a black suit comes out from the bushes.</t>
  </si>
  <si>
    <t>He fights the man in the red suit.</t>
  </si>
  <si>
    <t>The man with out a shirt throws a barrel on the man in the black suit.</t>
  </si>
  <si>
    <t>v_uaIu2yDmhNU</t>
  </si>
  <si>
    <t>A jump runner warms up before going in for a long jump.</t>
  </si>
  <si>
    <t>He does the long jump, then immediately hops up and runs back, cheering and celebrating with the crowd.</t>
  </si>
  <si>
    <t>He beats his chest and hugs people.</t>
  </si>
  <si>
    <t>He then poses in front of a scoreboard while people take photographs.</t>
  </si>
  <si>
    <t>v_ODblEia5mcI</t>
  </si>
  <si>
    <t>A man makes repairs to a bicycle on the hardwood floors of a bedroom while two cats look on.</t>
  </si>
  <si>
    <t>A man enters a bedroom and takes a part a bicycle on his bedroom floor.</t>
  </si>
  <si>
    <t>The man then makes repairs using tools while two cats walk around the periphery watching and moving around.</t>
  </si>
  <si>
    <t>The man produces a lot of black dust while making the repairs to the bicycle, and he eventually leaves the room, comes back and then leaves again as one cat approaches the area the man was working from.</t>
  </si>
  <si>
    <t>v_Jt-DIHv8YK8</t>
  </si>
  <si>
    <t>A kid in a blue shirt is long boarding.</t>
  </si>
  <si>
    <t>He falls off and onto the street.</t>
  </si>
  <si>
    <t>He keeps going down the street on his long board.</t>
  </si>
  <si>
    <t>v_HoybOj2Ro7o</t>
  </si>
  <si>
    <t>A camera zooms in on various foods and ingredients as well as a pan on a stove.</t>
  </si>
  <si>
    <t>A person wearing gloves is seen spreading food onto a plate followed by a large pastry and spreading butter on it.</t>
  </si>
  <si>
    <t>The person continues making layers and then undoes the cake and shows off the solid cake.</t>
  </si>
  <si>
    <t>She takes tape out and then rolls out more dough and spreads it along the cake, showing off the finished result.</t>
  </si>
  <si>
    <t>v_L73C-2b0yEw</t>
  </si>
  <si>
    <t>A man stand on front a table full of objects while people listen to the man.</t>
  </si>
  <si>
    <t>A woman exhibit granola bars and explains to people around the table.</t>
  </si>
  <si>
    <t>Then, a person put wax on skis with an electric small machine in a room full of skis.</t>
  </si>
  <si>
    <t>v_nvsZFU73npI</t>
  </si>
  <si>
    <t>man is interviewing some people who is watching two women in bikini wrestling, the woman wins and start jumping.</t>
  </si>
  <si>
    <t>two women in bikini are standing with a dwarf and he is winning the fight while the interviewer is talking to people in the audience.</t>
  </si>
  <si>
    <t>women in bikini are preparing to wrest in the ring.</t>
  </si>
  <si>
    <t>some clips of youtube videos are shown.</t>
  </si>
  <si>
    <t>v_c21Y_pi3-Gg</t>
  </si>
  <si>
    <t>Several close ups of sandwiches are seen as well as a person cutting up meat and vegetables.</t>
  </si>
  <si>
    <t>The person cuts up bread following by laying various ingredients on the bread.</t>
  </si>
  <si>
    <t>The person closes the bread to make sandwiches followed by putting them in a french press and presenting them to the camera.</t>
  </si>
  <si>
    <t>v_xBtOxEIETtk</t>
  </si>
  <si>
    <t>A man is seen performing break dancing moves in the middle of a city square while people walk in and out of frame.</t>
  </si>
  <si>
    <t>The man continues to dance around and hold poses while looking back to the camera.</t>
  </si>
  <si>
    <t>v_12qgT1JASV4</t>
  </si>
  <si>
    <t>Two people does kick box in a boxing ring on front a crowd, while the referee turns around the boxers.</t>
  </si>
  <si>
    <t>The referee fix the helmet of the boxer.</t>
  </si>
  <si>
    <t>A stick fly and lands on the boxing ring.</t>
  </si>
  <si>
    <t>v_DyVqsDJYXdM</t>
  </si>
  <si>
    <t>A play the is part of a cricket game is shown on the screen.</t>
  </si>
  <si>
    <t>They players in the cricket game are shown celebrating and interacting with one another.</t>
  </si>
  <si>
    <t>A replay is shown and stats are then shown on the screen.</t>
  </si>
  <si>
    <t>The game continues with another play and a replay is shown of that play.</t>
  </si>
  <si>
    <t>Another play is shown and a replay of that play is shown as well.</t>
  </si>
  <si>
    <t>The next play is shown an the team begins to celebrate before a replay of that play is shown.</t>
  </si>
  <si>
    <t>The next play is shown and then the video ends.</t>
  </si>
  <si>
    <t>v_AdXXy6WTVi0</t>
  </si>
  <si>
    <t>A camera pans around a beach area followed by people walking with a surf board and proceeding to do tricks on the water.</t>
  </si>
  <si>
    <t>The camera captures the men performing different tricks as well as swimming in the ocean and moving in slow motion.</t>
  </si>
  <si>
    <t>v_M2pxaQiBbXA</t>
  </si>
  <si>
    <t>A water polo game is shown, with one player highlighted.</t>
  </si>
  <si>
    <t>A man dressed in white walks back and forth by the poolside in the background.</t>
  </si>
  <si>
    <t>A man dressed in white is shown standing in the foreground and gesturing.</t>
  </si>
  <si>
    <t>v_9yiXv7Hu5Lw</t>
  </si>
  <si>
    <t>A man dressed in yellow and black winter clothes ice fishes on a a frozen lake.</t>
  </si>
  <si>
    <t>The man is reeling in a fish for a long time.</t>
  </si>
  <si>
    <t>The mans catch finally reaches the surface.</t>
  </si>
  <si>
    <t>v_2cc7BoZHEJI</t>
  </si>
  <si>
    <t>People are playing a game of water polo in a swimming pool.</t>
  </si>
  <si>
    <t>A woman standing on the side of the pool is talking to the camera.</t>
  </si>
  <si>
    <t>A man blows a whistle on the side of the swimming pool.</t>
  </si>
  <si>
    <t>v_Y_QRRCIujIc</t>
  </si>
  <si>
    <t>A young man is shown in a room playing ping pong.</t>
  </si>
  <si>
    <t>At one point he shrugs his shoulders while waiting for his opponent to start.</t>
  </si>
  <si>
    <t>The video continues to show the man playing ping pong, and at times stopping due to the ball leaving the table.</t>
  </si>
  <si>
    <t>The video ends as the man comes up to the camera to turn it off.</t>
  </si>
  <si>
    <t>v_cYLIJC6QjQA</t>
  </si>
  <si>
    <t>There are several people in a park participating in outdoor activities.</t>
  </si>
  <si>
    <t>There is a person biking on a tight rope, trying to balance as he falls off towards the end of the rope.</t>
  </si>
  <si>
    <t>There are children running around on the ground.</t>
  </si>
  <si>
    <t>There's another man walking on the tight rope.</t>
  </si>
  <si>
    <t>There are also many people sitting on the ground as they watch the activities.</t>
  </si>
  <si>
    <t>One man continues to walk and jump and bounce on the tight rope, doing stunts as the people watch him.</t>
  </si>
  <si>
    <t>There is a bicycle fallen on the ground with its wheels turning fast.</t>
  </si>
  <si>
    <t>v_yqOW5LBA81w</t>
  </si>
  <si>
    <t>A man cuts the hedge of a house using a trimmer.</t>
  </si>
  <si>
    <t>The man stops cutting and pulls the wire of the trimmer and continues cutting.</t>
  </si>
  <si>
    <t>v_agIcVWDyeH0</t>
  </si>
  <si>
    <t>A young boy is seen sitting on a chair talking to the camera.</t>
  </si>
  <si>
    <t>He shows that his arm is in a cast and putting on his socks and shoes.</t>
  </si>
  <si>
    <t>He finally ties his shoes and looks back at the camera.</t>
  </si>
  <si>
    <t>v_9_7Z6Nhkzx8</t>
  </si>
  <si>
    <t>A few children are dressed up to go out on dirtbikes.</t>
  </si>
  <si>
    <t>The children do jumps and make fast turns.</t>
  </si>
  <si>
    <t>An onboard camera captures all of the fun.</t>
  </si>
  <si>
    <t>v_jCyrQzXK4eI</t>
  </si>
  <si>
    <t>A young man is painting the fence.</t>
  </si>
  <si>
    <t>A man in white shirt came up to the man in stripes and talk to him.</t>
  </si>
  <si>
    <t>The man in stripes painted the bread, then he is talking in his cellphone.</t>
  </si>
  <si>
    <t>v_MeGHSbUpM-U</t>
  </si>
  <si>
    <t>There are two people sailing on a speed boat through the ocean on a sunny day.</t>
  </si>
  <si>
    <t>They go through the ocean water steadily and at high speed.</t>
  </si>
  <si>
    <t>One of the sailors pulls a red rope as he wake boards on the steam boat.</t>
  </si>
  <si>
    <t>They speed through the water to catch up with another boat that is ahead of them.</t>
  </si>
  <si>
    <t>Several other steam boats pass by them as they sail through the ocean.</t>
  </si>
  <si>
    <t>v_a073aSPGTIw</t>
  </si>
  <si>
    <t>A woman is in a home gym, talking to the camera.</t>
  </si>
  <si>
    <t>She demonstrates how to use exercise equipment, pedalling and pulling ropes, even while sitting at a computer.</t>
  </si>
  <si>
    <t>She talks to the camera for an extended period, peppered with training on the equipment.</t>
  </si>
  <si>
    <t>v_rmGvgGOkqyk</t>
  </si>
  <si>
    <t>The audience look on at the games.</t>
  </si>
  <si>
    <t>A guy run with a thin, elongated stick and throws the stick.</t>
  </si>
  <si>
    <t>The guy sticks out his tongue.</t>
  </si>
  <si>
    <t>The guy holds his lips together and raises his hand.</t>
  </si>
  <si>
    <t>The guy smiles and puts a cloth down.</t>
  </si>
  <si>
    <t>v_k5lyc7zsox8</t>
  </si>
  <si>
    <t>The Scottish Archery Association has gathered in their range with several people ready to participate in an event.</t>
  </si>
  <si>
    <t>the participants take turns to use their bow and arrow to aim art the target board placed several feet away from them.</t>
  </si>
  <si>
    <t>The archers aim their arrows and shoot at the target to aim for the bulls eye.</t>
  </si>
  <si>
    <t>v_uJbM9KQBXak</t>
  </si>
  <si>
    <t>A person is walking along a slack line.</t>
  </si>
  <si>
    <t>They are moving back and forth on the slack line.</t>
  </si>
  <si>
    <t>He turns around and starts walking in the other direction.</t>
  </si>
  <si>
    <t>v_eAFFf5cSX5c</t>
  </si>
  <si>
    <t>A man and a woman perform various dance moves back and fourth in an empty room.</t>
  </si>
  <si>
    <t>The couple continue to spin and perform the tango routine while the man spins her around behind him.</t>
  </si>
  <si>
    <t>v_i3u27-oJzBY</t>
  </si>
  <si>
    <t>A man is seen speaking to the camera while holding a wire in his hands.</t>
  </si>
  <si>
    <t>He continues to speak while using his hands and stepping around a carpeted area.</t>
  </si>
  <si>
    <t>He then uses a vacuum on the floors while still speaking to the camera.</t>
  </si>
  <si>
    <t>v_bNGldPjMYHc</t>
  </si>
  <si>
    <t>A clip is shown of a bunch of people white water rafting down some pretty tough river streams.</t>
  </si>
  <si>
    <t>They work in unison and it is very rough.</t>
  </si>
  <si>
    <t>They almost hit a rock as they all paddle very hard.</t>
  </si>
  <si>
    <t>A still show of them after making it through is shown with them cheering.</t>
  </si>
  <si>
    <t>A shot of them in slow motion of the most difficult parts is then shown.</t>
  </si>
  <si>
    <t>The video shows some more slow motion and fast motion before coming to an end and showing ending credits and a youtube channel name.</t>
  </si>
  <si>
    <t>v_fpVaXCwccNk</t>
  </si>
  <si>
    <t>A lady is standing and holding a hammer.</t>
  </si>
  <si>
    <t>The lady spins with the hammer and throws the hammer.</t>
  </si>
  <si>
    <t>The lady leaves after releasing the hammer.</t>
  </si>
  <si>
    <t>v_ap2XL5wma4c</t>
  </si>
  <si>
    <t>children are playing in an olimpic pool and a woman is talking to camera.</t>
  </si>
  <si>
    <t>kid is using sunscreen and a woman is talking about coppertone sunscreen recommended for kids.</t>
  </si>
  <si>
    <t>v_ecVUPpBNpdA</t>
  </si>
  <si>
    <t>A man speaks holding a microphone, then the man performs arm wrestling with a person.</t>
  </si>
  <si>
    <t>The man grabs a weigh and practice weight lifting with his left hand.</t>
  </si>
  <si>
    <t>After, the man takes his watch off and performs arm wrestling with the person and wins, then he jumps happily.</t>
  </si>
  <si>
    <t>v_nlHN3bO_MOQ</t>
  </si>
  <si>
    <t>A drum line is happening on a city street.</t>
  </si>
  <si>
    <t>They get in formation then start marching down the street.</t>
  </si>
  <si>
    <t>v_oL1gGyMz79s</t>
  </si>
  <si>
    <t>A man is bowling and misses one pin with his first ball.</t>
  </si>
  <si>
    <t>He gets all strikes for the next six rounds.</t>
  </si>
  <si>
    <t>The man switches balls and bowls several more rounds getting mostly strikes.</t>
  </si>
  <si>
    <t>He changes his ball again and bowls two more strikes.</t>
  </si>
  <si>
    <t>A replay of the man bowling with each ball is shown.</t>
  </si>
  <si>
    <t>v_w2fsq9BOoZo</t>
  </si>
  <si>
    <t>People are in a city walking, talking and doing activities.</t>
  </si>
  <si>
    <t>Two men play in the street paper, scissors and stone on front other people.</t>
  </si>
  <si>
    <t>A man talks with people watching him.</t>
  </si>
  <si>
    <t>v_qnDHR-jYWf0</t>
  </si>
  <si>
    <t>a man is shown inside a swimming pool.</t>
  </si>
  <si>
    <t>He tosses a ball over and over to his dog.</t>
  </si>
  <si>
    <t>The dog continuously bounces the ball back with his nose.</t>
  </si>
  <si>
    <t>v_HbF6UM4jUDk</t>
  </si>
  <si>
    <t>A woman in a green shirt is standing outside holding a hula hoop.</t>
  </si>
  <si>
    <t>She starts hula hooping with the hula hoop.</t>
  </si>
  <si>
    <t>Words come up onto the screen at the end.</t>
  </si>
  <si>
    <t>v_l9mvKfKACio</t>
  </si>
  <si>
    <t>A group of people are outside a ski resort entitled Boulder ridge and they begin to wait in line with their tubes.</t>
  </si>
  <si>
    <t>As they are waiting,they can see several people going down the hill and tubing before it is finally their turn.</t>
  </si>
  <si>
    <t>Once they reach the bottom,they grab their tube and begin to walk off the slope.</t>
  </si>
  <si>
    <t>v_2vixXUJiNhk</t>
  </si>
  <si>
    <t>An intro video with a blue screen that has a picture of a drawn ship is in the background while yellow words scroll from the bottom to the top.</t>
  </si>
  <si>
    <t>A view from the water begins and a few houses and a lot of trees are shown on land.</t>
  </si>
  <si>
    <t>A person underwater in snorkeling gear is now swimming around the bottom of the water and meets up with another snorkeler and they both go into a ship that is underwater as they both hold their flashlights and cameras to explore the ship and everything else at the bottom of the water.</t>
  </si>
  <si>
    <t>A school of fishes appear and they're swimming and hanging around the boat.</t>
  </si>
  <si>
    <t>The focus goes back to the snorkelers as they continue to explore the area with their flashlights.</t>
  </si>
  <si>
    <t>The outro video appears and it's the same blue picture as the intro and includes some contact information on the video and the credits begin to roll with the text scrolling from bottom to top.</t>
  </si>
  <si>
    <t>v_CTmXCO7ha-Y</t>
  </si>
  <si>
    <t>A man is seated, playing a guitar.</t>
  </si>
  <si>
    <t>Close ups are occasionally shown of the instrument, then back to the man playing.</t>
  </si>
  <si>
    <t>v_PU6f-DcDngM</t>
  </si>
  <si>
    <t>People are playing a polo match in a field.</t>
  </si>
  <si>
    <t>The focus is on one man and horse who chase the ball.</t>
  </si>
  <si>
    <t>The camera stays on number 2 the whole time.</t>
  </si>
  <si>
    <t>v_XkTWEDKtP1A</t>
  </si>
  <si>
    <t>A man named bob is running and does a long jump.</t>
  </si>
  <si>
    <t>He does it again landing into some sand.</t>
  </si>
  <si>
    <t>He continues to do this run and jump again landing like a pro.</t>
  </si>
  <si>
    <t>Then another man named ralph is going to take his own turn next.</t>
  </si>
  <si>
    <t>v_q4jeW0iSA9Y</t>
  </si>
  <si>
    <t>Various text intros lead into several people running down a long track.</t>
  </si>
  <si>
    <t>The camera captures the runners from several angles and leads into them performing jumps.</t>
  </si>
  <si>
    <t>The runners continuously jump into the pit and end with text across the screen.</t>
  </si>
  <si>
    <t>v_eyfUkLbsixg</t>
  </si>
  <si>
    <t>A woman in a red suit is talking behind a desk.</t>
  </si>
  <si>
    <t>A man is standing up holding his foot behind is back.</t>
  </si>
  <si>
    <t>People are running down the sidewalk.</t>
  </si>
  <si>
    <t>A man in a blue shirt is talking to the camera.</t>
  </si>
  <si>
    <t>A woman in a black shirt is talking to the camera.</t>
  </si>
  <si>
    <t>People are running down a trail.</t>
  </si>
  <si>
    <t>v_oxcUr-Nlldo</t>
  </si>
  <si>
    <t>We see men walking down the street and a skateboarder fall.</t>
  </si>
  <si>
    <t>We see club kids and skateboarders with title screens.</t>
  </si>
  <si>
    <t>We see men skateboard down a street and stand around in groups.</t>
  </si>
  <si>
    <t>A man jumps over stairs and runs into the camera.</t>
  </si>
  <si>
    <t>A man falls and another runs into the camera.</t>
  </si>
  <si>
    <t>We see a man wave and another on a bull horn.</t>
  </si>
  <si>
    <t>The club lights flash and a band plays music as people dance.</t>
  </si>
  <si>
    <t>We see the credits and more skating.</t>
  </si>
  <si>
    <t>v_JRg3W4xKvJI</t>
  </si>
  <si>
    <t>An intro clip appears and it's an animation of a gray rocking chair rocking on a very light gray screen that have orange words that say "THE Strippers!" and the white letters M&amp;R in a dark blue oval.</t>
  </si>
  <si>
    <t>Clips of the shop exterior and interior are shown and it includes a person in an office, people in the shop working on the wood pieces, people being interviewed, wood supplies, and the finished wood pieces themselves.</t>
  </si>
  <si>
    <t>The outro appears and it's the video clip of the workers working on the wood pieces, and text appear on the screen that include the shops address, email, website and phone number, the exterior shop is shown again.</t>
  </si>
  <si>
    <t>The last screen is the light gray screen first shown and include the company name, number and the website.</t>
  </si>
  <si>
    <t>v_SOpFjnAT_SE</t>
  </si>
  <si>
    <t>A girl sits in front of a lap top.</t>
  </si>
  <si>
    <t>She is smoking a hookah with a red tip, and blowing the smoke out of her mouth.</t>
  </si>
  <si>
    <t>She laughs, then shares the hookah with another woman, who changes the tip and smokes as well.</t>
  </si>
  <si>
    <t>The women talk and smoke at the table for a long time.</t>
  </si>
  <si>
    <t>v_76RoR_LbIzQ</t>
  </si>
  <si>
    <t>Pictures of an office is shown.</t>
  </si>
  <si>
    <t>A woman is doing another woman's hair.</t>
  </si>
  <si>
    <t>People are doing hair in a hair salon.</t>
  </si>
  <si>
    <t>v_R7QwxoVTtE0</t>
  </si>
  <si>
    <t>A woman is seen speaking to the camera while holding various objects in her hands and begins spraying down a window in front of her.</t>
  </si>
  <si>
    <t>The woman wipes down the window with a rag as well as a scraper and continues to look back and speak to the camera.</t>
  </si>
  <si>
    <t>v_-06dWmCzbxY</t>
  </si>
  <si>
    <t>A person rides down a rapid on an inter tube in a group of friends on a rocky river.</t>
  </si>
  <si>
    <t>The people in the intertubes are helped along by a river guides in polo shirt.</t>
  </si>
  <si>
    <t>v_BetFWvm92nM</t>
  </si>
  <si>
    <t>A girl pours liquid from a bottle to a cup that holds a young lady, then they rinse their mouths while making gestures and laughing.</t>
  </si>
  <si>
    <t>After, the young lady spits the liquid and then she pock the cheek of the girl who spits.</t>
  </si>
  <si>
    <t>Next, the girl turns on the faucet of the bathtub and bend, after the girl turns off the faucet and clean her hands while speaking.</t>
  </si>
  <si>
    <t>v_YgrWck47C-g</t>
  </si>
  <si>
    <t>We see a man talking.</t>
  </si>
  <si>
    <t>The man wets his hands and adds soap.</t>
  </si>
  <si>
    <t>We see the man wash his hands.</t>
  </si>
  <si>
    <t>The man rinses his hands.</t>
  </si>
  <si>
    <t>The man drys his hands and turns the water off with the paper towel.</t>
  </si>
  <si>
    <t>v_xIAq1OdWQM0</t>
  </si>
  <si>
    <t>Several young men practice long jumps, and backward jumps inside of a gym with an American Flag hanging on the wall.</t>
  </si>
  <si>
    <t>A man practices a long jump inside of an indoor gym using a interior sandbox for landing and a drawn race track isle.</t>
  </si>
  <si>
    <t>Another man practices hurling himself backward over a pole onto a gym mat inside of the gym.</t>
  </si>
  <si>
    <t>Several more men practice long jumps and backward jumps inside of the gym using the sandbox and gym mats as landing tools.</t>
  </si>
  <si>
    <t>v_PziLzNjG2bI</t>
  </si>
  <si>
    <t>There are two contestants participating in the athletic jump competition.</t>
  </si>
  <si>
    <t>There are several spectators and judges watching them as they jump over the bar in a large indoor stadium.</t>
  </si>
  <si>
    <t>Both the contestants successfully jump over the bar.</t>
  </si>
  <si>
    <t>There is a slow motion video of the contestant jumping over the bar.</t>
  </si>
  <si>
    <t>v_3vs3ofTw1vY</t>
  </si>
  <si>
    <t>There are several people getting ready to ski.</t>
  </si>
  <si>
    <t>There's a person skiing downhill with full speed whose shadow can be seen.</t>
  </si>
  <si>
    <t>There are people sitting and waiting on top of a mountain waiting to start skiing.</t>
  </si>
  <si>
    <t>The skier going fast downhill is demonstrating how to turn and manage speed while going downhill.</t>
  </si>
  <si>
    <t>There are some people walking toward the ski mountain on a escalator.</t>
  </si>
  <si>
    <t>The skier continues to ski downhill steadily on steep and winding slopes.</t>
  </si>
  <si>
    <t>v_QrsOyEw4_7k</t>
  </si>
  <si>
    <t>There's a girl with light eyes and dark brown hair talking about a colored eye lenses.</t>
  </si>
  <si>
    <t>She is doing a tutorial on how to wear colored lenses in your eyes.</t>
  </si>
  <si>
    <t>She opens a small glass bottle that contains the colored lenses.</t>
  </si>
  <si>
    <t>She removes the lens out and places it on her finger.</t>
  </si>
  <si>
    <t>Then she gently wears the lens in her right eye first and then in her left eye.</t>
  </si>
  <si>
    <t>She shows the yellow colored lens that she has worn.</t>
  </si>
  <si>
    <t>v_L7Gt1NO1nx8</t>
  </si>
  <si>
    <t>We see the title over the scene.</t>
  </si>
  <si>
    <t>We see the reverse of a man is mowing his lawn with an electric mower.</t>
  </si>
  <si>
    <t>The man goes halfway up the yard and turns around.</t>
  </si>
  <si>
    <t>The ending title returns to the screen.</t>
  </si>
  <si>
    <t>v_nARkYpOZWyg</t>
  </si>
  <si>
    <t>A man rides on a small rail cart blowing leaves with a leaf blower.</t>
  </si>
  <si>
    <t>The man goes right on a fork in the tracks on a cart and around a bend.</t>
  </si>
  <si>
    <t>v_0zXTrkgUj0U</t>
  </si>
  <si>
    <t>A young child uses a toy vacuum cleaner on a wood floor.</t>
  </si>
  <si>
    <t>The mom comes and helps the child.</t>
  </si>
  <si>
    <t>v_EZZzVXqxG6U</t>
  </si>
  <si>
    <t>Multiple men begin to start turning their bodies as quickly as they possibly can.</t>
  </si>
  <si>
    <t>They each in different situations but all playing the same sport.</t>
  </si>
  <si>
    <t>They build up as much speed as possible so they can throw as far as possible.</t>
  </si>
  <si>
    <t>There are even audience for this sport that actually come to watch it.</t>
  </si>
  <si>
    <t>v_8klHUzPHtQw</t>
  </si>
  <si>
    <t>We see a BMX biker as he prepares to to ride.</t>
  </si>
  <si>
    <t>We see the gate open and see the field.</t>
  </si>
  <si>
    <t>The rider takes off down the course.</t>
  </si>
  <si>
    <t>We see riders perform jumps and people riding bikes.</t>
  </si>
  <si>
    <t>We see another start and a group of people take off in an indoor track.</t>
  </si>
  <si>
    <t>We see shots of men riding outdoors and another gate opens.</t>
  </si>
  <si>
    <t>We see a bike laying on it's side.</t>
  </si>
  <si>
    <t>v_7xLL5okHSIU</t>
  </si>
  <si>
    <t>A intro begins and shows a man holding a shovel and talking to the camera.</t>
  </si>
  <si>
    <t>He gradually rakes leaves and talks to the camera and shows several people also helping picking up leaves.</t>
  </si>
  <si>
    <t>Different people are interviewed on camera while several others are shown raking up the leaves.</t>
  </si>
  <si>
    <t>A man is seen sitting in his car and another puts his gloves on.</t>
  </si>
  <si>
    <t>The camera pans over the raked up leaves while several others discuss their hard work.</t>
  </si>
  <si>
    <t>v_kTStFRAp99E</t>
  </si>
  <si>
    <t>We see two girls one sitting the other bending over.</t>
  </si>
  <si>
    <t>The bending girl stands up.</t>
  </si>
  <si>
    <t>We see a person painting the sitting girls toe nails.</t>
  </si>
  <si>
    <t>v_QTD0vCdofTE</t>
  </si>
  <si>
    <t>little kid is in a parking playing hopscotch next to cars.</t>
  </si>
  <si>
    <t>man wearing shorts is standing next to the hopscotch game.</t>
  </si>
  <si>
    <t>litle blond kid is standing in street playing in font of a man.</t>
  </si>
  <si>
    <t>v_RX8YG2zlyUo</t>
  </si>
  <si>
    <t>There are horses, and they are getting off a trailer.</t>
  </si>
  <si>
    <t>They go to ride through the desert, through different portions of the desert.</t>
  </si>
  <si>
    <t>v_vfJnUQ9Tax0</t>
  </si>
  <si>
    <t>A woman is seen washing her hands under a sink with a light appearing in the water for temperature.</t>
  </si>
  <si>
    <t>The person continues scrubbing their hands and shakes them off in the end.</t>
  </si>
  <si>
    <t>v_4wIqgWw53XE</t>
  </si>
  <si>
    <t>People sail on sailboards in the ocean.</t>
  </si>
  <si>
    <t>A man sails on a sailboard passing on front other sailors.</t>
  </si>
  <si>
    <t>A plane fly above the beach where people sail.</t>
  </si>
  <si>
    <t>A woman takes picture of the city from a hill.</t>
  </si>
  <si>
    <t>v_BxyOAXTWkzk</t>
  </si>
  <si>
    <t>Several people are seen in different scenes, walking in public.</t>
  </si>
  <si>
    <t>A man helps a woman mount a horse in the woods.</t>
  </si>
  <si>
    <t>She feeds the horse apples as they ride through the wooded paths.</t>
  </si>
  <si>
    <t>v_BVzW_OoUmnU</t>
  </si>
  <si>
    <t>A boy is standing out in the woods holding a piece of bark and talking to the camera.</t>
  </si>
  <si>
    <t>A woman is seen making a stack of logs while the boy walks into frame.</t>
  </si>
  <si>
    <t>She continues lighting the stick until a flame begins and puts it into the fire.</t>
  </si>
  <si>
    <t>The fire gradually gets bigger and the woman puts more and more bark into it.</t>
  </si>
  <si>
    <t>v_aj2cioE_yG0</t>
  </si>
  <si>
    <t>A man is seen wearing a red shirt and standing next to a fooseball table.</t>
  </si>
  <si>
    <t>The man plays a bit followed by holding up a beer can and presenting it to the camera.</t>
  </si>
  <si>
    <t>The man then continues to play while the camera zooms in on the table.</t>
  </si>
  <si>
    <t>v_Zhfm2dWtnpc</t>
  </si>
  <si>
    <t>A man runs all around doing jump rope while the crowd cheers.</t>
  </si>
  <si>
    <t>Some people are crawling around in the background on the floor.</t>
  </si>
  <si>
    <t>The man finishes the routine and then runs over to hug a woman.</t>
  </si>
  <si>
    <t>v_t2wawfMaTzM</t>
  </si>
  <si>
    <t>Two kids are seen standing around in indoor room holding tennis rackets.</t>
  </si>
  <si>
    <t>The camera pans around to children hitting the ball holding tennis rackets.</t>
  </si>
  <si>
    <t>The kids continue to hit the ball around one another.</t>
  </si>
  <si>
    <t>v_Chj1_JbBc4A</t>
  </si>
  <si>
    <t>A small group of people are seen standing with one another and leads into them running and playing a game of paintball.</t>
  </si>
  <si>
    <t>The cameraman aims all around him from capturing others and shooting several times off into the distance.</t>
  </si>
  <si>
    <t>The game continues on with the man running around and stopping in the end.</t>
  </si>
  <si>
    <t>v_88Mt7VfUQBU</t>
  </si>
  <si>
    <t>A man is kneeling down on a blue mat.</t>
  </si>
  <si>
    <t>Another man kneels down on the ground next to him.</t>
  </si>
  <si>
    <t>The man lifts up one end of a weight and lifts it over his head.</t>
  </si>
  <si>
    <t>v_2DTwoKZsLMo</t>
  </si>
  <si>
    <t>A man wearing black socks is shown putting his black leather shoes on and tying his laces.</t>
  </si>
  <si>
    <t>There's another person wearing brown leather shoes on black socks.</t>
  </si>
  <si>
    <t>He ties the laces tightly to secure them.</t>
  </si>
  <si>
    <t>Then another scene shows a person wearing leather slip on shoes over black socks.</t>
  </si>
  <si>
    <t>Followed by several scenes showing the person wearing brown leather shoes with laces.</t>
  </si>
  <si>
    <t>He wears the shoes over black socks and ties the shoe laces securely.</t>
  </si>
  <si>
    <t>He then stands up after he's done wearing the brown leather shoes.</t>
  </si>
  <si>
    <t>v_3HUvtWSu4mA</t>
  </si>
  <si>
    <t>A person's hands are seen clipping the nails of a cat while the cat struggles a bit.</t>
  </si>
  <si>
    <t>More shots of her clipping the cat are shown and at one point he moves and she grabs him by the neck.</t>
  </si>
  <si>
    <t>v_i9t0zZzzbhE</t>
  </si>
  <si>
    <t>men are in a stadium cleaning te snow from the stands.</t>
  </si>
  <si>
    <t>men are riding horses in snowy field.</t>
  </si>
  <si>
    <t>men are puting boots and polo uniforms.</t>
  </si>
  <si>
    <t>women are standing in a field walking and sitting on stands.</t>
  </si>
  <si>
    <t>men are playing polo in snowy field while people is around watching them.</t>
  </si>
  <si>
    <t>v_GejFc4J2mfc</t>
  </si>
  <si>
    <t>A young man wearing a tie die shirt is seen speaking to the camera and then shows him picking out some clothes.</t>
  </si>
  <si>
    <t>He shows off his legs and then runs an electric razor down his legs shaving off the hair.</t>
  </si>
  <si>
    <t>He then puts shaving cream on his legs and shaves them, finally showing off his bare legs in the end and speaking to the camera.</t>
  </si>
  <si>
    <t>v_A9uBPwP7DQc</t>
  </si>
  <si>
    <t>We see astronauts floating in a ship.</t>
  </si>
  <si>
    <t>The man hands the lady the microphone.</t>
  </si>
  <si>
    <t>The middle man crosses his hands and has the microphone.</t>
  </si>
  <si>
    <t>The lady gets the microphone back and talks.</t>
  </si>
  <si>
    <t>The lady grabs flute and plays.</t>
  </si>
  <si>
    <t>v_bXp_reTHyHY</t>
  </si>
  <si>
    <t>A woman is seen walking with a horse and pans around to another girl walking away.</t>
  </si>
  <si>
    <t>More girls are seen holding a product and speaking to the camera and leads into the girls showing how to clean the horse and brushing the horse.</t>
  </si>
  <si>
    <t>v_PhioVMXx0yY</t>
  </si>
  <si>
    <t>A man is using an elliptical trainer while standing.</t>
  </si>
  <si>
    <t>Then a woman sits on it as she uses it in another fashion.</t>
  </si>
  <si>
    <t>It switches between the two as they exercise.</t>
  </si>
  <si>
    <t>A close up is shown as to how the machine works, and folds up for easy storage.</t>
  </si>
  <si>
    <t>v_AUSqTMtjD0Y</t>
  </si>
  <si>
    <t>A man and boy are outside on a driveway.</t>
  </si>
  <si>
    <t>They are competing to see how fast they can shovel snow off the driveway.</t>
  </si>
  <si>
    <t>They run back and forth as fast as they can.</t>
  </si>
  <si>
    <t>v_kgPvfYhmn54</t>
  </si>
  <si>
    <t>A group of people are floating on rafts on a river.</t>
  </si>
  <si>
    <t>They are paddling the rafts through harsh white water rapids.</t>
  </si>
  <si>
    <t>The people fall out, and are pulled back in by other rafters before continuing on their way.</t>
  </si>
  <si>
    <t>v_o9LZZeQZ-Zc</t>
  </si>
  <si>
    <t>A man is seen speaking to the camera while sitting in a kayak and holding a toy person on a kayak around in his lap.</t>
  </si>
  <si>
    <t>The man continues to speak to the camera while holding the object and leads into him riding around in the kayak.</t>
  </si>
  <si>
    <t>v_mXM5FOi_OoM</t>
  </si>
  <si>
    <t>A man is seen outside in front of a porch pushing a mower back and fourth.</t>
  </si>
  <si>
    <t>He runs the mower along the grass and moves up and down the lawn.</t>
  </si>
  <si>
    <t>v_iDofsMwceTo</t>
  </si>
  <si>
    <t>A man is wearing a suit and speaking and the words on the screen say that his name is Rich Noonan and that he's the host of Best of The Best Television.</t>
  </si>
  <si>
    <t>A series still shot pictures of homes, people, stucco work being done on a home, a list of stucco information begin to play and the opening words before the pictures start say "BEST OF THE BEST TELEVISION".</t>
  </si>
  <si>
    <t>When the pictures are done a dark gray screen appears that include the name of the stucco company, their phone number and their website.</t>
  </si>
  <si>
    <t>The host appears talking once again and it ends with the words a screen saying BEST OF THE BEST TELEVISION and then a screen naming the producer and his website.</t>
  </si>
  <si>
    <t>v_0z7qHOca3D4</t>
  </si>
  <si>
    <t>An introduction graphic is seen with title.</t>
  </si>
  <si>
    <t>A large empty beach is seen seen from the shore.</t>
  </si>
  <si>
    <t>A bird is seen walking along the shoreline.</t>
  </si>
  <si>
    <t>A group rides horses along the coast line together.</t>
  </si>
  <si>
    <t>Different species of flowers are seen.</t>
  </si>
  <si>
    <t>The group rides up along the bluffs.</t>
  </si>
  <si>
    <t>A female rider rides near the waters edge.</t>
  </si>
  <si>
    <t>The group rides through loose sand and the horses kick it up into the air.</t>
  </si>
  <si>
    <t>The group rides along a dune section and through some low vegetation.</t>
  </si>
  <si>
    <t>The group rides at a gallup through the water and along the beach.</t>
  </si>
  <si>
    <t>The riders ride slowly and then it becomes later in the day and the sun is getting low.</t>
  </si>
  <si>
    <t>The beach is seen from a distance as the sun has set.</t>
  </si>
  <si>
    <t>v_Yojuicji624</t>
  </si>
  <si>
    <t>Some white text on a black background explains that no humans were injured during this video.</t>
  </si>
  <si>
    <t>A young man is making some faces to the camera while standing in front of a rock.</t>
  </si>
  <si>
    <t>Some footage plays of other people tight rope walking and doing other tricks on the tight rope.</t>
  </si>
  <si>
    <t>An older man is riding a tiny bicycle inside a store.</t>
  </si>
  <si>
    <t>More footage is shown of tight rope walkers tripping and falling.</t>
  </si>
  <si>
    <t>Some graphics from the organizations who made the video are shown.</t>
  </si>
  <si>
    <t>v_1pOmOTz-bzk</t>
  </si>
  <si>
    <t>A person is seen riding along the water in a kayak.</t>
  </si>
  <si>
    <t>The person uses a paddle to push themselves around the water while looking off into the distance.</t>
  </si>
  <si>
    <t>The person continues riding around flipping in the water and moving away from the camera.</t>
  </si>
  <si>
    <t>v_QN2wHsiBEC0</t>
  </si>
  <si>
    <t>A man, with a saxophone around his neck, demonstrates how to play the saxophone in front of a green chalkboard and next to a brown piano.</t>
  </si>
  <si>
    <t>The man points to different sections of the saxophone as he talks to the camera.</t>
  </si>
  <si>
    <t>The man begins to play the saxophone briefly and then turns to the chalkboard and begins to write notes on it as he talks to the camera.</t>
  </si>
  <si>
    <t>The man points to notes written on the chalkboard before beginning to play as he reads the notes from the board, before returning to talking and playing in front of the camera.</t>
  </si>
  <si>
    <t>v_A_SU2jjfMJk</t>
  </si>
  <si>
    <t>A person walks into the view of the camera where there is an orange toy laying on the floor.</t>
  </si>
  <si>
    <t>The person begins to wipe their feet vigorously on the toy.</t>
  </si>
  <si>
    <t>The person kicks the toy away as the they finish wiping their feet on the toy.</t>
  </si>
  <si>
    <t>v_iKuBIzUHxYc</t>
  </si>
  <si>
    <t>A seated man is talking to a room full of soccer players.</t>
  </si>
  <si>
    <t>They kick the ball around in their locker room.</t>
  </si>
  <si>
    <t>The man talks to the camera about the game.</t>
  </si>
  <si>
    <t>He walks out, and a game is shown in progress as he discusses it longer.</t>
  </si>
  <si>
    <t>Men are shown talking, playing the game, and posing for a team photograph at the end.</t>
  </si>
  <si>
    <t>v_akMN3uX51Ws</t>
  </si>
  <si>
    <t>Teens skateboard on the road and a parking lot during the day.</t>
  </si>
  <si>
    <t>The teens skateboard in the street day and night.</t>
  </si>
  <si>
    <t>Teens skateboard in a busy street, then they skateboard on the rails of a building.</t>
  </si>
  <si>
    <t>After, the teens skateboard day and night in the street.</t>
  </si>
  <si>
    <t>v_NM4nBojCSwQ</t>
  </si>
  <si>
    <t>A man is seen holding up a shirt to the camera while the cameraman speaks and pans back to the man with the shirt.</t>
  </si>
  <si>
    <t>The man holding speaking and points to an iron near him.</t>
  </si>
  <si>
    <t>He picks up the iron waiting for it to get hot, then proceeds to iron his shirt while looking at the camera.</t>
  </si>
  <si>
    <t>v_2PAVJbmj2lQ</t>
  </si>
  <si>
    <t>A small group of people are seen standing around a gymnasium with one running down and shooting a basket.</t>
  </si>
  <si>
    <t>Several more people are seen running down the lane and shooting a basket above them.</t>
  </si>
  <si>
    <t>More girls run down to shoot a basket and end by walking back together.</t>
  </si>
  <si>
    <t>v_vdYFwqfqgJA</t>
  </si>
  <si>
    <t>A still image of a hockey team is shown and a number seven is shown across the screen.</t>
  </si>
  <si>
    <t>A circle then highlights the player and the game begins.</t>
  </si>
  <si>
    <t>As the game keeps going,the athlete is pictured several times when he does something spectacular.</t>
  </si>
  <si>
    <t>v_NwfosNrFnwk</t>
  </si>
  <si>
    <t>A man holding a pole runs quickly towards the finish line and throws it quite far.</t>
  </si>
  <si>
    <t>The athlete seems proud of his throw and his moment is shown again in slow motion.</t>
  </si>
  <si>
    <t>The commentator continues to discuss his technique while replaying the throw several times.</t>
  </si>
  <si>
    <t>v_C5KcdwGSvbw</t>
  </si>
  <si>
    <t>A person is pressing buttons on an oven.</t>
  </si>
  <si>
    <t>A girl pours ingredients into a bowl together.</t>
  </si>
  <si>
    <t>She mixes the ingredients using a mixer then puts more ingredients in the bowl.</t>
  </si>
  <si>
    <t>The mixes again and finally puts another small amount of ingredients in the bowl.</t>
  </si>
  <si>
    <t>She mixes a third time and adds chocolate chips, finally mixing one more time.</t>
  </si>
  <si>
    <t>The oven peeps and she prepares a pan with cookie dough.</t>
  </si>
  <si>
    <t>She puts the dough into the oven and presses bake options.</t>
  </si>
  <si>
    <t>After several minutes she takes out the pan and spread the cookies out.</t>
  </si>
  <si>
    <t>v_e1tC-0BSwV4</t>
  </si>
  <si>
    <t>Lemonade is seen being poured into a glass and a woman pouring out water.</t>
  </si>
  <si>
    <t>She mixes ingredients into a container and pours out more water.</t>
  </si>
  <si>
    <t>In the she she shows off her lemonade.</t>
  </si>
  <si>
    <t>v_G7kqlq8WhRo</t>
  </si>
  <si>
    <t>A large group of people is seen standing around several men holding a rope preparing to play tug of war.</t>
  </si>
  <si>
    <t>Another group of men is seen with pulling the rope while a crowd standing around cheers them on.</t>
  </si>
  <si>
    <t>A third group of men are seen playing tug of war with a crowd around them.</t>
  </si>
  <si>
    <t>A forth group of men is shown also playing tug of war in a crowd.</t>
  </si>
  <si>
    <t>A fifth group of men is shown playing tug of war in a crowd of people and dogs.</t>
  </si>
  <si>
    <t>A different group of men plays tug of war with a crowd watching.</t>
  </si>
  <si>
    <t>A seventh group of men is playing tug of war in a crowd.</t>
  </si>
  <si>
    <t>A different group of men is playing tug if war and appear to be winning while being cheered on by the crowd.</t>
  </si>
  <si>
    <t>Yet, another group of men is playing tug of war while a crowd watches on.</t>
  </si>
  <si>
    <t>Another group of men is shown playing tug if war up close while a crowd watches.</t>
  </si>
  <si>
    <t>Another group of men plays while people sit and stand in the background.</t>
  </si>
  <si>
    <t>A different group of men is seen playing while people sit and stand around them.</t>
  </si>
  <si>
    <t>A different group of men is shown up close while people sit and stand in the background.</t>
  </si>
  <si>
    <t>A group of men is shown up close playing tug of war with people around them.</t>
  </si>
  <si>
    <t>Another group of men is seen playing while people stand on the sidewalk watching.</t>
  </si>
  <si>
    <t>A group of men in all black plays tug of war while people stand around them.</t>
  </si>
  <si>
    <t>A different group of men plays tug of war among a large crowd cheering for them.</t>
  </si>
  <si>
    <t>Some of the men fall down as they win the game.</t>
  </si>
  <si>
    <t>Another group is seen up close with a crowd of people and a young girl screaming.</t>
  </si>
  <si>
    <t>v_sLtQvJXnrOE</t>
  </si>
  <si>
    <t>There's a guy wearing yellow rubber gloves demonstrating how to fix a tire on a car wheel.</t>
  </si>
  <si>
    <t>He is unscrewing the screws that hold the plates of the wheel.</t>
  </si>
  <si>
    <t>He loosens the screws to remove the tire.</t>
  </si>
  <si>
    <t>v_gY-TqRhcWY8</t>
  </si>
  <si>
    <t>A group of young men are inside a room.</t>
  </si>
  <si>
    <t>They are engaged in a game of foosball together.</t>
  </si>
  <si>
    <t>They laugh and kick the people back and forth.</t>
  </si>
  <si>
    <t>v_QRn9v8F8Nn0</t>
  </si>
  <si>
    <t>a sreet woth houses and cars covered by snow are shown.</t>
  </si>
  <si>
    <t>man is removing a thick layer of snow from a car.</t>
  </si>
  <si>
    <t>v_DfYDYCWkB-o</t>
  </si>
  <si>
    <t>A woman is seen speaking to the camera while sitting in a chair and leads to hear sitting in a shower holding a dog.</t>
  </si>
  <si>
    <t>She scrubs the dog down with soap and then rinses the dog off while speaking to the camera.</t>
  </si>
  <si>
    <t>She is then seen playing with the dog outside and intermittently speaking to the camera.</t>
  </si>
  <si>
    <t>v_rBEQh8V2TI8</t>
  </si>
  <si>
    <t>The words "Conga The Entertainers Dance Company Flemington New Jersey" appears on screen.</t>
  </si>
  <si>
    <t>Four young girls perform on stage at the "American Dance Championships.</t>
  </si>
  <si>
    <t>" The girls fall to the floor as part of the routine and continue to dance.</t>
  </si>
  <si>
    <t>v_rE2IiY5E8LQ</t>
  </si>
  <si>
    <t>A man stands around a giant ball.</t>
  </si>
  <si>
    <t>The man kneels down and takes hold of a ball.</t>
  </si>
  <si>
    <t>The man slides out with the ball, sliding the ball in front of him.</t>
  </si>
  <si>
    <t>A man is hit by the ball and falls down to the floor.</t>
  </si>
  <si>
    <t>The man stands up and starts walking.</t>
  </si>
  <si>
    <t>v_dNUZyM1gF1E</t>
  </si>
  <si>
    <t>Two teen boys are standing at a school playing rock, paper &amp; scissors and are surrounded by a large group of teens who are watching.</t>
  </si>
  <si>
    <t>A woman walks towards them to look at what they're doing then walks back out of the circle.</t>
  </si>
  <si>
    <t>A man then walks to the boys and stops them by putting his hands on each boy and walking them off.</t>
  </si>
  <si>
    <t>v_xI_XIVYtERk</t>
  </si>
  <si>
    <t>A moving cloudy sky with lightning appears before we see white text.</t>
  </si>
  <si>
    <t>Several people are shown close up, smoking cigarettes.</t>
  </si>
  <si>
    <t>Some talk to the camera.</t>
  </si>
  <si>
    <t>The video ends with the words South Beach Smoke.</t>
  </si>
  <si>
    <t>v_BFXSk5F0E_w</t>
  </si>
  <si>
    <t>A woman speaks to the camera, then it cuts to a little boy using a hula hoop.</t>
  </si>
  <si>
    <t>The woman shows colored tape used to wrap a hose around and create the tube herself.</t>
  </si>
  <si>
    <t>She shows off the final product, then the boy using the hula hoop again.</t>
  </si>
  <si>
    <t>v_9xC9rVAJHm8</t>
  </si>
  <si>
    <t>A woman is adjusting a camera in a bedroom.</t>
  </si>
  <si>
    <t>She is smoking a cigarette and ashing it into a tray.</t>
  </si>
  <si>
    <t>She grinds the cigarette into the tray when she is finished.</t>
  </si>
  <si>
    <t>v_UeH0TCDAbSU</t>
  </si>
  <si>
    <t>A woman doing a presentation on how to iron a shirt.</t>
  </si>
  <si>
    <t>She is discussing the shirt and brings out a startch spray.</t>
  </si>
  <si>
    <t>She begins to to use the spray on the shirt.</t>
  </si>
  <si>
    <t>She then rearranges the shirt.</t>
  </si>
  <si>
    <t>Next she demonstrates how to iron the shirt.</t>
  </si>
  <si>
    <t>She then shows how to get the harder creases out.</t>
  </si>
  <si>
    <t>Next she flips over the shirt and places the sleeve down.</t>
  </si>
  <si>
    <t>She then shows how to iron the sleeve.</t>
  </si>
  <si>
    <t>She then flips the shirt over.</t>
  </si>
  <si>
    <t>v_JLdp1Kz0naI</t>
  </si>
  <si>
    <t>A person is riding on a dirt bike.</t>
  </si>
  <si>
    <t>He sets up for a race.</t>
  </si>
  <si>
    <t>He starts racing on his dirt bike.</t>
  </si>
  <si>
    <t>Text appears on the screen as it fades.</t>
  </si>
  <si>
    <t>v_Iib8Qt_9HQc</t>
  </si>
  <si>
    <t>A man in a white shirt is standing in a gym.</t>
  </si>
  <si>
    <t>He sits on an exercise machine and starts working out.</t>
  </si>
  <si>
    <t>He finishes and puts the bar down.</t>
  </si>
  <si>
    <t>v__uTNqQhQA9w</t>
  </si>
  <si>
    <t>A lady dances and speaks indoors.</t>
  </si>
  <si>
    <t>The lady mixes all the ingredients and bakes colorful layers for a cake.</t>
  </si>
  <si>
    <t>The lady added a lot of colorful embellishment to the layered cake.</t>
  </si>
  <si>
    <t>The lady goes outside to a rabbit cage.</t>
  </si>
  <si>
    <t>v_B_-jPPr2RLA</t>
  </si>
  <si>
    <t>Two young boys stand on a residential driveway.</t>
  </si>
  <si>
    <t>The little boy plays hopscotch twice on the driveway.</t>
  </si>
  <si>
    <t>A little girl plays the game too and then follows the other children away from the driveway.</t>
  </si>
  <si>
    <t>v__BJqPK0NNZU</t>
  </si>
  <si>
    <t>The woman in the field is standing behind the net.</t>
  </si>
  <si>
    <t>The woman swirl around and threw a heavy metal towards the field.</t>
  </si>
  <si>
    <t>The field has people in the, a man is running.</t>
  </si>
  <si>
    <t>The athlete in pink top is walking forward.</t>
  </si>
  <si>
    <t>An athlete with Barrios tag on her shirt is standing behind the net.</t>
  </si>
  <si>
    <t>The woman raised the circular metal and she started to swirl around and threw the metal.</t>
  </si>
  <si>
    <t>The metal hit the field.</t>
  </si>
  <si>
    <t>A man is running towards the white circle on the ground.</t>
  </si>
  <si>
    <t>A woman is stretching behind the net.</t>
  </si>
  <si>
    <t>She swirl around and threw something towards the field.</t>
  </si>
  <si>
    <t>Two men running towards each other.</t>
  </si>
  <si>
    <t>The woman gave a hug to other woman.</t>
  </si>
  <si>
    <t>The green field has audiences on the sides of the field.</t>
  </si>
  <si>
    <t>v_lgXtDr9pNAk</t>
  </si>
  <si>
    <t>A man up on the roof putting up some metal pieces through the shingles.</t>
  </si>
  <si>
    <t>He's putting little metal pieces on the metal to keep them held.</t>
  </si>
  <si>
    <t>He talks about it a little bit jokingly.</t>
  </si>
  <si>
    <t>Then he tried to adjust it a little more.</t>
  </si>
  <si>
    <t>v_s-kFpQRPcyE</t>
  </si>
  <si>
    <t>Hair products and hair tools are displayed.</t>
  </si>
  <si>
    <t>The male stylist is does a client's hair with products, a clipper, and hair dryer.</t>
  </si>
  <si>
    <t>v_e6Ti5g_zQ_4</t>
  </si>
  <si>
    <t>At a pool place people are all gathered around some pool tables waiting for players to take their turns.</t>
  </si>
  <si>
    <t>A male takes hie turn and then another in red takes his hitting but bot making it in.</t>
  </si>
  <si>
    <t>No one makes it on their turn so they continue on to the next player.</t>
  </si>
  <si>
    <t>The game continues waiting for someone to make some shots.</t>
  </si>
  <si>
    <t>v_mvomkmq32vU</t>
  </si>
  <si>
    <t>A track athlete prepares and stretches out on a starting line.</t>
  </si>
  <si>
    <t>A track athlete runs down a track and high jumps over bar onto a mat.</t>
  </si>
  <si>
    <t>The athlete makes attempts at jumping over the bar but is unsuccessful knocking it down on the mat.</t>
  </si>
  <si>
    <t>v_ouqYXdtEuCI</t>
  </si>
  <si>
    <t>A girl is doing flips on a trampoline in a gymnasium.</t>
  </si>
  <si>
    <t>We then see a child dive backward into pool.</t>
  </si>
  <si>
    <t>We see the kid on the trampoline.</t>
  </si>
  <si>
    <t>We then see the kids diving again.</t>
  </si>
  <si>
    <t>We return to the kids practicing on the trampoline and back to them diving again.</t>
  </si>
  <si>
    <t>v_YynqCEoHKCk</t>
  </si>
  <si>
    <t>A woman is seen performing a dance routine on a stage in front of a large audience.</t>
  </si>
  <si>
    <t>The woman continues dancing all around the stage and ends with a bow and walking off stage.</t>
  </si>
  <si>
    <t>v_KYjWkaXVnbw</t>
  </si>
  <si>
    <t>A man is standing at a bar.</t>
  </si>
  <si>
    <t>We see the title screen on how to make a drink.</t>
  </si>
  <si>
    <t>The man pours three liquors and some lime soda in a glass.</t>
  </si>
  <si>
    <t>He stirs the glass with a metal tool.</t>
  </si>
  <si>
    <t>The man then drinks from the glass.</t>
  </si>
  <si>
    <t>The man points at the camera, we see the end sequence.</t>
  </si>
  <si>
    <t>v_WEohpavjsIY</t>
  </si>
  <si>
    <t>A pair of dancer begins preforming at the latin dance cup.</t>
  </si>
  <si>
    <t>The woman shows off cleavage.</t>
  </si>
  <si>
    <t>The dancers begin spinning around each other.</t>
  </si>
  <si>
    <t>The dancers begin to preform seperately.</t>
  </si>
  <si>
    <t>The dancers begins moving again together for a big finish.</t>
  </si>
  <si>
    <t>v_JK1Wn9sORbs</t>
  </si>
  <si>
    <t>A man is seen speaking to the camera outside while various objects and tools sit around him.</t>
  </si>
  <si>
    <t>The man continues speaking and leads into clips of him pushing around a low mower.</t>
  </si>
  <si>
    <t>He continues cutting the grass and leads into more clips of him speaking.</t>
  </si>
  <si>
    <t>v_Ke5MPiv-wrY</t>
  </si>
  <si>
    <t>The Awesomeness TV Network Logo Animation plays.</t>
  </si>
  <si>
    <t>A man is flipping and tumbling across a mat.</t>
  </si>
  <si>
    <t>The same man flips across the mat again, this time not wearing a shirt.</t>
  </si>
  <si>
    <t>The man is talking to the camera.</t>
  </si>
  <si>
    <t>A woman with a blue bow in hair walks across the screen behind the man and begins talking to another woman who exits the screen.</t>
  </si>
  <si>
    <t>The shirtless man is shown flipping and tumbling across the screen again, this time he does not land his final flip and he falls onto his side.</t>
  </si>
  <si>
    <t>He then starts walking towards a man on the side of the mat.</t>
  </si>
  <si>
    <t>The bystander points to his head and the gymnast also does the same to his own head.</t>
  </si>
  <si>
    <t>The gymnast is talking to the camera again explaining what happened during that routine.</t>
  </si>
  <si>
    <t>A small video pops up in the lower right replaying the moment he falls.</t>
  </si>
  <si>
    <t>He starts flipping across the mat again.</t>
  </si>
  <si>
    <t>The man is standing next to a couple of other guys, he jumps up in the air and does some kicks.</t>
  </si>
  <si>
    <t>Now he is doing back flips across the mat.</t>
  </si>
  <si>
    <t>He goes from a forward flip to back-flipping.</t>
  </si>
  <si>
    <t>Now he is standing on the side line getting ready to do flips.</t>
  </si>
  <si>
    <t>He is doing some more flips and landing on the red mat.</t>
  </si>
  <si>
    <t>Now he is flipping again and reverses and starts flipping the other way.</t>
  </si>
  <si>
    <t>This time he is wearing a yellow shirt and starts by doing a kick, then starts flipping backwards.</t>
  </si>
  <si>
    <t>Now he is walking across the mat slowly.</t>
  </si>
  <si>
    <t>v_UfrztSg9gf0</t>
  </si>
  <si>
    <t>A man is seen standing in on a large field performing various dog tricks with a dog.</t>
  </si>
  <si>
    <t>Another person watches in the distance as the man and dog continue to perform tricks and the dog running all around.</t>
  </si>
  <si>
    <t>v_3mlxwa9Ve5I</t>
  </si>
  <si>
    <t>A man looks around and grabs his face.</t>
  </si>
  <si>
    <t>He places a towel over his face.</t>
  </si>
  <si>
    <t>The man showcases a shaving unit and a balm.</t>
  </si>
  <si>
    <t>He shows a bowl and swivels the shaving brush around it.</t>
  </si>
  <si>
    <t>The man places shaving cream all over his face with the use of his shaving brush.</t>
  </si>
  <si>
    <t>He takes a razor and shaves.</t>
  </si>
  <si>
    <t>He grabs the bowl again and swivels the shaving brush around the inside.</t>
  </si>
  <si>
    <t>He smothers shaving cream over his face face.</t>
  </si>
  <si>
    <t>He shaves his face once more.</t>
  </si>
  <si>
    <t>He splashes his face and dries it with a purple towel.</t>
  </si>
  <si>
    <t>He rubs an oil over his face and excitedly shows off his muscles.</t>
  </si>
  <si>
    <t>v_AwoZxz8M8Jg</t>
  </si>
  <si>
    <t>A man in red turban stands in a kitchen.</t>
  </si>
  <si>
    <t>He pours some ingredients into a glass.</t>
  </si>
  <si>
    <t>He explains his methods holding a spoon.</t>
  </si>
  <si>
    <t>He then finishes the drink with a garnish.</t>
  </si>
  <si>
    <t>v_e0E2EVuhYu0</t>
  </si>
  <si>
    <t>A close up of an ocean floor is shown as well as a scuba diver and fish swimming around.</t>
  </si>
  <si>
    <t>The camera continues to capture the bottom of the floor as well as several fish and bottom feeders on the ground.</t>
  </si>
  <si>
    <t>The scuba diver moves a flashlight around to capture the bottom and watches the wildlife move around.</t>
  </si>
  <si>
    <t>v_NLTd7qCLT7o</t>
  </si>
  <si>
    <t>A man is walking on the grass wearing stilts.</t>
  </si>
  <si>
    <t>People are watching him next to a pond.</t>
  </si>
  <si>
    <t>He continues walking on the grass toward the people.</t>
  </si>
  <si>
    <t>v_xAPz4YOcIX0</t>
  </si>
  <si>
    <t>A close up of a painting is shown followed by a brush dipping into paint and moving all along the picture.</t>
  </si>
  <si>
    <t>The person continues painting bushes in the picture and ends with credits rolling above the screen.</t>
  </si>
  <si>
    <t>v_IAZV246DKis</t>
  </si>
  <si>
    <t>A close up of potatoes are shown followed by a woman speaking to the camera.</t>
  </si>
  <si>
    <t>The woman points to a pot and then begins peeling the potatoes and putting them into a pot.</t>
  </si>
  <si>
    <t>She mixes it with salt and dips the potatoes into ice water, watching them finish peeling.</t>
  </si>
  <si>
    <t>v_44htu_ovvLs</t>
  </si>
  <si>
    <t>A woman is seen looking off into the distance followed by shots of her riding a horse and looking off into the distance.</t>
  </si>
  <si>
    <t>The woman continues riding around on the horse and ends with her walking away and waving to the camera.</t>
  </si>
  <si>
    <t>v_bLpeUxij7YY</t>
  </si>
  <si>
    <t>A female weightlifter is attempting to lift a set of weights.</t>
  </si>
  <si>
    <t>She lifts at the knees slowly.</t>
  </si>
  <si>
    <t>She raises the bar to her chest, pausing.</t>
  </si>
  <si>
    <t>She then lifts it over her head before crouching beneath it.</t>
  </si>
  <si>
    <t>v_lsvZBtYMXZM</t>
  </si>
  <si>
    <t>Two people are standing face to face under a spotlight.</t>
  </si>
  <si>
    <t>The man wearing a black and white suit simulates a slap to the woman wearing a dress on the right.</t>
  </si>
  <si>
    <t>A man wearing a black tank top immediately runs into the spotlight to stand between the two and they all begin to dance as the room is lit up to show a large dancing area with people in the audience watching them.</t>
  </si>
  <si>
    <t>The three continue to dance until the man in the black tank top picks the woman up and throws her to the ground and leaves the dance floor.</t>
  </si>
  <si>
    <t>The man in the suit and the woman continue to dance alone.</t>
  </si>
  <si>
    <t>The man in the tank top returns to the dance floor and tries to punch the man in the suit, but the man in the suit dodges the punch and pushes the man in the tank top out of the dance floor.</t>
  </si>
  <si>
    <t>The man in the suit and the woman in the dress continue to dance alone and they end dramatically in a pose with her back on the ground and the man hovering above her.</t>
  </si>
  <si>
    <t>v_ShiBZnuxlmc</t>
  </si>
  <si>
    <t>A blond athletic girl with a serious face has her hands all chalked up and is standing next to a wooden balance beam, dressed in a black and white decorated bodysuit, and the banner on the bottom of the screen say's her name is SHAWN JOHNSON 1ST PLACE AFTER 2ND ROTATION.</t>
  </si>
  <si>
    <t>The girl rubs her hands together a few times, the audience claps, she smiles and raises her two arms in the air, smiles, turns to the horse and runs and jumps until she lands on the balance beam.</t>
  </si>
  <si>
    <t>The girl immediately begins her routine and it includes a lot of flips, walking, twirls, hand movements, spins and etcetera.</t>
  </si>
  <si>
    <t>The girl goes to the furthest end of the balance beam, stares at the other end, quickly flips on the balance beam, and then flips off of the balance beam a few times, lands on her feet, raises her two arms in the air and the crowd cheers.</t>
  </si>
  <si>
    <t>v_bMWWSk_YFY8</t>
  </si>
  <si>
    <t>An ox is held by a trainer in a city plaza.</t>
  </si>
  <si>
    <t>Two ox duel with horns in a corral while trainers guide them.</t>
  </si>
  <si>
    <t>The ox charge at the trainers lined up against the wall.</t>
  </si>
  <si>
    <t>Spectators watch and walk in the stands during the event.</t>
  </si>
  <si>
    <t>v_5vm6bjMeEN8</t>
  </si>
  <si>
    <t>People are working out in a room stepping on a step stools.</t>
  </si>
  <si>
    <t>A man in a white shirt is leading the group.</t>
  </si>
  <si>
    <t>He then walks off behind the camera.</t>
  </si>
  <si>
    <t>v_cgWhl3ZDuTQ</t>
  </si>
  <si>
    <t>A series of athletes are shown participating in a discus throw competition before a crowd.</t>
  </si>
  <si>
    <t>The crowd applauds the athletes as a man hands out prizes to the athletes.</t>
  </si>
  <si>
    <t>Journalists surround the athletes with cameras.</t>
  </si>
  <si>
    <t>More discus throw performances are shown.</t>
  </si>
  <si>
    <t>A camera crew focuses on a sweaty seated athlete.</t>
  </si>
  <si>
    <t>Yet another performance of discus throw is shown.</t>
  </si>
  <si>
    <t>Three people sit talking in front of an audience.</t>
  </si>
  <si>
    <t>v_C0F-xroK_Eg</t>
  </si>
  <si>
    <t>A man is talking about making a spicy pasta dish.</t>
  </si>
  <si>
    <t>The man takes sausage and cooks it in a pan.</t>
  </si>
  <si>
    <t>Parsley is added to the sausage.</t>
  </si>
  <si>
    <t>White wine is added to the mixture.</t>
  </si>
  <si>
    <t>Heavy cream is added to the meat along with a jar of marinara sauce.</t>
  </si>
  <si>
    <t>Water is shown boiling in the pot.</t>
  </si>
  <si>
    <t>Pasta and sauce are mixed together in the pot.</t>
  </si>
  <si>
    <t>The final pasta is added to a bowl and Parmesan cheese is added.</t>
  </si>
  <si>
    <t>v_F-jZv4hqYds</t>
  </si>
  <si>
    <t>A large group of people are sitting on horses near gated areas.</t>
  </si>
  <si>
    <t>The people are looking around in amazement as one horse riding catches a calf almost instantly.</t>
  </si>
  <si>
    <t>The man ropes of the calf and the crowd cheers him on as the announcer gives him his time.</t>
  </si>
  <si>
    <t>v_GqCS5MNl6a4</t>
  </si>
  <si>
    <t>Pictures of a town covered n snow is shown.</t>
  </si>
  <si>
    <t>A person is chipping the ice off of their car.</t>
  </si>
  <si>
    <t>v_tN8mcdcwCwc</t>
  </si>
  <si>
    <t>A cat is laying on its back in someone's lap.</t>
  </si>
  <si>
    <t>The person starts clipping the cats nails with a nail clipper.</t>
  </si>
  <si>
    <t>They finish and pet the cat's foot.</t>
  </si>
  <si>
    <t>v_hS7VEMlJ4N0</t>
  </si>
  <si>
    <t>A female is outside in a sports bra and bikini bottoms walking around prepping.</t>
  </si>
  <si>
    <t>She take her hair down and puts it back up in a ponytail.</t>
  </si>
  <si>
    <t>She spanks her butt and stands there getting ready to start her run.</t>
  </si>
  <si>
    <t>She starts her run and she jumps over the course and lands.</t>
  </si>
  <si>
    <t>v_U2aNQHCnVfI</t>
  </si>
  <si>
    <t>There are two young girls holding violins in their hands, standing with a music stand and a book with music notes behind them.</t>
  </si>
  <si>
    <t>The older girl is helping and teaching her younger sister to properly hold the violin by changing her head position.</t>
  </si>
  <si>
    <t>Then the older sister grabs her violin and tunes the strings of the violin.</t>
  </si>
  <si>
    <t>Then older sister begins playing the violin while the younger sister watches her.</t>
  </si>
  <si>
    <t>The older girl shows her sister how to play the violin.</t>
  </si>
  <si>
    <t>Then they both begin to play the violin together.</t>
  </si>
  <si>
    <t>v_aXnllTmgeqg</t>
  </si>
  <si>
    <t>A man is shown on a stage, playing drums.</t>
  </si>
  <si>
    <t>He beats the cymbals and drums very fast.</t>
  </si>
  <si>
    <t>He continues, making faces as he goes.</t>
  </si>
  <si>
    <t>v_E-bv464MTsQ</t>
  </si>
  <si>
    <t>A large group of people riding horses are walking around each other on a large field.</t>
  </si>
  <si>
    <t>One of them throws a ball onto the field and the people begin playing a game on their horses.</t>
  </si>
  <si>
    <t>v_hgTgOjkcvpc</t>
  </si>
  <si>
    <t>There's a man dressed in all white playing croquet in an open field.</t>
  </si>
  <si>
    <t>there are several chairs arranged in the field.</t>
  </si>
  <si>
    <t>He takes the mallet in his hand and hits the croquet ball to the hoop.</t>
  </si>
  <si>
    <t>He hits the ball and it lands straight into the hoop.</t>
  </si>
  <si>
    <t>v_NXFnVeZen1U</t>
  </si>
  <si>
    <t>A man picks up a ball with his racquet and swings it to his opponent over the net.</t>
  </si>
  <si>
    <t>The opponent serves the ball.</t>
  </si>
  <si>
    <t>The teams engage in rapid back and forth hitting of the ball.</t>
  </si>
  <si>
    <t>The game stops for a second and resumes with one of the teams serving the ball.</t>
  </si>
  <si>
    <t>They battle each other on the court, sending the ball back and forth over the net.</t>
  </si>
  <si>
    <t>The ball goes out of bounds.</t>
  </si>
  <si>
    <t>A man serves the ball and they engage in a brief back and forth of the ball before the ball falls to the ground.</t>
  </si>
  <si>
    <t>v_YVSD611Zpvo</t>
  </si>
  <si>
    <t>A man walks to a brick wall with a squeegee and shows us a bottle of windex.</t>
  </si>
  <si>
    <t>The man washes the window.</t>
  </si>
  <si>
    <t>The man sprays windex and washes off with squeegee.</t>
  </si>
  <si>
    <t>The man uses leaf blower to dry the window.</t>
  </si>
  <si>
    <t>The man finishes and talks about the window before walking off.</t>
  </si>
  <si>
    <t>v_88wc2an-eC4</t>
  </si>
  <si>
    <t>TWo children are doing mixed martial arts in front of a television.</t>
  </si>
  <si>
    <t>They are punching and kicking each other for sport.</t>
  </si>
  <si>
    <t>v_5HW6mjZZvtY</t>
  </si>
  <si>
    <t>A man is seen in several shots on a skateboard in a dark warehouse.</t>
  </si>
  <si>
    <t>The man then begins jumping on his board to demonstrate moves.</t>
  </si>
  <si>
    <t>He continues jumping around the room while the camera captures his movements.</t>
  </si>
  <si>
    <t>v_pbZVsdQNWNU</t>
  </si>
  <si>
    <t>We see a hockey goalie skating on the ice.</t>
  </si>
  <si>
    <t>The goalie blocks shots repeatedly.</t>
  </si>
  <si>
    <t>We see the goalie laying on the ice.</t>
  </si>
  <si>
    <t>A shot makes it past and the goalie has a tantrum.</t>
  </si>
  <si>
    <t>The goalie sits on the ground as a person makes their shot.</t>
  </si>
  <si>
    <t>v_j15g2ZTig1k</t>
  </si>
  <si>
    <t>A man wearing a black shirt and blue jeans is playing an acoustic guitar.</t>
  </si>
  <si>
    <t>He plays a riff as he moves his legs rhythmically.</t>
  </si>
  <si>
    <t>He continues playing the guitar as the camera focuses on his hands and the guitar only.</t>
  </si>
  <si>
    <t>He plays several different tunes one after the other as he strums the guitar with his pick.</t>
  </si>
  <si>
    <t>v_yslrb52Di5w</t>
  </si>
  <si>
    <t>A man is seen laughing and smiling to himself and leads into him playing a piano before him.</t>
  </si>
  <si>
    <t>The man pauses and looks off into the distance to see another man speaking to him as well as into a microphone.</t>
  </si>
  <si>
    <t>v_AKoregkLJgc</t>
  </si>
  <si>
    <t>A line of players are on a court together.</t>
  </si>
  <si>
    <t>They begin jumping rope in unison.</t>
  </si>
  <si>
    <t>They move alike, dancing and flipping through the ropes.</t>
  </si>
  <si>
    <t>v_czCM6ZNwHK8</t>
  </si>
  <si>
    <t>A guy prepares to play an instrument.</t>
  </si>
  <si>
    <t>The guy plays a saxophone and uses a microphone.</t>
  </si>
  <si>
    <t>The guy takes the saxophone out of his mouth and bents over.</t>
  </si>
  <si>
    <t>v_9-xf_gylOR0</t>
  </si>
  <si>
    <t>A person is painting a wooden fence.</t>
  </si>
  <si>
    <t>A cat's paws can be seen coming out from under the fence.</t>
  </si>
  <si>
    <t>A dog is looking at the cat's paws.</t>
  </si>
  <si>
    <t>v_IKrnz_OzqT8</t>
  </si>
  <si>
    <t>A man watches a performance on tv while playing a set of hand drums at home.</t>
  </si>
  <si>
    <t>The man looks forward and focuses while playing the drums.</t>
  </si>
  <si>
    <t>The man leans back and plays vigorously on the drums.</t>
  </si>
  <si>
    <t>v_oghT33khlYQ</t>
  </si>
  <si>
    <t>Many trees and deep water from a river is shown.</t>
  </si>
  <si>
    <t>A man is standing on the back of a speedboat.</t>
  </si>
  <si>
    <t>He places his board in the water and begins to water ski.</t>
  </si>
  <si>
    <t>He performs several tricks as he skis.</t>
  </si>
  <si>
    <t>v_ac1DjqY4xHs</t>
  </si>
  <si>
    <t>A young boy swings at a pinata without getting a good hit on it.</t>
  </si>
  <si>
    <t>The boy dodges the pinata that is swinging at him.</t>
  </si>
  <si>
    <t>The boy gives up and walks away.</t>
  </si>
  <si>
    <t>v_z8lxaUC1Shk</t>
  </si>
  <si>
    <t>A man walks into a room playing his bagpipes.</t>
  </si>
  <si>
    <t>He stops playing his bagpipes.</t>
  </si>
  <si>
    <t>v_FCKkV9mYuI4</t>
  </si>
  <si>
    <t>A group of men are talking in a room.</t>
  </si>
  <si>
    <t>Several fighting scenes are shown from a martial arts movie.</t>
  </si>
  <si>
    <t>They move quickly, pretending to fight for the camera.</t>
  </si>
  <si>
    <t>v_N84ci0Imc30</t>
  </si>
  <si>
    <t>A man is seen speaking to the camera and leads into shots of him walking down a hallway and getting a coffee.</t>
  </si>
  <si>
    <t>He grabs sugar, puts a lid over his coffee and then smiles off in the distance while walking away.</t>
  </si>
  <si>
    <t>v_Z8yKTJeRMOE</t>
  </si>
  <si>
    <t>A man professionally paints several pieces of furniture using a spray painter in a paint shop while wearing overalls, a denim shirt and a paint mask.</t>
  </si>
  <si>
    <t>The man begins by painting a wooden armchair metallic gray with a gold spray paint can.</t>
  </si>
  <si>
    <t>The man then paints a side table black with lights shining off of the black painted wood.</t>
  </si>
  <si>
    <t>The man ends with painting a dresser drawer pink before the scene fades to a black marketing graphic.</t>
  </si>
  <si>
    <t>v_SSLcbqaBiRM</t>
  </si>
  <si>
    <t>A man starts out riding a dirt bike and immediately crashes into the ground behind him.</t>
  </si>
  <si>
    <t>The video follows several more people attempting to race a dirt bike and instantly crashing on the path in front of them.</t>
  </si>
  <si>
    <t>v_5-ydqbn30kA</t>
  </si>
  <si>
    <t>A boy and a girl are sitting in their living room with colorful yarn and demonstrating how to knit.</t>
  </si>
  <si>
    <t>The boy is wearing a blue hoodie and the girl is wearing a white sweater with blue horizontal stripes.</t>
  </si>
  <si>
    <t>The mother who is not pictured in the video is taping them demonstrate.</t>
  </si>
  <si>
    <t>The boy holds the needles up and shows how he uses the yarn to knit.</t>
  </si>
  <si>
    <t>v_x164DXmWtRM</t>
  </si>
  <si>
    <t>A group of masked people, wearing all black, play an animated graphic game of paintball in a war field.</t>
  </si>
  <si>
    <t>An animated person runs through a field of black masked soldiers with a paint gun and begins shooting people, several people are wounded among a war field littered with empty stone shacks and abandoned cars.</t>
  </si>
  <si>
    <t>The fighting soldiers pass an animated dog on a leash with a person dressed in a black and white referee uniform holding the leash.</t>
  </si>
  <si>
    <t>The shooting continues among the masked soldiers until a "red team wins" letter box appears and the soldiers head to the right and thin out in numbers.</t>
  </si>
  <si>
    <t>v_4_MR2Tpc7SM</t>
  </si>
  <si>
    <t>A man is seen bending down while holding a crochet bat and hitting a ball through a hole.</t>
  </si>
  <si>
    <t>The man then holds his hands up and looks back to the camera and smiles.</t>
  </si>
  <si>
    <t>v_j_tKuqWYV-A</t>
  </si>
  <si>
    <t>Divers take turns diving from high dive platforms into a swimming pool.</t>
  </si>
  <si>
    <t>The crowd claps and watches the divers performance.</t>
  </si>
  <si>
    <t>A diver does a handstand dive from the highest platform into the swimming pool.</t>
  </si>
  <si>
    <t>v_yp1zqqLB57M</t>
  </si>
  <si>
    <t>A woman is belly dancing on a stage.</t>
  </si>
  <si>
    <t>There is a close up of her belly.</t>
  </si>
  <si>
    <t>She slows her dance down and turns circles.</t>
  </si>
  <si>
    <t>v_Wu3wa5Rc_Qw</t>
  </si>
  <si>
    <t>A large waterfall is shown outside near a rocky trail of water.</t>
  </si>
  <si>
    <t>All of a sudden,a person on a long raft comes paddling down the water and goes over the fall with ease.</t>
  </si>
  <si>
    <t>Once over,they continue paddling and sailing through the water as the people on the side watches.</t>
  </si>
  <si>
    <t>v_J7Q3b1uFHyc</t>
  </si>
  <si>
    <t>First the camera shows the three people who are snow tubing down the slippery snowy slide.</t>
  </si>
  <si>
    <t>Then one person is shown wearing glasses and other snow gear in the snow tubes.</t>
  </si>
  <si>
    <t>Then a great amount of other people are shown snow tubing next to each other.</t>
  </si>
  <si>
    <t>v_8K4cX9GfaII</t>
  </si>
  <si>
    <t>A person is seen painting a wall while the camera captures him moving quickly and others walking in and out of frame.</t>
  </si>
  <si>
    <t>The person continues painting along the wall with other people standing around and helping.</t>
  </si>
  <si>
    <t>v_2-h36nfbFK8</t>
  </si>
  <si>
    <t>A man is snowboarding down a very steep hill at a fast pace.</t>
  </si>
  <si>
    <t>The video intercuts with various angles showing this trip down the mountain in a very exciting way.</t>
  </si>
  <si>
    <t>The kid jumps off of a log intended for this purpose and continues down the hill.</t>
  </si>
  <si>
    <t>Another man in yellow does back-flips off of a small snow ramp while going down the mountain.</t>
  </si>
  <si>
    <t>Another man in blue does the same and there are various cuts going back and forth between the three of them.</t>
  </si>
  <si>
    <t>They are highly skilled and going down every obstacle they can find.</t>
  </si>
  <si>
    <t>The video then shows multiple people hiking up a very rocky mountain as they speak to the camera.</t>
  </si>
  <si>
    <t>The people who climbed is then snowboard down it in a daredevil like stunt.</t>
  </si>
  <si>
    <t>v_liK3LME0gNY</t>
  </si>
  <si>
    <t>A young girls is using a trowel on a wall and siting on the floor.</t>
  </si>
  <si>
    <t>She stands and wipes her trowel clean with a brush.</t>
  </si>
  <si>
    <t>She returns to the wall work.</t>
  </si>
  <si>
    <t>She stands and points and the wall.</t>
  </si>
  <si>
    <t>She she wipes the brush on the trowel again.</t>
  </si>
  <si>
    <t>She smooths the wall again.</t>
  </si>
  <si>
    <t>The girls uses a the brush to clean her tool.</t>
  </si>
  <si>
    <t>She wipes the wall again, then cleans her brush again twice.</t>
  </si>
  <si>
    <t>We are show the top of the wall and the girl as she works.</t>
  </si>
  <si>
    <t>v_mSPUMHD4F-E</t>
  </si>
  <si>
    <t>An intro screen appears with logos, company names and website.</t>
  </si>
  <si>
    <t>A woman bends down in front of 3 boxes and begins to pull out tiled carpet pieces from the top box.</t>
  </si>
  <si>
    <t>A bunch of tools appear on a tiled floor and they include: Carpet Tape,Knife, Sticky Tabs and a T-Square.</t>
  </si>
  <si>
    <t>The woman is on a tiled floor with a pile of tiled carpets in front of her and she begins to dust off the excess carpet pieces off of the front and back of the pieces.</t>
  </si>
  <si>
    <t>A screen appears with the words "Methods of Installation" and includes 3 different diagrams of layouts, and then shows different tiled carpets in each layout.</t>
  </si>
  <si>
    <t>A woman is now kneeling on a tiled piece of carpet and she's pulling double sided sticky tapes off of a sheet and places them onto the tiled carpets and sticks them onto the floor.</t>
  </si>
  <si>
    <t>A different woman appears near a wall and she's demonstrating how to cut tiles once a wall is reached and uses a long ruler to measure, cut, and break apart the carpet tile and places it back onto the floor.</t>
  </si>
  <si>
    <t>The outro is a white screen with the logos, company names, and website.</t>
  </si>
  <si>
    <t>v_Zzcj8Eea3Mc</t>
  </si>
  <si>
    <t>A man is seen walking forward and speaking to the camera while two people pull an object behind him.</t>
  </si>
  <si>
    <t>The man is then speaking while a woman exercises next to him.</t>
  </si>
  <si>
    <t>The man continues speaking and text is shown across the screen.</t>
  </si>
  <si>
    <t>v_b4KrsFjcj-o</t>
  </si>
  <si>
    <t>People stand around in a room.</t>
  </si>
  <si>
    <t>People do karate while some play the drums.</t>
  </si>
  <si>
    <t>The karate opponents shake hands and hug.</t>
  </si>
  <si>
    <t>v_N6y3yXiVo24</t>
  </si>
  <si>
    <t>A little girl/toddler stands outside, on a grass covered field, and hits, repeatedly, a pink pinata hanging from a tree.</t>
  </si>
  <si>
    <t>A little girl/toddler in a lime green hair bow and tutu stands outside under a tree and hits a pinata with a stick.</t>
  </si>
  <si>
    <t>The pinata flings around, and the girl hits the pinata again.</t>
  </si>
  <si>
    <t>The little girl turns to look at the camera in between hitting the pinata.</t>
  </si>
  <si>
    <t>v_5rtrGkZNfLo</t>
  </si>
  <si>
    <t>A standing man talks to the camera with two women seated beside him.</t>
  </si>
  <si>
    <t>The camera pans to focus on the two women.</t>
  </si>
  <si>
    <t>v_2syOa4jpZDU</t>
  </si>
  <si>
    <t>A person cuts the nails of the front legs of a cat.</t>
  </si>
  <si>
    <t>Then, the person cuts the nails of the back legs of a car.</t>
  </si>
  <si>
    <t>v_idACyRv-Sqk</t>
  </si>
  <si>
    <t>A man attempts to walk across a rope spread between two homemade pieces of wood.</t>
  </si>
  <si>
    <t>He balances on the rope, swinging back and forth.</t>
  </si>
  <si>
    <t>He loses his balance and jumps off the rope.</t>
  </si>
  <si>
    <t>v_FFUh8Fx4FsA</t>
  </si>
  <si>
    <t>There are two cars in the car wash and one parked in a spot.</t>
  </si>
  <si>
    <t>The owners of the cars are soaping them down and cleaning the tires very well.</t>
  </si>
  <si>
    <t>Inside of the car wash it it completely empty, no one is inside of it.</t>
  </si>
  <si>
    <t>One of the other car owners is rinsing his car off.</t>
  </si>
  <si>
    <t>v_OnfvTk_DECY</t>
  </si>
  <si>
    <t>A man is seen speaking to the camera followed by several shots of a celebrity and a dummy.</t>
  </si>
  <si>
    <t>The man then begins coming the dummy's hair and using scissors along the side.</t>
  </si>
  <si>
    <t>He continues cutting the dummy's hair and using hair gel in the end to spike it up.</t>
  </si>
  <si>
    <t>v_AH-3mF6wWhU</t>
  </si>
  <si>
    <t>A video on how to make a kite is shown.</t>
  </si>
  <si>
    <t>Materials are gathered and then the kite is assembled.</t>
  </si>
  <si>
    <t>v__7a80bvsbk8</t>
  </si>
  <si>
    <t>A few people are seen standing in a large pit with a bull inside and many watching on the sides.</t>
  </si>
  <si>
    <t>The man walks closer to the bull and the bull attacks several people while they also try to pull him down by his head and tail.</t>
  </si>
  <si>
    <t>They finally all break away at once.</t>
  </si>
  <si>
    <t>v_wqlEUeJzNVc</t>
  </si>
  <si>
    <t>A man is sitting in a gym with friends who make stupid signs at the camera.</t>
  </si>
  <si>
    <t>Then some dodgeball is played.</t>
  </si>
  <si>
    <t>v_F_EHrfbYsRE</t>
  </si>
  <si>
    <t>A graphic with some keywords forming the number '2' is shown.</t>
  </si>
  <si>
    <t>The scene switches to a black screen with some text about an upcoming marathon.</t>
  </si>
  <si>
    <t>A man is shown jogging through a city on some sidewalks, a bridge, some paths in a park, etc, with a counter on the side showing his progress in kilometers as he goes.</t>
  </si>
  <si>
    <t>v_Ym_hy49DaS4</t>
  </si>
  <si>
    <t>A person is covering her legs with soap while she is standing on the bathtub.</t>
  </si>
  <si>
    <t>Then, the person takes a blade to shave her legs while washing the blade under the faucet.</t>
  </si>
  <si>
    <t>After, the person, takes off the underwear and put it on the bathtub.</t>
  </si>
  <si>
    <t>v_8wKBvYGGldQ</t>
  </si>
  <si>
    <t>There is a fast motion video showing a family carving four pumpkins to make jack o lanterns in their kitchen.</t>
  </si>
  <si>
    <t>There is a little baby sitting on the dinning table watching the others carve the pumpkins.</t>
  </si>
  <si>
    <t>The two other girls are helping their parents carve the pumpkins and remove the seeds and pulp out of the pumpkin.</t>
  </si>
  <si>
    <t>v_UPZm0tx77Vw</t>
  </si>
  <si>
    <t>A man seated in front of a tennis net turns around and faces his opponent, with a coach and camera man looking on.</t>
  </si>
  <si>
    <t>As they both rise we see that they are actually heading to a table tennis game, the table on an actual tennis court.</t>
  </si>
  <si>
    <t>They being their match, one in a white tank top and green shorts, the other in an orange shirt and white shorts.</t>
  </si>
  <si>
    <t>They hit back and forth for some time, the enjoyment of the game seeming more important the winning, and they slap hands at the conclusion.</t>
  </si>
  <si>
    <t>v_h-A3CAx_eyU</t>
  </si>
  <si>
    <t>Two men are seen speaking to one another in front of the camera while moving their hands around to their voices.</t>
  </si>
  <si>
    <t>The men continue speaking with one another while acting crazy on the couch and pointing to one another.</t>
  </si>
  <si>
    <t>v_jw8yJ6tJXrA</t>
  </si>
  <si>
    <t>A man is seen kneeling down before a track while others watch on the sides.</t>
  </si>
  <si>
    <t>A person runs in on the side and jumps into a pit.</t>
  </si>
  <si>
    <t>The man sitting tracks his score and several more people are seen running in.</t>
  </si>
  <si>
    <t>v_Q5qIsUsM_-A</t>
  </si>
  <si>
    <t>A young man solves a rubix cube quickly in a digitally timed session.</t>
  </si>
  <si>
    <t>A man in a yellow shirt with a graphic of a man's face on it talks to the camera and holds up an unsolved rubix cube.</t>
  </si>
  <si>
    <t>A black digital timer appears on the screen in the lower right hand corner and begins to run time.</t>
  </si>
  <si>
    <t>The man begins to solve the rubix cube when the timer starts, and then solves the rubix cube with 00:34:08 time, at which point he holds the solved rubix cube in the air as demonstration.</t>
  </si>
  <si>
    <t>v_8uP35-qttBo</t>
  </si>
  <si>
    <t>Two men are seen speaking to the camera while each hold a bow and arrow.</t>
  </si>
  <si>
    <t>One man shows off his while clips are shown of people shooting the bow and shown in between.</t>
  </si>
  <si>
    <t>The other man shows off his bow while still showing off his specs.</t>
  </si>
  <si>
    <t>v_H8MY7XGrN6Q</t>
  </si>
  <si>
    <t>A person is seen roller balding around a street while many people are seen walking around him.</t>
  </si>
  <si>
    <t>A man is then being interviewed by reporters and ends with the camera panning away.</t>
  </si>
  <si>
    <t>v_PaPR1XQU0_A</t>
  </si>
  <si>
    <t>A person sets a piece of wall paper in place and lines it op with the other pieces.</t>
  </si>
  <si>
    <t>The wall paper is cut with sheers to the proper size.</t>
  </si>
  <si>
    <t>The man checks the wall paper then peels off an adhesive strip on the back.</t>
  </si>
  <si>
    <t>The wall paper is attached to the wall and smoothed down by hand.</t>
  </si>
  <si>
    <t>The person uses a towel to flatten out the wall paper.</t>
  </si>
  <si>
    <t>The wallpaper is cut at the bottom and creased against the floorboard.</t>
  </si>
  <si>
    <t>The wall paper is cut and creased along the ceiling.</t>
  </si>
  <si>
    <t>v_ul9kg5QdvJo</t>
  </si>
  <si>
    <t>A group of people are shown at a festival serving food and interacting with their crowd.</t>
  </si>
  <si>
    <t>The male continues,to play with the crowd and makes them work for their ice cream cone.</t>
  </si>
  <si>
    <t>Finally,the video ends,the man smiles,and the credits begin to roll.</t>
  </si>
  <si>
    <t>v_eMQ5sazq-q0</t>
  </si>
  <si>
    <t>People picks up piles of grass on a front yard.</t>
  </si>
  <si>
    <t>A dog walks in the yard where people pile grass.</t>
  </si>
  <si>
    <t>A man cut the grass using a hand cutter.</t>
  </si>
  <si>
    <t>The dogs smells on the ground.</t>
  </si>
  <si>
    <t>v_Vtnn6yJqHqM</t>
  </si>
  <si>
    <t>A pair of hands are shown playing piano.</t>
  </si>
  <si>
    <t>The piano player is shown playing with another person seated beside him.</t>
  </si>
  <si>
    <t>The playing is seen from a hand close up view again.</t>
  </si>
  <si>
    <t>The second man imitates the first man.</t>
  </si>
  <si>
    <t>The first man claps at the second man's imitation.</t>
  </si>
  <si>
    <t>v_8iQ_ZjJGQkE</t>
  </si>
  <si>
    <t>A man stands in front of the camera and then takes a puff of his cigarette.</t>
  </si>
  <si>
    <t>After,he appears with roller blades on and starts to jump on different blocks and boulders in the city.</t>
  </si>
  <si>
    <t>The man continues making his way through the city,passing cars,and jumping over rocks.</t>
  </si>
  <si>
    <t>v_nmMs1pWkiAU</t>
  </si>
  <si>
    <t>A woman and a man salute, and then they demonstrate karate moves in a gym.</t>
  </si>
  <si>
    <t>After, the woman and the man stand and salute.</t>
  </si>
  <si>
    <t>v_gee7iCW34_E</t>
  </si>
  <si>
    <t>A graphic is seen with drawings of mushrooms and plants.</t>
  </si>
  <si>
    <t>A tall pine tree is seen.</t>
  </si>
  <si>
    <t>A match is lit and a young man holds up another lit match along with sticks then blows it out.</t>
  </si>
  <si>
    <t>The young man builds a ring of rocks near a tent.</t>
  </si>
  <si>
    <t>The camper then shows various sized sticks in his hands and others that he breaks in two.</t>
  </si>
  <si>
    <t>The young man breaks sticks with his foot and carries them to the campsite.</t>
  </si>
  <si>
    <t>The young man builds a fire with the various sized sticks in the fire ring and lights it.</t>
  </si>
  <si>
    <t>The fire burns into the night.</t>
  </si>
  <si>
    <t>v_3N1tbv5Z6Kk</t>
  </si>
  <si>
    <t>A man in tuxedo and woman in party dress dance the tango in a ballroom surrounded by crowd in chairs during performance.</t>
  </si>
  <si>
    <t>The crowd cheers at the end and claps hands.</t>
  </si>
  <si>
    <t>v_rcqXzX-7ULg</t>
  </si>
  <si>
    <t>A woman is standing in front of a washer and dryer in a laundry room.</t>
  </si>
  <si>
    <t>Step by step instructions are given for ironing clothes.</t>
  </si>
  <si>
    <t>She shows how to prepare and iron clothing using a rag and steam.</t>
  </si>
  <si>
    <t>v_8GxWehFZVRE</t>
  </si>
  <si>
    <t>A woman is sitting next to a baby in a high chair.</t>
  </si>
  <si>
    <t>She is playing an accordian for the baby.</t>
  </si>
  <si>
    <t>The baby rocks back and forth, dancing to the music.</t>
  </si>
  <si>
    <t>v_iUIfmMljiOg</t>
  </si>
  <si>
    <t>A woman is giving instructions on how to make her lemonade.</t>
  </si>
  <si>
    <t>She shows all of the ingredients that she uses and starts to boil them and mix them on a pot on the stove.</t>
  </si>
  <si>
    <t>In a blender she blends some strawberries and lemon juice.</t>
  </si>
  <si>
    <t>She then starts to do more or less all of those steps again for all different types of other lemonades that she makes.</t>
  </si>
  <si>
    <t>v_FA4BDINxLmE</t>
  </si>
  <si>
    <t>A close up of a person walking on a rope is shown followed by and old man speaking to the camera and more shots of the person walking.</t>
  </si>
  <si>
    <t>More people are being interviewed while people walk behind them and show several more shots of people walking across a rope.</t>
  </si>
  <si>
    <t>v_Nn9qwOB-g34</t>
  </si>
  <si>
    <t>A small group of people are seen standing along an indoor with one player kicking the ball and scoring a goal.</t>
  </si>
  <si>
    <t>The audience cheers and the same shot is shown again several times and the player walking away.</t>
  </si>
  <si>
    <t>Many more shots of goals are shown during the game followed by the same shot shown again in slow motion.</t>
  </si>
  <si>
    <t>v_fHXgxSFDmJc</t>
  </si>
  <si>
    <t>We see man teasing a bull with a flag.</t>
  </si>
  <si>
    <t>The bull charges at the flag.</t>
  </si>
  <si>
    <t>The bull charges and goes after the flag.</t>
  </si>
  <si>
    <t>The bullfighter moves left and the bull follows him.</t>
  </si>
  <si>
    <t>v_uE3YXkZoV5c</t>
  </si>
  <si>
    <t>Two men walk holding sticks out in front of them.</t>
  </si>
  <si>
    <t>They arrange discs onto some numbers.</t>
  </si>
  <si>
    <t>One of the men throws a disc with his stick.</t>
  </si>
  <si>
    <t>The man in red throws his disc.</t>
  </si>
  <si>
    <t>The first man throws another disc.</t>
  </si>
  <si>
    <t>The man in the red shirt follows.</t>
  </si>
  <si>
    <t>The first man throws another disc and the man in the red shirt follows.</t>
  </si>
  <si>
    <t>They high five each other.</t>
  </si>
  <si>
    <t>v_vLEz1mHahdM</t>
  </si>
  <si>
    <t>A man in military uniform is standing in front of a group of soldiers.</t>
  </si>
  <si>
    <t>He is playing the bagpipes while the other soldiers stand and watch him.</t>
  </si>
  <si>
    <t>It may be a parade they are practicing for because they are standing and watching him on top of trailer.</t>
  </si>
  <si>
    <t>Once the soldier is done with his song on the bagpipe all the soldiers clap and cheer for him.</t>
  </si>
  <si>
    <t>v_yrf93aLQXBE</t>
  </si>
  <si>
    <t>An old video of people surfing is shown.</t>
  </si>
  <si>
    <t>People catch waves and the fat guy does a pretty good job.</t>
  </si>
  <si>
    <t>v_Jj7Xcisw62E</t>
  </si>
  <si>
    <t>A large black male and John Cena are in a wrestling ring arm wrestling.</t>
  </si>
  <si>
    <t>The black male is beginning to win but John Cena uses all of his might to not give in and gains enough strength to push the hand back the other way.</t>
  </si>
  <si>
    <t>After a certain amount of time,John Cena wins and someone jumps on his back and begins wrestling him and picks the black man up and drops him.</t>
  </si>
  <si>
    <t>As John Cena continues to celebrate the other guy begins talking trash and John Cena looks at him then talks back to the crowd.</t>
  </si>
  <si>
    <t>v_VqTyewe2R1A</t>
  </si>
  <si>
    <t>A marching band plays in a gym and people watch.</t>
  </si>
  <si>
    <t>Then, the marching band stops playing for a little bit, then it resumes.</t>
  </si>
  <si>
    <t>A woman pass on side the marching band.</t>
  </si>
  <si>
    <t>A young man drinks from a can.</t>
  </si>
  <si>
    <t>After, a child pass on front the Marching band.</t>
  </si>
  <si>
    <t>v_cxxiokwoVgg</t>
  </si>
  <si>
    <t>People in a home get ready to go sled on the street covered with snow.</t>
  </si>
  <si>
    <t>Two young men sled on the road pulled by a car.</t>
  </si>
  <si>
    <t>Splashes of snow falls on the young men who are covered with snow.</t>
  </si>
  <si>
    <t>A young man stands from the sled and enters the car and other person takes his place on the sled.</t>
  </si>
  <si>
    <t>A young men goes down the road sledding while snow splay on them.</t>
  </si>
  <si>
    <t>A young person snowboards holding a rope attached to a car, at the end he falls.</t>
  </si>
  <si>
    <t>v_UYzgXZIRUR8</t>
  </si>
  <si>
    <t>A boy skateboard on a road jumping and flipping the skateboard in the street.</t>
  </si>
  <si>
    <t>A skateboard leans on a tree.</t>
  </si>
  <si>
    <t>Then, the boy skateboard on small ramps and then continues skateboarding in the street.</t>
  </si>
  <si>
    <t>v_YJTz7mpI-mY</t>
  </si>
  <si>
    <t>A man places shaving cream on his face.</t>
  </si>
  <si>
    <t>A man spits some liquid out of his mouth.</t>
  </si>
  <si>
    <t>A man sharpens his razor blade.</t>
  </si>
  <si>
    <t>The man shaves his face with the razor.</t>
  </si>
  <si>
    <t>The man puts more shaving cream on his face.</t>
  </si>
  <si>
    <t>v_n6k21NjvqXE</t>
  </si>
  <si>
    <t>An intro appears and it has a logo and the words "outdoor interlaken +", and then yellow words and roman numerals appear.</t>
  </si>
  <si>
    <t>The outdoor shop appears and it quickly changes to the inside of the shop where people are all gathered to get instructions, get dressed in helmets and safety gear, and prepare for white water rafting.</t>
  </si>
  <si>
    <t>The people are then going outdoors where they practice on land on how to sit in the raft, paddle and etc.</t>
  </si>
  <si>
    <t>When they are done practicing the all walk to the water with their rafts and they are all seen in the very rough waters going down and paddling and in their rafts where they end up in calm waters and jump out of their rafts to celebrate their success.</t>
  </si>
  <si>
    <t>When they're done celebrating the people walk out of the water holding their raft and they end up in a vehicle where they are smiling and happy.</t>
  </si>
  <si>
    <t>The outro appears with contact information, website,logos and credits.</t>
  </si>
  <si>
    <t>v_0LebHO3TvzE</t>
  </si>
  <si>
    <t>Two people are seen sitting on shore while sitting in kayaks.</t>
  </si>
  <si>
    <t>One person inches himself closer to the water and begins riding along down the river.</t>
  </si>
  <si>
    <t>v_8J_erRJya-k</t>
  </si>
  <si>
    <t>Young men ride skateboards and do skidding turns in a city plaza.</t>
  </si>
  <si>
    <t>The skateboarder does a wheelie.</t>
  </si>
  <si>
    <t>The skateboarders ride along a sidewalk going somewhere.</t>
  </si>
  <si>
    <t>The boys walk around and go into a transportation station.</t>
  </si>
  <si>
    <t>v_JksdZ0YMkoQ</t>
  </si>
  <si>
    <t>A man in red in outside screwing in his rotors and putting his tire back on his truck.</t>
  </si>
  <si>
    <t>He grabs pieces to tighten it and begins to make sure they are on super tight.</t>
  </si>
  <si>
    <t>He does it repeatedly to make sure they all stay on well.</t>
  </si>
  <si>
    <t>Otherwise it would be dangerous to drive on if they are loose.</t>
  </si>
  <si>
    <t>v_KUorCsuIe2A</t>
  </si>
  <si>
    <t>We see a boy in a cap in a room laughing and sitting.</t>
  </si>
  <si>
    <t>We see the boy backstage talking to two men.</t>
  </si>
  <si>
    <t>The boy walks on the stage and talks to the judges.</t>
  </si>
  <si>
    <t>The boy performs a break dance.</t>
  </si>
  <si>
    <t>A judges mouth hangs open.</t>
  </si>
  <si>
    <t>The boy finises dancing and the judges give their feedback.</t>
  </si>
  <si>
    <t>The crowd lifts their arms in the air.</t>
  </si>
  <si>
    <t>The boy walks off stage and is interviewed.</t>
  </si>
  <si>
    <t>The boy walks away from the men.</t>
  </si>
  <si>
    <t>v_svZ7DPi7rLI</t>
  </si>
  <si>
    <t>A man is running throws a javelin.</t>
  </si>
  <si>
    <t>He puts his hands in the air and waves at the crowd.</t>
  </si>
  <si>
    <t>He grabs a towel and puts his hands in the air.</t>
  </si>
  <si>
    <t>v_xUDwlT5fw_o</t>
  </si>
  <si>
    <t>A man is standing at a bar and he begins pouring ice into a tall cup along with blue liquid, dark liquid, and a red liquid.</t>
  </si>
  <si>
    <t>The man then pours it into a shaker and shakes it until thoroughly mixed.</t>
  </si>
  <si>
    <t>When the man is finished shaking the drink he removes the cup from the shaker, pours the liquids into a smaller cup, and sticks a white straw in it.</t>
  </si>
  <si>
    <t>All while talking the man then picks up the cup, smells it, smiles and holds the drink up.</t>
  </si>
  <si>
    <t>v_2DCeEAz8iO8</t>
  </si>
  <si>
    <t>A camera pans around a person riding around on a horse.</t>
  </si>
  <si>
    <t>The person continues riding around the area and pauses to speak to the woman while she laughs and speaks to the camera.</t>
  </si>
  <si>
    <t>v_4-Xe_9Ywvd8</t>
  </si>
  <si>
    <t>A group of cheerleaders gather on a football field.</t>
  </si>
  <si>
    <t>They cheer and flip as they jog across the field.</t>
  </si>
  <si>
    <t>They then put on a performance, flipping and jumping.</t>
  </si>
  <si>
    <t>v_FGtoyNOi6gg</t>
  </si>
  <si>
    <t>An intro leads into several shots of a wooded area and several people bungee jumping off a bridge.</t>
  </si>
  <si>
    <t>Several shots of people jumping off the side and shown and many standing on the side and close ups of the jumpers.</t>
  </si>
  <si>
    <t>v_qhsK94t7x7w</t>
  </si>
  <si>
    <t>People in stands watch as two bulls walk around in a bullfighting ring, other people walk around in the ring taking pictures.</t>
  </si>
  <si>
    <t>The bulls lock horns, and are aggressive toward one another.</t>
  </si>
  <si>
    <t>One bull walks away from the other one, and then quickly turns to reengage in the fight.</t>
  </si>
  <si>
    <t>The bulls circle one another.</t>
  </si>
  <si>
    <t>The bulls begin to fight.</t>
  </si>
  <si>
    <t>v_w8PqH7bltJQ</t>
  </si>
  <si>
    <t>man is standing in a workshop standing in front of a bicycle talking to the camera.</t>
  </si>
  <si>
    <t>list of materials is shown in the screen.</t>
  </si>
  <si>
    <t>man is putting red tape on bicycle bars.</t>
  </si>
  <si>
    <t>the man is wrapping all the bar in the red tape.</t>
  </si>
  <si>
    <t>v_kM6v-XN8Ixo</t>
  </si>
  <si>
    <t>A man throws a frisbee on a field.</t>
  </si>
  <si>
    <t>A dog jumps and grabs the frisbee in the air.</t>
  </si>
  <si>
    <t>The man lays on his back and the dog stands on his feet.</t>
  </si>
  <si>
    <t>The man bends down and the dog jumps on his back.</t>
  </si>
  <si>
    <t>The dog runs and jumps into the mans arms and the man carries him.</t>
  </si>
  <si>
    <t>v_539ByIcbUPs</t>
  </si>
  <si>
    <t>A woman speaks to the camera.</t>
  </si>
  <si>
    <t>Many lemons fall onto a counter.</t>
  </si>
  <si>
    <t>The woman grabs a wooden bowl and pours brown sugar into it.</t>
  </si>
  <si>
    <t>She grabs a lemon and rubs brown sugar all over the lemon.</t>
  </si>
  <si>
    <t>She proceeds to rub two lemons onto the counter.</t>
  </si>
  <si>
    <t>With a knife, she cuts a lemon in half.</t>
  </si>
  <si>
    <t>She squeezes lemon juice into a bowl.</t>
  </si>
  <si>
    <t>She pours the squeezed lemon juice into a pitcher.</t>
  </si>
  <si>
    <t>She pours boiling water into the bowl with brown sugar in it.</t>
  </si>
  <si>
    <t>Shes pours the watered brown sugar into the pitcher and stirs.</t>
  </si>
  <si>
    <t>She breaks ice cubes by hitting them with a spoon.</t>
  </si>
  <si>
    <t>She places the ice into a glass and adds the lemonade.</t>
  </si>
  <si>
    <t>Lastly, she takes a sip of the lemonade she just made.</t>
  </si>
  <si>
    <t>v_047dUA_39x8</t>
  </si>
  <si>
    <t>A cowboy rides a horse out of a corral and enters into a fenced off area.</t>
  </si>
  <si>
    <t>The man rides his horse out of the fenced are and throws a rope around a cattle.</t>
  </si>
  <si>
    <t>The man is helped by other cowboys while tying up the cattle.</t>
  </si>
  <si>
    <t>v_cdHBwzbNI5Y</t>
  </si>
  <si>
    <t>A girl in a sparkling outfit marches onto the court followed by other girls.</t>
  </si>
  <si>
    <t>They are holding batons as they march.</t>
  </si>
  <si>
    <t>They then walk away, off the court.</t>
  </si>
  <si>
    <t>v_8eGaK2mVEhY</t>
  </si>
  <si>
    <t>An indoor track is shown as a male begins running with a pole vault but he isn't successful in his jump.</t>
  </si>
  <si>
    <t>Another person then comes behind the camera and begins talking.</t>
  </si>
  <si>
    <t>The athlete then does his jump several more times but he isn't successful.</t>
  </si>
  <si>
    <t>v_ZIbrxshdMu0</t>
  </si>
  <si>
    <t>Older people play croquet near the ocean.</t>
  </si>
  <si>
    <t>A group of people come and walk by in the background.</t>
  </si>
  <si>
    <t>The two groups play and interact with each other.</t>
  </si>
  <si>
    <t>v_Pw0ANcAM-zc</t>
  </si>
  <si>
    <t>A man l dead lifts a weight bar from the ground over his head in a gym.</t>
  </si>
  <si>
    <t>The man does repetitions lifting a weight bar up off the ground to waist level.</t>
  </si>
  <si>
    <t>v_r9vcB6tc1mM</t>
  </si>
  <si>
    <t>There are two men using defense techniques as a way of dance moves.</t>
  </si>
  <si>
    <t>They are in the middle of a circle of people, who are clapping.</t>
  </si>
  <si>
    <t>Two other men come in from the crowd to try and dance, but the video ends.</t>
  </si>
  <si>
    <t>v_REOP3JWB0yc</t>
  </si>
  <si>
    <t>A man is seen wearing sunglasses and speaking to the camera while holding a lacrosse stick.</t>
  </si>
  <si>
    <t>The man continues to speak to the camera while moving the stick all around.</t>
  </si>
  <si>
    <t>In the end is seen still speaking while moving his legs as well as showing how to properly throw the ball.</t>
  </si>
  <si>
    <t>v_xXRKrdnuZBQ</t>
  </si>
  <si>
    <t>A man is seen speaking to the camera and leads into clips of him hitting a ball around with a stick.</t>
  </si>
  <si>
    <t>The man continues speaking to the camera in several spots and as well as hitting the ball around an indoor area.</t>
  </si>
  <si>
    <t>v_jSxu2GOiBO0</t>
  </si>
  <si>
    <t>An introduction comes onto the screen for a video about how to ski.</t>
  </si>
  <si>
    <t>A man begins to talk about some key components of skiing and how to go about learning how to ski.</t>
  </si>
  <si>
    <t>The video then goes to video of people skiing down a slope while twisting and turning from side to side.</t>
  </si>
  <si>
    <t>A scene is shown of three men talking while riding up the ski lift.</t>
  </si>
  <si>
    <t>The closing credits and graphics are shown at the end.</t>
  </si>
  <si>
    <t>v_tSUzEX6ps0s</t>
  </si>
  <si>
    <t>A Subway employee is standing in the kitchen preparing sub.</t>
  </si>
  <si>
    <t>On a white piece is of paper is a foot long piece of bread and a row of ham,pepperoni,salami then cheese are added on the sub.</t>
  </si>
  <si>
    <t>Next,the man puts the sub in the oven to be toasted and moves a tray of cookies to the other side of the counter.</t>
  </si>
  <si>
    <t>As he waits,he begins talking to his friend and checking the cookies.</t>
  </si>
  <si>
    <t>Now,the sub is toasted a lettuce and tomatoes are added along with cucumbers,anchovies,oil,vinegar and mayo.</t>
  </si>
  <si>
    <t>The sub is finally finished cut in half,rolled in paper, and then totaled out on the register.</t>
  </si>
  <si>
    <t>v_MysxDDxgHNo</t>
  </si>
  <si>
    <t>Several boys are interacting in an ice rink.</t>
  </si>
  <si>
    <t>Two boys that are sliding on their knees towards each other collide and fall back.</t>
  </si>
  <si>
    <t>A boy releases a curling stone.</t>
  </si>
  <si>
    <t>Three boys walk together across on the ice.</t>
  </si>
  <si>
    <t>v_RhsCYNiAaV8</t>
  </si>
  <si>
    <t>Title cards flash across the screen.</t>
  </si>
  <si>
    <t>Images of rafts are shown.</t>
  </si>
  <si>
    <t>We see people sitting in their raft then start rowing.</t>
  </si>
  <si>
    <t>A waterfall spills into the raft.</t>
  </si>
  <si>
    <t>Two boats of rafters raft down a river.</t>
  </si>
  <si>
    <t>The first boat splashes the rear boat.</t>
  </si>
  <si>
    <t>The rafters splash each other.</t>
  </si>
  <si>
    <t>A raft turns over in the water and rafters float to the river bank.</t>
  </si>
  <si>
    <t>A van is then driving down the road.</t>
  </si>
  <si>
    <t>The end title card appears on the screen.</t>
  </si>
  <si>
    <t>v_aTl4KzTuJoU</t>
  </si>
  <si>
    <t>A man is in the ocean water, holding a rope.</t>
  </si>
  <si>
    <t>He is attached to a boat while he is on water skis.</t>
  </si>
  <si>
    <t>He lifts himself up, skiing in the waves.</t>
  </si>
  <si>
    <t>v_36lphp9tnMk</t>
  </si>
  <si>
    <t>A man is standing outside drinking beer.</t>
  </si>
  <si>
    <t>People are standing around watching him.</t>
  </si>
  <si>
    <t>He sets the beer glass down on a table.</t>
  </si>
  <si>
    <t>v_1y9s_l_DIEk</t>
  </si>
  <si>
    <t>A woman holds two big gloves where two little girls tap with both hands.</t>
  </si>
  <si>
    <t>Then, the woman puts the globes on front her chest.</t>
  </si>
  <si>
    <t>People practice karate in a room.</t>
  </si>
  <si>
    <t>v_PVAV7PdHhgE</t>
  </si>
  <si>
    <t>A person holds a boy that is on a swing rod, and then push the rod.</t>
  </si>
  <si>
    <t>Then, the boy swings on the rod to impulse his body to swing in circles until the rod loss force.</t>
  </si>
  <si>
    <t>After, a man helps stop the swing rod, while other people are fixing something.</t>
  </si>
  <si>
    <t>A young man wearing yellow t-shirt move his arms.</t>
  </si>
  <si>
    <t>v_npzRJiGHc9c</t>
  </si>
  <si>
    <t>A field hockey game is being played.</t>
  </si>
  <si>
    <t>As a team is trying to score,a player in a white shirt ducks as the puck flies over her head.</t>
  </si>
  <si>
    <t>After the puck goes through the goalie,the young lady smiles as she goes over to the sideline and is given a high five from her coach.</t>
  </si>
  <si>
    <t>v_R7uL6BvULN8</t>
  </si>
  <si>
    <t>Two people are carrying kite surf boards to the water and we see people riding them in the water.</t>
  </si>
  <si>
    <t>We see the board up close.</t>
  </si>
  <si>
    <t>We see a man riding and come to a stop.</t>
  </si>
  <si>
    <t>We see the board up close again.</t>
  </si>
  <si>
    <t>We see the man riding the board in the water again.</t>
  </si>
  <si>
    <t>v_h5fX5z-unJc</t>
  </si>
  <si>
    <t>A man wearing a white shirt is playing pool in a recreation room.</t>
  </si>
  <si>
    <t>There are some other players standing besides the pool table.</t>
  </si>
  <si>
    <t>The man playing pool hits the balls as he continues playing the game.</t>
  </si>
  <si>
    <t>v_bFHpaULTwsE</t>
  </si>
  <si>
    <t>A tree and mulching materials are show, then a man prepares the area around the tree.</t>
  </si>
  <si>
    <t>Then the man put mulch around the tree and gives form with a rack.</t>
  </si>
  <si>
    <t>v_K-E0UXNscjU</t>
  </si>
  <si>
    <t>A woman is seen throwing a dart to the board and looking back laughing while another watches from far away.</t>
  </si>
  <si>
    <t>She throws more darts onto the board while stopping to grab them and a man bending down beside her.</t>
  </si>
  <si>
    <t>v_9Tip00S7cFY</t>
  </si>
  <si>
    <t>A man is in an indoor racquetball court, talking as he holds a ball and racquet.</t>
  </si>
  <si>
    <t>He lobs the ball back and forth against the wall, interspersed with talking about the game.</t>
  </si>
  <si>
    <t>He speaks for a while longer before the video ends.</t>
  </si>
  <si>
    <t>v_tdHQb9Uwc4A</t>
  </si>
  <si>
    <t>Two men are standing on an indoor gym and in sync they both start jumping on their metal bouncy stits and they both do a backflip.</t>
  </si>
  <si>
    <t>Various clips of various different people also wearing the bouncy stilts play and they're all running, flipping and doing various tricks while landing onto blue mats in an indoor gym.</t>
  </si>
  <si>
    <t>Now there are a lot of people outdoors, both men and women, and they are all running, hopping, jumping, and doing flips outdoors.</t>
  </si>
  <si>
    <t>A large group of them all line up and a view from above show that they have formed the number 7.</t>
  </si>
  <si>
    <t>Various still shot pictures show and clips of more people outdoors in a different area play and they're all also jumping over poles, doing flips, jumps, running and etcetera.</t>
  </si>
  <si>
    <t>Now there are people jumping into the water with their bouncy stilts, then back in a large grassy area until a black screen appears and a lot of white words and websites scroll quickly from bottom to top.</t>
  </si>
  <si>
    <t>v_3ArMGKnxlcU</t>
  </si>
  <si>
    <t>People are canoeing down a river of water.</t>
  </si>
  <si>
    <t>They are going around poles in the water.</t>
  </si>
  <si>
    <t>They go under a bridge.</t>
  </si>
  <si>
    <t>v_Dty6AUdBdrE</t>
  </si>
  <si>
    <t>A little girl in gray and printed coat is standing at the center of dry leaves, she walked away from the pile of leaves, grab handful and put it on one side.</t>
  </si>
  <si>
    <t>A woman in gray sweater and blue pants walk from the girl's behind then towards her, the lady is carrying a rake.</t>
  </si>
  <si>
    <t>The little girl came up to her and try to reach for the rake.</t>
  </si>
  <si>
    <t>The woman adjusted the handle of the rake to make it shorter and handed to the girl.</t>
  </si>
  <si>
    <t>The little girl tried to rake but it wouldn't move so the woman sat beside the girl and take the rake from her, while the little girl got distracted by the kids running down the street.</t>
  </si>
  <si>
    <t>The little girl continue to rake, while the lady take a bigger rake and started to rake the leaves.</t>
  </si>
  <si>
    <t>v_h_Kt_rqmODs</t>
  </si>
  <si>
    <t>A person is walking along the street that has chalk on it.</t>
  </si>
  <si>
    <t>A person in a red shirt is hopping along the street with the chalk on it.</t>
  </si>
  <si>
    <t>They finish and smile at the camera.</t>
  </si>
  <si>
    <t>v_G4fSvtn1HAw</t>
  </si>
  <si>
    <t>This is a recipe for making chocolate chip cookies.</t>
  </si>
  <si>
    <t>Chocolate bars are cut up with a knife.</t>
  </si>
  <si>
    <t>Butter is microwaved and prepared with sugar and other ingredients.</t>
  </si>
  <si>
    <t>Everything is stirred and the chocolate is put in.</t>
  </si>
  <si>
    <t>The cookies are shaped and put in an oven.</t>
  </si>
  <si>
    <t>v_LIaNG_UliKk</t>
  </si>
  <si>
    <t>man is sitting in the driver's seat.</t>
  </si>
  <si>
    <t>people are in snowy mountain snowboarding.</t>
  </si>
  <si>
    <t>v_aFdYbgmbOeY</t>
  </si>
  <si>
    <t>Someone grabs a rubix cube off of their desk and begin to solve it.</t>
  </si>
  <si>
    <t>They are moving so fast, they put it down for a split second.</t>
  </si>
  <si>
    <t>They pick it back up quickly and get back to it, moving so fast again.</t>
  </si>
  <si>
    <t>When they finally solve the cube they show their time, it took them only 33,91 to solve the cube.</t>
  </si>
  <si>
    <t>v_PJvOR4ue3tU</t>
  </si>
  <si>
    <t>The man in black shirt is walking and then raised the ball up.</t>
  </si>
  <si>
    <t>The man put the ball on his neck and started to turn around and threw the ball.</t>
  </si>
  <si>
    <t>The man cheered and gave a high five to other man, then he is so happy he went to the ground on his stomach and he continue to cheer.</t>
  </si>
  <si>
    <t>v_yBjsQN4fzVY</t>
  </si>
  <si>
    <t>There's a woman in a pink dress sitting with a man in a gray shirt.</t>
  </si>
  <si>
    <t>They are talking about brushing teeth in underwear and how it is banned by Metacafe.</t>
  </si>
  <si>
    <t>The man has a script in his hand that he's reading.</t>
  </si>
  <si>
    <t>A man in folded pants is walking on the beach.</t>
  </si>
  <si>
    <t>He picks up a toothbrush from the sand and begins brushing his teeth.</t>
  </si>
  <si>
    <t>The woman in the bathroom is brushing her teeth and is attacked by a man with a knife.</t>
  </si>
  <si>
    <t>There is blood splattered all over the bathroom.</t>
  </si>
  <si>
    <t>The injured woman gets up and looks in the mirror only find out that she has the face of the man from the beach.</t>
  </si>
  <si>
    <t>The same man is now back on the beach, walking along the shore.</t>
  </si>
  <si>
    <t>v_6fjc0Brqa7A</t>
  </si>
  <si>
    <t>Various shots of landscapes are shown followed by a woman speaking to the camera, gearing up, and riding behind a vehicle.</t>
  </si>
  <si>
    <t>The person walks around and interacts with the driver and leads into more clips of the person riding a board behind a car.</t>
  </si>
  <si>
    <t>A man speaks into a walkie talkie and showing the speed of the car as well as people celebrating and the man receiving a plaque.</t>
  </si>
  <si>
    <t>v_h3GLEcwSvD4</t>
  </si>
  <si>
    <t>A group of men are in a room doing various hand movements and moving their feet.</t>
  </si>
  <si>
    <t>As they continue,the man in the back falls on the ground,gets up and continues moving in the back of the room.</t>
  </si>
  <si>
    <t>They finish,stand still and begin clapping and high-fiving one another.</t>
  </si>
  <si>
    <t>v_aBr9bdWrl0I</t>
  </si>
  <si>
    <t>blonde woman is raking dry leaves in a backyard and dog is playing with them running.</t>
  </si>
  <si>
    <t>dog is unning in the backyard and is drinkin water from a smal fountain and keep running through the field playing with the leaves while the woman keep raking.</t>
  </si>
  <si>
    <t>v_tnavaGow7BI</t>
  </si>
  <si>
    <t>Two people are standing behind a counter.</t>
  </si>
  <si>
    <t>One person is adding peppers to a salad.</t>
  </si>
  <si>
    <t>Another person is chopping the pepper on a board.</t>
  </si>
  <si>
    <t>v_LW8UDBQ1yJc</t>
  </si>
  <si>
    <t>The opening credits for a film appears on the screen.</t>
  </si>
  <si>
    <t>Several young men are shown performing various stunts on skateboards.</t>
  </si>
  <si>
    <t>They jump on tables, over fountains, and down stairs.</t>
  </si>
  <si>
    <t>v_-kky8-yaEPg</t>
  </si>
  <si>
    <t>A man is stirring something in a pot.</t>
  </si>
  <si>
    <t>The first man leaves the scene as a second man enters and stirs something in a bowl.</t>
  </si>
  <si>
    <t>The first man walks into and out of frame.</t>
  </si>
  <si>
    <t>The camera pans left to watch the first man working at an oven.</t>
  </si>
  <si>
    <t>v_hK3E6njydQA</t>
  </si>
  <si>
    <t>People in uniforms of various characters are shown running around a green field.</t>
  </si>
  <si>
    <t>Then, a lacrosse game begins and they compete against one another.</t>
  </si>
  <si>
    <t>The large yellow character attempts to get a goal but isn't successful and he falls to his knee in disappointment.</t>
  </si>
  <si>
    <t>v_ivivR6ZdgRM</t>
  </si>
  <si>
    <t>A man in a denim shirt and black baseball cap plays the harmonica at the beach in front of a sandy shore, ocean water and a grass and flower covered knoll.</t>
  </si>
  <si>
    <t>The man is standing at the top of a short wooden staircase, and, leaning against the railing the man begins to play the harmonica covering the entire instrument with both hands while playing.</t>
  </si>
  <si>
    <t>A beach goer in shorts walks past him in the distance on the wet sand of the beach.</t>
  </si>
  <si>
    <t>The man continues to play the harmonica ending by pulling the harmonica away from the mouth and wriggling a large, puffy, mustache dramatically.</t>
  </si>
  <si>
    <t>v_B6W_0AvgGTY</t>
  </si>
  <si>
    <t>A man and dog are seen standing in a field with the dog looking to the owner.</t>
  </si>
  <si>
    <t>The man throws a frisbee off into the distance and the dog chases after it.</t>
  </si>
  <si>
    <t>The dog grabs the frisbee and runs back to the man.</t>
  </si>
  <si>
    <t>v_XuFiQCgRsRo</t>
  </si>
  <si>
    <t>A young woman is in a gym.</t>
  </si>
  <si>
    <t>She sits on an exercise machine while speaking to the camera.</t>
  </si>
  <si>
    <t>Three other people are near her, also on exercise machines.</t>
  </si>
  <si>
    <t>The woman then begins to use the exercise machine.</t>
  </si>
  <si>
    <t>The video ends with the woman stopping the machine and smiling at the camera.</t>
  </si>
  <si>
    <t>v_6SWx37_Byzs</t>
  </si>
  <si>
    <t>A man and woman are seen performing a dancing routine on a floor with one another.</t>
  </si>
  <si>
    <t>The man and woman are also seen in shots dancing by themselves and leads into them dancing together again.</t>
  </si>
  <si>
    <t>v_ZREEgMgSz_o</t>
  </si>
  <si>
    <t>A girl stands in a bathroom talking to the camera as a man films her.</t>
  </si>
  <si>
    <t>The lady wipes her eye makeup off and washes her face.</t>
  </si>
  <si>
    <t>the lady rinses the soap off her face.</t>
  </si>
  <si>
    <t>The lady stands upright and wipes her face with her hands while smiling.</t>
  </si>
  <si>
    <t>v_cfwJd80WCZU</t>
  </si>
  <si>
    <t>A man walking on metal stilts is bouncing a basketball with his right hand as a man passes him on rollerblades in the opposite direction.</t>
  </si>
  <si>
    <t>The man on stilts turns around while still bouncing the ball, loses control for a little bit, but steps it up and bounces is again.</t>
  </si>
  <si>
    <t>The man then grabs the basketball with two hands and pretends that he's going to throw it towards the camera.</t>
  </si>
  <si>
    <t>v_7g3YO0-R4qk</t>
  </si>
  <si>
    <t>A swimming pool is shown in a room.</t>
  </si>
  <si>
    <t>Men are shown jumping into the pool and swimming laps.</t>
  </si>
  <si>
    <t>v_ir1jpnsK5p8</t>
  </si>
  <si>
    <t>Cars move on a road adjacent to a home.</t>
  </si>
  <si>
    <t>A person is power washing.</t>
  </si>
  <si>
    <t>The person is soaking up water and debris with a vacuum.</t>
  </si>
  <si>
    <t>A man is painting the wall, light blue.</t>
  </si>
  <si>
    <t>The man is painting the wall and floor of a roof, black.</t>
  </si>
  <si>
    <t>v_SZqwvjwqwK4</t>
  </si>
  <si>
    <t>A man is playing the drums while wearing earphones.</t>
  </si>
  <si>
    <t>We see the man's feet in the upper corner.</t>
  </si>
  <si>
    <t>the mans' feet return in the corner.</t>
  </si>
  <si>
    <t>We see a game being played before returning to the drummer.</t>
  </si>
  <si>
    <t>We see another scene from the game.</t>
  </si>
  <si>
    <t>The man throws and catches one of his drumsticks.</t>
  </si>
  <si>
    <t>We see a closing screen with a website on it.</t>
  </si>
  <si>
    <t>v_lzcVvTHZlQo</t>
  </si>
  <si>
    <t>A shot is seen of two men performing an arm wrestling match together while the audience cheers.</t>
  </si>
  <si>
    <t>One man beats the other and the two hold up their arms to cheer and everybody celebrates.</t>
  </si>
  <si>
    <t>One man in the audience looks disappointing and the winner holds up a boy.</t>
  </si>
  <si>
    <t>v_xcI2e5T_BL0</t>
  </si>
  <si>
    <t>A man is scooping out the inside of a watermelon.</t>
  </si>
  <si>
    <t>He eats a piece of the watermelon.</t>
  </si>
  <si>
    <t>He draws on the side of the watermelon.</t>
  </si>
  <si>
    <t>He starts cutting out portions of the watermelon to carve it.</t>
  </si>
  <si>
    <t>He pulls out a piece of the watermelon skin.</t>
  </si>
  <si>
    <t>He continues drawing and cutting the watermelon.</t>
  </si>
  <si>
    <t>He shows the carved watermelon.</t>
  </si>
  <si>
    <t>The lights turn off and he shows the carved watermelon.</t>
  </si>
  <si>
    <t>v_Isx1Q5wyJZg</t>
  </si>
  <si>
    <t>Two girls spin double jump ropes while a girl in a black skirt jumps and a crowd of spectators watches on.</t>
  </si>
  <si>
    <t>A girl in jeans enters the ropes and performs different jumping moves.</t>
  </si>
  <si>
    <t>A girl in a blue shirt enters the jump ropes and performs different moves while jumping.</t>
  </si>
  <si>
    <t>A girl enters the jump ropes going extra fast speed and performs fast jumps.</t>
  </si>
  <si>
    <t>v_s1E6EKs1MZw</t>
  </si>
  <si>
    <t>A man in a gorilla suit is playing a saxophone in the middle of a store.</t>
  </si>
  <si>
    <t>The employees look on and laugh at the person playing and use their phones to take pictures.</t>
  </si>
  <si>
    <t>The gorillas reaches out to grab one of the employees hands and the man is very embarrassed by it.</t>
  </si>
  <si>
    <t>They talk to each other a bit and the other employees begin to clap excitedly.</t>
  </si>
  <si>
    <t>The Gorilla suit man plays the sax some more as everyone is still laughing.</t>
  </si>
  <si>
    <t>He plays and plays to the camera as the video comes to an end.</t>
  </si>
  <si>
    <t>v_wC-k0Zfx-cM</t>
  </si>
  <si>
    <t>People are sumo wrestling on a mat.</t>
  </si>
  <si>
    <t>People are playing the drums.</t>
  </si>
  <si>
    <t>Sumo wrestlers are talking to the camera.</t>
  </si>
  <si>
    <t>v_nOm1JLcBD30</t>
  </si>
  <si>
    <t>A small group of people are seen riding around bumper cars and crashing into one another.</t>
  </si>
  <si>
    <t>The group continues driving around and passing one another.</t>
  </si>
  <si>
    <t>The people continue driving the cars and passing one another.</t>
  </si>
  <si>
    <t>v_BuaWU70q7cE</t>
  </si>
  <si>
    <t>A teenaged boy and his mother are sitting in bed dressed very relaxed and talking about how to wrap gifts.</t>
  </si>
  <si>
    <t>He gets side tracked on his phone and then gets back to business, they start cutting the wrapping paper.</t>
  </si>
  <si>
    <t>They put the presents in the middle of the paper and try to start wrapping.</t>
  </si>
  <si>
    <t>They seems to have different techniques as the son finishes much faster and mom's comes out looking a little bit better.</t>
  </si>
  <si>
    <t>v_mS7SAG1nW1o</t>
  </si>
  <si>
    <t>A woman is in a stable with a white horse.</t>
  </si>
  <si>
    <t>She shows a collection of brushes and grooming supplies.</t>
  </si>
  <si>
    <t>She pets the horse as she talks, and tries to keep him calm.</t>
  </si>
  <si>
    <t>She uses the brushes to groom him thoroughly, then cleans his hooves.</t>
  </si>
  <si>
    <t>v_cy3a8BJJ-YQ</t>
  </si>
  <si>
    <t>A small group of people are seen sitting around a poker table with a woman dealing cards in front.</t>
  </si>
  <si>
    <t>The woman deals cards to the people while they put their cards and chips in the middle.</t>
  </si>
  <si>
    <t>The dealer continues playing with the people and looking off into the distance.</t>
  </si>
  <si>
    <t>v_JZK-HJ-Tdw4</t>
  </si>
  <si>
    <t>We see an animated opening scene.</t>
  </si>
  <si>
    <t>We see see man run with a pole and perform a high jump.</t>
  </si>
  <si>
    <t>The man knocks the pole down and lays down in disappointment.</t>
  </si>
  <si>
    <t>We see the man holding his pole and make his 2nd attempt knocking over the pole.</t>
  </si>
  <si>
    <t>The man tries a third time and the poles stays up.</t>
  </si>
  <si>
    <t>The man raises his arms in the air.</t>
  </si>
  <si>
    <t>We then see attempt 1,2 and 3 again.</t>
  </si>
  <si>
    <t>The man raises his arms in the air for the crowd.</t>
  </si>
  <si>
    <t>The man throws his arms in the air and falls to the ground.</t>
  </si>
  <si>
    <t>v_cwVZNpqc-mQ</t>
  </si>
  <si>
    <t>A man in a black shirt is sitting down playing a drum set.</t>
  </si>
  <si>
    <t>He stops playing and starts talking into a microphone.</t>
  </si>
  <si>
    <t>v_hHiPEAiYKv0</t>
  </si>
  <si>
    <t>A man is shoveling snow off his driveway in a heavy snow storm.</t>
  </si>
  <si>
    <t>He is wearing winter clothing and his fully covered.</t>
  </si>
  <si>
    <t>Another man is also shoveling snow off of he walkway of the house is not wearing any winter gear.</t>
  </si>
  <si>
    <t>They both continue to shovel and clean the snow in the heavy snow storm.</t>
  </si>
  <si>
    <t>v_vbyMT7bdUX4</t>
  </si>
  <si>
    <t>A woman is sitting in front of a table covered in wrapping supplies.</t>
  </si>
  <si>
    <t>She shows off a mug filled with gifts.</t>
  </si>
  <si>
    <t>She places it in cut cellophane, the wraps it around the present.</t>
  </si>
  <si>
    <t>She then ties it off with colorful ribbons.</t>
  </si>
  <si>
    <t>v_FOlMVTmAeaQ</t>
  </si>
  <si>
    <t>A male athlete is shown and he spins around and throws the discus.</t>
  </si>
  <si>
    <t>Once complete,two people rush out to measure the distance.</t>
  </si>
  <si>
    <t>The sequence is then continued and other men are shown throwing the discus.</t>
  </si>
  <si>
    <t>v_k3MFZmhXynI</t>
  </si>
  <si>
    <t>A person is seen pushing a lawn mower all around a yard while moving around in fast motion.</t>
  </si>
  <si>
    <t>The person continues moving around to cut the grass and the camera captures his movements.</t>
  </si>
  <si>
    <t>v_3vVhq-v5-wM</t>
  </si>
  <si>
    <t>A person is seen grabbing a bowling ball and winding his arm while other people bowl around him.</t>
  </si>
  <si>
    <t>The man throws the ball and hits several pins while running back and cheering to the camera.</t>
  </si>
  <si>
    <t>v_14AnvDNV5BI</t>
  </si>
  <si>
    <t>A young man sits on a cardio machine.</t>
  </si>
  <si>
    <t>Then, the man grans the handle of the machine.</t>
  </si>
  <si>
    <t>After, the man pulls the handle of la machine to do abs.</t>
  </si>
  <si>
    <t>v_soE6TfvOiIo</t>
  </si>
  <si>
    <t>A news man is talking in front of an image of a bulldog puppy.</t>
  </si>
  <si>
    <t>Doors open to a store, with various images of people working on different projects.</t>
  </si>
  <si>
    <t>A man shows how he received prostetic legs for the dog.</t>
  </si>
  <si>
    <t>The dog is shown with his new legs as they heal.</t>
  </si>
  <si>
    <t>In the final scene, the dog is walking along with a leashed pet pig.</t>
  </si>
  <si>
    <t>v_68kccxCgbys</t>
  </si>
  <si>
    <t>A title screen appears and then several paragraphs begin to roll over the screen.</t>
  </si>
  <si>
    <t>Next,a man with average sized curly black hair dressed in a suit begins to talk.</t>
  </si>
  <si>
    <t>When he is finished,a man is shown playing the saxophone at a night time television show and then the man comes back to finish talking.</t>
  </si>
  <si>
    <t>v_WYyqptHdgkk</t>
  </si>
  <si>
    <t>The man is on his feet bouncing towards the camera while standing on a tight flat ribbon that is connected to two very tall rock walls.</t>
  </si>
  <si>
    <t>The man then turns around and starts bouncing on his backside then back and forth onto his feet and backside while holding and letting go of the ribbon.</t>
  </si>
  <si>
    <t>The man continues to do tricks on the tight ribbon until he gets off of the ribbon and walks away smiling.</t>
  </si>
  <si>
    <t>v_YaIuavIbk6A</t>
  </si>
  <si>
    <t>An introduction comes onto the screen for a video about a sporting competition.</t>
  </si>
  <si>
    <t>A woman is interviewing another woman about the competition and all the events.</t>
  </si>
  <si>
    <t>Several clips are shown of people enjoying different sports and activities.</t>
  </si>
  <si>
    <t>After the interview ends, the closing credits are shown with graphics.</t>
  </si>
  <si>
    <t>v_O8tsM_ilGx4</t>
  </si>
  <si>
    <t>A cowboy riding a horse exits a gate.</t>
  </si>
  <si>
    <t>He ropes a little calf with a lasso.</t>
  </si>
  <si>
    <t>He jumps down and ties up the calf.</t>
  </si>
  <si>
    <t>v_poI4vU4k1sY</t>
  </si>
  <si>
    <t>A cue ball rolls on a table slowly away from the pocket.</t>
  </si>
  <si>
    <t>A man stands holding a touch screen discussing.</t>
  </si>
  <si>
    <t>Men compete and play a games of billiards.</t>
  </si>
  <si>
    <t>v__79Qlv1SQ9k</t>
  </si>
  <si>
    <t>A leg wearing a blue pants with red and white lines is shown, it moves on the snow, the legs were crossed as the lifebuoy moves on the snow.</t>
  </si>
  <si>
    <t>A person from afar is on a lifebuoy sliding on the snow.</t>
  </si>
  <si>
    <t>v_8ErMpNsK3_c</t>
  </si>
  <si>
    <t>A little girl swings across the monkey bars on a playground.</t>
  </si>
  <si>
    <t>Her mother talks as she watches her slide to the ground and start again.</t>
  </si>
  <si>
    <t>v_UZIs0_W2Akw</t>
  </si>
  <si>
    <t>A close up of a horse is shown followed by a woman walking into frame and brushing the horse.</t>
  </si>
  <si>
    <t>She continues brushing the horse in various spots and ends with her feeding the horse.</t>
  </si>
  <si>
    <t>v_AJ_QqCET1iY</t>
  </si>
  <si>
    <t>He does a gymnastics routine on the balance beam.</t>
  </si>
  <si>
    <t>He dismounts and lands on a blue mat.</t>
  </si>
  <si>
    <t>He waves at the crowd and walks off.</t>
  </si>
  <si>
    <t>v_T3DSDybuBsU</t>
  </si>
  <si>
    <t>The camera pans around a large group of people holding bows and arrows followed by several shots of them shooting the arrows.</t>
  </si>
  <si>
    <t>Several man run across the field as they shoot arrows at them that lead into sword fights and people being injured.</t>
  </si>
  <si>
    <t>People throw sponges at a man, fist fight, and shoot more arrows at others.</t>
  </si>
  <si>
    <t>v_TxxUmibEy9Q</t>
  </si>
  <si>
    <t>A woman is standing and walking inside a store.</t>
  </si>
  <si>
    <t>She walks up to a man and shakes his hand.</t>
  </si>
  <si>
    <t>She walks away, perusing the items on the shelves before leaning onto the counter, flexing her biceps.</t>
  </si>
  <si>
    <t>The woman shows the man her biceps before engaging in arm wrestling with him.</t>
  </si>
  <si>
    <t>She sits beside the counter, continuing to talk with him for a while.</t>
  </si>
  <si>
    <t>v_qZTAv1s_eBQ</t>
  </si>
  <si>
    <t>man is running wearing stilts in a green grassy field.</t>
  </si>
  <si>
    <t>cars are parked on side of a street in the background.</t>
  </si>
  <si>
    <t>man get ous the grass and runs into a street.</t>
  </si>
  <si>
    <t>v_Nr49JFixNE4</t>
  </si>
  <si>
    <t>People are standing in a gymnasium talking.</t>
  </si>
  <si>
    <t>They start running and throwing balls at each other.</t>
  </si>
  <si>
    <t>v_XJ-knBky6S0</t>
  </si>
  <si>
    <t>A man is seen standing at the end of a dock and looking back to people partying.</t>
  </si>
  <si>
    <t>The man walks up and sees two people performing martial arts in the middle of a circle.</t>
  </si>
  <si>
    <t>The people continuing moving around while others watch on the side and the soldier joining in as well.</t>
  </si>
  <si>
    <t>v_EMOfWVKMqDM</t>
  </si>
  <si>
    <t>There's a young woman who is curling in a curling rink.</t>
  </si>
  <si>
    <t>There are several other players who are also curling.</t>
  </si>
  <si>
    <t>Various pictures of that same woman are being shown posing for some sort of photo shoot.</t>
  </si>
  <si>
    <t>The woman seems a bit distressed about the game.</t>
  </si>
  <si>
    <t>She is posing for a photo shoot with a curling rock.</t>
  </si>
  <si>
    <t>v_abWGVKYPffM</t>
  </si>
  <si>
    <t>A man is using a weed whacker to trim bushes.</t>
  </si>
  <si>
    <t>He turns away from the bushes and cuts weeds on the ground.</t>
  </si>
  <si>
    <t>v_q59X9izcjQc</t>
  </si>
  <si>
    <t>Various clips are shown of a woman standing and pointing on a beach that lead into her dragging along a board and and adjusting it on the water.</t>
  </si>
  <si>
    <t>The woman then grabs onto the board and moves around the water while demonstrating proper moves and the camera moving all around others.</t>
  </si>
  <si>
    <t>v_6Kbv1OpIpaA</t>
  </si>
  <si>
    <t>A boy is sitting in the room with three guitars and begins to play all three of them with a violin bow.</t>
  </si>
  <si>
    <t>The man then begins to play the one guitar that is on his lap with his fingers and finishes the song.</t>
  </si>
  <si>
    <t>v_cWdWucjUhks</t>
  </si>
  <si>
    <t>A person does a routine on parallel bars.</t>
  </si>
  <si>
    <t>He does his routine and then dismounts.</t>
  </si>
  <si>
    <t>v_cUEGoRjraxM</t>
  </si>
  <si>
    <t>Dog owner stand with and hold their dogs.</t>
  </si>
  <si>
    <t>People play with their dogs in a park with obstacles.</t>
  </si>
  <si>
    <t>A group holds signs with a dog on a city sidewalk.</t>
  </si>
  <si>
    <t>v_Q3cc0HlO7so</t>
  </si>
  <si>
    <t>A man and woman are seen standing on a stage with a spotlight shown on them.</t>
  </si>
  <si>
    <t>The duo begin playing instruments together while looking at one another as well as the camera.</t>
  </si>
  <si>
    <t>The two continue playing with one another and pause to look at the camera.</t>
  </si>
  <si>
    <t>v_Vi2gzCrS-fE</t>
  </si>
  <si>
    <t>A person is seen cutting up a tomato and demonstrating how the knife works on a piece of paper.</t>
  </si>
  <si>
    <t>The person then sharpens the blade on a coffee mug and cuts through the paper.</t>
  </si>
  <si>
    <t>v_IVHmmp3Nsd4</t>
  </si>
  <si>
    <t>The words "Abstract Birds/Oil Painting Katy Jade Dobson" appear on screen.</t>
  </si>
  <si>
    <t>Dobson sketches out a design on white canvas and starts painting it.</t>
  </si>
  <si>
    <t>She stands by her finished work as paint drips in lines down the canvas.</t>
  </si>
  <si>
    <t>v_SfiAcQAPpQ8</t>
  </si>
  <si>
    <t>A man is standing behind a bar.</t>
  </si>
  <si>
    <t>He puts ice into the glass and pours drinks into it.</t>
  </si>
  <si>
    <t>He stirs it with a straw.</t>
  </si>
  <si>
    <t>v_23ApAC123aQ</t>
  </si>
  <si>
    <t>The scene opens up with a carwash and and advertisement.</t>
  </si>
  <si>
    <t>Two men are talking while one is sitting in his car.</t>
  </si>
  <si>
    <t>A man is cleaning a car and talking to the camera.</t>
  </si>
  <si>
    <t>The car is dried and vacuumed, then on to the next car.</t>
  </si>
  <si>
    <t>The customer is handed his keys and he is on his way with a clean car.</t>
  </si>
  <si>
    <t>Two men are messing around while cleaning the car.</t>
  </si>
  <si>
    <t>A sign shows the services they offer.</t>
  </si>
  <si>
    <t>v_Tm0jUAQf6zY</t>
  </si>
  <si>
    <t>A young girl is standing in her living room holding a baton horizontal to her neck while a cat on the ground is moving about.</t>
  </si>
  <si>
    <t>The girl then unbends her arm, lets the baton roll to her hands then begins to do a series of twirling the baton.</t>
  </si>
  <si>
    <t>The cat below walks in and out of the screen while she's twirling the baton and even throws it up in the air, catches it then continues to twirl it.</t>
  </si>
  <si>
    <t>v_6YmUCNIMpB4</t>
  </si>
  <si>
    <t>A man bends on front a hedge holding an electric cutter.</t>
  </si>
  <si>
    <t>The man cuts a long hedge of a garden using an electric cutter.</t>
  </si>
  <si>
    <t>Then, the man removes leaves on top the hedge with his hand.</t>
  </si>
  <si>
    <t>v_GhvNhbL2ivg</t>
  </si>
  <si>
    <t>man is sitting in a room playing congas.</t>
  </si>
  <si>
    <t>keyboard is behind the man playing congsa in a room.</t>
  </si>
  <si>
    <t>man is playing salsa in congas in a music room.</t>
  </si>
  <si>
    <t>v_Vcxv3nyZpSs</t>
  </si>
  <si>
    <t>A girl is riding on a yellow riding lawn mower on a very large yard filled with green grass.</t>
  </si>
  <si>
    <t>When the girl reaches the end of the yard she makes a turn and drives up in the same direction she just came from.</t>
  </si>
  <si>
    <t>When she reaches that end, she makes a turn but it's too tight and she reverses a little.</t>
  </si>
  <si>
    <t>The girl then makes her turn in the opposite direction once again and when she reaches half way down the yard she turns once again and heads up the direction she just came from.</t>
  </si>
  <si>
    <t>v_eMkBTRYwBAU</t>
  </si>
  <si>
    <t>A man in ski jacket on a snowboard holds onto a rope attached to a truck.</t>
  </si>
  <si>
    <t>The truck starts driving and the man is pulled behind on the tow rope.</t>
  </si>
  <si>
    <t>The man maneuvers to pull up parallel with the truck and alternates going back and forth behind the truck.</t>
  </si>
  <si>
    <t>The man slows down before he lets go of the tow rope and comes to a stop.</t>
  </si>
  <si>
    <t>v_xFDQTAemadA</t>
  </si>
  <si>
    <t>A guy is on a horse with a white long rope that has a big circle tied at the end and seems to be waiting for some blue gates to open.</t>
  </si>
  <si>
    <t>The blue gates open and a little bull runs out and the guy on the horse chase it down.</t>
  </si>
  <si>
    <t>the guy the tosses the rope and catch the bull around the neck while the or end of the rope is tied to the horse.</t>
  </si>
  <si>
    <t>The guy then jumps off the horse,runs to the bull and flip it on his back then tie the bulls legs together.</t>
  </si>
  <si>
    <t>the guy then gets back on his horse while two other guys free the bull from the rope tie and take it away.</t>
  </si>
  <si>
    <t>v_r1dvt537JQU</t>
  </si>
  <si>
    <t>The man is kneeled down to the floor, but he stands up to raise his arm and get on the bars to perform his act.</t>
  </si>
  <si>
    <t>When he's done he flips off and bows, next a girl is shown sitting in the chair and then he is shown performing again but in slow motion.</t>
  </si>
  <si>
    <t>Next, a girl is shown swinging on the uneven bars and when she's done she goes to sit down and talk about what she does.</t>
  </si>
  <si>
    <t>v_pmbHoeudjKc</t>
  </si>
  <si>
    <t>A lady is walking across a lawn.</t>
  </si>
  <si>
    <t>A guy runs and stops on the lawn.</t>
  </si>
  <si>
    <t>A man is standing on a track.</t>
  </si>
  <si>
    <t>The man runs on the track, jumps, and lands in a sand box.</t>
  </si>
  <si>
    <t>The man gets up, falls to the ground, and lays there.</t>
  </si>
  <si>
    <t>v_OJJMEEsOdPQ</t>
  </si>
  <si>
    <t>girl us hanging from a pole in a roofed gym and make a jump to the land pool.</t>
  </si>
  <si>
    <t>woman wwearing a red shirt is standing in front of the pole.</t>
  </si>
  <si>
    <t>little girl is walking in front of he girl doing gymnastics.</t>
  </si>
  <si>
    <t>v_9029wVyGkvg</t>
  </si>
  <si>
    <t>A man stands in front of the camera before being shown playing a game of basketball while punching a man with a pair of boxing gloves.</t>
  </si>
  <si>
    <t>The two men shake hands.</t>
  </si>
  <si>
    <t>v_NWbWuVtgt9Y</t>
  </si>
  <si>
    <t>A man is seen sitting on a bench holding a guitar and speaking to the camera.</t>
  </si>
  <si>
    <t>He points to microphones in front of him and begins strumming the guitar.</t>
  </si>
  <si>
    <t>The man continues to play while moving his hands all around and stopping to look at the camera.</t>
  </si>
  <si>
    <t>v_Oz4q98BhqKo</t>
  </si>
  <si>
    <t>We see people standing in an aerobics class.</t>
  </si>
  <si>
    <t>The teacher starts and the class follows.</t>
  </si>
  <si>
    <t>While standing on the step the people swing their hands.</t>
  </si>
  <si>
    <t>The class swings their arms again.</t>
  </si>
  <si>
    <t>The man in red walks off to the left.</t>
  </si>
  <si>
    <t>The class finishes and stop dancing.</t>
  </si>
  <si>
    <t>The teacher walks to turn off the camera.</t>
  </si>
  <si>
    <t>v_OW_iCiS_U4Y</t>
  </si>
  <si>
    <t>A female swimmer is standing on a diving board in a black swim suit and she jumps off doing multiple flips.</t>
  </si>
  <si>
    <t>She is then shown on ground level talking and wiping her face with a towel.</t>
  </si>
  <si>
    <t>All of a sudden,she returns back to the diving board and does a crazy flip where her knees are tucked in and she's doing several flips and then men applaud her and there's an instant replay.</t>
  </si>
  <si>
    <t>The routine continues and the girl attempts to do more flips and the people react the same way and she puts her hand up to her mouth in awe.</t>
  </si>
  <si>
    <t>v_mlUg8iMtew0</t>
  </si>
  <si>
    <t>Various text intros lead into pictures of a girl and paint close up.</t>
  </si>
  <si>
    <t>A person is then seen painting on a piece of paper using different colors.</t>
  </si>
  <si>
    <t>The person continues painting with text shown and blending in the paint.</t>
  </si>
  <si>
    <t>v_xUKQWr2aLTU</t>
  </si>
  <si>
    <t>The video is about Bristol BMX Club holding a biking event.</t>
  </si>
  <si>
    <t>There's a man drawing a white starting line on the ground for the race.</t>
  </si>
  <si>
    <t>The bikers get ready to begin their race.</t>
  </si>
  <si>
    <t>They start the race and go through ramps and bumps.</t>
  </si>
  <si>
    <t>The bikers are from various age groups ranging from teenagers to adults.</t>
  </si>
  <si>
    <t>The races continue as the bikers make their way through the obstacle course of going over ramps and bumps.</t>
  </si>
  <si>
    <t>v_NogC2IkaaAI</t>
  </si>
  <si>
    <t>A couple of sumo wrestlers are on a stage.</t>
  </si>
  <si>
    <t>They engage in a wrestling match together.</t>
  </si>
  <si>
    <t>A please stand by sign appears as technical problems are encountered.</t>
  </si>
  <si>
    <t>v_jHbf_E8aY1k</t>
  </si>
  <si>
    <t>A white screen is shown and various logos are shown on top of the screen as it goes to a black screen.</t>
  </si>
  <si>
    <t>A sun is rising and men are walking up a hill,pulling a rope,and reading a book.</t>
  </si>
  <si>
    <t>They continue to do various hobbies in the mountains and a man comes back and starts talking as the credits begin rolling.</t>
  </si>
  <si>
    <t>v_qnozppP4rm0</t>
  </si>
  <si>
    <t>A young girl is outside at the park talking to what appears to be her older brother.</t>
  </si>
  <si>
    <t>The two begin a face off and they drop down to the sidewalk drawing a long game of hopscotch.</t>
  </si>
  <si>
    <t>Once complete,they stand up,throw their chalk and the girl moves to the right of the game.</t>
  </si>
  <si>
    <t>The boy starts the game off and the girl begins her turn moving forward and backwards down the game.</t>
  </si>
  <si>
    <t>To show her up,the boy begins to dance across the pavement and the girl returns it by flipping down the game.</t>
  </si>
  <si>
    <t>Now its the boy's turn and he tries to flip but ends up falling and the girl starts to laugh at him.</t>
  </si>
  <si>
    <t>The young girl wins and the boy gives her his Xbox as a result.</t>
  </si>
  <si>
    <t>v_woRQ2JxcVHA</t>
  </si>
  <si>
    <t>A man dressed in black plays a saxophone on a pool patio.</t>
  </si>
  <si>
    <t>The saxophone player glances over to his keyboard player.</t>
  </si>
  <si>
    <t>The camera pans over to the keyboard player playing a Korg electric piano.</t>
  </si>
  <si>
    <t>v_ofrX4WyAM-0</t>
  </si>
  <si>
    <t>The lady talks to the camera.</t>
  </si>
  <si>
    <t>We then see a pot.</t>
  </si>
  <si>
    <t>We see spaghetti in a box.</t>
  </si>
  <si>
    <t>We see salt in a cup.</t>
  </si>
  <si>
    <t>The water is boiling in the bot.</t>
  </si>
  <si>
    <t>She adds salt to the pot.</t>
  </si>
  <si>
    <t>She adds pasta to the water.</t>
  </si>
  <si>
    <t>We see the pasta box up close.</t>
  </si>
  <si>
    <t>We see the lady set the timer.</t>
  </si>
  <si>
    <t>She takes the pasta out of the pot.</t>
  </si>
  <si>
    <t>She talks and waves bye to the camera.</t>
  </si>
  <si>
    <t>v_biAQgXDFskw</t>
  </si>
  <si>
    <t>A man and woman are seen standing in the middle of a floor with a woman speaking to the camera and leading into her dancing with the man.</t>
  </si>
  <si>
    <t>The two spin and dance around one another and ends by walking away from each other.</t>
  </si>
  <si>
    <t>v_PcGzPNEnVD0</t>
  </si>
  <si>
    <t>A man is seen speaking to the camera while standing next to a car with an open trunk.</t>
  </si>
  <si>
    <t>The man then unscrews a tire and lifts the car with a jack.</t>
  </si>
  <si>
    <t>The man takes the tire off and puts a new one on, ending by screwing it into place.</t>
  </si>
  <si>
    <t>He takes off the jack and finishes by speaking to the camera.</t>
  </si>
  <si>
    <t>v_p6jip892RdM</t>
  </si>
  <si>
    <t>a bicycle is shown in a dark room.</t>
  </si>
  <si>
    <t>man is wearing motobike clothes and is riding a motorbike in a field.</t>
  </si>
  <si>
    <t>man is doing high jumps on the motorbike practicig motocross in a dusty field.</t>
  </si>
  <si>
    <t>v_opCMfcAl7yw</t>
  </si>
  <si>
    <t>A large group of flags is shown.</t>
  </si>
  <si>
    <t>Several swimmers are swimming in the pool.</t>
  </si>
  <si>
    <t>They swim competitively, shown from underneath.</t>
  </si>
  <si>
    <t>v_b2eonKWCocE</t>
  </si>
  <si>
    <t>A man is shown speedily raking leaves in his front yard.</t>
  </si>
  <si>
    <t>Several cars go by as he continues raking.</t>
  </si>
  <si>
    <t>He rakes around the bushes and tree in his yard.</t>
  </si>
  <si>
    <t>A woman appears and helps him rake and bag the leaves.</t>
  </si>
  <si>
    <t>They take the bags away when they are done.</t>
  </si>
  <si>
    <t>They stand in front of the camera and pose with the rake.</t>
  </si>
  <si>
    <t>v_RJus6sogyiM</t>
  </si>
  <si>
    <t>A person is walking in a yard while recording it with a camera.</t>
  </si>
  <si>
    <t>The person gets a tray of white paint and paints a fence.</t>
  </si>
  <si>
    <t>v_nd50oUKdygI</t>
  </si>
  <si>
    <t>A man talks to the camera from a kitchen.</t>
  </si>
  <si>
    <t>The man demonstrates sharpening a knife with several sharpening tools.</t>
  </si>
  <si>
    <t>The man talks to the camera again.</t>
  </si>
  <si>
    <t>The man sharpens and then holds up a knife.</t>
  </si>
  <si>
    <t>Several types of knife storage options are displayed.</t>
  </si>
  <si>
    <t>The man talks to the camera some more.</t>
  </si>
  <si>
    <t>v_OKTxSQMS560</t>
  </si>
  <si>
    <t>We see an opening screen with a dog.</t>
  </si>
  <si>
    <t>We see a lady in a nurse shirt talking and two dogs in a kitchen.</t>
  </si>
  <si>
    <t>The lady has a small wet dog she is vacuuming on table and is brushing the dog.</t>
  </si>
  <si>
    <t>We see the dogs running around on the kitchen floor.</t>
  </si>
  <si>
    <t>We see the lady shave a dogs fur and brush the dog.</t>
  </si>
  <si>
    <t>We then see the dogs on the floor again.</t>
  </si>
  <si>
    <t>We see the lady and her contact info over her face.</t>
  </si>
  <si>
    <t>v_eQnwUWfah9w</t>
  </si>
  <si>
    <t>An ad for football appears on the screen.</t>
  </si>
  <si>
    <t>Several men are playing football indoors.</t>
  </si>
  <si>
    <t>They kick the ball back and forth while some people watch on the sidelines.</t>
  </si>
  <si>
    <t>v_xCplsH6deic</t>
  </si>
  <si>
    <t>A baseball player hits a run on a sporting field and runs the bases making a home run.</t>
  </si>
  <si>
    <t>Players kick a ball and run the bases on a baseball field.</t>
  </si>
  <si>
    <t>The catcher has fun while dancing.</t>
  </si>
  <si>
    <t>A kick is caught midair by the baseman and the player is out.</t>
  </si>
  <si>
    <t>v_8lhODyltF2Q</t>
  </si>
  <si>
    <t>A person is riding a lawnmower with an umbrella through the rain.</t>
  </si>
  <si>
    <t>A light colored sedan passes on the road.</t>
  </si>
  <si>
    <t>The person on the mower drives up to the roadway.</t>
  </si>
  <si>
    <t>v_P7kSJ8SRNHQ</t>
  </si>
  <si>
    <t>A small child is seen sitting in a swing.</t>
  </si>
  <si>
    <t>The child moves back and fourth on the swing while a laughing.</t>
  </si>
  <si>
    <t>A person's hand is seen pushing the child as she moves back and fourth.</t>
  </si>
  <si>
    <t>v_CCMtNNSzHw8</t>
  </si>
  <si>
    <t>A lady is wiping her face.</t>
  </si>
  <si>
    <t>A little girl is applying makeup to her face.</t>
  </si>
  <si>
    <t>The mother does the girls makeup.</t>
  </si>
  <si>
    <t>The girls admires her reflection.</t>
  </si>
  <si>
    <t>The girl grabs her toothbrush.</t>
  </si>
  <si>
    <t>v_BtKLAioC21g</t>
  </si>
  <si>
    <t>A man wearing ski goggles adjusts the camera.</t>
  </si>
  <si>
    <t>Several people are seen skiing down a steep slope.</t>
  </si>
  <si>
    <t>They continue skiing faster and faster as they go downhill.</t>
  </si>
  <si>
    <t>v_VToS7Ma-V4g</t>
  </si>
  <si>
    <t>The woman is positioned to take off on the race track and the man moves out of the way for her to go.</t>
  </si>
  <si>
    <t>Then she speeds off and does the triple jump into the sand making it all the way to the end of the 16 inch ruler.</t>
  </si>
  <si>
    <t>Next she is shown standing off the track smiling with her arms raised in the air filled with joy.</t>
  </si>
  <si>
    <t>v_kCOMyIb7f0Q</t>
  </si>
  <si>
    <t>People are skiing in doors in between each other.</t>
  </si>
  <si>
    <t>A button is pushed on a machine.</t>
  </si>
  <si>
    <t>People walk into a cabin.</t>
  </si>
  <si>
    <t>A person is trying on skis.</t>
  </si>
  <si>
    <t>Other people are practicing skiing on a motor belt.</t>
  </si>
  <si>
    <t>v_KBxE7NIOkf8</t>
  </si>
  <si>
    <t>Men stand on a steel platform high in the area and an instructor talks.</t>
  </si>
  <si>
    <t>A man is seated on the edge of the platform and holds onto large ropes.</t>
  </si>
  <si>
    <t>A patron runs and jumps from the platform wearing a budgie cord and he bounces on it as he reaches the bottom.</t>
  </si>
  <si>
    <t>v_mdv8UW_871g</t>
  </si>
  <si>
    <t>We see a boat pulling out of the dock.</t>
  </si>
  <si>
    <t>We see the boat driving as a person jet skis behind it.</t>
  </si>
  <si>
    <t>We see the skier without the boat.</t>
  </si>
  <si>
    <t>We see the boat from above again.</t>
  </si>
  <si>
    <t>The skier falls into the water.</t>
  </si>
  <si>
    <t>We see the skier ski and perform 4 flips.</t>
  </si>
  <si>
    <t>We see the skier ski.</t>
  </si>
  <si>
    <t>We see the skier swim towards the boat.</t>
  </si>
  <si>
    <t>A person in the boat raises their hands in the air.</t>
  </si>
  <si>
    <t>v_MPolPBO-K-Y</t>
  </si>
  <si>
    <t>The man in black shirt is playing guitar in the studio.</t>
  </si>
  <si>
    <t>The man is strumming the guitar.</t>
  </si>
  <si>
    <t>The man is pressing the thread on the guitar keys as he strum the guitar.</t>
  </si>
  <si>
    <t>v_AlLg4ZaxDoQ</t>
  </si>
  <si>
    <t>A person cooks on a wood cooker, then a person rafts in a river.</t>
  </si>
  <si>
    <t>Young men unpack a car and then carry raft boats in the jungle and pass a rope bridge.</t>
  </si>
  <si>
    <t>Young men raft in a narrow choppy river on individual boats.</t>
  </si>
  <si>
    <t>The young men falls from small cascades in the rocky river.</t>
  </si>
  <si>
    <t>v_84uYA9rFoSw</t>
  </si>
  <si>
    <t>A woman bends over in a ballet pose.</t>
  </si>
  <si>
    <t>She then faces the camera talking.</t>
  </si>
  <si>
    <t>She displays more ballet moves.</t>
  </si>
  <si>
    <t>She finishes with the low fifth position.</t>
  </si>
  <si>
    <t>v_N3UOyPU2t0E</t>
  </si>
  <si>
    <t>Several pairs of shoes are shown as well as a large group of people socializing and pouring alcohol into glasses.</t>
  </si>
  <si>
    <t>The glasses are laid out on a table and several shots are shown of people playing beer pong.</t>
  </si>
  <si>
    <t>More shots are shown of people speaking to one another as well as playing beer pong in several locations and partying with one another.</t>
  </si>
  <si>
    <t>In the end medals are handed out and people wear them while celebrating in different spots.</t>
  </si>
  <si>
    <t>v_WiGOn6O-S1g</t>
  </si>
  <si>
    <t>There are several swimmers standing on the tallest diving board of a swimming pool.</t>
  </si>
  <si>
    <t>The divers are getting ready to dive into the pool.</t>
  </si>
  <si>
    <t>One of the divers dives and jumps into the pool from a great height.</t>
  </si>
  <si>
    <t>v_bDTQVC0ASbE</t>
  </si>
  <si>
    <t>A man in a red apron is talking.</t>
  </si>
  <si>
    <t>He is rubbing something on a board and ironing it.</t>
  </si>
  <si>
    <t>He's scraping the top of the board he ironed.</t>
  </si>
  <si>
    <t>v_m7wfcL6YSMY</t>
  </si>
  <si>
    <t>A woman is seen riding on a camel behind another man on a camel.</t>
  </si>
  <si>
    <t>She looks back and smiles to the camera while it pans around the area.</t>
  </si>
  <si>
    <t>Another person is seen riding from behind while people hold onto the camels.</t>
  </si>
  <si>
    <t>v_-xQvJmC2jhk</t>
  </si>
  <si>
    <t>Two women in a child are shown in a canoe while a man pulls the canoe while standing in the water, with other individuals visible in the background.</t>
  </si>
  <si>
    <t>The child and a different man sit in a canoe while the man paddles.</t>
  </si>
  <si>
    <t>The camera pans to show the first man in the foreground.</t>
  </si>
  <si>
    <t>The child and the first man are in a canoe while the first man paddles.</t>
  </si>
  <si>
    <t>A series of still images of the various people shown during the video are shown.</t>
  </si>
  <si>
    <t>v_NEKcJ0whvkg</t>
  </si>
  <si>
    <t>A person rolls in the grass after a fall and gets up to join a game of lacrosse.</t>
  </si>
  <si>
    <t>We see gear in the grass and a man speaking to the camera.</t>
  </si>
  <si>
    <t>Men play lacrosse and ladies cheer on the side.</t>
  </si>
  <si>
    <t>We see a man interviewed and a team huddle and see men play.</t>
  </si>
  <si>
    <t>A man in interviewed and we see the men play lacrosse.</t>
  </si>
  <si>
    <t>A man in red is interviewed and the teams shake hands, hold up their trophy and pose for photos.</t>
  </si>
  <si>
    <t>v_NiaE7amNW7s</t>
  </si>
  <si>
    <t>A young female gymnast wearing red prepares for her balance beam routine in the Olympics.</t>
  </si>
  <si>
    <t>The female gymnast runs to the springboard and jumps from it to the balance beam.</t>
  </si>
  <si>
    <t>The female gymnast then does her tumbling routine on the balance beam while commentators explain what she is doing and how difficult it is.</t>
  </si>
  <si>
    <t>A huge crowd watches and cheers the gymnast on.</t>
  </si>
  <si>
    <t>An Asian man walks to the balance beam and pulls the springboard away from the beam.</t>
  </si>
  <si>
    <t>The gymnast performs a difficult tumbling sequence and the crowd cheers louder than before.</t>
  </si>
  <si>
    <t>People in the crowd that is watching the gymnast enter the gym and find seats while others stand up and exit the gym.</t>
  </si>
  <si>
    <t>Another female gymnast walks past the balance beam in the background.</t>
  </si>
  <si>
    <t>The female gymnast prepares for her dismount.</t>
  </si>
  <si>
    <t>The female gymnast runs and completes a tumbling sequence to exit the balance beam.</t>
  </si>
  <si>
    <t>The female gymnast lands perfectly and throws her arms straight up in the air with a huge smile on her face Other gymnasts in the background watch and clap.</t>
  </si>
  <si>
    <t>A large group of photographers watch and take photographs of the gymnast.</t>
  </si>
  <si>
    <t>The gymnast waves while spinning in a circle and then runs to the side of the gym floor.</t>
  </si>
  <si>
    <t>Three Asian gymnasts in yellow watch and clap without smiling.</t>
  </si>
  <si>
    <t>The gymnast in red hugs and talks to her other teammates and her coach while several photographers take photos of her.</t>
  </si>
  <si>
    <t>The commentators replay several of the gymnasts more difficult tumbling sequences and her dismount in slow motion while explaining what she is doing.</t>
  </si>
  <si>
    <t>The female gymnast hugs another coach and another one of her teammates while a man films them with a large camera.</t>
  </si>
  <si>
    <t>All of the gymnasts on the United States team and their coaches walk through the gym while the crowd cheers very loudly.</t>
  </si>
  <si>
    <t>Several gymnasts from other teams also walk past.</t>
  </si>
  <si>
    <t>The female gymnast talks with her team while waiting for her score to be displayed.</t>
  </si>
  <si>
    <t>v_cSCskKqO7CE</t>
  </si>
  <si>
    <t>A little girl demonstrates how to apply make up using a mini makeup kit as a makeup source, all while talking to the camera.</t>
  </si>
  <si>
    <t>A little girl talks to the camera and then leans into the camera in a close up shot.</t>
  </si>
  <si>
    <t>The little girl pulls out a colorful make up palette and shows the camera the inside of the palette before beginning to apply some of the make up to her eyes.</t>
  </si>
  <si>
    <t>The girl then applies black mascara to her eyelashes and some eyeshadow and lip gloss taking breaks after the applications to talk to the camera.</t>
  </si>
  <si>
    <t>The little girl gives a final thumbs up and blows kisses to the camera before talking more and smiling as the scene fades out.</t>
  </si>
  <si>
    <t>v_RpyRgnHdUXc</t>
  </si>
  <si>
    <t>A man sits on a rowing machine in a gym and talks to the camera while demonstrating how to use a rowing exercise machine.</t>
  </si>
  <si>
    <t>The man begins to exercise on the machine slowly , all while talking to the camera, eventually building up to a more fast paced work out on the same machine.</t>
  </si>
  <si>
    <t>The man begins to demonstrate how to use the digital panel on the exercise machine by pointing at it and talking to the camera.</t>
  </si>
  <si>
    <t>v_8QbHeaXOJOA</t>
  </si>
  <si>
    <t>A kite is shown high in the air.</t>
  </si>
  <si>
    <t>A man is holding the kite before letting it go.</t>
  </si>
  <si>
    <t>It spins high into the air and flips in circles and angles, bouncing off the ground.</t>
  </si>
  <si>
    <t>v_9YYypM0JvUM</t>
  </si>
  <si>
    <t>A man is standing in a gym holding up a large bicycle wheel moving his hands along the tube inside the rubber.</t>
  </si>
  <si>
    <t>The man continuously performs the action as he moves the circle around on his knee.</t>
  </si>
  <si>
    <t>After, the man picks up a yellow object and starts to tighten the spokes on the wheel and sealing the lifting the rubber up.</t>
  </si>
  <si>
    <t>v_IRz9PYgpb8U</t>
  </si>
  <si>
    <t>A man uses a trimmer to trim the leaves on a tree in a backyard, starting in the middle.</t>
  </si>
  <si>
    <t>He moves to his left to continue trimming the tree.</t>
  </si>
  <si>
    <t>v__Y4czVoIxvE</t>
  </si>
  <si>
    <t>Two women are standing inside a house.</t>
  </si>
  <si>
    <t>They show off a canvas tile.</t>
  </si>
  <si>
    <t>They then show how they made the tile and laid it out on the ground, piecing it together like a puzzle.</t>
  </si>
  <si>
    <t>They sit on top talking about it before moving the furniture back in place on top of it.</t>
  </si>
  <si>
    <t>v_ZNVhz7ctTq0</t>
  </si>
  <si>
    <t>A fluffy dog is standing on a sidewalk with a child behind it.</t>
  </si>
  <si>
    <t>The dog begins walking on the sidewalk and closely behind him a child is riding on a scooter as the dog walks.</t>
  </si>
  <si>
    <t>v_V7C34-4tBok</t>
  </si>
  <si>
    <t>A sink is shown full of dirty dishes and leads into various products shown off.</t>
  </si>
  <si>
    <t>A person then scrubs the dishes and begins putting some of them into a bucket.</t>
  </si>
  <si>
    <t>They wash the dishes continuously while stacking them in a rack off to the side.</t>
  </si>
  <si>
    <t>v_ze6Bu0bcNbg</t>
  </si>
  <si>
    <t>A Phillips three headed razor is shown and then un-boxed on a red table.</t>
  </si>
  <si>
    <t>Next,the razor is assembled and place on its charge to charge once it is plugged in.</t>
  </si>
  <si>
    <t>Once fully charged,the man rinses the razors,applies shaving cream to this beard area and start to shave.</t>
  </si>
  <si>
    <t>As he is shaving,the man continues to talk and his face begins to turn a little big razor and the razor is then placed back on the charger.</t>
  </si>
  <si>
    <t>v_uRcVktMzlUc</t>
  </si>
  <si>
    <t>A man is standing on a stage in front of an american flag while reading into a microphone from a piece of paper.</t>
  </si>
  <si>
    <t>He then is shown in front of a crowd as they scream behind him.</t>
  </si>
  <si>
    <t>The men walk out, and begin competing in a dart throwing challenge.</t>
  </si>
  <si>
    <t>The winner is interviewed afterward.</t>
  </si>
  <si>
    <t>v_b_v5uGSheEw</t>
  </si>
  <si>
    <t>The Bali River tubing information is shown on the screen.</t>
  </si>
  <si>
    <t>There's a yellow and red tube shown with the name Bali River printed on it.</t>
  </si>
  <si>
    <t>There are several people wearing protective helmets tubing in the river.</t>
  </si>
  <si>
    <t>There's a man standing under a pipe with fast flowing water.</t>
  </si>
  <si>
    <t>There are some tubers paddling through the water with their hands.</t>
  </si>
  <si>
    <t>There's a man relaxing in his tube giving a thumbs up.</t>
  </si>
  <si>
    <t>The tubers continue tubing through the river.</t>
  </si>
  <si>
    <t>v_KlmlCbJup5A</t>
  </si>
  <si>
    <t>A man is seen wearing a mask and pushing an object along a wall.</t>
  </si>
  <si>
    <t>The man is then seen laying out paper across a table.</t>
  </si>
  <si>
    <t>He shortly after puts wallpaper up on the wall.</t>
  </si>
  <si>
    <t>v_buhaBimF4M0</t>
  </si>
  <si>
    <t>A woman on roller blades moves backwards, falls on the grass and laughs.</t>
  </si>
  <si>
    <t>A friend is talking with the fallen woman as she tries to get up.</t>
  </si>
  <si>
    <t>A friend talks to her while holding the camera and offers her a hand to get up.</t>
  </si>
  <si>
    <t>Two women hold hand and start rollerblading, while the girl in the red shirt learns how.</t>
  </si>
  <si>
    <t>The girl in the red shirt falls and they all laugh.</t>
  </si>
  <si>
    <t>v_7UrJuhFvlQ4</t>
  </si>
  <si>
    <t>A leaf blower is shown blowing a large pile of leaves across a green lawn in front of residential houses.</t>
  </si>
  <si>
    <t>The leaves fly up in the air but stick largely together as the the leaf blower wipes the ground clean of brown leaves and starts to form piles on the lawn.</t>
  </si>
  <si>
    <t>The camera occasionally and finally settles on a yellow riding lawn mower sitting in the yard beyond the piles of leaves.</t>
  </si>
  <si>
    <t>v_vxJlOKF1VB4</t>
  </si>
  <si>
    <t>We see a girl with purple hair talking to the camera.</t>
  </si>
  <si>
    <t>We see the girl looking down at the camera.</t>
  </si>
  <si>
    <t>We see the girl pretend to brush and spray her hair.</t>
  </si>
  <si>
    <t>She holds 2 bottle to the camera.</t>
  </si>
  <si>
    <t>The girl brushes her hair and puts it in a ponytail.</t>
  </si>
  <si>
    <t>The girl adds products to her hair.</t>
  </si>
  <si>
    <t>The girl points at the camera.</t>
  </si>
  <si>
    <t>The girl gives the camera a thumbs up.</t>
  </si>
  <si>
    <t>v_rAL6jEy54Tk</t>
  </si>
  <si>
    <t>man is standing on a room playing dart.</t>
  </si>
  <si>
    <t>man is throwing darts into a dartboard.</t>
  </si>
  <si>
    <t>the man grabs the darts from the board and talks to the camera.</t>
  </si>
  <si>
    <t>v_pMCPCsvxRBw</t>
  </si>
  <si>
    <t>There are people working in a drink food stand filling cups, shaking cups, holding cups or just walking around.</t>
  </si>
  <si>
    <t>A young man fills a clear cup with liquid, puts it on the counter, covers it with a paper cup, shakes it vigorously, and when he's done he puts the paper cup down and pours all the contents into it, puts a yellow straw into it and hands it to the person waiting.</t>
  </si>
  <si>
    <t>Next to him another boy was also shaking a cup, and then preparing to transfer the contents to a paper cup.</t>
  </si>
  <si>
    <t>v_cmzEDurFcwI</t>
  </si>
  <si>
    <t>A man in a blue shirt talks next to a air hockey table game in a showcase room, interspersed with video of four men demonstrating a game of air table hockey.</t>
  </si>
  <si>
    <t>A man begins speaking from a showroom, while standing in front of a air hockey table game.</t>
  </si>
  <si>
    <t>The camera cuts away to show four men playing a game of air hockey with the table game.</t>
  </si>
  <si>
    <t>The man speaks again, next to the table game, until the camera pans away again to the men playing air hockey until the scene fades to an elaborate Gold Standard Games marketing graphic.</t>
  </si>
  <si>
    <t>v_AoRk69eieek</t>
  </si>
  <si>
    <t>A man stands by a pole vault rig while a series of vaulters is shown attempting the vault with varying degrees of success.</t>
  </si>
  <si>
    <t>A group of people wearing white uniforms walk by in the background.</t>
  </si>
  <si>
    <t>Two people walk by in the background.</t>
  </si>
  <si>
    <t>v_PPXrVuZAb74</t>
  </si>
  <si>
    <t>A woman is closing her eyes standing on a diving board.</t>
  </si>
  <si>
    <t>She does a flip and dives into the water.</t>
  </si>
  <si>
    <t>She swims to the surface.</t>
  </si>
  <si>
    <t>v_54K2F3zAZ0o</t>
  </si>
  <si>
    <t>A band is playing on a stage.</t>
  </si>
  <si>
    <t>A man and woman kiss.</t>
  </si>
  <si>
    <t>A man in a yellow shirt plays the saxophone.</t>
  </si>
  <si>
    <t>v_i-G50GikqTg</t>
  </si>
  <si>
    <t>A young man sits down and pulls a drum close to him.</t>
  </si>
  <si>
    <t>He picks up his sticks and hits them together.</t>
  </si>
  <si>
    <t>He starts to count and drum.</t>
  </si>
  <si>
    <t>He drums faster as he looks away and then stops to adjust a few drums.</t>
  </si>
  <si>
    <t>He gets up and moves the camera to show a lever he moves and then he taps on the top of a drum over and over.</t>
  </si>
  <si>
    <t>He gives a thumbs up and peace sign.</t>
  </si>
  <si>
    <t>v_pZ8QqpYu-H8</t>
  </si>
  <si>
    <t>A man is seated at a piano, playing and singing into a microphone.</t>
  </si>
  <si>
    <t>When he finishes, he looks up and smiles.</t>
  </si>
  <si>
    <t>v_4hmJfJo6UI8</t>
  </si>
  <si>
    <t>A female athlete runs quickly down a track.</t>
  </si>
  <si>
    <t>She plows into the sand before getting up and walking away.</t>
  </si>
  <si>
    <t>The scene is repeated three times before ending with her cheering and clapping.</t>
  </si>
  <si>
    <t>v_0VHUSC4YFT4</t>
  </si>
  <si>
    <t>A person is seen hanging on the side of a beam going down while another man holds him.</t>
  </si>
  <si>
    <t>He then pulls the other man up and watches him jump off on the side on a bungee cord.</t>
  </si>
  <si>
    <t>v_ADbp9ObJVxE</t>
  </si>
  <si>
    <t>A man is in a worship, talking in front of a piece of wood.</t>
  </si>
  <si>
    <t>He sands the piece of wood down, then wipes sealant or stain onto the wood.</t>
  </si>
  <si>
    <t>v_qq1wRySmDTc</t>
  </si>
  <si>
    <t>a man is crouching in the woods next to a pile of stones.</t>
  </si>
  <si>
    <t>He is explaining the building of a fire.</t>
  </si>
  <si>
    <t>He lights the wood, creating a fire.</t>
  </si>
  <si>
    <t>v_8AP2he781Cw</t>
  </si>
  <si>
    <t>People are playing hockey on an ice rink.</t>
  </si>
  <si>
    <t>A person falls over onto the ice.</t>
  </si>
  <si>
    <t>A person runs after a puck and falls over again.</t>
  </si>
  <si>
    <t>He begins hitting the puck and falls again.</t>
  </si>
  <si>
    <t>v_wNwwiK6znIE</t>
  </si>
  <si>
    <t>We see a man in a shop holding a ski.</t>
  </si>
  <si>
    <t>The man shows us a can of product he this sprays on and wipes down a ski.</t>
  </si>
  <si>
    <t>The man then holds the ski for us to see.</t>
  </si>
  <si>
    <t>We see two ski products and an ending screen.</t>
  </si>
  <si>
    <t>v_-kmomJph-6E</t>
  </si>
  <si>
    <t>Two kids with extremly long hair are outside near a group of sheds.</t>
  </si>
  <si>
    <t>The shorter boy begins pulling the other guys hair and pulling him by it.</t>
  </si>
  <si>
    <t>However,the boy lets the guys hair go and the guy begins to knee him in the private area,pick him up over his head and drop him on a piece of wood.</t>
  </si>
  <si>
    <t>v_YnsusYE6i_0</t>
  </si>
  <si>
    <t>There are a lot of dressed up people sitting in a large dining area at a reception.</t>
  </si>
  <si>
    <t>A brunette woman taps a blonde woman on her back, points to something on the ground, and the women smile with the blonde woman leans over and picks up her sweater that was on the ground.</t>
  </si>
  <si>
    <t>A woman dressed in a blue flowing dress with a blue bodysuit underneath is standing up, and she begins to do a ballet dance routine in the middle of the large dancing floor while the people in the reception area are watching her every move, taking picture and videoing her.</t>
  </si>
  <si>
    <t>When the woman is done dancing she stands there with her arms crossed on her chest and the crowds applauds, and gives her a standing ovation while she takes a few bows.</t>
  </si>
  <si>
    <t>v_aKJKZHvP53E</t>
  </si>
  <si>
    <t>woman is standing in front of a poker tokens and cards.</t>
  </si>
  <si>
    <t>she turn around the cards and mixing it.</t>
  </si>
  <si>
    <t>cards are in a stack and split them in 4 and mixing it.</t>
  </si>
  <si>
    <t>cards are in a stack and other person split it in two and put them in a transparent box.</t>
  </si>
  <si>
    <t>v_7dx3MobORY0</t>
  </si>
  <si>
    <t>A girl shows how to bake cookies from scratch.</t>
  </si>
  <si>
    <t>Ingredients are added, stirred, and then the mixture is put in the oven.</t>
  </si>
  <si>
    <t>v_rzsp_r9fq_A</t>
  </si>
  <si>
    <t>There's a woman in a black raincoat standing next to a wooden fence.</t>
  </si>
  <si>
    <t>She is joined by a little girl wearing a polka dotted jacket who brings her some green paint.</t>
  </si>
  <si>
    <t>The woman begins painting the fence with a bush.</t>
  </si>
  <si>
    <t>There are several other people in the neighborhood who are seen volunteering to paint the fence with green paint.</t>
  </si>
  <si>
    <t>The volunteers are being interviewed.</t>
  </si>
  <si>
    <t>There are two boys dressed in Batman costumes standing there.</t>
  </si>
  <si>
    <t>The volunteers continue to paint the fence.</t>
  </si>
  <si>
    <t>Some people from the community gather around the parking lot.</t>
  </si>
  <si>
    <t>The people continue painting the fence.</t>
  </si>
  <si>
    <t>v_EPCb-f6yQxA</t>
  </si>
  <si>
    <t>Various mountain scenery is shown from different angles.</t>
  </si>
  <si>
    <t>A soldier plays a bagpipe in a mountain scene.</t>
  </si>
  <si>
    <t>v_YmAIoN4uuz0</t>
  </si>
  <si>
    <t>Various clips are shown of landscapes as well as people riding along on boats and a man speaking to the camera.</t>
  </si>
  <si>
    <t>The man dives into the water and is shown in several clips swimming around and fish moving along as well.</t>
  </si>
  <si>
    <t>The man gives hand gestures to the camera and swims to the surface when another man grabs his gear and he speaks to the camera.</t>
  </si>
  <si>
    <t>More men speak to the camera as he jumps in.</t>
  </si>
  <si>
    <t>v_-C9mAKWi9Ho</t>
  </si>
  <si>
    <t>An intro leads into two men fencing in a field.</t>
  </si>
  <si>
    <t>Several shots are shown of the men sticking swords to one another and the other blocking.</t>
  </si>
  <si>
    <t>In between clips are shown of the men boxing.</t>
  </si>
  <si>
    <t>v_U7MAQwyFeDQ</t>
  </si>
  <si>
    <t>Walking through the airport, flying on a plane and driving down the highway they get to where they are going.</t>
  </si>
  <si>
    <t>A man in a white mask is getting ready to go bungee jumping off a very high cliff, he stands with his arms out like they are wings on the edge.</t>
  </si>
  <si>
    <t>Then he jumps down, falling from a very high height, another man follows after him, and then the camera man himself takes the leap recording the entire fall.</t>
  </si>
  <si>
    <t>They all take turns jumping, one of them even goes down backwards.</t>
  </si>
  <si>
    <t>v_x2ztI3YNu9o</t>
  </si>
  <si>
    <t>A camera pans around a snowy area and leads into a man holding an accordion and beginning to play.</t>
  </si>
  <si>
    <t>The man continues to play the instrument while the camera shows off more scenery of snowy areas and the man continuing to play.</t>
  </si>
  <si>
    <t>v_BRApK7rWSAk</t>
  </si>
  <si>
    <t>A Capri Sun wrapper in a pile of rocks on the ground with a pile of sawdust on it.</t>
  </si>
  <si>
    <t>We see a pile of sticks to the left and see a flint.</t>
  </si>
  <si>
    <t>The person strikes the flint and a flame sits on he sawdust.</t>
  </si>
  <si>
    <t>The person then puts a handful of twigs on the fire.</t>
  </si>
  <si>
    <t>The fire grows and the cameraman backs up to show the rocks surrounding the fire.</t>
  </si>
  <si>
    <t>v_UWusSRe8Whg</t>
  </si>
  <si>
    <t>Two men are sitting in a room with four congos in front of them playing.</t>
  </si>
  <si>
    <t>They are both in unison and they're using their body parts as part of their routine to make different sounds.</t>
  </si>
  <si>
    <t>The men take an extremely brief pause before rapidly hitting the congo and end by pointing their finger at each other.</t>
  </si>
  <si>
    <t>v_GNzaxjYL0TM</t>
  </si>
  <si>
    <t>Two people are seen sitting on dirt bikes speaking to the camera with one shoveling dirt and the other riding along.</t>
  </si>
  <si>
    <t>Several shots are then shown of the two riding dirt bikes along a trail while stopping to gesture to the camera every now and then.</t>
  </si>
  <si>
    <t>v_G8-soqkFiI8</t>
  </si>
  <si>
    <t>A woman on a beach begins to build a sand castle.</t>
  </si>
  <si>
    <t>A man comes over and begins to build the sand castle with her.</t>
  </si>
  <si>
    <t>Several people walk by as they continue to build the castle.</t>
  </si>
  <si>
    <t>v_eaR8oEBlYWk</t>
  </si>
  <si>
    <t>A woman in a jacket is washing clothes in a sink.</t>
  </si>
  <si>
    <t>She pours water into a blue bowl.</t>
  </si>
  <si>
    <t>She puts clothes into the buckets of water that are in the sink.</t>
  </si>
  <si>
    <t>A white washing machine that is unplugged is shown.</t>
  </si>
  <si>
    <t>The woman continues to wash the clothes in the sink.</t>
  </si>
  <si>
    <t>She walks over and takes the lid off of a large bucket of water on the ground.</t>
  </si>
  <si>
    <t>She dips a pot into the bucket and dumps the water into the sink.</t>
  </si>
  <si>
    <t>v_qgJzdtHCebM</t>
  </si>
  <si>
    <t>A bull runs around a pen and tries to hit the clown with their horns.</t>
  </si>
  <si>
    <t>A guy jumps over a fence to get away from the bull.</t>
  </si>
  <si>
    <t>A clown is hiding behind a red barrel.</t>
  </si>
  <si>
    <t>The man falls onto the ground being chased by the bull.</t>
  </si>
  <si>
    <t>v_BzhREL6ncq4</t>
  </si>
  <si>
    <t>A gymnast exercise on the parallel bars while the coach give directions and fix a mat.</t>
  </si>
  <si>
    <t>Then, the gymnast spins on the high bar , then flip and fall stand on the mat.</t>
  </si>
  <si>
    <t>v_Kd_qpMbvRtI</t>
  </si>
  <si>
    <t>We see a title on a dark gray screen, We see a boat on a lake from different angles.</t>
  </si>
  <si>
    <t>A person riding a surfboard behind the boat does a flip.</t>
  </si>
  <si>
    <t>, We are shown the interior of the the boat.</t>
  </si>
  <si>
    <t>We see the interior then the outside of the boat intermittently.</t>
  </si>
  <si>
    <t>We see people on a raft being pulled by the boat.</t>
  </si>
  <si>
    <t>A girl grabs something form a cabinet then jumps in the water.</t>
  </si>
  <si>
    <t>We see the end credit scenes.</t>
  </si>
  <si>
    <t>v_qOi_E_uYCIo</t>
  </si>
  <si>
    <t>Vodka is shown being poured into a martini glass.</t>
  </si>
  <si>
    <t>A woman is behind a bar, showing off bottles of alcohol.</t>
  </si>
  <si>
    <t>She mixes the ingredients together, then shakes them up before pouring into a glass filled with ice.</t>
  </si>
  <si>
    <t>v_jdfe-CV_cpE</t>
  </si>
  <si>
    <t>Three men sit together on a couch.</t>
  </si>
  <si>
    <t>A man gets up and walks into a barber shop.</t>
  </si>
  <si>
    <t>He sits down and gets his hair cut.</t>
  </si>
  <si>
    <t>He is sleeping in the chair.</t>
  </si>
  <si>
    <t>He wakes up and looks in a mirror.</t>
  </si>
  <si>
    <t>Him and the man start fighting.</t>
  </si>
  <si>
    <t>The man pulls a gun and points it at the other man.</t>
  </si>
  <si>
    <t>He runs into another mans arms and they walk out the door.</t>
  </si>
  <si>
    <t>v_gCku1WVr608</t>
  </si>
  <si>
    <t>The video shows how to get discounts on amazon for a category of dog supplies.</t>
  </si>
  <si>
    <t>Then it shows a woman shaving a dog.</t>
  </si>
  <si>
    <t>v_CneLYCPg7Es</t>
  </si>
  <si>
    <t>A lady holds a toothbrush as a child sits on a counter.</t>
  </si>
  <si>
    <t>The lady brushes the boys teeth.</t>
  </si>
  <si>
    <t>She finishes and the little boy smiles.</t>
  </si>
  <si>
    <t>the lady backs away and the child puts a pacifier in his mouth.</t>
  </si>
  <si>
    <t>v_D5iU1Qfy-wk</t>
  </si>
  <si>
    <t>A man sits in a room laughing.</t>
  </si>
  <si>
    <t>The man joins a woman and man at a table eating.</t>
  </si>
  <si>
    <t>The man sees a bobble doll and pushes it.</t>
  </si>
  <si>
    <t>The man hits the doll and bounces a ball around the room knocking all the food off the table and making a mess.</t>
  </si>
  <si>
    <t>The people laugh and the man cleans up and creates a whirlpool in the well which breaks and he ball smashes walls.</t>
  </si>
  <si>
    <t>The man works out in a field.</t>
  </si>
  <si>
    <t>Dust rises from the man and leafs fly through the sky.</t>
  </si>
  <si>
    <t>v_uDqnGmLJyao</t>
  </si>
  <si>
    <t>She shows how to hang a border along a wall in a living room.</t>
  </si>
  <si>
    <t>She then goes back to talking to the camera.</t>
  </si>
  <si>
    <t>v_o4zmTkyTu8g</t>
  </si>
  <si>
    <t>A group is playing volleyball in a swimmming pool.</t>
  </si>
  <si>
    <t>They bounce the ball back and forth over the net as a golden retriever joins it, hitting the ball with his nose.</t>
  </si>
  <si>
    <t>v_6OLIr7E0eHA</t>
  </si>
  <si>
    <t>A boy plays the drums on front people.</t>
  </si>
  <si>
    <t>A man sings holding a microphone next to the drummer.</t>
  </si>
  <si>
    <t>A person pass on front the boy.</t>
  </si>
  <si>
    <t>v_hQeDWu5NOj8</t>
  </si>
  <si>
    <t>A small group of people are seen riding in a raft down a rough river.</t>
  </si>
  <si>
    <t>The people use paddles to move themselves along the water and under tunnels.</t>
  </si>
  <si>
    <t>The group continue riding down the river and end with text across the screen.</t>
  </si>
  <si>
    <t>v_7coVNZXiU6U</t>
  </si>
  <si>
    <t>A woman gets her hair cut very short in a kitchen by a woman with a pair of scissors.</t>
  </si>
  <si>
    <t>A man, wearing glasses, talks into the camera in a close up shot before the camera pans to a woman seated in a soft chair and focuses on her upper arm.</t>
  </si>
  <si>
    <t>The camera pans into a kitchen area and a seated woman holding up a lock of her own hair while another woman behind her ( the woman who was formerly seated) begins to cut her hair with a pair of scissors.</t>
  </si>
  <si>
    <t>The camera pans to a close up of the woman in the kitchen chair who has had most of her hair cut off and now how a very short haircut.</t>
  </si>
  <si>
    <t>The camera cuts again to the man who first appears in the film and a shot of a digital clock displaying the time.</t>
  </si>
  <si>
    <t>v_5P_Scs7Vo2c</t>
  </si>
  <si>
    <t>A young woman is seen kneeling in a tub with clothes all around her.</t>
  </si>
  <si>
    <t>She steps on the clothes and bends down again to scrub them while the camera pans around her.</t>
  </si>
  <si>
    <t>She holds up the clothes and continues to wash them as well as a man stepping into frame to help.</t>
  </si>
  <si>
    <t>v_BgsxbT9RCeg</t>
  </si>
  <si>
    <t>A woman ballerina dressed in a pink skirt and white blouse is standing in pose with her back bent forward and hands on her sides on a stage.</t>
  </si>
  <si>
    <t>A man in blue jeans and a white shirt walks in and strokes her back with a yellow cloth.</t>
  </si>
  <si>
    <t>Then a little girl ballerina comes and bumps into the woman.</t>
  </si>
  <si>
    <t>The woman breaks into a dance every time the little girl ballerina taps her.</t>
  </si>
  <si>
    <t>The little girl picks up a pair of wings and tries to put it on her back.</t>
  </si>
  <si>
    <t>The woman starts doing some ballet moves.</t>
  </si>
  <si>
    <t>She continues to dance to ballet moves as the little girl walks away.</t>
  </si>
  <si>
    <t>The woman ballerina twists and twirls on her toes as she dances to music.</t>
  </si>
  <si>
    <t>The crowd applauds and the man in the white shirt and blue jeans lifts her up and walks off the stage.</t>
  </si>
  <si>
    <t>v_2jHMUtvWP_0</t>
  </si>
  <si>
    <t>A camera pans around a room with a freshly painted wall and a man painting the wall on a stool is seen.</t>
  </si>
  <si>
    <t>The camera pans over the skylight and finishes by looking behind the area.</t>
  </si>
  <si>
    <t>v_OPqqbxGKp6E</t>
  </si>
  <si>
    <t>We see a person in a kitchen cooking on the stove.</t>
  </si>
  <si>
    <t>The person has skillet with butter they add eggs to.</t>
  </si>
  <si>
    <t>The person flips the eggs.</t>
  </si>
  <si>
    <t>A fire starts on the eye the person blow it out.</t>
  </si>
  <si>
    <t>The person flips the eggs with a spatula.</t>
  </si>
  <si>
    <t>The eggs are poured into a plate and salt and pepper are added.</t>
  </si>
  <si>
    <t>The person walks away from the stove.</t>
  </si>
  <si>
    <t>v_Ve0Ufrv-T0s</t>
  </si>
  <si>
    <t>A dog urinates consistently, without stopping, and while walking on its forelegs only, down and around a paved sidewalk all while a person is walking them on a yellow leash.</t>
  </si>
  <si>
    <t>The pug dog starts urinating on a stone curb along a low stone mini wall, lands on all four legs to turn around, and then proceeds to start walking on its two forelegs only.</t>
  </si>
  <si>
    <t>The dog begins urinating while walking on its forelegs only with the yellow leash following behind as an unseen person walks the dog from the background.</t>
  </si>
  <si>
    <t>The dog continues to urinate in this way, past more sidewalk and grass, and finally starts using three legs, stops and urinates more while stationary on three legs.</t>
  </si>
  <si>
    <t>v_VZ2CPdIPa30</t>
  </si>
  <si>
    <t>A man secures a seated woman in a bungee harness while others stand by.</t>
  </si>
  <si>
    <t>The woman talks to the camera in a close up view.</t>
  </si>
  <si>
    <t>Several shots of the scenery are shown interspersed with the woman waiting.</t>
  </si>
  <si>
    <t>The man finishes with the equipment.</t>
  </si>
  <si>
    <t>The woman carefully walks out to the jumping platform while one of the men stands behind her and an audience watches.</t>
  </si>
  <si>
    <t>The woman bungees off the platform.</t>
  </si>
  <si>
    <t>A replay of the woman bungeeing off the platform is shown.</t>
  </si>
  <si>
    <t>v_wBij_rEXdCk</t>
  </si>
  <si>
    <t>We see a table covered with papers and a laptop as a man works.</t>
  </si>
  <si>
    <t>The man leaves and goes to a graffiti covered garage and turns on a boombox.</t>
  </si>
  <si>
    <t>The man break dances then sees there is a man across the room.</t>
  </si>
  <si>
    <t>The men then take turns break dancing.</t>
  </si>
  <si>
    <t>The men stand face to face and break dance together.</t>
  </si>
  <si>
    <t>v_zkR_t6p3lto</t>
  </si>
  <si>
    <t>A person's skis are shown close up as they move continuously down a snowy hill moving quickly past trees.</t>
  </si>
  <si>
    <t>The person continues moving down the trail at a fast pace and meeting up with others at the bottom.</t>
  </si>
  <si>
    <t>v_H-PhEsI9njQ</t>
  </si>
  <si>
    <t>people are standing in a court playing shufleboard while people is in the terraces are watching the game.</t>
  </si>
  <si>
    <t>a lot of people wearing red uniforms are walking and sitting around the court.</t>
  </si>
  <si>
    <t>v_KEWlDtEt2cQ</t>
  </si>
  <si>
    <t>A man in a suit and a lady in a sparking dress stand on stage.</t>
  </si>
  <si>
    <t>The people then ballroom dance as people watch.</t>
  </si>
  <si>
    <t>The man spins the woman in the air in front of him.</t>
  </si>
  <si>
    <t>The man dips the lady and she kicks her feet in the air.</t>
  </si>
  <si>
    <t>They finish and the crowd claps as they walk off stage.</t>
  </si>
  <si>
    <t>v_BUmS918SyLA</t>
  </si>
  <si>
    <t>Two girls are seen holding a pose in the middle of a large gymnasium while others watch around them.</t>
  </si>
  <si>
    <t>The girls begin performing a dance routine while using batons.</t>
  </si>
  <si>
    <t>The girls continue to dance around and end by holding a pose.</t>
  </si>
  <si>
    <t>v_oAyygdg493M</t>
  </si>
  <si>
    <t>A woman is walking on the beach carrying a surfboard.</t>
  </si>
  <si>
    <t>She starts surfing in the water.</t>
  </si>
  <si>
    <t>v_sY7m7E-sAYc</t>
  </si>
  <si>
    <t>A woman is washing in a sink and shows a little bottle.</t>
  </si>
  <si>
    <t>Then, the woman add several potatoes in a steaming pot.</t>
  </si>
  <si>
    <t>After, the woman put the potatoes in a bowl and then peel a potatoes easily.</t>
  </si>
  <si>
    <t>v_5DhbyYavYp4</t>
  </si>
  <si>
    <t>There is a garden with many trees and shrubs.</t>
  </si>
  <si>
    <t>There is a man using a hedging and trimming equipment trimming the bushes.</t>
  </si>
  <si>
    <t>Another man is giving instructions on lawn and garden care.</t>
  </si>
  <si>
    <t>The man climbs up a tall ladder to trim the trees and bushes several times.</t>
  </si>
  <si>
    <t>He goes around the entire side to trim the hedges.</t>
  </si>
  <si>
    <t>The instructor continues talking about the gardening process, The man trims the hedges that form a barrier near a house.</t>
  </si>
  <si>
    <t>The instructor explains the process again to the viewers.</t>
  </si>
  <si>
    <t>The scene changes to a strange looking statue in a busy city and ends with a thank you for watching message.</t>
  </si>
  <si>
    <t>v_ynispYtdDq8</t>
  </si>
  <si>
    <t>A woman in lingerie is sitting on a couch waving at the camera.</t>
  </si>
  <si>
    <t>She opens a pack of cigarettes and lights up.</t>
  </si>
  <si>
    <t>She continues sitting and smoking while looking at the camera.</t>
  </si>
  <si>
    <t>v_PI1ZaFQ28Ao</t>
  </si>
  <si>
    <t>A lady discusses while standing in a kitchen adjacent to a sink.</t>
  </si>
  <si>
    <t>The lady is holding a sponge while the sink water is running.</t>
  </si>
  <si>
    <t>The lady is soaking dishes in soapy water.</t>
  </si>
  <si>
    <t>v_4-BW75h1D1A</t>
  </si>
  <si>
    <t>A woman in a white dress belly dances outside near columns and trees.</t>
  </si>
  <si>
    <t>The woman shakes her hips as she dances.</t>
  </si>
  <si>
    <t>Credits appear on the screen.</t>
  </si>
  <si>
    <t>v_YEZrwxz0Ysk</t>
  </si>
  <si>
    <t>A shot glass is shown, filled with three colors of liquid.</t>
  </si>
  <si>
    <t>Several bottles of different colored alcohols are shown.</t>
  </si>
  <si>
    <t>The liquids are poured one at a time into the glasses, forming the tricolored drink.</t>
  </si>
  <si>
    <t>v_jmmOBfS3JIg</t>
  </si>
  <si>
    <t>A man in dress shirt taps his cloth on the spout of a glass container to get it damp.</t>
  </si>
  <si>
    <t>The man uses his cloth wrapped around his index and middle finer to polish a shoe.</t>
  </si>
  <si>
    <t>The man rubs his cloth in a shoe polish tin for more of the substance.</t>
  </si>
  <si>
    <t>The man continues to polish the show around the toe of the shoe.</t>
  </si>
  <si>
    <t>The man again rubs his cloth in the tin for more polish.</t>
  </si>
  <si>
    <t>The man continues to polish the show around the toe of the shoe near the toe in a circular motion.</t>
  </si>
  <si>
    <t>v_by8QQWbyimw</t>
  </si>
  <si>
    <t>Two girls are acting silly and throwing signs at a camera.</t>
  </si>
  <si>
    <t>They then take turns doing cartwheels across the lawn.</t>
  </si>
  <si>
    <t>They do front and back flips, then run toward the camera.</t>
  </si>
  <si>
    <t>v_OhgsnOwo4b4</t>
  </si>
  <si>
    <t>A man is standing inside a kitchen in front of ingredients and tools for cooking.</t>
  </si>
  <si>
    <t>He shows dressing being poured onto a cabbage salad.</t>
  </si>
  <si>
    <t>He explains how to cut a melon, creating slices that go into his salad.</t>
  </si>
  <si>
    <t>Then he shreds a carrot, and moves the salad into a bowl before drizzling it with dressing.</t>
  </si>
  <si>
    <t>v_7TgvbmIn03A</t>
  </si>
  <si>
    <t>A black screen appears with white words that read "GoPro Hero3+Black Making everyday tasks fun 'Mowing The Lawn' Resolution: 1080p superwide.</t>
  </si>
  <si>
    <t>A view from the top of a lawn mower shows a woman pulling onto the pull handle of the lawn mower.</t>
  </si>
  <si>
    <t>The view change to the view of the lawn mower and the mower is moving along a yard filled with green grass.</t>
  </si>
  <si>
    <t>The view changes back and forth from lawn mower view and the view of the whole woman mowing the lawn.</t>
  </si>
  <si>
    <t>v_tgPjcWP7Vig</t>
  </si>
  <si>
    <t>A large group of people are seen sitting on bicycles exercising with one another.</t>
  </si>
  <si>
    <t>A woman speaks to the camera while more shots are shown of people riding.</t>
  </si>
  <si>
    <t>A woman leads the class as well as speaks to the camera and others riding around.</t>
  </si>
  <si>
    <t>v_j4vMVBSfyu0</t>
  </si>
  <si>
    <t>A hand is showing a curved blade knife, and then he showed an ice pick with white paper at the end of it.</t>
  </si>
  <si>
    <t>The man threw the blade on the plywood, then he threw the ice pick.</t>
  </si>
  <si>
    <t>v_C6DH4l7fop0</t>
  </si>
  <si>
    <t>A boy puts freshly baked cookies on a cooling rack.</t>
  </si>
  <si>
    <t>One gets stuck and he licks the spatula.</t>
  </si>
  <si>
    <t>v_KxY2z_xDsO8</t>
  </si>
  <si>
    <t>A person's hand is seen pushing various marbles down a long track and watching where they land.</t>
  </si>
  <si>
    <t>They push several more marbles while the camera moves up and down to catch the action.</t>
  </si>
  <si>
    <t>v_5XiBb9XGsg8</t>
  </si>
  <si>
    <t>A young man is seen speaking to the camera and leads into him trying to solve a rubix cube.</t>
  </si>
  <si>
    <t>The boy then solves the cube and pans the camera back to show his time.</t>
  </si>
  <si>
    <t>v_HrBa_UraJvc</t>
  </si>
  <si>
    <t>A man is seen using a hookah and blowing smoke out into the air and leads into him scraping tobacco and driving around.</t>
  </si>
  <si>
    <t>He speaks to the camera and pans back to a hookah and begins smoking out of it.</t>
  </si>
  <si>
    <t>v_c-3ed17J3F8</t>
  </si>
  <si>
    <t>A man is standing in a shed behind a crafts table talking to the camera.</t>
  </si>
  <si>
    <t>Next,a man in a navy uniform begins walking down the road and ends up in the room with the man.</t>
  </si>
  <si>
    <t>The two of them begin polishing a pair of boots together with a white cloth and a green brush.</t>
  </si>
  <si>
    <t>As they finish,the man in the green shirt is given a patch and a screen of tips come on the screen for properly caring for your boots.</t>
  </si>
  <si>
    <t>v_8SMXK2uOvk0</t>
  </si>
  <si>
    <t>People are biking down a path.</t>
  </si>
  <si>
    <t>A person is trying to start a fire.</t>
  </si>
  <si>
    <t>The person feeds the fire and moves it to a hole.</t>
  </si>
  <si>
    <t>v_HqGWA16ECWE</t>
  </si>
  <si>
    <t>A girl in a dress is crossing monkey bars.</t>
  </si>
  <si>
    <t>She gets to the end and steps on a rock.</t>
  </si>
  <si>
    <t>A boy in a blue shirt stands behind her.</t>
  </si>
  <si>
    <t>v_vygPNS-eAYM</t>
  </si>
  <si>
    <t>A father and daughter are playing hop scotch on their tiled porch.</t>
  </si>
  <si>
    <t>The girl is wearing a blue sleeveless shirt and shorts and the father is wearing a gray shirt and shorts.</t>
  </si>
  <si>
    <t>They take turns to jump on the squares.</t>
  </si>
  <si>
    <t>Then she little girl is joined by her mother who begins hopping on the squares.</t>
  </si>
  <si>
    <t>She gives the daughter a high five.</t>
  </si>
  <si>
    <t>then the girl begins to hop and jump across the squares.</t>
  </si>
  <si>
    <t>v_OtMNVvCSxVo</t>
  </si>
  <si>
    <t>A man stands on front a sink.</t>
  </si>
  <si>
    <t>Then, the man puts soap on a cloth.</t>
  </si>
  <si>
    <t>After, the man wash the pot outside and inside.</t>
  </si>
  <si>
    <t>Next, the man turns and dry his hands.</t>
  </si>
  <si>
    <t>v_UA_RDwuO47s</t>
  </si>
  <si>
    <t>The word funkin is on the screen and underneath it says Bacardi cocktail.</t>
  </si>
  <si>
    <t>A man in a funkin shirt talks about and demonstrates how to make the Bacardi cocktail from behind a bar.</t>
  </si>
  <si>
    <t>The man is showing people how to make a drink in a martini glass.</t>
  </si>
  <si>
    <t>The man puts ingredients in a regular glass while showing the bottles of ingredients he is using.</t>
  </si>
  <si>
    <t>The word funkin is on the screen.</t>
  </si>
  <si>
    <t>v_SQs7o8LeU6A</t>
  </si>
  <si>
    <t>A man stands in a rustic living room and plays a bagpipe in his socks.</t>
  </si>
  <si>
    <t>We see a man tapping his foot as he plays.</t>
  </si>
  <si>
    <t>The man switches to his other foot tapping.</t>
  </si>
  <si>
    <t>the man finishes playing and wipes his face.</t>
  </si>
  <si>
    <t>v_ZKtjyZhRB6E</t>
  </si>
  <si>
    <t>A group of older people are seen sitting on a bus speaking to one another.</t>
  </si>
  <si>
    <t>The camera pans around the bus to show more people sitting and speaking.</t>
  </si>
  <si>
    <t>A woman is seen speaking to a man next to her while he knits.</t>
  </si>
  <si>
    <t>v_8IlwMnM_n38</t>
  </si>
  <si>
    <t>Guys are break dancing on a stage in front of an audience.</t>
  </si>
  <si>
    <t>A guy breaks dance right off the stage and exits.</t>
  </si>
  <si>
    <t>v_64JprLAtnzg</t>
  </si>
  <si>
    <t>A group of girls are dancing along a ledge.</t>
  </si>
  <si>
    <t>Each girl dances on the ledge gracefully.</t>
  </si>
  <si>
    <t>The screen fades away to black.</t>
  </si>
  <si>
    <t>v_2YeImloBCA8</t>
  </si>
  <si>
    <t>We see people working out on exercise steps in an aerobics class.</t>
  </si>
  <si>
    <t>The leader puts her hand in the air.</t>
  </si>
  <si>
    <t>The lady in back left gets lost and stops.</t>
  </si>
  <si>
    <t>Rear right gets lost and throws out her arms.</t>
  </si>
  <si>
    <t>The instructors arm is in the air again.</t>
  </si>
  <si>
    <t>The lady second on right stops trying.</t>
  </si>
  <si>
    <t>v_hpU50i4WBK8</t>
  </si>
  <si>
    <t>Two people are on a boat getting ready to dive into the ocean.</t>
  </si>
  <si>
    <t>They dive in and are able to look at all the beautiful corals and see fish and other things.</t>
  </si>
  <si>
    <t>They find a cockpit that they begin to observe and look around also running into a jelly fish.</t>
  </si>
  <si>
    <t>They begin to explore the outside of the plane where they are also able to see more fish and other marine life around it.</t>
  </si>
  <si>
    <t>v_Eeq-noKrGwY</t>
  </si>
  <si>
    <t>A girl in an orange shirt takes a drink of mouth wash.</t>
  </si>
  <si>
    <t>She swishes it around in her mouth and spits it out into a sink.</t>
  </si>
  <si>
    <t>v_sYKtWOfH6VQ</t>
  </si>
  <si>
    <t>There's a lady doing a tutorial on how to wash hands in her kitchen.</t>
  </si>
  <si>
    <t>She walks towards the sink and turns on the tap.</t>
  </si>
  <si>
    <t>Then she takes some liquid soap in her hands and rubs her hands on the top, the palms and in between her fingers.</t>
  </si>
  <si>
    <t>She demonstrates how to properly rub the palms and the wrist area to ensure a clean wash.</t>
  </si>
  <si>
    <t>Then she turns the tap back on to wash off the soap.</t>
  </si>
  <si>
    <t>Then she uses her right elbow to turn off the tap to avoid touching it directly.</t>
  </si>
  <si>
    <t>Then she takes a paper towel from the window sill and wipes her hands dry.</t>
  </si>
  <si>
    <t>v__gDw8q2sRLk</t>
  </si>
  <si>
    <t>Three people are seen walking out onto a large gymnasium floor and lead into the three performing a jump roping routine.</t>
  </si>
  <si>
    <t>The three continue to jump around the floor while many watch and end with their arms up.</t>
  </si>
  <si>
    <t>v_bDf_xpUpdmU</t>
  </si>
  <si>
    <t>A falls off a skateboard in an awkward way.</t>
  </si>
  <si>
    <t>Then we see several other boys as they trip and fall.</t>
  </si>
  <si>
    <t>They take sharp turns on suburban roads, trying to stay on their boards.</t>
  </si>
  <si>
    <t>v_gKkk82LG8H0</t>
  </si>
  <si>
    <t>Group play the bongos while a young woman dances.</t>
  </si>
  <si>
    <t>A couple walks past the group.</t>
  </si>
  <si>
    <t>The drummer gives the camera a thumbs up gesture.</t>
  </si>
  <si>
    <t>Lots of people pass in the background.</t>
  </si>
  <si>
    <t>A small group are looking on at the musicians.</t>
  </si>
  <si>
    <t>The dancer poses with 2 other women.</t>
  </si>
  <si>
    <t>v_sjpWwjzCbrw</t>
  </si>
  <si>
    <t>A health professional washers her hands with soap in a sink.</t>
  </si>
  <si>
    <t>The woman scrubs between the fingers thoroughly.</t>
  </si>
  <si>
    <t>The hands are dried with a paper towel in between the fingers thoroughly.</t>
  </si>
  <si>
    <t>The woman throws the paper towel in a designated waste bin.</t>
  </si>
  <si>
    <t>The medical professional shuts off the water faucet using her elbow and also the paper towel.</t>
  </si>
  <si>
    <t>v_Mnhg-VEP69U</t>
  </si>
  <si>
    <t>A man is seen assembling a tire on a lift and taking the rubber off using a machine.</t>
  </si>
  <si>
    <t>He then puts the rubber back on using the machine and ends by moving back from the tire.</t>
  </si>
  <si>
    <t>v_3xoIXUMqmqA</t>
  </si>
  <si>
    <t>He pulls down on a rope and works out.</t>
  </si>
  <si>
    <t>He lowers the bar and starts pulling the rope in the other direction.</t>
  </si>
  <si>
    <t>v_KWeZbXoX8Ys</t>
  </si>
  <si>
    <t>There is a very tall and steep slide running through some trees in a large open ground.</t>
  </si>
  <si>
    <t>There is a rubber surface running lengthwise at the bottom end of the slide to protect people from getting hurt as they land down.</t>
  </si>
  <si>
    <t>A young boy wearing black shorts and a shirt comes sliding down in full force.</t>
  </si>
  <si>
    <t>He lands far from the slide as he tumbles down and off of the slide.</t>
  </si>
  <si>
    <t>v_HCZpS7mhvrE</t>
  </si>
  <si>
    <t>A man in a hat talks at a press conference.</t>
  </si>
  <si>
    <t>We see cabins and trailers in a snowy area.</t>
  </si>
  <si>
    <t>Three men re waxing skis in a workshop and we see the man at the press conference.</t>
  </si>
  <si>
    <t>A man runs behind trailers and two men walk on the snow before we see the press conference again.</t>
  </si>
  <si>
    <t>We see the men skiing.</t>
  </si>
  <si>
    <t>The man at the press conference and a men puts a mask on in the workshop and a machine sits in the field.</t>
  </si>
  <si>
    <t>Two men pose holding rifles in the snow.</t>
  </si>
  <si>
    <t>v_iHzyX1djHU4</t>
  </si>
  <si>
    <t>A man is seen sitting in a chair as well as shots of people riding wake boards and clips of a dock.</t>
  </si>
  <si>
    <t>The man continues speaking to the camera while more shots of people wake boarding are shown as well as doing flips and tricks.</t>
  </si>
  <si>
    <t>v_XJQlO4G5Fns</t>
  </si>
  <si>
    <t>We see a lady holding the camera and blow drying her hair.</t>
  </si>
  <si>
    <t>The lady sits the camera on the floor, and continues blow drying her hair.</t>
  </si>
  <si>
    <t>The lady throws her hair back and picks up the phone.</t>
  </si>
  <si>
    <t>v_jqEpQ-cRGFk</t>
  </si>
  <si>
    <t>We see a sleeping lady in a hospital.</t>
  </si>
  <si>
    <t>A person begins combing the hair of a sleeping elderly lady in a hospital.</t>
  </si>
  <si>
    <t>The camera moves to the top of the ladies head.</t>
  </si>
  <si>
    <t>The camera then moves to the front of the ladies face.</t>
  </si>
  <si>
    <t>v_1mksQqxFtv4</t>
  </si>
  <si>
    <t>A man in shorts is in a gym.</t>
  </si>
  <si>
    <t>He is jumping rope in there.</t>
  </si>
  <si>
    <t>He speeds up his jumping.</t>
  </si>
  <si>
    <t>He is doing it in front of a mirror.</t>
  </si>
  <si>
    <t>v_FRFjdn_pjYk</t>
  </si>
  <si>
    <t>An older man is shown standing on a piece of exercise equipment.</t>
  </si>
  <si>
    <t>He talks to the camera and holds a remote up and continues moving on the machine.</t>
  </si>
  <si>
    <t>v_5MpJCKOxRVs</t>
  </si>
  <si>
    <t>First, the person is seen unscrewing the handle bars.</t>
  </si>
  <si>
    <t>Then he unscrews the base to level it out to his liking.</t>
  </si>
  <si>
    <t>Then he sits on the bike seat to achieve the best results.</t>
  </si>
  <si>
    <t>Then he adjusts the handle bars again and makes sure they are firmly in place.</t>
  </si>
  <si>
    <t>v_Qm-XTJ-uG5s</t>
  </si>
  <si>
    <t>Two men are in a room with three walls and a set of glass doors behind them hitting a ball back and fourth against the wall with tennis rackets.</t>
  </si>
  <si>
    <t>As they continue,one boy falls to the ground and they have to start over.</t>
  </si>
  <si>
    <t>v_kUlwaBYvyBI</t>
  </si>
  <si>
    <t>We see a man standing in front of a workbench in a workshop and talking.</t>
  </si>
  <si>
    <t>The man shows a piece of wood and a sander.</t>
  </si>
  <si>
    <t>The man wipes a substance from a jug on the wood and the sander and sands the wood.</t>
  </si>
  <si>
    <t>The man shows us the finished product.</t>
  </si>
  <si>
    <t>v_LBC8Fa1oCGI</t>
  </si>
  <si>
    <t>Several people parasail on a body of water surrounded by other boats, foliage and houses in the distance.</t>
  </si>
  <si>
    <t>Several people in swim trunks sail in a body of water with multi colored parasails.</t>
  </si>
  <si>
    <t>A person in the foreground in blue swim trunks flips the sail over but the sail twists and lands on the bottom so that the person and the sail land on their feet.</t>
  </si>
  <si>
    <t>v_3hp7kPpZDhs</t>
  </si>
  <si>
    <t>On a track, a runner gets ready to perform.</t>
  </si>
  <si>
    <t>He runs and skips along the way, jumping high at the end.</t>
  </si>
  <si>
    <t>He walks along the track after being finished.</t>
  </si>
  <si>
    <t>The man runs and jumps again.</t>
  </si>
  <si>
    <t>The runner talks to someone.</t>
  </si>
  <si>
    <t>v_FKQIdqjY9nI</t>
  </si>
  <si>
    <t>A man plays the bagpipes on stage while wearing a Scottish skirt.</t>
  </si>
  <si>
    <t>Then, the man ends playing and holds the bagpipes on his left arm.</t>
  </si>
  <si>
    <t>v_zogfsf4O3Vg</t>
  </si>
  <si>
    <t>A man in yellow opens a beer.</t>
  </si>
  <si>
    <t>A man in gray grabs the beer, adjusts his clothes then sits on the floor holding the beer.</t>
  </si>
  <si>
    <t>The man puts one arm behind his back and adjusts himself to try and pick the bottle up with his mouth.</t>
  </si>
  <si>
    <t>The man then quickly drinks and puts the bottle down.</t>
  </si>
  <si>
    <t>We see a countdown clock.</t>
  </si>
  <si>
    <t>v_LB1A7BobPwg</t>
  </si>
  <si>
    <t>We see the white title screen.</t>
  </si>
  <si>
    <t>We then see a bartender talking to two people in a bar.</t>
  </si>
  <si>
    <t>The man puts his arm behind his back.</t>
  </si>
  <si>
    <t>The bartender puts two cards on the bar.</t>
  </si>
  <si>
    <t>They push their cards and drink beer, then pull cards and drink beer.</t>
  </si>
  <si>
    <t>The bartender spits the beer back in the glass.</t>
  </si>
  <si>
    <t>The bartender looks at the camera and speaks.</t>
  </si>
  <si>
    <t>We see the end title screen.</t>
  </si>
  <si>
    <t>v_6O8QXbjvYKs</t>
  </si>
  <si>
    <t>A little boy picks up a bowling ball.</t>
  </si>
  <si>
    <t>He sets it on a rail and pushes it down a lane.</t>
  </si>
  <si>
    <t>A woman with a baby strapped to her chest bowls a ball down a lane.</t>
  </si>
  <si>
    <t>v_G_kJ-Af89ew</t>
  </si>
  <si>
    <t>A man in plaid shirt hit the ball with stick, the ball scattered on the table.</t>
  </si>
  <si>
    <t>The man in gray sweater lean on the table and look at the ball, he then hit the white ball and hit the yellow ball, while the man in plaid shirt sat on the chair.</t>
  </si>
  <si>
    <t>The man in gray sweater continue to play the billiard, making the balls shoot in the holes.</t>
  </si>
  <si>
    <t>v_mTDRTiTnsjQ</t>
  </si>
  <si>
    <t>A hand is pushing a grass blower machine.</t>
  </si>
  <si>
    <t>The machine spit out dry leaves from a black pole.</t>
  </si>
  <si>
    <t>The machine turned in a curve towards the house.</t>
  </si>
  <si>
    <t>v_Z56Xq8Ud4I0</t>
  </si>
  <si>
    <t>A woman is seen speaking to the camera and then takes her ring off to run her hands under some water.</t>
  </si>
  <si>
    <t>She scrubs her hands with soap and then runs her fingers under the water.</t>
  </si>
  <si>
    <t>In the end people perform a little dance with showing how to properly wash your hands.</t>
  </si>
  <si>
    <t>v_G_npKjzxQLk</t>
  </si>
  <si>
    <t>We see people deep sea diving.</t>
  </si>
  <si>
    <t>We see the surface of the ocean.</t>
  </si>
  <si>
    <t>We see people holding hands underwater.</t>
  </si>
  <si>
    <t>People are throwing up hand signs.</t>
  </si>
  <si>
    <t>We see a man throw a hand sign and we see people standing in the water.</t>
  </si>
  <si>
    <t>A man goes under the water slowly.</t>
  </si>
  <si>
    <t>v_7qjiHcYuq2Y</t>
  </si>
  <si>
    <t>A small group of people are seen standing on a beach playing a game of volleyball.</t>
  </si>
  <si>
    <t>One person hits it to the other and they hit the ball game.</t>
  </si>
  <si>
    <t>The game continues on while people are seen watching on the sides.</t>
  </si>
  <si>
    <t>v_RkCSfz8GeNg</t>
  </si>
  <si>
    <t>A man is seen playing with her hair in front of the camera and leads into her brushing her hair.</t>
  </si>
  <si>
    <t>She then ties her hair up and proceeds to blow dry her hair while a comb.</t>
  </si>
  <si>
    <t>Then takes her hair down and runs lotion through her hair while still looking to the camera.</t>
  </si>
  <si>
    <t>v_2fp9Ni7Ms6A</t>
  </si>
  <si>
    <t>A shot of a board is shown followed by various groomers grooming dogs on tables.</t>
  </si>
  <si>
    <t>The people continue grooming the dogs on tables and the video ends with text across the screen.</t>
  </si>
  <si>
    <t>v_R4ouBBtg-B4</t>
  </si>
  <si>
    <t>Various people are shown smiling into a camera and being interviewed about a question.</t>
  </si>
  <si>
    <t>Several other questions are asked to the same people as well as shots of people doing activities around the beach on a string.</t>
  </si>
  <si>
    <t>v_DVlDRG0SxG8</t>
  </si>
  <si>
    <t>The front of a yellow kayak is seen as the boat floats through turbulent white waters of a river.</t>
  </si>
  <si>
    <t>It passes a rock and numerous trees before slowing down.</t>
  </si>
  <si>
    <t>v_586OlQMU420</t>
  </si>
  <si>
    <t>A young blonde boy is shown in several still images, including several while skiing.</t>
  </si>
  <si>
    <t>He is then seen skiing down a large hill from multiple angles and videos.</t>
  </si>
  <si>
    <t>He lands on top of a small hill, falling over.</t>
  </si>
  <si>
    <t>We then see an image of him sleeping on a couch.</t>
  </si>
  <si>
    <t>v_41xqneu4_RA</t>
  </si>
  <si>
    <t>A man is inside a room in a house.</t>
  </si>
  <si>
    <t>He is using a racquet to hit a tennis ball back and forth against a wall.</t>
  </si>
  <si>
    <t>He continues hitting the ball until he is finished playing the game.</t>
  </si>
  <si>
    <t>v_VA8SXILXTj0</t>
  </si>
  <si>
    <t>A couple of lemons are seen sitting on a table with glasses and plates and leads into a person putting the lemons in a container.</t>
  </si>
  <si>
    <t>He mixes ingredients with the lemons and shakes them up in another glass.</t>
  </si>
  <si>
    <t>He finishes the lemonade and presents it to the camera while also taking a sip.</t>
  </si>
  <si>
    <t>v_lJRwUE12drE</t>
  </si>
  <si>
    <t>People are seen walking around a gymnasium and leads into one standing in between bars.</t>
  </si>
  <si>
    <t>The gymnast then moves himself around the bars and jumps down afterwards.</t>
  </si>
  <si>
    <t>Another man steps up to the bars and attempts to spin around.</t>
  </si>
  <si>
    <t>v_O9qI26TB3R0</t>
  </si>
  <si>
    <t>A toddler wash a dog in a bathtub pouring water with the shower hose.</t>
  </si>
  <si>
    <t>The toddler rise the tail of the horse and wash the butt.</t>
  </si>
  <si>
    <t>After, the toddler, grab a brush and scrub and wash the dog.</t>
  </si>
  <si>
    <t>v_YtKUxxMo6Cs</t>
  </si>
  <si>
    <t>A man is riding a pair of water skis while attached to a boat.</t>
  </si>
  <si>
    <t>He swerves from side to side in the water, holding on.</t>
  </si>
  <si>
    <t>He jumps into the air as a stunt, then loses his balance and falls into the water.</t>
  </si>
  <si>
    <t>v_Hc7A90HiA28</t>
  </si>
  <si>
    <t>Two teams are playing a tug of war, while the referee is at the center and on the side are people taking pictures.</t>
  </si>
  <si>
    <t>The referee gave a go signal for the team to start pulling, the players are pulling the rope with all of their might until the blue team won, on the other side of the lane another team are playing tug of war, and the camera pans to the audiences who are watching the game.</t>
  </si>
  <si>
    <t>v_adz3kDJLCF4</t>
  </si>
  <si>
    <t>A woman is using a pink brush to brush her teeth.</t>
  </si>
  <si>
    <t>She is brushing very fast and vigorously.</t>
  </si>
  <si>
    <t>She is brushing her upper and lower teeth.</t>
  </si>
  <si>
    <t>She sticks her tongue out to clean the toothpaste.</t>
  </si>
  <si>
    <t>She checks her teeth to see if they're clean enough.</t>
  </si>
  <si>
    <t>While she continues brushing, she opens her mouth.</t>
  </si>
  <si>
    <t>Some of the toothpaste falls down.</t>
  </si>
  <si>
    <t>She starts brushing her tongue thoroughly.</t>
  </si>
  <si>
    <t>Then she continues brushing her upper and lower teeth again.</t>
  </si>
  <si>
    <t>She then sticks her tongue out and scrapes it against her teeth.</t>
  </si>
  <si>
    <t>She spits out some toothpaste.</t>
  </si>
  <si>
    <t>Some of the toothpaste falls on her chin making it look like a white beard.</t>
  </si>
  <si>
    <t>She pretends to be Santa Claus and says, ho, ho, Merry Christmas.</t>
  </si>
  <si>
    <t>Then she laughs as she shows her teeth with a wide smile.</t>
  </si>
  <si>
    <t>v_b0bM4vKxoXQ</t>
  </si>
  <si>
    <t>A large group of people are seen sitting around in a circle and 2 bulls standing in the pit.</t>
  </si>
  <si>
    <t>The animals and people continue to walk around one another and lead into the bulls fighting one another.</t>
  </si>
  <si>
    <t>v_bp1wsvCaiB0</t>
  </si>
  <si>
    <t>A logo appears then the word fencing.</t>
  </si>
  <si>
    <t>People begin to fence together.</t>
  </si>
  <si>
    <t>People gear up to fence and are shown fencing in a variety of ways.</t>
  </si>
  <si>
    <t>v_0Yb2EQlAEYM</t>
  </si>
  <si>
    <t>The bottom of a murky river is shown and then it flashes to the name of the springs.</t>
  </si>
  <si>
    <t>A group of people are shown and they begin to get floats and play and float throughout the springs.</t>
  </si>
  <si>
    <t>Two kids are on the rocks together and they catch a dragonfly.</t>
  </si>
  <si>
    <t>After,various group of people are shown and a couple floats together with a dog sitting on the male's lap.</t>
  </si>
  <si>
    <t>v_jcqRPdvb18w</t>
  </si>
  <si>
    <t>First the man pushes a tire and he steps inside of it.</t>
  </si>
  <si>
    <t>He then starts hula hooping inside of the tire with it around his waist.</t>
  </si>
  <si>
    <t>v_-t_Zhm1b0FI</t>
  </si>
  <si>
    <t>People playing instruments are on the stage.</t>
  </si>
  <si>
    <t>A man in a suit walks on the stage and starts talking.</t>
  </si>
  <si>
    <t>The band keeps playing in the background.</t>
  </si>
  <si>
    <t>v_59nQKYriHQc</t>
  </si>
  <si>
    <t>A woman is seen kneeling down on the floor speaking to the camera while a dog lays next to her.</t>
  </si>
  <si>
    <t>The woman is then seen running soap and water all over a dog in the sink and ending by cleaning him off and watching him run around and be excited.</t>
  </si>
  <si>
    <t>v_D5hsFA2ZrIQ</t>
  </si>
  <si>
    <t>A man is shown working in an outdoor garden.</t>
  </si>
  <si>
    <t>He is using tools as he works.</t>
  </si>
  <si>
    <t>He trims a long row of hedges, then cleans up the debris.</t>
  </si>
  <si>
    <t>v_Kmk0IVi2Xu4</t>
  </si>
  <si>
    <t>We see a set of drums and a man standing behind the drums talking and holding a drink.</t>
  </si>
  <si>
    <t>the man drinks from the drink and puts it down.</t>
  </si>
  <si>
    <t>the man plays the drums with his hands.</t>
  </si>
  <si>
    <t>The man stops and talks before playing the drums again.</t>
  </si>
  <si>
    <t>The man stands on the drums and dances.</t>
  </si>
  <si>
    <t>We see two men sitting and the first man is clapping his hands.</t>
  </si>
  <si>
    <t>We see the man playing the maracas as a lady dances nearby the man stops and the lady turns away.</t>
  </si>
  <si>
    <t>v_QeIsJBPG8EM</t>
  </si>
  <si>
    <t>There's a young boy dressed in a black shirt and black shorts in a field playing with a hockey stick.</t>
  </si>
  <si>
    <t>He is hitting the ball into the goal with his stick.</t>
  </si>
  <si>
    <t>He swings the stick when another person throws the ball to him and aims it towards the goal.</t>
  </si>
  <si>
    <t>v_HWkGANOfqQE</t>
  </si>
  <si>
    <t>The man is showing how he plays the guitar.</t>
  </si>
  <si>
    <t>Then he shows us how he plays flute.</t>
  </si>
  <si>
    <t>v_Yr2unlRQZa0</t>
  </si>
  <si>
    <t>A woman and a man performs cardiovascular fitness holding handles of a machine while running.</t>
  </si>
  <si>
    <t>A person adjust the angle of the pedal and continues running.</t>
  </si>
  <si>
    <t>The screen of the machine shows relevant information, and is show the audio input jack of the machine and the muscle profile while the man and the woman continues exercising.</t>
  </si>
  <si>
    <t>v_6_uxd3nj2d0</t>
  </si>
  <si>
    <t>A woman leans over a boy, dabbing his face with a substance.</t>
  </si>
  <si>
    <t>He laughs and struggles as she continues.</t>
  </si>
  <si>
    <t>He grabs her by the hair, eating the piece of food she had been rubbing on him.</t>
  </si>
  <si>
    <t>v_MTC0fs4QyEY</t>
  </si>
  <si>
    <t>There is an old man doing Tai Chi on a sidewalk while pedestrians walk by.</t>
  </si>
  <si>
    <t>The man continues doing Tai Chi on the sidewalk as several people walk by him.</t>
  </si>
  <si>
    <t>He then stands next to some well pruned shrubs and continues his exercise in the open while it rains heavily.</t>
  </si>
  <si>
    <t>He then takes his shirt and walks away after he is done with his Tai Chi exercise.</t>
  </si>
  <si>
    <t>v_EZsumzBA68I</t>
  </si>
  <si>
    <t>A man is seen standing before a large fence holding a spray hose in his hand.</t>
  </si>
  <si>
    <t>The man sprays paint all along the wall while the camera captures his movements.</t>
  </si>
  <si>
    <t>The man continues to spray the wall while the camera follows him from behind.</t>
  </si>
  <si>
    <t>v_znIFzXChO1M</t>
  </si>
  <si>
    <t>A girl in a white dress is hitting a pinata with a bat.</t>
  </si>
  <si>
    <t>A man is standing behind her watching.</t>
  </si>
  <si>
    <t>Two girls are standing by the house watching.</t>
  </si>
  <si>
    <t>v_G6qOkn-K6aw</t>
  </si>
  <si>
    <t>It is dark in the room and colorful lights come on.</t>
  </si>
  <si>
    <t>People continue dancing on the dance floor.</t>
  </si>
  <si>
    <t>v_l1oh52tqdPo</t>
  </si>
  <si>
    <t>A small white, medium size Christmas tree is standing in front of two green doors.</t>
  </si>
  <si>
    <t>A lady is carrying a bag that has a "SNO-BOND FLOCK #1" written on it.</t>
  </si>
  <si>
    <t>The lady put the sno-bond flock in a strainer and grab a water spray bottle.</t>
  </si>
  <si>
    <t>She started to sift the white stuff on the tree.</t>
  </si>
  <si>
    <t>After sifting she spray the dust towards the tree.</t>
  </si>
  <si>
    <t>v_d-cxJQcmBzA</t>
  </si>
  <si>
    <t>A man is buffing the floor with a blue buffer.</t>
  </si>
  <si>
    <t>Another man stands next to him watching.</t>
  </si>
  <si>
    <t>He goes over the tile with the buffer.</t>
  </si>
  <si>
    <t>v_jX26w60MxmU</t>
  </si>
  <si>
    <t>Two men are seen sitting in a canoe in low motion and then tips the canoe a bit with a paddle.</t>
  </si>
  <si>
    <t>The men do this several times followed by instructions and locations written in text.</t>
  </si>
  <si>
    <t>v_Vq2mQvMp_c4</t>
  </si>
  <si>
    <t>Someone is riding a horse across a grassy field and comes upon other people on horseback.</t>
  </si>
  <si>
    <t>We soon see the riders are part of a group, and we follow the group across a parking lot and into a stream.</t>
  </si>
  <si>
    <t>Celebratory cheers are heard as the group is enjoying riding across the stream.</t>
  </si>
  <si>
    <t>Then we see a couple of riders, one of them standing up in his saddle.</t>
  </si>
  <si>
    <t>v_Kb8SPjD121k</t>
  </si>
  <si>
    <t>two guys beginning a arm wrestling match,the guy in the back shirt wins the first match.</t>
  </si>
  <si>
    <t>the men switched hands and starts a new match.</t>
  </si>
  <si>
    <t>the finally match was won by the same guy with the back shirt.</t>
  </si>
  <si>
    <t>v_Oh83skxSJkQ</t>
  </si>
  <si>
    <t>A close up of a piano is seen followed by a person walking into frame.</t>
  </si>
  <si>
    <t>The person then stretches out their nails and begins playing the piano.</t>
  </si>
  <si>
    <t>The person continues playing on the instrument and stops to turn off the camera.</t>
  </si>
  <si>
    <t>v_0rDLcTmgzGQ</t>
  </si>
  <si>
    <t>The men riding the horses are playing polo in the field.</t>
  </si>
  <si>
    <t>The men are chasing the ball and hitting with mallet.</t>
  </si>
  <si>
    <t>A player hit the ball and then ran after it, behind him are other players.</t>
  </si>
  <si>
    <t>v_xr0tV2KNqgI</t>
  </si>
  <si>
    <t>A crowd of people watch as two bulls fight each other in a competition.</t>
  </si>
  <si>
    <t>The camera pans over to show many people in the crowd watching the show.</t>
  </si>
  <si>
    <t>A man walks by the camera.</t>
  </si>
  <si>
    <t>Several people are getting close to the bull trying to catch the action.</t>
  </si>
  <si>
    <t>The bulls begin to chase each other around the field.</t>
  </si>
  <si>
    <t>v_1JeK3U_nUUc</t>
  </si>
  <si>
    <t>Several shots are shown of people wandering on a beach that lead into clips of a soccer match and people celebrating.</t>
  </si>
  <si>
    <t>More people are seen dancing around as well as playing soccer and gesturing to the camera.</t>
  </si>
  <si>
    <t>v_VE-zu8cdL44</t>
  </si>
  <si>
    <t>A dog who is missing his front legs is walking across a lawn.</t>
  </si>
  <si>
    <t>He is following the camera man, then breaks into a hopping run.</t>
  </si>
  <si>
    <t>He returns, and does the same again.</t>
  </si>
  <si>
    <t>v_-IkL9Kq9zfQ</t>
  </si>
  <si>
    <t>A man in cold weather clothing is kayaking on a river.</t>
  </si>
  <si>
    <t>The shot pans out to show several kayaks, and the man stuck on a small waterfall.</t>
  </si>
  <si>
    <t>He finally gets himself unstuck, pulling away from the falls.</t>
  </si>
  <si>
    <t>v_KnF56TCKPYw</t>
  </si>
  <si>
    <t>A dog sniffs the feet of a man and a woman.</t>
  </si>
  <si>
    <t>The couple walk the dog down to a lake.</t>
  </si>
  <si>
    <t>There are other owners and dogs, and they play at the water's edge.</t>
  </si>
  <si>
    <t>v_BtGrWzfvmP0</t>
  </si>
  <si>
    <t>A girl is seen smiling and waving to the camera followed by her holding up a contact lens and cleanser.</t>
  </si>
  <si>
    <t>She mixes the two together followed by putting the contact lens in her eyes.</t>
  </si>
  <si>
    <t>She finally shows off her eyes in the end and gives the camera a thumbs up.</t>
  </si>
  <si>
    <t>v_hnwZmUR1FUw</t>
  </si>
  <si>
    <t>There are two men indoors and playing racquetball in an indoor court as they quickly hit the ball against the wall and take turns.</t>
  </si>
  <si>
    <t>One of the men wearing a green shirt looks angrily at the camera and throws the racquet at the camera.</t>
  </si>
  <si>
    <t>The camera person turns the camera to himself and he is running and laughing while looking in the camera.</t>
  </si>
  <si>
    <t>v_Y97KgwAmdrU</t>
  </si>
  <si>
    <t>Various ingredients are laid out on a counter and are all mixed together in a bowl.</t>
  </si>
  <si>
    <t>The person is then shown placing dough balls into the oven and pressing a button.</t>
  </si>
  <si>
    <t>Then person then takes the cookies out and they disappear, all in stop animation.</t>
  </si>
  <si>
    <t>v_EKyV_WFsJH0</t>
  </si>
  <si>
    <t>A man is seen speaking to the camera while a shot of a person playing basketball shows behind.</t>
  </si>
  <si>
    <t>The man continues speaking as more shots are shown of the boy playing basketball.</t>
  </si>
  <si>
    <t>The man continues speaking and ends with text across the screen.</t>
  </si>
  <si>
    <t>v_E5uAH7_WTFs</t>
  </si>
  <si>
    <t>A professional swimmer wipes his eyes before engaging in the competition.</t>
  </si>
  <si>
    <t>He takes off, swimming as he tries to beat the two competitors on either side of him.</t>
  </si>
  <si>
    <t>v_DEVD2oszH48</t>
  </si>
  <si>
    <t>A gymnast gets ready and stretches out before an event.</t>
  </si>
  <si>
    <t>The gymnast runs then tumbles down a platform during an Olympic game finally landing on a padded mat.</t>
  </si>
  <si>
    <t>A large crowd applauds the performance.</t>
  </si>
  <si>
    <t>Other gymnast look on and nod with approval.</t>
  </si>
  <si>
    <t>A replay shows the gymnasts performance in slow motion.</t>
  </si>
  <si>
    <t>The gymnast sits with her coach and is congratulated.</t>
  </si>
  <si>
    <t>v_-lV2zo5XsCg</t>
  </si>
  <si>
    <t>A close up of a horse is seen standing in a fenced in area.</t>
  </si>
  <si>
    <t>A person is then seen brushing the horse from the side.</t>
  </si>
  <si>
    <t>The person continues brushing as a close up of the horse is shown.</t>
  </si>
  <si>
    <t>v_Jo2-IPbuapw</t>
  </si>
  <si>
    <t>A person's hands are seen places in the middle of a paper and begins drawing along the picture.</t>
  </si>
  <si>
    <t>The person then paints a large tree while still moving around quickly on the painting.</t>
  </si>
  <si>
    <t>The person finishes the painting and signs their name and shows a picture of themselves.</t>
  </si>
  <si>
    <t>v_rWVpotNVeyM</t>
  </si>
  <si>
    <t>A black screen appears with with white words reading, Winter Sedona,AZ.</t>
  </si>
  <si>
    <t>A man begins walking through a field of trees and shrubs,wearing a yellow hat,cardigan,boots,and a bag.</t>
  </si>
  <si>
    <t>He then stops and begins playing a wooden recorder.</t>
  </si>
  <si>
    <t>The camera zooms in and he continues playing the recorder and various forms of the surrounding landscape is shown.</t>
  </si>
  <si>
    <t>v_7IfBJgi3WCE</t>
  </si>
  <si>
    <t>The camera moves in on two cars parked on the street facing one another.</t>
  </si>
  <si>
    <t>A young man is then seen riding a tractor along the lawn to cut the grass and moves all around the camera man.</t>
  </si>
  <si>
    <t>v_ikHGZpkhfNc</t>
  </si>
  <si>
    <t>Five people carrying skateboards are walking towards the light.</t>
  </si>
  <si>
    <t>The young people are skateboarding in a subdivision while sitting down using their hands as a break.</t>
  </si>
  <si>
    <t>The young people skateboard in a ramp, then to the parking lot, then to the subdivision, one of the skateboarders fell off their skateboards.</t>
  </si>
  <si>
    <t>v_JO_CW4PR3I8</t>
  </si>
  <si>
    <t>A man is holding a wooden case.</t>
  </si>
  <si>
    <t>He puts a towel through the case.</t>
  </si>
  <si>
    <t>He begins to shine his shoe with the towel.</t>
  </si>
  <si>
    <t>v_Y3j1uDKRpPU</t>
  </si>
  <si>
    <t>A man is seen wearing a suit and walk away.</t>
  </si>
  <si>
    <t>The man walks up to a large chair and sits down.</t>
  </si>
  <si>
    <t>Another man is seen standing in front of the chair and begins looking down at the man's feet.</t>
  </si>
  <si>
    <t>v_cxFt88Cs-fs</t>
  </si>
  <si>
    <t>Two men are outside on the side of a bridge talking to each other as several people are walking by talking to them and shaking their hands.</t>
  </si>
  <si>
    <t>After,the man that is in the harness grabs on to the shoulders of two men as they help him stand up on top of the bridge.</t>
  </si>
  <si>
    <t>Finally,the man does a free fall off of the bridge and a orange ball is thrown to him.</t>
  </si>
  <si>
    <t>v_rBnygEUFOvE</t>
  </si>
  <si>
    <t>A gymnast wearing red leotards is performing gymnastics on uneven bars in a large stadium with a several spectators.</t>
  </si>
  <si>
    <t>She is doing front flips and back flips with swift motion without falling down.</t>
  </si>
  <si>
    <t>After she's done, she gets off the uneven bars and walks off as she gives a high five to her coach.</t>
  </si>
  <si>
    <t>v_5jaIcPomOuM</t>
  </si>
  <si>
    <t>Two women are seen speaking to the camera with one holding a cat in her lap.</t>
  </si>
  <si>
    <t>The woman then proceeds to hold the cat's claws and cut the nails while pointing to the cat and looking to the camera.</t>
  </si>
  <si>
    <t>v_eOsASILOUZM</t>
  </si>
  <si>
    <t>A woman stands on a diving board.</t>
  </si>
  <si>
    <t>She jumps off of the diving board.</t>
  </si>
  <si>
    <t>She dives into the pool of water.</t>
  </si>
  <si>
    <t>She swims under the water.</t>
  </si>
  <si>
    <t>v_oZjx7F1doGs</t>
  </si>
  <si>
    <t>Two men exhibit and demonstrate the use of an automated tennis ball server on a tennis ball court.</t>
  </si>
  <si>
    <t>An animation graphic appears exhibiting two gold cylinders inside of a metal bracket.</t>
  </si>
  <si>
    <t>The animated graphic morphs into a real and actual version of the graphic, appearing on a outdoor tennis court and flanked by two men.</t>
  </si>
  <si>
    <t>The two men standing next to the machinery place tennis balls into the machine, which in turn spits out the balls acting as an automated tennis ball server for a player who is standing on the other side of the tennis court with a tennis racket.</t>
  </si>
  <si>
    <t>v_HqpflYNEI7o</t>
  </si>
  <si>
    <t>A pumpkin is sitting on a counter.</t>
  </si>
  <si>
    <t>A knife is carving a face into the pumpkin.</t>
  </si>
  <si>
    <t>The lights are turned off and the pumpkin is lit up.</t>
  </si>
  <si>
    <t>v_7-5sFmNf4i4</t>
  </si>
  <si>
    <t>There are band members talking about their concert in Canada.</t>
  </si>
  <si>
    <t>They are seated on a stage as they talk about their experience about surprising a fan.</t>
  </si>
  <si>
    <t>They surprise a fan who is the winner of a contest.</t>
  </si>
  <si>
    <t>The band members go bowling with the surprised fan and play at the bowling alley.</t>
  </si>
  <si>
    <t>After the bowling game is over, they further surprise the fan by inviting her to their concert ans sound check party.</t>
  </si>
  <si>
    <t>v_f5Ja983oTMw</t>
  </si>
  <si>
    <t>A man mounts a pommel horse and starts spinning.</t>
  </si>
  <si>
    <t>A gymnast in the background falls mid performance.</t>
  </si>
  <si>
    <t>The main performer dismounts and throws his arms in the air.</t>
  </si>
  <si>
    <t>The main performer walks away.</t>
  </si>
  <si>
    <t>v_ljxNDSS_AcA</t>
  </si>
  <si>
    <t>A man is standing in a room talking.</t>
  </si>
  <si>
    <t>Another man is painting the walls of the room.</t>
  </si>
  <si>
    <t>The man sets his paint can and his towel down next to him.</t>
  </si>
  <si>
    <t>v_hLyHeVmMDGU</t>
  </si>
  <si>
    <t>A tether rope rises up on a bar.</t>
  </si>
  <si>
    <t>Athletes prepare for an event getting poles ready and chalking hands.</t>
  </si>
  <si>
    <t>Athletes pole vault over a high bar in a competition.</t>
  </si>
  <si>
    <t>Athletes and fans meet after the event talking and signing autographs.</t>
  </si>
  <si>
    <t>A graphic is seen of event sponsors and website on the screen with black backround.</t>
  </si>
  <si>
    <t>v_KFIxTdJtXAE</t>
  </si>
  <si>
    <t>One group of adults are in a raft, paddling through the water with big waves.</t>
  </si>
  <si>
    <t>The group hit each other's paddle like a high five and then continue to paddle through the river.</t>
  </si>
  <si>
    <t>Other group of people are riding the rafts and stopped at the side of the river.</t>
  </si>
  <si>
    <t>v_QJKFphS_3UQ</t>
  </si>
  <si>
    <t>A woman is seen speaking to the camera holding an instrument and leads into her playing the flute.</t>
  </si>
  <si>
    <t>The camera continues to zoom in on her playing the instrument while she intervenes by speaking to the camera.</t>
  </si>
  <si>
    <t>v_5BuDj1xkpiI</t>
  </si>
  <si>
    <t>We see a bottle of face wash.</t>
  </si>
  <si>
    <t>We see a person holding face wash then putting it on their face.</t>
  </si>
  <si>
    <t>They rinse the face and add the face wash with a brush.</t>
  </si>
  <si>
    <t>We see an illustration on how to add the wash using a brush.</t>
  </si>
  <si>
    <t>v_lu7viu9nf6g</t>
  </si>
  <si>
    <t>Various clips of a large group of people are seen standing together leading into clips of people shooting bows and arrows.</t>
  </si>
  <si>
    <t>More clips are shown of people speaking to the camera are shown as well as people celebrating and shooting more bows and dancing.</t>
  </si>
  <si>
    <t>v_aKLKf4Qd_4U</t>
  </si>
  <si>
    <t>A close up of a house is seen when a person walks into frame.</t>
  </si>
  <si>
    <t>The person is seen grabbing lawn mower and pulling it to the side.</t>
  </si>
  <si>
    <t>The person then pushes the lawn mower all around the house.</t>
  </si>
  <si>
    <t>v_FSU0YVLCoSc</t>
  </si>
  <si>
    <t>A person's hands are seen close up on a tool and begins moving the handle around and taking the tool apart.</t>
  </si>
  <si>
    <t>The person unscrews some items and tightens the inside and moves the screwdriver around while holding the tool.</t>
  </si>
  <si>
    <t>v_ot7hBY4lQ2c</t>
  </si>
  <si>
    <t>A group of men have gathered indoors.</t>
  </si>
  <si>
    <t>Two of them crouch in the center.</t>
  </si>
  <si>
    <t>They flip to the center of the circle, doing ornate kickboxing stunts.</t>
  </si>
  <si>
    <t>Several more clips of other fighters are shown, flipping, rolling, and kicking.</t>
  </si>
  <si>
    <t>The two men hug at the end.</t>
  </si>
  <si>
    <t>v_mHe2twk5BDE</t>
  </si>
  <si>
    <t>Various still shot pictures of different men, different ages, different races and different sizes appear with white text names appearing over each of their faces.</t>
  </si>
  <si>
    <t>A blue screen then appears and white text words appear and say "WAIT!! SO WHAT IS WATER POLO??".</t>
  </si>
  <si>
    <t>Various clips of many men playing water polo in a pool start to play and it shows them splashing in the water, fighting for the ball, swimming, and trying to make a goal at the net that's at the end of a pool.</t>
  </si>
  <si>
    <t>Another blue screen appears and it has white text that say's "OK then so heres us in action" and numerous still shot pictures display of people playing water polo in the pool, or just hanging out are displayed.</t>
  </si>
  <si>
    <t>When the pictures are done a blue screen appears with a lot of white words on it that basically say that if you're interested in what you just saw, you just need to contact one of them.</t>
  </si>
  <si>
    <t>v_rYXmAD8u7N8</t>
  </si>
  <si>
    <t>Several people are talking into microphones on the stage.</t>
  </si>
  <si>
    <t>One of the men starts playing a violin.</t>
  </si>
  <si>
    <t>He gives the violin to another man who plays it.</t>
  </si>
  <si>
    <t>The audience starts clapping for them.</t>
  </si>
  <si>
    <t>v_Xj--zKhm6k4</t>
  </si>
  <si>
    <t>A large man is dancing inside a dark room.</t>
  </si>
  <si>
    <t>People behind him laugh and clap.</t>
  </si>
  <si>
    <t>He is throwing darts at a target in the distance.</t>
  </si>
  <si>
    <t>v_xi4puZ1ulP4</t>
  </si>
  <si>
    <t>A woman is seen with seen wearing a tanktop with introduction text.</t>
  </si>
  <si>
    <t>The woman have hair tied back and applies eye make up to eyes using various brushes and colors.</t>
  </si>
  <si>
    <t>The woman begins to puts eye liner on with a fine pencil.</t>
  </si>
  <si>
    <t>The women takes cloth ties out of here hair and lets her hair down which is now curled.</t>
  </si>
  <si>
    <t>The woman uses a comb and hairspray to straighten parts of here hair then ties it back.</t>
  </si>
  <si>
    <t>Messages of tex are shown on the end of the video.</t>
  </si>
  <si>
    <t>v_U8m-9nmAfGU</t>
  </si>
  <si>
    <t>A person fixes a strap on a guy.</t>
  </si>
  <si>
    <t>The guy moves closer to the edge.</t>
  </si>
  <si>
    <t>Two men places hooks on the guy.</t>
  </si>
  <si>
    <t>A man release a rope.</t>
  </si>
  <si>
    <t>The guy jumps of the edge or bungee jumps.</t>
  </si>
  <si>
    <t>v_gS4dNLjHouo</t>
  </si>
  <si>
    <t>A marching band parades down the street, playing drums and other instruments.</t>
  </si>
  <si>
    <t>People on both sides of the street watch the band perform.</t>
  </si>
  <si>
    <t>v_Pl4zAGveukQ</t>
  </si>
  <si>
    <t>A woman with long hair speaks to the camera.</t>
  </si>
  <si>
    <t>She holds up a long brush.</t>
  </si>
  <si>
    <t>She demonstrates how to use the brush to scrape snow off a car.</t>
  </si>
  <si>
    <t>When she is done, she continues talking about the brush.</t>
  </si>
  <si>
    <t>v__EKqIcXdW04</t>
  </si>
  <si>
    <t>A lady knees, while a guy walks and instructs.</t>
  </si>
  <si>
    <t>The lady places both hands behind her head.</t>
  </si>
  <si>
    <t>v_gDhfInESf_E</t>
  </si>
  <si>
    <t>A lady is brushing her hair.</t>
  </si>
  <si>
    <t>The lady brushes her hair from underneath.</t>
  </si>
  <si>
    <t>115 The lady runs her hand through her hair.</t>
  </si>
  <si>
    <t>The lady finishes and sits upright.</t>
  </si>
  <si>
    <t>v_7Lkcan0X5VA</t>
  </si>
  <si>
    <t>A person's hands are shown playing piano.</t>
  </si>
  <si>
    <t>A close up of a trumpet shows a man playing.</t>
  </si>
  <si>
    <t>The video fades to the people playing on stage.</t>
  </si>
  <si>
    <t>The camera zooms in on the trumpet player.</t>
  </si>
  <si>
    <t>A girl is shown playing piano.</t>
  </si>
  <si>
    <t>The duo continue playing until the song ends.</t>
  </si>
  <si>
    <t>v_rI-Iq496Sgk</t>
  </si>
  <si>
    <t>A man has climbed a large ladder outside.</t>
  </si>
  <si>
    <t>He is using trimmers to cut and trim large trees.</t>
  </si>
  <si>
    <t>He reaches up, cutting the branches and twigs.</t>
  </si>
  <si>
    <t>v_HdgVytIzu4s</t>
  </si>
  <si>
    <t>A man is seen holding a tennis racket and begins hitting a ball around a room.</t>
  </si>
  <si>
    <t>Another man is in frame also holding a tennis racket and hitting a ball around.</t>
  </si>
  <si>
    <t>The men continue to play with one another around the room while the camera follows their movements.</t>
  </si>
  <si>
    <t>v_RNqJj9tt3F0</t>
  </si>
  <si>
    <t>Several NHL players are playing a hockey game in a hockey stadium.</t>
  </si>
  <si>
    <t>One of the player is shown expressing his anger at the game.</t>
  </si>
  <si>
    <t>A news caster comes onto the screen to announce a a segment about hockey meltdowns.</t>
  </si>
  <si>
    <t>The top ten hockey melt downs are then shown.</t>
  </si>
  <si>
    <t>v_Ka0Rtjfi9fI</t>
  </si>
  <si>
    <t>A man trims a large hedge with a pole trimmer.</t>
  </si>
  <si>
    <t>There are several close ups of the tool in action.</t>
  </si>
  <si>
    <t>Several extensions are shown for it.</t>
  </si>
  <si>
    <t>The man trims a tree with it.</t>
  </si>
  <si>
    <t>v_VFOpGMVouVg</t>
  </si>
  <si>
    <t>A woman is seen speaking to the camera and leads into her playing with her hair and pining it up.</t>
  </si>
  <si>
    <t>She ten begins braiding her hair in various places while speaking to the camera.</t>
  </si>
  <si>
    <t>She ties her hair back around her head and ends by speaking to the camera.</t>
  </si>
  <si>
    <t>v_eQMT-WmxKM8</t>
  </si>
  <si>
    <t>a girl is holding a baton her hand.</t>
  </si>
  <si>
    <t>She tosses it to a boy beside her.</t>
  </si>
  <si>
    <t>They take turns throwing it into the air and catching it.</t>
  </si>
  <si>
    <t>v_a42c_maArv4</t>
  </si>
  <si>
    <t>The camera shakes on an image of an indoor volleyball court.</t>
  </si>
  <si>
    <t>A woman races back from the net to hit the incoming volleyball.</t>
  </si>
  <si>
    <t>A fellow team member also hits the ball and sends it across the net.</t>
  </si>
  <si>
    <t>v_e60HGAzBOvo</t>
  </si>
  <si>
    <t>The man is wearing an apron as he walks into the works space and the words "Conti Ski-Boots Service Presents Race Operation" is overlayed onto the screen as he grabs a ski pole and picks up a drill and uses it on the top of the ski.</t>
  </si>
  <si>
    <t>The man then grabs the ski and puts it into the green machinery that is located behind him and runs it through the machine a few times then removes it and stars to work on the backside of the ski which appears to look like he is sanding, taping and pouring some type of clear finish onto it.</t>
  </si>
  <si>
    <t>The man then runs a device over the sky that looks like an iron, and continues to sand it, clear it off, scrape it, and use the ironing device again.</t>
  </si>
  <si>
    <t>The man then removes the tape and turns the ski onto it's side to scrape at it.</t>
  </si>
  <si>
    <t>When he's finished he grabs the ski and puts it into a compartment that is located above the green machine.</t>
  </si>
  <si>
    <t>v_0rDb-zfhH0E</t>
  </si>
  <si>
    <t>A boy and girl in a karate uniform are playing in front of a camera.</t>
  </si>
  <si>
    <t>They talk about how they earned their karate uniforms and what they like about karate.</t>
  </si>
  <si>
    <t>The girl talks about her brother and more about karate.</t>
  </si>
  <si>
    <t>The girl plays effects on her brother.</t>
  </si>
  <si>
    <t>The girl does various karate moves for the camera.</t>
  </si>
  <si>
    <t>Then the brother does several different karate moves for the camera.</t>
  </si>
  <si>
    <t>v_MzYA5oo-mzk</t>
  </si>
  <si>
    <t>A man is in a screened area standing on a concrete circle and swings a ball on a rope around two times above his head.</t>
  </si>
  <si>
    <t>The man then quickly starts spinning himself along with swinging the ball on the rope.</t>
  </si>
  <si>
    <t>After numerous and quick swings and spins the man lets the rope go and the ball goes flying.</t>
  </si>
  <si>
    <t>v_DsqNpc9JChY</t>
  </si>
  <si>
    <t>A person wash the dishes using a brush in a sink.</t>
  </si>
  <si>
    <t>Then, the person wash the utensils while cleaning with the brush.</t>
  </si>
  <si>
    <t>After, the person pours dishwasher in a glass and a cup, then brush and rinse.</t>
  </si>
  <si>
    <t>v_BshSmo_rRII</t>
  </si>
  <si>
    <t>A man watch through a window two bears copulate while brushing a shoe.</t>
  </si>
  <si>
    <t>A girl enters the room and see the bears, then she leaves the room.</t>
  </si>
  <si>
    <t>v_g-KEU43sCt4</t>
  </si>
  <si>
    <t>Children perform martial arts moves in a dojo as adults watch.</t>
  </si>
  <si>
    <t>A girl flips and takes her turn then flips out of the center.</t>
  </si>
  <si>
    <t>A teen does a flip to the other side of the room.</t>
  </si>
  <si>
    <t>One of the teachers moves to the middle of the floor.</t>
  </si>
  <si>
    <t>The teen talks to another one of the children and send the boy in when it's his turn.</t>
  </si>
  <si>
    <t>the teen attempts to have a scared boy take a turn but the boy refuses.</t>
  </si>
  <si>
    <t>The children all run to the floor.</t>
  </si>
  <si>
    <t>v_2SnFlGUHKnc</t>
  </si>
  <si>
    <t>A woman is dancing in the middle of the street with a baton.</t>
  </si>
  <si>
    <t>She twirls and throws the baton while a small crowd watches.</t>
  </si>
  <si>
    <t>She continues down the road, performing with the baton.</t>
  </si>
  <si>
    <t>v_KRfdZgxLZPY</t>
  </si>
  <si>
    <t>In the snow, various young men perform snowboard tricks before the camera.</t>
  </si>
  <si>
    <t>A man in a blue sweatshirt jumps down a staircase.</t>
  </si>
  <si>
    <t>A young man in a black outfit performs a double trick by grinding down one railing and jumping down a staircase.</t>
  </si>
  <si>
    <t>A man in a purple sweatshirt grinds down a staircase railing.</t>
  </si>
  <si>
    <t>A man in a purple and black striped sweatshirt jumps down a staircase.</t>
  </si>
  <si>
    <t>The man in the blue sweatshirt grinds down a railing and lands stylishly on the floor.</t>
  </si>
  <si>
    <t>v_lxNV7FI-LQQ</t>
  </si>
  <si>
    <t>A shot of a sunset leads into a large group of people riding camels along the beach.</t>
  </si>
  <si>
    <t>Many people are seen riding the camels one after another on the sand.</t>
  </si>
  <si>
    <t>The video continues on showing more people riding the camels and others leading in the front.</t>
  </si>
  <si>
    <t>v_zCijq4G1B3Q</t>
  </si>
  <si>
    <t>A man is painting the wood with brush, the wood is being shown.</t>
  </si>
  <si>
    <t>The man is painting the fence with brown paint, then painting the table.</t>
  </si>
  <si>
    <t>The man mixed the paint and then began painting the wooden table, then he clean up the floor and brush it.</t>
  </si>
  <si>
    <t>v_4XX5rcqpOXA</t>
  </si>
  <si>
    <t>A person is seen sitting at a table followed by two people dancing with one another and others sitting around watch.</t>
  </si>
  <si>
    <t>The people continue dancing around one another and end by stopping and having other two dancing beside them.</t>
  </si>
  <si>
    <t>v_J80e9M4AQ5w</t>
  </si>
  <si>
    <t>We see an opening screen with a black background.</t>
  </si>
  <si>
    <t>We see a lot of people moving snow with shovel, brooms, pots, and bowls.</t>
  </si>
  <si>
    <t>A man is shoveling with a dist pan followed by ladies with a hoe and plate.</t>
  </si>
  <si>
    <t>A man throws snow on a lady.</t>
  </si>
  <si>
    <t>A man throws snow on people.</t>
  </si>
  <si>
    <t>A person is stuck in the snow is buried by others.</t>
  </si>
  <si>
    <t>A lady talks to the camera and it goes black and white.</t>
  </si>
  <si>
    <t>People are mainge snow angels.</t>
  </si>
  <si>
    <t>We see the closing credits of the video.</t>
  </si>
  <si>
    <t>v___dXUJsj3yo</t>
  </si>
  <si>
    <t>A middle age woman is shown squatting down picking up snow and dumping it in pile.</t>
  </si>
  <si>
    <t>She then walks towards the camera and sticks her tongue out.</t>
  </si>
  <si>
    <t>v_UIrn2ziRgEM</t>
  </si>
  <si>
    <t>a woman lights a cigarette in front of the camera.</t>
  </si>
  <si>
    <t>She takes a big pull off the cigarette.</t>
  </si>
  <si>
    <t>She blows smoke at the camera and smiles.</t>
  </si>
  <si>
    <t>She takes another pull of the cigarette and blows smoke out.</t>
  </si>
  <si>
    <t>She plays with her hair.</t>
  </si>
  <si>
    <t>Then she continues to smoke the cigarette while looking around.</t>
  </si>
  <si>
    <t>v_oGwn4NUeoy8</t>
  </si>
  <si>
    <t>A small group of people are seen on a stage getting their instruments ready.</t>
  </si>
  <si>
    <t>A woman begins playing the drums while another plays piano and the others watch.</t>
  </si>
  <si>
    <t>The two continue to play their instruments and others on the side watch.</t>
  </si>
  <si>
    <t>v_dukaFaotZGc</t>
  </si>
  <si>
    <t>Two men quickly dismantle a red chimney.</t>
  </si>
  <si>
    <t>One man puts wood over the gaping hole.</t>
  </si>
  <si>
    <t>The man then covers the wood with shingles.</t>
  </si>
  <si>
    <t>v_nIpT_lGpjck</t>
  </si>
  <si>
    <t>We see a person chopping a fruit.</t>
  </si>
  <si>
    <t>The person then cuts off the chopped portion.</t>
  </si>
  <si>
    <t>The person chops the fruit again and cuts off the chopped bit.</t>
  </si>
  <si>
    <t>The person picks up a slice from the bowl and cuts it.</t>
  </si>
  <si>
    <t>We then see the person chop and cut more.</t>
  </si>
  <si>
    <t>The person picks up bits off their pants.</t>
  </si>
  <si>
    <t>v_P17kaxPrbdc</t>
  </si>
  <si>
    <t>A boy is seen holding a stick while other people watch and clap on the sidelines.</t>
  </si>
  <si>
    <t>The boy holding the stick performs a martial arts routine in front of the people and ends with a pose while everyone around him claps.</t>
  </si>
  <si>
    <t>v_S2VKbwm0uE8</t>
  </si>
  <si>
    <t>A man is seen giving the camera a piece sign while others around him talk and gear up.</t>
  </si>
  <si>
    <t>One man is then seen stepping up on a platform and jumping off the side.</t>
  </si>
  <si>
    <t>v_QF7wNOCJpMU</t>
  </si>
  <si>
    <t>A man competes in a canoe in a river moving the oar very fast.</t>
  </si>
  <si>
    <t>Then, the man pass turbulent waters.</t>
  </si>
  <si>
    <t>v_SXlSHYVNcvM</t>
  </si>
  <si>
    <t>The word ehow appears on the screen.</t>
  </si>
  <si>
    <t>We see a woman dressed in red standing in a room of a house.</t>
  </si>
  <si>
    <t>She is talking about a table in front of her.</t>
  </si>
  <si>
    <t>She picks up some furniture polish, and applies it to the wood, polishing it with a sock she has put over her hand.</t>
  </si>
  <si>
    <t>v_lwo7fssfLiw</t>
  </si>
  <si>
    <t>A woman is seen speaking to the camera while holding onto a piece of exercise equipment with her arms.</t>
  </si>
  <si>
    <t>She moves the machine back and fourth while still laughing and smiling to the camera.</t>
  </si>
  <si>
    <t>v_HEfOp_pz_j4</t>
  </si>
  <si>
    <t>In a dark crystal ball, an alien looking thing is looking at the characters inside.</t>
  </si>
  <si>
    <t>Three men are playing paper, scissor, stick and stone while creatures with different colors are watching them with shock.</t>
  </si>
  <si>
    <t>One character won by using scissor, he then talked to the people around him.</t>
  </si>
  <si>
    <t>v_8JKK6JayDeA</t>
  </si>
  <si>
    <t>A woman bends down and lifts a heavy weight over her head.</t>
  </si>
  <si>
    <t>People are sitting behind them on benches.</t>
  </si>
  <si>
    <t>Several more people keep lifting the weights.</t>
  </si>
  <si>
    <t>v_vRf9sof3dwU</t>
  </si>
  <si>
    <t>A woman is seen speaking to the camera in an aggressive manner and leads into her holding up a hula hoop.</t>
  </si>
  <si>
    <t>The woman attempts to hula hoop several times and succeeds by using it on her neck and bending down to the camera.</t>
  </si>
  <si>
    <t>v_R2izNBHhctM</t>
  </si>
  <si>
    <t>A woman in pink dress is clipping the right paw of a white cat who is sitting on her lap.</t>
  </si>
  <si>
    <t>She took the left paw to clip, the cat looked up and the woman looked down and gave her a quick kiss on the head.</t>
  </si>
  <si>
    <t>The cat looked up while the woman is clipping the right back paw of the cat.</t>
  </si>
  <si>
    <t>While the woman is clipping the left back paw, the cat was blinking to the camera.</t>
  </si>
  <si>
    <t>v_GN0TdqHETvc</t>
  </si>
  <si>
    <t>Two men are seen standing in a room and speaking to the camera while holding rackets.</t>
  </si>
  <si>
    <t>The two then continuously hit the ball around the closed area back and fourth and point to the camera with a racket and run around.</t>
  </si>
  <si>
    <t>v_l866oFamRY4</t>
  </si>
  <si>
    <t>A group of numerous people are walking down a public street.</t>
  </si>
  <si>
    <t>One couple is walking a pit bull on a leash.</t>
  </si>
  <si>
    <t>We see smoke billowing from a building as the people walk away.</t>
  </si>
  <si>
    <t>v_OVf4tUiUqA0</t>
  </si>
  <si>
    <t>Two workers are shown at a shop outdoors.</t>
  </si>
  <si>
    <t>They are washing down cars with soap, including the Maserati's tires.</t>
  </si>
  <si>
    <t>They then rinse the cars and wipe them clean.</t>
  </si>
  <si>
    <t>The final product is shown as a clean, shiny italian car.</t>
  </si>
  <si>
    <t>v_G02h5bFOpCE</t>
  </si>
  <si>
    <t>A man is holding a surf board.</t>
  </si>
  <si>
    <t>Birds fly into the sky above the water.</t>
  </si>
  <si>
    <t>He surfs the waves in the water.</t>
  </si>
  <si>
    <t>He is in the car talking.</t>
  </si>
  <si>
    <t>He surfs in the water some more.</t>
  </si>
  <si>
    <t>The birds are flying over the water again.</t>
  </si>
  <si>
    <t>v_JjUQ6dWZIL0</t>
  </si>
  <si>
    <t>A large flag is flowing in the wind.</t>
  </si>
  <si>
    <t>A man is on a street, hitting a stick with another stick.</t>
  </si>
  <si>
    <t>Two men engage in martial arts kick boxing, kicking and swinging and flipping.</t>
  </si>
  <si>
    <t>v_Xfu6WQuFEks</t>
  </si>
  <si>
    <t>A man is chopping wood in a snowy yard.</t>
  </si>
  <si>
    <t>There is a pile of snow behind him.</t>
  </si>
  <si>
    <t>The log split in two with one strike.</t>
  </si>
  <si>
    <t>v_cqgecSy943o</t>
  </si>
  <si>
    <t>A man bends over to talk to the camera.</t>
  </si>
  <si>
    <t>The man then skateboards on a ramp.</t>
  </si>
  <si>
    <t>He tries to run up the ramp without a skateboard.</t>
  </si>
  <si>
    <t>A child slides down the ramp on her butt.</t>
  </si>
  <si>
    <t>The man's skateboard gets away from him.</t>
  </si>
  <si>
    <t>The man chases his skareboard.</t>
  </si>
  <si>
    <t>The man talks to the camera.</t>
  </si>
  <si>
    <t>v_1WR4jgFCqRw</t>
  </si>
  <si>
    <t>An older gentleman in a blue shirt is painting a wooden fence.</t>
  </si>
  <si>
    <t>He picks up the paint bucket and walks up the sidewalk.</t>
  </si>
  <si>
    <t>v_6tzQ5-VBgVU</t>
  </si>
  <si>
    <t>A man is seen riding around on roller blades in a park and performs a grind while the camera slows down.</t>
  </si>
  <si>
    <t>Several more roller bladers are shown grinding around a park in various locations as well as showing several more tricks.</t>
  </si>
  <si>
    <t>The camera man holds the camera close to his face and zooms in on a man sitting and smoking.</t>
  </si>
  <si>
    <t>v_a2Y7AK4VD0o</t>
  </si>
  <si>
    <t>A girl plays a wind box instrument inside of a house.</t>
  </si>
  <si>
    <t>The woman laughs then resumes playing the song on the instrument.</t>
  </si>
  <si>
    <t>v_sNeT1WZ9UwA</t>
  </si>
  <si>
    <t>A small group of people are seen sitting on horses and leads into them riding down along a dirt path.</t>
  </si>
  <si>
    <t>The camera follows the people riding along on the horses and leads to them back at the stables.</t>
  </si>
  <si>
    <t>v_FDTkn9SFPfs</t>
  </si>
  <si>
    <t>A person holding a cat straightens the cat's paw.</t>
  </si>
  <si>
    <t>The person cuts the cat's claws with a scissor shape clipper.</t>
  </si>
  <si>
    <t>The cat attacks the the cutter.</t>
  </si>
  <si>
    <t>v_Cw5NDI8NnZU</t>
  </si>
  <si>
    <t>People are surfing on a large wave in the water.</t>
  </si>
  <si>
    <t>A boat is in the water.</t>
  </si>
  <si>
    <t>A large wave crashes in the water.</t>
  </si>
  <si>
    <t>v_s0Pw7vKtqpo</t>
  </si>
  <si>
    <t>Two people are shown and then several boats are advertised.</t>
  </si>
  <si>
    <t>After,the two people in the water surfing over large huge waves together.</t>
  </si>
  <si>
    <t>Next,people on the boat comes into the water as well as on jet skis as a man stands on top of a large cliff over the water.</t>
  </si>
  <si>
    <t>v_b1RAYvxWawA</t>
  </si>
  <si>
    <t>A camera pans all around a lake showing the trees and mountains as well as the canoe sitting in front of him.</t>
  </si>
  <si>
    <t>Another boy is seen riding along the water in a canoe as well as several others paddling by.</t>
  </si>
  <si>
    <t>More shots are shown of people riding in their canoes and capturing the scenery around them.</t>
  </si>
  <si>
    <t>v_Sma-ydx49eQ</t>
  </si>
  <si>
    <t>A man starts jump roping on a stage.</t>
  </si>
  <si>
    <t>People are in the audience watching him.</t>
  </si>
  <si>
    <t>Two men stand behind cameras filming him.</t>
  </si>
  <si>
    <t>v_snPtOKtIEA4</t>
  </si>
  <si>
    <t>A team of basketball players are shown on the right side of the court doing lay-ups.</t>
  </si>
  <si>
    <t>After several turns,they move to the left side of the court and begin practicing the lay ups once more.</t>
  </si>
  <si>
    <t>As they are going,a chair sits in front of them to serve as the marker and a man walks back and forth watching them go.</t>
  </si>
  <si>
    <t>v_Zhf052cWrv8</t>
  </si>
  <si>
    <t>A man is standing and walking in the gym.</t>
  </si>
  <si>
    <t>The man sat on the rowing machine and put his feet on the pedal.</t>
  </si>
  <si>
    <t>The man began to pull the belt.</t>
  </si>
  <si>
    <t>v_6SHSstpZN1I</t>
  </si>
  <si>
    <t>We see kids on dirt bikes on a dirt field with adults standing over them.</t>
  </si>
  <si>
    <t>The kids take off and start down the dirk track.</t>
  </si>
  <si>
    <t>The kids have a hard time turning to come up the dirt track.</t>
  </si>
  <si>
    <t>One of the boys has fallen and dropped his bike.</t>
  </si>
  <si>
    <t>We see the kids high fiveing men and women on the sidelines.</t>
  </si>
  <si>
    <t>v_i5kuZ8zlhMg</t>
  </si>
  <si>
    <t>The video is about girls varsity water polo.</t>
  </si>
  <si>
    <t>There are several girls getting ready to go to a water polo sport event.</t>
  </si>
  <si>
    <t>They are holding their backpacks and gear.</t>
  </si>
  <si>
    <t>They are traveling to the event together and check into a hotel.</t>
  </si>
  <si>
    <t>The entire team spends time together before the event.</t>
  </si>
  <si>
    <t>Two of the team members talk about their experience with the water polo event.</t>
  </si>
  <si>
    <t>The team members talk about the competition and how they fared in the sport.</t>
  </si>
  <si>
    <t>The screen shows all the final wins and loses in the girls varsity water polo.</t>
  </si>
  <si>
    <t>v_apPeChgjzs4</t>
  </si>
  <si>
    <t>A shirtless man is playing bongo drums in front of a microphone.</t>
  </si>
  <si>
    <t>There are other sets of drums to his left.</t>
  </si>
  <si>
    <t>To his right is a green bag and a hat situated on a table.</t>
  </si>
  <si>
    <t>v_0WJX2A6PSnA</t>
  </si>
  <si>
    <t>Cleaning supplies (and the list of names appear on the screen) are on an island in a kitchen.</t>
  </si>
  <si>
    <t>A woman walks in, grabs the supplies, starts spraying the sink and begins scrubbing with a sponge.</t>
  </si>
  <si>
    <t>The woman then starts rinsing the sink with the hand held sprayer until it's all clean.</t>
  </si>
  <si>
    <t>The cleaning spray is on the edge of the counter and text on the screen below it read "For tough stains repeat as necessary.</t>
  </si>
  <si>
    <t>v_g2GZd1160m4</t>
  </si>
  <si>
    <t>Two young boys perform martial arts dances.</t>
  </si>
  <si>
    <t>A group of boys around them watches on.</t>
  </si>
  <si>
    <t>Behind the performs sits a group of men playing music for the performance.</t>
  </si>
  <si>
    <t>The performers return to their seats.</t>
  </si>
  <si>
    <t>v_dB4SbhaQQV8</t>
  </si>
  <si>
    <t>A bunch of kids are standing on a soccer field and a girl is talking.</t>
  </si>
  <si>
    <t>The girl is ready to kick a red ball rolled on the ground.</t>
  </si>
  <si>
    <t>The young woman wearing blue shorts and a t-shirt runs and kicks the ball.</t>
  </si>
  <si>
    <t>The young girl slides into the first water slide.</t>
  </si>
  <si>
    <t>The girl then gets up and then slides into the second water slide.</t>
  </si>
  <si>
    <t>v_6diEN8nUqsI</t>
  </si>
  <si>
    <t>A man catch a fish from a hole in the ice.</t>
  </si>
  <si>
    <t>Then, the man holds the fish that moves on the ice.</t>
  </si>
  <si>
    <t>After, the man put a metal rod on the mouth of the fish.</t>
  </si>
  <si>
    <t>v_5SzzJMuyC_M</t>
  </si>
  <si>
    <t>A person is seen throwing plaster onto a wall while the camera follows the person close behind.</t>
  </si>
  <si>
    <t>The person gradually throws more and more onto the wall and the camera pans over the finished product.</t>
  </si>
  <si>
    <t>v_2pJTak2Qz8Q</t>
  </si>
  <si>
    <t>Lots of people are seen walking by in the beginning of the video.</t>
  </si>
  <si>
    <t>Then different people are shown skiing up ramps to do cool tricks.</t>
  </si>
  <si>
    <t>v_F79Tzy2i7bI</t>
  </si>
  <si>
    <t>A baby eats bread in a high chair.</t>
  </si>
  <si>
    <t>A person puts something in the baby's eyes.</t>
  </si>
  <si>
    <t>A person messes with the baby's hair.</t>
  </si>
  <si>
    <t>v_sYphlW-m1pU</t>
  </si>
  <si>
    <t>A young boy is sitting in front of a desktop as he plays with a Rubik cube.</t>
  </si>
  <si>
    <t>He finishes the cube and sets it on the desk and quickly stops a timer.</t>
  </si>
  <si>
    <t>He grabs the cube again and begins to complete it.</t>
  </si>
  <si>
    <t>He finishes again and starts another game of the cube.</t>
  </si>
  <si>
    <t>v_DYahQgHG1Gk</t>
  </si>
  <si>
    <t>An intro appears on the screen for a video bout a man who will be playing the rums.</t>
  </si>
  <si>
    <t>The man begins to play the drums as the camera records him.</t>
  </si>
  <si>
    <t>He pauses and people are laughing and enjoying the music.</t>
  </si>
  <si>
    <t>He pauses again and waits for a reaction from the crowd.</t>
  </si>
  <si>
    <t>the camera turns to show the people that are enjoying the music.</t>
  </si>
  <si>
    <t>v_bzHSF5GJc8o</t>
  </si>
  <si>
    <t>A group of women are wearing volleyball team uniforms standing in an indoor gym, and a young woman that has a number 10 on her shirt is bouncing the volleyball and getting ready to serve.</t>
  </si>
  <si>
    <t>The woman serves the ball and a game ensues as all the women keep the ball in the area and hit it over the net multiple times trying to keep it in bounds.</t>
  </si>
  <si>
    <t>The same woman that served the ball spikes the ball very hard ,the other team misses it and her team mates cheer.</t>
  </si>
  <si>
    <t>The same woman that served earlier serves the volleyball once again and the other team quickly spikes the ball that sends the opposing team member rolling on the ground in an attempt to save the ball from hitting the ground.</t>
  </si>
  <si>
    <t>v_9A0BwCxAKAg</t>
  </si>
  <si>
    <t>A man is seen talking to the camera and leads into him rubbing down a window.</t>
  </si>
  <si>
    <t>He streaks the window with cleaner and shows several methods on how to use a wiper properly.</t>
  </si>
  <si>
    <t>The window is all clean in the end and he is still seen talking to the camera.</t>
  </si>
  <si>
    <t>v_L6Uf3epn3zA</t>
  </si>
  <si>
    <t>Several canoes are sen laid out that leads into shots of people riding in the canoes.</t>
  </si>
  <si>
    <t>A man is seen speaking to the camera as well as riding in a canoe with another woman.</t>
  </si>
  <si>
    <t>More people are seen riding down the river in canoes while the man continues to speak.</t>
  </si>
  <si>
    <t>v_YYpeT1sH_m0</t>
  </si>
  <si>
    <t>Fit guys stand on a bleach.</t>
  </si>
  <si>
    <t>The guys play beach soccer.</t>
  </si>
  <si>
    <t>A man gives an interview.</t>
  </si>
  <si>
    <t>A player juggles two soccer balls.</t>
  </si>
  <si>
    <t>v_Ox51OBhM5Ak</t>
  </si>
  <si>
    <t>A girl in a yellow shirt is eating an ice cream cone.</t>
  </si>
  <si>
    <t>A boy in a striped shirt is sitting across from her eating an ice cream cone.</t>
  </si>
  <si>
    <t>A man next to him looks back at her.</t>
  </si>
  <si>
    <t>v_rHMMgJBUWh8</t>
  </si>
  <si>
    <t>A guy spins a ball attached to a rope.</t>
  </si>
  <si>
    <t>The guy releases the ball and rope attachment to the area behind him.</t>
  </si>
  <si>
    <t>The guy spins the ball attached to a rope and falls to the ground.</t>
  </si>
  <si>
    <t>v_9A9wnSoXs48</t>
  </si>
  <si>
    <t>A man in white shirt and white lifevest is sitting in a single orange raft.</t>
  </si>
  <si>
    <t>The man in a raft is going against the water waves, he paddles and the raft is turning in circle.</t>
  </si>
  <si>
    <t>v_ZpwXqrCxcGg</t>
  </si>
  <si>
    <t>An empty room is shown with yellow tile.</t>
  </si>
  <si>
    <t>A man in a white shirt is painting a wall.</t>
  </si>
  <si>
    <t>He turns around and looks at the camera.</t>
  </si>
  <si>
    <t>v_-9B2XtqICFw</t>
  </si>
  <si>
    <t>We see a series of title screens.</t>
  </si>
  <si>
    <t>We then see a badminton match.</t>
  </si>
  <si>
    <t>We see a illustration of badminton.</t>
  </si>
  <si>
    <t>We then see a lady and a man playing indoors.</t>
  </si>
  <si>
    <t>We see animations as the man hits the ball.</t>
  </si>
  <si>
    <t>We see a illustration of the man.</t>
  </si>
  <si>
    <t>A man is talking in a green room.</t>
  </si>
  <si>
    <t>v_zGDecqEw9AU</t>
  </si>
  <si>
    <t>Two people are seen playing a fooseball table and cheering with one another.</t>
  </si>
  <si>
    <t>The people continue playing and pausing to cheer ending with a handshake.</t>
  </si>
  <si>
    <t>v_w4CiGbHLTBg</t>
  </si>
  <si>
    <t>A green paint brush holder is shown.</t>
  </si>
  <si>
    <t>The brush of the paint brush is being shown on a person's finger.</t>
  </si>
  <si>
    <t>They are painting with the brush.</t>
  </si>
  <si>
    <t>They are dropping thinner into the paint with a dropper.</t>
  </si>
  <si>
    <t>There is a model airplane sitting on the table.</t>
  </si>
  <si>
    <t>The airplane is being painted a gold color.</t>
  </si>
  <si>
    <t>A green paint brush is being shown and turned around.</t>
  </si>
  <si>
    <t>v_73zt29iKyL4</t>
  </si>
  <si>
    <t>A person is seen walking along the snow and pulling a sled behind him.</t>
  </si>
  <si>
    <t>The person cuts a hole in the ice as well as bait and finally catches a fish.</t>
  </si>
  <si>
    <t>The man cuts the fish, cooks it, and is then seen eating it and walking away.</t>
  </si>
  <si>
    <t>v_y76trNI6U0Y</t>
  </si>
  <si>
    <t>A lady is washing a small dog in a sink.</t>
  </si>
  <si>
    <t>The lady puts shampoo on the dog.</t>
  </si>
  <si>
    <t>The lady picks the dog up again.</t>
  </si>
  <si>
    <t>The lady takes the dog over to a table and stands him up.</t>
  </si>
  <si>
    <t>She drapes the dog over a rolled up towel.</t>
  </si>
  <si>
    <t>She then picks up the dog.</t>
  </si>
  <si>
    <t>v_UJebyFqxDXI</t>
  </si>
  <si>
    <t>A man is seen speaking to the camera holding various objects and transitions into him cutting the edge of a lawn.</t>
  </si>
  <si>
    <t>He is then shown mowing lawns and trimming hedges while speaking to the camera as well as blowing leaves out of a yard.</t>
  </si>
  <si>
    <t>v_9pJZsi04xBk</t>
  </si>
  <si>
    <t>Two teams play a game of indoor field hockey.</t>
  </si>
  <si>
    <t>Teams take shots on a goal keeper that are blocked.</t>
  </si>
  <si>
    <t>The referee starts and stops the game.</t>
  </si>
  <si>
    <t>v_Lr0Vm9zBXKE</t>
  </si>
  <si>
    <t>snowy mountain range is shown and people are doing snowboarding.</t>
  </si>
  <si>
    <t>helicopter is in the air landing in a mountain leaving people in the top of the mountain.</t>
  </si>
  <si>
    <t>people are inside the helicopter talking between them.</t>
  </si>
  <si>
    <t>people start going down the slope snowboarding in the mountain.</t>
  </si>
  <si>
    <t>peolpe inside the helicopter are talking and puting the winter clothes and talking to the camera.</t>
  </si>
  <si>
    <t>v_iKnRiVXMMGg</t>
  </si>
  <si>
    <t>Scenes of women using various methods to curl their hair are shown.</t>
  </si>
  <si>
    <t>A computer graphics sequence shows one particular device's functionality.</t>
  </si>
  <si>
    <t>Several women display their curled hair.</t>
  </si>
  <si>
    <t>The curling product is once again demonstrated by several women.</t>
  </si>
  <si>
    <t>One woman's before and after pictures are shown.</t>
  </si>
  <si>
    <t>v_yGO1YnMQNRI</t>
  </si>
  <si>
    <t>A man in a green shirt throws a disc onto a field.</t>
  </si>
  <si>
    <t>A man in a blue shirt throws a disc onto the field.</t>
  </si>
  <si>
    <t>A man in a purple shirt throws a disc onto the field.</t>
  </si>
  <si>
    <t>v_8DIfyvX7H8Y</t>
  </si>
  <si>
    <t>A man works on a kite.</t>
  </si>
  <si>
    <t>Another man holding a baby holds up the kite's spool.</t>
  </si>
  <si>
    <t>A third man works on a similar kite while the second man holds a spool.</t>
  </si>
  <si>
    <t>The men fly the kites from a rooftop.</t>
  </si>
  <si>
    <t>The scene changes to a nighttime view of the sky with some unidentified light.</t>
  </si>
  <si>
    <t>v_RsHk6sq_9IY</t>
  </si>
  <si>
    <t>An advertising screen appears momentarily as the video begins.</t>
  </si>
  <si>
    <t>A group of men are shown kicking a ball back and forth in a stadium.</t>
  </si>
  <si>
    <t>The men run after the ball, attempting to capture it from the opposing team.</t>
  </si>
  <si>
    <t>A yellow circle is shown around a particular player.</t>
  </si>
  <si>
    <t>v_YJ4ynq5Adg0</t>
  </si>
  <si>
    <t>A group of kids are standing around wearing lifejackets as the camera pans around a lake.</t>
  </si>
  <si>
    <t>A man is seen sitting in a boat and the camera continues panning around the area.</t>
  </si>
  <si>
    <t>The kids wander into the boats and beginning paddling down the river.</t>
  </si>
  <si>
    <t>The water becomes more furious and the kids splash the camera man playfully.</t>
  </si>
  <si>
    <t>The continue riding down the treacherous waves as the camera watches them from afar.</t>
  </si>
  <si>
    <t>v_Te1d8H4VWYw</t>
  </si>
  <si>
    <t>A small group of people are seen swimming around a pool grabbing a ball and throwing it back and fourth.</t>
  </si>
  <si>
    <t>The people continue playing with one another and throw the ball around.</t>
  </si>
  <si>
    <t>v_JgHubY5Vw3Y</t>
  </si>
  <si>
    <t>A man and woman are talking in a room.</t>
  </si>
  <si>
    <t>A person is riding a bike down the street.</t>
  </si>
  <si>
    <t>Someone falls over after riding a bike.</t>
  </si>
  <si>
    <t>The man and woman are talking in a room.</t>
  </si>
  <si>
    <t>A bike is leaning against a fence.</t>
  </si>
  <si>
    <t>A man puts a lock around the tire of his bike.</t>
  </si>
  <si>
    <t>v_HW9c7WFW6q8</t>
  </si>
  <si>
    <t>A shot of a sunset set is shown followed by peaking smoking and walking around a paint ball pit.</t>
  </si>
  <si>
    <t>The men speak to one another and lead into running around and playing paint ball.</t>
  </si>
  <si>
    <t>They pauses for a few moments to speak to one another and the camera captures the shooters from different angles.</t>
  </si>
  <si>
    <t>v_W01QffZYsxQ</t>
  </si>
  <si>
    <t>A small child is seen laying down on a rug while the camera records them.</t>
  </si>
  <si>
    <t>The child then covers their eyes with their hands and moves their head up and down.</t>
  </si>
  <si>
    <t>Finally they smile to the camera in the end.</t>
  </si>
  <si>
    <t>v_hYgheCsbtco</t>
  </si>
  <si>
    <t>A close up is seen of chords and numbers scrolling next to the top of a guitar.</t>
  </si>
  <si>
    <t>Instructions are being given for playing the instrument.</t>
  </si>
  <si>
    <t>The person's fingers move up and down on the chords as they are shown.</t>
  </si>
  <si>
    <t>v_k6pU9VaFsZ8</t>
  </si>
  <si>
    <t>man is wearing stils and is making high jumps above a trasher bin in a parking lot.</t>
  </si>
  <si>
    <t>man is doing high jumps inf ront of the las vegas sign in the street and above a stoned wall in the street.</t>
  </si>
  <si>
    <t>v_XQ0_P0LpCFM</t>
  </si>
  <si>
    <t>Two teams are shown on a field and the man is running playing lacrosse and runs directly into the other opponent.</t>
  </si>
  <si>
    <t>Another play starts and this time another person is ran into except it is more fragrant and the person lays on the ground hurt for quite some time.</t>
  </si>
  <si>
    <t>After consulting with the referee and seeking help,the male finally gets up and the rest of the game continues.</t>
  </si>
  <si>
    <t>v_m_ST2LDe5lA</t>
  </si>
  <si>
    <t>Two people wearing scuba gear are underwater.</t>
  </si>
  <si>
    <t>They look at each other, remove their mouth pieces, then kiss.</t>
  </si>
  <si>
    <t>The man places his mouth piece back in.</t>
  </si>
  <si>
    <t>v_R3YoG3Hi4iI</t>
  </si>
  <si>
    <t>A person jumps off a boat into the water.</t>
  </si>
  <si>
    <t>A boy is long boarding down a street.</t>
  </si>
  <si>
    <t>They stop and sit on a park bench.</t>
  </si>
  <si>
    <t>A person is riding an escalator up.</t>
  </si>
  <si>
    <t>v_eZdao9O8jrw</t>
  </si>
  <si>
    <t>She shows a bottle in her hand.</t>
  </si>
  <si>
    <t>She pours some of the lotion onto her hands and rubs it on her face.</t>
  </si>
  <si>
    <t>She uses a towel to dry her face.</t>
  </si>
  <si>
    <t>v_FjfWqx-NL_w</t>
  </si>
  <si>
    <t>A little boy is in an outdoor parking lot.</t>
  </si>
  <si>
    <t>He is trying to roll around on a pair of inline skates.</t>
  </si>
  <si>
    <t>He tries to balance on a small piece of wood.</t>
  </si>
  <si>
    <t>v_gusezUdYfNA</t>
  </si>
  <si>
    <t>A man is seen speaking to the camera while holding a toilet paper roll and begins blowing smoke into the roll.</t>
  </si>
  <si>
    <t>The man continues to take several drags off a pipe and blow it out into the toilet paper roll.</t>
  </si>
  <si>
    <t>v__3lgJ6yp7o8</t>
  </si>
  <si>
    <t>A person is seen sitting in a kayak and moving himself down a rough river.</t>
  </si>
  <si>
    <t>The person continues riding down the river while another people watches on the side.</t>
  </si>
  <si>
    <t>v_XSu5dteR2Ko</t>
  </si>
  <si>
    <t>A man in a black shirt is playing a harmonica.</t>
  </si>
  <si>
    <t>Another man sits on a porch of a house.</t>
  </si>
  <si>
    <t>A woman in a white scarf turns a lantern off.</t>
  </si>
  <si>
    <t>v_-fLJHBqizNM</t>
  </si>
  <si>
    <t>A man is shown on parallel bars doing a routine on them.</t>
  </si>
  <si>
    <t>He is very focused and flipping and rocking back and forth.</t>
  </si>
  <si>
    <t>The athlete then dismounts the bars and lands on his feet.</t>
  </si>
  <si>
    <t>Various shots of the same routine are shown with pauses in between and notes as to proper technique are shown.</t>
  </si>
  <si>
    <t>v_yJN4jnk_S1U</t>
  </si>
  <si>
    <t>A woman is seen walking onto a stage performing a belly dancing routine in front of an audience.</t>
  </si>
  <si>
    <t>The woman continues dancing around the stage and ends with her posing.</t>
  </si>
  <si>
    <t>v_CIQ-mnURg9E</t>
  </si>
  <si>
    <t>woman is standing in front of a screenboard.</t>
  </si>
  <si>
    <t>man is cooking chopping carrots and sautee the vegetables in a fying pan and serving it in bowls abd out the dressing and cheese while pople behind him are watching him cook.</t>
  </si>
  <si>
    <t>v_rRoRvt4p2LU</t>
  </si>
  <si>
    <t>A small group of people are seen riding down a rough river past others while many watch on the side.</t>
  </si>
  <si>
    <t>The group continues to paddle along and meeting up with other groups at the bottom.</t>
  </si>
  <si>
    <t>v_xbWSMxwcP_8</t>
  </si>
  <si>
    <t>A young girl is seen sitting on a couch next to an adult looking down at their feet.</t>
  </si>
  <si>
    <t>The girl plays with a toy iron and moves the item up and down on a shirt.</t>
  </si>
  <si>
    <t>v_F03y7m3Nwuw</t>
  </si>
  <si>
    <t>A German man is throwing a discus in competition.</t>
  </si>
  <si>
    <t>He drops the discus and then walks away.</t>
  </si>
  <si>
    <t>A replay is shown and he looks sad.</t>
  </si>
  <si>
    <t>v_YdfWewUrcTw</t>
  </si>
  <si>
    <t>We see a man talking to two other men outside a warehouse.</t>
  </si>
  <si>
    <t>Inside the warehouse we see a box the men ride their skateboards over.</t>
  </si>
  <si>
    <t>The man falls off his skateboard repeatedly.</t>
  </si>
  <si>
    <t>He flips the skateboard, and we see it in slow motion.</t>
  </si>
  <si>
    <t>The man gets a hat, and we see the end screen.</t>
  </si>
  <si>
    <t>A man jumps on a pile of boxes and we see the end screen again.</t>
  </si>
  <si>
    <t>v_gYBIX_tGaXo</t>
  </si>
  <si>
    <t>Betty Heidler competes in the Olimpic games in the women's hammer category.</t>
  </si>
  <si>
    <t>Betty Haidler seems really focused and determined to go home with a prize.</t>
  </si>
  <si>
    <t>Betty Heidler starts spinning and then with all the momentum tossed the hammer really far away.</t>
  </si>
  <si>
    <t>Betty Heidler classified to the next round as the toss was successfull.</t>
  </si>
  <si>
    <t>Someone interviews Betty Heidler and she's really happy about qualifying to the next rounds of the game.</t>
  </si>
  <si>
    <t>v_o8wdvkauJQQ</t>
  </si>
  <si>
    <t>People workout on a fitness machine pulling a strings on a rod and going back and forth.</t>
  </si>
  <si>
    <t>A man folds a fitness machine in a gym.</t>
  </si>
  <si>
    <t>Then, a man make workouts in a fitness machine.</t>
  </si>
  <si>
    <t>v_IPehEfMBLM0</t>
  </si>
  <si>
    <t>A woman in blue shirt is chopping the wood, when she chopped the wood in half, she put them aside then she take another log and chopped it in half.</t>
  </si>
  <si>
    <t>The woman try to chop the wood in half but it won't get chopped in half, then it fell on ground and she put it back on the chopping board, and she continue to chop the wood, after several attempts she finally chopped the wood in half.</t>
  </si>
  <si>
    <t>v_uy9Z2i8AmyY</t>
  </si>
  <si>
    <t>Various picnic tables are shown on a field followed by a man putting on gear and others running through the forest.</t>
  </si>
  <si>
    <t>Several people are seen playing a paintball match with one another and continuously moving around the forest and holding up a gun.</t>
  </si>
  <si>
    <t>The person then runs through an area holding his gun up and shooting when a person arrives.</t>
  </si>
  <si>
    <t>v_YufXlj-WpEw</t>
  </si>
  <si>
    <t>The video leads into several shots of people running down a long track and jumping into a sand pit.</t>
  </si>
  <si>
    <t>More women are shown running down the track and landing into the sand pit as others watch.</t>
  </si>
  <si>
    <t>v_xmvwhxB1q30</t>
  </si>
  <si>
    <t>A man and two children paddle down a river.</t>
  </si>
  <si>
    <t>Two canoes are tied together.</t>
  </si>
  <si>
    <t>The water gets choppier as they go on.</t>
  </si>
  <si>
    <t>The river is lined with many trees.</t>
  </si>
  <si>
    <t>v_iC1C5wfb0iU</t>
  </si>
  <si>
    <t>A group of men play foosball outdoors.</t>
  </si>
  <si>
    <t>The men on the right win and shake hands and hung.</t>
  </si>
  <si>
    <t>One man high fives a child held up by a lady behind them.</t>
  </si>
  <si>
    <t>v_ihMn28mft2s</t>
  </si>
  <si>
    <t>A man sporting a beard and mustache and wearing a white shirt is giving a tutorial on volleyball safety.</t>
  </si>
  <si>
    <t>He then wears a black sweatshirt and demonstrates how to do stretching exercises.</t>
  </si>
  <si>
    <t>He continues to explain what gear to wear while playing and warming up for volleyball.</t>
  </si>
  <si>
    <t>There are some athletes playing volleyball as he talks.</t>
  </si>
  <si>
    <t>There is a game of volleyball shown where players are in an indoor gym.</t>
  </si>
  <si>
    <t>v_Sk1RSHPavBU</t>
  </si>
  <si>
    <t>We see men playing soccer in the sand.</t>
  </si>
  <si>
    <t>The ball enters and everyone runs towards the ball.</t>
  </si>
  <si>
    <t>A man on the right kicks the ball into the goal.</t>
  </si>
  <si>
    <t>The men in red all high five.</t>
  </si>
  <si>
    <t>v_zM1-aiWdPvY</t>
  </si>
  <si>
    <t>A woman is seen speaking to the camera while standing next to a horse and holding a brush.</t>
  </si>
  <si>
    <t>She begins brushing all along the horse while still speaking to the camera.</t>
  </si>
  <si>
    <t>She pauses for a moment to end while speaking to the camera.</t>
  </si>
  <si>
    <t>v_8WJWtfmEipI</t>
  </si>
  <si>
    <t>A car is stopped at a red light and there's a view of a small town that has some snow on the ground.</t>
  </si>
  <si>
    <t>The light turns green and the car drives down the street and there's no people walking on the sidewalk and just one truck parked.</t>
  </si>
  <si>
    <t>On the right side there's someone shoveling ice from the road and the car passes him.</t>
  </si>
  <si>
    <t>v_uxsZFuXKs3A</t>
  </si>
  <si>
    <t>A man is outdoors standing on a 4 step tool and swipes his hedge cutter to the right.</t>
  </si>
  <si>
    <t>The man then lifts the cutters up and begins cutting more towards his left side.</t>
  </si>
  <si>
    <t>The man stops cutting and begins to step down from the ladder.</t>
  </si>
  <si>
    <t>v_fvUckFYBQks</t>
  </si>
  <si>
    <t>A woman starts braiding her hair.</t>
  </si>
  <si>
    <t>Directions come up on the side of the screen.</t>
  </si>
  <si>
    <t>The woman turns to the side to show her braid.</t>
  </si>
  <si>
    <t>v_T3ngvDyxYiE</t>
  </si>
  <si>
    <t>Two teams are on either side of a field.</t>
  </si>
  <si>
    <t>They are holding a rope, getting ready to pull.</t>
  </si>
  <si>
    <t>The two teams begin pulling, trying to win the competition as a crowd watches.</t>
  </si>
  <si>
    <t>The yellow group begin to be pulled forward against their will.</t>
  </si>
  <si>
    <t>v_EM0N4dzewIg</t>
  </si>
  <si>
    <t>The front of a building called Giant is seen.</t>
  </si>
  <si>
    <t>Technicians are shown inside, working on bicycles.</t>
  </si>
  <si>
    <t>They work in teams, trying to build and repair.</t>
  </si>
  <si>
    <t>v_trV2ycq9rkU</t>
  </si>
  <si>
    <t>Two men are shown on the side of a building roof.</t>
  </si>
  <si>
    <t>One turns to the side, using a piece of equipment.</t>
  </si>
  <si>
    <t>They appear to be building a roof.</t>
  </si>
  <si>
    <t>v_2bnO6YWXCiU</t>
  </si>
  <si>
    <t>A man is spreading mulch around plants.</t>
  </si>
  <si>
    <t>A man is sitting at a table reading a newspaper.</t>
  </si>
  <si>
    <t>A well manicured yard is shown.</t>
  </si>
  <si>
    <t>v_8LB2tdMOZ6g</t>
  </si>
  <si>
    <t>a football game is showing and a man in the news is talking about a voleyball game.</t>
  </si>
  <si>
    <t>the set is shown with the voleyball game and some women in bikini playing white the spectators are on the grades clapping.</t>
  </si>
  <si>
    <t>back to the studio are three commentators talking.</t>
  </si>
  <si>
    <t>v_-rKS00dzFxQ</t>
  </si>
  <si>
    <t>A man and a woman stand by a table speaking to the camera.</t>
  </si>
  <si>
    <t>A recipe of mashed potatoes sits on the table.</t>
  </si>
  <si>
    <t>The man peels and cuts potatoes before throwing them into a yellow pot.</t>
  </si>
  <si>
    <t>The man throws in three handfuls of salt into the yellow pot.</t>
  </si>
  <si>
    <t>The man cuts up some garlic.</t>
  </si>
  <si>
    <t>Into the pot, the man throws the garlic along with two leaves.</t>
  </si>
  <si>
    <t>The woman joins the man at the table and she cuts butter in half.</t>
  </si>
  <si>
    <t>The woman throws the butter into a saucepan.</t>
  </si>
  <si>
    <t>The man speaks to her briefly and the woman proceeds to pour some milk into the saucepan.</t>
  </si>
  <si>
    <t>The man places the yellow pot and the saucepan on the stove.</t>
  </si>
  <si>
    <t>The man grabs the pot's lid and covers the pot.</t>
  </si>
  <si>
    <t>Back at the table, the man removes the lid from the pot and removes the leaves.</t>
  </si>
  <si>
    <t>The man mashes the potatoes.</t>
  </si>
  <si>
    <t>The man throws in a pinch of salt onto the potatoes.</t>
  </si>
  <si>
    <t>The man resumes mashing the potatoes.</t>
  </si>
  <si>
    <t>The man pours in the milk from the saucepan into the pot.</t>
  </si>
  <si>
    <t>The man mashes the potatoes some more.</t>
  </si>
  <si>
    <t>The man grabs some pepper and throws it onto the potatoes.</t>
  </si>
  <si>
    <t>The man adds some more milk.</t>
  </si>
  <si>
    <t>The man returns to mashing the potatoes and stirring them as they have thoroughly become soft.</t>
  </si>
  <si>
    <t>The man pauses for a second to throw in some water and resumes to stirring the potatoes.</t>
  </si>
  <si>
    <t>The finished mashed potatoes dish is left on a counter.</t>
  </si>
  <si>
    <t>v_45v95EtrJX0</t>
  </si>
  <si>
    <t>A close up of a board with shown with several pucks sitting around the side.</t>
  </si>
  <si>
    <t>Suddenly another puck is pushed down and knocked into others while people watch.</t>
  </si>
  <si>
    <t>v_iPc-u9aU_SQ</t>
  </si>
  <si>
    <t>Two men are crouched beside a car, and a third stands.</t>
  </si>
  <si>
    <t>They remove the tire while another man takes pictures.</t>
  </si>
  <si>
    <t>The two men change the tire, putting on a spare.</t>
  </si>
  <si>
    <t>v_RmwaWeIPX70</t>
  </si>
  <si>
    <t>A woman carry a heavy ball and stands on a circle.</t>
  </si>
  <si>
    <t>Then, the woman spins the weight.</t>
  </si>
  <si>
    <t>Then, the woman throw the weight.</t>
  </si>
  <si>
    <t>v_hog7gGdk4i4</t>
  </si>
  <si>
    <t>the kids are on the swing while one kid stand and push a little dog on the swing.</t>
  </si>
  <si>
    <t>three bikers are riding there bike in the parking lot passing the swing area.</t>
  </si>
  <si>
    <t>A women then jogs on the sidewalk passing the swing area as well.</t>
  </si>
  <si>
    <t>v_WL4iqWa_1Z0</t>
  </si>
  <si>
    <t>Two young males are sitting at a desk behind two microphones and two computers.</t>
  </si>
  <si>
    <t>One boy leaves and the other guys stays to gather his belongings.</t>
  </si>
  <si>
    <t>As he is packing up,a young woman walks in and begins shutting off the equipment and cleaning up around the radio station.</t>
  </si>
  <si>
    <t>Once everything is packed up,the boy leaves and begins blowing kisses to the camera.</t>
  </si>
  <si>
    <t>v_jzl0Ar3H5f8</t>
  </si>
  <si>
    <t>A man dressed in black walks through a long hall in a palace.</t>
  </si>
  <si>
    <t>Two men in dressed in white practice stretching and prepare for a fencing match while a coach dressed in black looks on with a butler in the rear stands by.</t>
  </si>
  <si>
    <t>The two men dressed in white put on their fencing masks and begin a fencing match.</t>
  </si>
  <si>
    <t>The coach dressed in black begins critiquing the two fencers and holds the tips of the swords in his hand.</t>
  </si>
  <si>
    <t>The coach turns and walks to the butler and begins conversing.</t>
  </si>
  <si>
    <t>v_Oj_PLXsWxL4</t>
  </si>
  <si>
    <t>A weightlifter stands on a wooden platform in a gym room and lifts heavily weighted bar bells above his head, several times while surrounded by onlookers.</t>
  </si>
  <si>
    <t>A weightlifter lifts over three bar bells above his head squatting under the weight as other gym attendees look on as he hoists the weight above his head and then allows the bell to fall to the floor.</t>
  </si>
  <si>
    <t>The man performs several more lifts of the bell bending at the knees first and then hoisting the bell to the shoulders before throwing the weight on the floor.</t>
  </si>
  <si>
    <t>The man shakes hands and hugs the onlookers when through with the demonstration.</t>
  </si>
  <si>
    <t>v_fM4pJeHb8hQ</t>
  </si>
  <si>
    <t>A woman is sitting down in a chair with a woman standing behind her.</t>
  </si>
  <si>
    <t>The woman begins to brush the woman's hair.</t>
  </si>
  <si>
    <t>She starts to braid the hair.</t>
  </si>
  <si>
    <t>v_iM8ZD2PwKDg</t>
  </si>
  <si>
    <t>There is a group of ladies in a gym dressed in workout tops and tights.</t>
  </si>
  <si>
    <t>They are all participating in a structured aerobics class.</t>
  </si>
  <si>
    <t>They are coordinating their steps and synchronizing their moves as they step on and off of the platform.</t>
  </si>
  <si>
    <t>They are dancing as they exercise to music.</t>
  </si>
  <si>
    <t>After they're done, they stop and raise remove the platforms.</t>
  </si>
  <si>
    <t>v_L9cxYlPkUYs</t>
  </si>
  <si>
    <t>An d for About dot com starts with a man in white speaking to the camera in front of a white background.</t>
  </si>
  <si>
    <t>The video then shows a series of professionals working hard and then cuts to two women running on the beach.</t>
  </si>
  <si>
    <t>A shot of a cyclist is shown and then it cuts back to the same man in white speaking.</t>
  </si>
  <si>
    <t>A woman is shown running and the man continues speaking about fitness tips.</t>
  </si>
  <si>
    <t>v_ymwMEUuXygs</t>
  </si>
  <si>
    <t>A man with a blue shirt is outside walking up a stair case into a building.</t>
  </si>
  <si>
    <t>As he walks in ,he walks down a row of several bicycles and sets up a camera.</t>
  </si>
  <si>
    <t>The man then enters another room with three other males and they begin to unbox and assemble several bicycles together.</t>
  </si>
  <si>
    <t>Once they are secured,the men get on them,testing them out and making the final touches on them.</t>
  </si>
  <si>
    <t>The bikes are finally finished and the man lifts it up to the camera and begins riding it down the sidewalk.</t>
  </si>
  <si>
    <t>v_EOvotFy4YX0</t>
  </si>
  <si>
    <t>A man is seen riding a camel that has a cart attached to the back with two passengers.</t>
  </si>
  <si>
    <t>The people in the back have a conversation while riding through several people watching on the sidelines.</t>
  </si>
  <si>
    <t>The man riding the camel smiles and waves to the camera.</t>
  </si>
  <si>
    <t>v_wZEf-Bs__sU</t>
  </si>
  <si>
    <t>A group of athletes are on a track outside.</t>
  </si>
  <si>
    <t>A man walks down the path, then runs.</t>
  </si>
  <si>
    <t>He takes a giant leap into a sand pit.</t>
  </si>
  <si>
    <t>v_pI-rY6fLM1Q</t>
  </si>
  <si>
    <t>A group of people ice fish on an ice covered lake on an overcast day.</t>
  </si>
  <si>
    <t>A man walks on a snow covered lake and pulls a fish out of a fishing hole.</t>
  </si>
  <si>
    <t>A woman and a man then run on the ice and pull another fish out of another hole in the lake.</t>
  </si>
  <si>
    <t>A third fish is pulled out of another hole in the ice and then thrown back into the hole.</t>
  </si>
  <si>
    <t>v_BN3ejP3RbkQ</t>
  </si>
  <si>
    <t>A man is sitting on a street.</t>
  </si>
  <si>
    <t>He is playing an instrument next to an open instrument case.</t>
  </si>
  <si>
    <t>People are passing on the sidewalk in front of him.</t>
  </si>
  <si>
    <t>v_D4LoDBsIFjw</t>
  </si>
  <si>
    <t>A boy watches as a semi truck drives through the desert.</t>
  </si>
  <si>
    <t>A man puts on his helmet and pushes off into the river on a kayak.</t>
  </si>
  <si>
    <t>A man paddles on rapids and down a river on a kayak.</t>
  </si>
  <si>
    <t>A man fishes from a beach on the shore of a river.</t>
  </si>
  <si>
    <t>A group prepares a picnic on the shore.</t>
  </si>
  <si>
    <t>A man flips over on his kayak from being turned over in the water.</t>
  </si>
  <si>
    <t>v_uHPrH22rPgU</t>
  </si>
  <si>
    <t>A guy is throwing darts across the room.</t>
  </si>
  <si>
    <t>The speed of the clip is quickened.</t>
  </si>
  <si>
    <t>v_7LkHBg_eAfU</t>
  </si>
  <si>
    <t>A man and woman are standing in a dance position.</t>
  </si>
  <si>
    <t>They then shift, showing different steps slowly.</t>
  </si>
  <si>
    <t>They continue dancing, showing how to perform different moves.</t>
  </si>
  <si>
    <t>v_p2RMXdo5avw</t>
  </si>
  <si>
    <t>A shuffleboard is sitting against a wall.</t>
  </si>
  <si>
    <t>Someone throws a ball down it.</t>
  </si>
  <si>
    <t>A green ball gets through down after it.</t>
  </si>
  <si>
    <t>v_dh4bxvmrCNs</t>
  </si>
  <si>
    <t>The girl is shoot the arrow.</t>
  </si>
  <si>
    <t>Five young people are shooting arrows.</t>
  </si>
  <si>
    <t>The young people removed the arrows from the target boards.</t>
  </si>
  <si>
    <t>v_tYZJ4O5Hsz4</t>
  </si>
  <si>
    <t>A little girl plays softly the drums holding two sticks while she is singing on a microphone.</t>
  </si>
  <si>
    <t>The, the girl plays more fast the drums.</t>
  </si>
  <si>
    <t>v_WBRQ4vHBFMY</t>
  </si>
  <si>
    <t>A woman is laying down in a chair as a man with gloves works.</t>
  </si>
  <si>
    <t>He places clamps on various parts of her nose.</t>
  </si>
  <si>
    <t>He then inserts a rod before creating a piercing.</t>
  </si>
  <si>
    <t>v_xZOzVaTezm8</t>
  </si>
  <si>
    <t>A person in a green jacket walks around on the snow.</t>
  </si>
  <si>
    <t>A young girl lays in a tube on the snow.</t>
  </si>
  <si>
    <t>She is then pushed down the ramp.</t>
  </si>
  <si>
    <t>Eventually she comes to a stop.</t>
  </si>
  <si>
    <t>v_VCg6_fuipp8</t>
  </si>
  <si>
    <t>An athletic man is seen standing ready in front of a large crowd and then runs down the track and jumps over a beam.</t>
  </si>
  <si>
    <t>The man celebrates with other people and his same jump is shown several times in slow motion.</t>
  </si>
  <si>
    <t>v_mRe2xY_amWw</t>
  </si>
  <si>
    <t>The video leads into various text shown across the screen followed by cheerleaders performing a routine.</t>
  </si>
  <si>
    <t>Several shots of cheer leading performers are shown completing impressive stunts and moving across a stage while others watch.</t>
  </si>
  <si>
    <t>v_VEDRmPt_-Ms</t>
  </si>
  <si>
    <t>women are in a gymnastics competition doing high jumps in a roofed gym with a lot of people gathered around them watching them.</t>
  </si>
  <si>
    <t>participants are on the podium receiveng thei medals.</t>
  </si>
  <si>
    <t>v_ggGw9EGSMs8</t>
  </si>
  <si>
    <t>A man paints a fence as the man next to him waters the fence.</t>
  </si>
  <si>
    <t>Both of them go over the fence a second time.</t>
  </si>
  <si>
    <t>They do it a third time.</t>
  </si>
  <si>
    <t>And they do it a fourth time.</t>
  </si>
  <si>
    <t>They do it a fifth time.</t>
  </si>
  <si>
    <t>v_mi_zRluISrE</t>
  </si>
  <si>
    <t>A construction worker named Dave begins to show you how to grout.</t>
  </si>
  <si>
    <t>He starts on the wall and begins to explain what he is doing and why he is doing.</t>
  </si>
  <si>
    <t>Once the grout begins to dry he informs you that you should wipe it down with a sponge various times.</t>
  </si>
  <si>
    <t>With a finer sponge you go over it again and get it out while wet so it doesn't ruin the tile and all the work you have done.</t>
  </si>
  <si>
    <t>v_R4aCl2dLS1w</t>
  </si>
  <si>
    <t>A man is seen wearing boxing gloves and hitting a bag in the middle of a large room.</t>
  </si>
  <si>
    <t>The man continues to hit the bag while several others are seen hitting bags in the background.</t>
  </si>
  <si>
    <t>He kicks and punches the bag and ends by walking towards the camera.</t>
  </si>
  <si>
    <t>v_O2vrVwjqktg</t>
  </si>
  <si>
    <t>A volleyball is spinning on a ledge.</t>
  </si>
  <si>
    <t>We then see a game being played of table tennis, the players showing the mechanics of the paddle, ball, and table as they play.</t>
  </si>
  <si>
    <t>v_byO53jHoAwI</t>
  </si>
  <si>
    <t>A man standing in a yard and playing bagpipes.</t>
  </si>
  <si>
    <t>The man is taking deep breaths and moving the keys.</t>
  </si>
  <si>
    <t>v_vrMWYB0UuGM</t>
  </si>
  <si>
    <t>Two individuals play squash together in an indoor court.</t>
  </si>
  <si>
    <t>One of the individuals recovers the ball and serves.</t>
  </si>
  <si>
    <t>The same individual recovers the ball and serves again.</t>
  </si>
  <si>
    <t>v_cB5ozEChN5Q</t>
  </si>
  <si>
    <t>People ride a line up a hill in a tubing resort.</t>
  </si>
  <si>
    <t>A person rides a tube down a hill.</t>
  </si>
  <si>
    <t>We watch the people walking up the hill holding their tubes and watch people go down the hill.</t>
  </si>
  <si>
    <t>We watch as the camera man goes down the hill.</t>
  </si>
  <si>
    <t>v_u3nOmvgcs84</t>
  </si>
  <si>
    <t>A girl stands by a counter with various food items placed out on the counter.</t>
  </si>
  <si>
    <t>She holds up the ingredients and instructs what you'll need to make a sandwich.</t>
  </si>
  <si>
    <t>She begins chopping the vegetables and putting the dressing on the bread.</t>
  </si>
  <si>
    <t>She spreads around the dressing and puts the other ingredients on the sandwich to finish.</t>
  </si>
  <si>
    <t>v_Irmh66trRY4</t>
  </si>
  <si>
    <t>We see the title go across the screen.</t>
  </si>
  <si>
    <t>We see baking supplies and ingredients.</t>
  </si>
  <si>
    <t>Someone stirs cookie dough and puts cookies on a sheet.</t>
  </si>
  <si>
    <t>The cookies go into the oven and bake for 9 minutes, and a new batch is put in the oven.</t>
  </si>
  <si>
    <t>The warm cookies are put on a cooling rack.</t>
  </si>
  <si>
    <t>The person washes, and drys the silicone baking sheet.</t>
  </si>
  <si>
    <t>They roll the baking sheet up and show us the finished cooling cookies.</t>
  </si>
  <si>
    <t>v_MfSdXqOC-f0</t>
  </si>
  <si>
    <t>A man is standing on an open field outdoors.</t>
  </si>
  <si>
    <t>He uses an archery set to pull back and arrow at a flying disc.</t>
  </si>
  <si>
    <t>He hits the discs with the arrow every time.</t>
  </si>
  <si>
    <t>v_Ft3SzVtUsKA</t>
  </si>
  <si>
    <t>A camera is shown sitting on the side of a pool capturing bubble underneath.</t>
  </si>
  <si>
    <t>More bubbles are shown followed by a man jumping in.</t>
  </si>
  <si>
    <t>The man jumps all the way into the pool and the camera captures his movements.</t>
  </si>
  <si>
    <t>v_QaNQrUpmmgo</t>
  </si>
  <si>
    <t>A woman in an orange shirt is sitting on an exercise machine.</t>
  </si>
  <si>
    <t>People are walking past a window behind her.</t>
  </si>
  <si>
    <t>v__zAfwnDt4VE</t>
  </si>
  <si>
    <t>A man is kneeling down in the dirt over a a silver bowl that is full of soap.</t>
  </si>
  <si>
    <t>In the large bowl,he begins to move a white shirt as if he is washing it.</t>
  </si>
  <si>
    <t>Finally,he stops and takes a hose to finish rinsing the water.</t>
  </si>
  <si>
    <t>v_XoCvj2IbVGE</t>
  </si>
  <si>
    <t>A person;s hand is seen turning a knob followed by their foot stepping on a button and a man holding up an iron.</t>
  </si>
  <si>
    <t>He adjusts more settings While testing the iron and begins ironing a shirt on a table.</t>
  </si>
  <si>
    <t>The men continues to flip around the shirt and iron and en by showing off the ironing machine to the camera.</t>
  </si>
  <si>
    <t>v_ItFq_6cIByw</t>
  </si>
  <si>
    <t>A man sits behind a drum set.</t>
  </si>
  <si>
    <t>The man starts playing the drum set.</t>
  </si>
  <si>
    <t>The man keeps playing the drums.</t>
  </si>
  <si>
    <t>v_980U7SiE0Nk</t>
  </si>
  <si>
    <t>Two girls are seen standing on a gymnasium floor in front of a large crowd.</t>
  </si>
  <si>
    <t>The girls then begin dancing around the area while twirling batons in their hands.</t>
  </si>
  <si>
    <t>They continue to spin around one another and end by holding a pose.</t>
  </si>
  <si>
    <t>v_N-92_rikI8U</t>
  </si>
  <si>
    <t>There's a man skiing down a very steep mountain slope.</t>
  </si>
  <si>
    <t>The man is going down very fast and steadily while fully dressed in ski gear and goggles.</t>
  </si>
  <si>
    <t>He then falls down to the ground as he reaches the bottom of the slope.</t>
  </si>
  <si>
    <t>He gets right back up and dusts off the snow from his clothes.</t>
  </si>
  <si>
    <t>He talks to another person through a hands free device attached on his coat to let him know he's okay.</t>
  </si>
  <si>
    <t>v_mcS9LX_P4BA</t>
  </si>
  <si>
    <t>an image of a girl with her vlog asking people to subscribe.</t>
  </si>
  <si>
    <t>a girl wearing red hirt with her face is sitting on a living room and is reading tweets and talking about them.</t>
  </si>
  <si>
    <t>girl holds a small pumpkin and a knife and cut the pumpkin while talking.</t>
  </si>
  <si>
    <t>the pumkkin is slice in two and is shown the inside while the girl keps talking and reading tweets.</t>
  </si>
  <si>
    <t>v_8ltNqT5N-xs</t>
  </si>
  <si>
    <t>A woman is seen belly dancing on a large stage while people watch her on the side.</t>
  </si>
  <si>
    <t>She moves her hips all around while a band plays instruments behind her.</t>
  </si>
  <si>
    <t>The woman continues dancing and ends by holding a pose and flipping back her hair.</t>
  </si>
  <si>
    <t>v_k4a5XXRYKK4</t>
  </si>
  <si>
    <t>A game of lacrosse of being shown with a large group of people running around a field.</t>
  </si>
  <si>
    <t>Several people watch on the sidelines as the game continues and a ref steps in to make a call.</t>
  </si>
  <si>
    <t>v_q_DajTs5gIA</t>
  </si>
  <si>
    <t>A person holds and pet a hairless cat.</t>
  </si>
  <si>
    <t>The person cleans and cuts the nails of the front legs of the cat.</t>
  </si>
  <si>
    <t>v_Fi_ja3Urdtg</t>
  </si>
  <si>
    <t>A man is talking from behind a bar.</t>
  </si>
  <si>
    <t>He shows off several kinds of bottles and taps.</t>
  </si>
  <si>
    <t>He shows how to mix a drink which he serves to a woman.</t>
  </si>
  <si>
    <t>v_XFZ5_uNU7jE</t>
  </si>
  <si>
    <t>A person peels potatoes in a sink, suddenly a cat jumps to the bench to watch the woman.</t>
  </si>
  <si>
    <t>The cat touch the sink with his mouth and intend to pass to the other side of the sink but the woman prevents it.</t>
  </si>
  <si>
    <t>Then, the cat drinks water from the sink and cat continues watching the woman.</t>
  </si>
  <si>
    <t>After, the cat touch the potato peeler with a leg while the person continue peeling the potatoes.</t>
  </si>
  <si>
    <t>v_86S2O0fpX4g</t>
  </si>
  <si>
    <t>A woman is lying on equipment in a gym.</t>
  </si>
  <si>
    <t>She has her feet tied with chain to a machine.</t>
  </si>
  <si>
    <t>She holds her head as she pulls her feet back and forth.</t>
  </si>
  <si>
    <t>v_JrRtv8puAZI</t>
  </si>
  <si>
    <t>A guy holds a light cloth.</t>
  </si>
  <si>
    <t>A guy gets a white basin from beneath the sink and fills it with water in a sink.</t>
  </si>
  <si>
    <t>The guy puts down the light cloth and adds dish soap to the basin.</t>
  </si>
  <si>
    <t>The guy gets a rack from beneath the sink and places it on the counter top.</t>
  </si>
  <si>
    <t>The guy adds utensils and a dish to the white basin and washes them with a red rug.</t>
  </si>
  <si>
    <t>A boy watches from behind.</t>
  </si>
  <si>
    <t>The guy rinses the dishes and puts them in a rack.</t>
  </si>
  <si>
    <t>The guy dries the dish with the light cloth.</t>
  </si>
  <si>
    <t>v_vSpl69BWMKI</t>
  </si>
  <si>
    <t>A man in gray shirt and jeans with orange helmet is trimming the hedges, he is standing in a ladder to reach the top of the hedge and trim it, the man continue to trim the hedge.</t>
  </si>
  <si>
    <t>A man in white shirt and orange helmet is trimming the burned hedges.</t>
  </si>
  <si>
    <t>v_2u1gdf_53C0</t>
  </si>
  <si>
    <t>A person in a protective white suit and goggles sprays a surface with purple paint using a spray gun in a room with white walls and floors.</t>
  </si>
  <si>
    <t>The person then spins the surface around on a spinning table and paints the sides.</t>
  </si>
  <si>
    <t>The finishes matte product is shown, dried, in the plain white room where the painting happened.</t>
  </si>
  <si>
    <t>v_C8hdbmjUMRc</t>
  </si>
  <si>
    <t>man is standing in a room mixing cement on a bucket.</t>
  </si>
  <si>
    <t>the man grabs the mix and spread it in the floor and put white tiles.</t>
  </si>
  <si>
    <t>the man sweeps the floor and spread cement again to put the tiles in the remaining part of the room.</t>
  </si>
  <si>
    <t>v_uX-UwKfRvJY</t>
  </si>
  <si>
    <t>The video begins with four pictures of contracted human abdomens.</t>
  </si>
  <si>
    <t>There's a young girl dressed in a blue tank top and black tights demonstrating the proper way to do planks and crunches.</t>
  </si>
  <si>
    <t>She is laying on a blue Yoga mat as she does crunches.</t>
  </si>
  <si>
    <t>Then she lays on her stomach by raising herself up on her elbows to show how to do planks.</t>
  </si>
  <si>
    <t>v_P0N68OQDhNs</t>
  </si>
  <si>
    <t>An athlete in black shirt gives instructions for a practice drill while standing on a large sporting field.</t>
  </si>
  <si>
    <t>The man sets up for an exercise and squats up and down for practice.</t>
  </si>
  <si>
    <t>The man jumps multiple times and goes further each jump.</t>
  </si>
  <si>
    <t>The man bends down and touches the ground while twisting.</t>
  </si>
  <si>
    <t>The man gives more instructions on a practice run while giving hand gestures.</t>
  </si>
  <si>
    <t>The man sets up on the edge of a line and jumps with one foot, then repeats.</t>
  </si>
  <si>
    <t>The man gives a final set of instructions while breathing heavy.</t>
  </si>
  <si>
    <t>A set of text is seen with information.</t>
  </si>
  <si>
    <t>v_OdLcbH2H_zI</t>
  </si>
  <si>
    <t>An arrow graphic is seen and title text.</t>
  </si>
  <si>
    <t>A woman stands on a dark lit room holding an accordion and demonstrating how to play it.</t>
  </si>
  <si>
    <t>The woman begins to play a song pressing in the keys.</t>
  </si>
  <si>
    <t>The woman pauses to discuss then plays more of the song.</t>
  </si>
  <si>
    <t>The woman finishes and closes the accordion.</t>
  </si>
  <si>
    <t>v_Mgvj2B6MyjI</t>
  </si>
  <si>
    <t>A girl is nervous on the edge of a diviing board.</t>
  </si>
  <si>
    <t>She falls in after standing up and then squatting again.</t>
  </si>
  <si>
    <t>v_eWG5T3TC_cg</t>
  </si>
  <si>
    <t>A marching band walk in the street playing instruments while a woman on front holds a flag.</t>
  </si>
  <si>
    <t>A boy on front the band holds a rode and raise and spin around.</t>
  </si>
  <si>
    <t>Then, band arrives and pass a traffic light.</t>
  </si>
  <si>
    <t>v_k1WnO7UeBJ8</t>
  </si>
  <si>
    <t>Two people are shown walking around with a rug over their shoulders and walk inside a building.</t>
  </si>
  <si>
    <t>They open the rug then pull out measuring tape and hammer down the rug.</t>
  </si>
  <si>
    <t>They then put plaster all over the floor and present the finished product of the rug by shaking hands with the owners and smiling for pictures.</t>
  </si>
  <si>
    <t>v_AffS41W1Jgg</t>
  </si>
  <si>
    <t>A man is seen speaking to the camera and leads into him laying up wallpaper on the wall.</t>
  </si>
  <si>
    <t>He continues speaking to the camera while still spreading paper on the wall.</t>
  </si>
  <si>
    <t>v_iGOGz6M_zcE</t>
  </si>
  <si>
    <t>A woman is washing her face in a sink.</t>
  </si>
  <si>
    <t>She looks in a mirror in front of her.</t>
  </si>
  <si>
    <t>She continues wiping her face.</t>
  </si>
  <si>
    <t>v_LYrqEz_vttQ</t>
  </si>
  <si>
    <t>A dog is sitting on an orange couch.</t>
  </si>
  <si>
    <t>A dog is sitting in a bath tub getting a bath.</t>
  </si>
  <si>
    <t>A person is drying the dog with a towel.</t>
  </si>
  <si>
    <t>The dog is getting blow dried with a hair dryer.</t>
  </si>
  <si>
    <t>v_h61C_KfvG0Y</t>
  </si>
  <si>
    <t>The logo "Weldy" appears over a photo of welding tools.</t>
  </si>
  <si>
    <t>The words "energy 1600" and the Weldy website address appears.</t>
  </si>
  <si>
    <t>A man is working on a white rooftop with one of the Weldy tools.</t>
  </si>
  <si>
    <t>"energy 1600" and the website appears on screen again.</t>
  </si>
  <si>
    <t>v_PeMJjLrDjhQ</t>
  </si>
  <si>
    <t>A woman is seen speaking to the camera while turning on a faucet.</t>
  </si>
  <si>
    <t>She then pumps soap off and scrubs her hands.</t>
  </si>
  <si>
    <t>She runs her hands under the sink and ends by drying her hands and walking out to put hand sanitizor on.</t>
  </si>
  <si>
    <t>v_uOxKf-kNEyg</t>
  </si>
  <si>
    <t>A woman is using polish in a container to polish a black shoe.</t>
  </si>
  <si>
    <t>She talks to the camera as she works.</t>
  </si>
  <si>
    <t>Black polish is shown dripping onto her legs.</t>
  </si>
  <si>
    <t>v_JyjONoyBr4Q</t>
  </si>
  <si>
    <t>There is a lady dog trainer dressed in a blue hoodie playing with a black and white dog in a park.</t>
  </si>
  <si>
    <t>She is throwing a Frisbee to the dog and makes the dog fetch it for her.</t>
  </si>
  <si>
    <t>The dog runs every time she throws the Frisbee at a distance and fetches it for her.</t>
  </si>
  <si>
    <t>The doh jumps high up to grab the Frisbee off her hand.</t>
  </si>
  <si>
    <t>He dog even jumps over the lady when she is laying on the ground.</t>
  </si>
  <si>
    <t>He continues to run and fetch the Frisbee for the lady as she throws multiple Frisbee.</t>
  </si>
  <si>
    <t>The same lady is now wearing an orange shirt and is throwing the Frisbee to the dog.</t>
  </si>
  <si>
    <t>The dog continues to jump and catch the Frisbee in his mouth.</t>
  </si>
  <si>
    <t>v_qmOYKPkURiw</t>
  </si>
  <si>
    <t>A young boy is standing outside watching another person play their bag pipes.</t>
  </si>
  <si>
    <t>Several people walk by and a lady stops and throws money into the person's case.</t>
  </si>
  <si>
    <t>v_35DlDj_hzvg</t>
  </si>
  <si>
    <t>A man is seen bending forward and holding onto a set of weights while gripping tightly.</t>
  </si>
  <si>
    <t>The man then lifts the weight over his end and throws it down in the end.</t>
  </si>
  <si>
    <t>v_6-P9SRNbwac</t>
  </si>
  <si>
    <t>Two young friends are together on a sandy beach.</t>
  </si>
  <si>
    <t>First the girl on the right speaks, and then her friend in a purple t-shirt speaks next.</t>
  </si>
  <si>
    <t>She finishes by turning to her friend and they get up, grabbing hands, and exit the scene to the right.</t>
  </si>
  <si>
    <t>Next we see them again seated on the sand facing each other as they begin to build something in the sand.</t>
  </si>
  <si>
    <t>The focus is shifted to one girl, who speaks, and finishes by writing something in the sand.</t>
  </si>
  <si>
    <t>v_1Om21fCH1sI</t>
  </si>
  <si>
    <t>Various clips are shown of people riding around on bikes as well as sitting on bikes ready to race.</t>
  </si>
  <si>
    <t>Several clips are shown of people up close as well as them riding around on bikes.</t>
  </si>
  <si>
    <t>v_yiFKPKXevOU</t>
  </si>
  <si>
    <t>A man puts a wood upright on a tree stump.</t>
  </si>
  <si>
    <t>A guy is splitting wood into halves.</t>
  </si>
  <si>
    <t>A guy repeatedly tries to cut a wood.</t>
  </si>
  <si>
    <t>v_zqXJkZgKmSk</t>
  </si>
  <si>
    <t>A ball flies through he air on a baseball field.</t>
  </si>
  <si>
    <t>The person with the camera takes off running.</t>
  </si>
  <si>
    <t>The runner stops on the home base and turns around.</t>
  </si>
  <si>
    <t>We see the people at the back of the field.</t>
  </si>
  <si>
    <t>v_3pBldeB3uaE</t>
  </si>
  <si>
    <t>A large group of people are seen standing around a pool as well as people writing on paper and speaking to one another.</t>
  </si>
  <si>
    <t>More people are seen diving on a board and jumping off onto the side.</t>
  </si>
  <si>
    <t>Several people are seen watching on the side as the kids continue to dive.</t>
  </si>
  <si>
    <t>v_O_bDLIcx5k0</t>
  </si>
  <si>
    <t>A drawing of airplanes and machineries are being use, then pictures of men and a woman.</t>
  </si>
  <si>
    <t>A man in blue shirt is brushing a paint to an airplane model, then he paint a different color to make the plane looks like a camouflage.</t>
  </si>
  <si>
    <t>v_pOIJeK3YZr8</t>
  </si>
  <si>
    <t>A man is sitting next to several small trees.</t>
  </si>
  <si>
    <t>He pulls some leaves off of the trees.</t>
  </si>
  <si>
    <t>He takes scissors and cuts some leaves off the tree.</t>
  </si>
  <si>
    <t>v_LdAT5MEBkuQ</t>
  </si>
  <si>
    <t>A man water skiis at a river.</t>
  </si>
  <si>
    <t>A long haired man operates a boat and the boat drags a man water skiing across the water.</t>
  </si>
  <si>
    <t>A guy holding onto a rope attached to a boat water skiis.</t>
  </si>
  <si>
    <t>The man in the glasses appears again, speaking to the camera and points to a man water skiing on the river.</t>
  </si>
  <si>
    <t>The water skiier glides back and forth on the water of the river.</t>
  </si>
  <si>
    <t>The man in glasses talks about the water skiis.</t>
  </si>
  <si>
    <t>v_0ys4fnsu9Jc</t>
  </si>
  <si>
    <t>A small child is seen standing on a trampoline and throwing a ball off into the distance.</t>
  </si>
  <si>
    <t>More kids are seen picking up balls and throwing them to the other side.</t>
  </si>
  <si>
    <t>More kids are seen throwing balls and playing dodgeball with one another.</t>
  </si>
  <si>
    <t>v_VqZr2oZk4z4</t>
  </si>
  <si>
    <t>Various shots are shown of scuba divers moving along the water as well as people riding and riding boats.</t>
  </si>
  <si>
    <t>More clips are shown of people getting ready on land as well as swimming around the ocean.</t>
  </si>
  <si>
    <t>v_mU3ujj4Z7lE</t>
  </si>
  <si>
    <t>A small dog is seen standing in snow and a person pushing snow with a shovel.</t>
  </si>
  <si>
    <t>The dog follows the person shoveling while biting at the shovel and barking at the camera man.</t>
  </si>
  <si>
    <t>v_ESsUwNlkJoo</t>
  </si>
  <si>
    <t>The letters RPM appear on the screen.</t>
  </si>
  <si>
    <t>A room is filled with people riding exercise bikes.</t>
  </si>
  <si>
    <t>They go as fast as they can, advertising a fitness gym.</t>
  </si>
  <si>
    <t>v_krqxyYFHzBI</t>
  </si>
  <si>
    <t>People start fighting outside on the ground.</t>
  </si>
  <si>
    <t>They knock a man onto the ground.</t>
  </si>
  <si>
    <t>They lift him up in the air and slam him back on the ground.</t>
  </si>
  <si>
    <t>v_ivkkCEynzPs</t>
  </si>
  <si>
    <t>A man wears a welding helmet and holds a rod.</t>
  </si>
  <si>
    <t>Then, the man use the road to held a piece of metal on the floor.</t>
  </si>
  <si>
    <t>v_U-N92yQynQA</t>
  </si>
  <si>
    <t>There is a badminton ladies double match taking place in an indoor court.</t>
  </si>
  <si>
    <t>There are several spectators watching the match as the doubles partners hit the shuttlecock with their rackets.</t>
  </si>
  <si>
    <t>The crowd cheers on as the match goes on and the players hit with their rackets back and forth.</t>
  </si>
  <si>
    <t>v_GXEuuWhEMCY</t>
  </si>
  <si>
    <t>A man stands, screaming loudly as he lifts a barbell.</t>
  </si>
  <si>
    <t>He lifts a weight above his head.</t>
  </si>
  <si>
    <t>Another man is shown lifting a weight as a crowd watches.</t>
  </si>
  <si>
    <t>Several weight lifters continue lifting barbells.</t>
  </si>
  <si>
    <t>A man is shown lying down as he is injured.</t>
  </si>
  <si>
    <t>v_HJws_Cwu3qE</t>
  </si>
  <si>
    <t>Two men are seen standing around a room and begin hitting a ball while others watch.</t>
  </si>
  <si>
    <t>More men appear in the room and are seen chasing around a tennis ball and hitting it.</t>
  </si>
  <si>
    <t>v_A1U24_iC6ww</t>
  </si>
  <si>
    <t>Cement is being made in the cement mixer.</t>
  </si>
  <si>
    <t>Three Hispanic men are laying the foundation of the pool with a cement gun.</t>
  </si>
  <si>
    <t>A man that is dressed in white is doing the cement finish as the other men lay the cement with a gun.</t>
  </si>
  <si>
    <t>Once the cement is done all the men start to do finish.</t>
  </si>
  <si>
    <t>v_dgXPoqHrKRM</t>
  </si>
  <si>
    <t>Skiers walk and stand on skis at the bottom of the hill at of a ski resort.</t>
  </si>
  <si>
    <t>Kids ride on inflatable tubes down lanes on a ski slope.</t>
  </si>
  <si>
    <t>Snowboarders and skiers ride down ski runs while other groups sit on the ski lift.</t>
  </si>
  <si>
    <t>A group hangs onto a tow rope on inter tubes and throws snowballs.</t>
  </si>
  <si>
    <t>v_Zsaa3XXIAhk</t>
  </si>
  <si>
    <t>A man plays a song on an acoustic guitar in a studio.</t>
  </si>
  <si>
    <t>The man resets his hands and finishes the song.</t>
  </si>
  <si>
    <t>v_Nb87GFizCB8</t>
  </si>
  <si>
    <t>A woman walks through a snowy parking lot, looking for her car.</t>
  </si>
  <si>
    <t>She is seen using a mop in an attempt to wipe the snow off her car.</t>
  </si>
  <si>
    <t>Snow begins to fall as she continues cleaning.</t>
  </si>
  <si>
    <t>v_oXPgInpuHDA</t>
  </si>
  <si>
    <t>A group of cheerleaders perform in the middle of a basketball court while an audience watches.</t>
  </si>
  <si>
    <t>A man walks through the bottom of the frame.</t>
  </si>
  <si>
    <t>The cheerleaders finish, and a group of younger cheerleaders replace them.</t>
  </si>
  <si>
    <t>v_oHDeMg1ZFp8</t>
  </si>
  <si>
    <t>A man is talking and standing in a kitchen wearing a white robe and a lot of colorful vegetables in front of him.</t>
  </si>
  <si>
    <t>Now the vegetables are gone and the man is now scooping something from a little bowl onto a white plate that is sitting on a wooden cutting board.</t>
  </si>
  <si>
    <t>The man then begins to break the contents up with his utensil and then his hands until they are into separate pieces.</t>
  </si>
  <si>
    <t>v_4Y94njisJd0</t>
  </si>
  <si>
    <t>A young man in a black shirt hits a small ball against the wall.</t>
  </si>
  <si>
    <t>A man in a red shirt hands the ball to him with his racket.</t>
  </si>
  <si>
    <t>The young man hits the ball against the wall again.</t>
  </si>
  <si>
    <t>A group of men walk around trying to hit the ball.</t>
  </si>
  <si>
    <t>The young man in the black shirt hands the ball to the man in the red shirt.</t>
  </si>
  <si>
    <t>The man in the red shirt hits the ball against the wall.</t>
  </si>
  <si>
    <t>The group of men run around the court, swinging their rackets and trying to catch the ball.</t>
  </si>
  <si>
    <t>v_whwserG3XGc</t>
  </si>
  <si>
    <t>team wearing yellow uniform are running in a field.</t>
  </si>
  <si>
    <t>photographers are standing in he ield taking pictures of the yellow and blue team.</t>
  </si>
  <si>
    <t>teams start to pla lacrosse in a big gren grassy field.</t>
  </si>
  <si>
    <t>v_bXEG4X7pRds</t>
  </si>
  <si>
    <t>The lady picks up a brush and scissors.</t>
  </si>
  <si>
    <t>She sweeps the base of the stand.</t>
  </si>
  <si>
    <t>She brushes the dogs right leg.</t>
  </si>
  <si>
    <t>She then clips the hair on this paw.</t>
  </si>
  <si>
    <t>She brushes the fur upwards.</t>
  </si>
  <si>
    <t>She then clips the fur on the paw again.</t>
  </si>
  <si>
    <t>She brushes his paw again.</t>
  </si>
  <si>
    <t>She then clips the fur on the paw another time.</t>
  </si>
  <si>
    <t>She then combs the cut hair off the paw.</t>
  </si>
  <si>
    <t>She clips the hair off the back of the paw.</t>
  </si>
  <si>
    <t>Fade to black, and the credits occur.</t>
  </si>
  <si>
    <t>v_fRLDhkPqrTE</t>
  </si>
  <si>
    <t>A lady looks behind her with delight.</t>
  </si>
  <si>
    <t>The lady plays a black piano.</t>
  </si>
  <si>
    <t>The lady looks to her side.</t>
  </si>
  <si>
    <t>v_qwBFQf5STBA</t>
  </si>
  <si>
    <t>Colorful zebra nails are shown and a colorful screen appears with colorful text that say's "Acid Zebra Nail Art by professionalDQ", and then followed by a lot of other words that include a list of supplies needed.</t>
  </si>
  <si>
    <t>A still shot of six different solid colors of nail polish are shown and some are rounded bottles and some are square bottles.</t>
  </si>
  <si>
    <t>The demonstration begins and it shows someone is sponge painting various colors onto a long white painted nail.</t>
  </si>
  <si>
    <t>A colorful screen briefly appears with colorful text and it say's "Then added a coat of sparkle flakes Awesome",shows the bottle of sparkle nail polish, then more text appears on a colorful screen.</t>
  </si>
  <si>
    <t>A black paint bottle is shown then the person paints a thin black line unto the sparkly and multi colored nail and paints them in the pattern of zebra stripes.</t>
  </si>
  <si>
    <t>A colorful screen along with colorful text appears and it has instructions to "Finish with topcoat And now you're an invincible Nyan Zebra!!".</t>
  </si>
  <si>
    <t>The finished nails are modeled and shown at different angles and a colorful screen with colorful letters appear and it say's "Don't forget your tail!" and then it shows the person holding a furry pink and black, long tail.</t>
  </si>
  <si>
    <t>A colorful screen with colorful text appears and it say's "Thanks for watching SWOOSH!" and more still shots of the finished colorful zebra nails are displayed in different positions and angles.</t>
  </si>
  <si>
    <t>v_W40iaV960sw</t>
  </si>
  <si>
    <t>The camel is sitting on the ground, but then the man puts on his glasses while he's sitting on the camel as it lifts up bringing the man forward a little bit.</t>
  </si>
  <si>
    <t>Then someone grabs the rope on the camel to guide the camel to the right place.</t>
  </si>
  <si>
    <t>Finally the man pulls the camel the man is sitting on while the other 2 camels walk behind the camel in the front.</t>
  </si>
  <si>
    <t>v_wHxB-5jKjbQ</t>
  </si>
  <si>
    <t>People sail in canoes rowing with a paddle in a choppy river.</t>
  </si>
  <si>
    <t>Two men in a canoe sail near the bank of the river, but then sail in the river.</t>
  </si>
  <si>
    <t>The men spins the canoe an pass near an arch of the canoe course.</t>
  </si>
  <si>
    <t>The two men cross a person alone in a canoe.</t>
  </si>
  <si>
    <t>The men continue sailing down the river passing between arches.</t>
  </si>
  <si>
    <t>Men in a canoes are on the border of the river.</t>
  </si>
  <si>
    <t>After, continue sailing straight in the river.</t>
  </si>
  <si>
    <t>v_PLvg8riZZVw</t>
  </si>
  <si>
    <t>A man is holding a fishing pole over an ice fishing hole.</t>
  </si>
  <si>
    <t>He gently tries to pull up and then reel the fishing line out of the hole.</t>
  </si>
  <si>
    <t>He dips and lowers while taking a break.</t>
  </si>
  <si>
    <t>He tries to reel the line out again.</t>
  </si>
  <si>
    <t>He removes his gloves and gets to his knees and back up as he tries to pull the line out of the hole repeatedly.</t>
  </si>
  <si>
    <t>He steps around the hole and continually gently pulls the line from the water as another man pulls the fish out of the water.</t>
  </si>
  <si>
    <t>v_Ktxr4ZiqO3o</t>
  </si>
  <si>
    <t>A person is shaving their beard with an electric shaver.</t>
  </si>
  <si>
    <t>They are slowly moving the shaver up their chin.</t>
  </si>
  <si>
    <t>v_hjDGz9OhwvM</t>
  </si>
  <si>
    <t>A young girl is showing sitting on a floor talking to the camera and pretending to iron.</t>
  </si>
  <si>
    <t>She prays the bottle of water onto the clothes and irons doing this several times.</t>
  </si>
  <si>
    <t>She flips over the shirt to continue ironing and looks off into the distance.</t>
  </si>
  <si>
    <t>v_oXqzXQRqAhI</t>
  </si>
  <si>
    <t>Two kids are seen sitting in a bath tub with one holding a bucket and the holding smiling and laughing.</t>
  </si>
  <si>
    <t>The boy pours the bucket over his face and a hand gives him a towel while the girl also splashes her face.</t>
  </si>
  <si>
    <t>The sprays water again with the bucket and rubs his eyes.</t>
  </si>
  <si>
    <t>v_HaprTZfP4sQ</t>
  </si>
  <si>
    <t>A gold ornament is shown hanging from a christmas tree.</t>
  </si>
  <si>
    <t>Two women are on the floor, wrapping presents.</t>
  </si>
  <si>
    <t>They cut the paper and tape it around boxes before adding bows.</t>
  </si>
  <si>
    <t>We then see the completed tree, adorned with a ring of wrapped presents at the base.</t>
  </si>
  <si>
    <t>v_sanasW2azw4</t>
  </si>
  <si>
    <t>A young boy wearing sunglasses is shown pushing a long a lawn mower across a lawn.</t>
  </si>
  <si>
    <t>The camera continuously follows him as he moves back and fourth with the mower on the lawn.</t>
  </si>
  <si>
    <t>Finally a picture of him sleeping on the couch is shown.</t>
  </si>
  <si>
    <t>v_zxOcSuLSrU4</t>
  </si>
  <si>
    <t>A woman is seen pushing a lawn mower along some tall grass while moving back and fourth.</t>
  </si>
  <si>
    <t>The woman continues pushing the machine around the yard and turns her back towards the camera to mow the back.</t>
  </si>
  <si>
    <t>v_jETKNHeojN8</t>
  </si>
  <si>
    <t>The woman says a few words in the beginning while the dancer stands silently.</t>
  </si>
  <si>
    <t>First the dancer makes sure her legs are positioned correctly.</t>
  </si>
  <si>
    <t>Then the ballet dancer brings one foot into a coupe.</t>
  </si>
  <si>
    <t>Next she straightens both legs and puts one leg in the front and brings it back down.</t>
  </si>
  <si>
    <t>She then repeats those 3 steps over again.</t>
  </si>
  <si>
    <t>v_73ZdOEJcsUw</t>
  </si>
  <si>
    <t>An old lady knits with a red needle and red wool.</t>
  </si>
  <si>
    <t>An old lady stops knitting and talks continuously.</t>
  </si>
  <si>
    <t>The old lady knits again and examines her creation.</t>
  </si>
  <si>
    <t>v_WSpfyZuoi3A</t>
  </si>
  <si>
    <t>A little girl sled in an inflatable boat hold to a string on front a man, suddenly she falls in a hollow.</t>
  </si>
  <si>
    <t>People carry sled boats and the little girl is in a sled boat.</t>
  </si>
  <si>
    <t>After a group of people sled do down the hill until meet other persons.</t>
  </si>
  <si>
    <t>v_fevlUD03yCM</t>
  </si>
  <si>
    <t>A young girl is applying sunscreen to her face.</t>
  </si>
  <si>
    <t>A beach is crowded with people while a motoroboat speeds across the water.</t>
  </si>
  <si>
    <t>A doctor from the Cleveland Clinic named Jennifer Lucas speaks.</t>
  </si>
  <si>
    <t>People apply sunblock to each other outdoors.</t>
  </si>
  <si>
    <t>v_aEopPs2eY-Q</t>
  </si>
  <si>
    <t>A girl names Ashley dressed in all purple walks up slowly, then it turns to nature view of dirt and flowers.</t>
  </si>
  <si>
    <t>Ashley comes out getting dressed in her motor cross gear and slowly walks her bike out.</t>
  </si>
  <si>
    <t>She goes out and starts riding through the dirt, catching some air really high after hitting little mountain hills.</t>
  </si>
  <si>
    <t>She speaks in sign language with another rider for a little but before returning toe the dirt to ride some more.</t>
  </si>
  <si>
    <t>v_tn8YmTHinZc</t>
  </si>
  <si>
    <t>woman is standing in kitchen talking to the camera and showing ingredients that are on top of a counter.</t>
  </si>
  <si>
    <t>woman holds a lemon and squeeze it in a plastic water jar and mix it with sugar.</t>
  </si>
  <si>
    <t>woman holds a knife and chop the lemons in small pieces and add soda to the jar and the chopped lemons along with strawberries.</t>
  </si>
  <si>
    <t>v_QFWxdR_C71M</t>
  </si>
  <si>
    <t>A woman uses a piece of chalk on a canvas.</t>
  </si>
  <si>
    <t>She then uses several colors of paint to create an image.</t>
  </si>
  <si>
    <t>When she is done, we see a still life image of an orange on a counter.</t>
  </si>
  <si>
    <t>v_BWanQWn1OYQ</t>
  </si>
  <si>
    <t>A small group of girls are seen walking out onto a lake holding tubes and leads into others riding along in tubes.</t>
  </si>
  <si>
    <t>The people continue riding along the river on the tubes and the camera pans around the large group.</t>
  </si>
  <si>
    <t>The walk off shore and speak to one another followed by the tubes hung up and the bus parked.</t>
  </si>
  <si>
    <t>v_Z7zc7zs5Zj8</t>
  </si>
  <si>
    <t>A woman is seen walking down a set of stairs and begins performing a routine in front of a large audience.</t>
  </si>
  <si>
    <t>The woman continues dancing around the stage while a group of people play instruments behind her.</t>
  </si>
  <si>
    <t>v_j5SX_9JKtfs</t>
  </si>
  <si>
    <t>cleaning materials sit next to a double sink, then a person puts a bottle with blue liquid next to the cleaning materials.</t>
  </si>
  <si>
    <t>After, the person pours a little bit of blue liquid in the sink and scrubs the sinks with a sponge.</t>
  </si>
  <si>
    <t>After, the person rinse the sinks with water and dries with a cloth.</t>
  </si>
  <si>
    <t>v_cMeMbnjX-pg</t>
  </si>
  <si>
    <t>A man is skating on an indoor rink with a sweeper as people watch.</t>
  </si>
  <si>
    <t>He cleans the floor as people try to talk to him.</t>
  </si>
  <si>
    <t>A man falls and slides, and another grabs him in a fight.</t>
  </si>
  <si>
    <t>v_JFupxdGxgPQ</t>
  </si>
  <si>
    <t>Several men stand in a dirt arena.</t>
  </si>
  <si>
    <t>Several other men sit on horses.</t>
  </si>
  <si>
    <t>A gate opens and a calf runs out closely followed by a man on a horse.</t>
  </si>
  <si>
    <t>The man on the horse throws a lasso around the calf's neck yanking the calf back to land on it's back.</t>
  </si>
  <si>
    <t>The man jumps from his horse and runs over and ties up the calf.</t>
  </si>
  <si>
    <t>The man gets up and walks back to get on his horse.</t>
  </si>
  <si>
    <t>Several men run over to free the calf as it gets up and runs away.</t>
  </si>
  <si>
    <t>v_8L1xXJvKuv4</t>
  </si>
  <si>
    <t>A group of people are swimming in an indoor pool with other swimmers standing on the side of the pool watching.</t>
  </si>
  <si>
    <t>The children on the sidelines are jumping up and down with swim caps and swimsuits on as they watch the people who are already in the pool swim.</t>
  </si>
  <si>
    <t>A person walks by the camera as the shaky camera focuses on the people who are already in the pool swimming.</t>
  </si>
  <si>
    <t>v_AkeJ-lJLNkw</t>
  </si>
  <si>
    <t>Two people are seen performing various kicks and tricks around one another while a large group of people watch on the sides.</t>
  </si>
  <si>
    <t>More continue kicking around one another in the middle of the circle while others watch and react on the side.</t>
  </si>
  <si>
    <t>v_f00gW6PbWDE</t>
  </si>
  <si>
    <t>A young man wearing blue jeans and a blue and white plaid long sleeved button up shirt is sitting on the ground with his legs wide opened on a board that has numbers on it in a triangular shape.</t>
  </si>
  <si>
    <t>There are two elderly women holding sticks, and they are getting ready to hit the disks across the board into the man's crotch while 5 men are standing alongside the board watching and cringing.</t>
  </si>
  <si>
    <t>The woman shoves the disk across the board and it hits the man in the crotch, the second woman shoves the disc across the board and it hits the man in the crotch very hard and the guys all laugh and gringe then help the guy up.</t>
  </si>
  <si>
    <t>v_NfVL1o5HMEo</t>
  </si>
  <si>
    <t>A gymnast is seen rubbing his hands together and walks over to a set of uneven bars and raises his hands up.</t>
  </si>
  <si>
    <t>The man performs a routine on the bars while hundreds of people watch on the sidelines.</t>
  </si>
  <si>
    <t>He jumps down, waves his arms in the air, and walks over to high five his coach afterwards.</t>
  </si>
  <si>
    <t>v_x0cSfzhQRAs</t>
  </si>
  <si>
    <t>A man walks across a rope suspended between two mountains high in the air using his arms for balance.</t>
  </si>
  <si>
    <t>A man walks across a suspended rope high in the air, losing balance at one point and holding on to the rope with his hands and feet wrapped around the rope.</t>
  </si>
  <si>
    <t>The man then is able to hoist himself back enough on the rope to sit on it with the rope between his legs.</t>
  </si>
  <si>
    <t>v_NqYEX8tUjYg</t>
  </si>
  <si>
    <t>A person is seen performing a trick on a snowboard followed by more a woman speaking to the camera.</t>
  </si>
  <si>
    <t>Several more clips are shown of people riding snowboards and performing tricks on a board.</t>
  </si>
  <si>
    <t>More people are seen riding on a board and speaking to the camera.</t>
  </si>
  <si>
    <t>v_Tbo7I63oIms</t>
  </si>
  <si>
    <t>A person ski over a ski rail and spins in the air, then land stand on the snow.</t>
  </si>
  <si>
    <t>The person ski over a ramp and fly in the air very high.</t>
  </si>
  <si>
    <t>Then, the person ski over the rails of a home turning ans spinning and then land on the street.</t>
  </si>
  <si>
    <t>Then, a person ski over the fence of a walking bridge and also ski on the stairs.</t>
  </si>
  <si>
    <t>v_6S9NCdsUxfE</t>
  </si>
  <si>
    <t>A man is seen waxing a set of skis while looking back to speak to the camera.</t>
  </si>
  <si>
    <t>The man continues moving his arms up and down the skis while looking up to speak at the camera every once and a while.</t>
  </si>
  <si>
    <t>v_uM6ErLnAGW4</t>
  </si>
  <si>
    <t>Carved pepper jack-o-lanterns are seen prepared.</t>
  </si>
  <si>
    <t>A woman uses a knife to carve out the center and facial features of a bell pepper then places in a dish.</t>
  </si>
  <si>
    <t>The woman adds chopped vegetables, salsa, and eggs to a large bowl.</t>
  </si>
  <si>
    <t>The woman uses a spatula to mix everything together.</t>
  </si>
  <si>
    <t>A spoon is used to add ingredients into the hollow bell peppers.</t>
  </si>
  <si>
    <t>Cheese is added to the tops of the bell peppers and the tops are placed back on them.</t>
  </si>
  <si>
    <t>The bell peppers are removed from the dish and put on a plate.</t>
  </si>
  <si>
    <t>the finished bell peppers are seen on the cutting board.</t>
  </si>
  <si>
    <t>A woman adds ingredients to a casserole dish.</t>
  </si>
  <si>
    <t>v_lxlXHOHSOlk</t>
  </si>
  <si>
    <t>Ships are shown in the water.</t>
  </si>
  <si>
    <t>Men are walking on a street.</t>
  </si>
  <si>
    <t>A man in a yellow shirt is riding on a boat.</t>
  </si>
  <si>
    <t>People watching the men in the boat are applauding.</t>
  </si>
  <si>
    <t>v_w24Pub_hNSw</t>
  </si>
  <si>
    <t>A woman is seated, a man is standing, and a little girl is climbing on playground equipment.</t>
  </si>
  <si>
    <t>She drops down, hanging from the monkey bars as she pretends to kick the man.</t>
  </si>
  <si>
    <t>She swings to the end, and lands in another man's arms.</t>
  </si>
  <si>
    <t>v_8slE1UskRS4</t>
  </si>
  <si>
    <t>Three people are standing outside under a very large concrete gazebo and briefly the white word "MARANHAO" is on the right side of the screen.</t>
  </si>
  <si>
    <t>A man with an instrument starts walking towards the three people and he begins to adjust his instrument.</t>
  </si>
  <si>
    <t>Two of the people start dancing, the woman starts singing, then all the people are now holding instruments and are smiling as they start playing their instruments, dancing, and singing together.</t>
  </si>
  <si>
    <t>v_zwQYVBQnn4o</t>
  </si>
  <si>
    <t>This man is shown lifting a very heavy weight in the beginning of the video.</t>
  </si>
  <si>
    <t>Then another man does the same thing and he lifts it successfully.</t>
  </si>
  <si>
    <t>When he's done, someone comes on stage and gives him a hug.</t>
  </si>
  <si>
    <t>He is then given a medal.</t>
  </si>
  <si>
    <t>v_v8Dqgro-f-U</t>
  </si>
  <si>
    <t>We see a gym filled with people watching as people jump rope.</t>
  </si>
  <si>
    <t>We see the outside of the building and a man is interviewed with shots of the inside cut in.</t>
  </si>
  <si>
    <t>We watch girl perform see ladies serving snacks and watch another person perform.</t>
  </si>
  <si>
    <t>We see girls interviewed outside the main room and scenes from inside the gym.</t>
  </si>
  <si>
    <t>We see people on bleachers and kids jumping.</t>
  </si>
  <si>
    <t>We then see the blue ending screen.</t>
  </si>
  <si>
    <t>v_DCKwTvFrA6Q</t>
  </si>
  <si>
    <t>The woman introduces herself in the beginning of the video and then different pictures are shown.</t>
  </si>
  <si>
    <t>She also talks about the fun you can have in Chicago and her big production of being the black widow.</t>
  </si>
  <si>
    <t>v_5Qav3tLfiZA</t>
  </si>
  <si>
    <t>The man in dark blue shirt is kneeling with one knee.</t>
  </si>
  <si>
    <t>The man is dribbling the blue ball.</t>
  </si>
  <si>
    <t>The man is dribbling the ball on his side.</t>
  </si>
  <si>
    <t>v_5sUctxaAFrw</t>
  </si>
  <si>
    <t>Several pictures are shown in the beginning of old roofs as well as new roofs and people working on top of these roofs.</t>
  </si>
  <si>
    <t>More shots are shown of people spraying down the roofs and looking away from the camera.</t>
  </si>
  <si>
    <t>v_ZL7xefcDWYc</t>
  </si>
  <si>
    <t>A gymnast is performing on the bars while a crowds is watching.</t>
  </si>
  <si>
    <t>At the end, the gymnast flips around the bars and jump on the mattress.</t>
  </si>
  <si>
    <t>v_sd2MhdKdQTo</t>
  </si>
  <si>
    <t>A woman is seen sitting on stage while singing into a microphone and people sitting behind her playing instruments.</t>
  </si>
  <si>
    <t>The girl continues singing with the band and ending by speaking to the audience.</t>
  </si>
  <si>
    <t>v_rWfi4xN3XQI</t>
  </si>
  <si>
    <t>A woman stands next to a horse in a field.</t>
  </si>
  <si>
    <t>"HJCTV presents: Grooming your horse 101" is overlaid.</t>
  </si>
  <si>
    <t>A woman stands in a stall with a horse with a grooming brush, she starts brushing it.</t>
  </si>
  <si>
    <t>Two girls stand outdoors with another horse and brush it.</t>
  </si>
  <si>
    <t>The first woman returns with a new brush and allows children to help brush the horse.</t>
  </si>
  <si>
    <t>v_0PLaN0hmMDY</t>
  </si>
  <si>
    <t>A person holds a ring in a small box.</t>
  </si>
  <si>
    <t>Then, the man wraps the box with gift paper.</t>
  </si>
  <si>
    <t>After, the man tries to find the end of a scotch tape roll, but he can not find it.</t>
  </si>
  <si>
    <t>The man cuts the excess of paper and put take on the gift.</t>
  </si>
  <si>
    <t>v_l3k_7ydV74A</t>
  </si>
  <si>
    <t>Four men perform a wrestling stunt in costume while standing on an elevated, lit, stage in front of a seated audience.</t>
  </si>
  <si>
    <t>Two men in black lift one man in a blue shiny outfit, up, on their shoulders.</t>
  </si>
  <si>
    <t>The two men in black place the man in blue's legs around the neck of another man, the biggest man on the stage, who is also dressed in black.</t>
  </si>
  <si>
    <t>The large man in black then takes the man in blue and slams him down, off the stage and onto a table next to the stage, at which point the man lands with a force that breaks the table in two causing the man to fall to the floor under the table.</t>
  </si>
  <si>
    <t>v_j82E082KJSw</t>
  </si>
  <si>
    <t>There are two teams playing volley ball in an indoor stadium in front of a large number of spectators.</t>
  </si>
  <si>
    <t>The green and yellow team is playing against the red team.</t>
  </si>
  <si>
    <t>The players dive up high to throw the ball across the net to their opposing team.</t>
  </si>
  <si>
    <t>Then the green and yellow team plays against the blue team.</t>
  </si>
  <si>
    <t>The red team is back to play with the green and yellow team.</t>
  </si>
  <si>
    <t>Then the blue team returns to play against the green and yellow team.</t>
  </si>
  <si>
    <t>The volley ball game continues as the red team and blue team alternately play with their opponents.</t>
  </si>
  <si>
    <t>v_d6uMS_ZgMg4</t>
  </si>
  <si>
    <t>A camera pans all around a piece of exercise equipment followed by a woman riding on it.</t>
  </si>
  <si>
    <t>A person is seen adjusting the settings of the bike as well as riding around and drinking water.</t>
  </si>
  <si>
    <t>More shots are shown of the woman adjusting the machine as well as rolling it away and continuing to ride.</t>
  </si>
  <si>
    <t>v_QESBvmN1hcM</t>
  </si>
  <si>
    <t>A small group of people are seen swimming around a pool and lead into several clips of people playing the game as well as celebrating.</t>
  </si>
  <si>
    <t>Various people are then seen speaking to the camera followed by more clips of the game being shown and people celebrating.</t>
  </si>
  <si>
    <t>v_yzmPtZyuo4s</t>
  </si>
  <si>
    <t>An African American male athlete is walking preparing himself to run.</t>
  </si>
  <si>
    <t>The male then begins to run from an angle towards the mat and does a high jump clearing the bar.</t>
  </si>
  <si>
    <t>A replay is shown and the crowd begins to cheer for him.</t>
  </si>
  <si>
    <t>v_Z9pWpZK4k2M</t>
  </si>
  <si>
    <t>Two men, a woman, and a toddler are walking down the road but all of the adults have on Kangaroo shoes.</t>
  </si>
  <si>
    <t>People continue to walk pass them and the two males begin jumping extremely high as the lady walks away with the child.</t>
  </si>
  <si>
    <t>The four individuals then move in front of a building and start hoping around then eventually to a set of steps in what looks to be a court yard.</t>
  </si>
  <si>
    <t>v_-V00wKlFJA0</t>
  </si>
  <si>
    <t>A man is seen standing in a garage and proceeds to play a set of bagpipes.</t>
  </si>
  <si>
    <t>The man continues playing the instrument while moving his hands around and stops in the end to turn off the camera.</t>
  </si>
  <si>
    <t>v_bVOD0M4LCEY</t>
  </si>
  <si>
    <t>Several pairs of people are out in the desert holding a selfie stick as they travel around on camels.</t>
  </si>
  <si>
    <t>As they continue,some people come around and begin to film the people with their own camera.</t>
  </si>
  <si>
    <t>Now,a line of people are in the sand just standing around watching them as the people on the camel begin to talk back to them.</t>
  </si>
  <si>
    <t>v_9-XGzUTSsuI</t>
  </si>
  <si>
    <t>A white screen appears and green letters appear in the middle of the screen and read "eHow"and changes to a blue screen that has a large white word that reads "health" under a small white square that contains the green eHow.</t>
  </si>
  <si>
    <t>A man wearing athletic clothing is standing in an indoor gym doing some fighting exercises and when he stops to talk, a banner on the bottom left say his name is Steve Hess and he's a Personal Trainer.</t>
  </si>
  <si>
    <t>While talking the man is also doing arm and leg movements and the camera is zoomed out to show his whole body.</t>
  </si>
  <si>
    <t>When the man is done the same blue screen from the beginning appears and ends with the same white screen with the green eHow written in the middle.</t>
  </si>
  <si>
    <t>v_paY7wXmzcTQ</t>
  </si>
  <si>
    <t>A person is seen standing on a pair of skis while others move around an area.</t>
  </si>
  <si>
    <t>One person sits on a tube while others walk from behind.</t>
  </si>
  <si>
    <t>A person then kicks the person n the tube down the hill.</t>
  </si>
  <si>
    <t>v_aeEMrTpNUss</t>
  </si>
  <si>
    <t>A man steps up to a set of uneven bars while a man does flips behind him and begins performing a gymnastics routine.</t>
  </si>
  <si>
    <t>The man flips and spins himself around on the bars and ends by jumping down and waving his hands up.</t>
  </si>
  <si>
    <t>v_FFZOmzFc_us</t>
  </si>
  <si>
    <t>A man is seen wearing an apron in front of sink stacked with many dishes.</t>
  </si>
  <si>
    <t>The man begins washing the dishes in a quick motion and throwing them into a pile.</t>
  </si>
  <si>
    <t>The man continues washing the dishes while looking back to the camera.</t>
  </si>
  <si>
    <t>v_n1LmL6_vxKs</t>
  </si>
  <si>
    <t>A man is seen bending down before a large weight while looking off into the distance.</t>
  </si>
  <si>
    <t>He then picks the weight up over his head.</t>
  </si>
  <si>
    <t>Finally he throws the weight down on the floor.</t>
  </si>
  <si>
    <t>v_PAF5AIQNXhs</t>
  </si>
  <si>
    <t>A baby is seated in a swing, rocking gently.</t>
  </si>
  <si>
    <t>A little girl is seen swinging herself back and forth.</t>
  </si>
  <si>
    <t>Then a toddler and baby look at each other as they continue to lightly swing.</t>
  </si>
  <si>
    <t>v_1V0TqgcXSVk</t>
  </si>
  <si>
    <t>A woman is standing in a room, surrounded by yoga gear.</t>
  </si>
  <si>
    <t>She then shows how to use a stepper to exercise, stepping on and off, side to side.</t>
  </si>
  <si>
    <t>She talks a little longer about the exercise.</t>
  </si>
  <si>
    <t>v_Wzpyu5NEqZ4</t>
  </si>
  <si>
    <t>Men are playing wall ball in a room against each other.</t>
  </si>
  <si>
    <t>A man in a red shirt and glasses is talking.</t>
  </si>
  <si>
    <t>A man in a black shirt talks to a man in a red shirt.</t>
  </si>
  <si>
    <t>Papers are being shown on the screen.</t>
  </si>
  <si>
    <t>The man continues to talk to the microphone.</t>
  </si>
  <si>
    <t>A man in a black shirt is talking.</t>
  </si>
  <si>
    <t>The men are playing more wall ball.</t>
  </si>
  <si>
    <t>v_UCBAyJpXuCw</t>
  </si>
  <si>
    <t>People are on a stage playing instruments.</t>
  </si>
  <si>
    <t>A man in a black shirt is playing a drum set.</t>
  </si>
  <si>
    <t>A man in a green shirt plays a guitar at the front of the stage.</t>
  </si>
  <si>
    <t>v_xq7Gr0FUwpo</t>
  </si>
  <si>
    <t>Two scientist throws stones in the water while talking.</t>
  </si>
  <si>
    <t>Scientist writes a formula on a board, then the scientists run and jumps in the water.</t>
  </si>
  <si>
    <t>Then, people water ski in the water pulling by a boat.</t>
  </si>
  <si>
    <t>A woman water ski while two men explains the movements made by the girl.</t>
  </si>
  <si>
    <t>After, a man water ski holding a water sky rope tie to a pole while a person watch, then he falls in the water.</t>
  </si>
  <si>
    <t>After, a person water ski and then falls in the water.</t>
  </si>
  <si>
    <t>v_5HLW2AI1Ink</t>
  </si>
  <si>
    <t>A swimmer is shown putting on his goggles and spreading his hands out before he dives into a pool.</t>
  </si>
  <si>
    <t>A side view of the man is shown as he does the side stroke underneath the water.</t>
  </si>
  <si>
    <t>The male continues to swim and several techniques of his are highlighted such as the way his hand is cuffed and the position of his legs.</t>
  </si>
  <si>
    <t>v_I4mFeQwqjnE</t>
  </si>
  <si>
    <t>The credits of the clips are shown.</t>
  </si>
  <si>
    <t>People in black play dodge ball on a court.</t>
  </si>
  <si>
    <t>A guy dives to the ground to prevent ball from hitting him.</t>
  </si>
  <si>
    <t>v_UsqhZb0co6o</t>
  </si>
  <si>
    <t>A man is laying in bed and looks at his phone.</t>
  </si>
  <si>
    <t>He runs into a room and gets dressed.</t>
  </si>
  <si>
    <t>He sits down on his bed and puts shoes on.</t>
  </si>
  <si>
    <t>He stands up and runs out the door.</t>
  </si>
  <si>
    <t>v_czh5nNO_Eow</t>
  </si>
  <si>
    <t>A black screen appears with white words that read "How to Paint a Paneled Door".</t>
  </si>
  <si>
    <t>A man then appears in front of a red door that is leaning up against a wall that has plastic on it, and he's talking and touching the door.</t>
  </si>
  <si>
    <t>The man then grabs a paint brush and begins painting on paints various parts of the door while continuing to talk.</t>
  </si>
  <si>
    <t>The man stops painting, and begins talking as he points at a few things on the door.</t>
  </si>
  <si>
    <t>A black screen appears with white words that include a website if someone wants more information.</t>
  </si>
  <si>
    <t>v_eL4Ce4WPI0Y</t>
  </si>
  <si>
    <t>A woman is seen wiping off her feet and stepping into a circle pit.</t>
  </si>
  <si>
    <t>The woman then spins around and throws a discuss off into the air while the camera follows her.</t>
  </si>
  <si>
    <t>v_ItpDcSURusI</t>
  </si>
  <si>
    <t>A professional diver named Pandelela Rinong is getting ready to dive in a competition.</t>
  </si>
  <si>
    <t>She goes forward on the diving board and does a backward dive into the pool from several feet.</t>
  </si>
  <si>
    <t>She twists her body as she dives down into the pool.</t>
  </si>
  <si>
    <t>After she's done, she smiles and walks out of the pool.</t>
  </si>
  <si>
    <t>v_JGStyHrlN2U</t>
  </si>
  <si>
    <t>Several player on horseback are playing cricket on a field.</t>
  </si>
  <si>
    <t>All players ride their horses to one side of the field.</t>
  </si>
  <si>
    <t>The ride around and around as the try to hit the cricket ball.</t>
  </si>
  <si>
    <t>The ball is hit into the middle of the field away from all the players.</t>
  </si>
  <si>
    <t>v_CJCONq_i1cQ</t>
  </si>
  <si>
    <t>We see a man in a driveway cleaning snow from his car.</t>
  </si>
  <si>
    <t>The man cleans the snow under his windshield wipers.</t>
  </si>
  <si>
    <t>We see the building behind the car.</t>
  </si>
  <si>
    <t>We do a 360 spin to see the parking lot.</t>
  </si>
  <si>
    <t>The man opens the doors on his car and gets in.</t>
  </si>
  <si>
    <t>The man backs out and and gets out of the car.</t>
  </si>
  <si>
    <t>v_ZluOmpTPdWw</t>
  </si>
  <si>
    <t>A group of people seen running around a sandy field playing a soccer match in front of a large crowd.</t>
  </si>
  <si>
    <t>The people continue kick the ball around with several more balls being thrown in as well.</t>
  </si>
  <si>
    <t>v_E2KlBkQJyzU</t>
  </si>
  <si>
    <t>Two people are seen sitting on a ski bench putting on gear and leads into people pushing a puck around a hockey rink.</t>
  </si>
  <si>
    <t>Several shots are shown of the players skating around the ice and playing the sport of hockey.</t>
  </si>
  <si>
    <t>In the end they all kneel down next to one another and skate away.</t>
  </si>
  <si>
    <t>v_tlNpR7CkM-4</t>
  </si>
  <si>
    <t>A man is shown inside a church.</t>
  </si>
  <si>
    <t>He is playing a set of bagpipes while wearing a kilt.</t>
  </si>
  <si>
    <t>He continues to play, not moving.</t>
  </si>
  <si>
    <t>v_az-UGTdlbaA</t>
  </si>
  <si>
    <t>A woman in a black top and shorts wears boxing gloves.</t>
  </si>
  <si>
    <t>She spares with a man in black.</t>
  </si>
  <si>
    <t>She kicks and hits at him.</t>
  </si>
  <si>
    <t>She does several different exercises.</t>
  </si>
  <si>
    <t>v_K0XdsHfUpco</t>
  </si>
  <si>
    <t>Players play croquet in a lawn.</t>
  </si>
  <si>
    <t>A guy plays a bag pipe on the croquet field.</t>
  </si>
  <si>
    <t>Players shake hands to demonstrate sportsmanship.</t>
  </si>
  <si>
    <t>Players carry a huge check.</t>
  </si>
  <si>
    <t>A guy steps out of a line and charges at the camera.</t>
  </si>
  <si>
    <t>v_QWXzDdMjZOw</t>
  </si>
  <si>
    <t>A man holds a saxophone, then he takes out the neck and blows the mouthpiece while talking.</t>
  </si>
  <si>
    <t>Then, the man puts on the neck in the saxophone and shows the keys while talking.</t>
  </si>
  <si>
    <t>Then, the man plays the saxophone while explaining.</t>
  </si>
  <si>
    <t>v_4KgCkxpsN2g</t>
  </si>
  <si>
    <t>People are in a large yellow raft going down a water fall.</t>
  </si>
  <si>
    <t>A man in a boat is going down the river.</t>
  </si>
  <si>
    <t>Several pictures of rafters are displayed on the screen.</t>
  </si>
  <si>
    <t>Rafters are going down a rough hill and hitting the rocks.</t>
  </si>
  <si>
    <t>v_rHD_vDxPpDA</t>
  </si>
  <si>
    <t>A shoe is cleaned with a toothbrush by a sink.</t>
  </si>
  <si>
    <t>The counter is wiped with a towel.</t>
  </si>
  <si>
    <t>The shoe is cleaned more with the toothbrush and a towel.</t>
  </si>
  <si>
    <t>v_IB068eD8A7Y</t>
  </si>
  <si>
    <t>We see a man and a small boy holding a bow and arrow in a field.</t>
  </si>
  <si>
    <t>The boy shoots the arrow stretches and shoots more arrows.</t>
  </si>
  <si>
    <t>We see the man shoot three arrows and see the target.</t>
  </si>
  <si>
    <t>We see the boy as he tries to shoot balloons on the target and misses them all.</t>
  </si>
  <si>
    <t>The boy walks away and we see lady shoot two arrows and turn and kiss her hand.</t>
  </si>
  <si>
    <t>v_M_hfBH8xEig</t>
  </si>
  <si>
    <t>Blue text talks about the description of the video.</t>
  </si>
  <si>
    <t>Some boys are shown performing backetball layups, one after the other.</t>
  </si>
  <si>
    <t>One boy continuously does layups until the end.</t>
  </si>
  <si>
    <t>v_ZzarNWOJnro</t>
  </si>
  <si>
    <t>A man picks up an ax.</t>
  </si>
  <si>
    <t>He swings it at a piece of wood on a stump.</t>
  </si>
  <si>
    <t>He picks another one up and chops it.</t>
  </si>
  <si>
    <t>v_17ODXa4CEmI</t>
  </si>
  <si>
    <t>A person puts slices of lemon over two glasses of lemonade with ice.</t>
  </si>
  <si>
    <t>Then, the person pours water and adds sugar in a pot to make syrup.</t>
  </si>
  <si>
    <t>The person press hard a lemon, and then cuts the lemmons and squeeze them using an electric citrus juicer.</t>
  </si>
  <si>
    <t>next, the person pours a glass of water in a jar, then adds the syrup, the lemon juice, slices of lemon and ice.</t>
  </si>
  <si>
    <t>Then the person serves the lemonade.</t>
  </si>
  <si>
    <t>v_P49Ci0Ph8eU</t>
  </si>
  <si>
    <t>A gymnast stands before a large crowd in an arena and puts his hands up.</t>
  </si>
  <si>
    <t>He begins his routine that involves many flips and rotations.</t>
  </si>
  <si>
    <t>The crowd sits silently while he does this.</t>
  </si>
  <si>
    <t>He does a handstand and a series of more rotations and flips before dismounting.</t>
  </si>
  <si>
    <t>He claps as the crowd cheers him on after his routine is over.</t>
  </si>
  <si>
    <t>v_GYh4XH7jUL4</t>
  </si>
  <si>
    <t>A person dives off a board into a pool.</t>
  </si>
  <si>
    <t>They come up from under the water.</t>
  </si>
  <si>
    <t>v_xH_1O0mckTU</t>
  </si>
  <si>
    <t>man is standing in street holding a board and skateboarding through the street.</t>
  </si>
  <si>
    <t>man is walking in a yard and doing jumps and talking to a microphone.</t>
  </si>
  <si>
    <t>v_U01xasUtlvw</t>
  </si>
  <si>
    <t>a man is outside wearing a superman shirt.</t>
  </si>
  <si>
    <t>He spins in circles, looking around.</t>
  </si>
  <si>
    <t>He finds a broken bike, and repairs it while an angry man yells at him.</t>
  </si>
  <si>
    <t>v_6LOfAoP4Mg8</t>
  </si>
  <si>
    <t>A man is shown sanding a wall and laying out a large piece of water paper across the wall.</t>
  </si>
  <si>
    <t>He continues pushing the paper into the wall and sanding it from behind.</t>
  </si>
  <si>
    <t>v_XQ4owd3yQ_4</t>
  </si>
  <si>
    <t>A man pushes a table into the sand.</t>
  </si>
  <si>
    <t>He is then shown surfing on the bottom of the table in the ocean, gliding across a wave.</t>
  </si>
  <si>
    <t>Another angle is shown with the surfer effortlessly riding a wave on a table.</t>
  </si>
  <si>
    <t>He crashes along with the wave.</t>
  </si>
  <si>
    <t>v_x_BIktHkEc4</t>
  </si>
  <si>
    <t>A man wearing headphones is in a studio, speaking into a microphone.</t>
  </si>
  <si>
    <t>Other men are shown, one of which begins playing a harmonica.</t>
  </si>
  <si>
    <t>He stops playing and says something that makes the DJ laugh.</t>
  </si>
  <si>
    <t>v_pv6CNBFhgCU</t>
  </si>
  <si>
    <t>A machine draws a face on a pumpkin.</t>
  </si>
  <si>
    <t>The lights turn off and it shows the carved pumpkin turned on.</t>
  </si>
  <si>
    <t>It shows the pumpkin in the light.</t>
  </si>
  <si>
    <t>v_HVhLOYGU9E4</t>
  </si>
  <si>
    <t>A large semi truck is driving in the rain.</t>
  </si>
  <si>
    <t>Then we see boys riding skateboards outside a house.</t>
  </si>
  <si>
    <t>They perform several stunts on a board in the driveway.</t>
  </si>
  <si>
    <t>v_d4prmED8v-w</t>
  </si>
  <si>
    <t>A pole vaulter runs up and launches himself over the bar.</t>
  </si>
  <si>
    <t>The vaulter introduces his challenge to the camera, which is to make it over ten times in a row in 20 minutes.</t>
  </si>
  <si>
    <t>He launches himself over 10 times successfully and easily gets under the 20 minute limit.</t>
  </si>
  <si>
    <t>v_6AwS8vWMwSA</t>
  </si>
  <si>
    <t>We see a man and a woman playing competitive rock paper scissors cut with scenes of the crowd.</t>
  </si>
  <si>
    <t>We see a man with a mustache clapping.</t>
  </si>
  <si>
    <t>The lady wins and the man in the suit raises her hand.</t>
  </si>
  <si>
    <t>The man and the woman shake each others hands.</t>
  </si>
  <si>
    <t>The man in the game shakes his head as he turns around.</t>
  </si>
  <si>
    <t>v_jBKlpn2mE8I</t>
  </si>
  <si>
    <t>A woman walks into a backyard, and flips her hair forward.</t>
  </si>
  <si>
    <t>She brushes her hair for a long time, smoothing and tossing it.</t>
  </si>
  <si>
    <t>She then walks away from the camera, continuing to brush.</t>
  </si>
  <si>
    <t>She stands upright, then bends over to brush some more.</t>
  </si>
  <si>
    <t>v_icOO9whIgX8</t>
  </si>
  <si>
    <t>A yellow frame with girls playing Lacross opens up the video.</t>
  </si>
  <si>
    <t>A game of girls Lacross is going on as different slides are shown.</t>
  </si>
  <si>
    <t>The game ends with a penalty shot.</t>
  </si>
  <si>
    <t>v_-G-sh-NhYtk</t>
  </si>
  <si>
    <t>A person in a black coat is shoveling show from a driveway.</t>
  </si>
  <si>
    <t>A man is being shown standing in a garage.</t>
  </si>
  <si>
    <t>v_r7Z5Pm3pKMA</t>
  </si>
  <si>
    <t>We see a man and people entering a stadium.</t>
  </si>
  <si>
    <t>We switch to people on teams, and military marching in a yard.</t>
  </si>
  <si>
    <t>People are playing a game with sticks.</t>
  </si>
  <si>
    <t>We see a group of people on a team standing in a a circle.</t>
  </si>
  <si>
    <t>We see a man walking down the street then a person sitting on the sidewalk.</t>
  </si>
  <si>
    <t>v_BdKxwCdax_w</t>
  </si>
  <si>
    <t>A man is standing in a room in front of a mirror talking.</t>
  </si>
  <si>
    <t>He gets down on his knees and stands on his head.</t>
  </si>
  <si>
    <t>He moves around in a circle on his head and spins.</t>
  </si>
  <si>
    <t>v_fgEMvRrOCRI</t>
  </si>
  <si>
    <t>There are players, one in yellow and the other in red hurling in an open air stadium.</t>
  </si>
  <si>
    <t>They are part of a team that is playing in the large stadium with several spectators.</t>
  </si>
  <si>
    <t>The video is demonstrating how to catch the ball and scoop it up with the stick.</t>
  </si>
  <si>
    <t>It also demonstrates how to balance the ball on the stick as the player runs.</t>
  </si>
  <si>
    <t>The players are showing all the steps in the tutorial where the one of the player shoots the ball bravely for a point.</t>
  </si>
  <si>
    <t>There's a player in a blue and white uniform shooting the ball for a point and scoring a goal.</t>
  </si>
  <si>
    <t>v_x2CZHFxoZaM</t>
  </si>
  <si>
    <t>A man is crossing the finish line of a race.</t>
  </si>
  <si>
    <t>Lots of people are running in a race.</t>
  </si>
  <si>
    <t>People are running down a dirt road.</t>
  </si>
  <si>
    <t>v_EEaLID3z9tM</t>
  </si>
  <si>
    <t>A group of four young girls are standing beside each other in the bathroom and they chug something.</t>
  </si>
  <si>
    <t>They are swishing it in their mouths and almost all of them have their hands over their mouths.</t>
  </si>
  <si>
    <t>One of them spits it out in the sink and the other three are trying to carry on.</t>
  </si>
  <si>
    <t>They are having a really hard time and eventually they all spit out and one girl wins.</t>
  </si>
  <si>
    <t>v_jvQU6RyhY7I</t>
  </si>
  <si>
    <t>A woman has a bandana tied around her eyes.</t>
  </si>
  <si>
    <t>She uses a stick to swing at a pinata.</t>
  </si>
  <si>
    <t>She hits the pinata numerous times.</t>
  </si>
  <si>
    <t>v_TMnmi7WJr_o</t>
  </si>
  <si>
    <t>A man is standing outside a tattoo and piercing parlor.</t>
  </si>
  <si>
    <t>He lies down on a bench while a tattoo artist works on a tattoo on his back.</t>
  </si>
  <si>
    <t>He shows a close up of his work, which says thuglife.</t>
  </si>
  <si>
    <t>The man looks at the work in the mirror.</t>
  </si>
  <si>
    <t>v_MhWIIdVyWVs</t>
  </si>
  <si>
    <t>A martial arts artists performs slow moves with her arms and legs simultaneously.</t>
  </si>
  <si>
    <t>A man speaks to the camera after the woman finishes her martial arts routine.</t>
  </si>
  <si>
    <t>v_O8TIRkB99Lo</t>
  </si>
  <si>
    <t>A man stands in a doorway talking.</t>
  </si>
  <si>
    <t>The man climbs a ladder and adds a piece of wallpaper to the wall.</t>
  </si>
  <si>
    <t>The man uses a tool before turning to speak then smooths it out.</t>
  </si>
  <si>
    <t>The man speaks and uses another tool to cut a piece off then wipes the ceiling.</t>
  </si>
  <si>
    <t>v_5kdiJ2cC5_w</t>
  </si>
  <si>
    <t>A woman stands holding a violin against herself.</t>
  </si>
  <si>
    <t>The woman plays the violin.</t>
  </si>
  <si>
    <t>The woman stops playing the violin.</t>
  </si>
  <si>
    <t>v_jkmbAc9BWaE</t>
  </si>
  <si>
    <t>There's a man in a red shirt and a checked shirt over it, standing in a park.</t>
  </si>
  <si>
    <t>He throws a rubber tire on the ground.</t>
  </si>
  <si>
    <t>He is standing near a park bench with a skateboard in his hand.</t>
  </si>
  <si>
    <t>He is demonstrating how to do stunts on the skateboard by jumping up on the park bench.</t>
  </si>
  <si>
    <t>He repeats the same stunt over and over again.</t>
  </si>
  <si>
    <t>He falls off the skateboard a couple times but is successful most of the time.</t>
  </si>
  <si>
    <t>Then he holds the skateboard in his hand as he talks while pointing to the bench.</t>
  </si>
  <si>
    <t>v_aOrDnKEJAwQ</t>
  </si>
  <si>
    <t>An "eesa" logo is shown on screen.</t>
  </si>
  <si>
    <t>Two men wearing scuba diving gear in an indoor pool talk to the camera.</t>
  </si>
  <si>
    <t>The camera follows one of the men underwater where numerous manmade obstacles are present.</t>
  </si>
  <si>
    <t>Other men dressed like astronauts are underwater with them.</t>
  </si>
  <si>
    <t>The scuba divers wave goodbye and credits roll.</t>
  </si>
  <si>
    <t>v_BPpq8m93LSI</t>
  </si>
  <si>
    <t>We see balls and paddle and a blue table then a man talks and two men playing table tennis.</t>
  </si>
  <si>
    <t>We see an instructional title screen.</t>
  </si>
  <si>
    <t>The man demonstrates hitting a ball and we see him in play hitting the ball.</t>
  </si>
  <si>
    <t>v_sjyZWmvTGA4</t>
  </si>
  <si>
    <t>Several men are blowing leaves in front of a home.</t>
  </si>
  <si>
    <t>One man is going all throughout the yard to blow the leaves.</t>
  </si>
  <si>
    <t>He clears out in front of the home.</t>
  </si>
  <si>
    <t>He also clears out by the shed.</t>
  </si>
  <si>
    <t>Another man is shown wandering through the yard.</t>
  </si>
  <si>
    <t>v_ckzLOLHjP44</t>
  </si>
  <si>
    <t>We see men on a lacrosse field playing a game.</t>
  </si>
  <si>
    <t>A man hits the ball and the men run on the field.</t>
  </si>
  <si>
    <t>We see a man in red run on the screen and walk back.</t>
  </si>
  <si>
    <t>v_smk2WJV1Zmo</t>
  </si>
  <si>
    <t>woman is in a gym doing leg exercise and abs.</t>
  </si>
  <si>
    <t>thw woman is sitting in a terrace talking to the camera.</t>
  </si>
  <si>
    <t>woman is walking in a sidewalk with a white small dog and enters in a house.</t>
  </si>
  <si>
    <t>the woman is again in the terrace talking to the camera.</t>
  </si>
  <si>
    <t>v_xxXspvK4tEY</t>
  </si>
  <si>
    <t>An elderly woman is sitting on the couch with a young girl, showing her how to thread yard onto a knitting hook.</t>
  </si>
  <si>
    <t>The girl smiles and laughs as she figures out how to handle it.</t>
  </si>
  <si>
    <t>v_SwXGVQXyXkQ</t>
  </si>
  <si>
    <t>A man sits in a barber chair.</t>
  </si>
  <si>
    <t>The barber begins to shave his head.</t>
  </si>
  <si>
    <t>He shaves stars into his head.</t>
  </si>
  <si>
    <t>The design is intricately done.</t>
  </si>
  <si>
    <t>v_S2jbh7QMrKc</t>
  </si>
  <si>
    <t>People surf in the choppy waters of the ocean while a cat sits on a rock.</t>
  </si>
  <si>
    <t>One person surfs on a big wave going to the right, while other surfer gets in a wave to surf and falls but get on the surfboard again.</t>
  </si>
  <si>
    <t>A man surfs on a wave going to the left while other people surfs in the ocean.</t>
  </si>
  <si>
    <t>Suddenly, a man appears rowing a canoe.</t>
  </si>
  <si>
    <t>v_legHHtPK5fA</t>
  </si>
  <si>
    <t>A group of men are standing in a row.</t>
  </si>
  <si>
    <t>They are throwing darts at targets.</t>
  </si>
  <si>
    <t>The people converse as they try to hit their targets.</t>
  </si>
  <si>
    <t>v_QV2QXt6eDdI</t>
  </si>
  <si>
    <t>A young child is seen washing various dishes in a sink while wearing gloves and running them under water.</t>
  </si>
  <si>
    <t>The boy continues to stick a bowl under the water while the camera pans around his movements.</t>
  </si>
  <si>
    <t>v_0_BvBpwDMpU</t>
  </si>
  <si>
    <t>A gymnast is seen raising his arm in the air and climbing on top a gymnastics beam.</t>
  </si>
  <si>
    <t>He spins himself around performing various tricks on the beam and finishes by jumping down and smiling to the applauding audience.</t>
  </si>
  <si>
    <t>v_PmyAt4zuLRY</t>
  </si>
  <si>
    <t>a woman wearing butterflies wings costume playing beerpong.</t>
  </si>
  <si>
    <t>a woman is wearing a catty costume is standing behind the table.</t>
  </si>
  <si>
    <t>woman is sitting in front of the table and dance when the woman fails the ball.</t>
  </si>
  <si>
    <t>v_E4PIKUW4v0k</t>
  </si>
  <si>
    <t>A man and a woman stand on a street talking on front a window.</t>
  </si>
  <si>
    <t>A person passes on front the man and the woman.</t>
  </si>
  <si>
    <t>People pass on front the woman and the man.</t>
  </si>
  <si>
    <t>v_F8pv5rFrEm4</t>
  </si>
  <si>
    <t>We see gymnasts in a gym on each other shoulders.</t>
  </si>
  <si>
    <t>They then begin an aerobic dance.</t>
  </si>
  <si>
    <t>The people walk to their steps and step on them.</t>
  </si>
  <si>
    <t>The people moves the steps to the center of the room.</t>
  </si>
  <si>
    <t>A lady does a split on the floor and they finish.</t>
  </si>
  <si>
    <t>The ending title appears on the screen.</t>
  </si>
  <si>
    <t>v_FzdLe1mjk7c</t>
  </si>
  <si>
    <t>There is a wall of paintings then the scene fades out.</t>
  </si>
  <si>
    <t>People are standing on a balcony over looking a soccer event and the screen says Wuzler Cup Finale.</t>
  </si>
  <si>
    <t>Two rows of people are playing table soccer.</t>
  </si>
  <si>
    <t>The ball jumped off the table and a woman put it back into play and a goal was made.</t>
  </si>
  <si>
    <t>There are cheerleaders for this event.</t>
  </si>
  <si>
    <t>The red team won and are showing off their tshirts.</t>
  </si>
  <si>
    <t>The scene changes to a reported behind a desk.</t>
  </si>
  <si>
    <t>v_PxEu0AAH9LI</t>
  </si>
  <si>
    <t>A group of women wearing blue dresses are dancing on a stage in sync they dropped to the ground and the screen fades to black.</t>
  </si>
  <si>
    <t>A woman alone then appears on the stage with white words on the bottom left that say "BALLET D'ORIENT",and a special effect background and she begins to belly dance, then other women join her.</t>
  </si>
  <si>
    <t>The spotlight fades as the routine ends and the screen fades to black.</t>
  </si>
  <si>
    <t>v_f0lxilPpXeM</t>
  </si>
  <si>
    <t>A man and woman are sitting behind a desk talking.</t>
  </si>
  <si>
    <t>A doctor is performing surgery in a room.</t>
  </si>
  <si>
    <t>A woman in a red shirt is standing at a counter talking.</t>
  </si>
  <si>
    <t>A woman wipes her mouth with a napkin.</t>
  </si>
  <si>
    <t>v_YeNlYRWhFzE</t>
  </si>
  <si>
    <t>An intro leads into several shots of a man riding a large wave of a surf board from various angles.</t>
  </si>
  <si>
    <t>One man is then interviewed by the cameraman and is shown again riding large waves in the ocean.</t>
  </si>
  <si>
    <t>Another man is interviewed by the camera and shows off his surfing skills on his board.</t>
  </si>
  <si>
    <t>v_k8ZXFB6xqZs</t>
  </si>
  <si>
    <t>A man is outside in a tennis court talking while he is holding a tennis racket.</t>
  </si>
  <si>
    <t>He goes on the court and with the racket and a ball from his pocket and hits it.</t>
  </si>
  <si>
    <t>He gives some very detailed information a for a while, tennis seems to be something he knows about very well.</t>
  </si>
  <si>
    <t>He shows how you should hit the ball properly and goes on talking some more.</t>
  </si>
  <si>
    <t>v_tkHJgKq3jTs</t>
  </si>
  <si>
    <t>woman is in an offece talking to a men that are decorating a christmas tree.</t>
  </si>
  <si>
    <t>man talks to the one who was standing by the tree and gives him a barbie.</t>
  </si>
  <si>
    <t>man walks to a woman and start talking in te corner of the room.</t>
  </si>
  <si>
    <t>man is holding a ball next to the christmas tree putting the balls.</t>
  </si>
  <si>
    <t>v_0IN40z63WAU</t>
  </si>
  <si>
    <t>A man is shown working out on several different pieces of exercise equipment as well as adjusting the settings.</t>
  </si>
  <si>
    <t>The man puts in a USB and continues to ride around on the machines.</t>
  </si>
  <si>
    <t>He adjusts more settings as well as watches tv when he works out and close ups of his feet and body shown.</t>
  </si>
  <si>
    <t>v_bWquUXC2Te8</t>
  </si>
  <si>
    <t>A man is seen looking to the camera wile holding a razor.</t>
  </si>
  <si>
    <t>He begins shaving his face while looking into the mirror.</t>
  </si>
  <si>
    <t>He points to the razor and continues shaving his face and looking to the camera.</t>
  </si>
  <si>
    <t>v_GSXP6BYeS-o</t>
  </si>
  <si>
    <t>1 A guy shows the tools to clip his cats nails.</t>
  </si>
  <si>
    <t>2 The guy wraps up the cat.</t>
  </si>
  <si>
    <t>3 The Guy cut the cats nails and the cat tries to bite him a few times.</t>
  </si>
  <si>
    <t>4 The guy lets the cat go.</t>
  </si>
  <si>
    <t>v_etqiXPKlthk</t>
  </si>
  <si>
    <t>A young man drinks six bottles of beer while a person stand on front him holding a chronometer.</t>
  </si>
  <si>
    <t>Then, the young man spits beer on the person who fall on the ground.</t>
  </si>
  <si>
    <t>After, the person stand sand take off his pants and t-shirt, then he crowls on the grass.</t>
  </si>
  <si>
    <t>v_l0aksT_7wKo</t>
  </si>
  <si>
    <t>A man is seen laying on the floor while speaking out loud and crossing his arms overs his chest.</t>
  </si>
  <si>
    <t>The man then does several crunches in various ways and ends by speaking to the camera.</t>
  </si>
  <si>
    <t>v_VcyO9tZ3NkY</t>
  </si>
  <si>
    <t>A roof is repaired by PVC.</t>
  </si>
  <si>
    <t>The roof is cleaned and the seal is made again.</t>
  </si>
  <si>
    <t>v_Q7R3ajucvyE</t>
  </si>
  <si>
    <t>The boy holds open his eyelids and places in a contact lens.</t>
  </si>
  <si>
    <t>The man tilts back his head and closes his eyes to adjust the contact lens.</t>
  </si>
  <si>
    <t>The man rubs his eyes then opens them wide to show the contacts.</t>
  </si>
  <si>
    <t>v_nDGhaYCgRiI</t>
  </si>
  <si>
    <t>people is in a gym doing exercise some push ups and stretching.</t>
  </si>
  <si>
    <t>men start settle the gym and bring some mats and strings to ge gym.</t>
  </si>
  <si>
    <t>people are balancing on the srings on the gym and jumping in the elastic bed in gym class.</t>
  </si>
  <si>
    <t>men and women are balancing on th string and doing tricks making jumps.</t>
  </si>
  <si>
    <t>v_PKdQIdYuXo8</t>
  </si>
  <si>
    <t>man is standing holding an harmonica while is playing the guitar and its reading the music sheet.</t>
  </si>
  <si>
    <t>man is teaching how to play the harmonica in the key of A and its talking and playing the guitar.</t>
  </si>
  <si>
    <t>v_ha40KZvmcEo</t>
  </si>
  <si>
    <t>Several clips are shown of people riding in water on kayaks.</t>
  </si>
  <si>
    <t>The people perform flips in the water while text is shown.</t>
  </si>
  <si>
    <t>More clips are shown of people riding in the water and doing flips in the kayaks.</t>
  </si>
  <si>
    <t>v_YApgx2YL9wM</t>
  </si>
  <si>
    <t>A firefighter is shown walking on a tight rope in his gear very slowly.</t>
  </si>
  <si>
    <t>He moves along the rope towards the end and walks back to the start until he fails.</t>
  </si>
  <si>
    <t>v_7vXt9RxeXWY</t>
  </si>
  <si>
    <t>A man is standing up behind him talking.</t>
  </si>
  <si>
    <t>The man on the mat has a brown belt around his waist.</t>
  </si>
  <si>
    <t>v_16Mq9vM7Nck</t>
  </si>
  <si>
    <t>Two people are seen walking out of a building and leads into them playing crochet with one another.</t>
  </si>
  <si>
    <t>The men continue hitting the ball around the yard while speaking to one another and measuring out the ball.</t>
  </si>
  <si>
    <t>The men continue playing and one holding out his arm and end by walking away.</t>
  </si>
  <si>
    <t>v_78je-JBAqxQ</t>
  </si>
  <si>
    <t>A man is blowing a whislet in front of a room filled with people.</t>
  </si>
  <si>
    <t>They are playing beer pong with several red solo cups, drinking in between plays.</t>
  </si>
  <si>
    <t>A blonde woman watches as a man wins the game, hugging the woman next to him.</t>
  </si>
  <si>
    <t>v_w5J3Gt5WLwU</t>
  </si>
  <si>
    <t>A water polo match is shown and a person scores goals.</t>
  </si>
  <si>
    <t>This is a recruiting video.</t>
  </si>
  <si>
    <t>v_HCraAphAW1A</t>
  </si>
  <si>
    <t>A person in a black t-shirt clips the nails on the front paws of a brown and tan speckled cat.</t>
  </si>
  <si>
    <t>A brown and tan speckled cat is lying on a white cushion when a person walks in holding a pair of red handled nail clippers.</t>
  </si>
  <si>
    <t>The person cuts the forepaws of the cat as the cat watches on.</t>
  </si>
  <si>
    <t>The person finishes cutting the cat's nails and pets the cats head and shows the clippers close to the camera before walking away.</t>
  </si>
  <si>
    <t>v_f0Z-qud2N74</t>
  </si>
  <si>
    <t>Two boys are wrestling in a bedroom.</t>
  </si>
  <si>
    <t>One boy is picked up and thrown on the bed.</t>
  </si>
  <si>
    <t>The boy turns off the camera.</t>
  </si>
  <si>
    <t>v_rrXdhD3WDy4</t>
  </si>
  <si>
    <t>A piercing artist inserts a bar into a woman's nipple.</t>
  </si>
  <si>
    <t>The man screws on hardware to the end of the piercing.</t>
  </si>
  <si>
    <t>The woman wearing a costume sits up and shows her new piercings.</t>
  </si>
  <si>
    <t>v_Sn8IRyUFNac</t>
  </si>
  <si>
    <t>A woman smoking a cigarette speaks to another about how much they need smoking.</t>
  </si>
  <si>
    <t>They continue talking about their smoking habit and what they can do to continue smoking if they please.</t>
  </si>
  <si>
    <t>v_aVDyPmUgHU0</t>
  </si>
  <si>
    <t>A man comes onto the screen to introduce a video about him trimming trees.</t>
  </si>
  <si>
    <t>He picks up a trimming saw and starts the engine.</t>
  </si>
  <si>
    <t>He climbs the ladder and begins trimming the tree.</t>
  </si>
  <si>
    <t>He looks back to the camera and smiles.</t>
  </si>
  <si>
    <t>v_FYv-2ehoGWo</t>
  </si>
  <si>
    <t>A blonde woman wearing a dress has two, side by side shots of her playing a violin.</t>
  </si>
  <si>
    <t>She plays two different melodies on the violin and finishes together at the same time, smiling at the camera.</t>
  </si>
  <si>
    <t>v_UIZN2F8pjzE</t>
  </si>
  <si>
    <t>A man is standing outside in the dark smoking a cigarette in front of a green garage.</t>
  </si>
  <si>
    <t>After,an image of a lung is shown and shows how cigarettes affect your organs.</t>
  </si>
  <si>
    <t>v_KKbfCtmIE0o</t>
  </si>
  <si>
    <t>A woman demonstrates how to do Tai Chi outside on the grass.</t>
  </si>
  <si>
    <t>The same woman demonstrates Tai Chi indoors on a stage.</t>
  </si>
  <si>
    <t>A second woman joins the first woman to help demonstrate.</t>
  </si>
  <si>
    <t>v_VeU_EBE-YPE</t>
  </si>
  <si>
    <t>There are several Seagull brand acoustic guitars are shown displayed in a store.</t>
  </si>
  <si>
    <t>A man dressed in black, seated on a stool is playing the acoustic guitar in the store where the guitars are displayed.</t>
  </si>
  <si>
    <t>The man continues playing the guitar.</t>
  </si>
  <si>
    <t>v_4CTczKzaPa4</t>
  </si>
  <si>
    <t>Several men stand around a pinata.</t>
  </si>
  <si>
    <t>A man spins a blindfolded man around.</t>
  </si>
  <si>
    <t>The blindfolded man takes a few swings at the pinata.</t>
  </si>
  <si>
    <t>A woman in red shirt laughs.</t>
  </si>
  <si>
    <t>v_DDZFQKi1v2U</t>
  </si>
  <si>
    <t>A woman is seen laying on the couch with another girl sitting above her.</t>
  </si>
  <si>
    <t>The girl is then shown piercing the nipple of the girl laying down.</t>
  </si>
  <si>
    <t>She finishes the piercing and ends by smiling to the camera.</t>
  </si>
  <si>
    <t>v_7c5vvEn3uLk</t>
  </si>
  <si>
    <t>A cowboy is riding on a horse in a large arena and is swinging his rope.</t>
  </si>
  <si>
    <t>The view changes to show a group of men with their horses and they're each holding onto their ropes and doing various things with them like tying and swinging them.</t>
  </si>
  <si>
    <t>The focus switches to a man talking whose name is Trevor Brazile and it flashes from him talking and then to clips of him riding his horse in different arenas as he is also wrangling a small calf.</t>
  </si>
  <si>
    <t>Another man by the name of Stran Smith is now talking and clips of him riding his horse in different arenas as he wrangles a calf also plays.</t>
  </si>
  <si>
    <t>Clips of both of men talking and clips of them riding horses and wrangling calves play and rotate between the two of them.</t>
  </si>
  <si>
    <t>The outro video begins and it shows a hanging banner at the arena that reads "CALGARY STAMPEDE", a woman riding a horse and holding a red flag that say's "1912-2012 Calgary Stampede",and a calf is running across a dirt field.</t>
  </si>
  <si>
    <t>v_hS4L3PMfYqA</t>
  </si>
  <si>
    <t>A person sings on front a crowd dressed on hip hop clothes.</t>
  </si>
  <si>
    <t>A man dance hip hop doing acrobatics moves with his hands and legs on the floor on front a crowd.</t>
  </si>
  <si>
    <t>People takes pictures and film the man who are behind the man.</t>
  </si>
  <si>
    <t>v_-5xWaBSwnjY</t>
  </si>
  <si>
    <t>woman is in a large green field holding a yellow frisbee and playing with a dog.</t>
  </si>
  <si>
    <t>a lot of acrs are parked in the street behind the alrge field.</t>
  </si>
  <si>
    <t>woman is throwing the frisbee to the dog.</t>
  </si>
  <si>
    <t>v_DxNIzbD6uD4</t>
  </si>
  <si>
    <t>A woman is seen speaking to the camera in front of a large exercise bar and begins standing on the equipment while speaking and using her hands.</t>
  </si>
  <si>
    <t>The woman continues to demonstrate how to properly execute the exercises while moving her arms and legs back and fourth.</t>
  </si>
  <si>
    <t>v_S4ppfXBp5o0</t>
  </si>
  <si>
    <t>There are three body builders exercising and working out in a small gym with weightlifting equipment.</t>
  </si>
  <si>
    <t>One of the body builders lifts the weight bar several times and then drops it down while the other two body builders watch him.</t>
  </si>
  <si>
    <t>Then he goes and wipes off his sweat with a towel and lifts the weight bar again and drops it.</t>
  </si>
  <si>
    <t>He then wears an abdominal belt and lifts the weight bar again and drops it.</t>
  </si>
  <si>
    <t>He struggles to lift the weight bar, lifts it slightly and then drops it down.</t>
  </si>
  <si>
    <t>v_Hujj6Q1Et3k</t>
  </si>
  <si>
    <t>A man wearing headphones stands behind a pair of large drums.</t>
  </si>
  <si>
    <t>The man plays drums with his palms.</t>
  </si>
  <si>
    <t>The man ceases playing the drums and turns away.</t>
  </si>
  <si>
    <t>v_Mcutz37Bowg</t>
  </si>
  <si>
    <t>A man lays out a scarf and puts some accessories in the middle of it.</t>
  </si>
  <si>
    <t>He ties the end and folds it into double knots.</t>
  </si>
  <si>
    <t>He opens it again and puts something else into the middle of it.</t>
  </si>
  <si>
    <t>Then pulls it together and it closes, he made a little bag out of a scarf.</t>
  </si>
  <si>
    <t>v_Lbdp-HCjWw8</t>
  </si>
  <si>
    <t>An introduction comes onto the screen for a video about how to play squash.</t>
  </si>
  <si>
    <t>Two men are shown on a squash court playing a game of squash.</t>
  </si>
  <si>
    <t>Text shows up on the screen showing the things you will need for the game.</t>
  </si>
  <si>
    <t>An indication shows on the screen letting you know the different lines.</t>
  </si>
  <si>
    <t>Tips for the game also show up on the screen.</t>
  </si>
  <si>
    <t>At the end of the video a text box shows up with a fun fact about squash.</t>
  </si>
  <si>
    <t>v_Vvco5y9PUFM</t>
  </si>
  <si>
    <t>A man cross a parking lot bouncing with bouncing shoes.</t>
  </si>
  <si>
    <t>There are car in the paring lot.</t>
  </si>
  <si>
    <t>v_YpXe04ALJw4</t>
  </si>
  <si>
    <t>Several people are outdoors enjoying the beach.</t>
  </si>
  <si>
    <t>In the middle of the sand however,there are a group of men playing a game of beach volley ball.</t>
  </si>
  <si>
    <t>After several hits,one man decides to kick the ball over the net and another man takes off running from the other side and tackles him in the dirt.</t>
  </si>
  <si>
    <t>v_dtT0BzjTStw</t>
  </si>
  <si>
    <t>A coach gives instructions to boys in a basketball court.</t>
  </si>
  <si>
    <t>Then, two young men demonstrate the boys how to pass and shoot the ball in the basket.</t>
  </si>
  <si>
    <t>After, the young man helps the boys throw the ball in the basket, while by two run passing the ball to shoot in a basket.</t>
  </si>
  <si>
    <t>Then, the boys practice basketball defense taking turns while running to the other side of the court.</t>
  </si>
  <si>
    <t>v_5t_hQVg9NsE</t>
  </si>
  <si>
    <t>Old clips are shown of a man drawing a picture and two children watching.</t>
  </si>
  <si>
    <t>The kids are then shown in several clips performing dives off a board and walk along the sides climbing back to the top.</t>
  </si>
  <si>
    <t>v_P14X14uarj0</t>
  </si>
  <si>
    <t>A person is seen passing a basketball all around a court to others and ending by shooting a basket.</t>
  </si>
  <si>
    <t>The group continues to pass the ball around to one another performing drills while the coach instructs.</t>
  </si>
  <si>
    <t>v_B0jASjqZl7s</t>
  </si>
  <si>
    <t>A man is seen speaking to the camera and leads of a clip of people riding down a snowy hill on tubes.</t>
  </si>
  <si>
    <t>More people are seen riding down the hill while pointing to one another.</t>
  </si>
  <si>
    <t>The group continues riding down the hill while also stopping to talk to the camera.</t>
  </si>
  <si>
    <t>v_qiw2I1oQIVQ</t>
  </si>
  <si>
    <t>Several black and white photos are being shown of people who played drums.</t>
  </si>
  <si>
    <t>A group of drum players gather, playing in a room.</t>
  </si>
  <si>
    <t>Their playing is interspersed with images of sheet music, then returns to their performance.</t>
  </si>
  <si>
    <t>v_Y5puaQ9oNVw</t>
  </si>
  <si>
    <t>The gymnasts run to and then did cartwheel and thumbling as he go through the end of the mat.</t>
  </si>
  <si>
    <t>The player jumped and cartwheel high.</t>
  </si>
  <si>
    <t>The male gymnast rotate up in the air and then he landed on the end of the mat.</t>
  </si>
  <si>
    <t>v_CBDFNn15G90</t>
  </si>
  <si>
    <t>Several shots are shown of forests that lead into a person gearing up and riding in a kayak.</t>
  </si>
  <si>
    <t>The person paddles themselves along the rough river as well as showing other people riding along.</t>
  </si>
  <si>
    <t>They move past rough waters along the river and end by sitting near one another.</t>
  </si>
  <si>
    <t>v_aJsAuChVmlY</t>
  </si>
  <si>
    <t>A woman is seen inside a bathroom.</t>
  </si>
  <si>
    <t>She is using a dryer to blow dry her hair.</t>
  </si>
  <si>
    <t>She occasionally uses a brush to help speed the process.</t>
  </si>
  <si>
    <t>v_k67UWfSt-iE</t>
  </si>
  <si>
    <t>A small group of people are seen playing a game of volleyball while people watch along the sidelines.</t>
  </si>
  <si>
    <t>The players hit the ball several times over the net as well as chasing after the ball.</t>
  </si>
  <si>
    <t>The continue to play the game while others cheer and high five one another after.</t>
  </si>
  <si>
    <t>v_mJQS2T-IVWc</t>
  </si>
  <si>
    <t>A man in a hard hat walks across a yard to a metal structure.</t>
  </si>
  <si>
    <t>He adjusts a ladder and leans it up against the structure, walks back to look, and adjusts it a couple more times.</t>
  </si>
  <si>
    <t>When satisfied, he tightens a strap, and grabs a second ladder.</t>
  </si>
  <si>
    <t>He climbs up, taking this one with him.</t>
  </si>
  <si>
    <t>v_LLD4SapVrgQ</t>
  </si>
  <si>
    <t>BMX waiting at the gate for the gate to come down and the race to begin.</t>
  </si>
  <si>
    <t>They take off on the track going really fast through it really fast.</t>
  </si>
  <si>
    <t>Florida has several locations for BMXing if you love to do it and don't know where to go, they have 1500 licensed riders and 30 sponsored teams.</t>
  </si>
  <si>
    <t>They even have some bikes for mini riders that want to be like their daddy's.</t>
  </si>
  <si>
    <t>v_TJFl99tLNWk</t>
  </si>
  <si>
    <t>Different shades of nail polish bottles are seen.</t>
  </si>
  <si>
    <t>Pieces of taper are wrapped around the tips of fingers around the nails.</t>
  </si>
  <si>
    <t>Different shades of nail polish are applied to a foam pad then dabbed on the finger nails.</t>
  </si>
  <si>
    <t>A clear coating is coating is applied onto the nails.</t>
  </si>
  <si>
    <t>The tape is removed and the edges are cleaned up with nail polish remover solution.</t>
  </si>
  <si>
    <t>v_5zPTTiJiXUY</t>
  </si>
  <si>
    <t>A woman is sitting in a car barefoot, trying to drive.</t>
  </si>
  <si>
    <t>She lights a cigarette as she drives.</t>
  </si>
  <si>
    <t>v_mQCFphhDFw8</t>
  </si>
  <si>
    <t>A man in yellow shirt and black tights, walked towards the bike, bend over and unscrew the screw.</t>
  </si>
  <si>
    <t>The man in yellow shirt took out his tools from his pocket, he took off the bike wheel from the bike, pull out a yellow tool, insert it between the rubber and metal, removed the rubber inside the tire, tried to find the hole, took a square cloth, wipe the tire, then put the sticker, he pumped the rubber then put it back in the tire.</t>
  </si>
  <si>
    <t>The person screw the wheel back to the bike.</t>
  </si>
  <si>
    <t>v_WWip1_lFvGg</t>
  </si>
  <si>
    <t>A person holds their eye open.</t>
  </si>
  <si>
    <t>They put a contact lens in the eye.</t>
  </si>
  <si>
    <t>They then take the contact lens out of their eye.</t>
  </si>
  <si>
    <t>v_c4GQ3WTOeAA</t>
  </si>
  <si>
    <t>A small child is seen sitting on a coach opening a present.</t>
  </si>
  <si>
    <t>The camera pans all around her while she opens the present and smiles to the camera.</t>
  </si>
  <si>
    <t>She continues to try to open the box while looking and smiling.</t>
  </si>
  <si>
    <t>v_k_z03d9w_Mk</t>
  </si>
  <si>
    <t>A woman and man wearing matching green color dance on stage during a performance.</t>
  </si>
  <si>
    <t>The man spins his partner during the dance.</t>
  </si>
  <si>
    <t>The dancers kick up there feet while dancing.</t>
  </si>
  <si>
    <t>v_qknJO39WUGk</t>
  </si>
  <si>
    <t>A boy talks to the camera.</t>
  </si>
  <si>
    <t>The boy scrubs a metal sink with a brush.</t>
  </si>
  <si>
    <t>The boy switches his grip on the brush.</t>
  </si>
  <si>
    <t>v_aaMrQi25WHc</t>
  </si>
  <si>
    <t>Three people sit on front the ocean.</t>
  </si>
  <si>
    <t>A man surfs on a small wave, then fly in the air and lands on the shore.</t>
  </si>
  <si>
    <t>A person takes picture to the surfer.</t>
  </si>
  <si>
    <t>The man continues surfing, spinning and jumping, after he takes his surfboard and walks on the beach.</t>
  </si>
  <si>
    <t>A surfer turn over in a wave.</t>
  </si>
  <si>
    <t>v_8K_gkiWH5EI</t>
  </si>
  <si>
    <t>A surfer is standing in the ocean current.</t>
  </si>
  <si>
    <t>A couple of other surfers join him as they surf into the waves.</t>
  </si>
  <si>
    <t>They rides the waves to the shore together.</t>
  </si>
  <si>
    <t>v_kIIAJsYMjyc</t>
  </si>
  <si>
    <t>A man is seen sitting on the floor and jumping to a standing position.</t>
  </si>
  <si>
    <t>he then goes back in to a kneeling position and jumps to his feet again.</t>
  </si>
  <si>
    <t>The same man does this two more times.</t>
  </si>
  <si>
    <t>v_MRt7pz2OY5M</t>
  </si>
  <si>
    <t>A black intro screen appears and it has the words SUPER WASH in the middle.</t>
  </si>
  <si>
    <t>A red car and a car behind it is at a car wash and both of them are being worked on by two sets of people at each car.</t>
  </si>
  <si>
    <t>Now there are 3 cars visible and the same men are working on washing the red car while another man starts working on the 3rd car that's to the side of the red car and all the cars continue to get washed.</t>
  </si>
  <si>
    <t>The red car is parked outside of the building and it's clean, dry and very shiny.</t>
  </si>
  <si>
    <t>v_i69NhEDno_M</t>
  </si>
  <si>
    <t>People are driving a car down a street.</t>
  </si>
  <si>
    <t>They are paddling in a boat down a river.</t>
  </si>
  <si>
    <t>A man is standing in the water holding an oar.</t>
  </si>
  <si>
    <t>v_rwUlqI6HWyY</t>
  </si>
  <si>
    <t>A chef in a white chef’s uniform stands in an empty commercial kitchen and demonstrates how to make an omelette.</t>
  </si>
  <si>
    <t>A chef stands in a kitchen talks to the camera before taking an egg and pouring it into a mini black skillet.</t>
  </si>
  <si>
    <t>The chef maneuvers the egg over the stove with a fork gently prodding it.</t>
  </si>
  <si>
    <t>The chef then fold the egg in half in the skillet and plates it on a white plate before turning to the camera and talking again.</t>
  </si>
  <si>
    <t>v_RWTLd_0BeAg</t>
  </si>
  <si>
    <t>Two girls are dancing and twirling batons on a gym floor.</t>
  </si>
  <si>
    <t>One of the girls leaves and the other girl continues dancing alone.</t>
  </si>
  <si>
    <t>She starts throwing the batons in the air.</t>
  </si>
  <si>
    <t>The second girl joins her again and they finish dancing.</t>
  </si>
  <si>
    <t>v_b2YyPJ02NNQ</t>
  </si>
  <si>
    <t>We see a babies and kids playing.</t>
  </si>
  <si>
    <t>Kids walk on silts in circles.</t>
  </si>
  <si>
    <t>The kids walk in lines on their stilts.</t>
  </si>
  <si>
    <t>A man helps a girl walk on slits.</t>
  </si>
  <si>
    <t>A kid on stilts falls to their knees.</t>
  </si>
  <si>
    <t>Kids walk in a circle on their stilts.</t>
  </si>
  <si>
    <t>I see a closing screen and it fade to black.</t>
  </si>
  <si>
    <t>v_jJNDLjhemaE</t>
  </si>
  <si>
    <t>We see an indoor hockey game.</t>
  </si>
  <si>
    <t>The goalie blocks a shot and a handful of players fight over the puck.</t>
  </si>
  <si>
    <t>The puck hits the referee and knocks him over.</t>
  </si>
  <si>
    <t>The goalie blocks a shot.</t>
  </si>
  <si>
    <t>v_BahcBS2r0es</t>
  </si>
  <si>
    <t>Several children sit along a pool.</t>
  </si>
  <si>
    <t>They are all wearing flippers.</t>
  </si>
  <si>
    <t>A girl is underwater wearing scuba gear.</t>
  </si>
  <si>
    <t>Several children practice wearing scuba gear.</t>
  </si>
  <si>
    <t>v_j-FGgYaQVio</t>
  </si>
  <si>
    <t>A woman in an office is holding a pair of grooming clippers while standing next to a black dog who is standing on a table next to her while tethered to a metal pole on the table.</t>
  </si>
  <si>
    <t>The woman begins to groom the dogs face with the clippers.</t>
  </si>
  <si>
    <t>The woman then begins to groom under the dogs front legs.</t>
  </si>
  <si>
    <t>Finally, the woman grooms the dogs back legs and tail before a blue and white advertising sign populates.</t>
  </si>
  <si>
    <t>v_WJ4tCIdAgVo</t>
  </si>
  <si>
    <t>A girl is tying a blind fold around another while several children on look and an adult holds the girl in place.</t>
  </si>
  <si>
    <t>The girl is then handed a bat and attempts to break open a pinata.</t>
  </si>
  <si>
    <t>The girl succeeds in breaking the pinata and the children get very excited.</t>
  </si>
  <si>
    <t>v_MDdCBN1o2sE</t>
  </si>
  <si>
    <t>A camera pans all around the sky and shows a close up of a kite.</t>
  </si>
  <si>
    <t>A person is seen standing on the ground and pans back to the kite.</t>
  </si>
  <si>
    <t>The kite continues to move in the air while a person continue flying it.</t>
  </si>
  <si>
    <t>v_fZ729TTJq8g</t>
  </si>
  <si>
    <t>We see a bike tire and a man interviews BMX bike riders.</t>
  </si>
  <si>
    <t>We see the riders names and countries.</t>
  </si>
  <si>
    <t>The men wait then take off riding around the track.</t>
  </si>
  <si>
    <t>A man falls off his bike and the bike slides.</t>
  </si>
  <si>
    <t>Another man falls off his bike and is almost run over.</t>
  </si>
  <si>
    <t>The man interviews two men after the race and the screen goes green.</t>
  </si>
  <si>
    <t>v_zEyFuCsJh3Y</t>
  </si>
  <si>
    <t>People are working out on cycle bikes in a gym.</t>
  </si>
  <si>
    <t>A woman in the front stands up and pedals on the bike.</t>
  </si>
  <si>
    <t>A banner hanging on the wall is shown.</t>
  </si>
  <si>
    <t>v_3nvVkcxxaJ4</t>
  </si>
  <si>
    <t>A man in black is sitting and playing at a piano while a man in red is standing near drums.</t>
  </si>
  <si>
    <t>As the man in black plays, the man in red is rolling up a wire.</t>
  </si>
  <si>
    <t>The man in red begins bobbing his head to the beat of the piano music.</t>
  </si>
  <si>
    <t>The man then places the wire down.</t>
  </si>
  <si>
    <t>v_N6vpa6BarX4</t>
  </si>
  <si>
    <t>A boat is seen riding along the water with people sitting on the sides and watching.</t>
  </si>
  <si>
    <t>A young boy is then seen swimming underwater that leads into people riding the boat and driving around a city.</t>
  </si>
  <si>
    <t>The camera continues to pan around the city as well as the nightlife.</t>
  </si>
  <si>
    <t>v_ujWG6rjlN3s</t>
  </si>
  <si>
    <t>woman are practicing jumps in a cheerlading team.</t>
  </si>
  <si>
    <t>woman is laying down in a bed and a man is assisting her.</t>
  </si>
  <si>
    <t>v_0gkxTQGR6zI</t>
  </si>
  <si>
    <t>There are two people dressed in red shirts and blue shorts playing ping pong in a large stadium with lots of spectators watching them.</t>
  </si>
  <si>
    <t>The players play a long round of ping pong as they continue to maintain a great rally.</t>
  </si>
  <si>
    <t>The player on the right slices the ball across the ping pong table as he returns the ball to his opponent.</t>
  </si>
  <si>
    <t>The opponent manages to return the ball without missing it.</t>
  </si>
  <si>
    <t>They continue to play a great rally as one of the players literally jumps on the ping pong table to return the ball.</t>
  </si>
  <si>
    <t>The other player falls down on the ground trying to hit the ball back to his opponent.</t>
  </si>
  <si>
    <t>v_Va3NsrY1DJ8</t>
  </si>
  <si>
    <t>A man is on a tighrope in the snowy woods.</t>
  </si>
  <si>
    <t>He bounches high into the air, off the rope and back on.</t>
  </si>
  <si>
    <t>He continues this action throughout the video.</t>
  </si>
  <si>
    <t>v_GVn7MSMHXxk</t>
  </si>
  <si>
    <t>A teen boy is running on the beach.</t>
  </si>
  <si>
    <t>A dog is chasing him, trying to catch his frisbee.</t>
  </si>
  <si>
    <t>He throws the frisbee, and the dog jumps into the air to catch it.</t>
  </si>
  <si>
    <t>v__0sDAdyMtnk</t>
  </si>
  <si>
    <t>We see a man conducting an orchestra.</t>
  </si>
  <si>
    <t>We see a lady in a blue dress is playing in front of the other players.</t>
  </si>
  <si>
    <t>We see the lady from the back, and we see the other players.</t>
  </si>
  <si>
    <t>We see a shot of the whole orchestra.</t>
  </si>
  <si>
    <t>We see the basoon players playing.</t>
  </si>
  <si>
    <t>We fade to black and the video ends.</t>
  </si>
  <si>
    <t>v_bd3Df5_QMNw</t>
  </si>
  <si>
    <t>A picture of a dog in shown in a tub and leads into hands holding tools and a dog wandering around a tub.</t>
  </si>
  <si>
    <t>The person puts toothpaste onto a brush and brushes the dog's teeth back and fourth.</t>
  </si>
  <si>
    <t>Finally she puts gel in the dog's mouth and the dog is seen sitting on a bed waving to the camera.</t>
  </si>
  <si>
    <t>v_X5_KlfVvi6E</t>
  </si>
  <si>
    <t>Two woman are seen performing on a stage with one playing a flute and the other playing the piano.</t>
  </si>
  <si>
    <t>The women play a song while the camera zooms in on the flute player and them bowing and leaving in the end.</t>
  </si>
  <si>
    <t>v_NtX9Q0QX3sw</t>
  </si>
  <si>
    <t>A man cleans a window using a soft squeegee with detergent while explaining, then the man takes a steel wiper to clean the detergent on the window.</t>
  </si>
  <si>
    <t>Then, the man applies more detergent with the soft squeegee, then clean with the steep wiper.</t>
  </si>
  <si>
    <t>After, the man wash again the window using the soft squeegee and the steel wipe while explaining the procedure.</t>
  </si>
  <si>
    <t>v_TfFVoogTDJY</t>
  </si>
  <si>
    <t>The bikers are biking on the ramp, while on the starting line the group of bikers are in positioned.</t>
  </si>
  <si>
    <t>The small fence was put down the the bikers went bike racing over the big ramps.</t>
  </si>
  <si>
    <t>The spectators are on the side of the tracks.</t>
  </si>
  <si>
    <t>v_a6Wwa7qvlrA</t>
  </si>
  <si>
    <t>A man holds an iron that pass on top a painting.</t>
  </si>
  <si>
    <t>A man snowboard down a hill holding a stick.</t>
  </si>
  <si>
    <t>Snow flying in the air lands on the face of the man, then the man continue snowboarding.</t>
  </si>
  <si>
    <t>After, the man arrives to the ski station.</t>
  </si>
  <si>
    <t>v_cyJAifECfH0</t>
  </si>
  <si>
    <t>A man is seen bending down before a heavy set of weights.</t>
  </si>
  <si>
    <t>The man then bends down and lifts the weights over his head.</t>
  </si>
  <si>
    <t>He continues to hold the weights up and throws them down in the end while walking away.</t>
  </si>
  <si>
    <t>v_2QeU2xYPdWE</t>
  </si>
  <si>
    <t>A woman prepares for a shot put throw swinging her arms on a sporting field.</t>
  </si>
  <si>
    <t>The athlete winds back her shoulders than spins her body throwing a shot put.</t>
  </si>
  <si>
    <t>v_Paus1tL8KjE</t>
  </si>
  <si>
    <t>Several young men board a small powered boat on a very nice and sunny day.</t>
  </si>
  <si>
    <t>The slowly back the boat out to go water skiing.</t>
  </si>
  <si>
    <t>The boat leaves the dock and they're off.</t>
  </si>
  <si>
    <t>After picking up speed on the powered boat, their friends jump off and have a great time.</t>
  </si>
  <si>
    <t>A line of rope is thrown out for them to grab onto and it begins.</t>
  </si>
  <si>
    <t>They pick up speed and a young woman is skiing on the water at a very brisk pace.</t>
  </si>
  <si>
    <t>She goes back and forth and side to side in slow motion.</t>
  </si>
  <si>
    <t>The friends look back to see how she is doing.</t>
  </si>
  <si>
    <t>A young man is shown skiing on the water and is doing a great job.</t>
  </si>
  <si>
    <t>After he is done he lets go of the line and continues to ski on the water, only to fall back.</t>
  </si>
  <si>
    <t>v_kF7p6irju1Q</t>
  </si>
  <si>
    <t>A couple of women are shown inside a gym.</t>
  </si>
  <si>
    <t>One woman talks to the camera while another shows off dance moves.</t>
  </si>
  <si>
    <t>She demonstrates different ballet moves and positions.</t>
  </si>
  <si>
    <t>v_NrKBxbZXXg4</t>
  </si>
  <si>
    <t>People are rafting down a choppy river.</t>
  </si>
  <si>
    <t>A blue raft goes down a high waterfall.</t>
  </si>
  <si>
    <t>v_VkJ03vm8FJk</t>
  </si>
  <si>
    <t>Two men are holding a flute while one blows and the other moves his hands.</t>
  </si>
  <si>
    <t>An orchestra shows behind the men while they continue playing on the same instrument.</t>
  </si>
  <si>
    <t>The men continue playing until the song is finished and take a bow as the band claps.</t>
  </si>
  <si>
    <t>v_eCNng1eGQ_0</t>
  </si>
  <si>
    <t>We see the title screen on a red background.</t>
  </si>
  <si>
    <t>We see women playing lacrosse.</t>
  </si>
  <si>
    <t>We see the players through the net of a goal.</t>
  </si>
  <si>
    <t>We see a lady in pink talking to the camera.</t>
  </si>
  <si>
    <t>We then see a lady in a blue shirt talking.</t>
  </si>
  <si>
    <t>A lady in a backpack talks to the camera.</t>
  </si>
  <si>
    <t>We then see the ending screen and black.</t>
  </si>
  <si>
    <t>v_NAl-SP-92dI</t>
  </si>
  <si>
    <t>A "Monkeysee com" logo appears on screen with the tagline "See how the experts do it.</t>
  </si>
  <si>
    <t>" A young man stands in the foreground speaking while a female cheerleader stands behind him performing routines.</t>
  </si>
  <si>
    <t>The copyright and logo screen appears on a black screen.</t>
  </si>
  <si>
    <t>v_VOxaxr5LPiQ</t>
  </si>
  <si>
    <t>A shop attendant holds up the hula hoop and shows how to grip it.</t>
  </si>
  <si>
    <t>The woman drops the hoop and lets it spin around her body to the ground.</t>
  </si>
  <si>
    <t>The woman drops the hula hoop and lets it spin around her body then catches it.</t>
  </si>
  <si>
    <t>The woman practices swinging the hoop between two legs.</t>
  </si>
  <si>
    <t>The woman catches the spinning hula hoop as it falls between her legs.</t>
  </si>
  <si>
    <t>The woman spins the hoop upwards around her body.</t>
  </si>
  <si>
    <t>v_ck05xSh9-ig</t>
  </si>
  <si>
    <t>A guy is wiping a car tire.</t>
  </si>
  <si>
    <t>A female walks from driver side lightly rubbing a black cloth on the join the guy.</t>
  </si>
  <si>
    <t>The female throws the black cloth on a car directly above the tire the man is cleaning.</t>
  </si>
  <si>
    <t>The man picks up the black cloth, drops the rug on the sidewalk, and uses it to wipe the tire.</t>
  </si>
  <si>
    <t>v_zE1l4avJZaU</t>
  </si>
  <si>
    <t>A person is making a bow out of ribbon.</t>
  </si>
  <si>
    <t>They tie the ribbon onto a wrapped package.</t>
  </si>
  <si>
    <t>They tape the bow they made onto the package.</t>
  </si>
  <si>
    <t>v_y3Ll1puxM8c</t>
  </si>
  <si>
    <t>A black screen appears and the white words read "Nevena &amp; Goran Rodry-Go! El Mambo del Tra".</t>
  </si>
  <si>
    <t>A man and woman appear outdoors on a concrete brick deck and they begin dancing a routine in unison that include arm movements, steps, spins and various other dance moves.</t>
  </si>
  <si>
    <t>They stop dancing and the woman walks closer to the camera and sings to it while the man behind her dances along.</t>
  </si>
  <si>
    <t>She stops singing and they both laugh and walk away.</t>
  </si>
  <si>
    <t>v_wxoe1M2L4Qo</t>
  </si>
  <si>
    <t>A camera records a shop with two people standing inside, eventually leading over to a group of people standing by docks.</t>
  </si>
  <si>
    <t>A man walks down the docks while another holds a bucket and the camera pans to a woman talking.</t>
  </si>
  <si>
    <t>The woman puts on a vest and goggles and walks down into a boat.</t>
  </si>
  <si>
    <t>She talks to the camera while adjusting her goggles and is led over to the water wearing a tank.</t>
  </si>
  <si>
    <t>She hops in the water with the man and climbs back into the boat talking to the camera.</t>
  </si>
  <si>
    <t>v_Z8yNbpjUSLc</t>
  </si>
  <si>
    <t>A woman is in a kitchen talking about how to make lemonde.</t>
  </si>
  <si>
    <t>She presents various ingredients that you need to have.</t>
  </si>
  <si>
    <t>She blends all the juices together into a grinder to make a mixture.</t>
  </si>
  <si>
    <t>She then pours the mixture into a glass and drinks the juice.</t>
  </si>
  <si>
    <t>v_3zT7x5jZEfI</t>
  </si>
  <si>
    <t>Several shots of an audience cheering are shown as well as many clips of impressive sports events happening.</t>
  </si>
  <si>
    <t>People hit volleyballs back and fourth to one another while also showing clips of the people celebrating with their team mates.</t>
  </si>
  <si>
    <t>v_DXG4djsPk7s</t>
  </si>
  <si>
    <t>A person is wind surfing out on a lake.</t>
  </si>
  <si>
    <t>Other windsurfers pass behind him.</t>
  </si>
  <si>
    <t>v_lrxLP-R_ILw</t>
  </si>
  <si>
    <t>A girl does a tutorial on how to pack a bag.</t>
  </si>
  <si>
    <t>She then gives ballerina tips, especially on how to treat one's feet right.</t>
  </si>
  <si>
    <t>v_LFbW1KVHT8s</t>
  </si>
  <si>
    <t>a elder man is on water standing on a jet ski.</t>
  </si>
  <si>
    <t>The man begins to jet ski.</t>
  </si>
  <si>
    <t>The man takes on hand off of the handle.</t>
  </si>
  <si>
    <t>The man places both hands back on the handle and jet skis.</t>
  </si>
  <si>
    <t>v_gjyT6Rt985k</t>
  </si>
  <si>
    <t>A man walking very slowly toward a woman as she walks slowly towards him.</t>
  </si>
  <si>
    <t>They meet up and begin their dance, it is very intense and very well done, they work very well together,when they are done they bow and high five each other while the audience cheers for them.</t>
  </si>
  <si>
    <t>Then one of the judges stands up and speaks to them, causing them to smile and be more ecstatic.</t>
  </si>
  <si>
    <t>Another female judge critics them and the woman dancer runs up and hugs them, then the final judge tells them what he thinks of their performance.</t>
  </si>
  <si>
    <t>v_7PSicg5Q2ZI</t>
  </si>
  <si>
    <t>A woman in a green shirt stands in a kitchen.</t>
  </si>
  <si>
    <t>She stands in front of several ingredients.</t>
  </si>
  <si>
    <t>She cuts a lemon in half.</t>
  </si>
  <si>
    <t>She laughs a lot throughout the video.</t>
  </si>
  <si>
    <t>v_ze4292jVUcQ</t>
  </si>
  <si>
    <t>A group of people in swim caps are playing volleyball in an outdoor pool, surrounded by a spattering of onlookers, and an upright digital scoreboard.</t>
  </si>
  <si>
    <t>A yellow ball flies into the right side of the pool and the people in the pool swim and move it to the left side of the pool, while a man in all white tracks them from the side of the pool on a raised cement border.</t>
  </si>
  <si>
    <t>A person in the front spikes the yellow ball against a blue goal and past a goal blocker in the pool.</t>
  </si>
  <si>
    <t>A person on the far left of the pool throws the ball into the right side of the pool where all of the players swim to follow it.</t>
  </si>
  <si>
    <t>v_A7PBp9PDW80</t>
  </si>
  <si>
    <t>A young boy is seen looking off into the distance as well as a girl.</t>
  </si>
  <si>
    <t>People are seen walking inside followed by clips of people fencing.</t>
  </si>
  <si>
    <t>More shots are shown of people practicing and a girl bumping into an older man.</t>
  </si>
  <si>
    <t>v_X2LI_I_qw-A</t>
  </si>
  <si>
    <t>A group of kids are hanging out by a picnic table.</t>
  </si>
  <si>
    <t>A young girl peels potatoes.</t>
  </si>
  <si>
    <t>A young boy cuts the potatoes.</t>
  </si>
  <si>
    <t>v_7uumfT4aGLU</t>
  </si>
  <si>
    <t>A male gymnast is in an arena full of people and grabs two bars to begin his routine.</t>
  </si>
  <si>
    <t>After he is on the bars,he does several flips and turns before landing his performance and leaving the mat.</t>
  </si>
  <si>
    <t>v_RAaRFD5M8h4</t>
  </si>
  <si>
    <t>A close up of a dog is seen with a person holding a razor.</t>
  </si>
  <si>
    <t>The person then holds up the dogs face and begins trimming around it's eyes.</t>
  </si>
  <si>
    <t>The person continues shaving and ends by combing it's face.</t>
  </si>
  <si>
    <t>v_R586XlFT7Go</t>
  </si>
  <si>
    <t>A woman is seen speaking to the camera and leads into a woman running and interviewing other runners.</t>
  </si>
  <si>
    <t>She interviews two twins while running and the news shows off other runners in the area.</t>
  </si>
  <si>
    <t>v_M96TST6CN4M</t>
  </si>
  <si>
    <t>A large man is seen bending down on his knees moving his arms around and looking off into the distance.</t>
  </si>
  <si>
    <t>The man continues moving all around on the mat performing various martial arts moves and moving back and fourth to the camera.</t>
  </si>
  <si>
    <t>v_7QvvqWJRwNo</t>
  </si>
  <si>
    <t>People are sliding down a snowy slope with inflated tires.</t>
  </si>
  <si>
    <t>A child stands in the tire and jumps for joy.</t>
  </si>
  <si>
    <t>An adult gets up and pulls both tires.</t>
  </si>
  <si>
    <t>v_3VkqckKyshc</t>
  </si>
  <si>
    <t>A man dressed in a camouflaged suit is standing in a large grassy field with other people and he's pulling on a string we can barely see.</t>
  </si>
  <si>
    <t>There are a lot of other people moving around on the field doing their own thing.</t>
  </si>
  <si>
    <t>The camera angles are changing and when we get a close up of the man we can finally see the string he is pulling on.</t>
  </si>
  <si>
    <t>v_V90aT-d_FKo</t>
  </si>
  <si>
    <t>A woman is bathing two white colored puppies in an orange tub filled with water.</t>
  </si>
  <si>
    <t>She is joined by a man wearing a wrist watch, who helps the woman bathe the two puppies.</t>
  </si>
  <si>
    <t>One of the puppies tries to step out of the tub and the man holds him and puts him back in.</t>
  </si>
  <si>
    <t>The woman continues washing the puppies.</t>
  </si>
  <si>
    <t>v_OM0jqPYx700</t>
  </si>
  <si>
    <t>A man in black shirt wipe the table with white cloth.</t>
  </si>
  <si>
    <t>The white lights are reflected on the table.</t>
  </si>
  <si>
    <t>The man wipe the edge of the table with white rag.</t>
  </si>
  <si>
    <t>v__0mR06FcftE</t>
  </si>
  <si>
    <t>A woman is doing a tutorial on how to clean a kitchen sink with baking soda, a toothbrush and cloth rag.</t>
  </si>
  <si>
    <t>She first takes some baking soda on the rag and scrubs it on the sink.</t>
  </si>
  <si>
    <t>Then she takes the toothbrush and dips it in the baking soda.</t>
  </si>
  <si>
    <t>she brushes the toothbrush on the sink edges to clean it.</t>
  </si>
  <si>
    <t>She turns on the tap and washes the baking soda off of the sink.</t>
  </si>
  <si>
    <t>Then she takes some vinegar on the wash cloth and wipes the sink down with it.</t>
  </si>
  <si>
    <t>v_wlAnWPxnQ8k</t>
  </si>
  <si>
    <t>girlwearnig a purple body is in fornt of a balance pole and make a jump to stands on top.</t>
  </si>
  <si>
    <t>the girl is doing gymnastics on top of balance beam.</t>
  </si>
  <si>
    <t>people in the stands around the court are watching the kid doing gymnastics.</t>
  </si>
  <si>
    <t>the girl make a big somersault and lands on the floor.</t>
  </si>
  <si>
    <t>v_jEN2smSwZ-o</t>
  </si>
  <si>
    <t>A man with tattoed arms swabs the ear of young lady with an ear swab.</t>
  </si>
  <si>
    <t>The lady stand up and looks at herself in the mirror.</t>
  </si>
  <si>
    <t>She lays down on a black medical chair and the man pierces her ear's tragus with medical tools.</t>
  </si>
  <si>
    <t>The lady looks at herself and her new piercing in the mirror, smiles and gives two thumbs up.</t>
  </si>
  <si>
    <t>The words "If you want to know anything else about piercing just comment or message me:) New beauty videos along with a makeup collection will be up soon Bveeees&lt;3" appear on screen.</t>
  </si>
  <si>
    <t>v_RW7LEc-Ykh8</t>
  </si>
  <si>
    <t>A gymnast walks up to a beam, preparing himself.</t>
  </si>
  <si>
    <t>He mounts the beam, then does several acts around it, including spinning and flipping.</t>
  </si>
  <si>
    <t>He dismounts and walks away.</t>
  </si>
  <si>
    <t>v_SthTqCtPg7s</t>
  </si>
  <si>
    <t>A camera captures a net in front of the sky and shows two people preparing ropes for bungee jumping.</t>
  </si>
  <si>
    <t>The camera man jumps off the ledge and shows his feet while spinning around.</t>
  </si>
  <si>
    <t>Another camera captured his jump from the bottom and leads into several people waiting at the bottom and driving away.</t>
  </si>
  <si>
    <t>v_uC27rJLCn70</t>
  </si>
  <si>
    <t>A young boy in a blue jacket pulls onto a donut snow tube.</t>
  </si>
  <si>
    <t>Two young kids watch him.</t>
  </si>
  <si>
    <t>The whole group goes down the snow.</t>
  </si>
  <si>
    <t>v_pYUqRy9Ujaw</t>
  </si>
  <si>
    <t>man is wearing a back wetsuit doing windsurf in a lake.</t>
  </si>
  <si>
    <t>man is windsurfing in a lake doing tricks.</t>
  </si>
  <si>
    <t>he man windsurfing say hi to the camera.</t>
  </si>
  <si>
    <t>v_ObqrS-ZONKM</t>
  </si>
  <si>
    <t>A couple is seen performing a tango routine with one another in a small room.</t>
  </si>
  <si>
    <t>The people continue spinning and dancing all around the room and ends with them stopping and facing the camera.</t>
  </si>
  <si>
    <t>v_s3JuGKwna6o</t>
  </si>
  <si>
    <t>A group sits at a cafe table and enjoys cafe and pastries.</t>
  </si>
  <si>
    <t>The women pass condiments to each other.</t>
  </si>
  <si>
    <t>A small group sits on a balcony and talk.</t>
  </si>
  <si>
    <t>v_VEzhpSPnBrY</t>
  </si>
  <si>
    <t>A man is kneeling down on the ground.</t>
  </si>
  <si>
    <t>He is pulling on a cord that is attached to the wall.</t>
  </si>
  <si>
    <t>He continues pulling on the cord and working out.</t>
  </si>
  <si>
    <t>v_M4IUb6kp2yo</t>
  </si>
  <si>
    <t>A man walks up to a hedge carrying a large pair of hedge trimmers.</t>
  </si>
  <si>
    <t>He shows how to trim the hedges neatly, going down them a little at a time.</t>
  </si>
  <si>
    <t>He stops, talking to the camera as he goes.</t>
  </si>
  <si>
    <t>v_gzuLIo5ZR9A</t>
  </si>
  <si>
    <t>We see a little girl holding the leash for a big dog.</t>
  </si>
  <si>
    <t>The little girl falls and drops the leash.</t>
  </si>
  <si>
    <t>The little girl then follows the dog to get the leash.</t>
  </si>
  <si>
    <t>She gets the leash and walks the dog.</t>
  </si>
  <si>
    <t>v_wuZkli4TSZQ</t>
  </si>
  <si>
    <t>A woman is seen standing before pinata and swinging a bat.</t>
  </si>
  <si>
    <t>People watch on the side as the woman continue to hit the object.</t>
  </si>
  <si>
    <t>The woman swings over and over and a man comes into frame to kick it.</t>
  </si>
  <si>
    <t>v_DlJPKOVd0bA</t>
  </si>
  <si>
    <t>A group of children are standing outside a building.</t>
  </si>
  <si>
    <t>Adults supervise them as an officer walks by.</t>
  </si>
  <si>
    <t>The kids perform various exercises led by the adults.</t>
  </si>
  <si>
    <t>v_AS0hqTk_mIs</t>
  </si>
  <si>
    <t>In 2009, a man is shown sitting at a table.</t>
  </si>
  <si>
    <t>He has two rubik's cubes in front of him.</t>
  </si>
  <si>
    <t>As a timer runs, he solves the puzzle using only one hand.</t>
  </si>
  <si>
    <t>He jumps up in victory after only 17 seconds.</t>
  </si>
  <si>
    <t>v_DrigU09Wf7k</t>
  </si>
  <si>
    <t>The person is climbing on the stairs as the waves hit them, the surfers are surfing over the strong waves.</t>
  </si>
  <si>
    <t>Two people carrying their surfboards are climbing on the stairs.</t>
  </si>
  <si>
    <t>The people behind fence are watching the surfers as the run before the big wave hit them.</t>
  </si>
  <si>
    <t>v_o_Davs3OrOw</t>
  </si>
  <si>
    <t>A little boy wearing goggles jumps into a pool.</t>
  </si>
  <si>
    <t>He dives down to the bottom and picks something up off the bottom of the pool.</t>
  </si>
  <si>
    <t>He swims back to the top and above water.</t>
  </si>
  <si>
    <t>v_wZgSzWl5Hgg</t>
  </si>
  <si>
    <t>A line of people pick up a rope.</t>
  </si>
  <si>
    <t>They begin playing a game of tug of war.</t>
  </si>
  <si>
    <t>One side falls over and the crowd cheers.</t>
  </si>
  <si>
    <t>v_VIjOP5ZBvHg</t>
  </si>
  <si>
    <t>A black screen appears with the words,"Ticas Grooming Purse" along with their url.</t>
  </si>
  <si>
    <t>A dog is then shown hanging from a silver pole with two straps on him.</t>
  </si>
  <si>
    <t>A human then begins grabbing the dogs paws as the little dog tries to bite her.</t>
  </si>
  <si>
    <t>The grooming continues and then the dog is eventually put back down on the ground.</t>
  </si>
  <si>
    <t>v_OMYnLCWTdEA</t>
  </si>
  <si>
    <t>A man is squatting down in a big open room talking.</t>
  </si>
  <si>
    <t>The man demonstrates how to do a dance move.</t>
  </si>
  <si>
    <t>He then does the move several times and hops up to his feet.</t>
  </si>
  <si>
    <t>v_8JgckTuL1WA</t>
  </si>
  <si>
    <t>People are playing a game of badminton on a court.</t>
  </si>
  <si>
    <t>People are sitting behind them watching the game.</t>
  </si>
  <si>
    <t>A girl in a pink shirt picks up the ball.</t>
  </si>
  <si>
    <t>v_Ouy1exEw_dI</t>
  </si>
  <si>
    <t>A man prepares himself on a dock to go water skiing.</t>
  </si>
  <si>
    <t>He launches into the water as the boat guns off.</t>
  </si>
  <si>
    <t>The man holds onto the rope while gliding through the water, looking very confident and skilled.</t>
  </si>
  <si>
    <t>The boat is tied up on the dock and the man is finished for the day.</t>
  </si>
  <si>
    <t>v_LublNVXGH5I</t>
  </si>
  <si>
    <t>A man points to and picks up a pressurized spray can to display it.</t>
  </si>
  <si>
    <t>The man then picks up a roll of paper towels.</t>
  </si>
  <si>
    <t>The man shakes the pressurized spray can.</t>
  </si>
  <si>
    <t>The man sprays the window where the stain is and wipes the area with a paper towel.</t>
  </si>
  <si>
    <t>sprays the glass cleaner on the middle of the window in multiple spots and wipes them off.</t>
  </si>
  <si>
    <t>v_rZmNsUX-7SU</t>
  </si>
  <si>
    <t>A girl and a dog are on the swing set.</t>
  </si>
  <si>
    <t>They swing up and back down.</t>
  </si>
  <si>
    <t>They swing up and back down again.</t>
  </si>
  <si>
    <t>v_0xJPQ1I8-e0</t>
  </si>
  <si>
    <t>The man in blue helmet is paddling through the water current.</t>
  </si>
  <si>
    <t>Two rafts are stuck in running water.</t>
  </si>
  <si>
    <t>The people are paddling through the water but they are stuck in one spot.</t>
  </si>
  <si>
    <t>v_6Bm-_hI5A9A</t>
  </si>
  <si>
    <t>A man is shown playing a violin in front of a video game being played on tv.</t>
  </si>
  <si>
    <t>The man continues playing the instrument while the tv in the background shows a game being played.</t>
  </si>
  <si>
    <t>v_pF-r_m8LVPs</t>
  </si>
  <si>
    <t>A large group of people are seen standing at the bottom of a snowy hill speaking to one another.</t>
  </si>
  <si>
    <t>The people are then seen riding in tubes and going down a snowy trail.</t>
  </si>
  <si>
    <t>Several shots are shown of people riding down the mountain while looking and smiling to the camera.</t>
  </si>
  <si>
    <t>v_HnM44lX65cQ</t>
  </si>
  <si>
    <t>A seated man is using a sharpener to sharpen a large knife.</t>
  </si>
  <si>
    <t>He scrapes it along the surface and underbelly of the knife, sharpening it.</t>
  </si>
  <si>
    <t>v_L1XpfS1RCzE</t>
  </si>
  <si>
    <t>The person is riding a blue single raft.</t>
  </si>
  <si>
    <t>The man is paddling through the strong current of water.</t>
  </si>
  <si>
    <t>The man fell in the small falls.</t>
  </si>
  <si>
    <t>v_34cQhizPKfc</t>
  </si>
  <si>
    <t>A video of back country skiing is shown.</t>
  </si>
  <si>
    <t>The group prepares its equipment and then looks at its yurt.</t>
  </si>
  <si>
    <t>They then show skiing videos.</t>
  </si>
  <si>
    <t>v_lUw8OA9R4mQ</t>
  </si>
  <si>
    <t>A large group of people are seen standing around a room with a woman in front grabbing a drink.</t>
  </si>
  <si>
    <t>The woman puts her drink down and begins leading a group of people dancing around.</t>
  </si>
  <si>
    <t>The group continues to dance around while the camera captures their movements.</t>
  </si>
  <si>
    <t>v_HM3Rd5ZcME8</t>
  </si>
  <si>
    <t>A girl wearing a white ski jacket runs along the ski slope pulling an orange inner tube.</t>
  </si>
  <si>
    <t>A tubing attendant assists a group of kids load up on their inner tubes.</t>
  </si>
  <si>
    <t>The kids slide down the slope together in their inner tubes.</t>
  </si>
  <si>
    <t>The kids climb back up the tubing slope and slide down on their inner tubes once again.</t>
  </si>
  <si>
    <t>v_27e4y89XeyI</t>
  </si>
  <si>
    <t>An older black male is standing in the kitchen ironing a dark grey t-shirt.</t>
  </si>
  <si>
    <t>The man then pauses his ironing and looks at the person who is filming him and continues to put on his shirt.</t>
  </si>
  <si>
    <t>v__il2j9UtSe4</t>
  </si>
  <si>
    <t>A man is seen with messy hair and looking off in the distance.</t>
  </si>
  <si>
    <t>He holds up a coffee cup and turns towards the camera.</t>
  </si>
  <si>
    <t>He then gives a big smile while looking to the camera.</t>
  </si>
  <si>
    <t>v_jIQFVSymHQs</t>
  </si>
  <si>
    <t>An inflatable ball bounces on the grass as kids watch playing a game.</t>
  </si>
  <si>
    <t>A young boy in blue shirt and jeans retrieves the ball and runs towards the group.</t>
  </si>
  <si>
    <t>v_cP2LVnGxiww</t>
  </si>
  <si>
    <t>This man is shown holding a pumpkin in the beginning of the video then he carves the top off and gets the seeds and everything else out of the pumpkin.</t>
  </si>
  <si>
    <t>Someone gives one of the snow dogs a piece of the pumpkin.</t>
  </si>
  <si>
    <t>Then he puts the stencil on the pumpkin and carves a snow dog into the pumpkin.</t>
  </si>
  <si>
    <t>v_rBVbsbJJcyM</t>
  </si>
  <si>
    <t>An introduction comes onto the screen for a fine linen company.</t>
  </si>
  <si>
    <t>A woman explains that she will describe how to fold cloth napkins.</t>
  </si>
  <si>
    <t>She starts by pressing the napkin with a hot iron.</t>
  </si>
  <si>
    <t>She folds the napkin and continues to press it some more.</t>
  </si>
  <si>
    <t>v_Wr7YbcQ_Q9g</t>
  </si>
  <si>
    <t>A young boy mows the front lawn in a suburban residential neighborhood.</t>
  </si>
  <si>
    <t>A young boy in t-shirt and shorts maneuvers a lawn moves back and forth across a small patch of lawn as he mows the lawn.</t>
  </si>
  <si>
    <t>The boy then walks the mower down a longer stretch of lawn near the corner across from a stop sign.</t>
  </si>
  <si>
    <t>v_R_ffZ9kGeTI</t>
  </si>
  <si>
    <t>A large open outdoor area is shown by a moving camera.</t>
  </si>
  <si>
    <t>A man wearing a helmet is shown riding a skateboard with a long wooden plan base in various outdoors locations.</t>
  </si>
  <si>
    <t>A second rider joins the first rider on the skateboard.</t>
  </si>
  <si>
    <t>A clip of a man not wearing a helmet and riding another skateboard is shown.</t>
  </si>
  <si>
    <t>The helmeted man with the plank as a skateboard is shown again.</t>
  </si>
  <si>
    <t>Several other individuals riding other skateboards are shown.</t>
  </si>
  <si>
    <t>The original skateboarder is shown again.</t>
  </si>
  <si>
    <t>v_QjaqFPDoImc</t>
  </si>
  <si>
    <t>A man is running through a concrete sidewalk with steps in his Kangaroo shoes.</t>
  </si>
  <si>
    <t>More people appear and they too begin to jump throughout crowds of people.</t>
  </si>
  <si>
    <t>v_H0gSWEElh6A</t>
  </si>
  <si>
    <t>There's a man demonstrating how to use a hand setting tool.</t>
  </si>
  <si>
    <t>He is hammering nails into a wooden bar.</t>
  </si>
  <si>
    <t>He uses the tool to properly align the nails before hammering it in.</t>
  </si>
  <si>
    <t>He then demonstrates how the hammering process would look without using the alignment tool.</t>
  </si>
  <si>
    <t>Then he uses the alignment tool to show thew difference it makes to hammer a nail into wood when the tool is used.</t>
  </si>
  <si>
    <t>v_0-auIBOTx9E</t>
  </si>
  <si>
    <t>A skinny man,is talking on the phone bowling and knocks down all the bowling pins.</t>
  </si>
  <si>
    <t>Next,he has to go through several obstacles to roll the ball down and he ends up making it anyways.</t>
  </si>
  <si>
    <t>Some of them include,bowling with pins in the lane,standing from behind a chart,and even doing it with his eyes covered.</t>
  </si>
  <si>
    <t>v_dsCJ4xdRq-Q</t>
  </si>
  <si>
    <t>A group of four boys are at a table.</t>
  </si>
  <si>
    <t>As a timer counts, a boy is trying to solve a rubik's cube.</t>
  </si>
  <si>
    <t>He solves the cube, and shakes hands with the other boys.</t>
  </si>
  <si>
    <t>v_Q711Ki5aFHw</t>
  </si>
  <si>
    <t>A group dances in a spotlight wearing traditional chines robes and hats.</t>
  </si>
  <si>
    <t>The men pretend to pull imaginary ropes.</t>
  </si>
  <si>
    <t>The men crouch down one after the other and thrust there hips.</t>
  </si>
  <si>
    <t>The men stand back to back in a partial circle and dance.</t>
  </si>
  <si>
    <t>The men hold up there arms like a Hindu goddess.</t>
  </si>
  <si>
    <t>v_WwcbpTANbeU</t>
  </si>
  <si>
    <t>A view is seen of a deep canyon with a lift above it.</t>
  </si>
  <si>
    <t>A man is dressed in bungee gear by another man.</t>
  </si>
  <si>
    <t>He jumps out, then swings back and forth over the thin waters.</t>
  </si>
  <si>
    <t>v_bV4xdc71azY</t>
  </si>
  <si>
    <t>man is in a kichen holding a pan on stove and preparing an omelette.</t>
  </si>
  <si>
    <t>man is holding a bag and holds the pan, grab some cheese fom he bag and bend the omelette.</t>
  </si>
  <si>
    <t>v_PTkNBVyhUuo</t>
  </si>
  <si>
    <t>A group of people are seen standing around bow and arrows then the camera camera down a long line of people shooting bows.</t>
  </si>
  <si>
    <t>A man is then seen speaking to the camera followed by Several shots of random people shooting the arrows to a target.</t>
  </si>
  <si>
    <t>Many people watch on the sidelines and is followed by more shots of people shooting bows.</t>
  </si>
  <si>
    <t>v_JlgDwIT9KLI</t>
  </si>
  <si>
    <t>A red bowl contains a spoon and tuna fish in chunks.</t>
  </si>
  <si>
    <t>Someone pours mayonnaise into the tuna, as well as seasoning.</t>
  </si>
  <si>
    <t>The substance is mixed together, then spread onto the bread to make a sandwich.</t>
  </si>
  <si>
    <t>v_PUGP8PSlJEA</t>
  </si>
  <si>
    <t>A man is rock climbing on a wall next to a rock.</t>
  </si>
  <si>
    <t>He gets to the top and releases himself to fall to the bottom.</t>
  </si>
  <si>
    <t>v_LHu41OIGw7Q</t>
  </si>
  <si>
    <t>A camera pans around a lake area and leads into a person climbing into a kayak.</t>
  </si>
  <si>
    <t>The person then begins paddling along the water while moving underneath bridges.</t>
  </si>
  <si>
    <t>The person continues paddling all along the water and looking up to the camera.</t>
  </si>
  <si>
    <t>v_5kXIZCs22l8</t>
  </si>
  <si>
    <t>woman is posing to a camera in a white room.</t>
  </si>
  <si>
    <t>man is standing behind the wmoan cutting her hair with a scissor and the model is posing.</t>
  </si>
  <si>
    <t>v_YamDoDK71Ds</t>
  </si>
  <si>
    <t>A woman in a belly dancing outfit is dancing moving her body very strategically.</t>
  </si>
  <si>
    <t>She has her hands up in the air moving as she moves her hips very quickly.</t>
  </si>
  <si>
    <t>She talks about her love for belly dancing and stuff.</t>
  </si>
  <si>
    <t>Then you see her a different purple belly dancing outfit dancing outside.</t>
  </si>
  <si>
    <t>v_IvkpJMxlRKc</t>
  </si>
  <si>
    <t>A man was peeling a potato using a green peeler.</t>
  </si>
  <si>
    <t>He peeled the middle part one more time.</t>
  </si>
  <si>
    <t>Thrown it in the container.</t>
  </si>
  <si>
    <t>v_JguB9cLEXGY</t>
  </si>
  <si>
    <t>A person is seen holding up a stick followed by several clips of people throwing a javelin.</t>
  </si>
  <si>
    <t>More shots are shown of athletes throwing the javelin great distances while screaming each time after their throw.</t>
  </si>
  <si>
    <t>v_lBfyQsXSvUk</t>
  </si>
  <si>
    <t>A man is sitting in a chair.</t>
  </si>
  <si>
    <t>He is getting a tattoo on his arm.</t>
  </si>
  <si>
    <t>A man watches him get the tattoo.</t>
  </si>
  <si>
    <t>He gets his tattoo wraps with saran wrap.</t>
  </si>
  <si>
    <t>v_9PvtW0Uvnl0</t>
  </si>
  <si>
    <t>A camera pans away from a road and shows a person's feet moving around.</t>
  </si>
  <si>
    <t>Several shots are shown of people tying their shoes, hitting a button, and checking a watch.</t>
  </si>
  <si>
    <t>People are then seen running down the road one at a time followed by many more following.</t>
  </si>
  <si>
    <t>v_pRzFL4_I-cE</t>
  </si>
  <si>
    <t>Several shots of a casino is shown that includes close ups of poker tables and people sitting at a table playing.</t>
  </si>
  <si>
    <t>Many shots are shown of the dealer dealing cards while turning them around and the audience reacting.</t>
  </si>
  <si>
    <t>v_UyqM2sglj1s</t>
  </si>
  <si>
    <t>A person is snowboarding on a mountain.</t>
  </si>
  <si>
    <t>There is a montage of roads leading to a mountain and a chairlift.</t>
  </si>
  <si>
    <t>People jump on ramps and halfpipes.</t>
  </si>
  <si>
    <t>v_sZbkKa2iKrM</t>
  </si>
  <si>
    <t>A text intro leads into a wrestler slamming down another wrestler in a ring.</t>
  </si>
  <si>
    <t>The video continues with more shots of the man pinning down wrestlers.</t>
  </si>
  <si>
    <t>Several more shots are shown and ends with a subscribe option.</t>
  </si>
  <si>
    <t>v_vY77rUOOgwg</t>
  </si>
  <si>
    <t>The man in brown shirt is talking to the camera.</t>
  </si>
  <si>
    <t>The man placed a tool on the carpet with long pole.</t>
  </si>
  <si>
    <t>The man used the stretcher to flatten the carpet on the floor.</t>
  </si>
  <si>
    <t>v_AY2usHrPYL0</t>
  </si>
  <si>
    <t>We see a store, maps, and people on a bus.</t>
  </si>
  <si>
    <t>We see people at the beach.</t>
  </si>
  <si>
    <t>We see people in the lake and in rafts.</t>
  </si>
  <si>
    <t>We see a dog on the raft.</t>
  </si>
  <si>
    <t>We see a person paddling a raft.</t>
  </si>
  <si>
    <t>We see a dog swimming in the river.</t>
  </si>
  <si>
    <t>We see the ending screen in blue.</t>
  </si>
  <si>
    <t>v_GMwV9roiBYo</t>
  </si>
  <si>
    <t>A man is skating on a hockey rink and goes to make a goal.</t>
  </si>
  <si>
    <t>He shoots and makes a point and the crowd cheers.</t>
  </si>
  <si>
    <t>He makes another point and the crowd cheers.</t>
  </si>
  <si>
    <t>A team of yellow jerseys rushes onto the ice to congratulate him.</t>
  </si>
  <si>
    <t>They are lined up on the court while a man in a suit walks away from them.</t>
  </si>
  <si>
    <t>The man in the suit stops and talks to another man.</t>
  </si>
  <si>
    <t>He waves and walks back towards the players.</t>
  </si>
  <si>
    <t>The team beings skating towards the people.</t>
  </si>
  <si>
    <t>They skate across the ice and a man stands on the stands and holds up a trophy.</t>
  </si>
  <si>
    <t>v_eC4l8AuAmKw</t>
  </si>
  <si>
    <t>A large group of people are dancing in pairs on a dance floor.</t>
  </si>
  <si>
    <t>People watch from tables all around the dance floor.</t>
  </si>
  <si>
    <t>A man with a microphone stands on the dance floor.</t>
  </si>
  <si>
    <t>v_tRAntV9Om2o</t>
  </si>
  <si>
    <t>A man wearing a hat is seen putting on gloves and starting up a machine in some tall grass.</t>
  </si>
  <si>
    <t>The man then moves the machine all along the grass to cut it down.</t>
  </si>
  <si>
    <t>He pauses for a moment to speak to the camera and raises his hands up.</t>
  </si>
  <si>
    <t>v_9S9hPRDwi24</t>
  </si>
  <si>
    <t>A stick is being held from the ground.</t>
  </si>
  <si>
    <t>A man uses the croquette bat to hit a ball, then places it back to the ground.</t>
  </si>
  <si>
    <t>v_-t2ikmhg9_w</t>
  </si>
  <si>
    <t>A woman is seated on the floor, talking about a vacuum cleaner.</t>
  </si>
  <si>
    <t>She demonstrates how to apply powder to the carpet, and vacuum it up.</t>
  </si>
  <si>
    <t>She then shows how to clean the vacuum out, and the mechanics of the machine.</t>
  </si>
  <si>
    <t>v_KaGXQh-UHVU</t>
  </si>
  <si>
    <t>A group of people are in a house.</t>
  </si>
  <si>
    <t>A man is mopping the floor with a mop.</t>
  </si>
  <si>
    <t>Another boy attempts to walk through where he is mopping.</t>
  </si>
  <si>
    <t>The man takes a drink of beer and complains to the camera.</t>
  </si>
  <si>
    <t>He mops through the room in between the people.</t>
  </si>
  <si>
    <t>He stops mopping and speaks to the camera.</t>
  </si>
  <si>
    <t>v_1LdbczjQPII</t>
  </si>
  <si>
    <t>A globe is turning with writing in front of it.</t>
  </si>
  <si>
    <t>A man throws a bowling ball into various pins.</t>
  </si>
  <si>
    <t>He bounces it off of trampoline and knocks pins down.</t>
  </si>
  <si>
    <t>The throws a bowling ball off a bridge.</t>
  </si>
  <si>
    <t>A woman throws the ball down at pins.</t>
  </si>
  <si>
    <t>A man catches the bowling ball and throws it to pins.</t>
  </si>
  <si>
    <t>A man bounces it off a car and hits pins.</t>
  </si>
  <si>
    <t>Another trampoline trick is shown.</t>
  </si>
  <si>
    <t>A man throws a bowling ball down a slide and a person catches it at the bottom.</t>
  </si>
  <si>
    <t>A man throws a bowling ball up a hill and it rolls back down and hits pins.</t>
  </si>
  <si>
    <t>Two men bounce balls off trampolines to hit pins.</t>
  </si>
  <si>
    <t>A remote control car drives the bowling ball to hit pins.</t>
  </si>
  <si>
    <t>Two men high five after knocking pins down.</t>
  </si>
  <si>
    <t>A man standing on top of a building throws a ball down and hits pins.</t>
  </si>
  <si>
    <t>v_57J-q04z1Hs</t>
  </si>
  <si>
    <t>Two dancers dance in the center of the floor where there aren't many people watching.</t>
  </si>
  <si>
    <t>They're both wearing black decor and they're turning the batons in many different ways and music is playing.</t>
  </si>
  <si>
    <t>Many people are cheering, some are standing and others are sitting.</t>
  </si>
  <si>
    <t>v_k_bvz0NHKBo</t>
  </si>
  <si>
    <t>Two boys and two girls compete beer pong while other persons watch.</t>
  </si>
  <si>
    <t>Almost all the balls throw by the boys land in the cups, only one ball is missed.</t>
  </si>
  <si>
    <t>The girls talk each other while looking the boys.</t>
  </si>
  <si>
    <t>v_yFOZHa2pn1g</t>
  </si>
  <si>
    <t>A guy is putting a cloth shackles on a lady's ankles.</t>
  </si>
  <si>
    <t>The guy positions the lady at the edge.</t>
  </si>
  <si>
    <t>The lady bungee jumps when the guy removes his hand.</t>
  </si>
  <si>
    <t>v_YUN8d87DNNY</t>
  </si>
  <si>
    <t>A woman is sweeping in front of a barn.</t>
  </si>
  <si>
    <t>Chickens are on the ground behind her.</t>
  </si>
  <si>
    <t>She is shoveling dirt into a wheel barrow.</t>
  </si>
  <si>
    <t>Men are sweeping in front of the barn.</t>
  </si>
  <si>
    <t>A woman is brushing a horse with a brush.</t>
  </si>
  <si>
    <t>v_SzCK4QuEG3c</t>
  </si>
  <si>
    <t>A set of knifes rest on top of pin cones.</t>
  </si>
  <si>
    <t>A pocket knife is taken from wooden box and held with a clamp.</t>
  </si>
  <si>
    <t>The man uses sharpening stones on the blade of the knife.</t>
  </si>
  <si>
    <t>The man cuts through pieces of paper to show the knifes sharpness.</t>
  </si>
  <si>
    <t>A still shot of a hot open fire pit is seen.</t>
  </si>
  <si>
    <t>v_f0rWFvJ7uTk</t>
  </si>
  <si>
    <t>A group of boys line up in a baseball field then run to chase the ball.</t>
  </si>
  <si>
    <t>A woman rolls a kick ball on the field.</t>
  </si>
  <si>
    <t>The ball is returned to the field by someone on the sideline.</t>
  </si>
  <si>
    <t>A boy runs around the bases on the field.</t>
  </si>
  <si>
    <t>The group of boys point and signal to other players on the field.</t>
  </si>
  <si>
    <t>A boy kicks the ball and the other players run around the bases.</t>
  </si>
  <si>
    <t>v_NDvp3JeVWcM</t>
  </si>
  <si>
    <t>There is large indoor gym where a gymnastic event is being held.</t>
  </si>
  <si>
    <t>There is a girl gymnast who is performing on the bars.</t>
  </si>
  <si>
    <t>There are spectators watching her as she swings swiftly.</t>
  </si>
  <si>
    <t>She gets off the bars and is congratulated by her coach.</t>
  </si>
  <si>
    <t>The awards are then presented to the winners of the competition.</t>
  </si>
  <si>
    <t>the winners stand on stage to receive their medals of victory.</t>
  </si>
  <si>
    <t>The score board shows the names of all the winners.</t>
  </si>
  <si>
    <t>v_0-igBOtXYeE</t>
  </si>
  <si>
    <t>Several different wrestling battles are shown with many different wrestlers showcased.</t>
  </si>
  <si>
    <t>A man is hoisted onto the shoulders of another man and is then thrown down onto a table, which breaks in half with the force of his weight.</t>
  </si>
  <si>
    <t>Several more wrestlers are thrown violently onto ring floors and flat surfaces and tables, with one dark and long haired man appearing several times throughout the clip screaming in an animated way.</t>
  </si>
  <si>
    <t>A red haired man talks to a camera near the end of the clip.</t>
  </si>
  <si>
    <t>v_asyXgaH1Sro</t>
  </si>
  <si>
    <t>Two men are talking on the sidewalk.</t>
  </si>
  <si>
    <t>An orange fork lift goes by behind them.</t>
  </si>
  <si>
    <t>One of the men is brushing the other mans hair.</t>
  </si>
  <si>
    <t>The man in the red shirt plays with his hair.</t>
  </si>
  <si>
    <t>v_-L-LiCO1v-s</t>
  </si>
  <si>
    <t>A man standing in front of orange flowers talks.</t>
  </si>
  <si>
    <t>A small dog is laying on the ground.</t>
  </si>
  <si>
    <t>A shower head is shown.</t>
  </si>
  <si>
    <t>A woman is sitting on a bed with the dog.</t>
  </si>
  <si>
    <t>Her and the dog are in the shower.</t>
  </si>
  <si>
    <t>She is spraying the dog with water.</t>
  </si>
  <si>
    <t>A bottle is being held up to be shown.</t>
  </si>
  <si>
    <t>She dries the dog off with a white towel.</t>
  </si>
  <si>
    <t>A robot is dancing on the screen.</t>
  </si>
  <si>
    <t>v_LjfF72Hwpyg</t>
  </si>
  <si>
    <t>A snow piled lawn is shown.</t>
  </si>
  <si>
    <t>A man on a tractor is pulling a kid on a tube over mounds of snow over and over.</t>
  </si>
  <si>
    <t>It ends with the boy close up, and another eating cereal from the top of a staircase.</t>
  </si>
  <si>
    <t>v_V3uCGRAWG2M</t>
  </si>
  <si>
    <t>A representative of the GCN Network is talking and demonstrating how to use tools to fix bike wheels.</t>
  </si>
  <si>
    <t>He is standing near an elevated blue bike with several tools displayed on a wall behind him.</t>
  </si>
  <si>
    <t>He is using an Allen key to lever the bike tire.</t>
  </si>
  <si>
    <t>He rotates the bike tire and then uses the Allen key to adjust the screws.</t>
  </si>
  <si>
    <t>Then he resets the pistons of the wheel to realign them.</t>
  </si>
  <si>
    <t>Then he precisely fits in the attachment into the wheel.</t>
  </si>
  <si>
    <t>v_JtQSDGSKnsY</t>
  </si>
  <si>
    <t>A person uses a vacuum cleaner the clean the carpet of debris in a room sweeping it back and forth.</t>
  </si>
  <si>
    <t>The vacuum cleaner collecting bucket is moved in order to reach a new area of carpet.</t>
  </si>
  <si>
    <t>The person vacuums the carpet area around the couch.</t>
  </si>
  <si>
    <t>The person lifts up the head of the vacuum and examines the wheels underneath.</t>
  </si>
  <si>
    <t>v_ifmHO5lQq18</t>
  </si>
  <si>
    <t>A blonde woman runs and does a high jump repeatedly.</t>
  </si>
  <si>
    <t>A woman in white in the background does a high jump.</t>
  </si>
  <si>
    <t>A black lady walks past the camera.</t>
  </si>
  <si>
    <t>The black lady appears again and adjusts something on the ground.</t>
  </si>
  <si>
    <t>A man raises a red flag.</t>
  </si>
  <si>
    <t>v_tjUuEqmLGeI</t>
  </si>
  <si>
    <t>A girl in her dance uniform is standing with her mom talking waiting for her turn to come up, when it's her turn she and her partner walk on stage.</t>
  </si>
  <si>
    <t>They begin to do their routine with their batons.</t>
  </si>
  <si>
    <t>They work well together and one of the girls does a flip while the other girl holds her, they continue on with the rest of their routine.</t>
  </si>
  <si>
    <t>They end their routine, one of them kneeling and the other behind her and get up and walk off the stage.</t>
  </si>
  <si>
    <t>v_x1wy8QmHZL8</t>
  </si>
  <si>
    <t>A girl in a blue and sparkly costume is standing on a court while holding two batons.</t>
  </si>
  <si>
    <t>The girl begins her baton routine and starts her routine and twirls the batons and her body.</t>
  </si>
  <si>
    <t>Judges at a table watch her the whole time while they also write on a piece of paper.</t>
  </si>
  <si>
    <t>The girl drops her baton, picks it up and then continues on with her routine.</t>
  </si>
  <si>
    <t>v_7iuU-zsauOY</t>
  </si>
  <si>
    <t>A man is deep water scuba diving with some type of machine as if he is searching for something.</t>
  </si>
  <si>
    <t>In the midst,he begins playing with a small fish before continuing on his search.</t>
  </si>
  <si>
    <t>The man continues traveling through the water at a slow pace but he isn't finding anything.</t>
  </si>
  <si>
    <t>v_dI6TWaB6tls</t>
  </si>
  <si>
    <t>Two dancers engage in a ballroom dance in front of a live band and a full televised audience.</t>
  </si>
  <si>
    <t>A woman in a ballroom outfit approaches a man in a ballroom dance, when the two meet they begin to dance across the floor using elaborate footwork during the dance.</t>
  </si>
  <si>
    <t>A phone number inviting people to call in and vote for them appears on the screen along with the network logo.</t>
  </si>
  <si>
    <t>The two continue to dance exhibiting slides, pickups, a last kiss and slides on the dance floor as the people in the audience clap.</t>
  </si>
  <si>
    <t>v_55bimE5eU9E</t>
  </si>
  <si>
    <t>A man and a woman stand by each other as the man speaks.</t>
  </si>
  <si>
    <t>The woman reaches down and lifts a bar.</t>
  </si>
  <si>
    <t>She makes small lifts against her thighs.</t>
  </si>
  <si>
    <t>She continues the small lifts and adds a variance of big lifts.</t>
  </si>
  <si>
    <t>She lifts the bar over her head and brings it down to her thigh area to continue the small lifts.</t>
  </si>
  <si>
    <t>She brings the bar back over her head and drops it down to the ground.</t>
  </si>
  <si>
    <t>v_3HP2E_a9xrU</t>
  </si>
  <si>
    <t>A small child is seen swinging at a pinata with a large group of children behind them.</t>
  </si>
  <si>
    <t>More kids stand up to take a swing at the pinata as parents walk around the kids.</t>
  </si>
  <si>
    <t>One last girl attempts to break the pinata in the end.</t>
  </si>
  <si>
    <t>v_g_T8qK7qTFI</t>
  </si>
  <si>
    <t>People in traffic in a city look irritated as a cop directs traffic.</t>
  </si>
  <si>
    <t>A man sticks something in his ears.</t>
  </si>
  <si>
    <t>A man in a green shirt mocks a cop and people laugh and clap.</t>
  </si>
  <si>
    <t>The cop gives the man a Pepsi.</t>
  </si>
  <si>
    <t>We see the man on the cricket field throwing a ball.</t>
  </si>
  <si>
    <t>The man drinks the Pepsi and we see the closing screen.</t>
  </si>
  <si>
    <t>v_t_D9MYkEPEo</t>
  </si>
  <si>
    <t>an audience claps as a couple appears on stage.</t>
  </si>
  <si>
    <t>They dance gracefully, spinning and twirling.</t>
  </si>
  <si>
    <t>The couple bow as they finish their routine.</t>
  </si>
  <si>
    <t>v__BHoMDR2ZVg</t>
  </si>
  <si>
    <t>A man wearing glasses is seen speaking to the camera in a tattoo shop.</t>
  </si>
  <si>
    <t>The man is laying on a table and waving to the camera.</t>
  </si>
  <si>
    <t>He shows his outline and a man begins tattooing his leg.</t>
  </si>
  <si>
    <t>v_X1WExPnfJjE</t>
  </si>
  <si>
    <t>A young girl is seen sitting in front of the camera running a brush down her long hair.</t>
  </si>
  <si>
    <t>She suddenly jumps and screams towards the camera while smiling and setting the brush down.</t>
  </si>
  <si>
    <t>v_aFVthcfDK9Q</t>
  </si>
  <si>
    <t>A city next a river is displayed on a screen.</t>
  </si>
  <si>
    <t>Reporters talk in a TV set where other people are working.</t>
  </si>
  <si>
    <t>A man wearing white shirt clean his face while looking a mirror.</t>
  </si>
  <si>
    <t>v_pD-zyfLtC6w</t>
  </si>
  <si>
    <t>A biker seated on a bike revs the engine.</t>
  </si>
  <si>
    <t>Another biker is shown seated on a bike, making a gesture with both arms.</t>
  </si>
  <si>
    <t>Scenes of various bikers failing stunt jumps are shown, with occasional crowd reaction and aftermath shots.</t>
  </si>
  <si>
    <t>v__wo35butdOc</t>
  </si>
  <si>
    <t>A lady stands raising a metal disk in one hand.</t>
  </si>
  <si>
    <t>The lady spins with the disk and releases the disk.</t>
  </si>
  <si>
    <t>The lady places a towel around her back.</t>
  </si>
  <si>
    <t>v_zkLld95_bhg</t>
  </si>
  <si>
    <t>Between clips of a man on a catamaran moving in the ocean, black screens appear and different times with different words describing each movement the catamaran makes.</t>
  </si>
  <si>
    <t>The man is now standing on the boat and is pulling on ropes that move on the boat and then is shown once again as the boat is moving.</t>
  </si>
  <si>
    <t>The outro appears and it's a white screen with a picture of the boat and the words "MULTIHULL CENTRAL".</t>
  </si>
  <si>
    <t>v_3AWvyAJv20g</t>
  </si>
  <si>
    <t>A woman folds towels on an ironing board at home.</t>
  </si>
  <si>
    <t>Different clothing items are seen such as shirts, socks, and ties.</t>
  </si>
  <si>
    <t>The woman adds a tag to a piece of clothing and irons it in place.</t>
  </si>
  <si>
    <t>The tag is shown close up.</t>
  </si>
  <si>
    <t>v_HddRC-twMLc</t>
  </si>
  <si>
    <t>There's man dressed in a blue shirt and blue shorts shooting darts in a room that has beige walls.</t>
  </si>
  <si>
    <t>He has two darts in his hands which he aims and shoots at a target.</t>
  </si>
  <si>
    <t>v_-yn3D1fOfr0</t>
  </si>
  <si>
    <t>A woman in a black shirt is talking in front of a Christmas tree.</t>
  </si>
  <si>
    <t>She begins putting decorations on the Christmas tree.</t>
  </si>
  <si>
    <t>She places a gold bow on the top of the tree.</t>
  </si>
  <si>
    <t>Three women are talking in front of the tree.</t>
  </si>
  <si>
    <t>v_CIcVR4m7nOc</t>
  </si>
  <si>
    <t>Several people stand outside of cars.</t>
  </si>
  <si>
    <t>They get in a river on tubes.</t>
  </si>
  <si>
    <t>They float near a large bridge.</t>
  </si>
  <si>
    <t>The water gets a little choppy.</t>
  </si>
  <si>
    <t>v_JVfhBvlv0IY</t>
  </si>
  <si>
    <t>An athletic man is seen standing ready and runs down a long track into a sand pit.</t>
  </si>
  <si>
    <t>The man walks away while looking into the audience followed by another man running into the pit.</t>
  </si>
  <si>
    <t>Several more men take turns running down with their run showed again afterwards.</t>
  </si>
  <si>
    <t>v_efaYmJsTDJc</t>
  </si>
  <si>
    <t>A camera ia seen showing the outside of a home followed by a girl sitting in a tub.</t>
  </si>
  <si>
    <t>She looks to the mirror and has a friend hand her a solo cup.</t>
  </si>
  <si>
    <t>She runs throughout the house outside and shows a close up of mouth wash.</t>
  </si>
  <si>
    <t>v_gLPJ7_VhWVU</t>
  </si>
  <si>
    <t>A young lady explains how to put makeup on the eye lid using a brush.</t>
  </si>
  <si>
    <t>The young lady use an eyeliner to paint the border of the top lid.</t>
  </si>
  <si>
    <t>Then, she puts mascara to her eyelashes, and paint the the lower lid.</t>
  </si>
  <si>
    <t>After, she brush her cheek and put lipstick on the lips.</t>
  </si>
  <si>
    <t>v_xC5RVs9mXyM</t>
  </si>
  <si>
    <t>A large marching band are seen standing in the middle of a big crowd.</t>
  </si>
  <si>
    <t>The band then begins playing with one another in the circle.</t>
  </si>
  <si>
    <t>The people continuing playing with one another while people watch on the sides.</t>
  </si>
  <si>
    <t>v_zFb7PKk_-vA</t>
  </si>
  <si>
    <t>A woman is seen speaking to the camera while a group of people sit in tubes around her.</t>
  </si>
  <si>
    <t>The other people smile and wave to the camera while showing off the other tubes.</t>
  </si>
  <si>
    <t>The people continue to ride around the water while the camera pans all around their movements.</t>
  </si>
  <si>
    <t>v_s24-UW2mnjM</t>
  </si>
  <si>
    <t>This man is roller blading through the streets extremely fast.</t>
  </si>
  <si>
    <t>He jumps over a closed off area and keeps on skating passed people into the streets.</t>
  </si>
  <si>
    <t>He is skating in the streets of paris along with another skater, still skating past people and going down into the subway.</t>
  </si>
  <si>
    <t>He hold on to the back of someones motorcycle and uses it to catch speed and then continues back out of the subway back on to the sidewalks.</t>
  </si>
  <si>
    <t>v_U_Pb3Wm_pb4</t>
  </si>
  <si>
    <t>An orange rope is tied to a tree and dangling in the wind.</t>
  </si>
  <si>
    <t>A man steps up on the rope and begins to walk across it.</t>
  </si>
  <si>
    <t>The man jumps down off of the rope and starts at the beginning to walk across it.</t>
  </si>
  <si>
    <t>The man jumps off again and gets back on the rope and jumps off.</t>
  </si>
  <si>
    <t>The man tightens the rope.</t>
  </si>
  <si>
    <t>The camera shows the ground.</t>
  </si>
  <si>
    <t>v_Uo9q4riquHM</t>
  </si>
  <si>
    <t>It is raining outside while a man is on a lawn mower mowing his lawn.</t>
  </si>
  <si>
    <t>The camera focuses on water dripping down.</t>
  </si>
  <si>
    <t>The man rearranges himself on the mower.</t>
  </si>
  <si>
    <t>He continues to mow the lawn.</t>
  </si>
  <si>
    <t>The camera focuses on the running water again.</t>
  </si>
  <si>
    <t>Then switches back to the running water.</t>
  </si>
  <si>
    <t>v_QosVN26lb1g</t>
  </si>
  <si>
    <t>We see a woman hitting a pinata.</t>
  </si>
  <si>
    <t>The lady pauses to line up her shot.</t>
  </si>
  <si>
    <t>The lady holds the pinata as she hits it.</t>
  </si>
  <si>
    <t>A man takes the bat from the ladies hands.</t>
  </si>
  <si>
    <t>v_ivmBrbO32Qo</t>
  </si>
  <si>
    <t>a man in a lab coat uses a swiffer broom.</t>
  </si>
  <si>
    <t>He rakes it across a floor with cleaning solution.</t>
  </si>
  <si>
    <t>The floor shines as it comes clean beneath his feet.</t>
  </si>
  <si>
    <t>v_HzmT-lvHrpM</t>
  </si>
  <si>
    <t>A man stands with a bicycle on a rack and shows its different parts and features including the wheels.</t>
  </si>
  <si>
    <t>The man turns the crank and the wheel spins on the bike.</t>
  </si>
  <si>
    <t>The man spins the front wheel by hand.</t>
  </si>
  <si>
    <t>The man tightens a screw with his hand tool.</t>
  </si>
  <si>
    <t>v_HafSt7EDin0</t>
  </si>
  <si>
    <t>A basketball is focused on as it sits on a grass.</t>
  </si>
  <si>
    <t>Then it zooms out and a small girl is standing at the beginning of a hopscotch written in chalk, and a man is standing at the end and he throws a piece of chalk her way, it breaks, he hops to pick it up, she picks up the other piece and returns it to the chalk container off to the side.</t>
  </si>
  <si>
    <t>The girl returns to the beginning of the hopscotch and takes her turn, and they go back and forth and play taking turns jumping up and down the hopscotch.</t>
  </si>
  <si>
    <t>v_WhEdTfs7U5E</t>
  </si>
  <si>
    <t>At beach, several volleyball nets in different colors are set up, while people are standing or sitting on the side off the nets.</t>
  </si>
  <si>
    <t>Different teams, with combination of males and females played the beach volleyballs in the nets assigned to them.</t>
  </si>
  <si>
    <t>v_PMy2EyktRmo</t>
  </si>
  <si>
    <t>People are working out on exercise bikes.</t>
  </si>
  <si>
    <t>A man in a blue shirt is standing in front of them running around.</t>
  </si>
  <si>
    <t>v_lj-VovhJcPA</t>
  </si>
  <si>
    <t>A reporter talks in a TV set, then a reporter talks in a park, then a map of London is shown.</t>
  </si>
  <si>
    <t>A man shows a bag with a cigarette and then it is show next of papers.</t>
  </si>
  <si>
    <t>After, the man is in a backyard explaining to the reporter.</t>
  </si>
  <si>
    <t>People are in a park walking, a person with a pet and mother with a child.</t>
  </si>
  <si>
    <t>A man and a woman talk with the reporter.</t>
  </si>
  <si>
    <t>v_avxSMcGBdG8</t>
  </si>
  <si>
    <t>Individuals play croquet, with the camera only showing their lower legs an the balls and mallets.</t>
  </si>
  <si>
    <t>A group of people in witch costumes stand together as one talks.</t>
  </si>
  <si>
    <t>More small videos of people playing croquet are shown.</t>
  </si>
  <si>
    <t>The group of people in witch costumes are shown again.</t>
  </si>
  <si>
    <t>A series of croquet teams are shown, with some of them wearing costumes.</t>
  </si>
  <si>
    <t>The group of people in witch costumes is shown once more.</t>
  </si>
  <si>
    <t>Yet more small videos of people playing croquet are shown.</t>
  </si>
  <si>
    <t>And ending title screen is shown.</t>
  </si>
  <si>
    <t>v_n9P4ltD0g2k</t>
  </si>
  <si>
    <t>He starts cutting up fruit and putting it in the glass.</t>
  </si>
  <si>
    <t>He starts mashing the fruit with a stick.</t>
  </si>
  <si>
    <t>He adds ice to the glass and pours alcohol in.</t>
  </si>
  <si>
    <t>He shakes the drink and pours it into a tall glass.</t>
  </si>
  <si>
    <t>He adds some liquid and stirs it with a straw.</t>
  </si>
  <si>
    <t>v_tEAEFVJGGG0</t>
  </si>
  <si>
    <t>A man trims the bush on the lawn with a electric cutter.</t>
  </si>
  <si>
    <t>v_I9ZeyASdgTk</t>
  </si>
  <si>
    <t>A person turn on a button of a device with a long road next to a wood box.</t>
  </si>
  <si>
    <t>Then, the man put the rod in a hole and sparks come out, after the man end doing sparkles.</t>
  </si>
  <si>
    <t>v_nnWON1EzK0o</t>
  </si>
  <si>
    <t>A person is seen riding on a horse into a pit chasing down a baby calf.</t>
  </si>
  <si>
    <t>The man ropes the calf and jumps off the horse to tie him up then walks back to the horse.</t>
  </si>
  <si>
    <t>v_9ZGy24Geu5k</t>
  </si>
  <si>
    <t>A man is seen in the ocean on a surf board.</t>
  </si>
  <si>
    <t>The man glides towards an on coming wave.</t>
  </si>
  <si>
    <t>The man then jumps over the wave.</t>
  </si>
  <si>
    <t>The man then rides the inside of a new wave.</t>
  </si>
  <si>
    <t>v_maXU1lGguxs</t>
  </si>
  <si>
    <t>A beautiful young woman holding a violin in hand begins to motion back and forth against the strings with the bow to play a song that she has practiced.</t>
  </si>
  <si>
    <t>The nicely dressed woman in black with white sleeves continues playing and smiling intermittently while eloquently holding down different chords and notes in the corner of the room next to a piano dancing back and forth as she plays.</t>
  </si>
  <si>
    <t>The woman stops playing and smiles once more before walking out of view of the camera putting the violin down and ending the song.</t>
  </si>
  <si>
    <t>v_EfJIu_moZaE</t>
  </si>
  <si>
    <t>A person goes sailing by another boat in the water.</t>
  </si>
  <si>
    <t>Several scenes are shown of people sailing on the boats.</t>
  </si>
  <si>
    <t>A man is standing and talking to the camera.</t>
  </si>
  <si>
    <t>v_TjMdEjgAKLw</t>
  </si>
  <si>
    <t>A man stands on metal stilts an pulls a large straight edge over a ceiling to flatten out the plaster.</t>
  </si>
  <si>
    <t>The man reaches the nearest side and then turns around to continue.</t>
  </si>
  <si>
    <t>The man reaches the far side of the room and turns around to continue.</t>
  </si>
  <si>
    <t>The man finishes and lowers the straight edge tool smiling.</t>
  </si>
  <si>
    <t>v_ykcLgz3DlYg</t>
  </si>
  <si>
    <t>We see half a cake on a form with a person hand pointing to things.</t>
  </si>
  <si>
    <t>We see the person spins the cake with the cardboard above it.</t>
  </si>
  <si>
    <t>A person scrapes wax paper over the cake.</t>
  </si>
  <si>
    <t>We see a whole globe covered in chocolate.</t>
  </si>
  <si>
    <t>v_WP8YccCA2Jc</t>
  </si>
  <si>
    <t>Man scraps the ice from his windshield.</t>
  </si>
  <si>
    <t>The man in black puts a piece of cardboard on his windshield.</t>
  </si>
  <si>
    <t>Man pours hot water mixture on his cold windshield.</t>
  </si>
  <si>
    <t>v_YNVK-pb7fWM</t>
  </si>
  <si>
    <t>Two women are seen sitting in a park with one behind the other.</t>
  </si>
  <si>
    <t>One girl begins braiding the hair of another while sitting behind.</t>
  </si>
  <si>
    <t>The girl finishes the hair while the other looks back to the camera.</t>
  </si>
  <si>
    <t>v_eEfvYiuGULM</t>
  </si>
  <si>
    <t>Athletes throw a javelin across the field during a competition in a stadium.</t>
  </si>
  <si>
    <t>The athlete is not pleased with his throw and slaps his legs in frustration.</t>
  </si>
  <si>
    <t>The athlete is moderately pleased with his throw and claps his hands walking away and nods his head.</t>
  </si>
  <si>
    <t>A scoreboard is seen with the results of the competition.</t>
  </si>
  <si>
    <t>v_nDRaXY5ddPs</t>
  </si>
  <si>
    <t>A person is using a mop to mop the floor.</t>
  </si>
  <si>
    <t>A small dog is chasing the mop.</t>
  </si>
  <si>
    <t>They continue to mop with the dog on the mop.</t>
  </si>
  <si>
    <t>v_ZKo3_ifK2tQ</t>
  </si>
  <si>
    <t>A toy bear wearing red and white overalls pours a cup of coffee into a yellow coffee cup.</t>
  </si>
  <si>
    <t>The camera man zooms in on the toy bear from a side view to a front view.</t>
  </si>
  <si>
    <t>The camera man pans out and moves to a side view of the toy bear and zooms out.</t>
  </si>
  <si>
    <t>v_D_GSISuQw3Y</t>
  </si>
  <si>
    <t>There's a girl wearing a brown Cheers shirt doing a demonstration on how to paint her nails.</t>
  </si>
  <si>
    <t>She shows a bottle of magenta nail polish that she has already used on her nails.</t>
  </si>
  <si>
    <t>Then she takes a strip of rhinestones that she meticulously places and glues on her painted fingernails.</t>
  </si>
  <si>
    <t>Then she coats her nails and the rhinestones with a layer of neutral polish to secure the rhinestones.</t>
  </si>
  <si>
    <t>She talks in the camera as two boys stand behind her trying to participating in the video tutorial.</t>
  </si>
  <si>
    <t>v_nD4VObLUOuE</t>
  </si>
  <si>
    <t>We see a man in an orange shirt twirl and spin to throw the hammer over 80km .</t>
  </si>
  <si>
    <t>Next we see a man in a blue shirt throw 73km.</t>
  </si>
  <si>
    <t>We see a man in a white shirt throw 75km.</t>
  </si>
  <si>
    <t>The man in orange goes again and throws 81km.</t>
  </si>
  <si>
    <t>v_9WXl-2sINno</t>
  </si>
  <si>
    <t>A young girl giving a make up tutorial.</t>
  </si>
  <si>
    <t>She begins with the eye shadow.</t>
  </si>
  <si>
    <t>She gets a little bit distracted and starts talking to someone else in the room.</t>
  </si>
  <si>
    <t>She then finishes her other eye and laughs a little bit.</t>
  </si>
  <si>
    <t>v_U4ua-VD7hNM</t>
  </si>
  <si>
    <t>A person is seen laying on a long wire and walks his way all the way to end.</t>
  </si>
  <si>
    <t>He attempts to flip across the string again but fails and hurts himself.</t>
  </si>
  <si>
    <t>Several more men are seen watching from the sides when one slides across again.</t>
  </si>
  <si>
    <t>Another man is seen doing a flip on a rock and more shots people walking and jumping onto the string are shown.</t>
  </si>
  <si>
    <t>v_1gM0xfKN-Kc</t>
  </si>
  <si>
    <t>Several men and women are outside on a silver adult monkey bars climbing across it.</t>
  </si>
  <si>
    <t>After they all finish,the people get off and run back to do another set on the monkey bars.</t>
  </si>
  <si>
    <t>In the distance,more people are coming from the trail and a young boy is shown going across the bars before a group of images of them doing different activities are shown.</t>
  </si>
  <si>
    <t>v_zoSNO_k9RoM</t>
  </si>
  <si>
    <t>A person puts a contact lens in his right eye.</t>
  </si>
  <si>
    <t>Then, the person puts a contact lens in his left eye.</t>
  </si>
  <si>
    <t>v_ytvIoI5uwFA</t>
  </si>
  <si>
    <t>A man is standing in front of another man while someone adjusts the table between them.</t>
  </si>
  <si>
    <t>The men lock arms, and begin to arm wrestle.</t>
  </si>
  <si>
    <t>They push and pull hard, trying to win.</t>
  </si>
  <si>
    <t>They suddenly begin punching each other, breaking out in a fight.</t>
  </si>
  <si>
    <t>One begins to fall after a punch.</t>
  </si>
  <si>
    <t>v_M5UrBI13R3s</t>
  </si>
  <si>
    <t>A white intro screen appears and red letters in a foreign language appear flashing on the screen.</t>
  </si>
  <si>
    <t>A white bowl filled with water and 3 potatoes appear in one bowl, and ice cubes are in another white bowl.</t>
  </si>
  <si>
    <t>A hand then grabs the top potato, the bowl of ice cubes and pours the cubes into a bigger white bowl that already has water in it.</t>
  </si>
  <si>
    <t>The two hands now drop the potato into the larger bowl with the ice cubes and water and the fingers begin to peel off all of the skin under the water and when all the peels are gone the potato is placed onto a clean white plate.</t>
  </si>
  <si>
    <t>The white outro screen appears and more foreign red letters appear.</t>
  </si>
  <si>
    <t>v_VFVAkH9zPIM</t>
  </si>
  <si>
    <t>We see the title introducing us to Jesse.</t>
  </si>
  <si>
    <t>Jesse the dog runs and catches Frisbee.</t>
  </si>
  <si>
    <t>We see Jesse close up in the camera.</t>
  </si>
  <si>
    <t>Jesse is running around catching the Frisbee the lady throws.</t>
  </si>
  <si>
    <t>We see five still shots of Jesse jumping in the air.</t>
  </si>
  <si>
    <t>Jesse continues to run around with his Frisbee.</t>
  </si>
  <si>
    <t>We see the end credits on a black screen.</t>
  </si>
  <si>
    <t>v_We0DJIKCBOw</t>
  </si>
  <si>
    <t>A woman is shown preparing to lift a barbell into the air.</t>
  </si>
  <si>
    <t>She lifts it into the air and above her head.</t>
  </si>
  <si>
    <t>She drops the barbell to the ground.</t>
  </si>
  <si>
    <t>She bows for the crowd and blows them a kiss.</t>
  </si>
  <si>
    <t>She then walks off stage.</t>
  </si>
  <si>
    <t>v_zBg0FEtpC-o</t>
  </si>
  <si>
    <t>A man in a black knit hat talks to the camera while standing in front of a table with items on it and in front of a yellow truck with a black star on the door.</t>
  </si>
  <si>
    <t>The man picks up an orange packet from the table and later a smaller yellow packet and an orange device, all while talking.</t>
  </si>
  <si>
    <t>The man then places the yellow packet and orange device on the table next to each other on a metal table.</t>
  </si>
  <si>
    <t>The man then takes a metal plate, puts it upside down and starts a fire on top of it using the materials in the packet, before returning to talk to the camera again.</t>
  </si>
  <si>
    <t>v_6RxF2UHMYQM</t>
  </si>
  <si>
    <t>A person picks up a paint brush and can of varnish on an outside lawn.</t>
  </si>
  <si>
    <t>The person paints a coat various boards leaning up against an exterior wall of home.</t>
  </si>
  <si>
    <t>v_yWvyLG3kq2I</t>
  </si>
  <si>
    <t>A large water fall is shown.</t>
  </si>
  <si>
    <t>A person goes over the water fall in a green kayak.</t>
  </si>
  <si>
    <t>People are standing on the rocks above the water watching.</t>
  </si>
  <si>
    <t>v_KkpQ347Ceak</t>
  </si>
  <si>
    <t>A person is putting food into a bowl.</t>
  </si>
  <si>
    <t>They crack a nut and put that into the bowl.</t>
  </si>
  <si>
    <t>They crack another nut over a black tray.</t>
  </si>
  <si>
    <t>v_-HKsU_uFUWo</t>
  </si>
  <si>
    <t>woman is kneeling down in the floor talking to the camera holding a bend slide and opens it in the living room.</t>
  </si>
  <si>
    <t>dog is walking behind th woman.</t>
  </si>
  <si>
    <t>baby is walking to the woman and climb to the slide.</t>
  </si>
  <si>
    <t>v_Q9UovyMsTLc</t>
  </si>
  <si>
    <t>Three girls are seen standing behind a counter speaking to the camera with one spreading butter around a pan.</t>
  </si>
  <si>
    <t>Another mixes ingredients into a bowl with another girl's help and the girls lick the spoon used afterwards.</t>
  </si>
  <si>
    <t>They pour the mixture into a pan, put it in the oven, then shortly take it out some time after.</t>
  </si>
  <si>
    <t>Frosting is then seen all over the cake and the girl's spread it around and serve pieces onto a plate, followed by them eating on in a living room.</t>
  </si>
  <si>
    <t>v_7CNEttu-t7g</t>
  </si>
  <si>
    <t>A large exercise machine is shown.</t>
  </si>
  <si>
    <t>A man sits down and starts working out on the exercise machine.</t>
  </si>
  <si>
    <t>v_weeD4A7gl2A</t>
  </si>
  <si>
    <t>A car is seen sitting inside a car wash on a security camera with rags moving up and down the vehicle.</t>
  </si>
  <si>
    <t>A man then opens his door which is followed by the machine taking off the door and the car driving away.</t>
  </si>
  <si>
    <t>v_jx7_0MRlScw</t>
  </si>
  <si>
    <t>People are driving around playing bumper cars.</t>
  </si>
  <si>
    <t>A man has to help get cars unstuck.</t>
  </si>
  <si>
    <t>v_G0g7vEwI0z8</t>
  </si>
  <si>
    <t>Two people are cooking in pans on the oven.</t>
  </si>
  <si>
    <t>Two plates of food are on the counter.</t>
  </si>
  <si>
    <t>v_p3-tF0riSpQ</t>
  </si>
  <si>
    <t>A man is first seen speaking to the camera with text questions being asked to him.</t>
  </si>
  <si>
    <t>He is then seen putting a cleaner on his teeth and taking a bit of food.</t>
  </si>
  <si>
    <t>He continues speaking to the camera while occasionally eating food.</t>
  </si>
  <si>
    <t>v_hQl2eeYX3IY</t>
  </si>
  <si>
    <t>There's a man in a red shirt and brown hat blowing leaves off his driveway with a leaf blower.</t>
  </si>
  <si>
    <t>He begins by blowing the leaves off from near the front lawn.</t>
  </si>
  <si>
    <t>Then he moves towards where his white van is parked.</t>
  </si>
  <si>
    <t>He walks all around the driveway and blow the leaves, making sure he covers the entire driveway.</t>
  </si>
  <si>
    <t>Then he goes towards the corner of the garage and blow off a large pile of leaves that is lying there in a heap.</t>
  </si>
  <si>
    <t>v_MVVhOW7t3u0</t>
  </si>
  <si>
    <t>A track athlete walks down the path.</t>
  </si>
  <si>
    <t>A female participant prepares to run.</t>
  </si>
  <si>
    <t>She runs with a javelin over her shoulder, throwing it as far as she can.</t>
  </si>
  <si>
    <t>She then runs away from the spot on the track.</t>
  </si>
  <si>
    <t>v_zYN_cbLO3MU</t>
  </si>
  <si>
    <t>Several people surf with paddles in ocean water navigating rough waves as onlookers watch from boats and kayaks.</t>
  </si>
  <si>
    <t>A man is paddle rowing on a surfboard in a body of water, when he begins to surf the ocean waves using the paddle to navigate and guide the surfboard.</t>
  </si>
  <si>
    <t>Another man is shown in a red outfit performing the same feat with the paddle along with yet another man in a green shirt.</t>
  </si>
  <si>
    <t>Another man in is paddle surfboarding in a clear blue type of water before the scene switches again to another several more people navigating large and rough waves with surfboard and paddles.</t>
  </si>
  <si>
    <t>v_g9sYWTE6LTg</t>
  </si>
  <si>
    <t>A large group of people are sitting around while two men bring out a table and a man and woman stand on it.</t>
  </si>
  <si>
    <t>The man and woman speak to the crowd and perform a tango routine while standing on the table the entire time.</t>
  </si>
  <si>
    <t>The people step off the table and bow to the audience clapping and the camera panning around.</t>
  </si>
  <si>
    <t>v_kt_sGN-1prU</t>
  </si>
  <si>
    <t>Various text shown leads into several clips of people swinging around on uneven bars.</t>
  </si>
  <si>
    <t>More and more gymnasts are shown jumping off of a beam and onto uneven bars.</t>
  </si>
  <si>
    <t>Several woman are shown back to back performing these tricks.</t>
  </si>
  <si>
    <t>v_x06fLYM58wM</t>
  </si>
  <si>
    <t>A female ballet dancer is in a studio room by herself wearing a purple leotard with a skirt attached to it.</t>
  </si>
  <si>
    <t>She begins gracefully dancing throughout the room doing a series of turns and kicks all while on the tip of her toes.</t>
  </si>
  <si>
    <t>Finally,she begins doing a series of tiny backward steps and finishes in the position she started in.</t>
  </si>
  <si>
    <t>v_cXw6os9Xk5c</t>
  </si>
  <si>
    <t>A man on the side of the street drumming away on an actual drum set.</t>
  </si>
  <si>
    <t>People are standing around waiting an watching him.</t>
  </si>
  <si>
    <t>Cars are passing by and he just continues to drum like it's normal.</t>
  </si>
  <si>
    <t>He jams out using the cymbals and everything.</t>
  </si>
  <si>
    <t>v_6x3qs7jQQko</t>
  </si>
  <si>
    <t>A woman is styling the hair of a mannequin.</t>
  </si>
  <si>
    <t>She rolls the hair into curlers on top of the head of the mannequin.</t>
  </si>
  <si>
    <t>She takes the curlers out of the hair and styles it.</t>
  </si>
  <si>
    <t>v_x7PDVqDFw6c</t>
  </si>
  <si>
    <t>Film strips appear to roll across the screen.</t>
  </si>
  <si>
    <t>A man is using a telescoping pole by the side of a building.</t>
  </si>
  <si>
    <t>He stretches it upward, then cleans the side of the building with it.</t>
  </si>
  <si>
    <t>He uses it to clean the windows tha are highest.</t>
  </si>
  <si>
    <t>v_dIlpPraDc-I</t>
  </si>
  <si>
    <t>The man in red jacket is skiing on the slope.</t>
  </si>
  <si>
    <t>The man in is skiing down slope with is knees bend down.</t>
  </si>
  <si>
    <t>The man is skiing down the mountain.</t>
  </si>
  <si>
    <t>v_mhHoL-9mY1E</t>
  </si>
  <si>
    <t>We see a person sitting in front of a shoe holding a can with brush.</t>
  </si>
  <si>
    <t>The man takes the top off and sprays the shoes.</t>
  </si>
  <si>
    <t>The man uses the brush on the shoe to rub the shoe.</t>
  </si>
  <si>
    <t>The man puts the top back on the can.</t>
  </si>
  <si>
    <t>The man gets up and grabs the camera.</t>
  </si>
  <si>
    <t>v_VEihQG2UWKE</t>
  </si>
  <si>
    <t>People are flying kites on grass.</t>
  </si>
  <si>
    <t>The kites are shown in the sky.</t>
  </si>
  <si>
    <t>A woman is holding a purple umbrella.</t>
  </si>
  <si>
    <t>People are walking around in a park.</t>
  </si>
  <si>
    <t>v_hpoReoD1vD0</t>
  </si>
  <si>
    <t>A white plate is sitting on a white table in a kitchen.</t>
  </si>
  <si>
    <t>A child places turkey slices on two pieces of white bread, then adds a slice of cheese.</t>
  </si>
  <si>
    <t>Finally, she adds a layer of miracle whip.</t>
  </si>
  <si>
    <t>She leans forward, taking a large bite of the sandwich.</t>
  </si>
  <si>
    <t>v_8fqxUtHLyoE</t>
  </si>
  <si>
    <t>Two women are on a court with jump ropes.</t>
  </si>
  <si>
    <t>They do several stunts while jumping the ropes.</t>
  </si>
  <si>
    <t>They flip forward, backward and sideways in unison.</t>
  </si>
  <si>
    <t>v_IjmeHBgFb3g</t>
  </si>
  <si>
    <t>A gymnast is seen sitting before a beam and begins performing a routine with another person attached to his lower half.</t>
  </si>
  <si>
    <t>The two present to be one gymnast on a bar and end with them jumping off with their arms up.</t>
  </si>
  <si>
    <t>v_h9YbUJuYzLk</t>
  </si>
  <si>
    <t>A male stylist talks as he smooths a woman's hair.</t>
  </si>
  <si>
    <t>He then demonstrates how to cut and style her hair, clipping it as he goes.</t>
  </si>
  <si>
    <t>When he is done, he blows her hair dry and gives it it's final styling.</t>
  </si>
  <si>
    <t>v_XNzQVEmoJrY</t>
  </si>
  <si>
    <t>We see finger in front of the camera.</t>
  </si>
  <si>
    <t>A man in green walks unto a squash court.</t>
  </si>
  <si>
    <t>The light goes out and the room is dark.</t>
  </si>
  <si>
    <t>The man in green walks to the middle of the court and hits the ball back and forth.</t>
  </si>
  <si>
    <t>The man finishes and walks towards the camera.</t>
  </si>
  <si>
    <t>v_deU1mGcNh1Q</t>
  </si>
  <si>
    <t>A young child is seen sitting on the floor grabbing ice cream with it's hands.</t>
  </si>
  <si>
    <t>The child then grabs a spoon and continues to use his hands to eat.</t>
  </si>
  <si>
    <t>v_wEI_iPEfLNk</t>
  </si>
  <si>
    <t>A woman is seen speaking to the camera and leads into her holing up a jar of honey.</t>
  </si>
  <si>
    <t>She continues speaking and leads into her rubbing honey on her face.</t>
  </si>
  <si>
    <t>She dries off the mask and continues speaking while smiling to the camera.</t>
  </si>
  <si>
    <t>v_085A7Iv6xzA</t>
  </si>
  <si>
    <t>A view is shown of a man removing a paddle from a fence.</t>
  </si>
  <si>
    <t>We see his face as he speaks, before he kayaks down a very thin stream into open waters.</t>
  </si>
  <si>
    <t>He uses his phone as another person arrives, then videos others shooting down the passageway.</t>
  </si>
  <si>
    <t>v_FtAQcl1h7O8</t>
  </si>
  <si>
    <t>People are riding spin bikes in a gym.</t>
  </si>
  <si>
    <t>Two women are working out on exercise bikes.</t>
  </si>
  <si>
    <t>Yellow words come on the screen.</t>
  </si>
  <si>
    <t>v_v1hQ0vf66QY</t>
  </si>
  <si>
    <t>A countdown of text is shown that leads into clips of sumo wrestlers performing impressive throws.</t>
  </si>
  <si>
    <t>The video continues counting down as more shots are shown of sumo wrestlers fighting one another and people watching on the side.</t>
  </si>
  <si>
    <t>v_ILwwD00q1ZY</t>
  </si>
  <si>
    <t>A person in a furniture store is talking about popular furniture made from reclaimed wood.</t>
  </si>
  <si>
    <t>He shows rustic, contemporary and traditional type of furniture that is in his store.</t>
  </si>
  <si>
    <t>He shows the high quality reclaimed wood and the different furniture made from it.</t>
  </si>
  <si>
    <t>v_jkWqhnD8hyQ</t>
  </si>
  <si>
    <t>We see a title in the upper left corner.</t>
  </si>
  <si>
    <t>The man drills the cabinets apart and wipes and paints them.</t>
  </si>
  <si>
    <t>The cabinets dry and the man wipes them.</t>
  </si>
  <si>
    <t>We see a person applying a product over the paint.</t>
  </si>
  <si>
    <t>We see the cabinet faces put back on the cabinets.</t>
  </si>
  <si>
    <t>v_5BAvlsHfTLk</t>
  </si>
  <si>
    <t>Santa Cruz Nomad Bike company is demonstrating how to install a bike.</t>
  </si>
  <si>
    <t>The company representative is putting together the bike parts piece by piece.</t>
  </si>
  <si>
    <t>He starts with the main body and then goes to attach the wheels, the handle and the pedals.</t>
  </si>
  <si>
    <t>Then he goes ahead and attaches the rubber tires.</t>
  </si>
  <si>
    <t>After that he fixes the handles of the bike with black rubber tops.</t>
  </si>
  <si>
    <t>He finally reinforces all the parts and ensures the bike is ready for use.</t>
  </si>
  <si>
    <t>when he's done, he gets on the bike and rides it.</t>
  </si>
  <si>
    <t>v_q0buJ1CKj-Y</t>
  </si>
  <si>
    <t>A person is seen sitting in front of a desk holding a guitar in his hands.</t>
  </si>
  <si>
    <t>The man then begins playing the instrument moving his hands up and down.</t>
  </si>
  <si>
    <t>The person continues playing on the guitar and looking off into the distance.</t>
  </si>
  <si>
    <t>v_m5T_w1mhWgY</t>
  </si>
  <si>
    <t>A person is seen riding down a snowy hill followed by a man working on a machine and pulling paper out.</t>
  </si>
  <si>
    <t>The camera zooms in on the machine and the man takes a ski and runs the ski over the machine.</t>
  </si>
  <si>
    <t>He shows off the ski while continuing to use them on the machine and showing off how they look.</t>
  </si>
  <si>
    <t>v_KEUJ7ulD-_A</t>
  </si>
  <si>
    <t>The video opens up with an intro segment for a BMX race.</t>
  </si>
  <si>
    <t>The racers are shown at the gate getting ready for the race.</t>
  </si>
  <si>
    <t>Several racers are introduced with their names shown on the screen.</t>
  </si>
  <si>
    <t>The race starts and the racers race around the track.</t>
  </si>
  <si>
    <t>v_Mvw0hvMeM-w</t>
  </si>
  <si>
    <t>The video begins with the annual BMX biking event where several participants are gathered to begin their competitive event.</t>
  </si>
  <si>
    <t>Several bikers begin biking on their bikes on curved slopes in the open air arena.</t>
  </si>
  <si>
    <t>The bikers go over bumpy and hilly slopes in their gears and helmets.</t>
  </si>
  <si>
    <t>There are several bikers beginning a race from the top of the biking slope.</t>
  </si>
  <si>
    <t>They show off their stunts and skills as they speed through the obstacle course of the biking arena.</t>
  </si>
  <si>
    <t>v_bUCMSDMB7MU</t>
  </si>
  <si>
    <t>Two side by side videos are shown of a man in slow motion playing frisbee and doing tricks with a dog.</t>
  </si>
  <si>
    <t>The same man is shown again performing various tricks with his dog that are shown in real time as well as slow motion.</t>
  </si>
  <si>
    <t>v_ziJaskA3588</t>
  </si>
  <si>
    <t>People are in a boat while a person is attached to the back and waterboarding.</t>
  </si>
  <si>
    <t>As a large splash of water flies into the air white words appear in the middle of the screen that say "Wipeout Bay of Plenty".</t>
  </si>
  <si>
    <t>The person is shown from different angles waterboarding and then falling hard into the water multiple times.</t>
  </si>
  <si>
    <t>v_8UyB9XigBXM</t>
  </si>
  <si>
    <t>A young girl is seen brushing her hair as well as spraying product into her hair.</t>
  </si>
  <si>
    <t>She takes her hair in parts and begins braiding her hair.</t>
  </si>
  <si>
    <t>She finishes braiding her hair and ends by a picture of the braid.</t>
  </si>
  <si>
    <t>v_VmjCJxgPSiE</t>
  </si>
  <si>
    <t>A campfire is surrounded by stones.</t>
  </si>
  <si>
    <t>A person adds browned leafs to the campfire.</t>
  </si>
  <si>
    <t>A person uses a stick to move the leaves inside the fire.</t>
  </si>
  <si>
    <t>A person moves backwards away from the fire.</t>
  </si>
  <si>
    <t>A person moves forward towards the fire.</t>
  </si>
  <si>
    <t>v_kLpYpfT5bok</t>
  </si>
  <si>
    <t>Two people are fighting on the ground.</t>
  </si>
  <si>
    <t>People are sitting around them watching.</t>
  </si>
  <si>
    <t>People are sitting on chairs playing drums.</t>
  </si>
  <si>
    <t>v_9jFyJhik9VM</t>
  </si>
  <si>
    <t>A person goes windsurfing on a lime green board in a body of water.</t>
  </si>
  <si>
    <t>The person does a few spins.</t>
  </si>
  <si>
    <t>v_do_AQlxV9SI</t>
  </si>
  <si>
    <t>A large man is doing behind the neck shoulder presses.</t>
  </si>
  <si>
    <t>He is holding his breath doing them and then he stands up and starts to walk.</t>
  </si>
  <si>
    <t>He gets back on the bench and does a few more pf the shoulder presses again.</t>
  </si>
  <si>
    <t>Then, he goes outside and practices spinning and throwing.</t>
  </si>
  <si>
    <t>v_yUC6HXP9S8A</t>
  </si>
  <si>
    <t>A boy is standing outside on top of ice fishing out of a small hole in the ice.</t>
  </si>
  <si>
    <t>The boy struggles to get the fish out and someone comes and takes it out for him.</t>
  </si>
  <si>
    <t>Now there are four men visible and they all begin to fish out of the ice pond.</t>
  </si>
  <si>
    <t>Eventually,a man grabs a chair and starts fishing and taking his fish off of his line.</t>
  </si>
  <si>
    <t>v_1zyyumIi0iQ</t>
  </si>
  <si>
    <t>An intro leads into a group of cheerleaders performing several moves as a team and girls being interviewed on camera.</t>
  </si>
  <si>
    <t>They perform a routine shown by several videos and pictures and continue showing various tricks backstage and on stage.</t>
  </si>
  <si>
    <t>The girls speak to one another back stage with their coach and many people interact with them in the audience.</t>
  </si>
  <si>
    <t>v_i3H8cucgXEc</t>
  </si>
  <si>
    <t>A person is seen riding around on roller blades and performing a grind on a bar.</t>
  </si>
  <si>
    <t>Several more clips are shown of the person performing grinds with roller blades as well as other flips and tricks.</t>
  </si>
  <si>
    <t>v_XN7mRI1qGlQ</t>
  </si>
  <si>
    <t>woman is holding a hairdryer and dying a little kid hair.</t>
  </si>
  <si>
    <t>little kid in the back is standing and laughing.</t>
  </si>
  <si>
    <t>v_UeN7XgwLkOU</t>
  </si>
  <si>
    <t>man is standing in a room opening the blinds.</t>
  </si>
  <si>
    <t>men are skating on sidewalks by the street with a lot of people around.</t>
  </si>
  <si>
    <t>v_aMexiSP5Vjc</t>
  </si>
  <si>
    <t>A young child is seen using an elliptical while watching a computer video in front of her.</t>
  </si>
  <si>
    <t>The girl controls the moves on the video using the machine while the camera zooms in and out of the area.</t>
  </si>
  <si>
    <t>v_TIfAkOBMf5A</t>
  </si>
  <si>
    <t>People run out onto a stage.</t>
  </si>
  <si>
    <t>They begin to dance and work out on the stage.</t>
  </si>
  <si>
    <t>An audience is watching them perform.</t>
  </si>
  <si>
    <t>v_qwJhmfZKdNQ</t>
  </si>
  <si>
    <t>A man wearing a purple sweater is demonstrating how to use garden shears.</t>
  </si>
  <si>
    <t>He is trimming the hedges and bushes in the yard.</t>
  </si>
  <si>
    <t>He shows how the shears can be used effectively in hard to reach places.</t>
  </si>
  <si>
    <t>v_g9bIJ1MIvPk</t>
  </si>
  <si>
    <t>A roll of shingles is shown lying on a roof.</t>
  </si>
  <si>
    <t>A man holds up a sheet of the shingles.</t>
  </si>
  <si>
    <t>He uses pliers to remove damaged shingles before replacing them with new ones.</t>
  </si>
  <si>
    <t>v_e34P8tr-Mi4</t>
  </si>
  <si>
    <t>Three men are applying plaster to the ceiling of an unfinished room while another man watches.</t>
  </si>
  <si>
    <t>One of the men climbs a ladder to reach the ceiling.</t>
  </si>
  <si>
    <t>One man performs a short dance.</t>
  </si>
  <si>
    <t>The camera moves to reveal that the man dancing and another one of the men are using stilts to reach the ceiling.</t>
  </si>
  <si>
    <t>v_e-44ig51evc</t>
  </si>
  <si>
    <t>We see a title screen for the video.</t>
  </si>
  <si>
    <t>We then see little boys playing soccer in a couple of gymnasiums.</t>
  </si>
  <si>
    <t>We watch the boy in the white shirt score a goal.</t>
  </si>
  <si>
    <t>We see a boy kick a goal and the goalie reaches to stop the ball but misses.</t>
  </si>
  <si>
    <t>We see the boy in white score a goal and his Teammates hug him.</t>
  </si>
  <si>
    <t>3:10 The white ream number 10 scores and a teammate gives him a high five.</t>
  </si>
  <si>
    <t>v_zVOj9aaq4L0</t>
  </si>
  <si>
    <t>A woman is shown, playing with her hair.</t>
  </si>
  <si>
    <t>A salon artist appears, and his tools are shown on a table.</t>
  </si>
  <si>
    <t>The woman blows her hair dry before posing, and is shown step by step creating curls in her hair with his tools.</t>
  </si>
  <si>
    <t>She adjusts and brushes her hair, then shows off the final result.</t>
  </si>
  <si>
    <t>v__CYdiU1sMwc</t>
  </si>
  <si>
    <t>A man is using a leaf blower to blow the leaves off the grass.</t>
  </si>
  <si>
    <t>A car drives by on the road at a decent speed.</t>
  </si>
  <si>
    <t>He continues to blow the leaves mindlessly.</t>
  </si>
  <si>
    <t>The leaves are all falling on the road making the grass look so much better.</t>
  </si>
  <si>
    <t>v_cDV1vDdAT1w</t>
  </si>
  <si>
    <t>Several people are seen riding around on surf board with kites on the top.</t>
  </si>
  <si>
    <t>They continue riding around and a small child is seen up close.</t>
  </si>
  <si>
    <t>More shots are shown of them riding around one another and riding along the water.</t>
  </si>
  <si>
    <t>v_CiryRTSYkC4</t>
  </si>
  <si>
    <t>A person is seen gearing up while speaking to the camera and leads into him doing push ups.</t>
  </si>
  <si>
    <t>The man walks down a hallway with a women being introduced and leads into the two playing ping pong.</t>
  </si>
  <si>
    <t>The two continue playing and leads into the man holding up a basketball and the woman shocked.</t>
  </si>
  <si>
    <t>v_W2Wjbhsuacw</t>
  </si>
  <si>
    <t>Outside in a bucket there is some wood and someone come out and starts to blow something on it.</t>
  </si>
  <si>
    <t>He is blowing fire on to it with some kind of fire contraption that looks like a gardening tool.</t>
  </si>
  <si>
    <t>It is catching nicely and the woods is burning quick.</t>
  </si>
  <si>
    <t>The fire dies down a little but is still burning.</t>
  </si>
  <si>
    <t>v_rkDuiu5H8JY</t>
  </si>
  <si>
    <t>A woman demonstrates how to create a braided hairstyle using a young woman as a model for the style in a hands on tutorial.</t>
  </si>
  <si>
    <t>The hairstylist begins by parting the hair in four sections with a comb before braiding each section and clipping a hairpin on the ends of each braid.</t>
  </si>
  <si>
    <t>The woman then pulls each braid across the front of the models hairline.</t>
  </si>
  <si>
    <t>The model showcases the look while sitting in the chair and the camera captures her hairstyle from different angles before and image of three women on a sofa with a fly away helium balloon appears.</t>
  </si>
  <si>
    <t>v_3kEAg-JtDBY</t>
  </si>
  <si>
    <t>A woman is wearing a white robe and a black belt.</t>
  </si>
  <si>
    <t>She does karate moves in her room.</t>
  </si>
  <si>
    <t>She kicks her legs up several times.</t>
  </si>
  <si>
    <t>She finishes and stands up right with her arms by her side and bows.</t>
  </si>
  <si>
    <t>v_HdNOiIdGqvE</t>
  </si>
  <si>
    <t>A man in a white lab coat is seen talking to the camera and showing various tools in a laboratory.</t>
  </si>
  <si>
    <t>Towel are seen sitting in a sink and the man shows the proper hand washing tools.</t>
  </si>
  <si>
    <t>He puts his hands under the sink with soap and washes his hand thoroughly.</t>
  </si>
  <si>
    <t>He dries his hands and continues talking to the camera how why this is important.</t>
  </si>
  <si>
    <t>v_FyxltEKCfZ0</t>
  </si>
  <si>
    <t>We see nurses giving children shots.</t>
  </si>
  <si>
    <t>We see a laboratory with a scientist.</t>
  </si>
  <si>
    <t>We see a person in an MRI and we see a doctor looking at the results.</t>
  </si>
  <si>
    <t>Coffee is poured into a white mug.</t>
  </si>
  <si>
    <t>Coffee beans are spilling on each other.</t>
  </si>
  <si>
    <t>We see people making coffee in a coffee shop.</t>
  </si>
  <si>
    <t>v__NwkwvaC7Bg</t>
  </si>
  <si>
    <t>The scene transitions into a bunch of young people carrying pieces of wood to an open area outdoors.</t>
  </si>
  <si>
    <t>They begin to attempt to chop the wood, but have trouble getting the axe out at first.</t>
  </si>
  <si>
    <t>A woman finally gets the axe out and they start chopping the wood.</t>
  </si>
  <si>
    <t>The camera pans around to the spectators as a woman in a bandanna successfully chops the wood and takes a bow.</t>
  </si>
  <si>
    <t>The scene returns to the woman at that was at the beginning of the video.</t>
  </si>
  <si>
    <t>The video ends with the women around the wood startled as something falls.</t>
  </si>
  <si>
    <t>v_lQP65cm11FA</t>
  </si>
  <si>
    <t>A person puts on safety glasses and walks through a gate into a courtyard.</t>
  </si>
  <si>
    <t>The person blows the leaves from a driveway using an electric blower.</t>
  </si>
  <si>
    <t>The person blows the leaves from a grass area using the blower.</t>
  </si>
  <si>
    <t>The blower is seen up close with different attachments and settings featured.</t>
  </si>
  <si>
    <t>v_Qm7AL0RjHxI</t>
  </si>
  <si>
    <t>A man step on a square drawn in the beach and turns the body back and forth.</t>
  </si>
  <si>
    <t>Then, the man step on the triangle and does hand movements, after the man joint the hands.</t>
  </si>
  <si>
    <t>v_alcSAjjsH9w</t>
  </si>
  <si>
    <t>a man wearing an apron is laughing over a table.</t>
  </si>
  <si>
    <t>He is shown with a large bowl and several cracked eggs.</t>
  </si>
  <si>
    <t>He talks to a group of people about what to do with the eggs.</t>
  </si>
  <si>
    <t>He creates an omelette, then plates it.</t>
  </si>
  <si>
    <t>v_nt9tMdFVQ1c</t>
  </si>
  <si>
    <t>A group of men are playing volleyball on the beach, 3 on one side, and 2 on the other side.</t>
  </si>
  <si>
    <t>One team attempts to serve and it crashes into the net.</t>
  </si>
  <si>
    <t>The other (shorthanded) team sends its own serve, a simple lob, but the opposing team knock their return out of bounds.</t>
  </si>
  <si>
    <t>v_f2W1Mt04CIM</t>
  </si>
  <si>
    <t>People rides bumper cars in a carnival.</t>
  </si>
  <si>
    <t>An old man rides a small bumper car.</t>
  </si>
  <si>
    <t>Several people get stuck with other bumper cars.</t>
  </si>
  <si>
    <t>There are a lot of people in the carnival.</t>
  </si>
  <si>
    <t>v_9UGNhbRWM14</t>
  </si>
  <si>
    <t>A girl and a man are practicing boxing in a gym.</t>
  </si>
  <si>
    <t>There is a punching bag swinging in the background.</t>
  </si>
  <si>
    <t>The girl and man move around the floor swinging at each other.</t>
  </si>
  <si>
    <t>v_wyARf3xHOgs</t>
  </si>
  <si>
    <t>Children practice gymnastics in a room.</t>
  </si>
  <si>
    <t>A woman helps a child do a flip.</t>
  </si>
  <si>
    <t>Some children kick off of a wall.</t>
  </si>
  <si>
    <t>Some other kids do more flips.</t>
  </si>
  <si>
    <t>v_VcthLhKIntA</t>
  </si>
  <si>
    <t>A man wearing a hat is talking on a stage.</t>
  </si>
  <si>
    <t>A woman enters, and she begins to dance.</t>
  </si>
  <si>
    <t>The woman lights a hula hoop on fire, dancing with the hoop.</t>
  </si>
  <si>
    <t>v_9XyrLUWZl40</t>
  </si>
  <si>
    <t>A boy puts together a rubix cube and excitedly drops it.</t>
  </si>
  <si>
    <t>He jumps up and claps his hands together so happy about it.</t>
  </si>
  <si>
    <t>Another boy is doing it with only his feet.</t>
  </si>
  <si>
    <t>It's a competition, the audience is watching as the people competing are being timed.</t>
  </si>
  <si>
    <t>v_BG4QxmqBaS4</t>
  </si>
  <si>
    <t>Screens begin to appear with white words on them describing events that are about to take place.</t>
  </si>
  <si>
    <t>A still image is then shown before a guy attempts to do several pole vault jumps.</t>
  </si>
  <si>
    <t>Another black screen appears and a different person tries to do the jump but he too hits the pole.</t>
  </si>
  <si>
    <t>Once he is done, a different man attempts to do it but he isn't successful either.</t>
  </si>
  <si>
    <t>v_Pi5fonaOYTI</t>
  </si>
  <si>
    <t>A woman is talking to the camera while standing against a white background.</t>
  </si>
  <si>
    <t>She holds up a hula hoop while she talks.</t>
  </si>
  <si>
    <t>She then shows how to utilize the hula hoop while doing exercises and yoga poses, sometimes inserting parts of her body into the hoop.</t>
  </si>
  <si>
    <t>v_CXP20cVQN30</t>
  </si>
  <si>
    <t>People walk past the camera .</t>
  </si>
  <si>
    <t>The camera zooms in to show people swimming in the pool and some playing volleyball in the pool.</t>
  </si>
  <si>
    <t>One person gets out of the pool and walks away.</t>
  </si>
  <si>
    <t>A person throws the ball at someones face.</t>
  </si>
  <si>
    <t>People throw the balls so far that they go out of the pool.</t>
  </si>
  <si>
    <t>v_zDBpa2miW8A</t>
  </si>
  <si>
    <t>An intro starts entitled how to cut the grass.</t>
  </si>
  <si>
    <t>A man walks out wearing funny attire and showing off to the camera with a lawn mower.</t>
  </si>
  <si>
    <t>The man then walks around and blows the leaves off still wearing the funny outfit.</t>
  </si>
  <si>
    <t>v_79gvzh0wn0Q</t>
  </si>
  <si>
    <t>A woman in white karate uniform does a demonstration of a routine on the mat for judges during event.</t>
  </si>
  <si>
    <t>The woman bows and walks off the mat.</t>
  </si>
  <si>
    <t>A woman in black uniform shakes hands with judges.</t>
  </si>
  <si>
    <t>A woman in white uniform walks up and greets judges shaking their hands.</t>
  </si>
  <si>
    <t>v_TfIGKODkpPY</t>
  </si>
  <si>
    <t>There are people flying kites collectively in a huge parking lot where several cars and mini vans are parked.</t>
  </si>
  <si>
    <t>There's a man in a blue striped shirt standing with another man in a brown shirt, both getting ready to fly their orange kite.</t>
  </si>
  <si>
    <t>They pull the strings out of the spool and begin flying the kite.</t>
  </si>
  <si>
    <t>v_Y5VEl3e9Hbo</t>
  </si>
  <si>
    <t>Two boys are polishing shoes with brushes.</t>
  </si>
  <si>
    <t>Then, one boy takes a shoe up to play.</t>
  </si>
  <si>
    <t>A little boy put his leg in a big shoe and polish with a brush.</t>
  </si>
  <si>
    <t>Then, the other boy put his hand in the shoe to polish it.</t>
  </si>
  <si>
    <t>v_5rO2DwFhdwo</t>
  </si>
  <si>
    <t>Two men are on an indoor racquetball court.</t>
  </si>
  <si>
    <t>They pick the ball up and continue competing.</t>
  </si>
  <si>
    <t>v_3GgQdXjJfEU</t>
  </si>
  <si>
    <t>man wearing black shorts is running on race track and make a javelin throw.</t>
  </si>
  <si>
    <t>men are sitting on a side of the race track.</t>
  </si>
  <si>
    <t>man is standing in a dusty diamond behind green net.</t>
  </si>
  <si>
    <t>thee men are standing next to a green net watching the javelin throw.</t>
  </si>
  <si>
    <t>referees wearing green shirts are standing on the field.</t>
  </si>
  <si>
    <t>v_c6wINALtTvs</t>
  </si>
  <si>
    <t>woman is in a kitchen talking to the camera and showing how to prepare cookies.</t>
  </si>
  <si>
    <t>woman is mixing ingredients ni a kitchen aid and making balls and putnig them in a pan and on the oven.</t>
  </si>
  <si>
    <t>v_2QO41PbOUJ0</t>
  </si>
  <si>
    <t>A woman is seen looking off into the distance while smoking a cigarette.</t>
  </si>
  <si>
    <t>She speaks to someone out of frame while taking puffs from her cigarette.</t>
  </si>
  <si>
    <t>She continues smoking while the camera captures her movements.</t>
  </si>
  <si>
    <t>v_7jGKlEvH_uw</t>
  </si>
  <si>
    <t>A woman is seen spinning two hoops around her hands while looking back to the camera and speaking.</t>
  </si>
  <si>
    <t>She continues spinning around the hoops while pausing inbetween to hold them and speak.</t>
  </si>
  <si>
    <t>v_31KEa5VhvPs</t>
  </si>
  <si>
    <t>A group of spectators are gathered in a gym.</t>
  </si>
  <si>
    <t>A man and his teammates are pushing a puck.</t>
  </si>
  <si>
    <t>They are engaged in a game of curling on the ice.</t>
  </si>
  <si>
    <t>v_Xc2CUi0Rnpw</t>
  </si>
  <si>
    <t>The camera zooms in on several players and leads into a small group of people playing soccer against one another.</t>
  </si>
  <si>
    <t>Coaches and audience members react as they watch the game and the players continue kicking the ball up and down the field.</t>
  </si>
  <si>
    <t>v_nt8MurhX7HY</t>
  </si>
  <si>
    <t>A small group of people are seen standing on each side of a rope wile putting their hands up.</t>
  </si>
  <si>
    <t>The men then grab onto the rope and pull against one another.</t>
  </si>
  <si>
    <t>Men watch on the side as one team wins.</t>
  </si>
  <si>
    <t>v_YH3571KWDpM</t>
  </si>
  <si>
    <t>A large group of people are seen standing around an indoor gym behind one another.</t>
  </si>
  <si>
    <t>The group then begins dancing with one another performing the same moves.</t>
  </si>
  <si>
    <t>The people continue to dance around the room while the camera records their movements.</t>
  </si>
  <si>
    <t>v_ZmUk9OQ1zfk</t>
  </si>
  <si>
    <t>Several team members from a volleyball games are interviewed.</t>
  </si>
  <si>
    <t>They are shown playing on the beach, kicking the ball.</t>
  </si>
  <si>
    <t>v_hN9diyaOK4E</t>
  </si>
  <si>
    <t>A man competes solving a puzzle cube.</t>
  </si>
  <si>
    <t>A person pass behind the man.</t>
  </si>
  <si>
    <t>A hand extends a sheet on front the player.</t>
  </si>
  <si>
    <t>After finish, the man puts on his glasses.</t>
  </si>
  <si>
    <t>v_l-YtPYZ_534</t>
  </si>
  <si>
    <t>We see two men sitting then shaking their heads.</t>
  </si>
  <si>
    <t>We see tools and tips for croquet.</t>
  </si>
  <si>
    <t>The two men argue about the game.</t>
  </si>
  <si>
    <t>We see the men playing croquet.</t>
  </si>
  <si>
    <t>We see a diagram on the screen.</t>
  </si>
  <si>
    <t>The man has his foot on a red ball.</t>
  </si>
  <si>
    <t>We see a man laugh and dance while another is upset.</t>
  </si>
  <si>
    <t>v_ghWwS5ev6xk</t>
  </si>
  <si>
    <t>A man is seen sitting in a kayak while speaking to the camera and holding a paddle.</t>
  </si>
  <si>
    <t>The man then moves himself around on the kayak while demonstrating how to properly move.</t>
  </si>
  <si>
    <t>He continues to spin around while looking up at the camera.</t>
  </si>
  <si>
    <t>v_HVD8N0bbPVo</t>
  </si>
  <si>
    <t>A man in sunglasses is standing outside a building.</t>
  </si>
  <si>
    <t>He is then seen inside an elevator, acting strangely as he punches the air with different people riding.</t>
  </si>
  <si>
    <t>He is intentionally trying to scare and worry them.</t>
  </si>
  <si>
    <t>v_Ogx1hUoOSrE</t>
  </si>
  <si>
    <t>Four girls are shown looking into the camera.</t>
  </si>
  <si>
    <t>A girl up front begins waving a bottle of mouthwash.</t>
  </si>
  <si>
    <t>The girl then takes a cup of the mouthwash and drinks it.</t>
  </si>
  <si>
    <t>The cup of mouthwash is passed around until all the girls drink from it.</t>
  </si>
  <si>
    <t>v_PofMK_beoR8</t>
  </si>
  <si>
    <t>Several people begin walking into a room wearing Kangaroo shoes and bouncing around.</t>
  </si>
  <si>
    <t>On the left side of the room,there is a bar on two poles that is about five feet high that each person takes turns jumping over.</t>
  </si>
  <si>
    <t>v_qt-0mo_8ufU</t>
  </si>
  <si>
    <t>Skiers ride up a ski lift.</t>
  </si>
  <si>
    <t>A man in yellow skis down a slope.</t>
  </si>
  <si>
    <t>Several tricks are done by skiers.</t>
  </si>
  <si>
    <t>They jump over several ramps.</t>
  </si>
  <si>
    <t>v_kcB7HQPxzDM</t>
  </si>
  <si>
    <t>Lithuanian Zinaida Sendriute throws the discus 64 meters to lead out for her third throw, waving to the camera as she walks off.</t>
  </si>
  <si>
    <t>Cuban Yarelis Barrios is next and unleashes a mighty 67 meter toss with a thunderous scream.</t>
  </si>
  <si>
    <t>Croatian Sandra Perkovic out distances both of the previous throwers with a 69 meter toss to claim the lead.</t>
  </si>
  <si>
    <t>v_p35FXT4drA0</t>
  </si>
  <si>
    <t>An athletic man is seen stepping up to a circle and throwing an object off into the distance.</t>
  </si>
  <si>
    <t>His throw is shown again while others measure his throw on the side.</t>
  </si>
  <si>
    <t>The man grabs a flag and walks around the arena.</t>
  </si>
  <si>
    <t>v_Y_ITwC4_pEY</t>
  </si>
  <si>
    <t>A large screen is shown followed by a band playing on stage.</t>
  </si>
  <si>
    <t>A man wearing a mickey costume and playing the drums.</t>
  </si>
  <si>
    <t>The man continues playing the drums and ends with the curtain closing.</t>
  </si>
  <si>
    <t>v_YMsyF-g2TqE</t>
  </si>
  <si>
    <t>We see a carved pumpkin and a title screen.</t>
  </si>
  <si>
    <t>A man draws a face on a pumpkin.</t>
  </si>
  <si>
    <t>A man then carves a pumpkin into a snarling old man.</t>
  </si>
  <si>
    <t>The man takes an image of the pumpkin with a phone.</t>
  </si>
  <si>
    <t>The man tilts the pumpkin back into the light.</t>
  </si>
  <si>
    <t>We see still shots of the carved pumpkin.</t>
  </si>
  <si>
    <t>We see the ending screen with a website.</t>
  </si>
  <si>
    <t>v_OkCu0QymO10</t>
  </si>
  <si>
    <t>A man is seen standing on a ladder and working on a roof while the camera captures his movements.</t>
  </si>
  <si>
    <t>The man then sprays down the roof and moves back and fourth.</t>
  </si>
  <si>
    <t>v_FRsHew2Pcko</t>
  </si>
  <si>
    <t>A young boy is seated in front of a drum set.</t>
  </si>
  <si>
    <t>He is rapidly playing the drums in front of him.</t>
  </si>
  <si>
    <t>He also hits the cymbals several times.</t>
  </si>
  <si>
    <t>v_fkgojk18K0E</t>
  </si>
  <si>
    <t>We see a lady in a dancing costume.</t>
  </si>
  <si>
    <t>She points at her hips and waist.</t>
  </si>
  <si>
    <t>She begins to belly dance slowly.</t>
  </si>
  <si>
    <t>She picks up speed and spins her hands.</t>
  </si>
  <si>
    <t>She goes slower then goes fast again.</t>
  </si>
  <si>
    <t>The lady finishes her dance, stops and bows.</t>
  </si>
  <si>
    <t>v_c5Io6wg8D60</t>
  </si>
  <si>
    <t>A man is standing by a desk talking with some coaches about something.</t>
  </si>
  <si>
    <t>He begins to walk backwards and get himself ready to start running.</t>
  </si>
  <si>
    <t>He starts running and builds up speed pretty quickly.</t>
  </si>
  <si>
    <t>He lands into the sand and when he is done and man come behind him to smooth the sand out.</t>
  </si>
  <si>
    <t>v_88qqQjRPFUQ</t>
  </si>
  <si>
    <t>A camera shows a young child walking up a playground set with a dog wandering in the back.</t>
  </si>
  <si>
    <t>The child climbs up a set of stairs and slides down a slide.</t>
  </si>
  <si>
    <t>v_wdecG9VSAl0</t>
  </si>
  <si>
    <t>A young man is seen paddling a canoe down a river.</t>
  </si>
  <si>
    <t>He talks to the camera as he approaches.</t>
  </si>
  <si>
    <t>He gets out, continuing to talk about canoeing.</t>
  </si>
  <si>
    <t>v_V50vtrHboIE</t>
  </si>
  <si>
    <t>A woman is seen moving a hula hoop close up in front of the camera.</t>
  </si>
  <si>
    <t>The girl then speaks to the camera and leads into her spinning a hula hoop around.</t>
  </si>
  <si>
    <t>The woman continues speaking to the camera while spinning the hoop and demonstrating how to perform proper moves.</t>
  </si>
  <si>
    <t>v_BJWL_X79HRc</t>
  </si>
  <si>
    <t>Several men dreassed in lacrosse gear run onto a field.</t>
  </si>
  <si>
    <t>The opposing teams are shown in several clips, fighting and hitting the ball into each other's goals.</t>
  </si>
  <si>
    <t>v_6kUeZVukTEI</t>
  </si>
  <si>
    <t>Several clips are shown of people lifting heavy weights as well as jumping on a track.</t>
  </si>
  <si>
    <t>People are seen jumping over poles, squatting with weights, as well as performing various other exercises.</t>
  </si>
  <si>
    <t>In the end more people are seen jumping over a pole.</t>
  </si>
  <si>
    <t>v_fzHg9PhhlAg</t>
  </si>
  <si>
    <t>Several men from different places are outside on a large field playing cricket.</t>
  </si>
  <si>
    <t>Men come to the middle of the field and stand around a small rectangle and begin hitting the ball extremely far.</t>
  </si>
  <si>
    <t>As the ball goes to the outfield,the teammates begin jumping up and down and cheering for their team.</t>
  </si>
  <si>
    <t>Finally,a man is shown holding up a large silver award.</t>
  </si>
  <si>
    <t>v_SHT08nPhIb4</t>
  </si>
  <si>
    <t>A man is shooting a basketball into a hoop.</t>
  </si>
  <si>
    <t>Another man starts shooting a basketball into the hoop.</t>
  </si>
  <si>
    <t>The first man watches the second man.</t>
  </si>
  <si>
    <t>v_btMVEIvr0oc</t>
  </si>
  <si>
    <t>We see kids playing dodge ball in a trampoline park.</t>
  </si>
  <si>
    <t>We see a boy hit with the ball and throw it back.</t>
  </si>
  <si>
    <t>We see a boy in green throw the ball hard.</t>
  </si>
  <si>
    <t>The boy in striped shirt joins the game and the boy in red is out.</t>
  </si>
  <si>
    <t>A girl walks past the camera waving her hand.</t>
  </si>
  <si>
    <t>A boy in a yellow shirt walks towards the camera.</t>
  </si>
  <si>
    <t>v_xaMEGQCxddY</t>
  </si>
  <si>
    <t>Old videos are shown of track meets.</t>
  </si>
  <si>
    <t>A man is shown multiple times as he throws a discus.</t>
  </si>
  <si>
    <t>He spins in circles, then throws the disc as far as he can.</t>
  </si>
  <si>
    <t>v_f1HMhfSlPSw</t>
  </si>
  <si>
    <t>Gymnasts do tumbling routines with flips and spins on a mat inside of a gym.</t>
  </si>
  <si>
    <t>Men swings on hand rings as part of his tumbling routine.</t>
  </si>
  <si>
    <t>The man falls on the ground while swinging on the rings.</t>
  </si>
  <si>
    <t>The gymnast plays around a bit batting his ear and waiting for another person to clear the mat.</t>
  </si>
  <si>
    <t>v_ptY-0n53uq0</t>
  </si>
  <si>
    <t>A little boy is inside a garage room.</t>
  </si>
  <si>
    <t>He is playing a large drum set while wearing headphones.</t>
  </si>
  <si>
    <t>He hits the cymbals and drums hard with the sticks.</t>
  </si>
  <si>
    <t>v_G-EDozcMT_4</t>
  </si>
  <si>
    <t>An intro leads into several shots of skateboarders riding around on rails in a large city.</t>
  </si>
  <si>
    <t>The camera follows these borders closely as they perform tricks up stairs and over benches.</t>
  </si>
  <si>
    <t>The men continue skating on and ends with a police woman smiling and giving a thumbs up to the camera.</t>
  </si>
  <si>
    <t>v_qWdjYyFfrTM</t>
  </si>
  <si>
    <t>A production graphic is shown along with a link for more media.</t>
  </si>
  <si>
    <t>This fades into a man starting to play the saxophone in his living room up to a microphone.</t>
  </si>
  <si>
    <t>The man is now wearing sunglasses while playing, grooving to the music.</t>
  </si>
  <si>
    <t>The man is shown back without the sunglasses.</t>
  </si>
  <si>
    <t>Another window displaying the performer is shown in the corner of the video.</t>
  </si>
  <si>
    <t>v_KaGGtAhiH64</t>
  </si>
  <si>
    <t>A group of young men are seated at tables at a rubiks cube competition.</t>
  </si>
  <si>
    <t>An official removes a slip of paper from a rubiks cube sitting in front of a young man at the end of a table after which the competitor solves the cube and celebrates by banging his hands on the table.</t>
  </si>
  <si>
    <t>An official lifts a cup to reveal a rubiks cube that the same man then solves.</t>
  </si>
  <si>
    <t>A young man wearing a beige shirt solves a cube and presses his hands to his face before standing up.</t>
  </si>
  <si>
    <t>An official removes a piece of paper from on top of a cube as the young man in the black sweatshirt solves another cube.</t>
  </si>
  <si>
    <t>The young man solves two more cubes in front of an official before moving to get up.</t>
  </si>
  <si>
    <t>v_gIFI03m-ATM</t>
  </si>
  <si>
    <t>A large paint ball arena is shown with a group of people standing off to the side.</t>
  </si>
  <si>
    <t>The people then begin running around the course shooting guns at one another.</t>
  </si>
  <si>
    <t>The people continue running around and stop i the end to speak to one another.</t>
  </si>
  <si>
    <t>v_Jz2xJx1ICCM</t>
  </si>
  <si>
    <t>Some kids in class are about to start arm wrestling, they get their arms in place to start.</t>
  </si>
  <si>
    <t>The other kid on the side feels on one of the wrestlers muscles.</t>
  </si>
  <si>
    <t>He's writing things down keeping score and what not.</t>
  </si>
  <si>
    <t>The female arm wrestler wins bringing down the other guys arm.</t>
  </si>
  <si>
    <t>v_n7dHbqoEiek</t>
  </si>
  <si>
    <t>A man trims a wall of foliage outdoors, while wearing shorts and a pair of noise canceling headphones with a tree trimming motorized tool.</t>
  </si>
  <si>
    <t>The man takes a break and then climbs a ladder and uses the tool with an extended arm to trim the top of the wall from the top of the ladder.</t>
  </si>
  <si>
    <t>The man then moves the ladder down the length of the wall to continue trimming the foliage.</t>
  </si>
  <si>
    <t>v_mXb1tduBEj8</t>
  </si>
  <si>
    <t>A man is seen speaking to the camera holding a volleyball and leads into shots of him hitting the ball.</t>
  </si>
  <si>
    <t>He continues speaking to the camera while holding the ball and looking off into the distance.</t>
  </si>
  <si>
    <t>v_8Zgys8Vn-4Y</t>
  </si>
  <si>
    <t>A person is shown on skis riding behind a boat on water performing various tricks.</t>
  </si>
  <si>
    <t>The man continues doing several different tricks on the skis and the boat moving a lot faster.</t>
  </si>
  <si>
    <t>v_ywl6JVt7-7I</t>
  </si>
  <si>
    <t>A person is seen riding around on a lawn mower cutting the grass in a large field.</t>
  </si>
  <si>
    <t>The young boy moves closer to the camera while still driving around and cutting the grass.</t>
  </si>
  <si>
    <t>v_6iA4RXGAR_k</t>
  </si>
  <si>
    <t>Two ballroom dances are shown performing a routine in a large auditorium.</t>
  </si>
  <si>
    <t>The couple spin multiple times while the audience cheers them on loudly.</t>
  </si>
  <si>
    <t>They continue performing their dance routine and several people on look using phones and cameras.</t>
  </si>
  <si>
    <t>The couple does one last spin and eventually takes a bow.</t>
  </si>
  <si>
    <t>v_xIB7VSLKvaM</t>
  </si>
  <si>
    <t>A man is shown mowing his lawn with a push mower.</t>
  </si>
  <si>
    <t>He turns and goes back and forth, leaving marks on the lawn.</t>
  </si>
  <si>
    <t>A man talks in the corner of the screen about the process.</t>
  </si>
  <si>
    <t>v__j5JUQzOCtc</t>
  </si>
  <si>
    <t>An Olympic logo is seen with the 5 rings.</t>
  </si>
  <si>
    <t>A young boy wearing striped shirt in a gym lifts a weight bar over his head.</t>
  </si>
  <si>
    <t>A young man in blue shorts lifts a weight bar over his head in a crowded gym.</t>
  </si>
  <si>
    <t>Professional athletes in competitions lift large heavily weighted bars overhead for judging.</t>
  </si>
  <si>
    <t>v_r-xtiGmrKxA</t>
  </si>
  <si>
    <t>A man is standing in the gym alone and begins talking to the camera.</t>
  </si>
  <si>
    <t>He then puts his fist up and begins shadow boxing as he moves around the room.</t>
  </si>
  <si>
    <t>Next,he adds his feet and starts to kick the air and does twist as if someone is there hitting him.</t>
  </si>
  <si>
    <t>Finally,he comes back to the screen slightly out of breath to end the video.</t>
  </si>
  <si>
    <t>v_RZFU1gXLqDs</t>
  </si>
  <si>
    <t>A small group of people are seen sitting in bumper car and begin driving around crashing into one another.</t>
  </si>
  <si>
    <t>The camera follows around a woman he cannot seem to move the car and others on the side instruct her on how to drive as others crash into her.</t>
  </si>
  <si>
    <t>v_TbFqsEFrCB4</t>
  </si>
  <si>
    <t>A man is seen speaking to the camera in front of a large pool while using his hands with enthusiasm.</t>
  </si>
  <si>
    <t>The man continues to speak while using his hands and pans to the man swimming around the pool and back to talking.</t>
  </si>
  <si>
    <t>v_koSLx0E23gU</t>
  </si>
  <si>
    <t>We see an arena from out doors.</t>
  </si>
  <si>
    <t>We see people on trampoline performing flips in the arena.</t>
  </si>
  <si>
    <t>We see a person almost fall after flipping.</t>
  </si>
  <si>
    <t>The person lands and almost falls.</t>
  </si>
  <si>
    <t>A person flips multiple times down a strip on the ground.</t>
  </si>
  <si>
    <t>We see a man jump and land on the trampoline in slow motion.</t>
  </si>
  <si>
    <t>v_jrXoqceGS-k</t>
  </si>
  <si>
    <t>We see an animated opening screen.</t>
  </si>
  <si>
    <t>A man is driving then gets out of his car.</t>
  </si>
  <si>
    <t>We see a man rollerblading in a plaza and a skate park.</t>
  </si>
  <si>
    <t>We see the man's feet in the blades then a man's face.</t>
  </si>
  <si>
    <t>We see the man standing on an elevated sidewalk then skating on the railing.</t>
  </si>
  <si>
    <t>We see the man skate across a bench then put on sunglasses.</t>
  </si>
  <si>
    <t>We see the man turn and click a button and a car blows up.</t>
  </si>
  <si>
    <t>v_zq621OgpFFk</t>
  </si>
  <si>
    <t>A man services a tennis ball across the court.</t>
  </si>
  <si>
    <t>The man turns to talk to the camera.</t>
  </si>
  <si>
    <t>v_XWG_-4VMTcA</t>
  </si>
  <si>
    <t>A wrestler, standing at the top of a ladder, with another man on the ladder with him, but in front of him, jumps off the ladder from the top and takes the other person with him.</t>
  </si>
  <si>
    <t>A man in a wrestling costumer stands at the top of a ladder in the middle of a ring with a referee and people in the audience.</t>
  </si>
  <si>
    <t>The man jumps off the ladder as people in the audience clap for him and the other man falls off as well.</t>
  </si>
  <si>
    <t>v_43OU5XCzLzo</t>
  </si>
  <si>
    <t>People sails in a rocky river on inflatable individual boats.</t>
  </si>
  <si>
    <t>The boats pass with difficulty between the rocks.</t>
  </si>
  <si>
    <t>Then, people enters in more troubled waters.</t>
  </si>
  <si>
    <t>v_e4ZTZDDFtYY</t>
  </si>
  <si>
    <t>kids are standing in the opening of a cartoon.</t>
  </si>
  <si>
    <t>woman is talking in front of a micropone in front of a big audience.</t>
  </si>
  <si>
    <t>mmen are in the middle of an arena in a big stadium fighting between them.</t>
  </si>
  <si>
    <t>v_99A2KqvfBLI</t>
  </si>
  <si>
    <t>A man walks onto the stage to join a band.</t>
  </si>
  <si>
    <t>A man plays up front of a band with a harmonica.</t>
  </si>
  <si>
    <t>The keyboardist plays a spirited solo during the song.</t>
  </si>
  <si>
    <t>The man congratulates and gives a high five to the keyboardist at the end of the song.</t>
  </si>
  <si>
    <t>v_jgHYzuDU2Iw</t>
  </si>
  <si>
    <t>A man in tan khakis and a button down shirt sweeps a floor with a wide broom.</t>
  </si>
  <si>
    <t>A man walks and sweeps a floor walking to the left of the room pushing the wide broom in front of him.</t>
  </si>
  <si>
    <t>The man then walks to the right side of the room with the same wide broom.</t>
  </si>
  <si>
    <t>The man then finishes sweeping, lleans the broom in the corner of the room and stands against the wall in front of a window.</t>
  </si>
  <si>
    <t>v_sqEsAtdFfrg</t>
  </si>
  <si>
    <t>A young child is seen standing ready holding a pole and then runs down a long track and throws the pole.</t>
  </si>
  <si>
    <t>He walks back around the track when another person is seen running down and throwing the stick.</t>
  </si>
  <si>
    <t>Finally one last boy steps up to the track to throw the javelin and then walks back to the others.</t>
  </si>
  <si>
    <t>v_KIOvUY8S2pQ</t>
  </si>
  <si>
    <t>An intro with text is shown across the screen followed by two cartoon characters.</t>
  </si>
  <si>
    <t>The characters speak to one another and lead into them playing a game.</t>
  </si>
  <si>
    <t>One character loses the game and then disappears.</t>
  </si>
  <si>
    <t>v_1Cf8TkmsbMU</t>
  </si>
  <si>
    <t>We see a young man speaking in a news studio.</t>
  </si>
  <si>
    <t>We see a man riding a stationary bike and see a photo of the man holding a cake.</t>
  </si>
  <si>
    <t>We see the man being interviewed cut with scenes of the man working out.</t>
  </si>
  <si>
    <t>We see the man in the image holding the cake again and see the man in the shirt which no longer fits and is too big.</t>
  </si>
  <si>
    <t>We see the man working out again.</t>
  </si>
  <si>
    <t>We see three newscasters in the studio.</t>
  </si>
  <si>
    <t>v_DRK5oUhjwTg</t>
  </si>
  <si>
    <t>A pilates instructor on skates explains how to strap your risk protectors tight and shows that you need knee pads to protect your knees.</t>
  </si>
  <si>
    <t>The lady then explains the skates movement and how to use the breaks that is in the back of the skates.</t>
  </si>
  <si>
    <t>finally the lady shows you the right way to skate to have fun.</t>
  </si>
  <si>
    <t>v_E5bRptEXtq8</t>
  </si>
  <si>
    <t>Kids are sitting in bumper cars.</t>
  </si>
  <si>
    <t>They begin crashing into each other.</t>
  </si>
  <si>
    <t>They stop and start getting out of their cars.</t>
  </si>
  <si>
    <t>v_tnk1skdLN0Q</t>
  </si>
  <si>
    <t>A strong young man is standing in a large open green field preparing to throw a shot put.</t>
  </si>
  <si>
    <t>Once he throws the ball,a man runs out to mark the distance and he walks to the tent and takes the tape off of his wrist.</t>
  </si>
  <si>
    <t>Another man who is slightly shorter and larger approaches the circle and does the same thing followed by another person.</t>
  </si>
  <si>
    <t>All three of the men are finished and there scores shown.</t>
  </si>
  <si>
    <t>v_cDnJjAQtf-g</t>
  </si>
  <si>
    <t>Three men discuss the topic of playing water polo with kayaks.</t>
  </si>
  <si>
    <t>The scene changes to show a display of water polo with kayaks.</t>
  </si>
  <si>
    <t>Two boats crash as two men try to paddle their way to the ball, The men commentate over the scene, they players look severely injured.</t>
  </si>
  <si>
    <t>The display changes back to the men talking about the water polo, they are very intrigued and shocked.</t>
  </si>
  <si>
    <t>The scene reverts back to the water polo accident, the show banner concludes the video.</t>
  </si>
  <si>
    <t>v_G0vkQmcalvk</t>
  </si>
  <si>
    <t>A woman plays the drums and sings on stage.</t>
  </si>
  <si>
    <t>The camera pulls back on the scene.</t>
  </si>
  <si>
    <t>The woman finishes and stands up.</t>
  </si>
  <si>
    <t>v_3HEJb83Wm_I</t>
  </si>
  <si>
    <t>We see a green title screen.</t>
  </si>
  <si>
    <t>A lady in a bathroom talks to the camera.</t>
  </si>
  <si>
    <t>We see her pour baking soda and vinegar on her sink drain and talks and moves her hands while the solution foams.</t>
  </si>
  <si>
    <t>The lady turns the water on to rinse the solution down the drain.</t>
  </si>
  <si>
    <t>v_Kq115s7yL3I</t>
  </si>
  <si>
    <t>A window cleaning commercial demonstrates all the materials and techniques need to clean a house window.</t>
  </si>
  <si>
    <t>The commercial begins with a closeup up a two story house and the interior of the house including a line of large windows.</t>
  </si>
  <si>
    <t>Images of a person cleaning a window, soap, a bucket and sponge are showed along with a chalkboard with ingredients needed to clean a window.</t>
  </si>
  <si>
    <t>A person cleans a window using all of the tools, including removing screens to clean them and removing stickers on windows.</t>
  </si>
  <si>
    <t>v_oqX-n2KHWAM</t>
  </si>
  <si>
    <t>A man is talking as he stands in a kitchen.</t>
  </si>
  <si>
    <t>The man boils milk and adds fresh vanilla and pours the solution into a bowl with other ingredients.</t>
  </si>
  <si>
    <t>The man cooks the custard and pours into a bowl and freezes to make ice cream.</t>
  </si>
  <si>
    <t>The man cuts and cooks rubarb in sugar on the stove.</t>
  </si>
  <si>
    <t>He eats the ice cream over the cooked rubarb.</t>
  </si>
  <si>
    <t>We see a shot of London and fade out.</t>
  </si>
  <si>
    <t>v_uMAjCPUZfp0</t>
  </si>
  <si>
    <t>Several clips are shown of various people fencing with one another.</t>
  </si>
  <si>
    <t>The people continue moving back and fourth while the camera zooms in on the people playing.</t>
  </si>
  <si>
    <t>v_CV9n0jgThLY</t>
  </si>
  <si>
    <t>A person is in the basket of crane on a roof of a barn, while a man stands on the truck holding a rope.</t>
  </si>
  <si>
    <t>Smoke comes near a table.</t>
  </si>
  <si>
    <t>People stand on front the barn watching, also two women and two children stand on front the barn.</t>
  </si>
  <si>
    <t>v_exxji9vqjSw</t>
  </si>
  <si>
    <t>Various shots are shown of snowy mountains that transition in between shots of people skiing and snowboarding down the mountain.</t>
  </si>
  <si>
    <t>The people are seen performing various flips and tricks down the mountain while the camera captures them from many angles as well as the mountain.</t>
  </si>
  <si>
    <t>v_RZkwDTyxMZI</t>
  </si>
  <si>
    <t>We enter a room and see a boy putting a shirt on an ironing board.</t>
  </si>
  <si>
    <t>The boy begins ironing the tank top with an unplugged iron.</t>
  </si>
  <si>
    <t>The little boy irons a gray shirt and sits the iron on the board next to it.</t>
  </si>
  <si>
    <t>The little boy walks away smiling.</t>
  </si>
  <si>
    <t>The boy shows two fingers and walks around the room with the iron.</t>
  </si>
  <si>
    <t>v_EeGunBjmpFw</t>
  </si>
  <si>
    <t>A man in a jacket talks in front of house as men stand on the roof.</t>
  </si>
  <si>
    <t>A man throws shingles off the roof in the background.</t>
  </si>
  <si>
    <t>The men continue to throw the shingles off the roof.</t>
  </si>
  <si>
    <t>The man holding the camera turns and climbs the ladder and stands on the rooftop.</t>
  </si>
  <si>
    <t>The man turns the camera on himself and continues to talk.</t>
  </si>
  <si>
    <t>v_-5K3KZ6fHuI</t>
  </si>
  <si>
    <t>A group of friends are seated on sleds at the top of the hill.</t>
  </si>
  <si>
    <t>The two friends are pushed down the hill and they slide to the bottom.</t>
  </si>
  <si>
    <t>The two friends are stopped by rubber mats at the bottom of the hill.</t>
  </si>
  <si>
    <t>v_Yg6jFRYIyXw</t>
  </si>
  <si>
    <t>An Aurora Borealis is seen over a northern landscape.</t>
  </si>
  <si>
    <t>A man shovels snow from his porch with a snow shovel.</t>
  </si>
  <si>
    <t>The man shovels snow from a stair case with a snow shovel.</t>
  </si>
  <si>
    <t>The man finishes the job and shows his muscles.</t>
  </si>
  <si>
    <t>v_zQFC5vNZ_Qs</t>
  </si>
  <si>
    <t>A little girl is crossing the monkey bars.</t>
  </si>
  <si>
    <t>A woman is helping her standing under her.</t>
  </si>
  <si>
    <t>The girl drops and the woman catches her.</t>
  </si>
  <si>
    <t>v_y3LlQBDXAHI</t>
  </si>
  <si>
    <t>An athlete is seen standing in a circle and spinning herself around and around.</t>
  </si>
  <si>
    <t>She throws an object off in the distance and is shown again in slow motion.</t>
  </si>
  <si>
    <t>She walks back while cheering and others hold up a flag.</t>
  </si>
  <si>
    <t>v_eFq3gsEi9yI</t>
  </si>
  <si>
    <t>Two white pegs are shown in the wall with a red bed on the side and someone hitting it with a large block of wood.</t>
  </si>
  <si>
    <t>Another angle is shown and the person takes 21 shots at the balls.</t>
  </si>
  <si>
    <t>For the 22nd shot,a man is standing in a large field of white pegs and begins to hit all three balls at the same time in different directions.</t>
  </si>
  <si>
    <t>v_tr8JRPrfAN0</t>
  </si>
  <si>
    <t>A woman cleans the carpet and the floor with a vacuum, after the vacuum picks up dirt from the carpet.</t>
  </si>
  <si>
    <t>Then, the woman takes out the canister of the vacuum and continues cleaning the floor, the wall, the sofa and the floor.</t>
  </si>
  <si>
    <t>After, the woman cleans the frames of picture and pick up hair from a pillow.</t>
  </si>
  <si>
    <t>Next, the woman rewinds the wire of the canister and drops the trash in the trash can.</t>
  </si>
  <si>
    <t>v_drVqGhjI558</t>
  </si>
  <si>
    <t>A man is seen sitting at several tables and peeling potatoes while the camera looks around in fast motion.</t>
  </si>
  <si>
    <t>Another person is seen peeling potatoes and the man walks back over to the table to continue peeling.</t>
  </si>
  <si>
    <t>v_zu960Glpzo4</t>
  </si>
  <si>
    <t>Two men film themselves in an arm wrestling match that someone asked them to make.</t>
  </si>
  <si>
    <t>Two men are sitting in a room next to each other while one man reads off a laptop then they both grab one another's hand to motion what is about to happen.</t>
  </si>
  <si>
    <t>One man sets up the camera to film the match.</t>
  </si>
  <si>
    <t>The men get prepared at the corner of a table, grab hands and then countdown from three.</t>
  </si>
  <si>
    <t>The two men arm wrestle as the make jokes and laugh while doing it.</t>
  </si>
  <si>
    <t>One man gives up and both of the men talk and laugh about the match.</t>
  </si>
  <si>
    <t>One man grunts and throws his hands up in victory.</t>
  </si>
  <si>
    <t>v_YrS64TBX798</t>
  </si>
  <si>
    <t>A young girl is seen moving quickly around a horse brushing it's sides.</t>
  </si>
  <si>
    <t>She brushes all over the horse while another horse walks in and out of frame.</t>
  </si>
  <si>
    <t>She continues to brush the horse while the camera captures her movements.</t>
  </si>
  <si>
    <t>v_6B7fKzdJAbo</t>
  </si>
  <si>
    <t>women are standing in a wooden court in a roofed gym playing voleyball while public is in teraces watching the game.</t>
  </si>
  <si>
    <t>the ball hits a woman for the red team and people run to her.</t>
  </si>
  <si>
    <t>v_aEnq40UPxJ0</t>
  </si>
  <si>
    <t>They are playing a game of water polo.</t>
  </si>
  <si>
    <t>A woman throws the ball into the net and it's caught by the goalie.</t>
  </si>
  <si>
    <t>v_LITdMW0xh7o</t>
  </si>
  <si>
    <t>A man is outside in the good with an ax attempting to cut down a tree.</t>
  </si>
  <si>
    <t>Finally,the tree comes down and the man begins to hit the tree with the ax.</t>
  </si>
  <si>
    <t>v_L9MTwigRhmk</t>
  </si>
  <si>
    <t>BMX biker going down a track practicing in his lane by himself.</t>
  </si>
  <si>
    <t>Then there is another biker too, they're probably racing, They're going super fast down the track turning and hitting high bumps that make them go high up in the air.</t>
  </si>
  <si>
    <t>The track opens again and they start another race.</t>
  </si>
  <si>
    <t>Two bikers are dancing around before getting back on their bikes to get back on the track for another little race.</t>
  </si>
  <si>
    <t>v_YoJxVl_hUWg</t>
  </si>
  <si>
    <t>A man is underneath an RV trying to fix the wheel as a man stands on the outside helping.</t>
  </si>
  <si>
    <t>The wheel is then taken off and the other group of people crowd around to find the problem.</t>
  </si>
  <si>
    <t>As they are talking,the man remains underneath the RV and begins smiling as he holds the rig.</t>
  </si>
  <si>
    <t>v_p-uTwZ9Ph-A</t>
  </si>
  <si>
    <t>A man serves a ball to play squash with a partner.</t>
  </si>
  <si>
    <t>The men hit the ball to the wall.</t>
  </si>
  <si>
    <t>The man bounce the ball on the floor.</t>
  </si>
  <si>
    <t>v_tD-wp39rjnE</t>
  </si>
  <si>
    <t>A man holding a javelin runs down a track.</t>
  </si>
  <si>
    <t>The man throws the javelin.</t>
  </si>
  <si>
    <t>The man falls to the ground.</t>
  </si>
  <si>
    <t>We see the javelin flying through the air.</t>
  </si>
  <si>
    <t>We see people run to measure the distance of the javelin.</t>
  </si>
  <si>
    <t>The man pumps his arms and we see happy people in the crowd.</t>
  </si>
  <si>
    <t>we then see a reply of the man's toss.</t>
  </si>
  <si>
    <t>v_PVAHm5MjHdw</t>
  </si>
  <si>
    <t>A group of baton twirlers are practices their routine for an upcoming competition.</t>
  </si>
  <si>
    <t>The news announcer is commenting on the events.</t>
  </si>
  <si>
    <t>The coach is then interviewed stating what the girls are working on.</t>
  </si>
  <si>
    <t>Multiple twirlers are interviewed for their point of view on why they are working so hard.</t>
  </si>
  <si>
    <t>The coach states what she loves about the process and what is most important.</t>
  </si>
  <si>
    <t>The commentator announces where the competition will be help and states her name.</t>
  </si>
  <si>
    <t>v_OOcsprnRCQQ</t>
  </si>
  <si>
    <t>Three people are walking on a bridge on a lagoon.</t>
  </si>
  <si>
    <t>We see a man on a boat and a lady putting on scuba gear.</t>
  </si>
  <si>
    <t>The man and the woman are underwater looking at sea life.</t>
  </si>
  <si>
    <t>We see a man holding an underwater animal he hands to a lady.</t>
  </si>
  <si>
    <t>We see a man and a lady on a tropical patio talking and laughing.</t>
  </si>
  <si>
    <t>v_y2MSbfOsukM</t>
  </si>
  <si>
    <t>A woman is seen bending forward while sitting on a bed and holding a brush in her hands.</t>
  </si>
  <si>
    <t>She then runs the brush through her hair over and over again.</t>
  </si>
  <si>
    <t>She continues to run the brush through her hair and ends by smiling to the camera.</t>
  </si>
  <si>
    <t>v_diBZlwUO8rc</t>
  </si>
  <si>
    <t>We see a lady in a chefs coat in a kitchen talking.</t>
  </si>
  <si>
    <t>A lady sharpens a knife on a rod.</t>
  </si>
  <si>
    <t>The lady puts water on a black sharpener block.</t>
  </si>
  <si>
    <t>The lady then sharpens the knife.</t>
  </si>
  <si>
    <t>She then returns to the rod.</t>
  </si>
  <si>
    <t>Then back to the black block.</t>
  </si>
  <si>
    <t>We see a closing title screen.</t>
  </si>
  <si>
    <t>v_j_YetAlzwbk</t>
  </si>
  <si>
    <t>A child is standing on a stool filling a cup up with water in the sink.</t>
  </si>
  <si>
    <t>The child puts purple gloves on.</t>
  </si>
  <si>
    <t>They take the gloves off and set them in the sink.</t>
  </si>
  <si>
    <t>v_RtbfdVDciWQ</t>
  </si>
  <si>
    <t>A man wiggles his toes while seated in a room barefoot.</t>
  </si>
  <si>
    <t>The man puts on his shoes and ties the laces.</t>
  </si>
  <si>
    <t>The man dances his feet around while seated.</t>
  </si>
  <si>
    <t>v_-JqLjPz-07E</t>
  </si>
  <si>
    <t>Three men are presenting an instructional video for Slikhaar Studios.</t>
  </si>
  <si>
    <t>The man in the center is demonstrating a hairstyle on the person wearing the blue shirt.</t>
  </si>
  <si>
    <t>The man in the blue shirt sits on the chair next to the sink.</t>
  </si>
  <si>
    <t>The other man begins washing his hair.</t>
  </si>
  <si>
    <t>He scrubs in the shampoo and then washes it off.</t>
  </si>
  <si>
    <t>He then combs it and blow dries his hair after styling it with gel.</t>
  </si>
  <si>
    <t>He uses an electric clipper to groom the sideburns and the temples.</t>
  </si>
  <si>
    <t>He also trims the back and sides of his head with the clippers.</t>
  </si>
  <si>
    <t>He uses scissors to trim the hair and give it a finished look.</t>
  </si>
  <si>
    <t>The model uses some hair gel to style his hair after the haircut.</t>
  </si>
  <si>
    <t>The host of the show then explains how the hair was cut and styled and gives information about his website.</t>
  </si>
  <si>
    <t>v_gF0ymMmpS_M</t>
  </si>
  <si>
    <t>A woman is shown standing in front of an elliptical trainer, talking.</t>
  </si>
  <si>
    <t>She flips through a booklet before walking over to the trainer.</t>
  </si>
  <si>
    <t>She begins to demonstrate how to prepare the trainer for use.</t>
  </si>
  <si>
    <t>She climbs onto the trainer and shows how it is used by pedaling with her feet.</t>
  </si>
  <si>
    <t>A close up of the display screen is then shown.</t>
  </si>
  <si>
    <t>The trainer is folded to show compaction and ease of storage.</t>
  </si>
  <si>
    <t>v_hThdSxhMhDo</t>
  </si>
  <si>
    <t>A grey bunny is standing on a bed on a black towel eating something in his hand.</t>
  </si>
  <si>
    <t>As he eats,the bunny begins to grabs his ears and shakes its head.</t>
  </si>
  <si>
    <t>Struggling more,the bunny bends down and keeps eating something before looking out.</t>
  </si>
  <si>
    <t>v_5_UEjPqtnE0</t>
  </si>
  <si>
    <t>A young child is seen sitting before a fooseball table when one hands her the ball and she puts it into the game.</t>
  </si>
  <si>
    <t>The man then helps the girl play on the table by moving the poles all around and pushing the people.</t>
  </si>
  <si>
    <t>v_PmWF-HawRw0</t>
  </si>
  <si>
    <t>Athletes run down a track and throw a javelins across the field.</t>
  </si>
  <si>
    <t>A referees runs out to check the javelin position.</t>
  </si>
  <si>
    <t>A leader board is shows scores of athletes.</t>
  </si>
  <si>
    <t>v_5sl-E-AwptI</t>
  </si>
  <si>
    <t>A field hockey player dribbles a ball on the field between his legs.</t>
  </si>
  <si>
    <t>Th field hockey play dribble the ball back and forth in front of him.</t>
  </si>
  <si>
    <t>The field hockey player hits up while juggling the ball in the air and balances on his stick.</t>
  </si>
  <si>
    <t>The players dribble through a set of cones and takes shots on the goal.</t>
  </si>
  <si>
    <t>v_hrN0hOmQrD4</t>
  </si>
  <si>
    <t>People are driving a car with rafts on the back.</t>
  </si>
  <si>
    <t>They get in the rafts and are rafting down a river.</t>
  </si>
  <si>
    <t>They go to a hot dog stand and get food.</t>
  </si>
  <si>
    <t>They continue rafting down the river.</t>
  </si>
  <si>
    <t>v_ILgkiTHnGVI</t>
  </si>
  <si>
    <t>A man shows up on the screen wearing a martial arts uniform showing people how to do a side kick.</t>
  </si>
  <si>
    <t>He sways from side to side to show how to control your balance.</t>
  </si>
  <si>
    <t>He lifts his knees, one after alternating from left to right to show how to begin the kick.</t>
  </si>
  <si>
    <t>He continues to show how to finish the side kick with a follow through.</t>
  </si>
  <si>
    <t>Then he demonstrates how to do the kick from several angles.</t>
  </si>
  <si>
    <t>v_mGgidUE8drE</t>
  </si>
  <si>
    <t>We see an opening white screen.</t>
  </si>
  <si>
    <t>We then see a man pushing a bike brake and adjusting it.</t>
  </si>
  <si>
    <t>The man pulls a cord on the bike near the tire.</t>
  </si>
  <si>
    <t>The men then adjusts the bake lever again.</t>
  </si>
  <si>
    <t>We then see the man talking to the camera.</t>
  </si>
  <si>
    <t>v_KKAPxOMogDE</t>
  </si>
  <si>
    <t>woman that is sitting in a chair is holding a cup in the dog's mouth so the fog can lick the cup.</t>
  </si>
  <si>
    <t>black dog is standing in a living oom licking water from a cup.</t>
  </si>
  <si>
    <t>a woman is standing in a living with a black dog in a white carpet.</t>
  </si>
  <si>
    <t>v_tB_B3HVdO2I</t>
  </si>
  <si>
    <t>A boy is swinging across monkey bars in a park.</t>
  </si>
  <si>
    <t>A man is doing something behind him.</t>
  </si>
  <si>
    <t>The boy makes his way all the way across.</t>
  </si>
  <si>
    <t>v_KPfKLVV-HCQ</t>
  </si>
  <si>
    <t>A large group of people are seen moving around together in a large gymnasium.</t>
  </si>
  <si>
    <t>The people move up and down on a beam kicking their legs up and moving around.</t>
  </si>
  <si>
    <t>The people continue moving all around the board while the camera captures their movements.</t>
  </si>
  <si>
    <t>v_OhXBMlKOHMI</t>
  </si>
  <si>
    <t>There are a lot of people in an opened court area and they look to be mostly elderly people playing some kind of sport.</t>
  </si>
  <si>
    <t>A man and a woman begin to walk across the court together and they stop to watch a man with a stick who hits something across the court using his stick.</t>
  </si>
  <si>
    <t>Another man then walks up to the court to take his turn while the man who just had a turn moves out of his way.</t>
  </si>
  <si>
    <t>v_RW-nnJiVPsU</t>
  </si>
  <si>
    <t>A man puts on welding safety gear.</t>
  </si>
  <si>
    <t>The man starts welding something on a metal table.</t>
  </si>
  <si>
    <t>He stops welding, lifts his face mask and adjusts things in the table.</t>
  </si>
  <si>
    <t>He then lowers his face mask and starts welding again.</t>
  </si>
  <si>
    <t>He stops and lifts his mask again.</t>
  </si>
  <si>
    <t>He uses a tool to hit something on the table before sanding it.</t>
  </si>
  <si>
    <t>The man pulls off his gloves while walking to the camera.</t>
  </si>
  <si>
    <t>He brings the camera to the table to show the work he has done.</t>
  </si>
  <si>
    <t>v_mpyN1mrMl3U</t>
  </si>
  <si>
    <t>A woman is pouring ingredients into a mixer.</t>
  </si>
  <si>
    <t>She then makes the dough into balls and puts them on a cookie sheet.</t>
  </si>
  <si>
    <t>She places them in the oven.</t>
  </si>
  <si>
    <t>v_xAxax-pfZsk</t>
  </si>
  <si>
    <t>A man is sitting down on the ground and has a skate show on one foot and a prosthetic leg for the other.</t>
  </si>
  <si>
    <t>The man then puts the roller blade over his prosthetic and then follows with the other foot.</t>
  </si>
  <si>
    <t>Once they are both on,he scoots to the grass and someone assists him as he gets up.</t>
  </si>
  <si>
    <t>After he is steady,he gets up and goes rollerblading down the sidewalk before coming back and sitting on the pavement.</t>
  </si>
  <si>
    <t>v_ZjuM-Xv_jqY</t>
  </si>
  <si>
    <t>Several items are seen laid out on a table followed by a person presenting each item to the camera.</t>
  </si>
  <si>
    <t>The person dips a brush into water followed by a cleaner and rubbing a rag across the brush.</t>
  </si>
  <si>
    <t>The person scrubs down the shoes with the brush and wipes off the side with a rag.</t>
  </si>
  <si>
    <t>He waits a certain amount of time and rubs the shoes again and presents them.</t>
  </si>
  <si>
    <t>v_HdOylJP08Lk</t>
  </si>
  <si>
    <t>man is walking in a casino watching the pople and the machines.</t>
  </si>
  <si>
    <t>woman is sitting in a black jack table and is talking to men.</t>
  </si>
  <si>
    <t>woman is smiling and stretching her arm behind her back.</t>
  </si>
  <si>
    <t>man sits in a table and start playing black jack in a casino.</t>
  </si>
  <si>
    <t>v_IgEc5mY9L44</t>
  </si>
  <si>
    <t>A foreman wear blue colored gloves before he begins welding metal.</t>
  </si>
  <si>
    <t>He continues welding the metal with his torch and protective gear on.</t>
  </si>
  <si>
    <t>He welds the metal for a very long time.</t>
  </si>
  <si>
    <t>Then switches off the welding torch and puts the equipment away.</t>
  </si>
  <si>
    <t>v_O4LdjwlsGKI</t>
  </si>
  <si>
    <t>A young man in a brown hoodie and cargo pants is standing on a road in a forested area, instructing viewers as he holds onto the end of a skateboard.</t>
  </si>
  <si>
    <t>After demonstrating a stance on the board, he picks it up and walks back several yards, and places the skateboard on the ground, tiling it up with one foot on the end.</t>
  </si>
  <si>
    <t>He puts it down flat, and begins to skate forward on the board.</t>
  </si>
  <si>
    <t>He flips around on the board, doing a tricky move, and then heads back to where he began to skate.</t>
  </si>
  <si>
    <t>60 After speaking for a little longer, and gesturing to the board, he repeats the move again, heading back once again to the spot he started from.</t>
  </si>
  <si>
    <t>v_yWfTd8pRLgM</t>
  </si>
  <si>
    <t>A girl is doing back flips on a blue mat.</t>
  </si>
  <si>
    <t>A girl does the splits in the air.</t>
  </si>
  <si>
    <t>People are laying down on the mat next to her.</t>
  </si>
  <si>
    <t>She does several flips on a trampoline.</t>
  </si>
  <si>
    <t>v_Imui46JTe7s</t>
  </si>
  <si>
    <t>We see a fitness center sign.</t>
  </si>
  <si>
    <t>We then see a man talking to the camera and sitting and laying on a exercise ball.</t>
  </si>
  <si>
    <t>The man performs sits ups while on the ball and talking.</t>
  </si>
  <si>
    <t>The man sits up and talks to the camera.</t>
  </si>
  <si>
    <t>The end screen is seen on a black background.</t>
  </si>
  <si>
    <t>v_aCiN9mqkXoA</t>
  </si>
  <si>
    <t>Ingredients are prepared and poured into a large mixing bowl.</t>
  </si>
  <si>
    <t>A woman washes a bowl in a kitchen sink with a sponge.</t>
  </si>
  <si>
    <t>The woman smells the bowl to make sure it is clean.</t>
  </si>
  <si>
    <t>The woman places the bowl into a dish washer and shows the proper placement.</t>
  </si>
  <si>
    <t>A woman washes a plate in a kitchen sink with a sponge.</t>
  </si>
  <si>
    <t>The woman smells the plate to make sure it is clean.</t>
  </si>
  <si>
    <t>The woman places the plate into a dish washer and shows the proper placement.</t>
  </si>
  <si>
    <t>A woman washes glass cups in a kitchen sink with a sponge.</t>
  </si>
  <si>
    <t>The woman smells the glass cups to make sure they are clean.</t>
  </si>
  <si>
    <t>The woman places the glass cups into a dish washer and shows the proper placement.</t>
  </si>
  <si>
    <t>End credits are seen for the film.</t>
  </si>
  <si>
    <t>v_aMQVH3dF0QM</t>
  </si>
  <si>
    <t>An introduction appears on the screen for a video about galloping along the beach.</t>
  </si>
  <si>
    <t>Several images are shown of people riding on horseback along the beach.</t>
  </si>
  <si>
    <t>The images turn into a video of several people going along the sand dunes.</t>
  </si>
  <si>
    <t>The video then alternates between images and video of people enjoying the beach ride.</t>
  </si>
  <si>
    <t>The video ends with text displayed showing more information about the trip.</t>
  </si>
  <si>
    <t>v_xmK2kbPSGUs</t>
  </si>
  <si>
    <t>A woman demonstrates how to make a mixed drink in a bar at a bar countertop in front of a countertop filled with alcohol.</t>
  </si>
  <si>
    <t>The woman begins by talking to the camera and pulling out a bottle of alcohol next to a mason jar prepped with a slice of lemon and mint in it.</t>
  </si>
  <si>
    <t>The woman pours ice in the glass and a few shots of alcohol and then pours lemonade in the glass with a mint sprig and lemon wedge on the rim.</t>
  </si>
  <si>
    <t>The woman takes a sip of the drink before the scene fades.</t>
  </si>
  <si>
    <t>v_iZImXrduFlA</t>
  </si>
  <si>
    <t>a man is outside in his yard.</t>
  </si>
  <si>
    <t>He is using a pressure washer to wash the leaves off his lawn.</t>
  </si>
  <si>
    <t>He sprays them up and down, pushing them down an incline.</t>
  </si>
  <si>
    <t>v_UYhKDweME3A</t>
  </si>
  <si>
    <t>A man fills a pot with water and adds salt and oil, and then boil the water while talking.</t>
  </si>
  <si>
    <t>Then, the man puts the spaghetti in the bowling pot.</t>
  </si>
  <si>
    <t>After, the man taste the spaghetti and drain it.</t>
  </si>
  <si>
    <t>Next, the man adds grated cheese and oil on the spaghetti.</t>
  </si>
  <si>
    <t>v_f1YrGAkQd0U</t>
  </si>
  <si>
    <t>There are 3 men and 1 woman.</t>
  </si>
  <si>
    <t>Each of them show and tell you their way of bowling to earn strikes and get perfect scores on the high scoreboard.</t>
  </si>
  <si>
    <t>v_Mvl-TR0rDdA</t>
  </si>
  <si>
    <t>We see the title for Kyla Ross on the parallel bars.</t>
  </si>
  <si>
    <t>The girls lifts, then lowers her arms.</t>
  </si>
  <si>
    <t>Kyla then jumps onto the short bar.</t>
  </si>
  <si>
    <t>She transfers to the tall bar, then back to the short one.</t>
  </si>
  <si>
    <t>She spins back to the tall one and spins.</t>
  </si>
  <si>
    <t>She flips to the short bar, then back to the tall and flips.</t>
  </si>
  <si>
    <t>She dismounts and hugs her coach.</t>
  </si>
  <si>
    <t>We see her final score on a black screen.</t>
  </si>
  <si>
    <t>v_K9cQxJ37xzA</t>
  </si>
  <si>
    <t>A woman in a white tank top is riding an exercise bike in a room.</t>
  </si>
  <si>
    <t>She is doing push ups on a black mat.</t>
  </si>
  <si>
    <t>She is back to riding the exercise bike.</t>
  </si>
  <si>
    <t>She is lifting weights up and down at her sides.</t>
  </si>
  <si>
    <t>She is riding on the exercise bike again.</t>
  </si>
  <si>
    <t>v_jafEh82XETQ</t>
  </si>
  <si>
    <t>A man is demonstrating how to cook a friend bologna sandwich in his kitchen.</t>
  </si>
  <si>
    <t>He takes two slices of sandwich bread and puts them in the toaster.</t>
  </si>
  <si>
    <t>Then he takes a little butter and bologna in a frying pan and fries it.</t>
  </si>
  <si>
    <t>He flips the bologna to fry it on both sides.</t>
  </si>
  <si>
    <t>Then he takes two slices of American cheese.</t>
  </si>
  <si>
    <t>He takes the bologna out of the pan and places it on the toast along with the cheese slices.</t>
  </si>
  <si>
    <t>He shows the finished sandwich with the bologna and cheese.</t>
  </si>
  <si>
    <t>v_yfeKtTU0aOE</t>
  </si>
  <si>
    <t>A man is sitting on a weight machine and grabbing onto handle bars.</t>
  </si>
  <si>
    <t>He pulls the handlebars back and fourth as the seat he's moving on continuously moves.</t>
  </si>
  <si>
    <t>He performs this set several times and eventually pauses to let the instruction end.</t>
  </si>
  <si>
    <t>v_5l2_BVOqQX8</t>
  </si>
  <si>
    <t>A bald man in gray shirt is standing at the playground, he walked towards the monkey bars and started to pull himself up and down, he walked towards a lower pole and started to pull himself up while his legs are stretched down.</t>
  </si>
  <si>
    <t>He walked back to the monkey bar and pull himself up and down, his legs are moves from side to side then pull him up and down.</t>
  </si>
  <si>
    <t>v_9Ds9DvdPQkM</t>
  </si>
  <si>
    <t>A woman is talking while holding a saxophone.</t>
  </si>
  <si>
    <t>She begins to play the saxophone.</t>
  </si>
  <si>
    <t>v_fULvroAfMAo</t>
  </si>
  <si>
    <t>A guy raises a metal ball above his head, spins with a metal ball, and releases the metal ball.</t>
  </si>
  <si>
    <t>A guy cheers after releasing the metal ball.</t>
  </si>
  <si>
    <t>The score board is shown.</t>
  </si>
  <si>
    <t>v_dDYQNtOtb-Q</t>
  </si>
  <si>
    <t>A little boy is riding in a car drinking a drink and playing with his phone.</t>
  </si>
  <si>
    <t>He begins to have a conversation with an older man who is recording him in the car.</t>
  </si>
  <si>
    <t>v_VOLBBe1br3Q</t>
  </si>
  <si>
    <t>A man runs out on a professional stadium and throws a ball at a batter.</t>
  </si>
  <si>
    <t>Two women watching the game cheer after the batter hits the ball with his plank.</t>
  </si>
  <si>
    <t>One of the women exposes her bare chest to the camera, a black bar is overlaid.</t>
  </si>
  <si>
    <t>The camera returns to action on the field.</t>
  </si>
  <si>
    <t>v_WjX-xi2Ocbo</t>
  </si>
  <si>
    <t>A dirt clodden rodea is shown, as a man on a horse is released from a gate.</t>
  </si>
  <si>
    <t>He ropes a calf, dismounted to tie it up.</t>
  </si>
  <si>
    <t>Another man rides on screen momentarily.</t>
  </si>
  <si>
    <t>v_PPJ6gSuk33o</t>
  </si>
  <si>
    <t>A man is seen standing in a bathroom with a woman and looking back to speak to the camera.</t>
  </si>
  <si>
    <t>The man then moves all around the bathroom while continuing to speak and the camera zooms in.</t>
  </si>
  <si>
    <t>v_AuVL_nkYXw0</t>
  </si>
  <si>
    <t>A man is seen speaking to the camera while standing in front of exercise equipment.</t>
  </si>
  <si>
    <t>He continues speaking and leads into clips of a person's feet moving on the machine.</t>
  </si>
  <si>
    <t>The man the uses the machine continuously while pointing to his body and showing off his legs.</t>
  </si>
  <si>
    <t>v_daSrmaPxaZA</t>
  </si>
  <si>
    <t>A set of black boots are shown on a small table along with a bottle oil and a rag in front of a woman.</t>
  </si>
  <si>
    <t>The woman then grabs the rag and puts olive oil on it and begins polishing the boots.</t>
  </si>
  <si>
    <t>She then pauses with the rags and starts talking.</t>
  </si>
  <si>
    <t>v_PRTcRz--03E</t>
  </si>
  <si>
    <t>A person is seen walking into frame and begins playing on a set of bongo drums.</t>
  </si>
  <si>
    <t>The man continues playing on the drums while the camera doesn't move and ends with him hitting them once and walking away.</t>
  </si>
  <si>
    <t>v_J9OSz5iCwNU</t>
  </si>
  <si>
    <t>A young boy roller blades off a ramp and onto another ramp.</t>
  </si>
  <si>
    <t>The boy speeds off onto a ramp and jumps off it, landing on the cement.</t>
  </si>
  <si>
    <t>Later, the boy roller blades onto another ramp.</t>
  </si>
  <si>
    <t>The young boy is seen in another outfit, performing spins at the end of his roller blading.</t>
  </si>
  <si>
    <t>The boy roller blades criss cross style around some orange cones.</t>
  </si>
  <si>
    <t>The boy does it again, this time weaving in and out of the cones.</t>
  </si>
  <si>
    <t>v_5Z-78AmLjFo</t>
  </si>
  <si>
    <t>A man is using a welding tool on a pile of random metal indoors.</t>
  </si>
  <si>
    <t>Another man is holding up a shield to protect himself.</t>
  </si>
  <si>
    <t>The man holds up a shield to his face as he welds.</t>
  </si>
  <si>
    <t>v_oyljZJZJ7IA</t>
  </si>
  <si>
    <t>A man demonstrates how to use a special dog collar and harness on a dog using both a stuffed toy dog and real dogs.</t>
  </si>
  <si>
    <t>A man standing in front of a wooden fence holds a stuffed dog with a red collar/harness and holds the dog up while talking and demonstrating features of the collar harness.</t>
  </si>
  <si>
    <t>Two hands are showcased holding the red collar by itself and demonstrating the features of the collar harness with still graphics to accompany the hand showcase.</t>
  </si>
  <si>
    <t>The man stands, now, with a real dog and demonstrates how to put the harness on the real dog, then goes back to demonstrating with the stuffed dog before finally ending with petting the collared, real, tan, dog as a black Labrador Retriever wanders into the final shot.</t>
  </si>
  <si>
    <t>v_OMGTFZ9csg0</t>
  </si>
  <si>
    <t>A camera zooms in on a backyard that contains a volkswagon and other various items.</t>
  </si>
  <si>
    <t>A man is shown putting skis together at a rapid pace.</t>
  </si>
  <si>
    <t>The man finishes up the skis and leaves his hat on top of the skis.</t>
  </si>
  <si>
    <t>v_JA-B3KK9A-I</t>
  </si>
  <si>
    <t>An underwater view of blue water appear at the deep end of the pool.</t>
  </si>
  <si>
    <t>In slow motion someone splashes into the water.</t>
  </si>
  <si>
    <t>Various clips of men appear doing different dives into the pool and from different heights.</t>
  </si>
  <si>
    <t>A man goes into the water feet first, lands at the bottom of the deep pool, then drops to do a push up and then quickly shoots up.</t>
  </si>
  <si>
    <t>One guys jumps on the diving board but instead of diving he loses his footing and falls into the water.</t>
  </si>
  <si>
    <t>A boy is standing at a wall pressing a button and talking into an intercom then stops and laughs.</t>
  </si>
  <si>
    <t>v_3zMCxmdkcRY</t>
  </si>
  <si>
    <t>A man and woman are dancing on a roof top of a building in a city.</t>
  </si>
  <si>
    <t>He lifts the woman up into the air.</t>
  </si>
  <si>
    <t>The camera pans up to a tall building in the background.</t>
  </si>
  <si>
    <t>v_Qlh-VSBxcJs</t>
  </si>
  <si>
    <t>An intro leads into a belly dancer performing a routine in front of a mirror.</t>
  </si>
  <si>
    <t>She continues dancing around while moving all around the floor whipping her hair and grabbing her skirt.</t>
  </si>
  <si>
    <t>She finishes by sitting down on the floor and looking into the mirror.</t>
  </si>
  <si>
    <t>v_JYRVSy54UUY</t>
  </si>
  <si>
    <t>A woman is seen speaking to the camera while holding onto an accordion.</t>
  </si>
  <si>
    <t>She begins moving the instrument slowly while looking to the camera.</t>
  </si>
  <si>
    <t>She continues playing the accordion while speaking and looking away.</t>
  </si>
  <si>
    <t>v_NoVa1C5KBno</t>
  </si>
  <si>
    <t>A young teenaged boy is standing outside of the house with a tennis ball and racket.</t>
  </si>
  <si>
    <t>He goes to the tennis court and begins to talk about the game of tennis.</t>
  </si>
  <si>
    <t>He does some stretches for a little but and then gets ready to hit the ball over to the other side of the court.</t>
  </si>
  <si>
    <t>He talks about it on the court and then he leaves to go home.</t>
  </si>
  <si>
    <t>v_L35c6QI1l_0</t>
  </si>
  <si>
    <t>A scene of sand dunes leading to a beach shoreline.</t>
  </si>
  <si>
    <t>A girl in a blue blouse walks and poses in the sand.</t>
  </si>
  <si>
    <t>A man wearing a safari hat leads a group of camels with riders in a single file.</t>
  </si>
  <si>
    <t>The camera pans a close up of the camels lying in the sand with their riding saddles on.</t>
  </si>
  <si>
    <t>A rider captures the view of the sand dunes leading to the ocean.</t>
  </si>
  <si>
    <t>The camel caravan arrives to a camp on the beach.</t>
  </si>
  <si>
    <t>v_SlogVhfmTVs</t>
  </si>
  <si>
    <t>A boy sprays shaving cream into his hand from a can in his bathroom.</t>
  </si>
  <si>
    <t>The boy applies the shaving cream to his face.</t>
  </si>
  <si>
    <t>A man has shaving cream on his face and reads a label on a pressurized can and discusses it.</t>
  </si>
  <si>
    <t>A man rubs his smooth face.</t>
  </si>
  <si>
    <t>The man holds up a metal oil can.</t>
  </si>
  <si>
    <t>The man applies a medicine dropper with liquid to a razor and demonstrates how to use it.</t>
  </si>
  <si>
    <t>v_G9m5zxl2f08</t>
  </si>
  <si>
    <t>A person is seen putting their hands in a sink full of dirty water and pressing his face up against the water.</t>
  </si>
  <si>
    <t>The man continues wiping the mud off of his face as the mud drips down into the sink.</t>
  </si>
  <si>
    <t>v_J3qC2hqRhPc</t>
  </si>
  <si>
    <t>Elmo from Sesame Street is presenting how to brush teeth along with singer Bruno Mars.</t>
  </si>
  <si>
    <t>Elmo pulls out a toothbrush and begins dancing while Bruno Mars appears brushing his teeth on the mirror.</t>
  </si>
  <si>
    <t>Elmo is singing along as Bruno Mars continues to brush his teeth and the multicolored lights on the mirror flicker.</t>
  </si>
  <si>
    <t>Elmo and Bruno Mars continue to dance along as they teach little kids the importance of brushing teeth.</t>
  </si>
  <si>
    <t>v_pmIJcJiydpk</t>
  </si>
  <si>
    <t>A small child is seen standing with her hands on her hips and between jumping down a hop scotch outline.</t>
  </si>
  <si>
    <t>She jumps all the way down and speaks to the camera in the end.</t>
  </si>
  <si>
    <t>v_QdvC8Xt-ym0</t>
  </si>
  <si>
    <t>Two teams on horses ride around on a field.</t>
  </si>
  <si>
    <t>Using cricket bats they hit a ball back and forth.</t>
  </si>
  <si>
    <t>A team finally makes a goal.</t>
  </si>
  <si>
    <t>The scoring team then rides around in victory.</t>
  </si>
  <si>
    <t>v_rBmFxH3BUOw</t>
  </si>
  <si>
    <t>A man points to some products for the usage of waxing skis.</t>
  </si>
  <si>
    <t>The man cleans the ski with a towel.</t>
  </si>
  <si>
    <t>The man grabs one of the products and rubs it all over the ski, letting the product sit there for a while.</t>
  </si>
  <si>
    <t>After some time has passed, the man grabs another product and rubs it all over the ski.</t>
  </si>
  <si>
    <t>v_UU8a7vp6tgY</t>
  </si>
  <si>
    <t>A woman is puts a rod in a base.</t>
  </si>
  <si>
    <t>She then puts a skirt over the rod on the floor.</t>
  </si>
  <si>
    <t>She puts a fake Christmas tree up on the rod.</t>
  </si>
  <si>
    <t>A close up of the bow of the Christmas tree is shown.</t>
  </si>
  <si>
    <t>She fixes the bow on the tree.</t>
  </si>
  <si>
    <t>v_Rte9HqaQ1tw</t>
  </si>
  <si>
    <t>A white wall on the interior of a room is shown.</t>
  </si>
  <si>
    <t>A hand holding a lit match lights a candle.</t>
  </si>
  <si>
    <t>A man sets the candle beside a sink and begins to wash dishes.</t>
  </si>
  <si>
    <t>v_u713piB4VWk</t>
  </si>
  <si>
    <t>A close up of people sweeping is shown followed by people walking around an arena.</t>
  </si>
  <si>
    <t>Two wrestlers then bend down and walk around the pit a bit followed by wrestling one another.</t>
  </si>
  <si>
    <t>One man throws the other down and leads into clips of the city.</t>
  </si>
  <si>
    <t>v_Wh-Q13ZAffE</t>
  </si>
  <si>
    <t>A person is seen riding a sled down a hill followed by several people climbing up the hill and sliding back down again.</t>
  </si>
  <si>
    <t>An adult and child ride down as the person pulls the child out of the sled followed by more people riding down and walking up again.</t>
  </si>
  <si>
    <t>v_ognXkeWL7h8</t>
  </si>
  <si>
    <t>A toddler paint her lips with a lipstick.</t>
  </si>
  <si>
    <t>Then, the toddler applies make up to her eyelids on front a blue mirror.</t>
  </si>
  <si>
    <t>Next, the toddle takes more make up from a palette to continues applying to her eyelids.</t>
  </si>
  <si>
    <t>v_KVaTsulE5Z0</t>
  </si>
  <si>
    <t>A man is crossing a slack line.</t>
  </si>
  <si>
    <t>He puts something in the trunk of a car.</t>
  </si>
  <si>
    <t>He crosses the slack line onto the other side.</t>
  </si>
  <si>
    <t>v_ZdgWC6Jk2Nk</t>
  </si>
  <si>
    <t>A close up of a lawn mower is seen with a person's shoes walking behind.</t>
  </si>
  <si>
    <t>A camera pans out of a dirt hole and shows a man placing it down next to a tree.</t>
  </si>
  <si>
    <t>The camera pans around the tree and shows the man checking up on the dirt.</t>
  </si>
  <si>
    <t>v_dSOVaLk3ZmU</t>
  </si>
  <si>
    <t>A man sitting in a kayak pushing himself around swirling water using his paddles for support.</t>
  </si>
  <si>
    <t>The man flips several times in the water attempting to break free and he eventually does.</t>
  </si>
  <si>
    <t>v_Po6rrhjsS8g</t>
  </si>
  <si>
    <t>A man is talking in the camera, while another man with scarf is behind him, then they went in the building and sat on two couches, a woman came over to give them water.</t>
  </si>
  <si>
    <t>The man in sweater checked his phone then get two rackets in the bag, handed one to the guy, the guy standing bounced the ball on the racket.</t>
  </si>
  <si>
    <t>The two men started playing tennis while they are sitting.</t>
  </si>
  <si>
    <t>Then they moved the couches and started playing on the wall, then play in the area where people where working.</t>
  </si>
  <si>
    <t>A bald man went down on the stairs and went to the two men who were playing tennis on the wall.</t>
  </si>
  <si>
    <t>v_XpFkoI5hz7s</t>
  </si>
  <si>
    <t>A woman is seen working out with a man and leads into her speaking to the camera.</t>
  </si>
  <si>
    <t>She then steps back and fourth on a board moving her legs around and continuing to speak to the camera.</t>
  </si>
  <si>
    <t>She then hops around the camera and bit and ends by still speaking to the camera.</t>
  </si>
  <si>
    <t>v_0vIFg1eE7Tw</t>
  </si>
  <si>
    <t>A woman blowing kisses at the camera, then inserting her contact lenses.</t>
  </si>
  <si>
    <t>She begins to put eye shadow on her eyelids and rubbing it in.</t>
  </si>
  <si>
    <t>She adds eyelash extensions on her eyes.</t>
  </si>
  <si>
    <t>Then, she begins to contour her entire face little by little patting it down as she goes along.</t>
  </si>
  <si>
    <t>v_ECjumI_otNw</t>
  </si>
  <si>
    <t>A group of cheerleaders perform doing a tower, then the cheerleaders jump down.</t>
  </si>
  <si>
    <t>After, the cheerleaders jump, flip and does cartwheels.</t>
  </si>
  <si>
    <t>Next, the cheerleaders form human towers and dance together.</t>
  </si>
  <si>
    <t>v_pA8QJ2ZoeBM</t>
  </si>
  <si>
    <t>A woman is working out on an elliptical machine.</t>
  </si>
  <si>
    <t>The woman is sitting on a couch in heels.</t>
  </si>
  <si>
    <t>She continues to work out on the machine.</t>
  </si>
  <si>
    <t>v_LlpV8R-EaDQ</t>
  </si>
  <si>
    <t>A girl is sitting in the sand.</t>
  </si>
  <si>
    <t>She is putting sand in a blue bucket in front of her.</t>
  </si>
  <si>
    <t>Two people walk along the beach in front of her.</t>
  </si>
  <si>
    <t>v_lnieKUxnxuY</t>
  </si>
  <si>
    <t>A man walks into a room and puts his hand on a ladder while talking.</t>
  </si>
  <si>
    <t>We see a man putting orange tiles on a floor.</t>
  </si>
  <si>
    <t>We see aa man tiling a shower.</t>
  </si>
  <si>
    <t>We see the man putting the tiles on a floor again.</t>
  </si>
  <si>
    <t>We return to the man talking near the ladder and a website appears on the screen.</t>
  </si>
  <si>
    <t>v_kbRciA51ouY</t>
  </si>
  <si>
    <t>A newsman in a suit is talking.</t>
  </si>
  <si>
    <t>Older women are behind sewing machines sewing blankets.</t>
  </si>
  <si>
    <t>v_kZXVFSjRt5g</t>
  </si>
  <si>
    <t>A few people are sitting down indian style with life vest on watching a man inside of a float boat talk.</t>
  </si>
  <si>
    <t>They get ins the boat with paddles and some others next to them in a kayak.</t>
  </si>
  <si>
    <t>They use the paddle to try to control the boat, but get splashed by the very brown water.</t>
  </si>
  <si>
    <t>Another little boat comes and bumps into them, they paddle until they are about to reach back to land.</t>
  </si>
  <si>
    <t>v_ZHVzukkU9sk</t>
  </si>
  <si>
    <t>Two cookies are shown on a plate.</t>
  </si>
  <si>
    <t>The ingredients are mixed into a bowl one at a time, adding eggs, sugar, and butter.</t>
  </si>
  <si>
    <t>The cookies are cut out of the dough.</t>
  </si>
  <si>
    <t>They are then baked and assembled.</t>
  </si>
  <si>
    <t>v_blMN_9ZtxsY</t>
  </si>
  <si>
    <t>People are dressed up playing ping pong.</t>
  </si>
  <si>
    <t>People are standing next to the table watching.</t>
  </si>
  <si>
    <t>They continue to play and two of the men high five.</t>
  </si>
  <si>
    <t>v_2VvCuSFicyA</t>
  </si>
  <si>
    <t>A person is seen riding on a bicycle down a street with a dog tied next to him.</t>
  </si>
  <si>
    <t>The camera is shown in various angles the man riding the bike with the dog.</t>
  </si>
  <si>
    <t>The man continues riding around with the dog.</t>
  </si>
  <si>
    <t>v_0X34KkUlCAI</t>
  </si>
  <si>
    <t>A man with a whistle holds the middle of the rope.</t>
  </si>
  <si>
    <t>Two men are at each end of the rope pulling in their own direction over the mud.</t>
  </si>
  <si>
    <t>The red rope is leaning toward the man in blue as he nearly sits on the ground.</t>
  </si>
  <si>
    <t>The referee is on his knee observing.</t>
  </si>
  <si>
    <t>The competitor is taking short breaths as he stares.</t>
  </si>
  <si>
    <t>A man with a beard gives a wink and grins.</t>
  </si>
  <si>
    <t>Each man continues to pull as they lean back in the mud.</t>
  </si>
  <si>
    <t>It shows 6 minutes has passed as they continue to pull.</t>
  </si>
  <si>
    <t>It shows 8 minutes and 30 seconds have passed.</t>
  </si>
  <si>
    <t>The man in red stands up and runs backwards pulling the other man across the line.</t>
  </si>
  <si>
    <t>The two men shake hands and hug and walk away.</t>
  </si>
  <si>
    <t>The man in blue puts his arms around two men and walk away.</t>
  </si>
  <si>
    <t>v_Nkcc9kLDQz8</t>
  </si>
  <si>
    <t>People are standing on a hill of snow.</t>
  </si>
  <si>
    <t>People are skiing down a hill.</t>
  </si>
  <si>
    <t>The skiiers stop at the bottom and talk.</t>
  </si>
  <si>
    <t>v_p1yEPOr467M</t>
  </si>
  <si>
    <t>A group of men are pulled on an inflatable hot dog which make a swift turn causing them to fall of.</t>
  </si>
  <si>
    <t>People on water skis and inter tubes have comical crashes while being pulled along in the water.</t>
  </si>
  <si>
    <t>A boy on skis holds onto a tug rope on a dock and is pulled over falling in the water.</t>
  </si>
  <si>
    <t>A large group on inter tubes are pulled on tug ropes in the water then hit a large wave and flip into the air.</t>
  </si>
  <si>
    <t>A man on a boat jumps ship after an item with the boat still moving.</t>
  </si>
  <si>
    <t>v_S7MZle1gPzI</t>
  </si>
  <si>
    <t>A man lays back in ocean water as he holds onto a bar.</t>
  </si>
  <si>
    <t>He is drug by a boat filled with people.</t>
  </si>
  <si>
    <t>He gains his balance, and is water skiing quickly behind the boat.</t>
  </si>
  <si>
    <t>v_mG8h5rX3OnU</t>
  </si>
  <si>
    <t>Several people are captured decorating a Christmas tree in a living room in a fast forward, speed motion video.</t>
  </si>
  <si>
    <t>A Christmas tree stands undecorated in a living room.</t>
  </si>
  <si>
    <t>Two people decorate the tree with a light cord.</t>
  </si>
  <si>
    <t>Three people decorate the tree with blue and silver balls.</t>
  </si>
  <si>
    <t>The tree lights are turned on and wrapped gifts are placed under the tree as people start to sit under the tree and a dog casually walks by the tree.</t>
  </si>
  <si>
    <t>v_PdNb0g36a6U</t>
  </si>
  <si>
    <t>A guy is standing, gesturing, and instructing in a gym.</t>
  </si>
  <si>
    <t>A man demonstrates a gymnastic stunt on a hand platform.</t>
  </si>
  <si>
    <t>The man poses with his hands extended in the air.</t>
  </si>
  <si>
    <t>v_96kej9yK8To</t>
  </si>
  <si>
    <t>There's man dressed in a black sweater playing the violin in a church.</t>
  </si>
  <si>
    <t>There's a woman standing next to him, also dressed on black holding a violin in her hands.</t>
  </si>
  <si>
    <t>There's a statue of Jesus Christ right behind them.</t>
  </si>
  <si>
    <t>After the man stops playing the violin, the woman joins in and begins playing her violin.</t>
  </si>
  <si>
    <t>there are a few people seated in the front row, watching the woman play.</t>
  </si>
  <si>
    <t>v_IrO7Fgr102M</t>
  </si>
  <si>
    <t>A group of men on donkeys play a form of polo on a dirt field.</t>
  </si>
  <si>
    <t>The camera pans to people watching the game.</t>
  </si>
  <si>
    <t>The camera returns to the people riding the donkeys.</t>
  </si>
  <si>
    <t>v_1sA-lEbrgak</t>
  </si>
  <si>
    <t>A close up of a score board is shown followed by a man lifting a heavy set of weights.</t>
  </si>
  <si>
    <t>The man lifts it over his head and his score his shown afterwards.</t>
  </si>
  <si>
    <t>He does this several more times.</t>
  </si>
  <si>
    <t>v_uPyciwjOz3E</t>
  </si>
  <si>
    <t>Several dogs are at a park.</t>
  </si>
  <si>
    <t>Their owners talk about the.</t>
  </si>
  <si>
    <t>Several vendors are set up in tents.</t>
  </si>
  <si>
    <t>The ownders walk the dogs around.</t>
  </si>
  <si>
    <t>v_JbAvSsIaI8g</t>
  </si>
  <si>
    <t>A man is sitting behind a laptop.</t>
  </si>
  <si>
    <t>He takes a contact out of his eye.</t>
  </si>
  <si>
    <t>He rubs his eye before putting it back in.</t>
  </si>
  <si>
    <t>v_AWPlbtK7afY</t>
  </si>
  <si>
    <t>A group of people is learning how to rollerblade.</t>
  </si>
  <si>
    <t>Some peeople go in groups, but generally they are slow and awkward.</t>
  </si>
  <si>
    <t>v_Bc0_vvpfMAE</t>
  </si>
  <si>
    <t>A woman is shown talking in her kitchen.</t>
  </si>
  <si>
    <t>She fills a bowl with butter, flour and sugar, and adds eggs.</t>
  </si>
  <si>
    <t>She creates a dough, and then makes and bakes a batch of cookies.</t>
  </si>
  <si>
    <t>v__bj64aqyIyk</t>
  </si>
  <si>
    <t>A girl is crossing the monkey bars.</t>
  </si>
  <si>
    <t>A girl in a yellow shirt is standing on the ground watching.</t>
  </si>
  <si>
    <t>A girl on a blue shirt is standing on a playground.</t>
  </si>
  <si>
    <t>v_Il0IelOoXa4</t>
  </si>
  <si>
    <t>A woman is seen sitting in a canoe when a man pushes her along and climbs in back.</t>
  </si>
  <si>
    <t>The man is seen riding around and looking at her surroundings while the man behind paddles.</t>
  </si>
  <si>
    <t>The woman continues sitting and looking around her at the trees and sights.</t>
  </si>
  <si>
    <t>v_jSHcj_pXiI4</t>
  </si>
  <si>
    <t>A man is getting his ear pierced by another individual who only has his or her hands in frame.</t>
  </si>
  <si>
    <t>The second individual pushes a cart behind the first individual.</t>
  </si>
  <si>
    <t>The camera focus on the first individual.</t>
  </si>
  <si>
    <t>The second individual pierces the first man's other ear.</t>
  </si>
  <si>
    <t>v_AG2g8djPKV0</t>
  </si>
  <si>
    <t>We see a lady washing clothes by hand outdoors.</t>
  </si>
  <si>
    <t>The lady pours water on the clothes from a bowl.</t>
  </si>
  <si>
    <t>The lady pushes her hair back.</t>
  </si>
  <si>
    <t>The lady pours more water on the clothes.</t>
  </si>
  <si>
    <t>v_A49K-WtIzsY</t>
  </si>
  <si>
    <t>A man is outside scraping the ice off of the windows of his car.</t>
  </si>
  <si>
    <t>Once he is finished,he puts the tool in the back of his seat and gets in the car.</t>
  </si>
  <si>
    <t>v_T9jiC2SRLJQ</t>
  </si>
  <si>
    <t>A person is seen making a drink close up followed by him speaking to others on a mountain.</t>
  </si>
  <si>
    <t>More shots are shown of the man having a drink as well as speaking to others.</t>
  </si>
  <si>
    <t>The man has another drink and plays pool followed by a picture of them.</t>
  </si>
  <si>
    <t>v_RVOBQBamjDA</t>
  </si>
  <si>
    <t>A lady is sitting and playing the piano.</t>
  </si>
  <si>
    <t>A guy is standing and playing a saxophone.</t>
  </si>
  <si>
    <t>The lady and guy are performing on the same stage, together.</t>
  </si>
  <si>
    <t>The lady and guy stop playing.</t>
  </si>
  <si>
    <t>v_z31xpHUGgO0</t>
  </si>
  <si>
    <t>A man and a little boy play badminton in an indoor court.</t>
  </si>
  <si>
    <t>The little boy serves and returns the ball well.</t>
  </si>
  <si>
    <t>The little boy miss a ball that ends in the net, then the man recovers the ball and they continue playing.</t>
  </si>
  <si>
    <t>v_KCOzA0Suy5U</t>
  </si>
  <si>
    <t>Two young motorcycle riders sit on the bikes and wave on a dirt trail.</t>
  </si>
  <si>
    <t>The boys ride their bikes over jumps on the trails.</t>
  </si>
  <si>
    <t>A young rider jumps a ramp and clutches the handlebars with his feet.</t>
  </si>
  <si>
    <t>The boy does heal clicks and kicks his feet to the side of the motor bike in mid air.</t>
  </si>
  <si>
    <t>v_x9VlxLDK-VM</t>
  </si>
  <si>
    <t>A young girl with messy curly hair is standing in front of the sink cleaning a dish with a blue sponge.</t>
  </si>
  <si>
    <t>She then rinses the top of the plate and hands it to somebody standing behind her.</t>
  </si>
  <si>
    <t>As she grabs the next dish,someone comes along and puts another dish in the sink as she continues to dump water in and out of the container.</t>
  </si>
  <si>
    <t>v_XklHV0q3w40</t>
  </si>
  <si>
    <t>A man is sitting down playing a saxophone.</t>
  </si>
  <si>
    <t>He stops playing the saxophone and talks.</t>
  </si>
  <si>
    <t>He stands up and continues playing the saxophone.</t>
  </si>
  <si>
    <t>v_VOyKKN3NdXM</t>
  </si>
  <si>
    <t>A colorful intro with a lot of flashing words flash across the screen along with a logo and a banner with foreign language written on it.</t>
  </si>
  <si>
    <t>A woman dressed in an orange and red dress and scarf is standing and talking has she hold white paper in her hands.</t>
  </si>
  <si>
    <t>The woman is no longer shown and there are various pictures flashing that seem to be about SPEED CAR WASH.</t>
  </si>
  <si>
    <t>A few short video clips begin and they all take place at the SPEED CAR WASH company where cars are driving, products are shown, a man is washing a car and various people are talking either together or alone.</t>
  </si>
  <si>
    <t>The woman from before who is dressed in an orange and red dress appears again and is still holding the white paper as she talks.</t>
  </si>
  <si>
    <t>Flashing words appear after the woman is talking and continues to the end.</t>
  </si>
  <si>
    <t>v_q8TBL7DBgXY</t>
  </si>
  <si>
    <t>A pier is shown at a beach, with people walking alongside it.</t>
  </si>
  <si>
    <t>Many pictures are shown of a woman tying up a pair of skates.</t>
  </si>
  <si>
    <t>She skates and we see bikes, people riding them, palm trees, and ferris wheels.</t>
  </si>
  <si>
    <t>We follow the woman as she skates alongside surfboards and other people.</t>
  </si>
  <si>
    <t>v_4gEDonpfTeY</t>
  </si>
  <si>
    <t>A man and a woman dance in a restaurant full of people.</t>
  </si>
  <si>
    <t>The woman approaches a young male and touch his face, then the man gets angry and push the woman who ends on his arms and they continues dancing.</t>
  </si>
  <si>
    <t>A fire appears on the floor.</t>
  </si>
  <si>
    <t>A man puts two bread sticks on the nose while a woman watch with surprise.</t>
  </si>
  <si>
    <t>The man helps a woman light a cigarette, then he flips and takes as red table cloth to make tricks, the the man and the woman continues dancing until they kiss while liquid come out of bottles and appears the moon at the end.</t>
  </si>
  <si>
    <t>v_HeMpg3SAUUs</t>
  </si>
  <si>
    <t>A little girl is wiping water all over her face.</t>
  </si>
  <si>
    <t>She looks at the camera and smiles as she continues to wash her face.</t>
  </si>
  <si>
    <t>She sticks her tongue out slightly at the camera.</t>
  </si>
  <si>
    <t>v_d_z2CA-o13U</t>
  </si>
  <si>
    <t>people are having fun playing with paint ball guns in interesting ways,some are riding in cars and other are on the ground shooting paint balls at each other.</t>
  </si>
  <si>
    <t>there are people on motorcycles as well as up in the air in parachutes just have a big fun day.</t>
  </si>
  <si>
    <t>One guy seems to have a paint ball rocket launcher and shoots a guy with it.</t>
  </si>
  <si>
    <t>there are people on motor skate boards also.</t>
  </si>
  <si>
    <t>they show that a group of people made it to the top of a small hill to plant there flag and many of there team mates were defeated.</t>
  </si>
  <si>
    <t>v_DVsLkoQijV4</t>
  </si>
  <si>
    <t>Two girls dressed in a red shirt and black spanxs are bending over preparing for a volley ball game.</t>
  </si>
  <si>
    <t>The other team is shown on the other side of the net and they serve the ball.</t>
  </si>
  <si>
    <t>Both of the girls begin to play,hits the ball back over and the girl cheers as they gain a point.</t>
  </si>
  <si>
    <t>v_L9ons75VGCg</t>
  </si>
  <si>
    <t>There are a lot of different teams rowing very fast in a very large body of water that is outdoors, surrounded by a lot of trees and a lot of buildings.</t>
  </si>
  <si>
    <t>Now the focus is on canoes that only have one woman in it and they are racing on another just like the teams did but they are alone and they have numbers behind them.</t>
  </si>
  <si>
    <t>Now they are showing canoes with two men racing and they are also rowing very fast, and then teams of 4 men begin to race.</t>
  </si>
  <si>
    <t>When they are done racing they are now shown walking up to a man and a woman who are placing medals on ribbons around men and women that walk up to him.</t>
  </si>
  <si>
    <t>When the medals have all been given out the list of winners begin to display on different screens.</t>
  </si>
  <si>
    <t>v_Hcoc9euI0tk</t>
  </si>
  <si>
    <t>Two people are skiing down a very cold and snowy mountain slope during winter.</t>
  </si>
  <si>
    <t>Going left and right and starting to build up some more speed as they go.</t>
  </si>
  <si>
    <t>One of them falls and still moving down the slope ends up running into another skier causing him to fall down also.</t>
  </si>
  <si>
    <t>They try to grab hands and they end up finally at a halt.</t>
  </si>
  <si>
    <t>v_zuNQFkkyBNo</t>
  </si>
  <si>
    <t>We see green writing on a black title screen.</t>
  </si>
  <si>
    <t>A lady in a lacy black and white bra sits in a black room under bright spot lights smoking a cigarette.</t>
  </si>
  <si>
    <t>The lady adjusts her position in the chair and looks down.</t>
  </si>
  <si>
    <t>v_UusDcf16TVQ</t>
  </si>
  <si>
    <t>A person wearing a mask plays the accordion.</t>
  </si>
  <si>
    <t>A woman waves to the person with the camera.</t>
  </si>
  <si>
    <t>v_Xk3KngL2ZH0</t>
  </si>
  <si>
    <t>A close up of snow is shown that leads into a man playing drums.</t>
  </si>
  <si>
    <t>The man leans over a set of drums in the snow while the camera pans around.</t>
  </si>
  <si>
    <t>The man still plays the drums and stops to walk away and look at the camera.</t>
  </si>
  <si>
    <t>v_dtYofkPozXM</t>
  </si>
  <si>
    <t>A man is painting a room.</t>
  </si>
  <si>
    <t>He stands on many ladders to reach the walls.</t>
  </si>
  <si>
    <t>He poses in front of a fireplace.</t>
  </si>
  <si>
    <t>v_8WFB_LUOx4k</t>
  </si>
  <si>
    <t>A camera captures several shots of sites as well as people standing outside drinking and celebrating.</t>
  </si>
  <si>
    <t>One man pulls out a weed and a drone is seen flying in the distance.</t>
  </si>
  <si>
    <t>The people attempt to hit the drone and then are seen driving around on a golf cart around other people.</t>
  </si>
  <si>
    <t>A man shows up in a guerrilla suit and the drone flies over people playing games and riding around.</t>
  </si>
  <si>
    <t>v_Q1mh4F0L8Ec</t>
  </si>
  <si>
    <t>A girl in white top and blue jeans is brushing the fur of the horse on one side then she moved on the other side and then brushed his leg.</t>
  </si>
  <si>
    <t>The lady picked up a black bottle and spray the body of the horse, then brushed off the dirt off the horse shoes then put polished on the horse's feet.</t>
  </si>
  <si>
    <t>v_2ESPauwYUnQ</t>
  </si>
  <si>
    <t>A young boy arranges a shirt on the floor.</t>
  </si>
  <si>
    <t>He grabs and iron and irons the shirt.</t>
  </si>
  <si>
    <t>He places the iron down and looks around the room.</t>
  </si>
  <si>
    <t>v_UD4RnQp5tPY</t>
  </si>
  <si>
    <t>A young man stands in a dark room holding two maraca's and speaking to the camera.</t>
  </si>
  <si>
    <t>Another man walks in scolding him and then eventually take off their shirts.</t>
  </si>
  <si>
    <t>They walk to the bathroom and rub shaving cream all over their legs.</t>
  </si>
  <si>
    <t>They begin shaving their legs and hold up a razor smiling at the camera.</t>
  </si>
  <si>
    <t>v_4ksF9BUdQJM</t>
  </si>
  <si>
    <t>A man walks outside plugs his lawn mower in and gets ready to mow.</t>
  </si>
  <si>
    <t>He starts mowing his lawn casually going over all the grass.</t>
  </si>
  <si>
    <t>His dog comes outside and starts to follow him a little while he's closer to the house.</t>
  </si>
  <si>
    <t>The yard is slowly starting to look really really nice, once he is completely finished the yard looks great, nice and smooth.</t>
  </si>
  <si>
    <t>v_L0K-WJuI1-I</t>
  </si>
  <si>
    <t>A man is standing in a kitchen talking.</t>
  </si>
  <si>
    <t>He uses a vacuum to clean the floor.</t>
  </si>
  <si>
    <t>He removes the filter from the vacuum.</t>
  </si>
  <si>
    <t>He talks some more after this.</t>
  </si>
  <si>
    <t>v_syy0FVZ7SkQ</t>
  </si>
  <si>
    <t>A middle aged man talks while holding a mop.</t>
  </si>
  <si>
    <t>The man throws a mop pad on the floor and puts the mop on it picking up the pad.</t>
  </si>
  <si>
    <t>The man goes around the room mopping the floor.</t>
  </si>
  <si>
    <t>The same man is standing in a kitchen.</t>
  </si>
  <si>
    <t>The man runs water over the mop pad and then wrings it out.</t>
  </si>
  <si>
    <t>The man throws the mop pad on the floor again and picks it up with the mop.</t>
  </si>
  <si>
    <t>The man mops the floor going around the furniture.</t>
  </si>
  <si>
    <t>v_TrRsujPlt5w</t>
  </si>
  <si>
    <t>An elderly man is using an elliptical trainer inside a gym.</t>
  </si>
  <si>
    <t>He pedals and pushes back and forth as he talks to the person with the camera.</t>
  </si>
  <si>
    <t>v_wtA-5-6DRcY</t>
  </si>
  <si>
    <t>A group is lazily floating on intertubes in a river.</t>
  </si>
  <si>
    <t>The people are holding hands so they stay together.</t>
  </si>
  <si>
    <t>They float down the water in the rain, through the rapids.</t>
  </si>
  <si>
    <t>v_aDsRltSdQak</t>
  </si>
  <si>
    <t>We see the ocean and an island in the water.</t>
  </si>
  <si>
    <t>We see a person kitesurfing in the water.</t>
  </si>
  <si>
    <t>We then see two people kitesurfing.</t>
  </si>
  <si>
    <t>We go back to just one person surfing.</t>
  </si>
  <si>
    <t>We see the island from above.</t>
  </si>
  <si>
    <t>We return to the surfer in the water.</t>
  </si>
  <si>
    <t>v_v0mUPr68x2U</t>
  </si>
  <si>
    <t>A man get out a home while a dog follows him.</t>
  </si>
  <si>
    <t>Then a toddler get out the home, stand on the border of the swimming pool an falls in the water.</t>
  </si>
  <si>
    <t>The baby floats face up, then a man comes and take the baby.</t>
  </si>
  <si>
    <t>A woman puts a baby in the swimming pool, and the baby swims fast to reach the border of the swimming pool.</t>
  </si>
  <si>
    <t>A woman puts the baby in the swimming pool who swings and floats.</t>
  </si>
  <si>
    <t>v_0-ReTddxkhg</t>
  </si>
  <si>
    <t>Two women are in front of a camera, the woman in the red shirt is speaking.</t>
  </si>
  <si>
    <t>The women both put something from a cup in there mouths.</t>
  </si>
  <si>
    <t>The woman in red begins to dance.</t>
  </si>
  <si>
    <t>The woman in black makes a face to the camera.</t>
  </si>
  <si>
    <t>Both girls bend over a bit in front of the camera.</t>
  </si>
  <si>
    <t>The woman in red stops dancing and begins to laugh and the woman in black does this as well.</t>
  </si>
  <si>
    <t>It appears that both women either swallow or spit out whatever was in their mouths.</t>
  </si>
  <si>
    <t>v_yhWPzE-kmk4</t>
  </si>
  <si>
    <t>A young child is seen talking to the camera while wearing oven mits and holding a stick.</t>
  </si>
  <si>
    <t>The boy then opens and oven door and pulls out a plate of cookies.</t>
  </si>
  <si>
    <t>He uses the stick to push the rack back and closes the oven while waves to the camera.</t>
  </si>
  <si>
    <t>v_QT2l100KJe0</t>
  </si>
  <si>
    <t>A man in a yellow shirt has his hands behind his head.</t>
  </si>
  <si>
    <t>He is running down a track and throwing a javelin.</t>
  </si>
  <si>
    <t>He trips and falls forward.</t>
  </si>
  <si>
    <t>A shot of the field is shows with many people walking on it.</t>
  </si>
  <si>
    <t>v_OvSf6kk07uE</t>
  </si>
  <si>
    <t>Gymnasts stretch and prepare for a routine.</t>
  </si>
  <si>
    <t>They do a bunch of things with their shirts off.</t>
  </si>
  <si>
    <t>v_352jrqIWSFY</t>
  </si>
  <si>
    <t>Two wrestlers are seen hunches over in a ring with one running over to the other.</t>
  </si>
  <si>
    <t>One wrestler grabs the other and flips him over his shoulders, then a ref hits the side to tap out.</t>
  </si>
  <si>
    <t>v_0OxOI3sAIrM</t>
  </si>
  <si>
    <t>A woman is sitting on a mat on the floor.</t>
  </si>
  <si>
    <t>A man is talking about how to use a bowflex.</t>
  </si>
  <si>
    <t>She lies down, doing sit ups as he continues to talk.</t>
  </si>
  <si>
    <t>v__CJaovqcgtM</t>
  </si>
  <si>
    <t>A flat screen television is sitting on a stand showing the television show RAW.</t>
  </si>
  <si>
    <t>On the show,two men are wrestling each over moving on the ground.</t>
  </si>
  <si>
    <t>The fat man then picks up the skinny guy,drops him,and stands over him.</t>
  </si>
  <si>
    <t>v_iAWXaWo82u4</t>
  </si>
  <si>
    <t>A person is holding a dog covered in suds and holding a bottle of shampoo in a yard.</t>
  </si>
  <si>
    <t>We see the person standing next to the dog and washing him with the shampoo.</t>
  </si>
  <si>
    <t>A person waves their hand in front of the dog.</t>
  </si>
  <si>
    <t>The camera pans and we see another dog laying on the ground.</t>
  </si>
  <si>
    <t>v_1FFbrlvDQ7c</t>
  </si>
  <si>
    <t>A white screen appears with a picture of a globe and a banner around it with yellow words that say "ABADA-CAPOEIRA"and is followed with various white screens that have black writing on each individual screen.</t>
  </si>
  <si>
    <t>People that include both children and adults are gathered in a room and are watching a film being projected on a large wall.</t>
  </si>
  <si>
    <t>Now there are people that are dressed in white and are in a room with blue mats on the ground and various different people including both adults and children are all dancing capoeira style either together, or separately while some people play instruments and some people just watch them.</t>
  </si>
  <si>
    <t>When they're done dancing a lot of the children pile onto and around an adult man and they take a group picture.</t>
  </si>
  <si>
    <t>Outro appears and it's the globe, white screens with black words on each one, and then logos.</t>
  </si>
  <si>
    <t>v_J3TwVc0v89A</t>
  </si>
  <si>
    <t>Two sister toddlers enter in a kitchen, then one toddler wash the dishes in the sink.</t>
  </si>
  <si>
    <t>The mother puts dishes on the sink and open the dishwasher.</t>
  </si>
  <si>
    <t>The toddler sister helps with the dishwasher and then climbs the high chair and help wash the dishes and the toddler loads the dishwasher.</t>
  </si>
  <si>
    <t>The mother stands near the refrigerator drinking tea and texting.</t>
  </si>
  <si>
    <t>The sister toddler go down the chair and leave the kitchen.</t>
  </si>
  <si>
    <t>Then, the toddler go down the chair, then she close and turn on the dishwasher.</t>
  </si>
  <si>
    <t>v_QFz-keqof9g</t>
  </si>
  <si>
    <t>A rope is strung between two trees.</t>
  </si>
  <si>
    <t>A man walks on the rope.</t>
  </si>
  <si>
    <t>He falls several times off the rope.</t>
  </si>
  <si>
    <t>Eventually he is able to balance and walks back and forth.</t>
  </si>
  <si>
    <t>v_JKVOi9DE8Hs</t>
  </si>
  <si>
    <t>A little boy is throwing darts at a board.</t>
  </si>
  <si>
    <t>He walks over to the target, looking at where the darts hit.</t>
  </si>
  <si>
    <t>v_1o9RGnujlkI</t>
  </si>
  <si>
    <t>A girl is standing in a room taking out several arrows out of her pack and using her arrow to release them.</t>
  </si>
  <si>
    <t>She then moves around the gym,takes a deep breath and continues going.</t>
  </si>
  <si>
    <t>After she moves again,two carpets are shown hanging from the wall and she continues to aim at her target until all of her bows are gone.</t>
  </si>
  <si>
    <t>v_K1G84xfLr9s</t>
  </si>
  <si>
    <t>A girl walks onto a mat, bowing before the judges.</t>
  </si>
  <si>
    <t>She performs several martial arts moves using a large wooden stick.</t>
  </si>
  <si>
    <t>When she is done, a man blows a whistle.</t>
  </si>
  <si>
    <t>v_bKec2fA5RZ8</t>
  </si>
  <si>
    <t>A woman is shown talking to the camera holding a vacuum and followed by her vacuuming up her floor at a fast pace.</t>
  </si>
  <si>
    <t>She vacuums all around the area while still talking to the camera and eventually transitioning to a close up of the vacuum.</t>
  </si>
  <si>
    <t>v_gMaakjqhNmM</t>
  </si>
  <si>
    <t>There are some men playing darts in a basement where two dart boards are hung on the wall.</t>
  </si>
  <si>
    <t>One of the men wearing a green shirt aims the dart board with a dart to hit the bull's eye on one board.</t>
  </si>
  <si>
    <t>Another man also hits the dart on the other dart board.</t>
  </si>
  <si>
    <t>The man in green shoots another dart and then goes to remove it from the dart board.</t>
  </si>
  <si>
    <t>v_8kkKxLpiMus</t>
  </si>
  <si>
    <t>a group of people are gathered inside a room.</t>
  </si>
  <si>
    <t>They are walking back and forward together.</t>
  </si>
  <si>
    <t>They are dancing as a form of aerobics.</t>
  </si>
  <si>
    <t>v_kp-mNHSU5Rc</t>
  </si>
  <si>
    <t>Several shots of people leading around horses are shown and one ties a horse to pole and wets down a razor.</t>
  </si>
  <si>
    <t>The woman then cuts the horses mane and rubs down the horses coat while the camera pans around.</t>
  </si>
  <si>
    <t>The woman unties the horse and finishes by speaking to the camera.</t>
  </si>
  <si>
    <t>v_kcMJk5dg-Wc</t>
  </si>
  <si>
    <t>A small spout of water is shown outdoors between the forest and the rocks and is creating small waves.</t>
  </si>
  <si>
    <t>All of a sudden a person comes down the water kayaking.</t>
  </si>
  <si>
    <t>Once he gets to the bottom,the kayaker turns and the waves continue flowing washing up against the rocks.</t>
  </si>
  <si>
    <t>v_k3rWocPJ428</t>
  </si>
  <si>
    <t>A table soccer set is seen without players that is built out of Lego type blocks.</t>
  </si>
  <si>
    <t>A ball is dispensed from an enclosure.</t>
  </si>
  <si>
    <t>Two boys play a game of table soccer.</t>
  </si>
  <si>
    <t>A boy scores a goal and the ball is retrieved from the slot.</t>
  </si>
  <si>
    <t>A ball falls down a square chute.</t>
  </si>
  <si>
    <t>v_KoP6ZgL6fMY</t>
  </si>
  <si>
    <t>A woman in red is practicing to jump in the sand, She runs a little and jumps in the sand again.</t>
  </si>
  <si>
    <t>Then she starts to try from further back, sprinting and jumping into the sand.</t>
  </si>
  <si>
    <t>She starts to jump over little stands next and then another man joins in to practice with her.</t>
  </si>
  <si>
    <t>Then, an actual race begins and everyone is racing along.</t>
  </si>
  <si>
    <t>v_hKa9wV1orM8</t>
  </si>
  <si>
    <t>A teen wearing red cup gets hit by other cars.</t>
  </si>
  <si>
    <t>People spin around and then continue riding and bumping.</t>
  </si>
  <si>
    <t>Then, people spin without hitting and then continue riding and bumping cars.</t>
  </si>
  <si>
    <t>A boy wearing white shirt spins around and get hit by several cars.</t>
  </si>
  <si>
    <t>v_CZISTSKNsSk</t>
  </si>
  <si>
    <t>A man presents the videos with the topics he will cover as well as the equipment that will be needed to ski.</t>
  </si>
  <si>
    <t>Throughout the video, several people are shown demonstrating some key concepts of the skiing lesson.</t>
  </si>
  <si>
    <t>The video ends with the closing credits for the segment.</t>
  </si>
  <si>
    <t>v__kdhjXHUfes</t>
  </si>
  <si>
    <t>A woman is seen holding a pose on a stage and leads into another man walking on stage.</t>
  </si>
  <si>
    <t>The man and woman then perform a dance routine together around the stage while looking at one another.</t>
  </si>
  <si>
    <t>The two continue dancing and end with a bow and the audience applauding.</t>
  </si>
  <si>
    <t>v_rmaHl5HTcwE</t>
  </si>
  <si>
    <t>A close up of a dart board is seen that leads into darts appearing.</t>
  </si>
  <si>
    <t>A person's hand takes off the darts and more darts are shown hitting the board.</t>
  </si>
  <si>
    <t>This happens several more times while the camera captures it's movements.</t>
  </si>
  <si>
    <t>v_yJgC3-t_ciw</t>
  </si>
  <si>
    <t>There are two men playing Foos ball with two young boys in a living room.</t>
  </si>
  <si>
    <t>There is a large decorated Christmas tree behind them.</t>
  </si>
  <si>
    <t>There is a woman sitting in the living room with a little girl.</t>
  </si>
  <si>
    <t>The boys play Foos ball with the men.</t>
  </si>
  <si>
    <t>They laugh and enjoy themselves as they continue to play.</t>
  </si>
  <si>
    <t>v_BK8yiRJkfcU</t>
  </si>
  <si>
    <t>A large arena is seen with a person running by and pointing to the camera.</t>
  </si>
  <si>
    <t>Several shots are shown of the athlete playing football and leads into him standing.</t>
  </si>
  <si>
    <t>The man then runs down the field and long jumps into a sand pit and his jump is shown again.</t>
  </si>
  <si>
    <t>v_asWvAGhlbdQ</t>
  </si>
  <si>
    <t>A man is seen holding a sharp knife in his hands while the camera zooms in and the man points to two boxes.</t>
  </si>
  <si>
    <t>He then glides the knife along the boxes and shows off the sharpened knife to the camera.</t>
  </si>
  <si>
    <t>He ends by holding the knife and smiling to the camera.</t>
  </si>
  <si>
    <t>v_8aYk3so14fE</t>
  </si>
  <si>
    <t>A man is seen looking off into the distance and leads into him speaking to the camera.</t>
  </si>
  <si>
    <t>The man continues to speak to the camera and then walks behind a set of drums.</t>
  </si>
  <si>
    <t>The man plays the drums continuously and ends by speaking to the camera.</t>
  </si>
  <si>
    <t>v_hDV6wQKvKCg</t>
  </si>
  <si>
    <t>A young girl is shown swinging back and fourth on a swingset and smiling into the camera.</t>
  </si>
  <si>
    <t>She continues going back and fourth while the camera captures her yelling at the camera.</t>
  </si>
  <si>
    <t>v_vBCnsp-NEAg</t>
  </si>
  <si>
    <t>A person slices and ground garlic and chop parsley.</t>
  </si>
  <si>
    <t>Then, the person adds the garlic in the hot oil in a pan.</t>
  </si>
  <si>
    <t>The person cooks and drain the pasta, then put the pasta in the pot and add chicken broth, the cooked garlic, parsley, salt, pepper and cheese on top.</t>
  </si>
  <si>
    <t>Next, the person make fried chicken, then serves the pasta with the chicken.</t>
  </si>
  <si>
    <t>v_1f_EQl4C700</t>
  </si>
  <si>
    <t>Different people enjoy having a cup of tea together.</t>
  </si>
  <si>
    <t>A woman blends the holds up a greased pan then adds a yellow butter to a bowl.</t>
  </si>
  <si>
    <t>Flour is added to the bowl and everything is blended together.</t>
  </si>
  <si>
    <t>Eggs are added to the mixture and blended in with a blender.</t>
  </si>
  <si>
    <t>The woman adds a liquid extracts as well as additional powdered flour to the dish.</t>
  </si>
  <si>
    <t>The woman adds cubed fruit to the mixture and stirs it with a spatula.</t>
  </si>
  <si>
    <t>The host pours the ingredients into a pan then cooks them in an oven.</t>
  </si>
  <si>
    <t>The women enjoy a bite of the dish together.</t>
  </si>
  <si>
    <t>The host pours a cup of tea to enjoy.</t>
  </si>
  <si>
    <t>v_kS_wMOFfMDk</t>
  </si>
  <si>
    <t>A woman rubs her hand very well.</t>
  </si>
  <si>
    <t>Then, the woman rinse her hands with water.</t>
  </si>
  <si>
    <t>v_2ehPAKS6Gpo</t>
  </si>
  <si>
    <t>People are playing hockey on a rink of ice.</t>
  </si>
  <si>
    <t>A referee skates over to the people.</t>
  </si>
  <si>
    <t>They continue playing the game of hockey.</t>
  </si>
  <si>
    <t>v_Z4OyG8ZzUpg</t>
  </si>
  <si>
    <t>Two boys are out in the yard playing ball.</t>
  </si>
  <si>
    <t>One stands in front of the net and passes to the other with lacrosse sticks.</t>
  </si>
  <si>
    <t>The boys continue passing the ball bath and fourth to each other.</t>
  </si>
  <si>
    <t>One boy throws the ball out into the road while the other runs after it.</t>
  </si>
  <si>
    <t>Another boy comes in with a wig and the boys start wrestling each other.</t>
  </si>
  <si>
    <t>The boys then pretend the beat the boy with the wig up.</t>
  </si>
  <si>
    <t>The boys all continue wrestling each other while grabbing the objects and running away.</t>
  </si>
  <si>
    <t>v_E8r9-dSKLwc</t>
  </si>
  <si>
    <t>People are riding bikes around a dirt trail.</t>
  </si>
  <si>
    <t>They go over a hill several times.</t>
  </si>
  <si>
    <t>The boy is wearing a helmet.</t>
  </si>
  <si>
    <t>v_pv73L2pQX1s</t>
  </si>
  <si>
    <t>A person is welding a small square metal object.</t>
  </si>
  <si>
    <t>A flame exit a tube and a light sparkles form the welding machine.</t>
  </si>
  <si>
    <t>Two men weld to join to big cylinders.</t>
  </si>
  <si>
    <t>v_-1IBHYS3L-Y</t>
  </si>
  <si>
    <t>A man removes snow on a car using a snowbrush.</t>
  </si>
  <si>
    <t>Then, the man writes over the snow covering the window of a car, and a woman wearing winter clothes smiles.</t>
  </si>
  <si>
    <t>Then, the man continues removing the snow on his car.</t>
  </si>
  <si>
    <t>v_OYPyiUC4h68</t>
  </si>
  <si>
    <t>A man in bathing suit and his wife float down a river on intertubes.</t>
  </si>
  <si>
    <t>The man falls from his intertube and walks over to the waters edge.</t>
  </si>
  <si>
    <t>The man, now wearing life jacket, with his wife float down a river in the middle of a large group.</t>
  </si>
  <si>
    <t>A group from behind floats next to the man and woman as they slow down near the side of the river.</t>
  </si>
  <si>
    <t>v_oB6h3DscMUw</t>
  </si>
  <si>
    <t>A woman cuts the ends off a sweet potato on a cutting board with a knife.</t>
  </si>
  <si>
    <t>The woman uses a peeling tool to skin a sweet potato over the cutting board.</t>
  </si>
  <si>
    <t>v_L4ZhAK04yjg</t>
  </si>
  <si>
    <t>We see a man and a a woman dancing together.</t>
  </si>
  <si>
    <t>The man spins the woman back and forth.</t>
  </si>
  <si>
    <t>The screen turns a green shade.</t>
  </si>
  <si>
    <t>The lady takes her hair out of a pony tail.</t>
  </si>
  <si>
    <t>The screen turns a blue shade.</t>
  </si>
  <si>
    <t>A person enter the room then leaves.</t>
  </si>
  <si>
    <t>The people start spining again.</t>
  </si>
  <si>
    <t>The person returns and moves to the left.</t>
  </si>
  <si>
    <t>The color becomes normal again.</t>
  </si>
  <si>
    <t>The man stops and the woman is upset.</t>
  </si>
  <si>
    <t>v_ZWHFbIjh0N8</t>
  </si>
  <si>
    <t>An intro appears on a dark screen with red and white special effects and the words "MILWAUKEE OPEN" and "BEST PLAYS" show up on separate screens.</t>
  </si>
  <si>
    <t>Clips of various people, both men and women are outdoors at beaches, wearing beach attire as they play sand volleyball during different matches while a lot of spectators watching them and cheering them on.</t>
  </si>
  <si>
    <t>The clips end and the outro appears and looks just like the intro and ends with the words "BEST PLAYS" and "MILWAUKEE OPEN" on two different screens.</t>
  </si>
  <si>
    <t>v_tO1VJnsd8sg</t>
  </si>
  <si>
    <t>A person in a yellow shirt stands outside watching.</t>
  </si>
  <si>
    <t>A woman opens the door and walks out.</t>
  </si>
  <si>
    <t>v_3AZgr5HkSDY</t>
  </si>
  <si>
    <t>A large group of people are seen performing a routine together in an exercise class while moving up and down on a beam.</t>
  </si>
  <si>
    <t>The people continue moving around one another while moving their arms up and down on the beam and end by holding onto one another and walking around the room.</t>
  </si>
  <si>
    <t>v_9Ht1yvo936I</t>
  </si>
  <si>
    <t>people is playing black jack around a table.</t>
  </si>
  <si>
    <t>dealer is dealnig the cards and the tokens to the women.</t>
  </si>
  <si>
    <t>man stands from a table and walks in a room.</t>
  </si>
  <si>
    <t>v_hYj38k-VOFM</t>
  </si>
  <si>
    <t>A person is seen raking a yard and pauses to put his hand in his pocket.</t>
  </si>
  <si>
    <t>Another man comes walking in with a leaf blower pushing the leaves around.</t>
  </si>
  <si>
    <t>The man rakes more leaves and the leaf blower man comes in again.</t>
  </si>
  <si>
    <t>v_Ho0eNR4jvEg</t>
  </si>
  <si>
    <t>We see the underwater sea floor.</t>
  </si>
  <si>
    <t>Two people swim in front of the camera.</t>
  </si>
  <si>
    <t>We see a man holding a camera.</t>
  </si>
  <si>
    <t>We see a fin enter the camera.</t>
  </si>
  <si>
    <t>The camera is spinning wildly.</t>
  </si>
  <si>
    <t>Bubbles rise out of a tube.</t>
  </si>
  <si>
    <t>A man hands another person the mouthpiece.</t>
  </si>
  <si>
    <t>v_4S09Z8HRtdo</t>
  </si>
  <si>
    <t>Two people are seen walking around a yard in front of a board.</t>
  </si>
  <si>
    <t>Another man walks in and the group are seen laying up a fence.</t>
  </si>
  <si>
    <t>The men continue to put boards up on the fence and end by presenting it to the camera.</t>
  </si>
  <si>
    <t>v_f3Mse2A5edA</t>
  </si>
  <si>
    <t>A man is sitting behind a table completing a Rubik's cube.</t>
  </si>
  <si>
    <t>A person in a blue shirt is standing next to the table holding a stop watch.</t>
  </si>
  <si>
    <t>The man completes the Rubik's cube and sets it down.</t>
  </si>
  <si>
    <t>He hugs a person that walks up next to him.</t>
  </si>
  <si>
    <t>v_STR26rN9GcA</t>
  </si>
  <si>
    <t>Two men are outdoors on a sidewalk, playing drums with their bare hands.</t>
  </si>
  <si>
    <t>A large crowd crosses the sidewalk as they complete the show, and the man on the left stands upright.</t>
  </si>
  <si>
    <t>v_Y1j_e1DXW6I</t>
  </si>
  <si>
    <t>A group of people line up against a wall in front of a set of balls at the start of a game in a gym.</t>
  </si>
  <si>
    <t>The group runs up to retrieve the balls.</t>
  </si>
  <si>
    <t>The group trows balls back and forth with an opposing team in a dodge ball game.</t>
  </si>
  <si>
    <t>A man gets hit multiple times as he runs forward on the court and retrieves balls.</t>
  </si>
  <si>
    <t>v_oeFUzyNgxQU</t>
  </si>
  <si>
    <t>We see men on a stage walking on a slack line as two other men film the event.</t>
  </si>
  <si>
    <t>They switch and a different man then walks the slackline who flips off the slackline.</t>
  </si>
  <si>
    <t>The men switch again and the first man is on the slackline.</t>
  </si>
  <si>
    <t>The man fall off the slackline onto his butt.</t>
  </si>
  <si>
    <t>The second man bounces and flips off.</t>
  </si>
  <si>
    <t>The first man bounces and flips off.</t>
  </si>
  <si>
    <t>the men clap and take the slackline off stage.</t>
  </si>
  <si>
    <t>v_p8C7govzEPw</t>
  </si>
  <si>
    <t>A close up of a clock is shown followed by a person making and pouring out coffee as well as the outside of a building.</t>
  </si>
  <si>
    <t>A women sets up her keys, writes on a board, and leads into her grooming and petting the dogs.</t>
  </si>
  <si>
    <t>Several clips are shown of the woman grooming the animals from various views and the animals shown afterwards.</t>
  </si>
  <si>
    <t>v_CZGDWYYkO-U</t>
  </si>
  <si>
    <t>A girl wearing glasses is seen speaking to the camera that leads into her taking them off and holding them to her camera.</t>
  </si>
  <si>
    <t>She then holds up various items and holds her eye open to put in contact lens for both eyes.</t>
  </si>
  <si>
    <t>v_Ygy-zufAejI</t>
  </si>
  <si>
    <t>We see a man walking a tightrope high above a mountain range.</t>
  </si>
  <si>
    <t>We see a picture in picture in the upper left corner.</t>
  </si>
  <si>
    <t>We see the man holding a selfie stick.</t>
  </si>
  <si>
    <t>The man reaches the other side and turns around.</t>
  </si>
  <si>
    <t>the ending title screen loads.</t>
  </si>
  <si>
    <t>v_enESbo2pA9U</t>
  </si>
  <si>
    <t>Several shots are shown of a celebrity walking the red carpet as well as a woman hosting a news segment and pictures being shown beside her.</t>
  </si>
  <si>
    <t>More pictures are shown as well as the celebrity skiing and snowboarding and ends with men escorting the celebrity into a building and more pictures as the woman speaks.</t>
  </si>
  <si>
    <t>v_JhoGvKrhs8s</t>
  </si>
  <si>
    <t>A large marching band is seen standing together in front of a large building with others standing around.</t>
  </si>
  <si>
    <t>More shots are shown of the group standing around one another while the camera pans around.</t>
  </si>
  <si>
    <t>v_7hxCoi0XU6I</t>
  </si>
  <si>
    <t>An intro leads into two women in front of the camera, one standing and speaking, and the other sitting and watching.</t>
  </si>
  <si>
    <t>The woman standing holds up a brush and begins brushing the woman's hair.</t>
  </si>
  <si>
    <t>She finishes brushing the woman's hair and looks back to the camera smiling.</t>
  </si>
  <si>
    <t>v_vlBzrnOuW9U</t>
  </si>
  <si>
    <t>A woman helps a little boy kick a ball during a kickball game.</t>
  </si>
  <si>
    <t>Each time the ball reaches base, another kid has a turn to kick.</t>
  </si>
  <si>
    <t>v_bqsWU8HqpxE</t>
  </si>
  <si>
    <t>A man runs with a pole and a jumps high, then people jumps several times.</t>
  </si>
  <si>
    <t>Two men are boxing, then people gather, men parachute and a man dive in the water.</t>
  </si>
  <si>
    <t>People dressed with military clothes, then they are doing other activities.</t>
  </si>
  <si>
    <t>People practice pole vault, climbing and other activities.</t>
  </si>
  <si>
    <t>v_P5Sg_kACPRM</t>
  </si>
  <si>
    <t>Two men run on a track while a large crowd of spectators and press watch.</t>
  </si>
  <si>
    <t>A man in the grass in the background runs with the men for a moment.</t>
  </si>
  <si>
    <t>The man on the inside lane of the track starts running very fast and then jumps into a sand pit.</t>
  </si>
  <si>
    <t>the other man runs past the sand pit.</t>
  </si>
  <si>
    <t>The man that jumped steps out of the sand pit and walks to the side.</t>
  </si>
  <si>
    <t>v_xXGc5_0_2QI</t>
  </si>
  <si>
    <t>Inside of a fence men are sitting upon horses waiting.</t>
  </si>
  <si>
    <t>One of the men starts to chase after a bull on his horse.</t>
  </si>
  <si>
    <t>He gets off of his horse and brings the bull down and starts walking back to his horse.</t>
  </si>
  <si>
    <t>He gets back on the horse as the bull just lays on the ground defeated.</t>
  </si>
  <si>
    <t>v_v26OP6f29Qc</t>
  </si>
  <si>
    <t>The men discuss a project sitting at the table.</t>
  </si>
  <si>
    <t>Two men sit at a table together and read from a document.</t>
  </si>
  <si>
    <t>The two men play a game of rock paper scissors.</t>
  </si>
  <si>
    <t>v_1Z3mjpu1I2A</t>
  </si>
  <si>
    <t>There's a little girl washing dishes and spoons in the kitchen sink.</t>
  </si>
  <si>
    <t>She uses a blue dish scrub and plenty of dish soap and washes the glass and spoons while keeping the tap running.</t>
  </si>
  <si>
    <t>She has her hands covered with soap foam as she washes the spoons and knives under the tap.</t>
  </si>
  <si>
    <t>She then washes a pizza cutter and spoon thoroughly with the soap and water.</t>
  </si>
  <si>
    <t>v_VyQ4ZbgqMXk</t>
  </si>
  <si>
    <t>A man is playing a game of shuffleboard.</t>
  </si>
  <si>
    <t>A man falls down onto the shuffleboard.</t>
  </si>
  <si>
    <t>A disc is dropped onto the ground.</t>
  </si>
  <si>
    <t>v_pieT6K771WQ</t>
  </si>
  <si>
    <t>A girl talks stand on the sidewalk, then she walks to a hopscotch.</t>
  </si>
  <si>
    <t>The girl stands on the hopscotch, then she jumps hopscotch while talking.</t>
  </si>
  <si>
    <t>v_FLL06mU-ua8</t>
  </si>
  <si>
    <t>A man gives tips on outdoor physical training.</t>
  </si>
  <si>
    <t>He demonstrates on the monkey bars going back and forth with upper body strength.</t>
  </si>
  <si>
    <t>v_QgklQUCQcV4</t>
  </si>
  <si>
    <t>A news report on physical fitness is given.</t>
  </si>
  <si>
    <t>A few people discuss the benefits of hulahooping and then do a demonstration.</t>
  </si>
  <si>
    <t>v_vcRCId1-xdA</t>
  </si>
  <si>
    <t>A woman is seen holding a drink on stage speaking into a mic as well as the audience.</t>
  </si>
  <si>
    <t>The woman continues speaking and looking around the audience while taking sips of her drink and putting it down.</t>
  </si>
  <si>
    <t>Finally she picks up a guitar and grabs a pic from the front and steps away.</t>
  </si>
  <si>
    <t>v__W8m7v1Ir5I</t>
  </si>
  <si>
    <t>A large group of people are seen standing behind one another with others watching on the sides and leads into the group running down a road.</t>
  </si>
  <si>
    <t>The large group of kids continue running down the road after one another while people still watch on the sides.</t>
  </si>
  <si>
    <t>v_mtF0AFNSFnI</t>
  </si>
  <si>
    <t>A man is seen sitting in front of a woman who begins playing a piano.</t>
  </si>
  <si>
    <t>Another man is seen sitting next to her playing an accordion.</t>
  </si>
  <si>
    <t>The man and woman play together while smiling and nodding and end by stopping and the man applauding.</t>
  </si>
  <si>
    <t>v_VlfnvORj6KY</t>
  </si>
  <si>
    <t>A man is sitting behind three drums.</t>
  </si>
  <si>
    <t>He begins playing the drums in front of him.</t>
  </si>
  <si>
    <t>He finishes playing and pictures are shown on the screen.</t>
  </si>
  <si>
    <t>v_-bzI8_hCbWk</t>
  </si>
  <si>
    <t>A large group of people are seen standing around a large gymnasium playing a game of dodge ball with one another.</t>
  </si>
  <si>
    <t>One man performs an impressive flip that leads to a man speaking to the camera and showing more shots of impressive dodgeball play.</t>
  </si>
  <si>
    <t>v_Il2jGm3L0-0</t>
  </si>
  <si>
    <t>A male athlete puts powder on his hands.</t>
  </si>
  <si>
    <t>He mounts a high beam in the gym.</t>
  </si>
  <si>
    <t>He spins and flips several times before dismounting.</t>
  </si>
  <si>
    <t>v_IeMeu-7QihI</t>
  </si>
  <si>
    <t>A shot of people are shown from several angles and leads into various shots of people riding skis and doing tricks.</t>
  </si>
  <si>
    <t>More close up of water skiers are shown while the boat trails around the area.</t>
  </si>
  <si>
    <t>v_hV9sBYo342M</t>
  </si>
  <si>
    <t>A man is running down a track.</t>
  </si>
  <si>
    <t>He jumps onto a blue mat.</t>
  </si>
  <si>
    <t>He jumps over a high bar and lands on the blue mat.</t>
  </si>
  <si>
    <t>v_Zfo0XXcWXiU</t>
  </si>
  <si>
    <t>A woman brushes and dries her hair.</t>
  </si>
  <si>
    <t>The woman puts the blow dryer down and brushes her hair again.</t>
  </si>
  <si>
    <t>v_O_IrzZbXiCc</t>
  </si>
  <si>
    <t>A child smiles at the camera.</t>
  </si>
  <si>
    <t>The child practices field hockey with obstacles on the ground.</t>
  </si>
  <si>
    <t>The child walks away from the camera.</t>
  </si>
  <si>
    <t>v_2-hF-v79XyQ</t>
  </si>
  <si>
    <t>We see two men in a TV studio talking.</t>
  </si>
  <si>
    <t>We see people playing an indoor soccer game.</t>
  </si>
  <si>
    <t>A man in black is running with his arms in the air.</t>
  </si>
  <si>
    <t>A man in yellow slides on the ground.</t>
  </si>
  <si>
    <t>The 10 in yellow throws a tantrum.</t>
  </si>
  <si>
    <t>The yellow team all hug each other.</t>
  </si>
  <si>
    <t>We return to the men in the studio.</t>
  </si>
  <si>
    <t>v_FNX7CeuIvIQ</t>
  </si>
  <si>
    <t>A man is outside with two dogs on leashes.</t>
  </si>
  <si>
    <t>He puts on a show with the trained dogs.</t>
  </si>
  <si>
    <t>He throws frisbees, and the small crowd claps for the performing dogs.</t>
  </si>
  <si>
    <t>v_eWP99kNayuU</t>
  </si>
  <si>
    <t>A man stands over a roof of a house and puts a took on the roof.</t>
  </si>
  <si>
    <t>Then, the man holds the handle of a tool with one hand.</t>
  </si>
  <si>
    <t>The man holds the handle with two hands, then he continues holding the tool with one hand.</t>
  </si>
  <si>
    <t>v_vKShqwBJrME</t>
  </si>
  <si>
    <t>A person's hands are seen attempting to solve a rubix cube while the end of a table is shown.</t>
  </si>
  <si>
    <t>The person continues until they finish the cube and then shows his time on the screen.</t>
  </si>
  <si>
    <t>v_JxEnKQ7iXUI</t>
  </si>
  <si>
    <t>A group of young girls are dressed in pink tutus, standing on a stage and doing their ballerina routine.</t>
  </si>
  <si>
    <t>One of the girls goes out of sync from the rest and starts moving her feet as she's doing her routine and everything other girl is just standing on their feet and moving just their arms.</t>
  </si>
  <si>
    <t>The girls are now starting to sing as they continue to dance and the same girl that was doing her own thing out of sync continues to do her own dancing different from the majority of the young girls.</t>
  </si>
  <si>
    <t>The dance ends and some of the girls do a curtsy and then they all walk off the stage.</t>
  </si>
  <si>
    <t>v_oq8DE3Cbar0</t>
  </si>
  <si>
    <t>A man in a movie mask is seated by a flight of stairs.</t>
  </si>
  <si>
    <t>He is playing an accordian for the people passing by.</t>
  </si>
  <si>
    <t>A few pause to listen, then continue on their way.</t>
  </si>
  <si>
    <t>v_34eCEU2Y4T0</t>
  </si>
  <si>
    <t>A woman demonstrates, on a toy baby, how to swaddle a baby and wash a baby’s face using cotton balls and wet towels.</t>
  </si>
  <si>
    <t>A woman stands in front of a toy baby and talks to the camera.</t>
  </si>
  <si>
    <t>The woman swaddles the baby in a white blanket and then begins to apply water soaked cotton balls, from a nearby water filled container, to the baby’s eyes and nose and face.</t>
  </si>
  <si>
    <t>The woman finishes and talks to the camera again.</t>
  </si>
  <si>
    <t>v_s789WxU8PFY</t>
  </si>
  <si>
    <t>A woman is seen speaking to the camera and begins unboxing an item.</t>
  </si>
  <si>
    <t>She pulls out the panels as well as putting sunglasses on and presents a pan of objects to the camera.</t>
  </si>
  <si>
    <t>She continues speaking to the camera and pulls the objects out to present baked cookies.</t>
  </si>
  <si>
    <t>The cookies are seen again on a tray and she breaks them open to see.</t>
  </si>
  <si>
    <t>v_7845vSLQoG8</t>
  </si>
  <si>
    <t>A little boy is bending over dipping a paint brush into a blue bucket.</t>
  </si>
  <si>
    <t>He paints the fence in front of him.</t>
  </si>
  <si>
    <t>He walks towards the camera.</t>
  </si>
  <si>
    <t>v_3G3Zear4vog</t>
  </si>
  <si>
    <t>Two girls are seen moving quickly around the room while switching places and looking into a camera.</t>
  </si>
  <si>
    <t>The younger girl laughs to the camera while putting on makeup and the other moves around quick.</t>
  </si>
  <si>
    <t>v_yB35e1u3pJs</t>
  </si>
  <si>
    <t>A young girl is seen speaking to the camera while sitting at a table and leads into her holding up a contacts case.</t>
  </si>
  <si>
    <t>The girl then holds her eye open and takes out the contact, followed by her dipping it in liquid and putting it back in while still speaking.</t>
  </si>
  <si>
    <t>v_JRr3BruqS2Y</t>
  </si>
  <si>
    <t>A woman is rollerskating across a street with people crossing behind her.</t>
  </si>
  <si>
    <t>She goes back across the street alone.</t>
  </si>
  <si>
    <t>A woman in a grey sweater talks to the camera on the sidewalk.</t>
  </si>
  <si>
    <t>A man in a black hat talks to the camera in front of a blue building.</t>
  </si>
  <si>
    <t>A man in a black shirt is sitting down and talking.</t>
  </si>
  <si>
    <t>It goes back to the man in a black hat talking.</t>
  </si>
  <si>
    <t>It goes back to the man in the black shirt talking.</t>
  </si>
  <si>
    <t>The girl is bent over on roller blades pulling something out of a bench.</t>
  </si>
  <si>
    <t>She does tricks on the bench.</t>
  </si>
  <si>
    <t>A woman in a brown hat is talking.</t>
  </si>
  <si>
    <t>A man with a mohawk talks.</t>
  </si>
  <si>
    <t>The girl does more tricks on her roller blades.</t>
  </si>
  <si>
    <t>Three kids are sitting on a bench in roller skates talking.</t>
  </si>
  <si>
    <t>The girl on roller blades does another trick.</t>
  </si>
  <si>
    <t>An older woman is talking to the camera.</t>
  </si>
  <si>
    <t>v_mBZAFJ-Q6Mw</t>
  </si>
  <si>
    <t>A boy is drawing with chalk on concrete as he deals with the troubles of family life and school.</t>
  </si>
  <si>
    <t>He finishes drawing hopscotch boxes on the concrete as he begins to jump on the squares and begins to dance only to be reminded of the bullying at school.</t>
  </si>
  <si>
    <t>The young man is seen now break dancing and going through a routine.</t>
  </si>
  <si>
    <t>Back at home with his troubled family he is eating and day dreaming of dancing as the scene goes back to him dancing.</t>
  </si>
  <si>
    <t>He stops dancing to look at the hopscotch squares that are now faded and worn.</t>
  </si>
  <si>
    <t>In the classroom as the teacher is walking through the rows of desks he notices the young man asleep at his desk as he uses a ruler to tap him on his head to wake him.</t>
  </si>
  <si>
    <t>The young boy notices a note at his desk that has a picture of the hopscotch squares that says "teach me" followed by a smiley face.</t>
  </si>
  <si>
    <t>The credits roll as the concrete and the chalk marks of the hopscotch squares are shown.</t>
  </si>
  <si>
    <t>v_qisMX7KNi7s</t>
  </si>
  <si>
    <t>She opens a white bin and pours water and soap into it.</t>
  </si>
  <si>
    <t>She then closes it and turns the top.</t>
  </si>
  <si>
    <t>She hangs the clothes from a wood rack to dry.</t>
  </si>
  <si>
    <t>v_60CCYfec2vQ</t>
  </si>
  <si>
    <t>There are several workers on top of a roof working on repairing the roof.</t>
  </si>
  <si>
    <t>They are removing the old shingles with the help of a roof jacks.</t>
  </si>
  <si>
    <t>They continue removing the shingles while standing on top of the roof.</t>
  </si>
  <si>
    <t>v_xoETvVbyiBA</t>
  </si>
  <si>
    <t>A man walks up to a set of parallel bars.</t>
  </si>
  <si>
    <t>The man performs acrobatics on the bars in a professional venue.</t>
  </si>
  <si>
    <t>The man successfully jumps of the bars and lands on his feet.</t>
  </si>
  <si>
    <t>v_3Rc2pPAQ-Cs</t>
  </si>
  <si>
    <t>The man in white shirt is strumming the bongo drum.</t>
  </si>
  <si>
    <t>At the counter the man is sitting behind the counter.</t>
  </si>
  <si>
    <t>The man playing bongo hit one drum then the next, then he beat the drums fast.</t>
  </si>
  <si>
    <t>v_CsaeiOFuij0</t>
  </si>
  <si>
    <t>A man is positioning a camera and then walks into a room through a wall of glass with three walls in them.</t>
  </si>
  <si>
    <t>When he enters the room,another man appears with a racket in his hand and they begin hitting the ball up against the wall.</t>
  </si>
  <si>
    <t>The two go back and forth hitting the ball and they eventually stop when neither of the men are able to get to the ball.</t>
  </si>
  <si>
    <t>v_KHxBqZmSaJU</t>
  </si>
  <si>
    <t>people is sitting on a studio talking to each other.</t>
  </si>
  <si>
    <t>man is in the beach doing tricks with a little kid and people in the studio is talking about the video.</t>
  </si>
  <si>
    <t>page of a cheerleaders is shown in the screen and the video of the girl in the beach doing tricks.</t>
  </si>
  <si>
    <t>man is in a living room with a little girl and is doing tricks with her and on the beach, then a video of the man and the girl talking to a camera is shown while people in the stuio keep talking and showing their videos.</t>
  </si>
  <si>
    <t>v_UgtzVS_oeq0</t>
  </si>
  <si>
    <t>People are shown interacting in a dance hall.</t>
  </si>
  <si>
    <t>A woman smokes and exhales black smoke.</t>
  </si>
  <si>
    <t>A man approaches a table and places food on it.</t>
  </si>
  <si>
    <t>Two children eat under the table.</t>
  </si>
  <si>
    <t>Two individuals dancing together kiss.</t>
  </si>
  <si>
    <t>The woman smokes and the black smoke disappears.</t>
  </si>
  <si>
    <t>v_Gd6YooP1_CU</t>
  </si>
  <si>
    <t>A close up of a coffee drink is shown followed by a man drinking out of the cup.</t>
  </si>
  <si>
    <t>The camera pans around to more people with drinks in their hands.</t>
  </si>
  <si>
    <t>A ma looks down at his lap with the drink still in front of him.</t>
  </si>
  <si>
    <t>v_n5RVQbgz1Rs</t>
  </si>
  <si>
    <t>A large green field is shown as two teams begin rushing towards a ball hitting it with a stick that has a net at the end of it.</t>
  </si>
  <si>
    <t>As the game progresses,a player runs into two other people and flips over their shoulders ultimately getting injured.</t>
  </si>
  <si>
    <t>He lays on the ground and several replays of the incident are shown.</t>
  </si>
  <si>
    <t>Next,several still images of other teams walking and preparing to start are shown of them playing games in various locations.</t>
  </si>
  <si>
    <t>v_PFn7a6eEhb4</t>
  </si>
  <si>
    <t>The camera zooms in on a baby cow with various title pages shown across the screen.</t>
  </si>
  <si>
    <t>A group of men run around a calf while others hold him down.</t>
  </si>
  <si>
    <t>A drunk man attempts to interact with a bull and is flipped into the air.</t>
  </si>
  <si>
    <t>Several men drag him out while a tourist attempts to draw the bull in.</t>
  </si>
  <si>
    <t>The bull nearly grabs him but the boy makes it on the fence and throws the red blanket on the bull.</t>
  </si>
  <si>
    <t>v_uUzmPV8Vgqg</t>
  </si>
  <si>
    <t>A woman in track pants and her daughters wash a small dog with soap and water in a bucket on a patio.</t>
  </si>
  <si>
    <t>A woman uses a cup to pour water on the dog to remove the soap.</t>
  </si>
  <si>
    <t>v_qtfFFPKya3Y</t>
  </si>
  <si>
    <t>A field is shown with about ten men standing in the middle and a man takes off running and throws a ball at a man holding a paddle.</t>
  </si>
  <si>
    <t>More games are shown and the same exact actions are repeated throughout various teams.</t>
  </si>
  <si>
    <t>A man with short black hair is then shown and his teammates begin congratulating him and more teams are shown playing the game.</t>
  </si>
  <si>
    <t>v_Pt4BlfBqduE</t>
  </si>
  <si>
    <t>man is holding a hammer fixing the roof of a garage.</t>
  </si>
  <si>
    <t>man is standing in the rooftop adding a black mix.</t>
  </si>
  <si>
    <t>v_ean7ZR6XmG4</t>
  </si>
  <si>
    <t>man is sitting on a table eating a sandwich in a rstaurant talking to other man.</t>
  </si>
  <si>
    <t>man is watching the man while eats and talking to him.</t>
  </si>
  <si>
    <t>both men stands and play rock paper scissors and man hits the man sand this falls to the floor.</t>
  </si>
  <si>
    <t>man is sitting on the chair and talks to the man on thefloor and throw him the sandwich.</t>
  </si>
  <si>
    <t>man walks to a desk and sits in front of te computer drinking water and the other man is laying on the floor trying to talk.</t>
  </si>
  <si>
    <t>anoher man siting in front talk to the man in the desk.</t>
  </si>
  <si>
    <t>man stands and talk to the man on the floor and hits him again and the man spit blood.</t>
  </si>
  <si>
    <t>v_KVmuW9kwZV4</t>
  </si>
  <si>
    <t>A man at his dish washing job has a very unique way to do his dishes at a very fast speed.</t>
  </si>
  <si>
    <t>He throws all the plates one by one very fast.</t>
  </si>
  <si>
    <t>They all land into the sink on top of each other after he wipes them down, some of them fall out a bit.</t>
  </si>
  <si>
    <t>The he pushes them all down into the water.</t>
  </si>
  <si>
    <t>v_3PC5_h68qkc</t>
  </si>
  <si>
    <t>People are putting on their supplies and riding in rafts down a river.</t>
  </si>
  <si>
    <t>We see the location name and the resort shots of the restaurants, bathrooms and more.</t>
  </si>
  <si>
    <t>We see people dance and play games outdoors and in a room in groups with balloons and dancing.</t>
  </si>
  <si>
    <t>We see people zip lining in the jungle.</t>
  </si>
  <si>
    <t>v_bJahexpTlr8</t>
  </si>
  <si>
    <t>A man in a silver jacket is fixing a spoke on the tire of his bicycle.</t>
  </si>
  <si>
    <t>He spins the wheel of the tire.</t>
  </si>
  <si>
    <t>He takes the tire off the bike and lays it against the building.</t>
  </si>
  <si>
    <t>He uses a tool to fix the spoke of the tire.</t>
  </si>
  <si>
    <t>He puts the tire back on the bike and spins it.</t>
  </si>
  <si>
    <t>v_ERmsX91_7V4</t>
  </si>
  <si>
    <t>A person is seen running onto a court and shooting a basketball.</t>
  </si>
  <si>
    <t>The man is shown in several clips running down and scoring a basket.</t>
  </si>
  <si>
    <t>The man continues to shoot hoops over and over again.</t>
  </si>
  <si>
    <t>v_hLnVjkmioH8</t>
  </si>
  <si>
    <t>A boy sits at a kitchen counter and adjusts the camera.</t>
  </si>
  <si>
    <t>His friend moves the camera back so they are more visible.</t>
  </si>
  <si>
    <t>The two boys then arm wrestle and the left boy wins both times.</t>
  </si>
  <si>
    <t>The right boy walks away and the left boy reaches for the camera.</t>
  </si>
  <si>
    <t>v_SQM-heGm8iU</t>
  </si>
  <si>
    <t>Two women are seen running around a room and leads into one speaking to the camera.</t>
  </si>
  <si>
    <t>The people hit a tennis ball around the room while dancing and cheering with one another.</t>
  </si>
  <si>
    <t>The people continue hitting the ball around while playing with one another.</t>
  </si>
  <si>
    <t>v_Lvia-mF_Hnk</t>
  </si>
  <si>
    <t>A man in welding attire welds a piece of metal to another piece of metal on camera.</t>
  </si>
  <si>
    <t>A man wearing protective clothing and a metal welding hat stands in front of a piece of metal missing a long strip on the face of it.</t>
  </si>
  <si>
    <t>The man begins to weld creating large sparks of white light.</t>
  </si>
  <si>
    <t>When the welding stop the finished product reveals a strip has been welded onto the formerly bare spot and the welder tests it with a hard instrument.</t>
  </si>
  <si>
    <t>v_WhYyvKiwLc8</t>
  </si>
  <si>
    <t>A woman rides a bike outside.</t>
  </si>
  <si>
    <t>She is then shown playing a violin.</t>
  </si>
  <si>
    <t>She then roller blades outside.</t>
  </si>
  <si>
    <t>And then she does push ups on a roof.</t>
  </si>
  <si>
    <t>v_DEt_Xgg8dzc</t>
  </si>
  <si>
    <t>A person jumps and land on the sand.</t>
  </si>
  <si>
    <t>A man runs fast and jumps high to land on the sand, then stand and goes skiping to his sit, while people walk in the stadium.</t>
  </si>
  <si>
    <t>A man talks sitting in an elegant room.</t>
  </si>
  <si>
    <t>A man pass on front the crowd, then jumps and bend on the floor to celebrate.</t>
  </si>
  <si>
    <t>Three athletes stand on the podium, then a man runs and jumps to land on the sand.</t>
  </si>
  <si>
    <t>v_taO9hPOvMz0</t>
  </si>
  <si>
    <t>People are sitting on the sand on a beach.</t>
  </si>
  <si>
    <t>People are surfing on large waves in the water.</t>
  </si>
  <si>
    <t>A boy lays a towel out onto the sand of the beach.</t>
  </si>
  <si>
    <t>People continue to surf on the large waves of the water.</t>
  </si>
  <si>
    <t>v_BKRKHkkZq6g</t>
  </si>
  <si>
    <t>A man wearing a black shirt holds an exercise ball over another man wearing a light blue shirt performs sit-ups on an inclined bench.</t>
  </si>
  <si>
    <t>The man wearing the black shirt drops the ball on the floor and crouches down and high fives the man performing the sit-ups.</t>
  </si>
  <si>
    <t>v_j_ImkPKoA-U</t>
  </si>
  <si>
    <t>A man is sitting on a rock by a fast flowing river.</t>
  </si>
  <si>
    <t>Another man sails past him in a raft trying to keep up with the strong current and waves.</t>
  </si>
  <si>
    <t>There are several other people sitting on the rocks watching the rafter go by.</t>
  </si>
  <si>
    <t>They are sitting on the rocks with their life vests besides them.</t>
  </si>
  <si>
    <t>v_MlxMV7WH9-g</t>
  </si>
  <si>
    <t>A camera pans out of chocolate chip cookies and milk and leads into a woman speaking.</t>
  </si>
  <si>
    <t>The woman mixes various ingredients together in a bowl and leads into her putting clumps of dough onto a pan.</t>
  </si>
  <si>
    <t>She puts the pan in the oven then takes it out to show off her chocolate ship cookies.</t>
  </si>
  <si>
    <t>v_C_fqFJyf5SU</t>
  </si>
  <si>
    <t>A woman is seen standing in front of the camera holding onto fire.</t>
  </si>
  <si>
    <t>Another woman steps beside the first and the two begin performing a fire routine with one another.</t>
  </si>
  <si>
    <t>A man hands them objects to light and the woman continue dancing and spinning around with the fire.</t>
  </si>
  <si>
    <t>v_8qODQbBVsus</t>
  </si>
  <si>
    <t>A man and woman are standing at a counter with a pineapple.</t>
  </si>
  <si>
    <t>The man ripped the top of the pineapple.</t>
  </si>
  <si>
    <t>The man sliced the top off the pineapple.</t>
  </si>
  <si>
    <t>The man cut the pineapple in half.</t>
  </si>
  <si>
    <t>The man cut the skin off the pineapple.</t>
  </si>
  <si>
    <t>v_gmFioIDX4X0</t>
  </si>
  <si>
    <t>A person is seen climbing into the back of a kayak with another man and paddling alone the water.</t>
  </si>
  <si>
    <t>The camera pans around the area and zooms back and fourth along the water and pans to people on the beach.</t>
  </si>
  <si>
    <t>v_vycd0CJTwoA</t>
  </si>
  <si>
    <t>A parking lot is shown, and a man on roller blades takes off down the hill.</t>
  </si>
  <si>
    <t>He goes around sharp curves on his skates.</t>
  </si>
  <si>
    <t>He takes several country and wooded roads before rolling to a stop in a parking lot.</t>
  </si>
  <si>
    <t>v_TcxOTZ4xnQ4</t>
  </si>
  <si>
    <t>A girl demonstrates several gymnastic and tumbler moves in a living room and on a green lawn with a line of residential houses as a backdrop.</t>
  </si>
  <si>
    <t>A girl demonstrates a somersault move in the living room in front of two couches.</t>
  </si>
  <si>
    <t>The girl then demonstrates more advanced backflip gymnastic moves in a field of grass with houses in a residential neighborhood as the backdrop.</t>
  </si>
  <si>
    <t>v_OkEqcSlWMJg</t>
  </si>
  <si>
    <t>A small group of people are seen swimming in a pool and leads into various clips of children learning how to swim.</t>
  </si>
  <si>
    <t>A man helps them practice in the water as well as jumping off a diving board.</t>
  </si>
  <si>
    <t>More shots are shown of kids swimming and leads into a girl grabbing objects under water and swimming with another.</t>
  </si>
  <si>
    <t>v_EL47wkhiOq8</t>
  </si>
  <si>
    <t>The young boy serve the shuttlecock but it hit the net.</t>
  </si>
  <si>
    <t>The older man serve the ball and the kid missed it.</t>
  </si>
  <si>
    <t>An older woman in gray shirt serve the ball and the girl in red hit it.</t>
  </si>
  <si>
    <t>v_Jv7AjsdOk2I</t>
  </si>
  <si>
    <t>A man is skateboarding, he jumps up on higher levels.</t>
  </si>
  <si>
    <t>He kicks to build up some speed and does some cool tricks .</t>
  </si>
  <si>
    <t>He gets off and then jumps back on the board and does more tricks all around.</t>
  </si>
  <si>
    <t>He jumps up on a rail and then gets back down and sits on the board and waves.</t>
  </si>
  <si>
    <t>v_taHfD8TFfX4</t>
  </si>
  <si>
    <t>A baseball player is seen standing on a patch of dirt with another behind him.</t>
  </si>
  <si>
    <t>The man then begins to hit a ball.</t>
  </si>
  <si>
    <t>The man hits the ball in slow motion.</t>
  </si>
  <si>
    <t>v_X3Nr9Gj6JR0</t>
  </si>
  <si>
    <t>A person makes spaghetti from scratch using flour, eggs, a blender and a pasta press.</t>
  </si>
  <si>
    <t>A hand mixes flour in a bowl, adds eggs and mixes both ingredients with a mixer.</t>
  </si>
  <si>
    <t>The hands then take the resulting ball of dough and kneads it, covers it in saran wrap and cuts it in pieces before rolling it flat with a rolling pin.</t>
  </si>
  <si>
    <t>The person then takes the flattened dough and puts it in a presser, dusts it with flour, and puts it into a container and then a spaghetti press which produces many strands of spaghetti.</t>
  </si>
  <si>
    <t>v_aOzMA2rpWEw</t>
  </si>
  <si>
    <t>A man and a woman are standing outside in the snow talking.</t>
  </si>
  <si>
    <t>The man is cleaning the snow off of the car.</t>
  </si>
  <si>
    <t>The girl wears a fur coat and talks to the camera.</t>
  </si>
  <si>
    <t>The man continues brushing the snow off of the car.</t>
  </si>
  <si>
    <t>They are sitting inside the car talking.</t>
  </si>
  <si>
    <t>v_mbmMY04yMUA</t>
  </si>
  <si>
    <t>There is some script shown on fear of singing on stage.</t>
  </si>
  <si>
    <t>A woman in a green shirt is singing while doing the dishes in her kitchen sink.</t>
  </si>
  <si>
    <t>She continues to wash the spoons and forks with a blue scrub and soap as she sings in a high pitch and tone.</t>
  </si>
  <si>
    <t>She continues to wash a large knife and then places the wet utensils on a drying rack.</t>
  </si>
  <si>
    <t>She washes some glasses and scrubs them thoroughly with the same sponge.</t>
  </si>
  <si>
    <t>Then places the glass on the drying rack.</t>
  </si>
  <si>
    <t>v_PtoVL69LEh4</t>
  </si>
  <si>
    <t>A man raps along with a song.</t>
  </si>
  <si>
    <t>The guy gets a tattoo as well.</t>
  </si>
  <si>
    <t>v_dpUDMvzlwmI</t>
  </si>
  <si>
    <t>A large group of people are seen playing a soccer match on a large, sandy beach.</t>
  </si>
  <si>
    <t>Many people watch on the sidelines as the kids pass the ball back and fourth to one another.</t>
  </si>
  <si>
    <t>The game continues on as the kids move up and down the field and attempt several goals that end up missed.</t>
  </si>
  <si>
    <t>v__EZnGbfMqsc</t>
  </si>
  <si>
    <t>A young blonde girl jumps outside.</t>
  </si>
  <si>
    <t>She holds a jump rope and turns the jump rope in front of her.</t>
  </si>
  <si>
    <t>She performs the same thing again.</t>
  </si>
  <si>
    <t>She turns the jump rope once more and catches it with her feet.</t>
  </si>
  <si>
    <t>She does it once more.</t>
  </si>
  <si>
    <t>She turns the jump rope and completes a full jump.</t>
  </si>
  <si>
    <t>She goes and does it again.</t>
  </si>
  <si>
    <t>She jump ropes multiple times.</t>
  </si>
  <si>
    <t>She does it again, jump roping over and over again.</t>
  </si>
  <si>
    <t>She speaks to the camera.</t>
  </si>
  <si>
    <t>v_-3baQGb2zIY</t>
  </si>
  <si>
    <t>A black male majorette begins walking through the drum line with his baton.</t>
  </si>
  <si>
    <t>As he makes his way to the front of the band,he bgeins to twirl the baton and move across the field and takes his pants off.</t>
  </si>
  <si>
    <t>Underneath his pants is a pair of sparkly shorts and he continues to dance, doing turns,tricks,kicks,splits,and popping as the band plays.</t>
  </si>
  <si>
    <t>v_jwOZsKS25oc</t>
  </si>
  <si>
    <t>A woman dressed in a pink tank top and gray tights is demonstrating spinning in a fitness gym.</t>
  </si>
  <si>
    <t>She shows the various exercises using the bicycle.</t>
  </si>
  <si>
    <t>She also shows stomach crunches and stretches while laying down on the floor.</t>
  </si>
  <si>
    <t>She motivates her team to continue biking as she encourages them to go faster.</t>
  </si>
  <si>
    <t>v_--veKG73Di4</t>
  </si>
  <si>
    <t>A man and a women introduce themselves to the camera and start to talk to each other while the man is sitting behind a four set bongo set and the women is on the other side holding a water bottle.</t>
  </si>
  <si>
    <t>As the conversation ensues another woman approaches the woman and takes away her water bottle.</t>
  </si>
  <si>
    <t>Afterwards the man starts to play the bongos and woman starts to dance.</t>
  </si>
  <si>
    <t>As the woman dances on a man on a bike passes by and starts to observe what's going on.</t>
  </si>
  <si>
    <t>In the end while the woman stops dancing and starts to clap and the man playing the bongos stops playing and does a final clap.</t>
  </si>
  <si>
    <t>v_bxxSc2m08Sk</t>
  </si>
  <si>
    <t>We see a man performing Capoiera in a plaza.</t>
  </si>
  <si>
    <t>The man is joined by a second man and the practice together.</t>
  </si>
  <si>
    <t>The first man leaves and another man jumps in.</t>
  </si>
  <si>
    <t>The two men finish and shake hands and hug.</t>
  </si>
  <si>
    <t>Both men back out of the ring and a new man enters.</t>
  </si>
  <si>
    <t>v_HB11MXjwvVo</t>
  </si>
  <si>
    <t>A young boy pushes a vacuum cleaner in the kitchen of a home.</t>
  </si>
  <si>
    <t>The mother points underneath the furniture with her hand then foot directing the boy.</t>
  </si>
  <si>
    <t>The boy pushes the vacuum cleaner into the hallway and vacuums the area.</t>
  </si>
  <si>
    <t>v_Ue2EbbpegkE</t>
  </si>
  <si>
    <t>A man explains and shows how to do snow surfboard hillside turn.</t>
  </si>
  <si>
    <t>Then, the man performs toeside using a snow skateboard.</t>
  </si>
  <si>
    <t>The man continues explaining and performs a turn.</t>
  </si>
  <si>
    <t>A toddler ski on the snow.</t>
  </si>
  <si>
    <t>v_dsYLNeumBig</t>
  </si>
  <si>
    <t>A woman is standing and talking in a kitchen.</t>
  </si>
  <si>
    <t>She is using a small vacuum cleaner.</t>
  </si>
  <si>
    <t>She demonstrates how to use the vacuum as she talks.</t>
  </si>
  <si>
    <t>v_GaxyzK2mHqw</t>
  </si>
  <si>
    <t>woman is in a kitchen talking and slicing cheddar cheese into thick pieces, cutting the bread, then she put butter in a pan and the bread loaf on the pan with the cheese on top so the cheese can be melted in the pan, woman says this is wrong.</t>
  </si>
  <si>
    <t>woman shows a clean pan, put the butter on the bread and grate the cheese, then put it as a sandwich and in the pan with a lid till the bread is tasty.</t>
  </si>
  <si>
    <t>woman serve the bread in a blue dish and slice in two.</t>
  </si>
  <si>
    <t>v_hsIudyKGz6A</t>
  </si>
  <si>
    <t>A man is seen standing before a fire holding up an ax and begins cutting a piece of wood.</t>
  </si>
  <si>
    <t>Another man holds up the pieces of wood as the man continues to cut the wood and the other man moving the wood.</t>
  </si>
  <si>
    <t>v_T-vwsIOVNTw</t>
  </si>
  <si>
    <t>A person in white runs towards first base playing kickball.</t>
  </si>
  <si>
    <t>The man is tagged out by a woman wearing red.</t>
  </si>
  <si>
    <t>v_P_sjOVZiv6A</t>
  </si>
  <si>
    <t>We see an opening screen and a man drinks from a cup.</t>
  </si>
  <si>
    <t>the man paints a lady's nails in a dining room.</t>
  </si>
  <si>
    <t>The lady shows us her finger nails.</t>
  </si>
  <si>
    <t>The man drinks from his cup.</t>
  </si>
  <si>
    <t>The man leans back and laughs.</t>
  </si>
  <si>
    <t>we see a ending credit screen.</t>
  </si>
  <si>
    <t>v_lz2FMoj9tpo</t>
  </si>
  <si>
    <t>An athletic man is seen holding a discuss and begins spinning himself around in slow motion.</t>
  </si>
  <si>
    <t>The man then throws the object off into the distance and slow walks back while moving in slow motion.</t>
  </si>
  <si>
    <t>v_xg0OCQW8t2s</t>
  </si>
  <si>
    <t>A lawn mower is tied to a white rope.</t>
  </si>
  <si>
    <t>It is turned on and starts going in circles around the rope mowing the lawn.</t>
  </si>
  <si>
    <t>v_sRTDDlI1-Yo</t>
  </si>
  <si>
    <t>A shot of a playground is shown with various kids playing on the playground and riding down a slide.</t>
  </si>
  <si>
    <t>More shots are shown of kids swinging and hanging up side down as well as moving a steering wheel and climbing to the top.</t>
  </si>
  <si>
    <t>v_RfbEuBH1Pow</t>
  </si>
  <si>
    <t>A team of swimmers are huddled in.</t>
  </si>
  <si>
    <t>The team gets in the pool.</t>
  </si>
  <si>
    <t>Two teams play water polo against each other.</t>
  </si>
  <si>
    <t>A crowd looks on from the stands.</t>
  </si>
  <si>
    <t>v_5E42nKwv1xY</t>
  </si>
  <si>
    <t>We see a scoreboard in a game.</t>
  </si>
  <si>
    <t>Girls run onto the field and shake hands with the other team.</t>
  </si>
  <si>
    <t>We see girls playing volleyball indoors.</t>
  </si>
  <si>
    <t>The girls on the left make a shot and the team hugs.</t>
  </si>
  <si>
    <t>We see the scoreboard and people on the sidelines talking.</t>
  </si>
  <si>
    <t>We see a shot in slow motion and the girls hug.</t>
  </si>
  <si>
    <t>The game is over and the girls all shake hands.</t>
  </si>
  <si>
    <t>v_vuXsKQKbAfE</t>
  </si>
  <si>
    <t>Two men are in a pool putting on diving gear.</t>
  </si>
  <si>
    <t>The man in red puts the breather in his mouth then floats backward on his back.</t>
  </si>
  <si>
    <t>We see the man in red and blue putting a solution on their goggles before trying them on.</t>
  </si>
  <si>
    <t>The man in red puts the tube in his mouth then the breather before going under water.</t>
  </si>
  <si>
    <t>We then see a sign upside down floating in the water.</t>
  </si>
  <si>
    <t>v_3ROld-bSgPQ</t>
  </si>
  <si>
    <t>A baby girl is sitting next to all of her toys eating an ice cream very messily.</t>
  </si>
  <si>
    <t>Her mom takes the ice cream away from her and she starts to cry .</t>
  </si>
  <si>
    <t>Her mom gives her back the ice cream and she is happy again, back to eating it.</t>
  </si>
  <si>
    <t>She plays with her toys with her sticky ice cream fingers and her ice cream in the other hand.</t>
  </si>
  <si>
    <t>v_vwaQwo_5X-k</t>
  </si>
  <si>
    <t>We see a man break dancing in an office plaza.</t>
  </si>
  <si>
    <t>We switch and see different men break dancing in office plazas and lobbies.</t>
  </si>
  <si>
    <t>We see man do a handstand.</t>
  </si>
  <si>
    <t>We see a man take off and throw his jacket on the camera.</t>
  </si>
  <si>
    <t>We see the black closing screen.</t>
  </si>
  <si>
    <t>v_TBFAAb62ou4</t>
  </si>
  <si>
    <t>A man wearing a black baseball hat and a black shirt is playing an acoustic guitar.</t>
  </si>
  <si>
    <t>He is playing the Beatles song Yesterday on his guitar.</t>
  </si>
  <si>
    <t>He plays till the entire song is over and then stops and smiles at the camera.</t>
  </si>
  <si>
    <t>v_6GYdu5G61g8</t>
  </si>
  <si>
    <t>A group of people transport a boat on their heads.</t>
  </si>
  <si>
    <t>People jumps backwards on the river and floats on their backs.</t>
  </si>
  <si>
    <t>Then, people in a boat raft down the choppy waters of a river while paddling.</t>
  </si>
  <si>
    <t>People in two boats meet and start to throw water each other using the oars, then some rafters jump into the water.</t>
  </si>
  <si>
    <t>Persons jump from a balcony on the rocks to the water while other people continues rafting.</t>
  </si>
  <si>
    <t>v_TNwMZhQ7SFc</t>
  </si>
  <si>
    <t>A small girl is standing behind a man in a bathroom who is standing at a sink.</t>
  </si>
  <si>
    <t>The man turns around, grabs the towel and begins drying himself while the girl is still standing on the ground, and then puts the towel back when he's done.</t>
  </si>
  <si>
    <t>The man then picks up the small girl and begins to wash her face off and while the little girl brushes her teeth as she's getting her face cleaned.</t>
  </si>
  <si>
    <t>v_JNFUZz1bqmg</t>
  </si>
  <si>
    <t>A man is talking in front of two large windows.</t>
  </si>
  <si>
    <t>Two men are kneeling down on the ground.</t>
  </si>
  <si>
    <t>The man is back to talking in front of the windows.</t>
  </si>
  <si>
    <t>Two men are sitting on a train talking.</t>
  </si>
  <si>
    <t>A man in a black coat is walking down the street.</t>
  </si>
  <si>
    <t>He is holding a white paper in his hand and writing on it.</t>
  </si>
  <si>
    <t>He is then walking up some stairs on an bridge with other people.</t>
  </si>
  <si>
    <t>He is getting harnessed on top of the bridge.</t>
  </si>
  <si>
    <t>He jumps off the bridge and bungee jumps.</t>
  </si>
  <si>
    <t>A man in an orange vest puts him into the boat.</t>
  </si>
  <si>
    <t>A man holding a camera is standing on the sidewalk and watches another man trip and fall and runs over to help him.</t>
  </si>
  <si>
    <t>v_QnATCZ_P9DE</t>
  </si>
  <si>
    <t>A man is shown in the water, wearing a helmet, holding a paddle and sitting in a kayak.</t>
  </si>
  <si>
    <t>He is talking to the camera about how to use the kayak.</t>
  </si>
  <si>
    <t>He shows several rocking and paddling motions, and flips the kayak once at the end.</t>
  </si>
  <si>
    <t>v_ZRnCnUeqKv4</t>
  </si>
  <si>
    <t>a group is playing soccer on a field.</t>
  </si>
  <si>
    <t>The girls chase the ball, hitting it with sticks, trying to get it into the goal.</t>
  </si>
  <si>
    <t>v_ZGzXbvRHNAE</t>
  </si>
  <si>
    <t>A man cleans a spot in the kitchen sink with a sponge and bottle of clorox cleaner, in a black and white commercial.</t>
  </si>
  <si>
    <t>A shot of a suburban town is shown with a close up of the city name on a town sign.</t>
  </si>
  <si>
    <t>A man in an apron stands in front of a kitchen sink putting dishes away in a drainer.</t>
  </si>
  <si>
    <t>The man cleans a spot in the sink with a bottle of clorox and a sponge, before a marketing template appears with lettering and closeup of the bottle of clorox.</t>
  </si>
  <si>
    <t>v_eSQnn2RFxeY</t>
  </si>
  <si>
    <t>A woman holds the wheel of the yacht that sails in the ocean, and a dolphin swims near the yacht.</t>
  </si>
  <si>
    <t>Then, a young men talks, and from time ti time shows the sunset.</t>
  </si>
  <si>
    <t>Four people start to dance in the yacht, and one boy dance against the sail.</t>
  </si>
  <si>
    <t>The four people holds a big fish with both hands while the yacht continues to sail.</t>
  </si>
  <si>
    <t>v_XbN3TvLEm2A</t>
  </si>
  <si>
    <t>A woman dressed very comfortably is doing an exercise down on one knee.</t>
  </si>
  <si>
    <t>She puts her arm in the air and stares off into the distance holding it into place.</t>
  </si>
  <si>
    <t>After holding that on place for a few minutes she puts her arm down and then faces forward.</t>
  </si>
  <si>
    <t>She continues to just stay in that position.</t>
  </si>
  <si>
    <t>v_VOGF4tBFEuw</t>
  </si>
  <si>
    <t>A first person view is seen of a man riding a riding lawn mower.</t>
  </si>
  <si>
    <t>He takes turns quickly, mowing the lawn.</t>
  </si>
  <si>
    <t>He continues until the entire yard is mown.</t>
  </si>
  <si>
    <t>v_ooadlJjyibo</t>
  </si>
  <si>
    <t>A girl performs on a balance beam.</t>
  </si>
  <si>
    <t>The girl stands and performs two flips.</t>
  </si>
  <si>
    <t>The girl jumps in the air two times.</t>
  </si>
  <si>
    <t>The girl sits down then gets back on her feet.</t>
  </si>
  <si>
    <t>The girl flips across the beam two times and dismounts the beam.</t>
  </si>
  <si>
    <t>The girl raises her arms and turns to high five and hug a lady standing nearby.</t>
  </si>
  <si>
    <t>v_vP-wI1egoHA</t>
  </si>
  <si>
    <t>A small group of children are seen riding around in bumper cars crashing into one another.</t>
  </si>
  <si>
    <t>The kids move all around the game hitting into one another.</t>
  </si>
  <si>
    <t>The game continues on with the kids playing and crashing into each other.</t>
  </si>
  <si>
    <t>v_yKdvz5dgro4</t>
  </si>
  <si>
    <t>A young man dry a pot lid while dancing.</t>
  </si>
  <si>
    <t>Also, a teen wash a cup of steel and dancing.</t>
  </si>
  <si>
    <t>A woman enters and then leave the kitchen.</t>
  </si>
  <si>
    <t>v_R3CGHNqunGA</t>
  </si>
  <si>
    <t>A young man sits on a a planter in front of a brick building.</t>
  </si>
  <si>
    <t>A graphic is seen with cartoons.</t>
  </si>
  <si>
    <t>The young man sits on a planter with a skateboard on his lap the young man spins his board and does skateboard tricks riding on asphalt.</t>
  </si>
  <si>
    <t>The young man does tricks over an orange safety cone.</t>
  </si>
  <si>
    <t>The skateboarder stands up from the ledge and stands on his skateboard.</t>
  </si>
  <si>
    <t>v_qpVPY6w9Fp0</t>
  </si>
  <si>
    <t>A man is seen speaking to the camera while standing on a beach next to a shovel.</t>
  </si>
  <si>
    <t>The man then begins shoveling a pile of dirt and walking to the water to fill up buckets.</t>
  </si>
  <si>
    <t>The man stacks the buckets and begins putting sand around it and sculpting it into a castle.</t>
  </si>
  <si>
    <t>He walks away in the end and shows off the castle he's made.</t>
  </si>
  <si>
    <t>v_9g-5J05BIiQ</t>
  </si>
  <si>
    <t>An intro leads into several shots of people riding a skateboard around various areas and ending in a corn field.</t>
  </si>
  <si>
    <t>They end up at a house and swim into the pool doing tricks on their boards underwater.</t>
  </si>
  <si>
    <t>They are then seen riding down a road again in the end and one boarder scuffs dirt into the camera.</t>
  </si>
  <si>
    <t>v_GhwvPy4_2KE</t>
  </si>
  <si>
    <t>A young child is pushed on a swing set of an outdoor playground at a park.</t>
  </si>
  <si>
    <t>The child reaches out her hand.</t>
  </si>
  <si>
    <t>v_BLLeQHgNmYc</t>
  </si>
  <si>
    <t>Three people are seen standing on a lawn beginning to perform martial arts moves.</t>
  </si>
  <si>
    <t>The group moves around at the same time while looking away from the camera.</t>
  </si>
  <si>
    <t>They continue to move their arms and legs around together and end by holding s pose.</t>
  </si>
  <si>
    <t>v_suwVnxHZtI8</t>
  </si>
  <si>
    <t>People are sledding down a snowy hill on an inner tube.</t>
  </si>
  <si>
    <t>They stop at the bottom of the hill.</t>
  </si>
  <si>
    <t>Several tubes are on a rope going up a hill.</t>
  </si>
  <si>
    <t>People are sledding down a hill on an inner tube again.</t>
  </si>
  <si>
    <t>v_51XRujaBAbE</t>
  </si>
  <si>
    <t>Children sit on motorcycles and parents are next to them.</t>
  </si>
  <si>
    <t>A man carry a child, a woman applaud and a man takes pictures.</t>
  </si>
  <si>
    <t>A toddler stands on the hay and grabs the leg of a woman.</t>
  </si>
  <si>
    <t>Then, men push the motorcycles with the children while a man takes notes.</t>
  </si>
  <si>
    <t>Then, the children line on the start line and then run.</t>
  </si>
  <si>
    <t>v_2Ot4ZPYpNwI</t>
  </si>
  <si>
    <t>A man is seated on a couch, playing a harmonica.</t>
  </si>
  <si>
    <t>He lowers it from his mouth when he is done.</t>
  </si>
  <si>
    <t>v_8cH0mAgsuAc</t>
  </si>
  <si>
    <t>Several people are kneeling down on a red mat doing stretches.</t>
  </si>
  <si>
    <t>v_enx7eEDrYcc</t>
  </si>
  <si>
    <t>A girl is kneeling on a pad, arms in the air.</t>
  </si>
  <si>
    <t>She leans back, letting her arms touch the wall.</t>
  </si>
  <si>
    <t>She repeats the action one more time.</t>
  </si>
  <si>
    <t>v_2zFmooC8gUg</t>
  </si>
  <si>
    <t>A person is seen kneeling down on top of a roof and holding objects in place to hammer down.</t>
  </si>
  <si>
    <t>The man then lays down more tile while hammering the sides and presenting the tiles to the camera.</t>
  </si>
  <si>
    <t>v_mPtCJg-j4SM</t>
  </si>
  <si>
    <t>A woman dressed in workout clothes and a jacket is walking down a hall and stops to talk about whats behind the door.</t>
  </si>
  <si>
    <t>Once she opens the door,the camera pans many workout machines and the woman begins talking to the program director.</t>
  </si>
  <si>
    <t>After they are done talking,the young woman begins working out with the rest of the class as the trainer walks by making sure they are working out properly.</t>
  </si>
  <si>
    <t>Finally,the workout is finished and everyone begins high-fiving one another and the woman begins to talk again.</t>
  </si>
  <si>
    <t>v_FCzT4Knfhqs</t>
  </si>
  <si>
    <t>A camera pans around a group of people standing around each other with one spinning in circles.</t>
  </si>
  <si>
    <t>A man pushing the spinning girl around and around and zooms in on a pinata.</t>
  </si>
  <si>
    <t>The girl swings at the pinata blindfolded and a man jumps down to grab a piece of fallen candy.</t>
  </si>
  <si>
    <t>The girl breaks open the pinata and several people run down to grab the candy.</t>
  </si>
  <si>
    <t>v_fRUoSevi63M</t>
  </si>
  <si>
    <t>A woman is painting a picture on a canvas.</t>
  </si>
  <si>
    <t>She has orange and yellow paint on a board in front of her.</t>
  </si>
  <si>
    <t>She paints two flowers onto the canvas.</t>
  </si>
  <si>
    <t>v_Ci9WKE6wkOQ</t>
  </si>
  <si>
    <t>A man and woman are talking to a camera on exercises.</t>
  </si>
  <si>
    <t>The girl talks about equipment and how to use it.</t>
  </si>
  <si>
    <t>She prepares the equipment and helps the man perform the exercise.</t>
  </si>
  <si>
    <t>v_KrLVIvCoW90</t>
  </si>
  <si>
    <t>people standing on side of the road on skateboards and with parked cars in a side.</t>
  </si>
  <si>
    <t>boys are doing tricks riding skateboards in the wet asphalt going down a hill.</t>
  </si>
  <si>
    <t>boys are gathered under a tent in the sidewalk and doing tricks in skateboard showing the wey asphalt and the wet grass.</t>
  </si>
  <si>
    <t>v_bjYah4IvnII</t>
  </si>
  <si>
    <t>A camera with a caption is shown and leads into several people jumping off a bridge.</t>
  </si>
  <si>
    <t>Another shot of people riding down a river on tubes is shown followed by large groups of people on the sandbars.</t>
  </si>
  <si>
    <t>The cameraman grabs another tube an jumps in the water while still floating down and catching a popped balloon.</t>
  </si>
  <si>
    <t>v_82s4QeuHioo</t>
  </si>
  <si>
    <t>man is sitting on akayak holding a row and showing the corect way of rowing.</t>
  </si>
  <si>
    <t>people are in a kayak on lakeside.</t>
  </si>
  <si>
    <t>people are on rapids kayaking.</t>
  </si>
  <si>
    <t>men are swimming on the lake by the kayak and walking in the lakeside holding kayaks.</t>
  </si>
  <si>
    <t>v_3cmHM1Yu92s</t>
  </si>
  <si>
    <t>A woman is shown working out on an elliptical and smiling off into the distance.</t>
  </si>
  <si>
    <t>The video shows several different perks the machine can do while the woman continues to work.</t>
  </si>
  <si>
    <t>She eventually steps on the machine again and continues to work out on the machine.</t>
  </si>
  <si>
    <t>v_c2VcfB3YTBo</t>
  </si>
  <si>
    <t>We see a lady walking down stairs.</t>
  </si>
  <si>
    <t>She enters a room with kids in it, takes off her coat and starts dancing.</t>
  </si>
  <si>
    <t>A man enters and the lady and man perform a fancy dance as the kids watch.</t>
  </si>
  <si>
    <t>The man throws his coat across the room.</t>
  </si>
  <si>
    <t>The lady hugs the man from behind.</t>
  </si>
  <si>
    <t>The lady tries to leave and the man grabs her and pulls her back.</t>
  </si>
  <si>
    <t>They finish and the man shakes the hands of the kids.</t>
  </si>
  <si>
    <t>The lady puts on her coat as a girl talks to her and leaves the room.</t>
  </si>
  <si>
    <t>v_lBXRkMZfIXk</t>
  </si>
  <si>
    <t>A man is seen speaking to the camera and leads into him holding a piece of paper and two objects.</t>
  </si>
  <si>
    <t>He puts the objects on a board and sharpens a knife along the object.</t>
  </si>
  <si>
    <t>He continues speaking to the camera while sharpening the blade and pointing to the object.</t>
  </si>
  <si>
    <t>v_CG-7jcSB5_c</t>
  </si>
  <si>
    <t>A toddler holds a lacrosse stick, then he catches a ball with the lacrosse stick and throws to the floor.</t>
  </si>
  <si>
    <t>Then, the toddler try to catch another ball, but it rolls under a chair.</t>
  </si>
  <si>
    <t>Next, the toddler catch a ball and throw to the floor and the ball bounce.</t>
  </si>
  <si>
    <t>After, the toddler catch the bouncing ball and throw to the backyard, then the toddler steps down a step.</t>
  </si>
  <si>
    <t>v_Geh_BZchxFY</t>
  </si>
  <si>
    <t>We see a lady peeling small potatoes.</t>
  </si>
  <si>
    <t>The lady peels her second potato.</t>
  </si>
  <si>
    <t>The lady moves on to her third potatoes.</t>
  </si>
  <si>
    <t>We zoom out and see the ladies face.</t>
  </si>
  <si>
    <t>The lady peels her fourth and fifth potato.</t>
  </si>
  <si>
    <t>v_DozJpP2cClI</t>
  </si>
  <si>
    <t>Two people are playing badminton as someone records them with a video camera.</t>
  </si>
  <si>
    <t>A guy hurts himself as the other people watching him laugh at him.</t>
  </si>
  <si>
    <t>The people that were playing badminton go over and talk to other people that are sitting in lawn chairs.</t>
  </si>
  <si>
    <t>The boy goes into the house as the people continue to laugh.</t>
  </si>
  <si>
    <t>v_tl3wQEusmj8</t>
  </si>
  <si>
    <t>We see an opening scene with an image.</t>
  </si>
  <si>
    <t>We then see a lake with ducks and rocks.</t>
  </si>
  <si>
    <t>People are paddling in the lake in a canoe.</t>
  </si>
  <si>
    <t>We see a bridge and the people pass under the bridge.</t>
  </si>
  <si>
    <t>We see tall grass blowing in the breeze as the boaters ride past.</t>
  </si>
  <si>
    <t>The boaters arrives at the shore.</t>
  </si>
  <si>
    <t>v_XXIDYn4H_1A</t>
  </si>
  <si>
    <t>A scoreboard and large video screen are shown.</t>
  </si>
  <si>
    <t>Bikers launch down a very tall ramp onto a dirt bike track.</t>
  </si>
  <si>
    <t>The bikers race around the bumpy track.</t>
  </si>
  <si>
    <t>v_EiPofuIoUic</t>
  </si>
  <si>
    <t>A close up of a person's feet are seen riding along the river in a tube.</t>
  </si>
  <si>
    <t>Several more people are seen riding in tubes down the river while others watch on the side.</t>
  </si>
  <si>
    <t>The person continues riding down the river past others.</t>
  </si>
  <si>
    <t>v_ZqkJAD0CGBU</t>
  </si>
  <si>
    <t>A man is seen standing behind a small child who is blindfolded.</t>
  </si>
  <si>
    <t>Several clips are then shown of people swinging around at pinatas and failing miserably.</t>
  </si>
  <si>
    <t>More clips are shown of people swinging around at pinatas and ends with them hitting other people.</t>
  </si>
  <si>
    <t>v_v5peBgLKWL8</t>
  </si>
  <si>
    <t>bright sun is in the sky and shows a snowy mountain and a lot of pine trees covered in snow.</t>
  </si>
  <si>
    <t>an snowboarder is walking in the snow holding two poles.</t>
  </si>
  <si>
    <t>cubicles is hanging on wires and a snowboarder is going down the snowy slope with other snowboarders standing behind.</t>
  </si>
  <si>
    <t>men are walking in a snowy slope holding the poles and other snowboarders are sliding behind.</t>
  </si>
  <si>
    <t>women are in a hanging chair and under the kids are going down slope riding snowboards and playing in a snow castle.</t>
  </si>
  <si>
    <t>people is walking in snowy mountain and snowboarding.</t>
  </si>
  <si>
    <t>wmoan enters in a cave with a man and are serving wine and a elderly couple are toasting.</t>
  </si>
  <si>
    <t>a lot of people is waiting and sitting on their bags with the snowboards on a side, people is going down the mountain while the days goes by.</t>
  </si>
  <si>
    <t>v_17zMW3rzlR4</t>
  </si>
  <si>
    <t>Several professional men are placing wax on all types of skis.</t>
  </si>
  <si>
    <t>As they continue to place wax,they use tools to grind and smooth the skis.</t>
  </si>
  <si>
    <t>Finally, the use of cloths by the workers smooths and shines the skis.</t>
  </si>
  <si>
    <t>v_e-Z9xiEQqPQ</t>
  </si>
  <si>
    <t>A military procession carries a coffin and goes through a funeral ceremony.</t>
  </si>
  <si>
    <t>A news anchor talks in a newsroom.</t>
  </si>
  <si>
    <t>A coffin and is carried by a wagon along with military personell.</t>
  </si>
  <si>
    <t>A military man presents a flag to a guest.</t>
  </si>
  <si>
    <t>A man with a prosthetic leg and a woman ride horses with trainers with a trainer alongside.</t>
  </si>
  <si>
    <t>A journalist rides with a man in football jersey along a sidewalk.</t>
  </si>
  <si>
    <t>A horse trainer talks near a forested area.</t>
  </si>
  <si>
    <t>The man in a jersey stops on the horse as he approaches the funeral procession.</t>
  </si>
  <si>
    <t>v_6l0tenUYS-w</t>
  </si>
  <si>
    <t>There is man speaking on the microphone to announce who's coming up.</t>
  </si>
  <si>
    <t>Next many different people go up on stage to dance.</t>
  </si>
  <si>
    <t>v_LtdO87DWEHM</t>
  </si>
  <si>
    <t>Several clips of shown of a person riding down city streets on roller blades.</t>
  </si>
  <si>
    <t>The person continues riding along the streets and then text appears across the screen.</t>
  </si>
  <si>
    <t>v_GjHanmMGvuw</t>
  </si>
  <si>
    <t>A young girl is shown on a large gym floor doing flips and tricks with a baton and several judges watching her.</t>
  </si>
  <si>
    <t>She continues moving along the floor while along girl practices behind her.</t>
  </si>
  <si>
    <t>She finishes her routine and stands in front of the judges and hears her results.</t>
  </si>
  <si>
    <t>v_97McCuWAynA</t>
  </si>
  <si>
    <t>A surfer wearing a wet suit takes off and rides a wave in the ocean.</t>
  </si>
  <si>
    <t>Two surfers is greeted by a seal in the ocean that jumps on his board and plays with them.</t>
  </si>
  <si>
    <t>The surfer wearing a wet suit takes off on a wave leaving the seal behind.</t>
  </si>
  <si>
    <t>v_-x1twrM_ABM</t>
  </si>
  <si>
    <t>A man is in a room, pointing and talking about tiles.</t>
  </si>
  <si>
    <t>He is placing the tiles into the wall one at a time.</t>
  </si>
  <si>
    <t>The man completes the construction, then turns off the camera.</t>
  </si>
  <si>
    <t>v_Y-UOZRZ01hI</t>
  </si>
  <si>
    <t>A page with a video structured to look similar to Youtube is shown.</t>
  </si>
  <si>
    <t>A seated woman talks to the camera, interspersed by scenes of individuals shown welding.</t>
  </si>
  <si>
    <t>The Youtube lookalike page with a video is shown again.</t>
  </si>
  <si>
    <t>v_EcQ7DcVefdw</t>
  </si>
  <si>
    <t>A middle eastern news caster is talking about a recent event in another language.</t>
  </si>
  <si>
    <t>The scene switches to show group of people at an event of some kind.</t>
  </si>
  <si>
    <t>The people at the event are shown polishing shoes.</t>
  </si>
  <si>
    <t>A man in a red shirt is being interviewed while it shows others at the event on the split screen.</t>
  </si>
  <si>
    <t>The scene switches back to just the event with the newscaster talking over the footage.</t>
  </si>
  <si>
    <t>v_moMisK3nGuY</t>
  </si>
  <si>
    <t>woman is standing next to a horse holding a brush combing the horse's hair.</t>
  </si>
  <si>
    <t>litle kid is caressing the horse.</t>
  </si>
  <si>
    <t>woman walks to the track.</t>
  </si>
  <si>
    <t>v_ksPQdczmNKs</t>
  </si>
  <si>
    <t>A girl is seen crossing her arms and hula hooping over and over again.</t>
  </si>
  <si>
    <t>She continuously hula hoops while moving her legs all around and doing various jumps and tricks.</t>
  </si>
  <si>
    <t>v_n1dboqahvZU</t>
  </si>
  <si>
    <t>A man named Andrei approaches the stage.</t>
  </si>
  <si>
    <t>He powders his hands in preperation.</t>
  </si>
  <si>
    <t>He puts his hands on the weight.</t>
  </si>
  <si>
    <t>He prepares his body for lifting the heavy weight.</t>
  </si>
  <si>
    <t>He pulls up but drops the weight and falls down.</t>
  </si>
  <si>
    <t>The other competitor rejoices at their win.</t>
  </si>
  <si>
    <t>v_phDLuo6dYrk</t>
  </si>
  <si>
    <t>The clear sky is shown before a group of girls appear playing a game of field hockey.</t>
  </si>
  <si>
    <t>The two teams compete against each other in the building as still images are shown in between the plays.</t>
  </si>
  <si>
    <t>As one team gets close to making a goal,a male photographer is shown on the corner of the goal and then a girl appears at the end of the video making a funny face.</t>
  </si>
  <si>
    <t>v_yHtapvYRcMw</t>
  </si>
  <si>
    <t>Two men are performaing capoeria in the middle of a circle of people.</t>
  </si>
  <si>
    <t>They are performing while everyone claps.</t>
  </si>
  <si>
    <t>They take a short break and walk around a bit before starting their performance again.</t>
  </si>
  <si>
    <t>People are clapping to a set rhythm.</t>
  </si>
  <si>
    <t>This lasts for a long while.</t>
  </si>
  <si>
    <t>v_1xQTlp0hscs</t>
  </si>
  <si>
    <t>Bright text appears on the screen.</t>
  </si>
  <si>
    <t>An art piece is displayed on the wall, and we are shown several close ups of the paint.</t>
  </si>
  <si>
    <t>Perusers of art walk through the gallery, looking at the painting.</t>
  </si>
  <si>
    <t>We then conclude with someone taking a photo and walking away.</t>
  </si>
  <si>
    <t>v_ZMopjyYvcqw</t>
  </si>
  <si>
    <t>A man is showing a crossbow and a knife and other hunting gear.</t>
  </si>
  <si>
    <t>The man is talking to the camera showing a hunting bow.</t>
  </si>
  <si>
    <t>The bow is shown in detail.</t>
  </si>
  <si>
    <t>Another man is shown outdoors using the hunting bow to shoot a target.</t>
  </si>
  <si>
    <t>The man is talking to the camera again indoors showing the hunting bow.</t>
  </si>
  <si>
    <t>v_0ERgbWePjWk</t>
  </si>
  <si>
    <t>A man is on a diving board and begins to jump on the board once.</t>
  </si>
  <si>
    <t>The man goes into the air and does a forward roll in the air.</t>
  </si>
  <si>
    <t>The man then starts descending into the water from the top of his jump.</t>
  </si>
  <si>
    <t>The man lands into the water as it splashes and makes the move to come back to the surface.</t>
  </si>
  <si>
    <t>v_ZQs-OWTZA6o</t>
  </si>
  <si>
    <t>The woman with sunglasses, blue jacket pushed the round lifebuoy on the snow and jumped on it.</t>
  </si>
  <si>
    <t>The lifebuoy continue to slide on the snow, the woman is looking a the camera, she passed the orange flags, and several people that are standing on the side of the trail.</t>
  </si>
  <si>
    <t>v_NSavdMErlYA</t>
  </si>
  <si>
    <t>A guy talks while gesturing.</t>
  </si>
  <si>
    <t>The ingredients to make a dish is shown.</t>
  </si>
  <si>
    <t>The guy puts butter, oil and dry ingredients into a pan.</t>
  </si>
  <si>
    <t>The guy adds pasta to the pan.</t>
  </si>
  <si>
    <t>v_fgkiHZ0nENg</t>
  </si>
  <si>
    <t>A group of people are seen standing around a yard when one hits a ball and another watches closely.</t>
  </si>
  <si>
    <t>Another man walks into frame hitting the ball and the other people behind him continue playing.</t>
  </si>
  <si>
    <t>v_NDWJOqVUGeA</t>
  </si>
  <si>
    <t>A camera pans over a roof and shows several people working and a man being interviewed.</t>
  </si>
  <si>
    <t>A man sprays down a roof and shows the product used several times and the top of the roof.</t>
  </si>
  <si>
    <t>Another man is interviewed and shows more men working on the roof.</t>
  </si>
  <si>
    <t>v_dAP7xalPRHo</t>
  </si>
  <si>
    <t>A person puts a garment in a pail, then he adds detergent and water.</t>
  </si>
  <si>
    <t>Then, the man washes the cloth with his hand, and then pours water and rinse several times.</t>
  </si>
  <si>
    <t>Next, the person carry the the garment to hang on a rope and dry.</t>
  </si>
  <si>
    <t>v_fKFcbNM89MA</t>
  </si>
  <si>
    <t>A large river is seen followed by a person riding down in a tube.</t>
  </si>
  <si>
    <t>Another person is also seen riding in a tube.</t>
  </si>
  <si>
    <t>The two ride down the river together and pass other people sitting alongside the river.</t>
  </si>
  <si>
    <t>v_-nskwoky7vk</t>
  </si>
  <si>
    <t>A man is seen speaking to the camera while holding a large accordion in his hands.</t>
  </si>
  <si>
    <t>The man then demonstrates how to properly play the instrument while moving his hands up and down.</t>
  </si>
  <si>
    <t>v_RiQdIJNDTo4</t>
  </si>
  <si>
    <t>A white haired man sits at an upright piano and begins to play in a lobby while people walk by.</t>
  </si>
  <si>
    <t>The cameraman zooms in on the mans hands as he's playing and zooms back out.</t>
  </si>
  <si>
    <t>v_HPJuOvOmEW8</t>
  </si>
  <si>
    <t>An intro leads into a tall man wearing a santa costume and skating down a long street in between people.</t>
  </si>
  <si>
    <t>The camera follows him riding around the city and performing various tricks and maneuvers around cars and people.</t>
  </si>
  <si>
    <t>v_3baH1vI0Cxk</t>
  </si>
  <si>
    <t>Two men walked over the football table, one man counted the dice on the side.</t>
  </si>
  <si>
    <t>The players twist and push and pull the poles as they play on the table.</t>
  </si>
  <si>
    <t>The camera men are taking pictures behind them.</t>
  </si>
  <si>
    <t>v_Dys_KC7uIzs</t>
  </si>
  <si>
    <t>Several men are shown bowling while an audience watches on.</t>
  </si>
  <si>
    <t>The bowlers bowl in turn, one at a time.</t>
  </si>
  <si>
    <t>The players and audience cheer one of the players.</t>
  </si>
  <si>
    <t>v_i-8vfNV-klk</t>
  </si>
  <si>
    <t>A man is using a pair of hedge trimmers on trees.</t>
  </si>
  <si>
    <t>He is talking to the camera as he goes.</t>
  </si>
  <si>
    <t>He trims the trees with the shears.</t>
  </si>
  <si>
    <t>v_Z-2Gwqt_GCQ</t>
  </si>
  <si>
    <t>A person gather mops and cleaning materials on a hard floor.</t>
  </si>
  <si>
    <t>The person cleans the hard floor using a dust mop.</t>
  </si>
  <si>
    <t>Then, the person puts a cup of detergent in a litter of water, then wet a cloth and attaches to a handle to mop the floor.</t>
  </si>
  <si>
    <t>The person removes stains on the floor using a cloth with a special solution.</t>
  </si>
  <si>
    <t>v_qlvW6jW2mfQ</t>
  </si>
  <si>
    <t>A person take two sticks on the drums, one stick holds with a hand and the other with his foot, then the person plays with one hand and the drums falls.</t>
  </si>
  <si>
    <t>The person plays with a hand and feet, and the face of, a gorilla appears.</t>
  </si>
  <si>
    <t>Then, the person puts mustard in one drum and one egg on other drum, and drums.</t>
  </si>
  <si>
    <t>After, the person puts a tortilla and drums over, then fried and egg.</t>
  </si>
  <si>
    <t>Next , the person destroys the drums.</t>
  </si>
  <si>
    <t>v_rcMv32d1QkI</t>
  </si>
  <si>
    <t>The video begins with several shots of a person doing tricks on a skateboard while many people watch him on the sides.</t>
  </si>
  <si>
    <t>He attempts many more tricks that fail to have him land on the board and he walks around the bowl each time afterwards.</t>
  </si>
  <si>
    <t>v_Az7bzVcLMSM</t>
  </si>
  <si>
    <t>A woman is seen standing on a stage stage with a single light shown and begins performing a dance routine.</t>
  </si>
  <si>
    <t>The light is seen on the woman is leads into her on a lit stage performing a belly dancing routine.</t>
  </si>
  <si>
    <t>The stage becomes dark again and the woman continues dancing all on the stage and holding a pose.</t>
  </si>
  <si>
    <t>v_doNSg6PuKDM</t>
  </si>
  <si>
    <t>A child shovels the snow in a yard and throws it into the driveway.</t>
  </si>
  <si>
    <t>The girl drops her shovel and shovel in the snow.</t>
  </si>
  <si>
    <t>The child walks over to her family in the yard.</t>
  </si>
  <si>
    <t>v_G98dfNXqu4Q</t>
  </si>
  <si>
    <t>Several people are on horses at a rodeo.</t>
  </si>
  <si>
    <t>One man comes out of the gate and ropes a calf.</t>
  </si>
  <si>
    <t>The calf falls to the ground as he is roped into place.</t>
  </si>
  <si>
    <t>He tries to stand, but another man grabs him.</t>
  </si>
  <si>
    <t>v_5FSdOfvJnek</t>
  </si>
  <si>
    <t>a lot of people wearing red life jackets and are in a bus and holding rafts.</t>
  </si>
  <si>
    <t>people are in water paddling in the river.</t>
  </si>
  <si>
    <t>v_fxxeCpqgRfk</t>
  </si>
  <si>
    <t>The male athlete bow then raised his arms then walked to the poles.</t>
  </si>
  <si>
    <t>The athlete jumped onto the poles and balanced on the two poles, standing on his arms then falling and rotating.</t>
  </si>
  <si>
    <t>When the athlete is done with his number he jumped from the pole and landed on his feet on the mat.</t>
  </si>
  <si>
    <t>v_xpxxH2V7Fe8</t>
  </si>
  <si>
    <t>A row of drummers are standing in front of an orchestra.</t>
  </si>
  <si>
    <t>The drummers hold their drumsticks in front of their face.</t>
  </si>
  <si>
    <t>They each beat their drums.</t>
  </si>
  <si>
    <t>After each note the drummers raise their drumsticks back in front of their faces.</t>
  </si>
  <si>
    <t>v_pA5W1NYnmyY</t>
  </si>
  <si>
    <t>A man is seen standing on a ladder and speaking to the camera.</t>
  </si>
  <si>
    <t>He holds up various tools and begins piecing them together.</t>
  </si>
  <si>
    <t>He then cleans off a window using the tools and tightening up the ladder.</t>
  </si>
  <si>
    <t>v_4rKTw99bM8g</t>
  </si>
  <si>
    <t>A person wearing a blue jacket and orange helmet is on an overturned raft in the water.</t>
  </si>
  <si>
    <t>The raft completely overturns as he tries to make his way up.</t>
  </si>
  <si>
    <t>Then the man straightens the raft and sits up straight in the raft.</t>
  </si>
  <si>
    <t>v__hdjRMpleWs</t>
  </si>
  <si>
    <t>A man is seen riding in on a horse while swinging a rope and grabbing a calf.</t>
  </si>
  <si>
    <t>The person ties up the calf while others ride in on horses and the men untie the animal.</t>
  </si>
  <si>
    <t>v_R-lGXNY19wE</t>
  </si>
  <si>
    <t>A woman is holding a baby on the beach.</t>
  </si>
  <si>
    <t>She sets the baby on a towel and starts rubbing sunscreen on the baby.</t>
  </si>
  <si>
    <t>She picks the baby up and gives it a kiss.</t>
  </si>
  <si>
    <t>v_yfPa5IKWTvU</t>
  </si>
  <si>
    <t>A billboard is shown on a wall.</t>
  </si>
  <si>
    <t>Kids run out onto the stage and get in formation.</t>
  </si>
  <si>
    <t>A banner is placed at the front of the stage.</t>
  </si>
  <si>
    <t>The kids start cheerleading on the stage.</t>
  </si>
  <si>
    <t>The kids in the front hold up the banner.</t>
  </si>
  <si>
    <t>They run off of the stage.</t>
  </si>
  <si>
    <t>v_1PpVSeE2BJ8</t>
  </si>
  <si>
    <t>A baby boy is seated at a restaurant table.</t>
  </si>
  <si>
    <t>He is eating a vanilla ice cream cone.</t>
  </si>
  <si>
    <t>He takes a napkin and wipes his mouth before handing the napkin back and continuing to eat.</t>
  </si>
  <si>
    <t>v_SHfFrzy_fKM</t>
  </si>
  <si>
    <t>A little girl is guided as she mounts a camel at a station.</t>
  </si>
  <si>
    <t>A man helps her as he leads the camel around.</t>
  </si>
  <si>
    <t>The girl smiles as she rides the camel around the pen.</t>
  </si>
  <si>
    <t>v_Q2OOxx3RWhY</t>
  </si>
  <si>
    <t>The young girl is speaking to the camera.</t>
  </si>
  <si>
    <t>The girl is holding a hair curler.</t>
  </si>
  <si>
    <t>The young woman is providing tips to other girls on how to curl their hair.</t>
  </si>
  <si>
    <t>At the end of the video, the girl asks to like the video.</t>
  </si>
  <si>
    <t>v_RNxHKDlWAGQ</t>
  </si>
  <si>
    <t>A camera shows a person riding around a dirt track on a bike moving at a quick speed.</t>
  </si>
  <si>
    <t>Several more shots are shown of people riding the dirt track on bikes while the camera captures them from several angles.</t>
  </si>
  <si>
    <t>v_5P-4_nS8euM</t>
  </si>
  <si>
    <t>A young man is seen talking to the camera from various angles and then using a razor to cut his hair.</t>
  </si>
  <si>
    <t>He continues cutting his hair while speaking to the camera and laughing.</t>
  </si>
  <si>
    <t>He finishes his hair while looking into the camera then has his reflection shown behind a shower curtain.</t>
  </si>
  <si>
    <t>v_gF14lRI0HUM</t>
  </si>
  <si>
    <t>Two people are boxing in a ring.</t>
  </si>
  <si>
    <t>A man in a black shirt is refereeing the fight.</t>
  </si>
  <si>
    <t>A woman is holding a camera taking pictures of them fighting.</t>
  </si>
  <si>
    <t>v_HDhG0WkwGaU</t>
  </si>
  <si>
    <t>The videos transitions into a countdown of various people getting hurt on the streets from bull attacks.</t>
  </si>
  <si>
    <t>many different people are seen running down streets while a bull flips them over and hurt them.</t>
  </si>
  <si>
    <t>v_fOGXvBAmTsY</t>
  </si>
  <si>
    <t>There's a woman talking about being the first woman to participate in a marathon in 1967.</t>
  </si>
  <si>
    <t>A picture of the participant when she was young is shown.</t>
  </si>
  <si>
    <t>She talks about how different the marathons used to be back in the day where she shows clips of participants from a marathon at least 50 years ago.</t>
  </si>
  <si>
    <t>There are pictures of male participants shown dominating the scene where she was the only female participant.</t>
  </si>
  <si>
    <t>She talks about her experience as she shows more pictures of her participation against all odds.</t>
  </si>
  <si>
    <t>She also shares information on how things changed later when she was finally allowed to participate freely.</t>
  </si>
  <si>
    <t>v_DLFerdBxdxQ</t>
  </si>
  <si>
    <t>A woman is standing at a table, putting food into a large pita on a plate.</t>
  </si>
  <si>
    <t>An older woman demonstrates how to cut onions, peppers, lettuce, carrots, tomatoes, etc into chunks.</t>
  </si>
  <si>
    <t>The vegetables are places in a processor and pureed into a bowl.</t>
  </si>
  <si>
    <t>The mix is blended and put on the table to be served on the tortillas.</t>
  </si>
  <si>
    <t>The women sit at the table and talk as they eat.</t>
  </si>
  <si>
    <t>v_qVgsPJeQYMY</t>
  </si>
  <si>
    <t>A group of students stretch out in gym class.</t>
  </si>
  <si>
    <t>A group of band students practice inside a classroom and gym.</t>
  </si>
  <si>
    <t>The school band plays during outdoor events and sporting games.</t>
  </si>
  <si>
    <t>v_F-WmsfI8HG0</t>
  </si>
  <si>
    <t>We see a newscaster in a studio.</t>
  </si>
  <si>
    <t>We see a man operating 2 manual vacuum cleaners.</t>
  </si>
  <si>
    <t>We see some old style vacuums.</t>
  </si>
  <si>
    <t>We see a black and white TV clip.</t>
  </si>
  <si>
    <t>We see the man vacuum and still from the museum.</t>
  </si>
  <si>
    <t>We see a lady in black and white and in color.</t>
  </si>
  <si>
    <t>We then see a factory and a man talking.</t>
  </si>
  <si>
    <t>We see the man talking and see him near a vacuum.</t>
  </si>
  <si>
    <t>We see an old print ad.</t>
  </si>
  <si>
    <t>We return to the newscaster in the studio.</t>
  </si>
  <si>
    <t>v_9wH6BIpe9X4</t>
  </si>
  <si>
    <t>A woman is seen speaking to the camera and leads into clips of her and another riding horses in a forest and beach.</t>
  </si>
  <si>
    <t>The women then run the horses along the beach while the camera captures them from several angles.</t>
  </si>
  <si>
    <t>v_aDhbXceBwHw</t>
  </si>
  <si>
    <t>Two men are seen doing a sumo move in a large circle surrounded by others.</t>
  </si>
  <si>
    <t>One man pretends to fight a sumo wrestler and is pushed to the side very easily.</t>
  </si>
  <si>
    <t>The other man tries with his shot shown again in slow motion and stand all together with their arms up.</t>
  </si>
  <si>
    <t>v_MqQ9mgUb664</t>
  </si>
  <si>
    <t>A man and woman is standing on the counter while the man talks in the camera.</t>
  </si>
  <si>
    <t>A plate of cut pineapple is on a plate on the table, as the man get some grapes and put it on the chopping board and cut them into half, then placed them on top of the pineapple cuts, then he wiped his hands and showed the plate to the camera.</t>
  </si>
  <si>
    <t>v_bY0vSkxH0PE</t>
  </si>
  <si>
    <t>A child watches at a window while a man outdoors is shoveling snow.</t>
  </si>
  <si>
    <t>He moves back and forth, picking up snow and moving it away from the door.</t>
  </si>
  <si>
    <t>v_-tv6laq1ic0</t>
  </si>
  <si>
    <t>We see blinds down on a window.</t>
  </si>
  <si>
    <t>A person is laying in a tattoo parlor being tattooed.</t>
  </si>
  <si>
    <t>We back up and see the tattoo artist.</t>
  </si>
  <si>
    <t>The lady looks in her phone and smiles at the camera.</t>
  </si>
  <si>
    <t>We pan down and see the tattoo artist work.</t>
  </si>
  <si>
    <t>v_LgUCZHYBBEc</t>
  </si>
  <si>
    <t>A large group of people are seen riding on horses and begin moving around.</t>
  </si>
  <si>
    <t>The people play a game on the horses while chasing a ball.</t>
  </si>
  <si>
    <t>The men continue to play and end by one jumping off the horse.</t>
  </si>
  <si>
    <t>v_FkWlzk8CrxA</t>
  </si>
  <si>
    <t>A woman in a white shirt is talking to the camera.</t>
  </si>
  <si>
    <t>A man and the woman start to dance together.</t>
  </si>
  <si>
    <t>She raises her arm and he twists her around.</t>
  </si>
  <si>
    <t>v_dWUEAavKWmI</t>
  </si>
  <si>
    <t>Two men wearing blue are inside playing a game of ping ping.</t>
  </si>
  <si>
    <t>They are hitting the ball back and forth pretty quickly without stopping.</t>
  </si>
  <si>
    <t>One of them hits the ball up and stops their progress, they have to start again.</t>
  </si>
  <si>
    <t>they get back to playing and hitting it barely missing a beat.</t>
  </si>
  <si>
    <t>v_jLwUrFMRGzY</t>
  </si>
  <si>
    <t>An intro is shown followed by two people and a man talking to the camera.</t>
  </si>
  <si>
    <t>The camera pans out to more people and shows them performing an exercise that swings their legs back and fourth.</t>
  </si>
  <si>
    <t>The people continue following the instructor through various movements while he leads them in the exercise.</t>
  </si>
  <si>
    <t>v_cBMi-cIbI2c</t>
  </si>
  <si>
    <t>A man is dressed in a black uniform and approaches a small circle that is in the middle of the field surrounded by green nets.</t>
  </si>
  <si>
    <t>The crowd is panned and then the man is shown throwing his discus as multiple people run out to track his distance.</t>
  </si>
  <si>
    <t>An instant replay is played and the front of the man's face is visible.</t>
  </si>
  <si>
    <t>v_nDG3MsnLE20</t>
  </si>
  <si>
    <t>We see a curling stone and a graph.</t>
  </si>
  <si>
    <t>We see a person pushing the stone.</t>
  </si>
  <si>
    <t>We see the stone on another graph.</t>
  </si>
  <si>
    <t>We see a man push the stone and people sweep in front of it.</t>
  </si>
  <si>
    <t>v_vPh9o_BuJaU</t>
  </si>
  <si>
    <t>A close up of a person's feet are shown sitting in a chair.</t>
  </si>
  <si>
    <t>The person then bends forward and begins putting shoes on.</t>
  </si>
  <si>
    <t>He finishes putting shoes on and gets up to walk away.</t>
  </si>
  <si>
    <t>v_HnEvJUr8DEM</t>
  </si>
  <si>
    <t>A man is standing on a field.</t>
  </si>
  <si>
    <t>He kicks a ball into the air.</t>
  </si>
  <si>
    <t>He runs to first base.</t>
  </si>
  <si>
    <t>v_a7QrIgqkyao</t>
  </si>
  <si>
    <t>A woman is standing behind a table with several pumpkin carving kits.</t>
  </si>
  <si>
    <t>She shows the contents of the books.</t>
  </si>
  <si>
    <t>The woman chooses a design, carving it into the pumpkin.</t>
  </si>
  <si>
    <t>She then places batteries in tea light to go inside, and paints the pumpkin black.</t>
  </si>
  <si>
    <t>v_UVJ0mQndDhE</t>
  </si>
  <si>
    <t>We see a person sliding blue discs down a wooden table.</t>
  </si>
  <si>
    <t>The man moves to the other end of the table and the camera moves to see them from the end.</t>
  </si>
  <si>
    <t>We wee the person slide all their blue then the red discs down the table.</t>
  </si>
  <si>
    <t>We see a hand appear and point.</t>
  </si>
  <si>
    <t>The person grabs a blue disc and slides it two times.</t>
  </si>
  <si>
    <t>v_iOnlcEk50CM</t>
  </si>
  <si>
    <t>A male is standing on side on a road in front of a forest with his foot on a skateboard.</t>
  </si>
  <si>
    <t>The male then gets on the skateboard and start balancing himself on it.</t>
  </si>
  <si>
    <t>After,he picks up the skateboard and moves a few feet back and starts skateboarding.</t>
  </si>
  <si>
    <t>Once done,he picks up the skateboard and holds it back down to his side.</t>
  </si>
  <si>
    <t>v_CIAZbDkD0TE</t>
  </si>
  <si>
    <t>A woman walks out of a kitchen and over to a steamer with her daughter behind her.</t>
  </si>
  <si>
    <t>She picks up her iron and begins to iron a pair of pants as the girl plays with a dress, and the woman has left the iron resting on the clothing.</t>
  </si>
  <si>
    <t>She irons the dress for the girl as she watches.</t>
  </si>
  <si>
    <t>v__HIJu_hNweY</t>
  </si>
  <si>
    <t>Three girls are seen standing on a cliff hitting a birdie to one another.</t>
  </si>
  <si>
    <t>The camera pans around their movements as they hit the birdie around.</t>
  </si>
  <si>
    <t>The girls continue to hit the birdie around and showing off their butts in the end.</t>
  </si>
  <si>
    <t>v_H_xL4tssqEU</t>
  </si>
  <si>
    <t>A woman knits and shows her work.</t>
  </si>
  <si>
    <t>Women are knitting while sitting in a circle and talking each other.</t>
  </si>
  <si>
    <t>A reporter talks in the room where the women knits.</t>
  </si>
  <si>
    <t>v_P2H4fTMMHNE</t>
  </si>
  <si>
    <t>A woman is ironing a brown shirt on an ironing board.</t>
  </si>
  <si>
    <t>She looks at the tag on the shirt.</t>
  </si>
  <si>
    <t>She continues ironing the shirt on the ironing board.</t>
  </si>
  <si>
    <t>She lifts the shirt up and puts it over the ironing board.</t>
  </si>
  <si>
    <t>She turns the shirt inside out and holds it up.</t>
  </si>
  <si>
    <t>v_bJkemB0CcKo</t>
  </si>
  <si>
    <t>A man talks to the camera smiling and transitions to him holding a pan and spreading butter into it.</t>
  </si>
  <si>
    <t>He pours egg into the pan and pushes it around with several vegetables.</t>
  </si>
  <si>
    <t>He finishes by putting the omelet onto a plate and eating one big bite.</t>
  </si>
  <si>
    <t>v_EeUkryzfwYk</t>
  </si>
  <si>
    <t>An animated intro screen has a lot of little Christmas pictures moving on it and white words appear that say "Decorating The Christmas Tree".</t>
  </si>
  <si>
    <t>The same animation continues to play and the white words now appearing are "With Me, My Sis, Mom &amp; Chris".</t>
  </si>
  <si>
    <t>In fast motion, there are people in a residential home and they are winding strings of white Christmas tree lights around a very full and grown tree.</t>
  </si>
  <si>
    <t>When they are done with the lights, the begin to decorate the tree with ornaments until it's all filled with ornaments.</t>
  </si>
  <si>
    <t>The camera is picked up and the man is now attempting to put a white star on the top of the tree while children are hanging around and talking.</t>
  </si>
  <si>
    <t>The star is now on the tree, the camera is put back down, one of the girl hugs the tree.</t>
  </si>
  <si>
    <t>v_ceDvPX6hP_U</t>
  </si>
  <si>
    <t>A man is standing inside a gym as he speaks to the camera.</t>
  </si>
  <si>
    <t>He indicated a blue block on the ground before stepping over it and kneeling on top of it.</t>
  </si>
  <si>
    <t>He begins pulling the cord on the equipment, showing how it is used.</t>
  </si>
  <si>
    <t>v_lvlVfgZ53NQ</t>
  </si>
  <si>
    <t>A man is talking behind a bar, standing in front of numerous alcohol bottles.</t>
  </si>
  <si>
    <t>He pours liquids over a glass filled with ice.</t>
  </si>
  <si>
    <t>He then garnishes the final product for serving.</t>
  </si>
  <si>
    <t>v_z-1HUIQFGIg</t>
  </si>
  <si>
    <t>Karate students play standing and hand held drums in a studio.</t>
  </si>
  <si>
    <t>Karate students jump over the top of a rope held by other students on a mat.</t>
  </si>
  <si>
    <t>The group of karate students practices punches standing in a line.</t>
  </si>
  <si>
    <t>A group of younger student practice sparring against opponents.</t>
  </si>
  <si>
    <t>The groups spin each other in circles holding each others hands.</t>
  </si>
  <si>
    <t>The group stands in a circle and jump up and down together while watching the instructor.</t>
  </si>
  <si>
    <t>v_q2TF-3bWZuU</t>
  </si>
  <si>
    <t>A woman is talking as she stands outside horse stables.</t>
  </si>
  <si>
    <t>She talks as a client is riding one of her horses in a dirt field.</t>
  </si>
  <si>
    <t>She discusses the form and positioning of the rider.</t>
  </si>
  <si>
    <t>The rider takes the horse around for a trot while the woman watches.</t>
  </si>
  <si>
    <t>v_wdsZn1Yu_5M</t>
  </si>
  <si>
    <t>A blonde woman is speaking in a news room in front of a large screen.</t>
  </si>
  <si>
    <t>Boats are seen pulling people on water skis.</t>
  </si>
  <si>
    <t>A man is shown preparing and then skiing through the water.</t>
  </si>
  <si>
    <t>v_rBMQFpHspmo</t>
  </si>
  <si>
    <t>Several people are seen wandering around an indoor field with one pole volting over a bar.</t>
  </si>
  <si>
    <t>The same shot is shown again in slow motion as well as several other attempts the boy makes.</t>
  </si>
  <si>
    <t>He attempts the jump several more times while people watch him on the sides.</t>
  </si>
  <si>
    <t>v_V1AqyQ3qaQY</t>
  </si>
  <si>
    <t>A man is standing next to a pond.</t>
  </si>
  <si>
    <t>He loads an arrow in the bow.</t>
  </si>
  <si>
    <t>He shoots the arrow at a ceramic cat, knocking it into the water before moving on to other targets.</t>
  </si>
  <si>
    <t>v_4Dj7wOTfyH4</t>
  </si>
  <si>
    <t>A woman is seen walking into frame and speaking to the camera.</t>
  </si>
  <si>
    <t>She sits down on boxes while holding others up and begins laying tiles down on the floor.</t>
  </si>
  <si>
    <t>She picks others up while speaking to the camera followed by vacuuming the floor and a child playing along.</t>
  </si>
  <si>
    <t>v_1G5cu1NvDFw</t>
  </si>
  <si>
    <t>A young child is seen running around a back yard on a large set of stilts.</t>
  </si>
  <si>
    <t>The boy continues bouncing around as the camera captures him as well as running.</t>
  </si>
  <si>
    <t>v_LHjmL7Pg_80</t>
  </si>
  <si>
    <t>Boys are running on a field playing a game of soccer.</t>
  </si>
  <si>
    <t>Then they are are playing professional on an indoor court while an audience watches.</t>
  </si>
  <si>
    <t>They show many different clips from many different games, like a memoir of videos.</t>
  </si>
  <si>
    <t>Number 12 is the basis of them all, he seems to be a very great soccer player.</t>
  </si>
  <si>
    <t>v_eGl_I8h832w</t>
  </si>
  <si>
    <t>A young girl is seen speaking to the camera and looking off into the distance.</t>
  </si>
  <si>
    <t>She continues speaking and leads into a woman cutting her hair.</t>
  </si>
  <si>
    <t>She hands the girl her hair and shows off her cut in the end.</t>
  </si>
  <si>
    <t>v_dD3eR9Sb1x0</t>
  </si>
  <si>
    <t>Multiple colors and designs flash across the screen.</t>
  </si>
  <si>
    <t>Women gather onstage as they are about to perform.</t>
  </si>
  <si>
    <t>The women dance and jump, leading a zumba routine.</t>
  </si>
  <si>
    <t>v_fJEXzQ0L1uU</t>
  </si>
  <si>
    <t>Various shots of signs are shown as well as people walking around a field and getting ready for events.</t>
  </si>
  <si>
    <t>Many people are interviewed for the camera and show people waving and getting ready on the sides.</t>
  </si>
  <si>
    <t>People wave to the camera and stand around holding signs while more speak to the camera and show games of hopscotch.</t>
  </si>
  <si>
    <t>v__Hi9gQEaT-Q</t>
  </si>
  <si>
    <t>A dog pushes a stroller down the sidewalk.</t>
  </si>
  <si>
    <t>A person in white passes the tree.</t>
  </si>
  <si>
    <t>The dog passes a small tree.</t>
  </si>
  <si>
    <t>v_E_6XYa_WO8I</t>
  </si>
  <si>
    <t>A man starts chopping a piece of wood with an ax.</t>
  </si>
  <si>
    <t>He picks the wood back up and throws it into a pile.</t>
  </si>
  <si>
    <t>He picks up a new piece of wood and chops that one.</t>
  </si>
  <si>
    <t>v_WjEh7acrr5o</t>
  </si>
  <si>
    <t>A woman is seen sitting in a chair knitting thread while the camera watches her.</t>
  </si>
  <si>
    <t>The woman continues to knit while stopping to look at the camera and make faces.</t>
  </si>
  <si>
    <t>v_GhVERbQMZWQ</t>
  </si>
  <si>
    <t>A hummer backs a boat down a ramp.</t>
  </si>
  <si>
    <t>A person is wake boarding behind the boat.</t>
  </si>
  <si>
    <t>People are sitting on the boat.</t>
  </si>
  <si>
    <t>v_80pIiAmVa5Q</t>
  </si>
  <si>
    <t>A woman is seated at the bottom of a slide.</t>
  </si>
  <si>
    <t>She is adjusting her camera.</t>
  </si>
  <si>
    <t>A child slides down the slide, running into her from behind.</t>
  </si>
  <si>
    <t>v_GZjNt2TsChs</t>
  </si>
  <si>
    <t>A young child is seen climbing up a playground and then going down a slide.</t>
  </si>
  <si>
    <t>She goes back to the top again followed by another go down the slide and back to the stairs again.</t>
  </si>
  <si>
    <t>v_yRswMXWCcrI</t>
  </si>
  <si>
    <t>A person stands on a hill covered wit snow, then the person ski down the hill and fall.</t>
  </si>
  <si>
    <t>A skier comes down a hill makes a jump over stones and falls and rolls on the snow.</t>
  </si>
  <si>
    <t>Then, other man skies on the hill and flat areas covered with snow.</t>
  </si>
  <si>
    <t>Also, skiers makes a flip from in the air while other people watch.</t>
  </si>
  <si>
    <t>v_2EQMXueAmCA</t>
  </si>
  <si>
    <t>Two men play squash on an indoor court.</t>
  </si>
  <si>
    <t>The left man in the white shirt misses the ball and the start over.</t>
  </si>
  <si>
    <t>We see the man in the gray shirt miss the ball land stands up and pumps his fist while looking disappointed.</t>
  </si>
  <si>
    <t>v_5Owjrx-YjjM</t>
  </si>
  <si>
    <t>A little girl is sitting on the porch floor with her dad as he puts together a blue butterfly kite for her.</t>
  </si>
  <si>
    <t>After he's done completing the kite, they go out in the open to fly the kite.</t>
  </si>
  <si>
    <t>The father is holding the kite in his hand as the wind blows strongly.</t>
  </si>
  <si>
    <t>The girl holds the string of the kite and begins flying the kite high up in the air.</t>
  </si>
  <si>
    <t>v_JXvPFMjtbcw</t>
  </si>
  <si>
    <t>A chef explains how to cook an omelette with vegetables and spices, Then, the chef take a dish and serves the omelette with lettuce and lemon.</t>
  </si>
  <si>
    <t>A man and a woman pass behind the chef in the restaurant.</t>
  </si>
  <si>
    <t>Another man sit in a table, stand and walk away.</t>
  </si>
  <si>
    <t>Another person enters the restaurant and turns left.</t>
  </si>
  <si>
    <t>v_FhGOGbL-A84</t>
  </si>
  <si>
    <t>A little boy is in a yard, using a leaf blower.</t>
  </si>
  <si>
    <t>A little girl soon joins him, raking leaves.</t>
  </si>
  <si>
    <t>v_MIE0KbGIXjM</t>
  </si>
  <si>
    <t>A man is seen bent over washing his hands when another man walks out and speaks to him.</t>
  </si>
  <si>
    <t>The other man then begins washing his hands with soap under the faucet while the other man watches.</t>
  </si>
  <si>
    <t>He finishes washing while the other man leaves and cues to a third man walking out of the stall.</t>
  </si>
  <si>
    <t>v_5Qj8hHmZbiI</t>
  </si>
  <si>
    <t>People are playing beer pong at a party.</t>
  </si>
  <si>
    <t>People are drinking drinks from the table.</t>
  </si>
  <si>
    <t>A glass of beer is shown.</t>
  </si>
  <si>
    <t>v_Ck5i8CVEkJI</t>
  </si>
  <si>
    <t>A man is seen throwing a dart onto a board and leads into a woman speaking.</t>
  </si>
  <si>
    <t>The man throws several more darts while taking the time to speak to the woman.</t>
  </si>
  <si>
    <t>More people are shown throwing dart while the two continue to speak and the man points to the board.</t>
  </si>
  <si>
    <t>v_oMegp6a547Q</t>
  </si>
  <si>
    <t>The camera pans around several groups of people are seen performing martial arts around one another as well as people walking around and watching.</t>
  </si>
  <si>
    <t>Many shots are shown of people dancing and singing as well as performing martial arts in the streets and helping one another.</t>
  </si>
  <si>
    <t>People are seen playing instruments, reading the the news, and performing martial arts all around the street.</t>
  </si>
  <si>
    <t>v_j1QaZ7YWcJ8</t>
  </si>
  <si>
    <t>A person plays tam-tam inside a room, the man mainly plays on the tam- tam on front hum.</t>
  </si>
  <si>
    <t>A hand pass on front the screen.</t>
  </si>
  <si>
    <t>The person extend her arm over the tam-tam.</t>
  </si>
  <si>
    <t>v_0RUs80IYF38</t>
  </si>
  <si>
    <t>A man jumps off of the brown horse and he lassos the bull to the ground in the beginning.</t>
  </si>
  <si>
    <t>Then he gets on another horse and he lassos a bull bigger than the last one to the ground.</t>
  </si>
  <si>
    <t>When he's done tying the bull's legs together, he gets up and walks away.</t>
  </si>
  <si>
    <t>v_Rn_frSrkkbM</t>
  </si>
  <si>
    <t>A cricket game is being played between two teams in front of a crowd of people.</t>
  </si>
  <si>
    <t>The first play is made and the commentators narrate the play.</t>
  </si>
  <si>
    <t>Then, a replay of the previous play is started while the commentators narrate it.</t>
  </si>
  <si>
    <t>The camera cuts to a man laughing at a mistake made in the play.</t>
  </si>
  <si>
    <t>v_ahY7nqwwJEg</t>
  </si>
  <si>
    <t>The video leads into several clips of people performing skateboarding tricks out in public places.</t>
  </si>
  <si>
    <t>Many more clips are shown of people riding around on skateboards doing flips and tricks.</t>
  </si>
  <si>
    <t>v_wS_T-RMSSCE</t>
  </si>
  <si>
    <t>elephant is walking in a small water well playing with a ball.</t>
  </si>
  <si>
    <t>woman is talking in the camera and the elephant is again in the water well playing with the ball.</t>
  </si>
  <si>
    <t>little elephant is playing with a big blue ball.</t>
  </si>
  <si>
    <t>v_1izVZnE0l7k</t>
  </si>
  <si>
    <t>A girl is standing at a sink, washing dishes and playing in the water.</t>
  </si>
  <si>
    <t>She smiles as she rinses a plastic bowl.</t>
  </si>
  <si>
    <t>She walks over to the camera talking and laughing before leaving the room with her brother.</t>
  </si>
  <si>
    <t>v_nHuu6aInr1w</t>
  </si>
  <si>
    <t>A man puts a pile of marshmallows in his mouth.</t>
  </si>
  <si>
    <t>A man make a campfire and tips flash on the screen.</t>
  </si>
  <si>
    <t>The man digs a hole put rocks around it and gather firewood.</t>
  </si>
  <si>
    <t>He puts the wood in a triangle in the pit and logs on the outside.</t>
  </si>
  <si>
    <t>The man lights the fire and adds a few more pieces of wood.</t>
  </si>
  <si>
    <t>v_BYLxSOPFOuc</t>
  </si>
  <si>
    <t>man is standing in front of a mirror holding a camera.</t>
  </si>
  <si>
    <t>woman enters in the bathroom carying a white cat and the man kneels so the cat can stands on his back.</t>
  </si>
  <si>
    <t>the woman leaves the bathroom and the man keeps recording himself making poses in front of the camera and talking to himself in the mirror.</t>
  </si>
  <si>
    <t>the man enters in the bedroom and the woman is sitting in the bed holding the cat.</t>
  </si>
  <si>
    <t>man is in the bathroom again holding a knife and the woman enters in the room with a back scarf around her head.</t>
  </si>
  <si>
    <t>they are driving the car and are parked in snowy parking lot.</t>
  </si>
  <si>
    <t>they eners in a restaurant and leaves and walks to the car again.</t>
  </si>
  <si>
    <t>the woman gets into the car and the man opens the door and grabs a little brush and cleans the windshield and the woman do the same and plays with the man.</t>
  </si>
  <si>
    <t>v_NaTBiY3G3zc</t>
  </si>
  <si>
    <t>A woman is seen pushing a puck along the ice with others followed by a man speaking to the camera.</t>
  </si>
  <si>
    <t>More clips are shown of people curling on the ice while the man continues to speak to the camera and the game is shown in slow motion.</t>
  </si>
  <si>
    <t>v_m_sBF4vLRRc</t>
  </si>
  <si>
    <t>woman is wearing a red shirt and is standing talking to the camera in a white room.</t>
  </si>
  <si>
    <t>woman start dancing salsa steps on a wooden court.</t>
  </si>
  <si>
    <t>the woman is doing samba steps shaking her body side to side.</t>
  </si>
  <si>
    <t>v_XkOO6lc5vxw</t>
  </si>
  <si>
    <t>An intro shows off a hedge trimmer.</t>
  </si>
  <si>
    <t>A woman beings to speak about the hedge trimmer.</t>
  </si>
  <si>
    <t>The product is shown in action, trimming a bush.</t>
  </si>
  <si>
    <t>The woman shows off the blade, and charger.</t>
  </si>
  <si>
    <t>We see the product in use again.</t>
  </si>
  <si>
    <t>The woman shows the comfort grip.</t>
  </si>
  <si>
    <t>The woman talks about how to order the product.</t>
  </si>
  <si>
    <t>v_DgdEQgh8TKU</t>
  </si>
  <si>
    <t>A man is seen standing by the water holding an axe in one hand and a block of wood in the other.</t>
  </si>
  <si>
    <t>The man continues cutting wood while the camera pans to other people in the room and a woman speaking to the camera.</t>
  </si>
  <si>
    <t>v_IZXFAoiSj0c</t>
  </si>
  <si>
    <t>A female athlete is in a field and she begins to throw a shot put.</t>
  </si>
  <si>
    <t>The lady spins and spins in slow motion as words are shown at the top describing each phase needed to throw a shot put successfully.</t>
  </si>
  <si>
    <t>v_PWw-DAcSszM</t>
  </si>
  <si>
    <t>We see a man slowly performing Tai Chi.</t>
  </si>
  <si>
    <t>A white banner streams across the bottom.</t>
  </si>
  <si>
    <t>The man lifts his legs up in front of him then kicks out.</t>
  </si>
  <si>
    <t>The man stops and stands still.</t>
  </si>
  <si>
    <t>v_bsl3oM4svdQ</t>
  </si>
  <si>
    <t>A woman is seen pulling a piece of exercise equipment while struggling to get it to move.</t>
  </si>
  <si>
    <t>She moves the mat underneath her and then is able to pull the bar back and fourth towards her.</t>
  </si>
  <si>
    <t>v_lXTcGMN9I8g</t>
  </si>
  <si>
    <t>A young man at an outdoor festival is doing tightrope tricks in front of a crowd.</t>
  </si>
  <si>
    <t>The young man does various bouncing and balancing tricks on a tight rope a few feet above black mats.</t>
  </si>
  <si>
    <t>The gets off the rope and walks on the mats off the floor and towards his group.</t>
  </si>
  <si>
    <t>v_Jbl0E75cx8o</t>
  </si>
  <si>
    <t>A woman is seen sitting in a chair while a man uses various tools to pierce her ear.</t>
  </si>
  <si>
    <t>The man finishes the piercing and the girl begins to turn in the end.</t>
  </si>
  <si>
    <t>v_cnFw7hjmqJY</t>
  </si>
  <si>
    <t>man is standing in a court in front of kids and is walking showing how to score a basket.</t>
  </si>
  <si>
    <t>man throw the ball with someone in the other side of the court and make a lay up and the kids behind him in the court do the same.</t>
  </si>
  <si>
    <t>the coach os hlping the girl to catch the ball and run.</t>
  </si>
  <si>
    <t>the kid make a throw and then score a basket adn the kids behind her keeps doing the same.</t>
  </si>
  <si>
    <t>v_84x9A9xyLcE</t>
  </si>
  <si>
    <t>The sun rises over the hills.</t>
  </si>
  <si>
    <t>A man in shorts walks around.</t>
  </si>
  <si>
    <t>He grabs his board and places it into the water.</t>
  </si>
  <si>
    <t>The man climbs the board and surfs.</t>
  </si>
  <si>
    <t>v__AaSNARQPfE</t>
  </si>
  <si>
    <t>A man picks up a weight over his head and drops it on the ground.</t>
  </si>
  <si>
    <t>A man picks up a bar and raises it several times.</t>
  </si>
  <si>
    <t>A man in a black shirt is standing next to him.</t>
  </si>
  <si>
    <t>Another man stands next to him and lifts a bar with him.</t>
  </si>
  <si>
    <t>v_JM7YQFgxu2I</t>
  </si>
  <si>
    <t>There is a little girl slowly sliding down the side with the comfort of holding her mother's hand, the first time she went down.</t>
  </si>
  <si>
    <t>The second time she went down on her belly without help.</t>
  </si>
  <si>
    <t>v_6k5m4u5AchQ</t>
  </si>
  <si>
    <t>There are two camping out in the winter for an ice fishing trip.</t>
  </si>
  <si>
    <t>One of the men comes out of his camping tent with a fish in his hand.</t>
  </si>
  <si>
    <t>The two men are sitting in their make shift tent, fishing through a hole in the frozen lake.</t>
  </si>
  <si>
    <t>They are patiently sitting with their fishing rods till they fish out mid size fish from the holes.</t>
  </si>
  <si>
    <t>They show the kind of fish they have found as they lay it out on the frozen ground.</t>
  </si>
  <si>
    <t>One of the men cleans the fish scales.</t>
  </si>
  <si>
    <t>Then they cut the fish into small pieces and clean them up outside their garage.</t>
  </si>
  <si>
    <t>They sharpen the knife to slice the fish to prepare batter covered fried fish.</t>
  </si>
  <si>
    <t>The entire family sits together on a large dinning table and enjoy a delicious fried fish meal.</t>
  </si>
  <si>
    <t>v_7OZHg_OOfxw</t>
  </si>
  <si>
    <t>boys and girls are stading in a court practicing cheerleaders choreography and a woman is talking in a studio on news.</t>
  </si>
  <si>
    <t>high scoo musical scene is show and a man practicing is being interviewed and scenes of bring it on is showed.</t>
  </si>
  <si>
    <t>v_jzBR9ihZBbI</t>
  </si>
  <si>
    <t>A man is talking in front of a couple of graphs.</t>
  </si>
  <si>
    <t>She demonstrates the technique with his racquet.</t>
  </si>
  <si>
    <t>He then goes into a room, and plays a game of racquetball with a man.</t>
  </si>
  <si>
    <t>When they are done, he walks out and discusses it some more.</t>
  </si>
  <si>
    <t>v_b3bawTEPLtA</t>
  </si>
  <si>
    <t>A ballerina is seen swirling in a room and leads into the woman speaking to the camera and performing several ballet moves.</t>
  </si>
  <si>
    <t>She stands at the barre and then on her own to demonstrate how to properly perform ballet moves.</t>
  </si>
  <si>
    <t>She moves her arms up and down as well as her legs and continuously speaking to the camera.</t>
  </si>
  <si>
    <t>v_K-kJ-0nkKZk</t>
  </si>
  <si>
    <t>A set of hands are seen putting brush into a stack of sticks and then places cotton in the pile.</t>
  </si>
  <si>
    <t>He then lights a match and creates a fire and then bends over the fire to put more in.</t>
  </si>
  <si>
    <t>The camera closes in on the pit and is seen placing logs around the side.</t>
  </si>
  <si>
    <t>v_cvatsuUhqhk</t>
  </si>
  <si>
    <t>Two men are playing Foosball in a dark room.</t>
  </si>
  <si>
    <t>They compete intensely at a fast pace.</t>
  </si>
  <si>
    <t>The man of the red team wins all four times.</t>
  </si>
  <si>
    <t>Every time when he wins, he does a little cheering dance.</t>
  </si>
  <si>
    <t>v_ZOeQh2-ci3M</t>
  </si>
  <si>
    <t>A person uses the toilet in a stall.</t>
  </si>
  <si>
    <t>The man leaves the bathroom without washing his hands.</t>
  </si>
  <si>
    <t>The man eats from food dishes using his hands.</t>
  </si>
  <si>
    <t>A woman plays with the dogs.</t>
  </si>
  <si>
    <t>A person washes their hands in a sink using foam soap.</t>
  </si>
  <si>
    <t>The person uses a paper towel to dry off his hands.</t>
  </si>
  <si>
    <t>A person washes their hands in a stainless steel sink.</t>
  </si>
  <si>
    <t>v_76tyabobb_0</t>
  </si>
  <si>
    <t>A messy kid is eating an ice cream cone.</t>
  </si>
  <si>
    <t>He bites the parents ice cream cone.</t>
  </si>
  <si>
    <t>The parent adjusts the cone for the child.</t>
  </si>
  <si>
    <t>The parent wipes ice cream from the child's face.</t>
  </si>
  <si>
    <t>v_QJm_B5Hx4DI</t>
  </si>
  <si>
    <t>An employee of the beach patrol is talking about how to have a safe day at the beach.</t>
  </si>
  <si>
    <t>Sunscreen is addressed and he overviews how and why to apply sunscreen properly.</t>
  </si>
  <si>
    <t>Sunscreen SPF value is addressed with a slide on how to pay attention to the proper SPF.</t>
  </si>
  <si>
    <t>He addresses the negative impacts of sunburns, especially with children.</t>
  </si>
  <si>
    <t>He then talks about different types of specialty sunscreen to ensure you are safely covered.</t>
  </si>
  <si>
    <t>Children sunscreen safety is then talked about and how to properly protect your kids.</t>
  </si>
  <si>
    <t>He then discusses what to do when a sunburn does occur, how to handle it to take care of your skin.</t>
  </si>
  <si>
    <t>A slide is shown to make us aware of when a sunburn is bad and needs medical attention.</t>
  </si>
  <si>
    <t>He then takes another overview of how to use sunscreen to make your day enjoyable.</t>
  </si>
  <si>
    <t>v_EJxWhTE_ZeE</t>
  </si>
  <si>
    <t>Several clips of boxes are shown as well as people moving around a stage and an audience watching.</t>
  </si>
  <si>
    <t>The video leads into several people washing windows as quickly as they can while many watch them on the side.</t>
  </si>
  <si>
    <t>Many men speak to the camera as well as people announcing the scores and more window washing taking place.</t>
  </si>
  <si>
    <t>v_mgmwdQixDXY</t>
  </si>
  <si>
    <t>woman is showing her nails with a cute manicure and some polishes behind her hand.</t>
  </si>
  <si>
    <t>woman is holding a pink polish and start painting her nail.</t>
  </si>
  <si>
    <t>and with a little sponge and a little pin paint the nail with white blue and purple paint.</t>
  </si>
  <si>
    <t>with a small bush put som wwhite dots and clean the nail.</t>
  </si>
  <si>
    <t>woman cut a red paper and paint with frosty gray polish.</t>
  </si>
  <si>
    <t>v_tPiuksisb4E</t>
  </si>
  <si>
    <t>There is a hookah placed on a kitchen counter.</t>
  </si>
  <si>
    <t>A man wearing a black sleeveless shirt comes there and kneels down to begins smoking the hookah.</t>
  </si>
  <si>
    <t>He smokes the hookah and blows out smoke.</t>
  </si>
  <si>
    <t>He takes a few puffs of the hookah and exhales the smoke out.</t>
  </si>
  <si>
    <t>He continues smoking by taking long puffs of the hookah and then leaves.</t>
  </si>
  <si>
    <t>v_Qv0fN5A1vp4</t>
  </si>
  <si>
    <t>A close up of a bag is seen followed by a woman looking in the camera.</t>
  </si>
  <si>
    <t>She holds up a phone and speaks into the mirror.</t>
  </si>
  <si>
    <t>Finally she jumps up and down a bit and ends by turning off the camera.</t>
  </si>
  <si>
    <t>v_9mF5s6_dTlk</t>
  </si>
  <si>
    <t>A man in a crowded garage with lots of tools speaks to the camera as he holds a piece of paper.</t>
  </si>
  <si>
    <t>He taps a paper, continuously, on a iron type tool and brushes the paper against a long piece of wood.</t>
  </si>
  <si>
    <t>He puts down the piece of paper and takes the iron tool straight to the piece of wood.</t>
  </si>
  <si>
    <t>He picks up a paper towel and presses the iron against the piece of wood with one hand while using the other hand to drag a paper towel over the ironed areas of the board.</t>
  </si>
  <si>
    <t>He places the iron down.</t>
  </si>
  <si>
    <t>He takes the paper towel and quickly cleans the piece of wood.</t>
  </si>
  <si>
    <t>v_5Fq-ln3yC38</t>
  </si>
  <si>
    <t>A man pours a liquid onto a table.</t>
  </si>
  <si>
    <t>With the use of a paintbrush, he covers the table with the liquid.</t>
  </si>
  <si>
    <t>He removes varnish from the top of the table.</t>
  </si>
  <si>
    <t>Afterwards, he does a light sanding of the table.</t>
  </si>
  <si>
    <t>With a tack rug, he removes the dust.</t>
  </si>
  <si>
    <t>Wearing gloves, he applies a stain to the table.</t>
  </si>
  <si>
    <t>Finally, he polishes the table and shows off his end result.</t>
  </si>
  <si>
    <t>v_PlAVnu-ueM4</t>
  </si>
  <si>
    <t>Ms Smith is giving an interview talking about weight lifting, she speaks about how she started around 12.</t>
  </si>
  <si>
    <t>The coach briefly speaks about how gives them rest before every competition.</t>
  </si>
  <si>
    <t>She lifts the weight way above her head and drops it wearing her uniform.</t>
  </si>
  <si>
    <t>Everyone claps for her, and then you hear from her and the coach again before the interview is over.</t>
  </si>
  <si>
    <t>v_5Y4YkCkgShc</t>
  </si>
  <si>
    <t>A nighttime view of a city is shown through a window.</t>
  </si>
  <si>
    <t>A man in a chef's coat is standing in a kitchen talking to the camera.</t>
  </si>
  <si>
    <t>A pancake is shown with syrup being poured on it.</t>
  </si>
  <si>
    <t>Ingredients are placed in a bowl.</t>
  </si>
  <si>
    <t>The man cracks an egg and whisks the ingredients in a bowl.</t>
  </si>
  <si>
    <t>A ladle is shown next to the bowl.</t>
  </si>
  <si>
    <t>The man ladles the pancake batter onto the griddle.</t>
  </si>
  <si>
    <t>The man flips the pancakes.</t>
  </si>
  <si>
    <t>The pancake is placed on a plate and syrup is poured on it.</t>
  </si>
  <si>
    <t>The man is shown eating a piece of the pancake.</t>
  </si>
  <si>
    <t>The man continues talking to the camera while holding a piece of pancake.</t>
  </si>
  <si>
    <t>A television studio is shown.</t>
  </si>
  <si>
    <t>v_aSYCOvkN5uk</t>
  </si>
  <si>
    <t>A young man with Downs Syndrome bowls.</t>
  </si>
  <si>
    <t>Another young man throws a bowling ball.</t>
  </si>
  <si>
    <t>The first young man celebrates after a successful throw.</t>
  </si>
  <si>
    <t>v_COIwJdDOmcc</t>
  </si>
  <si>
    <t>man is standing in front of a gray car in a workshop changing a car wheel and talking to te camera.</t>
  </si>
  <si>
    <t>first the man grab an hiyraulic jack and put it under the car, unscrew the bolts wit a wheel brace and pulls out the wheel and mount the new one, put the screws back again with the wheel brace and tightens.</t>
  </si>
  <si>
    <t>man talking in front of the car and giving recomendations.</t>
  </si>
  <si>
    <t>v_Kv-A_H9TXug</t>
  </si>
  <si>
    <t>A guy sits on the floor and speaks.</t>
  </si>
  <si>
    <t>The guy lays down and does sit ups.</t>
  </si>
  <si>
    <t>The guy goes back to the sitting position.</t>
  </si>
  <si>
    <t>The credits of the video and an image are shown.</t>
  </si>
  <si>
    <t>v_MeHEDK_Y8sE</t>
  </si>
  <si>
    <t>A female Caucasian is sitting in a chair spinning around showing off her long blonde hair style,it is pinned to the right and has curls in the bottom.</t>
  </si>
  <si>
    <t>On the next screen,a woman begins grabbing the bottom and rolling it from the bottom up to about three inches and seals it with a piece of foil.</t>
  </si>
  <si>
    <t>Once the hair is folded up in a the foil,the lady takes a flat iron and runs it over the foil.</t>
  </si>
  <si>
    <t>As the next scene comes,the lady is pictured with eight foiled curls in her head that are sealed with long hair pins.</t>
  </si>
  <si>
    <t>The next step is to then remove the pins followed by the foil and release the curls.</t>
  </si>
  <si>
    <t>Finally,the style is completed and she is spun around once more to show the finished product.</t>
  </si>
  <si>
    <t>v_AahkhvTAXwg</t>
  </si>
  <si>
    <t>a woman walks onto a blue lit stage.</t>
  </si>
  <si>
    <t>She starts flipping back and forth on the stage.</t>
  </si>
  <si>
    <t>She is spinning and twirling a baton while she performs before disappearing.</t>
  </si>
  <si>
    <t>v_ZT_gv2W65Zc</t>
  </si>
  <si>
    <t>A woman brushes her hair with her hand.</t>
  </si>
  <si>
    <t>The woman combs her hair with a comb.</t>
  </si>
  <si>
    <t>The combing is shown in slow motion.</t>
  </si>
  <si>
    <t>v_IC61TQ-sd8o</t>
  </si>
  <si>
    <t>boys and girls are in stage doing a cheerleader choreography in a competiion while people in stands are watching them.</t>
  </si>
  <si>
    <t>men wearing black uniforms are standing behind the cheer team.</t>
  </si>
  <si>
    <t>v_n637bl2-DDo</t>
  </si>
  <si>
    <t>A man talks in front of an office building.</t>
  </si>
  <si>
    <t>The man enters the building and walks up the staircase.</t>
  </si>
  <si>
    <t>The man enters the gym room.</t>
  </si>
  <si>
    <t>People ride on stationary bikes and watch a television in the gym.</t>
  </si>
  <si>
    <t>v_byVhCu3KH1g</t>
  </si>
  <si>
    <t>Shoe polish supplies in a store, then people in a classroom get instructions about shoe polish.</t>
  </si>
  <si>
    <t>The teacher demonstrates to polish a boot using a tissue.</t>
  </si>
  <si>
    <t>Then, a girl polish the shoe of a woman using a cloth.</t>
  </si>
  <si>
    <t>A person takes pictures and a cameraman film.</t>
  </si>
  <si>
    <t>After, people practice shoe polish in group.</t>
  </si>
  <si>
    <t>v_oHOR69nFt-4</t>
  </si>
  <si>
    <t>We see the opening screen on orange.</t>
  </si>
  <si>
    <t>A lady is cooking in a kitchen.</t>
  </si>
  <si>
    <t>The lady pours ingredients into a bowl and stirs.</t>
  </si>
  <si>
    <t>The lady stirs an egg mixture and mixes it in with her original bow.</t>
  </si>
  <si>
    <t>She puts it in a glass pan and puts the pan in the oven.</t>
  </si>
  <si>
    <t>v__-_SwG4EnRU</t>
  </si>
  <si>
    <t>She begins dancing in the kitchen.</t>
  </si>
  <si>
    <t>She starts mopping the floor while she's dancing.</t>
  </si>
  <si>
    <t>v_0Q9RHSEFeMI</t>
  </si>
  <si>
    <t>People are working out in a gym.</t>
  </si>
  <si>
    <t>They are stepping up and down off of black step stools.</t>
  </si>
  <si>
    <t>They raise their hands and stop dancing.</t>
  </si>
  <si>
    <t>v_m3SlyuAh1Wk</t>
  </si>
  <si>
    <t>A close up of leaves are shown followed by a woman raking them and speaking to the camera.</t>
  </si>
  <si>
    <t>The woman continues raking while speaking to the camera back and fourth.</t>
  </si>
  <si>
    <t>She shows her piles as well as the clean lawn while still speaking to the camera.</t>
  </si>
  <si>
    <t>v_Pmt3R5olRP0</t>
  </si>
  <si>
    <t>A middle aged woman wearing a headpiece speaks to the camera while stiring with a spoon.</t>
  </si>
  <si>
    <t>She takes a couple sips from a cup while still speaking to the camera.</t>
  </si>
  <si>
    <t>She does this one more time before turning the camera off.</t>
  </si>
  <si>
    <t>v_0p3JN4KJsUs</t>
  </si>
  <si>
    <t>People practice ballet in a studio alone and in couples.</t>
  </si>
  <si>
    <t>Then, a boy and a girl dance ballet, then a man enter and dance with the girl.</t>
  </si>
  <si>
    <t>After, several couples dance ballet while other people observe.</t>
  </si>
  <si>
    <t>v_UQXB3JOoxYE</t>
  </si>
  <si>
    <t>A boy sits in the water, his skis out in front of him, while he holds the handle of the rope between his legs.</t>
  </si>
  <si>
    <t>We see a short flashback as we then see him in the boat in then in the water being assisted with his skis.</t>
  </si>
  <si>
    <t>Once again he is in the water, and the boat slowly picks up speed, pulling the young man upright until he is skiing full-speed behind the boat.</t>
  </si>
  <si>
    <t>A man comes up beside him, his arms outstretched as he holds a camera, and then a show of him with several other men in the boat.</t>
  </si>
  <si>
    <t>We soon see the man again in the water with his arm around the boy's shoulders, the boy triumphant after his successful ride.</t>
  </si>
  <si>
    <t>All in all everyone seemed to enjoy a great day outdoors whether in the boat or skiing or both.</t>
  </si>
  <si>
    <t>v_5HqegO_ayw8</t>
  </si>
  <si>
    <t>A large group of people are seen standing around a square with people playing volleyball.</t>
  </si>
  <si>
    <t>The people continuously hit the ball around the sandy field as the camera pans around them playing.</t>
  </si>
  <si>
    <t>The camera pans around the group as they keep playing.</t>
  </si>
  <si>
    <t>v_HAEyXtEdERI</t>
  </si>
  <si>
    <t>A camera pans around the outside of a building and surrounding areas and leads into several shots of people riding bikes on a track.</t>
  </si>
  <si>
    <t>Many people watch the race on the sidelines as the people continue going around the track and others record their time.</t>
  </si>
  <si>
    <t>Many people sit around speaking with one man speaking to a large group.</t>
  </si>
  <si>
    <t>More shots of people speaking and riding are shown and the audience cheers them on in the stands.</t>
  </si>
  <si>
    <t>v_sPEed6XrTZA</t>
  </si>
  <si>
    <t>An older man in a yellow t-shirt stands by an opened garage and white car parked outside.</t>
  </si>
  <si>
    <t>The man pours water and solution into a bucket and wand sprayer tank.</t>
  </si>
  <si>
    <t>The man begins washing the Nissan Leaf car with the sprayer and wipes it down with a cloth.</t>
  </si>
  <si>
    <t>v_CGz-ghbUXvk</t>
  </si>
  <si>
    <t>A wedding party is standing at the front of an aisle.</t>
  </si>
  <si>
    <t>A pair of men playing bagpipes enter the room before the bride makes her entrance with her father.</t>
  </si>
  <si>
    <t>Everyone stands to watch the procession.</t>
  </si>
  <si>
    <t>The man shakes hands with the groom, and we see the couple standing at the altar, facing each other.</t>
  </si>
  <si>
    <t>v_G3TPqsLNlrw</t>
  </si>
  <si>
    <t>A young man is water skiing and falls.</t>
  </si>
  <si>
    <t>Watching video of the lake and driving.</t>
  </si>
  <si>
    <t>You can see a man skiing from several different angles.</t>
  </si>
  <si>
    <t>Winter of Water skiing at Stoney Park.</t>
  </si>
  <si>
    <t>v_o6Xr1PiL-Jg</t>
  </si>
  <si>
    <t>The woman attempts to rake leaves, but then she falls and gets back up holding the rake and a man takes it from her.</t>
  </si>
  <si>
    <t>Then she walks away and comes back again and he rakes the leaves on top of her.</t>
  </si>
  <si>
    <t>v_yVJGQI5MBIk</t>
  </si>
  <si>
    <t>Two people are seen doing various martial arts moves to one another while a crowd of people cheer and applaud.</t>
  </si>
  <si>
    <t>The men continue kicking around one another and ends with them grabbing hands and smiling.</t>
  </si>
  <si>
    <t>v_TwJvPxAq9_o</t>
  </si>
  <si>
    <t>A girl is smoking a cigarette.</t>
  </si>
  <si>
    <t>A girl blows out smoke.</t>
  </si>
  <si>
    <t>A guy sits, gestures, and discusses.</t>
  </si>
  <si>
    <t>The guy gestures smoking a cigarette.</t>
  </si>
  <si>
    <t>v_XHQLkc06XIc</t>
  </si>
  <si>
    <t>A little girl does an introduction for a video of herself playing the violin.</t>
  </si>
  <si>
    <t>She begins to play the violin in a joyful and professional manner.</t>
  </si>
  <si>
    <t>She begins to pick up the speed of the song.</t>
  </si>
  <si>
    <t>When she is done playing she explains that the piece she just played.</t>
  </si>
  <si>
    <t>v_MNpV9WvVPSA</t>
  </si>
  <si>
    <t>instructions of how to play chords on the violin are shown.</t>
  </si>
  <si>
    <t>woman is in a room playing the violin.</t>
  </si>
  <si>
    <t>woman is showing how to play chords on wooden violin.</t>
  </si>
  <si>
    <t>v_lWFGSRpuopM</t>
  </si>
  <si>
    <t>Kids are driving around in bumper cars.</t>
  </si>
  <si>
    <t>The cars crash into each other.</t>
  </si>
  <si>
    <t>The kid in the green car crashes into the wall.</t>
  </si>
  <si>
    <t>v_Igpy_o0h3Cs</t>
  </si>
  <si>
    <t>A woman wear curls shows how to wrap pieces of fabric on a roller.</t>
  </si>
  <si>
    <t>The woman unrolls the curls from her hair.</t>
  </si>
  <si>
    <t>The woman combs out her hair using her hands.</t>
  </si>
  <si>
    <t>v_mEsW__Np9Xo</t>
  </si>
  <si>
    <t>People are riding horses around an arena.</t>
  </si>
  <si>
    <t>People are standing outside the arena watching them.</t>
  </si>
  <si>
    <t>The people watching turn around and look behind them.</t>
  </si>
  <si>
    <t>v_v2iIR1YLdz4</t>
  </si>
  <si>
    <t>A man is doing gymnastics in a living room.</t>
  </si>
  <si>
    <t>He is doing hand stands on a couple of bars on the ground.</t>
  </si>
  <si>
    <t>The bars are made from pvc pipes.</t>
  </si>
  <si>
    <t>v_LbGr5TjfTBY</t>
  </si>
  <si>
    <t>A cooker talks in a kitchen and shows the inside of a sharpener knife that has discs inside.</t>
  </si>
  <si>
    <t>Then, the man puts a knife in the sharpener knife to sharpen.</t>
  </si>
  <si>
    <t>After, the man wash and dry the knife.</t>
  </si>
  <si>
    <t>v_kF-J9mKwA8A</t>
  </si>
  <si>
    <t>A young boy playing a large drum game concentrates while the camera watches him play.</t>
  </si>
  <si>
    <t>Other people walk in and out of frame from the boy while he continuously plays the game on the drum.</t>
  </si>
  <si>
    <t>Another boy holding a drink walks into frame and watches the boy play the game.</t>
  </si>
  <si>
    <t>v_gR9qUDlytF8</t>
  </si>
  <si>
    <t>A large group of people are walking towards the camera and they look like they're in a small village.</t>
  </si>
  <si>
    <t>As the people get closer we see a man and a child are holding onto a saddle attached to a camel and riding on it while another man holds the leash and guides the camel.</t>
  </si>
  <si>
    <t>The camel passes the camera person and we get a view of the camel walking away and a view of a different side of the area that looks like a village.</t>
  </si>
  <si>
    <t>v_4w7sVSMbjyM</t>
  </si>
  <si>
    <t>A shot of a snowy area is shown followed by two people hoping along the area and speaking to the camera.</t>
  </si>
  <si>
    <t>More shots are shown of the men hopping around on snowboards in various locations as well as speaking to the camera and showing pictures of the people as well as footage of them riding around.</t>
  </si>
  <si>
    <t>v_cGEhbEHCQyE</t>
  </si>
  <si>
    <t>Many men are in a building playing a group of ice hockey against each other.</t>
  </si>
  <si>
    <t>As they continue to play,the referee begins to skate back and forth on the side in circles.</t>
  </si>
  <si>
    <t>After several starts and finishes,the games keeps going and the goalie is successful in blocking the puck each and every time.</t>
  </si>
  <si>
    <t>v_zwx1Kig4nXg</t>
  </si>
  <si>
    <t>We see a baby spining in a room with adults watching.</t>
  </si>
  <si>
    <t>An adult dances with the baby.</t>
  </si>
  <si>
    <t>Two adults hold the babies hands and dance.</t>
  </si>
  <si>
    <t>The baby is twirled in a circle.</t>
  </si>
  <si>
    <t>The baby is twirled again.</t>
  </si>
  <si>
    <t>The baby dances alone again.</t>
  </si>
  <si>
    <t>The baby picks up a toy dog and dances with it.</t>
  </si>
  <si>
    <t>v_n0meVEbpXak</t>
  </si>
  <si>
    <t>Kids are riding small dirt bikes around a track.</t>
  </si>
  <si>
    <t>A kid falls over and people help them up.</t>
  </si>
  <si>
    <t>v_jIsGq431gBs</t>
  </si>
  <si>
    <t>A bunch of people are meeting in a raft shop.</t>
  </si>
  <si>
    <t>They all meet in a room to put on helmets and get together their equipment.</t>
  </si>
  <si>
    <t>They all go for a long walk together, including down a large flight of stairs.</t>
  </si>
  <si>
    <t>They reach a long line of rafts by the water, where they get in and begin rafting.</t>
  </si>
  <si>
    <t>The people are white water rafting down a turbulent river, using their paddles in unison, going down small waterfalls together.</t>
  </si>
  <si>
    <t>They all stop to have lunch under an outdoor pavilion at the end of their adventure.</t>
  </si>
  <si>
    <t>v_bmf7otW5TQo</t>
  </si>
  <si>
    <t>A teen performs pommel horse spinning around, then jumps on the floor and goes to get power from a container.</t>
  </si>
  <si>
    <t>After, the teen gets again on the pommel horse and spins many times, while the jury observes.</t>
  </si>
  <si>
    <t>People walk behind the jury.</t>
  </si>
  <si>
    <t>Next, the teen stands on his hands and jumps to the mat.</t>
  </si>
  <si>
    <t>v_nyjtOdSyHn4</t>
  </si>
  <si>
    <t>A woman wearing a wig is seen blindfolding another girl while others watch on the sides.</t>
  </si>
  <si>
    <t>Kids are playing on the bouncehouse and a woman spins around the blindfolded girl.</t>
  </si>
  <si>
    <t>The girl swings around at a pinata and hits then walks away.</t>
  </si>
  <si>
    <t>v_-ceM4HHukhE</t>
  </si>
  <si>
    <t>A man sits down on an exercise machine.</t>
  </si>
  <si>
    <t>He begins working out on the machine.</t>
  </si>
  <si>
    <t>A man in a tan shirt stands behind him.</t>
  </si>
  <si>
    <t>v_DK271OQnNRA</t>
  </si>
  <si>
    <t>Three people go tubing down a rapid.</t>
  </si>
  <si>
    <t>They get stuck on the rocks, then push off and continue floating.</t>
  </si>
  <si>
    <t>v_4DFKpHF2aq4</t>
  </si>
  <si>
    <t>There's a young man wearing a black hoodie and hat out in the wilderness.</t>
  </si>
  <si>
    <t>He takes an umbrella in his hand and then tosses it behind him.</t>
  </si>
  <si>
    <t>Then he walks on a tight rope and tries to balance himself.</t>
  </si>
  <si>
    <t>There are some other men doing the same thing out in the wilderness, trying to balance themselves and walk on tight ropes.</t>
  </si>
  <si>
    <t>v_omLZQlz1PAo</t>
  </si>
  <si>
    <t>An elderly couple are dancing alone on a gymnasium floor while a line of people at a table watch.</t>
  </si>
  <si>
    <t>They spin and dance happily, and the crowd claps as they finish and walk away.</t>
  </si>
  <si>
    <t>v_c0Cn3HFXpLs</t>
  </si>
  <si>
    <t>Three men playing a game of racquetball are in a court surrounded by white walls.</t>
  </si>
  <si>
    <t>The man in white serves, followed by the man in the hat scoring on his serve.</t>
  </si>
  <si>
    <t>The man in the yellow shorts is next and manages to take the game over, serving several times to close the video.</t>
  </si>
  <si>
    <t>v_jsxrJJkUl2E</t>
  </si>
  <si>
    <t>A group of four men talk in front of a camera.</t>
  </si>
  <si>
    <t>There is an animated sequence.</t>
  </si>
  <si>
    <t>They continue to talk in front of the camera.</t>
  </si>
  <si>
    <t>Two of them stand holding a rake and they play rock paper scissors.</t>
  </si>
  <si>
    <t>One loses the game and jumps on the rake.</t>
  </si>
  <si>
    <t>Replays of him jumping on the rake.</t>
  </si>
  <si>
    <t>The other two hold the rake and play rock paper scissors.</t>
  </si>
  <si>
    <t>A different person loses and jumps on the rake.</t>
  </si>
  <si>
    <t>They show replays again of him jumping on it.</t>
  </si>
  <si>
    <t>A different set of guys hold the rake and play rock paper scissors again.</t>
  </si>
  <si>
    <t>One loses and jumps on the rake again.</t>
  </si>
  <si>
    <t>They show replays of him jumping on the rake.</t>
  </si>
  <si>
    <t>The other guy then jumps on the rake.</t>
  </si>
  <si>
    <t>They once again show replays.</t>
  </si>
  <si>
    <t>All four are once again talking in front of the camera.</t>
  </si>
  <si>
    <t>It ends with other videos of their you tube channel.</t>
  </si>
  <si>
    <t>v_8wDm37sdBCI</t>
  </si>
  <si>
    <t>A person is down below and is swinging a fabric and hitting it onto something.</t>
  </si>
  <si>
    <t>A wide shot of a city is shown from the from above.</t>
  </si>
  <si>
    <t>The view pans to other parts of the city and then zooms on other people hitting fabric onto an object as well.</t>
  </si>
  <si>
    <t>v_zzxYEZkahBU</t>
  </si>
  <si>
    <t>A person is throwing a disk down a strip of land.</t>
  </si>
  <si>
    <t>A woman in a brown shirt is holding a red cup.</t>
  </si>
  <si>
    <t>A boy pushes a ball with a stick.</t>
  </si>
  <si>
    <t>A man in a black shirt is holding a stick.</t>
  </si>
  <si>
    <t>A boy in a white shirt smiles at the camera.</t>
  </si>
  <si>
    <t>v_bX-PSFlwV5s</t>
  </si>
  <si>
    <t>A man is seen speaking to the camera while holding up a tool.</t>
  </si>
  <si>
    <t>A person is then seen peeling off a roof using the roof and speaking out loud.</t>
  </si>
  <si>
    <t>The man continues to take apart the roof.</t>
  </si>
  <si>
    <t>v_UCmycSotoy4</t>
  </si>
  <si>
    <t>A group of people are playing in white water kayaks.</t>
  </si>
  <si>
    <t>The person in the red tries to flip.</t>
  </si>
  <si>
    <t>A person in green attempts the same thing.</t>
  </si>
  <si>
    <t>The person in the red then has their front in the air for a long time.</t>
  </si>
  <si>
    <t>v_qoSn8oUMBSE</t>
  </si>
  <si>
    <t>A large group of people are seen walking out onto a field with a crowd cheering behind them.</t>
  </si>
  <si>
    <t>The men then begin playing a game of soccer and kicking the ball around the field.</t>
  </si>
  <si>
    <t>Several shots are shown of people scoring goals as well as others celebrating and holding one another.</t>
  </si>
  <si>
    <t>v_-vqefJDOxkw</t>
  </si>
  <si>
    <t>Several spectators watch as a man does track and field.</t>
  </si>
  <si>
    <t>The video with a man who begins running down the track.</t>
  </si>
  <si>
    <t>As he reaches the dirt section, he he does three jumps.</t>
  </si>
  <si>
    <t>On his final jump, he extends his legs to try and jump as far as possible.</t>
  </si>
  <si>
    <t>The video ends after he lands and he is shown smacking the ground.</t>
  </si>
  <si>
    <t>v_ahOnhEvMgq0</t>
  </si>
  <si>
    <t>The camera pans around a man standing in front of a ping pong table and begins playing a match with another man.</t>
  </si>
  <si>
    <t>The men continue hitting the ball back and fourth while various people watch him on the side.</t>
  </si>
  <si>
    <t>v_6XINT0LDdz8</t>
  </si>
  <si>
    <t>A gymnast is seen looking off into the distance and standing before a set of uneven bars.</t>
  </si>
  <si>
    <t>The man then jumps up onto the bars and begins swinging himself back and fourth.</t>
  </si>
  <si>
    <t>The man continues to swing around and ends by jumping down.</t>
  </si>
  <si>
    <t>v_rlWN8PZMbfY</t>
  </si>
  <si>
    <t>A woman washes her hands at a sink.</t>
  </si>
  <si>
    <t>The woman towels her hands dry.</t>
  </si>
  <si>
    <t>The camera shows a closeup of her dropping liquid into a contact lens.</t>
  </si>
  <si>
    <t>The contact lens is held up for inspection.</t>
  </si>
  <si>
    <t>The woman rubs the contact lens with the fluid.</t>
  </si>
  <si>
    <t>The woman puts the lens on.</t>
  </si>
  <si>
    <t>The woman removes the lens.</t>
  </si>
  <si>
    <t>The lens is held up for inspection.</t>
  </si>
  <si>
    <t>The woman removes the lens from her eye again.</t>
  </si>
  <si>
    <t>The woman cleans the lens with solution.</t>
  </si>
  <si>
    <t>The woman places the lens into a container.</t>
  </si>
  <si>
    <t>v_xYt__nSK8NA</t>
  </si>
  <si>
    <t>A young woman is seen looking to the camera smoking a cigarette and laughing to the camera.</t>
  </si>
  <si>
    <t>She continues taking puffs off the cigarette while looking into the camera and blowing smoke.</t>
  </si>
  <si>
    <t>v_7n1L0evoi34</t>
  </si>
  <si>
    <t>In Home Pet Groomers demonstrate how to groom a pet.</t>
  </si>
  <si>
    <t>The person is demonstrating how the dog's hair is trimmed with electric shears at their grooming salon.</t>
  </si>
  <si>
    <t>v_aVJRaXUjsEE</t>
  </si>
  <si>
    <t>Two men stand on the far left of a beer pong table.</t>
  </si>
  <si>
    <t>One of the men throws a beer pong ball across the table, into a cup.</t>
  </si>
  <si>
    <t>The other man with him throws a ball across the table, too.</t>
  </si>
  <si>
    <t>Two other men stand on the far right side of the beer pong table, and one of the men reaches to grab the cup where the ball fell into, and the other man bends down to catch a ball that has fallen on the floor.</t>
  </si>
  <si>
    <t>v_4Fxj9ObTMw8</t>
  </si>
  <si>
    <t>A girl leans over a sink, and a boy walks up to talk to her.</t>
  </si>
  <si>
    <t>She starts laughing and jumping up and down.</t>
  </si>
  <si>
    <t>The boy seems equally excited, and she smiles at the camera.</t>
  </si>
  <si>
    <t>v_rt3t2n6K_ww</t>
  </si>
  <si>
    <t>A young girl with a ponytail plays a drumkit, she appears to a trained musician.</t>
  </si>
  <si>
    <t>The girl focuses on one particular drum.</t>
  </si>
  <si>
    <t>The girl continues to play different parts of the drumkit.</t>
  </si>
  <si>
    <t>v_3DQTz4Ke50Q</t>
  </si>
  <si>
    <t>A truck is seen backing up and blowing leaves around while the camera captures the area around the truck.</t>
  </si>
  <si>
    <t>The truck is seen again in several locations backing up and pushing leaves back away from the truck.</t>
  </si>
  <si>
    <t>v_8ofNg0y8w60</t>
  </si>
  <si>
    <t>Two people are playing a tennis match on a blue court.</t>
  </si>
  <si>
    <t>The man in the blue shirt misses the ball and walks away to talk to someone.</t>
  </si>
  <si>
    <t>They replay the video of him missing the ball.</t>
  </si>
  <si>
    <t>A man in a white shirt sits on a chair with a microphone.</t>
  </si>
  <si>
    <t>They restart another tennis match.</t>
  </si>
  <si>
    <t>v_IpCYVZ-sMTc</t>
  </si>
  <si>
    <t>A man is seen speaking to the camera while holding a ski and pointing around it in various locations.</t>
  </si>
  <si>
    <t>The man continues speaking while rubbing down the ski with lotion and ending by presenting it to the screen.</t>
  </si>
  <si>
    <t>v_thvpt_lUxTI</t>
  </si>
  <si>
    <t>Two buses are parked in a parking lot.</t>
  </si>
  <si>
    <t>People are walking in front of it in the snow.</t>
  </si>
  <si>
    <t>A person is shoveling the snow in front of them.</t>
  </si>
  <si>
    <t>v_G5HZX5i26us</t>
  </si>
  <si>
    <t>An older woman is seen sitting in a chair with a needle in her hands.</t>
  </si>
  <si>
    <t>The woman then begins sowing while the camera captures her movements.</t>
  </si>
  <si>
    <t>The woman continues sowing and the camera watches from the side.</t>
  </si>
  <si>
    <t>v_06dIgOEgYp0</t>
  </si>
  <si>
    <t>A woman stands in snow with the words "Fat Girl Snowboarding" overlaid.</t>
  </si>
  <si>
    <t>A long typed message about her reason of wanting to snowboard.</t>
  </si>
  <si>
    <t>She makes several attempts down the snowy hill and falls many times.</t>
  </si>
  <si>
    <t>v_42i3phJnY4M</t>
  </si>
  <si>
    <t>a bullfighter holding a red cloth is in field.</t>
  </si>
  <si>
    <t>a bull is running to the red cloth of the bullfighter.</t>
  </si>
  <si>
    <t>a lot of people are sitting on stands watching the bullfighter.</t>
  </si>
  <si>
    <t>v_FDIYymZEFi0</t>
  </si>
  <si>
    <t>A young boy is seen pouring soap into his hands and scrubbing his hands above a sink.</t>
  </si>
  <si>
    <t>He then grabs a paper towel and dries off his hands.</t>
  </si>
  <si>
    <t>v_siMXfU6NPlE</t>
  </si>
  <si>
    <t>Couples dance on a dance floor during a party in front of a stage.</t>
  </si>
  <si>
    <t>The man spins his partner around while dancing.</t>
  </si>
  <si>
    <t>A man on the right dances swinging his arms back and fourth.</t>
  </si>
  <si>
    <t>v_LAbzDJZtSvQ</t>
  </si>
  <si>
    <t>A man is standing in the woods, talking.</t>
  </si>
  <si>
    <t>He uses an ax to hit a large piece of wood.</t>
  </si>
  <si>
    <t>He splits the wood into logs with the ax.</t>
  </si>
  <si>
    <t>v_dcARAWmvWSo</t>
  </si>
  <si>
    <t>We see men working on a roof on a ranch style house.</t>
  </si>
  <si>
    <t>We see the supplies on the ground.</t>
  </si>
  <si>
    <t>We see the men on the front part of the roof.</t>
  </si>
  <si>
    <t>We see a man throwing shingles into a trailer on the ground.</t>
  </si>
  <si>
    <t>We see the rolls of roofing materials.</t>
  </si>
  <si>
    <t>We see a man throwing shingles into a trailer.</t>
  </si>
  <si>
    <t>Three men throw shingles off the roof.</t>
  </si>
  <si>
    <t>v_GqrEVe0c6PQ</t>
  </si>
  <si>
    <t>A setting of glasses with lemon water are set on a place mat with a whole lemon.</t>
  </si>
  <si>
    <t>Lemon slices are scooped from a jar and placed into drinking glasses on a steel counter top.</t>
  </si>
  <si>
    <t>Steaming hot water is poured over the lemons in the glasses.</t>
  </si>
  <si>
    <t>The glasses are stirred with a stirring rod.</t>
  </si>
  <si>
    <t>The glasses are seen set on the table and are slowly panned over from right to left.</t>
  </si>
  <si>
    <t>v_1F_CSpL_4Dg</t>
  </si>
  <si>
    <t>A couple is seen with a crowd, going up a snow covered hill.</t>
  </si>
  <si>
    <t>They tube down the snowy hills.</t>
  </si>
  <si>
    <t>The people slide down steep fast curves on the intertubes.</t>
  </si>
  <si>
    <t>v_DXu_aHrZaUs</t>
  </si>
  <si>
    <t>A sign board is seen with a company logo and contact information.</t>
  </si>
  <si>
    <t>A construction worker screws down floor baseboards.</t>
  </si>
  <si>
    <t>A construction worker uses a handheld scraper to apply plaster to the bare floor.</t>
  </si>
  <si>
    <t>A worker places tiles onto the floor and uses plastic cross spacers in the groves.</t>
  </si>
  <si>
    <t>A heavy weight roller is rolled over the newly placed tiles.</t>
  </si>
  <si>
    <t>The finished floor is seen after the job is done.</t>
  </si>
  <si>
    <t>v_9fh_ray_B80</t>
  </si>
  <si>
    <t>A few guys are sitting near a cliff.</t>
  </si>
  <si>
    <t>A man is climbing a cliff with all limbs.</t>
  </si>
  <si>
    <t>The man that is climbing falls and begins to laugh.</t>
  </si>
  <si>
    <t>v_4M4MXPP9oRY</t>
  </si>
  <si>
    <t>There are several people gathered to watch a competitive game of water polo on a sunny day.</t>
  </si>
  <si>
    <t>There are two teams in an outdoor swimming pool playing against each other.</t>
  </si>
  <si>
    <t>The spectators are watching and cheering for the players.</t>
  </si>
  <si>
    <t>the players are playing with a yellow colored ball.</t>
  </si>
  <si>
    <t>After one of the team scores a point, the fellow teammates cheer for them.</t>
  </si>
  <si>
    <t>The winning team scores more points and receives applause from the crowd.</t>
  </si>
  <si>
    <t>v_Hfd5sxW8Clg</t>
  </si>
  <si>
    <t>Several contestants are on a stage standing behind a podium made to look like a Rubik cube.</t>
  </si>
  <si>
    <t>A boy then places a blind fold on his forehead as a man stand to his left examining his every move.</t>
  </si>
  <si>
    <t>The cube is then picked up off the counter and the timer begins as he attempts to solve the puzzle.</t>
  </si>
  <si>
    <t>After thirty five seconds,he pulls the blind fold down over his eyes and continues to try and solve the cube.</t>
  </si>
  <si>
    <t>A minute and fifteen seconds has passed and the boy puts the cube down and the timer stops.</t>
  </si>
  <si>
    <t>Everybody is extremely happy for him and begin and congratulates him as the other opponents are still attempting to solve theirs.</t>
  </si>
  <si>
    <t>v_QuaoqO4JgKY</t>
  </si>
  <si>
    <t>A young boy is seen walking to the end of a diving board and jumping off the side.</t>
  </si>
  <si>
    <t>The boy comes up from the surface and another boy is seen walking to the end of the board.</t>
  </si>
  <si>
    <t>v_KlIAmoVrptA</t>
  </si>
  <si>
    <t>A brunette woman is smiling and talking while standing in a bathroom with just her chest up visible and a quick banner on the bottom of the screen say's her name is "Aubrey Morgan".</t>
  </si>
  <si>
    <t>The woman is now standing up and with just her legs visible and wearing shorts, she's holding a razor up and showing it in different angles, and close ups, the text on the screen reads "Good Quality Razor".</t>
  </si>
  <si>
    <t>The woman begins to wash her legs while still standing up, exfoliates, and then applies a thick layer of shaving cream all over her leg, fans her leg, and then begins shaving her legs from the ankle and the knee and then rinses her razor.</t>
  </si>
  <si>
    <t>The woman holds up a disposable razor, then holds up a reusable razor and shows that the razor can be popped up.</t>
  </si>
  <si>
    <t>The woman is standing again and is now applying lotion to her leg.</t>
  </si>
  <si>
    <t>The woman is now standing with just her upper body showing and is smiling and talking.</t>
  </si>
  <si>
    <t>v_peoMXSP3VgY</t>
  </si>
  <si>
    <t>Mountains are seen in the background and a boy rides in a car.</t>
  </si>
  <si>
    <t>Skateboarders ride down through a parking garage together.</t>
  </si>
  <si>
    <t>The skateboards ride down a hill the skid at the bottom.</t>
  </si>
  <si>
    <t>The boy sets his board standing upright.</t>
  </si>
  <si>
    <t>A boy skateboards through the bleachers of a stadium.</t>
  </si>
  <si>
    <t>v_nGsRDNIsc2o</t>
  </si>
  <si>
    <t>People are sitting on exercise bikes and working out.</t>
  </si>
  <si>
    <t>A woman puts something on the side of the leg of a man working out.</t>
  </si>
  <si>
    <t>A man in a black suit talks in front of a television.</t>
  </si>
  <si>
    <t>v_Gdf7ZWhh9Nw</t>
  </si>
  <si>
    <t>A person is seen scrubbing down the mane of a horse's fur and leads into washing him and spray him.</t>
  </si>
  <si>
    <t>The camera shows shots of the liquid and then shows the woman scrubbing down and washing the horse.</t>
  </si>
  <si>
    <t>She walks the horse away and shakes the bottle, showing more shots of her cleaning the horse with the bottle shown intermittent.</t>
  </si>
  <si>
    <t>v_stkWKPWbQpE</t>
  </si>
  <si>
    <t>A man holding a baton and wearing glittery tights is standing on a basketball court and is doing a routine of baton twirling, flips, and dramatic dances.</t>
  </si>
  <si>
    <t>The man twirls the baton very quickly and unexpectedly drops it.</t>
  </si>
  <si>
    <t>The man quickly recovers and picks up the baton and continues his routine like he's never dropped it in the first place and throws the baton high up into the air and does numerous spins and quickly catches the baton before it hits the ground.</t>
  </si>
  <si>
    <t>The man ends his routine in a sitting position with his legs spread apart, his head thrown back and the baton resting on his right and between his legs.</t>
  </si>
  <si>
    <t>v_NgBfcoVZ254</t>
  </si>
  <si>
    <t>The building is being shown then the clock tower.</t>
  </si>
  <si>
    <t>The young people are walking on the walkway in front of the building.</t>
  </si>
  <si>
    <t>A young man is skateboarding on the road, going side to side moving his feet on the board.</t>
  </si>
  <si>
    <t>v_IxrncvpPWV8</t>
  </si>
  <si>
    <t>A group of several teen boys are playing a game of tug of war.</t>
  </si>
  <si>
    <t>They pull hard until the rope gives, and they win the game.</t>
  </si>
  <si>
    <t>v_Acogo5mgX4Q</t>
  </si>
  <si>
    <t>The scene is of a neighborhood surrounded by tall trees and a pile of dead leaves next to a leaf catcher.</t>
  </si>
  <si>
    <t>A man holding a rattle puts leaves in bags attached to a leaf catcher.</t>
  </si>
  <si>
    <t>Also, the man use the leaf catcher to collect trash in a bag.</t>
  </si>
  <si>
    <t>v_kYZSCs-ILNQ</t>
  </si>
  <si>
    <t>A man wearing a white shirt is holding a tennis racket.</t>
  </si>
  <si>
    <t>He starts hitting tennis balls with his tennis racket.</t>
  </si>
  <si>
    <t>v_GycRQhoHnXw</t>
  </si>
  <si>
    <t>A large group of women are seen standing in a room and begin belly dancing.</t>
  </si>
  <si>
    <t>The woman dance with one another performing the same routine and one woman dancing in front.</t>
  </si>
  <si>
    <t>The women continue dancing with one another and end by walking around.</t>
  </si>
  <si>
    <t>v_E9hFBWDR12A</t>
  </si>
  <si>
    <t>person is walking inside a house to an open field holding a baseball bat.</t>
  </si>
  <si>
    <t>perso is walking with a handle stick behind some men running around the field.</t>
  </si>
  <si>
    <t>some papers are shown and women selling lacrosse tshirts, in a game, people are gathered around the field.</t>
  </si>
  <si>
    <t>players walks from the dressing rooms and are in the field playig.</t>
  </si>
  <si>
    <t>players are stading in line clapping at the end of the game, results are shown in the end.</t>
  </si>
  <si>
    <t>v_jIYRVlrXJgc</t>
  </si>
  <si>
    <t>Two players are playing a game of racket ball.</t>
  </si>
  <si>
    <t>One female takes a swing at the ball and hits it.</t>
  </si>
  <si>
    <t>The other female takes a swing at the ball and misses and hits herself instead.</t>
  </si>
  <si>
    <t>She then sits down on the floor while the other person comes to turn the camera off.</t>
  </si>
  <si>
    <t>v_P3BkKdkf43I</t>
  </si>
  <si>
    <t>A young man is seen standing in the middle of a room and holding a tennis racket up in the air.</t>
  </si>
  <si>
    <t>Himself and a man are then seen hitting the tennis ball around while running around the room.</t>
  </si>
  <si>
    <t>The boy runs away from the man and towards the camera in the end.</t>
  </si>
  <si>
    <t>v_WMdeqUyHWSo</t>
  </si>
  <si>
    <t>A large group of people are standing together while a women in a beautiful dress speaks.</t>
  </si>
  <si>
    <t>Various people in costume are shown and a girl runs around playing with a kite.</t>
  </si>
  <si>
    <t>Several kites are shown up in the air while other children play with them.</t>
  </si>
  <si>
    <t>Hundreds of kites are shown in the air for a festival and a man interviews his experience with the kites.</t>
  </si>
  <si>
    <t>Several people stop and look around and the city pans over the night.</t>
  </si>
  <si>
    <t>v_3CJW0qBwwx4</t>
  </si>
  <si>
    <t>A man is seen kneeling down beside a car spraying a hose on the car.</t>
  </si>
  <si>
    <t>He uses a sponge to clean around the car while others clean around the sides.</t>
  </si>
  <si>
    <t>More shots are shown of them cleaning the inside as well as under the hood while the camera pans around.</t>
  </si>
  <si>
    <t>v_s07U8_fkUWU</t>
  </si>
  <si>
    <t>women are playing voleyball in a wooden court.</t>
  </si>
  <si>
    <t>peolpe are siting in chairs around the court watching the girls.</t>
  </si>
  <si>
    <t>referees are standing on sides of the court holding flags and watching the game no stairs.</t>
  </si>
  <si>
    <t>v_jN-FG9yxNvE</t>
  </si>
  <si>
    <t>"Fitness for Life 365" appears on the screen.</t>
  </si>
  <si>
    <t>A panning up of the inside of a gym is shown as there is a man climbing monkey bars going backwards.</t>
  </si>
  <si>
    <t>He then goes back and forth to continue his workout.</t>
  </si>
  <si>
    <t>The video then fades to a black screen and asks you to subscribe to their youtube channel.</t>
  </si>
  <si>
    <t>v_Pt0CjFgzpxM</t>
  </si>
  <si>
    <t>The video shows a tutorial on how to install ceramic tiles using concrete.</t>
  </si>
  <si>
    <t>A person wearing an orange vest and black pants is working on tiling a room in a house.</t>
  </si>
  <si>
    <t>He is kneeling down next to a pile of white square ceramic tiles and a bucket filled with grout and cement.</t>
  </si>
  <si>
    <t>He is smearing the floor with cement with a trowel.</t>
  </si>
  <si>
    <t>Then he places the square tiles next to each other in a straight line, making sure they are fitted tightly together.</t>
  </si>
  <si>
    <t>He removes more tiles from the box to places them on the wet cement, making sure they are properly aligned with each other.</t>
  </si>
  <si>
    <t>He continues placing the tiles to fill in all the gaps until the entire room is fully covered with the white tiles.</t>
  </si>
  <si>
    <t>v_z9uVyf0D8eM</t>
  </si>
  <si>
    <t>A man is seen playing a set of bag pipes to the camera while moving his hands up and down.</t>
  </si>
  <si>
    <t>The man continues playing the instrument in the room and ends by moving his hands down.</t>
  </si>
  <si>
    <t>v_WSKx2EK_Bqc</t>
  </si>
  <si>
    <t>A man is sitting down with a microphone attached to his ears and starts to talk about the congas in front of him.</t>
  </si>
  <si>
    <t>Once he is done talking,the man begins to play and hits the congas back and forth.</t>
  </si>
  <si>
    <t>In between his performance,he takes briefs breaks and talks before continuing playing.</t>
  </si>
  <si>
    <t>Now,he has on head phones and starts to play the congas straight through with no interruptions.</t>
  </si>
  <si>
    <t>v__uPVFvEQocU</t>
  </si>
  <si>
    <t>I woman talks to the camera while holding a ping pong ball and standing by a ping pong table, interspersed with closeups of short demonstrations of technique.</t>
  </si>
  <si>
    <t>The woman retrieves a new ball.</t>
  </si>
  <si>
    <t>The woman retrieves two balls, then gets rid of one.</t>
  </si>
  <si>
    <t>The woman retrieves another ball.</t>
  </si>
  <si>
    <t>v_WbZpWiPCHVU</t>
  </si>
  <si>
    <t>Coffee is spilled on the carpet.</t>
  </si>
  <si>
    <t>A person carpet cleans the carpet.</t>
  </si>
  <si>
    <t>They then clean seats of a car.</t>
  </si>
  <si>
    <t>They empty the water into the sink.</t>
  </si>
  <si>
    <t>They empty the bucket into another bucket.</t>
  </si>
  <si>
    <t>They vacuum up sprinkles off of the carpet.</t>
  </si>
  <si>
    <t>v_rVxxAI6wlXk</t>
  </si>
  <si>
    <t>A man grabs a suitcase out of a car.</t>
  </si>
  <si>
    <t>He lays down in a barber chair.</t>
  </si>
  <si>
    <t>A man starts shaving his beard with a razor.</t>
  </si>
  <si>
    <t>He wraps a towel around his face.</t>
  </si>
  <si>
    <t>v_OtcRXishIxw</t>
  </si>
  <si>
    <t>A young man is helping a young woman swing at a soccer pinata.</t>
  </si>
  <si>
    <t>They are on an outdoor green field at a school or community center.</t>
  </si>
  <si>
    <t>She keeps missing the pinata while her friends try to help her out.</t>
  </si>
  <si>
    <t>An adult is controlling the pinata trying to keep her from hitting it.</t>
  </si>
  <si>
    <t>She finally ends up finding where it generally is while her friends laugh at her and continue to try to help.</t>
  </si>
  <si>
    <t>She gets hit by the pinata and ends up being unsuccessful.</t>
  </si>
  <si>
    <t>v_Wiu7FVCc6DA</t>
  </si>
  <si>
    <t>A few men are in the woods running playing paintball.</t>
  </si>
  <si>
    <t>They are looking for the other to try to shoot them out, while staying close to their team mates.</t>
  </si>
  <si>
    <t>One of the men checks his gun and readjust his it and then keeps moving forward.</t>
  </si>
  <si>
    <t>He moves along to continue playing the game.</t>
  </si>
  <si>
    <t>v_lipavQnHm_g</t>
  </si>
  <si>
    <t>A man is standing on an indoor court with his racket in his right hand the racket ball in the left hand and is talking and motioning a lot.</t>
  </si>
  <si>
    <t>The man then drops the ball on the court, hits it, then catches it when it returns to him.</t>
  </si>
  <si>
    <t>The man continues to talk as he holds the ball and racket in his hands and the screen fades to black.</t>
  </si>
  <si>
    <t>v_yXzLQU_jS44</t>
  </si>
  <si>
    <t>A man is looking down and talking into the camera.</t>
  </si>
  <si>
    <t>The man removes his glasses and shows us how to insert contact lenses.</t>
  </si>
  <si>
    <t>The man shows the contact lens to the camera.</t>
  </si>
  <si>
    <t>The man inserts the contact and moves his eye around.</t>
  </si>
  <si>
    <t>The man shows his other contact.</t>
  </si>
  <si>
    <t>The man inserts the contact on the right and moves his eye around.</t>
  </si>
  <si>
    <t>v_J6-rLsT975U</t>
  </si>
  <si>
    <t>A man shovels snow in the winter.</t>
  </si>
  <si>
    <t>A timelapse photo is made and a path is cleared so a car can drive out.</t>
  </si>
  <si>
    <t>v_sOUNe30PXY4</t>
  </si>
  <si>
    <t>Two men are on top a ladder in a wrestling ring, a man is bend on the ladder.</t>
  </si>
  <si>
    <t>Then, the wrestler jumps over the man, and the man and the wrestler fall to the ring.</t>
  </si>
  <si>
    <t>The judge watch the men.</t>
  </si>
  <si>
    <t>v_Qwj7f4vqveo</t>
  </si>
  <si>
    <t>A kid takes a drink and swishes it around in their mouth.</t>
  </si>
  <si>
    <t>They spit it out into a sink.</t>
  </si>
  <si>
    <t>They take another drink out of a cup.</t>
  </si>
  <si>
    <t>They put their mouth on a towel.</t>
  </si>
  <si>
    <t>They take another drink and dump it out in the sink.</t>
  </si>
  <si>
    <t>They pick up the towel and wipe their face.</t>
  </si>
  <si>
    <t>They grab a cup and turn the sink on.</t>
  </si>
  <si>
    <t>v_Gc1Mk5UyECQ</t>
  </si>
  <si>
    <t>A lacrosse team goes to play a game.</t>
  </si>
  <si>
    <t>other highlights are shown.</t>
  </si>
  <si>
    <t>v_jIVP2bEWmJE</t>
  </si>
  <si>
    <t>A boy is standing in a kitchen with two pieces of bread.</t>
  </si>
  <si>
    <t>He opens the fridge and takes out sandwich ingredients.</t>
  </si>
  <si>
    <t>He squirts mustard and mayo onto the sandwich.</t>
  </si>
  <si>
    <t>He then adds meat and cheese.</t>
  </si>
  <si>
    <t>Afterward, he puts the ingredients back into the fridge, zeroing in on the sandwich on the counter.</t>
  </si>
  <si>
    <t>v_sLq6p6NKApk</t>
  </si>
  <si>
    <t>We see a man with a croquet mallet talking.</t>
  </si>
  <si>
    <t>The man lines up his shot of the red ball.</t>
  </si>
  <si>
    <t>The man hits the red ball.</t>
  </si>
  <si>
    <t>The man points at the blue ball the kneels in the grass.</t>
  </si>
  <si>
    <t>v_c-3fceLb7n4</t>
  </si>
  <si>
    <t>A group of friends play shuffle board on an indoor court.</t>
  </si>
  <si>
    <t>The group takes turns shooting pucks onto the shuffleboard court.</t>
  </si>
  <si>
    <t>v_g9b-kCC79kQ</t>
  </si>
  <si>
    <t>People are talking in a room.</t>
  </si>
  <si>
    <t>People are playing blackjack in a crowded casino.</t>
  </si>
  <si>
    <t>A man claps his hands and signs a paper.</t>
  </si>
  <si>
    <t>People continue to play blackjack.</t>
  </si>
  <si>
    <t>v_gPtpPiea0iQ</t>
  </si>
  <si>
    <t>A woman walks into a partially netted area.</t>
  </si>
  <si>
    <t>The woman stands preparing to hammer throw.</t>
  </si>
  <si>
    <t>The woman performs the hammer throw.</t>
  </si>
  <si>
    <t>The hammer is seen landing with judges walking towards it.</t>
  </si>
  <si>
    <t>The woman raises her arm.</t>
  </si>
  <si>
    <t>The woman walks out of the netted area.</t>
  </si>
  <si>
    <t>The woman raises her arm again.</t>
  </si>
  <si>
    <t>v_V8UMJTrfXdw</t>
  </si>
  <si>
    <t>Two people play foosball with a woman behind.</t>
  </si>
  <si>
    <t>One person scores and claps.</t>
  </si>
  <si>
    <t>v_o4uymxrCKeo</t>
  </si>
  <si>
    <t>A boy swings on a swing outdoors.</t>
  </si>
  <si>
    <t>He swings as high as he can with his legs out.</t>
  </si>
  <si>
    <t>v_cXVWUEcSx20</t>
  </si>
  <si>
    <t>A woman is seen sitting on a couch holding a hat and leads into her cutting the cat's claws.</t>
  </si>
  <si>
    <t>She then holds up a piece of paper as the cat runs away and she points to the paper.</t>
  </si>
  <si>
    <t>v_ULPw4uZcx5I</t>
  </si>
  <si>
    <t>A person is sitting in a tube with other people standing around and pushing the person down a snowy trail.</t>
  </si>
  <si>
    <t>The person flies down the trail in the tube with another person following down afterwards.</t>
  </si>
  <si>
    <t>v_c3vEqTcKPsU</t>
  </si>
  <si>
    <t>a journalist is interviewing a basketball player in a court.</t>
  </si>
  <si>
    <t>man is polishing the wooden floor.</t>
  </si>
  <si>
    <t>v_y1jyeWW-G4E</t>
  </si>
  <si>
    <t>a little girl is sitting in sand where she has been trying to make a sand castle.</t>
  </si>
  <si>
    <t>Adults and another girl laugh as they try to build something in the sand.</t>
  </si>
  <si>
    <t>v_-wFNUGYf298</t>
  </si>
  <si>
    <t>A young adult male punches and kicks a suspended punching bag.</t>
  </si>
  <si>
    <t>The young male then starts to move around the punching bag while still punching and kicking it.</t>
  </si>
  <si>
    <t>The young male then walks away while removing his gloves.</t>
  </si>
  <si>
    <t>v_2WzsyEvhPPI</t>
  </si>
  <si>
    <t>A man talking to the camera while holding a poster.</t>
  </si>
  <si>
    <t>He grabs various objects off the table and explains his instructions.</t>
  </si>
  <si>
    <t>He wraps a box with tin foil then writes on the box with a marker.</t>
  </si>
  <si>
    <t>He lays out more tin foil and wraps another object with it.</t>
  </si>
  <si>
    <t>He finishes wrapping all objects with tin foil and showing how.</t>
  </si>
  <si>
    <t>v_FujUrbL1qc0</t>
  </si>
  <si>
    <t>A man is sitting on a workout bench.</t>
  </si>
  <si>
    <t>He lays back and starts doing crunches.</t>
  </si>
  <si>
    <t>He sits back up on the machine and continues talking.</t>
  </si>
  <si>
    <t>v_sByOncVAMqg</t>
  </si>
  <si>
    <t>She stands on the beam, then does several hand springs and flips.</t>
  </si>
  <si>
    <t>v_3Y46yorcd5Q</t>
  </si>
  <si>
    <t>A large wave breaks in the ocean as surfers and surfers paddle over it.</t>
  </si>
  <si>
    <t>A large wave crashes in the ocean and a man rides down the face on body board.</t>
  </si>
  <si>
    <t>surfers ride waves in the ocean.</t>
  </si>
  <si>
    <t>A large wave breaks on shore and spectators run.</t>
  </si>
  <si>
    <t>v_CcBPELJaRlk</t>
  </si>
  <si>
    <t>Several people are divided up into groups on rafts kayaking through murky water.</t>
  </si>
  <si>
    <t>The first group of eight people paddle themselves near a cliff and go down the hill and the others trail behind them with the same actions.</t>
  </si>
  <si>
    <t>For the fifth group, an aerial view is provided and the others way for them to come.</t>
  </si>
  <si>
    <t>After, each group does the same thing as they maneuver throughout various parts of the water and hitting rocks.</t>
  </si>
  <si>
    <t>v_JLipYEVwKTg</t>
  </si>
  <si>
    <t>A woman wearing a leopard print jacket is sitting with a man in a hookah bar.</t>
  </si>
  <si>
    <t>The man kisses her as he leans forward.</t>
  </si>
  <si>
    <t>She is holding the hookah in her hand ready to take her first puff.</t>
  </si>
  <si>
    <t>After she inhales the hookah, she puffs out some smoke and coughs in discomfort.</t>
  </si>
  <si>
    <t>v_eEBiomp_9tQ</t>
  </si>
  <si>
    <t>A woman in a dress is walking up stairs.</t>
  </si>
  <si>
    <t>She takes her dress off and starts dancing.</t>
  </si>
  <si>
    <t>She is working out with other people on a step stool.</t>
  </si>
  <si>
    <t>v_XOEQfCu6KsE</t>
  </si>
  <si>
    <t>A man is seen walking around a field with a dog next to him.</t>
  </si>
  <si>
    <t>The man then grabs a frisbee and begins performing tricks with the dog.</t>
  </si>
  <si>
    <t>The man continues to throw around a frisbee with the dog while others watch on the side.</t>
  </si>
  <si>
    <t>v_f7qFnCkFIuQ</t>
  </si>
  <si>
    <t>A person is walking towards three people who are painting a fence black.</t>
  </si>
  <si>
    <t>The man asks the boy to see his work and pans the camera over to his wife.</t>
  </si>
  <si>
    <t>The man makes a joke to his wife and laughs off camera.</t>
  </si>
  <si>
    <t>v_VuGLqAda2hE</t>
  </si>
  <si>
    <t>A woman talks in a gym, then she drives a static bike.</t>
  </si>
  <si>
    <t>Then,the woman and other people lift weight.</t>
  </si>
  <si>
    <t>Then, the woman continues riding the bike and then lift weigh.</t>
  </si>
  <si>
    <t>v_qp3OfC0dCOs</t>
  </si>
  <si>
    <t>Outside in the backyard two little boys in matching swim suits are playing with nets trying to catch a ball.</t>
  </si>
  <si>
    <t>They are both trying to get the ball in their own net basically playfully fighting over whose going to get it.</t>
  </si>
  <si>
    <t>The dad comes and throws the ball over and the boys run after it.</t>
  </si>
  <si>
    <t>They continue to play and one of the little boys gets it in his net and trows it and when it lands they both go after it again.</t>
  </si>
  <si>
    <t>v_6cha8sVi65k</t>
  </si>
  <si>
    <t>Several hockey players leave a group, skating across the ice.</t>
  </si>
  <si>
    <t>They begin playing, shooting the puck back and forth, trying to get it to go into the enemy's goal.</t>
  </si>
  <si>
    <t>A goalie stands alone at his goal.</t>
  </si>
  <si>
    <t>Everyone gathers again as the referee signals them to play.</t>
  </si>
  <si>
    <t>v_CJKwvmOuhJk</t>
  </si>
  <si>
    <t>A person is seen standing before a sink wearing gloves.</t>
  </si>
  <si>
    <t>The woman looks back to the camera and smiles while holding a toothbrush.</t>
  </si>
  <si>
    <t>She then turns back to the sink full of dirty dishes.</t>
  </si>
  <si>
    <t>v_Szze8i9UsRo</t>
  </si>
  <si>
    <t>A person opens a round box and take off a bottle of nail polish and puts on holder.</t>
  </si>
  <si>
    <t>Then, the person puts a nail on a round support on the box, then paint her nails.</t>
  </si>
  <si>
    <t>After, the woman close the nail polish bottle.</t>
  </si>
  <si>
    <t>v_sWaU9O4xzFE</t>
  </si>
  <si>
    <t>A man and a woman get ready to play darts.</t>
  </si>
  <si>
    <t>Instructions on needed materials to play darts are displayed.</t>
  </si>
  <si>
    <t>The man and the woman walk to the dart board.</t>
  </si>
  <si>
    <t>They joke around getting ready to play darts.</t>
  </si>
  <si>
    <t>The man throws a dart.</t>
  </si>
  <si>
    <t>The woman follows after him.</t>
  </si>
  <si>
    <t>The woman throws three more darts.</t>
  </si>
  <si>
    <t>The man shows off his dart and demonstrates how to step.</t>
  </si>
  <si>
    <t>He throws the dart from afar.</t>
  </si>
  <si>
    <t>The position of the darts on the boars are shown.</t>
  </si>
  <si>
    <t>The man grabs the darts from the board.</t>
  </si>
  <si>
    <t>The woman throws some darts.</t>
  </si>
  <si>
    <t>The man follows after the woman.</t>
  </si>
  <si>
    <t>The woman does it again.</t>
  </si>
  <si>
    <t>The man returns to do the same.</t>
  </si>
  <si>
    <t>The woman throws them again.</t>
  </si>
  <si>
    <t>The man goes after her again.</t>
  </si>
  <si>
    <t>The woman goes once more and triumphantly wins.</t>
  </si>
  <si>
    <t>v_Mg3_BN9t9JY</t>
  </si>
  <si>
    <t>A woman is seen hosting a news segment and that leads into people riding around on horses.</t>
  </si>
  <si>
    <t>People are seen walking around an area with dogs stomping their feet as well as another man speaking to the camera.</t>
  </si>
  <si>
    <t>More shots are shown of the people playing the game on a horse as well as others speaking to the camera and getting a trophy.</t>
  </si>
  <si>
    <t>v_Hc--KcdMkEA</t>
  </si>
  <si>
    <t>A man stands in front of a podium talking.</t>
  </si>
  <si>
    <t>Two other men stand next to him.</t>
  </si>
  <si>
    <t>One of the two men digs in a fire pit where there was a fire and then pours water on it.</t>
  </si>
  <si>
    <t>The same man digs around in the pit with his hand looking for burning embers.</t>
  </si>
  <si>
    <t>v_n-i9nC6vxu0</t>
  </si>
  <si>
    <t>A body of water is shown below the trees.</t>
  </si>
  <si>
    <t>A person is walking on a slack line over the water.</t>
  </si>
  <si>
    <t>They get to the end of the slack line.</t>
  </si>
  <si>
    <t>v_ncTkaZcDcTo</t>
  </si>
  <si>
    <t>A skater girl in a white t-shirt and shorts tries to jump with her skateboard and falls backwards hitting her head.</t>
  </si>
  <si>
    <t>Two more skaters head around a curve, but one plows straight into a hay-stack, though luckily helmet-first.</t>
  </si>
  <si>
    <t>Another helmeted skater tries a hand-stop, and does stop, though unfortunately his skateboard does not.</t>
  </si>
  <si>
    <t>After a few more skating mishaps, the last performance is by a skater who doesn't feel the need for safety equipment and while headed straight down a hill, he flips off of his skateboard and spends several minutes checking on his various road-rashes.</t>
  </si>
  <si>
    <t>v_RVYINuYPY6o</t>
  </si>
  <si>
    <t>Three boys in a grass covered back yard take turns playing a game of cricket on the lawn.</t>
  </si>
  <si>
    <t>The boys take turns throwing and hitting the cricket ball, helping each other out by redistributing the ball back into the game when they land in the field.</t>
  </si>
  <si>
    <t>One of the boys puts on a football helmet and stands on the side lines catching the ball.</t>
  </si>
  <si>
    <t>v_mtQUYdj2Ecg</t>
  </si>
  <si>
    <t>A man attempts to lift a barbell.</t>
  </si>
  <si>
    <t>He bends at the knees, lifting it to his chest.</t>
  </si>
  <si>
    <t>He hits himself in the throat, falling backward.</t>
  </si>
  <si>
    <t>v_pJRUkudK6iE</t>
  </si>
  <si>
    <t>A textured intro screen appears and a logo of a shoe is displayed along with green words that say "VICKERMANN und STOYA".</t>
  </si>
  <si>
    <t>Two groups of supplies are shown and they include products from the company name in the intro screen that include brushes, a cloth, shoe shaper, shoelaces and a couple of small tin containers.</t>
  </si>
  <si>
    <t>A man wearing a green apron is untying shoelaces from a brown high shoe, then brushes it with a large brush, then he takes a smaller brush, dips it into a small container, then brushes it onto the shoe and the shoe looks very polished on any surface that he brushes.</t>
  </si>
  <si>
    <t>The man then picks up a white cloth and rubs it all over the shoe.</t>
  </si>
  <si>
    <t>The man puts the white cloth down, picks up a thick brush and brushes the shoe all over.</t>
  </si>
  <si>
    <t>Then he puts the shoe and the brush down, picks up the shoelace and laces the shoe.</t>
  </si>
  <si>
    <t>The man then picks up the polished shoe and unpolished shoe and puts them closer to the camera for a comparison then the same textured screen from the intro appears with the shoe log and the company name of "VICKERMANN und STOYA".</t>
  </si>
  <si>
    <t>v_CD8FFj8AJE0</t>
  </si>
  <si>
    <t>A man is seen speaking to the camera and leads into him wiping down another man's back.</t>
  </si>
  <si>
    <t>He rubs in lotion and then stands up with the man.</t>
  </si>
  <si>
    <t>The man holds a mirror up to his back and smiles back to the artist.</t>
  </si>
  <si>
    <t>v_Qxquum8p8S8</t>
  </si>
  <si>
    <t>There are some kids using a water pump to wash their hands at the Plumpton Park Zoo.</t>
  </si>
  <si>
    <t>There's a young boy in a black and white hoodie helping pump out water for another boy to wash his hands.</t>
  </si>
  <si>
    <t>Then he goes on help another young boy wearing a black hoodie to wash his hands.</t>
  </si>
  <si>
    <t>The three kids are having fun in the water as they wash their hands clean.</t>
  </si>
  <si>
    <t>v_1P_y_DLlg-E</t>
  </si>
  <si>
    <t>A lady stands in a yard holding a leaf blower before stepping over the cord.</t>
  </si>
  <si>
    <t>The lady blows the leafs as she walks around the yard.</t>
  </si>
  <si>
    <t>The lady points the tool at the camera and laugh.</t>
  </si>
  <si>
    <t>The lady continues to blow the leaves.</t>
  </si>
  <si>
    <t>v_QHJTOHgjDMw</t>
  </si>
  <si>
    <t>A girl walks into a room, seeing sheet music at a piano.</t>
  </si>
  <si>
    <t>She opens the piano and begins to play.</t>
  </si>
  <si>
    <t>She thinks about a couple while she is playing.</t>
  </si>
  <si>
    <t>v_bLqd98mmu3w</t>
  </si>
  <si>
    <t>A woman is scared of going in the water and says she cant do this.</t>
  </si>
  <si>
    <t>A group of people are sitting in a pool of water that is precariously close to the edge of a waterfall.</t>
  </si>
  <si>
    <t>The woman jumps in the water and everyone cheers.</t>
  </si>
  <si>
    <t>The group of people are laughing and talking while more people jump in the water.</t>
  </si>
  <si>
    <t>Scenes of the waterfall are viewed.</t>
  </si>
  <si>
    <t>v_MEuGzNPI1pw</t>
  </si>
  <si>
    <t>A man prepares for a gymnastics routine on the parallel bars.</t>
  </si>
  <si>
    <t>The crowd seems to approve when he flips and catches himself before then dismounting.</t>
  </si>
  <si>
    <t>v_qU_605hliNw</t>
  </si>
  <si>
    <t>A camera pans all around a wooded area and leads into two people riding around on skis.</t>
  </si>
  <si>
    <t>Several shots are shown of various people riding behind a boat on skis and performing tricks.</t>
  </si>
  <si>
    <t>The people continue riding as well as hanging on the side on a large pole.</t>
  </si>
  <si>
    <t>v_hyW_cjYi8P4</t>
  </si>
  <si>
    <t>A man is seen speaking to the camera while presenting various objects in front of him.</t>
  </si>
  <si>
    <t>The man then uses a marker to dig up the side of a table and fill it in.</t>
  </si>
  <si>
    <t>He shows how to use the pen on several objects while filling it in and sanding it afterwards.</t>
  </si>
  <si>
    <t>v_BC1ZIeZvFXw</t>
  </si>
  <si>
    <t>A boy is riding a long board down various road ways.</t>
  </si>
  <si>
    <t>He does a flip trick riding down one of the road ways.</t>
  </si>
  <si>
    <t>He winds back and fourth down the snowy road.</t>
  </si>
  <si>
    <t>He skateboards at night and the logo is shown.</t>
  </si>
  <si>
    <t>v_LxntXVcMxtc</t>
  </si>
  <si>
    <t>Two girls in karate class bow forward and then to each other before practice.</t>
  </si>
  <si>
    <t>The girl dodges an attack by taking a knee while blocking a hit.</t>
  </si>
  <si>
    <t>The karate students punch and block with their wrists.</t>
  </si>
  <si>
    <t>The girl does a standing spinning kicks.</t>
  </si>
  <si>
    <t>v_TXSNkjjTzdE</t>
  </si>
  <si>
    <t>A woman talks and fix her wet hair, also she shows a brush and a dry hair.</t>
  </si>
  <si>
    <t>The woman brush her hair on different directions using a hair dryer.</t>
  </si>
  <si>
    <t>Then, the woman stops and shows her hairstyle while talking.</t>
  </si>
  <si>
    <t>After, the woman shows the direction to comb hair, then uses a hair iron to straight the hair.</t>
  </si>
  <si>
    <t>v_gY5akj1YcMk</t>
  </si>
  <si>
    <t>A man does wave wheels in a canoe.</t>
  </si>
  <si>
    <t>He is shown doing downstream momentum, rolling over in his canoe.</t>
  </si>
  <si>
    <t>Now we see set edge and plant blade as he moves upstream.</t>
  </si>
  <si>
    <t>v_j_Xr8nLEjLQ</t>
  </si>
  <si>
    <t>A person stands on a rope, and then he jumps over a rope.</t>
  </si>
  <si>
    <t>The person jumps on his feet, as well on this butt and body.</t>
  </si>
  <si>
    <t>v_5QDwobEnN3g</t>
  </si>
  <si>
    <t>A family is seen sitting on the beach making sand castles with a object.</t>
  </si>
  <si>
    <t>People stand around to watch them work and the camera pans around the kids playing in the sand.</t>
  </si>
  <si>
    <t>v_iM8rmKLJnt8</t>
  </si>
  <si>
    <t>woman is painting the fence with white paint.</t>
  </si>
  <si>
    <t>man is painting a green bench in the park.</t>
  </si>
  <si>
    <t>v_ALjodjboELk</t>
  </si>
  <si>
    <t>A group of people are seen swimming around a pool with one man sitting on his head.</t>
  </si>
  <si>
    <t>More shots are shown of people close up swimming up the water as well as kneeling.</t>
  </si>
  <si>
    <t>A woman takes off her tank as well as putting it back and leads into them swimming more.</t>
  </si>
  <si>
    <t>v_PWrVWeH45Zo</t>
  </si>
  <si>
    <t>Boys are moping the tiled floor.</t>
  </si>
  <si>
    <t>A boy in short places his mop in a yellow bucket.</t>
  </si>
  <si>
    <t>A lady walks away with a long clear object in her hand.</t>
  </si>
  <si>
    <t>v_agr3ZKq1Iso</t>
  </si>
  <si>
    <t>Children ride in bumper cars on an amusement ride.</t>
  </si>
  <si>
    <t>One person follows close behind a car in front of him riding his bumper.</t>
  </si>
  <si>
    <t>The group gets stuck in a a large traffic jam after bumping each other.</t>
  </si>
  <si>
    <t>The cars turn around and get out of the traffic jam.</t>
  </si>
  <si>
    <t>A boy crashes into the back of a stopped car.</t>
  </si>
  <si>
    <t>v_39FIjDeot-s</t>
  </si>
  <si>
    <t>a lot of kids ar standing ni a basket court doing boxing movements.</t>
  </si>
  <si>
    <t>little girls are standing in the middle of a court practicing boxing.</t>
  </si>
  <si>
    <t>people are sitting on chairs in a wooden court.</t>
  </si>
  <si>
    <t>v_F4ERtlGMFt4</t>
  </si>
  <si>
    <t>A person is riding a bull in an arena.</t>
  </si>
  <si>
    <t>People are standing in an arena around a bull.</t>
  </si>
  <si>
    <t>A bull charges them and knocks them to the ground.</t>
  </si>
  <si>
    <t>v_H8f7pTaBFKk</t>
  </si>
  <si>
    <t>A man is seen scraping off a car that is covered with snow and speaking to the camera.</t>
  </si>
  <si>
    <t>The camera follows the man around as he continues to scrap off the car and speaking to the camera.</t>
  </si>
  <si>
    <t>v_0-F3q8Aj9Zk</t>
  </si>
  <si>
    <t>A teenage boy dances around in the background while another teenage boy wearing practices high jump in a school cafeteria.</t>
  </si>
  <si>
    <t>A teenage boy completes a high jump landing on his back on the mat.</t>
  </si>
  <si>
    <t>Several adults and teenagers are standing and sitting around the high jump mat while a boy in black does the high jump.</t>
  </si>
  <si>
    <t>The boy in black does another high jump while another teenage boy watches in the background.</t>
  </si>
  <si>
    <t>The same boy in black does a high jump while a taller boy in white walks past.</t>
  </si>
  <si>
    <t>The same high jump is shown slowly to point out mistakes the boy is making.</t>
  </si>
  <si>
    <t>A different boy wearing white does the high jump while other people stand and sit nearby.</t>
  </si>
  <si>
    <t>The high jump from the boy wearing white is replayed to point out mistakes.</t>
  </si>
  <si>
    <t>A third boy wearing blue does the high jump three times in a row with others in the background.</t>
  </si>
  <si>
    <t>A replay of the boy in blue is played to point out mistakes he is making.</t>
  </si>
  <si>
    <t>v_7kQ3JRkEQr0</t>
  </si>
  <si>
    <t>Two girls are standing up doing karate.</t>
  </si>
  <si>
    <t>People are sitting down watching them.</t>
  </si>
  <si>
    <t>A woman in a black robe is standing up next to them.</t>
  </si>
  <si>
    <t>v_R0sADQPdso8</t>
  </si>
  <si>
    <t>A lady speaks in front of a plaza.</t>
  </si>
  <si>
    <t>the lady hula hoops in short shorts and a tight shirt in a plaza and we see a timer in the upper right corner periodically.</t>
  </si>
  <si>
    <t>The timer reads The lady hula hoops for 2 minutes and seventeen seconds.</t>
  </si>
  <si>
    <t>The lady speaks to the camera again.</t>
  </si>
  <si>
    <t>We see the ending YouTube screen.</t>
  </si>
  <si>
    <t>v_DLfOiuxMstg</t>
  </si>
  <si>
    <t>A envelope with a key on it is shown.</t>
  </si>
  <si>
    <t>A woman wraps a book in brown paper.</t>
  </si>
  <si>
    <t>A woman in a gray sweater is talking.</t>
  </si>
  <si>
    <t>A woman waves at the camera.</t>
  </si>
  <si>
    <t>They finish wrapping the book and put the envelope on the front of the package.</t>
  </si>
  <si>
    <t>The words thank you is stamped inside a book.</t>
  </si>
  <si>
    <t>v_X7f-hwiYZ1Q</t>
  </si>
  <si>
    <t>A woman is seen speaking and laughing to the camera and leads into her holding up a magazine and presenting pages to the camera.</t>
  </si>
  <si>
    <t>The woman presents more objects to the camera and then uses one to brush her teeth while still speaking to the camera.</t>
  </si>
  <si>
    <t>v_rVYuVW9tB3U</t>
  </si>
  <si>
    <t>Two suma wrestlers walk to a ring.</t>
  </si>
  <si>
    <t>A crowd watches the fight.</t>
  </si>
  <si>
    <t>The suma wrestlers prepare themselves.</t>
  </si>
  <si>
    <t>A referee calls them into position.</t>
  </si>
  <si>
    <t>The suma wrestlers begin fighting, with one of them immediately throwing the other to the ground.</t>
  </si>
  <si>
    <t>The winning suma wrestler is applauded and cheered on by the crowd as he walks off the stage.</t>
  </si>
  <si>
    <t>v_dH_gpSfaA6E</t>
  </si>
  <si>
    <t>To wrap a circular gift you will need ribbon scissors, paper scissors, ribbons, tape, Japenese using paper because its soft and strong and the color doesn't come off.</t>
  </si>
  <si>
    <t>First measure the paper correctly by measuring at the sides then fold paper in the middle holding the paper the same way on the other side then close paper in the middle of the joint to make a crease then repeat until crease is all around then put tape on top then tie on the ribbon.</t>
  </si>
  <si>
    <t>v_c-aDlEaZmFk</t>
  </si>
  <si>
    <t>A lady gymnast dressed in black leotards is performing gymnastics on bars.</t>
  </si>
  <si>
    <t>She flawlessly jumps on the bar and swings back and forth from one bar to another without falling off.</t>
  </si>
  <si>
    <t>She successfully completes her round and jumps off of the bars.</t>
  </si>
  <si>
    <t>The crowd cheers loudly as they applaud for the gymnast.</t>
  </si>
  <si>
    <t>v_3TwqeiVbpS8</t>
  </si>
  <si>
    <t>A series of people violently falling off of water skis while water skiing exhibits.</t>
  </si>
  <si>
    <t>A person crashing into a family on the beach from going full speed on a water ski occurs.</t>
  </si>
  <si>
    <t>Several more people are shown crashing while on water skis with one man crashing and the water turning red at the point of impact and crashing.</t>
  </si>
  <si>
    <t>A last clip shows someone going up a ramp on water skis and then crashing into the water.</t>
  </si>
  <si>
    <t>v_at2XbuHG5WQ</t>
  </si>
  <si>
    <t>A white fence is shown outside a house.</t>
  </si>
  <si>
    <t>A man is holding a scraper and brush.</t>
  </si>
  <si>
    <t>He scrapes the paint off the fence, then repaints it with fresh paint.</t>
  </si>
  <si>
    <t>v_Ed08LA1pjIg</t>
  </si>
  <si>
    <t>The person is skiing down the high snow covered mountains.</t>
  </si>
  <si>
    <t>A red helicopter is flying around as the skiers are climbing the top mountain.</t>
  </si>
  <si>
    <t>The skiers ski down the slope, ride their motorcycles, went fishing , and ski.</t>
  </si>
  <si>
    <t>v_s__e_v6aaq0</t>
  </si>
  <si>
    <t>A little boy is inside a living room.</t>
  </si>
  <si>
    <t>He is pushing and pulling a large vacuum cleaner.</t>
  </si>
  <si>
    <t>He is vacuuming the large living room rug.</t>
  </si>
  <si>
    <t>v_boqZwv68BiM</t>
  </si>
  <si>
    <t>A close up of a tool is shown followed by a person cutting along a rug.</t>
  </si>
  <si>
    <t>The person continues using the tool along the sides and the camera fades to black shortly after.</t>
  </si>
  <si>
    <t>v_Bg9hw5K-m6Q</t>
  </si>
  <si>
    <t>A man is standing in his yard.</t>
  </si>
  <si>
    <t>He uses a brush to brush his very long hair.</t>
  </si>
  <si>
    <t>He brushes it from several different angles.</t>
  </si>
  <si>
    <t>v_MyMYuXh8E0Y</t>
  </si>
  <si>
    <t>A man in a black hoodie talks to the camera.</t>
  </si>
  <si>
    <t>A second man in a blue hoodie walks in and talks to the camera.</t>
  </si>
  <si>
    <t>The man in the black hoodie shows off a bottle of mouth wash.</t>
  </si>
  <si>
    <t>The two men talk to each other.</t>
  </si>
  <si>
    <t>The man in the blue hoodie pours the mouthwash in two glasses.</t>
  </si>
  <si>
    <t>The two men take classes and "cheers" each other.</t>
  </si>
  <si>
    <t>The two men keep the mouthwash in their mouths.</t>
  </si>
  <si>
    <t>The man in the black hoodie shows off his t-shirt.</t>
  </si>
  <si>
    <t>The two men show off signs that insult each other and try to make each other laugh.</t>
  </si>
  <si>
    <t>The man in the blue hoodie laughs first.</t>
  </si>
  <si>
    <t>The men both spit the mouthwash in the sink.</t>
  </si>
  <si>
    <t>v_DvtfiPvPhZ8</t>
  </si>
  <si>
    <t>A man and woman is seen walking onto a large stage away from one another.</t>
  </si>
  <si>
    <t>The two then begin performing a tango routine with one another.</t>
  </si>
  <si>
    <t>The man lifts the woman all around while they continue dancing and end by holing a pose.</t>
  </si>
  <si>
    <t>v_-HaFSqzE4Nc</t>
  </si>
  <si>
    <t>A teenage boy and girl are sitting in s car smoking from a hose.</t>
  </si>
  <si>
    <t>The girl and boy take turns blowing smoke rings.</t>
  </si>
  <si>
    <t>v_aM9WZ1_8yC0</t>
  </si>
  <si>
    <t>A man is throwing darts at a dart board.</t>
  </si>
  <si>
    <t>He points to the words on his shirt.</t>
  </si>
  <si>
    <t>He shows the darts in the dart board.</t>
  </si>
  <si>
    <t>He shows his hand while throwing the dart.</t>
  </si>
  <si>
    <t>v_hShYj_OGFtc</t>
  </si>
  <si>
    <t>A person is seen kneeling down in a large hole rubbing plaster along a wall.</t>
  </si>
  <si>
    <t>The man rubs plaster using a tool and stands up to grab paper.</t>
  </si>
  <si>
    <t>He rubs the paper along the wall and ends by looking up to the camera.</t>
  </si>
  <si>
    <t>v_BxzOUJbq28s</t>
  </si>
  <si>
    <t>A man with a beard is playing on a green drum.</t>
  </si>
  <si>
    <t>The man starts adding in a second drum to the mix.</t>
  </si>
  <si>
    <t>A third drum is added to the drumming mix.</t>
  </si>
  <si>
    <t>v_PuylbPlzbH0</t>
  </si>
  <si>
    <t>We see people holding their phones up to record.</t>
  </si>
  <si>
    <t>We then see a man playing a piano.</t>
  </si>
  <si>
    <t>The camera moves around the man's back.</t>
  </si>
  <si>
    <t>The crowd then claps for the man.</t>
  </si>
  <si>
    <t>The man then looks up and speaks.</t>
  </si>
  <si>
    <t>v_uxRBnIWE79s</t>
  </si>
  <si>
    <t>People are indoors and the focus is on various clips of various different people fencing one another.</t>
  </si>
  <si>
    <t>A fencing match between two women begin and the wording on the screen say's their names are Michelle Li &amp; Cindy Gao, and they are shown fighting from various different angles doing many fencing moves.</t>
  </si>
  <si>
    <t>When they are done fighting the women are shown standing close together, smiling, and the woman on the left has her arm resting on the shoulder of the woman on the right.</t>
  </si>
  <si>
    <t>The outro is a white screen with multiple colors on it that include logos, website and the name of the event.</t>
  </si>
  <si>
    <t>v_at3YFTd6nEw</t>
  </si>
  <si>
    <t>A woman is smiling sitting in a tattoo sitting on the chair waiting patiently, smiling and being over friendly.</t>
  </si>
  <si>
    <t>He is wearing gloves and grabs a clamp then hr puts it in her mouth and clamps her lip with it.</t>
  </si>
  <si>
    <t>Then grabs a needle and sticks it through her lip, he gets a piercing and puts it on for her.</t>
  </si>
  <si>
    <t>After that she gets up off the chair and walks to the mirror to check it out for herself.</t>
  </si>
  <si>
    <t>v_qI_Bo0D6p7I</t>
  </si>
  <si>
    <t>A small girl is seen hula hooping over and over again with her hands on her hips.</t>
  </si>
  <si>
    <t>The girl spins around with the hula hoop moving from her feet to her knees as well as the rest of her body.</t>
  </si>
  <si>
    <t>At one point she throws the hula hoop accidentally but picks it back up and continues spinning with it.</t>
  </si>
  <si>
    <t>In the end she falls to the ground with the hoop still in her hands.</t>
  </si>
  <si>
    <t>v_SEZvtGus0HU</t>
  </si>
  <si>
    <t>There are surfers riding on a very large wave.</t>
  </si>
  <si>
    <t>A white wave crashes down and the surfer below it disappears as the large white foam of the wave spreads to a very large area on the water.</t>
  </si>
  <si>
    <t>Men on water jets quickly go to the area where the surfers could be and they recover them from the water and quickly drive away from the wave as they pass other surfers and water jet drivers as they all continue to ride on the waves.</t>
  </si>
  <si>
    <t>Now the view changes to the view from a helicopter above and it shows the people on the water driving their water jets.</t>
  </si>
  <si>
    <t>A black screen appears and it includes white lettering that say's "Shot on Red One by Mike Waltze" and includes a website then the word "Courtesy NanoGreensHawaii dot com Instant Organic Nutrition".</t>
  </si>
  <si>
    <t>v_iEGYd3DJ3Wo</t>
  </si>
  <si>
    <t>A man dressed as a referee is shown in a hockey rink.</t>
  </si>
  <si>
    <t>A number of men play are shown playing hockey.</t>
  </si>
  <si>
    <t>Several of the hockey players start a fight.</t>
  </si>
  <si>
    <t>v_02V8Hz-M6BM</t>
  </si>
  <si>
    <t>The people are walking in the street with marching band.</t>
  </si>
  <si>
    <t>The men in green vest are walking on both sides of the parade.</t>
  </si>
  <si>
    <t>The man in neon green jacket is taking picture of the parade.</t>
  </si>
  <si>
    <t>v_oSyBkE3gYMM</t>
  </si>
  <si>
    <t>There's a young man skateboarding through a two lane empty road that has trees on both sides.</t>
  </si>
  <si>
    <t>He goes steadily through the long and winding road without stopping.</t>
  </si>
  <si>
    <t>He passes through curves and turns around to adjust his speed.</t>
  </si>
  <si>
    <t>Then as he approaches a steep curve, he tries to turn but ends up falling down and bruising himself.</t>
  </si>
  <si>
    <t>He gets up immediately and shows his friends his scraped and injured elbow.</t>
  </si>
  <si>
    <t>Another friend of his also shows his injuries that he's had from skateboarding.</t>
  </si>
  <si>
    <t>v_h9LI_6eBzw4</t>
  </si>
  <si>
    <t>A montage of canoe sprinting is shown.</t>
  </si>
  <si>
    <t>The winners celebrate and both men's and women's are shown.</t>
  </si>
  <si>
    <t>v_w_X7cLnFCYw</t>
  </si>
  <si>
    <t>An introduction comes onto the screen about a video showing how to triple jump.</t>
  </si>
  <si>
    <t>A guy is shown running down a track making a jump.</t>
  </si>
  <si>
    <t>The jump is shown again in slow motion for better understanding.</t>
  </si>
  <si>
    <t>The guy is then shown exiting the track.</t>
  </si>
  <si>
    <t>v_q0o0k2uD0co</t>
  </si>
  <si>
    <t>A person is washing a car.</t>
  </si>
  <si>
    <t>The person changes hands and washes with their other hand.</t>
  </si>
  <si>
    <t>They then use both hands.</t>
  </si>
  <si>
    <t>v_FKphYO14qhw</t>
  </si>
  <si>
    <t>A man is leaning over a large pool table.</t>
  </si>
  <si>
    <t>He uses a cue to shoot the ball toward the pocket.</t>
  </si>
  <si>
    <t>He tries again and again until they go into the pockets.</t>
  </si>
  <si>
    <t>v_EWSMeiZqUHQ</t>
  </si>
  <si>
    <t>A class room is filled with students either sitting or standing.</t>
  </si>
  <si>
    <t>Suddenly, a group of boys begin to run around the classroom smiling, marching in place, and doing some dancing and exercises while the rest of the sitting class look on.</t>
  </si>
  <si>
    <t>The boys spread apart and end their routine then they walk towards one another while smiling.</t>
  </si>
  <si>
    <t>v_43hQNmW-6_k</t>
  </si>
  <si>
    <t>A man is doing the splits inside a gym.</t>
  </si>
  <si>
    <t>He talks to the camera about the procedure.</t>
  </si>
  <si>
    <t>He leans forward, stretching his legs.</t>
  </si>
  <si>
    <t>v_6yVhTyPaaLQ</t>
  </si>
  <si>
    <t>A woman stands on front a paint holding a bottle, and then paintings on canvas are shown in a slideshow.</t>
  </si>
  <si>
    <t>Then, the woman paints two canvas using a bottle, when it is necessary the woman rotates the canvas.</t>
  </si>
  <si>
    <t>Then, the woman puts the canvas on the floor and continues painting with the bottle.</t>
  </si>
  <si>
    <t>After, the woman hangs the paintings on the, then she puts the paintings on the floor and then hang on the wall to continues painting.</t>
  </si>
  <si>
    <t>v_Xg_MSiPhJns</t>
  </si>
  <si>
    <t>A person is spreading something green on bread.</t>
  </si>
  <si>
    <t>They put the sandwich into a grill.</t>
  </si>
  <si>
    <t>They take the sandwich off the grill and put it onto a plate.</t>
  </si>
  <si>
    <t>v_HjRevGoqqz0</t>
  </si>
  <si>
    <t>People are interacting in an inside court.</t>
  </si>
  <si>
    <t>People run to pick up balls from the center of the court.</t>
  </si>
  <si>
    <t>Two teams are playing dodge-ball.</t>
  </si>
  <si>
    <t>A red team member runs up and throws a ball directly at an opponent.</t>
  </si>
  <si>
    <t>v_SgkdciuEuKs</t>
  </si>
  <si>
    <t>A woman demonstrates how to dry a counter top and sink of water splashed from a sink faucet with a paper towel.</t>
  </si>
  <si>
    <t>A woman stands in a kitchen next to a sink and talks to the camera.</t>
  </si>
  <si>
    <t>the woman points to a water splash on the counter next to the sink after turning on the water at the sink.</t>
  </si>
  <si>
    <t>The woman then grabs a paper towel and wipes down the sink counter, the inside of the sink and the faucet spout.</t>
  </si>
  <si>
    <t>The woman then returns to talking to the camera.</t>
  </si>
  <si>
    <t>v_aAZSPRL18Ss</t>
  </si>
  <si>
    <t>An intro leads into a woman talking to a class sitting on bicycles and beginning to ride.</t>
  </si>
  <si>
    <t>She leads the class in a bicycle riding class and inspires her students to peddle hard like this.</t>
  </si>
  <si>
    <t>The people smile along with her as the camera pans over several shots of the people.</t>
  </si>
  <si>
    <t>v_SfYJTxMRKDE</t>
  </si>
  <si>
    <t>A man hold a dish with food while talking, then, two girls run in the field were other people are walking.</t>
  </si>
  <si>
    <t>People play throwing balls on the ground.</t>
  </si>
  <si>
    <t>After, a band plays and people dance including a bride.</t>
  </si>
  <si>
    <t>The people get in boats and sail in the river while other people rest.</t>
  </si>
  <si>
    <t>People pass a small waterfall with choppy water, and then they go down the river.</t>
  </si>
  <si>
    <t>People dive in the river, and then rest while drinking, then go sail in the river.</t>
  </si>
  <si>
    <t>v_I71OenniCZI</t>
  </si>
  <si>
    <t>A group of senior citizens are gathered at a court.</t>
  </si>
  <si>
    <t>They are engaged in a game of curling.</t>
  </si>
  <si>
    <t>They hit the puck, pushing it forward.</t>
  </si>
  <si>
    <t>v_tJiYIajy41Q</t>
  </si>
  <si>
    <t>A man is seen close up standing on a field.</t>
  </si>
  <si>
    <t>A person then passes the man a ball to move up the field.</t>
  </si>
  <si>
    <t>The people then begin kicking the ball around.</t>
  </si>
  <si>
    <t>v_PhJVHb-J7zM</t>
  </si>
  <si>
    <t>A close up of a floor is seen followed by a young child kneeling before another.</t>
  </si>
  <si>
    <t>A person is seen sitting on a bed with the young child shines the shoes of another.</t>
  </si>
  <si>
    <t>The kids continues to shine the shoes of another.</t>
  </si>
  <si>
    <t>v_134sVNOzn_w</t>
  </si>
  <si>
    <t>A man is seen using a hammer and tool to knock off pieces of a roof.</t>
  </si>
  <si>
    <t>The man then lays a bar down and continues placing roof shingles on while the camera pans around.</t>
  </si>
  <si>
    <t>v_dQyZheN0Fw0</t>
  </si>
  <si>
    <t>An animated image of a curling brush is shown.</t>
  </si>
  <si>
    <t>A woman bends down and puts something on a scale.</t>
  </si>
  <si>
    <t>She then slides across the ice.</t>
  </si>
  <si>
    <t>v_QwLiAkfSa9A</t>
  </si>
  <si>
    <t>A larger woman is seen sitting on a chair while a man wipes down her lip and puts a mark onto it.</t>
  </si>
  <si>
    <t>The woman lies down and the man puts a needle into her lip creating a piercing.</t>
  </si>
  <si>
    <t>The woman sits up and smiles while the man wipes down her lip and she continues speaking.</t>
  </si>
  <si>
    <t>v_ma0HmFqdFqg</t>
  </si>
  <si>
    <t>A woman is seen wiping down a mirror that leads into her standing behind a counter.</t>
  </si>
  <si>
    <t>She pours ingredients into a buckets, soaks the sponge in the bucket, then wipes down a mirror with a wiper.</t>
  </si>
  <si>
    <t>v_rOeNl9qIoVI</t>
  </si>
  <si>
    <t>A person is seen riding along the water in a kayak while another man watches him on the side.</t>
  </si>
  <si>
    <t>He continues riding along the water in the kayak and doing flips in the water.</t>
  </si>
  <si>
    <t>v_mvWKOkRzfos</t>
  </si>
  <si>
    <t>People are playing volleyball in the sand.</t>
  </si>
  <si>
    <t>A person falls into the sand.</t>
  </si>
  <si>
    <t>A woman in a blue shirt is talking to the camera.</t>
  </si>
  <si>
    <t>v_oj6czGQ830c</t>
  </si>
  <si>
    <t>Men and woman posing and smiling at the camera.</t>
  </si>
  <si>
    <t>A groups men and woman dressed in cold water diving gear arrive in a van.</t>
  </si>
  <si>
    <t>The divers march in single file on a dock to the water and pose with their diving gear on.</t>
  </si>
  <si>
    <t>The divers are under water performing different sunken vehicles and playing around and posing.</t>
  </si>
  <si>
    <t>The divers are featured in some trick photography.</t>
  </si>
  <si>
    <t>The divers relax at a restaurant with their regular close on seated at a round picnic table.</t>
  </si>
  <si>
    <t>v_efkbBgZ2Mzo</t>
  </si>
  <si>
    <t>A person does a tutorial on how to use an elliptical most efficiently.</t>
  </si>
  <si>
    <t>A woman does the backwards elliptical while smiling sometimes.</t>
  </si>
  <si>
    <t>v_8-muYZwFf9c</t>
  </si>
  <si>
    <t>The video leads into various shots of people kite surfing all along the ocean.</t>
  </si>
  <si>
    <t>The person continues riding all along the water while the camera follows him from a bird's eye view.</t>
  </si>
  <si>
    <t>v_nSR-JSqGoWQ</t>
  </si>
  <si>
    <t>A video recap of a beach soccer game begins with an Argentinian goal off a deep pass.</t>
  </si>
  <si>
    <t>The Brazilians follow up with a goal on a penalty kick, taken by an exuberant keeper.</t>
  </si>
  <si>
    <t>The Argentinians steal a pass halfway across the sand field and take it down for a goal in the tight corner.</t>
  </si>
  <si>
    <t>This is immediately followed by another goal from Argentina on a penalty kick.</t>
  </si>
  <si>
    <t>Brazil finds itself down even more on another Argentinian goal on a beautiful pass and shot across the field.</t>
  </si>
  <si>
    <t>To make matters worse, Argentina scores on a deep uncontested shot after that.</t>
  </si>
  <si>
    <t>This game is far too easy for them, and they win by a large score.</t>
  </si>
  <si>
    <t>v_oW2v7KlfmJk</t>
  </si>
  <si>
    <t>A man is playing shuffleboard on a ship.</t>
  </si>
  <si>
    <t>He turns to the camera and says something.</t>
  </si>
  <si>
    <t>v_F2x2fynkbAQ</t>
  </si>
  <si>
    <t>A man dips a rag into a black container.</t>
  </si>
  <si>
    <t>He begins wiping a shoe with the rag.</t>
  </si>
  <si>
    <t>He picks up a brush and begins using that to brush the shoe.</t>
  </si>
  <si>
    <t>v_vMYPNyBR3d0</t>
  </si>
  <si>
    <t>We see three men on a boat in a lake.</t>
  </si>
  <si>
    <t>The left man holds his nears near his chest.</t>
  </si>
  <si>
    <t>A man acts weird and sprays himself.</t>
  </si>
  <si>
    <t>v_SXZjg8ap1Uk</t>
  </si>
  <si>
    <t>A large group of cheerleaders are seen running through a hole and onto a stage.</t>
  </si>
  <si>
    <t>The group then begins performing with one another while lifting one another into the air.</t>
  </si>
  <si>
    <t>The group continue to lift and jump around one another and end by walking off stage.</t>
  </si>
  <si>
    <t>v_O8jThut7tAQ</t>
  </si>
  <si>
    <t>A person talks and throws a bowling ball on the bowling lane.</t>
  </si>
  <si>
    <t>The man holds a ball and shows his left leg forward, then throws the bowling ball on the lane while talking.</t>
  </si>
  <si>
    <t>v_GyOLWizKXaE</t>
  </si>
  <si>
    <t>A man is outside with a lawn utensil and he begins cutting the yard.</t>
  </si>
  <si>
    <t>He moves a knob and then continues to cut the grass and another woman is shown cutting the yard.</t>
  </si>
  <si>
    <t>Finally,the man comes back and shows how his the object works to cut the grass.</t>
  </si>
  <si>
    <t>v_vSExyDlV9JA</t>
  </si>
  <si>
    <t>A small group of people are seen standing on a sandy beach and leads into a game of volleyball.</t>
  </si>
  <si>
    <t>The people play back and fourth with one of them spiking the ball and the camera panning around to people watching and celebrating.</t>
  </si>
  <si>
    <t>v_anfZnOQGPk0</t>
  </si>
  <si>
    <t>A young child is seen standing on a stage with others and one begins dancing in the middle.</t>
  </si>
  <si>
    <t>The young boy then moves in the middle taking turns with others dancing around.</t>
  </si>
  <si>
    <t>Another man moves to the middle to dance while others watch on the side.</t>
  </si>
  <si>
    <t>v_DmaPpBMsuXg</t>
  </si>
  <si>
    <t>A person is seen standing in the middle of a gym holding a tennis racket.</t>
  </si>
  <si>
    <t>The person then begins hitting a birdie across the gym.</t>
  </si>
  <si>
    <t>The person continuously hits the object back and fourth while looking to the camera.</t>
  </si>
  <si>
    <t>v_GG3JgE6hy4g</t>
  </si>
  <si>
    <t>A man is seen standing on a roof pushing pieces of debris up with a stick.</t>
  </si>
  <si>
    <t>The man continues pushing the debris off the roof while digging deeper and deeper into the mess.</t>
  </si>
  <si>
    <t>v_k25ECDpOD0E</t>
  </si>
  <si>
    <t>A person brush the teeth of a dog while holding the back neck.</t>
  </si>
  <si>
    <t>After, she taps the chest of the dog and put toothpaste on the brush and continue brushing the dog's teeth.</t>
  </si>
  <si>
    <t>After, the person tap again the the chest, put toothpaste on the brush and brush the dog's teeth.</t>
  </si>
  <si>
    <t>When the person finish to brush, she kiss the dog.</t>
  </si>
  <si>
    <t>v_4HC2-Unzuu4</t>
  </si>
  <si>
    <t>A woman is talking to the camera surrounded by alcohol bottles.</t>
  </si>
  <si>
    <t>The woman begins pouring different alcohols and lemon juice into a glass of ice.</t>
  </si>
  <si>
    <t>The woman shakes the drink mixture and strains it into another glass.</t>
  </si>
  <si>
    <t>The woman puts a small straw into the drink and holds it up and smiles.</t>
  </si>
  <si>
    <t>v_3ZUy7h-dN38</t>
  </si>
  <si>
    <t>A man wearing a black hat plays guitar for the camera to see.</t>
  </si>
  <si>
    <t>He continues strumming his fingers and moving his hands around the instrument until the song ends as well as the video.</t>
  </si>
  <si>
    <t>v_aEG-_-m49mY</t>
  </si>
  <si>
    <t>A woman is recording a video of a little boy who is painting a fence.</t>
  </si>
  <si>
    <t>The camera pans to the rest of the backyard and fence.</t>
  </si>
  <si>
    <t>Another little boy is painting the other end of the fence, and the camera goes up to him.</t>
  </si>
  <si>
    <t>The video then cuts to show that the fence is mostly completed.</t>
  </si>
  <si>
    <t>The video then shows the two boys working together to complete the final panel of the fencing.</t>
  </si>
  <si>
    <t>The video ends as the camera pans out to show the house and the freshly painted fence.</t>
  </si>
  <si>
    <t>v_ui7LIgAF8-E</t>
  </si>
  <si>
    <t>A woman is seen performing a jump off of a high dive and landing into a pool.</t>
  </si>
  <si>
    <t>More shots of her diving are shown again shortly after in slow motion.</t>
  </si>
  <si>
    <t>v_y1F_Hzpux48</t>
  </si>
  <si>
    <t>A large fish is seen swimming under frozen water.</t>
  </si>
  <si>
    <t>A man creates a hole in the ice to catch the fish.</t>
  </si>
  <si>
    <t>He catches it on a line, and pulls until He is able to get it through the hole.</t>
  </si>
  <si>
    <t>v_kuyuhXuMPX4</t>
  </si>
  <si>
    <t>We see the intro and intro scenes.</t>
  </si>
  <si>
    <t>A man stands in a garage with two shovels.</t>
  </si>
  <si>
    <t>We then see his shoveling supplies.</t>
  </si>
  <si>
    <t>The man stretches and puts on his winter clothes.</t>
  </si>
  <si>
    <t>He sprays his shovel with nonstick spray and shovels his driveway.</t>
  </si>
  <si>
    <t>The man lays down and had a hard time breathing.</t>
  </si>
  <si>
    <t>After putting down sand he drinks a warm beverage.</t>
  </si>
  <si>
    <t>We see the ending credits screen.</t>
  </si>
  <si>
    <t>v_yOcWUk9cOws</t>
  </si>
  <si>
    <t>Several girls are outside in a large green field playing a game.</t>
  </si>
  <si>
    <t>The girl in front of the camera is dressed in a yellow shirt and black shorts hit the ball with the stick and begins jumping in the air.</t>
  </si>
  <si>
    <t>v_15Yf7NIDLtM</t>
  </si>
  <si>
    <t>A shot of a christmas tree is shown followed by a man walking into frame.</t>
  </si>
  <si>
    <t>The man then begins decorating the tree as well as others.</t>
  </si>
  <si>
    <t>People continuously decorate the tree moving quickly around one another and end by presenting it to the camera.</t>
  </si>
  <si>
    <t>v_0KwSF8NdEug</t>
  </si>
  <si>
    <t>A woman is seen speaking to the camera while holding up a bag of cookies as well as a plate.</t>
  </si>
  <si>
    <t>Various ingredients are then see laid out in bowls.</t>
  </si>
  <si>
    <t>The woman mixes all the ingredients together and squishes them into tiny balls to plate in the end.</t>
  </si>
  <si>
    <t>v_8OSnT8UvJkU</t>
  </si>
  <si>
    <t>A woman with a nose ring is seen speaking to the camera and leads into someone cutting her hair.</t>
  </si>
  <si>
    <t>The person cuts around the sides and the woman is seen wearing glasses and posing with her new style.</t>
  </si>
  <si>
    <t>More shots of a person cutting is shown while the woman speaks to the camera.</t>
  </si>
  <si>
    <t>v_pw0A0Uv2TZM</t>
  </si>
  <si>
    <t>A young girl is inside a bathroom with her dad.</t>
  </si>
  <si>
    <t>He rubs water up and down her face.</t>
  </si>
  <si>
    <t>She giggles and smiles as he does so.</t>
  </si>
  <si>
    <t>v_c_NlYvL96y0</t>
  </si>
  <si>
    <t>A girl is stretching her body on a ballet bar.</t>
  </si>
  <si>
    <t>An instructor stands with a woman and talks about ballet.</t>
  </si>
  <si>
    <t>The girl dances and pans back to the instructor.</t>
  </si>
  <si>
    <t>The instructor talks about the tools you will need for ballet.</t>
  </si>
  <si>
    <t>She talks about various ballet moves to do at the barre while the dancer demonstrates.</t>
  </si>
  <si>
    <t>v_cIN4HNSRoAg</t>
  </si>
  <si>
    <t>A close up shot of a fooseball game is shown as the plastic people push around a ball.</t>
  </si>
  <si>
    <t>Hands are seen moving the ball around as well as grabbing the poles to play.</t>
  </si>
  <si>
    <t>v_lIXHKxbq59c</t>
  </si>
  <si>
    <t>Some people are shown as they prepare to tube down a long snow slope.</t>
  </si>
  <si>
    <t>They begin to head down the slope until they reach the end and are able to stop themselves.</t>
  </si>
  <si>
    <t>After that, they get out of their tubes and begin to exit.</t>
  </si>
  <si>
    <t>v_-fBxVUu0KcQ</t>
  </si>
  <si>
    <t>People are playing a sport on sand.</t>
  </si>
  <si>
    <t>A man in a green uniform gives a high five to someone on the sidelines.</t>
  </si>
  <si>
    <t>A man falls down into the sand.</t>
  </si>
  <si>
    <t>v_ZyOPt4sgsbs</t>
  </si>
  <si>
    <t>A young woman is seen holding onto a cat and smiling towards the camera.</t>
  </si>
  <si>
    <t>The cat begins to fuss around and the woman continues to smile.</t>
  </si>
  <si>
    <t>The woman then cuts the cats claws while the cat still moves around and she holds up the cat.</t>
  </si>
  <si>
    <t>v_OD5rJOPicoM</t>
  </si>
  <si>
    <t>Two people are sailing on boards out on a lake.</t>
  </si>
  <si>
    <t>One person is seen sailing on their board until they fall off the board and into the water.</t>
  </si>
  <si>
    <t>v_1qi8ZXUH_wY</t>
  </si>
  <si>
    <t>A group of men are wrapping boxes on a table.</t>
  </si>
  <si>
    <t>Several people are walking around the area.</t>
  </si>
  <si>
    <t>A man is getting very in depth on his wrapping and wraps the box tightly.</t>
  </si>
  <si>
    <t>Another man appears and grabs paper then walks away.</t>
  </si>
  <si>
    <t>The man wrapping finishes his box.</t>
  </si>
  <si>
    <t>v_f0CViWbj3V4</t>
  </si>
  <si>
    <t>A man and woman are seated on a porch.</t>
  </si>
  <si>
    <t>The man plays bongo drums while the woman helps occasionally.</t>
  </si>
  <si>
    <t>Another hand is seen banging a drum in the foreground.</t>
  </si>
  <si>
    <t>v_ntJk6Rj-lRA</t>
  </si>
  <si>
    <t>A person goes upstairs supporting on a crutch, then sits on the last step while a man follows him.</t>
  </si>
  <si>
    <t>The man lifts up the carpet, then the person gives the man a carpet runner with nails while talking both men.</t>
  </si>
  <si>
    <t>After, the man puts the carpet runner on the wood step and hummers the loosed nails.</t>
  </si>
  <si>
    <t>Next, the man put on the carpet and uses a machine and a hammer to fix the loosed carpet.</t>
  </si>
  <si>
    <t>v_CHaTWk6uqd8</t>
  </si>
  <si>
    <t>A man is seen speaking to the camera while pointing to a bike frame and spinning around the tire.</t>
  </si>
  <si>
    <t>The man then uses tools to adjust the tire wheel and continues spinning it.</t>
  </si>
  <si>
    <t>He is still seen working on the back of the bike while the camera zooms in.</t>
  </si>
  <si>
    <t>v_NkJA_0tErGY</t>
  </si>
  <si>
    <t>A man is speaking, he had a china cabinet behind him filled with glass product.</t>
  </si>
  <si>
    <t>He begins to start to show step by step instructions on how to make a sauce .</t>
  </si>
  <si>
    <t>Then in another frying pan he adds some meat and cheese while his bread is toasting.</t>
  </si>
  <si>
    <t>He then adds all the ingredients on the bread and cuts it in halves and begins to eat.</t>
  </si>
  <si>
    <t>v_uMCyo89mK_E</t>
  </si>
  <si>
    <t>A large christmas is shown is shown followed by a woman standing beside it.</t>
  </si>
  <si>
    <t>The girl begins decorating the tree while jumping up and down in place.</t>
  </si>
  <si>
    <t>She continues bouncing around while decorating the tree and looking off into the distance.</t>
  </si>
  <si>
    <t>v_QE80ROTC_fI</t>
  </si>
  <si>
    <t>A man and dog are seen standing outside in a field with a man playing fetch with a dog.</t>
  </si>
  <si>
    <t>The man throws the frisbee around with the dog while the animal brings it back.</t>
  </si>
  <si>
    <t>The man performs several more tricks with the dog using several frisbees.</t>
  </si>
  <si>
    <t>v_Ufki4AjZHFI</t>
  </si>
  <si>
    <t>A young man is shown on a road wearing stilts.</t>
  </si>
  <si>
    <t>He walks over to the side of the road.</t>
  </si>
  <si>
    <t>He then lifts his feet up and down as if in preparation of running.</t>
  </si>
  <si>
    <t>The video ends as the person recording tilts the camera and covers the lens.</t>
  </si>
  <si>
    <t>v_b1s0BdtlFZs</t>
  </si>
  <si>
    <t>A man sits on a toilet with her leg up.</t>
  </si>
  <si>
    <t>A person holding a camera walks into the bathroom.</t>
  </si>
  <si>
    <t>The man rubs shaving cream on their legs.</t>
  </si>
  <si>
    <t>He begins to shave his leg in the sink.</t>
  </si>
  <si>
    <t>v_NPt1niJMbvE</t>
  </si>
  <si>
    <t>A gymnast runs fast, then he jumps long in a stadium full of people.</t>
  </si>
  <si>
    <t>Two men walk holding javelins.</t>
  </si>
  <si>
    <t>After, the gymnast jumps happily.</t>
  </si>
  <si>
    <t>People take pictures of the gymnast.</t>
  </si>
  <si>
    <t>v_vlwOSDuiKQA</t>
  </si>
  <si>
    <t>A man is seen standing in a large room holding up a tennis racket.</t>
  </si>
  <si>
    <t>Two more people walk into frame and begin hitting the ball around the area.</t>
  </si>
  <si>
    <t>The men continue to hit the ball around with tennis rackets and chase it around the room.</t>
  </si>
  <si>
    <t>v_0QDPpdms08g</t>
  </si>
  <si>
    <t>Two people are seen standing in a gymnasium wearing boxing gloves.</t>
  </si>
  <si>
    <t>The men then go back and fourth with one another kicking and punching.</t>
  </si>
  <si>
    <t>The two continue to fight while the camera captures their movements.</t>
  </si>
  <si>
    <t>v_9ku5v_hSVMw</t>
  </si>
  <si>
    <t>A man squats and holds a bar over his head several times.</t>
  </si>
  <si>
    <t>A man in a red shirt watches him.</t>
  </si>
  <si>
    <t>He drops the bar on the ground in front of him.</t>
  </si>
  <si>
    <t>v_0m63LNVHP1U</t>
  </si>
  <si>
    <t>An older woman is seen talking to the camera and leads into her swinging back and fourth with another child.</t>
  </si>
  <si>
    <t>The child pushes the woman in a swing and continues playing with her on the swing set.</t>
  </si>
  <si>
    <t>v_bWBcYdYEup4</t>
  </si>
  <si>
    <t>Two people are seen performing a fencing match back and fourth while other people practice in the background.</t>
  </si>
  <si>
    <t>Several shots of people fencing are shown as well as a fencer being interviewed on camera.</t>
  </si>
  <si>
    <t>More shots of people fencing are shown and ends with many standing around and two shaking hands.</t>
  </si>
  <si>
    <t>v_Q4UF7Z0ozCw</t>
  </si>
  <si>
    <t>A pile of clothing is shown on a bench in a house.</t>
  </si>
  <si>
    <t>A sweater hangs from a rack.</t>
  </si>
  <si>
    <t>The sweater is shown from several angles as a vacuum is used to pick up hair and lint.</t>
  </si>
  <si>
    <t>v_H1FKtaktOEc</t>
  </si>
  <si>
    <t>A large building is seen with cars driving by and people walking around an arena.</t>
  </si>
  <si>
    <t>Several people are then seen shooting bow and arrows at a target and waving their hands in the air.</t>
  </si>
  <si>
    <t>The people continue to shoot the bow and arrow at the target while others watch on the side.</t>
  </si>
  <si>
    <t>v_YCdPa5gJYmc</t>
  </si>
  <si>
    <t>A shirtless guy spins a ball attached to a pole.</t>
  </si>
  <si>
    <t>The guy lifts this item from the grass at the pole end.</t>
  </si>
  <si>
    <t>The guy releases the item.</t>
  </si>
  <si>
    <t>A guy moves away from the descending item.</t>
  </si>
  <si>
    <t>The website address of the group is shown.</t>
  </si>
  <si>
    <t>v_o_e0KLnKpj8</t>
  </si>
  <si>
    <t>We see a lady starting a lawn mower.</t>
  </si>
  <si>
    <t>The lady stops and looks at the camera.</t>
  </si>
  <si>
    <t>The lady starts then stops mowing.</t>
  </si>
  <si>
    <t>The lady tries to start the mower again.</t>
  </si>
  <si>
    <t>Another lady comes to help and falls over.</t>
  </si>
  <si>
    <t>The first lady finally gets the mowers started.</t>
  </si>
  <si>
    <t>the lady throws her arm in the air and mows the lawn.</t>
  </si>
  <si>
    <t>v_bnkO0slLSyw</t>
  </si>
  <si>
    <t>A woman talks to the camera while a man stands beside her.</t>
  </si>
  <si>
    <t>The man turns and walks away while the woman demonstrates the female perspective of the dance sequence by herself.</t>
  </si>
  <si>
    <t>The man rejoins the woman and talks to the camera while demonstrating the sequence of steps from the male perspective.</t>
  </si>
  <si>
    <t>The two demonstrate the dance together without commentary.</t>
  </si>
  <si>
    <t>v_0Mn0gxECBLA</t>
  </si>
  <si>
    <t>A male mows a lawn using a red riding mower.</t>
  </si>
  <si>
    <t>A man whips grass of his foot.</t>
  </si>
  <si>
    <t>A large, black dog runs across the lawn.</t>
  </si>
  <si>
    <t>The man stops and reverses the riding mower.</t>
  </si>
  <si>
    <t>The man rubs his ear.</t>
  </si>
  <si>
    <t>v_P0j0bBKsNAo</t>
  </si>
  <si>
    <t>A man is seen beginning to climb up a rock wall while looking back and speaking to the camera.</t>
  </si>
  <si>
    <t>He continues to climb up and down while showing off to the properly climb with his feet.</t>
  </si>
  <si>
    <t>He does this a few more times while the camera shows text instructions.</t>
  </si>
  <si>
    <t>v_ABB755sPZfY</t>
  </si>
  <si>
    <t>Inside a gym, two men hold two jump ropes.</t>
  </si>
  <si>
    <t>A guy in a ponytail jumps the jump ropes with hand stands.</t>
  </si>
  <si>
    <t>A man in a black shirt watches.</t>
  </si>
  <si>
    <t>v_iiQ6t0p9lik</t>
  </si>
  <si>
    <t>The video takes place in the pool of a backyard.</t>
  </si>
  <si>
    <t>A tight rope is strung across the length of the pool and a woman is attempting to walk across, She falls several times.</t>
  </si>
  <si>
    <t>The last time she falls, the camera rewinds and shows her falling backwards.</t>
  </si>
  <si>
    <t>The video then cuts to a man who is also using a tight rope to cross a pool.</t>
  </si>
  <si>
    <t>The video shows several clips of the man falling.</t>
  </si>
  <si>
    <t>At one point, he is holding a camera while falling in.</t>
  </si>
  <si>
    <t>He also attempts to stand with one leg on the rope, as well as balancing.</t>
  </si>
  <si>
    <t>The video ends showing him in a final fall into a tube.</t>
  </si>
  <si>
    <t>v_2SBTnunPQrQ</t>
  </si>
  <si>
    <t>A little boy shines the shoes of a person using black shoe polish and make shine with a brush and a cloth.</t>
  </si>
  <si>
    <t>Then, the man pays the little boy.</t>
  </si>
  <si>
    <t>A boy cleans the tennis shows of a person putting white painting.</t>
  </si>
  <si>
    <t>v_o1WPnnvs00I</t>
  </si>
  <si>
    <t>A man is playing a flute in front of a microphone.</t>
  </si>
  <si>
    <t>A few other men are shown playing guitars as they sit.</t>
  </si>
  <si>
    <t>The group plays for the audience, occasionally zooming in on individuals.</t>
  </si>
  <si>
    <t>One man is playing drums while the others are on flute and guitar.</t>
  </si>
  <si>
    <t>The lights move fluidly as they crescendo, and they screen goes black.</t>
  </si>
  <si>
    <t>v_RYv3eIxMouY</t>
  </si>
  <si>
    <t>A yellow and brown animal is attached to the wall swaying from left to right.</t>
  </si>
  <si>
    <t>While it is there,a boy is wrapped up in a bandanna and he is holding the stick on the left side of the pinata.</t>
  </si>
  <si>
    <t>He then moves it to the right side and begins to hit the pinata ferociously.</t>
  </si>
  <si>
    <t>v_fm9mf-VuWxI</t>
  </si>
  <si>
    <t>A woman in a blue shirt is holding a lacrosse stick.</t>
  </si>
  <si>
    <t>They continue to play lacrosse.</t>
  </si>
  <si>
    <t>v_ucEqZtmQS-0</t>
  </si>
  <si>
    <t>A man in a black shirt is standing in a salon.</t>
  </si>
  <si>
    <t>He starts shaving a man's beard that is laying down.</t>
  </si>
  <si>
    <t>He towels off the man's face.</t>
  </si>
  <si>
    <t>v_qS7TStZg_5c</t>
  </si>
  <si>
    <t>A man is showing playing guitar with a title screen shown on the left.</t>
  </si>
  <si>
    <t>The man strums over and over again while gradually banging his head to the beat.</t>
  </si>
  <si>
    <t>v_hR6VFvMXCN4</t>
  </si>
  <si>
    <t>A close up of a flame is shown followed by audience members standing up and athletes standing ready.</t>
  </si>
  <si>
    <t>Hitler then watches a man jump into a pit as well as several other runners after him.</t>
  </si>
  <si>
    <t>More athletes continue jumping while the audience gets riled up and ends with soldiers raising flags up to the sky.</t>
  </si>
  <si>
    <t>v_A9TcWJnbcWs</t>
  </si>
  <si>
    <t>There are two boys playing squash in an indoor squash court.</t>
  </si>
  <si>
    <t>They are playing randomly in an unstructured game where they often miss the ball.</t>
  </si>
  <si>
    <t>v_Tc8L-74Ilck</t>
  </si>
  <si>
    <t>A man is seen standing at the bottom of a hole while a man records him.</t>
  </si>
  <si>
    <t>Two men are seen climbing along the hill and looking up to the camera.</t>
  </si>
  <si>
    <t>One man pulls the other out and climbs down while they and others speak to the camera.</t>
  </si>
  <si>
    <t>v_WRv7Kpf1KT0</t>
  </si>
  <si>
    <t>Two men are putting suntan lotion on each other at the beach.</t>
  </si>
  <si>
    <t>They rub it on each other's backs before turning around.</t>
  </si>
  <si>
    <t>v_ZdUUBA1czgY</t>
  </si>
  <si>
    <t>man is standing in a large field wlking and practicing a shot put.</t>
  </si>
  <si>
    <t>man wearing red shirt is standing on a side.</t>
  </si>
  <si>
    <t>men are pacticing in a large green grassy field.</t>
  </si>
  <si>
    <t>v_azfkn6EsuJA</t>
  </si>
  <si>
    <t>A man is buffing down his skis in a garage.</t>
  </si>
  <si>
    <t>He changes position to give himself more leverage as he buffs.</t>
  </si>
  <si>
    <t>He moves the shis to another location when he is done.</t>
  </si>
  <si>
    <t>v_z_ojmuWzMWo</t>
  </si>
  <si>
    <t>A dog is being bathed by a woman.</t>
  </si>
  <si>
    <t>The woman is spraying water on the small dog with a hose.</t>
  </si>
  <si>
    <t>She is now blow drying the dog.</t>
  </si>
  <si>
    <t>The dog is placed in the kennel next to a woman's feet.</t>
  </si>
  <si>
    <t>A dog plays behind and with the groomed dog.</t>
  </si>
  <si>
    <t>The dog now is getting a haircut.</t>
  </si>
  <si>
    <t>v_R547-iOgb6g</t>
  </si>
  <si>
    <t>Intro screen appears and includes an illustration of a man wiping the floor with a mop in a bathroom, a brand name and some other words.</t>
  </si>
  <si>
    <t>A woman is now in the bathroom using an advanced bucket that is tall and includes a handle for squeezing the flat mop and a storage compartment, and she mops the floor with the mop, then demonstrates how to squeeze it in the bucket and goes back to moping the rest of the bathroom.</t>
  </si>
  <si>
    <t>A top view of the bucket is shown and it shows the bucket has two water compartments and the clean water is in the front and the dirty water is kept in the back.</t>
  </si>
  <si>
    <t>A white screen appears and it displays the logo brand, different pictures of the mop sleeves and numbers next to it.</t>
  </si>
  <si>
    <t>The woman walks to the entrance of the bathroom, removes the wet floor sign, puts it in her cart, starts pushing the cart, and the focus goes back to the clean bathroom she just cleaned.</t>
  </si>
  <si>
    <t>v_c8HFew22GnI</t>
  </si>
  <si>
    <t>A man is acting as a dj with headphones on.</t>
  </si>
  <si>
    <t>Another man takes off on a pair of water skis.</t>
  </si>
  <si>
    <t>He skis as people gather and leave on a pier.</t>
  </si>
  <si>
    <t>Several people join in on a curling event, holding signs and smiling.</t>
  </si>
  <si>
    <t>v_1iIG5D3jTk4</t>
  </si>
  <si>
    <t>Two people are seen standing in a large gymnasium speaking to one another and leads into them performing a jump roping routine.</t>
  </si>
  <si>
    <t>The woman continue jumping all along the gym together and end by holding the ropes against their feet.</t>
  </si>
  <si>
    <t>v_oY1y_UONCGg</t>
  </si>
  <si>
    <t>A little boy is sitting on the floor, touching a vacuum cleaner and talking.</t>
  </si>
  <si>
    <t>He also picks up another vacuum, and starts rolling it across the room, back and forth.</t>
  </si>
  <si>
    <t>v_CqAJxW84FkU</t>
  </si>
  <si>
    <t>A man in a green shirt and green hat is holding a large knife.</t>
  </si>
  <si>
    <t>He starts cutting a piece of wood with the knife.</t>
  </si>
  <si>
    <t>He cuts the piece of wood in half.</t>
  </si>
  <si>
    <t>v_8fVB8gAjTO4</t>
  </si>
  <si>
    <t>we see a man in a room playing a set of drums.</t>
  </si>
  <si>
    <t>The man plays the drums on the left side primarily.</t>
  </si>
  <si>
    <t>The man pauses while playing.</t>
  </si>
  <si>
    <t>The man hits a few drums then stops.</t>
  </si>
  <si>
    <t>v_2UjVfKEcj4g</t>
  </si>
  <si>
    <t>A man is holding two extremely dirty high heeled women's shoes.</t>
  </si>
  <si>
    <t>He uses a ruler to scrape off the dried dirt.</t>
  </si>
  <si>
    <t>He then uses a brush to polish up the suede material before spraying a white substance onto the shoe.</t>
  </si>
  <si>
    <t>He scrapes it clean, then applies a new sole and spike to the heel.</t>
  </si>
  <si>
    <t>He shows off the renovator can.</t>
  </si>
  <si>
    <t>v_WkiBckpLXfU</t>
  </si>
  <si>
    <t>a man and a woman are talking in front of the camera.</t>
  </si>
  <si>
    <t>players are in a court playing hockey.</t>
  </si>
  <si>
    <t>a man and a woman are being interviewed.</t>
  </si>
  <si>
    <t>v_c0qbyRWSptg</t>
  </si>
  <si>
    <t>Boats are going through the water.</t>
  </si>
  <si>
    <t>A storm hits and a man is crying.</t>
  </si>
  <si>
    <t>The boats continue to go through the water.</t>
  </si>
  <si>
    <t>v_gpmrwsV9skQ</t>
  </si>
  <si>
    <t>A man in a suit is reading a newspaper.</t>
  </si>
  <si>
    <t>He puts a dissolving tablet into a glass of water.</t>
  </si>
  <si>
    <t>Someone runs in front of a car on stilts.</t>
  </si>
  <si>
    <t>v_5jfQNanBKAM</t>
  </si>
  <si>
    <t>A large group of boys paddle around on a lake in red canoes.</t>
  </si>
  <si>
    <t>Other groups of boys on a dock prepare boats for use.</t>
  </si>
  <si>
    <t>Two boys on a canoe back paddle to get away from the reeds on the edge on the lake.</t>
  </si>
  <si>
    <t>v_aB5xErksFkI</t>
  </si>
  <si>
    <t>A person is seen kneeling down on the floor laying out plaster as well as onto a tile.</t>
  </si>
  <si>
    <t>The person then flips over the tiles and places them down on the floor.</t>
  </si>
  <si>
    <t>v_OHwE8aA90IE</t>
  </si>
  <si>
    <t>A young man is seen standing before a lawn mower and looking at the camera.</t>
  </si>
  <si>
    <t>The boy then pulls a string on the lawn mower.</t>
  </si>
  <si>
    <t>He finally pushes forward on the lawn mower.</t>
  </si>
  <si>
    <t>v_9hR1MHvXGv8</t>
  </si>
  <si>
    <t>We see a man putting items in his car.</t>
  </si>
  <si>
    <t>The man gets in the car and drives down the street.</t>
  </si>
  <si>
    <t>We see men climbing indoors on a climbing wall, and outdoors in the woods.</t>
  </si>
  <si>
    <t>We see two men outdoors at night then day.</t>
  </si>
  <si>
    <t>We see men climbing a cliff.</t>
  </si>
  <si>
    <t>A man waves from the top.</t>
  </si>
  <si>
    <t>We see the men on the top of the cliff.</t>
  </si>
  <si>
    <t>A man drills holes in a wall.</t>
  </si>
  <si>
    <t>We see a man fall repeatedly.</t>
  </si>
  <si>
    <t>We see three men in a boat on a river.</t>
  </si>
  <si>
    <t>v_Z6WJ0A9VvxQ</t>
  </si>
  <si>
    <t>peolpe are running in street under a bridge.</t>
  </si>
  <si>
    <t>people are standing and running through the bridge and street.</t>
  </si>
  <si>
    <t>v_IcfWEKjl_AY</t>
  </si>
  <si>
    <t>A boy stands from the bottom of a slide and walk away.</t>
  </si>
  <si>
    <t>Other kids slide on another slide in the playground.</t>
  </si>
  <si>
    <t>A toddler climbs a jungle gym, and then go down the slide.</t>
  </si>
  <si>
    <t>v_AXDa8WmY2og</t>
  </si>
  <si>
    <t>A Shih Tzu dog is standing on a table being groomed by an elderly Asian woman.</t>
  </si>
  <si>
    <t>Once she is done with the top,the lady the grabs the dog front left paw and takes a pair of scissors and begins trimming underneath his body.</t>
  </si>
  <si>
    <t>Once the belly is done,the goes to the top of the dogs head and cuts the hair around the face and clips the rest of the hair behind him.</t>
  </si>
  <si>
    <t>The next step consist of her trimming the hair under the dog's mouth.</t>
  </si>
  <si>
    <t>v_pZzTMUJG9Rk</t>
  </si>
  <si>
    <t>A man is playing soccer with another across a field.</t>
  </si>
  <si>
    <t>He performs a quick turn around move with the other following close behind.</t>
  </si>
  <si>
    <t>The same clip is replayed over and over at slower speeds to better understand the trick.</t>
  </si>
  <si>
    <t>Another trick is performed and later shown in slow motion.</t>
  </si>
  <si>
    <t>Two more tricks are demonstrated by the duo and finally showed at a slowed down pace.</t>
  </si>
  <si>
    <t>v_2zvN1cL1uik</t>
  </si>
  <si>
    <t>An intro starts with music player and foreign letter are presented across the screen.</t>
  </si>
  <si>
    <t>A man sits down in front of a hookah and begins talking to the camera.</t>
  </si>
  <si>
    <t>The man takes a hit of the hookah and coughs a bit.</t>
  </si>
  <si>
    <t>The man shows how to avoid coughing with a hookah by moving the tobacco around on the bowl.</t>
  </si>
  <si>
    <t>He sits down and takes another puff off the hookah.</t>
  </si>
  <si>
    <t>He then continues taking puffs off the device and talking about how to get clear hits.</t>
  </si>
  <si>
    <t>v_xXDNNCl1m6c</t>
  </si>
  <si>
    <t>The Department of Transportation demonstrates ice and snow safety tips with a white car covered in snow.</t>
  </si>
  <si>
    <t>A lady in a red winter jacket places the keys in the ignition and starts the car.</t>
  </si>
  <si>
    <t>The lady in the red jacket opens the trunk of the car and removes a snow brush and brushes the snow off of the car body, windshields, head lights, front grill and license tag.</t>
  </si>
  <si>
    <t>v_XTErpg4IdiE</t>
  </si>
  <si>
    <t>A man is on the floor with some gadget looking at it and messing around with it.</t>
  </si>
  <si>
    <t>He puts a hose in one sde of it and starts ro mess around with it some more.</t>
  </si>
  <si>
    <t>He then moves it to the corer of the carpet and starts working on it.</t>
  </si>
  <si>
    <t>He moves it down more and pushing the carpet down, he does this to basically the entire room.</t>
  </si>
  <si>
    <t>v_bcOFV26B3jk</t>
  </si>
  <si>
    <t>A lady kicks a ball in a field.</t>
  </si>
  <si>
    <t>The lady picks up the baby.</t>
  </si>
  <si>
    <t>The lady runs across the screen.</t>
  </si>
  <si>
    <t>The camera pans left and right to show the crowd standing around.</t>
  </si>
  <si>
    <t>v_rx_WRuQ-X14</t>
  </si>
  <si>
    <t>A wall is painted by two men.</t>
  </si>
  <si>
    <t>They then hang up wall decorations that are wallpaperlike in appearance.</t>
  </si>
  <si>
    <t>v_jqrLD8zs7R4</t>
  </si>
  <si>
    <t>A couple appears on the screen, talking about dancing the tango.</t>
  </si>
  <si>
    <t>They begin showing different steps of the dance as they talk.</t>
  </si>
  <si>
    <t>They move forward and back and forth, demonstrating the tango.</t>
  </si>
  <si>
    <t>They then dance together for the camera.</t>
  </si>
  <si>
    <t>v_SN_YS2w3JhE</t>
  </si>
  <si>
    <t>Players stand on the sideline before a volleyball match on the beach.</t>
  </si>
  <si>
    <t>Players walk onto the court and take positions for the match.</t>
  </si>
  <si>
    <t>Teams play a game of beach volleyball.</t>
  </si>
  <si>
    <t>The players shake hands and congratulate each other.</t>
  </si>
  <si>
    <t>v_p4pj27t5B6g</t>
  </si>
  <si>
    <t>A young man talks while showing a saxophone.</t>
  </si>
  <si>
    <t>The young man points the keys of the saxophone while talking.</t>
  </si>
  <si>
    <t>Then, the young man fasten the saxophone with a blue ribbon on his neck.</t>
  </si>
  <si>
    <t>After, the young man puts his mouth on the mouthpiece of the saxophone, then he continues explaining.</t>
  </si>
  <si>
    <t>v_hPQEkPZmNsU</t>
  </si>
  <si>
    <t>A hair stylist explains how to cut a mans haircut.</t>
  </si>
  <si>
    <t>The hair sylist prepares the hair into sections with some clips and begins cutting the hair with a feather razor and puts a clip in the hair on top of the head and proceeds to cut the hair with scissors making layers.</t>
  </si>
  <si>
    <t>The hair stylist then uses a hair blower dryer to fluff up the hair using her fingers.</t>
  </si>
  <si>
    <t>The hair stylist then uses only her fingers to fluff up the hair.</t>
  </si>
  <si>
    <t>A close up of theman and the final cut and a close up of the hair stylist.</t>
  </si>
  <si>
    <t>v_r4F2X_MlL-U</t>
  </si>
  <si>
    <t>A hand lines the loose area of the wallpaper.</t>
  </si>
  <si>
    <t>The hand puts paste from a bowl on the back of the loose wallpaper.</t>
  </si>
  <si>
    <t>The hand runs a scrub on the loose wallpaper.</t>
  </si>
  <si>
    <t>The hand holds a blow dryer and the other hand rolls a device to mend the loose wallpaper.</t>
  </si>
  <si>
    <t>The hand runs a scrub quickly through the mended wallpaper.</t>
  </si>
  <si>
    <t>v_iuVi8QAWfCI</t>
  </si>
  <si>
    <t>A woman introduces her home decor video, standing next to a chair.</t>
  </si>
  <si>
    <t>She first scrubs the dirt from the chair with a sponge.</t>
  </si>
  <si>
    <t>Next, she applies a silver paint to the chair.</t>
  </si>
  <si>
    <t>She then dips her brush in a blue paint to cover the chair's seat, back, and then arms/legs.</t>
  </si>
  <si>
    <t>Lastly, she places stencils on the chair and paints the insides white to decorate.</t>
  </si>
  <si>
    <t>v_SjfrdNchlqw</t>
  </si>
  <si>
    <t>men are sitting in a black jack table in a casino and the dealer is spreading the cards to players.</t>
  </si>
  <si>
    <t>man is talking to the camera.</t>
  </si>
  <si>
    <t>the dealer woman is standing talking in front of the camera.</t>
  </si>
  <si>
    <t>man is standing in front of slot machine talking to the camera.</t>
  </si>
  <si>
    <t>v_E5SWUUNrHDU</t>
  </si>
  <si>
    <t>Various tools and products are laid out on a table and transitions into a man walking in front of a mirror and putting lotion on his face.</t>
  </si>
  <si>
    <t>He then puts cream on his face and shaves all around his face.</t>
  </si>
  <si>
    <t>He then wipes his face down with a rag and walks away from the mirror.</t>
  </si>
  <si>
    <t>v_qbDQNRf-EUI</t>
  </si>
  <si>
    <t>A man speaks to camera in front of bicycles.</t>
  </si>
  <si>
    <t>The man places a part on a bicycle being worked on.</t>
  </si>
  <si>
    <t>The man tightens the part on the bicycle.</t>
  </si>
  <si>
    <t>v_h4N22DApP_Y</t>
  </si>
  <si>
    <t>Crowd are sitting on chair, kids and young people are sitting at the table with timer solving the rubik's cubes, while a man with big beard is talking in front of the camera.</t>
  </si>
  <si>
    <t>The boys are solving the rubik's cube one is blind folded, one is solving it with one hand, others are solving with with both hands.</t>
  </si>
  <si>
    <t>v_yW76UI8lnNc</t>
  </si>
  <si>
    <t>Black and yellow tokens slides on the floor while people holding sticks arrange the tokens on a painted triangle.</t>
  </si>
  <si>
    <t>Toddlers walk on the sidewalk and cross the road stepping on the tokens.</t>
  </si>
  <si>
    <t>v_eRQAjBwhDXk</t>
  </si>
  <si>
    <t>A person skis quickly down a snow covered hill.</t>
  </si>
  <si>
    <t>People are on intertubes, sledding along the snow.</t>
  </si>
  <si>
    <t>v__86X1xtj67w</t>
  </si>
  <si>
    <t>Two teams plays throwing balls to hit an opponent.</t>
  </si>
  <si>
    <t>Two boys advance to the center and throw the balls, then they return to his place.</t>
  </si>
  <si>
    <t>After, the other team advance throwing balls and hit one player wearing purple t-shirt.</t>
  </si>
  <si>
    <t>They continue playing taking turns to hit the balls.</t>
  </si>
  <si>
    <t>People handle balls to players, then they go to the center to hit other team with the balls.</t>
  </si>
  <si>
    <t>v_AX2KQGWXg1E</t>
  </si>
  <si>
    <t>A woman and a man practice kick box in a gym where also other people train, then he woman talks.</t>
  </si>
  <si>
    <t>A cars run in a city with a soldier holding a weapon, a family in the street, people walking and car sit o the curve.</t>
  </si>
  <si>
    <t>The woman talks from a room, then she trains with others in a gym, then a lady in the gym talks.</t>
  </si>
  <si>
    <t>at the end trophies are shown.</t>
  </si>
  <si>
    <t>v_3Wjig_NRlnU</t>
  </si>
  <si>
    <t>A man performs martial arts fighting with people in a film, then a big door close and a woman helps the man fight.</t>
  </si>
  <si>
    <t>The man and the woman are on front a river fighting, and then hung his legs from a tree.</t>
  </si>
  <si>
    <t>Cannons fires a home and a village, after an army fight in a field and cannons destroy homes in a village.</t>
  </si>
  <si>
    <t>A man gives to the man a big gold coin, after the man fights with people.</t>
  </si>
  <si>
    <t>v_JowsnupmNd0</t>
  </si>
  <si>
    <t>She swings her leg up.</t>
  </si>
  <si>
    <t>She drops down to the ground.</t>
  </si>
  <si>
    <t>v_U6M5hbiHn5Q</t>
  </si>
  <si>
    <t>Man does acrobatic moves down a mat.</t>
  </si>
  <si>
    <t>Another man is running down a mat in the background.</t>
  </si>
  <si>
    <t>Several replays of acrobatic moves occurs.</t>
  </si>
  <si>
    <t>Young man runs and hugs what looks to be his coach.</t>
  </si>
  <si>
    <t>Another set of replays occur.</t>
  </si>
  <si>
    <t>Words go across the screen directing people to social media and websites.</t>
  </si>
  <si>
    <t>v_YJcjkeVD0qk</t>
  </si>
  <si>
    <t>A close up of food is laid out on the table and leads into a man taking puffs out of a hookah pipe.</t>
  </si>
  <si>
    <t>The man blows smoke rings as well as several other drinks while speaking to the camera and moving to various spots in the house.</t>
  </si>
  <si>
    <t>v_McwVhHxdr5g</t>
  </si>
  <si>
    <t>a little boy is riding inline skates down a driveway.</t>
  </si>
  <si>
    <t>He waves his arms, trying to keep his balance.</t>
  </si>
  <si>
    <t>He runs, then falls on the skates.</t>
  </si>
  <si>
    <t>v_slUvIngXl4g</t>
  </si>
  <si>
    <t>two sumos are on sides of a ring and the refeee is in the middle while people is in sands sitting arpund them watching them.</t>
  </si>
  <si>
    <t>sumo start wrestling and fell out the ring.</t>
  </si>
  <si>
    <t>v_6wTk8QqWxuo</t>
  </si>
  <si>
    <t>A boy is helping his father push a mower.</t>
  </si>
  <si>
    <t>They turn back to the camera.</t>
  </si>
  <si>
    <t>A person goes stand near the fence.</t>
  </si>
  <si>
    <t>v_l9LHfuoU8js</t>
  </si>
  <si>
    <t>A person is seen cutting a piece of roof tiling and hammering down the tile for a roof.</t>
  </si>
  <si>
    <t>He walks through hamming down the fabric and nailing a long board across.</t>
  </si>
  <si>
    <t>v__Boy9qJLibI</t>
  </si>
  <si>
    <t>A graphic is seen with logo title.</t>
  </si>
  <si>
    <t>A Google map shows different city locations.</t>
  </si>
  <si>
    <t>Teammates in jumpsuits run navigate through a course of wooden crate obstacles aiming paintball guns.</t>
  </si>
  <si>
    <t>The men receive gear from a rental shop including clothes and weapons.</t>
  </si>
  <si>
    <t>The two teams walk in a line together entering the course to play.</t>
  </si>
  <si>
    <t>The men fill their gun hoppers with ammo.</t>
  </si>
  <si>
    <t>The teammates navigate through a course with inflatable obstacles aiming for opponents.</t>
  </si>
  <si>
    <t>A man is hit in the face mask to end the game.</t>
  </si>
  <si>
    <t>v_S_CnkpTkjYQ</t>
  </si>
  <si>
    <t>A man is seated while playing the drums, with a woman instructing him standing next to him.</t>
  </si>
  <si>
    <t>He hits the drums back and forth as they talk.</t>
  </si>
  <si>
    <t>He then talks extensively about how to play the congas.</t>
  </si>
  <si>
    <t>He demonstrates by playing further while talking.</t>
  </si>
  <si>
    <t>v_IbYlWVA8Dh8</t>
  </si>
  <si>
    <t>a hand is shown on a table with different supplies.</t>
  </si>
  <si>
    <t>A man is seen taking all the parts of a bicycle out of a box.</t>
  </si>
  <si>
    <t>He assembles the bicycle in the yard.</t>
  </si>
  <si>
    <t>v_7dlkshlM4nk</t>
  </si>
  <si>
    <t>A tree is seen by the side of a road.</t>
  </si>
  <si>
    <t>A man shows how to mulch around the bottom of the tree.</t>
  </si>
  <si>
    <t>He spreads the mulch evenly as he gives directions.</t>
  </si>
  <si>
    <t>v_Gp2bIEiDWTI</t>
  </si>
  <si>
    <t>A girl plays with her braided pony tail.</t>
  </si>
  <si>
    <t>The girl twists her hair together in two sections.</t>
  </si>
  <si>
    <t>The girl braids the end of the twisted hair.</t>
  </si>
  <si>
    <t>The girl separates the braids and loosens them.</t>
  </si>
  <si>
    <t>The girl pulls the braids up her hair to make them more fluffy.</t>
  </si>
  <si>
    <t>The girl uses a flat iron on her hair.</t>
  </si>
  <si>
    <t>The girl holds two dogs and dances.</t>
  </si>
  <si>
    <t>v_iH659QSrcDc</t>
  </si>
  <si>
    <t>A text graphic is seen with a title and description.</t>
  </si>
  <si>
    <t>A man stands on a roof and drills pieces of wood down.</t>
  </si>
  <si>
    <t>Credits are seen for the video with a website.</t>
  </si>
  <si>
    <t>v_yLS0UuNYXOI</t>
  </si>
  <si>
    <t>A large ice glacier is shown in the water.</t>
  </si>
  <si>
    <t>A boat is pulling a person on skis behind the boat.</t>
  </si>
  <si>
    <t>The person is floating in the water.</t>
  </si>
  <si>
    <t>v_CpTIytatsno</t>
  </si>
  <si>
    <t>An athlete spins and throws a shot put on a large playing field of a stadium.</t>
  </si>
  <si>
    <t>The man celebrates and gives a thumbs up.</t>
  </si>
  <si>
    <t>A second athlete in grey shirt throws a shotput.</t>
  </si>
  <si>
    <t>The ball lands in the grass and the man is disappointed in the throw and walks away.</t>
  </si>
  <si>
    <t>A large man in yellow shirt and headband spins and throws a shut put that veers to the left of the field.</t>
  </si>
  <si>
    <t>The man is pleased with his shot and pumps his fist.</t>
  </si>
  <si>
    <t>The man gives high fives to his team mates.</t>
  </si>
  <si>
    <t>A rack of balls are seen in the grass behind scores for the game.</t>
  </si>
  <si>
    <t>The man awaits his score standing on the track among other athletes in the background.</t>
  </si>
  <si>
    <t>v_AQQT21DBT_E</t>
  </si>
  <si>
    <t>People are grooming and brushing dogs in a public facility.</t>
  </si>
  <si>
    <t>Women take cares of dogs that have long hair.</t>
  </si>
  <si>
    <t>A woman take cares of a poodle, while other woman pets a big dog.</t>
  </si>
  <si>
    <t>A woman talks on front a dog while petting.</t>
  </si>
  <si>
    <t>v_SY5WpDrtmEE</t>
  </si>
  <si>
    <t>A man is shown performing a song at Google's London offices.</t>
  </si>
  <si>
    <t>They are standing inside of an office space and playing the flute.</t>
  </si>
  <si>
    <t>The man starts really getting into it and cheering very passionately a people look on.</t>
  </si>
  <si>
    <t>A close up is shown of him playing over and over.</t>
  </si>
  <si>
    <t>he then ends the song to a round of applause and walks out of the frame.</t>
  </si>
  <si>
    <t>v_RNrxxPOyHo4</t>
  </si>
  <si>
    <t>A man is seen kneeling on the floor while holding an iron in his hands.</t>
  </si>
  <si>
    <t>He bends down with the iron to iron the shirt and puts it down.</t>
  </si>
  <si>
    <t>Afterwards he covers his ears and looks away in pain.</t>
  </si>
  <si>
    <t>v_0wpStx2JuS4</t>
  </si>
  <si>
    <t>A man in a white shirt and hat is sitting down.</t>
  </si>
  <si>
    <t>He is playing two drums in front of him.</t>
  </si>
  <si>
    <t>He stops playing them and sits up straight.</t>
  </si>
  <si>
    <t>v_5BVcwR8hEo0</t>
  </si>
  <si>
    <t>A boy serves a tennis ball.</t>
  </si>
  <si>
    <t>He then serves two more.</t>
  </si>
  <si>
    <t>The boy turns and walks away.</t>
  </si>
  <si>
    <t>v_NNKEE-015ZY</t>
  </si>
  <si>
    <t>A teen talks and hold a leash of a dog while a young man pets a dog on a couch.</t>
  </si>
  <si>
    <t>Then, the teen runs with the dog were other youth play frisbee, after the teen talks.</t>
  </si>
  <si>
    <t>A woman reads a book lean on a dispenser soda machine.</t>
  </si>
  <si>
    <t>A man walks a dog in a parking lot and the street.</t>
  </si>
  <si>
    <t>After, the teen and the young man are indoors.</t>
  </si>
  <si>
    <t>v_xfVx1-emCV8</t>
  </si>
  <si>
    <t>The video starts with a curling game being shown from overhead.</t>
  </si>
  <si>
    <t>The camera then shows a lady skating across the ice.</t>
  </si>
  <si>
    <t>Then the camera focuses back onto the curling game showing a lady about to shoot.</t>
  </si>
  <si>
    <t>They return to the overhead angle of the game while the lady prepares to shoot.</t>
  </si>
  <si>
    <t>Other players are shown watching in anticipation.</t>
  </si>
  <si>
    <t>The player makes the shot and the camera follows along.</t>
  </si>
  <si>
    <t>The crowd cheers and a replay of the shot is shown.</t>
  </si>
  <si>
    <t>v_9n_cwQLpo_c</t>
  </si>
  <si>
    <t>A person is snowboarding indoors alone.</t>
  </si>
  <si>
    <t>The person is zig-zagging with his board down a slope.</t>
  </si>
  <si>
    <t>The person turns around at the end of the slope with arms extended.</t>
  </si>
  <si>
    <t>v_s3DoV1L9zAM</t>
  </si>
  <si>
    <t>A young man is seen sitting behind a drum set holding sticks.</t>
  </si>
  <si>
    <t>The man begins playing the drums continuously while the camera captures his movements.</t>
  </si>
  <si>
    <t>He is still seen playing the drums and ends with his hands up.</t>
  </si>
  <si>
    <t>v_xmStXpxlG_I</t>
  </si>
  <si>
    <t>A toddler hits a piñata with a bat while it is spinning.</t>
  </si>
  <si>
    <t>A person is near the boy showing an arm.</t>
  </si>
  <si>
    <t>v_nxNir9CE3zI</t>
  </si>
  <si>
    <t>The scene says River Scum with a black background.</t>
  </si>
  <si>
    <t>A kayak is going down a river while a person is paddling.</t>
  </si>
  <si>
    <t>A screen comes with words.</t>
  </si>
  <si>
    <t>v_Ip1EWQCXvRM</t>
  </si>
  <si>
    <t>A small group of people are seen sitting in a raft with close ups of their feet and paddles are shown.</t>
  </si>
  <si>
    <t>A man speaks to the group and leads into them paddling down a river.</t>
  </si>
  <si>
    <t>The group continues riding down the river showing close ups of them working and ending with a logo across the screen.</t>
  </si>
  <si>
    <t>v_esQnfUcBbPE</t>
  </si>
  <si>
    <t>A black bull is taunted with a dummy hanging on a rope as the bull lunges at the dummy.</t>
  </si>
  <si>
    <t>A man with a green and white umbrella taunts a black bull on a rope while onlookers also taunt the bull from the side on a wall.</t>
  </si>
  <si>
    <t>The black bull lunges at another dummy and the dummy get caught on the bulls horn as the bull runs off after other taunting targets.</t>
  </si>
  <si>
    <t>v_-Q9WotFs1MI</t>
  </si>
  <si>
    <t>A man is holding an ax in the forest.</t>
  </si>
  <si>
    <t>He is talking and adjusting a large stump.</t>
  </si>
  <si>
    <t>He uses the ax to split the wood.</t>
  </si>
  <si>
    <t>v_TPsMocKBQU0</t>
  </si>
  <si>
    <t>We see a lady bouncing on a slack line.</t>
  </si>
  <si>
    <t>The lady sits on her knees.</t>
  </si>
  <si>
    <t>The man in the background picks up snow.</t>
  </si>
  <si>
    <t>The lady falls of the slack line.</t>
  </si>
  <si>
    <t>We see a man bouncing on the slack line.</t>
  </si>
  <si>
    <t>We go back to the first lady bouncing.</t>
  </si>
  <si>
    <t>The lady jumps off the slack line and gets back on.</t>
  </si>
  <si>
    <t>The lady spins while bouncing.</t>
  </si>
  <si>
    <t>The lady jumps off then is back on.</t>
  </si>
  <si>
    <t>v_NE6SEdnVUh4</t>
  </si>
  <si>
    <t>A group of men are sitting outside playing instruments together.</t>
  </si>
  <si>
    <t>One of the men hand another a stick made into a flute and he sits done and begins to start playing on it.</t>
  </si>
  <si>
    <t>The man starts playing saxophone along with him.</t>
  </si>
  <si>
    <t>The other men all join in and they all make music together, having a nice time.</t>
  </si>
  <si>
    <t>v_nFhBmNJ9zN0</t>
  </si>
  <si>
    <t>A person rides a horse in a field kicking a ball with a curved stick.</t>
  </si>
  <si>
    <t>People play polo in the field riding horses.</t>
  </si>
  <si>
    <t>The man with the curved stick runs behind the other players and dispute the ball and scores.</t>
  </si>
  <si>
    <t>After, the person runs behind a player with blue t-shirt to hit the ball and score.</t>
  </si>
  <si>
    <t>v_OsB_uEj1PRM</t>
  </si>
  <si>
    <t>A man is seen laying on the ground holding onto his stomach.</t>
  </si>
  <si>
    <t>He begins moving himself up and down on the ground while holding onto his waist.</t>
  </si>
  <si>
    <t>He continues moving up and down while the camera captures his movements.</t>
  </si>
  <si>
    <t>v_HI_lWd3JhII</t>
  </si>
  <si>
    <t>A close up of a person holding a bag is shown and follows with the person taking out the items.</t>
  </si>
  <si>
    <t>He lays the items out and runs a board across a ski.</t>
  </si>
  <si>
    <t>He finally rubs the ski again and places the cap on the bar.</t>
  </si>
  <si>
    <t>v_BcflqWdlBjI</t>
  </si>
  <si>
    <t>A man chops a large notch into a lox with an ax.</t>
  </si>
  <si>
    <t>The man uses his gloved hand to brush away splintered wood from the log.</t>
  </si>
  <si>
    <t>v_xafFWMX7ZeY</t>
  </si>
  <si>
    <t>An intro leads into a woman performing several different tricks with a dog and showing text for how to perform the trick.</t>
  </si>
  <si>
    <t>The woman continues performing tricks with the dog and end by walking to the camera.</t>
  </si>
  <si>
    <t>v_baktSTMnMv4</t>
  </si>
  <si>
    <t>A bunch of billiards players and shots are shown.</t>
  </si>
  <si>
    <t>The shots are trick shots in the second half of the video.</t>
  </si>
  <si>
    <t>v_XG6ar8yc2pM</t>
  </si>
  <si>
    <t>The words "My Horseback Riding Fails" appears.</t>
  </si>
  <si>
    <t>A girl riding a white horse fails to make her horse do jumps around a track.</t>
  </si>
  <si>
    <t>A song plays over the video.</t>
  </si>
  <si>
    <t>v_gN27GB5txG8</t>
  </si>
  <si>
    <t>A black screen with three rows of Arabic writing is shown.</t>
  </si>
  <si>
    <t>A young girl then comes into the bathroom and begins to wash her hands.</t>
  </si>
  <si>
    <t>As she continues,she begins talking and describing the process and then more writing appears.</t>
  </si>
  <si>
    <t>v_Z2GWtB7MGVs</t>
  </si>
  <si>
    <t>The camera pans back to show a hotel with red lanterns in the air and crows of people standing and looking out over the beach.</t>
  </si>
  <si>
    <t>A man rides a jetski in front of a large wave of dirty water.</t>
  </si>
  <si>
    <t>A sailboat is being swayed by a large wave.</t>
  </si>
  <si>
    <t>A lady is surfing on a large wave as a boat rides next to her filming it.</t>
  </si>
  <si>
    <t>We see the boat in the water swaying again.</t>
  </si>
  <si>
    <t>We see people surfing the large waves of the river.</t>
  </si>
  <si>
    <t>A man does a handstand on a surfboard while surfing.</t>
  </si>
  <si>
    <t>v_DEEgoxzTvdk</t>
  </si>
  <si>
    <t>A group of tall trees is surrounded by water.</t>
  </si>
  <si>
    <t>We see the vast ocean water around us.</t>
  </si>
  <si>
    <t>We then see several people as they relax on a boat.</t>
  </si>
  <si>
    <t>v_ta9cB1q4AzU</t>
  </si>
  <si>
    <t>A man talks and then walks in the street until to arrive to an ice cream shop.</t>
  </si>
  <si>
    <t>A woman shows a chocolate and vanilla ice cream cones, and a girl likes an ice cream.</t>
  </si>
  <si>
    <t>People purchase ice cream, and a raise child to see ice cream.</t>
  </si>
  <si>
    <t>The man lick an ice in the shop, then he pretends to lick an ice cream in a picture.</t>
  </si>
  <si>
    <t>v_DJyfOeZc2lI</t>
  </si>
  <si>
    <t>A woman is throwing darts at a dart board.</t>
  </si>
  <si>
    <t>The dart board is shown on the wall.</t>
  </si>
  <si>
    <t>She continues to throw darts at the dart board.</t>
  </si>
  <si>
    <t>She pulls the darts out of the dart board.</t>
  </si>
  <si>
    <t>v_tTBbFGv9emI</t>
  </si>
  <si>
    <t>A man cuts the center of a log with an ax while standing on the log.</t>
  </si>
  <si>
    <t>The man stands on the log holding the ax with the right hand.</t>
  </si>
  <si>
    <t>Then, the man continues cutting the log.</t>
  </si>
  <si>
    <t>After, two people walk on front the man, and one takes loosed wood from the log.</t>
  </si>
  <si>
    <t>v_Y5hT9Sk5EY4</t>
  </si>
  <si>
    <t>A dog groomer brushes the coat of a dog with a brush that is sitting on a table.</t>
  </si>
  <si>
    <t>The brushes are seen by themselves up close.</t>
  </si>
  <si>
    <t>The groomer holds up the brush to view it close up.</t>
  </si>
  <si>
    <t>The groomer removes hair from the brush and puts it into a pile.</t>
  </si>
  <si>
    <t>v_IIAaKRUze8A</t>
  </si>
  <si>
    <t>A man stands next to a small roof.</t>
  </si>
  <si>
    <t>He holds out a piece of metal.</t>
  </si>
  <si>
    <t>He places metal along side the roof.</t>
  </si>
  <si>
    <t>He attaches the pieces securely.</t>
  </si>
  <si>
    <t>v_S_ONutgLuV8</t>
  </si>
  <si>
    <t>A close up of a person's face is shown as well as driving and laying out a surf board toy.</t>
  </si>
  <si>
    <t>The man controls the machine along the water doing jumps and tricks and speaking to the camera.</t>
  </si>
  <si>
    <t>v_H0puoztHMY8</t>
  </si>
  <si>
    <t>A fire place in a room is shown.</t>
  </si>
  <si>
    <t>Windows on a house is shown.</t>
  </si>
  <si>
    <t>A hardwood flooring in a house is shown.</t>
  </si>
  <si>
    <t>There are paint cans sitting on the floor.</t>
  </si>
  <si>
    <t>v_Svr-YN9ujkA</t>
  </si>
  <si>
    <t>A woman puts her hands down on a table with some wash cloths to get a manicure.</t>
  </si>
  <si>
    <t>The manicurist puts some glass clear nail polish on her nails and then picks up a little bag of red glitter.</t>
  </si>
  <si>
    <t>The manicurist starts to put little fun decorations to make the nail look pretty.</t>
  </si>
  <si>
    <t>Then she gets the gooey stuff and goes over the nails with it to prevent them from coming off.</t>
  </si>
  <si>
    <t>v_1xcFq3SkTKk</t>
  </si>
  <si>
    <t>A large crowd of girls walk into frame holding bars then put the bars down on the ground.</t>
  </si>
  <si>
    <t>The girls then perform a dance routine moving the bars all around and end with them holding a pose and walking off stage.</t>
  </si>
  <si>
    <t>v_6qynXM937V0</t>
  </si>
  <si>
    <t>There's a man wearing a hat and a beige colored shirt standing on the banks of a river playing his harmonica.</t>
  </si>
  <si>
    <t>There is a still river behind him.</t>
  </si>
  <si>
    <t>He continues playing his harmonica to a soothing tune.</t>
  </si>
  <si>
    <t>After he stops playing, he puts his hands down.</t>
  </si>
  <si>
    <t>v_YYUm4o1aDmY</t>
  </si>
  <si>
    <t>A woman untie a pair of shoes until half and raise the tongues.</t>
  </si>
  <si>
    <t>Then, the woman put on a foot and tie the shoe behind the tongue.</t>
  </si>
  <si>
    <t>Then, the person put the other feet and tie the shoe, then she puts the tongues up.</t>
  </si>
  <si>
    <t>The woman talks and shows her shoes and skinny pants.</t>
  </si>
  <si>
    <t>v_zjbxaEVgzyE</t>
  </si>
  <si>
    <t>A woman is seen stepping into a pit with a large man and then begins running around one another.</t>
  </si>
  <si>
    <t>The woman then climbs on top of the man while he spins her around and she gets him in a head lock.</t>
  </si>
  <si>
    <t>The two bow to one another and the woman stands next to the host shaking his hands.</t>
  </si>
  <si>
    <t>v_VCldTcZi0aE</t>
  </si>
  <si>
    <t>There are several people gathered in an outdoor gymnasium.</t>
  </si>
  <si>
    <t>There are people standing and seated in the bleachers watching about twelve band students performing.</t>
  </si>
  <si>
    <t>Most of the players are drumming on the percussion instruments in a rhythmic tune.</t>
  </si>
  <si>
    <t>The percussion players begin going round in a circle as they play the instruments.</t>
  </si>
  <si>
    <t>v_IIKwRyf4Oyg</t>
  </si>
  <si>
    <t>A close up of a guitar is seen with a hand plucking the strings.</t>
  </si>
  <si>
    <t>A man is then seen singing into a microphone while still playing the guitar.</t>
  </si>
  <si>
    <t>The man moves his fingers up and down the guitar while still singing into the microphone.</t>
  </si>
  <si>
    <t>v_MN0YWduOEHk</t>
  </si>
  <si>
    <t>men are standing in big field pulling a thick rope.</t>
  </si>
  <si>
    <t>men are walking on sides of the rope and preparing themselves to pull the rope.</t>
  </si>
  <si>
    <t>men start pullnig the rope in both sides.</t>
  </si>
  <si>
    <t>v_5K6oT9zBjVE</t>
  </si>
  <si>
    <t>A person is showing off a scrubbing brush and cleaner and pouring the clearing into a sink.</t>
  </si>
  <si>
    <t>He scrubs the sink with the brush creating suds in the water while the facet runs.</t>
  </si>
  <si>
    <t>He continues scrubbing the sink with the brush until the sink is clean.</t>
  </si>
  <si>
    <t>He wipes a paper towel around the sink with the water continues to run.</t>
  </si>
  <si>
    <t>v_3VYPdypGB_Q</t>
  </si>
  <si>
    <t>A guy is outside playing a guitar.</t>
  </si>
  <si>
    <t>A boy rides a scooter.</t>
  </si>
  <si>
    <t>A child slides down a slide.</t>
  </si>
  <si>
    <t>Children and an adult stand in line.</t>
  </si>
  <si>
    <t>The boy walks towards the line.</t>
  </si>
  <si>
    <t>v_DbF6oI705UA</t>
  </si>
  <si>
    <t>A lady wearing a UCA jersey is giving a tutorial on the different moves of cheer leading.</t>
  </si>
  <si>
    <t>As she talks, several cheerleaders show the different poses and stretches that are often done by cheerleaders to improve flexibility.</t>
  </si>
  <si>
    <t>The lady continues to explain how certain poses help in improving general flexibility in cheerleaders.</t>
  </si>
  <si>
    <t>v_uoy7NjeESZc</t>
  </si>
  <si>
    <t>A group of bikers stand on the start line.</t>
  </si>
  <si>
    <t>Suddenly all the bikes fall from a stage.</t>
  </si>
  <si>
    <t>The scene of the fall of the bikers is repeated several times.</t>
  </si>
  <si>
    <t>v_rEDbnmvTblI</t>
  </si>
  <si>
    <t>The video is shot in first person view along a snowy slope.</t>
  </si>
  <si>
    <t>The person starts at the top of the slope, riding a tube.</t>
  </si>
  <si>
    <t>They quickly slide down and travel through the snowy path.</t>
  </si>
  <si>
    <t>At the bottom, a large pile of tubes stops the person from sliding further.</t>
  </si>
  <si>
    <t>The camera pans to another group of people who have also finished sliding down the slope.</t>
  </si>
  <si>
    <t>v_fSA-eTz3GkU</t>
  </si>
  <si>
    <t>A man in a black shirt spins around and throws a ball onto the field.</t>
  </si>
  <si>
    <t>A man in the stands claps for him.</t>
  </si>
  <si>
    <t>Another man spins and throws a ball onto the field.</t>
  </si>
  <si>
    <t>v_kmtuO9Xdp-Y</t>
  </si>
  <si>
    <t>A woman plays guitar on stage.</t>
  </si>
  <si>
    <t>The lady sings in the microphone.</t>
  </si>
  <si>
    <t>The lady takes a break from singing.</t>
  </si>
  <si>
    <t>The lady begins to sing again.</t>
  </si>
  <si>
    <t>The lady stops singing then steps back to the microphone.</t>
  </si>
  <si>
    <t>v_FbPUX8cWmeU</t>
  </si>
  <si>
    <t>A young lady dressed in a pink leotard and tuto begins prancing around a large stage.</t>
  </si>
  <si>
    <t>As she continues her routine,she continues doing ballet leaps and swinging her arms and twisting like a ballerina.</t>
  </si>
  <si>
    <t>Behind,her a castle appears cast on the wall as the girl smiles and looks out to the crowd.</t>
  </si>
  <si>
    <t>v_5kBKAfEX7XA</t>
  </si>
  <si>
    <t>An athlete is seen walking up to a set of uneven bars and begins performing a gymnastics routine on the bars.</t>
  </si>
  <si>
    <t>He continues moving around on the bars and ends by jumping down on the side with his arms out.</t>
  </si>
  <si>
    <t>v_Jz9ZxenBLa8</t>
  </si>
  <si>
    <t>There are a lot of people riding in small bumper cars that can fit either 1 or 2 people.</t>
  </si>
  <si>
    <t>A woman in a blue bumper car bumps into the middle metal part and she seems stuck and can't move but suddenly she begins to move again.</t>
  </si>
  <si>
    <t>Everyone keeps riding their bumper cars after the woman gets herself going again and eventually they all come to a stop.</t>
  </si>
  <si>
    <t>v_eufCY8KHuMA</t>
  </si>
  <si>
    <t>A man is riding a black horse in slow motion.</t>
  </si>
  <si>
    <t>People are shown trying to jump fences in several scenes, falling over or breaking through them at break neck speeds.</t>
  </si>
  <si>
    <t>As the rider walks away, the words Do you think it's easy? Appear on the screen.</t>
  </si>
  <si>
    <t>v_K8ivAsscK98</t>
  </si>
  <si>
    <t>A camera pans between a person and the cameraman and leads into a man sitting in front of a drum set.</t>
  </si>
  <si>
    <t>The man then plays the drums continuously and another man walks in and sings and dances.</t>
  </si>
  <si>
    <t>Another man is shown close up and pans back to the drummer then ceiling.</t>
  </si>
  <si>
    <t>v_t-xIv68Ac4c</t>
  </si>
  <si>
    <t>Several people are in a dance room and an instructor comes as they begin to dance.</t>
  </si>
  <si>
    <t>The six people continue to dance from side to side making arrows like a Jamaican dance.</t>
  </si>
  <si>
    <t>As it continues,steps are repeated and throws fist punts in the air.</t>
  </si>
  <si>
    <t>v_KyMDXMXZLyM</t>
  </si>
  <si>
    <t>A person is talking while looking at their icy car.</t>
  </si>
  <si>
    <t>He uses a tool to scrape the ice off the windshield.</t>
  </si>
  <si>
    <t>He continues scraping until he can see to drive.</t>
  </si>
  <si>
    <t>v_Nf-7lKa387k</t>
  </si>
  <si>
    <t>There is smoke and lights and words on the screen.</t>
  </si>
  <si>
    <t>The smoke is rolling around a hat.</t>
  </si>
  <si>
    <t>A person is blowing smoke out of their nose and smoke rings.</t>
  </si>
  <si>
    <t>The camera reverses and he continues to blow smoke.</t>
  </si>
  <si>
    <t>The words everything is purple.</t>
  </si>
  <si>
    <t>The smoke continues to blow and the words Edits by Jarron Jones comes up.</t>
  </si>
  <si>
    <t>The man keeps blowing smoke into the air.</t>
  </si>
  <si>
    <t>v_rBgMeunuviE</t>
  </si>
  <si>
    <t>There are 5 different people sitting in chairs playing accordions that has pianos attached to them.</t>
  </si>
  <si>
    <t>There are 2 women, and 3 men and all of them, look very serious about what they're doing.</t>
  </si>
  <si>
    <t>They all press different keys to make blending sounds and not all of them use the accordion much.</t>
  </si>
  <si>
    <t>v_JOYduGqZSRc</t>
  </si>
  <si>
    <t>Men explains the game beer pong, while people compete in the tournament.</t>
  </si>
  <si>
    <t>Two person wears funny clothes and white wigs.</t>
  </si>
  <si>
    <t>Several people compete beer pong in a table full of cups with beer, then one person wins and people congratulates the winner.</t>
  </si>
  <si>
    <t>Then, people plays beer pong unsuccessful, and then a man throw the ball in the far cup, then people hug the winner who receives a price.</t>
  </si>
  <si>
    <t>A person takes pictures to the winner.</t>
  </si>
  <si>
    <t>v_KIIcgQyr0-Y</t>
  </si>
  <si>
    <t>We see a guitar illustration on the opening scene.</t>
  </si>
  <si>
    <t>We see a man hitting the guitar like drum.</t>
  </si>
  <si>
    <t>The man plays a song on the guitar and we briefly see the song and artist name on the screen.</t>
  </si>
  <si>
    <t>We focus on the mans left hand on the guitar neck.</t>
  </si>
  <si>
    <t>The man finishes and stops playing.</t>
  </si>
  <si>
    <t>We see the illustration again.</t>
  </si>
  <si>
    <t>v_APCbvR0SBl0</t>
  </si>
  <si>
    <t>A person runs and throws a javelin.</t>
  </si>
  <si>
    <t>There are people watching them behind a fence.</t>
  </si>
  <si>
    <t>A green umbrella sits next to the track.</t>
  </si>
  <si>
    <t>v_0pxONuRdIAY</t>
  </si>
  <si>
    <t>Two people give a news report about the importance of wearing sunscreen and talk with each other.</t>
  </si>
  <si>
    <t>People are shown outside putting sunscreen on.</t>
  </si>
  <si>
    <t>The newscasters then talk at the end with each other.</t>
  </si>
  <si>
    <t>v_KoMKIJ6QbpY</t>
  </si>
  <si>
    <t>A man in a white shirt is putting a tile on the floor.</t>
  </si>
  <si>
    <t>The man points beside the tile then stands.</t>
  </si>
  <si>
    <t>The camera zooms in on the tile.</t>
  </si>
  <si>
    <t>v_4ivePL3RW0Q</t>
  </si>
  <si>
    <t>The video begins with a close up of two young boys.</t>
  </si>
  <si>
    <t>A title slide is then shown, and then shows several ingredients used in a recipe for cookies.</t>
  </si>
  <si>
    <t>The video then shows the two boys mixing ingredients together.</t>
  </si>
  <si>
    <t>They roll the dough into balls and place them into an oven.</t>
  </si>
  <si>
    <t>The boys take the cookies out of the oven and begin eating them.</t>
  </si>
  <si>
    <t>v_I6riV09yqm8</t>
  </si>
  <si>
    <t>An intro leads into a woman preparing to jump and flips around and around on bars.</t>
  </si>
  <si>
    <t>She continues her gymnastic routine flipping through the bars with a bar spotting her and she finishes by putting her arms up.</t>
  </si>
  <si>
    <t>v_dS9TsX_zyPg</t>
  </si>
  <si>
    <t>A man wearing an apron is seen rubbing down several dishes while throwing them in a sink.</t>
  </si>
  <si>
    <t>The man continues rubbing down dishes while immediately throwing them into a sink of water.</t>
  </si>
  <si>
    <t>v_SIeV0DPSpHQ</t>
  </si>
  <si>
    <t>We see an opening sequence with flashes.</t>
  </si>
  <si>
    <t>We see two men in a yard pushing an item in the grass.</t>
  </si>
  <si>
    <t>We see a dirt patch in the grass.</t>
  </si>
  <si>
    <t>We see the monitor on the device.</t>
  </si>
  <si>
    <t>We see a tree in a round of dirt.</t>
  </si>
  <si>
    <t>We see a root in the yard.</t>
  </si>
  <si>
    <t>We see the ending credits and the screen fades.</t>
  </si>
  <si>
    <t>v_wjD2BdbSb1o</t>
  </si>
  <si>
    <t>A girl in a black shirt and pink shorts is painting a wooden fence.</t>
  </si>
  <si>
    <t>v_s84BStnbfK8</t>
  </si>
  <si>
    <t>Two people are standing in a room.</t>
  </si>
  <si>
    <t>They begin to play a game of wall ball.</t>
  </si>
  <si>
    <t>They are swinging their rackets hitting the ball.</t>
  </si>
  <si>
    <t>v_xkKjgwIPEuM</t>
  </si>
  <si>
    <t>People are running around on field playing lacrosse.</t>
  </si>
  <si>
    <t>The crowd is watching them play.</t>
  </si>
  <si>
    <t>A black and white logo is shown on the screen.</t>
  </si>
  <si>
    <t>v_VCdZ9gfzRWo</t>
  </si>
  <si>
    <t>A large Christmas tree is sitting in a room.</t>
  </si>
  <si>
    <t>A man and woman are putting lights on the Christmas tree.</t>
  </si>
  <si>
    <t>A dog is walking around the Christmas tree.</t>
  </si>
  <si>
    <t>v_K4cNyYu2LLg</t>
  </si>
  <si>
    <t>A set of toddler boys are standing up against the wall talking and playing with toothbrushes.</t>
  </si>
  <si>
    <t>They both begin to brush their teeth ferociously without any toothpaste or water.</t>
  </si>
  <si>
    <t>v_B5s4uYNIM24</t>
  </si>
  <si>
    <t>An intro comes onto the screen showing a high rise building.</t>
  </si>
  <si>
    <t>Then, a man is shown gearing up and putting on several contraptions that he can connect to a belt.</t>
  </si>
  <si>
    <t>He is then shown washing the windows of the very tall building.</t>
  </si>
  <si>
    <t>He uses a scrapper the scrape of a sticker from one of the windows.</t>
  </si>
  <si>
    <t>He is shows dipping a washer in a bucket and washing the windows of the ground floor.</t>
  </si>
  <si>
    <t>Several of the window washing supplies are shown again before the video ends.</t>
  </si>
  <si>
    <t>v_uE6_kwnfDCQ</t>
  </si>
  <si>
    <t>A woman shows tango steps moving and turning around while talking.</t>
  </si>
  <si>
    <t>Then, the man moves around showing tango steps.</t>
  </si>
  <si>
    <t>After, the woman and the man dance tango together while the man talks.</t>
  </si>
  <si>
    <t>v_ThRbaI4pGIs</t>
  </si>
  <si>
    <t>A picture of an island coast is shown with calm blue waves washing up against the rocks.</t>
  </si>
  <si>
    <t>A male suddenly appears and begins running towards the water with a surf board.</t>
  </si>
  <si>
    <t>The man begins surfing on the waves as several people sit on the beach watching him.</t>
  </si>
  <si>
    <t>After awhile,the male leaves the water and sits on the hill with the surfboard and then walks away.</t>
  </si>
  <si>
    <t>v_AmW-O5MmJHk</t>
  </si>
  <si>
    <t>A woman hands a young boy a stick with a little girl grabbing for her attention.</t>
  </si>
  <si>
    <t>The pinata is lifted and the boy begins swinging at the object.</t>
  </si>
  <si>
    <t>The camera pans around people watching while he hits the pinata and a little boy is seen clapping behind him.</t>
  </si>
  <si>
    <t>v__7l3OxQodF0</t>
  </si>
  <si>
    <t>A man in a purple shirt is talking to the camera.</t>
  </si>
  <si>
    <t>He starts climbing wood planks up a wall.</t>
  </si>
  <si>
    <t>He gets down off the wall and continues talking.</t>
  </si>
  <si>
    <t>v_B3ZL18f1x4Y</t>
  </si>
  <si>
    <t>Various pictures of food are shown followed by a person cutting up vegetables and mixing various ingredients into a pot.</t>
  </si>
  <si>
    <t>He then cuts up a piece of bread, scoops out the insides, and fries up some meat.</t>
  </si>
  <si>
    <t>Finally he pours all the ingredients into the break bowl, wraps it up in aluminum foil, and shows more pictures of the sandwich.</t>
  </si>
  <si>
    <t>v_0RUMAGGab1k</t>
  </si>
  <si>
    <t>a man is standing in front of a camera.</t>
  </si>
  <si>
    <t>He starts playing a harmonica for the camera.</t>
  </si>
  <si>
    <t>He rocks back and forth to the music as he goes.</t>
  </si>
  <si>
    <t>v_04LdesS7Pxk</t>
  </si>
  <si>
    <t>A man is closing his eyes while getting his beard trimmed and combed.</t>
  </si>
  <si>
    <t>The man now has a nearly shaven beard and is getting his neck shaved.</t>
  </si>
  <si>
    <t>The man has shaving cream on his neck and side and is getting his beard closely shaven with a razor in a downward motion.</t>
  </si>
  <si>
    <t>His face is getting toweled off after being shaven.</t>
  </si>
  <si>
    <t>A man rubs something on his hands and pats it on the other mans face.</t>
  </si>
  <si>
    <t>His face gets patted with the towel at the end.</t>
  </si>
  <si>
    <t>v_qyssgQ2xq2M</t>
  </si>
  <si>
    <t>Inside of the house on the couch two men are sitting, one of them is talking casually awhile the other is holding his arm out on a pillow.</t>
  </si>
  <si>
    <t>The man is painting his friends finger nails, he seems to have done someone else's nails also and made little red heart.</t>
  </si>
  <si>
    <t>The man is talking and pretty excited her able to do this, he keeps putting the top of the polish back to get more paint on it.</t>
  </si>
  <si>
    <t>He jokingly rubs the other mans face, and continues to take his time painting his nails.</t>
  </si>
  <si>
    <t>v_jQU4NYJzxco</t>
  </si>
  <si>
    <t>There are two children standing at a double stainless steel sink in a residential home.</t>
  </si>
  <si>
    <t>The taller child moves dishes from the right side of the sink to the left side of the sink one by one while the smaller child holds onto an orange bottle brush and doesn't move any dishes.</t>
  </si>
  <si>
    <t>Both of the children turn to the camera behind them and the older gives a big smile while the little one gives a very small smile.</t>
  </si>
  <si>
    <t>v_8TDYCXqSHCw</t>
  </si>
  <si>
    <t>A gymnast lift a weight until his shoulders, then lift it above his head.</t>
  </si>
  <si>
    <t>The man left the weight fall on the floor.</t>
  </si>
  <si>
    <t>v_bDD56LnztiQ</t>
  </si>
  <si>
    <t>A man is seen speaking to the camera behind a desk and leads into shows of people riding on skateboards.</t>
  </si>
  <si>
    <t>More shots of him talking are shown as well as people do tricks on the skateboards.</t>
  </si>
  <si>
    <t>v_T9JSNxOyUQA</t>
  </si>
  <si>
    <t>A large group of people is standing and walking around several stacks of inner-tubes and a bus.</t>
  </si>
  <si>
    <t>Two young children are sitting in one of the bus seats.</t>
  </si>
  <si>
    <t>A group of adults is riding in the bus talking.</t>
  </si>
  <si>
    <t>Several kids are in their inner-tubes in the water among other people floating on inner-tubes in the water.</t>
  </si>
  <si>
    <t>Several people are shown in canoes with people in inner-tubes in the background.</t>
  </si>
  <si>
    <t>A young girl sinks down in the middle of her inner-tube and jumps back up with her head soaked.</t>
  </si>
  <si>
    <t>Someone shows a first person view floating down the river.</t>
  </si>
  <si>
    <t>Various other people are shown in inner-tubes and canoes in the water.</t>
  </si>
  <si>
    <t>A few people are seen buying food from two women at a a concession stand.</t>
  </si>
  <si>
    <t>A man holds a young boy in a life vest who looks like he is sleeping.</t>
  </si>
  <si>
    <t>v_l5uaH-Qydxk</t>
  </si>
  <si>
    <t>A young girl is climbing across the monkey bars outside a building.</t>
  </si>
  <si>
    <t>She is swinging from each rung, moving her body forward one at a time.</t>
  </si>
  <si>
    <t>When she reaches the other end, she turns and starts making her way back to the beginning.</t>
  </si>
  <si>
    <t>v_iJPPWotXvV0</t>
  </si>
  <si>
    <t>A man in a gym walks over to a barbell.</t>
  </si>
  <si>
    <t>The man lifts the barbell to his chest, then over his head.</t>
  </si>
  <si>
    <t>The man drops the weight.</t>
  </si>
  <si>
    <t>The man hugs the men behind him.</t>
  </si>
  <si>
    <t>A man in red runs and jumps on the weight lifting man.</t>
  </si>
  <si>
    <t>The man in red walks away laughing.</t>
  </si>
  <si>
    <t>v_Bi3vlu17qp8</t>
  </si>
  <si>
    <t>A person in a black shirt gets hit by a ball.</t>
  </si>
  <si>
    <t>People standing on the beach are tossing around an orange ball.</t>
  </si>
  <si>
    <t>There are people swimming in the water behind them.</t>
  </si>
  <si>
    <t>v_ZSoPIyVJWWk</t>
  </si>
  <si>
    <t>A clear package of soft flexible hair curlers is shown on a black table as a hand picks up an unwrapped purple curler and fidgets with it.</t>
  </si>
  <si>
    <t>The hand turns the bag around so that the contents are shown through the mouth of the bag before handling both the loose purple and pink curlers.</t>
  </si>
  <si>
    <t>The hand continues to go back and forth between handling the two loose curlers and the full back of curlers before the video ends.</t>
  </si>
  <si>
    <t>v_SIHG_BRgn2E</t>
  </si>
  <si>
    <t>A black and white video intro appears with special effects of asian lettering showing up while different pictures of people are displayed.</t>
  </si>
  <si>
    <t>An Asian man is now smiling and talking to the camera as he sits in front of a microphone in a studio, and he then sings as he plays on a black piano as he reads music from music sheets on the piano.</t>
  </si>
  <si>
    <t>When the man is done singing and playing he turns to the camera and gives a big smile.</t>
  </si>
  <si>
    <t>A black screen appears and white lettering appears at the bottom right.</t>
  </si>
  <si>
    <t>v_tHhdS8t9ytI</t>
  </si>
  <si>
    <t>docto is talking in a consulting room and mixing liquids into a test tube preparing coffee and talking to the camera about benefis of the coffee.</t>
  </si>
  <si>
    <t>coffe is being served in a cup and is shown the benefits of the coffee in the body.</t>
  </si>
  <si>
    <t>v_iAwNYgA6mkc</t>
  </si>
  <si>
    <t>A man kneels in his fencing gear.</t>
  </si>
  <si>
    <t>A man walks up to him with his back turned as they talk.</t>
  </si>
  <si>
    <t>The man stands, and engages in fencing with an opponent, both attached to cables behind them.</t>
  </si>
  <si>
    <t>v__eanWnL3FtM</t>
  </si>
  <si>
    <t>A man wearing a blue shirt and a man wearing a dart shirt enter a stage surrounded by a crowd.</t>
  </si>
  <si>
    <t>The two men competes paper, scissors and rock on front a judge.</t>
  </si>
  <si>
    <t>The two men continues competing while the judge gives the start.</t>
  </si>
  <si>
    <t>Then, the two men continue competing, after the man wearing dark shirt wins the competition and people cheers.</t>
  </si>
  <si>
    <t>v_JI5_cMwgnxI</t>
  </si>
  <si>
    <t>A guy wearing a red plaid shirt is showing a tutorial on how to trim and prune trees in a garden.</t>
  </si>
  <si>
    <t>He is using a pair of garden shears to chop off the excessive leaves grown on the trees.</t>
  </si>
  <si>
    <t>He then demonstrates how to fertile the trees and shrubs by using some fertilizer balls.</t>
  </si>
  <si>
    <t>He then used a liquid fertilizer on the trees and plants to fortify them.</t>
  </si>
  <si>
    <t>He finally waters the trees and plants with a hose to complete the process.</t>
  </si>
  <si>
    <t>v_4XGQR2VmWpw</t>
  </si>
  <si>
    <t>We see a red light then the title.</t>
  </si>
  <si>
    <t>A man's biker gear is shown.</t>
  </si>
  <si>
    <t>We are shown the terrain.</t>
  </si>
  <si>
    <t>The riders take off on their bikes.</t>
  </si>
  <si>
    <t>We see them ride over all types of terrain.</t>
  </si>
  <si>
    <t>We see an Aerial shot of the bikers.</t>
  </si>
  <si>
    <t>We see a lake, and a dog followed by a bike on a street.</t>
  </si>
  <si>
    <t>A man uses a knife to open a coconut.</t>
  </si>
  <si>
    <t>We go back to the dirt bikers performing stunts.</t>
  </si>
  <si>
    <t>We see two bikers flying through the sky.</t>
  </si>
  <si>
    <t>We then see three bikers sitting still on their bikes.</t>
  </si>
  <si>
    <t>We see the end title card.</t>
  </si>
  <si>
    <t>v_vWGkTOLx57s</t>
  </si>
  <si>
    <t>A young gymnastic boy gets on a bar and starts doing flips and other things.</t>
  </si>
  <si>
    <t>It seems like he is being judged for a tournament.</t>
  </si>
  <si>
    <t>He is on the bars doing excellent, looking awesome and having fun while doing it.</t>
  </si>
  <si>
    <t>Then, he lands and poses and the audience is shown.</t>
  </si>
  <si>
    <t>v_XDFJFhaG_p0</t>
  </si>
  <si>
    <t>A man stands holding a violin and bow discussing its features.</t>
  </si>
  <si>
    <t>The man sets the instrument under his chin and tightens the bow.</t>
  </si>
  <si>
    <t>The man undoes the bow strings and raps them around the violin.</t>
  </si>
  <si>
    <t>The man plays a song on the violin.</t>
  </si>
  <si>
    <t>v_crSMHcUkPcA</t>
  </si>
  <si>
    <t>A green splash appears against a white back drown.</t>
  </si>
  <si>
    <t>Then a series of words appear across the screen and showing various pictures describing the terms.</t>
  </si>
  <si>
    <t>A man is then shown standing on a ladder laying wall paper.</t>
  </si>
  <si>
    <t>After,the man cuts the wall paper and gains assistance while putting the paper on the roof.</t>
  </si>
  <si>
    <t>The two finish and give each a high five.</t>
  </si>
  <si>
    <t>Finally,several rooms are shown displaying the work they've done.</t>
  </si>
  <si>
    <t>v_Hj_YKQiU-8Y</t>
  </si>
  <si>
    <t>A young girl is seen speaking to the camera while playing with her hair.</t>
  </si>
  <si>
    <t>She points to her shirt and leads into her brushing her hair while speaking to the camera.</t>
  </si>
  <si>
    <t>v_iVVatZsgnGo</t>
  </si>
  <si>
    <t>A person is seen swimming under water using scuba gear and pulling a rope by her side.</t>
  </si>
  <si>
    <t>She then catches a fish and is seen again in a bikini swimming around a whale.</t>
  </si>
  <si>
    <t>More shots of a dolphin are shown jumping through the water and ends with text across the screen.</t>
  </si>
  <si>
    <t>v_5OGNGIF22SY</t>
  </si>
  <si>
    <t>A buff young man is sitting on a machine with a sliding seat demonstrating weight lifting techniques.</t>
  </si>
  <si>
    <t>He then slides back,puts his feet in the ropes and starts to tie his shoes.</t>
  </si>
  <si>
    <t>Once complete,the man grabs the rope and moves back and forth while pulling out the rope to exercise.</t>
  </si>
  <si>
    <t>Now he is done,he drops the ropes and starts to talk again.</t>
  </si>
  <si>
    <t>v_dgbGv3G4k5M</t>
  </si>
  <si>
    <t>A family is rearranging furniture in a living room.</t>
  </si>
  <si>
    <t>They set up a Christmas tree in the corner of the room.</t>
  </si>
  <si>
    <t>They put lights on the tree.</t>
  </si>
  <si>
    <t>They put bulbs onto the tree.</t>
  </si>
  <si>
    <t>A little girl does a spin in front of the tree.</t>
  </si>
  <si>
    <t>v__icW_MAe7Po</t>
  </si>
  <si>
    <t>A man is inside a gym with a ball.</t>
  </si>
  <si>
    <t>He joins a team, playing a game of soccer.</t>
  </si>
  <si>
    <t>They kick the ball back and forth on the court.</t>
  </si>
  <si>
    <t>v_huKjjvCG0EE</t>
  </si>
  <si>
    <t>men are standing in a geen grssy field playing croquet.</t>
  </si>
  <si>
    <t>people are sitting on the field around the croquet game.</t>
  </si>
  <si>
    <t>man wearing white uniform is talking to the camera in the field.</t>
  </si>
  <si>
    <t>a man and a woman are talking to the camera.</t>
  </si>
  <si>
    <t>v_aiTAx3oo97U</t>
  </si>
  <si>
    <t>We see a person standing on a stair stepper.</t>
  </si>
  <si>
    <t>The person moves a cord out of the way.</t>
  </si>
  <si>
    <t>The man begins to walk on the stepper.</t>
  </si>
  <si>
    <t>The person lifts their right hand.</t>
  </si>
  <si>
    <t>v_tt5-QtDwm3Y</t>
  </si>
  <si>
    <t>A man is seen speaking to the camera and leads into him helping a man shoot several baskets.</t>
  </si>
  <si>
    <t>The coach is then seen instructing a large group of children as they shoot baskets over and over.</t>
  </si>
  <si>
    <t>v_GTOP7XXi_vI</t>
  </si>
  <si>
    <t>Smoke fills an empty dark room.</t>
  </si>
  <si>
    <t>Words appear on the screen, followed by the appearance of men who are kickboxing.</t>
  </si>
  <si>
    <t>A group plays instruments behind them while they fight.</t>
  </si>
  <si>
    <t>The two men end the fight with a hug.</t>
  </si>
  <si>
    <t>v_ldjIg23Rofw</t>
  </si>
  <si>
    <t>two man are in a room playing row row row your boat.</t>
  </si>
  <si>
    <t>two men are playing taking a selfie in a living room.</t>
  </si>
  <si>
    <t>man is standing in living room playing beer pong and taking out his shirt.</t>
  </si>
  <si>
    <t>man is standing in the living room holding a tennis racket and hiting a ball.</t>
  </si>
  <si>
    <t>two men are standing in the living oom playing beer pong and doing other shot games with a bottle of whiskey.</t>
  </si>
  <si>
    <t>v_zyh1cftKtQM</t>
  </si>
  <si>
    <t>A woman is seen speaking to the camera while holding up various objects and begins brushing her hair.</t>
  </si>
  <si>
    <t>She ties her hair up while still speaking and holding up several brushes at the sign time.</t>
  </si>
  <si>
    <t>v_WdC6dVbfTvs</t>
  </si>
  <si>
    <t>A body piercing artist is seen piercing the belly button of a female.</t>
  </si>
  <si>
    <t>Initially he uses a piercing tool to make the incision on the belly button.</t>
  </si>
  <si>
    <t>Afterwards he inserts the piercing and makes sure its secure.</t>
  </si>
  <si>
    <t>Than he uses a wipe and cleans the area.</t>
  </si>
  <si>
    <t>Afterwards the girl stands up talks to he friend and looks in the mirror.</t>
  </si>
  <si>
    <t>In the end the camera man turns around and speaks to the camera with authority .</t>
  </si>
  <si>
    <t>v_yrCBN0tYjPE</t>
  </si>
  <si>
    <t>A man stands in a large room.</t>
  </si>
  <si>
    <t>He then jumps up on beams.</t>
  </si>
  <si>
    <t>He then balances himself on the beam.</t>
  </si>
  <si>
    <t>He does several flips and tricks.</t>
  </si>
  <si>
    <t>v_5fgJ5vWTcSQ</t>
  </si>
  <si>
    <t>A man is riding a skateboard down a suburban road.</t>
  </si>
  <si>
    <t>Two more are shown as the camera man is spotting them from behind.</t>
  </si>
  <si>
    <t>He pushes them, keeping them at a fast pace.</t>
  </si>
  <si>
    <t>v_a_v_1fL2VyM</t>
  </si>
  <si>
    <t>An athlete jumps with a pole to pass the horizontal bar, then he falls on the foamy mat.</t>
  </si>
  <si>
    <t>Then, there is a flash back of the vault pole jump.</t>
  </si>
  <si>
    <t>v_Z2wZr0Beq9c</t>
  </si>
  <si>
    <t>A woman is seen sitting behind a poker table and dealer cards while others do the same in the back.</t>
  </si>
  <si>
    <t>The woman continues dealing cards on the table while looking and smiling to the camera.</t>
  </si>
  <si>
    <t>v_cu8TBL7msJg</t>
  </si>
  <si>
    <t>Several clips are shown of people holding tennis rackets and hitting a ball into the distance.</t>
  </si>
  <si>
    <t>Text is shown across the screen and more shots are shown of people demonstrating.</t>
  </si>
  <si>
    <t>The people continue hitting the balls around the court while the camera captures their movements.</t>
  </si>
  <si>
    <t>v_I5RVQUYA1w4</t>
  </si>
  <si>
    <t>The two girls hug each other and the girl who's wearing the blue dress slightly pushes past the other girl.</t>
  </si>
  <si>
    <t>Then she runs back to her and hugs her and runs away from her again.</t>
  </si>
  <si>
    <t>v_6Eh7B3GnQWI</t>
  </si>
  <si>
    <t>We see a man talking to the camera while holding an accordion.</t>
  </si>
  <si>
    <t>The man then plays the accordion and we see it up close.</t>
  </si>
  <si>
    <t>The man holds a note and his hands shake.</t>
  </si>
  <si>
    <t>We zoom out and the man stops playing.</t>
  </si>
  <si>
    <t>v_mvl6wff267o</t>
  </si>
  <si>
    <t>A large group of people are seen running down a track and transitions into several more people running.</t>
  </si>
  <si>
    <t>Two girls check their wrists while one speaks to the camera and several shots of a wristband are shown.</t>
  </si>
  <si>
    <t>More people are interviewed while wearing the wrist bands and show how they work while many run around.</t>
  </si>
  <si>
    <t>v_vkk-sOo8Hqw</t>
  </si>
  <si>
    <t>We see men on a boat, a saw appears then a man in a hammock.</t>
  </si>
  <si>
    <t>the man gets up and goes to his mower and creates something on a wheel well and ties it to the mower and the shed door.</t>
  </si>
  <si>
    <t>The man allows the mower to spin around the object and cut the grass.</t>
  </si>
  <si>
    <t>It then pulls the object into the shed on the line and the door pulls closed.</t>
  </si>
  <si>
    <t>v_A6CBFa22oJc</t>
  </si>
  <si>
    <t>An add displays a web site about a business called happydogz.</t>
  </si>
  <si>
    <t>Then, a man appears pulled by a dog, then adds display information about a retractable dog leash.</t>
  </si>
  <si>
    <t>After, a couple pulls two dogs from leashes.</t>
  </si>
  <si>
    <t>After, adds display information about the leash.</t>
  </si>
  <si>
    <t>v_8LI3rnG6kMA</t>
  </si>
  <si>
    <t>A carved pumpking with a light in it glows on a counter.</t>
  </si>
  <si>
    <t>Supplies for carving are then shown.</t>
  </si>
  <si>
    <t>A woman cuts the top off the pumpkin, emptying the seeds.</t>
  </si>
  <si>
    <t>She then carves the traced lines to cut out the design.</t>
  </si>
  <si>
    <t>When she is done, a tea light is placed inside the pumpkin and lit.</t>
  </si>
  <si>
    <t>v_JK8pYBpatAY</t>
  </si>
  <si>
    <t>She has a metal weight bar on her shoulders.</t>
  </si>
  <si>
    <t>She moves up and down lifting the weight.</t>
  </si>
  <si>
    <t>v_2iBb6ArHweI</t>
  </si>
  <si>
    <t>A woman is seen speaking to the camera while holding a bottle of sunscreen.</t>
  </si>
  <si>
    <t>She then opens the bottle and uses a holder on the side.</t>
  </si>
  <si>
    <t>She shows off the holder while still speaking to the camera.</t>
  </si>
  <si>
    <t>v_TpURw9nc8ks</t>
  </si>
  <si>
    <t>Several people are seen standing around one another holding sticks and looking around.</t>
  </si>
  <si>
    <t>The people hit a ball across a lawn one at a time and are seen laughing and smiling at one another.</t>
  </si>
  <si>
    <t>v_IHPb-JPIhg8</t>
  </si>
  <si>
    <t>A man is swinging on a balance beam.</t>
  </si>
  <si>
    <t>He jumps off and puts his hands in the air.</t>
  </si>
  <si>
    <t>He gets back on the balance beam.</t>
  </si>
  <si>
    <t>v_CiCNA-Nr1QQ</t>
  </si>
  <si>
    <t>A man is at a bowling alley dressed in bowling clothes, shoes and wearing gloves as he takes turns rolling the ball down the lane and hitting pins.</t>
  </si>
  <si>
    <t>The man grabs the ball from the return and holds the ball and stands there for a while staring down the lane, and when he finally rolls it he makes a strike.</t>
  </si>
  <si>
    <t>When the strike is over, it then replays in slow motion.</t>
  </si>
  <si>
    <t>v_QtiqvB4uw2Y</t>
  </si>
  <si>
    <t>A view of a top of a roof with pine straws shown strewn all over it appears and a banner at the bottom say's "If you got pine straw on your roof, call us 678-887-9479.</t>
  </si>
  <si>
    <t>A man is now on the top of the roof and he has a blower in his right hand, metal stick in his left hand for balance, and he's walking along the roof blowing off all of the pine straws.</t>
  </si>
  <si>
    <t>The last view is of the cleaned off roof and the website is shown at the bottom of the screen.</t>
  </si>
  <si>
    <t>v_Y76wuHBZgdU</t>
  </si>
  <si>
    <t>A man is is laying carpet in a room.</t>
  </si>
  <si>
    <t>A woman is looking at carpet samples in a shop.</t>
  </si>
  <si>
    <t>Men are on their knees installing hardwood flooring.</t>
  </si>
  <si>
    <t>v_VdeYnCIbRJ4</t>
  </si>
  <si>
    <t>An athletic man is seen standing at the beginning of a long track with several people standing on the sidelines.</t>
  </si>
  <si>
    <t>He begins running down the track and jumping with a few others walk around him in the distance.</t>
  </si>
  <si>
    <t>v__UPD2IvdQ_M</t>
  </si>
  <si>
    <t>An audience is gathered in a gymnasium to watch the gymnast on the pommel horse.</t>
  </si>
  <si>
    <t>He concentrates, and then mounts to begin his routine.</t>
  </si>
  <si>
    <t>He performs first one, and then a second impressive handstand while gripping one handle with both hands.</t>
  </si>
  <si>
    <t>He completes his routine, and then finishes with a flawless dismount to cheering.</t>
  </si>
  <si>
    <t>v_nn-ASL9KZUo</t>
  </si>
  <si>
    <t>A man is seen throwing a dart up over the camera while looking into the distance.</t>
  </si>
  <si>
    <t>Several shots are shown of him throwing as well as text going across the screen.</t>
  </si>
  <si>
    <t>The man continues throwing over and over again.</t>
  </si>
  <si>
    <t>v_0YPfoB84Fes</t>
  </si>
  <si>
    <t>A woman shows how to cover a cake with frosting using a spatula.</t>
  </si>
  <si>
    <t>Then, she explains how to cleans the border of the cake using a cloth.</t>
  </si>
  <si>
    <t>v_hG2kfPRWjO0</t>
  </si>
  <si>
    <t>A close up of a phone is shown as well as a person waking up, brushing their teeth, and walking out the door.</t>
  </si>
  <si>
    <t>Close ups are shown of people riding up a ski lift as well as down a mountain.</t>
  </si>
  <si>
    <t>The people to zoom in on the camera looking closely and waving to one another.</t>
  </si>
  <si>
    <t>v_xCVZBvwhoWE</t>
  </si>
  <si>
    <t>A person is seen standing in a close room holding a tennis racket.</t>
  </si>
  <si>
    <t>The person then begins hitting the ball with the racket and walking around.</t>
  </si>
  <si>
    <t>Another person is seen walking in frame as well as out.</t>
  </si>
  <si>
    <t>v_AF6tasHTW-8</t>
  </si>
  <si>
    <t>Two kids are jump roping outside.</t>
  </si>
  <si>
    <t>Two adults are kneeling down on the ground holding a jump rope for a kid.</t>
  </si>
  <si>
    <t>The woman is talking to the camera.</t>
  </si>
  <si>
    <t>A boy spills a glass on his face while jump roping.</t>
  </si>
  <si>
    <t>v_f4mDKdD0z3U</t>
  </si>
  <si>
    <t>woman is wearing harness and get in a helicopter above and are flying above a volcano.</t>
  </si>
  <si>
    <t>a man and a woman are hanging from the helicopter's door holds to a rope and make a jump.</t>
  </si>
  <si>
    <t>the man and the woman are in the land talking to a couple.</t>
  </si>
  <si>
    <t>v_H6g8SsxL8RU</t>
  </si>
  <si>
    <t>man in in front of a car with the hood open.</t>
  </si>
  <si>
    <t>man walks through the woods and ty to light a woodfire.</t>
  </si>
  <si>
    <t>v_pVkwQOp1xZo</t>
  </si>
  <si>
    <t>Someone is stroking blue paint up and down on a fence.</t>
  </si>
  <si>
    <t>They put the paint brush in the paint again to gather more paint.</t>
  </si>
  <si>
    <t>Then continue to proceed with painting the fence.</t>
  </si>
  <si>
    <t>They do that multiple times trying to cover all of the brown.</t>
  </si>
  <si>
    <t>v_jqW7r60gOzE</t>
  </si>
  <si>
    <t>A man is seen standing before a hold child holding up a pinata while others stand around and watch.</t>
  </si>
  <si>
    <t>The blind folded boy then takes multiple swings at the pinata while the kids sit around and watch.</t>
  </si>
  <si>
    <t>v_lk2niPrG3y8</t>
  </si>
  <si>
    <t>There's a woman in a yellow tank top and black tights doing jump rope in a gym.</t>
  </si>
  <si>
    <t>She jumps in a rhythmic manner without stopping on the hardwood floor surface.</t>
  </si>
  <si>
    <t>After she's done, a person standing in front of her gives her a thumbs up and cheers for her.</t>
  </si>
  <si>
    <t>v_W3KCFRADoX8</t>
  </si>
  <si>
    <t>A woman is sitting in a room talking.</t>
  </si>
  <si>
    <t>There is a white cat on the bed behind her.</t>
  </si>
  <si>
    <t>She starts braiding her hair to the side.</t>
  </si>
  <si>
    <t>She continues talking and blows a kiss to the camera.</t>
  </si>
  <si>
    <t>v_cKHdMUfKsQ8</t>
  </si>
  <si>
    <t>A woman is seen speaking to the camera while holding up a paintbrush and bucket.</t>
  </si>
  <si>
    <t>She paints a piece of furniture next to her while also holding up a brush.</t>
  </si>
  <si>
    <t>She holds up more objects while dipping the brushes into them as well as uses it on the furniture.</t>
  </si>
  <si>
    <t>v_FeXBmKYV8HY</t>
  </si>
  <si>
    <t>A woman reporting is speaking to a camera with a serious demeanor.</t>
  </si>
  <si>
    <t>A man unzips his violin from the bag and plays a little bit for the camera while the reporter commentates.</t>
  </si>
  <si>
    <t>He begins to struggle playing with his condition, and shows surgery on how to fix him.</t>
  </si>
  <si>
    <t>The reporter claims that the man is better than ever and shows his progress playing a violin in a show.</t>
  </si>
  <si>
    <t>v_cwQQj3VZLC8</t>
  </si>
  <si>
    <t>A man is standing at the start line clapping his hands, people look on.</t>
  </si>
  <si>
    <t>He takes off running and does a long jump.</t>
  </si>
  <si>
    <t>He salutes the large applauding audience.</t>
  </si>
  <si>
    <t>Another man waits on the start line before accelerating into the long jump.</t>
  </si>
  <si>
    <t>He looks to the crowd who are subdued.</t>
  </si>
  <si>
    <t>He walk away looking at the ground.</t>
  </si>
  <si>
    <t>Another man waits on the start line before running into a longjump.</t>
  </si>
  <si>
    <t>He waves to the appreciative crowd and runs away smiling and celebrating.</t>
  </si>
  <si>
    <t>v_uu4_cV49pMI</t>
  </si>
  <si>
    <t>A person is seen lying on the ground with another person running from behind.</t>
  </si>
  <si>
    <t>The person running then falls and others around them help and drink water.</t>
  </si>
  <si>
    <t>v_n2fFj1mBjhQ</t>
  </si>
  <si>
    <t>Players are playing lacrosse in a hockey arena.</t>
  </si>
  <si>
    <t>The players leaves the arena.</t>
  </si>
  <si>
    <t>A green team player runs towards the clear window.</t>
  </si>
  <si>
    <t>v_dVCAykynRzs</t>
  </si>
  <si>
    <t>A camera pans around a mcdonalds and leads into a man speaking to a cashier.</t>
  </si>
  <si>
    <t>Several shots are then shown of people playing rock paper scissors with employees.</t>
  </si>
  <si>
    <t>When people win the game, they get a free ice cream.</t>
  </si>
  <si>
    <t>v_E7OCzz_XuiI</t>
  </si>
  <si>
    <t>A fridge is seen opening with two people grabbing onto a piece of cheese.</t>
  </si>
  <si>
    <t>The two men fight then begin playing a game of rock paper scissors.</t>
  </si>
  <si>
    <t>They use various tools and objects to play as well as smaller versions of themselves that keep panning backwards.</t>
  </si>
  <si>
    <t>v_50oy8wP2Wo8</t>
  </si>
  <si>
    <t>We see an opening screen then a sitting lady.</t>
  </si>
  <si>
    <t>We see a person cutting the ladies long hair with a level.</t>
  </si>
  <si>
    <t>The person then brushes her blunt hair.</t>
  </si>
  <si>
    <t>The lady turns around and smiles.</t>
  </si>
  <si>
    <t>We see a before and after.</t>
  </si>
  <si>
    <t>We then see scenes of people using the tool.</t>
  </si>
  <si>
    <t>We see the tool in white and blue.</t>
  </si>
  <si>
    <t>The closing screen is seen.</t>
  </si>
  <si>
    <t>v_VFKUKX9ToNI</t>
  </si>
  <si>
    <t>a group of swimmers are on a diving board.</t>
  </si>
  <si>
    <t>A man falls off the board very suddenly.</t>
  </si>
  <si>
    <t>He hits other levels on his way down into the water.</t>
  </si>
  <si>
    <t>v_insSTTMSC38</t>
  </si>
  <si>
    <t>A woman is doing some exercise on a machine.</t>
  </si>
  <si>
    <t>She is going at a pretty fast speed, you can see her get off and then get back on again.</t>
  </si>
  <si>
    <t>She places her hands around a piece and it allows her to she her stride and speed as well as her heartbeat and stuff.</t>
  </si>
  <si>
    <t>She changes the her speed and drink some water and keeps on going.</t>
  </si>
  <si>
    <t>v_1Ao43T5yRjI</t>
  </si>
  <si>
    <t>A rusty ball is shown rolling down some type of man made ramp.</t>
  </si>
  <si>
    <t>Several Olympic athletes are then shown putting the shotput by their neck and throwing it and getting their distance measured.</t>
  </si>
  <si>
    <t>A black scoreboard is finally shown and they begin to give the winner the medal and show the flag of the country the person is representing.</t>
  </si>
  <si>
    <t>v_lcUtnIptSjM</t>
  </si>
  <si>
    <t>A woman in a lab coat is in a hospital recovery room.</t>
  </si>
  <si>
    <t>She soaps up her hands well with soap.</t>
  </si>
  <si>
    <t>She then rinses and dries them thoroughly.</t>
  </si>
  <si>
    <t>v_zcvbHJ1BZ9s</t>
  </si>
  <si>
    <t>A man pulls a boot onto his foot seated in a chair inside.</t>
  </si>
  <si>
    <t>The man fastens the straps on the boat.</t>
  </si>
  <si>
    <t>A person shows the man how to fasten the straps on the boot.</t>
  </si>
  <si>
    <t>The man shakes while trying to finish putting on the shoes.</t>
  </si>
  <si>
    <t>v_29kX1NaPGP0</t>
  </si>
  <si>
    <t>An older man is seen speaking to the camera while holding a tennis ball and racket in his hand.</t>
  </si>
  <si>
    <t>He moves the racket and ball up to demonstrate how to properly serve the ball, followed by him actually serving the ball in slow motion.</t>
  </si>
  <si>
    <t>The same shot is shown several more times to demonstrate how to properly perform this serve.</t>
  </si>
  <si>
    <t>v_aEAmMKa8iuM</t>
  </si>
  <si>
    <t>An indoor BMX bike race happens.</t>
  </si>
  <si>
    <t>After the start, everyone goes around the track as quick as possible.</t>
  </si>
  <si>
    <t>v_TIue1jR51j8</t>
  </si>
  <si>
    <t>Man in purple talks to the camera.</t>
  </si>
  <si>
    <t>Man in purple walks forward in slow steps.</t>
  </si>
  <si>
    <t>Man in gray demonstrates how to walk.</t>
  </si>
  <si>
    <t>Man in gray demonstrates different jumps.</t>
  </si>
  <si>
    <t>v_dcmfRooP6dg</t>
  </si>
  <si>
    <t>A close up of a strawberry is shown.</t>
  </si>
  <si>
    <t>A woman is talking with an array of watercolors.</t>
  </si>
  <si>
    <t>She demonstrates how to use the watercolors to create art on a canvas.</t>
  </si>
  <si>
    <t>v_wRKFbuczjsw</t>
  </si>
  <si>
    <t>There's a woman in a pink shirt and black shorts training a dog on a large open lawn.</t>
  </si>
  <si>
    <t>she is throwing pink colored Frisbee discs for the dog to run and fetch.</t>
  </si>
  <si>
    <t>Every time she throws the disc, the dog gets excited and runs and fetches the disc for her.</t>
  </si>
  <si>
    <t>The dog is well trained to catch the disc in its mouth almost every time without missing it.</t>
  </si>
  <si>
    <t>there are are few people standing and watching the trainer and the dog.</t>
  </si>
  <si>
    <t>v_yAa24V7sXJM</t>
  </si>
  <si>
    <t>An emblem appears on the screen.</t>
  </si>
  <si>
    <t>A view of the sun is seen between the clouds.</t>
  </si>
  <si>
    <t>A woman walks up to a young boy who has his pants down, crouching in front of a bucket.</t>
  </si>
  <si>
    <t>She yells at him, and drags him away.</t>
  </si>
  <si>
    <t>She shows him how to lather his hands with soap.</t>
  </si>
  <si>
    <t>Then the group of gathered women talk as the boy watches and listens.</t>
  </si>
  <si>
    <t>The women look sad as she walks away.</t>
  </si>
  <si>
    <t>A boy and woman walk up to talk to another woman, and she looks upset.</t>
  </si>
  <si>
    <t>A doctor is shown talking about dirty hands to the women.</t>
  </si>
  <si>
    <t>They are then shown outside, washing their hands and doctoring the boy as they show how not to be dirty.</t>
  </si>
  <si>
    <t>The group jumps into the air in celebration.</t>
  </si>
  <si>
    <t>v_Kdf1HhynNx8</t>
  </si>
  <si>
    <t>Two girls are seen waving to the camera while one holds up a drink and the other plays with her hair.</t>
  </si>
  <si>
    <t>The girls walk around a bit followed by drinking out of a glass and making funny faces to the camera.</t>
  </si>
  <si>
    <t>v_zBtmE0BAjGE</t>
  </si>
  <si>
    <t>A woman is shown walking around a kitchen turning on a faucet and l letting the sink fill up with water.</t>
  </si>
  <si>
    <t>She is shown wearing gloves, spraying cleaner around the sink and scrubbing with a brush.</t>
  </si>
  <si>
    <t>She smiles at the cleaning product and pans out to the label being shown.</t>
  </si>
  <si>
    <t>v_45WfFPM5yvw</t>
  </si>
  <si>
    <t>a man in swimming trunks is outdoors, fastening himself into equipment.</t>
  </si>
  <si>
    <t>He gets on a parasailer, and gets into the water.</t>
  </si>
  <si>
    <t>He begins sailing on a surfboard, holding on tightly as he speeds up.</t>
  </si>
  <si>
    <t>He then stops in the water, leaning onto his side.</t>
  </si>
  <si>
    <t>v_r-XQMXUJBqk</t>
  </si>
  <si>
    <t>A kid is playing hopscotch on the ground.</t>
  </si>
  <si>
    <t>They go back and forth on the hopscotch board.</t>
  </si>
  <si>
    <t>They bend down to pick something up.</t>
  </si>
  <si>
    <t>v_5K-soRkdGDs</t>
  </si>
  <si>
    <t>A dog is shown running up steps to a building.</t>
  </si>
  <si>
    <t>They go inside, and it's a dog grooming salon.</t>
  </si>
  <si>
    <t>Several signs in another language are shown before the equipment is turned on.</t>
  </si>
  <si>
    <t>The dog is rinsed, soaped, bathed and clipped on the machine.</t>
  </si>
  <si>
    <t>v_oO6jZR9Aijc</t>
  </si>
  <si>
    <t>A store front is seen from the outside.</t>
  </si>
  <si>
    <t>A store owner stands behind a display wall and discusses.</t>
  </si>
  <si>
    <t>Paintball players run through a grassy court with obstacles and aim their weapons.</t>
  </si>
  <si>
    <t>The store owner displays different face masks for the sport.</t>
  </si>
  <si>
    <t>v_DKnvOGEDUyQ</t>
  </si>
  <si>
    <t>A group of people are seen standing around a Foosball table playing a game with one another using the poles to play.</t>
  </si>
  <si>
    <t>The men continue playing game and fourth while the camera captures them from above and two walk away in the end.</t>
  </si>
  <si>
    <t>v_37Q3so6ERxs</t>
  </si>
  <si>
    <t>A man in blue shirt drink a big glass of beer.</t>
  </si>
  <si>
    <t>The blonde man beside him is cheering.</t>
  </si>
  <si>
    <t>The man in blue shirt finished his drink and put it down, and the blonde man cheered.</t>
  </si>
  <si>
    <t>v_CRKA3xPEKm8</t>
  </si>
  <si>
    <t>man is standing in parallels doing gymnastics in a roofed gym.</t>
  </si>
  <si>
    <t>people is in teraces watching the man.</t>
  </si>
  <si>
    <t>v_rV9RzL8o7tk</t>
  </si>
  <si>
    <t>A girl wearing a white coat with hood is next to man and a woman on side of a pool table.</t>
  </si>
  <si>
    <t>Then, the girl walks and takes off the coat, then she takes a cue stick and bend on front two men.</t>
  </si>
  <si>
    <t>After, the girl turns and grabs the boy shirt while making a sexy gesture, then she turns to play again.</t>
  </si>
  <si>
    <t>A man wants to touch the butt of a girl.</t>
  </si>
  <si>
    <t>v_nw8MpBwL508</t>
  </si>
  <si>
    <t>A girl in a purple outfit gets onto a balance beam.</t>
  </si>
  <si>
    <t>She does a gymnastics routine on the balance beam.</t>
  </si>
  <si>
    <t>v_8LTh7r2U8Fw</t>
  </si>
  <si>
    <t>An athlete walks onto a field outside.</t>
  </si>
  <si>
    <t>He runs with a javelin in the air.</t>
  </si>
  <si>
    <t>He throws the javelin as far as he can, repeating multiple times.</t>
  </si>
  <si>
    <t>v_gtzg66XV6E0</t>
  </si>
  <si>
    <t>a woman is in front of a table, holding a cat.</t>
  </si>
  <si>
    <t>She pets the cat to calm him down.</t>
  </si>
  <si>
    <t>She then gently clips his toenails.</t>
  </si>
  <si>
    <t>v_0J55EGFLglQ</t>
  </si>
  <si>
    <t>it seems like they are watching on tv a game of soccer.</t>
  </si>
  <si>
    <t>The station shows for what channel it is that is being watched.</t>
  </si>
  <si>
    <t>The women on the court are running around trying to get the ball.</t>
  </si>
  <si>
    <t>One of the women runs all the way into the goal.</t>
  </si>
  <si>
    <t>v_ezx7z-kx2v4</t>
  </si>
  <si>
    <t>A man is standing up and throws a rock.</t>
  </si>
  <si>
    <t>People are standing and watching him.</t>
  </si>
  <si>
    <t>A man gets into a horse carriage and rides away.</t>
  </si>
  <si>
    <t>v_7univ6G4RXA</t>
  </si>
  <si>
    <t>We see a boy brushing his teeth and dancing in the bathroom.</t>
  </si>
  <si>
    <t>The boy pauses and looks at the brush.</t>
  </si>
  <si>
    <t>The boy returns to brushing and dancing.</t>
  </si>
  <si>
    <t>The boy holds on the the sink for a moment.</t>
  </si>
  <si>
    <t>The boy holds onto the sink again.</t>
  </si>
  <si>
    <t>v_veKNTB-N9EQ</t>
  </si>
  <si>
    <t>A close up of a wall is shown with water spraying down the sides that leads into several pictures as well as people spraying down the ground.</t>
  </si>
  <si>
    <t>More people are seen spraying down a truck as well as cars being lifted up on a machine while more pictures are shown.</t>
  </si>
  <si>
    <t>v_6sorAV7KJxA</t>
  </si>
  <si>
    <t>This man is shown standing on the roof saying a few words.</t>
  </si>
  <si>
    <t>Then he starts removing some parts of wood from the roof and he piles all of the tiles up.</t>
  </si>
  <si>
    <t>Then he puts them where they should go to make a full part on the roof.</t>
  </si>
  <si>
    <t>v_MJZjSHG6tBY</t>
  </si>
  <si>
    <t>A man does a barbecue in a yard while singing with people showing drinks in cans and cups.</t>
  </si>
  <si>
    <t>Then people walk to a bar and sing inside drinking beer.</t>
  </si>
  <si>
    <t>Women serves drinks from a fountain.</t>
  </si>
  <si>
    <t>A man talks on front a microphone and people continue singing and showing beer.</t>
  </si>
  <si>
    <t>Then, people are again singing, drinking and dancing outdoors.</t>
  </si>
  <si>
    <t>v_M6yAoJJQvGY</t>
  </si>
  <si>
    <t>A woman is seen speaking to the camera and leads into clips of her performing ab exercises wile speaking to the camera.</t>
  </si>
  <si>
    <t>The woman demonstrates how to do a proper sit up by moving her arms in different places and speaking to the camera.</t>
  </si>
  <si>
    <t>v_4XEowfJ-1W0</t>
  </si>
  <si>
    <t>A person shows a bowl of ice cream at Disneyland.</t>
  </si>
  <si>
    <t>The person enjoys the bowl of ice cream.</t>
  </si>
  <si>
    <t>A trolley rolls along a street with a conductor hanging out of the window.</t>
  </si>
  <si>
    <t>A busy street is seen with many people walking along and looking at a parked trolley car.</t>
  </si>
  <si>
    <t>v_etG65un_AiQ</t>
  </si>
  <si>
    <t>A jet ski is parked and a man is riding one.</t>
  </si>
  <si>
    <t>We see a man's name on the screen and a man behind a boat and a man jet skiing and flipping around.</t>
  </si>
  <si>
    <t>Two men on a jet ski shake their hair.</t>
  </si>
  <si>
    <t>A person name is on the screen and we see a man jet ski.</t>
  </si>
  <si>
    <t>Another name and another man on the jet ski.</t>
  </si>
  <si>
    <t>We see the man as he prepares to ski riding behind the boat.</t>
  </si>
  <si>
    <t>We see the lake and then the closing credits.</t>
  </si>
  <si>
    <t>v_mHbsKzezfFQ</t>
  </si>
  <si>
    <t>We see a black screen and the credits.</t>
  </si>
  <si>
    <t>A person is cutting a man's hair.</t>
  </si>
  <si>
    <t>They switch to an electric razor on the back.</t>
  </si>
  <si>
    <t>The person uses the shaver on their hand.</t>
  </si>
  <si>
    <t>The screen changes to black for a moment.</t>
  </si>
  <si>
    <t>We see the screen change again and the person lines the back of the man's head.</t>
  </si>
  <si>
    <t>The barber touches the shaver edge.</t>
  </si>
  <si>
    <t>The screen fades to black and the ending credits roll.</t>
  </si>
  <si>
    <t>v_p4YTDxTASBI</t>
  </si>
  <si>
    <t>A group of people are riding in various canoes down a river.</t>
  </si>
  <si>
    <t>A man shoots a flame up into the air followed by several others as well.</t>
  </si>
  <si>
    <t>The camera pans around the group of people dressed as pirates and in other various costumes.</t>
  </si>
  <si>
    <t>v_vHejQlbAL78</t>
  </si>
  <si>
    <t>Several people are seen grabbing skis as well as cars lined up and people speaking to one another.</t>
  </si>
  <si>
    <t>This leads into several clips of skiers riding down mountains one after the other.</t>
  </si>
  <si>
    <t>People are shown riding together as well as a solo and ends with a man kicking at the camera.</t>
  </si>
  <si>
    <t>v_o_AftOrP4zI</t>
  </si>
  <si>
    <t>The athlete is putting on his red sneakers, then he talked to the camera, and then run in the indoor tracking field.</t>
  </si>
  <si>
    <t>He rested for a bit, then his coach is having interview, then the scene change where the athlete started to practice, running around, then did some pole jumped.</t>
  </si>
  <si>
    <t>He did some exercises and stretches.</t>
  </si>
  <si>
    <t>v_jTMdMnbW9OI</t>
  </si>
  <si>
    <t>A boy in an orange shirt is playing a video game.</t>
  </si>
  <si>
    <t>The scene changes to the game itself.</t>
  </si>
  <si>
    <t>The scene changes back to the boy.</t>
  </si>
  <si>
    <t>The camera zooms in on the controller.</t>
  </si>
  <si>
    <t>The scene goes back to the game.</t>
  </si>
  <si>
    <t>There is a close up of the boy's face.</t>
  </si>
  <si>
    <t>The camera shows the TV with the back of the boy's head.</t>
  </si>
  <si>
    <t>The game is playing until the end.</t>
  </si>
  <si>
    <t>The boy says something and TV has numbers on it.</t>
  </si>
  <si>
    <t>The boy is talking again.</t>
  </si>
  <si>
    <t>The boy gets up and leaves the room.</t>
  </si>
  <si>
    <t>He goes to the bathroom and is rubbing his eyes.</t>
  </si>
  <si>
    <t>He looks in the mirror then reaches for the face wash and puts some in his hand.</t>
  </si>
  <si>
    <t>He throws the face wash on the washing machine.</t>
  </si>
  <si>
    <t>He puts his head in the sink and washes his face angrily.</t>
  </si>
  <si>
    <t>When he looks in the mirror again, it is an old man.</t>
  </si>
  <si>
    <t>He falls to the floor.</t>
  </si>
  <si>
    <t>He washes his face again and this time it turn to a skull.</t>
  </si>
  <si>
    <t>He rubs his face and the skull falls into the sink.</t>
  </si>
  <si>
    <t>v_q5thIuCSTkk</t>
  </si>
  <si>
    <t>A person has their hand over the lens.</t>
  </si>
  <si>
    <t>We then see a child in gray skiing in front of the camera operator.</t>
  </si>
  <si>
    <t>the child falls off their skis and lays in the snow.</t>
  </si>
  <si>
    <t>The camera person stops and wipes snow from the kids goggles and turns off the camera.</t>
  </si>
  <si>
    <t>v_ArGF2CfOxkY</t>
  </si>
  <si>
    <t>A horse is behind a yellow gate as a man sits on top holding a rope.</t>
  </si>
  <si>
    <t>The gate is opened,and a black calf comes running out into the field of dirt.</t>
  </si>
  <si>
    <t>Almost instantly,the man throws his lasso and jumps off to secure the cow.</t>
  </si>
  <si>
    <t>Once he is finished,the man gets back on the horse and other individuals come out to take the calf out.</t>
  </si>
  <si>
    <t>v_hHWXldYW8rU</t>
  </si>
  <si>
    <t>A camera walks closer to a girl pointing to her eye in the mirror.</t>
  </si>
  <si>
    <t>She then bends down forward and sticks her face under the water rubbing it along her face.</t>
  </si>
  <si>
    <t>v_ciEBsDNryN8</t>
  </si>
  <si>
    <t>A woman is seen holding an accordion while shaking her fists into the air.</t>
  </si>
  <si>
    <t>A band is seen walking in behind her and begins playing while she does.</t>
  </si>
  <si>
    <t>The girl continues to play with the band and ends by looking to the camera.</t>
  </si>
  <si>
    <t>v_WGHXYbCWvyU</t>
  </si>
  <si>
    <t>A man is seen standing in a field with his eye closed and standing still.</t>
  </si>
  <si>
    <t>The man then begins moving his arms and legs around his body.</t>
  </si>
  <si>
    <t>He continues moving his body around with his eyes closed.</t>
  </si>
  <si>
    <t>v_bXLa6zLsJ50</t>
  </si>
  <si>
    <t>A woman lays on a table being prepped for ear piercing.</t>
  </si>
  <si>
    <t>The person in charge of the operation pierces her ear in two places with a small rod.</t>
  </si>
  <si>
    <t>The person applies a cork to one end of the rod.</t>
  </si>
  <si>
    <t>The person pushes a different rod through the holes created by the initial piercing.</t>
  </si>
  <si>
    <t>The person caps the new rod on both ends.</t>
  </si>
  <si>
    <t>The woman shows off her new piercing and smiles.</t>
  </si>
  <si>
    <t>v_xPnNcv7ErXk</t>
  </si>
  <si>
    <t>A young child is seen smiling to the camera and beginning to climb across monkey bars.</t>
  </si>
  <si>
    <t>She makes it to the other side and then waves to the camera.</t>
  </si>
  <si>
    <t>v_S2V2TgLAMKg</t>
  </si>
  <si>
    <t>A person holds small objects in their hands.</t>
  </si>
  <si>
    <t>The person applies objects continuously to a wooden surface.</t>
  </si>
  <si>
    <t>When the person rubs on the smaller object, it puts a white residue on the surface.</t>
  </si>
  <si>
    <t>When the person rubs on the brown object, it removes the residue.</t>
  </si>
  <si>
    <t>v_79LyHiS908U</t>
  </si>
  <si>
    <t>A man is shown sitting in front of several drums and banging to a rhythm.</t>
  </si>
  <si>
    <t>He talks to the camera about his song and what he is planning on playing.</t>
  </si>
  <si>
    <t>The man continues playing while the camera pans in and out on him playing the drums.</t>
  </si>
  <si>
    <t>v_UBqFQKI1YW8</t>
  </si>
  <si>
    <t>A black man gymnast prepares to perform on a parallel bar exhibition.</t>
  </si>
  <si>
    <t>The man mounts the parallel bar and goes into a handstand and performs a series of spins and moves.</t>
  </si>
  <si>
    <t>The gymnast goes into his dismount and lands a perfect landing on the mat.</t>
  </si>
  <si>
    <t>v_TH1kq-KBr9Y</t>
  </si>
  <si>
    <t>A man is hanging up wallpaper.</t>
  </si>
  <si>
    <t>He looks back at the camera.</t>
  </si>
  <si>
    <t>He steps down from the step ladder.</t>
  </si>
  <si>
    <t>A chair appears with the wallpaper.</t>
  </si>
  <si>
    <t>The man is taking down the paper.</t>
  </si>
  <si>
    <t>v_eVwRbDXyBbc</t>
  </si>
  <si>
    <t>There is a pool table with billiard balls on it.</t>
  </si>
  <si>
    <t>A person has a pool cue in their hand.</t>
  </si>
  <si>
    <t>They hit the cue ball into the other balls.</t>
  </si>
  <si>
    <t>v_AWXdK-ix3gQ</t>
  </si>
  <si>
    <t>A gymaist stands holding is arm up and jumping onto a beam.</t>
  </si>
  <si>
    <t>He moves his arms and spins himself round and round on a set of bars.</t>
  </si>
  <si>
    <t>He does handstands and flips and jumps off to finish his routine.</t>
  </si>
  <si>
    <t>v_lvAXZEUE0m8</t>
  </si>
  <si>
    <t>A man puts a harness on and steps on a bridge.</t>
  </si>
  <si>
    <t>He jumps off the bridge and bungee jumps over a body of water.</t>
  </si>
  <si>
    <t>A boat drives up and puts him in the boat.</t>
  </si>
  <si>
    <t>v_2RfasAe0-tA</t>
  </si>
  <si>
    <t>A girl dressed as a tomboy and a boy dressed in a red shirt are standing in a room across from each other in a messy room.</t>
  </si>
  <si>
    <t>The two begin to grab each other and they begin salsa dancing.</t>
  </si>
  <si>
    <t>They continue dancing and spin each other around and doing a some type of salsa dancing.</t>
  </si>
  <si>
    <t>v_KPJJfGK5NCw</t>
  </si>
  <si>
    <t>This woman is shown standing in one spot for a little while.</t>
  </si>
  <si>
    <t>Then she moves to throw the ball into the air and she goes back to the position she was in.</t>
  </si>
  <si>
    <t>Then she jumps back and turns around to throw the ball at a small distance, except she is not positioned quite right this time.</t>
  </si>
  <si>
    <t>v_6URUyopL8qM</t>
  </si>
  <si>
    <t>A sign appears in a yard and a red van comes traveling down the road.</t>
  </si>
  <si>
    <t>After,a man appears tubing in a trail of water underneath the bridge.</t>
  </si>
  <si>
    <t>As he continues down the river,he hits a few rocks along the way and begins to bobble up and down before returning back in front of the red van.</t>
  </si>
  <si>
    <t>v_Hh7aXAtWsXg</t>
  </si>
  <si>
    <t>A woman is see laughing with a group of people and one man hitting the other.</t>
  </si>
  <si>
    <t>A person hands a man a set of darts who then throws them off into the distance.</t>
  </si>
  <si>
    <t>The people continue speaking while the camera pans all around them.</t>
  </si>
  <si>
    <t>v_1VDNFR3vQR4</t>
  </si>
  <si>
    <t>There are two guys standing on a large blue mat in a gym and they are both wearing shorts and a pair of boxing gloves.</t>
  </si>
  <si>
    <t>The men square up and they begin hitting and kicking at one another with brief moments of stopping in between their punches and their kicks.</t>
  </si>
  <si>
    <t>One of the guys kicks the other one too hard and the one who got kicked gets mad, rips his gloves off of his hands, walks away and angrily throws his gloves.</t>
  </si>
  <si>
    <t>v_ih3LAZtQM50</t>
  </si>
  <si>
    <t>A guy bows while standing outside.</t>
  </si>
  <si>
    <t>The guy start doing karate outside.</t>
  </si>
  <si>
    <t>The guy does karate indoors and then leaves.</t>
  </si>
  <si>
    <t>A dog stands with a sweater.</t>
  </si>
  <si>
    <t>v_qywEvklc1kM</t>
  </si>
  <si>
    <t>Two people are seen speaking to the camera with one holding a pot and the other handing him ingredients.</t>
  </si>
  <si>
    <t>The other then mixes the ingredients into a bowl and pouts it into a pan.</t>
  </si>
  <si>
    <t>More people come in to take a bite as well as a young boy helping and the man continuing to cook.</t>
  </si>
  <si>
    <t>v_q-ID2mgEIow</t>
  </si>
  <si>
    <t>A man wearing glasses is seen stepping into frame and playing an accordion.</t>
  </si>
  <si>
    <t>The man continues to play while looking off into the distance and stops by smiling to the camera.</t>
  </si>
  <si>
    <t>v_l5qCvYE1-tA</t>
  </si>
  <si>
    <t>Two young girls are in a gym and they do a side ways hurtles over a bar in the middle of the gym.</t>
  </si>
  <si>
    <t>The video is then replayed in slow motion and once again in a faster speed.</t>
  </si>
  <si>
    <t>v_zwm-v9MLOFY</t>
  </si>
  <si>
    <t>4 men are in a square doing break dance while people is gathered around them watching them dance and do tricks in front of a lot of stores.</t>
  </si>
  <si>
    <t>names of the break dancers are shown in the screen.</t>
  </si>
  <si>
    <t>v_9qUbxwjh-4A</t>
  </si>
  <si>
    <t>We see a young girl light a cigarette.</t>
  </si>
  <si>
    <t>She then takes the cigarette out of her mouth and talks.</t>
  </si>
  <si>
    <t>She hands the lighter to another person and puts her hand on her hip.</t>
  </si>
  <si>
    <t>v_d7-tFV0RSCk</t>
  </si>
  <si>
    <t>A man is standing outside of a home talking with a large silver pole in his hand that has a yellow rope attached to it.</t>
  </si>
  <si>
    <t>The man begins cleaning the inside of a sliding glass door with his pole and brush and washes around the base and the inside of the window.</t>
  </si>
  <si>
    <t>The man then stops and begins talking to the camera and pointing to the window before he waves bye.</t>
  </si>
  <si>
    <t>v_CTIVIXvCI3c</t>
  </si>
  <si>
    <t>A small child is seen hoping along the floor when a woman leads in more young dancers.</t>
  </si>
  <si>
    <t>She lines up the girls in front of a large crowd and the kids begin dancing on the stage.</t>
  </si>
  <si>
    <t>The little ones continue to dance and twirl on stage and walk off stage.</t>
  </si>
  <si>
    <t>v_rA_RAZx2_aA</t>
  </si>
  <si>
    <t>Women from different nationalities competes long jumps is a stadium.</t>
  </si>
  <si>
    <t>Women continue competing long jump.</t>
  </si>
  <si>
    <t>An athlete runs, then skip and jumps forward to perform long jump while judges holds sticks to measure.</t>
  </si>
  <si>
    <t>v_pibXLs9IOX8</t>
  </si>
  <si>
    <t>man is standing in a green field preparing himself to make a cricket shot, other man is watchim him and take off the hat and the sunglasses and the man is really sweaty and prepare to make the shot and to score which he did, they enjoy and hug each other and the man throw the ball.</t>
  </si>
  <si>
    <t>men are seating on a couch in a living room and are talking to each other and to the camera.</t>
  </si>
  <si>
    <t>winner and information of the video is shown.</t>
  </si>
  <si>
    <t>v_tPHfkxAwyp8</t>
  </si>
  <si>
    <t>A title screen appears in red letters and then fades out in a martial arts classroom.</t>
  </si>
  <si>
    <t>In a small martial arts classroom the students are gathered around, singing, clapping and playing instruments around a small circle for 5 capoeira matches where the fighters dancing and swinging their legs and arms and at the end of each match the fighters shake hands, hug and touch the musicians.</t>
  </si>
  <si>
    <t>Then a closing screen with a logo for the Capoeira school.</t>
  </si>
  <si>
    <t>v_yxZ4ouqcld4</t>
  </si>
  <si>
    <t>A camera shoots various shots all around a city and shoe store.</t>
  </si>
  <si>
    <t>Hundreds of people are walking around an area and checking out shoes.</t>
  </si>
  <si>
    <t>A man talks to a woman about what shoes she likes to wear.</t>
  </si>
  <si>
    <t>People are dancing and enjoying the event together.</t>
  </si>
  <si>
    <t>There is food being eaten at the event by many.</t>
  </si>
  <si>
    <t>Several runners are getting ready to start a race.</t>
  </si>
  <si>
    <t>The race begins and people run very fast.</t>
  </si>
  <si>
    <t>Several people get interviewed during the race.</t>
  </si>
  <si>
    <t>The man who wins the race comes across the finish line.</t>
  </si>
  <si>
    <t>Several more people are shown finishing.</t>
  </si>
  <si>
    <t>v_UKhH_iEifrU</t>
  </si>
  <si>
    <t>a list of ingredients is shown and the items are in a white table.</t>
  </si>
  <si>
    <t>fist a bag of tea is sumerge in boiled water and added some syrup into a starbucks cup.</t>
  </si>
  <si>
    <t>v_EA58Fo2e0CI</t>
  </si>
  <si>
    <t>A news station ad appears on the screen.</t>
  </si>
  <si>
    <t>We see two reporters outdoors, talking with members of a running team.</t>
  </si>
  <si>
    <t>They are preparing for a race, one of which is pregnant.</t>
  </si>
  <si>
    <t>The crowd is shown walking to where the race will begin.</t>
  </si>
  <si>
    <t>v_LlI1IJEkW5E</t>
  </si>
  <si>
    <t>A woman is in a kitchen, talking in front of an array of sandwich fixings.</t>
  </si>
  <si>
    <t>She opens the bread, and applies meat, cheese, pickles, and mustard.</t>
  </si>
  <si>
    <t>She closes the sandwiches, and puts them in a heated panini press.</t>
  </si>
  <si>
    <t>She removes the sandwiches as they are toasted, and plates them.</t>
  </si>
  <si>
    <t>v_JAZu9CWEVbQ</t>
  </si>
  <si>
    <t>There are two men in the water wearing wetsuits and laying on their surfboards as they ride a wave.</t>
  </si>
  <si>
    <t>The camera man is in a fast moving boat and he continues to video the surfers who are still riding the wave but now they are standing up.</t>
  </si>
  <si>
    <t>The surfer who is in front is happy to riding the wave for so long that he raises his two arms up in the air and then lowers it back down.</t>
  </si>
  <si>
    <t>The surfer in the back begins to lose balance and falls off of his board while the man in the front is still standing up.</t>
  </si>
  <si>
    <t>v_xPDjkE7llg4</t>
  </si>
  <si>
    <t>A woman cuts the nails of the back legs of a cat with a nail trimmer, while a person restraints the cat.</t>
  </si>
  <si>
    <t>Then, the woman stands on front the cat, and the person holds the cat from a neck.</t>
  </si>
  <si>
    <t>After, the woman cuts the nails of the front legs, but the cat kicks.</t>
  </si>
  <si>
    <t>A person wearing black clothes enters the room.</t>
  </si>
  <si>
    <t>v_f119wB0sj0w</t>
  </si>
  <si>
    <t>Several clips of baseball players are shown playing the game.</t>
  </si>
  <si>
    <t>At one point it shows a player arguing with a referee.</t>
  </si>
  <si>
    <t>The video ends with another title sequence.</t>
  </si>
  <si>
    <t>v_H1_5M9mQ79w</t>
  </si>
  <si>
    <t>A man wearing headphones is seen speaking into a microphone and begins playing a harmonica into the mic.</t>
  </si>
  <si>
    <t>The man continues playing and the camera ends with a close up of the instrument.</t>
  </si>
  <si>
    <t>v_hHmn5tf5d5I</t>
  </si>
  <si>
    <t>A small group of people are seen standing in a room with a woman standing in front.</t>
  </si>
  <si>
    <t>The woman then begins dancing around with the women while following her around.</t>
  </si>
  <si>
    <t>The women switch places with men and then begin following the woman dancing around.</t>
  </si>
  <si>
    <t>v_Krh4m6nxZWE</t>
  </si>
  <si>
    <t>A woman in a blue shirt is walking along a slack line.</t>
  </si>
  <si>
    <t>She falls off and grabs the rope.</t>
  </si>
  <si>
    <t>v_J7GJKAoU0rE</t>
  </si>
  <si>
    <t>Several people are gathered at a lake.</t>
  </si>
  <si>
    <t>Images are shown of the people posing with and flying kites.</t>
  </si>
  <si>
    <t>They are then seen flying the kites on a beach.</t>
  </si>
  <si>
    <t>v_qCZhlIBr8_Q</t>
  </si>
  <si>
    <t>An assortment of drum lines are shown practicing in various locations.</t>
  </si>
  <si>
    <t>Several schools are shown and the SB4TS is in the bottom right corner as a group in blue shirts and black pants begin to perform and make various formations.</t>
  </si>
  <si>
    <t>v_u0SpXGr_elM</t>
  </si>
  <si>
    <t>A gyros restaurant is shown from the outside.</t>
  </si>
  <si>
    <t>We enter, and the chef begins talking to the camera.</t>
  </si>
  <si>
    <t>He demonstrates how to make a gyro sandwich.</t>
  </si>
  <si>
    <t>He places all the ingredients on the counter, shaves the meat, and begins to stack them inside the pita.</t>
  </si>
  <si>
    <t>He continues talking for the camera, then serves the camera man a gyro.</t>
  </si>
  <si>
    <t>The man eats it, nodding in approval.</t>
  </si>
  <si>
    <t>v_QkX8GFbwN7c</t>
  </si>
  <si>
    <t>A man is seen creating sparks onto a metal pole while moving it along the side.</t>
  </si>
  <si>
    <t>He then puts the torch down and zooms in on the bar.</t>
  </si>
  <si>
    <t>v_rGuOU8U5Bvk</t>
  </si>
  <si>
    <t>A person is walking a horse in an arena.</t>
  </si>
  <si>
    <t>They begin to brush the horse's fur.</t>
  </si>
  <si>
    <t>They brush the ear of the horse.</t>
  </si>
  <si>
    <t>They brush the face of the horse.</t>
  </si>
  <si>
    <t>v_P9I3zxNUu74</t>
  </si>
  <si>
    <t>A man with two children are seen speaking to the camera with one throwing his hands up and leading into them moving quickly.</t>
  </si>
  <si>
    <t>The kids stand on a chair taking ornaments off a tree while moving back and fourth to the table to place the objects.</t>
  </si>
  <si>
    <t>The kids then sweep up the floor while dancing and having fun and end by all waving to the camera.</t>
  </si>
  <si>
    <t>v_zJKedNWsZKY</t>
  </si>
  <si>
    <t>A man is seen sitting on a piece of exercise equipment and begins moving himself back and fourth on the machine.</t>
  </si>
  <si>
    <t>The man continues moving back an fourth while pulling his body back and ends by unhooking himself and moving his feet.</t>
  </si>
  <si>
    <t>v_xa-zOtV3uPU</t>
  </si>
  <si>
    <t>A dealer is dealing cards at a blackjack table.</t>
  </si>
  <si>
    <t>People are sitting around the table playing.</t>
  </si>
  <si>
    <t>A man in a white shirt is standing up next to the table.</t>
  </si>
  <si>
    <t>v_lGwUq5vZGEk</t>
  </si>
  <si>
    <t>A young girl is demonstrating how to do a braid in layered hair.</t>
  </si>
  <si>
    <t>She begins by brushing her hair down.</t>
  </si>
  <si>
    <t>Then she brings all of her hair to her right side and starts braiding the hair on a single braid.</t>
  </si>
  <si>
    <t>She then takes a hair tie and ties it around the bottom of her braid.</t>
  </si>
  <si>
    <t>She takes some hair gel out of an orange container and uses it on the tips of her braid to smoothen the hair.</t>
  </si>
  <si>
    <t>She further braids the bottom part of her braid till the end and ties another hair tie around it.</t>
  </si>
  <si>
    <t>Then she takes a bobby pin and pins the short hair in the front to back of her head.</t>
  </si>
  <si>
    <t>She secures the pin into her hair and waves good bye.</t>
  </si>
  <si>
    <t>v_mA4wEXlASpc</t>
  </si>
  <si>
    <t>Two people are seen standing ready with one running down a track and into a sand pit.</t>
  </si>
  <si>
    <t>The man lays down while another raises a flag and walks away from the track.</t>
  </si>
  <si>
    <t>v_w9M6GUCtoQQ</t>
  </si>
  <si>
    <t>An girl is seen sitting at a table holding various objects in her hands and pushing them all together.</t>
  </si>
  <si>
    <t>She then rubs a needle on a cotton ball then pushing it onto a pencil and wrapping thread around it.</t>
  </si>
  <si>
    <t>She then holds up a box of a product and then pouring several liquids into a bowl.</t>
  </si>
  <si>
    <t>She then dips the needle in ink and using the pencil to draw a design on her leg, rubbing it off with a rag in the end.</t>
  </si>
  <si>
    <t>v_fpWOf1DR1oA</t>
  </si>
  <si>
    <t>A predominately dark dart board is empty.</t>
  </si>
  <si>
    <t>A guy throws a dart at the dart board.</t>
  </si>
  <si>
    <t>The dart hits the bullseye.</t>
  </si>
  <si>
    <t>v_dAdCETrsDQw</t>
  </si>
  <si>
    <t>A small group of people are seen walking the red carpet and speaking to one another.</t>
  </si>
  <si>
    <t>An athlete is then seen speaking with a new host and several shots of him playing and riding a horse are shown.</t>
  </si>
  <si>
    <t>More clips are shown of him playing a sport and speaking to the host and shaking his hand.</t>
  </si>
  <si>
    <t>v_Gn651vGKC2I</t>
  </si>
  <si>
    <t>A woman makes a tattoo in the arm of a girl while cleaning with a tissue.</t>
  </si>
  <si>
    <t>The girl makes pain gestures in the face.</t>
  </si>
  <si>
    <t>v_WUOiJOqrHlI</t>
  </si>
  <si>
    <t>A shot of the movie Forest Gump is shown with the man playing ping pong in several shots and him laughing in the end.</t>
  </si>
  <si>
    <t>More clips are shown of the actors playing with one another and a man showing the footage on a computer while speaking to the camera.</t>
  </si>
  <si>
    <t>Tom Hanks is interviewed several times about the event and then sits down in the end while playing.</t>
  </si>
  <si>
    <t>v_4y8mMJkvAR4</t>
  </si>
  <si>
    <t>A woman dressed in all black with a visor and sunglasses is talking holding a paddle.</t>
  </si>
  <si>
    <t>Once she is done talking,she begins kayaking with her white dog between her legs.</t>
  </si>
  <si>
    <t>Now the woman is out of the water and begins doing arm exercises with the paddle behind her head lifting it up and down.</t>
  </si>
  <si>
    <t>She then adds the legs and begins doing lunges in the grass before she continues to do curls with her hands.</t>
  </si>
  <si>
    <t>The lady has now moved to a patio an is laying down flat on her back doing leg exercises.</t>
  </si>
  <si>
    <t>v_485Wn1DXt5U</t>
  </si>
  <si>
    <t>A girl is standing outside in a field talking and hula hooping.</t>
  </si>
  <si>
    <t>Another girl then tries to do the same thing but she isn't successful.</t>
  </si>
  <si>
    <t>The first girl comes back and does it effortlessly as the second girl still struggles.</t>
  </si>
  <si>
    <t>For the last round,the girl begins to hula hoop and drinks soda and runs across the grass.</t>
  </si>
  <si>
    <t>v_Y1f_NXMfD98</t>
  </si>
  <si>
    <t>A black and brown down is standing up against the wall as a person moves a vacuum like machine back and forth over his fur.</t>
  </si>
  <si>
    <t>After his back is done,the person does the legs then lifts his tail up and does the but hole and the dog begins to walk away.</t>
  </si>
  <si>
    <t>The women then has to grab the dog and hold him to finish her task.</t>
  </si>
  <si>
    <t>Once complete,she takes the hair out of the vacuum and dumps it into a big black trash bag.</t>
  </si>
  <si>
    <t>v_yj7YkvTZ4zw</t>
  </si>
  <si>
    <t>A blonde women runs jumps and twist a lands on the padding.</t>
  </si>
  <si>
    <t>Another woman runs and jumps and she doesn't make it she falls onto the grass.</t>
  </si>
  <si>
    <t>She completely missed the jump altogether and hits the pole down when she falls.</t>
  </si>
  <si>
    <t>She is laughing down on the ground and a man comes up to help her up.</t>
  </si>
  <si>
    <t>v_Q8EoKJNm4mc</t>
  </si>
  <si>
    <t>a group of people are sitting in a sauna fully clothed.</t>
  </si>
  <si>
    <t>One guy stands up with a violin.</t>
  </si>
  <si>
    <t>The guy begins playing the violin and dancing.</t>
  </si>
  <si>
    <t>The guy kicks his shoe off while dancing.</t>
  </si>
  <si>
    <t>The guy sits down and plays the violin.</t>
  </si>
  <si>
    <t>v_rABAqfLcssA</t>
  </si>
  <si>
    <t>A person is seen riding a board with a kite along the ocean moving at a fast pace.</t>
  </si>
  <si>
    <t>The person continues riding along and eventually crashes while the camera zooms in on the rider.</t>
  </si>
  <si>
    <t>v_5wkGeYBS7hQ</t>
  </si>
  <si>
    <t>A group of boys are standing in a room with many clear cups of beer on a table they are all standing around.</t>
  </si>
  <si>
    <t>The boys talk, laugh and tease each other before beginning a game of beer pong across a long table using a triangle shaped array of clear cups.</t>
  </si>
  <si>
    <t>One of the ping pongs lands in the cup and one of the boys begins to drink the beer.</t>
  </si>
  <si>
    <t>The group continue to play beer pong when one final player is able to throw and land a ping pong ball while standing with his back to the cups at which point the boys celebrate, and laugh.</t>
  </si>
  <si>
    <t>v_zyi4NVylqB0</t>
  </si>
  <si>
    <t>A small group of people are seen shaking hands and standing together followed by a man blowing a whistle and people running around.</t>
  </si>
  <si>
    <t>The people then play a game of soccer with one another, running up and down the sandy field while coaches yell on the side and a goal is blocked.</t>
  </si>
  <si>
    <t>v_6jxqb8FyWnQ</t>
  </si>
  <si>
    <t>Two men are shown sitting at a table with their arms crossed one another.</t>
  </si>
  <si>
    <t>They grab each other's hand and begin an arm wrestling match with one yelling to the other.</t>
  </si>
  <si>
    <t>One almost wins but the other pulls back quickly and wins while screaming and pushing.</t>
  </si>
  <si>
    <t>v_OxPzQ4yqfwg</t>
  </si>
  <si>
    <t>An older woman sitting at the table reading her paper work.</t>
  </si>
  <si>
    <t>Her husband comes up behind her and reads through it with her.</t>
  </si>
  <si>
    <t>Roofers are on the roof fixing some issues, putting in some new shingles.</t>
  </si>
  <si>
    <t>A woman on the phone with the company walks up and hands the phone to her husband.</t>
  </si>
  <si>
    <t>v_b5SYTLjp6HI</t>
  </si>
  <si>
    <t>A man walks into a gym and bends in front of a weight.</t>
  </si>
  <si>
    <t>the man tries to lift the weight two times and drops it.</t>
  </si>
  <si>
    <t>The man lifts the weight three times and walks away.</t>
  </si>
  <si>
    <t>The man lifts the weight two times.</t>
  </si>
  <si>
    <t>the man lifts the weight three times and walks away.</t>
  </si>
  <si>
    <t>The man lifts the weight two tines and removes his weight lifting belt.</t>
  </si>
  <si>
    <t>v_DCCD1fufXfY</t>
  </si>
  <si>
    <t>The little girl went out of the room.</t>
  </si>
  <si>
    <t>The boy get the bottle under the bed and is holding it and then drink it.</t>
  </si>
  <si>
    <t>The boy went back to bed and pretend to sleep while the girl went back in the room.</t>
  </si>
  <si>
    <t>v_6kBo1TR--dk</t>
  </si>
  <si>
    <t>A large group of people are seen wandering around an area with a woman running past them.</t>
  </si>
  <si>
    <t>The woman is seen speaking to the camera and continues to run around the beach area.</t>
  </si>
  <si>
    <t>She runs along the boardwalk as well as past people and ends with her running a race and being interviewed.</t>
  </si>
  <si>
    <t>v_K-pwTH9ubkE</t>
  </si>
  <si>
    <t>A persons hands are seen playing a piano that pans away from the person playing.</t>
  </si>
  <si>
    <t>People are seen smiling and waving to the camera while the man continues to play the piano.</t>
  </si>
  <si>
    <t>The camera captures him from all over playing the piano as well as singing to the camera.</t>
  </si>
  <si>
    <t>v_IlD4gfHmWIg</t>
  </si>
  <si>
    <t>A gymnast wearing a magenta leotard is performing on the horse bar.</t>
  </si>
  <si>
    <t>There is a panel of judges sitting across from her and evaluating her.</t>
  </si>
  <si>
    <t>She stands up straight on the bar and does a twist and pummel.</t>
  </si>
  <si>
    <t>She continues to successfully do front flips on the horse bar.</t>
  </si>
  <si>
    <t>She completes her round after she jumps off of the horse bar doing a back flip.</t>
  </si>
  <si>
    <t>Then the gymnast walks away from the performing area.</t>
  </si>
  <si>
    <t>v_fm6UhMKF8DU</t>
  </si>
  <si>
    <t>Several shots of a bridge are shown as well as a sign and people standing on the ledge.</t>
  </si>
  <si>
    <t>Two men then bungee jump off the side of the bridge and are shown swinging up using their legs.</t>
  </si>
  <si>
    <t>v_P79nFNUaysw</t>
  </si>
  <si>
    <t>A man is seen speaking to the camera and leads into shots of water boiling in a pot.</t>
  </si>
  <si>
    <t>He takes a bite of the of the pasta and ends with him still smiling to the camera.</t>
  </si>
  <si>
    <t>v_sEvP3GFbLdw</t>
  </si>
  <si>
    <t>A close up of a couch is seen followed by a person walking in and out of frame.</t>
  </si>
  <si>
    <t>The person then sits down and holds their feet up.</t>
  </si>
  <si>
    <t>The person then puts a pair of shoes on and walks out of frame.</t>
  </si>
  <si>
    <t>v_5MuLI6Plf-Y</t>
  </si>
  <si>
    <t>A man wearing a black shirt is sitting and playing the guitar in front of a black backdrop.</t>
  </si>
  <si>
    <t>Initially he starts to play the guitar slowly to find the proper rhythm.</t>
  </si>
  <si>
    <t>Than he starts to play the notes faster and faster.</t>
  </si>
  <si>
    <t>In the end he looks at the guitar and adjusts his fingers as he finishes playing the song .</t>
  </si>
  <si>
    <t>v_RNA9HtKreug</t>
  </si>
  <si>
    <t>We see people putting electronics on a foosball table.</t>
  </si>
  <si>
    <t>We see the bars moving and then see two men sitting at the table.</t>
  </si>
  <si>
    <t>We see a group of people playing foosball in a narrow room.</t>
  </si>
  <si>
    <t>v_HppLOtjJY_Q</t>
  </si>
  <si>
    <t>A large group of people are standing on a bridge.</t>
  </si>
  <si>
    <t>They are looking into the rapid waters below.</t>
  </si>
  <si>
    <t>Several people on canoes come through the bridge, which is the finish line.</t>
  </si>
  <si>
    <t>v_OmE9IhdWFa0</t>
  </si>
  <si>
    <t>A model wearing a bikini opens directs the scene and talks behind an I-Pad screen.</t>
  </si>
  <si>
    <t>A meal is cooked in a frying pan.</t>
  </si>
  <si>
    <t>People ride on a boat and catch fish.</t>
  </si>
  <si>
    <t>Surfers ride large waves in the ocean.</t>
  </si>
  <si>
    <t>Jet skis pull surfers towards waves in the ocean.</t>
  </si>
  <si>
    <t>v_XiG7rgPoKKI</t>
  </si>
  <si>
    <t>We see team of boaters in a competition in the sea.</t>
  </si>
  <si>
    <t>We see the race start and the boaters take off.</t>
  </si>
  <si>
    <t>They pass a small boat in the water.</t>
  </si>
  <si>
    <t>We see one team up close.</t>
  </si>
  <si>
    <t>We see a score board on the screen.</t>
  </si>
  <si>
    <t>The racers pass a banner and we see the green team again.</t>
  </si>
  <si>
    <t>The race is finished and we see the crowd clapping.</t>
  </si>
  <si>
    <t>We see the final scores and the scene ends.</t>
  </si>
  <si>
    <t>v_2FjaU9wfxaU</t>
  </si>
  <si>
    <t>A woman is seen hosting a news segment with a man and leads into a person bring out a dog and petting the dog.</t>
  </si>
  <si>
    <t>The man then demonstrates how to properly groom the dog while the host continues to speak and pet the dog.</t>
  </si>
  <si>
    <t>v_Ckkf840HZE4</t>
  </si>
  <si>
    <t>A man is seen riding around on the water wake boarding behind a boat.</t>
  </si>
  <si>
    <t>The man is shown in several clips performing a trick with camera affects point to his movements.</t>
  </si>
  <si>
    <t>The man continues to ride around on the board while text appears to give instructions.</t>
  </si>
  <si>
    <t>v_GKy0MNJZxDc</t>
  </si>
  <si>
    <t>There is a large gymnasium where three gymnasts are performing gymnastics.</t>
  </si>
  <si>
    <t>There's one gymnast in orange leotards swinging on the rod and another gymnast next to him also swinging on the bars.</t>
  </si>
  <si>
    <t>They both swing upside down and stand on their hands for a few seconds before swinging back down.</t>
  </si>
  <si>
    <t>The third gymnast is performing behind them, doing front and back flips.</t>
  </si>
  <si>
    <t>The gymnast in the orange leotards does another front swing and then gets off the bars and walks away.</t>
  </si>
  <si>
    <t>v_33SI8z8PovA</t>
  </si>
  <si>
    <t>A black female is shown in a room with a black scarf around her head.</t>
  </si>
  <si>
    <t>Black spots on her faced are then zoomed in on and she begins to apply something on it.</t>
  </si>
  <si>
    <t>Next,she takes some spray and it makes her skin extremely oily and she continues to talk until the video is over.</t>
  </si>
  <si>
    <t>v_vcCwvRYqU2I</t>
  </si>
  <si>
    <t>We see a tree with leaves blowing int he wind.</t>
  </si>
  <si>
    <t>A man rakes his yard and talks to the camera.</t>
  </si>
  <si>
    <t>The man chooses a rake from four.</t>
  </si>
  <si>
    <t>The man throws some grass in the garbage.</t>
  </si>
  <si>
    <t>The man picks up and smells a twig with leaves.</t>
  </si>
  <si>
    <t>The man throws his rake into the yard.</t>
  </si>
  <si>
    <t>The man sprinkles leaves into the yard and rakes them up.</t>
  </si>
  <si>
    <t>We then see the twigs and leaves again.</t>
  </si>
  <si>
    <t>v_k8C1Jb_xvh0</t>
  </si>
  <si>
    <t>A male worker walks up to an elephant.</t>
  </si>
  <si>
    <t>He gives the elephant a dart.</t>
  </si>
  <si>
    <t>The elephant and a woman take turns throwing darts at their targets.</t>
  </si>
  <si>
    <t>v_Dv2T0R7HVBQ</t>
  </si>
  <si>
    <t>A young man is seen sitting at the bottom of a pool.</t>
  </si>
  <si>
    <t>He begins moving closer to the camera while smiling.</t>
  </si>
  <si>
    <t>He then bumps into the wall and moves upwards.</t>
  </si>
  <si>
    <t>v_V8gr2EMHNwQ</t>
  </si>
  <si>
    <t>Various shots are shown of the ocean as well as boats riding along the water.</t>
  </si>
  <si>
    <t>People are seen laying on beaches as well as speaking to one another and riding behind boats.</t>
  </si>
  <si>
    <t>Close ups of fish are seen as well as people riding around and surfing the water.</t>
  </si>
  <si>
    <t>v__--nxrRXdPg</t>
  </si>
  <si>
    <t>Athletes performs high jump successfully in a stadium full of people.</t>
  </si>
  <si>
    <t>An athlete jumps, but touch the horizontal rod.</t>
  </si>
  <si>
    <t>Other athletes perform high jump in a competition on front a crow.</t>
  </si>
  <si>
    <t>v_wBgU5jXb_V4</t>
  </si>
  <si>
    <t>A woman is walking her horse out to a field to ride.</t>
  </si>
  <si>
    <t>The horses tail is braided back and she is wearing pink.</t>
  </si>
  <si>
    <t>The lady gets on the horse and ride it around hitting a ball around.</t>
  </si>
  <si>
    <t>The horses tail is no longer braided as they ride around in the sand.</t>
  </si>
  <si>
    <t>v_JaBA8V-nuDg</t>
  </si>
  <si>
    <t>Three women are sitting in a room behind the table knitting scarves and hats before a logo appears.</t>
  </si>
  <si>
    <t>They all reappear and begin knitting a purple scarf as they talk.</t>
  </si>
  <si>
    <t>Next,each lady begins to talk and show pictures of who they are making the special garment for.</t>
  </si>
  <si>
    <t>v_Yp9WuBrgbI4</t>
  </si>
  <si>
    <t>The shirtless man is doing crunches.</t>
  </si>
  <si>
    <t>The woman is doing crunches while her legs is on a machine.</t>
  </si>
  <si>
    <t>The woman is holding the man's feet as he crunches.</t>
  </si>
  <si>
    <t>The man is moving his legs while he has big yoga ball under his legs.</t>
  </si>
  <si>
    <t>v_TTDruR5Vin4</t>
  </si>
  <si>
    <t>Two bikers are riding their motor bikes through rough terrain.</t>
  </si>
  <si>
    <t>They are dressed in biking gear with protective helmets and clothing.</t>
  </si>
  <si>
    <t>They are going on hilly slopes and uneven terrain on their motorbikes.</t>
  </si>
  <si>
    <t>They go through extremely steep and dangerous dirt roads at high speed.</t>
  </si>
  <si>
    <t>They also go over ramps created in the dirt road.</t>
  </si>
  <si>
    <t>They continue biking through the dirt at high speed as they create a cloud of dust behind them.</t>
  </si>
  <si>
    <t>v_UYcpD3r6Ol0</t>
  </si>
  <si>
    <t>A black screen appears and a black triangle with blue and green lights illuminating from it appear in the middle and red fancy lettering appear in the middle and read "Lovey's Nails".</t>
  </si>
  <si>
    <t>More lettering appear on different black screens and together they read "MALEFICENT NAILS"and "FOR EASIER USE RED NAIL TIPS IF YOU HAVE USA PUNTAS ROJAS SI TIENES".</t>
  </si>
  <si>
    <t>The woman is now removing nail polish from her nails on her left hand ,applies oil, then super glues fake nails onto her left hand and cuts the fake tipped nails into a pointed shape.</t>
  </si>
  <si>
    <t>The woman then opens up a small container of red thick liquid, takes a paint brush and applies it to her fake pointy tipped nails and applies a few coats onto each fake tipped nail, then once the red is dried she then applies flesh colored thick liquid over the entire nail include the red tips, shapes them, files,sands them down, then brushes off the powder with a brush.</t>
  </si>
  <si>
    <t>The woman then paints the top of the nails with a clear coat, then turns the nails over and paints the underside as well and puts her two hands together to show how it looks on the underside as well as the topside.</t>
  </si>
  <si>
    <t>The woman is now showing a close up of her face as she shows the near her face, then holds up a MAC lipstick that's named "Russian Red" and she applies it to her lips then smiles and shows of her newly done nails and lips by showing it at a few angles, and then finishing with still shot pictures and the word Shio on the last still shot.</t>
  </si>
  <si>
    <t>v_tAleUKVZCD8</t>
  </si>
  <si>
    <t>Two teams play ice hockey the white team scores, and people in the bleaches cheers, then the red teams scores for his team, then they continue playing.</t>
  </si>
  <si>
    <t>The white team scores and players hug each other, the crowd applauds.</t>
  </si>
  <si>
    <t>After the red team score.</t>
  </si>
  <si>
    <t>The players go to dressing rooms in the half time.</t>
  </si>
  <si>
    <t>Then, the players continue playing and the red team scores and wins the competition.</t>
  </si>
  <si>
    <t>v_iGXUvIRX77c</t>
  </si>
  <si>
    <t>People are playing the drums in a room.</t>
  </si>
  <si>
    <t>They begin marching back and forth in the room.</t>
  </si>
  <si>
    <t>A person in the back is playing the symbols.</t>
  </si>
  <si>
    <t>v_DRWMUsADKFM</t>
  </si>
  <si>
    <t>A camera pans around a room and leads into a room rubbing paper down and putting a box in the middle.</t>
  </si>
  <si>
    <t>The woman wraps the box up in paper and pushing in the sides.</t>
  </si>
  <si>
    <t>She tapes up the sides and uses a ribbon to tie the box up and ends by unwrapping it and showing what's inside.</t>
  </si>
  <si>
    <t>v_Qt2ktBj1l-Y</t>
  </si>
  <si>
    <t>The typing noise from the typewriter is going in the beginning and the title of a story that was typed is shown.</t>
  </si>
  <si>
    <t>Then two men are shown shoveling snow outside off of statues and the ground and when they're done, someone falls to the ground.</t>
  </si>
  <si>
    <t>v_kPbae85fofk</t>
  </si>
  <si>
    <t>People including security guards are standing behind a fence in a mall.</t>
  </si>
  <si>
    <t>We see a young man in a fancy jacket talk and throw darts across the room.</t>
  </si>
  <si>
    <t>The man stops throwing and ducks down for a moment then continues to throw.</t>
  </si>
  <si>
    <t>A lady wipes something off the mans face and the man and his entourage begin to leave the area.</t>
  </si>
  <si>
    <t>v_ResZdSbk9kE</t>
  </si>
  <si>
    <t>man wearing a blue helmet is kayaking in river showing how to use a row.</t>
  </si>
  <si>
    <t>man in river is sitting in yellow kayak holding a row.</t>
  </si>
  <si>
    <t>man is fighting against the current in a kayak.</t>
  </si>
  <si>
    <t>v_pQof_-tUNtY</t>
  </si>
  <si>
    <t>We see a box on fabric.</t>
  </si>
  <si>
    <t>A person wraps the box in the fabric and ties it up.</t>
  </si>
  <si>
    <t>We see the person wrap to bottles in the fabric together.</t>
  </si>
  <si>
    <t>They then put two bottles in a bag and tie it.</t>
  </si>
  <si>
    <t>v_eAIJhHmdjmk</t>
  </si>
  <si>
    <t>We see the green opening screens.</t>
  </si>
  <si>
    <t>We then see a person shovel snow with a pusher.</t>
  </si>
  <si>
    <t>We see an title screen.</t>
  </si>
  <si>
    <t>We we a man plowing an ice rink with his shovel.</t>
  </si>
  <si>
    <t>We then see the product screen.</t>
  </si>
  <si>
    <t>v_5kCv4zwc7-I</t>
  </si>
  <si>
    <t>A girl in a blue shirt holds up a pack of fake finger nails.</t>
  </si>
  <si>
    <t>She sticks them onto her finger nails.</t>
  </si>
  <si>
    <t>She is showing her finger nails to the camera.</t>
  </si>
  <si>
    <t>v_dAjhBWalWRM</t>
  </si>
  <si>
    <t>A group of people stand in front of a blackjack table.</t>
  </si>
  <si>
    <t>The blackjack attendant places cards on the table.</t>
  </si>
  <si>
    <t>v_yfikZ4E_uko</t>
  </si>
  <si>
    <t>Liquid is shown being poured into a bowl, followed by a person slicing up a pineapple and apple and mixing them into a bowl.</t>
  </si>
  <si>
    <t>The person then cuts up more fruits and adds it to the bowl and mixes it all around together to create a fruit bowl.</t>
  </si>
  <si>
    <t>v_lb-TlBtrKcU</t>
  </si>
  <si>
    <t>A woman is outside in a large green field talking,holding up a bow and arrow in front of a white paper with a large target.</t>
  </si>
  <si>
    <t>Before she begins,she assembles the bow in the arrow and hits the board.</t>
  </si>
  <si>
    <t>She then demonstrates the proper way to put the bow in their again and how you should hold the arrow before releasing it.</t>
  </si>
  <si>
    <t>After,a row of people are shown and they all begin to shoot their bows and arrows.</t>
  </si>
  <si>
    <t>v_KwY8nf4MqR4</t>
  </si>
  <si>
    <t>A small boy wearing a blue and yellow hoodie and gray sweat pants in standing in an outdoor tennis court.</t>
  </si>
  <si>
    <t>He is holding a blue racket as he bounces the yellow and orange tennis ball on the court.</t>
  </si>
  <si>
    <t>He starts with his first serve where the ball hits the net.</t>
  </si>
  <si>
    <t>Then he takes another ball, bounces it and serves again.</t>
  </si>
  <si>
    <t>The ball goes over the net and falls on the other side of the court.</t>
  </si>
  <si>
    <t>He gets another ball for the third time and drops it off his hands while trying to serve.</t>
  </si>
  <si>
    <t>v_-boJqGIgV9I</t>
  </si>
  <si>
    <t>A small girl is at an amusement park dart rewards game.</t>
  </si>
  <si>
    <t>A lady who is working at the stand comes and asks her how many darts she would like to use, she gives the girl the darts.</t>
  </si>
  <si>
    <t>The girl starts throwing darts, she is only able to hit one balloon, she asks for help but does not get it.</t>
  </si>
  <si>
    <t>v_oTsTx2BhtgY</t>
  </si>
  <si>
    <t>We see the title on a black background.</t>
  </si>
  <si>
    <t>We see a knife and sharpener and a man holding them.</t>
  </si>
  <si>
    <t>We see the man cut a tomato and paper.</t>
  </si>
  <si>
    <t>The person uses a sharpens and then cuts the tomato, and paper easily.</t>
  </si>
  <si>
    <t>Sharpen a different knife and cuts a tomato and shows us the sharpener.</t>
  </si>
  <si>
    <t>v_sY8TfKQHe5w</t>
  </si>
  <si>
    <t>A commercial advertising a pumpkin cutter, a pumpkin knife, and a pumpkin light is shown using a family of two boys and one mother preparing pumpkins for the demonstration.</t>
  </si>
  <si>
    <t>A little boy is shown using a pumpkin cutter to cut faces into a pumpkin.</t>
  </si>
  <si>
    <t>The boy is then shown scooping out a pumpkin using a pumpkin scoop.</t>
  </si>
  <si>
    <t>A boy is then shown placing a pumpkin light inside of a pumpkin as the mother leans in and smiles between the two boys and the finished pumpkins which now have carved faces with glowing lights inside.</t>
  </si>
  <si>
    <t>v_K1z2fiB9pUM</t>
  </si>
  <si>
    <t>Dozens of people are seen riding up a large, dusty hill while the camera pans around people riding on dirt bikes.</t>
  </si>
  <si>
    <t>The people ride all along the path while several others watch on the side and follow the riders as the continue riding along the track.</t>
  </si>
  <si>
    <t>v_C-M4L_WDzK8</t>
  </si>
  <si>
    <t>A group of women play field hockey on an outdoor field covered in grass .</t>
  </si>
  <si>
    <t>The women run after a white ball on the field while holding hockey sticks.</t>
  </si>
  <si>
    <t>The red team and blue team continue to play field hockey while a referee watches on and a guard guards the goal.</t>
  </si>
  <si>
    <t>v_Gba1MksaNBQ</t>
  </si>
  <si>
    <t>Some men are playing pool as three boxer dogs watch.</t>
  </si>
  <si>
    <t>The boxers stand by the pool table, trying to snap at the balls as they are shot with the cues.</t>
  </si>
  <si>
    <t>v_5WCgpt2bEJw</t>
  </si>
  <si>
    <t>A man sets a timer on a table.</t>
  </si>
  <si>
    <t>He then tries to solver a color block puzzle.</t>
  </si>
  <si>
    <t>He finishes the puzzle in only slightly over 8 seconds.</t>
  </si>
  <si>
    <t>v_aKvCtSitxJY</t>
  </si>
  <si>
    <t>A girl is standing with a hula hoop in her hand.</t>
  </si>
  <si>
    <t>The girl talks to the camera.</t>
  </si>
  <si>
    <t>The girl demonstrates the hula hoop.</t>
  </si>
  <si>
    <t>The girl drops the hula hoop and poses.</t>
  </si>
  <si>
    <t>v_1AEZ9fDDkz4</t>
  </si>
  <si>
    <t>A line of bikers prepare for a dirt bike race.</t>
  </si>
  <si>
    <t>They take off, racing over hills and around sharp corners, some falling off their bikes and kicking it angrily.</t>
  </si>
  <si>
    <t>v_DbuQn8EOJx0</t>
  </si>
  <si>
    <t>A boy sits in a room and talks to a camera while holding a demonstrating how to use an electronic cigarette.</t>
  </si>
  <si>
    <t>The boy unscrews the cigarette to reveal the inside mechanism.</t>
  </si>
  <si>
    <t>The boy puts the cigarette back together and begins to smoke it as a woman walks by in the background, and then he continues to talk to the camera.</t>
  </si>
  <si>
    <t>v_Zso0ZBs2y6E</t>
  </si>
  <si>
    <t>Close ups of fabric are shown and leads to a man putting them on a wall and a woman speaking to a great of men.</t>
  </si>
  <si>
    <t>A person lays out paper on a table and shows the men how to properly put wallpaper on.</t>
  </si>
  <si>
    <t>A man then speaks to the camera and ends with information being presented and the man putting down more paper.</t>
  </si>
  <si>
    <t>v_0K1SrDmREzs</t>
  </si>
  <si>
    <t>An athletic woman is seen standing in a circle moving in a slow motion holding a discuss.</t>
  </si>
  <si>
    <t>She then spins herself around while holding the object and then throwing it off the distance.</t>
  </si>
  <si>
    <t>v_BOckSaGr-uI</t>
  </si>
  <si>
    <t>A man in gray shirt is sitting on a chair.</t>
  </si>
  <si>
    <t>The man is pointing an empty canvas with his brush as he continue to talk.</t>
  </si>
  <si>
    <t>The man hold out his brush, dip the brush on the colors and began painting on the bigger canvas.</t>
  </si>
  <si>
    <t>v_7WfF6FrZEuU</t>
  </si>
  <si>
    <t>A woman is seen smiling and speaking to the camera.</t>
  </si>
  <si>
    <t>Another man is seen sitting behind her with another man in front.</t>
  </si>
  <si>
    <t>The woman continues speaking while the man in front cleans the other's shoes.</t>
  </si>
  <si>
    <t>v_RfXFS9fy-mI</t>
  </si>
  <si>
    <t>People are playing soccer in an indoor arena.</t>
  </si>
  <si>
    <t>They shoot and make a goal into the net.</t>
  </si>
  <si>
    <t>The players hug on the court.</t>
  </si>
  <si>
    <t>v_7uE2pMuAM8I</t>
  </si>
  <si>
    <t>A person polish a shoe with a wrapped finger.</t>
  </si>
  <si>
    <t>Then, the person grabs polish paste and water to polish the shoe.</t>
  </si>
  <si>
    <t>After, the person put a drop of water on the shoe and continues polishing.</t>
  </si>
  <si>
    <t>v_0h45uztur-o</t>
  </si>
  <si>
    <t>Wrapped presents are being shown lined up.</t>
  </si>
  <si>
    <t>A person is rolling out wrapping paper and using a ruler to hold it down.</t>
  </si>
  <si>
    <t>A box is set on top of the wrapping paper.</t>
  </si>
  <si>
    <t>The person begins wrapping the present.</t>
  </si>
  <si>
    <t>They are cutting the paper.</t>
  </si>
  <si>
    <t>They continue wrapping the present.</t>
  </si>
  <si>
    <t>They use tape to hold the paper on.</t>
  </si>
  <si>
    <t>They fold tissue paper to wrap around the middle of the box.</t>
  </si>
  <si>
    <t>They wrap curling ribbon around the box and tie it into a bow.</t>
  </si>
  <si>
    <t>The use the scissors to curl the ends of the bow.</t>
  </si>
  <si>
    <t>They stick a silver flower into the present.</t>
  </si>
  <si>
    <t>v_w6kBE7BHHeU</t>
  </si>
  <si>
    <t>This is a video for arm wrestling tips.</t>
  </si>
  <si>
    <t>A screen with caption is shown describing the video.</t>
  </si>
  <si>
    <t>There are two men at an arm wrestling table a man in a white t-shirt and glasses is informing on how to properly prepare for an arm wrestling match with stance, arm position, finger position, wrist placement, body position, body and arm movement.</t>
  </si>
  <si>
    <t>Another black screen appears with captions.</t>
  </si>
  <si>
    <t>The man in the white t-shirt shows several ways to stand during an arm wrestling match with both feet on the ground and wrapping one leg around the arm wrestling table.</t>
  </si>
  <si>
    <t>Another black screen appears with caption about finding arm wrestling clubs.</t>
  </si>
  <si>
    <t>The man in the glasses while still at the arm wrestling table with the other man gives a website address and social media sites.</t>
  </si>
  <si>
    <t>The screen goes black and there are credits rolling followed by a company name.</t>
  </si>
  <si>
    <t>v_sBx1HvNjs6s</t>
  </si>
  <si>
    <t>A bald man is talking and two pictures of a young male with nice hair flashes on the screen.</t>
  </si>
  <si>
    <t>The man then begins to work with a mannequin head that has a similar hairstyle as the boy in the pictures and he shows how the haircut was achieved while buzzing, cutting, combing and finger combing the hair.</t>
  </si>
  <si>
    <t>A black screen with white letters appear and they read "Thanks for wathing! Please subscribe!!".</t>
  </si>
  <si>
    <t>v_y-HkIwa-jWM</t>
  </si>
  <si>
    <t>An older man passes a ball to a group of small kids and eventually kicks the ball.</t>
  </si>
  <si>
    <t>The man runs as other kids run and runs all the way to home plate.</t>
  </si>
  <si>
    <t>A woman runs in front of the base with the ball and the man trips over her.</t>
  </si>
  <si>
    <t>He helps her up as they both.</t>
  </si>
  <si>
    <t>v_-qXqnltHWtE</t>
  </si>
  <si>
    <t>Cowboys compete in a rodeo competition.</t>
  </si>
  <si>
    <t>Men ride horses out of a gates and ropes a bull before dismounting and tying their its legs.</t>
  </si>
  <si>
    <t>The winner waves his hat and is congratulated by the other riders.</t>
  </si>
  <si>
    <t>v_GlvfqDfvbKA</t>
  </si>
  <si>
    <t>A man talks to the camera while seated at a drum set while another man plays drums in the background.</t>
  </si>
  <si>
    <t>The first man plays the drums.</t>
  </si>
  <si>
    <t>The first man stops playing and turns to the camera.</t>
  </si>
  <si>
    <t>v_OUfVZuWyqJQ</t>
  </si>
  <si>
    <t>We see the white opening screen.</t>
  </si>
  <si>
    <t>A man in jump stilts throws a bag over his shoulder and leaves a bank.</t>
  </si>
  <si>
    <t>The man in jump stilts runs from the cops on a city street.</t>
  </si>
  <si>
    <t>The man pushes through a market.</t>
  </si>
  <si>
    <t>The man jumps over a stroller being pushed by a lady.</t>
  </si>
  <si>
    <t>The man jumps over a truck and over a fence losing the cops.</t>
  </si>
  <si>
    <t>The man runs through a skate park down a city street and up stairs.</t>
  </si>
  <si>
    <t>The man opens the bag and counts his cash.</t>
  </si>
  <si>
    <t>v_9FaSaHgQSO8</t>
  </si>
  <si>
    <t>A large group of people are all seen riding around in bumper cars and driving around a track, bumping into one another.</t>
  </si>
  <si>
    <t>The people continue riding around and ends with a man and two children walking out.</t>
  </si>
  <si>
    <t>v_xE5KichXWrA</t>
  </si>
  <si>
    <t>An intro shows on the screen introducing a winter throwing video.</t>
  </si>
  <si>
    <t>A man does spins around in a circle and completes the throw celebrating his distance.</t>
  </si>
  <si>
    <t>He prepares for another throw by getting himself into position.</t>
  </si>
  <si>
    <t>He completes the throw and prepares for another.</t>
  </si>
  <si>
    <t>He completes the next throw and prepares for the next.</t>
  </si>
  <si>
    <t>He completes the last throw and again celebrates a good distance.</t>
  </si>
  <si>
    <t>The video ends with text displayed on the screen.</t>
  </si>
  <si>
    <t>v_mZxvYV53uf0</t>
  </si>
  <si>
    <t>Two girls are practicing dance moves in front of their television set in their living room.</t>
  </si>
  <si>
    <t>One of the girls is wearing a red shirt and the other is wearing a dark blue shirt.</t>
  </si>
  <si>
    <t>They are practicing ball room dancing.</t>
  </si>
  <si>
    <t>they take turns to swing and twirl around each other's hands as they go around in circles.</t>
  </si>
  <si>
    <t>They also follow a pattern of their leg movements as they follow the steps rhythmically.</t>
  </si>
  <si>
    <t>After they finish, they both giggle and walk away.</t>
  </si>
  <si>
    <t>v_k5wY4N61bzU</t>
  </si>
  <si>
    <t>A still image is pictured with the words Dog Walk Across America shown over it.</t>
  </si>
  <si>
    <t>A middle aged couple is then shown siting on logs talking with their dogs roaming behind them and another man sitting on a big boulder rock.</t>
  </si>
  <si>
    <t>Then several images of dogs are shown and then the woman reappears alone.</t>
  </si>
  <si>
    <t>Then another set of images are shown where the dogs are being helped by vets.</t>
  </si>
  <si>
    <t>The man then reappears with the lady and they begin to talk again.</t>
  </si>
  <si>
    <t>Lastly,the man walks off and a black screen appears showing multiple websites.</t>
  </si>
  <si>
    <t>v_wZeV6W1VEoM</t>
  </si>
  <si>
    <t>Some boys are inside a gym.</t>
  </si>
  <si>
    <t>They take turns stacking a pile of tires.</t>
  </si>
  <si>
    <t>After each addition, one of them jumps and stands at the top.</t>
  </si>
  <si>
    <t>v_s_hQSJVIN3c</t>
  </si>
  <si>
    <t>man is in a oofed gym stretching his leg and doing exercise in front of a chair.</t>
  </si>
  <si>
    <t>the man bend the other leg and stretch it.</t>
  </si>
  <si>
    <t>v_m5YvKrjGtPM</t>
  </si>
  <si>
    <t>A man kneels to grab a weight while a man watch him.</t>
  </si>
  <si>
    <t>A topless fat man practice weight lift behind the man.</t>
  </si>
  <si>
    <t>A person lift a weight on back.</t>
  </si>
  <si>
    <t>Then, the man lifts the weight, after he drops the weight to the floor.</t>
  </si>
  <si>
    <t>Again, the man kneels again and lift the weight above his head and then drop it.</t>
  </si>
  <si>
    <t>v_n9xULD7oYXc</t>
  </si>
  <si>
    <t>Two man sit at a table.</t>
  </si>
  <si>
    <t>The man closest to camera crochets.</t>
  </si>
  <si>
    <t>The man closest to camera scratches his ear.</t>
  </si>
  <si>
    <t>v_7GSCDxBSFsw</t>
  </si>
  <si>
    <t>A person holds a javelin and prepares to launch it.</t>
  </si>
  <si>
    <t>Then, the man runs and launch the javelin.</t>
  </si>
  <si>
    <t>v_htBt3oP9zuo</t>
  </si>
  <si>
    <t>A woman demonstrates how to apply wallpaper to a wall.</t>
  </si>
  <si>
    <t>A woman holds up the various tools needed to apply wallpaper.</t>
  </si>
  <si>
    <t>The woman demonstrates the process before applying the paper in short demonstration segments.</t>
  </si>
  <si>
    <t>The woman then begins to apply the wallpaper to a wall step by step.</t>
  </si>
  <si>
    <t>v_bqDxblFvgro</t>
  </si>
  <si>
    <t>A person's bare feet are shown walking up a flight of stairs.</t>
  </si>
  <si>
    <t>Then different men are shown diving in slow motion off the diving board into the water.</t>
  </si>
  <si>
    <t>Women and boys are also jumping, each landing in an outdoor pool.</t>
  </si>
  <si>
    <t>v_vbWdGj1sfO8</t>
  </si>
  <si>
    <t>A female is laying on her back exercising inside of a gym.</t>
  </si>
  <si>
    <t>She is wearing black and pink and just looks very comfortable while she works out.</t>
  </si>
  <si>
    <t>She brings her arms up and her legs up to the center of her body.</t>
  </si>
  <si>
    <t>She does that repeatedly for a little while.</t>
  </si>
  <si>
    <t>v_ruHObln9mwI</t>
  </si>
  <si>
    <t>the players rush the field and start fighting.</t>
  </si>
  <si>
    <t>A person punches someone in the head.</t>
  </si>
  <si>
    <t>The coach is trying to fight another coach.</t>
  </si>
  <si>
    <t>A man climbs over the balcony to try and fight.</t>
  </si>
  <si>
    <t>The red team gathers and hugs each other.</t>
  </si>
  <si>
    <t>v_RZqM8Z0ocjE</t>
  </si>
  <si>
    <t>A volleyball coach stands by a net holding a ball and speaks.</t>
  </si>
  <si>
    <t>Two groups of girls run out to the middle of a court to grab volleyballs.</t>
  </si>
  <si>
    <t>They throw the balls at each other.</t>
  </si>
  <si>
    <t>The coach is seen giving instructions.</t>
  </si>
  <si>
    <t>The girls continue to throw the balls at each other.</t>
  </si>
  <si>
    <t>Two girls stand by the sidelines talking.</t>
  </si>
  <si>
    <t>v_BZQb9uWULOc</t>
  </si>
  <si>
    <t>People are sitting bored in a lounge.</t>
  </si>
  <si>
    <t>A man walks in holding a portable beer pong table.</t>
  </si>
  <si>
    <t>The people get excited for him.</t>
  </si>
  <si>
    <t>They play a few rounds of beer pong.</t>
  </si>
  <si>
    <t>A man holds up a ping pong ball in front of a group of people.</t>
  </si>
  <si>
    <t>Text appears on the screen.</t>
  </si>
  <si>
    <t>v_5pqVrMgiMcs</t>
  </si>
  <si>
    <t>A skateboarder come rolling down a steep road.</t>
  </si>
  <si>
    <t>Skateboarders roll down the middle of public streets.</t>
  </si>
  <si>
    <t>The words "Fair Oaks Longboarding" along with credits appear over the skaters.</t>
  </si>
  <si>
    <t>v_KTNJc_NVOmg</t>
  </si>
  <si>
    <t>A cat is laying on its back on the couch.</t>
  </si>
  <si>
    <t>A person picks up the cat and lays it on their lap.</t>
  </si>
  <si>
    <t>They start clipping the cats nails.</t>
  </si>
  <si>
    <t>v_jaaWdcA_COY</t>
  </si>
  <si>
    <t>There is a woman in a bikini walking past people with hula hoops.</t>
  </si>
  <si>
    <t>She goes to the grass and she begins hooping in circles, she is having a really good time dancing and hooping.</t>
  </si>
  <si>
    <t>Then, other people are dancing around and hooping also, doing tricks and just enjoying the day.</t>
  </si>
  <si>
    <t>Everyone is watching as the two girls hoop around outside of the store.</t>
  </si>
  <si>
    <t>v_m0ZPQ8q4Qq4</t>
  </si>
  <si>
    <t>A little girl is outside on a snowy day.</t>
  </si>
  <si>
    <t>She is playing hopscotch which is drawn on the driveway.</t>
  </si>
  <si>
    <t>She hops along each square, then turns and goes back to the beginning.</t>
  </si>
  <si>
    <t>v_UzdI8PLRiXg</t>
  </si>
  <si>
    <t>A towel and glass are on a table next to a piece of foam and metal.</t>
  </si>
  <si>
    <t>A tool is being shown by a man holding it.</t>
  </si>
  <si>
    <t>The metal is used to sharpen a knife in front of him.</t>
  </si>
  <si>
    <t>v_MbEoZXWVc-I</t>
  </si>
  <si>
    <t>A group of people are seen hanging out around an area with several standing around a beer pong match.</t>
  </si>
  <si>
    <t>The people play beer pong back and fourth and a woman takes a drink in the end that is gross.</t>
  </si>
  <si>
    <t>v_nY8a1E4QH5Q</t>
  </si>
  <si>
    <t>A dance class is choreographing a routine and everyone is generally in sync with each other.</t>
  </si>
  <si>
    <t>They move back and forth, up and down, and shake their chests.</t>
  </si>
  <si>
    <t>v_iYH0Ol3xIZU</t>
  </si>
  <si>
    <t>A man in a white asian inspired outfit stands outdoors, surrounded by trees, on the grass, and performs several slow martial arts and meditation moves.</t>
  </si>
  <si>
    <t>The scene begins with a bare green patch of cut grass surrounded by tall trees and a building in the background beyond the foliage.</t>
  </si>
  <si>
    <t>The man runs into the frame into the center of the grass, centers himself and does a leg lift followed by several slow hand movements up and down and around.</t>
  </si>
  <si>
    <t>The man continues to perform slow martial arts moves using feet, hands, knees, and shoulders moving around the grass patch and sometime stomping his feet on the ground.</t>
  </si>
  <si>
    <t>v_kK9k01CtXnE</t>
  </si>
  <si>
    <t>This is a how to film on how to apply a seal to a roof.</t>
  </si>
  <si>
    <t>Black things are put on the side of the roof.</t>
  </si>
  <si>
    <t>The roof is sealed up.</t>
  </si>
  <si>
    <t>v_-Cefl3S_L-w</t>
  </si>
  <si>
    <t>A large group of people are seen playing a tug of war match with one another and pulling onto a rope against one another.</t>
  </si>
  <si>
    <t>The people continue playing with one another and ends with one team winning and the crowd cheering.</t>
  </si>
  <si>
    <t>v_YcDlkZkPb6g</t>
  </si>
  <si>
    <t>A graphic shows on the screen for a website about basketball drills.</t>
  </si>
  <si>
    <t>Some young men on an indoor basketball court are shown doing some of the basketball drills.</t>
  </si>
  <si>
    <t>An older man begins explaining the drills while more footage is shown of the players demonstrating them.</t>
  </si>
  <si>
    <t>The screen goes black and more text reminds the viewer to visit the website for more information.</t>
  </si>
  <si>
    <t>v_C26UfwZbHE0</t>
  </si>
  <si>
    <t>woman is talking to another standing in front of green lockers in a hallway, a man walks to the girls holding yellow roses on his hand.</t>
  </si>
  <si>
    <t>a woman walks in the hall holding a mouthwash and talking to the camera about it.</t>
  </si>
  <si>
    <t>woman is in front of a handwash cleaning his mouth with mouthwash.</t>
  </si>
  <si>
    <t>the woman is in the hall and talk to the boys and they seem impressed by her fresh breath.</t>
  </si>
  <si>
    <t>v_OmlzSz6AKfI</t>
  </si>
  <si>
    <t>A child in a helmet is shown.</t>
  </si>
  <si>
    <t>Several other children in helmets on bikes ride off of a ramp.</t>
  </si>
  <si>
    <t>A man runs along side them.</t>
  </si>
  <si>
    <t>The cross a finish line.</t>
  </si>
  <si>
    <t>v_PIr3WhkKB1o</t>
  </si>
  <si>
    <t>A special effect video clip appears with someone running on a treadmill and white words on the middle of the screen that read "CityNews HEALTH".</t>
  </si>
  <si>
    <t>A man and woman newscaster appear sitting on stools, both dressed in work attire and talking to the camera and to one another.</t>
  </si>
  <si>
    <t>The newscaster woman is now shown outdoors and talking to people on a beach, and clips of people sunbathing, applying suntan lotion, and different types of suntan lotions are show.</t>
  </si>
  <si>
    <t>The newscaster woman is now sitting on the beach, holding a bottle of suntan lotion and begins to apply lotion all over her arm.</t>
  </si>
  <si>
    <t>A new clip appears with the newscaster woman interviewing a Doctor, then a woman is shown sitting in a chair while the Doctor is standing up talking to her, and the banner below say's his name is "DR PAUL COHEN DERMATOLOGIST" and various clips of people playing in the sun play in between him talking.</t>
  </si>
  <si>
    <t>The newscaster woman is back indoors with the man she was shown with earlier and they end with a smile.</t>
  </si>
  <si>
    <t>v_QtCNHRtycmg</t>
  </si>
  <si>
    <t>Several clips are shown of men speaking to one another as well as riding on a dirt bike.</t>
  </si>
  <si>
    <t>More clips are shown of people riding around and cheering with one another.</t>
  </si>
  <si>
    <t>The riders continue to go around the track as well as show off jumps in the end.</t>
  </si>
  <si>
    <t>v_HD4aY4ATCFY</t>
  </si>
  <si>
    <t>a big burguer is in a table.</t>
  </si>
  <si>
    <t>woman is talking to the camera sanding i front of a wall with a lot of wallpapers.</t>
  </si>
  <si>
    <t>woman grab a sandwich and spread butter in it, then put pickles, cheddar cheese, jam and pork, then se put butter on top and toast it, when the sandwich is ready is cutted in the half and its being serve in a plate.</t>
  </si>
  <si>
    <t>v_DBGsPnuwdnU</t>
  </si>
  <si>
    <t>People are riding bumper cars on a brown floor.</t>
  </si>
  <si>
    <t>A boy's red bumper car gets stuck on the column.</t>
  </si>
  <si>
    <t>A lady in a black jilbab waves.</t>
  </si>
  <si>
    <t>The lady bumper car collides with a man's.</t>
  </si>
  <si>
    <t>A guy walks across the brown floor.</t>
  </si>
  <si>
    <t>v_PDEUAMa8aOU</t>
  </si>
  <si>
    <t>A man is seen putting products into a woman's hair followed by blow drying her hair and brushing it down.</t>
  </si>
  <si>
    <t>The person then cuts the woman's hair several inches while moving slower in the end.</t>
  </si>
  <si>
    <t>v_Z-6dR4H2dns</t>
  </si>
  <si>
    <t>a group of models are gathered at a car wash.</t>
  </si>
  <si>
    <t>Cars pull in, and the woman are using soap to soap down the cars.</t>
  </si>
  <si>
    <t>They then rinse and wipe the cars clean.</t>
  </si>
  <si>
    <t>v_e8w3gmiv-mM</t>
  </si>
  <si>
    <t>A little boy is playing on the jungle gym while a man talks to him and records.</t>
  </si>
  <si>
    <t>He goes up the stairs and slides down the slide several times.</t>
  </si>
  <si>
    <t>When he is done he goes over and hugs a lady in a wheelchair.</t>
  </si>
  <si>
    <t>v_2Mj26IwwEiY</t>
  </si>
  <si>
    <t>There's a home improvement specialist demonstrating how to remove wallpaper from walls.</t>
  </si>
  <si>
    <t>He starts of by preparing the space by moving furniture away from the walls and covering the furniture with plastic sheets for protection.</t>
  </si>
  <si>
    <t>He also removes the window treatments from windows.</t>
  </si>
  <si>
    <t>He shows how to take precautionary measures with respect to electrical wiring and switches and circuits.</t>
  </si>
  <si>
    <t>Then he shows how to use fans to ventilate the room.</t>
  </si>
  <si>
    <t>He takes a scour and begins to scour the wall paper.</t>
  </si>
  <si>
    <t>He uses a paint roller to soak the wall paper for easy removal.</t>
  </si>
  <si>
    <t>He then demonstrates how steam can be used too to loosen the wall paper.</t>
  </si>
  <si>
    <t>Then he begins to slowly peel off the paper from the wall.</t>
  </si>
  <si>
    <t>He re-wets the surface and uses a flat tool to remove any stubborn wall paper.</t>
  </si>
  <si>
    <t>He finally uses a sponge and soap water to clean the wall to remove any residual wall paper.</t>
  </si>
  <si>
    <t>He shows how to apply primer to prep the wall for painting.</t>
  </si>
  <si>
    <t>Information on how to use these techniques is provided on the Lowe's company website.</t>
  </si>
  <si>
    <t>v_EFtxSXp1pck</t>
  </si>
  <si>
    <t>chef is sanding in front of a coutner with chopped ingredients in different plates and talking to the camera.</t>
  </si>
  <si>
    <t>man spray oil on the pan and add the mix of the eggs and the vegetables.</t>
  </si>
  <si>
    <t>man is standing in the kitchen talking to the camera giving a recipe.</t>
  </si>
  <si>
    <t>v_OzRxQDkrhTg</t>
  </si>
  <si>
    <t>Two teams are on the field playa game trying to score.</t>
  </si>
  <si>
    <t>One of the players on the blue team falls down on the field.</t>
  </si>
  <si>
    <t>Another blue player gets the ball from out of bounds, puts it on the line and hits back into the game.</t>
  </si>
  <si>
    <t>Te coaches start jumping with joy as well as the players.</t>
  </si>
  <si>
    <t>v_ZdwkA72VMKE</t>
  </si>
  <si>
    <t>Two men are shuffling brooms across a floor with another pulling it on a string.</t>
  </si>
  <si>
    <t>One man follows behind and the two shuffling eventually move the puck into a hole.</t>
  </si>
  <si>
    <t>The three men cheer with each other and give each other big hugs.</t>
  </si>
  <si>
    <t>v_K1_g97xCqKg</t>
  </si>
  <si>
    <t>The video begins with a closeup of a tire in an auto shop.</t>
  </si>
  <si>
    <t>The cameraman uses his hand to show a specific spot on the tire and zooms in closer.</t>
  </si>
  <si>
    <t>The man puts down the camera and begins working on the tire.</t>
  </si>
  <si>
    <t>He grabs the camera again to show different screws.</t>
  </si>
  <si>
    <t>The video ends showing both sides of the tire.</t>
  </si>
  <si>
    <t>v_fT7dpRY0DTo</t>
  </si>
  <si>
    <t>The camera pans over the walls of a shower stall.</t>
  </si>
  <si>
    <t>A man plasters and installs tiles on the wall.</t>
  </si>
  <si>
    <t>The man applies grout to the gaps between the tiles.</t>
  </si>
  <si>
    <t>The man measures and cuts a tile for installation in the shower.</t>
  </si>
  <si>
    <t>The man installs the soap dish.</t>
  </si>
  <si>
    <t>Scrolling text is shown on a blue screen.</t>
  </si>
  <si>
    <t>v_TvNNx-ZFfDA</t>
  </si>
  <si>
    <t>There is a facility open just for beer pong games so people can come play.</t>
  </si>
  <si>
    <t>Everyone loves it and is excited to be there around other people that like to play.</t>
  </si>
  <si>
    <t>A lot of different groups are playing and talking about it as well as even playing rock paper scissors to see who gets to go first.</t>
  </si>
  <si>
    <t>Whoever is the winner gets a check at the end of the game.</t>
  </si>
  <si>
    <t>v_zrwpgILg7VI</t>
  </si>
  <si>
    <t>A large group of people are in a mall and are watching people set up an area with a large black floor and a large black wall.</t>
  </si>
  <si>
    <t>Suddenly there are lit up people wearing light suits that are dancing on the black area and they change from 1-7 people, and alternate suit colors from white, then to red and then back to white again.</t>
  </si>
  <si>
    <t>Their light suits go out and the dance is over.</t>
  </si>
  <si>
    <t>v_1oaJBEdY6ao</t>
  </si>
  <si>
    <t>A man driving a moving tractor steps around and looks towards the front.</t>
  </si>
  <si>
    <t>He begins moving again on the machine cutting the grass and steering the instrument.</t>
  </si>
  <si>
    <t>A man on a bike looks onward and laughs and the man eventually steps off.</t>
  </si>
  <si>
    <t>v_nLddpveoSHE</t>
  </si>
  <si>
    <t>A tattooo artist is shown, interspersed with the artists speaking to the camera, giving tattoos.</t>
  </si>
  <si>
    <t>They show various images of their finished work coupled with actiively injecting ink and making designs.</t>
  </si>
  <si>
    <t>v_g3InHLh678M</t>
  </si>
  <si>
    <t>A boy is walking across the stage with helmet and sword.</t>
  </si>
  <si>
    <t>The boy meets another boy where baby faces are shown on their faces.</t>
  </si>
  <si>
    <t>A man showing I'm bald words is above his head.</t>
  </si>
  <si>
    <t>The boys separate as question marks appear over their heads.</t>
  </si>
  <si>
    <t>A description of the video is shown.</t>
  </si>
  <si>
    <t>The boy s continue to spar across the stage.</t>
  </si>
  <si>
    <t>Pretend quotes are shown over their head and they continue to spar.</t>
  </si>
  <si>
    <t>The boy on the left turns into flames and they set back up and continue to spar.</t>
  </si>
  <si>
    <t>The stage lights up green and they separate and come back to spar.</t>
  </si>
  <si>
    <t>The stage lights up blue as silly quotes appear over the boy on the rights head.</t>
  </si>
  <si>
    <t>v__B3Q8bTJWG4</t>
  </si>
  <si>
    <t>A man rides a horse into an arena.</t>
  </si>
  <si>
    <t>He jumps off the horse and ties a calf.</t>
  </si>
  <si>
    <t>He stands up and gets back on his horse.</t>
  </si>
  <si>
    <t>Two people come and lay the calf down on the arena.</t>
  </si>
  <si>
    <t>v_WV_MFi9EZeQ</t>
  </si>
  <si>
    <t>A man is seen speaking to the camera while holding a scraper.</t>
  </si>
  <si>
    <t>He pushes the scraper along the car while speaking to the camera.</t>
  </si>
  <si>
    <t>In the end he slides down into the snow.</t>
  </si>
  <si>
    <t>v_8Ztw2YrUHRE</t>
  </si>
  <si>
    <t>A group of individuals are performing at a Holiday Baton Recital.</t>
  </si>
  <si>
    <t>The girls continue dancing,moving up and down and twirling the baton.</t>
  </si>
  <si>
    <t>The lights begin to flicker and the girls form a straight line in the back of the stage.</t>
  </si>
  <si>
    <t>During the recital,the girls do the same routine but instead of a horizontal line form a vertical one.</t>
  </si>
  <si>
    <t>Once they are done,they move towards the back of the stage and dance off behind the curtains.</t>
  </si>
  <si>
    <t>v_pwPid8YHHpU</t>
  </si>
  <si>
    <t>A man puts on a matador outfit in a room.</t>
  </si>
  <si>
    <t>A matador fights with a bowl using a red cape in a stadium.</t>
  </si>
  <si>
    <t>Boys practice using the red cape together in the arena.</t>
  </si>
  <si>
    <t>People get autographs from the matador and are seen on the street interviewing about the event.</t>
  </si>
  <si>
    <t>The bull runs and charges aft the matador from a distance.</t>
  </si>
  <si>
    <t>The matador cheers to the crowd with his back facing the bull.</t>
  </si>
  <si>
    <t>v_fxyqt18d-jo</t>
  </si>
  <si>
    <t>A man, in black t-shirt, stands alone in a kitchen, talks to a camera in an animated way and prepares a peanut butter and jelly sandwich.</t>
  </si>
  <si>
    <t>The man holds up a jar of peanut butter and a bottle of jelly after pulling out two pieces of bread while standing in front of a kitchen countertop.</t>
  </si>
  <si>
    <t>The man puts jelly and peanut butter on the bread.</t>
  </si>
  <si>
    <t>The man bites into the sandwich, begins talking again, slams the sandwich down on a plate and walks off.</t>
  </si>
  <si>
    <t>v_RZ8r5B69CLY</t>
  </si>
  <si>
    <t>People are shown on a volleyball court as they warm up.</t>
  </si>
  <si>
    <t>The girls volley the ball back and forth over the net.</t>
  </si>
  <si>
    <t>They try to keep the ball from their opponents as the game truly begins.</t>
  </si>
  <si>
    <t>v_h91i2x9Gouk</t>
  </si>
  <si>
    <t>A woman is seen speaking to the camera holding up various mops and presenting them to the camera.</t>
  </si>
  <si>
    <t>She then dips the mops into a bucket and washes them along the floor.</t>
  </si>
  <si>
    <t>She continues speaking while holding up the mops as well as taking them apart and showing how they work.</t>
  </si>
  <si>
    <t>v_V9xuy-rVj9w</t>
  </si>
  <si>
    <t>A group of men and boys are on a snow capped hill.</t>
  </si>
  <si>
    <t>They lob snowballs and ride the cars, then they ski down the hill.</t>
  </si>
  <si>
    <t>They are shown skiing and performing many tricks, spinning and flipping as they go.</t>
  </si>
  <si>
    <t>v_Z9o_h64qVeo</t>
  </si>
  <si>
    <t>We see a boy playing an accordion.</t>
  </si>
  <si>
    <t>The boy slides his hand across the keys.</t>
  </si>
  <si>
    <t>A piece of paper enters the scene on the lower right.</t>
  </si>
  <si>
    <t>The boy finishes and the screen goes black.</t>
  </si>
  <si>
    <t>v_Y_slRMRs18I</t>
  </si>
  <si>
    <t>The hand drills a hole with an electric tool.</t>
  </si>
  <si>
    <t>The hand screws two nail into holes with an electric tool.</t>
  </si>
  <si>
    <t>The person leaves with the electric tool.</t>
  </si>
  <si>
    <t>v_U0jlI70N_DQ</t>
  </si>
  <si>
    <t>Several kids are in a pool playing a game of water polo.</t>
  </si>
  <si>
    <t>One of the girls gets the ball and makes a shot into the net as the crowd cheers.</t>
  </si>
  <si>
    <t>The game resets and the teams begin to play again.</t>
  </si>
  <si>
    <t>v_yqBRp0txs-c</t>
  </si>
  <si>
    <t>Two men are shown speaking at a party playing pong with two other men.</t>
  </si>
  <si>
    <t>The men keep getting the balls into the cups back and fourth and one jumps on the back of the other.</t>
  </si>
  <si>
    <t>v_crz2vi_dguk</t>
  </si>
  <si>
    <t>A sink is covered in filth.</t>
  </si>
  <si>
    <t>A bottle is held up to the camera.</t>
  </si>
  <si>
    <t>The water runs over a sponge.</t>
  </si>
  <si>
    <t>The solution is poured on the sponge and the sink is cleaned.</t>
  </si>
  <si>
    <t>v_LLLuBjEVHI8</t>
  </si>
  <si>
    <t>A teenage boy wearing a white shirt and black track pants is shooting hoops in an outdoor basketball court.</t>
  </si>
  <si>
    <t>There are a few cones arranged around the court.</t>
  </si>
  <si>
    <t>The boy continues running, dribbling and shooting hoops with the basketball.</t>
  </si>
  <si>
    <t>He hits a shot and makes a basket and then stops playing.</t>
  </si>
  <si>
    <t>v_f9eW4rFQG-A</t>
  </si>
  <si>
    <t>A map is shown and then two large fish are shown in the water as a bird floats across the water.</t>
  </si>
  <si>
    <t>Two men are on a boat and they are sailing across the water over fish.</t>
  </si>
  <si>
    <t>An underwater view is then shown and you can see the bottom of the ducks body.</t>
  </si>
  <si>
    <t>Several men and boats are then shown and one mail catches a fish.</t>
  </si>
  <si>
    <t>After, a man dressed in all black is underwater and a water helicopter is shown then the man goes back under water holding the camera and playing with large fish.</t>
  </si>
  <si>
    <t>More are shown and males continue to jump off the boat, and show their findings underwater and dumping water on themselves and another map is shown.</t>
  </si>
  <si>
    <t>v_lvd2InghJOo</t>
  </si>
  <si>
    <t>Two people are playing racquetball .</t>
  </si>
  <si>
    <t>The ball comes around behind the players.</t>
  </si>
  <si>
    <t>They resume playing and jumping.</t>
  </si>
  <si>
    <t>The ball again gets by the players.</t>
  </si>
  <si>
    <t>The man in yellow restarts a new match.</t>
  </si>
  <si>
    <t>The man in blue walks to the window and messes with a sticker.</t>
  </si>
  <si>
    <t>The man in yellow tries to restart a new match.</t>
  </si>
  <si>
    <t>The man in blue hits the ball in the corner and it rolls back.</t>
  </si>
  <si>
    <t>They start another round of racquetball.</t>
  </si>
  <si>
    <t>v_rLCRgksVNE8</t>
  </si>
  <si>
    <t>A girl is getting her nose pierced.</t>
  </si>
  <si>
    <t>The nose is cleaned before the piercing.</t>
  </si>
  <si>
    <t>She talks to the camera.</t>
  </si>
  <si>
    <t>The man pierces her nose.</t>
  </si>
  <si>
    <t>v_Ha5KU-pp4gk</t>
  </si>
  <si>
    <t>A scenery of a residence is shown.</t>
  </si>
  <si>
    <t>A man appears from behind a hedge and he's holding a lime green hedge cutter and he begins to go around his hedges and starts cutting away at them first at the top, then he concentrates on the sides and towards the bottom.</t>
  </si>
  <si>
    <t>The man then moves his hedge cutter and concentrates on the top of the hedges.</t>
  </si>
  <si>
    <t>v_i7rJN34TruM</t>
  </si>
  <si>
    <t>Four people are seen hitting a ball around a gymnasium back and fourth off the wall with a tennis racket.</t>
  </si>
  <si>
    <t>The men continue playing with one another and end by shaking hands with each other.</t>
  </si>
  <si>
    <t>v_ODW0I_ITug0</t>
  </si>
  <si>
    <t>A man is seen standing in front of the camera holding onto a set of bagpipes.</t>
  </si>
  <si>
    <t>The man continues to play while taking breaks here and there and showing text in the end.</t>
  </si>
  <si>
    <t>v_L2jO-evVIRE</t>
  </si>
  <si>
    <t>A woman is seen raking leaves around a lawn while three dogs stand near her and hold toys.</t>
  </si>
  <si>
    <t>The woman continues raking as the dog roam around her with toys and she gradually picks them up and throws them for the dogs.</t>
  </si>
  <si>
    <t>v_MQ7k1wig4jk</t>
  </si>
  <si>
    <t>There are several men playing Foos ball in an indoor room that has wooden panels.</t>
  </si>
  <si>
    <t>They are all engrossed in the game as they hit the ball back and forth.</t>
  </si>
  <si>
    <t>v_b_iUgvzb1-0</t>
  </si>
  <si>
    <t>A woman bends forward extending her left left arm on front and raising her leg up while having the right hand over her shoulder.</t>
  </si>
  <si>
    <t>Then, the woman turns to the left and throw a ball and spin her body.</t>
  </si>
  <si>
    <t>v_4kNx9rVwmAg</t>
  </si>
  <si>
    <t>A woman leads a class of boys and girl in exercise.</t>
  </si>
  <si>
    <t>They use steppers to jump up and down, and side to side.</t>
  </si>
  <si>
    <t>Then they run in place, hopping on and off the steppers.</t>
  </si>
  <si>
    <t>They slow down, cooling off before clapping.</t>
  </si>
  <si>
    <t>v_5ObgpPDmVPA</t>
  </si>
  <si>
    <t>woman is in sea scubadiving and a man is behind her.</t>
  </si>
  <si>
    <t>they are watching the fishes and trunks.</t>
  </si>
  <si>
    <t>men are scuba diving under the sea.</t>
  </si>
  <si>
    <t>v_CikGafc6H_8</t>
  </si>
  <si>
    <t>A group of boys are lined up, playing the drums.</t>
  </si>
  <si>
    <t>A couple of teams are inside the pool.</t>
  </si>
  <si>
    <t>v_asM7fbK_F-U</t>
  </si>
  <si>
    <t>A woman is seen speaking to someone off camera and leads into herself playing the drums.</t>
  </si>
  <si>
    <t>Another man steps into frame and begins playing the drums with a woman.</t>
  </si>
  <si>
    <t>A small child appears in front a bit grabbing onto the woman while she and the man still play drums.</t>
  </si>
  <si>
    <t>v_wOZdXVdiB04</t>
  </si>
  <si>
    <t>A large group of people are seen playing dodgeball against one another and throwing the ball back and fourth.</t>
  </si>
  <si>
    <t>Many people watch the game on the sidelines as people continue to play while some fall and walk in and out of frame.</t>
  </si>
  <si>
    <t>v_9LhMNDcFW_k</t>
  </si>
  <si>
    <t>An Asian woman is standing while holding a card that has gold BYN letters on the back of it.</t>
  </si>
  <si>
    <t>A clip begins to play and it shows various men in a large field playing croquet while spectators look on.</t>
  </si>
  <si>
    <t>A young man is then presented with a large silver cup that is handed to him by an older man.</t>
  </si>
  <si>
    <t>v_goH-zdx5urM</t>
  </si>
  <si>
    <t>A woman lies on her back doing abs.</t>
  </si>
  <si>
    <t>The woman raises her kneed to the chest and pull the head with her hands.</t>
  </si>
  <si>
    <t>Then, the woman stops and a dog approach to her.</t>
  </si>
  <si>
    <t>v_gyCXP8w8GRA</t>
  </si>
  <si>
    <t>A young team of boys are in a gym at a karate match.</t>
  </si>
  <si>
    <t>A woman walks her son out to the mat and begins fixing his mat and preparing him to face his opponent.</t>
  </si>
  <si>
    <t>The two individuals walk up to the mat and the referee gives them the signal to begin.</t>
  </si>
  <si>
    <t>As the boy is being approached,he kicks his opponent in the head.</t>
  </si>
  <si>
    <t>The boy that is kicked falls out on the ground and his mother rushes out to make sure he is okay as the other boy takes a knee.</t>
  </si>
  <si>
    <t>Once the boy is okay,the referee begins making several hand gestures and they conclude the match,the young boy goes to his mother and makes his way to who ever is holding the camera.</t>
  </si>
  <si>
    <t>v_BiIIco4EC2U</t>
  </si>
  <si>
    <t>A blindfolded man is seen sitting at a table with a timer coming on next to him attempting to solve a rubix cube.</t>
  </si>
  <si>
    <t>The man finishes the cube and timer stops while a person standing next to him records his time.</t>
  </si>
  <si>
    <t>Another man is seen walking around in the background while the camera pans around to more people solving cubes.</t>
  </si>
  <si>
    <t>v_9hYyE1gofFQ</t>
  </si>
  <si>
    <t>A girl is shown on the gymnastics floor preparing to do a baton routine.</t>
  </si>
  <si>
    <t>The routine begins as she starts to dance around the floor and twirl her batons.</t>
  </si>
  <si>
    <t>The routine ends an she runs off the stage as the crowd cheers.</t>
  </si>
  <si>
    <t>v_IucYlH_gAic</t>
  </si>
  <si>
    <t>A person is seen moving themselves along the water while also being shown in slow motion.</t>
  </si>
  <si>
    <t>The person pushes themselves under the water and continues moving underneath.</t>
  </si>
  <si>
    <t>The camera captures the man from several angles.</t>
  </si>
  <si>
    <t>v_b7_ok8iTlT8</t>
  </si>
  <si>
    <t>There are distant view shots of areas around Los Angeles, Hollywood, and surrounding areas.</t>
  </si>
  <si>
    <t>A man then talks behind a table full of ingredients and cooking utensils.</t>
  </si>
  <si>
    <t>The man then shows off some of his vegetables and ingredients and smells them.</t>
  </si>
  <si>
    <t>He starts cooking by squeezing a lemon into a bowl of soaked vegetables.</t>
  </si>
  <si>
    <t>Then, he puts onions, lemon juice, pepper, oil, which he smells, and some other vegetables on a plate.</t>
  </si>
  <si>
    <t>He then shreds cheese onto a place with a shredder.</t>
  </si>
  <si>
    <t>He puts the shredded cheese onto the original plate.</t>
  </si>
  <si>
    <t>After, he picks some herbs and places them on a plate.</t>
  </si>
  <si>
    <t>He then adds salt and more pepper to the original plate.</t>
  </si>
  <si>
    <t>He then talks about a bottle of oil and adds some to the original plate.</t>
  </si>
  <si>
    <t>He also adds a different type of oil to the plate.</t>
  </si>
  <si>
    <t>There are then different clips and angles of the finished food plate.</t>
  </si>
  <si>
    <t>v_bJ1vEQKX-hE</t>
  </si>
  <si>
    <t>A man completes a large set of push-ups and then introduces the concepts of dodgeball.</t>
  </si>
  <si>
    <t>A graphic is shown of the court.</t>
  </si>
  <si>
    <t>The two teams line up to play against one another.</t>
  </si>
  <si>
    <t>The concepts of ruling people out and blocking the ball are introduced.</t>
  </si>
  <si>
    <t>The teams congratulate each other, showing sportsmanship.</t>
  </si>
  <si>
    <t>More rules are shown on the screen, highlighting player safety.</t>
  </si>
  <si>
    <t>v_pxfc6AIPrig</t>
  </si>
  <si>
    <t>A person is seen in several different shots performing tricks along the water while others ride around him.</t>
  </si>
  <si>
    <t>The man continues to perform tricks along the water and ends with the video fading to black.</t>
  </si>
  <si>
    <t>v_twQbAuWVxlU</t>
  </si>
  <si>
    <t>A green figures walks down the street.</t>
  </si>
  <si>
    <t>An endless stream of other green figures appear.</t>
  </si>
  <si>
    <t>Each of the figures is walking a dog.</t>
  </si>
  <si>
    <t>The clip seems to be a loop.</t>
  </si>
  <si>
    <t>v_icGrJ2XBxa0</t>
  </si>
  <si>
    <t>People are sitting in kayaks on a river.</t>
  </si>
  <si>
    <t>They are rowing their oars.</t>
  </si>
  <si>
    <t>People are standing on the beach with medals around their necks.</t>
  </si>
  <si>
    <t>v_Nq6cd5Xue9Q</t>
  </si>
  <si>
    <t>We see a man running on a track.</t>
  </si>
  <si>
    <t>The man uses a long stick to perform a long jump.</t>
  </si>
  <si>
    <t>We then see the man attempt and fail the long jump repeatedly.</t>
  </si>
  <si>
    <t>We see the man's shirt get stuck on the pole.</t>
  </si>
  <si>
    <t>v_NfTfLk1D-tI</t>
  </si>
  <si>
    <t>A close up of drums are seen followed by a person walking into frame.</t>
  </si>
  <si>
    <t>The person sits down in front of the drums and begins playing them continuously.</t>
  </si>
  <si>
    <t>The man continues playing the drums faster and faster while the camera captures his movements.</t>
  </si>
  <si>
    <t>v_NjFxN3xQqeY</t>
  </si>
  <si>
    <t>A man is seen pushing a lawn mower along a yard and moving the machine all around the yard.</t>
  </si>
  <si>
    <t>Another man is seen grabbing a machine out of a truck as the other man continues to mow the lawn.</t>
  </si>
  <si>
    <t>v_8VYre-lXqIo</t>
  </si>
  <si>
    <t>A pregnant woman is slowly moving in a room.</t>
  </si>
  <si>
    <t>She moves side to side as she goes.</t>
  </si>
  <si>
    <t>She lifts her feet and arms, doing several martial arts moves.</t>
  </si>
  <si>
    <t>v_jQ2UoAENwlw</t>
  </si>
  <si>
    <t>A man is seen sitting on a chair look nervously at the camera while another man sits behind him.</t>
  </si>
  <si>
    <t>The man then begins tattooins the man's chest and the man looks up into the camera every now and then.</t>
  </si>
  <si>
    <t>v_W74AfHdwWhM</t>
  </si>
  <si>
    <t>There is a woman shown throwing knives into wood and taking them out.</t>
  </si>
  <si>
    <t>In the end the other people who are there all sit down and eat popsicles.</t>
  </si>
  <si>
    <t>v_uAKyRSEaY1s</t>
  </si>
  <si>
    <t>A man wearing a grey t-shirt stands at a desk with a computer monitor displaying a timer.</t>
  </si>
  <si>
    <t>The man holds a Rubik's Cube and starts the timer as he starts to solve the Rubik's Cube.</t>
  </si>
  <si>
    <t>As the man completes the Rubik's Cube he drops the puzzle and stops the timer at 26 seconds.</t>
  </si>
  <si>
    <t>v_gOe72cTd0IA</t>
  </si>
  <si>
    <t>We see a black opening title screen.</t>
  </si>
  <si>
    <t>We see a boat floating in the ocean and people sitting on the boat.</t>
  </si>
  <si>
    <t>Three people are underwater in diving gear looking at the sealife.</t>
  </si>
  <si>
    <t>We see a man and a woman swimming together and the lady waves at the camera.</t>
  </si>
  <si>
    <t>The lady makes an explosion sign with her hands and waves.</t>
  </si>
  <si>
    <t>The lady takes her mouth piece out and shrugs her shoulders.</t>
  </si>
  <si>
    <t>We see the people back on the boat and the man and the girl hug each other.</t>
  </si>
  <si>
    <t>We see a balloon high in the sky.</t>
  </si>
  <si>
    <t>v_H3pQJc8d8H8</t>
  </si>
  <si>
    <t>Three men in white are doing karate moves in a room.</t>
  </si>
  <si>
    <t>They do a few kicks in the air.</t>
  </si>
  <si>
    <t>Two of the men start fighting each other.</t>
  </si>
  <si>
    <t>v_leJM3mgm_gU</t>
  </si>
  <si>
    <t>A large, blue ball is tossed in the air.</t>
  </si>
  <si>
    <t>A child runs to catch a blue, large ball.</t>
  </si>
  <si>
    <t>The child falls on the lawn.</t>
  </si>
  <si>
    <t>v_UsexiHSzIQI</t>
  </si>
  <si>
    <t>A woman comes onto the screen to introduce a video about working out.</t>
  </si>
  <si>
    <t>The same woman is shown as she teaches a spin class with several participants.</t>
  </si>
  <si>
    <t>She takes a break from the bike and does tome abdominal exercises on the floor.</t>
  </si>
  <si>
    <t>The video ends with the closing credit shown at the end.</t>
  </si>
  <si>
    <t>v_0w2XFd-Q9Eg</t>
  </si>
  <si>
    <t>A person sits on front a laptop and a cube puzzle.</t>
  </si>
  <si>
    <t>Then, the person solves a cube puzzle.</t>
  </si>
  <si>
    <t>After, the person solves the cube puzzle puts it on the laptop.</t>
  </si>
  <si>
    <t>v_MHAS5TK2eW0</t>
  </si>
  <si>
    <t>A group of people are exercizing in an aerobics class.</t>
  </si>
  <si>
    <t>They are using a stepper, dancing and jumping on and off the equipment.</t>
  </si>
  <si>
    <t>v_AWryNQMbcd8</t>
  </si>
  <si>
    <t>Two small children are seen outside by a swingset.</t>
  </si>
  <si>
    <t>One swings back and fourth while the other stands on the side.</t>
  </si>
  <si>
    <t>One man kicks the other boy and he bends over.</t>
  </si>
  <si>
    <t>v_ZW46Rcuhqac</t>
  </si>
  <si>
    <t>Beer and other alcohol is shown on a counter in a kitchen.</t>
  </si>
  <si>
    <t>A man takes a pitcher of beer and begins talking to the camera.</t>
  </si>
  <si>
    <t>The man proceeds to drink the entire pitcher of beer.</t>
  </si>
  <si>
    <t>v_oNc2lJ9hV9E</t>
  </si>
  <si>
    <t>A lady speaks in a kitchen with a medal on the screen and we see shots of cake and cooking.</t>
  </si>
  <si>
    <t>We see the lady make a cake and give instructions.</t>
  </si>
  <si>
    <t>The lady takes and prepares her cake pans.</t>
  </si>
  <si>
    <t>The lady mixes her dry ingredients then mixes them in the mixer with red food coloring and pours them into cake pans cooks and cools them on racks.</t>
  </si>
  <si>
    <t>The lady makes frosting in the mixer and puts frosting in between the layers of cake and on top.</t>
  </si>
  <si>
    <t>The lady cuts the cake and we see the ending title screen.</t>
  </si>
  <si>
    <t>v_fghAmraOM9A</t>
  </si>
  <si>
    <t>A woman wearing a protective helmet speaks to the camera while standing outdoors next to a palm tree.</t>
  </si>
  <si>
    <t>The woman is standing on a sidewalk wearing rollerblades and protective gear.</t>
  </si>
  <si>
    <t>The woman speaks to the camera and demonstrates different techniques of skating down the sidewalk.</t>
  </si>
  <si>
    <t>v_g5rkuDdjRVI</t>
  </si>
  <si>
    <t>We see two boys on a train talking.</t>
  </si>
  <si>
    <t>It gets dark in a tunnel.</t>
  </si>
  <si>
    <t>Someone throws something at a boy.</t>
  </si>
  <si>
    <t>We see the boys riding skateboards down a residential street.</t>
  </si>
  <si>
    <t>A man rides downhill backwards.</t>
  </si>
  <si>
    <t>We see a boy fall off his skateboard.</t>
  </si>
  <si>
    <t>We see a number three on a wall.</t>
  </si>
  <si>
    <t>We see a person jump off their skateboard.</t>
  </si>
  <si>
    <t>v_7iTrw4kr8e0</t>
  </si>
  <si>
    <t>An intro leads into a woman looking into the mirror and putting makeup on.</t>
  </si>
  <si>
    <t>She puts glasses and looks down at the mirror.</t>
  </si>
  <si>
    <t>She turns herself away and ends with a logo shown.</t>
  </si>
  <si>
    <t>v_5SyvdU5LWPk</t>
  </si>
  <si>
    <t>A group of lacrosse players are shown on a field.</t>
  </si>
  <si>
    <t>They run around, trying to get the ball away from each other.</t>
  </si>
  <si>
    <t>They are shown playing in slow motion.</t>
  </si>
  <si>
    <t>v_9qJbSz-eCq0</t>
  </si>
  <si>
    <t>A man wearing a plastic head covering is shown eating ice cream.</t>
  </si>
  <si>
    <t>We see the inside of a plant, where cookies are crushed and put into containers of vanilla ice cream, then sorted.</t>
  </si>
  <si>
    <t>Ice cream fills the pints, and is mixed in a giant vault before other ingredients are added and the pints filled.</t>
  </si>
  <si>
    <t>We then see popsicles being created, before a man and woman are shown eating the treats.</t>
  </si>
  <si>
    <t>v_goLVOzKw4U8</t>
  </si>
  <si>
    <t>A man wearing gloves holds a pair of pliers and putting an object in between.</t>
  </si>
  <si>
    <t>He sparks the object to create a flame and puts his mask on to protect himself.</t>
  </si>
  <si>
    <t>He continues flaming the object and shows off what he has burned.</t>
  </si>
  <si>
    <t>v__pYDg0B6_tw</t>
  </si>
  <si>
    <t>A boy jumps on a diving board high.</t>
  </si>
  <si>
    <t>Then, the boy jumps and flips three time, but falls on his back making a big splash.</t>
  </si>
  <si>
    <t>v_MD6p1s-N9rM</t>
  </si>
  <si>
    <t>A young man irons a shirt on an ironing board in a hallway.</t>
  </si>
  <si>
    <t>The man adjusts the camera and returns to ironing.</t>
  </si>
  <si>
    <t>The man finishes ironing and turns the camera away.</t>
  </si>
  <si>
    <t>v_cWrOETjOOTc</t>
  </si>
  <si>
    <t>A man in a red shirt is kneeling down.</t>
  </si>
  <si>
    <t>Another man in a black shirt is standing up in front of him.</t>
  </si>
  <si>
    <t>They are fixing something on a bike.</t>
  </si>
  <si>
    <t>v_CpxGRgJgRPA</t>
  </si>
  <si>
    <t>A woman explains how to wrap a box with gift paper.</t>
  </si>
  <si>
    <t>Then, the woman cuts the paper and wraps around the box using tape.</t>
  </si>
  <si>
    <t>After, the woman folds the sides of the paper and cutting a piece to fit the box, then put tape to joint the ends while explaining.</t>
  </si>
  <si>
    <t>v_U-VzZQGWOqA</t>
  </si>
  <si>
    <t>A young girl is seen licking an ice cream cone while the camera watching her eat.</t>
  </si>
  <si>
    <t>She continues eating the ice cream cone and looking off into the distance.</t>
  </si>
  <si>
    <t>v_Ck0IhZZI5CA</t>
  </si>
  <si>
    <t>A man in jeans and tshirt rolls a paint roller in the tray.</t>
  </si>
  <si>
    <t>The man applies more paint to the fence with a roller and getting more paint until he lifts the roller and is pleased.</t>
  </si>
  <si>
    <t>The man gets more paint on his brush from the tray.</t>
  </si>
  <si>
    <t>The man finishes painting the section of fence and then sets down his roller.</t>
  </si>
  <si>
    <t>v_B2_qciB7U1Q</t>
  </si>
  <si>
    <t>Several people are longboarding and biking down a hill.</t>
  </si>
  <si>
    <t>A person has a white glove and is holding onto the person in front of them.</t>
  </si>
  <si>
    <t>Words go on the screen at the end.</t>
  </si>
  <si>
    <t>v_Ga-6wy0Nboo</t>
  </si>
  <si>
    <t>man is snowboarding going down a hill sliding in zigzags passing small flags.</t>
  </si>
  <si>
    <t>man is talking to the camera in a dark room.</t>
  </si>
  <si>
    <t>man is snowboarding on the snowy slope and a video is showing the right position of the body when going side to side.</t>
  </si>
  <si>
    <t>v_peaOnHl5YS8</t>
  </si>
  <si>
    <t>A man and daughter are seen sliding into frame wearing only socks and a long shirt.</t>
  </si>
  <si>
    <t>The two are seen holding mops and begin singing with one another.</t>
  </si>
  <si>
    <t>The two continue to dance around and sing with each other.</t>
  </si>
  <si>
    <t>v_kvqX0QOgYDc</t>
  </si>
  <si>
    <t>Scuba diver swim and glide underwater in the ocean near a rock face.</t>
  </si>
  <si>
    <t>The scuba divers make hand gestures and joke.</t>
  </si>
  <si>
    <t>The men swim up close into view.</t>
  </si>
  <si>
    <t>v_SnFWB9NLFjY</t>
  </si>
  <si>
    <t>A close up of skis are shown followed by a person pushing themselves along using sticks and skiing down the mountain.</t>
  </si>
  <si>
    <t>The person continuously riding down on the mountain using the skis and zooming past people and stopping at the bottom.</t>
  </si>
  <si>
    <t>v_5pzCqex6S48</t>
  </si>
  <si>
    <t>A man is seen standing ready and putting his arms up by his sides.</t>
  </si>
  <si>
    <t>The man then jumps onto a set of uneven bars and begins performing a gymnastics routine.</t>
  </si>
  <si>
    <t>The man spins himself all around and ends by jumping off the side with his arms up.</t>
  </si>
  <si>
    <t>v_LB2P_KH0W2I</t>
  </si>
  <si>
    <t>Two women are washing dishes in the kitchen.</t>
  </si>
  <si>
    <t>They go back and forth over the kitchen.</t>
  </si>
  <si>
    <t>The scene is in very fast motion.</t>
  </si>
  <si>
    <t>v_Zf3RcqHO82M</t>
  </si>
  <si>
    <t>A man and woman are sitting on a stage together.</t>
  </si>
  <si>
    <t>They are talking about the tango dance.</t>
  </si>
  <si>
    <t>They spin and twirl before an audience.</t>
  </si>
  <si>
    <t>v_XPwpA67qHjA</t>
  </si>
  <si>
    <t>A news story is given about walking a slackline.</t>
  </si>
  <si>
    <t>People of all levels walk, lie, and meditate on the rope.</t>
  </si>
  <si>
    <t>Some people walk over oncoming canoers.</t>
  </si>
  <si>
    <t>v_rdszlTqxBXs</t>
  </si>
  <si>
    <t>A woman put lipstick on her lips on front a mirror.</t>
  </si>
  <si>
    <t>Then She laugh with other teens next to her.</t>
  </si>
  <si>
    <t>v_QU5R75IyQow</t>
  </si>
  <si>
    <t>A man is talking to a camera in his bathroom.</t>
  </si>
  <si>
    <t>He is then shown brushing, spraying, and styling a woman's hair before braiding it.</t>
  </si>
  <si>
    <t>she poses for the camera when he is finished.</t>
  </si>
  <si>
    <t>v_Mkljhl3D9-Q</t>
  </si>
  <si>
    <t>The man instructs four women on cooking.</t>
  </si>
  <si>
    <t>The man adds oil, onions, garlic, and peppers to a pot.</t>
  </si>
  <si>
    <t>The man adds clams to the pot.</t>
  </si>
  <si>
    <t>The man adds broth to the pot.</t>
  </si>
  <si>
    <t>The man boils pasta in a separate pot.</t>
  </si>
  <si>
    <t>The women gather around a pot to see the pasta.</t>
  </si>
  <si>
    <t>The man finishes the sauce and pours it in a pot.</t>
  </si>
  <si>
    <t>The man adds the pasta.</t>
  </si>
  <si>
    <t>The man adds the pasta to the plate.</t>
  </si>
  <si>
    <t>The women try the pasta dish.</t>
  </si>
  <si>
    <t>Everyone laughs and seems happy.</t>
  </si>
  <si>
    <t>The man starts calling out tickets.</t>
  </si>
  <si>
    <t>The women cook the dish that the man had just taught them to make.</t>
  </si>
  <si>
    <t>The man helps them and gives them pointers.</t>
  </si>
  <si>
    <t>The women look anxious as they try to cook.</t>
  </si>
  <si>
    <t>The waiters start serving the plates.</t>
  </si>
  <si>
    <t>v_aYC7F72n924</t>
  </si>
  <si>
    <t>A construction worker is standing in a building, holding a mop and bucket.</t>
  </si>
  <si>
    <t>He shows off the bucket and solution, then mops the floor in a demonstration.</t>
  </si>
  <si>
    <t>He gets the floor completely clean and shiny before standing to one side.</t>
  </si>
  <si>
    <t>v_wM7FmqEj4PY</t>
  </si>
  <si>
    <t>woman is standing in a living room holding an iron.</t>
  </si>
  <si>
    <t>woman wearing a pink shirt is ironing a blue shirt.</t>
  </si>
  <si>
    <t>quiet living room is with old furnitures.</t>
  </si>
  <si>
    <t>v_f0cxC1B5cbw</t>
  </si>
  <si>
    <t>A woman is raking leaves into a large pile.</t>
  </si>
  <si>
    <t>A man is running a lawn mower over leaves.</t>
  </si>
  <si>
    <t>He puts some of the leaves into a garden bed.</t>
  </si>
  <si>
    <t>v_TSIz-6s4OeY</t>
  </si>
  <si>
    <t>A woman is seen speaking to the camera and leads into her ironing a pair of pants.</t>
  </si>
  <si>
    <t>The woman continues ironing the pants while moving the iron up and down.</t>
  </si>
  <si>
    <t>v_daDd48y4x0g</t>
  </si>
  <si>
    <t>We see lots of plate of fancy food.</t>
  </si>
  <si>
    <t>We then zoom in on the plates.</t>
  </si>
  <si>
    <t>We see a shadow on the plates.</t>
  </si>
  <si>
    <t>A man on the right picks up a few plates.</t>
  </si>
  <si>
    <t>v_t6trrsdhMEc</t>
  </si>
  <si>
    <t>A woman wearing workout gear is standing upright and hanging onto a very long punching bag.</t>
  </si>
  <si>
    <t>Suddenly the woman jumps up and straddles the bag.</t>
  </si>
  <si>
    <t>Slowly, the woman drops her upper half of her body while still straddling the bag, and does 5 sit ups while the bag swings with her.</t>
  </si>
  <si>
    <t>The woman holds onto the bag, smiles, then jumps off.</t>
  </si>
  <si>
    <t>v_4UIAc9irBLs</t>
  </si>
  <si>
    <t>A woman and a young girl swim in a pool.</t>
  </si>
  <si>
    <t>The young girl holds on to the woman as she swims.</t>
  </si>
  <si>
    <t>The young girl lets go and swims near the woman.</t>
  </si>
  <si>
    <t>The young girl and the woman hold hands and swim to the surface of the pool.</t>
  </si>
  <si>
    <t>The woman holds on to the girl.</t>
  </si>
  <si>
    <t>v_dRiIYsAmNAc</t>
  </si>
  <si>
    <t>A large group of people are seen running around a sandy pit kicking a soccer ball around.</t>
  </si>
  <si>
    <t>The people continue playing soccer with one another and wait for a call in the end.</t>
  </si>
  <si>
    <t>v_ZIHD-3iWCrE</t>
  </si>
  <si>
    <t>A woman is holding a kitten in her lap.</t>
  </si>
  <si>
    <t>A guy is clipping the nails on the cat.</t>
  </si>
  <si>
    <t>v_-QuFk_ThRNg</t>
  </si>
  <si>
    <t>Two bodybuilder women are seated at a table.</t>
  </si>
  <si>
    <t>They are arm wrestling, vieing to win.</t>
  </si>
  <si>
    <t>When there is a victor, the two women shake hands.</t>
  </si>
  <si>
    <t>v_S3OJBVHL9y8</t>
  </si>
  <si>
    <t>The green and white team gets off the floor.</t>
  </si>
  <si>
    <t>The green and white team are pulling the rope in a tug of war contest.</t>
  </si>
  <si>
    <t>The red and black team are pulling the rope in a tug of war contest.</t>
  </si>
  <si>
    <t>The green and white team are repeatedly taking steps and the audience is cheering.</t>
  </si>
  <si>
    <t>The green and white team are standing holding the rope.</t>
  </si>
  <si>
    <t>v_7hEUl8lziZs</t>
  </si>
  <si>
    <t>A man in a yellow shirt is on his knees layering cement on the floor.</t>
  </si>
  <si>
    <t>He stops for a second and looks up.</t>
  </si>
  <si>
    <t>The man goes back to layering the floor with cement.</t>
  </si>
  <si>
    <t>v_259K1wC2IMk</t>
  </si>
  <si>
    <t>A young boy is seen pulling a mop out of a bucket followed by him pushing the mop across the floor.</t>
  </si>
  <si>
    <t>The camera pans to a woman in the distance and the boy continuing to push the mop along the floor.</t>
  </si>
  <si>
    <t>v_CTxuJBTp_CQ</t>
  </si>
  <si>
    <t>A person spreads out the branches on a Christmas tree.</t>
  </si>
  <si>
    <t>The person drapes shiny tinsel strands around the tree.</t>
  </si>
  <si>
    <t>The person hangs Christmas bulbs on the tree.</t>
  </si>
  <si>
    <t>A child comes and watches the person decorating the tree then runs around playing.</t>
  </si>
  <si>
    <t>The person rolls up a sheer piece of fabric to put away.</t>
  </si>
  <si>
    <t>v_9qFwSM8QLIE</t>
  </si>
  <si>
    <t>Various crowd scenes at a bullfight arena are shown.</t>
  </si>
  <si>
    <t>Matadors walk out into the ring area.</t>
  </si>
  <si>
    <t>A parade of horses and riders is shown.</t>
  </si>
  <si>
    <t>Scenes of matadors interacting with bulls are shown.</t>
  </si>
  <si>
    <t>The crowd cheers for a matador.</t>
  </si>
  <si>
    <t>Matadors are hoisted on people's shoulders and paraded.</t>
  </si>
  <si>
    <t>v_l_Y_Xns6SpE</t>
  </si>
  <si>
    <t>The woman is leaning on the pool table focusing on the ball.</t>
  </si>
  <si>
    <t>The woman hit the ball and cheered .</t>
  </si>
  <si>
    <t>The woman hit the ball again and started jumping.</t>
  </si>
  <si>
    <t>v_Lyi8-hf1rCw</t>
  </si>
  <si>
    <t>A man in a a leotard is blowing in his hands getting himself warmed up to start running.</t>
  </si>
  <si>
    <t>Once he starts he goes super fast jumping up and into the sand.</t>
  </si>
  <si>
    <t>They show a replay of his run and land in slow motion.</t>
  </si>
  <si>
    <t>When he is done he walks around the arena while being followed by a camera.</t>
  </si>
  <si>
    <t>v_NOXPH0_y4Ww</t>
  </si>
  <si>
    <t>a little girl is standing in a kitchen and starts squeeze a lemon into a water bowl, a person is standing by her side.</t>
  </si>
  <si>
    <t>lttle girl suck her finger and smile while a woman walks throug kitchen and puts something in the counter.</t>
  </si>
  <si>
    <t>little girl is standing in the kitchen with her mouth open and play with her hair.</t>
  </si>
  <si>
    <t>the girl starts walking an sit in fronts of a counter with a bowl of fruits and talk to the camera, walks again in the kitchen and keep aqueezing lemons in the water bowl, woman starts helping her.</t>
  </si>
  <si>
    <t>woman clean her hands in the sink and the girl walks in the kitchen and keep squeezing the lemons.</t>
  </si>
  <si>
    <t>v_XI6sjZg9Yeg</t>
  </si>
  <si>
    <t>A man is seen laying floor down on the ground using a machine and others helping.</t>
  </si>
  <si>
    <t>Several shots are shown of the men pushing down the floor and using a torch underneath to keep it in place.</t>
  </si>
  <si>
    <t>The man continue working while showing the steam on the hot mats and the finished roof with done.</t>
  </si>
  <si>
    <t>v_liNIRD7YwFQ</t>
  </si>
  <si>
    <t>A large wave is crashing toward the shore.</t>
  </si>
  <si>
    <t>A surfer is shown tearing through the water.</t>
  </si>
  <si>
    <t>A rainbow appears, then we see boats on the beach and more surfers in the waves.</t>
  </si>
  <si>
    <t>v_p800u2wCKbE</t>
  </si>
  <si>
    <t>A news reporter is talking about a local fund raiser held by a nursery school.</t>
  </si>
  <si>
    <t>There are several people gathered to support the cause.</t>
  </si>
  <si>
    <t>There is a lemonade stand set up where people are purchasing lemonade to donate money for a cause.</t>
  </si>
  <si>
    <t>One of the parents is talking to the news reporter about the fund raiser.</t>
  </si>
  <si>
    <t>Three more parents are standing are chatting as they sip lemonade.</t>
  </si>
  <si>
    <t>A picture the girl, Hannah is shown for whom the fund raiser was held.</t>
  </si>
  <si>
    <t>v_bR62246z9qA</t>
  </si>
  <si>
    <t>Cheerleaders with their hands in do a cheer.</t>
  </si>
  <si>
    <t>They go on the floor and stand still.</t>
  </si>
  <si>
    <t>They perform a cheer leading routine.</t>
  </si>
  <si>
    <t>Four girls are lifted and hold their legs.</t>
  </si>
  <si>
    <t>Two girls are lifted in the air and two girls are flipped then two girls lift the two girls.</t>
  </si>
  <si>
    <t>Four girls are lifted and hold two other girls up and a third is added.</t>
  </si>
  <si>
    <t>Two girls in the front held up a red sign.</t>
  </si>
  <si>
    <t>Three girls are lifted and they each hold another girl on their shoulders.</t>
  </si>
  <si>
    <t>v_nO2tXrQDD8I</t>
  </si>
  <si>
    <t>Several individuals play against each other in a table football match.</t>
  </si>
  <si>
    <t>Two individuals walk by in the background.</t>
  </si>
  <si>
    <t>Another two individuals walk by in the background.</t>
  </si>
  <si>
    <t>v_rcrhyi2EzZc</t>
  </si>
  <si>
    <t>Two young kids are his mother are standing in a kitchen washing dishes.</t>
  </si>
  <si>
    <t>The little girl takes a blue sponge cleans her dish and then gets down and begins walking around.</t>
  </si>
  <si>
    <t>Both the mother and son are still at the sink and she stands besides him and helps him clean his dish as well.</t>
  </si>
  <si>
    <t>v_Y9wrTRY3mUI</t>
  </si>
  <si>
    <t>A group of people, children and families live, travel, and ice fish on a vast ice and snow covered piece of land.</t>
  </si>
  <si>
    <t>A group of men and a woman talk to a camera while showcasing fish caught and live fishing in ice holes on a snow and ice covered terrain.</t>
  </si>
  <si>
    <t>Several people fish in ice holes with children nearby while other drive across the ice terrain.</t>
  </si>
  <si>
    <t>Fish are shown , local animals native to the area, toilets, cars on the ice, children, people holding fish just caught and ice holes where the fish are coming from along with dogs pulling snow sleds.</t>
  </si>
  <si>
    <t>v_mhPpeG3LrUk</t>
  </si>
  <si>
    <t>A girl is seen sitting outdoors and holding up a bottle of sunscreen while speaking to the camera.</t>
  </si>
  <si>
    <t>The girl then shakes up the bottle, pours it into her hands, and rubs it all over her body.</t>
  </si>
  <si>
    <t>v_x4qwV0Ti1Og</t>
  </si>
  <si>
    <t>A large track is shown with several people riding down on tubes at once.</t>
  </si>
  <si>
    <t>A man records a close up of a tube and pushing it into a woman standing in the snow.</t>
  </si>
  <si>
    <t>She begins talking on her phone and the same clip is shown again in slow motion.</t>
  </si>
  <si>
    <t>v_8bX1g0mefzM</t>
  </si>
  <si>
    <t>A woman talks showing a shoe, then she cleans it with a cloth.</t>
  </si>
  <si>
    <t>The woman puts oil in a cloth and polish the shoe.</t>
  </si>
  <si>
    <t>Then, the woman takes shoe polish and apply to the shoe.</t>
  </si>
  <si>
    <t>v_o-S8I8lhQpo</t>
  </si>
  <si>
    <t>A woman is parasailing in the ocean.</t>
  </si>
  <si>
    <t>She goes through tough waves.</t>
  </si>
  <si>
    <t>She goes over a large wave, which knocks her over.</t>
  </si>
  <si>
    <t>v_7ToBC5eGg38</t>
  </si>
  <si>
    <t>A young woman is seen standing on a court wearing a hat and holding a tennis racket.</t>
  </si>
  <si>
    <t>The girl then throws the ball up into the air and hits it off into the distance.</t>
  </si>
  <si>
    <t>She looks back and smiles to the camera.</t>
  </si>
  <si>
    <t>v_U20a95sHi8E</t>
  </si>
  <si>
    <t>A close up of a car is seen followed by people walking into frame and washing the car.</t>
  </si>
  <si>
    <t>The people clean the exterior as well as interior and roll the car outside.</t>
  </si>
  <si>
    <t>They park the car and continue to wipe it down followed by drying it off in the end.</t>
  </si>
  <si>
    <t>v_r4kC4AHDIH8</t>
  </si>
  <si>
    <t>People on a river bank get on inflated boats and raft in a river with choppy waters.</t>
  </si>
  <si>
    <t>Two men are on a red canoe.</t>
  </si>
  <si>
    <t>A group of rafters go down the river while, also people in canoes raft.</t>
  </si>
  <si>
    <t>The rafters arrive to calm waters, then a team celebrates a victory.</t>
  </si>
  <si>
    <t>v_0acEl97ZBME</t>
  </si>
  <si>
    <t>A camera pans up to a man sitting and smoking a cigarette.</t>
  </si>
  <si>
    <t>Another man walks over with a cart and begins digging through trash.</t>
  </si>
  <si>
    <t>The man smoking cigarettes begins talking to the homeless man about how life sucks and how he can relate to the homeless man.</t>
  </si>
  <si>
    <t>v_jcaOoRM6J80</t>
  </si>
  <si>
    <t>We see outdoor images then a man in a kitchen.</t>
  </si>
  <si>
    <t>We see ingredients on a table.</t>
  </si>
  <si>
    <t>The man mixes the ingredients in a mixer bowl.</t>
  </si>
  <si>
    <t>The man stirs the mix then turns the mixer back on.</t>
  </si>
  <si>
    <t>The man mixes the mix and pours it into cake pans.</t>
  </si>
  <si>
    <t>The man taps the pans then puts the cake in the oven.</t>
  </si>
  <si>
    <t>We see cookware, cupcakes, and the man cooking.</t>
  </si>
  <si>
    <t>Then see the bright end screen.</t>
  </si>
  <si>
    <t>v_9uieGqu2TYA</t>
  </si>
  <si>
    <t>A black intro screen appears and it contains white words that say "Named Gymnastic Elements Parallel bars", then "MUSIC: Nightwish Where were you last night", and the last screen includes foreign words an email and a website.</t>
  </si>
  <si>
    <t>Various short clips of different men on different parallel bars in gymnasiums are doing handstands, swinging on them and doing various other tricks as spectators look on.</t>
  </si>
  <si>
    <t>The last man on the parallel bars seems to be practicing in a gym with no large group of spectators looking on.</t>
  </si>
  <si>
    <t>v_CLbEvGHmK8k</t>
  </si>
  <si>
    <t>A group of people perform simple step aerobics out on a sunny day.</t>
  </si>
  <si>
    <t>The aerobics instructor has the class switch to a new aerobics move in which the group dances their arms out in front of them and incorporate clapping as they take steps.</t>
  </si>
  <si>
    <t>Their next move is placing their hands up towards the sky as they take a step.</t>
  </si>
  <si>
    <t>v_JMrfe-UVA0Y</t>
  </si>
  <si>
    <t>man is standing in front of a screen talking to the camera.</t>
  </si>
  <si>
    <t>a woman is playing with a cat and its in table with a nail clipper cutting the cat's nails.</t>
  </si>
  <si>
    <t>v_5gaobaT6K1A</t>
  </si>
  <si>
    <t>A woman is seen riding off a bull when the bull knocks her off and others run in to help.</t>
  </si>
  <si>
    <t>Several more people are shown attempting to taunt the bull and end by getting hurt and others helping.</t>
  </si>
  <si>
    <t>v_P6ijX0vabJs</t>
  </si>
  <si>
    <t>A close up of an instrument is shown followed by a woman sitting into frame and speaking to the camera.</t>
  </si>
  <si>
    <t>She then picks up the flute and begins playing it and pausing to speak in between.</t>
  </si>
  <si>
    <t>She plays the instrument again and pauses to put it down and speak to the camera.</t>
  </si>
  <si>
    <t>v__m8WprCWHF4</t>
  </si>
  <si>
    <t>A black screen appears and quickly white words fly across it and they say "Here it comes Set for full Screen".</t>
  </si>
  <si>
    <t>A picture of a snowcapped mountain appears and white words on the screen say "HARTEL PRODUCTIONS".</t>
  </si>
  <si>
    <t>A wooden board appears at an outdoor area an it say's "CLAM BEACH COUNTY PARK WELCOME NORTH DAY USE PARKING", then in yellow some text appears that say "THE DOG WALK".</t>
  </si>
  <si>
    <t>Various still shots of people walking with dogs or walking alone along a road appear along with various shots of the area and titles of what they are.</t>
  </si>
  <si>
    <t>At the end there are still shots of dogs getting loaded into a car, the dogs in the car, a man loading the car with his walker, a closing sign and then yellow words appear that say "THE END" and it fades to black.</t>
  </si>
  <si>
    <t>v_v8u8BiprYKs</t>
  </si>
  <si>
    <t>A lady kneels in front of bushes and talks.</t>
  </si>
  <si>
    <t>The lady uses gardening shears to trim the bush.</t>
  </si>
  <si>
    <t>The lady stands and trims the bushes.</t>
  </si>
  <si>
    <t>The lady kneels down again and continues to talk to the camera.</t>
  </si>
  <si>
    <t>v_4o4Vh49v-q4</t>
  </si>
  <si>
    <t>A little girl is standing in her bathroom and demonstrating how she rinses her mouth with mouth wash.</t>
  </si>
  <si>
    <t>She takes a sip of Listerine mouth was from her cup and holds it in her mouth for several seconds while her older brother video tapes her.</t>
  </si>
  <si>
    <t>Another little girl walks behind her and watches her rinse.</t>
  </si>
  <si>
    <t>She holds the mouth wash in her mouth for a long time and then spits it out in the sink.</t>
  </si>
  <si>
    <t>v_Gms3Yt6RrV4</t>
  </si>
  <si>
    <t>A man is seen talking with a camera very close to his face.</t>
  </si>
  <si>
    <t>Another man with a helmet on is standing near by.</t>
  </si>
  <si>
    <t>A third man is seen in a car next to the man talking.</t>
  </si>
  <si>
    <t>The man wearing the helmet starts down the street on a skateboard.</t>
  </si>
  <si>
    <t>The man goes down a few very steep hills on his skateboard.</t>
  </si>
  <si>
    <t>The man rides past a stop sign.</t>
  </si>
  <si>
    <t>The man with the camera and the man in the car follow filming the man on the skateboard.</t>
  </si>
  <si>
    <t>After the stop sign, the car passes the man on the skateboard.</t>
  </si>
  <si>
    <t>The car stops and the man on the skateboard stops just past them and picks up his skateboard.</t>
  </si>
  <si>
    <t>v_qlq13iS0nEA</t>
  </si>
  <si>
    <t>A man with a guitar and a microphone performs a piece of music.</t>
  </si>
  <si>
    <t>A black screen with a graphic of a white guitar and a website appear.</t>
  </si>
  <si>
    <t>The man stops playing then the black screen with white guitar and website appear again.</t>
  </si>
  <si>
    <t>v_E4yf1mz4ij0</t>
  </si>
  <si>
    <t>An athlete is seen walking into a circle and preparing himself to throw a shot put.</t>
  </si>
  <si>
    <t>The man throws the object several times after spinning around and several people watching on the sidelines.</t>
  </si>
  <si>
    <t>v_XwW5p80hYCg</t>
  </si>
  <si>
    <t>A logo and the words Master Lube TV show up on a black screen.</t>
  </si>
  <si>
    <t>A young man is standing and talking in a business while other young men are cleaning and detailing the inside and outside of a silver vehicle.</t>
  </si>
  <si>
    <t>The now cleaned vehicle pulls out of the garage and drives away from the business.</t>
  </si>
  <si>
    <t>The vehicle is now parked and two young men are wiping it down with a a dry cloth.</t>
  </si>
  <si>
    <t>More clips of the young man talking solo and all the cleaning they did previously replays.</t>
  </si>
  <si>
    <t>A red, white and blue flag with the words "HAND CAR WASH" blows in the wind.</t>
  </si>
  <si>
    <t>More clips of the young man talking solo and replays of the cleaning loops as words below the man show up and read "MasterLube Hand Car Wash 750 Broadwater Ave (406) 294-5530.</t>
  </si>
  <si>
    <t>Flags are show again and it fades to a black screen with a logo and the words MasterLube.</t>
  </si>
  <si>
    <t>v_Q5kU3DUXXZg</t>
  </si>
  <si>
    <t>Numerous different pictures of fitness people flash on the screen and the logo LA MUSCLE flashes quickly.</t>
  </si>
  <si>
    <t>A group of people appear and they are on bicycles pedaling and are doing a cardio workshop while the man in front wearing a headband is talking the whole time.</t>
  </si>
  <si>
    <t>The outro screen appears and it's a white screen that shoes the LA MUSCLE logo like it did in the beginning and the words "For More Visit LAMUSCLE dot TV".</t>
  </si>
  <si>
    <t>v_1kMPW5huHWQ</t>
  </si>
  <si>
    <t>A man is completing a rubiks cube.</t>
  </si>
  <si>
    <t>A timer is sitting on the table next to him.</t>
  </si>
  <si>
    <t>He sets the completed rubiks cube down on the table.</t>
  </si>
  <si>
    <t>v_cvEOK7xAPSs</t>
  </si>
  <si>
    <t>People running up the beach very quickly.</t>
  </si>
  <si>
    <t>Then they start to make strange faces towards the camera.</t>
  </si>
  <si>
    <t>They start bouncing and doing tricks on some kind of bouncy rope.</t>
  </si>
  <si>
    <t>Some of the the tricks look like they are very extreme.</t>
  </si>
  <si>
    <t>v_RHfjDkr6mcc</t>
  </si>
  <si>
    <t>A woman is seen standing behind an ironing board ironing a shirt while speaking to the camera every now and then.</t>
  </si>
  <si>
    <t>The moves the shirt all around the table ironing it and holding it up in the end to present.</t>
  </si>
  <si>
    <t>v_-fMxoShIXiM</t>
  </si>
  <si>
    <t>A woman with long, black, curly hair is wearing casual wear, talking, and squatting on a roof.</t>
  </si>
  <si>
    <t>The woman then stands up and walks to a part of the roof where she lifts up a black shingle on the roof.</t>
  </si>
  <si>
    <t>The woman is now on standing on the ground in front of the house smiling and talking.</t>
  </si>
  <si>
    <t>A large truck pulls up to the house and a man begins to unload shingles onto the roof.</t>
  </si>
  <si>
    <t>The woman is back on the roof with a shovel and is shoveling off all of the old shingles then she dumps them in a large dumpster.</t>
  </si>
  <si>
    <t>Men are now laying out long pieces of black material and nailing them into the roof, as well as nailing the shingles down.</t>
  </si>
  <si>
    <t>The roof is done and a view of the entire house is shown to show off the finished roof.</t>
  </si>
  <si>
    <t>The woman is standing in front of the home, smiling while talking.</t>
  </si>
  <si>
    <t>v_wNvLv7PtvQg</t>
  </si>
  <si>
    <t>A camera zooms in out two people riding in a canoe together.</t>
  </si>
  <si>
    <t>The camera moves in closer and captures the people paddling further down the river.</t>
  </si>
  <si>
    <t>v_jFqY3M37F-g</t>
  </si>
  <si>
    <t>We see a man siting and holding a drum.</t>
  </si>
  <si>
    <t>We then see the man playing on the drum.</t>
  </si>
  <si>
    <t>The man hits a drum off camera left.</t>
  </si>
  <si>
    <t>The man shuffles his hands on the drum.</t>
  </si>
  <si>
    <t>The man stops paying the drums.</t>
  </si>
  <si>
    <t>v_E29kZvEtOUA</t>
  </si>
  <si>
    <t>A child helps push a lawn mower with an adult to cut the grass.</t>
  </si>
  <si>
    <t>A man mows the lawn of a large yard along with a child watching nearby.</t>
  </si>
  <si>
    <t>The man empties out the collection hopper bag on the lawn mower and empties it into a trash bin and wheels it away.</t>
  </si>
  <si>
    <t>The child plays with the lawn mower while turned off.</t>
  </si>
  <si>
    <t>v_nt4Ag91306U</t>
  </si>
  <si>
    <t>A person is throwing a tennis ball up in the air and hits the ball.</t>
  </si>
  <si>
    <t>Two men begin talking about this tennis move and how you should properly hold your racket.</t>
  </si>
  <si>
    <t>The man demonstrates how to throw the ball up and how to swing.</t>
  </si>
  <si>
    <t>The man continues to discuss when to hit the ball for this move and how to execute it properly.</t>
  </si>
  <si>
    <t>v_DIF8qouivIU</t>
  </si>
  <si>
    <t>A man wearing a white fencing outfit walks over to a woman in leather with her hands tied together.</t>
  </si>
  <si>
    <t>He holds her waist and speaks to her while watching the men fence behind them.</t>
  </si>
  <si>
    <t>They speak to another couple defiantly and the men prepare to fight.</t>
  </si>
  <si>
    <t>The men fence back and fourth when the older gentleman pinches his eyes and fight again.</t>
  </si>
  <si>
    <t>The men become agitated and one leaves with shirt off.</t>
  </si>
  <si>
    <t>v_W7JxYa-PiB8</t>
  </si>
  <si>
    <t>A man wearing a hat is seen holding a tennis racket and bouncing a ball up and down.</t>
  </si>
  <si>
    <t>The man then serves the ball and leads into a tennis match between four people.</t>
  </si>
  <si>
    <t>The announcer laughs as the other team mates speak to each other and showing his hit again in slow motion.</t>
  </si>
  <si>
    <t>v_gnKpguqHfag</t>
  </si>
  <si>
    <t>A green and yellow team Hockey team is pictured and there location is shown on a map.</t>
  </si>
  <si>
    <t>The video then reverts back to the game and shows the venue that the teams are playing in.</t>
  </si>
  <si>
    <t>After,several players are shown skating around the rink and then a bald Caucasian male is shown dressed in a black polo begins talking to the camera.</t>
  </si>
  <si>
    <t>Once finished,the bench is panned and the game begins with the referee standing in between the two teams and they begin playing.</t>
  </si>
  <si>
    <t>As they continue,the bald man is shows and continues talking and they continue to flash between him,the players, and the games.</t>
  </si>
  <si>
    <t>v_BERvPz1e_AU</t>
  </si>
  <si>
    <t>Various athletes are seen standing together in the middle of a large stadium and leads into a woman throwing a shot put and then walking away.</t>
  </si>
  <si>
    <t>Several more people are seen walking up and throwing the object with a woman running with the american flag and standing on a podium with others.</t>
  </si>
  <si>
    <t>v_B1u-Er4jXFA</t>
  </si>
  <si>
    <t>The camera zooms in on a chef spinning around a spatula in a pan and putting more ingredients into the pan.</t>
  </si>
  <si>
    <t>He stirs around the mixture and presses it to the side while setting down the spatula.</t>
  </si>
  <si>
    <t>v_vT6bb2y34UE</t>
  </si>
  <si>
    <t>Two wires are seen laid across and table with a person putting a box on top.</t>
  </si>
  <si>
    <t>The person wraps the box with wires and tying a bow on top.</t>
  </si>
  <si>
    <t>The person ties a candy cane with the box and shows it off to the camera.</t>
  </si>
  <si>
    <t>v_LW5lcM_rKBY</t>
  </si>
  <si>
    <t>A man is seen holding a power drill with a potato on the end and people peeling around him.</t>
  </si>
  <si>
    <t>The man turns on the drill and peels the potato with another person pointing on the side.</t>
  </si>
  <si>
    <t>v_7S7THbo8uds</t>
  </si>
  <si>
    <t>Two men are seen holding each other's arms and leads into the men performing an arm wrestling match.</t>
  </si>
  <si>
    <t>One man smokes a cigarette while they continue to play and that man winds while holding his arms up.</t>
  </si>
  <si>
    <t>v_GU_8hjy79VQ</t>
  </si>
  <si>
    <t>A man is seen with a large pole.</t>
  </si>
  <si>
    <t>A large crowd is in the stands in the background.</t>
  </si>
  <si>
    <t>The man with the pole runs and throws it and then hits the ground.</t>
  </si>
  <si>
    <t>The pole flies through the air and lands just past the number 85 on a field.</t>
  </si>
  <si>
    <t>Several man run out to the pole.</t>
  </si>
  <si>
    <t>Men are seen in the stands clapping.</t>
  </si>
  <si>
    <t>The man that threw the pole is seen putting a jacket on.</t>
  </si>
  <si>
    <t>Many people walk around and sit on the field.</t>
  </si>
  <si>
    <t>The man is seen throwing the pole again.</t>
  </si>
  <si>
    <t>v_lx5Yfoj7Gk8</t>
  </si>
  <si>
    <t>A close up of a machine is shown printing paper and leads into people working around the picture.</t>
  </si>
  <si>
    <t>The people continue working with the machine putting paper through and measuring it and laying it out on a table.</t>
  </si>
  <si>
    <t>The people are then seen hanging the paper up on a wall and presenting it in the end.</t>
  </si>
  <si>
    <t>v_QhDPo3amF6o</t>
  </si>
  <si>
    <t>The bumper car ride is packed with people, already many are crashing.</t>
  </si>
  <si>
    <t>A man flashes the peace sign at the camera, having a good time.</t>
  </si>
  <si>
    <t>Car 9 has finally gotten going but he is crashing left and right.</t>
  </si>
  <si>
    <t>A man reverses into another car behind him.</t>
  </si>
  <si>
    <t>A large pile-up occurs in the middle of the track.</t>
  </si>
  <si>
    <t>v_8ZjUZbykp4U</t>
  </si>
  <si>
    <t>A man is seen sitting behind a drum set playing on the drums.</t>
  </si>
  <si>
    <t>The camera pans all around his movements while he speaks to the camera.</t>
  </si>
  <si>
    <t>More shots are shown of him playing as well as singing and other people playing instruments around him.</t>
  </si>
  <si>
    <t>v_BxEnhkx2srY</t>
  </si>
  <si>
    <t>A boy prepares to do a high jump in a gym.</t>
  </si>
  <si>
    <t>He takes off running with the high jump stick.</t>
  </si>
  <si>
    <t>he makes the jump and lands on the safety pads.</t>
  </si>
  <si>
    <t>v_kkEjwEXkz3w</t>
  </si>
  <si>
    <t>A person's hands with nails are shown followed by two women talking to the camera.</t>
  </si>
  <si>
    <t>Several objects on paper are shown while the women continue to speak and one start making designs on the nails.</t>
  </si>
  <si>
    <t>v_MleVjHU-wI8</t>
  </si>
  <si>
    <t>We then see a man holding something wrapped in a plastic bag.</t>
  </si>
  <si>
    <t>A woman joins the man.</t>
  </si>
  <si>
    <t>The man opens the plastic bag.</t>
  </si>
  <si>
    <t>The lady gift wraps the box for the man.</t>
  </si>
  <si>
    <t>The man takes a shot at the gift wrapping.</t>
  </si>
  <si>
    <t>The lady finishes wrapping the gift.</t>
  </si>
  <si>
    <t>The man folds an edge, and the lady tapes it.</t>
  </si>
  <si>
    <t>The man presents the box to the camera and talks.</t>
  </si>
  <si>
    <t>the closing screen is then seen and it goes black.</t>
  </si>
  <si>
    <t>v_2FKWKDEg5KE</t>
  </si>
  <si>
    <t>We see a man working on a piece of equipment.</t>
  </si>
  <si>
    <t>The man heats the caulk and scrapes it off.</t>
  </si>
  <si>
    <t>The screen flashes and the man puts on new caulk.</t>
  </si>
  <si>
    <t>The man stops and points at the caulk The end scene is seen.</t>
  </si>
  <si>
    <t>v_3SL_Au0H0cw</t>
  </si>
  <si>
    <t>man is wearing a black kimono and isdoing yoga movements.</t>
  </si>
  <si>
    <t>man is standing in a large green grassy field.</t>
  </si>
  <si>
    <t>man is slowly walking practicing boxing movements.</t>
  </si>
  <si>
    <t>v_xpA16yFuDqw</t>
  </si>
  <si>
    <t>A woman and man are shown swimming backward in the water of a pool.</t>
  </si>
  <si>
    <t>They demonstrate different techniques as the swim.</t>
  </si>
  <si>
    <t>The names of the various methods appear on the screen between examples.</t>
  </si>
  <si>
    <t>v_UCndppz9rWc</t>
  </si>
  <si>
    <t>manis wearing a white shirt and is walking in a green grass carrying a lawnmower.</t>
  </si>
  <si>
    <t>kid is standing in the field watching the man with the lawnmower.</t>
  </si>
  <si>
    <t>man stands and extends the hand to hold the kid.</t>
  </si>
  <si>
    <t>v_7iPb7mLURVc</t>
  </si>
  <si>
    <t>A woman is seen speaking to the camera while holing a baton in her hands.</t>
  </si>
  <si>
    <t>She continues speaking to the camera while spinning around the baton.</t>
  </si>
  <si>
    <t>She continues to spin around the baton and demonstrate how to properly twirl it.</t>
  </si>
  <si>
    <t>v_ooWk0EL6I7o</t>
  </si>
  <si>
    <t>A lady and a man kneel in a curling ring.</t>
  </si>
  <si>
    <t>They talk to each other and a broom enters the scene.</t>
  </si>
  <si>
    <t>they start to move forwards.</t>
  </si>
  <si>
    <t>The man stops and the lady stumbles.</t>
  </si>
  <si>
    <t>v_oJ9BFy1KNlY</t>
  </si>
  <si>
    <t>A man stands indoors, on a platform, in front of three onlookers, and lifts a heavily weighted bar bell.</t>
  </si>
  <si>
    <t>A man approaches a barbell on the floor and stands before it preparing to lift it.</t>
  </si>
  <si>
    <t>The man then bends at the knees and puts his hands on the bar portion of the weight.</t>
  </si>
  <si>
    <t>The man then lifts the bell above his head and then lets the bell fall to the floor where it bounces a bit upon landing as the man turns and walks away from the weight.</t>
  </si>
  <si>
    <t>v_q4rVY3sLQqA</t>
  </si>
  <si>
    <t>Two men describe lead climbing while one man in a bright green shirt climbs a climbing wall the other man wearing a dark green shirt holds the lead line and explains the process.</t>
  </si>
  <si>
    <t>The man in the dark green shirt places a strap and link to the climbing wall and loops a rope through the clip.</t>
  </si>
  <si>
    <t>The man reverses the strap position and loops the rope through the strap eye link.</t>
  </si>
  <si>
    <t>The man in the bright green shirt continue climbing to the top of the wall.</t>
  </si>
  <si>
    <t>The man in the dark green shirt continues talking to the camera.</t>
  </si>
  <si>
    <t>v_MLfEz9HPElE</t>
  </si>
  <si>
    <t>One woman throws something at another.</t>
  </si>
  <si>
    <t>Then, the two women play hopscotch.</t>
  </si>
  <si>
    <t>v_0uh3HP895OA</t>
  </si>
  <si>
    <t>a woman is sitting behind a desk talking to the camera.</t>
  </si>
  <si>
    <t>A woman walks into a room and sits in a pew.</t>
  </si>
  <si>
    <t>The woman begins to knit.</t>
  </si>
  <si>
    <t>The woman then talks to the camera.</t>
  </si>
  <si>
    <t>v_FMlWHXByLL0</t>
  </si>
  <si>
    <t>Kids are jump roping in a gym.</t>
  </si>
  <si>
    <t>They do flips over each other.</t>
  </si>
  <si>
    <t>People in the audience clap for them at the end.</t>
  </si>
  <si>
    <t>v_DqT3NrqisLk</t>
  </si>
  <si>
    <t>A close up of a person's feet are seen as well as text on the screen.</t>
  </si>
  <si>
    <t>The person is seen taking the laces off and running the shoes under water.</t>
  </si>
  <si>
    <t>The person mixes ingredients into a bowl and scrubs the shoes using the tooth brush.</t>
  </si>
  <si>
    <t>She then sticks the shoes in the wash and shows them off afterwards.</t>
  </si>
  <si>
    <t>v_7oBW5W6Fdok</t>
  </si>
  <si>
    <t>We see a man preparing to throw a hammer in track and field.</t>
  </si>
  <si>
    <t>The man shakes his legs and walks to the field.</t>
  </si>
  <si>
    <t>The man spins hard and throws the hammer.</t>
  </si>
  <si>
    <t>We see the hammer as it flies across the track.</t>
  </si>
  <si>
    <t>v_xEnnIWce1ok</t>
  </si>
  <si>
    <t>Two men perform a flip move on a playground that leads to one being dropped on the ground.</t>
  </si>
  <si>
    <t>The camera zooms in on the fallen man while they all laugh together.</t>
  </si>
  <si>
    <t>v_rA7qVOp47Qg</t>
  </si>
  <si>
    <t>A girl is riding on a white horse that is in an enclosed obstacle course, but it's just walking, trotting and running around the perimeter doing laps.</t>
  </si>
  <si>
    <t>Another girl is now the focus and she's riding on a taller brown horse who begins walking, trotting and they also stay on the perimeter of the area.</t>
  </si>
  <si>
    <t>When the brown horse is done going around in laps, it walks over to the white horse who is now in the middle of the area and it stops.</t>
  </si>
  <si>
    <t>v_jmPV_y8YntQ</t>
  </si>
  <si>
    <t>There are several girls standing ready with their jump ropes in an indoor gym.</t>
  </si>
  <si>
    <t>They are ready to compete in competition.</t>
  </si>
  <si>
    <t>There are several people seated and standing that are watching the girls as they jump rope.</t>
  </si>
  <si>
    <t>The girls take turns and jump rope in a relay manner.</t>
  </si>
  <si>
    <t>They switch between the contestants and move from fast skipping to slower and steadier skipping.</t>
  </si>
  <si>
    <t>They take turns as they skip.</t>
  </si>
  <si>
    <t>After they stop, the crowd claps and cheers.</t>
  </si>
  <si>
    <t>v__UlKLq9w_nw</t>
  </si>
  <si>
    <t>A group of people have gathered at an outdoor court.</t>
  </si>
  <si>
    <t>They are involved in a game of curling.</t>
  </si>
  <si>
    <t>Each person uses the stick to push the puck as a girl talks to the camera.</t>
  </si>
  <si>
    <t>v_3gpgeAMy6a8</t>
  </si>
  <si>
    <t>kids are standing in a green grassy field flying kites.</t>
  </si>
  <si>
    <t>man wearing white shirt is flying the kite in a lage field.</t>
  </si>
  <si>
    <t>litle kid wearing an orange shirt is watching the man.</t>
  </si>
  <si>
    <t>v_5mxY_p7N_Yw</t>
  </si>
  <si>
    <t>The video leads into several clips of a hockey player moving around the ice and players speaking to the camera.</t>
  </si>
  <si>
    <t>The people continuing skating on the ice while practicing as players intervene to speak to the camera.</t>
  </si>
  <si>
    <t>v_TPzxIqu1JJg</t>
  </si>
  <si>
    <t>A text intro leads into several shots of a warehouse and people working with torches.</t>
  </si>
  <si>
    <t>People are seen using computers as well as magnets that leads into people making cakes.</t>
  </si>
  <si>
    <t>People use several tools and materials to make a large cake that moves around and brings it into an exhibit in the end.</t>
  </si>
  <si>
    <t>v_U697zTxxDHM</t>
  </si>
  <si>
    <t>A group of friends sit together against a fence at a skate park.</t>
  </si>
  <si>
    <t>People on roller blades do tricks on a ramp over steps.</t>
  </si>
  <si>
    <t>People on roller blades do tricks on a bench at the skate park.</t>
  </si>
  <si>
    <t>People do trucks on a railing down a ramp at the skate park.</t>
  </si>
  <si>
    <t>The roller skates ride on half pipe ramps.</t>
  </si>
  <si>
    <t>v_lcVkXTsnR7A</t>
  </si>
  <si>
    <t>A guy climbs up the stairs carrying a black amplifier.</t>
  </si>
  <si>
    <t>The guy walks through a door he opened.</t>
  </si>
  <si>
    <t>The guy plays a harmonica with a microphone in one hand.</t>
  </si>
  <si>
    <t>The guy plays the guitar.</t>
  </si>
  <si>
    <t>The black amplifier is displayed on a table.</t>
  </si>
  <si>
    <t>The amplifier is displayed on a table.</t>
  </si>
  <si>
    <t>v_im-nQ-KEzaQ</t>
  </si>
  <si>
    <t>A woman is seen speaking to the camera with various ingredients laid out as well as her cleaning.</t>
  </si>
  <si>
    <t>She lays out a newspaper and mixes various ingredients together into a spray bottle.</t>
  </si>
  <si>
    <t>She puts on gloves and using the newspaper to wipe down a window after she has sprayed it.</t>
  </si>
  <si>
    <t>She continues wiping down the window while speaking to the camera.</t>
  </si>
  <si>
    <t>v_dUa0E0ASviM</t>
  </si>
  <si>
    <t>A girl is warming up and stretching and grabs 2 large ropes.</t>
  </si>
  <si>
    <t>Two women are holding each rope and the girl tries to pull both ropes at once.</t>
  </si>
  <si>
    <t>She continues pulling the rope and succeeds at pulling the two women closer to her.</t>
  </si>
  <si>
    <t>v_ouc67LyENuw</t>
  </si>
  <si>
    <t>Cows are running through fields with men chasing after them with sticks.</t>
  </si>
  <si>
    <t>The men are agitating the cows and causing them to fight with one another.</t>
  </si>
  <si>
    <t>The men are singing and dancing around the cows.</t>
  </si>
  <si>
    <t>The media interviews men from the crowd.</t>
  </si>
  <si>
    <t>A female reporter is holding a microphone while doing a news report.</t>
  </si>
  <si>
    <t>A large crowd of men are following her.</t>
  </si>
  <si>
    <t>v_EjaS2rW81S4</t>
  </si>
  <si>
    <t>Several people are seen kneeling on a beach helping a small child make sand castles.</t>
  </si>
  <si>
    <t>Many people are seen walking around the beach as the boy and older woman continue to make sand castles.</t>
  </si>
  <si>
    <t>v_dEUFGAwRhEM</t>
  </si>
  <si>
    <t>A couple of large balloons are floating over the ocean water.</t>
  </si>
  <si>
    <t>Competitor boaters are shown racing in the water.</t>
  </si>
  <si>
    <t>They paddle quickly toward the finish mark.</t>
  </si>
  <si>
    <t>v_J3coWVRd5do</t>
  </si>
  <si>
    <t>A girl runs down a track in slow motion.</t>
  </si>
  <si>
    <t>She takes a huge jump, hurling herself over a bar.</t>
  </si>
  <si>
    <t>She is shown performing the act again in slow motion.</t>
  </si>
  <si>
    <t>v_kG7inHibWLU</t>
  </si>
  <si>
    <t>A girl knocks on a door but nobody answers.</t>
  </si>
  <si>
    <t>She dances and prepares food in front of the stove with another woman.</t>
  </si>
  <si>
    <t>She fights and then both girls separate.</t>
  </si>
  <si>
    <t>v_7ZX3NHDmMZY</t>
  </si>
  <si>
    <t>People are in a swimming pool playing water polo.</t>
  </si>
  <si>
    <t>A woman is walking outside the pool.</t>
  </si>
  <si>
    <t>A man rubs his face while in the water before getting out of the water.</t>
  </si>
  <si>
    <t>v_e0Qj2F3V6fM</t>
  </si>
  <si>
    <t>The video stats explaining how to make Omelette muffins.</t>
  </si>
  <si>
    <t>She shows the ingredients and tell what to set the oven to.</t>
  </si>
  <si>
    <t>She mixes everything together and stirs it up with seasoning.</t>
  </si>
  <si>
    <t>She then puts it into the tray and into the oven to bake.</t>
  </si>
  <si>
    <t>Afterward she takes it out and shows the finished product.</t>
  </si>
  <si>
    <t>v_FIzlf7jdsUY</t>
  </si>
  <si>
    <t>Pictures of people's hair is shown.</t>
  </si>
  <si>
    <t>A woman in a pink shirt has pictures of her hair.</t>
  </si>
  <si>
    <t>Words come on the screen at the end.</t>
  </si>
  <si>
    <t>v_wFmczV8lv-I</t>
  </si>
  <si>
    <t>A group of gymnast enter front a side of a stadium.</t>
  </si>
  <si>
    <t>Next, a gymnast is shown on the bar and does multiple tricks consisting of flips and handstands then flips off to land and walks off.</t>
  </si>
  <si>
    <t>As a man runs near him,a replay is shown of the instances where he messed up and then his score is shown.</t>
  </si>
  <si>
    <t>Another man is shown doing various tricks and flips but instead of being above the bar,he starts out below the bar and comes on the top to do a hand stand before finally flipping off.</t>
  </si>
  <si>
    <t>Several other teams approach the bar and they too begin doing the same tricks in their competition.</t>
  </si>
  <si>
    <t>The winner then begins waving his flag and waving his hand to the crowd.</t>
  </si>
  <si>
    <t>v_TDWbRqIEcts</t>
  </si>
  <si>
    <t>We see a man in a room in front of a bookshelf with a cookie.</t>
  </si>
  <si>
    <t>The cookie is snatched from the man.</t>
  </si>
  <si>
    <t>We see the face of a young boy.</t>
  </si>
  <si>
    <t>We see ingredients added to a bowl.</t>
  </si>
  <si>
    <t>We switch and see a cat.</t>
  </si>
  <si>
    <t>We see ingredients in a mixer, then poured into a bowl then refrigerated.</t>
  </si>
  <si>
    <t>We see the cat appear again.</t>
  </si>
  <si>
    <t>A person shapes balls and coats them in powdered sugar.</t>
  </si>
  <si>
    <t>The cookies are baked.</t>
  </si>
  <si>
    <t>We see the man talking with a girl.</t>
  </si>
  <si>
    <t>We see the cookies and two mugs.</t>
  </si>
  <si>
    <t>We see the man with two kids.</t>
  </si>
  <si>
    <t>v_gkhgAlVSKTI</t>
  </si>
  <si>
    <t>A woman is seen playing a set of bagpipes while people sit around her and watch.</t>
  </si>
  <si>
    <t>The girl continues playing as the camera watches her move her hands along the instrument and a man standing next to her to pose and throw change.</t>
  </si>
  <si>
    <t>v_ybhc3-s7aYo</t>
  </si>
  <si>
    <t>A man is seen standing before a large log holding an ax in his hands.</t>
  </si>
  <si>
    <t>He holds the ax up over his head while still looking down at the log.</t>
  </si>
  <si>
    <t>He swing the ax down and chops the log in half.</t>
  </si>
  <si>
    <t>v_WidcZbpPEC0</t>
  </si>
  <si>
    <t>People are in a room talk to each other.</t>
  </si>
  <si>
    <t>Then, the men compete arm wrestling and the winner looks happy, while people 
 applaud.</t>
  </si>
  <si>
    <t>A man drinks beer from a bottle.</t>
  </si>
  <si>
    <t>v_l8TsSm4Yh4M</t>
  </si>
  <si>
    <t>A person is seen walking around a paintball course and leads into clips of people playing paintball and speaking to one another.</t>
  </si>
  <si>
    <t>A man points to the camera and leads into more shots of people playing and working with one another.</t>
  </si>
  <si>
    <t>v_GtYf9VsPHO0</t>
  </si>
  <si>
    <t>A close up of a sandwich is shown followed by ingredients and a woman speaking to the camera.</t>
  </si>
  <si>
    <t>Several ingredients are laid out and shown close up one by one while the woman mixes them all together in a bowl.</t>
  </si>
  <si>
    <t>She then pours the mixture onto a slice of break and presents it on a plate while speaking continuously.</t>
  </si>
  <si>
    <t>v_rVmNL8rzHnU</t>
  </si>
  <si>
    <t>A man is putting wall paper on the wall, he is trying to measure it just right so that it is even with the rest.</t>
  </si>
  <si>
    <t>He cuts some of the paper and takes the plastic part off of the back so that it is sticky and begins pressing the adhesive side down on the wall.</t>
  </si>
  <si>
    <t>He starts to add pressure to it so that any bubbles get out and it looks nice and even.</t>
  </si>
  <si>
    <t>He stands back to look at the wall and make sure it look good, then shows a before and after photo.</t>
  </si>
  <si>
    <t>v_znoMrA2qCbA</t>
  </si>
  <si>
    <t>A man is kneeling on a field.</t>
  </si>
  <si>
    <t>He picks up a heavy ball, and uses it to perform numerous exercise techniques.</t>
  </si>
  <si>
    <t>He then sets it back down on the grass.</t>
  </si>
  <si>
    <t>v_a7oaRcmRZ5k</t>
  </si>
  <si>
    <t>A boat is seen riding along the water with a man driving others around.</t>
  </si>
  <si>
    <t>A person is seen riding on the back doing several flips and tricks on his board.</t>
  </si>
  <si>
    <t>The people watch the man as well as the camera as he continues flipping around and looking back to the camera.</t>
  </si>
  <si>
    <t>v_NJuf9o45A8U</t>
  </si>
  <si>
    <t>A man is snowboarding down a hill of snow.</t>
  </si>
  <si>
    <t>He is jumping in the air and doing tricks off of pipes.</t>
  </si>
  <si>
    <t>v_LOhacn4jdT4</t>
  </si>
  <si>
    <t>A man walks around while adjusting a belt, with many other people in the room.</t>
  </si>
  <si>
    <t>The man walks through a tunnel flanked by several other men.</t>
  </si>
  <si>
    <t>The man gets on a stage and powders his hands.</t>
  </si>
  <si>
    <t>The man walks before a barbell with weights.</t>
  </si>
  <si>
    <t>The man lifts the weights.</t>
  </si>
  <si>
    <t>The man drops the weights.</t>
  </si>
  <si>
    <t>The man walks off stage as attendants move to the weight on stage.</t>
  </si>
  <si>
    <t>A replay of the lift is shown from a different angle.</t>
  </si>
  <si>
    <t>v_S633fHu_NrU</t>
  </si>
  <si>
    <t>A lady is standing at the table with ingredients on the table.</t>
  </si>
  <si>
    <t>The woman pointed the ingredients such as red bell peppers, celery, carrots, chicken breast, olives, pickled gherkins, olive oil in the bottle, white wine in the bottle, mayonnaise, mustard and gruyere, salt and pepper.</t>
  </si>
  <si>
    <t>The lady touched the ingredients in the plates, then she sliced the chicken, put the mustard, mayonnaise and olive oil in a bowl, then added the vegetables, and then the plate is shown with the chicken salad.</t>
  </si>
  <si>
    <t>v_GBTpVjwLxe0</t>
  </si>
  <si>
    <t>A kayak rider paddles against the current and maneuvers back and forth with his hips and paddle.</t>
  </si>
  <si>
    <t>The kayak rider dips into the water and recovers.</t>
  </si>
  <si>
    <t>v_wMDyshGO2og</t>
  </si>
  <si>
    <t>A game is taking place between argentina and peru.</t>
  </si>
  <si>
    <t>People in the crowded stands gather and disperse.</t>
  </si>
  <si>
    <t>The men are shown on the court, playing the game and kicking the ball.</t>
  </si>
  <si>
    <t>The scoreboard is shown for comparison as the game ends.</t>
  </si>
  <si>
    <t>v_ecWUNT_HcN8</t>
  </si>
  <si>
    <t>A large roof is seen close up followed by a person standing on a ladder and pushing down tiles.</t>
  </si>
  <si>
    <t>More people are seen working on the roof hammering down tiles as well as pushing them off and speaking to the camera.</t>
  </si>
  <si>
    <t>The camera continues to pan all around the roof as well as buildings around them and the men continuing to work.</t>
  </si>
  <si>
    <t>v_f5xSylPY_bQ</t>
  </si>
  <si>
    <t>A girl is sitting down in front of a couch.</t>
  </si>
  <si>
    <t>She starts playing a flute.</t>
  </si>
  <si>
    <t>She continues playing the flute white looking down.</t>
  </si>
  <si>
    <t>v_ynxngsa-IHU</t>
  </si>
  <si>
    <t>A man stands in front of a wall filled with hair products.</t>
  </si>
  <si>
    <t>Various scissors and combs are laid out on a mat.</t>
  </si>
  <si>
    <t>The salon stylist towels off then rubs hair products through the man's hair with his hands.</t>
  </si>
  <si>
    <t>The stylist combs out the persons hair and cuts it with scissors.</t>
  </si>
  <si>
    <t>The stylist trims the sideburns and around the ears.</t>
  </si>
  <si>
    <t>The stylist uses his hands to style the hair and blow drys it when finished cutting for the person to see.</t>
  </si>
  <si>
    <t>v_PVJK-r4pNg8</t>
  </si>
  <si>
    <t>We see a smiling man with credits running on the screen.</t>
  </si>
  <si>
    <t>We see an instructional screen.</t>
  </si>
  <si>
    <t>We see two men playing a game of squash.</t>
  </si>
  <si>
    <t>v_1_PiNdPt6RU</t>
  </si>
  <si>
    <t>woman is eating bran flakes and putting some mascara, washing her teeth and cleaning her mouth with mouthwash.</t>
  </si>
  <si>
    <t>journalists are talking in the news.</t>
  </si>
  <si>
    <t>v_Lx_FcKpTZIw</t>
  </si>
  <si>
    <t>A woman is washing her hands over a sink.</t>
  </si>
  <si>
    <t>She rinses her hands off in the sink.</t>
  </si>
  <si>
    <t>She grabs a paper towel and dries her hands.</t>
  </si>
  <si>
    <t>v_zPGc84TC74A</t>
  </si>
  <si>
    <t>We see the title screen on gray.</t>
  </si>
  <si>
    <t>Two men are playing squash.</t>
  </si>
  <si>
    <t>We see a transition urging practice.</t>
  </si>
  <si>
    <t>A transition starts but doesn't change to anything.</t>
  </si>
  <si>
    <t>The man in white wipes his brow with his sleeve.</t>
  </si>
  <si>
    <t>The end credits run up the screen.</t>
  </si>
  <si>
    <t>v_zL_WLS1gPNw</t>
  </si>
  <si>
    <t>A woman is kneeling down on the ground next to a desk.</t>
  </si>
  <si>
    <t>She starts painting the desk white with a paint brush.</t>
  </si>
  <si>
    <t>She then starts painting two of the drawers orange.</t>
  </si>
  <si>
    <t>v_KRz3aBw_TlQ</t>
  </si>
  <si>
    <t>Men take turns throwing darts at a dart board.</t>
  </si>
  <si>
    <t>A woman in the crowd claps for them.</t>
  </si>
  <si>
    <t>A man takes a drink out of a glass.</t>
  </si>
  <si>
    <t>v_Ru18FF0tcuA</t>
  </si>
  <si>
    <t>A person is rowing at the edge of a boat.</t>
  </si>
  <si>
    <t>The person takes out a fishing hook.</t>
  </si>
  <si>
    <t>The person starts fishing at his edge.</t>
  </si>
  <si>
    <t>v_iqmpDgATXbU</t>
  </si>
  <si>
    <t>A woman is seen performing a belly dancing routine on a large stage with other people watching on the sides.</t>
  </si>
  <si>
    <t>The woman continues dancing and spinning around the stage and ends with her posing and walking off.</t>
  </si>
  <si>
    <t>v_YUFPWt0VQ1Y</t>
  </si>
  <si>
    <t>There is a group of marching band students playing the trumpets.</t>
  </si>
  <si>
    <t>They are dressed in maroon and yellow colored uniforms and white hats.</t>
  </si>
  <si>
    <t>There are some students playing the drums and some students playing the trumpet.</t>
  </si>
  <si>
    <t>They continue playing the band as they march along the streets.</t>
  </si>
  <si>
    <t>v_-EKpX0t44pQ</t>
  </si>
  <si>
    <t>A wrestler is walking out and gets into the ring.</t>
  </si>
  <si>
    <t>Someone is laying on their stomach getting a tattoo on their back.</t>
  </si>
  <si>
    <t>A man in a red shirt is tattooing the man laying down.</t>
  </si>
  <si>
    <t>The wrestler is shown again.</t>
  </si>
  <si>
    <t>v_86sxvTk3YEY</t>
  </si>
  <si>
    <t>An actor,Jason Stathom,is sitting in a blue reclining chair talking a late night tv host by the name of Jimmy Fallon who is sitting behind a desk.</t>
  </si>
  <si>
    <t>The two continue to speak then they both stand up in a joking manner and walk over to a table.</t>
  </si>
  <si>
    <t>They both stand at the ends of the table and begin arm wrestling and talking.</t>
  </si>
  <si>
    <t>After a long period of time passes,the actor wins and starts cheering for himself.</t>
  </si>
  <si>
    <t>v_AntmYynwbhQ</t>
  </si>
  <si>
    <t>A woman in white shirt is posing with her short hair.</t>
  </si>
  <si>
    <t>A man in white shirt is cutting the hair of the girl in a studio with white background, then he braided the back of her hair, then continue to cut and style the girl's hair.</t>
  </si>
  <si>
    <t>v_VXiaPftjWqQ</t>
  </si>
  <si>
    <t>A man is seen kneeling down on a floor followed by shots of him putting plaster and tiles down are shown.</t>
  </si>
  <si>
    <t>He then drills into a bucket and lays plaster down, as well as placing tiles on the floor yet again and showing more shots of him working in the end.</t>
  </si>
  <si>
    <t>v_osaJxzwVt6Q</t>
  </si>
  <si>
    <t>kid is standing in front of stage playing congas.</t>
  </si>
  <si>
    <t>behind him is a girl playing the tambourine and a boy playing the triangle.</t>
  </si>
  <si>
    <t>in the background kids standing on stage are playing drums.</t>
  </si>
  <si>
    <t>v_4_yy5vswBn4</t>
  </si>
  <si>
    <t>A man is sitting at a table.</t>
  </si>
  <si>
    <t>A woman steps onto the table and falls into his arms.</t>
  </si>
  <si>
    <t>She does a back flip off of him onto the floor.</t>
  </si>
  <si>
    <t>They begin dancing on the dance floor.</t>
  </si>
  <si>
    <t>v_LkwkGj27pP8</t>
  </si>
  <si>
    <t>A man is seen leaning onto a fence and continuously bending down to dip paint into a bucket.</t>
  </si>
  <si>
    <t>The woman brushes the fence continuously in front of her while the camera captures her from behind.</t>
  </si>
  <si>
    <t>v_JBnHqQjeVMk</t>
  </si>
  <si>
    <t>Cars and RV's sit outside a rodeo center.</t>
  </si>
  <si>
    <t>Cowboys practice their lasso work.</t>
  </si>
  <si>
    <t>People shop inside the store of the rodeo center.</t>
  </si>
  <si>
    <t>A young kid catches a calf.</t>
  </si>
  <si>
    <t>A cowboy jumps off his horse to control the calf he has caught.</t>
  </si>
  <si>
    <t>Another cowboy in a black shirt jumps off his horse.</t>
  </si>
  <si>
    <t>A man in a pink shirt lassos a calf.</t>
  </si>
  <si>
    <t>A woman on a horse catches a calf.</t>
  </si>
  <si>
    <t>Another man jumps off his brown horse to control the calf he has caught.</t>
  </si>
  <si>
    <t>v_8tI9IsSpgeI</t>
  </si>
  <si>
    <t>A man lifts large weight off the ground.</t>
  </si>
  <si>
    <t>He pushes it over his head before dropping it on the ground.</t>
  </si>
  <si>
    <t>v_D99jYbtGO38</t>
  </si>
  <si>
    <t>A man throws a ball to his son, who catches it with a lacrosse stick.</t>
  </si>
  <si>
    <t>The boy flings it back and it sails to the right of the man.</t>
  </si>
  <si>
    <t>v_sV6JEbmqDUw</t>
  </si>
  <si>
    <t>A woman is shown from various angles moving on an exercise machine and leads into the earth revolving.</t>
  </si>
  <si>
    <t>She places an item on the machine and several pictures of health are shown.</t>
  </si>
  <si>
    <t>She is again on the machine riding and finally folds up the machine in the end.</t>
  </si>
  <si>
    <t>v_rvkVdD2u_yA</t>
  </si>
  <si>
    <t>A man is talking in front of a net.</t>
  </si>
  <si>
    <t>He crouches down to the floor, crossing his ankles.</t>
  </si>
  <si>
    <t>He then goes forward and back several times, stretching.</t>
  </si>
  <si>
    <t>v_CP9NQpJD0-Y</t>
  </si>
  <si>
    <t>A man sits in a room and discusses.</t>
  </si>
  <si>
    <t>The man holds up a coffee cup while talking.</t>
  </si>
  <si>
    <t>The man takes a few drinks from the coffee cup.</t>
  </si>
  <si>
    <t>v_fsz79uPkUSs</t>
  </si>
  <si>
    <t>A toddler is sitting down in front of a table,with her play make up laid out on the table.</t>
  </si>
  <si>
    <t>She then takes her foundation and puts it around her face.</t>
  </si>
  <si>
    <t>Next comes her eye shadow,then her lips but she ends up dropping it on the floor and has to go under the table to get it.</t>
  </si>
  <si>
    <t>Finally,she comes back and adds the finishing touches on her lips,she finishes off her lips and adds more color to her cheeks.</t>
  </si>
  <si>
    <t>v_06ofnvq2Hjs</t>
  </si>
  <si>
    <t>We see images which were shot around DC.</t>
  </si>
  <si>
    <t>We see a man talking and shots of skateboards as people assemble in a room.</t>
  </si>
  <si>
    <t>We see Tony Hawk who points to other people.</t>
  </si>
  <si>
    <t>We see people skateboarding in the street, and around DC.</t>
  </si>
  <si>
    <t>We see a skater named Shaun Gregoirie.</t>
  </si>
  <si>
    <t>A lady holds up a USA Flag and talks.</t>
  </si>
  <si>
    <t>We see a cop car on the street.</t>
  </si>
  <si>
    <t>We see Anthony Shetler sitting and talking before skating on the street.</t>
  </si>
  <si>
    <t>A man jumps stairs and falls.</t>
  </si>
  <si>
    <t>v_O9HLR19is-A</t>
  </si>
  <si>
    <t>A man is seen sitting in a bumper car holding a thumbs up and then begins driving around.</t>
  </si>
  <si>
    <t>The people continue driving around bumping into one another and ends with them standing up.</t>
  </si>
  <si>
    <t>v_PQBeNLSdugw</t>
  </si>
  <si>
    <t>Young boys are shown doing a karate demo in front of the judges.</t>
  </si>
  <si>
    <t>They move back and forth and front to back performing various punches.</t>
  </si>
  <si>
    <t>They then relax and take a bow while the people behind them clap.</t>
  </si>
  <si>
    <t>They then continue on with their routine of play fighting.</t>
  </si>
  <si>
    <t>This continues on until the boy finish their routine to applause and then sit down.</t>
  </si>
  <si>
    <t>v_C3K-OgdK8FY</t>
  </si>
  <si>
    <t>A man is wearing sunglasses inside a building.</t>
  </si>
  <si>
    <t>We see a group of people in the building as they dance aerobically.</t>
  </si>
  <si>
    <t>They shake in unison, going back and forth and side to side.</t>
  </si>
  <si>
    <t>v_E0xXymnjDkc</t>
  </si>
  <si>
    <t>People are standing outside playing volleyball.</t>
  </si>
  <si>
    <t>A man in a black shirt is talking to someone.</t>
  </si>
  <si>
    <t>A man in a gray shirt has his hands on his hips.</t>
  </si>
  <si>
    <t>v_ujiWstJ3tt0</t>
  </si>
  <si>
    <t>A man is kneeling down on the ground sanding a wall with a silver utensil.</t>
  </si>
  <si>
    <t>The man stands up,looks back at the camera and continues doing his task.</t>
  </si>
  <si>
    <t>Now the man is back on his knees and continues to do what he was doing in the beginning.</t>
  </si>
  <si>
    <t>v_oFku30m99do</t>
  </si>
  <si>
    <t>A woman is seen standing in a bathroom wrapped up in a towel.</t>
  </si>
  <si>
    <t>The girl holds her hair up with one hand and rubs makeup on with the other.</t>
  </si>
  <si>
    <t>v_F1RpG1Vwi28</t>
  </si>
  <si>
    <t>There's a bald man with a goatee beard standing in his bathroom in front of a large mirror with an electric shaver in his hand.</t>
  </si>
  <si>
    <t>He is demonstrating how to shave off his beard and maintain it.</t>
  </si>
  <si>
    <t>Then he begins showing how to use the trimmer for his beard by adjusting the clipper size.</t>
  </si>
  <si>
    <t>He completely shaves his beard off.</t>
  </si>
  <si>
    <t>He then touches his skin to see how clean the shave is.</t>
  </si>
  <si>
    <t>He removes the hair off of the shaver and cleans it.</t>
  </si>
  <si>
    <t>v_8Qg395HjqFg</t>
  </si>
  <si>
    <t>A man in a white jacket picks up an iron.</t>
  </si>
  <si>
    <t>He places tin foil down onto a table.</t>
  </si>
  <si>
    <t>He puts bread on the tin foil with butter and cheese.</t>
  </si>
  <si>
    <t>He puts the iron on the sandwich.</t>
  </si>
  <si>
    <t>He opens the tin foil and cuts the sandwich in half.</t>
  </si>
  <si>
    <t>He takes a bit of the sandwich.</t>
  </si>
  <si>
    <t>v_zSCZphJS2vA</t>
  </si>
  <si>
    <t>An athlete is seen walking up to a platform and begins spinning himself around and throwing an object off into the distance.</t>
  </si>
  <si>
    <t>His throw is shown again in slow motion and another man is seen spinning around then throwing the object with his hands up afterwards.</t>
  </si>
  <si>
    <t>v_Z7gECmnHeKk</t>
  </si>
  <si>
    <t>A man is seen sitting on a piece of exercise equipment and rowing himself back and fourth on a machine.</t>
  </si>
  <si>
    <t>The man continues moving himself back and fourth as the camera captures him from several angles.</t>
  </si>
  <si>
    <t>v_-C1nnsyw7R0</t>
  </si>
  <si>
    <t>man is standing in a racetrack and is running to make a jump and people is standing around him.</t>
  </si>
  <si>
    <t>man is sitting in a room talking to the camera.</t>
  </si>
  <si>
    <t>man is running in a racetrack and jumping in the dust and man is sitting in a room talking.</t>
  </si>
  <si>
    <t>players are running playing american football and spectators are in the terraces.</t>
  </si>
  <si>
    <t>old man is talking in the room and the man in the race track is running and practicing the jump.</t>
  </si>
  <si>
    <t>v_zUuT2FBf-Oc</t>
  </si>
  <si>
    <t>Two large pieces of decorated construction paper are shown with the words Happy Birthday all over them.</t>
  </si>
  <si>
    <t>We then see presents wrapped with the same wording.</t>
  </si>
  <si>
    <t>v_TSVDMiy_FC4</t>
  </si>
  <si>
    <t>A close up pair of shoes is shown followed by various text instructions and tools laid out.</t>
  </si>
  <si>
    <t>A person is then seen rubbing down the show with a rag using several ingredients and zooming in on the clean pair of shoes.</t>
  </si>
  <si>
    <t>v_iPU4muYW14Y</t>
  </si>
  <si>
    <t>A woman is standing on a wooden floor.</t>
  </si>
  <si>
    <t>She is raising and lowering her arms, changing to different positions.</t>
  </si>
  <si>
    <t>She is displaying acts of tai chai for the camera.</t>
  </si>
  <si>
    <t>v_mEjU4uJZccw</t>
  </si>
  <si>
    <t>a man is shown on a stage, playing a set of drums.</t>
  </si>
  <si>
    <t>The woman to one side is playing maracas.</t>
  </si>
  <si>
    <t>The man on the other side is playing an electric guitar.</t>
  </si>
  <si>
    <t>v_kXCtmH4V0TI</t>
  </si>
  <si>
    <t>A man is shown entering a circular caged area with one side open.</t>
  </si>
  <si>
    <t>The man begins rotating a ball that is attached to a string around him.</t>
  </si>
  <si>
    <t>The man begins spinning his body quickly in circles.</t>
  </si>
  <si>
    <t>The man lets go of the string and the ball flies through the air.</t>
  </si>
  <si>
    <t>v_uqT5jtfx8x0</t>
  </si>
  <si>
    <t>Two teams play polo holding poles to kick a ball on front a crowd in a field.</t>
  </si>
  <si>
    <t>People stand next to the scores boards.</t>
  </si>
  <si>
    <t>Then, a player get up the stage to receives a trophy, after a woman kiss the winner and other players on stage, and all rise the trophy.</t>
  </si>
  <si>
    <t>v_HXn5ZpSEMqg</t>
  </si>
  <si>
    <t>A man hold up a bench and opens the parts so he can set it up.</t>
  </si>
  <si>
    <t>He sticks a pin in and snaps his ski in.</t>
  </si>
  <si>
    <t>He then waxes the ski and removes the pin.</t>
  </si>
  <si>
    <t>He adjusts the parts of the bench.</t>
  </si>
  <si>
    <t>We see the bench in shots with the end credits.</t>
  </si>
  <si>
    <t>v_BryW4niZT9Y</t>
  </si>
  <si>
    <t>A man serves a tennis ball when playing tennis with a person in a tennis court.</t>
  </si>
  <si>
    <t>Then, the man serves again to a person behind the net, while a player stands next to him.</t>
  </si>
  <si>
    <t>After, the man serves a ball but nobody is behind the net.</t>
  </si>
  <si>
    <t>v_34NXXCSWyzE</t>
  </si>
  <si>
    <t>A man riding a horse and swinging a rope around is seen chasing after a calf and eventually grabbing the animal with his rope.</t>
  </si>
  <si>
    <t>He holds the calf down and another man comes out to help the man tie up the calf.</t>
  </si>
  <si>
    <t>He then grabs his rope and rides out of the arena on his horse.</t>
  </si>
  <si>
    <t>v_tMheZSxPl3Q</t>
  </si>
  <si>
    <t>Pieces of furniture are seen including cabinets and tables.</t>
  </si>
  <si>
    <t>A person sands down a piece of wood with an electric sander.</t>
  </si>
  <si>
    <t>A person sands down a piece of wood by hand.</t>
  </si>
  <si>
    <t>v_hPOtGLv1GzM</t>
  </si>
  <si>
    <t>People are riding bicycles on a track.</t>
  </si>
  <si>
    <t>A man crashes and lands on the track.</t>
  </si>
  <si>
    <t>A man in a hat is talking to the camera.</t>
  </si>
  <si>
    <t>People continue to ride bikes on the track and crashing.</t>
  </si>
  <si>
    <t>v_3xmgPNrmUYM</t>
  </si>
  <si>
    <t>A camera zooms in on a weight with a person standing nearby.</t>
  </si>
  <si>
    <t>A woman is then standing with weights in her hands and doing lunges.</t>
  </si>
  <si>
    <t>A second woman comes in as well as a man doing various weight lifting moves.</t>
  </si>
  <si>
    <t>v_JkcoGLKl_0A</t>
  </si>
  <si>
    <t>A baby is riding a swing in the playground.</t>
  </si>
  <si>
    <t>A hand pushs her while she enjoys the ride.</t>
  </si>
  <si>
    <t>The man starts to play with her.</t>
  </si>
  <si>
    <t>v_6okx-34bDEg</t>
  </si>
  <si>
    <t>People run in a marathon in the street.</t>
  </si>
  <si>
    <t>A man head the race and run alone in the street.</t>
  </si>
  <si>
    <t>Suddenly, the man crashes into the car and falls.</t>
  </si>
  <si>
    <t>v_CmS2nSm5n2Q</t>
  </si>
  <si>
    <t>There's a man in a blue shirt walking into a tall building where there's an indoor fencing arena.</t>
  </si>
  <si>
    <t>He walks into the arena and talks with two fencers.</t>
  </si>
  <si>
    <t>One of the fencers puts on a fencing suit on the man.</t>
  </si>
  <si>
    <t>The fencer then demonstrates and gives the man a lesson in fencing.</t>
  </si>
  <si>
    <t>He shows the man the various skills involved in fencing.</t>
  </si>
  <si>
    <t>The man is able to miss and evade every move of the fencer as he goes untouched by the sword.</t>
  </si>
  <si>
    <t>Then both the fencers remove their masks and shake hands.</t>
  </si>
  <si>
    <t>The fencer talks about his experience with the master fencer.</t>
  </si>
  <si>
    <t>v_sJUUm0n4cXA</t>
  </si>
  <si>
    <t>A game of lacrosse begins and a boy by the name of Chase Madrid is highlights making scenes throughout the game.</t>
  </si>
  <si>
    <t>Several different games begin and a yellow circle is drawn around him for each play when he is running back and forth.</t>
  </si>
  <si>
    <t>When the highlight reel is finished,a black screen appears and shows the High School as well as the name for the player.</t>
  </si>
  <si>
    <t>v_8v2sAylgkgc</t>
  </si>
  <si>
    <t>A man is at a park, where he and his wife, who is holding a baby, push two small children on the swings.</t>
  </si>
  <si>
    <t>The woman disappears as the man continues to push.</t>
  </si>
  <si>
    <t>v_Kcy0A0DuckE</t>
  </si>
  <si>
    <t>A small group of kids are seen moving around a gymnasium throwing balls around.</t>
  </si>
  <si>
    <t>The kids throw the balls to one another while playing a game.</t>
  </si>
  <si>
    <t>The game continues on while the kids jump and down.</t>
  </si>
  <si>
    <t>v_A0F6uT95xhA</t>
  </si>
  <si>
    <t>A man dances in in a big room.</t>
  </si>
  <si>
    <t>As he does the dance he explains how to do it.</t>
  </si>
  <si>
    <t>v_3S_aifr5rG4</t>
  </si>
  <si>
    <t>These horses are walking in a grassy area by themselves and then a woman is shown brushing the horse's hair.</t>
  </si>
  <si>
    <t>The camera zooms in to shows the horse' nose and then the woman climbs onto the horse's saddle to ride it somewhere.</t>
  </si>
  <si>
    <t>Then two other people are hsown riding the horse's in different settings.</t>
  </si>
  <si>
    <t>v_DIATqGGmG2g</t>
  </si>
  <si>
    <t>Two girls are siting outside talking with there feet crossed.</t>
  </si>
  <si>
    <t>One of the girls hands the other a container which she pulls a little paper out of that tells her what to do.</t>
  </si>
  <si>
    <t>She reads it and then does what the paper says to do.</t>
  </si>
  <si>
    <t>They take turns doing this, picking a note and then doing the task it says to do and they are having fun while doing so.</t>
  </si>
  <si>
    <t>v_FRoL-CpfbJ4</t>
  </si>
  <si>
    <t>Water splashing on a watch tower.</t>
  </si>
  <si>
    <t>People sitting on the beach in a boat.</t>
  </si>
  <si>
    <t>music plays in the background as different people are sailing during different clips.</t>
  </si>
  <si>
    <t>v_RBkieLmOUlQ</t>
  </si>
  <si>
    <t>Two boys in karate pants wrestle one another in the background.</t>
  </si>
  <si>
    <t>The group forms a circle and two of the boys begin to spar in a martial arts practice.</t>
  </si>
  <si>
    <t>the boy in pink top does a spinning kick.</t>
  </si>
  <si>
    <t>v_-l5e1zVzQOQ</t>
  </si>
  <si>
    <t>A band plays music on stage.</t>
  </si>
  <si>
    <t>A man plays the drums intensely.</t>
  </si>
  <si>
    <t>A large screen shows the band above.</t>
  </si>
  <si>
    <t>People play the guitar on the stage.</t>
  </si>
  <si>
    <t>v_TdAfqkmTrf0</t>
  </si>
  <si>
    <t>Players are running around playing lacrosse on a field of grass.</t>
  </si>
  <si>
    <t>The audience is watching and applauding for them.</t>
  </si>
  <si>
    <t>v_ZVMGA4oF6xo</t>
  </si>
  <si>
    <t>A balded man is seen talking to a camera while rubbing his head and making grimace faces.</t>
  </si>
  <si>
    <t>He continues speaking to the camera and the video ends with him waving and shutting the camera off.</t>
  </si>
  <si>
    <t>v_t6Hc2tHRrs4</t>
  </si>
  <si>
    <t>A group is shown together and racing on bmx bikes in a series of photos.</t>
  </si>
  <si>
    <t>Then we see people on bikes, performing stunts, going around a ring and jumping hills.</t>
  </si>
  <si>
    <t>A biker flies through the air, then we see a final photo of the winners with their medals.</t>
  </si>
  <si>
    <t>v_HmqRZ4HPu1U</t>
  </si>
  <si>
    <t>A man in a yard starts his lawn mower.</t>
  </si>
  <si>
    <t>The man mows his lawn with headphones on his ears as his dog walks around the yard.</t>
  </si>
  <si>
    <t>the dog runs to get out of the way of the lawn mower and leaves the scene.</t>
  </si>
  <si>
    <t>v_fVzpG-QQ1n8</t>
  </si>
  <si>
    <t>A cat is seen licking itself on a bed while a person continuously attempts to cut it's claws.</t>
  </si>
  <si>
    <t>The person scratches the cat while it continues to lick itself and attempts again to cut it's claws.</t>
  </si>
  <si>
    <t>Finally the person plays with the cat and the car continues licking.</t>
  </si>
  <si>
    <t>v_KgfKmcsEMK0</t>
  </si>
  <si>
    <t>A guy is shaving a male's leg.</t>
  </si>
  <si>
    <t>The male laughs and messes with his shorts.</t>
  </si>
  <si>
    <t>The guy rinses the razor in a blue bowl full with soapy liquid.</t>
  </si>
  <si>
    <t>v_BadeHG8y4PQ</t>
  </si>
  <si>
    <t>A man is holding a volleyball while standing on a court and speaking.</t>
  </si>
  <si>
    <t>Female players train and practice behind him while he speaks.</t>
  </si>
  <si>
    <t>v_X1vyuNazaIc</t>
  </si>
  <si>
    <t>Two children in pajamas hang Christmas ornaments from a tree.</t>
  </si>
  <si>
    <t>A fake bat bursts out of the Christmas tree and scares the children.</t>
  </si>
  <si>
    <t>v_rVqeQ9D7EWo</t>
  </si>
  <si>
    <t>A man is standing outside a trailer.</t>
  </si>
  <si>
    <t>He begins to shovel snow in front of the trailer.</t>
  </si>
  <si>
    <t>He puts the snow shovel in the snow and continues talking.</t>
  </si>
  <si>
    <t>v_PlUAKvaRd8s</t>
  </si>
  <si>
    <t>A small child is seen sitting in a tube while others stand around him.</t>
  </si>
  <si>
    <t>The boy then begins riding down a snowy hill in the tube.</t>
  </si>
  <si>
    <t>The boy continues to ride until he reaches the bottom.</t>
  </si>
  <si>
    <t>v_TV8putYbiCU</t>
  </si>
  <si>
    <t>A woman stands by a sink as she speaks.</t>
  </si>
  <si>
    <t>She turns on the faucet and wets the sink.</t>
  </si>
  <si>
    <t>She sprays the sink with a cleaner.</t>
  </si>
  <si>
    <t>She grabs a paper towel and wipes the sink.</t>
  </si>
  <si>
    <t>She turns on the water and wets the sink.</t>
  </si>
  <si>
    <t>She grabs another paper towel and wipes the sink.</t>
  </si>
  <si>
    <t>She finishes wiping the sink and speaks.</t>
  </si>
  <si>
    <t>v_JFGJYIZ7ONE</t>
  </si>
  <si>
    <t>A team is playing basketball against another team.</t>
  </si>
  <si>
    <t>They chase the ball all over the court.</t>
  </si>
  <si>
    <t>They try to keep the ball away from their opponent, making baskets as they go.</t>
  </si>
  <si>
    <t>v_5I5xXW25OXs</t>
  </si>
  <si>
    <t>Two men getting ready for a contest by doing paper scissors rocks to see who goes first.</t>
  </si>
  <si>
    <t>The men cross their arms and began drinking the liquids during the contest.</t>
  </si>
  <si>
    <t>v_vl7OBBTv7KY</t>
  </si>
  <si>
    <t>an oreo cheesecake is on top of a table.</t>
  </si>
  <si>
    <t>oreos are in a bowl and the cooker is crushing them and melted butter and mixing and put it in a pan.</t>
  </si>
  <si>
    <t>whipping cream is meled in a bowl and beat until double its volume.</t>
  </si>
  <si>
    <t>in other bowl a cream cheese is mixed with sugar and vanilla and break oreo cookies in a bowl and mix it together and then drop it in the pan and top it off with oreo cookies.</t>
  </si>
  <si>
    <t>v_J_CqwWJZTh4</t>
  </si>
  <si>
    <t>A woman is seen speaking into a microphone and leads into her throwing darts at a person's head after spinning.</t>
  </si>
  <si>
    <t>The person wears a pumpkin head and more people are seen attempting to throw darts.</t>
  </si>
  <si>
    <t>In the end the man takes the pumpkin off of his head.</t>
  </si>
  <si>
    <t>v_AR-VPPtV7ag</t>
  </si>
  <si>
    <t>A man is shown sitting down in front of a tree shuffling cards when someone hands him a drink.</t>
  </si>
  <si>
    <t>He then chugs the drink very quickly and points to the one who threw the drink.</t>
  </si>
  <si>
    <t>v_FaiSWZFSHSE</t>
  </si>
  <si>
    <t>Several images of a bakery and a chef are shown and then a little animate guy comes along showing what the video will be about.</t>
  </si>
  <si>
    <t>A real chef then appears and begins cutting small layers of cakes and adding them together.</t>
  </si>
  <si>
    <t>Once all the layers of the cake are cut out and iced together,the fondant is placed on the cake as well as the icing and the desert is complete.</t>
  </si>
  <si>
    <t>v_rMX2KeJa8qI</t>
  </si>
  <si>
    <t>A group of shirtless men are seen standing around the outside of a home when one grabs various tools and hands more to another.</t>
  </si>
  <si>
    <t>The men then hit a ball all around the yard through stands sticking out and speak to one another while drinking water.</t>
  </si>
  <si>
    <t>The men hit the ball a few more times and continue to speak to one another.</t>
  </si>
  <si>
    <t>v_brSp5DB7OLs</t>
  </si>
  <si>
    <t>A young girl is shown taking wet clothes our of a bucket.</t>
  </si>
  <si>
    <t>Several people are around her washing clothes and tending to them.</t>
  </si>
  <si>
    <t>She looks back at the camera and seems to be having fun.</t>
  </si>
  <si>
    <t>A young boy jumps in front of the camera and is smiling.</t>
  </si>
  <si>
    <t>The little girls continue rinsing the clothes in the bucket as the young boy turns his back to the camera.</t>
  </si>
  <si>
    <t>The young girl continues on with her work and is shown being very focused in her task.</t>
  </si>
  <si>
    <t>v_t2zLJ5mKTT8</t>
  </si>
  <si>
    <t>Water falls as a man stand on a jet ski.</t>
  </si>
  <si>
    <t>We see the man jet skiing and performing jumps on a lake.</t>
  </si>
  <si>
    <t>The man skis with his hand in the water as he bends down.</t>
  </si>
  <si>
    <t>We see the boat pass us with the skier in the air.</t>
  </si>
  <si>
    <t>v_Np43Q2E8GCE</t>
  </si>
  <si>
    <t>Two women and a man are walking in the hallway looking at the carpets on display.</t>
  </si>
  <si>
    <t>A red van driven by a man passed, then a man walked towards the house, then a man is crouching on the carpeted floor cutting a piece or brown carpet, iron the carpet, press the carpet with heavy metal.</t>
  </si>
  <si>
    <t>v_0XRZ2F5B7fQ</t>
  </si>
  <si>
    <t>A man and a woman scrape frost off of a parked car's windows, windshield and wiper blades while a second woman talks to them from the side of the car in the snow.</t>
  </si>
  <si>
    <t>A man in a long black wool coat scrapes ice off of a blue car's windshield while a woman in a black fur collared coat talks to him from the side of the car.</t>
  </si>
  <si>
    <t>A second woman begins wiping snow off of the car's windshield wipers while talking to the woman in the fur hooded coat.</t>
  </si>
  <si>
    <t>The man gets in the back seat of the car and shuts the door behind him while the woman in the fur hooded coat waves at the other woman who is moving towards the drivers side car door.</t>
  </si>
  <si>
    <t>v_WiJMIl5Tp3A</t>
  </si>
  <si>
    <t>There are a few girls doing gymnastics in a gym.</t>
  </si>
  <si>
    <t>There's a young girl wearing an athletic tank top and shorts doing back flips in her backyard.</t>
  </si>
  <si>
    <t>She continues to back flips in a fast manner.</t>
  </si>
  <si>
    <t>She also does a back flip on the beach.</t>
  </si>
  <si>
    <t>Then she does some more back flips in her backyard and in a park.</t>
  </si>
  <si>
    <t>The girl then stretches her leg towards the back of her head to make her toes touch her head.</t>
  </si>
  <si>
    <t>Several pictures of the girl are shown where she has participated as a cheerleader and in many gymnastic events.</t>
  </si>
  <si>
    <t>v_juP0cn5B60Y</t>
  </si>
  <si>
    <t>A woman is seen speaking to the camera while shots of homes are shown.</t>
  </si>
  <si>
    <t>People are then seen grooming dogs and holding up awards.</t>
  </si>
  <si>
    <t>The woman continues speaking to the camera while the dogs continue to be groomed behind her.</t>
  </si>
  <si>
    <t>v_zp86ztwZEKk</t>
  </si>
  <si>
    <t>A talking man dressed in athletic gear is standing on a very green field and the words on the bottom left say his name is Neil Macmillan and his title is Head Coach.</t>
  </si>
  <si>
    <t>A large group of girls dressed in athletic gear are shown playing land hockey, and the people not playing are dressed for cold weather.</t>
  </si>
  <si>
    <t>Clips of the man continue to play and rotate from showing the man and the girls playing land hockey until they are done playing.</t>
  </si>
  <si>
    <t>v_FK73jqIGUzE</t>
  </si>
  <si>
    <t>A boy welds on a piece of metal making sparkles.</t>
  </si>
  <si>
    <t>Then, the boy raise his helmet and talks.</t>
  </si>
  <si>
    <t>v_AhWkUdag6NA</t>
  </si>
  <si>
    <t>A woman opens her mouth and smiles at the camera.</t>
  </si>
  <si>
    <t>People are going by, water sailing.</t>
  </si>
  <si>
    <t>They spin and turn in the water as they sail.</t>
  </si>
  <si>
    <t>v_zQ4HbFGX7t0</t>
  </si>
  <si>
    <t>A man closing his house door and then opening his car door.</t>
  </si>
  <si>
    <t>He gets in the car and puts the keys in the ignition and starts driving down the highway to his shop.</t>
  </si>
  <si>
    <t>He gets some boards and starts sanding them down smoothing them out.</t>
  </si>
  <si>
    <t>When the day is over he turns the lights off and gets ready for work.</t>
  </si>
  <si>
    <t>v_GwIHO7HpGkY</t>
  </si>
  <si>
    <t>A man is standing on ice holding a fishing pole in his right hand and there's a very small hole in the ice in front of him and he drops his hook into the hole and tugs on his pole.</t>
  </si>
  <si>
    <t>The man then pulls on the fishing wire a few times and stands there holding his fishing pole, moving it, and winding it from time to time.</t>
  </si>
  <si>
    <t>The end of the pole begins to bend and the man starts pulling the pole and winding it up and he pulls a fish out of the hole and it lands onto the ice.</t>
  </si>
  <si>
    <t>The man grabs the fish from the ice and puts it right back into the hole he just pulled it out from while it's still attached to the hook and his wire.</t>
  </si>
  <si>
    <t>The man then begins to pull on the fishing wire, pulls his pole up and and down a few times, and then adjusts the camera.</t>
  </si>
  <si>
    <t>v_dWBnXy2nauU</t>
  </si>
  <si>
    <t>The tile screen shows up with some names.</t>
  </si>
  <si>
    <t>A man starts throwing a shot-put several different times as names scroll at the bottom.</t>
  </si>
  <si>
    <t>A group can be seen behind watch him.</t>
  </si>
  <si>
    <t>A man is behind the last one thrown.</t>
  </si>
  <si>
    <t>v_bmc11KqVbEE</t>
  </si>
  <si>
    <t>Words appear on the screen before it goes black.</t>
  </si>
  <si>
    <t>A man appears, using squeegees to wash a window in front of him while he speaks.</t>
  </si>
  <si>
    <t>He applies soap liberally before swiping it off with the rake.</t>
  </si>
  <si>
    <t>He stops cleaning the window, and says a few words in closing.</t>
  </si>
  <si>
    <t>v_4fgIHu_Se3Q</t>
  </si>
  <si>
    <t>An athlete walks up to a beam.</t>
  </si>
  <si>
    <t>He mounts quickly, spinning and turning around it and jumping between the two bars several times.</t>
  </si>
  <si>
    <t>He finally dismounts, throwing his arms into the air before walking away.</t>
  </si>
  <si>
    <t>v_kzvFQv5UCx4</t>
  </si>
  <si>
    <t>A man makes tattoos on the back head and neck of a person.</t>
  </si>
  <si>
    <t>Then, the man cleans the head and neck with a white tissue.</t>
  </si>
  <si>
    <t>After, the man continues making the tattoo on the side of the head while cleaning the paint.</t>
  </si>
  <si>
    <t>v_fXdw7jwiP8g</t>
  </si>
  <si>
    <t>A woman in a black leotard is talking on a stage.</t>
  </si>
  <si>
    <t>She starts dancing for the camera.</t>
  </si>
  <si>
    <t>She shows several dance moves as she does them.</t>
  </si>
  <si>
    <t>v_vULLe2qogZU</t>
  </si>
  <si>
    <t>Two people are playing a lacrosse game.</t>
  </si>
  <si>
    <t>They shoot at the goal and make the point.</t>
  </si>
  <si>
    <t>v_-qGmUrF_7v4</t>
  </si>
  <si>
    <t>A little girl in a room standing in front of some chairs is hitting a dora pinata.</t>
  </si>
  <si>
    <t>She hits it a few times and then its someone else's turn.</t>
  </si>
  <si>
    <t>An older girl hits it so hard that it doesn't break but the whole pinata falls down and the adults have to put it back up.</t>
  </si>
  <si>
    <t>After everyone takes their tun the little girl gets to go again, when hitting doesn't work they all grab a piece of string and pull it.</t>
  </si>
  <si>
    <t>v_kliGNOFLJSk</t>
  </si>
  <si>
    <t>people is in a court stretching and making exercise, jumping the rope and weightlifting.</t>
  </si>
  <si>
    <t>man is talking to the camera and the people practicing capoeira, doing suicides and weightlifting are training.</t>
  </si>
  <si>
    <t>v_0WRxp0X0edY</t>
  </si>
  <si>
    <t>A man and a woman anchor are talking behind a desk and several television.</t>
  </si>
  <si>
    <t>The woman is then shown alone and she begins talking.</t>
  </si>
  <si>
    <t>An ice rink then appears and a woman begins coaching a man about specific techniques for a game.</t>
  </si>
  <si>
    <t>She has a brief interview and continues coaching people on Curling.</t>
  </si>
  <si>
    <t>More people are in the gym and they continue curling and more instructors begin having interviews.</t>
  </si>
  <si>
    <t>Clips are shown from a real curling game and the people begin to wait against the wall.</t>
  </si>
  <si>
    <t>v_r_n1PfHvKI4</t>
  </si>
  <si>
    <t>There is a field with a kite laying in it.</t>
  </si>
  <si>
    <t>A man is preparing to fly the kite.</t>
  </si>
  <si>
    <t>The kite gets airborne and soars.</t>
  </si>
  <si>
    <t>v_eDMv3IHGpnA</t>
  </si>
  <si>
    <t>A man wearing very large glasses is talking into a black microphone while people behind him are dancing until he points into their direction and they all scatter off the dance floor.</t>
  </si>
  <si>
    <t>Men are dressed in red suits and each are taking turns break dancing alone as words on the screen are possibly naming the dancer.</t>
  </si>
  <si>
    <t>When the last man is dancing they all stop and strike a pose and DJ that has been playing this whole time continues to play music at his DJ station.</t>
  </si>
  <si>
    <t>v_BUqr7or97JA</t>
  </si>
  <si>
    <t>A woman and a man performs arm wrestling.</t>
  </si>
  <si>
    <t>The man raise his t-shirt sleeve until the shoulder.</t>
  </si>
  <si>
    <t>A man walks in a room behind the wrestlers.</t>
  </si>
  <si>
    <t>The man bend the woman's arm, but the woman straight her arm and bend the arm of the man and win.</t>
  </si>
  <si>
    <t>v_YL3MvJVk6u0</t>
  </si>
  <si>
    <t>A man prunes dead branches from fruit bearing plant stems in the winter.</t>
  </si>
  <si>
    <t>A man, in a field of dirt and fruit crops with bare branches from the winter, begins to prune dead branches from the fruit plants with a pruning tool and a hatchet.</t>
  </si>
  <si>
    <t>An image of the plants in fruit bearing months appears before returning to the man in the field pruning the dead branches.</t>
  </si>
  <si>
    <t>v_edbczrXeEOk</t>
  </si>
  <si>
    <t>A person is shown performing a dive off of a board while a couple people watch on the sidelines and clap.</t>
  </si>
  <si>
    <t>The person performs several more tricks off of the high dive while more people watch on the sides.</t>
  </si>
  <si>
    <t>v_EZdnNs-5tlo</t>
  </si>
  <si>
    <t>Children drives bumper cars in a carnival.</t>
  </si>
  <si>
    <t>A little girl bumps on the wall and gets stuck with other cars, then the girl gets free and continues riding.</t>
  </si>
  <si>
    <t>The little girl get stuck with other children, then she gets free and then rides the bumper car.</t>
  </si>
  <si>
    <t>v_1BWF1U1dJ_w</t>
  </si>
  <si>
    <t>A person demonstrates how to make a mini meat and cheese sandwich platter with garnish.</t>
  </si>
  <si>
    <t>A large platter of prepared sandwiches displays.</t>
  </si>
  <si>
    <t>A persons hands is seen throwing different sandwich making ingredients into a shopping cart inside of a grocery store, the ingredients include rolls and lunch meat.</t>
  </si>
  <si>
    <t>A person is then seen putting a sandwich of cheese and meat together on white bread rolls with lettuce on a counter top.</t>
  </si>
  <si>
    <t>The person cuts the rolls apart to make individual sandwiches and then adds toothpicks and strawberries along with lettuce garnish to the platter which is then focused on by the camera as the finished product.</t>
  </si>
  <si>
    <t>v_zruHn4r6_CY</t>
  </si>
  <si>
    <t>We see a sign with a mans' name.</t>
  </si>
  <si>
    <t>We see a man run and do a long jump on different tracks repeatedly with his name on a sign occasionally.</t>
  </si>
  <si>
    <t>We see the man on a blue track with ad signs.</t>
  </si>
  <si>
    <t>The man tumbles on his landing.</t>
  </si>
  <si>
    <t>The man lands on his back.</t>
  </si>
  <si>
    <t>The screen fades to black.</t>
  </si>
  <si>
    <t>v_e51NGAPMp1s</t>
  </si>
  <si>
    <t>A man sinks underwater in a pool.</t>
  </si>
  <si>
    <t>The man sinks underwater in a pool backwards.</t>
  </si>
  <si>
    <t>Text is shown on a black screen.</t>
  </si>
  <si>
    <t>v_yDrTpm9c7MY</t>
  </si>
  <si>
    <t>woman is sitting on a wooden bench talking to the camera.</t>
  </si>
  <si>
    <t>woman is doing somersaults on a large green grassy field.</t>
  </si>
  <si>
    <t>woman is making a jump and slide and fell into the grass.</t>
  </si>
  <si>
    <t>v_Ta70WnVT6Lc</t>
  </si>
  <si>
    <t>A video is shown of skateboarders at an outdoor skatepark.</t>
  </si>
  <si>
    <t>Interviews are shown and then a few races are shown.</t>
  </si>
  <si>
    <t>v_TEkIJQljABs</t>
  </si>
  <si>
    <t>A small child seated at a table eats ice cream with a spoon while people walk by in the background.</t>
  </si>
  <si>
    <t>A pair of adult hands briefly enter the camera frame in the foreground.</t>
  </si>
  <si>
    <t>The child inserts her spoon into her ice cream container on the table.</t>
  </si>
  <si>
    <t>The child complains about something.</t>
  </si>
  <si>
    <t>The camera zooms in on the ice cream.</t>
  </si>
  <si>
    <t>v_-ROljbRVlos</t>
  </si>
  <si>
    <t>A person is seen standing on a court wearing stilts on his feet.</t>
  </si>
  <si>
    <t>The boy then begins running down the court on the stilts.</t>
  </si>
  <si>
    <t>The boy dunks a small ball into the basket and walks back to grab it.</t>
  </si>
  <si>
    <t>v_Wgm-mYzdnxc</t>
  </si>
  <si>
    <t>A man is seen using a power drill in a large bowl filled with chocolate.</t>
  </si>
  <si>
    <t>Another person hands him a blender but the man continues using the drill in the bowl.</t>
  </si>
  <si>
    <t>v_oLEagb_RGq8</t>
  </si>
  <si>
    <t>A young woman is seen standing behind a lawn mower in a yard.</t>
  </si>
  <si>
    <t>She begins pushing the lawn mower along the yard.</t>
  </si>
  <si>
    <t>She moves herself back on the lawn and looks into the camera.</t>
  </si>
  <si>
    <t>v_lnx8WSmcLF8</t>
  </si>
  <si>
    <t>A gymnast performs a routine on the horizontal bars.</t>
  </si>
  <si>
    <t>The gymnast spins and turns from one bar to the other, also holding on one hand.</t>
  </si>
  <si>
    <t>Then, the gymnast spins and jumps stand on the floor, then a flashback of the routine is presented.</t>
  </si>
  <si>
    <t>v_i5K-DXt9djA</t>
  </si>
  <si>
    <t>A man and woman are riding bikes quickly down a paved street.</t>
  </si>
  <si>
    <t>they stop, pumping air into their tires.</t>
  </si>
  <si>
    <t>they then replace the tubes and get back on their bikes.</t>
  </si>
  <si>
    <t>They continue riding down the road.</t>
  </si>
  <si>
    <t>v_bdDzTqaiB3E</t>
  </si>
  <si>
    <t>A woman is standing in the bathtub using the shower to wash her clothes.</t>
  </si>
  <si>
    <t>She kicks the clothes around and steps around and kind of dances on them.</t>
  </si>
  <si>
    <t>Her boyfriend is recording her and himself in the mirror.</t>
  </si>
  <si>
    <t>He continues to watch her as she steps on the clothed, and then he turns the camera to his mother.</t>
  </si>
  <si>
    <t>v_1SouLWwpbvU</t>
  </si>
  <si>
    <t>Several people are in a small room dressed in work out clothes going up and and on the stair step.</t>
  </si>
  <si>
    <t>They then turn around and start to dance on the stair step and intensifying the workout.</t>
  </si>
  <si>
    <t>Midway through,the instructor gets off and walks around while the rest of the class continues.</t>
  </si>
  <si>
    <t>After,the grab the stair step,place it against the wall and come back to their spots for the remainder of the workout.</t>
  </si>
  <si>
    <t>v_9ddD5Ob93J0</t>
  </si>
  <si>
    <t>Steven Richardson, a store manager, discusses the topic of tire care for vehicles with 4 wheel drive.</t>
  </si>
  <si>
    <t>He explains that mismatched tires on 4 wheel drive vehicles cause wear and tear.</t>
  </si>
  <si>
    <t>He recommend that all 4 tires should be replaced at the same time.</t>
  </si>
  <si>
    <t>He advertises the website belletire dot com and says to use it to find a location near you.</t>
  </si>
  <si>
    <t>v_sNnNDCx6RRA</t>
  </si>
  <si>
    <t>A ballerina is seen walking out onto a stage and leads into her performing a ballet routine.</t>
  </si>
  <si>
    <t>The girl spins herself around on her shoes while the audience watches her.</t>
  </si>
  <si>
    <t>She continues spinning and twirling around and ends by holding a pose and bowing.</t>
  </si>
  <si>
    <t>v_cJcr6kWylI8</t>
  </si>
  <si>
    <t>A barefoot man is touching up a piece of wood furniture with a brush.</t>
  </si>
  <si>
    <t>He then moves the piece around to show the scuffs and buffs them out with a brush.</t>
  </si>
  <si>
    <t>The man shows the cleaned edges with his fingers.</t>
  </si>
  <si>
    <t>v_E1Xsc4kfFRE</t>
  </si>
  <si>
    <t>A couple of kids are cheering at a bowling alley.</t>
  </si>
  <si>
    <t>They join other children, arguing over a bowling ball.</t>
  </si>
  <si>
    <t>They pick a ball, then bowl it down the lane.</t>
  </si>
  <si>
    <t>v_YptHsVTHquc</t>
  </si>
  <si>
    <t>A group of people are dancing around each other.</t>
  </si>
  <si>
    <t>A girl moves around with a hula hoop doing various movements.</t>
  </si>
  <si>
    <t>The People continuing dancing around her in various motions.</t>
  </si>
  <si>
    <t>The girl spins her hula hoop around her head.</t>
  </si>
  <si>
    <t>v_8YkCDiVc7RI</t>
  </si>
  <si>
    <t>Two girls are seen speaking and waving to the camera that lead into them performing several jumps and tricks on a mat.</t>
  </si>
  <si>
    <t>the girls continue taking turns flipping all around the mat in the area as well as speaking to the camera and waving.</t>
  </si>
  <si>
    <t>v_YcAs1-6SYb4</t>
  </si>
  <si>
    <t>A woman is standing with a ball on a string.</t>
  </si>
  <si>
    <t>She is in a competition for athletics.</t>
  </si>
  <si>
    <t>She swings the ball around numerous times, then legs go and cheers as it lands far into the field.</t>
  </si>
  <si>
    <t>v_zvAlL20-K4w</t>
  </si>
  <si>
    <t>An athlete is seen standing ready in the middle of a small circle and then throws a shot put off into the distance.</t>
  </si>
  <si>
    <t>The man walks away shaking his arms and his throw is shown again several times.</t>
  </si>
  <si>
    <t>Several more athletes are shown stepping up to the platform throwing the shot put and ending with a man in a hat speaking to the audience.</t>
  </si>
  <si>
    <t>v_XSfG1M-Ik_A</t>
  </si>
  <si>
    <t>A lady in a bra and panties grabs and throws a shotput.</t>
  </si>
  <si>
    <t>IT goes through a window on a house and a cat runs.</t>
  </si>
  <si>
    <t>The man looks outside and sees the lady.</t>
  </si>
  <si>
    <t>the lady uses a pole to pole vault into the second story window and jump on the man.</t>
  </si>
  <si>
    <t>We see the title screen and the man's pants fly out the window.</t>
  </si>
  <si>
    <t>v_d6lajCxMhPE</t>
  </si>
  <si>
    <t>A person holding a broom cleans the floor back and forth.</t>
  </si>
  <si>
    <t>The person turn the broom to collect the dust.</t>
  </si>
  <si>
    <t>v_SfFjpnTKG7s</t>
  </si>
  <si>
    <t>Athletes runs on an outdoors track of a field and pole vault during practice.</t>
  </si>
  <si>
    <t>An athlete runs and pole vaults during an Olympic competition in a stadium.</t>
  </si>
  <si>
    <t>Athletes make a practice jumps and dive under the rope and onto the mat.</t>
  </si>
  <si>
    <t>v_NT0dXbWzt7w</t>
  </si>
  <si>
    <t>A little boy is filling an ice cream cone with ice cream.</t>
  </si>
  <si>
    <t>He licks the ice cream cone.</t>
  </si>
  <si>
    <t>He lifts the ice cream cone up to show the camera.</t>
  </si>
  <si>
    <t>v_yDWOqabreoU</t>
  </si>
  <si>
    <t>A girls has a pole and she is blindfolded.</t>
  </si>
  <si>
    <t>She swings at a pinata and misses.</t>
  </si>
  <si>
    <t>She steps closer and tries again, hitting it this time.</t>
  </si>
  <si>
    <t>She backs up as a dog comes into the picture.</t>
  </si>
  <si>
    <t>She keeps swinging at missing.</t>
  </si>
  <si>
    <t>She stops for moment, takes a hard swing and hits it.</t>
  </si>
  <si>
    <t>v_C1TWr5XH8b0</t>
  </si>
  <si>
    <t>Various text is shown across the screen and leads into a man speaking and more tools being shown.</t>
  </si>
  <si>
    <t>The man rubs the tools along his skin and points back and fourth to the vacuum while speaking.</t>
  </si>
  <si>
    <t>v_fljxcvQe_Mo</t>
  </si>
  <si>
    <t>The top shingle of a roof dangles unsecured.</t>
  </si>
  <si>
    <t>A man on a roof hammers a nail into the shingle, securing the shingle.</t>
  </si>
  <si>
    <t>v_hj88A5tvA0Y</t>
  </si>
  <si>
    <t>Various people are seen walking around a beach leading into men tightening up a rope and bouncing on the rope.</t>
  </si>
  <si>
    <t>Several people perform many tricks and jumps on the rope while others stand and watch on the side.</t>
  </si>
  <si>
    <t>v_tYyTrDyzB6o</t>
  </si>
  <si>
    <t>A person is seen riding in a tube down a river while the camera zooms in on a persons feet.</t>
  </si>
  <si>
    <t>The people in tubes ride past others in the water.</t>
  </si>
  <si>
    <t>More people are seen riding down the river in tubes.</t>
  </si>
  <si>
    <t>v_yuYqFaAnTxI</t>
  </si>
  <si>
    <t>A series of clips of the same woman performing pole vaults at different professional athletic events plays.</t>
  </si>
  <si>
    <t>A woman holding a pole runs on a track toward a goal line and performs a pole vault in front of event onlookers and supporters.</t>
  </si>
  <si>
    <t>The woman is then shown at two more event performing the same pole vault surrounded by onlookers and score takers.</t>
  </si>
  <si>
    <t>v_o8RIoxL9FDE</t>
  </si>
  <si>
    <t>A woman stands in front of a mirror and rinses her mouth before pulling her face close to the mirror and looking at her teeth from a close up angle.</t>
  </si>
  <si>
    <t>A woman sits in front of a bathroom mirror squishing water in her mouth, as if rinsing her mouth.</t>
  </si>
  <si>
    <t>The woman then spits the water into the sink and looks at her teeth very close in the mirror before the scene fades out.</t>
  </si>
  <si>
    <t>v_mBsIWxXJPY0</t>
  </si>
  <si>
    <t>We see people on skis falling hard.</t>
  </si>
  <si>
    <t>We see a person fly into a snow pile.</t>
  </si>
  <si>
    <t>A person skis and falls as they jump across a street.</t>
  </si>
  <si>
    <t>A person on skis is holding a line and falls then a person in white crashes into another and they both fall.</t>
  </si>
  <si>
    <t>A snowboarder can't hold the line and knocks over a person helping and falls himself.</t>
  </si>
  <si>
    <t>v_dJAZplo9ke0</t>
  </si>
  <si>
    <t>A river surrounded by rocks apperas.</t>
  </si>
  <si>
    <t>Several people are floating through it in intertubes.</t>
  </si>
  <si>
    <t>They float down the river together through the rapids.</t>
  </si>
  <si>
    <t>v_f025sQGYfJM</t>
  </si>
  <si>
    <t>A man and a man in green shirt is decorating the Christmas tree with his kid in gray shirt, they are putting the decorations while the woman is sitting on a chair by the tree and put the decors on the blue table.</t>
  </si>
  <si>
    <t>The lady helped the man and child to hang the decor in the Christmas tree, the man handed some decorations to the lady and she put it on the tree.</t>
  </si>
  <si>
    <t>The woman sat on the chair to arrange the christmas ball on the table, and helped them with the decorations.</t>
  </si>
  <si>
    <t>A lady in black top put more decorations to the christmas tree.</t>
  </si>
  <si>
    <t>v_9bUNAiuRXyo</t>
  </si>
  <si>
    <t>A boy walks up to a post on a very large indoor court.</t>
  </si>
  <si>
    <t>He gets himself ready, moving his arms around.</t>
  </si>
  <si>
    <t>He begins to spin around very quickly.</t>
  </si>
  <si>
    <t>Finally letting go and throwing the ball.</t>
  </si>
  <si>
    <t>v_XSnPmf41ToA</t>
  </si>
  <si>
    <t>A woman slaps her cheek as she prepares on a field.</t>
  </si>
  <si>
    <t>She swings a ball around several times.</t>
  </si>
  <si>
    <t>She lets go, letting the ball fly through the air.</t>
  </si>
  <si>
    <t>v_Po3-9ktM5Do</t>
  </si>
  <si>
    <t>A woman wearing a black top and with curly brown hair and bronze highlights is demonstrating how to use a diffuser to dry hair.</t>
  </si>
  <si>
    <t>She is using the blow dryer on medium heat to dry her hair.</t>
  </si>
  <si>
    <t>She blow dries the curls till the moisture from the hair is gone.</t>
  </si>
  <si>
    <t>After she's done using the blow dryer, she uses a wide tooth comb to comb through her curls.</t>
  </si>
  <si>
    <t>She then poofs up her hair and shows off her luscious curls.</t>
  </si>
  <si>
    <t>v_3EuY86B4uTo</t>
  </si>
  <si>
    <t>A helicopter flies in some people who then start playing paintball.</t>
  </si>
  <si>
    <t>They run around obstacles and have a great time.</t>
  </si>
  <si>
    <t>v_wQbVxdVTN-I</t>
  </si>
  <si>
    <t>A boy holds an axe outside.</t>
  </si>
  <si>
    <t>He swings the axe at a stump.</t>
  </si>
  <si>
    <t>Another boy is shown doing the same thing.</t>
  </si>
  <si>
    <t>They continue to try to split the wood.</t>
  </si>
  <si>
    <t>v_nnUYbsoLNqo</t>
  </si>
  <si>
    <t>The start of a race is shown as people run by and the finish is also shown.</t>
  </si>
  <si>
    <t>People in costumes are shown and people are generally having a great time.</t>
  </si>
  <si>
    <t>v_NEthbdTgx-M</t>
  </si>
  <si>
    <t>An intro leads into several shots of people riding down snowy hills and climbing up the side.</t>
  </si>
  <si>
    <t>Two people speak to the camera and show more shots of them climbing a mountain and various shots of the mountain.</t>
  </si>
  <si>
    <t>The people then ride around on skis while still speaking to the camera and show several shots of them riding down the snowy mountain.</t>
  </si>
  <si>
    <t>v_aJsDVKt5Igs</t>
  </si>
  <si>
    <t>Two women and a little girl are walking outdoors, showing the little girl a group of boys in the distance.</t>
  </si>
  <si>
    <t>They throw a ball, and the girl kicks it before being led to a base.</t>
  </si>
  <si>
    <t>The group gathers together to congratulate her.</t>
  </si>
  <si>
    <t>v_icm5lX5pZE0</t>
  </si>
  <si>
    <t>A man is seen sitting behind a desk working on a computer.</t>
  </si>
  <si>
    <t>Several shots are shown of people printing off paper as well as paper close up.</t>
  </si>
  <si>
    <t>More clips are shown of people hanging up the wallpaper as well as shots of the city.</t>
  </si>
  <si>
    <t>v_E50d5qFvzOI</t>
  </si>
  <si>
    <t>A video begins showing a man and woman holding each other and moving back and fourth.</t>
  </si>
  <si>
    <t>The couple moves their feet back and fourth while the man speaks to the camera.</t>
  </si>
  <si>
    <t>The woman eventually speaks the camera while performing several different dance moves for the camera to see.</t>
  </si>
  <si>
    <t>v_8kjYbv52EcI</t>
  </si>
  <si>
    <t>Several canoes are shown in idle in murky water.</t>
  </si>
  <si>
    <t>Then a set of boys begin kayaking in the water and jumping off the trees.</t>
  </si>
  <si>
    <t>v__L8VrJYsOAQ</t>
  </si>
  <si>
    <t>A person is washing their hands in a sink.</t>
  </si>
  <si>
    <t>Two women are standing by the sink washing their hands.</t>
  </si>
  <si>
    <t>v_vQ8NJRCSyb4</t>
  </si>
  <si>
    <t>Two men on one knee demonstrate a hip flexxer stretch in a therapy gym.</t>
  </si>
  <si>
    <t>The man wearing a black t-shirt uses the man wearing a green t-shirt as a model to demonstrate the hip flexxer stretch.</t>
  </si>
  <si>
    <t>The man in the black t-shirt adjusts the man in the green -t shirt a into different positions by slight positioning of the foot, leg, hips and arms.</t>
  </si>
  <si>
    <t>v_rqraLuIBvyg</t>
  </si>
  <si>
    <t>The credits of the clips is shown.</t>
  </si>
  <si>
    <t>A woman is outside next to a pile of snow.</t>
  </si>
  <si>
    <t>A guy picks up a shovel land shovels snow off to the side.</t>
  </si>
  <si>
    <t>The guy puts down the shovel and stretches his back backwards twice.</t>
  </si>
  <si>
    <t>The guy picks up the shovel and continues to shovel snow.</t>
  </si>
  <si>
    <t>v_JGKjMJm0HRI</t>
  </si>
  <si>
    <t>A close up shot of children are seen riding around a bumper car game and running into one another.</t>
  </si>
  <si>
    <t>Two boys are seen bumping in to one another with several other kids riding around and hitting each other.</t>
  </si>
  <si>
    <t>v_ORL5yMppl8E</t>
  </si>
  <si>
    <t>A kid fills a pot with water.</t>
  </si>
  <si>
    <t>He puts the pot on a stove and puts a lid on it.</t>
  </si>
  <si>
    <t>He adds salt and pasta to the pot.</t>
  </si>
  <si>
    <t>He puts the lid back on the pot.</t>
  </si>
  <si>
    <t>He stirs the pot and pours the pasta into a strainer.</t>
  </si>
  <si>
    <t>He pours the pasta back into the pan.</t>
  </si>
  <si>
    <t>He adds sauce and stirs it together.</t>
  </si>
  <si>
    <t>v_0CTnYEE7rdo</t>
  </si>
  <si>
    <t>A man is skateboarding down a city street.</t>
  </si>
  <si>
    <t>He is seen talking to the camera in the middle of the road.</t>
  </si>
  <si>
    <t>Then we see him doing several different stunts as he winds in and out of traffic.</t>
  </si>
  <si>
    <t>v_2YSsqivrvR4</t>
  </si>
  <si>
    <t>A person is seen sitting on the edge of a bed carrying a guitar.</t>
  </si>
  <si>
    <t>The person begins playing the guitar while looking over to the camera.</t>
  </si>
  <si>
    <t>The man continues playing and stops moving his hand out of frame.</t>
  </si>
  <si>
    <t>v_P9jIpcRGeOk</t>
  </si>
  <si>
    <t>Several people are shown in images gathered outside a building.</t>
  </si>
  <si>
    <t>Two cartoon sumo wrestlers are engaged in a fight.</t>
  </si>
  <si>
    <t>They body slam each other as a referee watches.</t>
  </si>
  <si>
    <t>v_MAXfslyf7Dw</t>
  </si>
  <si>
    <t>Sumos are standing in front of each other in a dust court and a referee dress in white suit is watching them.</t>
  </si>
  <si>
    <t>men stat wrestling and one of them if taking off the court.</t>
  </si>
  <si>
    <t>v_nh1GBPeyyMo</t>
  </si>
  <si>
    <t>A person's hands are seen cutting a piece of paper with scissors and then wrapping a box with paper.</t>
  </si>
  <si>
    <t>She tapes down the present and ties it in a bowl, finishes by cutting the excess string and placing a tag on top.</t>
  </si>
  <si>
    <t>v_McFsP60TqH4</t>
  </si>
  <si>
    <t>A young child is seen sitting on the floor brushing her hair in front of a mirror.</t>
  </si>
  <si>
    <t>The girl continues to brush her hair and ends with her watching a video and speaking to the camera.</t>
  </si>
  <si>
    <t>v_Damu3T2Yy0M</t>
  </si>
  <si>
    <t>Two men are seen speaking to the camera when another walks into frame laughing and walks away.</t>
  </si>
  <si>
    <t>The men continue speaking then lead into an arm wrestling match between the two.</t>
  </si>
  <si>
    <t>One beats the other and flexes his arms to the camera while smiling.</t>
  </si>
  <si>
    <t>v_W1Cp1UyY8S8</t>
  </si>
  <si>
    <t>A man is power washing a fence.</t>
  </si>
  <si>
    <t>It cuts to him power washing a different section.</t>
  </si>
  <si>
    <t>It fades to an open shot of the fence.</t>
  </si>
  <si>
    <t>v_YoDlwg4eAEA</t>
  </si>
  <si>
    <t>Several alternating images of dishes of food appear.</t>
  </si>
  <si>
    <t>A recipe for greek dressing begins.</t>
  </si>
  <si>
    <t>The ingredients made from oilsand powders are mixed together and shaken in a jar, and poured onto a salad.</t>
  </si>
  <si>
    <t>It is then topped with blocks of cheese.</t>
  </si>
  <si>
    <t>v_jqLwYHwYYPM</t>
  </si>
  <si>
    <t>A black screen appears and the yellow words appear on them read "Extreme How-To presents".</t>
  </si>
  <si>
    <t>The second black screen has yellow words that read "Installing Heated Floor Tile".</t>
  </si>
  <si>
    <t>A man is now standing and talking in the corner of a residential home, dressed in a long sleeved button up black shirt, brown long pants, shoes and wearing a hat.</t>
  </si>
  <si>
    <t>The man walks away from the corner and the next view is of a kneeling man using a tool to remove base molding from a wall, using a drill gun, measuring with a long ruler, then laying on the ground gray pieces of fabric with some wires attached to it.</t>
  </si>
  <si>
    <t>The man is then shown pressing buttons on a little white box and the man is now pointing to those wires attached to those gray pieces of fabric and the man starts putting wires into a gray pipe that is now shown on the wall.</t>
  </si>
  <si>
    <t>The man is back on the ground with a long tape measure and measuring the ground.</t>
  </si>
  <si>
    <t>The man is now holding a tile with ridges on all four sides and he takes a mallet and a tool to gently pound the pieces together.</t>
  </si>
  <si>
    <t>When the man reaches the wall he uses a pencil to measure the tile, takes it to a wet tile cutter and cuts it.</t>
  </si>
  <si>
    <t>The man is back in the house and piecing a small tile near some cabinets, then the man begins to grout, and uses a large,wet, yellow sponge to clean up the excess grout.</t>
  </si>
  <si>
    <t>The talking man from earlier appears back in the corner talking and yellow words appear on the screen that contain websites.</t>
  </si>
  <si>
    <t>v_pEr9p5-qUsU</t>
  </si>
  <si>
    <t>Several tables are set up in a large room.</t>
  </si>
  <si>
    <t>Several groups are playing beer pong.</t>
  </si>
  <si>
    <t>Some people are cheering about winning.</t>
  </si>
  <si>
    <t>Others look upset about losing.</t>
  </si>
  <si>
    <t>v_SZXscHYG26Y</t>
  </si>
  <si>
    <t>The person is parasailing, he is holding the sail.</t>
  </si>
  <si>
    <t>The man is moving forwards towards the island.</t>
  </si>
  <si>
    <t>The person has his feet on the parasail board.</t>
  </si>
  <si>
    <t>v_2qN85UKyL2s</t>
  </si>
  <si>
    <t>We see a man and a woman playing pool.</t>
  </si>
  <si>
    <t>The lady takes her turn shooting the ball.</t>
  </si>
  <si>
    <t>We see bright camera flashes.</t>
  </si>
  <si>
    <t>We see the lady taking the photos.</t>
  </si>
  <si>
    <t>The lady hands her pool stick to a man and shakes his hand.</t>
  </si>
  <si>
    <t>She shakes another man's hand and leaves.</t>
  </si>
  <si>
    <t>v_A5-gsreb2zY</t>
  </si>
  <si>
    <t>A woman gets her nose clamped by a man sitting behind her head.</t>
  </si>
  <si>
    <t>He pierces through her septum.</t>
  </si>
  <si>
    <t>He cuts it and removes the clamp.</t>
  </si>
  <si>
    <t>The man puts an earring through the hole.</t>
  </si>
  <si>
    <t>He puts qtips in her nose to catch the blood.</t>
  </si>
  <si>
    <t>v_dmiLuqRB09U</t>
  </si>
  <si>
    <t>A woman is sitting on a chair.</t>
  </si>
  <si>
    <t>She gets a dermal piercing in her cheek.</t>
  </si>
  <si>
    <t>The girl shows the piercing and smiles.</t>
  </si>
  <si>
    <t>v_PRLlYhneNMk</t>
  </si>
  <si>
    <t>Two people are seen wearing funny hates and standing behind a table speaking to the camera.</t>
  </si>
  <si>
    <t>They then quickly wrap a present and show off a better present underneath.</t>
  </si>
  <si>
    <t>More shots are shown of them wrapping as they quickly move around and speaking to the camera.</t>
  </si>
  <si>
    <t>v_s3EHHOAkQYE</t>
  </si>
  <si>
    <t>A person is seen riding in a car panning to others while following behind a large group of people on bikes.</t>
  </si>
  <si>
    <t>The driver hands people water on the side as well as pulling them in to fix a bike.</t>
  </si>
  <si>
    <t>The car continues to follow and help the man as well as stopping to change a wheel and climbing back in the car.</t>
  </si>
  <si>
    <t>v_vjCKf3el7pM</t>
  </si>
  <si>
    <t>A man is seen looking closely into the camera followed by a person wake boarding and performing various tricks.</t>
  </si>
  <si>
    <t>Several shots are shown of people doing tricks along the water while the boat pulls them from the front.</t>
  </si>
  <si>
    <t>v_0fw8it7Gj7k</t>
  </si>
  <si>
    <t>A man is seen holding up a piece of wood and rubbing it down while speaking to the camera and spraying down polish.</t>
  </si>
  <si>
    <t>The man wipes down the polish with a rag while continuing to speak to the camera and holding up the piece of wood in the end.</t>
  </si>
  <si>
    <t>v_IV47aK7qJdY</t>
  </si>
  <si>
    <t>The dry brown and yellow leaves are on the ground, on top of green grass.</t>
  </si>
  <si>
    <t>A man with a leaf blower on his hand started to blew the leaves towards the center of the field.</t>
  </si>
  <si>
    <t>The man blew the leaves from the side of the road towards the tree, while another man with leaf blower walks on other side of the walkway.</t>
  </si>
  <si>
    <t>v_7Sfl-Fmr_3E</t>
  </si>
  <si>
    <t>A man is shown working on a fence in the backyard.</t>
  </si>
  <si>
    <t>The man wears a blue outfit as he paints the wooden fence a red color.</t>
  </si>
  <si>
    <t>The man cleans the paint off of boards.</t>
  </si>
  <si>
    <t>v_Ux4brKS0Sac</t>
  </si>
  <si>
    <t>A man is seen speaking to the camera while putting a box around some paper.</t>
  </si>
  <si>
    <t>He wraps the box in paper while using scissors to cut around the sides.</t>
  </si>
  <si>
    <t>The man tapes up the box and presents it to the camera.</t>
  </si>
  <si>
    <t>v_VDX1IQnUMgo</t>
  </si>
  <si>
    <t>A news anchor is standing behind a table with papers on it talking as a man is picture swimming on the television screen behind him.</t>
  </si>
  <si>
    <t>After,a group of people are in a pool playing a game of water polo making goals.</t>
  </si>
  <si>
    <t>A coach is then shown in a hallway as the people come back and continue playing the game before a football game then shows.</t>
  </si>
  <si>
    <t>v_sEENChh3zno</t>
  </si>
  <si>
    <t>A girl is seen jumping items into water and scrubbing a pan with a brush.</t>
  </si>
  <si>
    <t>She continues speaking to the camera as well as into the pan and demonstrating how to properly clean a pan.</t>
  </si>
  <si>
    <t>v_jpvgI6bNO1g</t>
  </si>
  <si>
    <t>A camera pans all around a forest and leads into a rope tied to a tree.</t>
  </si>
  <si>
    <t>A person is seen tightening the rope followed by walking along the rope.</t>
  </si>
  <si>
    <t>Several people are seen walking on the rope as well as bouncing and performing tricks.</t>
  </si>
  <si>
    <t>v_doAvtD_jgiY</t>
  </si>
  <si>
    <t>We see a girl in gold doing a baton routine.</t>
  </si>
  <si>
    <t>The girl does a flip.</t>
  </si>
  <si>
    <t>the girls spins repeatedly and catches her baton.</t>
  </si>
  <si>
    <t>The girl spins and two batons roll in and she grabs each.</t>
  </si>
  <si>
    <t>The girl spins, catches her baton and poses for her finish as the crowd claps.</t>
  </si>
  <si>
    <t>v_h4phcAYe0aE</t>
  </si>
  <si>
    <t>A person is raking leaves into a pile.</t>
  </si>
  <si>
    <t>A little boy is picking up the leaves and playing in the pile.</t>
  </si>
  <si>
    <t>The boy picks up a rake and starts raking the leaves.</t>
  </si>
  <si>
    <t>v_XsqslHC79FQ</t>
  </si>
  <si>
    <t>There's a young girl wearing a brown sweater playing the violin.</t>
  </si>
  <si>
    <t>She strings the violin with her left hand while she uses the bow stick with her right hand.</t>
  </si>
  <si>
    <t>She continues playing her tune on the violin with full concentration without pausing.</t>
  </si>
  <si>
    <t>She constantly looks down at the violin as she plays the notes.</t>
  </si>
  <si>
    <t>After she finishes playing the violin, she smiles and walks away.</t>
  </si>
  <si>
    <t>v_EJiyr-6l3ps</t>
  </si>
  <si>
    <t>A video of clipping a cats toenails is shown.</t>
  </si>
  <si>
    <t>Each paw is grabbed and the nail is pushed out and trimmed.</t>
  </si>
  <si>
    <t>The cat is oddly calm the whole time.</t>
  </si>
  <si>
    <t>v_joehK-w2bCc</t>
  </si>
  <si>
    <t>A man is walking in a room.</t>
  </si>
  <si>
    <t>A girl is dancing in front of a mirror in the room.</t>
  </si>
  <si>
    <t>He watches her from outside the room.</t>
  </si>
  <si>
    <t>v_MCsGSMze_6Q</t>
  </si>
  <si>
    <t>There is a black and white TV show with two men on a stage talking and laughing.</t>
  </si>
  <si>
    <t>The right man gets up and walks to a piano.</t>
  </si>
  <si>
    <t>The man plays a grand piano.</t>
  </si>
  <si>
    <t>The man finishes and stands up.</t>
  </si>
  <si>
    <t>The men shake hands and the piano player walks away and the host talks and shimmies a bit.</t>
  </si>
  <si>
    <t>v_8KPk9pH4wWw</t>
  </si>
  <si>
    <t>An athlete is seen waving his hands to the crowd and clapping followed by him running over a beam.</t>
  </si>
  <si>
    <t>His same shot is shown again in slow motion and hes seen speaking to a man.</t>
  </si>
  <si>
    <t>v_yaK-giAk4e8</t>
  </si>
  <si>
    <t>A group of young men are in a kitchen, playing a game of beer pong.</t>
  </si>
  <si>
    <t>They cheer as they get the ball into a cup.</t>
  </si>
  <si>
    <t>A woman appears, and picks up one of the cups.</t>
  </si>
  <si>
    <t>v_NO5J7RjTTTo</t>
  </si>
  <si>
    <t>Two boys at a young age are playing fooseball with each other.</t>
  </si>
  <si>
    <t>One grab the ball and puts it back into play.</t>
  </si>
  <si>
    <t>The boys continue to play the game back and fourth on the tabs.</t>
  </si>
  <si>
    <t>v_C7UEAqu1KtY</t>
  </si>
  <si>
    <t>A camera pans around a yard leading to a rake sitting up against a trash can.</t>
  </si>
  <si>
    <t>A man is seen stretching off into the distance and begins raking the leaves.</t>
  </si>
  <si>
    <t>He picks the leaves up and throws them in the trash as well as onto a blanket and handing it to a girl.</t>
  </si>
  <si>
    <t>v_FGdCWm4gI3M</t>
  </si>
  <si>
    <t>A collection of skateboards lined up on a street in the upward position on their wheels and upside down on the platform.</t>
  </si>
  <si>
    <t>A skateboarder wearing a white helmet skates by followed by another skateboarder while the camera pans a group of skateboarder spectators watching from the street curb.</t>
  </si>
  <si>
    <t>A group of skateboarders perform tricks and maneuvers up and down the street.</t>
  </si>
  <si>
    <t>A view of a vehicle loaded with skateboards and skateboarding equipment.</t>
  </si>
  <si>
    <t>Another view of the skateboards lined up on the street in the upright position.</t>
  </si>
  <si>
    <t>Spectators watch from the street curb while a group of skateboarders take turns skating down hill and making a sharp spin stop at a designated spot.</t>
  </si>
  <si>
    <t>v_yGPzIGJ_2B8</t>
  </si>
  <si>
    <t>woman is walking in a green grassy backyard.</t>
  </si>
  <si>
    <t>man is standing in a bacyard in front of a fence with a machine in front of him.</t>
  </si>
  <si>
    <t>woman is in the backyard and a man is behind her using a lawn mower to cut the grass.</t>
  </si>
  <si>
    <t>man is walking with some white plastic bags on the cloth.</t>
  </si>
  <si>
    <t>v_XsCND4lDiqA</t>
  </si>
  <si>
    <t>An old man threw the yellow ball in the cup and it bounced back on the table.</t>
  </si>
  <si>
    <t>The old man in black shirt threw the ball and landed on the table.</t>
  </si>
  <si>
    <t>A man threw the ball back and the man in black shirt take the ball from the cup and threw it but landed outside the table.</t>
  </si>
  <si>
    <t>v_uj0UBMgR2gk</t>
  </si>
  <si>
    <t>We see a man in an orchestra making faces.</t>
  </si>
  <si>
    <t>The man then stands and plays the violin.</t>
  </si>
  <si>
    <t>We see people at lockers.</t>
  </si>
  <si>
    <t>We go back to the man playing the violin.</t>
  </si>
  <si>
    <t>We see the people in the locker.</t>
  </si>
  <si>
    <t>We see the playing man and then the crowd stands and claps.</t>
  </si>
  <si>
    <t>The man smiles and waves.</t>
  </si>
  <si>
    <t>v_mNq0NksbsZ4</t>
  </si>
  <si>
    <t>People are long boarding down a hill.</t>
  </si>
  <si>
    <t>A silver truck is parked next to the hill.</t>
  </si>
  <si>
    <t>A person falls off the long board onto the pavement.</t>
  </si>
  <si>
    <t>v_FkMk9TZdea0</t>
  </si>
  <si>
    <t>White text says in memory of Paul Walker.</t>
  </si>
  <si>
    <t>A person is shown using a small brush to create an image of Paul Walker.</t>
  </si>
  <si>
    <t>Each detail is drawn one at a time, producing the final completed image.</t>
  </si>
  <si>
    <t>v_cqVvHj1oC-8</t>
  </si>
  <si>
    <t>Two people are seen hosting a news segment that leads into clips of people scraping off their cars.</t>
  </si>
  <si>
    <t>A woman is seen speaking to the camera while scraping off her car and holding up products to help.</t>
  </si>
  <si>
    <t>More people are seen speaking to the camera and showing off their methods of melting ice and leading back to the two reporters.</t>
  </si>
  <si>
    <t>v_ubgCjUUmP9I</t>
  </si>
  <si>
    <t>A male gymnast dressed red and white leotards is performing on a horse bar.</t>
  </si>
  <si>
    <t>He climbs up the horse bar and does backhand springs.</t>
  </si>
  <si>
    <t>He continues swiftly over the horse bar as he raises his body by pushing his body weight on his arms.</t>
  </si>
  <si>
    <t>He continues doing front and back hand springs.</t>
  </si>
  <si>
    <t>After he's done, he gets off the bar and walks towards the judges and other contestants.</t>
  </si>
  <si>
    <t>The spectators cheer for him and the judges shake hands with the gymnast.</t>
  </si>
  <si>
    <t>v_2P555wnyj_8</t>
  </si>
  <si>
    <t>A man is standing in a room melting down an object with a utensil that is creating several sparks.</t>
  </si>
  <si>
    <t>Another male then walks behind the person and puts on a helmet for protection as he watches the man in front of him.</t>
  </si>
  <si>
    <t>v_jVp2BsFOIVA</t>
  </si>
  <si>
    <t>Three kids swinging on the play set in the back yard.</t>
  </si>
  <si>
    <t>One of the boys climb and slides down the slide.</t>
  </si>
  <si>
    <t>More kids join and and they go down the slide together and move around the set very quickly.</t>
  </si>
  <si>
    <t>They start to swing on their tummies and just overall having a great time playing.</t>
  </si>
  <si>
    <t>v_98SSjNuSxvM</t>
  </si>
  <si>
    <t>A series of words appear across the screen and they inform us that the men are attempting to row across the Atlantic.</t>
  </si>
  <si>
    <t>A man is then shown outside on his patio rowing and words indicate that it has been two hours and 1600 calories burned.</t>
  </si>
  <si>
    <t>After the man is shown again but this time he is exhausted and is forced to take a breath so he can breathe.</t>
  </si>
  <si>
    <t>Now the man is standing up and is taking to the camera and holds up his hand to show the blisters he has on his hands.</t>
  </si>
  <si>
    <t>v_JhqQGe0TkBU</t>
  </si>
  <si>
    <t>People stands on top of a diving board, the a man jumps in the swimming pool.</t>
  </si>
  <si>
    <t>Suddenly a girl runs on a lower dining board and jumps in the swimming pool.</t>
  </si>
  <si>
    <t>People sit around the pool.</t>
  </si>
  <si>
    <t>v_Ba3uRADSg50</t>
  </si>
  <si>
    <t>A few older men are shown standing in front of monkey bars talking to one another.</t>
  </si>
  <si>
    <t>One begins climbing along the bars with several other people coming from behind.</t>
  </si>
  <si>
    <t>One woman falls in the water and many more climb across the monkey bars.</t>
  </si>
  <si>
    <t>v_gh5di42-RJo</t>
  </si>
  <si>
    <t>A small boy wearing a black and red striped shirt is sitting with a drum set and playing drums.</t>
  </si>
  <si>
    <t>A man wearing a pink shirt and black trousers is standing next to him.</t>
  </si>
  <si>
    <t>Another person wearing a denim shirt walks past the boy.</t>
  </si>
  <si>
    <t>the boy continues to drum the cymbals and the hi-hat in a rhythmic way as the people cheer for him.</t>
  </si>
  <si>
    <t>He alternately hits the cymbals and the snare drums with the sticks.</t>
  </si>
  <si>
    <t>He ends by hitting the cymbals.</t>
  </si>
  <si>
    <t>v_RxuL7k7-hYQ</t>
  </si>
  <si>
    <t>Gymnasts swing on double bars during Olympic competition.</t>
  </si>
  <si>
    <t>Gymnast swings on double bars during practice in a gym.</t>
  </si>
  <si>
    <t>v_hyk4wNZwwxc</t>
  </si>
  <si>
    <t>Several adults are a doing a stepping exercise onto platforms.</t>
  </si>
  <si>
    <t>They step on and of and spin around.</t>
  </si>
  <si>
    <t>They do a cart wheel off the platform.</t>
  </si>
  <si>
    <t>They end their exercise and step off.</t>
  </si>
  <si>
    <t>v_i9DlXuEewE8</t>
  </si>
  <si>
    <t>A young teen age girl is sitting in a large chair talking on the phone and making faces.</t>
  </si>
  <si>
    <t>Two other females then begin dancing out front in the yard on a sidewalk.</t>
  </si>
  <si>
    <t>The girl then grabs her sweat pants and begins teaching her counterpart different dance steps and the first female reappears on the phone.</t>
  </si>
  <si>
    <t>v_1uC0xzyx4Bc</t>
  </si>
  <si>
    <t>A person is showing how to install rubber tiles in a gym.</t>
  </si>
  <si>
    <t>The video shows several people working out in a gym on the flooring.</t>
  </si>
  <si>
    <t>The person shows how to prep the floor surface before installing the tiles.</t>
  </si>
  <si>
    <t>He demonstrates how to lay the tiles on the floor in a criss-cross manner.</t>
  </si>
  <si>
    <t>The video shows a simulation how the tiles can measured up and laid down one by one in order to get a perfect wall to to wall fit.</t>
  </si>
  <si>
    <t>A person also shows how to trim tiles to fit flush edge to edge without leaving a gap between tiles.</t>
  </si>
  <si>
    <t>Finally he shows how to use a vinegar solution to clean the tiles in order to maintain the quality of the tiles.</t>
  </si>
  <si>
    <t>The video ends with the information of the tile company.</t>
  </si>
  <si>
    <t>v_vctal2m9Zvg</t>
  </si>
  <si>
    <t>An indoor barn is shown and a man is sitting on a horse.</t>
  </si>
  <si>
    <t>The gates open and the man flies out with is lasso chasing after a black and white calf.</t>
  </si>
  <si>
    <t>The man throws the rope and catches the calf,gets off,ties the cow up and returns back on top of the horse.</t>
  </si>
  <si>
    <t>v_o0O-CwwSaGw</t>
  </si>
  <si>
    <t>A girl with long hair is shown speaking to the camera and leads into her spraying water all over a dog in the tub.</t>
  </si>
  <si>
    <t>She scrubs the dog with shampoo and runs again runs the water over the dog.</t>
  </si>
  <si>
    <t>She holds the dog with a towel and then blow dries the dog in her lap while combing him.</t>
  </si>
  <si>
    <t>The dog is shown again all dried off and shakes himself while looking at the camera and the girl speaks more.</t>
  </si>
  <si>
    <t>v_ocvKEzb7OaE</t>
  </si>
  <si>
    <t>A man in a black shirt setting up a camera while sitting in front of a rub-ix cube and a electronic stop clock.</t>
  </si>
  <si>
    <t>Once the clock starts another man off camera and the man sitting in front of the cube starts to figure out the puzzle.</t>
  </si>
  <si>
    <t>Once the clock reaches 43 seconds both the men finish the puzzle and congratulate each other on completing the puzzle.</t>
  </si>
  <si>
    <t>v_qkHBMmMlEr8</t>
  </si>
  <si>
    <t>We see a man talking in a basketball gym.</t>
  </si>
  <si>
    <t>The man points at the boy.</t>
  </si>
  <si>
    <t>The man points to the right.</t>
  </si>
  <si>
    <t>We see a man making shots in a basketball hoop.</t>
  </si>
  <si>
    <t>v_VD3kzQGuQnc</t>
  </si>
  <si>
    <t>A woman is seen speaking to the camera and leads into her pouring ice into a glass.</t>
  </si>
  <si>
    <t>She then mixes various ingredients into the glass and mixes them up in a shaker.</t>
  </si>
  <si>
    <t>The woman then puts the glass down and pours the mixture into glass presenting it to the camera.</t>
  </si>
  <si>
    <t>v_kN2ZNcn241g</t>
  </si>
  <si>
    <t>A man wearing a coach shirt is standing while a female gymnast turns flips on a beam.</t>
  </si>
  <si>
    <t>He spots her as she flips and dismounts before sitting down.</t>
  </si>
  <si>
    <t>v_5rftu62ML_c</t>
  </si>
  <si>
    <t>A large group of people are shown in various shots riding around in canoes.</t>
  </si>
  <si>
    <t>A man speaks to the camera while people walk around with the canoes and show off pictures.</t>
  </si>
  <si>
    <t>More people are seen using them as well as walking around.</t>
  </si>
  <si>
    <t>v_escpZEdyNTI</t>
  </si>
  <si>
    <t>A person is seen running hold a surf board, and is shown again looking at his phone and laughing.</t>
  </si>
  <si>
    <t>More people are seen in various locations checking their phone and ends with a woman riding an exercise bike.</t>
  </si>
  <si>
    <t>v_7yg2zbiTJJ4</t>
  </si>
  <si>
    <t>A woman's hand picks up a stuffed animal surrounded by gifts.</t>
  </si>
  <si>
    <t>Gift wrapping accessories are shown.</t>
  </si>
  <si>
    <t>A woman lays out tissue paper and places a stuffed toy in the center.</t>
  </si>
  <si>
    <t>The woman wraps the toy in the tissue paper and tapes it shut.</t>
  </si>
  <si>
    <t>The woman lays out cellophane and places the wrapped toy on it.</t>
  </si>
  <si>
    <t>The woman cuts the cellophane and then proceeds to roll up the tissue paper covered toy.</t>
  </si>
  <si>
    <t>The woman twists the ends of the cellophane and tapes the package shut.</t>
  </si>
  <si>
    <t>Ribbon is placed around the ends of the package.</t>
  </si>
  <si>
    <t>The woman shows the package to the camera and sets it on a counter.</t>
  </si>
  <si>
    <t>v_oxp7V1AKJWk</t>
  </si>
  <si>
    <t>A little boy is playing an arcade game.</t>
  </si>
  <si>
    <t>He picks up a ball and throws it at the pins.</t>
  </si>
  <si>
    <t>He turns around and walks away.</t>
  </si>
  <si>
    <t>v_ijnNP7P5m28</t>
  </si>
  <si>
    <t>Men and women and kids are roasting marshmallow in the bonfire while others are skiing or resting on the chairs.</t>
  </si>
  <si>
    <t>A woman slide down the slope and the little girl came up to her and give her a kiss, then the woman help the little girl slide down the slope.</t>
  </si>
  <si>
    <t>v_i7NKJhCdKx0</t>
  </si>
  <si>
    <t>A man is outside in the snow holding a rope that is attached to a snow mobile.</t>
  </si>
  <si>
    <t>The snow mobile starts to move and the person begins snowboarding throughout the field.</t>
  </si>
  <si>
    <t>They continue to move through the snow and the forest of trees into a parking lot by a cabin.</t>
  </si>
  <si>
    <t>v_wHRHS7_4J_s</t>
  </si>
  <si>
    <t>A young girl is seen standing ready looking down at a violin.</t>
  </si>
  <si>
    <t>The girl is then seen playing the violin while moving her hands up and down.</t>
  </si>
  <si>
    <t>The girl continues playing the instrument and ends by looking to the camera.</t>
  </si>
  <si>
    <t>v_bDiwuABU45I</t>
  </si>
  <si>
    <t>A man is rubbing sunscreen on his back.</t>
  </si>
  <si>
    <t>A girl is laying down on a towel on the beach behind him.</t>
  </si>
  <si>
    <t>A person in an orange shirt walks behind him.</t>
  </si>
  <si>
    <t>v_yGCklVOLgk8</t>
  </si>
  <si>
    <t>A person is seen falling into the water in front of a jump.</t>
  </si>
  <si>
    <t>Another person is seen riding along on skis past him.</t>
  </si>
  <si>
    <t>The man continues to ride as the camera zooms in on the water.</t>
  </si>
  <si>
    <t>v_IiG80Vp4WyY</t>
  </si>
  <si>
    <t>A man is seen holding an instrument in front of a large stack of instruments and speaking to the camera.</t>
  </si>
  <si>
    <t>The man then plays the instrument continuously and ends with him pausing and holding the instrument.</t>
  </si>
  <si>
    <t>v_WOkHZ33CgAs</t>
  </si>
  <si>
    <t>Two men start fighting standing outside.</t>
  </si>
  <si>
    <t>One man throws the other man onto a table.</t>
  </si>
  <si>
    <t>v_RZr2KLNE6qE</t>
  </si>
  <si>
    <t>A camera zooms in on a baby wearing a baseball hat riding back and fourth on a swing set.</t>
  </si>
  <si>
    <t>The baby continuously rides back and fourth while another child rides a swing next to him.</t>
  </si>
  <si>
    <t>v_4mfnfTpcfck</t>
  </si>
  <si>
    <t>A group of girls are sitting in an old car while a large group of cars behind them move around.</t>
  </si>
  <si>
    <t>Other people are shown wearing christmas attire and dancing in the streets of the car.</t>
  </si>
  <si>
    <t>A band is playing by a group of kids while the parade follows them full of people dancing.</t>
  </si>
  <si>
    <t>v_qY8t0S0WWoA</t>
  </si>
  <si>
    <t>A man and a child paint a fence with brushes.</t>
  </si>
  <si>
    <t>A baby watches the man and the toddler painting.</t>
  </si>
  <si>
    <t>v_iPiP-7UwAa4</t>
  </si>
  <si>
    <t>A large group of people are seen standing on a stage while others watch on the side.</t>
  </si>
  <si>
    <t>The cheerleaders then begin performing a routine while throwing others up and flipping around.</t>
  </si>
  <si>
    <t>The group continues to perform on the stage and end by holding a pose and walking away.</t>
  </si>
  <si>
    <t>v_uN8lcRwsBno</t>
  </si>
  <si>
    <t>A guy sits with his legs close to his chest.</t>
  </si>
  <si>
    <t>The guy is exercising by pulling a handle.</t>
  </si>
  <si>
    <t>The guy stops exercising fixes his reading glasses and touches his beard.</t>
  </si>
  <si>
    <t>The guy removes his legs from the exercise machine and touches the knob.</t>
  </si>
  <si>
    <t>v_yPpKYckLbdI</t>
  </si>
  <si>
    <t>We see a girl jumping on a trampoline in doors.</t>
  </si>
  <si>
    <t>We see the girl spin in the air.</t>
  </si>
  <si>
    <t>The girl does a series of flips.</t>
  </si>
  <si>
    <t>The girl flips into blue boxes.</t>
  </si>
  <si>
    <t>The girl does a series of flips and a spin.</t>
  </si>
  <si>
    <t>We see a title screen and then see the girls bloopers.</t>
  </si>
  <si>
    <t>v_igwT-3gprOI</t>
  </si>
  <si>
    <t>A woman is shown talking to the camera with her hands and the camera pointing to a building.</t>
  </si>
  <si>
    <t>She stands in front of the building doing a several little dances and continues this in front of several buildings and locations.</t>
  </si>
  <si>
    <t>v_OqLrsVv44MY</t>
  </si>
  <si>
    <t>A woman smiling at the camera is shown scraping off her car with a scraper.</t>
  </si>
  <si>
    <t>She talks to the camera man while smiling at the camera and continuing to scrape.</t>
  </si>
  <si>
    <t>v_n1sWb2K6hBM</t>
  </si>
  <si>
    <t>We see a lady bring a horse into a stable turns the horse around and ties him up.</t>
  </si>
  <si>
    <t>The lady then brushes the horse and cleans the hooves on the horse on the right.</t>
  </si>
  <si>
    <t>The lady then sprays a product in the mane and comes it.</t>
  </si>
  <si>
    <t>The lady moves to the front of the horse and brushes his mane.</t>
  </si>
  <si>
    <t>the lady brushes the left side of the horse and cleans his hooves.</t>
  </si>
  <si>
    <t>The lady then brushes the tail and the horse and the lady leave.</t>
  </si>
  <si>
    <t>v_IVnPfvBZxKE</t>
  </si>
  <si>
    <t>Various pictures of ingredients are shown followed by pictures of the ingredients laid out on a cutting board.</t>
  </si>
  <si>
    <t>The pictures transition into more ingredients with hands covering them up and squeezing them into a ball.</t>
  </si>
  <si>
    <t>Pictures and video of the food being cooked in a pan are shown followed by a person taking it out and cutting it with a knife.</t>
  </si>
  <si>
    <t>Finally, a picture of the finished food product is shown.</t>
  </si>
  <si>
    <t>v_ExcXXMZYGs0</t>
  </si>
  <si>
    <t>We see people rafting down a river in a yellow raft.</t>
  </si>
  <si>
    <t>The raft is overturned and the people fall into the river.</t>
  </si>
  <si>
    <t>The people duck under branch of a low hanging tree and the right front man stands and dances.</t>
  </si>
  <si>
    <t>A man in the back of the raft walks forward.</t>
  </si>
  <si>
    <t>v_MFeI2mRg6Ho</t>
  </si>
  <si>
    <t>Some team is playing a game on the field, one of them scores.</t>
  </si>
  <si>
    <t>The audience goes crazy and then the teams are back to trying to score into the goal.</t>
  </si>
  <si>
    <t>The guy from the yellow team has the ball on the stick, he's running quickly with it and he scores.</t>
  </si>
  <si>
    <t>They put the trophy in the air and yell with excitement.</t>
  </si>
  <si>
    <t>v_VWmSZPIoBlw</t>
  </si>
  <si>
    <t>A man wearing a black coat is standing on the sidewalk.</t>
  </si>
  <si>
    <t>He walks up to a car and starts scraping the snow off the windows.</t>
  </si>
  <si>
    <t>The snow falls onto the ground in front of the car.</t>
  </si>
  <si>
    <t>v_gRzHp84ptgE</t>
  </si>
  <si>
    <t>A man and a little girl are standing on a beach.</t>
  </si>
  <si>
    <t>The man picks up the girl and picks up a surf board.</t>
  </si>
  <si>
    <t>He goes surfing in the water with her on his back.</t>
  </si>
  <si>
    <t>v_pF7z3Z_JSGk</t>
  </si>
  <si>
    <t>A man holds the back paws of a cat and clips its nails sitting on the floor.</t>
  </si>
  <si>
    <t>The man finishes one paw then wrestles with the cat.</t>
  </si>
  <si>
    <t>The man pets that cats stomach.</t>
  </si>
  <si>
    <t>The man examines the cats after the job is done.</t>
  </si>
  <si>
    <t>v_I62kL8H81XA</t>
  </si>
  <si>
    <t>A cup with lemonade is next a jar with a lemonade.</t>
  </si>
  <si>
    <t>A bowl with three cups of cold water, a cup of lemon juice, a cup of water and a cup of sugar are on at table.</t>
  </si>
  <si>
    <t>Then, a person adds sugar, and lemon to pot with water to warm.</t>
  </si>
  <si>
    <t>Then, the person adds the lemonade to a jar and serves in a cup.</t>
  </si>
  <si>
    <t>v_wIK83guBfM0</t>
  </si>
  <si>
    <t>A man is in a garage with newspaper on a table.</t>
  </si>
  <si>
    <t>He shows how to cut the top off a pumpkin, and removes the insides.</t>
  </si>
  <si>
    <t>Then he carves a design into the pumpkin, creating a novelty jackolantern.</t>
  </si>
  <si>
    <t>v_R52e9UAE60k</t>
  </si>
  <si>
    <t>A group of people are shown riding on horses in the desert.</t>
  </si>
  <si>
    <t>A man talks to the camera while riding the horse and giving various shots of the land.</t>
  </si>
  <si>
    <t>He shows off the several other people on horses and continues talking about his adventure close up to the camera.</t>
  </si>
  <si>
    <t>v_5HCYb6qfkdk</t>
  </si>
  <si>
    <t>A person opens a door and walks inside a kitchen.</t>
  </si>
  <si>
    <t>A woman sits on a kitchen counter shaving her legs in a sink.</t>
  </si>
  <si>
    <t>v_zwX7e_5Koh0</t>
  </si>
  <si>
    <t>An intro leads into a group of women standing on a wood floor behind a piece of exercise equipment.</t>
  </si>
  <si>
    <t>The women then begin moving back and fourth and up and down on the equipment while the woman in front speaks out loud.</t>
  </si>
  <si>
    <t>v_RKUEXxnXrm8</t>
  </si>
  <si>
    <t>A man demonstrates how to make an egg salad sandwich.</t>
  </si>
  <si>
    <t>A man starts talking to the camera in close up angle and then takes a bite of a sandwich.</t>
  </si>
  <si>
    <t>A grop of sandwich making materials is shown.</t>
  </si>
  <si>
    <t>An eggs is boiled in a pan, and then the eggs are run under cold water.</t>
  </si>
  <si>
    <t>Celery is chopped into bits along with other vegetables and then the eggs are mixed with this and a finished sandwich is shown.</t>
  </si>
  <si>
    <t>v_CHkT4As5jZI</t>
  </si>
  <si>
    <t>A bartender talks about how to make a proper cocktail.</t>
  </si>
  <si>
    <t>He grabs a glass and puts ice in the glass.</t>
  </si>
  <si>
    <t>He then mixes vodka and soda together in the glass.</t>
  </si>
  <si>
    <t>He grabs a lemon and puts it in the glass to finish.</t>
  </si>
  <si>
    <t>v_O337_rGYZPc</t>
  </si>
  <si>
    <t>A close up of various objects in shown in a circle of dirt and leads into a person holding a bag.</t>
  </si>
  <si>
    <t>The person then opens the bag and points to the objects in dirt and lights a match.</t>
  </si>
  <si>
    <t>The objects catch fire and the camera zooms in on the objects burning.</t>
  </si>
  <si>
    <t>v_NnLjEbG31ZE</t>
  </si>
  <si>
    <t>A group of friends ride inter tubes through small rapids in a tropical jungle.</t>
  </si>
  <si>
    <t>The group goes past large boulders popping up out of the water.</t>
  </si>
  <si>
    <t>v_QRLye5j54ic</t>
  </si>
  <si>
    <t>A boy is standing in the tall grass of a field.</t>
  </si>
  <si>
    <t>He is holding onto a kite in the air.</t>
  </si>
  <si>
    <t>He leans way back, being drug by the force of the wind.</t>
  </si>
  <si>
    <t>v_y-OZ45FQZ0g</t>
  </si>
  <si>
    <t>A man is sitting on the couch wearing jeans a shirt, and he's holding a guitar on his lap, strumming with his right hand and tapping the upper strings with his left hand.</t>
  </si>
  <si>
    <t>The man slows down and stops strumming and tapping on his guitar.</t>
  </si>
  <si>
    <t>A colorful screen appears and it displays a cartoon picture of a Pokemon standing outdoors near a tree while it's snowing, and red words read "Pokemon-Pallet-Town".</t>
  </si>
  <si>
    <t>v_ZBG-KhSyVgQ</t>
  </si>
  <si>
    <t>People are standing on the backs of horses.</t>
  </si>
  <si>
    <t>Three girls are talking to a camera.</t>
  </si>
  <si>
    <t>The horses are walking across a dirt road.</t>
  </si>
  <si>
    <t>v_Io1OF2OkTWY</t>
  </si>
  <si>
    <t>A man is seen speaking to the camera while holding onto a dog in a plane.</t>
  </si>
  <si>
    <t>Several clips are shown of the man in a plane with the dog as well as underwater.</t>
  </si>
  <si>
    <t>The man performs several activities with his dog in hand while a woman speaks to the camera.</t>
  </si>
  <si>
    <t>v_wdb4-V33wIo</t>
  </si>
  <si>
    <t>A camera pans around a snowy roof and leads into a man pushing snow off of a roof and onto the ground below.</t>
  </si>
  <si>
    <t>The man continues speaking to the camera while pushing off snow and leading into an empty roof.</t>
  </si>
  <si>
    <t>Another man is seen shoveling off snow and ends with pictures of the men working.</t>
  </si>
  <si>
    <t>v_8Uyi1KXdS50</t>
  </si>
  <si>
    <t>An elderly woman is seated in a chair.</t>
  </si>
  <si>
    <t>She is knitting with red yarn.</t>
  </si>
  <si>
    <t>She talks to the person with the camera as she knits.</t>
  </si>
  <si>
    <t>v_98wL6zakU9o</t>
  </si>
  <si>
    <t>A person is seen pushing a sander along a ski and leads into another person tightening down a ski and spraying wax along the top.</t>
  </si>
  <si>
    <t>The person wipes it down and then uses a bar of wax on the sander along the ski.</t>
  </si>
  <si>
    <t>v_TkNCytAQ5cw</t>
  </si>
  <si>
    <t>A woman is hosting a news segment that leads into clips of people working on the streets and protesting.</t>
  </si>
  <si>
    <t>Several women are interviewed by the camera and shows more clips of people working and protesting.</t>
  </si>
  <si>
    <t>v_frWLB7ZxMNI</t>
  </si>
  <si>
    <t>We see a man shooting pool on a blue table.</t>
  </si>
  <si>
    <t>The man finishes and smiles as his friend claps his hands.</t>
  </si>
  <si>
    <t>v_xJNqBSJ7rqU</t>
  </si>
  <si>
    <t>A senior picture of a female is shown and then a screen flashes indicating that her highlights are about to be shown.</t>
  </si>
  <si>
    <t>Several videos of her are then shown running up against girls from other teams defending her territory and stripping the ball from the other opponents.</t>
  </si>
  <si>
    <t>v__vbwjI1QA7g</t>
  </si>
  <si>
    <t>man is standing in a room with dart game haging on the wall.</t>
  </si>
  <si>
    <t>he took one of the dart from the board and keeps talking, approaches to the camera and shows the sharp dart.</t>
  </si>
  <si>
    <t>he throw the dart to the board and lean on the wall.</t>
  </si>
  <si>
    <t>man open his arms and swings side to side, kneel on the floor.</t>
  </si>
  <si>
    <t>he take other dart into the board and with the head down starts yelling at the camera.</t>
  </si>
  <si>
    <t>v_V-6nF6U6rfI</t>
  </si>
  <si>
    <t>A gymnast is seen standing ready and holding her arms up that lead into her climbing on a beam and performing a gymnastics routine on the beam.</t>
  </si>
  <si>
    <t>The girl performs several jumps and tricks that ends with her jumping into a mat and holding her arms up.</t>
  </si>
  <si>
    <t>v_8kC5L_Iu3KY</t>
  </si>
  <si>
    <t>A person is seen sitting behind a set of drums playing them consistently.</t>
  </si>
  <si>
    <t>She continues to play the drums while the camera zooms in on her hands.</t>
  </si>
  <si>
    <t>v_08ItAtlb60Q</t>
  </si>
  <si>
    <t>There are many trophies on display that you can win for doing a good job.</t>
  </si>
  <si>
    <t>Men on their bikes are waiting to start a race .</t>
  </si>
  <si>
    <t>Two men hit their knuckles together before the race begins.</t>
  </si>
  <si>
    <t>The audience is cheering and the riders are off going super fast trying to win.</t>
  </si>
  <si>
    <t>v_9PGFsuE3Ye0</t>
  </si>
  <si>
    <t>A man is seen doing karate in front of another with a knife and leads into a shot of a man bowling and text across his face.</t>
  </si>
  <si>
    <t>The man celebrates as people watch and clipart is shown as well as more shots of the man celebrating and bowling.</t>
  </si>
  <si>
    <t>The man holds a trophy in the end and screams to the camera and the audience.</t>
  </si>
  <si>
    <t>The camera then zooms in on a photo on a poster.</t>
  </si>
  <si>
    <t>v_H9FxfosWRTE</t>
  </si>
  <si>
    <t>A woman is seen kneeling down before a large weight and speaking to the camera continuously.</t>
  </si>
  <si>
    <t>She moves her body around the weight and pointing around to demonstrate how to properly hold the weight.</t>
  </si>
  <si>
    <t>v_qcV3JtJDoV8</t>
  </si>
  <si>
    <t>They pass a group of people snowboarding.</t>
  </si>
  <si>
    <t>They get to the bottom of the hill and stop in front of a small building.</t>
  </si>
  <si>
    <t>v_AyWXuUCDSjw</t>
  </si>
  <si>
    <t>We see 5 men walking down the street sides by side.</t>
  </si>
  <si>
    <t>A man looks at the men.</t>
  </si>
  <si>
    <t>A lady looks at the men.</t>
  </si>
  <si>
    <t>Two men turn and look at each other.</t>
  </si>
  <si>
    <t>One man buys drinks as everyone stares at them.</t>
  </si>
  <si>
    <t>The five men drink their beers in one gulp.</t>
  </si>
  <si>
    <t>The men leave the bar drunk.</t>
  </si>
  <si>
    <t>We see a gray closing screen.</t>
  </si>
  <si>
    <t>v_7LhKz7863kg</t>
  </si>
  <si>
    <t>woman wearing black clothes is laying down in the floor doing abs.</t>
  </si>
  <si>
    <t>woman doing abs in the floor have her fet tied to elastics.</t>
  </si>
  <si>
    <t>woman is doing exercise in a roofed gym.</t>
  </si>
  <si>
    <t>v_AvjExlAl18I</t>
  </si>
  <si>
    <t>A man is seen performing a dance routine on a stage while an orchestra plays behind him.</t>
  </si>
  <si>
    <t>A woman then steps in and dances with the man while spinning his hat around and twirling on the stage.</t>
  </si>
  <si>
    <t>The two end by making a funny gesture and then walk off the stage to the side.</t>
  </si>
  <si>
    <t>v_W0M9tXQV3Xg</t>
  </si>
  <si>
    <t>A man is talking in next to several exercise bikes.</t>
  </si>
  <si>
    <t>He starts working out on one of the bikes.</t>
  </si>
  <si>
    <t>People are working out in the dark.</t>
  </si>
  <si>
    <t>v_rdZ0TZcP0NU</t>
  </si>
  <si>
    <t>A group of people play polo on horses on a grass covered, fenced in field surrounded by onlookers and spectators.</t>
  </si>
  <si>
    <t>A man on a horse walks down the center of a line of people on a horse while holding a long mallet pole.</t>
  </si>
  <si>
    <t>A group of spectators standing and sitting on the grass look on from the side of the field.</t>
  </si>
  <si>
    <t>The game of polo begins and the people on the horses begin to swing their mallet poles across the ground.</t>
  </si>
  <si>
    <t>v_HvzJ-RJOF9Q</t>
  </si>
  <si>
    <t>A man is seen speaking to the camera while moving his arms around and others swim in a pool behind him.</t>
  </si>
  <si>
    <t>The man continues speaking to the camera and a person jumps off the diving board behind him.</t>
  </si>
  <si>
    <t>v_fg_R9Vrr1KI</t>
  </si>
  <si>
    <t>A gymnast mounts a high beam in a gym.</t>
  </si>
  <si>
    <t>He flips and does several springs.</t>
  </si>
  <si>
    <t>He then dismounts, throwing his arms up as he does so.</t>
  </si>
  <si>
    <t>v_7-uMJ_5WsZM</t>
  </si>
  <si>
    <t>A large orange machine is shown moving down a road with a claw like arm and razor cutting down the grass.</t>
  </si>
  <si>
    <t>The cutting continues and the machine is being operated in different areas such as highways.</t>
  </si>
  <si>
    <t>v_pHU2Ie4VQBg</t>
  </si>
  <si>
    <t>A girl is seen performing a belly dancing routine on a small stage.</t>
  </si>
  <si>
    <t>She continues dancing and performing around the stage and finishes her dance with a posing, bowing, and walking off.</t>
  </si>
  <si>
    <t>v_e9l3PzP4uGQ</t>
  </si>
  <si>
    <t>Various clip are shown of ingredients being laid out in bowls followed by a person mixing them all together.</t>
  </si>
  <si>
    <t>The person rolls them into balls and sets them on a plate, finally sticking them into the oven.</t>
  </si>
  <si>
    <t>She then pulls out the made cookies and gives the camera a thumbs up.</t>
  </si>
  <si>
    <t>v_tQ9yPS_BJHQ</t>
  </si>
  <si>
    <t>People are driving bumper cars and crashing into each other.</t>
  </si>
  <si>
    <t>A green car crashes into a gold car.</t>
  </si>
  <si>
    <t>A blue car crashes into a gold car.</t>
  </si>
  <si>
    <t>v_3UgGvKnelfY</t>
  </si>
  <si>
    <t>A camera pans around a large warehouse and shows clips of materials being made and men working.</t>
  </si>
  <si>
    <t>Machinery is shown pushing materials along while people watch on the sides.</t>
  </si>
  <si>
    <t>More products for homes are being pushed out and a machinery is shown carrying them away.</t>
  </si>
  <si>
    <t>v_airowj9k5ro</t>
  </si>
  <si>
    <t>A close up of a slide is seen followed by an adult and a young child riding down the slide.</t>
  </si>
  <si>
    <t>The woman laughs with the baby and picks her up at the bottom.</t>
  </si>
  <si>
    <t>v_5ZmZr2bguy0</t>
  </si>
  <si>
    <t>A woman is seen standing in a large circle and bending herself forward.</t>
  </si>
  <si>
    <t>The woman then spins herself around and throws an object off into the distance.</t>
  </si>
  <si>
    <t>The woman does this several times afterwards.</t>
  </si>
  <si>
    <t>v_piKE8obU4JY</t>
  </si>
  <si>
    <t>A drum line gets in formation at an outdoor event.</t>
  </si>
  <si>
    <t>They begin their routine, each section moving in their own set way before coming together and spreading out again.</t>
  </si>
  <si>
    <t>They form into two rows and finish the song.</t>
  </si>
  <si>
    <t>v_-kuXhOsHAc4</t>
  </si>
  <si>
    <t>A person walks up stairs into a room and sees beer poured from a keg and people talking.</t>
  </si>
  <si>
    <t>People stand and play beer pong while others watch.</t>
  </si>
  <si>
    <t>A man tries to blow a ball out of a cup.</t>
  </si>
  <si>
    <t>A man hits the ball away from the cup.</t>
  </si>
  <si>
    <t>The left team jumps and cheers.</t>
  </si>
  <si>
    <t>We see peoples faces up close and plates of food on a table.</t>
  </si>
  <si>
    <t>We see a lighted sign and end.</t>
  </si>
  <si>
    <t>v_mXbrIyhXbQo</t>
  </si>
  <si>
    <t>A man is seen standing around a neighborhood on a pair of stilts.</t>
  </si>
  <si>
    <t>The man walks up the street and turns towards the back.</t>
  </si>
  <si>
    <t>He then begins jumping down the road and looking back to the camera.</t>
  </si>
  <si>
    <t>v_M_Jib8gkQpg</t>
  </si>
  <si>
    <t>A man jumps of a diving board backwards into a swimming pool.</t>
  </si>
  <si>
    <t>There is a big splash and the man surfaces smiling.</t>
  </si>
  <si>
    <t>v_2rA5pyel_NE</t>
  </si>
  <si>
    <t>Children bring desert out for their family member.</t>
  </si>
  <si>
    <t>The family enjoys eating the desert together.</t>
  </si>
  <si>
    <t>The people in the restaurant laugh at the man and he wonders what they are doing.</t>
  </si>
  <si>
    <t>The man gets up and walks away to the other room.</t>
  </si>
  <si>
    <t>v_w28ML-KpYdI</t>
  </si>
  <si>
    <t>a man is standing in his back yard.</t>
  </si>
  <si>
    <t>He is laughing as he paits the side of a shed.</t>
  </si>
  <si>
    <t>He uses a sprayer to apply the red paint.</t>
  </si>
  <si>
    <t>v_Ww2_b9f6Kh0</t>
  </si>
  <si>
    <t>We see a man on a diving board high in the air.</t>
  </si>
  <si>
    <t>The man does a handstand and fall from the handstand into the water.</t>
  </si>
  <si>
    <t>The next man simply runs and dives while flipping into the water.</t>
  </si>
  <si>
    <t>The final man does a more traditional dive.</t>
  </si>
  <si>
    <t>v_c-X500da7JU</t>
  </si>
  <si>
    <t>A person shows how to warp a gift like a professional and do fancy ornaments and ribbons on gifts.</t>
  </si>
  <si>
    <t>The woman arrange a gift basket and shows a pile of nice gifts.</t>
  </si>
  <si>
    <t>Then, the woman wraps gifts with different shapes and ornaments.</t>
  </si>
  <si>
    <t>v_c81l0bAPiFo</t>
  </si>
  <si>
    <t>A lady kneels in a canoe as she rows on a lake.</t>
  </si>
  <si>
    <t>A lady attempts to stand on one foot in the boat and falls into the lake.</t>
  </si>
  <si>
    <t>A lady has one foot in the water and one in the boat and she starts doing push-ups on the boat.</t>
  </si>
  <si>
    <t>The lady finishes and shows her muscle to the camera.</t>
  </si>
  <si>
    <t>We see an emblem on the screen.</t>
  </si>
  <si>
    <t>v_OhPSVjVQZ8o</t>
  </si>
  <si>
    <t>A young child wearing a helmet is climbing on monkey bars on a playground with a small boy underneath her.</t>
  </si>
  <si>
    <t>A person riding a bike goes around the young girl and she climbs until the last bar.</t>
  </si>
  <si>
    <t>v_w6ofRgXA0xc</t>
  </si>
  <si>
    <t>A man in red short is pouring a bottle onto some wood.</t>
  </si>
  <si>
    <t>The man throws some paper on top of the wood.</t>
  </si>
  <si>
    <t>The man throws matches at the pile of wood.</t>
  </si>
  <si>
    <t>A fire begins to burn.</t>
  </si>
  <si>
    <t>v_BEA4YVQv7Wk</t>
  </si>
  <si>
    <t>A camera pans around a large indoor pool and shows a man jumping off a diving board into the water.</t>
  </si>
  <si>
    <t>Several people are shown warming up and followed up by many jumping into the pool.</t>
  </si>
  <si>
    <t>A man instructs them on how to properly land in the water followed by several people jumping one at a time into the pool, including the camera man.</t>
  </si>
  <si>
    <t>v_YbD0P8dH6Oc</t>
  </si>
  <si>
    <t>Two sumos prepares to wrestle in a ring while a judge stands in middle of them.</t>
  </si>
  <si>
    <t>Then the sumos wrestle, and the thin sumo throws the fat sumo to the floor.</t>
  </si>
  <si>
    <t>After, the fat sumo stands up and left the ring.</t>
  </si>
  <si>
    <t>The crow applaud, then men broom the ring.</t>
  </si>
  <si>
    <t>v_JxBFSll-mDE</t>
  </si>
  <si>
    <t>A man is seen speaking to the camera holding a hockey stick and leads into him instructing other players.</t>
  </si>
  <si>
    <t>The man continue playing around one another while the man yells to them and the others continue playing.</t>
  </si>
  <si>
    <t>v_V6lFpCjRKC8</t>
  </si>
  <si>
    <t>A small group of men are seen standing around a court with many people sitting and watching on the sides.</t>
  </si>
  <si>
    <t>A person runs down with a pole vault and throws it off into the distance while the same clip is shown again in slow motion and another goes after.</t>
  </si>
  <si>
    <t>v_9FAPy8NVDgY</t>
  </si>
  <si>
    <t>The video begins with an introduction to Recipes in Motion about quick spaghetti sauce.</t>
  </si>
  <si>
    <t>The video transitions into showing a ladle pouring the sauce onto noodles.</t>
  </si>
  <si>
    <t>Someone begins to cut various vegetable with a knife, this includes a green vegetable and onions.</t>
  </si>
  <si>
    <t>Next an empty metallic pan is shown as someone pours oil and the vegetables into it.</t>
  </si>
  <si>
    <t>They then begin stirring the vegetables with the oil.</t>
  </si>
  <si>
    <t>After this what other ingredients are added include tomatoes, spices and some type of liquid.</t>
  </si>
  <si>
    <t>Everything is being stirred together.</t>
  </si>
  <si>
    <t>The pan is removed and the stirred ingredients are blended.</t>
  </si>
  <si>
    <t>The blended ingredients are put back onto the man and a red substance from a can is poured onto the pan and mixed in.</t>
  </si>
  <si>
    <t>The sauce is completed and poured onto the noodles.</t>
  </si>
  <si>
    <t>The video ends with with an orange background with information on where to watch more videos.</t>
  </si>
  <si>
    <t>v_ngE2y5ExVqw</t>
  </si>
  <si>
    <t>A teenager boy hits a Sponge Bob piñata covered his eyes with a cloth while woman takes pictures.</t>
  </si>
  <si>
    <t>A boy hits the piñata until it falls while the boy cover his eyes with a blue cloth.</t>
  </si>
  <si>
    <t>A man rubs his face with his hand and then he sticks his tong out.</t>
  </si>
  <si>
    <t>v_hSnTYQ9osIg</t>
  </si>
  <si>
    <t>Two people are outside in ball dancing in a plaza as a group of people surround them and watch.</t>
  </si>
  <si>
    <t>People come and go to watch the two people dance and then they finally stop dancing,bow and grabs a cloth to wash their face.</t>
  </si>
  <si>
    <t>v_3C4Nry679BA</t>
  </si>
  <si>
    <t>A woman places vegetable leaves in a bow.</t>
  </si>
  <si>
    <t>The camera pans right to show a man standing beside the woman.</t>
  </si>
  <si>
    <t>The man slices a cucumber on a plate.</t>
  </si>
  <si>
    <t>v_2X4-yp_EFVE</t>
  </si>
  <si>
    <t>Two men are seen leading over the hood of the car while grabbing onto each other's hands.</t>
  </si>
  <si>
    <t>They then begin a game of arm wrestling and ends with one man winning and both looking at the camera and one holding his wrist.</t>
  </si>
  <si>
    <t>v_fc3yCFrmkCU</t>
  </si>
  <si>
    <t>Video title or label are shown.</t>
  </si>
  <si>
    <t>A guy gestures the peace sign.</t>
  </si>
  <si>
    <t>A guy is snow board down a slope.</t>
  </si>
  <si>
    <t>A group in a row wave goodbye.</t>
  </si>
  <si>
    <t>v_Z57GknpXOBg</t>
  </si>
  <si>
    <t>A man is getting ready to waterboard, there's a boat waiting for him to his right, and the white words on the right bottom corner say "Spray Lake Watersports &amp; Activity Centre".</t>
  </si>
  <si>
    <t>The man goes in the water and as he's holding onto the bar connected to the rope and the boat, he is quickly waterboarding on the lake, sometimes using both hands to hold onto the bar and sometimes alternating hands.</t>
  </si>
  <si>
    <t>The man lets go of the bar and begins to slow towards a dock.</t>
  </si>
  <si>
    <t>A pair of hands are now holding a waterboard that has black and silver pair of shoes attached to it.</t>
  </si>
  <si>
    <t>A person is briefly shown waterboarding and the view goes to bubbling underwater.</t>
  </si>
  <si>
    <t>v_MfFM_a26bR8</t>
  </si>
  <si>
    <t>A person is seen riding around on the horse in a closed in area.</t>
  </si>
  <si>
    <t>The camera continues to follow him riding around the area galloping around.</t>
  </si>
  <si>
    <t>v_s_gb6Xi_J5g</t>
  </si>
  <si>
    <t>The little girl is on top of the monkey bar.</t>
  </si>
  <si>
    <t>A little kid in colorful shirt is crossing the monkey bar.</t>
  </si>
  <si>
    <t>The little girl fell from monkey bar and went back to the monkey bar.</t>
  </si>
  <si>
    <t>v_uiG7A8lEdEg</t>
  </si>
  <si>
    <t>Players are playing lacrosse outdoors in front of an audience.</t>
  </si>
  <si>
    <t>A player is laying on the field.</t>
  </si>
  <si>
    <t>The player hits the ball into the goal.</t>
  </si>
  <si>
    <t>The audience and teammates celebrate the goal, and teammates pat each other on the shoulder.</t>
  </si>
  <si>
    <t>A guy removes his helmet.</t>
  </si>
  <si>
    <t>v_-eCMRApm6n4</t>
  </si>
  <si>
    <t>A girl shows how to make lemonade.</t>
  </si>
  <si>
    <t>She then rakes in the cash her parents helped her.</t>
  </si>
  <si>
    <t>v_TrhOt1WyU7Y</t>
  </si>
  <si>
    <t>A camera pans to a kite flying around in the sky as well as people in a field.</t>
  </si>
  <si>
    <t>A man is seen off to the site controlling the kite with his hands.</t>
  </si>
  <si>
    <t>He continues flying the object around the sky with the camera following.</t>
  </si>
  <si>
    <t>v_d-sWAcDYsbc</t>
  </si>
  <si>
    <t>A young man sits down on a chair in front of a drum set.</t>
  </si>
  <si>
    <t>He begins playing the drums, which are located inside of a living room.</t>
  </si>
  <si>
    <t>The playing continues until he puts down the drum sticks and looks at the camera with a shocked look.</t>
  </si>
  <si>
    <t>The video ends with the man getting up to turn off the camera.</t>
  </si>
  <si>
    <t>v_cdO-xmdjM7Q</t>
  </si>
  <si>
    <t>A group of people walk holding inflatable boats and arrive to a lake, then the people sail in the lake.</t>
  </si>
  <si>
    <t>After, the people take the boats to sail on a narrow choppy river.</t>
  </si>
  <si>
    <t>The rafters arrive to a cascade and the boats fold when descend the cascade, then they continue rafting in the river.</t>
  </si>
  <si>
    <t>v_zlAwW2Pxc1A</t>
  </si>
  <si>
    <t>A man is standing on a ladder.</t>
  </si>
  <si>
    <t>He is hanging wall paper onto a wall in front of him.</t>
  </si>
  <si>
    <t>He uses a tool to smooth out the wall paper once it's on the wall.</t>
  </si>
  <si>
    <t>v_MSiXlMKPGKs</t>
  </si>
  <si>
    <t>Various shots of people standing together and moving around ice are shown as well as people playing shuffle board and yelling to one another.</t>
  </si>
  <si>
    <t>Several people are interviewed on the camera that intervenes with shots of shuffleboard and people rubbing their necks and speaking to one another.</t>
  </si>
  <si>
    <t>v_3W92sMbvoaE</t>
  </si>
  <si>
    <t>A woman is riding an intertube down a snowy hill.</t>
  </si>
  <si>
    <t>She spins as she goes down, running into another person.</t>
  </si>
  <si>
    <t>She is knocked out of her intertube.</t>
  </si>
  <si>
    <t>v_68oJj9QktGg</t>
  </si>
  <si>
    <t>Several shots are shown of bulls running into people in busy streets and people becoming hurt by the bulls.</t>
  </si>
  <si>
    <t>Many more shots are shown of bulls hurting people in various locations while others try to help them on the side.</t>
  </si>
  <si>
    <t>v_Sb2SPX38lyQ</t>
  </si>
  <si>
    <t>A dark sky with a moon and cloud is shown in between trail so dirt.</t>
  </si>
  <si>
    <t>After,A man wearing a hat is shown walking down the trail and several dirt bikers racing are shown.</t>
  </si>
  <si>
    <t>The man then puts on a helmet,the bar is let down and he begins jumping over a hill.</t>
  </si>
  <si>
    <t>As the video continues,you are following the man racing through the trail and doing tricks and riding at side angles to ensure that the tricks are landed and he doesn't fall off.</t>
  </si>
  <si>
    <t>The man then reappears and the reflection of racing is shown in his eye before he walks off.</t>
  </si>
  <si>
    <t>v_ZvVnXvKlKbQ</t>
  </si>
  <si>
    <t>Bowling pins are getting hit with bowling ball.</t>
  </si>
  <si>
    <t>A crowd cheers sitting behind the bowling alley.</t>
  </si>
  <si>
    <t>A man kisses a trophy in his hands.</t>
  </si>
  <si>
    <t>v_wmmOt79-Azo</t>
  </si>
  <si>
    <t>People are standing in a room playing tennis.</t>
  </si>
  <si>
    <t>A woman picks up a ball that falls onto the ground.</t>
  </si>
  <si>
    <t>The girl walks up to the net.</t>
  </si>
  <si>
    <t>v_LFOlEafI35c</t>
  </si>
  <si>
    <t>Two young men arm wrestle in a kitchen using a standing cat chair as an table.</t>
  </si>
  <si>
    <t>A young man in a white tank top places his elbow on a elevated cat chair along with another young man in a black shirt.</t>
  </si>
  <si>
    <t>The two young men begin to arm wrestle.</t>
  </si>
  <si>
    <t>The man in the black shirt wins the arm wrestling match at which point the man in the white tank top backs away and stands in front of a refrigerator next to a girl drinking a canned beverage.</t>
  </si>
  <si>
    <t>v_EPql2nTJb9I</t>
  </si>
  <si>
    <t>A man and woman are standing an a kitchen.</t>
  </si>
  <si>
    <t>The woman is chopping up various vegetables on a white tray.</t>
  </si>
  <si>
    <t>v_-fjUWhSM6Hc</t>
  </si>
  <si>
    <t>A huge crowd is in the stands in an arena.</t>
  </si>
  <si>
    <t>A man throws a javelin.</t>
  </si>
  <si>
    <t>Photographers take pictures in the background.</t>
  </si>
  <si>
    <t>Several men run to where the javelin lands.</t>
  </si>
  <si>
    <t>The man that threw the javelin celebrates.</t>
  </si>
  <si>
    <t>Another man throws a javelin.</t>
  </si>
  <si>
    <t>People walk all around doing different things.</t>
  </si>
  <si>
    <t>Several men run out to where the javelin lands again.</t>
  </si>
  <si>
    <t>The second man to throw the javelin and a man in the stands celebrate.</t>
  </si>
  <si>
    <t>A third man throws a javelin so hard that he falls.</t>
  </si>
  <si>
    <t>The same men run to the the javelin's landing spot.</t>
  </si>
  <si>
    <t>The third man walks away looking disappointed.</t>
  </si>
  <si>
    <t>A fourth man throws a javelin.</t>
  </si>
  <si>
    <t>Again, the men run to where the javelin lands.</t>
  </si>
  <si>
    <t>The fourth man looks disappointed looking for his jacket.</t>
  </si>
  <si>
    <t>The first man to throw a javelin runs around celebrating and hugs another man.</t>
  </si>
  <si>
    <t>A man puts a gold medal around the neck of the first javelin thrower and shakes his hand.</t>
  </si>
  <si>
    <t>He puts a silver medal on the second thrower.</t>
  </si>
  <si>
    <t>He puts a bronze medal on the third thrower.</t>
  </si>
  <si>
    <t>All of the men shake hands.</t>
  </si>
  <si>
    <t>The gold medal winner talks to a news person.</t>
  </si>
  <si>
    <t>The silver medalist talks to a news person.</t>
  </si>
  <si>
    <t>v_d44RiNHK6KA</t>
  </si>
  <si>
    <t>Two people are working out on exercise bikes.</t>
  </si>
  <si>
    <t>The one wearing a blue wig puts their hands in the air.</t>
  </si>
  <si>
    <t>People are in front of them also on exercise bikes.</t>
  </si>
  <si>
    <t>v_1d6FGbM4FRM</t>
  </si>
  <si>
    <t>One person covers the floor with tiles.</t>
  </si>
  <si>
    <t>Then, another man come and help cover the floor with tiles.</t>
  </si>
  <si>
    <t>v_2ErgL7-MXHw</t>
  </si>
  <si>
    <t>Two men stands on front a tall hedge holding trimmers.</t>
  </si>
  <si>
    <t>The men cuts the top of the hedge.</t>
  </si>
  <si>
    <t>Leaves falls from the top of the hedge.</t>
  </si>
  <si>
    <t>v_jXZ6WVxXgLA</t>
  </si>
  <si>
    <t>A man is using a large broom in a parking lot.</t>
  </si>
  <si>
    <t>He spins the broom in circles around him.</t>
  </si>
  <si>
    <t>The spinning brushes the piles of leaves out of the parking lot.</t>
  </si>
  <si>
    <t>v_bFRqNqyVznA</t>
  </si>
  <si>
    <t>A woman is seen speaking to the camera while holding a rag and cleaner and leads into her spraying down the gloves and moving them along a piano.</t>
  </si>
  <si>
    <t>The woman continues wiping all around the piano and ends by speaking to the camera.</t>
  </si>
  <si>
    <t>v_p2P5g7HTJeY</t>
  </si>
  <si>
    <t>People are running around on a field playing a game of lacrosse.</t>
  </si>
  <si>
    <t>A man in white shorts sits down in front of the camera.</t>
  </si>
  <si>
    <t>A man knocks over one of his team mates.</t>
  </si>
  <si>
    <t>Two men almost crash into the camera.</t>
  </si>
  <si>
    <t>A group of players fight over the ball.</t>
  </si>
  <si>
    <t>A man hits the ball far across the field.</t>
  </si>
  <si>
    <t>The screen fades to green.</t>
  </si>
  <si>
    <t>v_-KWToNMY1Lc</t>
  </si>
  <si>
    <t>A man is seated on a horse and holding a lasso while assistants stand by and an audience watches.</t>
  </si>
  <si>
    <t>A cow is released and the man chases after it.</t>
  </si>
  <si>
    <t>The man lassos and ties it up.</t>
  </si>
  <si>
    <t>A man briefly enters the camera frame.</t>
  </si>
  <si>
    <t>Another man is seated on a horse and holding a lasso in the same setting.</t>
  </si>
  <si>
    <t>A cow is released and the second man chases after it.</t>
  </si>
  <si>
    <t>The second man lassos and ties it up.</t>
  </si>
  <si>
    <t>Two riders and two assistants enter the frame.</t>
  </si>
  <si>
    <t>v_ZQU0p5OKC04</t>
  </si>
  <si>
    <t>A man bungee jumps from an elevated capsule into a body of water beneath him in a forest like environment.</t>
  </si>
  <si>
    <t>A man in a blue shirt is strapped into a bungee jumping harness.</t>
  </si>
  <si>
    <t>The man is then lifted into the air in a yellow capsule with a guide, high above a body of water.</t>
  </si>
  <si>
    <t>The man then jumps out of the capsule and falls the distance between the capsule and the water and plops into the water.</t>
  </si>
  <si>
    <t>v_niHEMszTMBU</t>
  </si>
  <si>
    <t>A man in a blue shirt is standing in the woods explaining something.</t>
  </si>
  <si>
    <t>He then shows how to set up wood for a fire.</t>
  </si>
  <si>
    <t>The camera goes back to him standing.</t>
  </si>
  <si>
    <t>The camera goes to the fire being started.</t>
  </si>
  <si>
    <t>the camera goes back to him standing.</t>
  </si>
  <si>
    <t>The camera goes back to him building a different kind of campfire.</t>
  </si>
  <si>
    <t>He is standing in the woods again talking.</t>
  </si>
  <si>
    <t>v_PzAjZbCEbLU</t>
  </si>
  <si>
    <t>a video of how to prevent RV roof leaks is shown, there is a roof of an RV and a man cleaning the glue around the leak.</t>
  </si>
  <si>
    <t>man is putting white glue around the leak.</t>
  </si>
  <si>
    <t>v_4fw4nswO748</t>
  </si>
  <si>
    <t>An introduction comes onto the screen for a video about snowboarding.</t>
  </si>
  <si>
    <t>A snowboarder begins to make some commentary about his snowboarding techniques.</t>
  </si>
  <si>
    <t>Several clips of snowboarders are shown performing the technique as he explains.</t>
  </si>
  <si>
    <t>v_FGAlwzRvAHg</t>
  </si>
  <si>
    <t>The screen shows Transworld Snowboarding at Keystone, Colorado.</t>
  </si>
  <si>
    <t>It displays the fundamentals of snowboarding by Jack Mitrani.</t>
  </si>
  <si>
    <t>A person wearing a green hoodie and a hat is talking about the essentials required for snowboarding.</t>
  </si>
  <si>
    <t>He is demonstrating his tutorial with a snowboard placed in front of him.</t>
  </si>
  <si>
    <t>He is holding an iron in his hand as he is explaining how to wax the board.</t>
  </si>
  <si>
    <t>He has a piece of hard wax in his hand and an iron too.</t>
  </si>
  <si>
    <t>He begins melting the wax with the heated iron and drops it on the board.</t>
  </si>
  <si>
    <t>He drops the melted wax all over the board.</t>
  </si>
  <si>
    <t>He then drags the melted wax all through the board.</t>
  </si>
  <si>
    <t>He continues the same process throughout the entire board.</t>
  </si>
  <si>
    <t>Then uses a scraper to scrape the wax off and clean the board.</t>
  </si>
  <si>
    <t>He also uses a brush to brush off the wax and blows the wax shavings off of the board.</t>
  </si>
  <si>
    <t>v_7qeiQKbWpLM</t>
  </si>
  <si>
    <t>A female gymnast goes through her routine as her coach supervises.</t>
  </si>
  <si>
    <t>Graphics appear at the bottom of the screen that gives the girl's name and country she represents.</t>
  </si>
  <si>
    <t>Her coach walks to the uneven bars to position himself in case she falls.</t>
  </si>
  <si>
    <t>The coach walks up to the uneven bars a second time to position himself to catch her if needed and then walks across to the other side of the mats.</t>
  </si>
  <si>
    <t>She gets off the uneven bars and lands on the mat and poses.</t>
  </si>
  <si>
    <t>v_vijDPbwU6vA</t>
  </si>
  <si>
    <t>People are sitting around a campfire.</t>
  </si>
  <si>
    <t>A man in a hat stands up and chops wood.</t>
  </si>
  <si>
    <t>He gives a thumbs up and puts the ax over his shoulder.</t>
  </si>
  <si>
    <t>v_ZKSORB5ygRM</t>
  </si>
  <si>
    <t>A man drives his car to the beach.</t>
  </si>
  <si>
    <t>He gears up for the surf.</t>
  </si>
  <si>
    <t>He then surfs across a large wave.</t>
  </si>
  <si>
    <t>He finishes and stands on the beach.</t>
  </si>
  <si>
    <t>v_h0R04AFnor4</t>
  </si>
  <si>
    <t>A person touches the skin with a green light while cleaning the area.</t>
  </si>
  <si>
    <t>The person clean the leg with cotton.</t>
  </si>
  <si>
    <t>The person continues applying the green light.</t>
  </si>
  <si>
    <t>v_9a6C5rvS56A</t>
  </si>
  <si>
    <t>There are 4 african american children skipping around on the concrete ground.</t>
  </si>
  <si>
    <t>3 are wearing dresses and 1 of them is wearing a shirt and pants.</t>
  </si>
  <si>
    <t>After they're done skipping, they go to pick vegetables on the side of a building and put them into a blue bowl.</t>
  </si>
  <si>
    <t>v_KcgpoXEh44M</t>
  </si>
  <si>
    <t>Two women are in a room standing behind a table and one holds up a teddy bear.</t>
  </si>
  <si>
    <t>The two the help each other,and begin by taking out a roll of wrapping paper.</t>
  </si>
  <si>
    <t>After,the young girl begins to cut,fold, and tape the paper and places the bear inside.</t>
  </si>
  <si>
    <t>Finally,the task is complete and she holds the finished product up on the table.</t>
  </si>
  <si>
    <t>v_UBtVJ-w9O28</t>
  </si>
  <si>
    <t>A group of men are outside standing in a circle hitting sticks as two males begin fighting.</t>
  </si>
  <si>
    <t>Next,two more men begin dancing around the circle making fighting movements.</t>
  </si>
  <si>
    <t>After,the men come into the circle in pairs and begin to dance around each other as if they are fighting each other.</t>
  </si>
  <si>
    <t>v_3jb0w48ACkU</t>
  </si>
  <si>
    <t>A girl video records a man throwing lighting the end of a stick on fire.</t>
  </si>
  <si>
    <t>The man blows the stick of fire into a pile of wood and eventually creates a fire.</t>
  </si>
  <si>
    <t>v_bL0bXUG2QWI</t>
  </si>
  <si>
    <t>Two men are standing on a gym.</t>
  </si>
  <si>
    <t>A man gets on his knees and lifts two weights.</t>
  </si>
  <si>
    <t>A man stands behind him and talks.</t>
  </si>
  <si>
    <t>The man stands up and kneels back down several times.</t>
  </si>
  <si>
    <t>v_hEabp9fbqtw</t>
  </si>
  <si>
    <t>A man is wearing white in front of a building.</t>
  </si>
  <si>
    <t>He is doing several martial arts moves.</t>
  </si>
  <si>
    <t>He moves very slowly as he demonstrates the moves.</t>
  </si>
  <si>
    <t>v_iksziMLKsBQ</t>
  </si>
  <si>
    <t>We see a black intro screen.</t>
  </si>
  <si>
    <t>We see princess Diana and a man playing pool.</t>
  </si>
  <si>
    <t>Photographers stand up at the end of her table.</t>
  </si>
  <si>
    <t>The princess and her people exit the room.</t>
  </si>
  <si>
    <t>We go back to the black screen.</t>
  </si>
  <si>
    <t>v_18qVzfQ9VAs</t>
  </si>
  <si>
    <t>A woman is standing while wearing a pair of black boots.</t>
  </si>
  <si>
    <t>Her boots begin to move and kick as she starts dancing.</t>
  </si>
  <si>
    <t>She moves side to side, kicking in and out.</t>
  </si>
  <si>
    <t>The woman is fully shown as she stops dancing and begins to speak to the camera.</t>
  </si>
  <si>
    <t>v_ZIvekQVbCZ4</t>
  </si>
  <si>
    <t>A man is jumping rope in a room.</t>
  </si>
  <si>
    <t>A man behind him is stretching.</t>
  </si>
  <si>
    <t>A man behind him starts doing push ups.</t>
  </si>
  <si>
    <t>v_zahB34blHyk</t>
  </si>
  <si>
    <t>There is a man wearing a blue hazmat suit spray painting a tall fence.</t>
  </si>
  <si>
    <t>He is using a spray paint hose to paint the wooden fence.</t>
  </si>
  <si>
    <t>He moves the hose back and forth to ensure he covers the entire surface area of the fence.</t>
  </si>
  <si>
    <t>v_d-NsZZkxTa0</t>
  </si>
  <si>
    <t>A little girl is running around with a stick pushing and object, playing and having a lot of fun.</t>
  </si>
  <si>
    <t>The little girl goes forward playing for around 10 meters and then she goes back running.</t>
  </si>
  <si>
    <t>She touches a red plate and positions it and then runs again to the other side.</t>
  </si>
  <si>
    <t>v_2L9pp85KvbQ</t>
  </si>
  <si>
    <t>A man has a hookah in his mouth and he is inhaling smoke for a while.</t>
  </si>
  <si>
    <t>He takes the hookah out of his mouth and exhales letting out a bunch of smoke.</t>
  </si>
  <si>
    <t>I think he is trying to make O's with the smoke but he doesn't know how.</t>
  </si>
  <si>
    <t>He keeps inhaling and continues to try blowing out the smoke.</t>
  </si>
  <si>
    <t>v_71vVRQ4l8OI</t>
  </si>
  <si>
    <t>A gymnist is seen pushing himself up onto a set of uneven bars while several other people watch on the sidelines as well as perform.</t>
  </si>
  <si>
    <t>Several older men man runs into frame to check on the gymnast in back while the man on the bars continues his routine.</t>
  </si>
  <si>
    <t>The athlete does a back flip and finishes his routine while several others run into frame.</t>
  </si>
  <si>
    <t>v_rduaWxRvcw0</t>
  </si>
  <si>
    <t>A woman wearing a head scarf is seated, talking to the camera.</t>
  </si>
  <si>
    <t>She takes rollers out of her hair, one at a time.</t>
  </si>
  <si>
    <t>She then styles her hair and displays it to the camera.</t>
  </si>
  <si>
    <t>v_vEiQlqCy-rI</t>
  </si>
  <si>
    <t>A goalie is shown saving several balls and being interviewed by a reporter.</t>
  </si>
  <si>
    <t>Many shots are shown of boys playing soccer and being interviewed and leads into the coach being interviewed.</t>
  </si>
  <si>
    <t>Many people enjoy watching the game and finish with more players being interviewed.</t>
  </si>
  <si>
    <t>v_yw9W5dZ6T18</t>
  </si>
  <si>
    <t>The man is standing in the kitchen.</t>
  </si>
  <si>
    <t>He grab a tong and a silver, metal bowl with vegetables in it.</t>
  </si>
  <si>
    <t>The ingredients on the counter are in white containers.</t>
  </si>
  <si>
    <t>the chef is holding a small piece of nut.</t>
  </si>
  <si>
    <t>v_44M2Ov9JzUE</t>
  </si>
  <si>
    <t>The camera pans in on a volleyball player while she plays a game with others.</t>
  </si>
  <si>
    <t>The camera pauses every now and then to capture her movements and pans around the other people playing.</t>
  </si>
  <si>
    <t>v_jBnNbI48KjQ</t>
  </si>
  <si>
    <t>A host speaks to the camera with various musicians sitting behind him and leads into several shots of landscapes.</t>
  </si>
  <si>
    <t>The same man speaks to the camera and is shown riding on a surf board with several other surfers.</t>
  </si>
  <si>
    <t>The man is seen once again in the studio and is interviewed by a woman and another man.</t>
  </si>
  <si>
    <t>v_PV8QJ4QJgtY</t>
  </si>
  <si>
    <t>A woman is standing and talking to the camera, as she pointed to the horse next to her.</t>
  </si>
  <si>
    <t>A woman in yellow is sitting on the horse, the horse walked around the ramp.</t>
  </si>
  <si>
    <t>The horse began running in circles as the older woman is watching.</t>
  </si>
  <si>
    <t>v_fhEvf47Jqi8</t>
  </si>
  <si>
    <t>A man is seen speaking to the camera and leads into him holding a set of tools and presenting them to the camera.</t>
  </si>
  <si>
    <t>He then uses the tools on bushes nearby while still looking to the camera to speak.</t>
  </si>
  <si>
    <t>v_5QBRDpzedoI</t>
  </si>
  <si>
    <t>A man is running down a track in slow motion doing several jumps and landing into a pit.</t>
  </si>
  <si>
    <t>The same man is shown several times through various clips in slow motion performing the long jump on a track field.</t>
  </si>
  <si>
    <t>v_7Zd7KlliqQw</t>
  </si>
  <si>
    <t>A man is seen moving around in slow motion while the camera captures him from several angles.</t>
  </si>
  <si>
    <t>A pair of scissors and a comb is then seen close up and leads into a person cutting the man's hair.</t>
  </si>
  <si>
    <t>He finally blow dries the man's hair and is shown once again smiling and laughing to the camera.</t>
  </si>
  <si>
    <t>v_mI7Hwk_AF-M</t>
  </si>
  <si>
    <t>women are in a big green field playing hurling.</t>
  </si>
  <si>
    <t>woman is in a small green court practicing hurling shots.</t>
  </si>
  <si>
    <t>v_MaYV3jnGr6g</t>
  </si>
  <si>
    <t>person is watching her hands with soap in a handwasher, put some solution into the pots, holds an eye contact with the index finger and with the other hands open her eye and put the contact in her eye, grab the other contact and with the other hands open the eye ad put it in the eye.</t>
  </si>
  <si>
    <t>now the person wash her hands and opens the eye and with the fingers grab the contact from the eye and put it into a pot, then she do the same with the other eye, open the eye and grab the contact from the eye and put it in the pot.</t>
  </si>
  <si>
    <t>v_qRT0Z6Sz_Ck</t>
  </si>
  <si>
    <t>A person gets off a plane.</t>
  </si>
  <si>
    <t>A person is rollerblading through a city and hanging out with friends.</t>
  </si>
  <si>
    <t>This happens in many different places, but it basically the same thing.</t>
  </si>
  <si>
    <t>v__xtOX9UCWmU</t>
  </si>
  <si>
    <t>A man is shown against a white background.</t>
  </si>
  <si>
    <t>He is playing a guitar with his hands.</t>
  </si>
  <si>
    <t>The chords and words appear at the bottom of the screen as he plays.</t>
  </si>
  <si>
    <t>v_bzndhMU3izM</t>
  </si>
  <si>
    <t>We we an opening screen for a product.</t>
  </si>
  <si>
    <t>We see a person shoveling their sidewalk.</t>
  </si>
  <si>
    <t>The man reaches the house and turns to finish the other side of the walkway.</t>
  </si>
  <si>
    <t>We see a person spraying an item on their sidewalk.</t>
  </si>
  <si>
    <t>We then see two closing screens.</t>
  </si>
  <si>
    <t>v_MxZtYALqIrE</t>
  </si>
  <si>
    <t>A man is engaged in a pool competition.</t>
  </si>
  <si>
    <t>He shoots the stick at the balls, making them go into the corner pockets.</t>
  </si>
  <si>
    <t>When he wins, he high fives another man.</t>
  </si>
  <si>
    <t>v_G9ZEi6eRhi0</t>
  </si>
  <si>
    <t>There are about five to six young boys bouncing and jumping in an enclosed bouncy house with basketballs in their hands.</t>
  </si>
  <si>
    <t>The coach is guiding them by blowing the whistle as the children continue to bounce and jump.</t>
  </si>
  <si>
    <t>They take turns to throw the orange balls as instructed by their coach.</t>
  </si>
  <si>
    <t>v_N4Z9eYSu2uM</t>
  </si>
  <si>
    <t>People are playing tug of war on a field.</t>
  </si>
  <si>
    <t>People fall into a pile of muddy water.</t>
  </si>
  <si>
    <t>People are standing next to them watching.</t>
  </si>
  <si>
    <t>v_dexjr5WGeqQ</t>
  </si>
  <si>
    <t>The woman shows the square mats and points to the different materials and features.</t>
  </si>
  <si>
    <t>The woman sweeps the floor to prep for a project.</t>
  </si>
  <si>
    <t>The woman uses a chalk line then tape to mark the floor.</t>
  </si>
  <si>
    <t>The woman sets in the square carpet pieces in place to cover the floor.</t>
  </si>
  <si>
    <t>The woman shows the finished floor off.</t>
  </si>
  <si>
    <t>v_PMDpnLURLp8</t>
  </si>
  <si>
    <t>He grabs the long pole and begins to walk with it to the other side of the field.</t>
  </si>
  <si>
    <t>Then he positions himself and does a jump and lands.</t>
  </si>
  <si>
    <t>Everyone else begins to take their turns and start to run and jump also.</t>
  </si>
  <si>
    <t>They practice for a while and do it for a few more times.</t>
  </si>
  <si>
    <t>v_kpnGg2lOBLM</t>
  </si>
  <si>
    <t>A large group of people are seen jumping rope in a gymnasium while moving back and fourth with the camera.</t>
  </si>
  <si>
    <t>A woman stands in front to instruct the group and continue jumping rope and then stopping.</t>
  </si>
  <si>
    <t>The people then do a warm up with one another and stretch with the woman leading in front.</t>
  </si>
  <si>
    <t>v_7V1ZHZRHFrg</t>
  </si>
  <si>
    <t>A treadmill is shown, then a woman, using the treadmill in the living room is shown, she is wearing blue top and black shorts.</t>
  </si>
  <si>
    <t>She adjusted the monitor, then a treadmill adjustments and meters are shown with numbers on it.</t>
  </si>
  <si>
    <t>v_MbCIH5bay4Q</t>
  </si>
  <si>
    <t>A man is seen standing ready outside a track and begins running towards a bar.</t>
  </si>
  <si>
    <t>The man then jumps over the bar and is shown again in slow motion.</t>
  </si>
  <si>
    <t>v_eepvgF5Fi_Q</t>
  </si>
  <si>
    <t>People sit at a black jack table.</t>
  </si>
  <si>
    <t>A man sits behind the table dealing the cards.</t>
  </si>
  <si>
    <t>A man cashes in chips with the dealer.</t>
  </si>
  <si>
    <t>v_XLspZ5bof7o</t>
  </si>
  <si>
    <t>A lady is talking to the camera in a light room.</t>
  </si>
  <si>
    <t>She turns around and grabs a handful of hair.</t>
  </si>
  <si>
    <t>The lady starts braiding her hair adding more hair as she braids.</t>
  </si>
  <si>
    <t>The lady pulls her braid in front of her and adds a hair tie.</t>
  </si>
  <si>
    <t>She pulls her hair to loosen the braid and turns to the camera and smiles.</t>
  </si>
  <si>
    <t>v_Io0_nTofT7w</t>
  </si>
  <si>
    <t>A row of teenaged boys are playing snare drums.</t>
  </si>
  <si>
    <t>A large bass drum and player appear.</t>
  </si>
  <si>
    <t>A girl playing a drum joins in.</t>
  </si>
  <si>
    <t>v_-wWtZjqIH9o</t>
  </si>
  <si>
    <t>A group of children of varying ages slide down a blue slide in a theme park.</t>
  </si>
  <si>
    <t>A group of children appear at the top of high slide.</t>
  </si>
  <si>
    <t>The children then slide down the slide, with one girl's headband coming down over her eyes.</t>
  </si>
  <si>
    <t>The children land and get up and run off.</t>
  </si>
  <si>
    <t>v_zL0L9Faa5CA</t>
  </si>
  <si>
    <t>White text explains the process of knee injury.</t>
  </si>
  <si>
    <t>A man is shown doing athletic acts, including jumping on a mattress, and stretches for his knees before jumping again and again.</t>
  </si>
  <si>
    <t>v_DLJFoRluYx4</t>
  </si>
  <si>
    <t>A man stands in a bathroom in front of a mirror, holding a razor.</t>
  </si>
  <si>
    <t>The man begins speaking to the camera while showing the razor and its various parts.</t>
  </si>
  <si>
    <t>Soon he begins shaving his face while looking in the mirror.</t>
  </si>
  <si>
    <t>Afterward, he resumes speaking to the camera and showing how the razor performed.</t>
  </si>
  <si>
    <t>The man places the razor on a charging stand which shows a light illuminating, and then picks it back up.</t>
  </si>
  <si>
    <t>The video ends with the man touching his face to demonstrate the smooth job.</t>
  </si>
  <si>
    <t>v__5by7Is4JEU</t>
  </si>
  <si>
    <t>Two men demonstrate jump rope stunts, tricks and techniques in an auditorium in front of a group of students.</t>
  </si>
  <si>
    <t>A man in a grey track suit performs jump rope tricks in front of a group of students.</t>
  </si>
  <si>
    <t>The man in the grey track suit finishes and the children clap.</t>
  </si>
  <si>
    <t>A second man walks beside the man and the two men begin to perform more tricks and stunts including backflips and dance moves during the demonstration.</t>
  </si>
  <si>
    <t>v_hTx_y1ils70</t>
  </si>
  <si>
    <t>Two people are seen hosting a news segment speaking to one another and showing several clips on the interior of a gym.</t>
  </si>
  <si>
    <t>The woman then climbs on the treadmill and gives it a try while still speaking to the man.</t>
  </si>
  <si>
    <t>v_y7R4iEhqx9A</t>
  </si>
  <si>
    <t>A woman is seen speaking to the camera holding a beer and leads into her drinking from the glass.</t>
  </si>
  <si>
    <t>She continues drinking the beer while laughing to the camera and nodding in agreement.</t>
  </si>
  <si>
    <t>v_fIG7aXzSyMU</t>
  </si>
  <si>
    <t>A volunteer rakes leaves in a front yard.</t>
  </si>
  <si>
    <t>Volunteers carry and set up yard tools and cleaning products.</t>
  </si>
  <si>
    <t>A group of volunteers rake the leaves together in front of a house.</t>
  </si>
  <si>
    <t>Volunteers all eat together in a cafeteria.</t>
  </si>
  <si>
    <t>A man loads up bags of leaves and drops them off at a collection yard.</t>
  </si>
  <si>
    <t>v_Iwgbi95VjXU</t>
  </si>
  <si>
    <t>A girl in a bathing suit is sitting on the beach.</t>
  </si>
  <si>
    <t>She is putting sand into a cup and building a sand castle.</t>
  </si>
  <si>
    <t>Another girl walks up and talks to her.</t>
  </si>
  <si>
    <t>v_SIKxtWHWybU</t>
  </si>
  <si>
    <t>A man lays down on the floor over a mat.</t>
  </si>
  <si>
    <t>The man holds a weight ovebe his head.</t>
  </si>
  <si>
    <t>The man exercise holding the weight and raising the folded legs until the chest.</t>
  </si>
  <si>
    <t>v_RRFC2NrZSf4</t>
  </si>
  <si>
    <t>A man wearing a black shirt that has white words that say "Plays well with self" is sitting in a home and playing on two different bongos that are different in size, design and color.</t>
  </si>
  <si>
    <t>The man stops hitting the bongos and rests his left hand on the lighter colored bongo.</t>
  </si>
  <si>
    <t>Then the man moves his right leg as if he is going to stand up and the bongo moves without his leg support.</t>
  </si>
  <si>
    <t>v_duGxOdcqg3I</t>
  </si>
  <si>
    <t>Stone cold steve austin in the ring sweating profusely.</t>
  </si>
  <si>
    <t>He looks over at the other wrestler breathing and sweating, they just look at each other for a while.</t>
  </si>
  <si>
    <t>They open beers and bump the together, then they start throwing beers to the audience.</t>
  </si>
  <si>
    <t>Then, austin rolls out of the ring and starts walking to the back.</t>
  </si>
  <si>
    <t>v_VNMj5YKHEsY</t>
  </si>
  <si>
    <t>woman is talking to a man in an icerink skating and holding hockey poles playing pulling the disc.</t>
  </si>
  <si>
    <t>woman is in an hospital talking to a man.</t>
  </si>
  <si>
    <t>man and woman looked the man that have bandage in his head.</t>
  </si>
  <si>
    <t>v_oD45QIOK4z0</t>
  </si>
  <si>
    <t>The players from Brasil scores while people in the bleaches celebrate.</t>
  </si>
  <si>
    <t>A Brazilian player pass the ball to his playmate who scores and runs to celebrate, other Brazilian players scores many times.</t>
  </si>
  <si>
    <t>After, Brasil plays with other teems and scores many times.</t>
  </si>
  <si>
    <t>Then Brasil plays with players from other countries and scores.</t>
  </si>
  <si>
    <t>At the end, Brasil win the competition.</t>
  </si>
  <si>
    <t>v_L4mSCZwXelk</t>
  </si>
  <si>
    <t>People are playing indoor soccer in an arena.</t>
  </si>
  <si>
    <t>People are sitting in the stands watching.</t>
  </si>
  <si>
    <t>v_bhRHD3bBNZY</t>
  </si>
  <si>
    <t>A woman stands in a room holding a hula hoop.</t>
  </si>
  <si>
    <t>She demonstrates how to use the hula hoop.</t>
  </si>
  <si>
    <t>She spins it using her hips and talking to the camera.</t>
  </si>
  <si>
    <t>v_hjsu3SGAdLs</t>
  </si>
  <si>
    <t>A man wearing a blue shirt is playing the piano in a yard.</t>
  </si>
  <si>
    <t>There are two elephants standing behind him.</t>
  </si>
  <si>
    <t>One of the elephant is trying to play the piano with his trunk.</t>
  </si>
  <si>
    <t>The man continues to play the piano in a fast pace using various keys on the piano.</t>
  </si>
  <si>
    <t>He gives a big finish with the tune and then pats the elephant's trunk.</t>
  </si>
  <si>
    <t>v_BqjNfptu17Q</t>
  </si>
  <si>
    <t>A guy stands on the shore of a beach holding a hockey stick balancing a ball.</t>
  </si>
  <si>
    <t>A hockey stick and a white ball lay on fake grass outside.</t>
  </si>
  <si>
    <t>A person moves a white ball with a hockey stick.</t>
  </si>
  <si>
    <t>A person demonstrates ten field hockey techniques.</t>
  </si>
  <si>
    <t>A guy uses a hockey stick to bounce a ball in the air.</t>
  </si>
  <si>
    <t>Greetings and credits are shown.</t>
  </si>
  <si>
    <t>v_unz00-r84NY</t>
  </si>
  <si>
    <t>A boy plays with a ball in a yard.</t>
  </si>
  <si>
    <t>A boy swings and hits the ball out of the yard.</t>
  </si>
  <si>
    <t>The boy walks to retrieve the ball.</t>
  </si>
  <si>
    <t>The boy plays a game where he hits the ball and knocks down trash can lids.</t>
  </si>
  <si>
    <t>The boy swings a stick at the balls to hit them through a goal.</t>
  </si>
  <si>
    <t>v_tb8KKdC7r-A</t>
  </si>
  <si>
    <t>People play shuffleboard in a gym.</t>
  </si>
  <si>
    <t>A woman throws a black puck, then she talks and continue playing.</t>
  </si>
  <si>
    <t>Old man wearing a cap talks in the gym .</t>
  </si>
  <si>
    <t>Two women talks side by side, one of the woman holds a pole.</t>
  </si>
  <si>
    <t>v_TrFoFWXLMFg</t>
  </si>
  <si>
    <t>An infomercial shows a person using a razor on their leg while speaking to the camera.</t>
  </si>
  <si>
    <t>The woman continues shaving her legs and a close up of the tool is shown.</t>
  </si>
  <si>
    <t>v_LNd1TrbshXM</t>
  </si>
  <si>
    <t>A woman walks into frame playing with her hair and parting it behind her.</t>
  </si>
  <si>
    <t>The woman continues braiding up her hair and shows off the end result while looking to the camera then away.</t>
  </si>
  <si>
    <t>v_uqixFWxAQSA</t>
  </si>
  <si>
    <t>cars covered by a thick snow is shown and a man is cleaning the snow with a shovel in the windshield and all the car.</t>
  </si>
  <si>
    <t>car is going in street.</t>
  </si>
  <si>
    <t>v_lcOepzWnOO4</t>
  </si>
  <si>
    <t>A couple and a child are in a living room.</t>
  </si>
  <si>
    <t>The couple begin dancing in the middle of the room, spinning and twirling.</t>
  </si>
  <si>
    <t>v_h3H6TzHC8Cc</t>
  </si>
  <si>
    <t>A referee wearing a white shirt in a boxing match starts a boxing match.</t>
  </si>
  <si>
    <t>Two girl boxers approach each other and start kick boxing.</t>
  </si>
  <si>
    <t>The taller boxer approaches the shorter boxer and hits the shorter boxer with a straight kick.</t>
  </si>
  <si>
    <t>Both boxers exchange punches and kicks in the center of the ring.</t>
  </si>
  <si>
    <t>The referee manages the fight while following and watching the fighters closely.</t>
  </si>
  <si>
    <t>v_3bTGq7QDjUg</t>
  </si>
  <si>
    <t>Two people are tubing in a stream with lush water and huge rocks through out it.</t>
  </si>
  <si>
    <t>Once the two get around the curve,they hit two small hills and wade in the calmer part of the water.</t>
  </si>
  <si>
    <t>v_Huz41aVo5eo</t>
  </si>
  <si>
    <t>man is waxing a woman's leg.</t>
  </si>
  <si>
    <t>woman is talking to the camera and showing how to wax the leg.</t>
  </si>
  <si>
    <t>v_kkXSGwesZ0U</t>
  </si>
  <si>
    <t>Two people have their legs tied together and then receive instructions.</t>
  </si>
  <si>
    <t>They walk out to a ledge and then go bungee jumping over the edge.</t>
  </si>
  <si>
    <t>v_uo1ERV8LZeU</t>
  </si>
  <si>
    <t>Pictures of a drink are shown followed by an empty bowl and a person putting ingredients in the bowl.</t>
  </si>
  <si>
    <t>The person stirs the ingredients all around and pours the mixture into a glass with ice to serve.</t>
  </si>
  <si>
    <t>v_zH-fOiPLLxA</t>
  </si>
  <si>
    <t>A brush is attached to a power drill for scrubbing.</t>
  </si>
  <si>
    <t>The top of the sink is scrubbed then the bowl.</t>
  </si>
  <si>
    <t>It is wiped with a towel to finish.</t>
  </si>
  <si>
    <t>v_FjY3eKNvzug</t>
  </si>
  <si>
    <t>People are sitting on exercise machines in a room.</t>
  </si>
  <si>
    <t>They all begin working out and pulling on a rope.</t>
  </si>
  <si>
    <t>People are standing in front of them cheering them on.</t>
  </si>
  <si>
    <t>v_3NFWgG4_6NI</t>
  </si>
  <si>
    <t>A man is seen dancing with a hula hoop in a crowded area while people wander around behind her.</t>
  </si>
  <si>
    <t>The woman continues spinning the hoop around herself as people watch her spin around.</t>
  </si>
  <si>
    <t>v_vWEbHvnkogA</t>
  </si>
  <si>
    <t>A jazz musicians is teaching how to play the saxophone.</t>
  </si>
  <si>
    <t>He is giving instructions and talking about music and scales.</t>
  </si>
  <si>
    <t>Then he starts to play some for a little before going back to lecturing.</t>
  </si>
  <si>
    <t>He talks about the notes he has written on the chalk board and goes back to lecturing more about it all.</t>
  </si>
  <si>
    <t>v_X6BHwIJKl-Q</t>
  </si>
  <si>
    <t>A person talks while sit in a boat holding a paddle.</t>
  </si>
  <si>
    <t>Then, the person sails in choppy waters, suddenly he pivote the boat away helping with the oar.</t>
  </si>
  <si>
    <t>v__Wq1OGf0MHM</t>
  </si>
  <si>
    <t>A group of kids and adults are by a river.</t>
  </si>
  <si>
    <t>They get into rafts and float down stream.</t>
  </si>
  <si>
    <t>They paddle through the rapids and falls.</t>
  </si>
  <si>
    <t>v_-Sp-gOEGy2o</t>
  </si>
  <si>
    <t>"How to start a campfire with FiAir" appears on screen.</t>
  </si>
  <si>
    <t>Wildlife Biologist Bryon Shissler sits outside by a campfire pit and speaks to the camera.</t>
  </si>
  <si>
    <t>He builds and lights a fire in the pit using the FiAir device.</t>
  </si>
  <si>
    <t>"FiAir The handly little blower to feed your fires" appears on screen.</t>
  </si>
  <si>
    <t>v_XKA2W2735WM</t>
  </si>
  <si>
    <t>People watch a parade where people walk on front a marching band holding a banner and waving the viewers.</t>
  </si>
  <si>
    <t>A man cross the street holding a small flag and extend his hand.</t>
  </si>
  <si>
    <t>A group of soldiers holds rifles and flags on front a black car.</t>
  </si>
  <si>
    <t>A veteran make the military salute.</t>
  </si>
  <si>
    <t>v_KgONRjXP8_Y</t>
  </si>
  <si>
    <t>A person dips a paint brush into a pan.</t>
  </si>
  <si>
    <t>They use the brush to paint the side of a table.</t>
  </si>
  <si>
    <t>They use large strokes, continuing to paint.</t>
  </si>
  <si>
    <t>v_sra0ywgWITo</t>
  </si>
  <si>
    <t>A man walks over to another man upset and suggests an arm wrestling match.</t>
  </si>
  <si>
    <t>The men begin to hold hands and quickly move away while two women walk into scene.</t>
  </si>
  <si>
    <t>The men continue the match while look calm and the other looks struggled.</t>
  </si>
  <si>
    <t>The match continues as the men discuss their issues and the women watching yell at the men.</t>
  </si>
  <si>
    <t>The women then help the men arm wrestle and one punches the other to help one man win.</t>
  </si>
  <si>
    <t>The punched woman pulls the arms up and stabs them while the other man also stabs them.</t>
  </si>
  <si>
    <t>The women pull out duct tape and stuff one body into a bag.</t>
  </si>
  <si>
    <t>v_ersl2OEJ-eI</t>
  </si>
  <si>
    <t>A man is concentrating extremely hard as he is throwing darts on to a board at a tournament.</t>
  </si>
  <si>
    <t>People cheer and screen for him as another man approaches the board and hives him competition.</t>
  </si>
  <si>
    <t>The two go back and forth,however the first guy appears to be the fan's favorite and ends up winning the game.</t>
  </si>
  <si>
    <t>v_mBAlD4A8swo</t>
  </si>
  <si>
    <t>A man is sitting on an exercise bike.</t>
  </si>
  <si>
    <t>He is working out on the bike.</t>
  </si>
  <si>
    <t>He is talking to the camera while working out.</t>
  </si>
  <si>
    <t>v_QFxe74w7aNc</t>
  </si>
  <si>
    <t>A group of martial artists and drummers perform in a street competition.</t>
  </si>
  <si>
    <t>The martial artists in red pants and black shirts do kicks and flips.</t>
  </si>
  <si>
    <t>Drummers wearing all black and red hats play the drums.</t>
  </si>
  <si>
    <t>The performers finish their piece and the crowd applauds.</t>
  </si>
  <si>
    <t>v_3HBAcaU552I</t>
  </si>
  <si>
    <t>A young boy and girl are standing over a sink with their mother talking.</t>
  </si>
  <si>
    <t>The mother instructs them on how to brush their teeth while laughing.</t>
  </si>
  <si>
    <t>The boy helps his younger sister brush his teeth.</t>
  </si>
  <si>
    <t>She gets them some water to gargle in their mouths.</t>
  </si>
  <si>
    <t>The boy and girl begin playing in the sink.</t>
  </si>
  <si>
    <t>The woman laughs at the children dribbling water.</t>
  </si>
  <si>
    <t>v_eNE8O5cgYuE</t>
  </si>
  <si>
    <t>A woman is outside wind blowing a little bit through her hair, the view is outstanding.</t>
  </si>
  <si>
    <t>There is ia group of runners starting a marathon taking their time.</t>
  </si>
  <si>
    <t>It was scenic and beautiful out there, flowers blossoming and everything.</t>
  </si>
  <si>
    <t>A few of the runners talk about their experience to reporters.</t>
  </si>
  <si>
    <t>v_ufgYKCfK2Vk</t>
  </si>
  <si>
    <t>She is dancing with a baton very gracefully all around the stage for her performance.</t>
  </si>
  <si>
    <t>She does handstands and all kinds of different intriguing moves.</t>
  </si>
  <si>
    <t>She throws the baton up and does a few cartwheels and lands in time to catch it.</t>
  </si>
  <si>
    <t>She accidentally drops the baton and picks its up and continues on and on until the end of her dance.</t>
  </si>
  <si>
    <t>v_HcPhIfhQLmA</t>
  </si>
  <si>
    <t>kid is sanding in a room talking to the camera.</t>
  </si>
  <si>
    <t>anoher man appears on the room and is practicing a head lock.</t>
  </si>
  <si>
    <t>man throw the the kid in the bed and stands.</t>
  </si>
  <si>
    <t>v_Y-dpHbPGQWE</t>
  </si>
  <si>
    <t>An opening screen with the title of a song is shown.</t>
  </si>
  <si>
    <t>We see a man playing a guitar in a recording studio.</t>
  </si>
  <si>
    <t>We see a ending screen with the man's youtube channel address on it.</t>
  </si>
  <si>
    <t>v_F4FpAZJSV1g</t>
  </si>
  <si>
    <t>man is in a racetrack running to make a high jump into the dust.</t>
  </si>
  <si>
    <t>woman is putting numbers in a scoeboard.</t>
  </si>
  <si>
    <t>man is running in the middle of the field.</t>
  </si>
  <si>
    <t>v_aWz9H0jTv3c</t>
  </si>
  <si>
    <t>Two men are in an inside court.</t>
  </si>
  <si>
    <t>They play a game of racquetball together.</t>
  </si>
  <si>
    <t>They take turns hitting the ball back and forth against the wall.</t>
  </si>
  <si>
    <t>v_NtUIIxVvDsA</t>
  </si>
  <si>
    <t>People are sitting in a car.</t>
  </si>
  <si>
    <t>They are standing around a large inflatable raft.</t>
  </si>
  <si>
    <t>They are rafting in choppy water of a river.</t>
  </si>
  <si>
    <t>v_q8lLTxHen0I</t>
  </si>
  <si>
    <t>Various pictures are shown of people huddled up together as well as people playing soccer on a beach.</t>
  </si>
  <si>
    <t>More pictures are shown of people playing as well as one man receiving a trophy and celebrating with others.</t>
  </si>
  <si>
    <t>v_3sAcnQxBchE</t>
  </si>
  <si>
    <t>A camera pans around a woman sitting in a chair smoking a cigarette.</t>
  </si>
  <si>
    <t>She speaks to the camera while continuing to smoke and ends by spreading her legs.</t>
  </si>
  <si>
    <t>v_Kwhp0DNop9I</t>
  </si>
  <si>
    <t>woman is ni seashore wearing a big hat and smiling.</t>
  </si>
  <si>
    <t>peolpe are scuba diving in the sea next to the pier with bags on their backs and showing the fishes and rocks on the floor.</t>
  </si>
  <si>
    <t>v_iZg4cUU6Hkc</t>
  </si>
  <si>
    <t>A group of teen boys are outside in a yard.</t>
  </si>
  <si>
    <t>They gather supplies, then light a fire.</t>
  </si>
  <si>
    <t>They begin kicking a flaming ball back and forth.</t>
  </si>
  <si>
    <t>v_R-VaPP7ToKQ</t>
  </si>
  <si>
    <t>A boy is sitting behind a table.</t>
  </si>
  <si>
    <t>He picks up a beer and takes a drink quickly.</t>
  </si>
  <si>
    <t>A woman grabs it away from him.</t>
  </si>
  <si>
    <t>v_mc-1msYF8Xo</t>
  </si>
  <si>
    <t>Various shots of plated food are shown followed by a sandwich sitting on a table and a woman holding up pans.</t>
  </si>
  <si>
    <t>The woman then puts ingredients onto sandwich bread and mixes the two together and takes multiple bites.</t>
  </si>
  <si>
    <t>v_xm7pETlJrwA</t>
  </si>
  <si>
    <t>A woman is seen speaking to the camera while holding up a bucket and pot.</t>
  </si>
  <si>
    <t>She pours water out of the pot into the bucket as well as some detergent.</t>
  </si>
  <si>
    <t>She then washing clothes in the bucket using water continuously as well as a toothbrush.</t>
  </si>
  <si>
    <t>She lays out the clothes in the end as well as hangs them up.</t>
  </si>
  <si>
    <t>v_RK1L77bNTxg</t>
  </si>
  <si>
    <t>three people is in studio talking about news.</t>
  </si>
  <si>
    <t>a history about curling sport and the kids team playing in the field and scoring is shown in the screen.</t>
  </si>
  <si>
    <t>back to the studio reporters keep talking about the history.</t>
  </si>
  <si>
    <t>v_-4VuHlphgL4</t>
  </si>
  <si>
    <t>A man is standing behind a couch, wearing a protective head covering.</t>
  </si>
  <si>
    <t>He is covering a couch with plastic, and tapes it in place.</t>
  </si>
  <si>
    <t>He speaks to the camera about what he did a little longer.</t>
  </si>
  <si>
    <t>v_TQ22icNBoSI</t>
  </si>
  <si>
    <t>We see blue letters on a black screen and see a roof.</t>
  </si>
  <si>
    <t>Then we switch to more letters and roof has been sprayed with a solution.</t>
  </si>
  <si>
    <t>We are informed the roof has been cleaned and shown shots of the clean roof.</t>
  </si>
  <si>
    <t>We then see the front of the house.</t>
  </si>
  <si>
    <t>We are provided the phone number of the pressure washers.</t>
  </si>
  <si>
    <t>v_T0wmRC8Ka2Y</t>
  </si>
  <si>
    <t>The ball falls onto the ground and a guy in red shorts picks it up.</t>
  </si>
  <si>
    <t>A man in a black hat serves the ball.</t>
  </si>
  <si>
    <t>v_TdFvHyfq97o</t>
  </si>
  <si>
    <t>A man is standing outside in a field of grass that is relatively low.</t>
  </si>
  <si>
    <t>However,in his hand he has a scythe and begins swinging it back and forth cutting the grass down further.</t>
  </si>
  <si>
    <t>As he cuts,several texts appear across the screen with white words about what he is doing and explaining the activity.</t>
  </si>
  <si>
    <t>v_0S0fNrI4oVs</t>
  </si>
  <si>
    <t>A group of USA olympic fencing champions are shown competing in fencing interspersed with images and graphics advertising an upcoming fencing tournament in NYC.</t>
  </si>
  <si>
    <t>Several images of fencers are shows interspersed with video of the fencers walking.</t>
  </si>
  <si>
    <t>An image of a girl holding an American flag behind her appears.</t>
  </si>
  <si>
    <t>More still images of fencing and a slow motion video of a fencing competition appear before a final marketing graphic with a website on it.</t>
  </si>
  <si>
    <t>v_iyGv338SnrQ</t>
  </si>
  <si>
    <t>An elderly woman lays on down against a brown pillow.</t>
  </si>
  <si>
    <t>She holds a harmonica to her mouth and plays it.</t>
  </si>
  <si>
    <t>The light in the room brightens.</t>
  </si>
  <si>
    <t>She finishes playing and laughs.</t>
  </si>
  <si>
    <t>v_Iuk7PNmG3tQ</t>
  </si>
  <si>
    <t>Several players from the black and white team are playing ice hockey in the arena.</t>
  </si>
  <si>
    <t>One of the players from the black team hits the puck away from his opponent.</t>
  </si>
  <si>
    <t>The players from the white team try to prevent him from hitting a goal.</t>
  </si>
  <si>
    <t>An animated version of the game is shown on screen.</t>
  </si>
  <si>
    <t>Then the focus is back on the real game where a black team player is highlighted as he takes a shot on the goal.</t>
  </si>
  <si>
    <t>Again, another animated example is shown to explain how the game works.</t>
  </si>
  <si>
    <t>The black team player hits the puck on the opposite corner of the ice.</t>
  </si>
  <si>
    <t>As the black moves fast and towards the goal, it cause the goalie to fall down.</t>
  </si>
  <si>
    <t>The black team wins the goal and gets the victory in the game.</t>
  </si>
  <si>
    <t>v_1f8iBakydSI</t>
  </si>
  <si>
    <t>A camera pans over a weight room and shows various people working on a machines.</t>
  </si>
  <si>
    <t>One man is seen running on an elliptical while another using a rowing machine in the back.</t>
  </si>
  <si>
    <t>v_gfwSnetklbE</t>
  </si>
  <si>
    <t>A man is shoveling snow off of the top of a car.</t>
  </si>
  <si>
    <t>He walks around the car and starts shoveling the ground.</t>
  </si>
  <si>
    <t>v_TXgzRTa2C38</t>
  </si>
  <si>
    <t>A person throws a bowling ball down a lane.</t>
  </si>
  <si>
    <t>They knock the pins down.</t>
  </si>
  <si>
    <t>They throw the ball at a spare and knock all the rest of the pins down.</t>
  </si>
  <si>
    <t>v__CFadTE9L4I</t>
  </si>
  <si>
    <t>A woman washes clothes in a bucket with soap.</t>
  </si>
  <si>
    <t>The woman wrings out a towel.</t>
  </si>
  <si>
    <t>Someone is folding in the background while the woman continues washing the clothes.</t>
  </si>
  <si>
    <t>v_HQFey_iCEw8</t>
  </si>
  <si>
    <t>A man in a baseball cap, shorts and a blue short sleeved shirt serves three tennis balls across a tennis net on a tennis court by himself.</t>
  </si>
  <si>
    <t>A man on a tennis court by himself serves a tennis ball with a tennis racket across a net.</t>
  </si>
  <si>
    <t>The man then serves two more balls across the net, the ball just land on the other side.</t>
  </si>
  <si>
    <t>v_R3ffxWaI9QU</t>
  </si>
  <si>
    <t>A male athlete is running on a track.</t>
  </si>
  <si>
    <t>He jumps high into the air.</t>
  </si>
  <si>
    <t>He vaults backwards over a high beam.</t>
  </si>
  <si>
    <t>This is shown repeated in slow motion numerous times.</t>
  </si>
  <si>
    <t>v_MZiBlBhpq-Y</t>
  </si>
  <si>
    <t>A man sits down with a guitar.</t>
  </si>
  <si>
    <t>The man begins playing the guitar.</t>
  </si>
  <si>
    <t>The man starts singing while playing the guitar.</t>
  </si>
  <si>
    <t>The man stops playing the guitar and stands up and walks toward the camera.</t>
  </si>
  <si>
    <t>v_yZLwR5EJ7Wc</t>
  </si>
  <si>
    <t>A man plays bagpipes in a city square while nobody pays attention.</t>
  </si>
  <si>
    <t>A cop tells him to stop.</t>
  </si>
  <si>
    <t>v_BbFCkDdq3S0</t>
  </si>
  <si>
    <t>A boy runs slowly down a path.</t>
  </si>
  <si>
    <t>He takes a huge leap into the air.</t>
  </si>
  <si>
    <t>He lands in a giant sand pit.</t>
  </si>
  <si>
    <t>v_LVub7uinY-4</t>
  </si>
  <si>
    <t>A small group of people are seen playing a baseball game on a field and leads into several more shots of them playing.</t>
  </si>
  <si>
    <t>The video continues with several clips of people hitting and catching the ball and ends with text across the screen.</t>
  </si>
  <si>
    <t>v_ER0UPx6-VcM</t>
  </si>
  <si>
    <t>A man and woman are playing inside a racquetball court.</t>
  </si>
  <si>
    <t>They are using racquets, balls, special shoes and protective glasses.</t>
  </si>
  <si>
    <t>They show how to stand and hit the ball.</t>
  </si>
  <si>
    <t>v_pmix_U52VWk</t>
  </si>
  <si>
    <t>A boy is standing behind a music stand playing a flute.</t>
  </si>
  <si>
    <t>He stops playing and smiles before walking away.</t>
  </si>
  <si>
    <t>v_QrKWO2uNNJ0</t>
  </si>
  <si>
    <t>A woman with a hat on stands and talks.</t>
  </si>
  <si>
    <t>She is playing with her hair and talking.</t>
  </si>
  <si>
    <t>Pictures of her hair are inserted.</t>
  </si>
  <si>
    <t>v_Yxsw5nTf4Dg</t>
  </si>
  <si>
    <t>A girl in a bikini is doing hula hoop on a patio.</t>
  </si>
  <si>
    <t>She spins around several times and seems to be having a lot of fun.</t>
  </si>
  <si>
    <t>The came moves up and down to keep her in the frame.</t>
  </si>
  <si>
    <t>It then jumps to another girl only showing her bottom half as a hula hoop spins around her.</t>
  </si>
  <si>
    <t>Another girls is shown dancing inside of a house several times.</t>
  </si>
  <si>
    <t>v_y4PXBhxpZHk</t>
  </si>
  <si>
    <t>A large group of people are shown in several shots playing a sport's game while hundreds of people watch on the sides.</t>
  </si>
  <si>
    <t>The men continue running around the field while close ups of coaches are shown and one scores a goal.</t>
  </si>
  <si>
    <t>One man kneels down and the others shake hands with players.</t>
  </si>
  <si>
    <t>v_QElXIVBV-gk</t>
  </si>
  <si>
    <t>A lady chef wearing a stripe blouse talks in a kitchen.</t>
  </si>
  <si>
    <t>The lady chef describes the ingredients needed and the preparation for the creamy seafood pasta.</t>
  </si>
  <si>
    <t>The lady chef shows a step by step process for preparing the creamy seafood pasta dish and shows the final product.</t>
  </si>
  <si>
    <t>v_2w3FSD235TY</t>
  </si>
  <si>
    <t>A man is talking in a stable as he feeds a horse beside him.</t>
  </si>
  <si>
    <t>He talks extensively about the benefits of horse riding.</t>
  </si>
  <si>
    <t>He mounts a saddle onto the horse.</t>
  </si>
  <si>
    <t>He then leads the horse out, feeding him an apple as he continues to speak.</t>
  </si>
  <si>
    <t>v_QyYbyFXmd-g</t>
  </si>
  <si>
    <t>A man is sen standing in front of a large group of people holding onto a rope.</t>
  </si>
  <si>
    <t>The man raises his arms and the two team begin a game of tug of war.</t>
  </si>
  <si>
    <t>Another game of tug of war occurs on the side and ends with the men standing straight.</t>
  </si>
  <si>
    <t>v_uTc2-oAxgbc</t>
  </si>
  <si>
    <t>We see a girl sitting in a piercing parlor with a lady standing near her.</t>
  </si>
  <si>
    <t>The lady puts a clip on the girls lip and sticks a large needle through her lip.</t>
  </si>
  <si>
    <t>The lady slides the earring through the girls lip and puts a disinfectant on it.</t>
  </si>
  <si>
    <t>v__qzzQdKJ7F0</t>
  </si>
  <si>
    <t>A young girl is seen speaking to the camera and holds up a bottle to the camera.</t>
  </si>
  <si>
    <t>The girl then begins painting her nails and showing them off to the camera.</t>
  </si>
  <si>
    <t>She continues to paint her nails as well as make funny faces to the camera.</t>
  </si>
  <si>
    <t>v_ZQs0S7WwYiM</t>
  </si>
  <si>
    <t>A person puts carpets shims on the floor.</t>
  </si>
  <si>
    <t>The man measures the shims to fit in the corners.</t>
  </si>
  <si>
    <t>After, the person puts stripes on the border of the shims, then put the carpet.</t>
  </si>
  <si>
    <t>v_7EPzlmJ25dA</t>
  </si>
  <si>
    <t>A man takes videos of him skiing and snowboarding down a mountain.</t>
  </si>
  <si>
    <t>He also goes through a forest.</t>
  </si>
  <si>
    <t>v_W_scepAxfPA</t>
  </si>
  <si>
    <t>Two swimmers stand bow forward on a high dive platform.</t>
  </si>
  <si>
    <t>The divers dive from the platform into the water.</t>
  </si>
  <si>
    <t>v_IN8-B39kq_k</t>
  </si>
  <si>
    <t>Two men introduce themselves in the beginning of the video and tell the viewers that they will be talking about tattoos.</t>
  </si>
  <si>
    <t>One of the guys comes on the screen and gives some tips about how to prepare to give a tattoo.</t>
  </si>
  <si>
    <t>A close up of a man is shown giving a tattoo to someone.</t>
  </si>
  <si>
    <t>Several clients are shown close up on the screen while they are in the process of a tattoo.</t>
  </si>
  <si>
    <t>v_Eq0Ibnq9sYA</t>
  </si>
  <si>
    <t>A woman is seen pushing a puck along some ice followed by people brushing ice with brooms in front of the puck.</t>
  </si>
  <si>
    <t>They continuously brush and end the puck in a circle and ends with the woman speaking to the others.</t>
  </si>
  <si>
    <t>v_mRyXubjYWEo</t>
  </si>
  <si>
    <t>A man first salutes and then does karate inside a room while spinning on one leg, next he makes salute.</t>
  </si>
  <si>
    <t>A male makes the cross signal in a squatting position, then he spins his body.</t>
  </si>
  <si>
    <t>Then, the man and the male fight while jumping and kicking.</t>
  </si>
  <si>
    <t>After, the male kick the face of the man with his feet and does a spin with a hand on the floor while the man lands on a foamy mat.</t>
  </si>
  <si>
    <t>v_XQWebGbAjxU</t>
  </si>
  <si>
    <t>A close up of a mat is shown surrounded by pucks and a stick sitting in the middle.</t>
  </si>
  <si>
    <t>The camera pans to people pushing the puck along the ice followed by a person pushing the puck into the middle.</t>
  </si>
  <si>
    <t>v_XPctbL-V1ww</t>
  </si>
  <si>
    <t>A little boy in his pajamma's standing in the mirror watching himself brush his teeth.</t>
  </si>
  <si>
    <t>He moves forward a little and spits out some toothpaste.</t>
  </si>
  <si>
    <t>Then continues to brush, he puts the tooth brush down and grabs a cup of water gargles a bit and spits it out.</t>
  </si>
  <si>
    <t>He finds this very amusing, and does it over and over until the cup of water is empty and then he gets down off his stool and cleans his face with a towel.</t>
  </si>
  <si>
    <t>v_f0hh9bwVfV0</t>
  </si>
  <si>
    <t>Some text appears on screen asking a question about a topic in SCUBA diving safety.</t>
  </si>
  <si>
    <t>The scene changes to show a lot of SCUBA air tanks and some more text explaining more about the question.</t>
  </si>
  <si>
    <t>A man is SCUBA diving underwater while holding his air tank in his hands and the text continues to explain.</t>
  </si>
  <si>
    <t>The air tank is seen floating on it's own on the sea bed.</t>
  </si>
  <si>
    <t>Another man is SCUBA diving and he lets go of his tank to demonstrate the buoyancy.</t>
  </si>
  <si>
    <t>The scene switches back to the group of air tanks with more text explaining.</t>
  </si>
  <si>
    <t>Another scene is shown with 2 tanks and a bag next to some trees.</t>
  </si>
  <si>
    <t>v_0bosp4-pyTM</t>
  </si>
  <si>
    <t>A man is holding a pocket knife while sitting on some rocks in the wilderness.</t>
  </si>
  <si>
    <t>Then he takes a small stone from the flowing river and smashes it on another stone.</t>
  </si>
  <si>
    <t>He starts to crush the small stone to smaller pieces.</t>
  </si>
  <si>
    <t>He grind it hard to make the pieces smaller.</t>
  </si>
  <si>
    <t>Then he takes a piece of bark and rubs the powered stone pieces onto it.</t>
  </si>
  <si>
    <t>The stone particles stick to the wet piece of wood.</t>
  </si>
  <si>
    <t>He then takes the knife and sharpens it against the wood piece.</t>
  </si>
  <si>
    <t>He then notices a little black and green poisonous frog sitting next to him.</t>
  </si>
  <si>
    <t>The frog then escapes and jumps away.</t>
  </si>
  <si>
    <t>He explains how the frog secretes a poisonous fluid that can be extremely harmful.</t>
  </si>
  <si>
    <t>v_1tEJRzqqalM</t>
  </si>
  <si>
    <t>We see a pink opening screen.</t>
  </si>
  <si>
    <t>We see a lady brushing two miniature horses.</t>
  </si>
  <si>
    <t>The lady cleans the brown horses hooves.</t>
  </si>
  <si>
    <t>The lady cleans the hooves on the white and tan horse.</t>
  </si>
  <si>
    <t>The lady brushes the mane on both horses.</t>
  </si>
  <si>
    <t>The lady puts her supplies down.</t>
  </si>
  <si>
    <t>We see black and white still images of the horses.</t>
  </si>
  <si>
    <t>We see the lady brush the brown horse again.</t>
  </si>
  <si>
    <t>v_fwU91k-Vmb8</t>
  </si>
  <si>
    <t>A bunch of children are riding around in bumper cars.</t>
  </si>
  <si>
    <t>They go back and forth on the track.</t>
  </si>
  <si>
    <t>They bump into each other, smiling and laughing.</t>
  </si>
  <si>
    <t>v_GwmpYLRpJQw</t>
  </si>
  <si>
    <t>snowy mountins are shown and people is doing snowboard going down the hill holding poles.</t>
  </si>
  <si>
    <t>a snow house with kids playing is shown.</t>
  </si>
  <si>
    <t>ma is playing with a toy airplane.</t>
  </si>
  <si>
    <t>people doing snowboarding are going down the mountain with red lighes and fireworks are in sky.</t>
  </si>
  <si>
    <t>v_93bg_XU3OTg</t>
  </si>
  <si>
    <t>The product's varying sizes are displayed.</t>
  </si>
  <si>
    <t>The guy pours product in a container and uses a brush to put the liquid on the surface of a metal object.</t>
  </si>
  <si>
    <t>The guy puts a white cloth on the edge.</t>
  </si>
  <si>
    <t>The guy runs the metal object repeatedly across the white cloth.</t>
  </si>
  <si>
    <t>v_DbZ0ns9s2X0</t>
  </si>
  <si>
    <t>A painting is shown followed by several pictures of painting tools and supplies.</t>
  </si>
  <si>
    <t>A person's hand then begins putting marks on the painting and dipping her brush continuously in the paint.</t>
  </si>
  <si>
    <t>The camera pans down the finished picture and a text is shown across the screen.</t>
  </si>
  <si>
    <t>v_ygkcjkVqxAA</t>
  </si>
  <si>
    <t>A woman is seen playing Frisbee out in a back yard with a dog and performs several tricks with the dog.</t>
  </si>
  <si>
    <t>She continuously plays with several toys with the dog when another person watches on the side.</t>
  </si>
  <si>
    <t>v_8P0N5psQrEI</t>
  </si>
  <si>
    <t>A Caucasian woman in late maternity is shown seated on a living room sofa.</t>
  </si>
  <si>
    <t>She puts on a sock on her left foot while crossing her leg and then proceeds to put on a tennis shoe on her left foot.</t>
  </si>
  <si>
    <t>She is cleary in discomfort as she proceeds to tie her shoe, which she rests on an ottoman.</t>
  </si>
  <si>
    <t>She takes a small break and then proceeds to put on her right shoe, She rests her right foot on the ottoman while she ties the shoe.</t>
  </si>
  <si>
    <t>The satisfied and exhausted woman sits back on the sofa and holds her large belly as she completes the task of putting her right shoe on.</t>
  </si>
  <si>
    <t>v_dJVWRkiRXHM</t>
  </si>
  <si>
    <t>A man holding a racket stands in a squash court talking to the camera.</t>
  </si>
  <si>
    <t>The man bounces and catches a blue ball.</t>
  </si>
  <si>
    <t>The man then hits the ball off the back wall and catches it.</t>
  </si>
  <si>
    <t>The man then stands and talks to the camera.</t>
  </si>
  <si>
    <t>v_2KsL5MBiZcc</t>
  </si>
  <si>
    <t>A small group of people are seen standing around a field with a ref speaking to the people.</t>
  </si>
  <si>
    <t>The players then begin a match of lacrosse with one another and run up and down the field playing.</t>
  </si>
  <si>
    <t>v_HNIs8lFvKkA</t>
  </si>
  <si>
    <t>There are two people dressed in yellow shirts playing table tennis in a finished basement.</t>
  </si>
  <si>
    <t>There are three people seated on sofas next to them watching soccer television.</t>
  </si>
  <si>
    <t>Another person seated on the sofa is playing on his phone.</t>
  </si>
  <si>
    <t>The two players continue playing table tennis.</t>
  </si>
  <si>
    <t>The player on the right hits the ball which is opponent returns in a fast manner.</t>
  </si>
  <si>
    <t>The ball falls off the table.</t>
  </si>
  <si>
    <t>The person on the right runs to pick up the ball.</t>
  </si>
  <si>
    <t>They continue playing and serving the ball.</t>
  </si>
  <si>
    <t>A guy dressed in a black hoodie walks by.</t>
  </si>
  <si>
    <t>One of the player pauses to adjust the table.</t>
  </si>
  <si>
    <t>They continue playing table tennis as they talk to each other.</t>
  </si>
  <si>
    <t>v_2bS6JfPF1mk</t>
  </si>
  <si>
    <t>Two young children are shown when one climbs across a set of monkey bars and the other steps out of frame.</t>
  </si>
  <si>
    <t>The girl makes it to the end of the bars and looks to the camera speaking and smiling.</t>
  </si>
  <si>
    <t>v_IfYiYObrUlY</t>
  </si>
  <si>
    <t>A woman talks in kitchen, then come two boys and talk whiles showing the fruits on the counter.</t>
  </si>
  <si>
    <t>Then, a man comes and puts all the fruits in a large bowl while explaining.</t>
  </si>
  <si>
    <t>After, the man adds on top the fruits yogurt, chocolate and cereal.</t>
  </si>
  <si>
    <t>v_H8K1E49607E</t>
  </si>
  <si>
    <t>A person wearing a vest has several buckets on the street he is drumming with.</t>
  </si>
  <si>
    <t>Many people are standing around in amazement watching this man play, while some are recording with a camera.</t>
  </si>
  <si>
    <t>The man continues drumming faster and the crowd continues to cheer him on.</t>
  </si>
  <si>
    <t>Many people walk past and don't seem to notice the drummer.</t>
  </si>
  <si>
    <t>v_O8JVA-scYlM</t>
  </si>
  <si>
    <t>A boy stands behind a table of food.</t>
  </si>
  <si>
    <t>He begins spreading mayonnaise on slices of bread.</t>
  </si>
  <si>
    <t>He puts lettuce on the bread.</t>
  </si>
  <si>
    <t>He stacks tomatoes on top of the lettuce on the bread.</t>
  </si>
  <si>
    <t>He puts chicken on top of the tomato.</t>
  </si>
  <si>
    <t>He puts one piece of bread on top of the other.</t>
  </si>
  <si>
    <t>He puts mayonnaise on top of the top piece of bread.</t>
  </si>
  <si>
    <t>He stacks the food up on the bread again.</t>
  </si>
  <si>
    <t>He tops it with a final piece of bread.</t>
  </si>
  <si>
    <t>He cuts the sandwich into four slices on a board.</t>
  </si>
  <si>
    <t>He puts a toothpick in each section of the sandwich.</t>
  </si>
  <si>
    <t>He moves the sandwich from the board onto a plate.</t>
  </si>
  <si>
    <t>He adds fries to the plate with the sandwich on it.</t>
  </si>
  <si>
    <t>v_63Zt34YuyRk</t>
  </si>
  <si>
    <t>There's a NBC news reporter wearing a red sweater and white shirt talking about dog grooming by Scissor Wizard a grooming company.</t>
  </si>
  <si>
    <t>The representative from the company is talking about the services they offer and how those dogs participate in dog shows.</t>
  </si>
  <si>
    <t>A groomer is seen using shears to creatively trim the dog's hair and even dye it in colorful shades of red, green, yellow and blue.</t>
  </si>
  <si>
    <t>v_z6GHmDSskgY</t>
  </si>
  <si>
    <t>Multiple people are in an exercise class in a room with lot of mirrors at a gym, and they are dancing as well as spinning around and stepping up onto a platform.</t>
  </si>
  <si>
    <t>A woman walks by the exercise room holding weights.</t>
  </si>
  <si>
    <t>A woman places the weights down on the rack.</t>
  </si>
  <si>
    <t>A woman walks by without holding any weights.</t>
  </si>
  <si>
    <t>v_iZtie23nW_A</t>
  </si>
  <si>
    <t>A red mustang is being hosed down.</t>
  </si>
  <si>
    <t>Next, the workers rub soap over the car.</t>
  </si>
  <si>
    <t>After that, they both work on washing the soap off before applying another soap over the vehicle.</t>
  </si>
  <si>
    <t>They then use hoses to wash the car clean.</t>
  </si>
  <si>
    <t>v_XKOeu8n7R7s</t>
  </si>
  <si>
    <t>A small group of men are seen running around a basketball court playing a game of basketball.</t>
  </si>
  <si>
    <t>One player moves all around the net holding the ball and demonstrates how to properly shoot a hoop.</t>
  </si>
  <si>
    <t>He bounces the ball around a bit and more shots of the people playing are shown.</t>
  </si>
  <si>
    <t>v_eSyrFLhr3b0</t>
  </si>
  <si>
    <t>A man is seen speaking to the camera while showing a plate of food and pouring out ingredients onto a plate.</t>
  </si>
  <si>
    <t>He continues to mix ingredients together onto a plate and ends with a close up of the dish and him speaking more.</t>
  </si>
  <si>
    <t>v_sJ0Tc4nthOA</t>
  </si>
  <si>
    <t>Two people are shown holding fencing sticks and pointing towards each other.</t>
  </si>
  <si>
    <t>They move back and fourth and match with each other.</t>
  </si>
  <si>
    <t>v_89rUyq2rCJ8</t>
  </si>
  <si>
    <t>A man is riding on a surfboard in the ocean.</t>
  </si>
  <si>
    <t>He does a big flip, landing back in the wave.</t>
  </si>
  <si>
    <t>The flip is repeated in slow motion.</t>
  </si>
  <si>
    <t>v_nlYl30Dqfc0</t>
  </si>
  <si>
    <t>woman is standing in middle of stage talking to the camera and showing in slow motion dance moves.</t>
  </si>
  <si>
    <t>woman is making the movements quickly and showing the position of the hands.</t>
  </si>
  <si>
    <t>woman is showing salsa movements in a room.</t>
  </si>
  <si>
    <t>v_KoeytdNfQ_M</t>
  </si>
  <si>
    <t>A man is standing on a dark field.</t>
  </si>
  <si>
    <t>He throws a frisbee through the air, and a dog catches it.</t>
  </si>
  <si>
    <t>The dog chases and does tricks to get the frisbee.</t>
  </si>
  <si>
    <t>v_8qzR38WgsS8</t>
  </si>
  <si>
    <t>A group of young boys are on bicycles behind a sand preparing to take off and race down the course.</t>
  </si>
  <si>
    <t>The latch is let down and they all take off into the dirt and start to race in the dirt.</t>
  </si>
  <si>
    <t>Many of the boys keep going around the track and people are spread throughout the course holding up sticks.</t>
  </si>
  <si>
    <t>v_NpsOCOnQS6c</t>
  </si>
  <si>
    <t>A man spraying a fence grey using a powerful spray gun.</t>
  </si>
  <si>
    <t>A man in casually standing behind him watching with his hands crossed, yawning.</t>
  </si>
  <si>
    <t>The man spraying sprays up and down making good time.</t>
  </si>
  <si>
    <t>He makes sure to go over all the spots so he doesn't miss any.</t>
  </si>
  <si>
    <t>v_Dx9wjBdbZ1M</t>
  </si>
  <si>
    <t>The man is kicking the tile of the roof until it moved.</t>
  </si>
  <si>
    <t>The man pull out one tire of the roof and pointed on the sides of the tiles.</t>
  </si>
  <si>
    <t>He put back the tile, move it to its original place.</t>
  </si>
  <si>
    <t>v_pYbOylWZx-s</t>
  </si>
  <si>
    <t>A man in a black tank top describes cardio workout on a spin bike.</t>
  </si>
  <si>
    <t>The man in the black tank top mounts the spinning bike in intervals of 45 second cruise speed tension, the 15 seconds hard with tension up.</t>
  </si>
  <si>
    <t>Then cool down with cruise speed tension.</t>
  </si>
  <si>
    <t>v_kXfYuIx31Bo</t>
  </si>
  <si>
    <t>A close up of a machine is shown followed by a man shoveling dirt around a floor.</t>
  </si>
  <si>
    <t>The man then uses the machine around the dirt and waters down the area afterwards.</t>
  </si>
  <si>
    <t>Another man is seen pouring water down on the ground and pasting white paper down.</t>
  </si>
  <si>
    <t>v_aGu-FfGDdVI</t>
  </si>
  <si>
    <t>A man is in the murky waters, using a paddle.</t>
  </si>
  <si>
    <t>He is kayaking toward the camera and past other kayakers.</t>
  </si>
  <si>
    <t>He goes through the water faster, trying to keep up with the current.</t>
  </si>
  <si>
    <t>v_aXCAudMzN2o</t>
  </si>
  <si>
    <t>A man is seen jumping up and down on a pair of stilts while a few others move around on stilts with help.</t>
  </si>
  <si>
    <t>More shots are shown of people jumping around on the stilts and others still needing help from others.</t>
  </si>
  <si>
    <t>v_qNxA4UTadGo</t>
  </si>
  <si>
    <t>The camera pans around a pool and audience and leads into a group of swimmers standing ready on the side.</t>
  </si>
  <si>
    <t>Afterwards several men are seen performing impressive dives into a pool that include flips and tricks and the divers receiving medals in the end.</t>
  </si>
  <si>
    <t>v_NouHsmaE-xA</t>
  </si>
  <si>
    <t>People are in a rodeo arena while a man on a horse prepares a rope with a loop.</t>
  </si>
  <si>
    <t>Then,the man spins the loop and throw to catch a calf, then run and tie the calf.</t>
  </si>
  <si>
    <t>A young man enters the arena and untie the calf.</t>
  </si>
  <si>
    <t>v_WFqm48C2BPk</t>
  </si>
  <si>
    <t>Various shots are shown of a boat riding along rough water conditions from several angles.</t>
  </si>
  <si>
    <t>The camera shows a board and leads back to the water, transitioning into people seen sitting inside the boat.</t>
  </si>
  <si>
    <t>The camera walks around more and captures views of the inside as well as the water.</t>
  </si>
  <si>
    <t>v_UOL8oxziVwU</t>
  </si>
  <si>
    <t>A bald man inside of a home is holding a camera and videotaping a woman on stilts.</t>
  </si>
  <si>
    <t>The camera pans to the woman, who is walking around the living room in the stilts.</t>
  </si>
  <si>
    <t>The man asks the woman to act like a movie character, and she agrees.</t>
  </si>
  <si>
    <t>The woman then grabs the camera, and the view is obscured by her hand.</t>
  </si>
  <si>
    <t>v_AbVuOBhG634</t>
  </si>
  <si>
    <t>A woman is standing outside, talking to the camera.</t>
  </si>
  <si>
    <t>She speaks extensively in her new york city location.</t>
  </si>
  <si>
    <t>At the end, a screen appears with contact information.</t>
  </si>
  <si>
    <t>v_0je8CeAJABY</t>
  </si>
  <si>
    <t>First the man walks onto the stage in the beginning and shakes his head roughly.</t>
  </si>
  <si>
    <t>Then he wrestles a bald man in a wrestling match.</t>
  </si>
  <si>
    <t>Next he wrestles a man who has long short blonde hair and he wrestles a man who has a low haircut and he wins.</t>
  </si>
  <si>
    <t>The crowd starts cheering and roaring because of how many times he'd won.</t>
  </si>
  <si>
    <t>v_NOGtIoZbEVg</t>
  </si>
  <si>
    <t>A young man sits on a bed.</t>
  </si>
  <si>
    <t>The man starts playing an acoustic guitar.</t>
  </si>
  <si>
    <t>The man starts singing while playing.</t>
  </si>
  <si>
    <t>The man pauses and rolls is eyes.</t>
  </si>
  <si>
    <t>The man finishes and looks up, then at the ground.</t>
  </si>
  <si>
    <t>v_t19uSLVQGWA</t>
  </si>
  <si>
    <t>A man is seen sitting behind a drum set beginning to play while others watch him on the side.</t>
  </si>
  <si>
    <t>The man continues to play the drum set faster and faster and ends by stopping to speak to the camera.</t>
  </si>
  <si>
    <t>v_T6TgMYLrPII</t>
  </si>
  <si>
    <t>The woman is adjusting the matt, while the man is raising the pole.</t>
  </si>
  <si>
    <t>The woman is running with a pole, then she jumped over the yellow rope.</t>
  </si>
  <si>
    <t>The woman jumped over the rope while her coach is on the side of the tract watching and assisting her as she jumped over the pole.</t>
  </si>
  <si>
    <t>v_plZs-3GtoOo</t>
  </si>
  <si>
    <t>A barber is shown using clippers on his client's head in a hair salon.</t>
  </si>
  <si>
    <t>He is shaving a man's head with shaving cream and a razor.</t>
  </si>
  <si>
    <t>He is also styling a boy's hair with gel and a comb.</t>
  </si>
  <si>
    <t>He is shaving a man's beard with shaving gel and a razor.</t>
  </si>
  <si>
    <t>He is also cutting a man's hair with scissors to give him a Mohawk.</t>
  </si>
  <si>
    <t>He is using clippers on a young man.</t>
  </si>
  <si>
    <t>The website is advertised on the screen with pictures of the website.</t>
  </si>
  <si>
    <t>v_FRzN9ApCxW8</t>
  </si>
  <si>
    <t>A man is outside in a field of grass pushing a lawn mower back and forth.</t>
  </si>
  <si>
    <t>Once he makes it to the other side of the strip,the person with the camera walks closer to him and starts to talk to them.</t>
  </si>
  <si>
    <t>After,the guy with the lawn mower begins to laugh and continues cutting the yard.</t>
  </si>
  <si>
    <t>v_3hSPAtKORgk</t>
  </si>
  <si>
    <t>A graphic of a boy kicking a soccer ball with 3 defender is seen.</t>
  </si>
  <si>
    <t>The ball is deflected by the defenders in the graphic.</t>
  </si>
  <si>
    <t>A soccer player kicks a ball that is blocked by a series of defenders and a goalie on and indoor field.</t>
  </si>
  <si>
    <t>v_QR2BmWR5FGM</t>
  </si>
  <si>
    <t>A small playground is seen followed by a man and his dog walking into frame.</t>
  </si>
  <si>
    <t>The man pushes it dog up and the dog rides down the slide.</t>
  </si>
  <si>
    <t>The man does this again with the dog in another playground.</t>
  </si>
  <si>
    <t>v_Zob68l3snFo</t>
  </si>
  <si>
    <t>a man is in a boat in the water.</t>
  </si>
  <si>
    <t>a loaf of bread is thrown to fishes and their are fighting to eat it.</t>
  </si>
  <si>
    <t>man is diving ni deep sea through the shoals and corals.</t>
  </si>
  <si>
    <t>v_--0edUL8zmA</t>
  </si>
  <si>
    <t>Four men are playing dodge ball in an indoor court.</t>
  </si>
  <si>
    <t>They start running towards the red balls after the coach blows the whistle.</t>
  </si>
  <si>
    <t>One of the players hits the ball on his opponent.</t>
  </si>
  <si>
    <t>The opponent strikes back at the other player, but he manages to dodge the ball.</t>
  </si>
  <si>
    <t>Next, the player hits another ball directly at his opponent standing opposite him.</t>
  </si>
  <si>
    <t>The player hits the ball hard on his opponent's leg.</t>
  </si>
  <si>
    <t>They continue playing several rounds of dodge ball.</t>
  </si>
  <si>
    <t>The player aims directly at one of his opponents and hits him on his leg.</t>
  </si>
  <si>
    <t>The game ends after the coach blows the whistle.</t>
  </si>
  <si>
    <t>v_ABCRXwB5-JQ</t>
  </si>
  <si>
    <t>People sail in canoes in a river rowing oars.</t>
  </si>
  <si>
    <t>A young man plays the guitar in a boat, while a youth smoke a cigarette.</t>
  </si>
  <si>
    <t>Two young ladies sail a boat behind the men.</t>
  </si>
  <si>
    <t>v_4_CcDjbCXBQ</t>
  </si>
  <si>
    <t>A woman is seen hosting a news segment and leads into shots of people playing soccer and audience members watching.</t>
  </si>
  <si>
    <t>More highlights of the game are shown as well as team mates celebrating and hugging one another.</t>
  </si>
  <si>
    <t>v_tIAdhrfT70I</t>
  </si>
  <si>
    <t>A fox news icon appears on the screen.</t>
  </si>
  <si>
    <t>A group of people are in a building, playing a game called beer pong.</t>
  </si>
  <si>
    <t>The news reporters gather in their studio to play beer pong.</t>
  </si>
  <si>
    <t>A male and female reporter attempt to throw the balls at the cups.</t>
  </si>
  <si>
    <t>The woman walks away laughing as the other reporters continue to talk.</t>
  </si>
  <si>
    <t>They resume playing before the fox news icon again appears onscreen.</t>
  </si>
  <si>
    <t>v_cHSGL-OcMak</t>
  </si>
  <si>
    <t>Two people are seen walking around on stilts in the middle of a street and sidewalk.</t>
  </si>
  <si>
    <t>The walk continue walking up and down the streets on stilts passing by people and speaking.</t>
  </si>
  <si>
    <t>v_HlFnWOx53XU</t>
  </si>
  <si>
    <t>woman is standing in a field playing bagpipes.</t>
  </si>
  <si>
    <t>woman is standing in the middle of a parking lot playing bag pipes.</t>
  </si>
  <si>
    <t>a blue house is behind the woman that is playing bagpipes.</t>
  </si>
  <si>
    <t>v_bw96D55q2FI</t>
  </si>
  <si>
    <t>A skateboarder comes by and rolls in a patch of dirt by the side walk.</t>
  </si>
  <si>
    <t>A man then begins to ride his skateboard from the top of the roof down an inclined road.</t>
  </si>
  <si>
    <t>The man then begins moving and skateboarding throughout the neighborhood and interacting with the people.</t>
  </si>
  <si>
    <t>All of a sudden,the man walks through the subway and gets off his skateboard until he gets to his destination.</t>
  </si>
  <si>
    <t>He then proceeds to skate through the city,jumping over the poles and the credits begin to roll.</t>
  </si>
  <si>
    <t>v_75u6o4tXGC0</t>
  </si>
  <si>
    <t>man is standing in front of a kitchen cooking and showing the ingredients to a cook.</t>
  </si>
  <si>
    <t>man put the ingredients in a pan and cook the chicken with the salad and serve it in a plate.</t>
  </si>
  <si>
    <t>v_LrmtSSUVRaQ</t>
  </si>
  <si>
    <t>An introduction comes onto the screen for a video about casino dealing.</t>
  </si>
  <si>
    <t>A man explains that they are at a casino dealing school where they will teach people how to deal.</t>
  </si>
  <si>
    <t>Another man begins to tell and about the basics for casino dealing.</t>
  </si>
  <si>
    <t>v_rosZj4ZcPBA</t>
  </si>
  <si>
    <t>Outside a man is using a leaf blower using it to blow a pile of leaves.</t>
  </si>
  <si>
    <t>He seems to be at a park or something in the parking lot.</t>
  </si>
  <si>
    <t>He is wearing a hat and jeans and just out there by himself.</t>
  </si>
  <si>
    <t>He continues to keep blowing the pile of leaves when a dog runs by out of nowhere.</t>
  </si>
  <si>
    <t>v_zcdJNPYkIE0</t>
  </si>
  <si>
    <t>A scuba-diving man interacts underwater with a large fish.</t>
  </si>
  <si>
    <t>The man makes a pushing gesture towards the camera.</t>
  </si>
  <si>
    <t>The man makes several gestures towards the camera.</t>
  </si>
  <si>
    <t>The fish rams into the man and swims away.</t>
  </si>
  <si>
    <t>v_yVbzejdydrw</t>
  </si>
  <si>
    <t>A man holds two swords out and pretends to hit another people holding swords.</t>
  </si>
  <si>
    <t>He demonstrates again and hands the swords to another man.</t>
  </si>
  <si>
    <t>He commentates on his ability while continuing to show several sword movements.</t>
  </si>
  <si>
    <t>Other men begin to fight with the swords.</t>
  </si>
  <si>
    <t>One man falls down and acts hurt to portray a role in the play Hamlet.</t>
  </si>
  <si>
    <t>v_rMdojBVP-aM</t>
  </si>
  <si>
    <t>A camera pans around a woman standing in front of a dog balancing on a fence.</t>
  </si>
  <si>
    <t>The dog continues balancing on the fence while the camera pans around.</t>
  </si>
  <si>
    <t>The dog then jumps off the fence in the end.</t>
  </si>
  <si>
    <t>v_liI1E_ZZV5w</t>
  </si>
  <si>
    <t>A man is holding a white shoe and puts it on the ground.</t>
  </si>
  <si>
    <t>The man already has a shoe on his right foot and it tightens itself when he touches it.</t>
  </si>
  <si>
    <t>The man's face is shown and he's looking down at the shoes and then it shows the left shoe on the foot and it's tightening itself .</t>
  </si>
  <si>
    <t>The man stands up from the car and the scene reveals that it's Michael J Fox in the movie Back to the Future.</t>
  </si>
  <si>
    <t>v_Oya9LWABkf4</t>
  </si>
  <si>
    <t>A girl is outside on a boat dock holding a three hula hoops in her hands.</t>
  </si>
  <si>
    <t>She starts swinging them in her hand,around her legs,wrist,and neck and stops briefly to adjust the camera.</t>
  </si>
  <si>
    <t>The young lady then appears again with twenty to thirty hula hoops around her body swinging them back and forth before advising you to subscribe to a channel.</t>
  </si>
  <si>
    <t>v__WPcOFgi5vU</t>
  </si>
  <si>
    <t>Two men are seen standing in an enclosed room holding tennis rackets and begin hitting the ball off the wall to one another.</t>
  </si>
  <si>
    <t>The men continue walking back and fourth with the ball and hitting it off the wall as well as bumping into the wall.</t>
  </si>
  <si>
    <t>v_8zfA20hcc0o</t>
  </si>
  <si>
    <t>Two men are seen passing a ball to one another and leads into a group of people playing soccer.</t>
  </si>
  <si>
    <t>The people move up and down the court while the camera follows their movements.</t>
  </si>
  <si>
    <t>Many people watch on the sides as the group continues to play.</t>
  </si>
  <si>
    <t>v_dSHw52PBi5I</t>
  </si>
  <si>
    <t>People in an indoor pool watch on as multiple divers are taking turns and standing at the highest diving point with the word INDIANA on it as they do multiple flips before they land into the pool.</t>
  </si>
  <si>
    <t>A few woman take their turns jumping off of the highest diving point as they start in different ways, do multiple flips, then dive into the pool making small splashes as they hit the water.</t>
  </si>
  <si>
    <t>A blonde woman does a very slow handstand facing towards the pool, then pushes off and does multiple flips before she dives into the pool creating a small splash.</t>
  </si>
  <si>
    <t>When the women are finished diving, men take their turns diving from the highest point as well and they also do multiple flips before they hit the water creating a small splash.</t>
  </si>
  <si>
    <t>v_R4ES1QLRvtg</t>
  </si>
  <si>
    <t>A person in dark winter gear is using a shovel to shovel the walkway of a parking garage.</t>
  </si>
  <si>
    <t>It is night time and the street is dimly lit with the street lights.</t>
  </si>
  <si>
    <t>He continues shoveling the entire pathway while several cars drive by on the main road nearby.</t>
  </si>
  <si>
    <t>He picks up the up snow and piles it up on the corner.</t>
  </si>
  <si>
    <t>After he finishes, he walks away.</t>
  </si>
  <si>
    <t>v_zNpILhjhFbQ</t>
  </si>
  <si>
    <t>A person sits on a mat in a gym and does sit ups while holding her legs up.</t>
  </si>
  <si>
    <t>The person finishes the exercise routine and takes a break.</t>
  </si>
  <si>
    <t>A graphic is seen with a feather falling.</t>
  </si>
  <si>
    <t>v_cGqmHplppAU</t>
  </si>
  <si>
    <t>Various clips are shown of people playing on the beach as well putting sunscreen on and carrying objects.</t>
  </si>
  <si>
    <t>A large explosion is shown followed by kids fishing with a man and more clips of people playing on the beach.</t>
  </si>
  <si>
    <t>v_a50gTER-FsQ</t>
  </si>
  <si>
    <t>Three men walk into a building.</t>
  </si>
  <si>
    <t>They begin to play a game of curling.</t>
  </si>
  <si>
    <t>People are shown enjoying themselves at the curling hall and the trophies are shown that have been won.</t>
  </si>
  <si>
    <t>The men are shown in the locker preparing to curl.</t>
  </si>
  <si>
    <t>The men are shown all together posing on the ice.</t>
  </si>
  <si>
    <t>v_FkSf3pxra3M</t>
  </si>
  <si>
    <t>Many judges sit around a field, waiting the performance of an athlete.</t>
  </si>
  <si>
    <t>An athlete approaches the field area.</t>
  </si>
  <si>
    <t>The athlete spins his body around and tosses a disc with maximum force.</t>
  </si>
  <si>
    <t>v_cRDXBF2RcYI</t>
  </si>
  <si>
    <t>A person is laying back on a bed.</t>
  </si>
  <si>
    <t>A person puts wax on their leg.</t>
  </si>
  <si>
    <t>They put paper on it and rip off the hair.</t>
  </si>
  <si>
    <t>v_-ySxFjhhK4Y</t>
  </si>
  <si>
    <t>We see a man preparing and throwing shotput.</t>
  </si>
  <si>
    <t>We see a man running to measure the distance.</t>
  </si>
  <si>
    <t>We see a man standing and measure.</t>
  </si>
  <si>
    <t>We see people in the crowd cheering.</t>
  </si>
  <si>
    <t>We see the people in the bleachers again.</t>
  </si>
  <si>
    <t>We zoom in as the player walks away.</t>
  </si>
  <si>
    <t>v_K-Jzu2AmuW4</t>
  </si>
  <si>
    <t>Two women and a man dance pop music while doing different steps.</t>
  </si>
  <si>
    <t>The women and the man rise the arms while dancing, then they continue dancing and turning.</t>
  </si>
  <si>
    <t>v_3H7ZS0E90pY</t>
  </si>
  <si>
    <t>She does a gymnastic routine on the balance beam.</t>
  </si>
  <si>
    <t>She jumps off the beam and lands on the mat with her hands up.</t>
  </si>
  <si>
    <t>A woman in a blue shirt comes over and hugs her.</t>
  </si>
  <si>
    <t>v_Wr_Eu2M7U9E</t>
  </si>
  <si>
    <t>A woman walks into a garage with a rolled up paper in her hand.</t>
  </si>
  <si>
    <t>Once she leaves,a black cat is shown and it begins to crawl over everything and then the lady comes and pets it.</t>
  </si>
  <si>
    <t>The female leaves and walks into a room and starts covering the room in wall paper.</t>
  </si>
  <si>
    <t>She forgets the scissors and walks out to grab them and comes back to apply more paper on the wall.</t>
  </si>
  <si>
    <t>A break is needed and the woman get a drink from the kitchen.</t>
  </si>
  <si>
    <t>Shortly after,the lady continues her tasks and then walks outside to take her cat out.</t>
  </si>
  <si>
    <t>The wall still isn't finished and she goes back to the room to finish it rolling the outside of it to ensure its smoothness.</t>
  </si>
  <si>
    <t>As she finishes,the cat comes in the room and starts playing with a ball before returning back outside.</t>
  </si>
  <si>
    <t>The women reappears in another set of clothes to finish the wall,she finally finishes and begins to throw her hands up and collapses on the bed.</t>
  </si>
  <si>
    <t>v_ctFlPn4EfkU</t>
  </si>
  <si>
    <t>People are playing golf on the grass.</t>
  </si>
  <si>
    <t>A man hits the ball with a club.</t>
  </si>
  <si>
    <t>A man in a white hat walks behind him.</t>
  </si>
  <si>
    <t>v_OK84hJx9daQ</t>
  </si>
  <si>
    <t>The final product and credits are shown.</t>
  </si>
  <si>
    <t>Ingredients are mixed and sauteed.</t>
  </si>
  <si>
    <t>Pasta is added to the fry pan.</t>
  </si>
  <si>
    <t>Tomato paste and dry ingredients is added to the pan.</t>
  </si>
  <si>
    <t>The final product is taken from the fry pan and placed on a white plate.</t>
  </si>
  <si>
    <t>The final product and credits of the clip are shown.</t>
  </si>
  <si>
    <t>v_q66BG9h_7XI</t>
  </si>
  <si>
    <t>People are strapping on these Qloja machines to their feet.</t>
  </si>
  <si>
    <t>It takes a pretty long time to get them on and then they start to walk.</t>
  </si>
  <si>
    <t>They build up a little speed and start kind of running in a line.</t>
  </si>
  <si>
    <t>A line of about 15 people wearing these contraceptions are running on them, then a smaller group of three are bouncing up and down all around.</t>
  </si>
  <si>
    <t>v_XumLmNQiRjk</t>
  </si>
  <si>
    <t>People are playing a game of volleyball against each other.</t>
  </si>
  <si>
    <t>v_V_rril47Z5Q</t>
  </si>
  <si>
    <t>Two people choreograph a routine with nunchucks.</t>
  </si>
  <si>
    <t>The girls drop the nunchucks then dance around.</t>
  </si>
  <si>
    <t>A third person joins and then leaves.</t>
  </si>
  <si>
    <t>v_q3DzEgYmIV0</t>
  </si>
  <si>
    <t>A hand saw sits on top of a roof.</t>
  </si>
  <si>
    <t>A ladder leans on it.</t>
  </si>
  <si>
    <t>The roof is old and dilapidated.</t>
  </si>
  <si>
    <t>The camera then pans down.</t>
  </si>
  <si>
    <t>v_Kq8g8jjodvc</t>
  </si>
  <si>
    <t>A weight lifter opens his mouth wide.</t>
  </si>
  <si>
    <t>He lifts a giant barbell with all his might.</t>
  </si>
  <si>
    <t>He lifts it to his chest, then over his head.</t>
  </si>
  <si>
    <t>v_B0sXYJeZ8Xk</t>
  </si>
  <si>
    <t>A woman is seen standing in a yard with a lawn mower in front of her.</t>
  </si>
  <si>
    <t>The girl then pushes the lawn mower along the yard.</t>
  </si>
  <si>
    <t>The camera moves in closer of the woman still pushing the mower and speaking to the camera.</t>
  </si>
  <si>
    <t>v_aRZd3O6-PKw</t>
  </si>
  <si>
    <t>A man is standing outside under a tent hitting a pinata with a stick.</t>
  </si>
  <si>
    <t>After about three strings,he moves and gives the stick to a young girl with a grey and black dress on.</t>
  </si>
  <si>
    <t>Once she has the stick,she is hitting in the wrong direction and then is redirected towards the pinata and still ends up missing it.</t>
  </si>
  <si>
    <t>v_2R_TVXvocQs</t>
  </si>
  <si>
    <t>a man and a woman are dancing doing a zumba choreogaphy in the middle of stage.</t>
  </si>
  <si>
    <t>man wearing a grey shirts approach to stage and keeps dancing.</t>
  </si>
  <si>
    <t>woman wearing a pink shirt is in the background holding a white cellphone and taking pictures.</t>
  </si>
  <si>
    <t>v_W_5Mx-mfNmU</t>
  </si>
  <si>
    <t>A couple wheels a small wagon and cooler in a park area.</t>
  </si>
  <si>
    <t>Sticks are collected then a ring of stones is construct with the sticks stacked together with twigs inside.</t>
  </si>
  <si>
    <t>The bundle of woods is lit on fire and more sticks are added to keep it going.</t>
  </si>
  <si>
    <t>The man sits down in a lawn chair and enjoys the day.</t>
  </si>
  <si>
    <t>The man screws a nozzle onto a propane tank and fuels the fire with it.</t>
  </si>
  <si>
    <t>The fire is put out with a bucket of water and covered in earth.</t>
  </si>
  <si>
    <t>v__LAABOgXU1s</t>
  </si>
  <si>
    <t>A man is taking a tire off a hub with a tool.</t>
  </si>
  <si>
    <t>He then puts the tire on top of the tool to finish taking it off.</t>
  </si>
  <si>
    <t>v_f4k-dKaEZog</t>
  </si>
  <si>
    <t>A team of players run on a field.</t>
  </si>
  <si>
    <t>They are holding some sort of rackets.</t>
  </si>
  <si>
    <t>The swing them at each other.</t>
  </si>
  <si>
    <t>Some players run past a yellow line.</t>
  </si>
  <si>
    <t>v_ral5Oaib_vk</t>
  </si>
  <si>
    <t>Opening credits show the upcoming activities.</t>
  </si>
  <si>
    <t>A man in plaid is standing at a microphone acknowledging the crowd.</t>
  </si>
  <si>
    <t>He begins playing the harmonica.</t>
  </si>
  <si>
    <t>The man stops playing and dances in place.</t>
  </si>
  <si>
    <t>The man continues to play his harmonica.</t>
  </si>
  <si>
    <t>The man stop splaying and thanks the crowd as the closing credits appear.</t>
  </si>
  <si>
    <t>v_sR0hZeYm06I</t>
  </si>
  <si>
    <t>There's a little boy dressed in a red shirt and blue jeans seated on a black leather recliner.</t>
  </si>
  <si>
    <t>He is sitting with his hands stretched out.</t>
  </si>
  <si>
    <t>A man standing next to him with a small stick is tickling the boy's hand with the stick.</t>
  </si>
  <si>
    <t>The boy seems to like it and asks him to do it on his other hand too.</t>
  </si>
  <si>
    <t>The man tickles the little boy's other hand too.</t>
  </si>
  <si>
    <t>The boy smiles and asks for more.</t>
  </si>
  <si>
    <t>v_mWOa-0w0Bls</t>
  </si>
  <si>
    <t>A camera pans around grass and leads to a fence.</t>
  </si>
  <si>
    <t>The camera pans all around the fence with flowers on the side.</t>
  </si>
  <si>
    <t>The camera continues to pan around the fence and the different colors.</t>
  </si>
  <si>
    <t>v_NLkJgnrKaKM</t>
  </si>
  <si>
    <t>A man takes a hookah and exhales smoke rings.</t>
  </si>
  <si>
    <t>He inhales and does it again.</t>
  </si>
  <si>
    <t>v_5fMtHNSIOAE</t>
  </si>
  <si>
    <t>Eight middle aged white men are on one of a rope attempting to win a game of tug-of-war outside in a field at what looks to be a tournament.</t>
  </si>
  <si>
    <t>As the game begins,the men all fall into a slanted position as they struggle to pull the rope.</t>
  </si>
  <si>
    <t>Suddenly, a man from the sides begins to talk to the man in the front and gets in his face as if he's giving him a pep talk to stay strong,win,and not let the other team get the best of him.</t>
  </si>
  <si>
    <t>The game continues and you can see that the team is being drug but they suddenly gain strength and pull the rope back to their side,then they all stand up as the game is finished.</t>
  </si>
  <si>
    <t>v_2I9xymLVssI</t>
  </si>
  <si>
    <t>Two people get into an truck.</t>
  </si>
  <si>
    <t>They drive onto the street.</t>
  </si>
  <si>
    <t>A man carrying a ladder sets it against a house.</t>
  </si>
  <si>
    <t>The woman watches the man.</t>
  </si>
  <si>
    <t>The man looks at the roof of the house on the ladder.</t>
  </si>
  <si>
    <t>He shows her something and she holds it in her hand.</t>
  </si>
  <si>
    <t>A man talks in front of a house.</t>
  </si>
  <si>
    <t>A man climbs a ladder and looks at a roof.</t>
  </si>
  <si>
    <t>A man goes through a stack of papers.</t>
  </si>
  <si>
    <t>It shows the papers on the screen.</t>
  </si>
  <si>
    <t>v_xYM6h31PrM0</t>
  </si>
  <si>
    <t>A gymnast is seen standing before a beam raising her arms up and others watching on the side.</t>
  </si>
  <si>
    <t>The woman then performs a gymnasts routine in front of a large group of people.</t>
  </si>
  <si>
    <t>She falls off at one point and jumps back on to finish her routine and ends by jumping off the side.</t>
  </si>
  <si>
    <t>v_qsTCTQo-wI8</t>
  </si>
  <si>
    <t>A man is explaining how to play the drums on bongos.</t>
  </si>
  <si>
    <t>He demonstrates how he alternates between three bongos.</t>
  </si>
  <si>
    <t>He later switches to a much slower beat and rhythm by drumming on the bongos.</t>
  </si>
  <si>
    <t>He explains how the beats on the drum changes as the rhythm changes.</t>
  </si>
  <si>
    <t>He then switches back to a faster beat and rhythm on the drums by alternating between two drums.</t>
  </si>
  <si>
    <t>v_8lw8uAimUXI</t>
  </si>
  <si>
    <t>A woman stands at the end of a diving board.</t>
  </si>
  <si>
    <t>She lightly bounces up and down.</t>
  </si>
  <si>
    <t>She then does a backflip into the water.</t>
  </si>
  <si>
    <t>v_2IRQ5fPwHV8</t>
  </si>
  <si>
    <t>A group of women are gathered in a room, then go to the beach.</t>
  </si>
  <si>
    <t>A woman photographs the others under the pier.</t>
  </si>
  <si>
    <t>They talk to the camera between shoots.</t>
  </si>
  <si>
    <t>v_Fg_VZJAtByk</t>
  </si>
  <si>
    <t>A man takes a moment to himself before he starts playing the guitar.</t>
  </si>
  <si>
    <t>The man plays the guitar.</t>
  </si>
  <si>
    <t>The man quits playing the guitar.</t>
  </si>
  <si>
    <t>v_hiEVVSgAhls</t>
  </si>
  <si>
    <t>Two people are playing a game of ping pong.</t>
  </si>
  <si>
    <t>People are playing basketball behind them.</t>
  </si>
  <si>
    <t>The man grabs the ball again and serves it across the table.</t>
  </si>
  <si>
    <t>The man is holding a phone and taking a picture with the girl.</t>
  </si>
  <si>
    <t>v_B0rorWq-j44</t>
  </si>
  <si>
    <t>An elderly lady in a neck brace yells at the camera in a grocery store.</t>
  </si>
  <si>
    <t>The lady vacuums the floor in the store.</t>
  </si>
  <si>
    <t>The lady dances to the music and pretends to play a guitar.</t>
  </si>
  <si>
    <t>The lady takes off her sunglasses and talks to the camera.</t>
  </si>
  <si>
    <t>We end seeing her standing in an aisle.</t>
  </si>
  <si>
    <t>v_4A49mkP6HsM</t>
  </si>
  <si>
    <t>There is a group of Korean Pop singers performing on a stage.</t>
  </si>
  <si>
    <t>One of the singers is playing the violin while the audience cheers and claps for him.</t>
  </si>
  <si>
    <t>Then another singer grabs the mic and talks to the audience.</t>
  </si>
  <si>
    <t>The audience applaud and smile as they watch.</t>
  </si>
  <si>
    <t>The performer sings as he plays the violin and then bows down in front of the audience.</t>
  </si>
  <si>
    <t>The crowd cheers and claps for him.</t>
  </si>
  <si>
    <t>v_jBvGvVw3R-Q</t>
  </si>
  <si>
    <t>A man is standing in a gym preparing to lift a set of weights placed on a bar.</t>
  </si>
  <si>
    <t>Next the screen flashes to a younger male jerking and then drops the bar on the ground.</t>
  </si>
  <si>
    <t>Several more people are shown lifting weights and dropping them on the ground.</t>
  </si>
  <si>
    <t>The man begins to dance as he lifts and drops the bar and the continuation of weightlifting is repeated.</t>
  </si>
  <si>
    <t>After,the men continue walking around the gym eating a protein bar.</t>
  </si>
  <si>
    <t>v_HsklqPvsMEQ</t>
  </si>
  <si>
    <t>A person is seen aiming a paintball gun off into the distance in a large field.</t>
  </si>
  <si>
    <t>Many people watch on the side as the man aims.</t>
  </si>
  <si>
    <t>Suddenly another person comes into frame and plays with the man.</t>
  </si>
  <si>
    <t>v_N3rFdrfE3q8</t>
  </si>
  <si>
    <t>A boy picks up a rake off the ground and carries it.</t>
  </si>
  <si>
    <t>A man goes down a slide wearing a blue helmet.</t>
  </si>
  <si>
    <t>He falls onto the ground after going down the slide.</t>
  </si>
  <si>
    <t>v_gzyu1S2LNIw</t>
  </si>
  <si>
    <t>A small group of girls are seen standing ready holding flags and lead into them performing a routine.</t>
  </si>
  <si>
    <t>A man sits in front of them playing an instrument while they continue spinning and many on the sides watch.</t>
  </si>
  <si>
    <t>v_jgNeMnPVfkQ</t>
  </si>
  <si>
    <t>A player on the orange team skates with the puck until he is tripped up and falls.</t>
  </si>
  <si>
    <t>Player 18 on the grey team retrieves the puck and makes a break down the ice perused by defenders.</t>
  </si>
  <si>
    <t>Player 18 takes a shot on the goal.</t>
  </si>
  <si>
    <t>The goalie on the orange team blocks the shot and puts the puck back into play.</t>
  </si>
  <si>
    <t>Player 4 on the orange team takes the puck down the ice passing once to himself passed defenders.</t>
  </si>
  <si>
    <t>Player 4 takes a shot on the goal and scores.</t>
  </si>
  <si>
    <t>Player 4 and teammates celebrate and the win and skate off the ice.</t>
  </si>
  <si>
    <t>v_9WDvq8LXrxU</t>
  </si>
  <si>
    <t>A seated man cleans a shoe in a classroom setting with other individuals.</t>
  </si>
  <si>
    <t>The man turns to the camera and smiles.</t>
  </si>
  <si>
    <t>The man laughs as he holds the shoe downwards.</t>
  </si>
  <si>
    <t>v_jzGsvw5Douk</t>
  </si>
  <si>
    <t>We see rafts and people in a building.</t>
  </si>
  <si>
    <t>People board a bus and exit at a water park.</t>
  </si>
  <si>
    <t>People grab rafts,and people on rafts fill a river.</t>
  </si>
  <si>
    <t>We see an artificial waterfall and people sliding through it.</t>
  </si>
  <si>
    <t>A person falls out of their raft.</t>
  </si>
  <si>
    <t>A man holding a selfie stick is riding a raft.</t>
  </si>
  <si>
    <t>Another man holding a selfie stick.</t>
  </si>
  <si>
    <t>We see the phone number and credits for the video.</t>
  </si>
  <si>
    <t>v_c9bvuUO9Q0Q</t>
  </si>
  <si>
    <t>A small group of people are seen standing outside with one being blindfolded and holding a bat.</t>
  </si>
  <si>
    <t>A person then pulls up a pinata and begins swinging at the object.</t>
  </si>
  <si>
    <t>The boy moves his hands around and continues to swing at the object.</t>
  </si>
  <si>
    <t>v_uqiooW1OAXU</t>
  </si>
  <si>
    <t>People gather in a tour facility in the dessert.</t>
  </si>
  <si>
    <t>Then, people rides camels pulled by men.</t>
  </si>
  <si>
    <t>The caravan advance in the desert, while the camels walk in line.</t>
  </si>
  <si>
    <t>A white car parks behind the camels.</t>
  </si>
  <si>
    <t>Then, the man makes kneel the camels and people get down the camels.</t>
  </si>
  <si>
    <t>After, a group of tourists rides camels and pass on front the tour facility.</t>
  </si>
  <si>
    <t>v_ABmZdlZEZOY</t>
  </si>
  <si>
    <t>An intro leads into several shots of divers moving around the ocean and passing various fish and items under water.</t>
  </si>
  <si>
    <t>The diver comes above the water holding a tank and spins around while the camera follows.</t>
  </si>
  <si>
    <t>v_Y34oqcxYmWc</t>
  </si>
  <si>
    <t>A man and a woman are dancing on a dance floor in front of a crowd of people.</t>
  </si>
  <si>
    <t>The crowd applauds for them.</t>
  </si>
  <si>
    <t>The couple hugs and bows for the crowd.</t>
  </si>
  <si>
    <t>v_p1yiPvIkRec</t>
  </si>
  <si>
    <t>A person is seen sitting on a bench holding a rubix cube.</t>
  </si>
  <si>
    <t>The person then begins moving their hands around the solve the cube.</t>
  </si>
  <si>
    <t>The person solves the cube then turns the camera off.</t>
  </si>
  <si>
    <t>v_HGtfDm5EOtc</t>
  </si>
  <si>
    <t>Two men are seen swinging their arms and legs around one another while a group of people stand around and watch them.</t>
  </si>
  <si>
    <t>The men continue spinning around wile people clap and end with them shaking each other's hands.</t>
  </si>
  <si>
    <t>v_n--fgqwuTTI</t>
  </si>
  <si>
    <t>A person is putting something on a chain of a bike.</t>
  </si>
  <si>
    <t>They use a blue tool to take the chain apart.</t>
  </si>
  <si>
    <t>They put it back together using a tool.</t>
  </si>
  <si>
    <t>v_fRmHJKlQmmw</t>
  </si>
  <si>
    <t>A man is doing a gymnastic routine on a balance beam.</t>
  </si>
  <si>
    <t>He jumps off the beam onto a mat.</t>
  </si>
  <si>
    <t>Another man jumps onto a balance beam and does a routine.</t>
  </si>
  <si>
    <t>v_EP9Ul7UdzYI</t>
  </si>
  <si>
    <t>Several men dressed for the cold are waiting in a room outside the snow.</t>
  </si>
  <si>
    <t>They go outside, prepared to ski.</t>
  </si>
  <si>
    <t>They begin skiing, going down a steep hill, moving side to side and angling through the snow covered trees.</t>
  </si>
  <si>
    <t>v_ksk7okDk_wY</t>
  </si>
  <si>
    <t>A group of people are on an outdoor court on the beach.</t>
  </si>
  <si>
    <t>They are playing a game of volleyball.</t>
  </si>
  <si>
    <t>They kick and hit the ball back and forth, celebrating when they win as the crowd claps and cheers.</t>
  </si>
  <si>
    <t>v_mdXSm8Yr6aU</t>
  </si>
  <si>
    <t>A little girl is on a swing set next to her baby brother.</t>
  </si>
  <si>
    <t>They are being pushed as they swing back and forth.</t>
  </si>
  <si>
    <t>v_FxGXQIH3-RQ</t>
  </si>
  <si>
    <t>People walk around cars and tents and sit in chairs in the background doing different things.</t>
  </si>
  <si>
    <t>A man and a dog are in the middle of a field preparing to play frisbee.</t>
  </si>
  <si>
    <t>The man throws a frisbee and the dog runs, catches it and brings it back.</t>
  </si>
  <si>
    <t>The dog is very excited preparing for his next trick.</t>
  </si>
  <si>
    <t>The man kneels down and throws frisbees for the dog as he rolls, flips and walks around.</t>
  </si>
  <si>
    <t>A second man joins the first man on the field and they both raise an arm and then turn to walk away together.</t>
  </si>
  <si>
    <t>v_6_NquDQUFm0</t>
  </si>
  <si>
    <t>A woman is seen running back and fourth on a small track and leads into her putting a helmet on.</t>
  </si>
  <si>
    <t>She grabs a pole and runs down the track jumping over a bar and onto a mat.</t>
  </si>
  <si>
    <t>She jumps up and walks over to a group of people keeping her score.</t>
  </si>
  <si>
    <t>v_c1eUdyyT4zg</t>
  </si>
  <si>
    <t>kids are driving bumper cars in an amusement park.</t>
  </si>
  <si>
    <t>parents are sitting on bumper cars with his children.</t>
  </si>
  <si>
    <t>man wearing a yellow vest is sitting on the background.</t>
  </si>
  <si>
    <t>v_ffGPrFNbQkA</t>
  </si>
  <si>
    <t>A large group of people are seen wearing protective hear and wandering around an area speaking to one another.</t>
  </si>
  <si>
    <t>Another person runs in and speaks to the others while holding a gun and others aiming over the sides.</t>
  </si>
  <si>
    <t>A woman grabs a toy giraffe while others react and others watch in the distance.</t>
  </si>
  <si>
    <t>v_PBxI7l0AqAY</t>
  </si>
  <si>
    <t>A man is speaking about how things works while a woman works on a horse.</t>
  </si>
  <si>
    <t>As he speaks he washes his hands with some hand sanitizer.</t>
  </si>
  <si>
    <t>Then he gets soap and starts to wash his hands very throughly.</t>
  </si>
  <si>
    <t>He grabs a napkin and dries his hands off still continuing to speak.</t>
  </si>
  <si>
    <t>v_j5D5FR6Xtps</t>
  </si>
  <si>
    <t>A person is seen holding a woman's long hair as well as a brush in his hands.</t>
  </si>
  <si>
    <t>The man continues playing with the hair and leads into him brushing the hair and braiding it.</t>
  </si>
  <si>
    <t>v_Wir90-9HmAI</t>
  </si>
  <si>
    <t>Two people are seen sitting at a table speaking with cups of coffees on the table in front of them.</t>
  </si>
  <si>
    <t>The man is then seen sitting alone in various locations and then begins dancing on a wall.</t>
  </si>
  <si>
    <t>He then is shown waking up in his bed assuming it was all a dream.</t>
  </si>
  <si>
    <t>v_UyORfPxpaGo</t>
  </si>
  <si>
    <t>A boy sitting on a bunk bed.</t>
  </si>
  <si>
    <t>Another boy approaches as he wraps his legs around his neck.</t>
  </si>
  <si>
    <t>The second boy spins him around and slams him to the ground.</t>
  </si>
  <si>
    <t>v_M6xFXdXOzzc</t>
  </si>
  <si>
    <t>There are 4 people who are all playing badminton and the boy in the white shirt is the first one to serve to the man in the black shirt.</t>
  </si>
  <si>
    <t>Then the man wearing the black shirt serves to the boy whose wearing the gold shirt.</t>
  </si>
  <si>
    <t>Then the boy who's wearing the white shirt hits the shuttlecock and serves to the girl who's wearing the pink shirt and the game goes on and everyone keeps serving to each other and they all use different shuttlecocks.</t>
  </si>
  <si>
    <t>v_G4XDVF_hYZc</t>
  </si>
  <si>
    <t>A boy is sitting at a table fiddling with a Rubik's cube and then places it on the table.</t>
  </si>
  <si>
    <t>The boy then picks it up and begins competing with four other males to solve it.</t>
  </si>
  <si>
    <t>Once solved,the boy slams his arms against a black bar that stops the timer and the judge times him at 20 seconds.</t>
  </si>
  <si>
    <t>v_ptukoEe5jvI</t>
  </si>
  <si>
    <t>A group of beach goers play a game of volley ball on a busy beach wearing swimsuits.</t>
  </si>
  <si>
    <t>A woman dances after making a serve and hugs her friend.</t>
  </si>
  <si>
    <t>A player scores a point and gives teammate a high five.</t>
  </si>
  <si>
    <t>Beach goers are seen playing in the water.</t>
  </si>
  <si>
    <t>v_HpQrpwNgCjc</t>
  </si>
  <si>
    <t>A close up of a high dive is shown followed by people walking up the steps.</t>
  </si>
  <si>
    <t>Suddenly a person is seen jumping off of the high dive and into the pool.</t>
  </si>
  <si>
    <t>v_j_q_MOjw80Q</t>
  </si>
  <si>
    <t>A close up of ingredients are shown followed by a man licking the spoon and mixing ingredients into a pot.</t>
  </si>
  <si>
    <t>He mixes more ingredients in a blender and squishes them all into balls to put in the oven.</t>
  </si>
  <si>
    <t>He takes them out and finishes by decorating them.</t>
  </si>
  <si>
    <t>v_bxRZ-Lvjgzk</t>
  </si>
  <si>
    <t>An intro leads into A close up of a painting and a paintbrush swirling around and around.</t>
  </si>
  <si>
    <t>The hand holding the brush begins painting grass into the painting slowly down the picture.</t>
  </si>
  <si>
    <t>v_F7V-FqgG3T8</t>
  </si>
  <si>
    <t>Two men are standing in a room playing a game of tennis.</t>
  </si>
  <si>
    <t>Behind the man,there is a row of kids sitting against the wall where a row of kids are watching them play.</t>
  </si>
  <si>
    <t>The game continues,the child holds his own until the adult ends up hitting it and the kid is not able to return the ball.</t>
  </si>
  <si>
    <t>v_5R3h6lxne90</t>
  </si>
  <si>
    <t>There are two news anchors, a lady and a gentleman both dressed in black presenting a news section.</t>
  </si>
  <si>
    <t>The lady is holding two small cards in her hands as she talks about the product to the viewers.</t>
  </si>
  <si>
    <t>There is another lady seated on a table along with two other women, demonstrating how to wear colored lenses in eyes.</t>
  </si>
  <si>
    <t>They are talking and discussing about the lenses and how it works.</t>
  </si>
  <si>
    <t>There's a commercial shown where the same lenses are worn by several people to show how it can be used.</t>
  </si>
  <si>
    <t>a doctor in a lab coat talks about the lenses too, while people are showing how to use them.</t>
  </si>
  <si>
    <t>Another news anchor also talks about the same lenses and how it has become a dangerous trend among teenagers.</t>
  </si>
  <si>
    <t>The lady news anchor comes back with the male news anchor to continue the program.</t>
  </si>
  <si>
    <t>v_0lzqfDIWXtw</t>
  </si>
  <si>
    <t>Several players are shown on an ice rink.</t>
  </si>
  <si>
    <t>They are engaged in different games of curling.</t>
  </si>
  <si>
    <t>They use their bats to move the puck, high fiving when they are done.</t>
  </si>
  <si>
    <t>v_BC0cgv8YgTg</t>
  </si>
  <si>
    <t>A cartoon network show is played.</t>
  </si>
  <si>
    <t>A blue character chops a block but fails several times.</t>
  </si>
  <si>
    <t>v_lVMMPkvnid8</t>
  </si>
  <si>
    <t>Team of Bolivian bowlers get ready to start bowling by practicing a technique taught by Jason Belmont by putting two fingers in the holes and using two hands to spin the ball.</t>
  </si>
  <si>
    <t>The young amateur players begin to bowl using the two handed technique.</t>
  </si>
  <si>
    <t>The president of the Bowling Federation Marcelo Garafulic is introduced.</t>
  </si>
  <si>
    <t>The announcer begins explaining how the team of Bolivian bowlers are training and more practice is shown.</t>
  </si>
  <si>
    <t>Garafulic starts to explain clinics and the medals they have won breaking perfect games.</t>
  </si>
  <si>
    <t>The bowlers are shown practicing once again.</t>
  </si>
  <si>
    <t>v_8GqAgX-kseE</t>
  </si>
  <si>
    <t>A boy is barefoot, pushing a lawn mower in his yard.</t>
  </si>
  <si>
    <t>A little girl runs by as he mows.</t>
  </si>
  <si>
    <t>v_uaGy1W-EYWU</t>
  </si>
  <si>
    <t>A man is in a room with a crowd of people watching him as he prepares to perform.</t>
  </si>
  <si>
    <t>The male stands up right and puts a blue plastic chair between his legs and starts spinning around his head.</t>
  </si>
  <si>
    <t>Once he is done,another person comes up and he begins spinning around on his head as a colorful hula hoop begins spinning around his waist.</t>
  </si>
  <si>
    <t>He completes his performance and the crowd jumps up and congratulates the man.</t>
  </si>
  <si>
    <t>v_gaILpaBa7M8</t>
  </si>
  <si>
    <t>A electric machine is attached to the end of a ping pong table and is moving with the motion senses of a person's hand.</t>
  </si>
  <si>
    <t>After,several balls are then thrown towards the paddle and returned by the machine.</t>
  </si>
  <si>
    <t>The person then walks across the table and begins hitting the balls faster and the machine speeds up to hit the ball.</t>
  </si>
  <si>
    <t>v_pF8jt67vTDY</t>
  </si>
  <si>
    <t>Adults are playing a game of volley ball on a court.</t>
  </si>
  <si>
    <t>v_FV2TzKt9MdI</t>
  </si>
  <si>
    <t>People are working out on spin bikes.</t>
  </si>
  <si>
    <t>A woman in a yellow tank top talks to the camera.</t>
  </si>
  <si>
    <t>A woman in a green tank top talks to the camera.</t>
  </si>
  <si>
    <t>v_ZZVrH3Hv1fM</t>
  </si>
  <si>
    <t>A woman is seen walking into frame and speaking to the camera while holding various objects in her hands.</t>
  </si>
  <si>
    <t>She continues to pull out more objects while still speaking to the camera.</t>
  </si>
  <si>
    <t>v_IwSUfrzxFnU</t>
  </si>
  <si>
    <t>Two boys walk down a sidewalk near a pool.</t>
  </si>
  <si>
    <t>There are lots of people doing different things in and around the pool.</t>
  </si>
  <si>
    <t>Some boys jump off of the diving boards doing flips and other tricks.</t>
  </si>
  <si>
    <t>v_AonniE_CsPY</t>
  </si>
  <si>
    <t>People have their hands on a casino table.</t>
  </si>
  <si>
    <t>v_iazhs1cz_1Q</t>
  </si>
  <si>
    <t>A woman is sitting behind a piano.</t>
  </si>
  <si>
    <t>A child is sitting behind a keyboard playing it.</t>
  </si>
  <si>
    <t>Pictures of pianos are shown at the end.</t>
  </si>
  <si>
    <t>v_qcA3mFHfo84</t>
  </si>
  <si>
    <t>A girl is shown several times running on a track.</t>
  </si>
  <si>
    <t>She uses a pole to vault over a bar.</t>
  </si>
  <si>
    <t>She lands on a mat on the other side.</t>
  </si>
  <si>
    <t>v_-FbWTFJ3kV0</t>
  </si>
  <si>
    <t>A boat that has a blue sail with two people is sailing in a body of water.</t>
  </si>
  <si>
    <t>The person at the front of the boat is leaning off to the side and is seemingly hitting the water.</t>
  </si>
  <si>
    <t>The water starts to become more and more choppy.</t>
  </si>
  <si>
    <t>The boat makes a turn to the right.</t>
  </si>
  <si>
    <t>The boat begins to head to the shore.</t>
  </si>
  <si>
    <t>v_rbnlUn4UNSk</t>
  </si>
  <si>
    <t>We see two people under water in a pool.</t>
  </si>
  <si>
    <t>The people exchange one flipper.</t>
  </si>
  <si>
    <t>The men start to share a breather.</t>
  </si>
  <si>
    <t>The exchange their other flippers.</t>
  </si>
  <si>
    <t>The men change their air equipment.</t>
  </si>
  <si>
    <t>The right man is unable to find the arm hole.</t>
  </si>
  <si>
    <t>v_rse-MW1helQ</t>
  </si>
  <si>
    <t>First the people are shown swimming backwards.</t>
  </si>
  <si>
    <t>Then they are shown playing volleyball in the water.</t>
  </si>
  <si>
    <t>v_bru03d1k6DY</t>
  </si>
  <si>
    <t>A woman is talking in front of an image of two deer on a plain.</t>
  </si>
  <si>
    <t>We thensee a man talking as they drill holes in the ice.</t>
  </si>
  <si>
    <t>Some booth serve hot dogs to the people as they ice fish.</t>
  </si>
  <si>
    <t>A little boy and girl attempt to catch a fish.</t>
  </si>
  <si>
    <t>They are interviewed as they fish.</t>
  </si>
  <si>
    <t>v_sjHCZWdopsQ</t>
  </si>
  <si>
    <t>The fingers are pressing the black keys.</t>
  </si>
  <si>
    <t>One finger is pressing one key.</t>
  </si>
  <si>
    <t>The fingers are moving to different keys and pressing them.</t>
  </si>
  <si>
    <t>v_B8WIh6PUjE0</t>
  </si>
  <si>
    <t>A woman is seen speaking to the camera using her hands and leads into her kneeling down dumping a bucket.</t>
  </si>
  <si>
    <t>She then uses a rake to rub it all the dirt around the tree while still stopping to speak to the camera.</t>
  </si>
  <si>
    <t>v_TsPh4-BsCYk</t>
  </si>
  <si>
    <t>A woman is shown holding a shot put and talking to the camera while standing in a large gym.</t>
  </si>
  <si>
    <t>She demonstrates how to properly throw the tool and performs several throws to show how it's one correctly.</t>
  </si>
  <si>
    <t>v_Zi2Pah5-BXI</t>
  </si>
  <si>
    <t>The exterior a store is seen from the parking lot.</t>
  </si>
  <si>
    <t>A man sits on a wooden bench up against a window with trophies.</t>
  </si>
  <si>
    <t>The man talks while a seated with a tattoo artist working on his shoulder.</t>
  </si>
  <si>
    <t>The tattoo artist wipes the area that he is working on and continues drawing.</t>
  </si>
  <si>
    <t>The tattoo artist turns off the light and stops his work.</t>
  </si>
  <si>
    <t>The man stands up and shows off his tattoo.</t>
  </si>
  <si>
    <t>v_6LADh__9LUI</t>
  </si>
  <si>
    <t>men are on sides of a car polishing a blue car in a hand car wash.</t>
  </si>
  <si>
    <t>blue car is inside a blue car wash and men are polishing it.</t>
  </si>
  <si>
    <t>men are holding clothes on them hands cleaning the car.</t>
  </si>
  <si>
    <t>v_uyBGDfYo0qE</t>
  </si>
  <si>
    <t>A person is vacuuming in a hallway.</t>
  </si>
  <si>
    <t>A toddler in pajamas runs past frantically, running into other rooms and jumping excitedly because he wants to be picked up.</t>
  </si>
  <si>
    <t>He is angry when his mother goes into the bathroom with the vacuum.</t>
  </si>
  <si>
    <t>The woman gives the boy the vacuum, and he vacuums the floors.</t>
  </si>
  <si>
    <t>v_FpxVS1Xpl1U</t>
  </si>
  <si>
    <t>people are sitting in chairs in pool.</t>
  </si>
  <si>
    <t>man and woman are talking and presenting the man that walks by the pool.</t>
  </si>
  <si>
    <t>man is weightlifting and doing a big jump from a trampoline and talking to the camera.</t>
  </si>
  <si>
    <t>a big platfom is shown and a man is being interviewed by a woman in top of trampoline.</t>
  </si>
  <si>
    <t>woman in audience is screaming and throwing kisses.</t>
  </si>
  <si>
    <t>man is on the 10 m trampoline and make a hand stand to make the jump to the pool.</t>
  </si>
  <si>
    <t>woman is impressed siting by the pool and have her hands on her face.</t>
  </si>
  <si>
    <t>presentator is interviewing the man.</t>
  </si>
  <si>
    <t>v_dcclQadR-L0</t>
  </si>
  <si>
    <t>A group of people are riding on horses on a field.</t>
  </si>
  <si>
    <t>They start a game of polo.</t>
  </si>
  <si>
    <t>They race their horses, trying to get the ball.</t>
  </si>
  <si>
    <t>v_r0P0egQt-jU</t>
  </si>
  <si>
    <t>Women are standing on the sand watching while some other women surf.</t>
  </si>
  <si>
    <t>A few of them are out there in the ocean riding on the waves enjoying the ride.</t>
  </si>
  <si>
    <t>One of them only has one arm and she surfs so well, its amazing.</t>
  </si>
  <si>
    <t>They carry her over and then 4 girls stand while they get gifts for their performance and the one handed girl gets to talk about it.</t>
  </si>
  <si>
    <t>v_KrHpGJBzjJk</t>
  </si>
  <si>
    <t>A woman in a dark room plays the drums with his hand.</t>
  </si>
  <si>
    <t>The camera tilts on it's side then goes back upright.</t>
  </si>
  <si>
    <t>We see the room around the lady.</t>
  </si>
  <si>
    <t>v_ORI5ZNZARw8</t>
  </si>
  <si>
    <t>A woman is seen sitting on a piece of exercise equipment looking forward.</t>
  </si>
  <si>
    <t>She then grabs the lever in front and begins pulling herself.</t>
  </si>
  <si>
    <t>The girl then pulls herself back and fourth on the machine while the camera captures her movements.</t>
  </si>
  <si>
    <t>v_w--HmpjK-s8</t>
  </si>
  <si>
    <t>A man with dreads is talking and getting his instruments together to make some music.</t>
  </si>
  <si>
    <t>he is jamming out in the car very happily.</t>
  </si>
  <si>
    <t>There is a lot of traffic and and ambulence driving by too.</t>
  </si>
  <si>
    <t>He records all of the music on a laptop.</t>
  </si>
  <si>
    <t>v_XtqTatsTGNY</t>
  </si>
  <si>
    <t>The boy stands at the bottom of a small staircase and then he walks up to slide down the blue slide.</t>
  </si>
  <si>
    <t>When he's done sliding down he runs away and tries to go out the gate.</t>
  </si>
  <si>
    <t>v_1stYB5_yR5k</t>
  </si>
  <si>
    <t>man is talking to the camera cleaning a wooden shed and start painting it.</t>
  </si>
  <si>
    <t>the man mix the paint and with a brush varnish all the shed.</t>
  </si>
  <si>
    <t>at the end the man talks to the camera and shows the materials list.</t>
  </si>
  <si>
    <t>v_HUzoMRdSrZo</t>
  </si>
  <si>
    <t>We see a city scene at night.</t>
  </si>
  <si>
    <t>We see people playing soccer outdoors at night.</t>
  </si>
  <si>
    <t>A man falls on the ground.</t>
  </si>
  <si>
    <t>We see a man shifting the ball with his feet.</t>
  </si>
  <si>
    <t>We see two men high five each other.</t>
  </si>
  <si>
    <t>We see the closing tile screen.</t>
  </si>
  <si>
    <t>v_Y9EIH-A_ePo</t>
  </si>
  <si>
    <t>Two girls are outside in a yard.</t>
  </si>
  <si>
    <t>They are bouncing and throwing a ball to each other.</t>
  </si>
  <si>
    <t>They chase each other with the ball playfully.</t>
  </si>
  <si>
    <t>They run up to the camera and talk for a while.</t>
  </si>
  <si>
    <t>v_E7rhlhVA0SY</t>
  </si>
  <si>
    <t>We see a Gelato store outside.</t>
  </si>
  <si>
    <t>We see a title screen for a cake.</t>
  </si>
  <si>
    <t>We then see a lady cooking.</t>
  </si>
  <si>
    <t>The lady puts gelato in a bowl.</t>
  </si>
  <si>
    <t>The lady puts rice crispies on it.</t>
  </si>
  <si>
    <t>The lady puts a dome in a chocolate dome and puts a crispies circle on it.</t>
  </si>
  <si>
    <t>The lady puts holes in a chocolate dome.</t>
  </si>
  <si>
    <t>The lady sprays the domes.</t>
  </si>
  <si>
    <t>The lady puts the red dome on top of a black one and put the dome with holes on top of it.</t>
  </si>
  <si>
    <t>The lady puts the cake in a display case.</t>
  </si>
  <si>
    <t>v_LaWCwEG6n3w</t>
  </si>
  <si>
    <t>A person is seen standing off in the distance with another standing around a hole.</t>
  </si>
  <si>
    <t>The person uses a fishing pole on the hole and attempts to pull out a fish.</t>
  </si>
  <si>
    <t>The person continues pulling while the other watches on the side.</t>
  </si>
  <si>
    <t>v_padyJHC5Y5Y</t>
  </si>
  <si>
    <t>A woman is seen brushing wet hair and rubbing lotion all throughout her hair.</t>
  </si>
  <si>
    <t>She then blow dries her hair and is seen again with her hair pinned up around the top.</t>
  </si>
  <si>
    <t>She blow dries the bottom of her hair and is then seen again with all of her hair pinned up.</t>
  </si>
  <si>
    <t>She undoes the pins to show off her new hair.</t>
  </si>
  <si>
    <t>v_w30TFlJiRKA</t>
  </si>
  <si>
    <t>A little boy plays piano in a home, then, he bends to the left and talks.</t>
  </si>
  <si>
    <t>After, the boy continues playing the piano, then he takes a rest.</t>
  </si>
  <si>
    <t>The boy change clothes and continues playing the piano.</t>
  </si>
  <si>
    <t>v_CsyHOM8ngZA</t>
  </si>
  <si>
    <t>A shaggy dog is getting a bath from a veterinarian.</t>
  </si>
  <si>
    <t>The veterinarian is blow drying the dog after washing it.</t>
  </si>
  <si>
    <t>A different vet is petting and brushing the dog.</t>
  </si>
  <si>
    <t>A video montage of the dog plays and then credits roll.</t>
  </si>
  <si>
    <t>v_I4_jFA46Uio</t>
  </si>
  <si>
    <t>A little girl is standing in front of a kitchen sink.</t>
  </si>
  <si>
    <t>She has a bowl and a knife in her hand.</t>
  </si>
  <si>
    <t>She is peeling potatoes with the knife.</t>
  </si>
  <si>
    <t>v_ufxyjYMKe7c</t>
  </si>
  <si>
    <t>Two boys in matching shirts sit on a sofa and talk with a candy toy in their hands as they hold the candy up to the camera, play with the candy toy buttons and talk.</t>
  </si>
  <si>
    <t>The two boys mock fight with the toy candy, which is shaped like a hand with retractable fingers, and the camera speeds up when they do this.</t>
  </si>
  <si>
    <t>The boys then switch toys and open the toy candy at which point they begin to eat the candy and talk while chewing.</t>
  </si>
  <si>
    <t>A closeup of the toy candy is then shown, with the candy lying on a maroon backdrop and posed.</t>
  </si>
  <si>
    <t>v_GiHxeCLGNy8</t>
  </si>
  <si>
    <t>A person is at a camp fire poking around at the wood.</t>
  </si>
  <si>
    <t>The camera moves over to a little boy as he is talking to the camera person.</t>
  </si>
  <si>
    <t>The camera person continues to narrate the situation as he records the fire.</t>
  </si>
  <si>
    <t>v_yL7tvoBkkkI</t>
  </si>
  <si>
    <t>Various people are seen from a bird's eye view working in rough conditions out in the open.</t>
  </si>
  <si>
    <t>They are scrubbing clothes and hanging them up while the camera pans around and watches.</t>
  </si>
  <si>
    <t>v_FXl3qRRs9jw</t>
  </si>
  <si>
    <t>People are walking next to a bull.</t>
  </si>
  <si>
    <t>There is a large group walking behind the bull.</t>
  </si>
  <si>
    <t>There is another bull and they start fighting.</t>
  </si>
  <si>
    <t>The crowd is rallying around the bulls.</t>
  </si>
  <si>
    <t>A man in a red shirt is talking into a microphone.</t>
  </si>
  <si>
    <t>A man is putting a black shirt on.</t>
  </si>
  <si>
    <t>v_fSVDG4h0lzM</t>
  </si>
  <si>
    <t>A middle age man is standing in the field preparing to hit a ball.</t>
  </si>
  <si>
    <t>Once the man hits the ball it is caught and the other teams jumps and cheers in excitement and there is replay.</t>
  </si>
  <si>
    <t>v_RI8IORq_BbY</t>
  </si>
  <si>
    <t>A man shows how to sharpen a knife with a machine.</t>
  </si>
  <si>
    <t>Then, he sharpens knives against each other.</t>
  </si>
  <si>
    <t>v_oezddremlnE</t>
  </si>
  <si>
    <t>A close up of a girl's hair is shown followed by a person braiding her hair.</t>
  </si>
  <si>
    <t>The person continues braiding the hair and the camera pans away from her face.</t>
  </si>
  <si>
    <t>v_9PFlQcBl_jU</t>
  </si>
  <si>
    <t>Several people are outside watching a about four men bullfighting with a cape.</t>
  </si>
  <si>
    <t>Once the bull is caught,they start to move it and they have difficulty because the crowd is on their back.</t>
  </si>
  <si>
    <t>Next,a shirtless man lays down on the dirt,gets trampled by the bull and jumps up happy about what just happened.</t>
  </si>
  <si>
    <t>Another bull comes along,runs over a person and the person remains on the ground and a crowd of people come running over to him laying a blanket across his body.</t>
  </si>
  <si>
    <t>v_p0-BGit7WAo</t>
  </si>
  <si>
    <t>A young boy is seen speaking with others while wrapping ballet shoes around him and walking past others.</t>
  </si>
  <si>
    <t>The man then steps into ballet class and interacts with the dancers and ends by drinking a beer.</t>
  </si>
  <si>
    <t>v_oQ_PwsBgozM</t>
  </si>
  <si>
    <t>a lady and a young girl are in room with a Christmas tree.</t>
  </si>
  <si>
    <t>The lights are turned on on the tree an the little girl dances in front of it.</t>
  </si>
  <si>
    <t>A young boy plays with and takes ornaments off the tree and shows them to the camera.</t>
  </si>
  <si>
    <t>The man take it and shows it to the camera then puts it back.</t>
  </si>
  <si>
    <t>v_YKLZAgdkFrk</t>
  </si>
  <si>
    <t>A girl is seen speaking to the camera on the floor.</t>
  </si>
  <si>
    <t>Another woman is seen sitting on a swingset looking to the camera.</t>
  </si>
  <si>
    <t>The woman swings back and fourth while looking down at her hand.</t>
  </si>
  <si>
    <t>v_ngwH6Zy5vb8</t>
  </si>
  <si>
    <t>A man in a suit is playing a piano.</t>
  </si>
  <si>
    <t>The audience stands up and claps for him.</t>
  </si>
  <si>
    <t>People are hugging and mingling on a stage.</t>
  </si>
  <si>
    <t>v_Fvc0-yNMFyE</t>
  </si>
  <si>
    <t>A small group of people are seen riding around on bumper cars while bumping into one another.</t>
  </si>
  <si>
    <t>The kids continue driving the cars around when a man walks in and out of frame making sure the kids and parents are safe.</t>
  </si>
  <si>
    <t>v_UojTppgtyCE</t>
  </si>
  <si>
    <t>An outdoor garden is seen and a man in tshirt stands in it holding a pair of sheers.</t>
  </si>
  <si>
    <t>Mellons are seen throughout the garden.</t>
  </si>
  <si>
    <t>The man points to the melons up against the wall and begins trimming them with his sheers throwing them to the side.</t>
  </si>
  <si>
    <t>The man walks over to the outer edge of the melon plants and picks up a large vine in one hand then trims off leafs with the other hand.</t>
  </si>
  <si>
    <t>The man does circular motions with his hands around his waste to demonstrate size.</t>
  </si>
  <si>
    <t>A garden website is seen.</t>
  </si>
  <si>
    <t>v_yjOriMHCSdw</t>
  </si>
  <si>
    <t>A painted construction paper piece sits on a table along with a suitcase of supplies.</t>
  </si>
  <si>
    <t>I person cuts up a piece of construction paper.</t>
  </si>
  <si>
    <t>Designs are drawn on the paper with markers.</t>
  </si>
  <si>
    <t>The construction paper is folded over an item and a piece of tape secures the construction paper in the middle.</t>
  </si>
  <si>
    <t>The corners are folded like a present and peices of tape are used to secure the folded ends of the package.</t>
  </si>
  <si>
    <t>A ribbon is slid under the package and tied in a bow.</t>
  </si>
  <si>
    <t>v_JiZCjH6ePq0</t>
  </si>
  <si>
    <t>A group of people are in a gym playing dodgeball.</t>
  </si>
  <si>
    <t>A logo appears on the screen.</t>
  </si>
  <si>
    <t>A man is talking to the camera while people play dodgeball behind him.</t>
  </si>
  <si>
    <t>The man and players demonstrate dodgeball techniques.</t>
  </si>
  <si>
    <t>Captions appear on the screen periodically that explain dodgeball.</t>
  </si>
  <si>
    <t>v_D5vmWDHQ86I</t>
  </si>
  <si>
    <t>There's a man in a green shirt talking and being interviewed by another man dressed in a black jacket and gray pants.</t>
  </si>
  <si>
    <t>They are seated on chairs in a large room with wooden floors.</t>
  </si>
  <si>
    <t>The entrance of the Valqueire Tennis club is shown.</t>
  </si>
  <si>
    <t>The ID card of the person being interviewed is also shown.</t>
  </si>
  <si>
    <t>The man in green continues talking about soccer to the interviewer.</t>
  </si>
  <si>
    <t>Brazil versus Venezuela soccer game is shown.</t>
  </si>
  <si>
    <t>The man in green talks about a newspaper article related to the soccer as clips from the soccer game are shown.</t>
  </si>
  <si>
    <t>v_pxt1-L_-H74</t>
  </si>
  <si>
    <t>Two people are seen standing next to one another speaking to the camera and leads into the two performing a dance routine with one another.</t>
  </si>
  <si>
    <t>The people continue dancing around on the side of a road and ends with them posing and laughing.</t>
  </si>
  <si>
    <t>v_eDm8bUVWxAM</t>
  </si>
  <si>
    <t>A man in a white shirt is talking.</t>
  </si>
  <si>
    <t>A bow and arrow is set up in the grass.</t>
  </si>
  <si>
    <t>A man shoots a bow and arrow while in the water.</t>
  </si>
  <si>
    <t>v_ienRkMdn_OM</t>
  </si>
  <si>
    <t>A hand is put into a brush and moves the hair to be piled up and vaccumed with the other hand.</t>
  </si>
  <si>
    <t>The middle section is done and the horse stands still while being cut down.</t>
  </si>
  <si>
    <t>Now,the middle is done and the person moves to the back of the horse until all of the horse's body is cut down.</t>
  </si>
  <si>
    <t>v_Ncfysce-svA</t>
  </si>
  <si>
    <t>A person plays an acoustic guitar while sitting on a beige sofa in jeans and a t-shirt.</t>
  </si>
  <si>
    <t>A room is shown with an acoustic guitar lying across a beige sofa and a stone art piece in front of the sofa with rocks in it.</t>
  </si>
  <si>
    <t>A person, face unseen, approaches the sofa and picks up the guitar.</t>
  </si>
  <si>
    <t>The person then sits down and plays the acoustic guitar, which has a capo on the neck, and plays until the scene fades to a Spanish subtitle.</t>
  </si>
  <si>
    <t>v_H5Z__A99EG4</t>
  </si>
  <si>
    <t>There's a man doing a science experiment in his kitchen using a on liter Pepsi bottle that is filled with foam.</t>
  </si>
  <si>
    <t>There's a boy laying down on the floor with his legs stretched up against the cabinet.</t>
  </si>
  <si>
    <t>The man is holding a hose in one hand and blowing air into the bottle simultaneously.</t>
  </si>
  <si>
    <t>Then he drops the huge bubble from the bottle onto the boy's face.</t>
  </si>
  <si>
    <t>v_j1IYrdjnY6M</t>
  </si>
  <si>
    <t>A web address is displayed on the slide.</t>
  </si>
  <si>
    <t>The name of a sunscreen is shown.</t>
  </si>
  <si>
    <t>The sunscreen bottle is shown.</t>
  </si>
  <si>
    <t>The price of the sunscreen is shown.</t>
  </si>
  <si>
    <t>The sunscreen bottle is presented.</t>
  </si>
  <si>
    <t>An information guideline is shown.</t>
  </si>
  <si>
    <t>v_ry-AEtNb4c0</t>
  </si>
  <si>
    <t>The title is on the screen.</t>
  </si>
  <si>
    <t>The screen switches to the man explaining his art.</t>
  </si>
  <si>
    <t>We see the man's artwork.</t>
  </si>
  <si>
    <t>We see the man talking again.</t>
  </si>
  <si>
    <t>He grabs paint on his brush.</t>
  </si>
  <si>
    <t>He discusses his painting technique.</t>
  </si>
  <si>
    <t>He is painting on the art.</t>
  </si>
  <si>
    <t>He cleans his brush on paper.</t>
  </si>
  <si>
    <t>He adds more paint to the brush.</t>
  </si>
  <si>
    <t>He is painting on the art again.</t>
  </si>
  <si>
    <t>He cleans his brush on the paper again.</t>
  </si>
  <si>
    <t>He adds white paint to the brush.</t>
  </si>
  <si>
    <t>He paints white on the artwork.</t>
  </si>
  <si>
    <t>He crosses his arms and talks.</t>
  </si>
  <si>
    <t>We see the title card.</t>
  </si>
  <si>
    <t>v_MSfIKwQhLFk</t>
  </si>
  <si>
    <t>People dive into the pool and start swimming.</t>
  </si>
  <si>
    <t>A person reaches the end and takes their goggles off.</t>
  </si>
  <si>
    <t>They wave at the camera and smile.</t>
  </si>
  <si>
    <t>The other swimmers get to the finish line.</t>
  </si>
  <si>
    <t>v_2w7Fxoeo_Qk</t>
  </si>
  <si>
    <t>A man wearing a helmet and carrying a skateboard lays on a skateboard and goes down a bowling lane to knock over pins.</t>
  </si>
  <si>
    <t>People look to watch him go down the lane.</t>
  </si>
  <si>
    <t>Someone pushes someone laying on a skateboard down a bowling lane.</t>
  </si>
  <si>
    <t>People throw bowling balls after the person.</t>
  </si>
  <si>
    <t>Two men laugh watching the man.</t>
  </si>
  <si>
    <t>Someone pushes another person laying on a skateboard down a bowling lane.</t>
  </si>
  <si>
    <t>v_3zDw5mwGIW0</t>
  </si>
  <si>
    <t>A person pours different colors of paint on a surface.</t>
  </si>
  <si>
    <t>Then, the woman paints flowers on the headboard of a bed.</t>
  </si>
  <si>
    <t>v_a2k-AgrAppg</t>
  </si>
  <si>
    <t>A little girl sits on front a cup of ice cream, then she takes a piece of food from the cup and eats it.</t>
  </si>
  <si>
    <t>Then, the girl grab the spoon and eats the ice cream.</t>
  </si>
  <si>
    <t>A hand takes nuts from the ice cram.</t>
  </si>
  <si>
    <t>v_WD40PRo1quM</t>
  </si>
  <si>
    <t>A man and a woman are seen dancing around a living room performing a tango routine.</t>
  </si>
  <si>
    <t>They spin each other round and round and ends with credits rolling.</t>
  </si>
  <si>
    <t>v_wIcK3bQNqcA</t>
  </si>
  <si>
    <t>A person moves their fingers around the center of a bike's wheel.</t>
  </si>
  <si>
    <t>The person takes a black part and adds it.</t>
  </si>
  <si>
    <t>The person adds a smaller black part and fastens it.</t>
  </si>
  <si>
    <t>The person removes their hands from the center of the bike's wheel.</t>
  </si>
  <si>
    <t>v_GUbKGqYKj7U</t>
  </si>
  <si>
    <t>There are a lot of people at a park and some are playing while others are just watching.</t>
  </si>
  <si>
    <t>A man and a woman are standing at the entrance of the playing field and getting ready to play.</t>
  </si>
  <si>
    <t>When the ball rolls towards them, the man kicks it and runs while other players try and get into motion for the play.</t>
  </si>
  <si>
    <t>Another man runs towards the home base and dives onto the dirt to touch the base they are protecting and another man is trying to catch the ball to get the man out.</t>
  </si>
  <si>
    <t>The man attempts to catch the ball, misses it, falls on the ground to catch it, throws it at the head of the man who is already on the base and they all laugh and the team who just scored give one another high fives.</t>
  </si>
  <si>
    <t>v_p771liKjycc</t>
  </si>
  <si>
    <t>Two kids are outside playing together at a playground.</t>
  </si>
  <si>
    <t>One boy jumps off and walks to the other side as the other one begins to do the monkey bars.</t>
  </si>
  <si>
    <t>After he makes it to the other side,he climbs off and runs to another set of monkey bars and follows through those as well.</t>
  </si>
  <si>
    <t>v_ZTwmb1d44bc</t>
  </si>
  <si>
    <t>A curling stone slides down the ice.</t>
  </si>
  <si>
    <t>The blue team discuss their strategy.</t>
  </si>
  <si>
    <t>The white team high five each other.</t>
  </si>
  <si>
    <t>The blue team discuss while a member points.</t>
  </si>
  <si>
    <t>A blue team player takes his turn and curls his stone into the center.</t>
  </si>
  <si>
    <t>The blue team comes and hugs the player as they celebrate.</t>
  </si>
  <si>
    <t>v_zi_TdMQffkU</t>
  </si>
  <si>
    <t>A person is seen sitting on a horse in front of a large crowd.</t>
  </si>
  <si>
    <t>The man then rides in on the horse and ropes up a calf.</t>
  </si>
  <si>
    <t>He ties up the calf while others ride in on horses to help.</t>
  </si>
  <si>
    <t>v_0UR4hXxt68E</t>
  </si>
  <si>
    <t>A group of cheerleaders stand in a line in a large auditorium in preparation.</t>
  </si>
  <si>
    <t>The group of cheerleaders does a dance routine in all dancing in unison.</t>
  </si>
  <si>
    <t>Half of the group kneels on the floor and the other standing group exits to the sides.</t>
  </si>
  <si>
    <t>The remaining group stands back up and does a second dance routine together.</t>
  </si>
  <si>
    <t>The group of cheerleader end their routine and jump up and down before bowing to the crowd.</t>
  </si>
  <si>
    <t>v_eGTZNTfgg24</t>
  </si>
  <si>
    <t>Various athletes are seen standing ready while one jumps in place and prepares himself.</t>
  </si>
  <si>
    <t>He then runs down a long track into a sand pit and sticks his hands in the air.</t>
  </si>
  <si>
    <t>A man holds a white fag up while the athlete celebrates and his jump and people's reactions in the audience are shown again.</t>
  </si>
  <si>
    <t>v_XC6tvSBS0PA</t>
  </si>
  <si>
    <t>A young lady wearing a colorful swimsuit is underwater swimming in a pool.</t>
  </si>
  <si>
    <t>A screen flashes and shows step two as the girl demonstrates swimming with your feet close together.</t>
  </si>
  <si>
    <t>Next,a warning screen appears saying not to swim without goggles as the girl does the exact opposite.</t>
  </si>
  <si>
    <t>After,the girl is shown with an orange mermaid tail on swimming under water as she joins another "mermaid".</t>
  </si>
  <si>
    <t>v_5FM_xJGb-Tk</t>
  </si>
  <si>
    <t>A man in a little kayak type of of boat is paddling the boat.</t>
  </si>
  <si>
    <t>He is sitting by himself in it because it's so small it only fits one person really.</t>
  </si>
  <si>
    <t>He uses a lot of energy into paddling, going really fast.</t>
  </si>
  <si>
    <t>I believe he is probably practicing for an event late in the future.</t>
  </si>
  <si>
    <t>v_2DMOP9Fy91U</t>
  </si>
  <si>
    <t>A woman is standing outside in front of a building.</t>
  </si>
  <si>
    <t>She begins dancing with hula hoops.</t>
  </si>
  <si>
    <t>She finishes and words come on the screen.</t>
  </si>
  <si>
    <t>v_bPkk-z5n8MY</t>
  </si>
  <si>
    <t>A large group of people are seen spinning and twirling batons in the city.</t>
  </si>
  <si>
    <t>A large group of people are seen sitting around the group watching.</t>
  </si>
  <si>
    <t>The group continues to dance around the city block while the camera pans around and watches them walk away.</t>
  </si>
  <si>
    <t>v_jOUwMAGYImE</t>
  </si>
  <si>
    <t>A man sits on a stationary bike on a stage and starts working out.</t>
  </si>
  <si>
    <t>He sticks one leg up to the side.</t>
  </si>
  <si>
    <t>He gets off and does a hand stand.</t>
  </si>
  <si>
    <t>v_fZzswQaICfM</t>
  </si>
  <si>
    <t>There is a hopscotch board drawn with chalk on the pavement.</t>
  </si>
  <si>
    <t>A little girl in green takes her turn and then more of her friends follow after.</t>
  </si>
  <si>
    <t>All three girls stand and then drop a bottle cap to move forward with their jumps.</t>
  </si>
  <si>
    <t>They play different variations of the game just having fun doing so and when its over one of the girls throws her hands in the air.</t>
  </si>
  <si>
    <t>v_ivjnwAR91Sk</t>
  </si>
  <si>
    <t>A large group of people are seen standing on a stage with people watching on the sidelines.</t>
  </si>
  <si>
    <t>People take turns jumping onto a large mat over a beam and cheering with teammates.</t>
  </si>
  <si>
    <t>More shots are shown of kids fooling around while looking and laughing to the camera.</t>
  </si>
  <si>
    <t>v_26qGsfI9tZ8</t>
  </si>
  <si>
    <t>A toddler climbs the steps of a playground.</t>
  </si>
  <si>
    <t>Then, the boy slides down until to reach the ground.</t>
  </si>
  <si>
    <t>v_t6FuJ4L8sHY</t>
  </si>
  <si>
    <t>A group of people are seen standing on a soccer field and leads into one falling down and being helped back up.</t>
  </si>
  <si>
    <t>The same shot is shown again in slow motion and leads into one scoring a goal with others not paying attention.</t>
  </si>
  <si>
    <t>The same shot is shown again in slow motion several times and pans back to all the players.</t>
  </si>
  <si>
    <t>v_L0QdLXym4F4</t>
  </si>
  <si>
    <t>A lady is filming a girl and a boy who are outdoors at a park playground.</t>
  </si>
  <si>
    <t>The young girl hangs an goes across the monkey bars using her arms while the young boy stands behind rails and watches.</t>
  </si>
  <si>
    <t>The jumps down at the end of the monkey bars and then jumps up and down and gives a high five to the excited woman filming her.</t>
  </si>
  <si>
    <t>The lady behind the camera then walks over and pans to the little boy who is now at the monkey bars and holds a conversation with him.</t>
  </si>
  <si>
    <t>v_7MAADmeogHo</t>
  </si>
  <si>
    <t>A bike is seen upside down in a shop.</t>
  </si>
  <si>
    <t>A man shows how to remove a tire.</t>
  </si>
  <si>
    <t>He then replaces it and tightens it back into place.</t>
  </si>
  <si>
    <t>v_Bhc8INrOToY</t>
  </si>
  <si>
    <t>A man is seen speaking to the camera and leads into clips of them skiing.</t>
  </si>
  <si>
    <t>The men move down all along the mountain while others are shown skiing next to them.</t>
  </si>
  <si>
    <t>The people continue riding down the hill and end by stopping at the bottom.</t>
  </si>
  <si>
    <t>v_ie9PgZt9svA</t>
  </si>
  <si>
    <t>A group of girls on a rope jumping team do a routine in a large music hall.</t>
  </si>
  <si>
    <t>A group of girls jump rope individually.</t>
  </si>
  <si>
    <t>Three girls jump rope with two holding a single rope on each end.</t>
  </si>
  <si>
    <t>Three girls jump together inside of a single rope.</t>
  </si>
  <si>
    <t>A group of girls hold two ropes and take turns doing double dutch while members run through and jump the rope.</t>
  </si>
  <si>
    <t>v_fcSJAHXHDvM</t>
  </si>
  <si>
    <t>A man is seen moving in slow motion holding a tennis racket and throwing a ball up into the air.</t>
  </si>
  <si>
    <t>Arrows point around his body and show him hitting the ball while pausing to show off his body movements.</t>
  </si>
  <si>
    <t>v_kUwCHpiuCuA</t>
  </si>
  <si>
    <t>A bicycle elliptical machine is sitting in living room by a couch.</t>
  </si>
  <si>
    <t>A dog appears on the couch and suddenly a person sits on the machine and turns it on.</t>
  </si>
  <si>
    <t>Once the machine is on,it begins to flash 30 minutes several times and the person begins to exercise on the machine pushing the bars back and forth.</t>
  </si>
  <si>
    <t>v_sgPkVKPp1dU</t>
  </si>
  <si>
    <t>A man in black shirt lifted the barbel and started to carry it up and down for few times, while behind him, two men are removing the metal plates on another barbel.</t>
  </si>
  <si>
    <t>The man in black shirt added more weight on the barbel by adding yellow plates on both side, then continue weight lifting.</t>
  </si>
  <si>
    <t>v_Ox16PeB954Q</t>
  </si>
  <si>
    <t>A man and child are sitting on a couch while the adult smokes hookah tobacco.</t>
  </si>
  <si>
    <t>The child grabs it as if to smoke only to have it pulled away.</t>
  </si>
  <si>
    <t>The child is then able to stick it in his own mouth but doesn't know what to do.</t>
  </si>
  <si>
    <t>He ends up sticking it back into the adults mouth and the adult continues to smoke from the hookah pipe.</t>
  </si>
  <si>
    <t>v_7bUu05RIksU</t>
  </si>
  <si>
    <t>Business details are written in white text on a black background.</t>
  </si>
  <si>
    <t>Men wearing jackets pressure wash a white car in a parking lot.</t>
  </si>
  <si>
    <t>Two men wash a black SUV with a pressure washing hose.</t>
  </si>
  <si>
    <t>Men wash a white car using hand towels.</t>
  </si>
  <si>
    <t>The business details are seen before end credits for the video are shown.</t>
  </si>
  <si>
    <t>v_HwM3ionUBsg</t>
  </si>
  <si>
    <t>The video takes place in a gymnasium of various gymnasts.</t>
  </si>
  <si>
    <t>A young girl stands on top of the trampoline in preparation to jump.</t>
  </si>
  <si>
    <t>She jumps on the bar and begins to do several flips between two bars.</t>
  </si>
  <si>
    <t>She then jumps to the padded area and throws up her hands, and a man gives her a hug.</t>
  </si>
  <si>
    <t>v_4w3QwJdzwsE</t>
  </si>
  <si>
    <t>A large boat with a wind sail on it is seen riding along a big storm with people on board.</t>
  </si>
  <si>
    <t>The boat tips over at one point when another boat comes by and falls over as well.</t>
  </si>
  <si>
    <t>v_6pY2zz2_CCU</t>
  </si>
  <si>
    <t>woman is sitting on a couch with a cat on her legs, he grab a scisoors from the table next to her and starts cutting the front cat nails.</t>
  </si>
  <si>
    <t>she looks his back paws and gave her cat some cat food.</t>
  </si>
  <si>
    <t>the girl congratlate the cat and put him on the floor.</t>
  </si>
  <si>
    <t>v_k74CgBa46bA</t>
  </si>
  <si>
    <t>A man without a shirt on sits outside by the trees and drinks out of a coffee cup.</t>
  </si>
  <si>
    <t>A person is seen petting a cat.</t>
  </si>
  <si>
    <t>v_Mmdcsw_SEzc</t>
  </si>
  <si>
    <t>A boy is building a sandcastle near the edge of the ocean.</t>
  </si>
  <si>
    <t>He forms huge circles and stands up.</t>
  </si>
  <si>
    <t>v_rliYO1sEYts</t>
  </si>
  <si>
    <t>A man kisses a girl on the beach.</t>
  </si>
  <si>
    <t>People are playing rock paper scissors on the beach.</t>
  </si>
  <si>
    <t>A man in a black shirt is standing on the beach.</t>
  </si>
  <si>
    <t>v_7vECSCWxbDk</t>
  </si>
  <si>
    <t>A man plugs a cable into his guitar.</t>
  </si>
  <si>
    <t>He begins playing the guitar.</t>
  </si>
  <si>
    <t>He looks up and speaks.</t>
  </si>
  <si>
    <t>He goes back to playing his guitar.</t>
  </si>
  <si>
    <t>He looks up again and speaks as he makes hand gestures.</t>
  </si>
  <si>
    <t>He begins playing his guitar again.</t>
  </si>
  <si>
    <t>He glides his finger along his guitar.</t>
  </si>
  <si>
    <t>v_UW1wC80VNd8</t>
  </si>
  <si>
    <t>A woman is in a kitchen, stirring food in a pot.</t>
  </si>
  <si>
    <t>She adds her gathered ingredients one a time as she talks, showing the pasta she is using.</t>
  </si>
  <si>
    <t>She then adds a bowlful of vegetables she has mixed.</t>
  </si>
  <si>
    <t>v_rZMiqPMOpzA</t>
  </si>
  <si>
    <t>A person is seen sitting in front of the camera holding an instrument.</t>
  </si>
  <si>
    <t>The man then begins playing the instrument while the camera captures is movements.</t>
  </si>
  <si>
    <t>The man continues to play moving his hands all along the instrument and finally turning the camera off.</t>
  </si>
  <si>
    <t>v_KK7g7udEPuo</t>
  </si>
  <si>
    <t>A man is looking all over for his dog.</t>
  </si>
  <si>
    <t>He said he paid his dog 10 dollars to cut the grass and now he's gone.</t>
  </si>
  <si>
    <t>He finally finds the dog who is driving the riding lawn mower.</t>
  </si>
  <si>
    <t>According to the owner, the dog is asking for a raise.</t>
  </si>
  <si>
    <t>He continues mowing in not very straight lines as the other dogs watch.</t>
  </si>
  <si>
    <t>v_OM_n35Vcw30</t>
  </si>
  <si>
    <t>Two kids are seen holding poles with another man and playing a game of shuffle board on a mat.</t>
  </si>
  <si>
    <t>The kids push the puck around back and fourth while walking around one another and ends with a woman stepping into frame and a close up of the young boy.</t>
  </si>
  <si>
    <t>v_eBajcta4sD4</t>
  </si>
  <si>
    <t>A camera pans around a building as well as people inside posing for pictures and putting fencing gear on.</t>
  </si>
  <si>
    <t>More clips are shown of fencing objects, people watching on the sides, and others getting ready to fence.</t>
  </si>
  <si>
    <t>Several clips are then shown of two people fencing each other with a woman reffing on the sides and people watching on the sides.</t>
  </si>
  <si>
    <t>v_JFA1iR09BUA</t>
  </si>
  <si>
    <t>A man is practicing in front of a mirror in a studio while another watches.</t>
  </si>
  <si>
    <t>They start taking turns in front of the mirror trying to perfect their moves.</t>
  </si>
  <si>
    <t>They are doing all kinds of crazy acrobatic flips and other moves.</t>
  </si>
  <si>
    <t>There is about six or seven men sitting up against the wall watching as the other flips around in the air.</t>
  </si>
  <si>
    <t>v_ctWolbJDJyc</t>
  </si>
  <si>
    <t>A person is seen walking down the length of a diving board while the camera zooms in.</t>
  </si>
  <si>
    <t>The man turns around and performs a back flip off of the board into the water.</t>
  </si>
  <si>
    <t>v_m-BZKFg9k18</t>
  </si>
  <si>
    <t>A lady dances around on an aerobic stair in a fitness gym.</t>
  </si>
  <si>
    <t>The lady spins off of the step.</t>
  </si>
  <si>
    <t>The lady touches her toes to the step.</t>
  </si>
  <si>
    <t>The lady repeats the routine repeatedly.</t>
  </si>
  <si>
    <t>The lady steps off of her step in front of it and looks at the camera.</t>
  </si>
  <si>
    <t>v_JTFEzdAw1L4</t>
  </si>
  <si>
    <t>An older woman throws a white ball towards a green cup.</t>
  </si>
  <si>
    <t>A young boy gives her back the ball.</t>
  </si>
  <si>
    <t>The woman throws the ball again.</t>
  </si>
  <si>
    <t>She does a dance and throws it again.</t>
  </si>
  <si>
    <t>She again throws the white ball.</t>
  </si>
  <si>
    <t>The young boy hands the woman the ball and she throws it again.</t>
  </si>
  <si>
    <t>The older woman starts laughing.</t>
  </si>
  <si>
    <t>v_-ArIbKfZc2s</t>
  </si>
  <si>
    <t>A group of rafters paddle there raft down a river with rapids and obstacles.</t>
  </si>
  <si>
    <t>A group of rafter push off from a rock and turn there boat around to face the current.</t>
  </si>
  <si>
    <t>The rafters maneuver through a concrete structure.</t>
  </si>
  <si>
    <t>The group paddles around a large boulder sticking high up in the middle of the river.</t>
  </si>
  <si>
    <t>The group jumps from a rock into the river.</t>
  </si>
  <si>
    <t>v_UD7HJBRK2Z4</t>
  </si>
  <si>
    <t>A light blue screen appears and it has multiple blue words that are not in English and they're scrolling from bottom to top.</t>
  </si>
  <si>
    <t>The direction of the scrolling letters change from bottom to top and now they're in the middle.</t>
  </si>
  <si>
    <t>A man wearing a white button up short sleeved shirt and black long pants is standing on green grass that's near water, with a large bush behind him and he's doing very slow coordinated movements.</t>
  </si>
  <si>
    <t>v_Ptw9hFDV4ow</t>
  </si>
  <si>
    <t>A coach is training a boy and a girl to do kickboxing.</t>
  </si>
  <si>
    <t>There is a woman standing in a purple shirt, filming the coach teach the kids.</t>
  </si>
  <si>
    <t>Both the girl and the boy are taking turns in returning the punches and kicks to the coach.</t>
  </si>
  <si>
    <t>The coach is encouraging the students to constantly punch and return the kicks.</t>
  </si>
  <si>
    <t>v_8OCTuqJVToU</t>
  </si>
  <si>
    <t>A small group of children are seen sitting around a pool while the camera pans around the pool.</t>
  </si>
  <si>
    <t>The kids kick their feet around and show one instructor helping a child.</t>
  </si>
  <si>
    <t>The man continues to swim around the pool with children and close ups of children.</t>
  </si>
  <si>
    <t>v_LWAxCIy4PBw</t>
  </si>
  <si>
    <t>A little boy is pushing a mop.</t>
  </si>
  <si>
    <t>He closes an oven door that is open.</t>
  </si>
  <si>
    <t>He continues to mop the floor.</t>
  </si>
  <si>
    <t>He picks the mop up and puts it in the air.</t>
  </si>
  <si>
    <t>He sets it down and continues mopping.</t>
  </si>
  <si>
    <t>v_qzt9U8tEdJQ</t>
  </si>
  <si>
    <t>Someone is shown driving down a snowy street in the Ukraine.</t>
  </si>
  <si>
    <t>Several skiers are skiing down the slopes on the side of a mountain.</t>
  </si>
  <si>
    <t>A close up is seen of some of the skiers as they go.</t>
  </si>
  <si>
    <t>v_zJX_Oh4yVnc</t>
  </si>
  <si>
    <t>A person is seen riding around on a dirt bike that leads into him speaking to the camera.</t>
  </si>
  <si>
    <t>He shows off his bike as well as camera and leads into several clips of him riding around.</t>
  </si>
  <si>
    <t>He continues to ride around on the track while also showing close ups of himself as well as the camera.</t>
  </si>
  <si>
    <t>v_r7kQ1sko74M</t>
  </si>
  <si>
    <t>A young man is seen playing a single drum standing next to a group of people also drumming.</t>
  </si>
  <si>
    <t>The boy continues drumming with the group and the camera pans around to people watching on the sides.</t>
  </si>
  <si>
    <t>v_h7Tq3Gsj6lY</t>
  </si>
  <si>
    <t>A man is shown in several shots riding around on a skateboard.</t>
  </si>
  <si>
    <t>Close ups are shown of objects as well as skateboard and places you can buy them.</t>
  </si>
  <si>
    <t>More close ups are shown of products.</t>
  </si>
  <si>
    <t>v_pnN9AK7WKHU</t>
  </si>
  <si>
    <t>We see a person jet skiing.</t>
  </si>
  <si>
    <t>We see a red and black sail on a surfboard.</t>
  </si>
  <si>
    <t>We then see a yellow and blue sail.</t>
  </si>
  <si>
    <t>A yellow one passes a black one and keeps going, then the yellow one turns around.</t>
  </si>
  <si>
    <t>A yellowish green one appears on the screen.</t>
  </si>
  <si>
    <t>Three pass a red and blue one going in opposite directions.</t>
  </si>
  <si>
    <t>The rider of the red and blue one falls off his board.</t>
  </si>
  <si>
    <t>v_aBmKEmXVCqM</t>
  </si>
  <si>
    <t>A man is standing on a elliptical working out.</t>
  </si>
  <si>
    <t>He moves his arms back and forth.</t>
  </si>
  <si>
    <t>There is a lake behind him.</t>
  </si>
  <si>
    <t>v_b5GJUtjiWkQ</t>
  </si>
  <si>
    <t>Three kids are seen standing out in front of a house when one plays hop scotch to a person coming in frame.</t>
  </si>
  <si>
    <t>The camera follows the same girl hopping down a long path and continuing her way back to where she started.</t>
  </si>
  <si>
    <t>v_JwdW7Tlc4gs</t>
  </si>
  <si>
    <t>A young man is sitting in his room.</t>
  </si>
  <si>
    <t>The young man started to play his guitar.</t>
  </si>
  <si>
    <t>The young man is moving his fingers as he press the threads on the guitar.</t>
  </si>
  <si>
    <t>v_H5F01WIyJWI</t>
  </si>
  <si>
    <t>A blindfolded man is standing outside with vehicles parked behind him and he's playing a small set of bongos as well as a large set of bongos right next to it.</t>
  </si>
  <si>
    <t>The man quickly only hits the small bongos and then moves onto the big bongos going from his right to his left.</t>
  </si>
  <si>
    <t>On the return back going from his left to his right, he hits only the large bongos first, then hits the smaller bongos.</t>
  </si>
  <si>
    <t>v_4p6OjaHHSDs</t>
  </si>
  <si>
    <t>A close up is shown of a woman wearing glasses.</t>
  </si>
  <si>
    <t>She starts smoking a cigarette, then leans over.</t>
  </si>
  <si>
    <t>A woman in bed is laughing as she falls onto her own bed, still smoking.</t>
  </si>
  <si>
    <t>v_ad5QOYLt_cI</t>
  </si>
  <si>
    <t>man is standing in front of a table chopping vegetables and preparing a sandwich, he put in a bread butter cheese, avoado, and ham and a rolled sandwich.</t>
  </si>
  <si>
    <t>man talks o the camera and spread butter in bread slices with a knife put cheddar cheese, ham and ketchup and cut in four slices and serve them in a plate.</t>
  </si>
  <si>
    <t>v_k9VKFjPYT3o</t>
  </si>
  <si>
    <t>A man in a blue coat is talking outside by a rock.</t>
  </si>
  <si>
    <t>He is wearing a rock climbing harness.</t>
  </si>
  <si>
    <t>He begins climbing up the rock.</t>
  </si>
  <si>
    <t>He has a rope around his neck with different rock climbing tools.</t>
  </si>
  <si>
    <t>He gives another person a high five.</t>
  </si>
  <si>
    <t>v_gh8rmWE-564</t>
  </si>
  <si>
    <t>Two people are seen riding down a hill with one on skis and the other on a sled.</t>
  </si>
  <si>
    <t>The person then goes over a jump and crashes into a snowbank, showing the same shot again in slow motion.</t>
  </si>
  <si>
    <t>v_tZ6Fjq6SJvQ</t>
  </si>
  <si>
    <t>A man and a woman dressed in a black evening gown and a black suit dance in a ball room dance style in a large room with stone floors and grated windows.</t>
  </si>
  <si>
    <t>The man and woman begin with a fast dance with a lot of foot work twirling around the floor.</t>
  </si>
  <si>
    <t>The man and woman then begin a slow dance in which they glide, caress, spin and twirl each other across the floor at times lingering in smoldering postures that imply romance.</t>
  </si>
  <si>
    <t>The man and woman then begin to dance fast again utilizing fast twirls and foot work and with the man picking the woman up and spinning her around in the air until one final dip.</t>
  </si>
  <si>
    <t>v__zkcTAj5Z8Q</t>
  </si>
  <si>
    <t>A young boy is seen swimming around with another person standing in the water.</t>
  </si>
  <si>
    <t>The boy continues to swim around with the other people as well as do flips under the water.</t>
  </si>
  <si>
    <t>The kids move under and over the water while the camera continues to follow them.</t>
  </si>
  <si>
    <t>v_Qm6HmQv5uOo</t>
  </si>
  <si>
    <t>A man sings a song with someone plays an accordion in a restaurant.</t>
  </si>
  <si>
    <t>The man playing accordion breaks his instrument in half.</t>
  </si>
  <si>
    <t>The people are startled but continue on singing the song.</t>
  </si>
  <si>
    <t>v_cwhkG3LhZO8</t>
  </si>
  <si>
    <t>A little boy is standing at the parking lot, he is not wearing a shirt, he talked to the camera.</t>
  </si>
  <si>
    <t>He then walked with both his elbows up towards the road.</t>
  </si>
  <si>
    <t>The boy is on stage playing a brown guitar, he is not wearing a shirt, there's a microphone in front of him, behind him is a man playing a guitar too.</t>
  </si>
  <si>
    <t>v_-zHX3Gdx6I4</t>
  </si>
  <si>
    <t>A boy is running down a track.</t>
  </si>
  <si>
    <t>The boy lifts his body above the height of a pole.</t>
  </si>
  <si>
    <t>The boy lands on his back on to a red mat.</t>
  </si>
  <si>
    <t>The boy gets up from the mat.</t>
  </si>
  <si>
    <t>The boy celebrates by clapping and flexing both arms.</t>
  </si>
  <si>
    <t>A man stands and observes.</t>
  </si>
  <si>
    <t>v_IuY073Pr4E4</t>
  </si>
  <si>
    <t>The man walks towards a children's playground.</t>
  </si>
  <si>
    <t>The man hangs from mounted bar type devices in the playground.</t>
  </si>
  <si>
    <t>The man dismounts and walks back to the camera.</t>
  </si>
  <si>
    <t>v_bjtjeUcoxkg</t>
  </si>
  <si>
    <t>A man speaks to a camera.</t>
  </si>
  <si>
    <t>Another man shaves his face that is covered with shaving cream.</t>
  </si>
  <si>
    <t>The man shaves part of his neck.</t>
  </si>
  <si>
    <t>The man's razor is covered with shaving cream so he rinses the razor with water.</t>
  </si>
  <si>
    <t>The man speaks to the camera again.</t>
  </si>
  <si>
    <t>The shaving man again shaves part of his cheek area.</t>
  </si>
  <si>
    <t>An animation of shaving is shown.</t>
  </si>
  <si>
    <t>The man continues to speak to the camera.</t>
  </si>
  <si>
    <t>The shaving man shaves more towards his chin, including his upper cheek.</t>
  </si>
  <si>
    <t>The man speaks some more to the camera.</t>
  </si>
  <si>
    <t>v_X487OD6H6LE</t>
  </si>
  <si>
    <t>A man is sitting behind two congas with one shoulder rolled up.</t>
  </si>
  <si>
    <t>After he finishes talking,he begins hitting the conga.</t>
  </si>
  <si>
    <t>After several hits,he adds in the other conga and starts to hit the other conga.</t>
  </si>
  <si>
    <t>v_PUJqlmTdlak</t>
  </si>
  <si>
    <t>A man shuffles a deck of cards and deals them.</t>
  </si>
  <si>
    <t>Four aces are shown face up on the table.</t>
  </si>
  <si>
    <t>A man sits at a table and plays blackjack.</t>
  </si>
  <si>
    <t>v_NA8fCmbHwU8</t>
  </si>
  <si>
    <t>A team rides together on a bus.</t>
  </si>
  <si>
    <t>Teams play games of beach soccer.</t>
  </si>
  <si>
    <t>A man makes a bicycle kick in the sand.</t>
  </si>
  <si>
    <t>The winning team holds up a trophy together and celebrates.</t>
  </si>
  <si>
    <t>Teammates call from the bench and cheer.</t>
  </si>
  <si>
    <t>v_I4wkBjpwAAU</t>
  </si>
  <si>
    <t>Two army men in the their uniforms are tied together and pulling each other in opposite direction as part of their training.</t>
  </si>
  <si>
    <t>There is a crowd of army officers watching them cheering for them as they do the strength training exercise.</t>
  </si>
  <si>
    <t>The game is over after one of the army officer's drags the other officer on the ground and wins the game.</t>
  </si>
  <si>
    <t>v_NkvwL_M_lDg</t>
  </si>
  <si>
    <t>The man in blue shirt is strumming the drum in front of him.</t>
  </si>
  <si>
    <t>The young man strum the drum in front of him then the next drum.</t>
  </si>
  <si>
    <t>The young man strum the drums in front of him.</t>
  </si>
  <si>
    <t>v_4IRb308UjTA</t>
  </si>
  <si>
    <t>A woman opens the trunk of a car.</t>
  </si>
  <si>
    <t>She gets a spare tire out and sets it on the ground.</t>
  </si>
  <si>
    <t>She takes the old tire off.</t>
  </si>
  <si>
    <t>She puts the new tire on.</t>
  </si>
  <si>
    <t>She puts the hub of the tire on.</t>
  </si>
  <si>
    <t>v_lly76lvHbB8</t>
  </si>
  <si>
    <t>A man in a red shirt holds onto a disc and skates down the ice.</t>
  </si>
  <si>
    <t>He lets go of the disc and walks back.</t>
  </si>
  <si>
    <t>v_7MWFfqhKgIY</t>
  </si>
  <si>
    <t>A little girl performs holding on the rings.</t>
  </si>
  <si>
    <t>A boy stands next a man, then he raise a hand and walks to perform on the parallel bards.</t>
  </si>
  <si>
    <t>The boy swing on the bars, and then jumps on the mat.</t>
  </si>
  <si>
    <t>v_wjcCl0jPxO4</t>
  </si>
  <si>
    <t>There's a woman in a maroon shirt washing her face in the sink.</t>
  </si>
  <si>
    <t>An aesthetician is talking about skin care routines and giving tips on how to keep facial skin clean.</t>
  </si>
  <si>
    <t>The model washes her face and then dabs it dry gently with a towel.</t>
  </si>
  <si>
    <t>v_bFgXdHQnTtQ</t>
  </si>
  <si>
    <t>Three girls exercise inside a house.</t>
  </si>
  <si>
    <t>The girls dance while jumping, spinning and moving the hips.</t>
  </si>
  <si>
    <t>Then, the girls one by one thrown to the ground, then stand and continue dancing.</t>
  </si>
  <si>
    <t>After, two girls kneel and a child stands on the legs and raise her arms, after the girls ends their performance.</t>
  </si>
  <si>
    <t>v_-lER_VO9LUo</t>
  </si>
  <si>
    <t>Two dogs are walking on the sidewalk attached by a rope.</t>
  </si>
  <si>
    <t>Two people are walking on the sidewalk next to them.</t>
  </si>
  <si>
    <t>One of the people is carrying a water bottle.</t>
  </si>
  <si>
    <t>v_r5cjo7N6IEY</t>
  </si>
  <si>
    <t>A shadow is on the ground, caused by a designed shrub.</t>
  </si>
  <si>
    <t>A man is shown outdoors, showing off his multitude of decorative bushes in his yard.</t>
  </si>
  <si>
    <t>He clips and measures them to make sure they look their best.</t>
  </si>
  <si>
    <t>He finds two that look like boxers, and pretends to make them fight.</t>
  </si>
  <si>
    <t>v_hh6Yt_LJPwQ</t>
  </si>
  <si>
    <t>A woman is seen talking to people out in public followed by a man washing his mouth out and kissing another girl.</t>
  </si>
  <si>
    <t>He then presents the mouth to various people spread out through days and has the people speak to the camera about their experience.</t>
  </si>
  <si>
    <t>v_G-zVpNXq224</t>
  </si>
  <si>
    <t>We see Ellen playing table tennis.</t>
  </si>
  <si>
    <t>A Table tennis player comes out.</t>
  </si>
  <si>
    <t>The new match is played.</t>
  </si>
  <si>
    <t>The man holds his arms out.</t>
  </si>
  <si>
    <t>Ellen ducks down near the table.</t>
  </si>
  <si>
    <t>The players shake hands, the lady hugs Ellen and laugh.</t>
  </si>
  <si>
    <t>We see the ending screen with Ellen on it.</t>
  </si>
  <si>
    <t>v_N2fTZV7pnEw</t>
  </si>
  <si>
    <t>A man is skiin on a slope, quickly.</t>
  </si>
  <si>
    <t>He turns as he passes between other skiers on the way.</t>
  </si>
  <si>
    <t>The man continues until he is finished, then removes himself to the board and joins other skiers at the resting spot.</t>
  </si>
  <si>
    <t>v_IrTqW6Qn8mI</t>
  </si>
  <si>
    <t>A close up is shown of leaves being blown.</t>
  </si>
  <si>
    <t>A person is blowing leaves with a leaf blower.</t>
  </si>
  <si>
    <t>They continue blowing the leaves across the yard.</t>
  </si>
  <si>
    <t>v_D2Trvi7Im_s</t>
  </si>
  <si>
    <t>A woman is skating down a sidewalk outside.</t>
  </si>
  <si>
    <t>She rolls slowly past the camera.</t>
  </si>
  <si>
    <t>She keeps skating down the sidewalk past the ocean's edge.</t>
  </si>
  <si>
    <t>v_3Hgwyprv8u4</t>
  </si>
  <si>
    <t>A camera pans all around a vacuum close up and shows a person's feet.</t>
  </si>
  <si>
    <t>The person walks around with the vacuum and pushes it along a rug.</t>
  </si>
  <si>
    <t>More shots are shown of the person using the attachments on the camera as well as showing how it's made.</t>
  </si>
  <si>
    <t>v_eUCKEnKxG8w</t>
  </si>
  <si>
    <t>Two young girls are seen kneeling before a tub while speaking to the camera.</t>
  </si>
  <si>
    <t>The girls hold up a product and measure it out followed by putting it into their mouths and swishing it around.</t>
  </si>
  <si>
    <t>The girls then spit out the liquid and continue to speak to the camera.</t>
  </si>
  <si>
    <t>v_9BS1II6O7I0</t>
  </si>
  <si>
    <t>A young man solves a cube puzzle while a man stand on front him.</t>
  </si>
  <si>
    <t>Then, a man writes on a paper and shows the young man.</t>
  </si>
  <si>
    <t>The young man solves again the puzzle is less time, and the man takes note.</t>
  </si>
  <si>
    <t>After the young man solves again two times the puzzle in less time.</t>
  </si>
  <si>
    <t>At the end, the young man solves the puzzle in less time than the previous times, he raises happy from his chair.</t>
  </si>
  <si>
    <t>v_sdMr24Qyrw8</t>
  </si>
  <si>
    <t>A young girl is sitting in a chair, awaiting nervously.</t>
  </si>
  <si>
    <t>The piercing artist paints a dot above her lip.</t>
  </si>
  <si>
    <t>He sanitizes his tools and proceeds to pierce the lip of the young girl.</t>
  </si>
  <si>
    <t>He inserts a ring into the piercing.</t>
  </si>
  <si>
    <t>He tightens the piercing and cleans around the piercing.</t>
  </si>
  <si>
    <t>The girl looks into a mirror handed to her by the piercing artist and looks pleased.</t>
  </si>
  <si>
    <t>v_tseeGOVN_eY</t>
  </si>
  <si>
    <t>A child is seen turning on a faucet and begins washes dishes in a sink.</t>
  </si>
  <si>
    <t>The child turns the water off an on again while scrubbing the dishes and another person walking in to help.</t>
  </si>
  <si>
    <t>v_opAcl-kukdU</t>
  </si>
  <si>
    <t>cherleader team wearing purple uniforms are doing a choreography on the middle of a wooden court.</t>
  </si>
  <si>
    <t>a lot of people are sitting on stands around the court.</t>
  </si>
  <si>
    <t>people is walking on sides of the wooden court in a roofed gym.</t>
  </si>
  <si>
    <t>v_J0EWvkkxh5o</t>
  </si>
  <si>
    <t>We see a girl preparing to dive in an indoor pool.</t>
  </si>
  <si>
    <t>The girl jumps and stands looking scared of the height.</t>
  </si>
  <si>
    <t>The girl turns and dives into the water.</t>
  </si>
  <si>
    <t>The girl surfaces and swims to the edge of the pool.</t>
  </si>
  <si>
    <t>v_BJ-1HVacaF4</t>
  </si>
  <si>
    <t>The video starts with a logo of the cathedrals of light.</t>
  </si>
  <si>
    <t>Next a group of people are shown.</t>
  </si>
  <si>
    <t>Then people are shown swimming in an underwater world.</t>
  </si>
  <si>
    <t>Reefs and rocks are shown underwater.</t>
  </si>
  <si>
    <t>Scuba divers are shown swimming deep into the water exploring what is around.</t>
  </si>
  <si>
    <t>v_JFVZdzzJVr8</t>
  </si>
  <si>
    <t>Two men are next to the table wearing blue shirts and welding helmets.</t>
  </si>
  <si>
    <t>The man is holding a welding machine and working on a metal that causes sparks, next to him is another man watching closely on the metal.</t>
  </si>
  <si>
    <t>The lights lit up, the man is poking the metal.</t>
  </si>
  <si>
    <t>v_gJKw6jGjiDE</t>
  </si>
  <si>
    <t>A gymnast stands nervously awaiting her start.</t>
  </si>
  <si>
    <t>The crowd in the arena watches her.</t>
  </si>
  <si>
    <t>She climbs up to a bar and performs various flips, cartwheels, as well as doing the splits mid air.</t>
  </si>
  <si>
    <t>She jumps off the bar and lands on a blue mat.</t>
  </si>
  <si>
    <t>v_6fgk5PKVS2o</t>
  </si>
  <si>
    <t>A person's car is shown from several angles with a person inside and leads into the car driving with people inside.</t>
  </si>
  <si>
    <t>The people are then shown in various angles riding up a snowy mountain and going down a hill.</t>
  </si>
  <si>
    <t>Close ups of the people's faces are shown as they go up and down the hill several times and landing at the bottom of a hill.</t>
  </si>
  <si>
    <t>v_uBhuULfs3Hc</t>
  </si>
  <si>
    <t>A man is at a mound, spinning a disc around in circles.</t>
  </si>
  <si>
    <t>He lets go of the disc and watches it fly.</t>
  </si>
  <si>
    <t>A line of discs is shown before a group of people on the field, choosing their own disc.</t>
  </si>
  <si>
    <t>People are shown, one at a time, throwing the discs.</t>
  </si>
  <si>
    <t>The winner stands with his trophy, shaking hands of people who walk up to him.</t>
  </si>
  <si>
    <t>v_4dyn1oKJO34</t>
  </si>
  <si>
    <t>Various clips are shown of people playing lacrosse followed by a man holding the stick and speaking to the camera.</t>
  </si>
  <si>
    <t>He moves the stick all around demonstrating how to properly play.</t>
  </si>
  <si>
    <t>v_G9ynahMxUz8</t>
  </si>
  <si>
    <t>A little girl kicks a big pink ball to her mother, who catches it and kicks it back.</t>
  </si>
  <si>
    <t>They continue kicking and throwing the ball to each other, and a man joins in.</t>
  </si>
  <si>
    <t>The little girl chases down the ball, bringing it back.</t>
  </si>
  <si>
    <t>v_2WwWzzO6rZQ</t>
  </si>
  <si>
    <t>A female gymnast jumps onto a balance beam and do many tricks and flips and lands back on her feet.</t>
  </si>
  <si>
    <t>the gymnast does two nice back flips back to back while keeping her balance and landing prefect on her feet.</t>
  </si>
  <si>
    <t>finally the female gymnast finishes with a high twice flip off the balance beam in the air and lands on the mat prefect.</t>
  </si>
  <si>
    <t>v_oT42qP2zIXo</t>
  </si>
  <si>
    <t>An intro appears of a person standing in front of objects on a counter, then a white screen appears with a picture of an owl and the words on the screen that include a website and the gray words "Samurai Pro Knife Sharpener".</t>
  </si>
  <si>
    <t>The man then picks up the two knives near his cutting board and demonstrates how they each cut a piece of green onion the cutting board, then he fastens the sharpener onto the counter, runs his knife through the sharpener a few times then goes back to showing how it cuts the green onion and how the blades look.</t>
  </si>
  <si>
    <t>The man is touching, holding and showing the camera a closer look of the sharpener.</t>
  </si>
  <si>
    <t>The outro is a person drawing the owl and the website onto a large piece of paper with markers, gives a thumbs up when they're done, then the screen goes to a digital white screen of the same owl that was just drawn and the website below it.</t>
  </si>
  <si>
    <t>v_YPSV5JEqhBw</t>
  </si>
  <si>
    <t>Women are holding a ball and spinning around before throwing it onto the field.</t>
  </si>
  <si>
    <t>A man in a red shirt is holding a broom.</t>
  </si>
  <si>
    <t>People are watching them throw the balls.</t>
  </si>
  <si>
    <t>v_1t0yXLlX1XE</t>
  </si>
  <si>
    <t>Several images of a bald man bowling are shown and then he appears and throws a curve ball.</t>
  </si>
  <si>
    <t>Several videos from different locations are shown of the curve ball and the ball almost goes to the gutter but curves about two to three feet away from the bowling pins.</t>
  </si>
  <si>
    <t>v_iUe1t0sN4Jo</t>
  </si>
  <si>
    <t>A man bowls several times down a lane.</t>
  </si>
  <si>
    <t>The screen of the score board is shown.</t>
  </si>
  <si>
    <t>v_aUbSDHBZNEQ</t>
  </si>
  <si>
    <t>A close up of a dog is seen who proceeds to run away towards another dog.</t>
  </si>
  <si>
    <t>The big dog then leads the little dog around on a leash.</t>
  </si>
  <si>
    <t>v_QJVtvcYcwac</t>
  </si>
  <si>
    <t>This a video tutorial on getting box braids.</t>
  </si>
  <si>
    <t>A screen pops up with several websites and social media addresses.</t>
  </si>
  <si>
    <t>There are stills of the processes to make the braids shown on a girl in a pink jacket.</t>
  </si>
  <si>
    <t>Then a video shows how the process looks in actual time using a comb and the technique of separating the braids as a woman braids the hair by hand.</t>
  </si>
  <si>
    <t>Then there is a front view of the little girl in pink as the woman behind her finishes up the braiding process at the front of her head.</t>
  </si>
  <si>
    <t>There are screen text that mentions how the hair looks six hours later.</t>
  </si>
  <si>
    <t>Then there are still shots of the results of her hair being braided.</t>
  </si>
  <si>
    <t>v_Ycf5NG0xedg</t>
  </si>
  <si>
    <t>A waterfall appears on screen next to a river with the title "H20 Adventures Savegre River" overlaid.</t>
  </si>
  <si>
    <t>A group of people walk across a red suspension walking bridge above the river.</t>
  </si>
  <si>
    <t>A group of people wearing life vests and holding oars listen to instructions.</t>
  </si>
  <si>
    <t>Groups of people row inflatable rafts down the fast current river.</t>
  </si>
  <si>
    <t>People stand on shore talking and drinking beverages.</t>
  </si>
  <si>
    <t>Video credits appear on screen over video of a lizard on a rock.</t>
  </si>
  <si>
    <t>The screen goes completely black after the credits end.</t>
  </si>
  <si>
    <t>v_aFGLXYcKD2M</t>
  </si>
  <si>
    <t>A couple of men are on an indoor tennis court.</t>
  </si>
  <si>
    <t>They lob the ball back and forth over the net.</t>
  </si>
  <si>
    <t>They hit the ball back to each other.</t>
  </si>
  <si>
    <t>v_jGLJuL49zYE</t>
  </si>
  <si>
    <t>Two men alternatively dance on the street while pedestrian and road traffic pass by.</t>
  </si>
  <si>
    <t>Two women stop to watch the dancers.</t>
  </si>
  <si>
    <t>A man and a woman stop to watch the dancers.</t>
  </si>
  <si>
    <t>v_Gpjx38IDVT0</t>
  </si>
  <si>
    <t>A boy is inside an outdoor net.</t>
  </si>
  <si>
    <t>He swings a ball on a rope very quickly.</t>
  </si>
  <si>
    <t>He lets it go and watches as it flies across the field.</t>
  </si>
  <si>
    <t>v_TDwSu2nfSXw</t>
  </si>
  <si>
    <t>A boy dancing on the front of a book with describing credits.</t>
  </si>
  <si>
    <t>The boy is sitting in an empty room talking about his dance moves.</t>
  </si>
  <si>
    <t>The boy is standing in the room showing a move that starts with kicking his left foot out as he slowly turns and shows the rest of the current dance move.</t>
  </si>
  <si>
    <t>Next the boy starts with same move but moves quicker.</t>
  </si>
  <si>
    <t>The instructions to practice are shown as the boy is dancing in the almost empty room.</t>
  </si>
  <si>
    <t>v_Uk_VxavVjP0</t>
  </si>
  <si>
    <t>The trees are shown above the water.</t>
  </si>
  <si>
    <t>A man puts his hands behind his head.</t>
  </si>
  <si>
    <t>v_WjueR8K-nnI</t>
  </si>
  <si>
    <t>Children rides bumper cars in a carnival.</t>
  </si>
  <si>
    <t>The kids get stuck in the center, but they free and drive.</t>
  </si>
  <si>
    <t>A woman push a stroller in the street.</t>
  </si>
  <si>
    <t>Children bumps cars and ride around.</t>
  </si>
  <si>
    <t>The children gets off the bumper cars and walk to the exit.</t>
  </si>
  <si>
    <t>v_3nvKiZeVfGY</t>
  </si>
  <si>
    <t>A person slides a heavy ball on the floor while holding a brush on his left hand.</t>
  </si>
  <si>
    <t>Then, two men brush the floor on front the heavy ball without touching it.</t>
  </si>
  <si>
    <t>People plays behind the person.</t>
  </si>
  <si>
    <t>The yellow ball reaches the center of the red circle.</t>
  </si>
  <si>
    <t>v_pgBfTJzVB98</t>
  </si>
  <si>
    <t>A man is wearing a red hat and sunglasses.</t>
  </si>
  <si>
    <t>He throws a dart in front of him.</t>
  </si>
  <si>
    <t>He makes a bulls eye on the dart board.</t>
  </si>
  <si>
    <t>v_XwrF8edyJz0</t>
  </si>
  <si>
    <t>A camera pans around glasses of lemonade followed by a person squeezing juice out of lemons.</t>
  </si>
  <si>
    <t>The person mixes various ingredients together into a bowl and pours it into a glass.</t>
  </si>
  <si>
    <t>Several shots are shown of the glasses being poured as well as presented to the camera.</t>
  </si>
  <si>
    <t>v_1_YFTTzzLrI</t>
  </si>
  <si>
    <t>A man sits at a table and a woman moves a box from him.</t>
  </si>
  <si>
    <t>He puts his hands on the table then begins to solve a rubix cube.</t>
  </si>
  <si>
    <t>The timer continues as he solves the cube.</t>
  </si>
  <si>
    <t>v_J4UFrrwKUQA</t>
  </si>
  <si>
    <t>two men are standing in a sailing boat in sea.</t>
  </si>
  <si>
    <t>man is standing in a dock wearing a red bull shirt and then is in the saillboat.</t>
  </si>
  <si>
    <t>dolphins are swimming next to the boat.</t>
  </si>
  <si>
    <t>people are standing on a sunny day in a dock.</t>
  </si>
  <si>
    <t>v_TssNxg5XJ-o</t>
  </si>
  <si>
    <t>A man is kneeling on the ice with another beside hide pulling string out of a hole.</t>
  </si>
  <si>
    <t>They continue to pull the string while the man beside him grabs a hook.</t>
  </si>
  <si>
    <t>He places the hook near the hole but the man grabs a fish on a string.</t>
  </si>
  <si>
    <t>The fish flops around and the man grabs the fish and holds him up.</t>
  </si>
  <si>
    <t>v_RYyGvn4MOr0</t>
  </si>
  <si>
    <t>People drive bumper cars in a carnival.</t>
  </si>
  <si>
    <t>A little girl follows a boy in a yellow bumper car.</t>
  </si>
  <si>
    <t>Then, the boy and the girl hit other bumper cars.</t>
  </si>
  <si>
    <t>v_PEp22TMpoHA</t>
  </si>
  <si>
    <t>A group of people are on rafts,white water rafting through rocky waters.</t>
  </si>
  <si>
    <t>Eventually,they travel through the water and end up hitting a huge rock and losing their paddles.</t>
  </si>
  <si>
    <t>After,they continue to go through rocky parts of the water and slide down small hills.</t>
  </si>
  <si>
    <t>v_teDceMxV9PA</t>
  </si>
  <si>
    <t>A reporter reports on a story about amputees and non amputees using replacement limbs with advanced technology or as leg extenders and performance enhancers for non amputees.</t>
  </si>
  <si>
    <t>A reporter sits at a reporters table during a news broadcast before the clip cuts to people wearing limb replacement technology.</t>
  </si>
  <si>
    <t>Several clips of men who are not amputees wearing amputee extender legs are shown with the subjects running and bounced in the street.</t>
  </si>
  <si>
    <t>v_brewO_8bl4g</t>
  </si>
  <si>
    <t>Hulk Hogan is seen speaking to the camera while holding up his arms and another man stands in the background.</t>
  </si>
  <si>
    <t>The man continues speaking to the camera and leads into clips of a boy arm wrestling and another man holding up his arm.</t>
  </si>
  <si>
    <t>v_WnYqWQ005Tc</t>
  </si>
  <si>
    <t>An Asian male is standing on a hard wood floor and begins talking and begins to do a spin on his head.</t>
  </si>
  <si>
    <t>After the clip,he comes back and shows how to properly place your hands on the floor.</t>
  </si>
  <si>
    <t>As he continues,he grabs a beanie and puts it on his hand to make him turn easier.</t>
  </si>
  <si>
    <t>The man then does the twist continuously and shows off the cricket position before returning to talk again.</t>
  </si>
  <si>
    <t>v_rob5gIT_pAw</t>
  </si>
  <si>
    <t>man is welding a metal machine in a room.</t>
  </si>
  <si>
    <t>man is talknig to the camera and is holding an emery in a machine room.</t>
  </si>
  <si>
    <t>v_Yyv8oxrFGV0</t>
  </si>
  <si>
    <t>A group of men are seen crowded around a table where more men are sitting and speaking.</t>
  </si>
  <si>
    <t>Eventually two men chug a beer followed down a line of more men drinking their beer.</t>
  </si>
  <si>
    <t>The men finish their beers and laugh and applaud one another while many watch on the sides.</t>
  </si>
  <si>
    <t>v_SMpmoqIk3Ts</t>
  </si>
  <si>
    <t>Several individuals are in the water playing a game and the man throws an orange ball to a person.</t>
  </si>
  <si>
    <t>The person then takes the ball and throws it to the man sitting next to the goal.</t>
  </si>
  <si>
    <t>He then moves to the other side of the pool and grabs the goal.</t>
  </si>
  <si>
    <t>v_Xhrk1wP8tCs</t>
  </si>
  <si>
    <t>A man is sitting down next to a desk where a fitness equipment piece is placed.</t>
  </si>
  <si>
    <t>The man shows off the pedals of the equipment as well as a timer on the equipment.</t>
  </si>
  <si>
    <t>A woman is seen walking on the equipment.</t>
  </si>
  <si>
    <t>A man pulls the fitness equipment from under a desk.</t>
  </si>
  <si>
    <t>The man is seen by the desk again, talking about the fitness equipment.</t>
  </si>
  <si>
    <t>v_Snw8Jf1DQwg</t>
  </si>
  <si>
    <t>A screenshot of a woman wearing a blue jumpsuit is standing in a pose holding two batons and white words on the middle of the screen say "2 Baton Nicole".</t>
  </si>
  <si>
    <t>The woman is now standing on a floor with a lot of colorful lines and dashes and she begins her 2 baton routine that includes a lot of twirling, spinning, and throwing and catching of the batons.</t>
  </si>
  <si>
    <t>Almost to the end of her routine the woman drops the baton twice, picks them up and continues to do her routine until the end.</t>
  </si>
  <si>
    <t>v_On4V94fVLpg</t>
  </si>
  <si>
    <t>A lady speaks with two pumpkins on a table.</t>
  </si>
  <si>
    <t>A woman shows her palm.</t>
  </si>
  <si>
    <t>A person carves a pumpkin.</t>
  </si>
  <si>
    <t>A females gives an interview on carving kit.</t>
  </si>
  <si>
    <t>Children hold pumpkins with smiles on their faces.</t>
  </si>
  <si>
    <t>A man pulls the top of a pumpkin off.</t>
  </si>
  <si>
    <t>The lady presents a knife and a smaller knife.</t>
  </si>
  <si>
    <t>Two people sit with papers in front of them.</t>
  </si>
  <si>
    <t>v_K9kVsnTQh-g</t>
  </si>
  <si>
    <t>A man in sweat shirt washes plates and cups in a sink with soapy water.</t>
  </si>
  <si>
    <t>The man picks up silverware soaking in sink and washes them off.</t>
  </si>
  <si>
    <t>The man washes pots and a cutting board.</t>
  </si>
  <si>
    <t>The man washes a coffee press gadget.</t>
  </si>
  <si>
    <t>The man turns off the water and drains the sink.</t>
  </si>
  <si>
    <t>v_ssies4ErWus</t>
  </si>
  <si>
    <t>People are sitting on the edge of the water.</t>
  </si>
  <si>
    <t>A guy is chopping something on the ground.</t>
  </si>
  <si>
    <t>A woman gets up and walks away.</t>
  </si>
  <si>
    <t>v_KdqoLhoXjS8</t>
  </si>
  <si>
    <t>A grooming room is shown and three people are washing different dogs.</t>
  </si>
  <si>
    <t>Other rooms are shown and the dogs continue being groomed and laying down on the ground waiting for their turn.</t>
  </si>
  <si>
    <t>After,the camera leaves the back of the office and the reception area is shown.</t>
  </si>
  <si>
    <t>v_mNTO-xnsaTc</t>
  </si>
  <si>
    <t>People are paddling oars in a blue raft.</t>
  </si>
  <si>
    <t>They go over a wave in the water.</t>
  </si>
  <si>
    <t>They continue going down the river.</t>
  </si>
  <si>
    <t>v_6PaTEwG8Ym4</t>
  </si>
  <si>
    <t>A man is seated on a chair in a hair salon.</t>
  </si>
  <si>
    <t>He is getting a haircut from a hairdresser who is wearing a blue dress.</t>
  </si>
  <si>
    <t>The man is sitting with a camera in his hand.</t>
  </si>
  <si>
    <t>The hairdresser finishes cutting his hair and then steps back.</t>
  </si>
  <si>
    <t>v_PNdG3SUdJzc</t>
  </si>
  <si>
    <t>A kneeling man attempts to start a fire while several others watch on.</t>
  </si>
  <si>
    <t>One of the spectators walks away briefly.</t>
  </si>
  <si>
    <t>The kneeling man starts a fire.</t>
  </si>
  <si>
    <t>One of the spectators kisses the kneeing man.</t>
  </si>
  <si>
    <t>v_A0R3KFXD_BU</t>
  </si>
  <si>
    <t>A group of men sit around a bar flirting with a bartender behind the bar.</t>
  </si>
  <si>
    <t>The woman continues talking to the men while the camera pans around various groups of people nearby the bar.</t>
  </si>
  <si>
    <t>The woman sparks with her hands while also dealing cards for people at the bar.</t>
  </si>
  <si>
    <t>v_izdf6Fm48Tc</t>
  </si>
  <si>
    <t>A man is seen speaking to the camera with a pair of shoes in front of him.</t>
  </si>
  <si>
    <t>He holds up the shoes as well as cleaning products and begins using them on the shoes.</t>
  </si>
  <si>
    <t>He wipes the shoes while still showing the cleaning products and speaking to the camera.</t>
  </si>
  <si>
    <t>v_a9qztQPPsJg</t>
  </si>
  <si>
    <t>man is sitting in font of a table talking about how to clean a white sneaker.</t>
  </si>
  <si>
    <t>man pour a liquid on water and cleans the shoe with a brush and with a wipe polish it.</t>
  </si>
  <si>
    <t>v_7MDr4f1r8rI</t>
  </si>
  <si>
    <t>Girls are shown one at a time, using pvc pipes to vault in an indoor gym onto a mat.</t>
  </si>
  <si>
    <t>Finally a boy is shown vaulting as well.</t>
  </si>
  <si>
    <t>v_P2HtcvFg3z8</t>
  </si>
  <si>
    <t>A close up of a cartoon earth is shown, followed by a cartoon man with a javelin.</t>
  </si>
  <si>
    <t>The man is then shown throwing three different javelins in competition, interspersed with words on the screen.</t>
  </si>
  <si>
    <t>v_Zgiq5MK8fQ8</t>
  </si>
  <si>
    <t>A woman is seen standing next to a frozen car while looking away from the camera.</t>
  </si>
  <si>
    <t>The woman then begins using a scraper to scrape off the sides.</t>
  </si>
  <si>
    <t>The woman continues scraping the car and looking off into the distance.</t>
  </si>
  <si>
    <t>v_v5KAaaZD6uk</t>
  </si>
  <si>
    <t>Athletes are giving interviews, and some show off their participation medals.</t>
  </si>
  <si>
    <t>Athletes are boarding white buses.</t>
  </si>
  <si>
    <t>The buses move down the road.</t>
  </si>
  <si>
    <t>A person stacks tee shirts.</t>
  </si>
  <si>
    <t>Athletes wait at the start line.</t>
  </si>
  <si>
    <t>Athletes are running down the road.</t>
  </si>
  <si>
    <t>Athletes cross the finish line.</t>
  </si>
  <si>
    <t>v_i1s-HuRTr5k</t>
  </si>
  <si>
    <t>An athlete is seen sitting on the ground when a man walks over and hands him shoes.</t>
  </si>
  <si>
    <t>The man then puts on the shoes and begins moving around the field.</t>
  </si>
  <si>
    <t>The man kicks a ball around while the camera follows him from behind.</t>
  </si>
  <si>
    <t>v_Nk4p-ah_PkA</t>
  </si>
  <si>
    <t>People playing a baseball game are shown on a large field with dozens of people watching on the side.</t>
  </si>
  <si>
    <t>The people continue playing the game and ends with several players running of the field in the end.</t>
  </si>
  <si>
    <t>v_IZdVPuT8Hfs</t>
  </si>
  <si>
    <t>A person is helping a young man to jump behind the rails of a bridge and check the belts.</t>
  </si>
  <si>
    <t>Then, the man jumps down the bridge.</t>
  </si>
  <si>
    <t>v_V4_SJyhRGqA</t>
  </si>
  <si>
    <t>A game of croquette is in progress.</t>
  </si>
  <si>
    <t>A man has lined up numerous colored balls.</t>
  </si>
  <si>
    <t>He moves down the line, hitting each ball through the goal.</t>
  </si>
  <si>
    <t>v_7uk4sqUBhks</t>
  </si>
  <si>
    <t>This video is a tutorial showing people how to ski correctly.</t>
  </si>
  <si>
    <t>First it tells you what environment you should ski in.</t>
  </si>
  <si>
    <t>It also shows someone skiing in the snow to accompany the steps given.</t>
  </si>
  <si>
    <t>v_gqJE_SZyoIc</t>
  </si>
  <si>
    <t>A man is working out on an elliptical machine.</t>
  </si>
  <si>
    <t>It shows the screen on the machine.</t>
  </si>
  <si>
    <t>v_lEqYTrzaHsc</t>
  </si>
  <si>
    <t>An intro leads into a boat full of people flying on the water.</t>
  </si>
  <si>
    <t>The camera shows various angles of the boat moving along the water as well as close ups on the people on board.</t>
  </si>
  <si>
    <t>v_EavcvmrlVLQ</t>
  </si>
  <si>
    <t>We see men playing a game of soccer and scoring repeatedly indoors.</t>
  </si>
  <si>
    <t>We see a goalie jumping around and a man shoot and score.</t>
  </si>
  <si>
    <t>We see a happy young man fanning his shirt.</t>
  </si>
  <si>
    <t>v_UfYMJBu4HI0</t>
  </si>
  <si>
    <t>Apply the tiles in the same exact direction.</t>
  </si>
  <si>
    <t>The tile must be installed over the adhesive.</t>
  </si>
  <si>
    <t>Then roll immediately with a hundred-point roller.</t>
  </si>
  <si>
    <t>Cut tiles near the perimeter to ensure smooth installation.</t>
  </si>
  <si>
    <t>v_QWhn9Ncvvso</t>
  </si>
  <si>
    <t>A person shows bacon on a dish, then puts mayonnaise on two pieces of bread.</t>
  </si>
  <si>
    <t>Then, the person puts bacon on a bread and lettuce and tomato on the other bread, then spread peeper and form the sandwich.</t>
  </si>
  <si>
    <t>Next, the person cuts the sandwich in half, then takes a half and gives a bite.</t>
  </si>
  <si>
    <t>v_VGVIaQuhdcI</t>
  </si>
  <si>
    <t>A man uses a tool to even plaster on a wall.</t>
  </si>
  <si>
    <t>The man works on the wall below the visible frame of the camera.</t>
  </si>
  <si>
    <t>The man rises up in front of the camera and walks past it.</t>
  </si>
  <si>
    <t>v_oXFKaTlg3p0</t>
  </si>
  <si>
    <t>People are riding in a boat in the water.</t>
  </si>
  <si>
    <t>The boat is pulling a tube with a man behind it.</t>
  </si>
  <si>
    <t>The person flies off of the tube.</t>
  </si>
  <si>
    <t>The boat is pulling the same tube with several young people on it.</t>
  </si>
  <si>
    <t>A person water skis behind the boat.</t>
  </si>
  <si>
    <t>A jet ski passes by the boat then we see the passengers.</t>
  </si>
  <si>
    <t>v_Qzewn-dGdOI</t>
  </si>
  <si>
    <t>A man holding a red cape is standing in front of a bull.</t>
  </si>
  <si>
    <t>The bull hits him and knocks him to the ground.</t>
  </si>
  <si>
    <t>People carry the man off the arena.</t>
  </si>
  <si>
    <t>v_K_I5LyzD8m0</t>
  </si>
  <si>
    <t>A barber rubs shaving cream on a man's bald head.</t>
  </si>
  <si>
    <t>The barber stops to clean his hands with a towel.</t>
  </si>
  <si>
    <t>The barber grabs a razor and slowly shaves the head of the man.</t>
  </si>
  <si>
    <t>v_XP8pufIBsnM</t>
  </si>
  <si>
    <t>A young man bend to lift a weight to his shoulders, then he lifts the weight above his head.</t>
  </si>
  <si>
    <t>The young man lets the weight falls on the floor.</t>
  </si>
  <si>
    <t>After, the man flips, and then a man comes and hugs the young man.</t>
  </si>
  <si>
    <t>v_DhYJl8KAZN4</t>
  </si>
  <si>
    <t>An intro comes onto the screen giving information for a percussion company.</t>
  </si>
  <si>
    <t>A man begins to play a set of drums with the camera showing him from several different angles.</t>
  </si>
  <si>
    <t>The camera shows his foot using a pedal to play the drums.</t>
  </si>
  <si>
    <t>As the video ends the closing credits are displayed.</t>
  </si>
  <si>
    <t>v_Y4svcMuQgBw</t>
  </si>
  <si>
    <t>A woman talks and smiles while ironing a garment from a laundry room.</t>
  </si>
  <si>
    <t>A woman wearing a pink shirt and apron stands in a laundry room in front of a washer and dryer and talks facing the camera.</t>
  </si>
  <si>
    <t>The woman bends down to pick up a garment and then spreads it over an ironing table.</t>
  </si>
  <si>
    <t>The woman proceeds to iron the garment, stopping momentarily, to spray the garment with a liquid from a white spray bottle, then finishes ironing the garment and holds it to her face and cheeks and smiles.</t>
  </si>
  <si>
    <t>v_o0d1PXKkJqM</t>
  </si>
  <si>
    <t>There's a man in a pink shirt and a lady in a white tank top holding bagpipes in her hand.</t>
  </si>
  <si>
    <t>They are standing in a parking lot near a silver car.</t>
  </si>
  <si>
    <t>The lady begins playing her bagpipes as the man watches her play.</t>
  </si>
  <si>
    <t>She continues playing and after she's done, the man claps for her and gives her a hug.</t>
  </si>
  <si>
    <t>v_z9PXpyWbXk8</t>
  </si>
  <si>
    <t>The kid is standing in the court.</t>
  </si>
  <si>
    <t>The little girl is sitting at the other end of a mat.</t>
  </si>
  <si>
    <t>The young boy run towards the mat and jump over the pole.</t>
  </si>
  <si>
    <t>v_UdIoEWadRxI</t>
  </si>
  <si>
    <t>A woman bartender is standing behind a bar.</t>
  </si>
  <si>
    <t>An empty glass is in front of her as she talks.</t>
  </si>
  <si>
    <t>She adds ice to the glass with a scoop.</t>
  </si>
  <si>
    <t>She adds three different liquids from three bottles to the glass.</t>
  </si>
  <si>
    <t>She stirs and continues to talk about the drink.</t>
  </si>
  <si>
    <t>v_fnZIksNLUXA</t>
  </si>
  <si>
    <t>We see people on a boat and then see quick shots of people on a boat in diving gear.</t>
  </si>
  <si>
    <t>We see people under water diving.</t>
  </si>
  <si>
    <t>A man holds a white thing and touches it over and over.</t>
  </si>
  <si>
    <t>Above water people are on the boat and a person falls into the water, we see people underwater diving and looking at sealife at night.</t>
  </si>
  <si>
    <t>A person falls back into the water and we are underwater near a shipwreck in the day.</t>
  </si>
  <si>
    <t>The men get on the boat after they are done.</t>
  </si>
  <si>
    <t>v_I1P5GuVHFQA</t>
  </si>
  <si>
    <t>A man is seen speaking to the camera while holding up various objects and sharpening a stick.</t>
  </si>
  <si>
    <t>The man then puts a helmet on and attached the stick to a holder, leading into the man creating a spark and cutting an object.</t>
  </si>
  <si>
    <t>He pauses to speak more to the camera and looking down at the object to see how it turned out.</t>
  </si>
  <si>
    <t>v_n--IF_1qqYA</t>
  </si>
  <si>
    <t>A man is mowing his lawn, he has chickens in his coop.</t>
  </si>
  <si>
    <t>The time is speed up so quickly so it looks like it is in double time.</t>
  </si>
  <si>
    <t>He walks around the yard looking around.</t>
  </si>
  <si>
    <t>The yard looks very green and very nicely kept.</t>
  </si>
  <si>
    <t>v_0HrPpZa_xv8</t>
  </si>
  <si>
    <t>A cowboy on a horse runs after a cow.</t>
  </si>
  <si>
    <t>The cowboy jumps off the horse and runs after the cow.</t>
  </si>
  <si>
    <t>The cowboy ties the cow up.</t>
  </si>
  <si>
    <t>v_oRR1nIUPbjo</t>
  </si>
  <si>
    <t>A person is sitting in a raft going down a stream.</t>
  </si>
  <si>
    <t>There are multiple people in a raft going in the river.</t>
  </si>
  <si>
    <t>Someone falls into the water and gets helped back in.</t>
  </si>
  <si>
    <t>v_eMNvlcxXZj8</t>
  </si>
  <si>
    <t>They are stepping on stepping stools.</t>
  </si>
  <si>
    <t>They are dancing together while working out.</t>
  </si>
  <si>
    <t>v_MZQmJZ_31O0</t>
  </si>
  <si>
    <t>We see a ladies eye and noes up close.</t>
  </si>
  <si>
    <t>We see the lady in the desert spinning hula hoops and performing tricks.</t>
  </si>
  <si>
    <t>The lady hula hoops with 10 or so golden hula hoops.</t>
  </si>
  <si>
    <t>The lady spins the hoop on her hand then transfers it to her leg stretched upward and we see her in the gold hoops again.</t>
  </si>
  <si>
    <t>The lady spins her body in and out of the hoops and we see her in a handstand with the hula hoop on her feet.</t>
  </si>
  <si>
    <t>She is in the gold hoops as they fall to the ground she then spins many pink hoops from her hands to her feet and as a skirt.</t>
  </si>
  <si>
    <t>v_yauw3CrvbtY</t>
  </si>
  <si>
    <t>A man in a white shirt is standing next to a swimming pool.</t>
  </si>
  <si>
    <t>A man is holding a camera filming him go up the stairs.</t>
  </si>
  <si>
    <t>He stands on a diving board and jumps into the pool below him.</t>
  </si>
  <si>
    <t>He gets out of the water and walks to give hugs to people.</t>
  </si>
  <si>
    <t>v_y3r4IrZkgBo</t>
  </si>
  <si>
    <t>A woman is seen sitting on a tub with a towel wrapped around her and shaving her legs.</t>
  </si>
  <si>
    <t>She then laughs to the camera and runs out with a young boy pushing her to the floor.</t>
  </si>
  <si>
    <t>v_cz20Wqx9d4Q</t>
  </si>
  <si>
    <t>Two men are sitting at a picnic table getting ready to arm wrestle.</t>
  </si>
  <si>
    <t>Various people are watching from the sides and the men begin to arm wrestle.</t>
  </si>
  <si>
    <t>A man is interviewed by the cameraman and shows off his biceps to the camera.</t>
  </si>
  <si>
    <t>Two men continue talking to the camera and eventually begin arm wrestling again.</t>
  </si>
  <si>
    <t>They play various matches of arm wrestling and interview a woman onlooker who also wants to arm wrestle.</t>
  </si>
  <si>
    <t>The man lets her win their arm wrestling match and the girl seems giddy.</t>
  </si>
  <si>
    <t>v_1cccnJAK7TI</t>
  </si>
  <si>
    <t>A guy is tattooing a lady's upper arm.</t>
  </si>
  <si>
    <t>The lady is in pain.</t>
  </si>
  <si>
    <t>The guy whips with a white paper towel.</t>
  </si>
  <si>
    <t>v_W6y6Vmk5edg</t>
  </si>
  <si>
    <t>A gymnast is seen leaning across a long beam and begins performing a gymnastics routine.</t>
  </si>
  <si>
    <t>The girl flips and tricks along the beam while others watch on the side.</t>
  </si>
  <si>
    <t>The woman continues moving along the beam and ends by jumping off the side and walking off the stage.</t>
  </si>
  <si>
    <t>v_Z4biLo6k5fI</t>
  </si>
  <si>
    <t>The faucet showing is then a hand attached the hose and tighten the hose.</t>
  </si>
  <si>
    <t>A straw is attached to a tank.</t>
  </si>
  <si>
    <t>The woman is washing the dog with the hose in the bathtub.</t>
  </si>
  <si>
    <t>v_M2OoQFcDflU</t>
  </si>
  <si>
    <t>A tray of chips are shown on a table.</t>
  </si>
  <si>
    <t>A person is dealing cards onto the table.</t>
  </si>
  <si>
    <t>People sitting at the table give each other high fives.</t>
  </si>
  <si>
    <t>v_A6DBt7UgWEg</t>
  </si>
  <si>
    <t>A spinning disc with circles of color are shown, panning out a a film reel and the words films of india.</t>
  </si>
  <si>
    <t>A man is shown stretching before engaging in a tennis match in front of a crowd.</t>
  </si>
  <si>
    <t>He then speaks to the crowd amongst flashing cameras through a microphone.</t>
  </si>
  <si>
    <t>The man is occasionally shown playing tennis, then goes back to speaking to the group.</t>
  </si>
  <si>
    <t>v_Gl3okOVEwgg</t>
  </si>
  <si>
    <t>A man is standing at the foot of a large wall.</t>
  </si>
  <si>
    <t>He is stretching and staring at it looking like he might climb it.</t>
  </si>
  <si>
    <t>He looks up and down before putting a foot on the base of the wall.</t>
  </si>
  <si>
    <t>He then starts to climb higher and higher.</t>
  </si>
  <si>
    <t>He scales the wall very methodically.</t>
  </si>
  <si>
    <t>He eventually get to the very top with relative ease.</t>
  </si>
  <si>
    <t>v_-fuvIQpA-QQ</t>
  </si>
  <si>
    <t>A teen boy is standing in a kitchen, holding a pitcher and talking.</t>
  </si>
  <si>
    <t>He fills the pitcher with water at the sink.</t>
  </si>
  <si>
    <t>He then mixes a powder into the water, creating a drink mix.</t>
  </si>
  <si>
    <t>He ads alcohol, then drinks from the pitcher to test the flavor.</t>
  </si>
  <si>
    <t>v_nXr1r26HZis</t>
  </si>
  <si>
    <t>A group of people are inside a building.</t>
  </si>
  <si>
    <t>They are playing a game of foosball together.</t>
  </si>
  <si>
    <t>They kick the figures back and forth, trying to win the game.</t>
  </si>
  <si>
    <t>v_LslQvR_4bkk</t>
  </si>
  <si>
    <t>A man practice ice hockey throwing a disc with a stick.</t>
  </si>
  <si>
    <t>Then, the player scores in a game and he is congratulated by teammates.</t>
  </si>
  <si>
    <t>Other player talks and talks when score while men plays ice hockey.</t>
  </si>
  <si>
    <t>A player talks and teams are playing in the ice court, and players score.</t>
  </si>
  <si>
    <t>v_1JEQbXJC85w</t>
  </si>
  <si>
    <t>A man in tshirt leans on a kitchen counter next to bags of ingredients.</t>
  </si>
  <si>
    <t>The man presents each separate ingredient and holds them up showing each one.</t>
  </si>
  <si>
    <t>A pan of sliced sausage and peppers cooks on a stove.</t>
  </si>
  <si>
    <t>A pot of soup boils.</t>
  </si>
  <si>
    <t>Ingredients sit next to the stove top and are being used to prepare the food.</t>
  </si>
  <si>
    <t>A bowl of sliced vegetables has the pans ingredients added in.</t>
  </si>
  <si>
    <t>A bowl of colander of pasta is added into to bowl and shaken.</t>
  </si>
  <si>
    <t>A bag of cheese is held up.</t>
  </si>
  <si>
    <t>The man speaks up close to the camera.</t>
  </si>
  <si>
    <t>v_bJx4unQR6nU</t>
  </si>
  <si>
    <t>A woman talks in an office.</t>
  </si>
  <si>
    <t>The woman explains how she curls her hair.</t>
  </si>
  <si>
    <t>v_aT-0XxCqV5E</t>
  </si>
  <si>
    <t>A large group of people are seen standing and sitting around a sand pit while a runner jumps inside it.</t>
  </si>
  <si>
    <t>The man is shown several times jumping with people measuring his jump afterwards and raking the sand.</t>
  </si>
  <si>
    <t>v_w8LDUu66JWI</t>
  </si>
  <si>
    <t>Two cheerleaders exercise in a gym while talking.</t>
  </si>
  <si>
    <t>A cheerleader is in a room and then lift weight, while the other one talks on his phone.</t>
  </si>
  <si>
    <t>After, the cheerleaders talk and exercise.</t>
  </si>
  <si>
    <t>After, the cheerleaders exercise and also talk.</t>
  </si>
  <si>
    <t>v_UJfwaeMrZ7A</t>
  </si>
  <si>
    <t>A woman is on a concrete court outside.</t>
  </si>
  <si>
    <t>She is jumping across a chalk drawn hopscotch game.</t>
  </si>
  <si>
    <t>She goes back and forth over the puzzle twice.</t>
  </si>
  <si>
    <t>v_TqO-bmGQGiY</t>
  </si>
  <si>
    <t>Two dogs wearing clothing run together up stairs.</t>
  </si>
  <si>
    <t>The two dogs are shown running together amidst crowds in several different locations while following a man.</t>
  </si>
  <si>
    <t>The man teaches one dog to pull another by the leash.</t>
  </si>
  <si>
    <t>v_AVL31l6H1uI</t>
  </si>
  <si>
    <t>A lady in a suit talks in a white room.</t>
  </si>
  <si>
    <t>We see a man washing a car with a towel.</t>
  </si>
  <si>
    <t>We see the car being rinsed with a pressure washer and the wheel is wiped.</t>
  </si>
  <si>
    <t>the emblem appears on the screen as suds slip down a car.</t>
  </si>
  <si>
    <t>v_r6r4Q9jLFvs</t>
  </si>
  <si>
    <t>A man is standing in a room with three walls and a glass wall behind him hitting a ball with a racket.</t>
  </si>
  <si>
    <t>A series of words are then shown as well as a YouTube video.</t>
  </si>
  <si>
    <t>The next screen comes around with a large hot air balloon and animated cars.</t>
  </si>
  <si>
    <t>v_rVRNX-fClE4</t>
  </si>
  <si>
    <t>A blurry object is shown and white text shows up that reads "Fun Shoe Shine".</t>
  </si>
  <si>
    <t>As the picture becomes more clear there is a small silver can with a screw on lid and the writing on the can say's "Dr Martens AirWair".</t>
  </si>
  <si>
    <t>A pair of shiny black boots are standing and their black shoelaces are tied and the text "After" appears on the front left area of the boot.</t>
  </si>
  <si>
    <t>A few angles of the boots are shown and various words pop up in front of them.</t>
  </si>
  <si>
    <t>A person is then seen wiping the boot down with a cloth and more texts show up.</t>
  </si>
  <si>
    <t>A close up of the silver can being opened by a hand is showing the contents in it and how to use the contents on a boot.</t>
  </si>
  <si>
    <t>The can is then screwed tight again and the texts "See you next time" ends the video.</t>
  </si>
  <si>
    <t>Pop up texts occur throughout the entire time.</t>
  </si>
  <si>
    <t>v_U4UHEGNFyz8</t>
  </si>
  <si>
    <t>A person is riding a bike down a dirt track.</t>
  </si>
  <si>
    <t>A little boy wearing red is riding a small bike down the track.</t>
  </si>
  <si>
    <t>A person falls down at the end.</t>
  </si>
  <si>
    <t>v_3jEnu5mEYA4</t>
  </si>
  <si>
    <t>Food sizzling in hot oil in a black skillet on the stove, a long stemmed spoon sits in the skillet.</t>
  </si>
  <si>
    <t>Onions are added to the skillet.</t>
  </si>
  <si>
    <t>the skillet is stirred and the spoon removed.</t>
  </si>
  <si>
    <t>Salt is added and stirred in.</t>
  </si>
  <si>
    <t>The skillet gently sizzles as the mix cooks.</t>
  </si>
  <si>
    <t>Spices are added to the skillet.</t>
  </si>
  <si>
    <t>The flame is visible as the skillet sizzles more vigorously, the skillet is stirred and the food is browning.</t>
  </si>
  <si>
    <t>4 eggs are broken into the skillet.</t>
  </si>
  <si>
    <t>The mixture is stirred and left to cook.</t>
  </si>
  <si>
    <t>Pasta is poured and stirred in to the mixture from a sieve.</t>
  </si>
  <si>
    <t>It is left to cook more.</t>
  </si>
  <si>
    <t>It is now plated and fresh herbs are sprinkled on top.</t>
  </si>
  <si>
    <t>v_TcGhRsPTTRE</t>
  </si>
  <si>
    <t>A man is seen walking around an area pointing to himself and speaking to the camera.</t>
  </si>
  <si>
    <t>The man then begins performing various martial arts moves and kicking towards the camera.</t>
  </si>
  <si>
    <t>The man continues moving around while the camera captures his movements.</t>
  </si>
  <si>
    <t>v_hgzyQ_jHeJc</t>
  </si>
  <si>
    <t>A gymnast bows before walking up to the beam.</t>
  </si>
  <si>
    <t>He mounts the beam and begins to perform.</t>
  </si>
  <si>
    <t>He spins around the beam multiple times.</t>
  </si>
  <si>
    <t>He jumps off the beam in a finale.</t>
  </si>
  <si>
    <t>v_HysxcMFrTkc</t>
  </si>
  <si>
    <t>A group of men dressed as redcoats march onto a stage.</t>
  </si>
  <si>
    <t>We then see a woman holding a flag in the center and many women alongside her as they jump on a massive jumprope.</t>
  </si>
  <si>
    <t>They perform many jumping and flipping tricks with the ropes, bringing in more ropes every few minutes.</t>
  </si>
  <si>
    <t>When they finish, they freeze in a pose and the screen turns black.</t>
  </si>
  <si>
    <t>v_B-KSdR2ct00</t>
  </si>
  <si>
    <t>A woman is brushing her teeth.</t>
  </si>
  <si>
    <t>A woman approaches behind her.</t>
  </si>
  <si>
    <t>The woman stops brushing her teeth.</t>
  </si>
  <si>
    <t>A woman smiles really big.</t>
  </si>
  <si>
    <t>v_Ds-LrRrLj9c</t>
  </si>
  <si>
    <t>A little girl wearing a brown bow is standing in front of the sink brushing her teeth.</t>
  </si>
  <si>
    <t>The little girl,then turns the water on and spits several times in the sink.</t>
  </si>
  <si>
    <t>Finally,she puts the brush down,rinses her mouth and dries it with a brown towel.</t>
  </si>
  <si>
    <t>v_QLsdBUBpz_8</t>
  </si>
  <si>
    <t>A small child is seen sitting on top of a slide and looking back towards the camera.</t>
  </si>
  <si>
    <t>The boy then pushes himself backwards down the slide while turning over in the end and jumping off.</t>
  </si>
  <si>
    <t>v_ri5WJu1K0ak</t>
  </si>
  <si>
    <t>A young girl is seen speaking to the camera and begins playing with her hair.</t>
  </si>
  <si>
    <t>She pins up her and puts put a headband in her hair.</t>
  </si>
  <si>
    <t>She then puts in more fake hair as well as doing her makeup.</t>
  </si>
  <si>
    <t>She points to the camera in the end and smiles.</t>
  </si>
  <si>
    <t>v_8yFimnZ8XhA</t>
  </si>
  <si>
    <t>A girl is sitting in a tube surrounded by a large group of people also sitting on tubes.</t>
  </si>
  <si>
    <t>The camera pans around to the various people sitting in the tubes.</t>
  </si>
  <si>
    <t>The girl jumps out of her tube and finds herself swimming in the water.</t>
  </si>
  <si>
    <t>v_MEbEcvzdytY</t>
  </si>
  <si>
    <t>A woman in a red workout shirt is talking about the benefits of an elliptical cross trainer.</t>
  </si>
  <si>
    <t>Another woman in a pink tank top is demonstrating the use of the elliptical.</t>
  </si>
  <si>
    <t>The woman in red continues explaining the use of the elliptical.</t>
  </si>
  <si>
    <t>Then a demonstration of how the legs must move on the elliptical is shown.</t>
  </si>
  <si>
    <t>The woman in red further explains benefits of the workout with an elliptical.</t>
  </si>
  <si>
    <t>The woman on the machine continues to show the viewers the correct way to exercising on the elliptical.</t>
  </si>
  <si>
    <t>The host then concludes the tutorial.</t>
  </si>
  <si>
    <t>v_ZMG8WE3Y22k</t>
  </si>
  <si>
    <t>Several pictures of different individual are shown white water rafting as an intro for a video.</t>
  </si>
  <si>
    <t>Men then arrive in a field and take the rafts out before more pictures are shown.</t>
  </si>
  <si>
    <t>The men then stand in the field with their paddles and actually get in the raft demonstrating the proper way to row.</t>
  </si>
  <si>
    <t>Finally,they are in the water and all of them begin to paddle throughout the water.</t>
  </si>
  <si>
    <t>More people join them and they eventually get out of the water and walk back to land.</t>
  </si>
  <si>
    <t>v_Io8EwPbNUbE</t>
  </si>
  <si>
    <t>A video tutorial is shown of a family doing dishes at a campsite.</t>
  </si>
  <si>
    <t>Everything is thrown into two buckets.</t>
  </si>
  <si>
    <t>One with soap and the other to rinse.</t>
  </si>
  <si>
    <t>v_b40ECuGuck8</t>
  </si>
  <si>
    <t>Woman throws a throwing knife at board.</t>
  </si>
  <si>
    <t>Three men throw knives.</t>
  </si>
  <si>
    <t>Knives hit a board.</t>
  </si>
  <si>
    <t>Two men throw throwing knives backwards.</t>
  </si>
  <si>
    <t>Man throws throwing knife.</t>
  </si>
  <si>
    <t>Woman throws throwing knife.</t>
  </si>
  <si>
    <t>A man and woman throw throwing knives.</t>
  </si>
  <si>
    <t>Man throws knife while laying down.</t>
  </si>
  <si>
    <t>Man demonstrates techniques to students.</t>
  </si>
  <si>
    <t>Dojo members practice techniques.</t>
  </si>
  <si>
    <t>Dojo members bow to the man.</t>
  </si>
  <si>
    <t>v_TakNLlCbjvw</t>
  </si>
  <si>
    <t>A child walks by a hopscotch pattern.</t>
  </si>
  <si>
    <t>The child puts her palms on the hopscotch pattern.</t>
  </si>
  <si>
    <t>The child hops on the hopscotch pattern.</t>
  </si>
  <si>
    <t>v_lu1bVIcDn4c</t>
  </si>
  <si>
    <t>A young woman is standing behind a counter with a black skillet on it.</t>
  </si>
  <si>
    <t>In her hands,she is holding two onions then the video rapidly shows her with a tomato,rutabaga and a bag of Cathedral City mature cheddar.</t>
  </si>
  <si>
    <t>Next,she begins cutting each of the ingredients and adds butter to a skillet.</t>
  </si>
  <si>
    <t>After it is fried for five minutes,the mushrooms go in the pot and three eggs are cracked.</t>
  </si>
  <si>
    <t>The rest of the contents are added into a measuring cup then eventually all of the contents are poured into a frying pan.</t>
  </si>
  <si>
    <t>After sometime,an omelette is created and put on a plate along with two slices of toast.</t>
  </si>
  <si>
    <t>v_V9LQVhq2ePE</t>
  </si>
  <si>
    <t>A camera pans away from a sign and leads into people pushing material around a floor.</t>
  </si>
  <si>
    <t>A bend bends down around a floor and pushes the material around the room.</t>
  </si>
  <si>
    <t>In the end the camera pans around the finished floor.</t>
  </si>
  <si>
    <t>v_G12fEYNjIR0</t>
  </si>
  <si>
    <t>Team USA Women are in the Olympics.</t>
  </si>
  <si>
    <t>Tracy,Natalie, Nicole,Allison and Debbie are group photographed in multiple scenes.</t>
  </si>
  <si>
    <t>As Team USA scores,the team mates hug.</t>
  </si>
  <si>
    <t>v_zGwcX0S4DVA</t>
  </si>
  <si>
    <t>People are riding camels in the desert.</t>
  </si>
  <si>
    <t>People are walking alongside camels.</t>
  </si>
  <si>
    <t>A lady looks down and to the side of her camel.</t>
  </si>
  <si>
    <t>v_RbbjYXAxaPI</t>
  </si>
  <si>
    <t>A large crowd sits in a theater clapping and watching.</t>
  </si>
  <si>
    <t>Two women are seen on stage dancing.</t>
  </si>
  <si>
    <t>One of the women shows her talent balancing swords on her different parts of her body.</t>
  </si>
  <si>
    <t>v_W_LjBXWG7wI</t>
  </si>
  <si>
    <t>Several shots of beaches are shown and leads into women in bikinis playing a game of volley ball.</t>
  </si>
  <si>
    <t>The girls continue playing then sit on the sides and touch each other's legs.</t>
  </si>
  <si>
    <t>They then put lotion all over their legs and begins shaving their legs and holding the ball laughing in the end.</t>
  </si>
  <si>
    <t>v_4x08i2_AYKo</t>
  </si>
  <si>
    <t>A man walks on stilts into a park.</t>
  </si>
  <si>
    <t>Turns to his right and walks pass a row of benches.</t>
  </si>
  <si>
    <t>The man speeds up then returns to his initial speed.</t>
  </si>
  <si>
    <t>The man reaches the park's sign and comes to a stop.</t>
  </si>
  <si>
    <t>v_K_0DLTcFy-8</t>
  </si>
  <si>
    <t>A man with a thick mustache is dressed in winter clothing is sitting on a white bucket turned upside down on a frozen body of water as he drinks a beer from a blue can and talking.</t>
  </si>
  <si>
    <t>The man then picks up his fishing pole and pulls on the fishing wire that's in the fishing hole in front of him,holds the wire up, then puts it back in the hole while he's still talking.</t>
  </si>
  <si>
    <t>The man then gets off of his bucket and while on his two knees he puts his fingers in and out of the fishing hole and keeps talking.</t>
  </si>
  <si>
    <t>v_BAgUUUOGaxI</t>
  </si>
  <si>
    <t>A man is seen sitting in a busy city square playing an accordion while others watch.</t>
  </si>
  <si>
    <t>The man continues playing as people walk around and notice.</t>
  </si>
  <si>
    <t>v_nM_6V_Z6IwI</t>
  </si>
  <si>
    <t>A man is in front of a mirror.</t>
  </si>
  <si>
    <t>He is covering his face in a white liquid substance.</t>
  </si>
  <si>
    <t>He then disappears for a while, and returns with a wet but clean face.</t>
  </si>
  <si>
    <t>v_PLPUWZ7XZDo</t>
  </si>
  <si>
    <t>She grabs a while bar and holds it next to her.</t>
  </si>
  <si>
    <t>She puts the bar down and picks up a kettle bell.</t>
  </si>
  <si>
    <t>She lifts the kettle bell and puts it back down.</t>
  </si>
  <si>
    <t>She then picks it back up and lifts it up and down several times in front of her.</t>
  </si>
  <si>
    <t>v_IWHN3TD8mMQ</t>
  </si>
  <si>
    <t>A woman introduces herself to the camera and begins to talk about the topic of the video, pasta.</t>
  </si>
  <si>
    <t>The camera shows the ingredients that go into cooking pasta.</t>
  </si>
  <si>
    <t>The woman drops salt in a pot of water and turns the burners on.</t>
  </si>
  <si>
    <t>Once, boiling, she adds the pasta in the pot.</t>
  </si>
  <si>
    <t>She stirs the pasta, and then empties the pot in a colander once the pasta is al dente.</t>
  </si>
  <si>
    <t>She returns the pasta to the pot and adds olive oil.</t>
  </si>
  <si>
    <t>v_POafWgyeV0I</t>
  </si>
  <si>
    <t>A woman and male sports news reporter, report, during a live newscast, from behind a newscast table, on a story about the dangers of dodgeball in schools and whether or not a dodge ball hurts more than a soccer ball when hit with one or the other.</t>
  </si>
  <si>
    <t>Two newscasters talk to each other from behind a newscast table.</t>
  </si>
  <si>
    <t>The clip switches to display a series of video clips of different children playing dodgeball in gymnasiums and being hit by the dodgeball.</t>
  </si>
  <si>
    <t>The woman reporter then takes a group of men out to a enclosed, paved area, outdoors, and proceeds to throw both a dodgeball and soccer ball at them, at which point several of the men display that they have been hit and hurt by both balls.</t>
  </si>
  <si>
    <t>v_aG5kKRuw0Fk</t>
  </si>
  <si>
    <t>A large group of women are seen standing on a stage hitting drums while another group of men play behind them.</t>
  </si>
  <si>
    <t>The group continuously plays in front of a large crowd and ends with credits rolling along the screen.</t>
  </si>
  <si>
    <t>v_ZJWLTokAJbo</t>
  </si>
  <si>
    <t>A young woman is shown exercising on a black elliptical.</t>
  </si>
  <si>
    <t>She continues exercising and a close up of the machine is shown.</t>
  </si>
  <si>
    <t>Finally,she takes a sip of her water as she finishes her brisk workout and then Golds Gym appears in the middle of the screen.</t>
  </si>
  <si>
    <t>v_TQco5PWc2JU</t>
  </si>
  <si>
    <t>A man is seen speaking to the camera and leads into him with shaving cream.</t>
  </si>
  <si>
    <t>He then holds up a razor and begins shaving his face while old shots of movies are shown.</t>
  </si>
  <si>
    <t>The men continues shaving and ends with text across the screen.</t>
  </si>
  <si>
    <t>v_Y4pyUctR49I</t>
  </si>
  <si>
    <t>A patient sitting in a hospital chair in a hospital room gets her nails done by a manicurist who is wearing a green blouse.</t>
  </si>
  <si>
    <t>The patient is listening to music as she is moving her feet to the rhythm of some music.</t>
  </si>
  <si>
    <t>v_i887uArWX9w</t>
  </si>
  <si>
    <t>We see a game of Foosball being played.</t>
  </si>
  <si>
    <t>We pan up and see the players.</t>
  </si>
  <si>
    <t>We see the players on the left.</t>
  </si>
  <si>
    <t>A person spins the second from right bar.</t>
  </si>
  <si>
    <t>v_C4V6fqELvPY</t>
  </si>
  <si>
    <t>A fast motion video shows a young boy beginning to climb across a set of monkey bars.</t>
  </si>
  <si>
    <t>The boy makes it across and jumps down while another person attempts right behind him.</t>
  </si>
  <si>
    <t>v_9FJwDxnlW7Y</t>
  </si>
  <si>
    <t>A middle aged man is shoveling snow on a sidewalk while a medium sized brown dog chases the shovel.</t>
  </si>
  <si>
    <t>The man throws the snow and turns the other way to repeat the shoveling while the dog continues to chase the shovel.</t>
  </si>
  <si>
    <t>At the end of the sidewalk near a driveway a young woman in a black snowsuit lying on her stomach sees the dog chasing the shovel and laughs.</t>
  </si>
  <si>
    <t>The man now turns and runs down the sidewalk shoveling the snow again and the dog runs along with him.</t>
  </si>
  <si>
    <t>The man does not turn around and shovel the sidewalk again, but carries the snow in the shovel and walks away from the dog.</t>
  </si>
  <si>
    <t>The dog trails behind as if tired.</t>
  </si>
  <si>
    <t>v_nGYqSqf0yCY</t>
  </si>
  <si>
    <t>People are standing on a stage.</t>
  </si>
  <si>
    <t>They start playing a game of rock paper scissors.</t>
  </si>
  <si>
    <t>Men standing in referee shirts are standing behind them.</t>
  </si>
  <si>
    <t>v_WtBr459dWY4</t>
  </si>
  <si>
    <t>woman wearing a red shirt is holdgina ball and is trying to throw the ball to someone when somebody throw her a ball and now she gots two and throw them.</t>
  </si>
  <si>
    <t>man is holding a red ball and is walking in a wooden court and throw the ball.</t>
  </si>
  <si>
    <t>people are playing dodgeball in a roofedwooden gym.</t>
  </si>
  <si>
    <t>v_PV5Y3NeR5yQ</t>
  </si>
  <si>
    <t>A girl is standing outside in the middle of the road doing tricks with a hula hoop,moving it around her hips and her arms.</t>
  </si>
  <si>
    <t>While she is performing,a woman is sitting behind her with her bags on the ground.</t>
  </si>
  <si>
    <t>When the girl is finished performing,she grabs a beanie,holds it up and then starts to ask for money from the crowd of people who was watching her.</t>
  </si>
  <si>
    <t>v_NzMZlzy5Q9A</t>
  </si>
  <si>
    <t>Two sumo wrestlers are shown in a ring as spectators and a referee watch.</t>
  </si>
  <si>
    <t>The wrestlers crouch down and run into each other.</t>
  </si>
  <si>
    <t>They briefly wrestle while one man gets thrown out of the ring.</t>
  </si>
  <si>
    <t>The winner performs a hand signal with the referee.</t>
  </si>
  <si>
    <t>The loser walks in the back as they show a replay of the win.</t>
  </si>
  <si>
    <t>The video ends with the host interviewing the loser, and showing the sumo ring.</t>
  </si>
  <si>
    <t>v_j0FMv4RDpEk</t>
  </si>
  <si>
    <t>Men are working on a roof.</t>
  </si>
  <si>
    <t>A man is spraying the paste on the roof, a male is handing off the pieces, and a guy is adding the pieces to the pasted area on the roof.</t>
  </si>
  <si>
    <t>A person is spraying the paste on the roof pieces.</t>
  </si>
  <si>
    <t>v_aCJHnvM0Mkc</t>
  </si>
  <si>
    <t>A young Asian boy is standing in a living room with a mop in his hand.</t>
  </si>
  <si>
    <t>The boy bends down,picks up a spray bottle and squirts it on the floor.</t>
  </si>
  <si>
    <t>He then moves the broom back and forth and cleans the floor.</t>
  </si>
  <si>
    <t>v_qcYRPEEitZU</t>
  </si>
  <si>
    <t>A woman sits in front of a large crowd while holding shaving cream and a razor.</t>
  </si>
  <si>
    <t>Another man is seen on stage shaving his face and the woman begins shaving her legs.</t>
  </si>
  <si>
    <t>The crowd cheers them on for the shaving competition.</t>
  </si>
  <si>
    <t>v_mxY7J50ItrU</t>
  </si>
  <si>
    <t>A small group of people are seen standing side by side with one another punching a bag one after the other.</t>
  </si>
  <si>
    <t>Many people are then shown kicking the bags next to one another.</t>
  </si>
  <si>
    <t>v_wkJWeSw8FSE</t>
  </si>
  <si>
    <t>A man stands lighting a stick with campers in the background and a fire blazing.</t>
  </si>
  <si>
    <t>He sticks the cone into the fire and the end of the stick begins to catch fire.</t>
  </si>
  <si>
    <t>v_xATeffo_kP4</t>
  </si>
  <si>
    <t>A close up of a fooseball table is shown as well as people playing on the table.</t>
  </si>
  <si>
    <t>The game continues on as the people use the bars to move the game as the ball moves back and fourth.</t>
  </si>
  <si>
    <t>v_jCd-VeMUwRg</t>
  </si>
  <si>
    <t>A group of people are wearing snorkeling gear in the edge of the ocean water.</t>
  </si>
  <si>
    <t>They are then seen under the water, exploring and looking at fish.</t>
  </si>
  <si>
    <t>They reach out to touch the fish as they swim by.</t>
  </si>
  <si>
    <t>v_n1KeC6NXPUA</t>
  </si>
  <si>
    <t>A girl is playing on a playground.</t>
  </si>
  <si>
    <t>She goes backwards on the monkey bars.</t>
  </si>
  <si>
    <t>She shows her hands to the camera and continues talking.</t>
  </si>
  <si>
    <t>v_aivuk1LvDv8</t>
  </si>
  <si>
    <t>A woman is playing a classical song on the piano in a black and white film.</t>
  </si>
  <si>
    <t>She begins to speed up the pace of the music she is playing.</t>
  </si>
  <si>
    <t>The camera shows her playing the piano from overhead.</t>
  </si>
  <si>
    <t>The audience applauds for the woman and the video ends.</t>
  </si>
  <si>
    <t>v_GWRqx0obKzA</t>
  </si>
  <si>
    <t>A group pose smiling for the camera.</t>
  </si>
  <si>
    <t>A group wave to the camera while more people in the background walk through the water.</t>
  </si>
  <si>
    <t>The group go rafting on the water.</t>
  </si>
  <si>
    <t>They wave again to the camera.</t>
  </si>
  <si>
    <t>The group are shown in their raft as they sail along the river.</t>
  </si>
  <si>
    <t>They are shown taking a break in the river.</t>
  </si>
  <si>
    <t>POV footage from one of the rafters.</t>
  </si>
  <si>
    <t>The group is out of the river and hiking.</t>
  </si>
  <si>
    <t>v_sfPGQnxbJ3U</t>
  </si>
  <si>
    <t>men are in front of a mirror in a room.</t>
  </si>
  <si>
    <t>man is alone practicing kicks and punches.</t>
  </si>
  <si>
    <t>man wearing white shirt is stretching her legs bind the other man.</t>
  </si>
  <si>
    <t>v_bNvAqFcKzqU</t>
  </si>
  <si>
    <t>A large group of people are seen wandering around a city square with a young child in the middle playing an instrument.</t>
  </si>
  <si>
    <t>The boy plays a saxophone while people walk past him and put money down.</t>
  </si>
  <si>
    <t>The boy continues playing while the camera captures his movements and others stop to watch.</t>
  </si>
  <si>
    <t>v_xWxpAaPhknA</t>
  </si>
  <si>
    <t>People are jumping off diving boards into the pool below them.</t>
  </si>
  <si>
    <t>They are walking up a set of stairs to get to the diving board.</t>
  </si>
  <si>
    <t>A person does a back flip into the water.</t>
  </si>
  <si>
    <t>v_b7Q-Jj9ZEH0</t>
  </si>
  <si>
    <t>The little girl slide down the yellow slide and fell on the pool of balls.</t>
  </si>
  <si>
    <t>The girl reach out the a hand as she climbs on the top of the slide.</t>
  </si>
  <si>
    <t>The girl slide down again and fell on the pool of ball but on her stomach.</t>
  </si>
  <si>
    <t>v_N7kI8J6vfL8</t>
  </si>
  <si>
    <t>Girls are going down a small red slide.</t>
  </si>
  <si>
    <t>A man in a red shirt is standing behind them.</t>
  </si>
  <si>
    <t>He walks away towards the house.</t>
  </si>
  <si>
    <t>v_iIhEO_NA8gk</t>
  </si>
  <si>
    <t>A young girl is outside running down the road between a forest and then ends up in the airport.</t>
  </si>
  <si>
    <t>She is sitting down playing on her iPad and then begins to board an airplane.</t>
  </si>
  <si>
    <t>The plane lands and she is in a cabin and begins skiing at a resort.</t>
  </si>
  <si>
    <t>As she is skating,she changes her skis and the screen is covered with a grey static like film and the person continues with her snow activities.</t>
  </si>
  <si>
    <t>v_mZ6iJfRokTw</t>
  </si>
  <si>
    <t>A man is floating in the ocean water talking.</t>
  </si>
  <si>
    <t>He then talks to a group of people while drinking an energy drink.</t>
  </si>
  <si>
    <t>He bungee jumps off the side of a bridge.</t>
  </si>
  <si>
    <t>He is talking to the camera as he swings above the water.</t>
  </si>
  <si>
    <t>v_bULPHJydFTQ</t>
  </si>
  <si>
    <t>We see a locker room, and the title screen.</t>
  </si>
  <si>
    <t>We see a man winding up to throw the hammer in track and field on his third attempt.</t>
  </si>
  <si>
    <t>After it's thrown we see men measuring the distance.</t>
  </si>
  <si>
    <t>We then see his fifth attempt and the measuring.</t>
  </si>
  <si>
    <t>We then see his sixth attempt and measuring.</t>
  </si>
  <si>
    <t>The camera zooms in on the man as he shakes another mans hand.</t>
  </si>
  <si>
    <t>We then see 8 men standing on platforms holding plaques.</t>
  </si>
  <si>
    <t>v_J6ScF5n_Cug</t>
  </si>
  <si>
    <t>A young girl plays the clarinet.</t>
  </si>
  <si>
    <t>The girl pauses for a second to flip her music sheet standing in front of her.</t>
  </si>
  <si>
    <t>The young girl resumes playing her clarinet.</t>
  </si>
  <si>
    <t>The girl stops and looking pleased with her performance.</t>
  </si>
  <si>
    <t>v_KuAVv3uS4zc</t>
  </si>
  <si>
    <t>Several intros lead into a bike race between 3 men on bikes.</t>
  </si>
  <si>
    <t>One crashes hard while the others pass and continue the race.</t>
  </si>
  <si>
    <t>All men continue to ride through the track until one eventually wins while one chases him.</t>
  </si>
  <si>
    <t>v_lUk_dSjmIgM</t>
  </si>
  <si>
    <t>A young girl is cleaning the sink.</t>
  </si>
  <si>
    <t>The girl gets her shirt all wet.</t>
  </si>
  <si>
    <t>The girl points to the drain of the sink.</t>
  </si>
  <si>
    <t>v_C53reDr47oU</t>
  </si>
  <si>
    <t>A young child is shown rubbing glitter all over his lips and walking over to a mirror.</t>
  </si>
  <si>
    <t>He continues putting the gloss on his lips and smacking his lips and finally turning towards the camera to speak.</t>
  </si>
  <si>
    <t>v_WElK913B33U</t>
  </si>
  <si>
    <t>A man and a woman works out the a cardio machine.</t>
  </si>
  <si>
    <t>The stride length of the pedal is displayed in the screen.</t>
  </si>
  <si>
    <t>Then, the man comes to meet the woman that exercise.</t>
  </si>
  <si>
    <t>Then the man exercise, and the muscles of the abdomen are shown.</t>
  </si>
  <si>
    <t>The steps of the machine and the screen panel is shown.</t>
  </si>
  <si>
    <t>v_OmIcycXGkG8</t>
  </si>
  <si>
    <t>A girl and a boy play ping pong in a basement type room with a ping pong table and florescent lights for lighting.</t>
  </si>
  <si>
    <t>The boy walks up to the camera for a close up.</t>
  </si>
  <si>
    <t>The boy and girl begin to play ping pong again.</t>
  </si>
  <si>
    <t>v_HUvBb3Hmir8</t>
  </si>
  <si>
    <t>The young girl in gray shirt is brushing the thong, while the female in blue t-shirt is washing the pans, and the other girl is holding a sponge.</t>
  </si>
  <si>
    <t>The older girl in blue is washing the knife, while the other one is wiping the bowl.</t>
  </si>
  <si>
    <t>The girls put the clean dishes on the rack to dry it.</t>
  </si>
  <si>
    <t>v_mzXRehGBEOg</t>
  </si>
  <si>
    <t>A woman smiles at the camera.</t>
  </si>
  <si>
    <t>The woman rinses a toothbrush under water.</t>
  </si>
  <si>
    <t>The woman applies toothpaste to the toothbrush.</t>
  </si>
  <si>
    <t>The woman demonstrates brushing her teeth.</t>
  </si>
  <si>
    <t>The woman rinses the toothbrush under water again.</t>
  </si>
  <si>
    <t>The woman rinses her mouth with a glass of water.</t>
  </si>
  <si>
    <t>The woman towels her mouth and shows her teeth.</t>
  </si>
  <si>
    <t>v_dojDT4CtenU</t>
  </si>
  <si>
    <t>A group of athletes are shown standing on a mound, while one throws a ball to another player.</t>
  </si>
  <si>
    <t>The batter hits the ball into the stands and the moment is recaptured in 3-d.</t>
  </si>
  <si>
    <t>A reporter comments how amazing the hit was and replays it from various angles.</t>
  </si>
  <si>
    <t>The player is interviewed by a reporter and once again has his moment shown on tv.</t>
  </si>
  <si>
    <t>v_cpy_BFGQoQ8</t>
  </si>
  <si>
    <t>Inside of a rock climbing store men are gathered around a jumping on a rope.</t>
  </si>
  <si>
    <t>The man in the green does some tricks and then a man in a hoodie jumps and walks on it.</t>
  </si>
  <si>
    <t>Someone has a camera and everyone is scattered around doing their own thing.</t>
  </si>
  <si>
    <t>The man in the green continues to jump on the rope until he take it down.</t>
  </si>
  <si>
    <t>v_pq2xsK79FcQ</t>
  </si>
  <si>
    <t>A track and field long jumper from the Florida Gators dressed in blue and orange prepares to make his run while other participants, coaches and officials congregate around the track and field course.</t>
  </si>
  <si>
    <t>The Florida Gator long jumper begins his run with a gradual forward walk then a skip and a fast sprint to the sand pit jumping marker.</t>
  </si>
  <si>
    <t>The Florida Gator long jumper jumps and flies through the air and lands in the sand.</t>
  </si>
  <si>
    <t>The camera pans to the score board showing the long jumpers results.</t>
  </si>
  <si>
    <t>v_Tz5eN8gV6F4</t>
  </si>
  <si>
    <t>An intro starts and leads to a woman standing next to a German Sheppard on a table.</t>
  </si>
  <si>
    <t>A fast motion watch around of the shop occurs then shows the woman brushing the dog with several instruments.</t>
  </si>
  <si>
    <t>She pets the dog a bit while continuing to brush him and talking to the camera.</t>
  </si>
  <si>
    <t>v_15HUSdsIHxg</t>
  </si>
  <si>
    <t>Little girls performs holding sticks moving around an spinning the sticks.</t>
  </si>
  <si>
    <t>The little girls hold the sticks up and jump turning around.</t>
  </si>
  <si>
    <t>Two women walk toward the door.</t>
  </si>
  <si>
    <t>After, the little girls spins on the floor, then continue jumping and spinning around.</t>
  </si>
  <si>
    <t>Next, the girls get together to salute.</t>
  </si>
  <si>
    <t>v_2x-Xqt98Ek4</t>
  </si>
  <si>
    <t>A man plays tam-tam, and then he talks with crossed hands on a tan-tam.</t>
  </si>
  <si>
    <t>Then, the man plays tam-tam with his right hand and plays with sticks with the left hand.</t>
  </si>
  <si>
    <t>v_E-XerA_sOjw</t>
  </si>
  <si>
    <t>A man walks out onto a playing field with a large Dalmatian.</t>
  </si>
  <si>
    <t>The man stops and throws the frisbee and returns it to the man.</t>
  </si>
  <si>
    <t>The dog runs around in circles on the field with the frisbee.</t>
  </si>
  <si>
    <t>v_Tvzd_WIvBU4</t>
  </si>
  <si>
    <t>A person is cutting cordwood using a log splitter.</t>
  </si>
  <si>
    <t>The wood remaining is shown and stumps are cut up.</t>
  </si>
  <si>
    <t>v_lgwDuuJy2zY</t>
  </si>
  <si>
    <t>A camera pans all around a lake and shows a person riding around on a canoe.</t>
  </si>
  <si>
    <t>The person gets stuck before a rock and finally paddles themselves past.</t>
  </si>
  <si>
    <t>The person continues to get stuck around the area but moves down successfully.</t>
  </si>
  <si>
    <t>v_di8Vr1fzUh8</t>
  </si>
  <si>
    <t>The man in suit is talking to the camera as people are behind him.</t>
  </si>
  <si>
    <t>The older man throw his darts on the dartboard and three darts landed on one place.</t>
  </si>
  <si>
    <t>The man positioned himself then throw the darts in the board and the darts are away from each other.</t>
  </si>
  <si>
    <t>The man continue to hit the board with darts.</t>
  </si>
  <si>
    <t>v_XoeGnEtEq3U</t>
  </si>
  <si>
    <t>The camera pans around a large group of women sitting in chair knitting and speaking to one another.</t>
  </si>
  <si>
    <t>Several shots are shown of women knitting and leading back into people helping one another knit and more pictures shown.</t>
  </si>
  <si>
    <t>v_2FRzNpVz6f8</t>
  </si>
  <si>
    <t>A bunch of teammates are riding horses on the field.</t>
  </si>
  <si>
    <t>They are playing a game of polo.</t>
  </si>
  <si>
    <t>The people run on their horses, trying to hit the ball.</t>
  </si>
  <si>
    <t>v_aXI9v77XV7A</t>
  </si>
  <si>
    <t>A man is talking in front of a rock climbing wall.</t>
  </si>
  <si>
    <t>He starts climbing the rock climbing wall.</t>
  </si>
  <si>
    <t>A man in a yellow hat is talking.</t>
  </si>
  <si>
    <t>He climbs up the wall.</t>
  </si>
  <si>
    <t>Several people are climbing up the rock climbing wall.</t>
  </si>
  <si>
    <t>v_XnBUb3qoFQM</t>
  </si>
  <si>
    <t>A man wearing black bathing trunks sitting on an inner tube as it slides down a tubing slide.</t>
  </si>
  <si>
    <t>A man wearing dark trunks stands on an enclosed water slide ride at a water park.</t>
  </si>
  <si>
    <t>Two men slide down a blue water slide at a water park and end up in a huge swimming pool.</t>
  </si>
  <si>
    <t>Different scenes of a group of people swimming in different parts of a water park.</t>
  </si>
  <si>
    <t>v_5deGCvJOGg0</t>
  </si>
  <si>
    <t>A man dressed in white curling gear is participating in the sport.</t>
  </si>
  <si>
    <t>He goes on the curling rink with his stick and rock.</t>
  </si>
  <si>
    <t>He is playing the sport while in another location there are two musicians performing.</t>
  </si>
  <si>
    <t>They are both singing as one musician is playing a guitar and the other is drumming a tambourine.</t>
  </si>
  <si>
    <t>The man continues to play curling on the ice rink as he pushes the rock with his curling stick.</t>
  </si>
  <si>
    <t>He is shown pictured with another young man.</t>
  </si>
  <si>
    <t>He is posing for pictures with different people while holding a broomstick in his hand.</t>
  </si>
  <si>
    <t>He is back in the curling rink, singing and twirling the curling stick in his hands.</t>
  </si>
  <si>
    <t>v_-4WdzYpCJPU</t>
  </si>
  <si>
    <t>A man is standing at a table holding a bow in his hand talking.</t>
  </si>
  <si>
    <t>He then goes outside and shoots an arrow at a target.</t>
  </si>
  <si>
    <t>A close up of the bow is shown.</t>
  </si>
  <si>
    <t>v_n_hNYA5kWME</t>
  </si>
  <si>
    <t>We then see people solving Rubiks cubes in a competition.</t>
  </si>
  <si>
    <t>A boy finishes, throws his arms up and spins in his chair.</t>
  </si>
  <si>
    <t>We see a boy throw his arms and yells.</t>
  </si>
  <si>
    <t>v_poFH53rF9uY</t>
  </si>
  <si>
    <t>A team prepares to play a game called hurling.</t>
  </si>
  <si>
    <t>Highlights of a game are shown and players are interviewed.</t>
  </si>
  <si>
    <t>Teammates cheer from the sidelines.</t>
  </si>
  <si>
    <t>v_vREBYOCUCj0</t>
  </si>
  <si>
    <t>A man in a blue coat is standing in the snow talking.</t>
  </si>
  <si>
    <t>He begins skiing down a hill of snow.</t>
  </si>
  <si>
    <t>v_YuCMWTdK_DY</t>
  </si>
  <si>
    <t>A man is seen walking into a circle and looking off into the distance.</t>
  </si>
  <si>
    <t>The man stretches a bit and begins spinning himself around.</t>
  </si>
  <si>
    <t>He continues to spin and ends by walking away.</t>
  </si>
  <si>
    <t>v_lXueRLwe3tk</t>
  </si>
  <si>
    <t>The man in blue shirt is holding a white spray bottle with green and black lid on it.</t>
  </si>
  <si>
    <t>He started spraying the contents of the bottle on the white car's hood.</t>
  </si>
  <si>
    <t>He wiped the hood and the back of the white car with a yellow cloth.</t>
  </si>
  <si>
    <t>He vacuum the floor of the car on the driver's side, wipe the dirt off the steering wheel using the yellow cloth.</t>
  </si>
  <si>
    <t>He wiped the meters, the side window and glass and the wheel.</t>
  </si>
  <si>
    <t>He is showing a white spray bottle with black lid, while he is holding a yellow cloth.</t>
  </si>
  <si>
    <t>He is wiping the edge of the car then showed the white spray bottle.</t>
  </si>
  <si>
    <t>A white car is shown being dirty and then the after where it is clean and shiny.</t>
  </si>
  <si>
    <t>v_nobV1wL__iY</t>
  </si>
  <si>
    <t>A gun is seen moving around several corners and hitting people in various places.</t>
  </si>
  <si>
    <t>More shots of a person running around a paintball field as shown as well as pointing to others, shooting others, and hiding behind objects.</t>
  </si>
  <si>
    <t>The men group together in the end, give a thumbs up, and show more shots of people shooting.</t>
  </si>
  <si>
    <t>v_43gst-Mw43s</t>
  </si>
  <si>
    <t>a comic of a man telling how to wash with a detergent.</t>
  </si>
  <si>
    <t>a house is shown with a sentence of how to wash the rooftop.</t>
  </si>
  <si>
    <t>the numbers and address are shown in the advertising.</t>
  </si>
  <si>
    <t>v_-y5p8UMdM20</t>
  </si>
  <si>
    <t>Several shots are shown of signs and building as well as pictures of divers.</t>
  </si>
  <si>
    <t>Many people are seen speaking to the camera while taking turns diving off a board.</t>
  </si>
  <si>
    <t>More clips are shown of people diving and waving to the camera as well as speaking to one another and holding up a score.</t>
  </si>
  <si>
    <t>v_vy5IRxiudmI</t>
  </si>
  <si>
    <t>A group of people are inside a gym.</t>
  </si>
  <si>
    <t>They are lifting weights and dancing.</t>
  </si>
  <si>
    <t>Others are using recumbent bikes and pedaling quickly.</t>
  </si>
  <si>
    <t>v_FBANd818hU4</t>
  </si>
  <si>
    <t>A man kicks a soccer ball, then he plays with other young men in the street, the man scores.</t>
  </si>
  <si>
    <t>Then, they continue playing and the young man scores, as well the man scores.</t>
  </si>
  <si>
    <t>Teams are playing indoor soccer and the man wearing a yellow t-shirt scores playing with several teams.</t>
  </si>
  <si>
    <t>The man dispute the ball with other player and kick it to a playmate, the man continues playing an scoring for his team.</t>
  </si>
  <si>
    <t>v_W6Sz8ajVsjc</t>
  </si>
  <si>
    <t>There's a man in a black shirt representing Pev's Paintball talking about the recreational game.</t>
  </si>
  <si>
    <t>He is holding a paintball gun in his hand as he talks about how the sport is played.</t>
  </si>
  <si>
    <t>A man dressed in a camouflage print outfit is hiding and running with a paintball gun.</t>
  </si>
  <si>
    <t>The Pev representative is explaining the features of the paintball gun and how to use if effectively.</t>
  </si>
  <si>
    <t>v_olFThb2_GHM</t>
  </si>
  <si>
    <t>We see a man preparing to throw the discuss.</t>
  </si>
  <si>
    <t>He throws and walks away and we see it in slow motion.</t>
  </si>
  <si>
    <t>We see the next man walk up and throw and we see it again.</t>
  </si>
  <si>
    <t>A guy in yellow shorts throws and we see it again.</t>
  </si>
  <si>
    <t>v_msGQHfIRLhE</t>
  </si>
  <si>
    <t>A young woman is seen performing several martial arts moves in the middle of a large mat.</t>
  </si>
  <si>
    <t>The girl continues moving around and then leads into her fighting a boy.</t>
  </si>
  <si>
    <t>More pictures of her are shown as well as her fighting.</t>
  </si>
  <si>
    <t>v_pXeVR0bf4Pk</t>
  </si>
  <si>
    <t>A man stands up in a raft.</t>
  </si>
  <si>
    <t>Several rafts are on the ground, filled with people.</t>
  </si>
  <si>
    <t>They listen to an instructor tell them what they need to do.</t>
  </si>
  <si>
    <t>They raft through the rapids of a heavily flowing river.</t>
  </si>
  <si>
    <t>One of the rafts capsizes at the end.</t>
  </si>
  <si>
    <t>v_7I6v9c00aRA</t>
  </si>
  <si>
    <t>A man floats in calm water and holds onto a rope while waiting for the boat to drive.</t>
  </si>
  <si>
    <t>The man bare foot skis on a rope off the side of a boat attempting to stand up.</t>
  </si>
  <si>
    <t>The man stands up and immediately falls into the water at high speed.</t>
  </si>
  <si>
    <t>v_rInf05YA7ww</t>
  </si>
  <si>
    <t>people are playing futsal in a roofed gym.</t>
  </si>
  <si>
    <t>referee is watching the game running side to side.</t>
  </si>
  <si>
    <t>v_vt46wY2Q9JQ</t>
  </si>
  <si>
    <t>Two men are decorating a Christmas tree.</t>
  </si>
  <si>
    <t>They are putting red ribbon around the tree.</t>
  </si>
  <si>
    <t>A dresser is shown at the end.</t>
  </si>
  <si>
    <t>v_CI6cPLeVCTk</t>
  </si>
  <si>
    <t>Two people are seen sitting on swings outside.</t>
  </si>
  <si>
    <t>The people then begin moving back and fourth.</t>
  </si>
  <si>
    <t>The people continuously swing back and fourth on the swingset.</t>
  </si>
  <si>
    <t>v_nE0_PaRBXeA</t>
  </si>
  <si>
    <t>There's a man in a blue shirt using the lat pull machine in a gym.</t>
  </si>
  <si>
    <t>There are a few other people running on the treadmill behind the man.</t>
  </si>
  <si>
    <t>He starts off by pulling the handles of the machine and then goes back and forth to exercise.</t>
  </si>
  <si>
    <t>v_t8hx8ihRPGc</t>
  </si>
  <si>
    <t>A boy is shown going down a slide.</t>
  </si>
  <si>
    <t>A woman is talking to the camera at the park.</t>
  </si>
  <si>
    <t>Kids are shown playing on various equipment.</t>
  </si>
  <si>
    <t>v_VcbMGRcN9Cc</t>
  </si>
  <si>
    <t>The video shows a slow motion of three people playing Foosball.</t>
  </si>
  <si>
    <t>There are two people standing on one side and a single player on the other side.</t>
  </si>
  <si>
    <t>They continue playing Foosball with each other.</t>
  </si>
  <si>
    <t>v_o2hmponBzIE</t>
  </si>
  <si>
    <t>A small group of girls wearing costumes are seen walking out onto a gym floor and holding a pose in front of a large audience.</t>
  </si>
  <si>
    <t>The girls perform a dance routine with batons in their hand and end by lining up and walking away.</t>
  </si>
  <si>
    <t>v_KlJqjBqpnjw</t>
  </si>
  <si>
    <t>A woman named Sapna appears in a photo.</t>
  </si>
  <si>
    <t>She is then seen demonstrating a variety of jump rope moves.</t>
  </si>
  <si>
    <t>She jumps forward and back, and side to side.</t>
  </si>
  <si>
    <t>v_IqRwR1a9ia0</t>
  </si>
  <si>
    <t>A man wearing a construction hard hat applies plaster to a wall using a hand held flat edge.</t>
  </si>
  <si>
    <t>The man pauses to explain his procedure.</t>
  </si>
  <si>
    <t>A Company name and slogan are seen in white text.</t>
  </si>
  <si>
    <t>v_dL9mlqbG5CU</t>
  </si>
  <si>
    <t>A rock band is playing a rock song in a black an white environment.</t>
  </si>
  <si>
    <t>Several curlers are preparing for a curling match while the band plays.</t>
  </si>
  <si>
    <t>the band and the curlers are both on the ice interacting with one another.</t>
  </si>
  <si>
    <t>The video returns to the black and white environment where the curler and the band members are both singing.</t>
  </si>
  <si>
    <t>The video focuses on a woman getting ready to curl while the others watch.</t>
  </si>
  <si>
    <t>v_oKaNlV45bB8</t>
  </si>
  <si>
    <t>A young woman is seen brushing her tooth followed by close ups of a tooth brush.</t>
  </si>
  <si>
    <t>Shots are shown of her teeth close up as well as her still brushing.</t>
  </si>
  <si>
    <t>She continues brushing all along her teeth to demonstrate how it's done.</t>
  </si>
  <si>
    <t>v_uaLMHEtFlNA</t>
  </si>
  <si>
    <t>A gopro ad appears on the screen.</t>
  </si>
  <si>
    <t>Someone wears the device as he uses a mower to mow his lawn.</t>
  </si>
  <si>
    <t>It is sped up as it shows every angle as he completes mowing the lawn, back and forth and going over the same spots until it is perfect.</t>
  </si>
  <si>
    <t>v_vWNDj8KxmBg</t>
  </si>
  <si>
    <t>Several clips are shown of people performing flips and tricks in the middle of a floor while a light shines down in the middle.</t>
  </si>
  <si>
    <t>The kids continue spinning around one another and end by standing up together and falling down.</t>
  </si>
  <si>
    <t>v_gdr6iVHHYcU</t>
  </si>
  <si>
    <t>Two women are in a room talking.</t>
  </si>
  <si>
    <t>A woman begins to put makeup on the other woman.</t>
  </si>
  <si>
    <t>She dabs the woman's face with a sponge.</t>
  </si>
  <si>
    <t>v_p4qZGZenAoU</t>
  </si>
  <si>
    <t>A woman with her hair up in a towel introduces her video showing how she washes her face.</t>
  </si>
  <si>
    <t>She applies a moisturizer to her face while dancing around.</t>
  </si>
  <si>
    <t>She then dances in the living room with the moisturizer on.</t>
  </si>
  <si>
    <t>Finally, she returns to the bathroom and washes her face.</t>
  </si>
  <si>
    <t>v_Xa1yH3vxlAk</t>
  </si>
  <si>
    <t>man is standing on side of car stuck in traffic.</t>
  </si>
  <si>
    <t>man holding bagpipes is walking in street between cars.</t>
  </si>
  <si>
    <t>v_dPdeb0SgIw8</t>
  </si>
  <si>
    <t>A TV reporter is talking while shows a screen of a person playing hockey on ice.</t>
  </si>
  <si>
    <t>Then, the reporters talk and comment each other, while one of the man is on front a laptop.</t>
  </si>
  <si>
    <t>v__3hVtPVXTmg</t>
  </si>
  <si>
    <t>A gymnast is seen running towards a set of uneven bars and performing a routine on the bars.</t>
  </si>
  <si>
    <t>She swings all around and jumps on the mat to end her routine.</t>
  </si>
  <si>
    <t>v_-XCESzrIWXA</t>
  </si>
  <si>
    <t>People are playing soccer in an indoor soccer arena.</t>
  </si>
  <si>
    <t>Two of the men hug on the court.</t>
  </si>
  <si>
    <t>A person kicks a ball into the goal.</t>
  </si>
  <si>
    <t>v_2RpAv3irv1c</t>
  </si>
  <si>
    <t>A woman sprays lotion and brush her hair.</t>
  </si>
  <si>
    <t>Then, the woman makes a braid with the front hair and fasten it with a pin.</t>
  </si>
  <si>
    <t>After, the woman makes a pony tail and spray lotion to her hair.</t>
  </si>
  <si>
    <t>v_cuyD4bT4Bvc</t>
  </si>
  <si>
    <t>initial logo is shown and a web page.</t>
  </si>
  <si>
    <t>man is in a skate park in white skates.</t>
  </si>
  <si>
    <t>man is sitting in a tube and make tricks in a skate park, other man is sitting watching him.</t>
  </si>
  <si>
    <t>little kid is talking to someone and watching the man in skates doing the tricks in skate park.</t>
  </si>
  <si>
    <t>v_NzJkKwzPqvk</t>
  </si>
  <si>
    <t>An older woman is using a cue to play pool.</t>
  </si>
  <si>
    <t>She shoots the ball and walks away.</t>
  </si>
  <si>
    <t>Then she bangs cues with another person.</t>
  </si>
  <si>
    <t>v_nOxKfRwdf2w</t>
  </si>
  <si>
    <t>Two people are talking to a camera outside.</t>
  </si>
  <si>
    <t>A ballerina does several twirls on stage.</t>
  </si>
  <si>
    <t>v_U89hsv1dzuQ</t>
  </si>
  <si>
    <t>man is smoking a cigarrette in a dark street.</t>
  </si>
  <si>
    <t>man is wearing a white t shirt smoking a cigarrette and watching to the camera.</t>
  </si>
  <si>
    <t>man is in the night in a dark field smoking.</t>
  </si>
  <si>
    <t>v_3svMy4Kfjd8</t>
  </si>
  <si>
    <t>A guy is water boarding in a body of water.</t>
  </si>
  <si>
    <t>The guy messes with his hair.</t>
  </si>
  <si>
    <t>The guy gives hands gesture.</t>
  </si>
  <si>
    <t>v_aYfWH960W0Q</t>
  </si>
  <si>
    <t>An athletic woman is seen running down a track with a large group of people watching her on the sidelines.</t>
  </si>
  <si>
    <t>She continues running and finishes the race while collapsing on the ground in the end and breathing heavily while crying.</t>
  </si>
  <si>
    <t>She sits back up crying and another woman helps her up, ending with a short clip of a girl running.</t>
  </si>
  <si>
    <t>v_At7fzSxdiCg</t>
  </si>
  <si>
    <t>A man is running down the track at a track and field competition.</t>
  </si>
  <si>
    <t>He begins to take some rapid steps to give himself so leverage for a jump he is trying to make.</t>
  </si>
  <si>
    <t>He takes off into the air as he begins the jump.</t>
  </si>
  <si>
    <t>He lands on the ground as he completes the jump.</t>
  </si>
  <si>
    <t>v_o18RrUlR-0Y</t>
  </si>
  <si>
    <t>A man with long beard is talking in the camera while a hand is brushing the side of his beard, then he continue talking while in his back the TV is running, then he closed up his beard, showed a man in green and the kid sitting next to him.</t>
  </si>
  <si>
    <t>The man in green shaves the man's beard on the side then brushed it then continue to shave the long beard leaving the stubble.</t>
  </si>
  <si>
    <t>v_IfpcrV_cwHI</t>
  </si>
  <si>
    <t>A close up of a pool table is shown followed by a man hitting the ball.</t>
  </si>
  <si>
    <t>The man the celebrates and shakes the hands of the opponent.</t>
  </si>
  <si>
    <t>He walks around the audience celebrating with them and walks back to his bag.</t>
  </si>
  <si>
    <t>v_XxyTLG8B-Ns</t>
  </si>
  <si>
    <t>A man is talking to the camera as he gets ready to ride the bumper cars.</t>
  </si>
  <si>
    <t>The man rides around in the bumper car bumping in to the other people while the camera watches.</t>
  </si>
  <si>
    <t>The camera zooms in on the people for a closer look.</t>
  </si>
  <si>
    <t>The ride ends and the people get out of the bumper cars.</t>
  </si>
  <si>
    <t>v_mTlReluteEQ</t>
  </si>
  <si>
    <t>A man throws an object in a track and field event at the Olympics.</t>
  </si>
  <si>
    <t>This is then shown in slow motion and then sped up.</t>
  </si>
  <si>
    <t>The coach reacts and cheers.</t>
  </si>
  <si>
    <t>The athlete receives a medal and waves to the crowd.</t>
  </si>
  <si>
    <t>v_XkWO7aqcC8Y</t>
  </si>
  <si>
    <t>A man is outdoors, cutting wires off a stack of sheetrock.</t>
  </si>
  <si>
    <t>He moves the sheets, then muds the floors before laying them down.</t>
  </si>
  <si>
    <t>The man presses the large sheets onto the ground.</t>
  </si>
  <si>
    <t>v_BO0vQ6ASVlo</t>
  </si>
  <si>
    <t>A man holds a frisbee next to a dog, then the dog jumps above the back of the man and grabs a frisbee.</t>
  </si>
  <si>
    <t>The man throws a frisbee and the dog runs to get it, after the man does tricks with the dog.</t>
  </si>
  <si>
    <t>A person lie down with his feet up, then the dog stand on his feet and plays with the frisbee.</t>
  </si>
  <si>
    <t>The man plays with the dog frisbee doing tricks and throwing the frisbee.</t>
  </si>
  <si>
    <t>v_8pR6NBu7Ay0</t>
  </si>
  <si>
    <t>The outside of a box containing a gun is shown.</t>
  </si>
  <si>
    <t>A man is joined by two others in front of a display of guns.</t>
  </si>
  <si>
    <t>They talk about the guns, then join a game of paintball outdoors, hiding behind obstacles as they shoot at each other.</t>
  </si>
  <si>
    <t>v_M7tUnCF9lU4</t>
  </si>
  <si>
    <t>A lady standing beside the slide is holding a little child on top of the slide.</t>
  </si>
  <si>
    <t>She looked inside the tunnel and moved the little kid to show him and wave at the person.</t>
  </si>
  <si>
    <t>The lady hold the child while she push him down the slide.</t>
  </si>
  <si>
    <t>The lady slide the kid up back to the top.</t>
  </si>
  <si>
    <t>The lady hold the child and pushed him down the slide.</t>
  </si>
  <si>
    <t>The child sat on the bottom of the slide while looking away.</t>
  </si>
  <si>
    <t>v_9Cs3CYCMH2w</t>
  </si>
  <si>
    <t>Two people are jump roping outside on a patio.</t>
  </si>
  <si>
    <t>The boy leaves and the girls starts jump roping by herself.</t>
  </si>
  <si>
    <t>The girl does a hand stand.</t>
  </si>
  <si>
    <t>The boy starts jump roping by himself.</t>
  </si>
  <si>
    <t>The girl does a flip in the air.</t>
  </si>
  <si>
    <t>The boy does a flip in the air.</t>
  </si>
  <si>
    <t>v_wsc5GIgVwN8</t>
  </si>
  <si>
    <t>Several people are shown in a back ground of lasers are portrayed as members on a team.</t>
  </si>
  <si>
    <t>A man from the team then comes along and starts to skateboard down the road in a community environment.</t>
  </si>
  <si>
    <t>As he continues skating,he moves to a more rural area with large mountains and field in the open and points begin to rack up in the corner of the screen.</t>
  </si>
  <si>
    <t>v_Z-C5yMAUmM4</t>
  </si>
  <si>
    <t>A woman is sitting down taking a drink.</t>
  </si>
  <si>
    <t>She sets the drink down and starts talking.</t>
  </si>
  <si>
    <t>v_jjuitTS2cuM</t>
  </si>
  <si>
    <t>A little toddler is walking down the street holding her dog leash.</t>
  </si>
  <si>
    <t>The dog is walking ahead of her not pulling her, he is very gentle.</t>
  </si>
  <si>
    <t>The dog stops to sniff around and then begins walking again.</t>
  </si>
  <si>
    <t>The little girl trying to follow closely behind him.</t>
  </si>
  <si>
    <t>v_MWdPh6J-YXM</t>
  </si>
  <si>
    <t>A man stretches in front of the camera.</t>
  </si>
  <si>
    <t>The camera cuts to scenes of the man on a small boat paddling.</t>
  </si>
  <si>
    <t>The camera cuts to scenes of various men paddling boats from various angles, with different backgrounds.</t>
  </si>
  <si>
    <t>The camera shows men putting boats away.</t>
  </si>
  <si>
    <t>The camera shows several men in a car.</t>
  </si>
  <si>
    <t>The camera shows quick clips of men exercising in a gym.</t>
  </si>
  <si>
    <t>The camera returns to scenes of men paddling boats.</t>
  </si>
  <si>
    <t>The camera cuts to accelerated footage of a car driving.</t>
  </si>
  <si>
    <t>The camera cuts to scenes of men relaxing and tossing a ball around.</t>
  </si>
  <si>
    <t>The camera cuts to a scene of a man sitting relaxing.</t>
  </si>
  <si>
    <t>v_nwBb-WkaCYU</t>
  </si>
  <si>
    <t>A person is sitting behind a table doing a rubiks cube blind folded.</t>
  </si>
  <si>
    <t>A timer is on the desk in front of them.</t>
  </si>
  <si>
    <t>The person completes the rubiks cube and sets it down on the table.</t>
  </si>
  <si>
    <t>v_JavaLreBqtI</t>
  </si>
  <si>
    <t>We see a lady sitting on a couch talking.</t>
  </si>
  <si>
    <t>The lady makes faces and claps her hands.</t>
  </si>
  <si>
    <t>We watch the lady pull rollers our out her braids.</t>
  </si>
  <si>
    <t>We see her hair up close.</t>
  </si>
  <si>
    <t>The lady makes a quote sign with her fingers.</t>
  </si>
  <si>
    <t>v_NulnzF8avMI</t>
  </si>
  <si>
    <t>The gymnast gathers his focus, and mounts the pommel horse to begin his event.</t>
  </si>
  <si>
    <t>The audience watches and cheers as the announcers give their commentary.</t>
  </si>
  <si>
    <t>He goes up to a hand stand.</t>
  </si>
  <si>
    <t>He picks up his speed once he comes back down from the hand stand.</t>
  </si>
  <si>
    <t>The gymnast has a nice dismount.</t>
  </si>
  <si>
    <t>We watch the performance again in slow motion then see his smile as he is seated afterwords.</t>
  </si>
  <si>
    <t>v_UqE_T7oG1Gc</t>
  </si>
  <si>
    <t>woman is talking to the camera and holding makeup brushes.</t>
  </si>
  <si>
    <t>woman is shoing a braid on her hair and its shownig how to do the braid.</t>
  </si>
  <si>
    <t>v_87fIi0-1JVM</t>
  </si>
  <si>
    <t>A girl travels in a car while talking.</t>
  </si>
  <si>
    <t>The girl is in a piercing shop, then a man rubs her nose with a tissue and put a mark.</t>
  </si>
  <si>
    <t>After, the man pierce the nose of the girl and puts a tip.</t>
  </si>
  <si>
    <t>After, the man cleans the area, and the girl dry some tears on her face.</t>
  </si>
  <si>
    <t>After, the girl holds a camera on front her face and talks, also shows her piercing.</t>
  </si>
  <si>
    <t>v_8381XS5ZDNs</t>
  </si>
  <si>
    <t>A piece of exercise equipment spins around on a panel when a woman suddenly appears.</t>
  </si>
  <si>
    <t>She climbs on the machine and begins exercising while the camera pans around her movements.</t>
  </si>
  <si>
    <t>She continues to use the equipment and eventually shows a picture of the equipment.</t>
  </si>
  <si>
    <t>v_8kyg5u6o21k</t>
  </si>
  <si>
    <t>boy is putting a helmet and is fixing his skateboard.</t>
  </si>
  <si>
    <t>boy is going down an slope passing by houses till is dark.</t>
  </si>
  <si>
    <t>v_jXIKHEsmVl4</t>
  </si>
  <si>
    <t>A guy is outside chopping wood.</t>
  </si>
  <si>
    <t>The ax gets stuck on the wood on his first try.</t>
  </si>
  <si>
    <t>The guy pulls the ax out.</t>
  </si>
  <si>
    <t>The guy keeps cutting the wood smaller and smaller.</t>
  </si>
  <si>
    <t>v_SpEdr2o2TP0</t>
  </si>
  <si>
    <t>A man and woman are talking in a stable.</t>
  </si>
  <si>
    <t>The man helps the woman on the horse and she leads it around the arena.</t>
  </si>
  <si>
    <t>The woman gets off the horse and talks to the camera.</t>
  </si>
  <si>
    <t>v_iSHPVCBsnLw</t>
  </si>
  <si>
    <t>Two men are seen sitting on a couch watching tv and speaking back and fourth to one another.</t>
  </si>
  <si>
    <t>Another walks into frame speaking and holding a drink and the two men continue speaking to one another.</t>
  </si>
  <si>
    <t>v_7m--xUKvqkc</t>
  </si>
  <si>
    <t>A hand holds a damp mop sign up to the camera.</t>
  </si>
  <si>
    <t>A person mops a floor, with the camera only picking up part of the person and the mop.</t>
  </si>
  <si>
    <t>The camera shows a close up of the mop head.</t>
  </si>
  <si>
    <t>v_dKwPfFN7DpM</t>
  </si>
  <si>
    <t>A man is shown spinning in circles while throwing a shot put off into the distance.</t>
  </si>
  <si>
    <t>Several men are then shown over and over again throwing the object off into the distance in various locations.</t>
  </si>
  <si>
    <t>v_iMF8-iDLl6U</t>
  </si>
  <si>
    <t>An intro featuring the text "how to change a tire" plays.</t>
  </si>
  <si>
    <t>A woman has a tool that allows you put the tire on to a rim while a man holds the tool.</t>
  </si>
  <si>
    <t>The woman then uses the same tool to remove the tire from the rim.</t>
  </si>
  <si>
    <t>The person filming shows an iPhone's timer at various points to show how long a step should take.</t>
  </si>
  <si>
    <t>The tool that removes the tier from the rim is shown and how it works.</t>
  </si>
  <si>
    <t>A man opens a Bridgestone locker or machine to show the inside.</t>
  </si>
  <si>
    <t>The video ends with an image of a solar powered vehicle.</t>
  </si>
  <si>
    <t>v_3TVKXCyNObQ</t>
  </si>
  <si>
    <t>People skateboard down the road of a city.</t>
  </si>
  <si>
    <t>A group of teens meet on the road and watch a teen skateboard.</t>
  </si>
  <si>
    <t>A teen enters a skateboard ramp and skateboard around.</t>
  </si>
  <si>
    <t>A boy skateboards on a road passing a city and a field.</t>
  </si>
  <si>
    <t>Two teens skateboard on a road.</t>
  </si>
  <si>
    <t>v_8EGM3zcvjs8</t>
  </si>
  <si>
    <t>Eight people are standing at the studio, one woman walked at the back of the group.</t>
  </si>
  <si>
    <t>The group started dancing, swirling, shaking their hips, rotating, their arms and hands are moving from side to side, in front.</t>
  </si>
  <si>
    <t>v_SIj-ti_70HQ</t>
  </si>
  <si>
    <t>A woman stands in front of a mirror smiling and begins brushing her hair.</t>
  </si>
  <si>
    <t>She continues brushing her hair and looking at herself in the mirror.</t>
  </si>
  <si>
    <t>v_oNqtuh6qa2E</t>
  </si>
  <si>
    <t>A man is standing outside on a sidewalk with a silver camera in his hand filming something.</t>
  </si>
  <si>
    <t>As the camera turns,the man is filming someone on a one-seater paddling as he is playing a bag of pipes.</t>
  </si>
  <si>
    <t>The man continues,and a gruop of people crowd around him and watch him until he falls off the wheel.</t>
  </si>
  <si>
    <t>v__6mQ9_DQr0Q</t>
  </si>
  <si>
    <t>Man approaches the weights before him.</t>
  </si>
  <si>
    <t>Man lifts up weights and drops them to the floor.</t>
  </si>
  <si>
    <t>Man lifts up weights and holds them for a while.</t>
  </si>
  <si>
    <t>Man shakes his hands in celebration.</t>
  </si>
  <si>
    <t>Man screams in celebration.</t>
  </si>
  <si>
    <t>v_B-60jGEds7M</t>
  </si>
  <si>
    <t>A boat sails in the choppy waters of an ocean.</t>
  </si>
  <si>
    <t>The big waves moves the boat up and down.</t>
  </si>
  <si>
    <t>A person stands on front the boat wearing dark clothes.</t>
  </si>
  <si>
    <t>v_d8u6MM00_ig</t>
  </si>
  <si>
    <t>A large group of people are seen wandering around an arena when a man steps up to a weight.</t>
  </si>
  <si>
    <t>The man lifts the weight over his head and throws it on the ground.</t>
  </si>
  <si>
    <t>Several more men are seen attempting to lift the weight with others succeeding and cheering and others dropping the weight.</t>
  </si>
  <si>
    <t>v_KfkNKhAWOII</t>
  </si>
  <si>
    <t>Graphics with "FCC Presents" followed by "The Great Indoors with Tracy Briggs" appear on screen.</t>
  </si>
  <si>
    <t>Briggs speaks to the camera from a kitchen.</t>
  </si>
  <si>
    <t>She begins preparing a potato and tomtatos to eat.</t>
  </si>
  <si>
    <t>v_6rMF2jWbeUQ</t>
  </si>
  <si>
    <t>A woman is seen sitting in a wheelchair looking to the camera and wheels herself over to a side.</t>
  </si>
  <si>
    <t>She then puts her shoes on with another man's help while still smiling to the camera.</t>
  </si>
  <si>
    <t>She wheels herself away and claps in the end.</t>
  </si>
  <si>
    <t>v_9zm9jW7_ANc</t>
  </si>
  <si>
    <t>The chef begins by removing and slicing the endive.</t>
  </si>
  <si>
    <t>The chef then places them in a bin,afterwards he slices and peels more.</t>
  </si>
  <si>
    <t>The chef then chops romaine and places them in a silver bin and mixes endive with the romaine.</t>
  </si>
  <si>
    <t>Finally he removes the salad mixture with a dressing on it from a round silver bowl and places the salad on a white plate.</t>
  </si>
  <si>
    <t>v_M1SUIrWykRs</t>
  </si>
  <si>
    <t>Several people are surfing on a large wave in the water.</t>
  </si>
  <si>
    <t>A man and a little girl are swimming in the water.</t>
  </si>
  <si>
    <t>v_7OTqYfUuAIw</t>
  </si>
  <si>
    <t>A young child is seen kicking around in the middle of a room.</t>
  </si>
  <si>
    <t>The kid kicks both of his legs around while the camera pans around.</t>
  </si>
  <si>
    <t>Another child is seen kicking on the side while a dog walks in and out of frame.</t>
  </si>
  <si>
    <t>v_KYl67H9-4TA</t>
  </si>
  <si>
    <t>A small child wearing a wig is seen holding a violin and speaking to the camera.</t>
  </si>
  <si>
    <t>She then plays a song on the violin moving his arms and hands back and fourth and ends by speaking off into the distance.</t>
  </si>
  <si>
    <t>v_8z29qtUWwdU</t>
  </si>
  <si>
    <t>A man is seen talking to the camera and presents his knife and sharpener.</t>
  </si>
  <si>
    <t>He then glides the knife down the sharpener and shows how other knives work with different sharpeners.</t>
  </si>
  <si>
    <t>He presents the knife one last time while still speaking to the camera.</t>
  </si>
  <si>
    <t>v_MFlYmFZ7xlo</t>
  </si>
  <si>
    <t>A man is mopping a floor.</t>
  </si>
  <si>
    <t>A woman is eating.</t>
  </si>
  <si>
    <t>v_fjoaurNKg60</t>
  </si>
  <si>
    <t>A person washes there hands and closes a sink drain.</t>
  </si>
  <si>
    <t>The person removes a contact from the container and places on the tip of their finger.</t>
  </si>
  <si>
    <t>The person holds open one eyelid at a time and inserts the contact into their eye.</t>
  </si>
  <si>
    <t>A cleaner solution is sprayed into the container to clean it out.</t>
  </si>
  <si>
    <t>The contact lens is removed from the eye.</t>
  </si>
  <si>
    <t>Solution is sprayed on the contact lens resting in the palm of a hand before being placed back on the counter.</t>
  </si>
  <si>
    <t>v_61sN9tqZHwk</t>
  </si>
  <si>
    <t>A series of masks are shown on a table.</t>
  </si>
  <si>
    <t>A yorkie dog is shown from several angles.</t>
  </si>
  <si>
    <t>We then see the dog winning competitions and getting groomed.</t>
  </si>
  <si>
    <t>v_GEhtyurCwDQ</t>
  </si>
  <si>
    <t>We see an electric shaver from various angles.</t>
  </si>
  <si>
    <t>The man unwraps the product and takes it out of the bag.</t>
  </si>
  <si>
    <t>The product is being taken out of it's packaging.</t>
  </si>
  <si>
    <t>The man shaves his hand then adds a guard and shaves his beard and the hairline in back.</t>
  </si>
  <si>
    <t>The man rinses the shaver and works on his neck.</t>
  </si>
  <si>
    <t>v_0AjYz-s4Rek</t>
  </si>
  <si>
    <t>A man and a woman dressed in snow clothing are walking in the snow and they begin to drill into the ice ground with hand held red crank long drills.</t>
  </si>
  <si>
    <t>When they make a hole in the ice they put their fishing wire attached with bait into the hole and begin ice fishing until the woman catches a fish.</t>
  </si>
  <si>
    <t>After they're done fishing, they are now at a wood fire and the fish is cooking on the wood.</t>
  </si>
  <si>
    <t>v_19YCgLDhfoE</t>
  </si>
  <si>
    <t>A woman exercise sniping a stick on her hand in a filed.</t>
  </si>
  <si>
    <t>The woman exercise on front the ocean spinning the stick on her neck.</t>
  </si>
  <si>
    <t>Then, the woman throws the stick on the air.</t>
  </si>
  <si>
    <t>After, the woman pass the stick from hand to another on her folded arm.</t>
  </si>
  <si>
    <t>v_zihMznAYlV0</t>
  </si>
  <si>
    <t>Two men in padded sumo costumes are pulled along a tug rope on a ski slope.</t>
  </si>
  <si>
    <t>Two men in yellow padded sumo costumes do jumps on their snowboard on a downhill course.</t>
  </si>
  <si>
    <t>A filmer waives to the camera.</t>
  </si>
  <si>
    <t>The man spins while sliding across a platform in the sumo suit.</t>
  </si>
  <si>
    <t>The two men give each other a high five.</t>
  </si>
  <si>
    <t>The man in sumo suit goes over a small triangular obstacle.</t>
  </si>
  <si>
    <t>A man on small skis crashes while trying to jump.</t>
  </si>
  <si>
    <t>The man jumps onto and slide across a platform while wearing a sumo suit.</t>
  </si>
  <si>
    <t>The man bounces over a low railing.</t>
  </si>
  <si>
    <t>v_T6KP0pg7qxM</t>
  </si>
  <si>
    <t>A boy is sitting in a chair behind a counter.</t>
  </si>
  <si>
    <t>A girl comes up next to him and tries to feed him cereal.</t>
  </si>
  <si>
    <t>He starts throwing darts at a dartboard.</t>
  </si>
  <si>
    <t>v_v8XN1ajGeIw</t>
  </si>
  <si>
    <t>A close up is shown of a very dirty floor being cleaned with a large vacuum.</t>
  </si>
  <si>
    <t>Words on the screen explain the strength of the vacuum as the person continues.</t>
  </si>
  <si>
    <t>The floor is being cleaned at walking speed.</t>
  </si>
  <si>
    <t>The man continues to demonstrate the usage until an ad for the company appears at the end.</t>
  </si>
  <si>
    <t>v_zQCqzIgIpHI</t>
  </si>
  <si>
    <t>A view is seen of the outside of an airport, then the wing of the flying plane.</t>
  </si>
  <si>
    <t>A man is on the plane wearing a mask.</t>
  </si>
  <si>
    <t>Several people are sleeping in the dark quarters.</t>
  </si>
  <si>
    <t>They arrive at a ski resort, and ride the lifts before donning skis and skiing down treacherous hills.</t>
  </si>
  <si>
    <t>v_K8ZPkLVlAiA</t>
  </si>
  <si>
    <t>A man is holding the arm of a canister vacuum in a vacuum showroom.</t>
  </si>
  <si>
    <t>The man lifts the arm and shows it to the camera.</t>
  </si>
  <si>
    <t>The man then pretends, then actually vacuums the linoleum floor with the vacuum.</t>
  </si>
  <si>
    <t>v_ovTKJgSWMKQ</t>
  </si>
  <si>
    <t>Scores are shown on a screen in front of pool water.</t>
  </si>
  <si>
    <t>A man towels off in a room.</t>
  </si>
  <si>
    <t>He enters the competition, shaking hands after his dive.</t>
  </si>
  <si>
    <t>Between dives, the scoreboard is shown again.</t>
  </si>
  <si>
    <t>The final scene is of the man backflipping off the diving board.</t>
  </si>
  <si>
    <t>v_X2zoUDI1Gmc</t>
  </si>
  <si>
    <t>A woman is seen smiling to the camera holding up a blow dryer and various attachments.</t>
  </si>
  <si>
    <t>She is then seen again with wet hair and then sprays liquid into her hair and then blow dries her hair more.</t>
  </si>
  <si>
    <t>She then pins her hair up, attaches and attachment to the blow dryer, and dries her hair all around, spinning to the camera in the end.</t>
  </si>
  <si>
    <t>v_LFeoVokXAFY</t>
  </si>
  <si>
    <t>A man uses a large plastic blue bat.</t>
  </si>
  <si>
    <t>He swings it at a pinata shaped like spongebob squarepants.</t>
  </si>
  <si>
    <t>He misses several times, and keeps swinging.</t>
  </si>
  <si>
    <t>v_GvvmZ1Bi1xk</t>
  </si>
  <si>
    <t>We see a finger on the lens and a shoulder.</t>
  </si>
  <si>
    <t>A woman pushes a lawn mower through the grass.</t>
  </si>
  <si>
    <t>The lady lifts the mower and backs up.</t>
  </si>
  <si>
    <t>The lady turns the mower.</t>
  </si>
  <si>
    <t>v_lUX1nfb5rx0</t>
  </si>
  <si>
    <t>woman is standing in font of a counter and is talking to the camera.</t>
  </si>
  <si>
    <t>a clean sink is shown and a woman claing the surface of water and wine with a cloth and then with an sponge.</t>
  </si>
  <si>
    <t>the woman put a cleaner on a cloth and cleans the sink, then the woman is talking and a white table covers the sink.</t>
  </si>
  <si>
    <t>v_rBaR5xF8orE</t>
  </si>
  <si>
    <t>A large group of people are seen sitting around an auditorium with one man flying kites around in the middle.</t>
  </si>
  <si>
    <t>The person continues moving around with the kites and walks away in the end with a woman speaking to the crowd.</t>
  </si>
  <si>
    <t>v_lwXIgNoLGhM</t>
  </si>
  <si>
    <t>We see people in a field holding flags.</t>
  </si>
  <si>
    <t>We see people playing paintball in the woods.</t>
  </si>
  <si>
    <t>We see people in lines like soldiers.</t>
  </si>
  <si>
    <t>We see the people in the woods in paint ball gear.</t>
  </si>
  <si>
    <t>We see an empty metal tank.</t>
  </si>
  <si>
    <t>We see the people in the woods again.</t>
  </si>
  <si>
    <t>We see inside the tank.</t>
  </si>
  <si>
    <t>We see the people walking through the field.</t>
  </si>
  <si>
    <t>We see people running with smoke.</t>
  </si>
  <si>
    <t>We see a ending title screen.</t>
  </si>
  <si>
    <t>v_XORmEz1vOeQ</t>
  </si>
  <si>
    <t>A man kneels down by a tree in a yard.</t>
  </si>
  <si>
    <t>He talks as he digs with his hands.</t>
  </si>
  <si>
    <t>He shows and instructs on how to apply and pack mulching around the base of the tree.</t>
  </si>
  <si>
    <t>v_CYSyc4jy9-Q</t>
  </si>
  <si>
    <t>A person runs and jumps wearing bouncing shoes, and a man make a surprised face.</t>
  </si>
  <si>
    <t>People wearing bouncing shoes bounce and jumps in a gym, a presenter talks and also tries the bouncing shoes.</t>
  </si>
  <si>
    <t>A man bounce and jumps high in the beach, in the street.</t>
  </si>
  <si>
    <t>Then, men flip over wearing bouncing shoes, after a man plays basketball wearing bouncing shoes in a gym.</t>
  </si>
  <si>
    <t>A person rides a bike in the gym.</t>
  </si>
  <si>
    <t>Two men wearing bouncing shoes stand front to front in a TV set.</t>
  </si>
  <si>
    <t>v_U0HiAZCgmd8</t>
  </si>
  <si>
    <t>A woman is seen speaking to the camera and leads into her pouring ice into a glass followed by various liquids.</t>
  </si>
  <si>
    <t>She mixes the liquids back and fourth and ends by presenting the drink and putting in a lemon with straw.</t>
  </si>
  <si>
    <t>v_rLH89pN9I84</t>
  </si>
  <si>
    <t>A woman walks out onto the grass.</t>
  </si>
  <si>
    <t>Two small dogs follow her on leashes.</t>
  </si>
  <si>
    <t>She bends down and the dogs come up to her.</t>
  </si>
  <si>
    <t>v_e_y8_3siD0c</t>
  </si>
  <si>
    <t>A young child is seen standing ready before a game of hop scotch.</t>
  </si>
  <si>
    <t>The girl then begins hopping on the chalk.</t>
  </si>
  <si>
    <t>The girl hops all the way to the end and walks back to the screen.</t>
  </si>
  <si>
    <t>v_djgM0IWIBKc</t>
  </si>
  <si>
    <t>A group of men are in a kayak going down the river bank.</t>
  </si>
  <si>
    <t>The are paddling and looking at the trees in the distance enjoying their day.</t>
  </si>
  <si>
    <t>One of the men gets out of the boat to go swimming in the water, They all get in and start splashing water, swimming under and enjoying the day before getting back in to turn back.</t>
  </si>
  <si>
    <t>Once they start to head back to land and to get ready to get on the dock.</t>
  </si>
  <si>
    <t>v_dyvB6XCWPZs</t>
  </si>
  <si>
    <t>People are rafting in rafts down a choppy river.</t>
  </si>
  <si>
    <t>People are jumping off a rock into the water.</t>
  </si>
  <si>
    <t>People are doing flips off the front of the raft.</t>
  </si>
  <si>
    <t>People are sitting on a boat pulling the rafts.</t>
  </si>
  <si>
    <t>v_BSIV5tJ3bv4</t>
  </si>
  <si>
    <t>An athlete walks in front of a crowd rubbing his hands in powder and grabbing a weight set.</t>
  </si>
  <si>
    <t>He lifts the weights over his head and throws it down afterwards, raising his hands up with his coach.</t>
  </si>
  <si>
    <t>v_HHxPjC6T2e0</t>
  </si>
  <si>
    <t>A unicorn pinata sways in the wind from a line.</t>
  </si>
  <si>
    <t>A woman swings wildly at it with a bat, as she is blindfolded.</t>
  </si>
  <si>
    <t>v_fVg3StD8LL0</t>
  </si>
  <si>
    <t>A man is seen hosting a news segment and speaking to the camera.</t>
  </si>
  <si>
    <t>The man is then seen helping another lay down plaster.</t>
  </si>
  <si>
    <t>The host continues helping the men tear up floor as well as lay it down and speak to the camera.</t>
  </si>
  <si>
    <t>v_-Rv7tGWehRE</t>
  </si>
  <si>
    <t>We see a boy using jumpstilts on a residential street.</t>
  </si>
  <si>
    <t>The man stops jumping the first time.</t>
  </si>
  <si>
    <t>We see a person come outside then go inside.</t>
  </si>
  <si>
    <t>The jumping man faces and walks towards the camera.</t>
  </si>
  <si>
    <t>v_PD9e9MVHEyU</t>
  </si>
  <si>
    <t>We see the title screen on white A lady sits in a chair talking.</t>
  </si>
  <si>
    <t>The lady starts painting on her hand.</t>
  </si>
  <si>
    <t>We see the closing credits on a white screen.</t>
  </si>
  <si>
    <t>v_ZoKdN--u6TU</t>
  </si>
  <si>
    <t>A young man is seen pushing a puck down a table to another man standing on the other side.</t>
  </si>
  <si>
    <t>The other man then pushes a puck and the boys continue playing the game back and fourth.</t>
  </si>
  <si>
    <t>The camera zooms in on the men in the end as well as other people standing around the room.</t>
  </si>
  <si>
    <t>v_lQq_JPRFEMw</t>
  </si>
  <si>
    <t>People are playing a game of lacrosse on a field.</t>
  </si>
  <si>
    <t>The teams line up and shake hands.</t>
  </si>
  <si>
    <t>A woman in a blue coat is talking to the camera.</t>
  </si>
  <si>
    <t>A man in a tan suit is talking into a microphone.</t>
  </si>
  <si>
    <t>v_WYcTPQSXwRc</t>
  </si>
  <si>
    <t>A marching band plays in a parade while people watch stand on the sidewalk.</t>
  </si>
  <si>
    <t>The marching band pass on front a carnival and a green field.</t>
  </si>
  <si>
    <t>Then, the marching band arrives to a city.</t>
  </si>
  <si>
    <t>An old man holding a trophy walks on front the marching band.</t>
  </si>
  <si>
    <t>After, the marching band arrives to a bus station.</t>
  </si>
  <si>
    <t>A bond lady applaud, hug people and talks.</t>
  </si>
  <si>
    <t>v_KGIDKn3t2Qk</t>
  </si>
  <si>
    <t>An intro is shown with a drink being poured into a glass and a caption about drink mixing.</t>
  </si>
  <si>
    <t>A girl begins to make a drink called a Mai Tai.</t>
  </si>
  <si>
    <t>She takes out all the things she will need to make the drink.</t>
  </si>
  <si>
    <t>She gets some ice into a glass and into the shaker.</t>
  </si>
  <si>
    <t>She adds in the rum, triple sec, syrup, sour mix, and puts the lid on the shaker.</t>
  </si>
  <si>
    <t>She shakes the shaker for a bit until it gets cold and pours the drink into the glass over the ice.</t>
  </si>
  <si>
    <t>She tops it off with a bit of sour mix and cherries, as well as a straw.</t>
  </si>
  <si>
    <t>The video ends with the closing caption.</t>
  </si>
  <si>
    <t>v_r9OvUc28Qi8</t>
  </si>
  <si>
    <t>A large group of people are in an area walking, talking and hanging out.</t>
  </si>
  <si>
    <t>Two men with a referee in the middle appear on a stage and they are in an intense arm wrestling match.</t>
  </si>
  <si>
    <t>The man without a hat wins the match and is briefly interviewed where he's smiling and talking.</t>
  </si>
  <si>
    <t>Another match between two men begins and ones again the same man that won the first match wins again.</t>
  </si>
  <si>
    <t>He holds his right arm up flexing it while smiling and his name Allen Fisher pops up on the screen and a black screen with the words 25 Time World Champion ends the video.</t>
  </si>
  <si>
    <t>v_5O1ttcUIUKk</t>
  </si>
  <si>
    <t>men are standing in a large green field playing lacrosse.</t>
  </si>
  <si>
    <t>people is around the field watching the game.</t>
  </si>
  <si>
    <t>men are running side to side of the ield playing lacrosse trying to score.</t>
  </si>
  <si>
    <t>v_1JHqxhajh60</t>
  </si>
  <si>
    <t>A hand is holding a shower head close to a dog.</t>
  </si>
  <si>
    <t>The dog moves around the bathtub as he tries to bite the water being splashed on him.</t>
  </si>
  <si>
    <t>v_0dkIuFFlLRM</t>
  </si>
  <si>
    <t>A camera pans around a set of stairs and leads into people working out in a class.</t>
  </si>
  <si>
    <t>Several shots are shown of people working out together while a man speaks to the camera.</t>
  </si>
  <si>
    <t>The man continues speaking while more people are shown working out together.</t>
  </si>
  <si>
    <t>v_p5H5ZmAwdH8</t>
  </si>
  <si>
    <t>A woman is lifting wallpaper as she tries to smooth it down without bubbles with a tool.</t>
  </si>
  <si>
    <t>She applies the tool smoothly, making sure to repeel and correct any mistakes as she goes along.</t>
  </si>
  <si>
    <t>v_8HhihBmSS9s</t>
  </si>
  <si>
    <t>A small group of people are seen standing around a field that leads into a game of kickball.</t>
  </si>
  <si>
    <t>The people kick around the ball and cheer with one another as they score points on their side.</t>
  </si>
  <si>
    <t>Another team member scores a goal and their teammates run in with their arms up.</t>
  </si>
  <si>
    <t>v_FWPJWq-uhUw</t>
  </si>
  <si>
    <t>An athletic man wearing a track suit and a bib number 171 is walking on a track and warming himself up.</t>
  </si>
  <si>
    <t>The man then grabs his necklace, puts it in his mouth and begins clapping above his head and a name below appears and it say's IRVING SALADINO.</t>
  </si>
  <si>
    <t>The man drops the necklace from his mouth and immediately begins to run and does his hop, skip and jump.</t>
  </si>
  <si>
    <t>Replays of the man's run and jump play and the man is shown celebrating himself, and with others on the field.</t>
  </si>
  <si>
    <t>v_KFo88zRw5CM</t>
  </si>
  <si>
    <t>A man is waterskiing behind a boat while holding a rope.</t>
  </si>
  <si>
    <t>He tries to hold on as he zips to the side.</t>
  </si>
  <si>
    <t>He slips, splits, and falls into the water.</t>
  </si>
  <si>
    <t>v_YO8EY7miuk8</t>
  </si>
  <si>
    <t>A small group of people are seen standing together on a stage and lead into them playing the instruments and two men kneeling in front.</t>
  </si>
  <si>
    <t>The men then perform various martial arts around one another while the people stand around and watch.</t>
  </si>
  <si>
    <t>v_4k-F7EXpcrM</t>
  </si>
  <si>
    <t>A man is riding a rowing machine in a gym.</t>
  </si>
  <si>
    <t>A finger briefly covers part of the camera lens.</t>
  </si>
  <si>
    <t>The man continues to row as people walk by in the gym.</t>
  </si>
  <si>
    <t>v_gvhjtFg8A-c</t>
  </si>
  <si>
    <t>A person moves a tire towards the gate.</t>
  </si>
  <si>
    <t>The gates close in their lanes.</t>
  </si>
  <si>
    <t>People are sitting on tires behind gates.</t>
  </si>
  <si>
    <t>A person moves their feet.</t>
  </si>
  <si>
    <t>When the gate is released, people slide down the ice on tires.</t>
  </si>
  <si>
    <t>A person celebrates and raises their hands.</t>
  </si>
  <si>
    <t>v_avJNxcysMCk</t>
  </si>
  <si>
    <t>Many people are gathered at the finish line of a marathon, waiting for the runners to come in.</t>
  </si>
  <si>
    <t>Many runners start trickling in and slowing down stopping once they get to that point.</t>
  </si>
  <si>
    <t>There are many runners and some people on the sides but the stands are completely empty on that side.</t>
  </si>
  <si>
    <t>More and more men keep running in little by little.</t>
  </si>
  <si>
    <t>v_WVxP7f_OyEs</t>
  </si>
  <si>
    <t>Some people are seen on water skis in the lake.</t>
  </si>
  <si>
    <t>A man talks to the camera, demonstrating how to water ski.</t>
  </si>
  <si>
    <t>Several moves and positions are shown as he talks.</t>
  </si>
  <si>
    <t>v_qpeovDXc1cg</t>
  </si>
  <si>
    <t>A woman is drinking a cup of coffee.</t>
  </si>
  <si>
    <t>Coffee beans are shown in a cup.</t>
  </si>
  <si>
    <t>Web articles are being shown.</t>
  </si>
  <si>
    <t>A cup mug is being filled with coffee.</t>
  </si>
  <si>
    <t>People are riding bikes down the street.</t>
  </si>
  <si>
    <t>v_PveTDlMybvU</t>
  </si>
  <si>
    <t>Motorcycle riders race around a dirt track during a competition.</t>
  </si>
  <si>
    <t>One rider crashes over a jump and falls off his bike.</t>
  </si>
  <si>
    <t>The other rider slows down and pulls off the track.</t>
  </si>
  <si>
    <t>The crashed rider crawls on the ground and is helped by another.</t>
  </si>
  <si>
    <t>The rider waves his arms to signal the others and takes the crashed bike off the course.</t>
  </si>
  <si>
    <t>The rider is seen crashing in slow motion.</t>
  </si>
  <si>
    <t>v_qpyAkXLIJz0</t>
  </si>
  <si>
    <t>A group of people are seen standing around a room with some holding onto instruments.</t>
  </si>
  <si>
    <t>People are sitting at a table playing with cups.</t>
  </si>
  <si>
    <t>More people are seen drumming on the side while the people continue to play with cups.</t>
  </si>
  <si>
    <t>Eventually people play with a guitar and end by walking off the stage.</t>
  </si>
  <si>
    <t>v_gjfa7WGhM6U</t>
  </si>
  <si>
    <t>A young man is sitting in a chair with his head down shaving his leg with an electric razor.</t>
  </si>
  <si>
    <t>The man stops and cleans out the razor.</t>
  </si>
  <si>
    <t>The man shakes the razor when it stops working until it starts again and continues to shave his leg.</t>
  </si>
  <si>
    <t>v_eLeGJBfqURA</t>
  </si>
  <si>
    <t>A dog is outside in a large field and runs towards a man holding a yellow Frisbee.</t>
  </si>
  <si>
    <t>The man then begins walking and throws the frisbee for the dog to catch.</t>
  </si>
  <si>
    <t>He throws it several time and the dog catches each and every one.</t>
  </si>
  <si>
    <t>v_Pyf_5Bffu5A</t>
  </si>
  <si>
    <t>kids are playing beach soccer in a dusty field.</t>
  </si>
  <si>
    <t>people are standing around the field in stands.</t>
  </si>
  <si>
    <t>man makes a goal and the team and people in stands are celebrating.</t>
  </si>
  <si>
    <t>man is doing a corner and scores a goal and ruun to his teammates to celebrate.</t>
  </si>
  <si>
    <t>the game start te game and men keeps running and scores another goal and celebrates while theres a repetition.</t>
  </si>
  <si>
    <t>v_9uZoTZsTwv0</t>
  </si>
  <si>
    <t>A teenage boy on a horse spinning a rope in the air chases after a little cow.</t>
  </si>
  <si>
    <t>The cow is running and the boy throws the rope around its neck.</t>
  </si>
  <si>
    <t>It causes the cow to fall over after being pulled back by the rope.</t>
  </si>
  <si>
    <t>The boy goes running off the horse after it and pins the little cow down.</t>
  </si>
  <si>
    <t>v_VpfLfFtu0d8</t>
  </si>
  <si>
    <t>We see meat and cheese on a counter.</t>
  </si>
  <si>
    <t>A man talks to the camera in a kitchen.</t>
  </si>
  <si>
    <t>The man spreads mustard on bread.</t>
  </si>
  <si>
    <t>The man assembles the sandwich.</t>
  </si>
  <si>
    <t>The sandwich is pressed.</t>
  </si>
  <si>
    <t>The man cuts the sandwich.</t>
  </si>
  <si>
    <t>The man plates all of the food.</t>
  </si>
  <si>
    <t>v_9-yA1F4il_A</t>
  </si>
  <si>
    <t>A lady is blowing leaves off a roof.</t>
  </si>
  <si>
    <t>the lady walks to the right then towards the top.</t>
  </si>
  <si>
    <t>The camera pans down and we see a small boy on the ground below.</t>
  </si>
  <si>
    <t>v_dZ4y7J3ASEE</t>
  </si>
  <si>
    <t>A person throws a ball to a teen who runs and kick the ball.</t>
  </si>
  <si>
    <t>A teen grabs the ball in the air and throws to another girl.</t>
  </si>
  <si>
    <t>The falls on the ground an the girl takes it.</t>
  </si>
  <si>
    <t>v_sjE-hHKFghc</t>
  </si>
  <si>
    <t>A woman is seen wearing roller blades and speaking to the camera.</t>
  </si>
  <si>
    <t>She then rides around on her blades while looking over to the camera and speaking.</t>
  </si>
  <si>
    <t>She continues demonstrating how to properly use the blades and moving around.</t>
  </si>
  <si>
    <t>v_G6W6wen6n7w</t>
  </si>
  <si>
    <t>We see a man run and do a high jump 6'11 and see the replay.</t>
  </si>
  <si>
    <t>We then see the man jump at 6'9 and see the replay.</t>
  </si>
  <si>
    <t>The man jumps at 6'11 again and we see the replay.</t>
  </si>
  <si>
    <t>We see the man jump at 7'2 and we see the replay.</t>
  </si>
  <si>
    <t>We see the man jump at 8'3 using a springboard and we see the replay.</t>
  </si>
  <si>
    <t>v_ULZpTYSwlTs</t>
  </si>
  <si>
    <t>There are some weightlifters on stage participating in weightlifting events.</t>
  </si>
  <si>
    <t>There are several spectators watching the event.</t>
  </si>
  <si>
    <t>One of the weightlifters successfully lifts the weight bar high up and then drops it down.</t>
  </si>
  <si>
    <t>He raises his right hand feeling triumphant.</t>
  </si>
  <si>
    <t>v_k_gAGeXhmHo</t>
  </si>
  <si>
    <t>There is a close up of several men and boys who are sweating.</t>
  </si>
  <si>
    <t>They play rock paper scissors, and the loser becomes enraged.</t>
  </si>
  <si>
    <t>He runs through the building and outdoors, screaming and hitting the air.</t>
  </si>
  <si>
    <t>The man is shown sitting on a chair, talking.</t>
  </si>
  <si>
    <t>He shakes up a bottle and takes a drink before choking.</t>
  </si>
  <si>
    <t>They replay the game, ending with him again talking while sitting in the chair.</t>
  </si>
  <si>
    <t>v_4o7Abew2ExY</t>
  </si>
  <si>
    <t>A man is sitting on a bucket ice fishing.</t>
  </si>
  <si>
    <t>He stands up and pulls a fish out of the hole.</t>
  </si>
  <si>
    <t>He cuts the hook out of the fish and throws the fish on the ice.</t>
  </si>
  <si>
    <t>He sits back down on the bucket.</t>
  </si>
  <si>
    <t>v_Ed9xVend710</t>
  </si>
  <si>
    <t>A still shot of a man on water skis is shown.</t>
  </si>
  <si>
    <t>It then jumps to the same man water skiing very intently.</t>
  </si>
  <si>
    <t>He falls a few times and does his best to stay upright.</t>
  </si>
  <si>
    <t>The video then shows other people trying their best but falling each time.</t>
  </si>
  <si>
    <t>The video continues to show people falling again and again.</t>
  </si>
  <si>
    <t>At the end, credits are shown as to who filmed and starred in the video.</t>
  </si>
  <si>
    <t>v_agZNSscDJww</t>
  </si>
  <si>
    <t>A man is playing the bagpipes.</t>
  </si>
  <si>
    <t>People are playing a game of lacrosse outside.</t>
  </si>
  <si>
    <t>v_YZhNtSJMzq8</t>
  </si>
  <si>
    <t>A boy mows a backyard using a mower that has a collecting bag on back.</t>
  </si>
  <si>
    <t>The boy pass the sidewalk and turn to the yard to continue cutting the grass.</t>
  </si>
  <si>
    <t>v_e0a1lp4ZWu8</t>
  </si>
  <si>
    <t>People are riding on horses in a field.</t>
  </si>
  <si>
    <t>A person in a red shirt is standing next to the horse.</t>
  </si>
  <si>
    <t>A man in a black hat is next to the horse.</t>
  </si>
  <si>
    <t>v_dSsMVoPLQOk</t>
  </si>
  <si>
    <t>A woman is seen shaving down the fur of a dog while the camera shows many dogs sitting in crates.</t>
  </si>
  <si>
    <t>A woman is seen speaking to the camera and showing off several dogs with long hair and afterwards.</t>
  </si>
  <si>
    <t>The woman continues shaving down the sides of the dog while stopping to speak to the camera and showing off the shaved dog.</t>
  </si>
  <si>
    <t>v_ztnt2EYuK3I</t>
  </si>
  <si>
    <t>A person in a black coat is scraping ice off of a window.</t>
  </si>
  <si>
    <t>A kid in a yellow coat is smiling at the camera.</t>
  </si>
  <si>
    <t>A boy in a green jacket is scraping the ice off of another car.</t>
  </si>
  <si>
    <t>v_YtgiDWEY_1A</t>
  </si>
  <si>
    <t>The news shows a picture of a man name Albertinho Gazio, Meanwhile a woman walking out of her house in snow gear towards her parked car.</t>
  </si>
  <si>
    <t>The man behind the camera seems to be Albertinho, He is walking through the snow and talking, he and his wife and taking off the snow from the cars in the parking lot.</t>
  </si>
  <si>
    <t>His hands are extremely red from the snow but his wife is wearing gloves so she's unaffected.</t>
  </si>
  <si>
    <t>He takes a paper out of his pocket and reads through it, while his wife laughs at him before they start walking back inside.</t>
  </si>
  <si>
    <t>v_g0Cp28ElIMk</t>
  </si>
  <si>
    <t>A girl put her foot on a line and then pulls herself up .</t>
  </si>
  <si>
    <t>Her feet are dirty but she is trying to balance on the rope.</t>
  </si>
  <si>
    <t>A man gets up on the rope trying to balance himself also, he has trouble maintaining his balance causing himself to almost fall quite a bit.</t>
  </si>
  <si>
    <t>He tried this over water and then he watches a woman try to balance herself.</t>
  </si>
  <si>
    <t>v_jtyWcZGp4VA</t>
  </si>
  <si>
    <t>A person take on the hands a small and big brush and a com, and points a jug of detergent and a spray bottle.</t>
  </si>
  <si>
    <t>The person takes the big brush and brush the back leg of the dog from top to bottom.</t>
  </si>
  <si>
    <t>After, the person brushes the back leg of the dog using the big brush, then she small brush and the comb.</t>
  </si>
  <si>
    <t>Next, the person sprays the leg of the dog and combs.</t>
  </si>
  <si>
    <t>v_xI4LLnFt6Io</t>
  </si>
  <si>
    <t>A person plays bagpipes on the streets as people pass by.</t>
  </si>
  <si>
    <t>The crowd is shown and someone takes a picture with the woman.</t>
  </si>
  <si>
    <t>v_t5Br7yOUe4g</t>
  </si>
  <si>
    <t>There's a gymnast wearing red leotards performing gymnastics on a horse bar in a large stadium with spectators and a panel of judges.</t>
  </si>
  <si>
    <t>She begins by getting onto the horse bar and does a front flips and a couple back flips.</t>
  </si>
  <si>
    <t>Then she continues twisting her legs and does another side flips by twisting her body.</t>
  </si>
  <si>
    <t>She then gracefully does few more continuous back flips and jumps off the bar and walks away.</t>
  </si>
  <si>
    <t>v_d8MgSp3oCoA</t>
  </si>
  <si>
    <t>Two sumos stand face to face on front a woman.</t>
  </si>
  <si>
    <t>Then, the sumos push each other while the woman watch them.</t>
  </si>
  <si>
    <t>After, a sumo falls on the ground heavily, then he stands.</t>
  </si>
  <si>
    <t>A man wearing yellow clothes approach the ring.</t>
  </si>
  <si>
    <t>v_Fz1NCLAB8bA</t>
  </si>
  <si>
    <t>Five products are aligned on a table,illustrating the products needed to shave.</t>
  </si>
  <si>
    <t>A young white male walks into the bathroom,turns on the water and begins to rub his beard.</t>
  </si>
  <si>
    <t>A series of different forms of the product is shown and then the man prepares his skin with oil and puts it around his beard.</t>
  </si>
  <si>
    <t>Next comes the brush and he adds some white cream to it to lather up his hair.</t>
  </si>
  <si>
    <t>Finally,it is time to shave and the beard is taken completely down.</t>
  </si>
  <si>
    <t>For the finishing touches,lotion is added and the man is now dressed in a suit ready to go.</t>
  </si>
  <si>
    <t>v_ydJsJgdaEq4</t>
  </si>
  <si>
    <t>A man wearing a hat is seen speaking to the camera and holding up various cleaning products.</t>
  </si>
  <si>
    <t>He then holds up a bottle and rag and begins wiping down a class door.</t>
  </si>
  <si>
    <t>He continues wiping down a door and speaking to the camera.</t>
  </si>
  <si>
    <t>v_7_5VT6QCqNI</t>
  </si>
  <si>
    <t>A man is talking to the camera while styling a woman's hair.</t>
  </si>
  <si>
    <t>The man is showing various hair care products.</t>
  </si>
  <si>
    <t>The man is drying the woman's hair with a blow dryer.</t>
  </si>
  <si>
    <t>The man shows a hair brush.</t>
  </si>
  <si>
    <t>The man hands the woman the brush and blow dryer.</t>
  </si>
  <si>
    <t>The woman proceeds to dry her own hair.</t>
  </si>
  <si>
    <t>The man resumes blow drying the woman's hair.</t>
  </si>
  <si>
    <t>The man sprays the woman's hair with hairspray.</t>
  </si>
  <si>
    <t>A row of hair care products is shown.</t>
  </si>
  <si>
    <t>A logo for hair care products is shown.</t>
  </si>
  <si>
    <t>v_46l7dmH8pCg</t>
  </si>
  <si>
    <t>A group of people are in the backyard of a house, playing croquette.</t>
  </si>
  <si>
    <t>A woman uses the mallet to hit the ball, then others join in.</t>
  </si>
  <si>
    <t>A man holding a mallet and ball talks about the process of how to play the game, playing and hitting the ball and he explains it.</t>
  </si>
  <si>
    <t>He then puts his arms out at his sides.</t>
  </si>
  <si>
    <t>v_-Wmrg_0jxA8</t>
  </si>
  <si>
    <t>A circle is formed of several children who are talking and banging each other in the head with foam mallets.</t>
  </si>
  <si>
    <t>The other people laugh as they watch.</t>
  </si>
  <si>
    <t>v_3A26j50_awY</t>
  </si>
  <si>
    <t>We see a track with people standing around.</t>
  </si>
  <si>
    <t>We see a man with a javelin run.</t>
  </si>
  <si>
    <t>The man returns and we see another javelin thrower with him.</t>
  </si>
  <si>
    <t>A man in red and white runs down a track and performs a high jump.</t>
  </si>
  <si>
    <t>The camera is lowered and covered by a hand.</t>
  </si>
  <si>
    <t>v_FaDD5MyZj88</t>
  </si>
  <si>
    <t>A man is shown doing a jump in slow motion on a track several times back to back.</t>
  </si>
  <si>
    <t>The camera shows several different angles of the athlete jumping in a line as well as into the pit on sand.</t>
  </si>
  <si>
    <t>He performs several long jumps back to back and shows off his distance acquired.</t>
  </si>
  <si>
    <t>v_cxIfpBvuk0E</t>
  </si>
  <si>
    <t>A girl is lighting a cigarette and blowing smoke.</t>
  </si>
  <si>
    <t>An arm comes into view and the girl smells it.</t>
  </si>
  <si>
    <t>She smokes some more and blows smoke as she plays with her hair.</t>
  </si>
  <si>
    <t>She is saying something to the camera as she smokes.</t>
  </si>
  <si>
    <t>She thumps her ashes and continues to smoke.</t>
  </si>
  <si>
    <t>She turns around and then back to smoking.</t>
  </si>
  <si>
    <t>She sticks her tongue out.</t>
  </si>
  <si>
    <t>She pans over to a picture of a crazy looking woman and tries to imitate it.</t>
  </si>
  <si>
    <t>She continues to smoke and talk to the camera.</t>
  </si>
  <si>
    <t>She makes faces at the camera.</t>
  </si>
  <si>
    <t>She gets up close to the camera as someone walks behind her.</t>
  </si>
  <si>
    <t>v_uLT7PmD_AJA</t>
  </si>
  <si>
    <t>A person's hands are seen working on the head of a human and placing pieces of hair into the head.</t>
  </si>
  <si>
    <t>The person ties the hair into several braids and then transitions into pictures of the hair in an updo.</t>
  </si>
  <si>
    <t>v_a5R0qO5NynU</t>
  </si>
  <si>
    <t>A woman does hula hoops outside and then in the dark alternating.</t>
  </si>
  <si>
    <t>A man takes a hula hoop and describes it before cutting back to the woman.</t>
  </si>
  <si>
    <t>v_sC_hs-OXERg</t>
  </si>
  <si>
    <t>A man is seen bending over a block of wood and sanding it own.</t>
  </si>
  <si>
    <t>He pours out more liquids in front of a group of people and rubs it all along the block of wood.</t>
  </si>
  <si>
    <t>He continues rubbing it down while people on the sidelines watch.</t>
  </si>
  <si>
    <t>v_pcaPtKtS03E</t>
  </si>
  <si>
    <t>A close up of a christmas tree is shown followed by a young child hanging up ornaments.</t>
  </si>
  <si>
    <t>The girl walks back and fourth hanging up ornaments all over a tree.</t>
  </si>
  <si>
    <t>The girl continues to hang up ornaments while the camera captures her movements.</t>
  </si>
  <si>
    <t>v_z4_OuffZPAo</t>
  </si>
  <si>
    <t>A man peels a potato while blindfolded and two little girls watch.</t>
  </si>
  <si>
    <t>The man finishes and holds up the potato to the camera.</t>
  </si>
  <si>
    <t>The man picks up a peel off the table.</t>
  </si>
  <si>
    <t>the man removes his blindfold.</t>
  </si>
  <si>
    <t>v_VuEy38XdUgA</t>
  </si>
  <si>
    <t>The video starts with several people playing shuffleboard on a shuffleboard court.</t>
  </si>
  <si>
    <t>One person makes a shot with a black puck.</t>
  </si>
  <si>
    <t>The next person makes a shot with a yellow puck.</t>
  </si>
  <si>
    <t>The people continue to alternate shots between a yellow and a black puck.</t>
  </si>
  <si>
    <t>v_pOO6H6d5SXI</t>
  </si>
  <si>
    <t>An elderly man is seated in the living room.</t>
  </si>
  <si>
    <t>He is playing an accordian.</t>
  </si>
  <si>
    <t>He continues playing the accordian for the camera.</t>
  </si>
  <si>
    <t>v_6_XA3oKwwzU</t>
  </si>
  <si>
    <t>A woman is playing an acoustic guitar.</t>
  </si>
  <si>
    <t>A woman standing next to her is dancing and twirling a baton.</t>
  </si>
  <si>
    <t>v_9nh_6Hzg_aw</t>
  </si>
  <si>
    <t>A person is shown looking around a city and begins washing windows with his tools.</t>
  </si>
  <si>
    <t>He goes up and down the windows at a rapid pace and continues filming himself through the glass.</t>
  </si>
  <si>
    <t>He finishes the glass in record time and turns off the camera.</t>
  </si>
  <si>
    <t>v_o5j6N8O6HS4</t>
  </si>
  <si>
    <t>One man is explaining to another man how to use a rowing machine.</t>
  </si>
  <si>
    <t>One of the main starts to row on the rowing machine before the other.</t>
  </si>
  <si>
    <t>Next, the other man joins the first man and starts to row.</t>
  </si>
  <si>
    <t>v_GlAEgSWM2nQ</t>
  </si>
  <si>
    <t>A man in shorts is shown in front of some bushes and is trimming them with a manual trimmer.</t>
  </si>
  <si>
    <t>He is being very precise and going a very detailed job.</t>
  </si>
  <si>
    <t>He goes up and down the length of the bushes and is paying attention to every part of them.</t>
  </si>
  <si>
    <t>He then moves higher and higher getting the very top of the bush.</t>
  </si>
  <si>
    <t>v_3fg_CB3rBSk</t>
  </si>
  <si>
    <t>kids are in a park around a squarepants bob sponge piñata pulling threads.</t>
  </si>
  <si>
    <t>woman is behind playground holding a bag and watching the kids.</t>
  </si>
  <si>
    <t>woman holds the piñata while kids keep pulling from the piñata.</t>
  </si>
  <si>
    <t>kid pulls the thread and opn the piñata and kneel in the floor picking up candies.</t>
  </si>
  <si>
    <t>v_hV_Ud3zrAnA</t>
  </si>
  <si>
    <t>Several people are seen jumping roping with one another as well as on their own as others watch on the side.</t>
  </si>
  <si>
    <t>The people performing several jumps and spins with the jump rope as well as shots that are shown in slow motion.</t>
  </si>
  <si>
    <t>v_OeIQ0P0FCCg</t>
  </si>
  <si>
    <t>A person sitting on a bicycle is seen sitting before a track start with others and leads into him completing a race.</t>
  </si>
  <si>
    <t>Several more shots are shown of people racing all together as well as the man riding around and others recording him.</t>
  </si>
  <si>
    <t>v_0BXBfSWIR2k</t>
  </si>
  <si>
    <t>A wind surfer surfs against heavy waves.</t>
  </si>
  <si>
    <t>The surfer flings his board against a wave, flying high into the air.</t>
  </si>
  <si>
    <t>The surfer lands back on the waters and resumes his surf.</t>
  </si>
  <si>
    <t>v_PBZScfP9ynI</t>
  </si>
  <si>
    <t>A woman is doing kickboxing in front of a mirrored wall.</t>
  </si>
  <si>
    <t>She high kicks her legs into the air.</t>
  </si>
  <si>
    <t>She alternates the kicks with punches.</t>
  </si>
  <si>
    <t>v_PFYk8lhE7-0</t>
  </si>
  <si>
    <t>A man is outside with a large metal box.</t>
  </si>
  <si>
    <t>Another man is sanding a wall and ceiling inside a building.</t>
  </si>
  <si>
    <t>They then sand the floors.</t>
  </si>
  <si>
    <t>v__Z71mu4aQy4</t>
  </si>
  <si>
    <t>A cricket player hits a ball that is pitched.</t>
  </si>
  <si>
    <t>A player makes a diving catch in the outfield.</t>
  </si>
  <si>
    <t>The player smiles and is a good sport.</t>
  </si>
  <si>
    <t>v_-z0ZvJD9gY4</t>
  </si>
  <si>
    <t>A young man is seen spraying down a dog with water in the middle of an alleyway while the dog moves away from the water.</t>
  </si>
  <si>
    <t>The person continues spraying the dog with the hose and standing waiting for the dog.</t>
  </si>
  <si>
    <t>v_mQoYAZ2BLDM</t>
  </si>
  <si>
    <t>Two people arm wrestle in a competition.</t>
  </si>
  <si>
    <t>The losers arm is hurt.</t>
  </si>
  <si>
    <t>v_-y8LMGQt8uI</t>
  </si>
  <si>
    <t>A group of people are seen going up and down snowy mountains on skis and in ski cars.</t>
  </si>
  <si>
    <t>A view is then seen of the snowy mountains with a bridge in front.</t>
  </si>
  <si>
    <t>v_CBN0dqyWB7w</t>
  </si>
  <si>
    <t>A man is seen kneeling down next to a car while speaking to the camera.</t>
  </si>
  <si>
    <t>The camera pans all around the car as well as the tire while the man continues to speak to the camera.</t>
  </si>
  <si>
    <t>v_XkVicWlqTV4</t>
  </si>
  <si>
    <t>A man serves a ball in a beach volleyball game, then he run on front the net to receive the ball while people watch the game in a beach.</t>
  </si>
  <si>
    <t>A serves a ball and plays while people watch the game in a beach.</t>
  </si>
  <si>
    <t>v_u_G3ZPXU35A</t>
  </si>
  <si>
    <t>A pair of french doors is shown on a house.</t>
  </si>
  <si>
    <t>A man demonstrates how to clean the glass in the windows of the doors.</t>
  </si>
  <si>
    <t>He scrubs them with a cloth, wiping them clean.</t>
  </si>
  <si>
    <t>He continues going down one door, cleaning each individual window.</t>
  </si>
  <si>
    <t>v_aj1ole7T9hc</t>
  </si>
  <si>
    <t>A woman is mowing a lawn, pushing the mower back and forth.</t>
  </si>
  <si>
    <t>She covers half the lawn and driveway before the video ends.</t>
  </si>
  <si>
    <t>v_cK1ssoaX768</t>
  </si>
  <si>
    <t>A group of men plays soccer in a sand area.</t>
  </si>
  <si>
    <t>A crowd watches from the the stands.</t>
  </si>
  <si>
    <t>A goalie tries to block a ball and does the splits but misses the ball.</t>
  </si>
  <si>
    <t>v_br8Ao_UBEZA</t>
  </si>
  <si>
    <t>Two men enter the racquetball room.</t>
  </si>
  <si>
    <t>The two men start playing racquetball, running around the room trying to hit the ball.</t>
  </si>
  <si>
    <t>A man leaved the room and looks into the camera.</t>
  </si>
  <si>
    <t>v_iuEuMQUXLVw</t>
  </si>
  <si>
    <t>woman is standing in a kitchen and is eating a cake full of cream.</t>
  </si>
  <si>
    <t>a cake is in a pot on the counter, woman is speaking to the camera in the kitchen.</t>
  </si>
  <si>
    <t>cake mix is beat with a mixer, the woman keeps talking and mixing the cake.</t>
  </si>
  <si>
    <t>oil is in a pot.</t>
  </si>
  <si>
    <t>woman holds a green pot full of sand and its putted on the pressure cooker.</t>
  </si>
  <si>
    <t>put the mixer on the oily pot.</t>
  </si>
  <si>
    <t>the pression mix is open and then closed while the woman keeps talking in the kitchen, after a ime she open the pot and the cake is ready.</t>
  </si>
  <si>
    <t>a decorated cake is shown and the cakes along the pression pot.</t>
  </si>
  <si>
    <t>v_c7Rxe5IzUQw</t>
  </si>
  <si>
    <t>A black and white video shows two people in a bedroom, playing guitars.</t>
  </si>
  <si>
    <t>They continue throughout the video, shaking somewhat as they play.</t>
  </si>
  <si>
    <t>v_KU4twxFnX5Q</t>
  </si>
  <si>
    <t>A group of runners walk down a dirt path.</t>
  </si>
  <si>
    <t>They begin running, being passed by cars as they go.</t>
  </si>
  <si>
    <t>They continue running through the town together.</t>
  </si>
  <si>
    <t>v_AOBkrb8yYS4</t>
  </si>
  <si>
    <t>A close up of a ball is shown followed by a person hitting the ball in several locations.</t>
  </si>
  <si>
    <t>The man continues to demonstrate how to hit the ball in various angles as well as kneeling on the ground to shoot.</t>
  </si>
  <si>
    <t>v_ZlHaPkhGr_g</t>
  </si>
  <si>
    <t>There's a girl with long brown hair playing the harmonica in a hospital elevator.</t>
  </si>
  <si>
    <t>The elevator door opens and several people enter the elevator.</t>
  </si>
  <si>
    <t>She continues playing her harmonica.</t>
  </si>
  <si>
    <t>There's a young boy and his mother who smile at the lady as she plays.</t>
  </si>
  <si>
    <t>Then they get off the elevator when they reach their level.</t>
  </si>
  <si>
    <t>The lady continues playing the harmonica as the elevator moves further and stops at other levels and more people walk in.</t>
  </si>
  <si>
    <t>People continue to get on and off the elevator but she continues to play her harmonica.</t>
  </si>
  <si>
    <t>A person enters the elevator with a man on a stretcher along with some other people.</t>
  </si>
  <si>
    <t>They smile at her and compliment her.</t>
  </si>
  <si>
    <t>They get off the elevator when they reach their desired level in the hospital.</t>
  </si>
  <si>
    <t>v_An_CpsJkJMM</t>
  </si>
  <si>
    <t>A toddler wash his hands in the sink.</t>
  </si>
  <si>
    <t>Then, the toddler splash water on his face and smile.</t>
  </si>
  <si>
    <t>The toddled puts water on his face, and then moves his head.</t>
  </si>
  <si>
    <t>v_e07y3QI4Kbg</t>
  </si>
  <si>
    <t>Two people are seen arm wrestling with one another while one man holds their hands.</t>
  </si>
  <si>
    <t>The men then continue to wrestle with one slamming the other's hand down.</t>
  </si>
  <si>
    <t>v_tA4KrZHGoYQ</t>
  </si>
  <si>
    <t>A group of people are seen huddled around and leads into a group of them riding down a river with one man's help.</t>
  </si>
  <si>
    <t>The ride continuously down the river bumping into rocks along the way and leads to them walking out on the side.</t>
  </si>
  <si>
    <t>Finally a picture of them all together in shown in the end.</t>
  </si>
  <si>
    <t>v_-1CEVKeAyA8</t>
  </si>
  <si>
    <t>An older woman is seen sitting in a chair knitting while holding two needles and leads into her showing off her knitting basket and speaking to the camera.</t>
  </si>
  <si>
    <t>The woman continues speaking while holding the knitting tools and ends by fading to black.</t>
  </si>
  <si>
    <t>v_5aMigcn2cU8</t>
  </si>
  <si>
    <t>A group of two women and two men pose together.</t>
  </si>
  <si>
    <t>They are then shown performing an art exercise called zumba inside a building.</t>
  </si>
  <si>
    <t>They dance back and forth in unison, then are shown posing together at the end as musical notes float across the screen.</t>
  </si>
  <si>
    <t>v_IBkHS9Zl2z8</t>
  </si>
  <si>
    <t>A man in a brown coat and hat is shoveling the snow from his driveway.</t>
  </si>
  <si>
    <t>Pictures of the man are being shown.</t>
  </si>
  <si>
    <t>The man gets out a snowblower and starts snowblowing his driveway.</t>
  </si>
  <si>
    <t>A woman in a blue coat is talking.</t>
  </si>
  <si>
    <t>The man continues snowblowing before talking to the camera.</t>
  </si>
  <si>
    <t>v_-UfNSW7yeSo</t>
  </si>
  <si>
    <t>A person welds a seam of a large metal pipe wearing protective mask.</t>
  </si>
  <si>
    <t>The person peers through a tiny hole in a piece of metal.</t>
  </si>
  <si>
    <t>The man finishes the weld and the seam is seen glowing red hot.</t>
  </si>
  <si>
    <t>A man taps the finished welled with a metal file.</t>
  </si>
  <si>
    <t>v_vNzTWjEFr-Y</t>
  </si>
  <si>
    <t>The video shows a person's hand holding up an acoustic guitar.</t>
  </si>
  <si>
    <t>The Yamaha case of the guitar is also shown.</t>
  </si>
  <si>
    <t>A young man is seen playing his acoustic guitar.</t>
  </si>
  <si>
    <t>He is strumming his guitar to a tune.</t>
  </si>
  <si>
    <t>v_7e035QnLp0c</t>
  </si>
  <si>
    <t>A man is seen in several locations walking along a long rope tied to two trees.</t>
  </si>
  <si>
    <t>The man continues performing several variations on how to walk on the rope as well as jumping up and down and continuing to walk.</t>
  </si>
  <si>
    <t>v_99PtaOQbBIY</t>
  </si>
  <si>
    <t>Several cats are shown sitting around followed by a man speaking to the camera.</t>
  </si>
  <si>
    <t>More shots are shown of cars and leads into a woman cutting a cat's claws.</t>
  </si>
  <si>
    <t>Several products are shown laid out as well as several people holding cats and cutting their nails.</t>
  </si>
  <si>
    <t>v_VoQ2VhCqir0</t>
  </si>
  <si>
    <t>men is holding a bucket and is standing in the oof of a house and its working on it.</t>
  </si>
  <si>
    <t>man is doing the mix in a bucket in a floor and in the roof again.</t>
  </si>
  <si>
    <t>v_I-vi5EpjrFI</t>
  </si>
  <si>
    <t>Text is shown across the screen leading into two women speaking to one another.</t>
  </si>
  <si>
    <t>One takes a sip of mouth wash and spits it into the sink.</t>
  </si>
  <si>
    <t>She hands the container back to the woman who turns to speak to the camera.</t>
  </si>
  <si>
    <t>v_6eQuZddoEcI</t>
  </si>
  <si>
    <t>Three athletes perform hammer throws at a professional sports event in front of an audience in bleachers and score keepers.</t>
  </si>
  <si>
    <t>A man spins a hammer throw sports hammer around and around again at a professional sports event and then lets it go to fly into a field surrounded by an audience in bleachers.</t>
  </si>
  <si>
    <t>The athlete walks away and looks disappointed as a scoreboard reveals the score.</t>
  </si>
  <si>
    <t>Two more athletes perform the same sport in the same way both letting the hammer fly in the air.</t>
  </si>
  <si>
    <t>A final scoreboard displays showing hammer throw scores.</t>
  </si>
  <si>
    <t>v_4l8r_wBuJ6Y</t>
  </si>
  <si>
    <t>A man is wearing a yellow vest.</t>
  </si>
  <si>
    <t>He is standing in front of a building cleaning a window.</t>
  </si>
  <si>
    <t>A person is seen looking out one of the windows.</t>
  </si>
  <si>
    <t>v_g0RK-2ydod0</t>
  </si>
  <si>
    <t>A chef is seen standing before a table with various objects laid out and pulling a piece of food out of pot.</t>
  </si>
  <si>
    <t>He shows the object to the camera and begins peeling it out into a bowl.</t>
  </si>
  <si>
    <t>The person then cuts up the food and continues peeling more into a pot.</t>
  </si>
  <si>
    <t>v_TjDlEonao3s</t>
  </si>
  <si>
    <t>There's a woman doing a tutorial on how to use a curling iron on a model's hair.</t>
  </si>
  <si>
    <t>She takes sections of the model's hair one at time and puts it into the curling iron and then releases it gradually to pull out the curls.</t>
  </si>
  <si>
    <t>She continues the process till the entire head of hair is curled with the iron.</t>
  </si>
  <si>
    <t>The model then smiles and takes a selfie while looking in the mirror.</t>
  </si>
  <si>
    <t>v_wfSh2F8ymIg</t>
  </si>
  <si>
    <t>A camera shows a person's feet riding down a snow mountain while spinning around in circles.</t>
  </si>
  <si>
    <t>The person continues spinning down the hill while a large crowd watches on the side and a young boy jumps up at the bottom.</t>
  </si>
  <si>
    <t>v_1opIvQF0m_M</t>
  </si>
  <si>
    <t>A person on a skateboard moves over and ramp and up on a corner.</t>
  </si>
  <si>
    <t>The camera shows him doing various moves and interviewing the camera.</t>
  </si>
  <si>
    <t>Another man rides a wakeboard doing and tricks and eventually falls.</t>
  </si>
  <si>
    <t>Several other clips are shown of people kayaking doing several stunts while the camera records.</t>
  </si>
  <si>
    <t>v_soeRPsbkfas</t>
  </si>
  <si>
    <t>A man is shown doing several different long jumps back to back while the camera captures him.</t>
  </si>
  <si>
    <t>He swings his arms around to demonstrate a proper move followed by several more jumps.</t>
  </si>
  <si>
    <t>v_YonmpJvwmKM</t>
  </si>
  <si>
    <t>A man is pictured next to an ad for yoga.</t>
  </si>
  <si>
    <t>He is standing in a forest, making slow and graceful yoga moves.</t>
  </si>
  <si>
    <t>He stands on a platform, continuing the graceful movements.</t>
  </si>
  <si>
    <t>We then see him again in the woods, still performing yoga quietly.</t>
  </si>
  <si>
    <t>v_ComW-O6dMW4</t>
  </si>
  <si>
    <t>These two men are shown spraying the exterior of the black car with soap.</t>
  </si>
  <si>
    <t>Then they started hand washing the car using their hands and a towel.</t>
  </si>
  <si>
    <t>They scrubbed almost everywhere to make the black turn into shine.</t>
  </si>
  <si>
    <t>v_CIPSw35iF3k</t>
  </si>
  <si>
    <t>A person is slicing a potato.</t>
  </si>
  <si>
    <t>They stack up the potato slices and start chopping them into tiny pieces.</t>
  </si>
  <si>
    <t>He sets the pieces on a plate sitting in a sink.</t>
  </si>
  <si>
    <t>There is plates of food in the sink.</t>
  </si>
  <si>
    <t>He empties the plates into a pot.</t>
  </si>
  <si>
    <t>He stirs everything in the pot together.</t>
  </si>
  <si>
    <t>He then takes a scoop of that and puts it on a plate with vegetables on it.</t>
  </si>
  <si>
    <t>He tops it with garnishments.</t>
  </si>
  <si>
    <t>v_9wMEbyzxNHI</t>
  </si>
  <si>
    <t>men are talking to the camera sitting in a chair.</t>
  </si>
  <si>
    <t>men taking off their glasses and shave the half of their faces while a woman is putting some makeup on them, doing their eyebrows and putting some eyeliner and lashes.</t>
  </si>
  <si>
    <t>men look at them in the mirror with the half way of the face with makeup and the oher half without makeup and are talking to the camera.</t>
  </si>
  <si>
    <t>v_jCNaa108OhI</t>
  </si>
  <si>
    <t>People shovels the snow using a wheeled snow shovel.</t>
  </si>
  <si>
    <t>Then, a man demonstrates how to shovel the snow, the he uses a bag.</t>
  </si>
  <si>
    <t>v_dY2iZq5T0zo</t>
  </si>
  <si>
    <t>A group of people are riding horses and playing polo.</t>
  </si>
  <si>
    <t>They fight over the ball in front of the watching crowd.</t>
  </si>
  <si>
    <t>When it's over, they pose for pictures outside the rodeo and stadium.</t>
  </si>
  <si>
    <t>v_Qyruw9480BU</t>
  </si>
  <si>
    <t>A lady in a pink shirt stands in a laundry room talking to the camera.</t>
  </si>
  <si>
    <t>The camera zooms out to show us the whole room.</t>
  </si>
  <si>
    <t>The lady shows us a spray bottle and shakes it up.</t>
  </si>
  <si>
    <t>The lady then speaks to the camera.</t>
  </si>
  <si>
    <t>v_lEYr4d4vBWc</t>
  </si>
  <si>
    <t>A close up of a wall is shown followed by several clips of men opening a window.</t>
  </si>
  <si>
    <t>They're also seen working on a roof and putting tiles down on the side.</t>
  </si>
  <si>
    <t>They put in a window and end by closing up.</t>
  </si>
  <si>
    <t>v_3ZJQHfrfR2M</t>
  </si>
  <si>
    <t>A man is cleaning leaves off a sidewalk with a broom and a shovel.</t>
  </si>
  <si>
    <t>The man sweeps the leaves in a circle and puts them in the bin.</t>
  </si>
  <si>
    <t>A yellow bus rides past the man.</t>
  </si>
  <si>
    <t>The man sweeps again and puts the leaves in the bin.</t>
  </si>
  <si>
    <t>v_1ErQKcUju8o</t>
  </si>
  <si>
    <t>A tutorial is presented on how to do simple ballet moves.</t>
  </si>
  <si>
    <t>After showing the materials, the teacher touches the student to show perfect form.</t>
  </si>
  <si>
    <t>v_fBov3cwPEho</t>
  </si>
  <si>
    <t>We see a man and a baby decorating a Christmas tree.</t>
  </si>
  <si>
    <t>The baby takes a blue bulb off the tree.</t>
  </si>
  <si>
    <t>The dad puts it back and the baby takes it again.</t>
  </si>
  <si>
    <t>The child turns towards the camera and the dad walks to a counter.</t>
  </si>
  <si>
    <t>The child drops the blue bulb and goes for another.</t>
  </si>
  <si>
    <t>The child adds another blue bulb to the tree.</t>
  </si>
  <si>
    <t>The camera pans up to show the tree and then shows the stockings.</t>
  </si>
  <si>
    <t>v_jbSBQL08VHA</t>
  </si>
  <si>
    <t>A man is seen speaking to the camera and working on a bike followed by him pulling chains and spinning wheels on the bike.</t>
  </si>
  <si>
    <t>He peddles the bike and shows the tire spinning again, ending with him tightening the tire and spinning it once more.</t>
  </si>
  <si>
    <t>v_tS-MHCJKMgM</t>
  </si>
  <si>
    <t>A welding specialist from Tulsa Welding School is demonstrating how to weld.</t>
  </si>
  <si>
    <t>He explains the techniques of welding with the help of welder wearing protective gear and mask, using the blow torch.</t>
  </si>
  <si>
    <t>v_WVaYjd1F8kg</t>
  </si>
  <si>
    <t>A person cuts a pepper and put in a bowl.</t>
  </si>
  <si>
    <t>Also, the person cook noodles in a pot.</t>
  </si>
  <si>
    <t>Then, the person fry mushrooms in a pan, add salt, garlic, tomatoes and roots.</t>
  </si>
  <si>
    <t>After, the person add the pepper and the noodles, mix and serves.</t>
  </si>
  <si>
    <t>v_sCCJpFKVV8g</t>
  </si>
  <si>
    <t>A woman is seen bending over a table with a tattoo artist rubbing her back from behind and grabbing a tattoo needle.</t>
  </si>
  <si>
    <t>The woman then begins tattooing the back of the woman while the camera pans around from various angles.</t>
  </si>
  <si>
    <t>v_moqRG7uwZ4Q</t>
  </si>
  <si>
    <t>A view of a leaf blower lays on the ground in a yard.</t>
  </si>
  <si>
    <t>The leaf blower blows brown dried up leaves using the leaf blower.</t>
  </si>
  <si>
    <t>The leaves are blown away from some lawn furniture and blown towards the middle of the yard.</t>
  </si>
  <si>
    <t>v_B-lmXhRr6bE</t>
  </si>
  <si>
    <t>A large black item is drawn on a long sheet of white paper.</t>
  </si>
  <si>
    <t>A person uses a brush to continue the painting.</t>
  </si>
  <si>
    <t>They add leaves, creating a black plant.</t>
  </si>
  <si>
    <t>v_VLmZ3M3wSbo</t>
  </si>
  <si>
    <t>A young man is seen holding his eye open in front of a mirror and attempting to put a contact lens in.</t>
  </si>
  <si>
    <t>He drops the lens on the sink and again tries to put the contact into his eye.</t>
  </si>
  <si>
    <t>He drops the lens again and continues trying to put it into his eye and the camera moves around in the end.</t>
  </si>
  <si>
    <t>v_ti3EHJLR2mU</t>
  </si>
  <si>
    <t>The video is a tutorial on how to make Alfredo sauce pasta.</t>
  </si>
  <si>
    <t>A lady with blond hair wearing a maroon tank top is demonstrating how to boil water to make bow-tie pasta.</t>
  </si>
  <si>
    <t>She then strains the pasta out in a bowl by throwing out the excess water.</t>
  </si>
  <si>
    <t>Then she takes a stick of butter and cuts it and adds to a saucepan.</t>
  </si>
  <si>
    <t>then she adds some milk and cheese to it and stirs it in with the cooked pasta.</t>
  </si>
  <si>
    <t>She adds some more milk and cheese to the pasta to make the sauce.</t>
  </si>
  <si>
    <t>She continues stirring the pasta in the saucepan.</t>
  </si>
  <si>
    <t>She serves the pasta in a square brown plate and takes a spoonful of the pasta to taste it.</t>
  </si>
  <si>
    <t>She is happy with the way it turned out.</t>
  </si>
  <si>
    <t>v_LDjomH0-hYA</t>
  </si>
  <si>
    <t>A woman wearing a dress is dancing on a stage.</t>
  </si>
  <si>
    <t>Smoke is pumped out onto the stage behind her.</t>
  </si>
  <si>
    <t>She bows at the end and steps back.</t>
  </si>
  <si>
    <t>v_f9Bo4yVcnDE</t>
  </si>
  <si>
    <t>A man wearing a black coat is chopping a piece of wood with an ax.</t>
  </si>
  <si>
    <t>He tries again and chops it again.</t>
  </si>
  <si>
    <t>He moves the stump and tries to chop it again.</t>
  </si>
  <si>
    <t>He continues to chop the wood.</t>
  </si>
  <si>
    <t>v_I7Sole68Gag</t>
  </si>
  <si>
    <t>Swimmers are swimming to one side of the pool and then they stop briefly.</t>
  </si>
  <si>
    <t>Some swimmers on the side lines are watching them.</t>
  </si>
  <si>
    <t>They start throwing a ball back and forth around.</t>
  </si>
  <si>
    <t>A man in the corner of the pool tries to catch the ball and misses it.</t>
  </si>
  <si>
    <t>v_hSYfK-W2UJQ</t>
  </si>
  <si>
    <t>A woman talks, facing the camera while holding two dumbbells and then demonstrates a spin cycle exercise in front of a class in a gym.</t>
  </si>
  <si>
    <t>A woman stands and talks while facing the the camera, in a gym, with a wall of mirrors to her side and several people behind her standing near various pieces of gym equipment.</t>
  </si>
  <si>
    <t>The woman, now wearing a headset with a mic attached to the mouthpiece, starts cycling very fast on a spin cycle machine in front of a mirror with a class of people behind her who are also on spin cycle machines.</t>
  </si>
  <si>
    <t>The woman then lifts dumbbells with her arms while standing, lifts dumbbells while sitting on the floor and then returns to the spin cycle machine before the scene fades to black.</t>
  </si>
  <si>
    <t>v_MYzG-TsW8w8</t>
  </si>
  <si>
    <t>Four men are outside in a field throwing a baseball to each other.</t>
  </si>
  <si>
    <t>A ball then rolls into a pond and a little boy grabs it and throws it.</t>
  </si>
  <si>
    <t>The scene moves to a playground and the boys begin going down the slide.</t>
  </si>
  <si>
    <t>More kids are shown and they are doing various activities as they play such as the see saw,monkey bars and swings.</t>
  </si>
  <si>
    <t>On the side,a boy begins pumping his tire and a small baby is shown bathing in a basin.</t>
  </si>
  <si>
    <t>v_7rvrBulkd5c</t>
  </si>
  <si>
    <t>An exercise instructor is explaining the step.</t>
  </si>
  <si>
    <t>She steps up on it and begins to show the exercises.</t>
  </si>
  <si>
    <t>She goes in front of it and shows more exercises, stepping up and down and raising her arms as she steps.</t>
  </si>
  <si>
    <t>She stops and explains more.</t>
  </si>
  <si>
    <t>She turns back to the step and begins more advances steps.</t>
  </si>
  <si>
    <t>She stops for moment and shows the fast step again.</t>
  </si>
  <si>
    <t>v_upic9S0oEhg</t>
  </si>
  <si>
    <t>Two men play a song on a guitars together in a dimly lit room.</t>
  </si>
  <si>
    <t>Ones down to play the acoustic guitar.</t>
  </si>
  <si>
    <t>v_bOULU-0Nloc</t>
  </si>
  <si>
    <t>In a sped up mode an elderly man walks to the front of a house and grabs a blue snow plow.</t>
  </si>
  <si>
    <t>Continuing in the sped up mode, the man begins to plow snow to make a path.</t>
  </si>
  <si>
    <t>The man then moves the camera view and plows the snow in a different area that is fenced in.</t>
  </si>
  <si>
    <t>The man grabs the camera, points to the plow and then pans to the different areas of the yard.</t>
  </si>
  <si>
    <t>The man then goes indoors to show a messy and cluttered workshop filled with tools and supplies.</t>
  </si>
  <si>
    <t>The man goes back outside, shows his dog and walks around his yard, puts his dog down and the dog runs back to the workshop and pushes the door open.</t>
  </si>
  <si>
    <t>v_fllAtkXf7pw</t>
  </si>
  <si>
    <t>A lady sits back, talks, and drinks coffee.</t>
  </si>
  <si>
    <t>Credits of the clip are shown.</t>
  </si>
  <si>
    <t>v_QinlLV8QKBU</t>
  </si>
  <si>
    <t>A old man puts salt to bowling water in a pot, then he adds pasta and let cook for one minute.</t>
  </si>
  <si>
    <t>Then, the man turns off the stove and puts on the pot a cloth and a lid and let it for 10 min.</t>
  </si>
  <si>
    <t>After, the man drains the pasta in the sink.</t>
  </si>
  <si>
    <t>A woman comes and taste the cooked pasta and gives a thump up.</t>
  </si>
  <si>
    <t>v_ksvIIhvmSRM</t>
  </si>
  <si>
    <t>A man is seen sitting in a tube speaking and leads into people walking around carrying tubes.</t>
  </si>
  <si>
    <t>Shots of the water is shown followed by people riding down a river on the tubes.</t>
  </si>
  <si>
    <t>The people continue to ride down one after the other while people watch on the side.</t>
  </si>
  <si>
    <t>v_9RcCkU6dVD0</t>
  </si>
  <si>
    <t>A girl hits a pinata with an orange, toy bat.</t>
  </si>
  <si>
    <t>The bat falls and the girl picks it up.</t>
  </si>
  <si>
    <t>Behind her, a boy demonstrates how she should hit and cheers her on.</t>
  </si>
  <si>
    <t>v_TL7hwQauhFo</t>
  </si>
  <si>
    <t>In an indoor court teams of men are playing soccer while audience sits in the stadium.</t>
  </si>
  <si>
    <t>The team in black is trying to prevent the other team in red from scoring, the goalie blocks the score.</t>
  </si>
  <si>
    <t>They run up and down the court trying to score and keep the other from scoring.</t>
  </si>
  <si>
    <t>The red team scores and it's 1-1, they continue back on the court til the game is over.</t>
  </si>
  <si>
    <t>v_H2l7GraYFhI</t>
  </si>
  <si>
    <t>A band plays on a stage.</t>
  </si>
  <si>
    <t>A man in a suit plays the saxophone up front wearing sunglasses.</t>
  </si>
  <si>
    <t>v_BV4zqyN8hLs</t>
  </si>
  <si>
    <t>Various clips are shown of a man wake boarding and doing flips followed by him sitting on a boat and speaking to the camera.</t>
  </si>
  <si>
    <t>Several more shots of him riding and speaking are shown as well as a blonde woman also wake boarding.</t>
  </si>
  <si>
    <t>The two ride along the water together while the man continues to speak to the camera.</t>
  </si>
  <si>
    <t>v_ApH2nZIq2tU</t>
  </si>
  <si>
    <t>A band appears, walking down the street and across a field as they play for a crowd.</t>
  </si>
  <si>
    <t>Words appear on the screen talking about celebrating March 4th with a parade.</t>
  </si>
  <si>
    <t>v_d14twk9O2Vw</t>
  </si>
  <si>
    <t>An introduction comes onto the screen for a video about a tour for a band.</t>
  </si>
  <si>
    <t>They are shown getting haircuts in a barbershop and commentating about the haircut.</t>
  </si>
  <si>
    <t>They are also shown jamming out in a session with several people dancing around and having a good time.</t>
  </si>
  <si>
    <t>v_8OA30kYcAUQ</t>
  </si>
  <si>
    <t>A man rakes brown leaves in a lawn.</t>
  </si>
  <si>
    <t>The man puts the leaves in a trashcan.</t>
  </si>
  <si>
    <t>The man stops and moves the trashcan.</t>
  </si>
  <si>
    <t>The man pulls out a black object from his pocket and presents it.</t>
  </si>
  <si>
    <t>The man screws the black object at the end of the rake handle.</t>
  </si>
  <si>
    <t>The man moves the trashcan and rakes.</t>
  </si>
  <si>
    <t>The man stop raking, walks toward a tree, and hangs the rake on the tree.</t>
  </si>
  <si>
    <t>The man removes a pair of rakes for the tree and lifts it above his head.</t>
  </si>
  <si>
    <t>The man uses the dual rakes to pick up the leaves and put them into the trashcan.</t>
  </si>
  <si>
    <t>The man lifts the dual rakes above his head and then pairs them together.</t>
  </si>
  <si>
    <t>The man takes the paired rakes back to the tree where he hangs them on a branch.</t>
  </si>
  <si>
    <t>v_0vJfctL116Y</t>
  </si>
  <si>
    <t>A woman in a white apron is slicing lettuce on a board.</t>
  </si>
  <si>
    <t>She dries and cuts some cucumbers to put in a bowl of salad.</t>
  </si>
  <si>
    <t>She tosses the salad with her hands.</t>
  </si>
  <si>
    <t>She grabs a bottle of vinegar and pours it on top of the salad.</t>
  </si>
  <si>
    <t>She opens a bottle with her teeth and pours that onto the salad too.</t>
  </si>
  <si>
    <t>She puts more dressing on the salad.</t>
  </si>
  <si>
    <t>A lady in the background is pulling saran wrap out.</t>
  </si>
  <si>
    <t>She continues tossing the salad and mixing the dressing into it.</t>
  </si>
  <si>
    <t>A woman behind her pours seasoning onto the salad.</t>
  </si>
  <si>
    <t>A woman holds the bowl up and shows the salad while smiling.</t>
  </si>
  <si>
    <t>The woman who tossed the salad is washing her hands off on a towel.</t>
  </si>
  <si>
    <t>v_BiZF6o-AU64</t>
  </si>
  <si>
    <t>A graphic plays that says "StuntsAmazing" with a link to their facebook page.</t>
  </si>
  <si>
    <t>A man shows off a variety of pool tricks on his pool table in his house.</t>
  </si>
  <si>
    <t>A graphic plays that says "Subscribe" and the video ends.</t>
  </si>
  <si>
    <t>v_Ke29p3rcs1k</t>
  </si>
  <si>
    <t>a room with a table without painting is shown and a emery is on top of it.</t>
  </si>
  <si>
    <t>man walks into a room and use the emery on the top of the table.</t>
  </si>
  <si>
    <t>man take out the glasses and cleans the disc of the emery.</t>
  </si>
  <si>
    <t>v_H-hgVm5G54Y</t>
  </si>
  <si>
    <t>We see a persons hand on the camera.</t>
  </si>
  <si>
    <t>A girl then shows us her brush.</t>
  </si>
  <si>
    <t>The girl uses the brush to brush her hair.</t>
  </si>
  <si>
    <t>She shows us her brush again.</t>
  </si>
  <si>
    <t>Her hand then covers the camera.</t>
  </si>
  <si>
    <t>v_G4tUTpJV-so</t>
  </si>
  <si>
    <t>An asian woman is seen kneeling on the floor.</t>
  </si>
  <si>
    <t>She rises very slowly, arms first.</t>
  </si>
  <si>
    <t>She does several martial arts moves for the camera.</t>
  </si>
  <si>
    <t>v_ZW3SKczQzJU</t>
  </si>
  <si>
    <t>A man is seen walking into a bathroom and looking through dirty toothbrushes.</t>
  </si>
  <si>
    <t>The person pours toothpaste out onto a brush and continuously brushes his teeth.</t>
  </si>
  <si>
    <t>He then brushes more and ends by rinsing his mouth out with mouth wash and showing off the sink.</t>
  </si>
  <si>
    <t>v_kOVQPyzXkUY</t>
  </si>
  <si>
    <t>A guy type walks on a rope while holding a selfie stick recording him self.</t>
  </si>
  <si>
    <t>the guy type walks across water on a rope that has a short distance from the dock to a boat edge while people watch.</t>
  </si>
  <si>
    <t>guy's also bounce and do tricks on a pink type rope as well.</t>
  </si>
  <si>
    <t>guy's try to type walk across the water but falls in and some make it across.</t>
  </si>
  <si>
    <t>v__I8sqYLhRKM</t>
  </si>
  <si>
    <t>Two girls are shown raking up leaves in a yard while continuously talking to the camera.</t>
  </si>
  <si>
    <t>The older girl shows the younger one how to rake while another girl stands by and watches on a nearby slide.</t>
  </si>
  <si>
    <t>The camera zooms in on the younger girl and watches her rake up the leaves.</t>
  </si>
  <si>
    <t>v_gx6QvOXwetM</t>
  </si>
  <si>
    <t>Two boys are kneeling in the grass cutting the grass with a pair of scissors.</t>
  </si>
  <si>
    <t>They grab some pieces and use the scissors to cut it up.</t>
  </si>
  <si>
    <t>Then throw the grass they cut back behind them.</t>
  </si>
  <si>
    <t>They are going at it kind of quickly, they seem like very bored little kids with nothing else to do.</t>
  </si>
  <si>
    <t>v_3J_-uEjb8UE</t>
  </si>
  <si>
    <t>A red and blue triple-A logo is pictured on a white screen and then the screen flashes to a big snow truck.</t>
  </si>
  <si>
    <t>Once the truck is gone,there are various people plowing through the snow in attempt to get it off of the roads and to clear a walkway.</t>
  </si>
  <si>
    <t>After,a young Black male begins to talk and illustrate the snow on the cars as he represents the Public relations aspect of triple A.</t>
  </si>
  <si>
    <t>As the man continues to talk,a man with of bucket of water is shown and there is no longer any water on his car.</t>
  </si>
  <si>
    <t>After awhile, another man is pictured shoveling snow off of his car and then getting inside to adjust the radio,suddenly,the man is back outside and is scraping off snow from every aspect of the car including, windows,exhaust pipes, windshields,and tail lights then the black male comes back and continues to talk.</t>
  </si>
  <si>
    <t>v_Y7yGeNl7POk</t>
  </si>
  <si>
    <t>A little girl jumps hopscotch in the street.</t>
  </si>
  <si>
    <t>The little girl turns and jumps hopscotch.</t>
  </si>
  <si>
    <t>v_fxlTN3mCWDA</t>
  </si>
  <si>
    <t>There are several passengers traveling in a subway train.</t>
  </si>
  <si>
    <t>Two of the passengers are seated on folding chairs and they're playing drums on bongos.</t>
  </si>
  <si>
    <t>They continue to play the bongos while the other passengers are busy doing their own thing.</t>
  </si>
  <si>
    <t>One young boy who is seated near the players is watching them play.</t>
  </si>
  <si>
    <t>The players continue playing the bongos and drumming on them.</t>
  </si>
  <si>
    <t>After they stop playing, one person applauds them.</t>
  </si>
  <si>
    <t>v_N0DA6RpIf5Y</t>
  </si>
  <si>
    <t>A man is raking leaves in a large yard.</t>
  </si>
  <si>
    <t>He uses the rake to push the leaves into piles.</t>
  </si>
  <si>
    <t>He continues to rake, clearing a path of dirt underneath.</t>
  </si>
  <si>
    <t>v_1R25VGmqS9o</t>
  </si>
  <si>
    <t>A team on the field running around playing lacrosse.</t>
  </si>
  <si>
    <t>Everyone is running after each other trying to make the goal.</t>
  </si>
  <si>
    <t>Everyone is running a lot trying to prevent the other team from scoring.</t>
  </si>
  <si>
    <t>The girl in the red looks like she almost makes it before running off.</t>
  </si>
  <si>
    <t>v_73LZVxxlJV8</t>
  </si>
  <si>
    <t>big skyscraper with a great view.</t>
  </si>
  <si>
    <t>men is cleaning the window on the outside hanging on the Scaffolding.</t>
  </si>
  <si>
    <t>v_DrEsyzI2u4c</t>
  </si>
  <si>
    <t>An athletic man is seen holding onto a piece of exercise equipment and kneeling while speaking to the camera.</t>
  </si>
  <si>
    <t>He continues speaking and begins moving his arms and body back and fourth.</t>
  </si>
  <si>
    <t>v_oNYC_3fcGg0</t>
  </si>
  <si>
    <t>The man is surfing on the waves and fall in the water.</t>
  </si>
  <si>
    <t>The man is surfing while other surfers are behind him.</t>
  </si>
  <si>
    <t>The surfer is surfing over the water and fell near the rocks.</t>
  </si>
  <si>
    <t>v_hvCYwmaukDw</t>
  </si>
  <si>
    <t>Men are dressed in soccer gear that have the PEPSI logo on their shirts and they are playing on a grassy field.</t>
  </si>
  <si>
    <t>Very large sumos start walking on the field with their own soccer ball in hand, and the soccer men approach them and the sumo points over to the PEPSI cooler filled with soda.</t>
  </si>
  <si>
    <t>The men and sumos begin a soccer game against one another and when a man tries to make a goal a sumo blocks the entire goal and in various other moves the sumo wins including a goal when a sumo fell and the soccer ball flew into the net.</t>
  </si>
  <si>
    <t>A man grabs a pepsi can and throws it to a sumo and all the sumos run to the cooler, drinks a pepsi, then they're shown walking off with the pepsi cooler.</t>
  </si>
  <si>
    <t>v_lnvsb4-71BQ</t>
  </si>
  <si>
    <t>A man is seen speaking to the camera while holding up several game of ping pong are played.</t>
  </si>
  <si>
    <t>The man continues hitting the ball while speaking to the camera and holding up ping pong tools.</t>
  </si>
  <si>
    <t>The man demonstrates how to properly hit the ball and move his body around and still hitting the ball.</t>
  </si>
  <si>
    <t>v_q2VG0zzPJMw</t>
  </si>
  <si>
    <t>There's a welder in a blue shirt wearing a yellow protective helmet, welding a large metal pipe in a workshop.</t>
  </si>
  <si>
    <t>There's another welder wearing a blue protective suit and white helmet welding a metal piece on a workshop table.</t>
  </si>
  <si>
    <t>He is welding the metal piece with precision in a horizontal manner.</t>
  </si>
  <si>
    <t>There's a welding machine showing how it works on melting metal at high temperature.</t>
  </si>
  <si>
    <t>v_gYchIiLd9Uw</t>
  </si>
  <si>
    <t>A young girl is seen sitting on a bed speaking to the camera and leads into her performing gymnastic tricks on a trampoline.</t>
  </si>
  <si>
    <t>More shots are shown of several girls performing various flips and tricks on a gym floor and ending with a group of girl doing cheerleading lifts.</t>
  </si>
  <si>
    <t>v_7-RbxFePrmU</t>
  </si>
  <si>
    <t>A girl is holding a toothbrush up to the camera.</t>
  </si>
  <si>
    <t>She uses the brush to brush her teeth.</t>
  </si>
  <si>
    <t>She scrubs her teeth back and forth for a long time.</t>
  </si>
  <si>
    <t>v_ODx-nocNBos</t>
  </si>
  <si>
    <t>A person on the screen is showing a box containing sumo wrestling toys.</t>
  </si>
  <si>
    <t>The person gives a demonstration on how to use the toys.</t>
  </si>
  <si>
    <t>Next the person does several demonstrations of the sumo wrestling toy set using toys that they have made as well as toys from the set.</t>
  </si>
  <si>
    <t>v_bi_xkH87Rnw</t>
  </si>
  <si>
    <t>People watch a gymnast perform her routine.</t>
  </si>
  <si>
    <t>The gymnast stands on the side of the balance beam.</t>
  </si>
  <si>
    <t>The gyjmnast mounts the beam.</t>
  </si>
  <si>
    <t>The gymnast performs her routine on the beam.</t>
  </si>
  <si>
    <t>The gymnast almost falls, but catches herself.</t>
  </si>
  <si>
    <t>The gymnast dismounts and lands on the blue mat.</t>
  </si>
  <si>
    <t>v_L0arB1mOuSE</t>
  </si>
  <si>
    <t>Several clips of shown of people playing kickball against one another in a large field.</t>
  </si>
  <si>
    <t>Several clips are shown of people running around, catching and throwing the ball, as well as partying on the side.</t>
  </si>
  <si>
    <t>v_cdEBDjnH9xk</t>
  </si>
  <si>
    <t>A man is seen putting objects onto a wall and place a board along the wall.</t>
  </si>
  <si>
    <t>He continues moving the objects on the wall and then nails them down with a nail gun and presents the shelves he's made.</t>
  </si>
  <si>
    <t>v_G1LGXWN_9v4</t>
  </si>
  <si>
    <t>A man is seen playing a bongo drum quickly moving his hands all around the instrument.</t>
  </si>
  <si>
    <t>He continuously plays the drum while closing his eyes in concentration and ends by hitting his hands faster.</t>
  </si>
  <si>
    <t>v_sS1Zh8mqMOE</t>
  </si>
  <si>
    <t>A pair of shoes is displayed on a table while a man and a woman have a conversation.</t>
  </si>
  <si>
    <t>A woman challenges a man to arm wrestling.</t>
  </si>
  <si>
    <t>The man removes the shoes from the table.</t>
  </si>
  <si>
    <t>The woman and the man arm wrestle.</t>
  </si>
  <si>
    <t>The man beats the woman.</t>
  </si>
  <si>
    <t>He takes out the shoes and displays them back on the table.</t>
  </si>
  <si>
    <t>The woman and the man laugh as they carry on a conversation.</t>
  </si>
  <si>
    <t>v_5v9p5jBN_Hg</t>
  </si>
  <si>
    <t>A woman talks in a gym.</t>
  </si>
  <si>
    <t>The woman stands on a lane, then she runs to perform a long jump that lands in the sand.</t>
  </si>
  <si>
    <t>The jump of the woman is repeated several times.</t>
  </si>
  <si>
    <t>v_1AxGiLSmGZo</t>
  </si>
  <si>
    <t>Several people are seen kite surfing along the water and one performing tricks.</t>
  </si>
  <si>
    <t>More people perform tricks and one fall off the side, immediately climbing back on.</t>
  </si>
  <si>
    <t>v_9Rd8PpfRNmY</t>
  </si>
  <si>
    <t>A child paints her toenails with white nail polish on front a little child.</t>
  </si>
  <si>
    <t>A person enters the room and walk on front the children.</t>
  </si>
  <si>
    <t>Then, the child turns to listen somebody for a second and continues painting her toenails.</t>
  </si>
  <si>
    <t>After, a hand touches the back of the child twice who turns and then continues painting her toenails.</t>
  </si>
  <si>
    <t>v_O7SljQqahy8</t>
  </si>
  <si>
    <t>A person pours vinegar in a sink on a towel.</t>
  </si>
  <si>
    <t>The person then uses the towel to rub the surface of the sink.</t>
  </si>
  <si>
    <t>The person drops the towel and picks it up.</t>
  </si>
  <si>
    <t>v_xbA294b3Z5c</t>
  </si>
  <si>
    <t>A woman is seen speaking to the camera while showing off her nails and leads into her holding up a contact lens.</t>
  </si>
  <si>
    <t>The girl then pours liquid out into a container and them demonstrates how to properly put in and take on a contact lens.</t>
  </si>
  <si>
    <t>v_p2C4MeV02GU</t>
  </si>
  <si>
    <t>woman is talking to the camera holding a big cat on her legs that is sitting in a cat cushion and its caressing his head.</t>
  </si>
  <si>
    <t>woman is holding a nail clipper and cut the cat's nails explaining the right way to do it.</t>
  </si>
  <si>
    <t>v_CUtkQIV2eto</t>
  </si>
  <si>
    <t>A person water ski in the water holding a rope attached to a boat in the river.</t>
  </si>
  <si>
    <t>The person pass on front a boat in the river while waterskiing.</t>
  </si>
  <si>
    <t>Then, the person gives a thumb up while performing waterskii, after the person continues waterskiing.</t>
  </si>
  <si>
    <t>Then, the surfboard floats on front a metal structure.</t>
  </si>
  <si>
    <t>v_oSQNry_U7oA</t>
  </si>
  <si>
    <t>A trainer wearing a wet suit gives a walrus treats and the walrus nods his head up in town in excitement at the beginning of a show.</t>
  </si>
  <si>
    <t>The trainer plays a small saxophone and the walrus nods and is given a treat.</t>
  </si>
  <si>
    <t>The walrus is handed the saxophone and it plays it while the dancing with the trainer.</t>
  </si>
  <si>
    <t>v_Wq-eDa62BcI</t>
  </si>
  <si>
    <t>A person's hands demonstrates how to stye and comb a blonde haired doll.</t>
  </si>
  <si>
    <t>The person's hand begins to brush the doll's hair with a pink bristle brush before holding up a bottle of hair styling product.</t>
  </si>
  <si>
    <t>The hand sprays some of the hair style product on the doll's hair and then proceeds to brush the hair again.</t>
  </si>
  <si>
    <t>The hand then turns the doll around to showcase the finished style, the hand also gestures to areas around the dolls hair.</t>
  </si>
  <si>
    <t>v_6q7LQZLC_N8</t>
  </si>
  <si>
    <t>A sailboat with dark red plum colored sails is riding on the ocean.</t>
  </si>
  <si>
    <t>The boat turns and we see it from behind as we move to the left side.</t>
  </si>
  <si>
    <t>The camera zoom in and out then flashes to another angle.</t>
  </si>
  <si>
    <t>We see the credits run over the video.</t>
  </si>
  <si>
    <t>v_vMy5o7pvy4c</t>
  </si>
  <si>
    <t>A man swings his arms around over his head.</t>
  </si>
  <si>
    <t>He thin spins his whole body.</t>
  </si>
  <si>
    <t>The man releases the hammer and lowers his arms.</t>
  </si>
  <si>
    <t>v_MxYa4WTV8Zs</t>
  </si>
  <si>
    <t>A man and a woman decorate a Christmas tree from decorations around the room in sped-up video.</t>
  </si>
  <si>
    <t>A dog walks through the camera frame.</t>
  </si>
  <si>
    <t>The man leaves the camera frame.</t>
  </si>
  <si>
    <t>The man returns to decorating wearing a Santa hat.</t>
  </si>
  <si>
    <t>The man stands on a chair to put a decoration at the top of the tree.</t>
  </si>
  <si>
    <t>The completed tree is shown by itself.</t>
  </si>
  <si>
    <t>v_NTZ_mWvnHVY</t>
  </si>
  <si>
    <t>Two people are standing by the water one of the grabs some board.</t>
  </si>
  <si>
    <t>He puts it in the water and rides it, it goes pretty fast.</t>
  </si>
  <si>
    <t>He turns it a few times and passes by someone else on another one.</t>
  </si>
  <si>
    <t>He gets off and walks to a field with it above his head.</t>
  </si>
  <si>
    <t>v_G1aYtrFJqUc</t>
  </si>
  <si>
    <t>A man wearing gloves is inside a building.</t>
  </si>
  <si>
    <t>He rolls up a carpet and sets it aside.</t>
  </si>
  <si>
    <t>He then sweeps and mops the floors until they are clean.</t>
  </si>
  <si>
    <t>v_Z0oEaM7h6jM</t>
  </si>
  <si>
    <t>A logo appears on the screen briefly.</t>
  </si>
  <si>
    <t>A man talks to a group while standing in a raft.</t>
  </si>
  <si>
    <t>A group of people are rafting down rivers with rapids.</t>
  </si>
  <si>
    <t>They cheer by lifting their paddles.</t>
  </si>
  <si>
    <t>They continue to raft down the river.</t>
  </si>
  <si>
    <t>It cuts to the people on the bank at a campsite.</t>
  </si>
  <si>
    <t>People are once again rafting down the river.</t>
  </si>
  <si>
    <t>A person kayaks down the river.</t>
  </si>
  <si>
    <t>Another person kayaks down the river.</t>
  </si>
  <si>
    <t>Another group rafts down the river.</t>
  </si>
  <si>
    <t>It shows monkeys on the bank.</t>
  </si>
  <si>
    <t>People get splashed by a waterfall.</t>
  </si>
  <si>
    <t>It cuts to the logo and information.</t>
  </si>
  <si>
    <t>v_gdisMpHS668</t>
  </si>
  <si>
    <t>Two women are seen standing before a christmas tree with young children present as well.</t>
  </si>
  <si>
    <t>The people then all move around one another putting ornaments on the tree in fast motion.</t>
  </si>
  <si>
    <t>The girls continue putting items on the tree and end by smiling to the camera.</t>
  </si>
  <si>
    <t>v_0jvbBtMIA8k</t>
  </si>
  <si>
    <t>A man is sitting on a chair next to a talk show host.</t>
  </si>
  <si>
    <t>A woman is hosting a beer pong tournament, and the two men go over to the table.</t>
  </si>
  <si>
    <t>They drink and try to throw the balls into the cups.</t>
  </si>
  <si>
    <t>The band plays in the background as the men play.</t>
  </si>
  <si>
    <t>v_G2soQTiGL10</t>
  </si>
  <si>
    <t>A large group of people are seen standing around a table with one speaking to the camera.</t>
  </si>
  <si>
    <t>The people then assist one another putting ingredients into pans and flipping them around.</t>
  </si>
  <si>
    <t>The people continue mixing the food together and finish by presenting it onto a plate.</t>
  </si>
  <si>
    <t>v_tOEomEC1rY8</t>
  </si>
  <si>
    <t>A woman is sitting in a chair while a woman behind her is holding a hair dryer.</t>
  </si>
  <si>
    <t>She begins drying the woman's hair.</t>
  </si>
  <si>
    <t>The woman is talking to the camera pointing at a hair dryer.</t>
  </si>
  <si>
    <t>v_a370DDsJtBA</t>
  </si>
  <si>
    <t>A woman is seated behind a wooden table.</t>
  </si>
  <si>
    <t>She quickly moves color blocks on a puzzle, trying to solve it.</t>
  </si>
  <si>
    <t>She solves the puzzle and shows it to the camera.</t>
  </si>
  <si>
    <t>v_8olnQLX0hO8</t>
  </si>
  <si>
    <t>A small group of men are seen walking down a dirt road followed by several shots of them riding in tubes and laughing to the camera.</t>
  </si>
  <si>
    <t>They continue riding down the river under trees and has more people holding the camera.</t>
  </si>
  <si>
    <t>v_HhlWUEbHBUk</t>
  </si>
  <si>
    <t>A guy shows you how to make a drink,the guy pours ice in a tall glass,adds a half cup of a certain type of liquor and pour it in the cup with the ice.</t>
  </si>
  <si>
    <t>He then adds soda to the cup which makes the cup full to the top and starts to stir it up with a metal tool.</t>
  </si>
  <si>
    <t>the guy then squeezes three half limes into the cup and push the three lime to the bottom of the cup with the metal tool he use to stir the drink.</t>
  </si>
  <si>
    <t>finally he pours the drink from the tall glass to a shorter glass,adds a different type of liquor with a straw to finish it off.</t>
  </si>
  <si>
    <t>v_FJZTNJ0LuJ4</t>
  </si>
  <si>
    <t>Two people stand in front of a cake and they talk.</t>
  </si>
  <si>
    <t>Text appears on the screen as they talk.</t>
  </si>
  <si>
    <t>A woman mixes ingredients into a pot on the stove.</t>
  </si>
  <si>
    <t>A man pours in rum into the pot and stirs it.</t>
  </si>
  <si>
    <t>They poke holes in the cake with knives and pour the mixture on it.</t>
  </si>
  <si>
    <t>They stand in front of the cake again and talk.</t>
  </si>
  <si>
    <t>They eat the cake as they talk.</t>
  </si>
  <si>
    <t>v_0qTzoVjsMpQ</t>
  </si>
  <si>
    <t>A man fills a hookah with water and sets it on a table.</t>
  </si>
  <si>
    <t>He puts tobacco in a device and covers it with tin foil.</t>
  </si>
  <si>
    <t>He pokes a hole in the top of the tin foil several times.</t>
  </si>
  <si>
    <t>He puts that onto the top of the hookah.</t>
  </si>
  <si>
    <t>He takes a smoke off the hookah and blows the smoke.</t>
  </si>
  <si>
    <t>v_2O-TyeSMueg</t>
  </si>
  <si>
    <t>A group of people ride on a boat to Catalina Island.</t>
  </si>
  <si>
    <t>A man wearing a grey t-shirt films himself using a selfie stick while riding on a boat.</t>
  </si>
  <si>
    <t>The group of people on the boat are dressed in scuba diving gear.</t>
  </si>
  <si>
    <t>A man in scuba gear enters the water while filming himself while holding a selfie stick.</t>
  </si>
  <si>
    <t>The diver films himself while diving underwater.</t>
  </si>
  <si>
    <t>The ddiver films a school of fish a nd bright yellow tropical fish.</t>
  </si>
  <si>
    <t>The diver cameraman walks backwards onto steps leading out of the water.</t>
  </si>
  <si>
    <t>A group of divers dressed in street clothes ride in a golf cart.</t>
  </si>
  <si>
    <t>v_X1lLinc_yvo</t>
  </si>
  <si>
    <t>woman is standing in a kitchen in front of a camera and showing ingredients on top of table.</t>
  </si>
  <si>
    <t>woman is pouring the ingredients inside a kitchen aid and mixing them and explaining to the camera how to do the paste.</t>
  </si>
  <si>
    <t>v_VTwQgMELGVE</t>
  </si>
  <si>
    <t>A woman behind the bar talking, she has a bottle of corona.</t>
  </si>
  <si>
    <t>She sucks on the bottle of a few times.</t>
  </si>
  <si>
    <t>Then, she grabs it with just her mouth and holds it up chugging the beer.</t>
  </si>
  <si>
    <t>She chugs and chugs until it is completely empty.</t>
  </si>
  <si>
    <t>v_zD_wAe6Eoxc</t>
  </si>
  <si>
    <t>A Caucasian male is outside holding up a skateboard.</t>
  </si>
  <si>
    <t>He then goes down a winding road and comes down skateboarding and the picture is still until he slides into a trick and then it is paused again.</t>
  </si>
  <si>
    <t>The routine continues and then the player stands up as continue to go down the road.</t>
  </si>
  <si>
    <t>Once he is completely finished, he goes back to where he originally started and keeps talking to the camera as he holds his skateboard in his left hand.</t>
  </si>
  <si>
    <t>After, the man turns around and shows how his brown cargo shorts are patched up with duct tape.</t>
  </si>
  <si>
    <t>v_XKpx9fyNINg</t>
  </si>
  <si>
    <t>A close up of a person putting on a rack is shown followed by several women lifting up large amounts of weight.</t>
  </si>
  <si>
    <t>More people are seen lifting up the heavy weights over their head and throwing it down when they are done.</t>
  </si>
  <si>
    <t>v_BbJeZoks_c4</t>
  </si>
  <si>
    <t>Several people are seen sitting outside at a picnic table and leads into two people tying a rope around a tree.</t>
  </si>
  <si>
    <t>More people come to help and lead into a boy walking on the rope with a man's help.</t>
  </si>
  <si>
    <t>More people attempt to walk on the rope with other's help as well as by themselves.</t>
  </si>
  <si>
    <t>v_UvuXGKesWS0</t>
  </si>
  <si>
    <t>The words Freestyle Swimming float across the screen.</t>
  </si>
  <si>
    <t>A man jumps in the pool and swims freestyle.</t>
  </si>
  <si>
    <t>The words BackStroke Style float across the screen.</t>
  </si>
  <si>
    <t>The same man swims backstroke down the lane from where he came.</t>
  </si>
  <si>
    <t>The words BreastStroke show up on the screen.</t>
  </si>
  <si>
    <t>The man does the breaststroke back across the pool.</t>
  </si>
  <si>
    <t>v_8hkVzhEKqpY</t>
  </si>
  <si>
    <t>A man and woman news reporter are sitting in front of a tv screen as they talk.</t>
  </si>
  <si>
    <t>They then show clips from an outdoor volleyball game.</t>
  </si>
  <si>
    <t>The team mates hit the ball back and forth over the net.</t>
  </si>
  <si>
    <t>Afterward, they shake hands with their opponents.</t>
  </si>
  <si>
    <t>v_hIjOvSJf9c0</t>
  </si>
  <si>
    <t>Two people are seen speaking to the camera and leads into a ruler being shown and the woman holding a sponge.</t>
  </si>
  <si>
    <t>She wipes down a wall while the man sands it down and then are seen measuring the length of the wall.</t>
  </si>
  <si>
    <t>Then they lay paper down, cut the paper, and align it onto the wall.</t>
  </si>
  <si>
    <t>They rub in the paper, press it along the wall, and smile back at the camera.</t>
  </si>
  <si>
    <t>v_StM48dIvK-M</t>
  </si>
  <si>
    <t>People are participating in a tug of war match in a gym.</t>
  </si>
  <si>
    <t>The yellow team on the left side pulls the rope mostly to the left or wins.</t>
  </si>
  <si>
    <t>An adult grabs the arm of a blue team member.</t>
  </si>
  <si>
    <t>v_FofBEedm80o</t>
  </si>
  <si>
    <t>The words "Grandmaster Huang Sheng Shyan" and "Taiji Push Hands" appear on screen.</t>
  </si>
  <si>
    <t>Several students individually approach the Grandmaster attempting to fight him and are pushed back quickly.</t>
  </si>
  <si>
    <t>The Grandmaster taps a student on the head and he quickly falls to the ground.</t>
  </si>
  <si>
    <t>v_E6LJROCxQPA</t>
  </si>
  <si>
    <t>A person is seen walking across the yard leading into a long rope.</t>
  </si>
  <si>
    <t>The man jumps on the rope and attempts to walk across it.</t>
  </si>
  <si>
    <t>He continues walking and leads into him falling off.</t>
  </si>
  <si>
    <t>v_VVezUub0ocQ</t>
  </si>
  <si>
    <t>cat is sleeping in a furry table and a man holds him and shows a nail clipper and starts cutting the cat nails sitting in a couch.</t>
  </si>
  <si>
    <t>cat is sitting in a red carpet.</t>
  </si>
  <si>
    <t>v_1-nEQf-TJPE</t>
  </si>
  <si>
    <t>A video of vodka being poured into a martini glass is shown.</t>
  </si>
  <si>
    <t>A woman stands behind a bar with bottles and ingredients.</t>
  </si>
  <si>
    <t>She mixes the alcohols into a glass, then shakes them up before decorating and displaying the drink.</t>
  </si>
  <si>
    <t>v_M4db4WfqDoE</t>
  </si>
  <si>
    <t>A large snowy mountain is shown as well as people driving and people standing along a mountain.</t>
  </si>
  <si>
    <t>Several shots are shown of people on snowboards, performing tricks, and gesturing to the camera.</t>
  </si>
  <si>
    <t>The video continues on with impressive clips of people doing stunts as well as close ups of people riding.</t>
  </si>
  <si>
    <t>v_I9kOPQ3J5HA</t>
  </si>
  <si>
    <t>A woman puts a harness on.</t>
  </si>
  <si>
    <t>A man clips a rope to the front of the woman's harness.</t>
  </si>
  <si>
    <t>He ties the rope into a knot.</t>
  </si>
  <si>
    <t>v_ykdPTjsmfgY</t>
  </si>
  <si>
    <t>A person stands by a river.</t>
  </si>
  <si>
    <t>A group of people wearing vests kayak down a river.</t>
  </si>
  <si>
    <t>A person holds their paddle over their head.</t>
  </si>
  <si>
    <t>A couple of people are sitting by the river in a grassy area.</t>
  </si>
  <si>
    <t>The people kayaking approach a bridge.</t>
  </si>
  <si>
    <t>A couple of people sit near some cars next to the river.</t>
  </si>
  <si>
    <t>v_BD_ON66t6rM</t>
  </si>
  <si>
    <t>A man is kayaking on water and moving his arms back and fourth quickly.</t>
  </si>
  <si>
    <t>The camera follows him moving through the water and eventually works his way towards a bridge.</t>
  </si>
  <si>
    <t>v_hToIzZ3o6Ic</t>
  </si>
  <si>
    <t>The credits of the clip alongside a bucket of paint are shown.</t>
  </si>
  <si>
    <t>A hand paints a wardrobe white with a paintbrush.</t>
  </si>
  <si>
    <t>The hand picks up a white rug.</t>
  </si>
  <si>
    <t>The hand places two fingers inside the rug and proceeds to whip the painted wardrobe.</t>
  </si>
  <si>
    <t>The final product of the painted wardrobe is shown.</t>
  </si>
  <si>
    <t>v_cg0sa6wYA1U</t>
  </si>
  <si>
    <t>A person's arms are seen moving back and fourth in the water controlling a kayak under some tombs sticking out of the water.</t>
  </si>
  <si>
    <t>The man continues pushing his way along and ends with him sticking his pole into the water.</t>
  </si>
  <si>
    <t>v_0Gr4aKQzGYk</t>
  </si>
  <si>
    <t>Various shots of a tattoo shop are shown followed by a woman sitting in a chair and a man getting items ready.</t>
  </si>
  <si>
    <t>She takes a sip of water and the man then pierces her lip with a needle.</t>
  </si>
  <si>
    <t>She is shown again in a picture of her new piercing.</t>
  </si>
  <si>
    <t>v_eaFvnf8IF-I</t>
  </si>
  <si>
    <t>A man is playing an accordian while staring occasionally into the camera.</t>
  </si>
  <si>
    <t>The man changes his finger tips constantly and looks off into the distance while playing.</t>
  </si>
  <si>
    <t>The man continues his song and eventually finishes by smiling into the camera.</t>
  </si>
  <si>
    <t>v_o1bO6f-Uo8A</t>
  </si>
  <si>
    <t>A man in the front yard showing how to mow the lawn.</t>
  </si>
  <si>
    <t>He first moves all the debris out of the way so that nothing gets caught in the mower before mowing.</t>
  </si>
  <si>
    <t>Then he uses a stethoscope to listen to the mower while he puts oil in it.</t>
  </si>
  <si>
    <t>He suggest that you finish mowing by sunset and if you are using a pushing mower you should keep your back striaght and arms bent.</t>
  </si>
  <si>
    <t>v_m7vcstRI23E</t>
  </si>
  <si>
    <t>A little girl is standing in a kitchen in front of a bowl and sugar cookie mix.</t>
  </si>
  <si>
    <t>The girl starts showing the ingredients to her audience, before pouring the cookie mix into a bowl.</t>
  </si>
  <si>
    <t>She then adds butter and egg yolks, and stirs the whole thing up using a hand mixer.</t>
  </si>
  <si>
    <t>She rolls the dough in plastic wrap before spreading it back out and cutting into shapes with cookie cutters.</t>
  </si>
  <si>
    <t>The cookies are baked and ready to frost with sprinkles and frosting.</t>
  </si>
  <si>
    <t>v_FkWxS_5VxsM</t>
  </si>
  <si>
    <t>A polished hands takes a piece of tape.</t>
  </si>
  <si>
    <t>The polished hands puts a piece of tape at the edge of a brown object.</t>
  </si>
  <si>
    <t>The hand paints turquoise polish on the tape.</t>
  </si>
  <si>
    <t>The hand cuts the the polished tape in strips.</t>
  </si>
  <si>
    <t>The hand puts the strip on a polished nail.</t>
  </si>
  <si>
    <t>The hand paints the nail with clear nail polish.</t>
  </si>
  <si>
    <t>The hand rubs a soaked cotton ball on a fingernail so the polish is removed.</t>
  </si>
  <si>
    <t>v_Jp7KeCimrMI</t>
  </si>
  <si>
    <t>A man stretches out shirts on an ironing board in a workshop area and uses a flat iron to steam press it.</t>
  </si>
  <si>
    <t>The man removes the ironed shirt and places it on a hanger.</t>
  </si>
  <si>
    <t>The man gives the shirt one more quick ironing on a single spot then hangs the shirt on a rack.</t>
  </si>
  <si>
    <t>v_YotaXgC6Ee8</t>
  </si>
  <si>
    <t>A man jumps off a diving board into a pool several times.</t>
  </si>
  <si>
    <t>Another person is swimming in the pool.</t>
  </si>
  <si>
    <t>He does a flip and lands in the water before surfacing.</t>
  </si>
  <si>
    <t>v_Z_1Zoc6lINU</t>
  </si>
  <si>
    <t>We see a lady sitting at a table with shoes and supplies talking to the camera.</t>
  </si>
  <si>
    <t>We see screens with shoes on them.</t>
  </si>
  <si>
    <t>The lady shows us various shoes.</t>
  </si>
  <si>
    <t>The lady shows us the shoe supplies.</t>
  </si>
  <si>
    <t>The lady adds a product to the shoes.</t>
  </si>
  <si>
    <t>The lady then wipes the product off with a towel.</t>
  </si>
  <si>
    <t>The lady then adds shoes wax to the shoe and wipes it off.</t>
  </si>
  <si>
    <t>v_3UbQ0UDmbbw</t>
  </si>
  <si>
    <t>A man clears snow from a car in snow covered parking lot.</t>
  </si>
  <si>
    <t>A man in a narrow hallway holds and directs a camera in the hallway, presses a button in the hallway, then exits through the door in the hallway and goes outside.</t>
  </si>
  <si>
    <t>Once outside the camera picks up a snow covered parking lot filled with snow covered cars and one girl in pink pants.</t>
  </si>
  <si>
    <t>A man holding a long snow removing brush approaches a car and begins wiping snow off of the car at times gesturing wildly with his arms.</t>
  </si>
  <si>
    <t>The man clears the entire car with snow, with the brush and a shovel before the scene cuts to a vehicle driving down the street in the snow.</t>
  </si>
  <si>
    <t>v_szdKUpvx9Sk</t>
  </si>
  <si>
    <t>We see men standing around in a casino holding beers.</t>
  </si>
  <si>
    <t>We see a man and put money on the table.</t>
  </si>
  <si>
    <t>The dealer counts the money and gives the man chips.</t>
  </si>
  <si>
    <t>The dealer deals a hands of blackjack and the we see the men clapping and the dealer laughing.</t>
  </si>
  <si>
    <t>We see the dealer give the man chips and the man stands in his group showing his friends his stack of chips.</t>
  </si>
  <si>
    <t>Two men cheer and throw their fists in the air and the me laugh and cheer and walk.</t>
  </si>
  <si>
    <t>v_kHTcsP6nQdY</t>
  </si>
  <si>
    <t>He pauses as another slides down.</t>
  </si>
  <si>
    <t>He slides down as she stops.</t>
  </si>
  <si>
    <t>He runs up to her and she slides down to the end.</t>
  </si>
  <si>
    <t>v_G16xScfD5WM</t>
  </si>
  <si>
    <t>We see the title over a landscape.</t>
  </si>
  <si>
    <t>People are playing instruments in a field.</t>
  </si>
  <si>
    <t>We then see men practicing martial arts.</t>
  </si>
  <si>
    <t>A man kicks another man to the ground.</t>
  </si>
  <si>
    <t>We see a man toss another man over his back.</t>
  </si>
  <si>
    <t>A man does a flip, then does a back flip.</t>
  </si>
  <si>
    <t>We see the people playing instruments again.</t>
  </si>
  <si>
    <t>130 We see words appear on the screen, and the end credits appear.</t>
  </si>
  <si>
    <t>v_sMO2IlNgDuw</t>
  </si>
  <si>
    <t>A young child is seen playing with a toy and putting lip stick on her lips.</t>
  </si>
  <si>
    <t>The camera is then seen moving around a room, walking down stairs and following the young girl.</t>
  </si>
  <si>
    <t>The girl walks back into her room to play with her toy while the camera follows.</t>
  </si>
  <si>
    <t>v_klGP18026Ek</t>
  </si>
  <si>
    <t>Two men play games of rock paper scissors in front of a referee.</t>
  </si>
  <si>
    <t>A woman taps one of they on the back.</t>
  </si>
  <si>
    <t>They play a final game and a man celebrates his victory.</t>
  </si>
  <si>
    <t>v_gGs1qNxsFTg</t>
  </si>
  <si>
    <t>A man is sitting behind a table.</t>
  </si>
  <si>
    <t>He picks up a rubiks cube and completes it.</t>
  </si>
  <si>
    <t>A man stands next to him and writes something on a paper.</t>
  </si>
  <si>
    <t>v_Fh1LR3xB3zQ</t>
  </si>
  <si>
    <t>A man is seen speaking to the camera and begins holding up knives.</t>
  </si>
  <si>
    <t>He pans all around his tools and shows off a kit.</t>
  </si>
  <si>
    <t>He then leads into sharpening a knife with various boards and sticks while still speaking to the camera.</t>
  </si>
  <si>
    <t>v_r3dM-5cZ7e8</t>
  </si>
  <si>
    <t>A group of swimmers stand ready on a platform and bend down to their feet.</t>
  </si>
  <si>
    <t>Several men stand behind them when they all jump in at the same time.</t>
  </si>
  <si>
    <t>The men race back and fourth doing a butterfly movement back and fourth until they all reach the end.</t>
  </si>
  <si>
    <t>v_NbdAUGbrWrE</t>
  </si>
  <si>
    <t>A teenage girl brushes her hair.</t>
  </si>
  <si>
    <t>The girl looks down as if she is confused.</t>
  </si>
  <si>
    <t>v_LL_leiyIdVQ</t>
  </si>
  <si>
    <t>Various people are shown in the beginning in a large gymnasium performing several slips and tricks on a trampoline one at a time.</t>
  </si>
  <si>
    <t>The people continue jumping and flipping around the gym with one ending in a large pit in the end.</t>
  </si>
  <si>
    <t>v_JnP5FDtEPVE</t>
  </si>
  <si>
    <t>The groomer sprays the brown dog.</t>
  </si>
  <si>
    <t>The dog runs around the shop.</t>
  </si>
  <si>
    <t>The groomer bushes the brown dog.</t>
  </si>
  <si>
    <t>v_UvPUywSVy1k</t>
  </si>
  <si>
    <t>A person is seen holding up various food items while laughing and speaking with others.</t>
  </si>
  <si>
    <t>The men then begin cooking together by mixing various ingredients and presenting them onto a plate.</t>
  </si>
  <si>
    <t>The recipe is then shown for how to cook the food and leads into clips of the food being cooked and presented with the men eating together.</t>
  </si>
  <si>
    <t>v_8kNk_fzmTyI</t>
  </si>
  <si>
    <t>An intro leads into several shots of water steaming and a young woman swimming back and fourth in the water.</t>
  </si>
  <si>
    <t>She comes up to the surface and speaks to the camera while several more shots of water are shown.</t>
  </si>
  <si>
    <t>v_WmabLngcvas</t>
  </si>
  <si>
    <t>A man is seen sitting on a camel followed by getting off and another man climbing on.</t>
  </si>
  <si>
    <t>The man then leads the other around on the camel.</t>
  </si>
  <si>
    <t>The man stops the camel and gets the other person off while climbing back on.</t>
  </si>
  <si>
    <t>v_2SMmL6kIx-w</t>
  </si>
  <si>
    <t>Several performers walk out of a box and it ends up being one male and one female.</t>
  </si>
  <si>
    <t>The lady then begins moving in strange ways and continuing telling a story in ballerina form.</t>
  </si>
  <si>
    <t>After a few minutes,the male joins them and they continue dancing together with strong legs and firm arms.</t>
  </si>
  <si>
    <t>v_E4oP6Ex9IPo</t>
  </si>
  <si>
    <t>A man is holding a yellow iron sitting on top of a box.</t>
  </si>
  <si>
    <t>He melts a bar of was on the bottom of the hot iron.</t>
  </si>
  <si>
    <t>He then irons over the wax that dripped down onto a ski.</t>
  </si>
  <si>
    <t>He finishes and sets the iron down.</t>
  </si>
  <si>
    <t>v_Zfak-LkgQfQ</t>
  </si>
  <si>
    <t>A logo fro a company pops up on a black screen.</t>
  </si>
  <si>
    <t>A man in a yellow jacket and orange helmet is shown ocean kayaking.</t>
  </si>
  <si>
    <t>Other kayakers are shown battling through waves and riding them.</t>
  </si>
  <si>
    <t>A set of photos show the kayakers navigating the ocean and crashing into waves.</t>
  </si>
  <si>
    <t>v_Qq2vKc9hWUk</t>
  </si>
  <si>
    <t>A woman is standing inside a racquetball court.</t>
  </si>
  <si>
    <t>She starts hitting the ball, running after it.</t>
  </si>
  <si>
    <t>She trips and falls down, hitting the ground as a man rescues the ball.</t>
  </si>
  <si>
    <t>v_cxVbaN4GxxU</t>
  </si>
  <si>
    <t>A man stands outside a tent.</t>
  </si>
  <si>
    <t>He looks inside the tent at a group of kids playing cards and a woman sitting outside.</t>
  </si>
  <si>
    <t>A boy walks through parked cars, smiling.</t>
  </si>
  <si>
    <t>He is then shown on a kayak in a lake.</t>
  </si>
  <si>
    <t>The rest of the family soon joins him.</t>
  </si>
  <si>
    <t>v_MAZlsi4Bon8</t>
  </si>
  <si>
    <t>A young boy is at a party holding a stick and hitting a pinata.</t>
  </si>
  <si>
    <t>When the boy is done hitting it an adult walks towards the pinata.</t>
  </si>
  <si>
    <t>Another child standing with the adult also begins walking towards the pinata.</t>
  </si>
  <si>
    <t>v_eS7ENymCpZE</t>
  </si>
  <si>
    <t>A rough ocean has large white capped waves and a sailboat traversing through it.</t>
  </si>
  <si>
    <t>The sailboat goes over the top of large waves and lands with a splash.</t>
  </si>
  <si>
    <t>The boat maneuvers and is tilted sideways as it goes over waves.</t>
  </si>
  <si>
    <t>v_9Pun6fgAg8Q</t>
  </si>
  <si>
    <t>Two teams play beach volleyball on front a crowd.</t>
  </si>
  <si>
    <t>A woman holds a smart phone.</t>
  </si>
  <si>
    <t>A man serves a ball.</t>
  </si>
  <si>
    <t>A man wearing a cap and plaid shirt pass on front the players.</t>
  </si>
  <si>
    <t>v_THPFtlx3gXw</t>
  </si>
  <si>
    <t>A man is standing on a hill, celebrating before a crowd.</t>
  </si>
  <si>
    <t>He is shown on a bmx dirt bike, performing a plethora of stunts, wheelies, and spins for a crowd.</t>
  </si>
  <si>
    <t>Women are shown close up, dancing.</t>
  </si>
  <si>
    <t>v_UMUGmKRkaxo</t>
  </si>
  <si>
    <t>Two boys play ping pong in a gym and one of the boys use a Nunchaku as a racket t o play and make tricks.</t>
  </si>
  <si>
    <t>A man pass on front the ping pong table and stand near the table.</t>
  </si>
  <si>
    <t>Then, the man joint one of the players and start to play, after, Bruce Lee appears in the screen of a smart phone that flips around.</t>
  </si>
  <si>
    <t>A boy does martial arts moves and braks a board, then he fix the Nunchaku and after use it to light a match in the mouth of the other boy.</t>
  </si>
  <si>
    <t>v_lDriXPZt_Yg</t>
  </si>
  <si>
    <t>A woman is holding a bottle of purple nail polish up to the camera.</t>
  </si>
  <si>
    <t>She then applies it to her nails.</t>
  </si>
  <si>
    <t>When she is done, she shows off her nails and the polish one last time.</t>
  </si>
  <si>
    <t>v_qeyCTRqPCN4</t>
  </si>
  <si>
    <t>Bullfighting is being advertised on the screen.</t>
  </si>
  <si>
    <t>There are clips of bull fights and man is talking about his bull fighting experience.</t>
  </si>
  <si>
    <t>The bull rolls a barrel while the clown is behind it.</t>
  </si>
  <si>
    <t>A trophy is awarded to the bull fighter.</t>
  </si>
  <si>
    <t>v_V6s9eMtUnME</t>
  </si>
  <si>
    <t>A woman standing next to a vehicle talks to the camera while occasionally gesturing at the vehicle.</t>
  </si>
  <si>
    <t>The woman holds up a bottle of spray.</t>
  </si>
  <si>
    <t>The woman sprays the vehicle's window with the bottle.</t>
  </si>
  <si>
    <t>The woman uses a towel to clean the window.</t>
  </si>
  <si>
    <t>The woman talks to the camera again.</t>
  </si>
  <si>
    <t>The woman returns to cleaning the window.</t>
  </si>
  <si>
    <t>The woman talks to the camera once more.</t>
  </si>
  <si>
    <t>v_M0mLgp8VxpY</t>
  </si>
  <si>
    <t>A shuffleboard is shown in a room.</t>
  </si>
  <si>
    <t>A man in a blue sweater throws a ball down the shuffleboard.</t>
  </si>
  <si>
    <t>v_MoPg7NqyhLI</t>
  </si>
  <si>
    <t>A large group of people are seen sitting in a floor followed by people shooting bow and arrows and running around a course.</t>
  </si>
  <si>
    <t>The kids continue running around one another shooting the bow and arrows and ends with a woman holding up her hand and showing a picture.</t>
  </si>
  <si>
    <t>v_OZiArYAPXDo</t>
  </si>
  <si>
    <t>An older video of bad quality begins to play and there are white words on red blocks that read "Leichtathletik leicht gemacht Diskus".</t>
  </si>
  <si>
    <t>A disc is flying through the air and lands on a field, then a still shot picture of a naked man holding a disc briefly appears until another clip plays of a man on a large field throwing a disc.</t>
  </si>
  <si>
    <t>A man is now sitting on a field and the words on the screen say that he is "Lars Riedel" and under it the word "Olympiasieger", and it shows him talking while switching back and forth to clips of a man on a field is holding a disc on the field, swinging it and then throwing it.</t>
  </si>
  <si>
    <t>The still shot picture of the naked man holding the dickus shows up again and then goes back to clips of the man who is now just walking on the field.</t>
  </si>
  <si>
    <t>v_j3P7ttoKGeY</t>
  </si>
  <si>
    <t>A group of people begin to walk in a room and they begin to play a game of Foosball.</t>
  </si>
  <si>
    <t>The game begins to intensifies and the men begin to look at each other in the eye as they start to make goals.</t>
  </si>
  <si>
    <t>Once the first game is finished,another set of men begin to compete and starts to clip the ball over the people.</t>
  </si>
  <si>
    <t>Next,women join and starts to roll the ball on the edge of the table as they make goals.</t>
  </si>
  <si>
    <t>Finally,a man appears with a Nokia phone recording the game and shows video options of different tricks that were performed.</t>
  </si>
  <si>
    <t>v_87hjft6OBiU</t>
  </si>
  <si>
    <t>There is a man shown lifting a weight that weighs over 90 pounds.</t>
  </si>
  <si>
    <t>There is a woman who's running on the treadmill behind him.</t>
  </si>
  <si>
    <t>v_Tywf5EzWntY</t>
  </si>
  <si>
    <t>A skier is adjusting his shoes on the board.</t>
  </si>
  <si>
    <t>Then he is seen flying through the air on the water board.</t>
  </si>
  <si>
    <t>He is skiing while attached to the back of a boat.</t>
  </si>
  <si>
    <t>v_6Lh3yNFvskc</t>
  </si>
  <si>
    <t>A player holding a basketball dribbles the ball, run and jump to throw the ball in the basket several times.</t>
  </si>
  <si>
    <t>A man throw a basketball in the court and then leave.</t>
  </si>
  <si>
    <t>v_brY1jVHquE0</t>
  </si>
  <si>
    <t>A young child is seen holding onto a stick in a living room while pushing a ball around.</t>
  </si>
  <si>
    <t>The boy continues pushing the ball around while the camera captures his movements.</t>
  </si>
  <si>
    <t>He stops to speak to the camera and continues hitting the ball around.</t>
  </si>
  <si>
    <t>v_qtOP38458F4</t>
  </si>
  <si>
    <t>A male gymast prepares to mount a beam.</t>
  </si>
  <si>
    <t>He jumps up, doing an handstand on the bar.</t>
  </si>
  <si>
    <t>He then spins and flips several times.</t>
  </si>
  <si>
    <t>He dismounts, throwing his arms up in the air.</t>
  </si>
  <si>
    <t>v_aZfNeGBMU1Y</t>
  </si>
  <si>
    <t>A little girl is holding a stick and is gently hitting a large pinata that is ninja turtled theme.</t>
  </si>
  <si>
    <t>In the background a boy on a white chair is gently tossing a ball in the air above his lap.</t>
  </si>
  <si>
    <t>A taller boy is standing and walking near the boy sitting on the chair and he has a green plastic bag over his left hand that he's moving back and forth with a twist of his wrist.</t>
  </si>
  <si>
    <t>A little girl on the side begins to jump as she's waiting for her turn.</t>
  </si>
  <si>
    <t>v_iZlG0UOtImQ</t>
  </si>
  <si>
    <t>A blond boy holding a pool stick is hitting balls on a pool table that is sectioned off from yellow tape while a large crowd is gathered outside of the yellow tape.</t>
  </si>
  <si>
    <t>The boy grabs another stick from under the pool table, puts it on the table, chalks his stick,and then successfully hits the ball into the hole despite a woman trying to distract him.</t>
  </si>
  <si>
    <t>The boy goes around the table and continues to hit the remaining balls into the holes, the crowd cheers him on, and he goes around the crowd and gives everyone high fives.</t>
  </si>
  <si>
    <t>The boy hugs the woman who was trying to distract him the whole time, he puts his stick down, and she hugs him again.</t>
  </si>
  <si>
    <t>A black screen appears and white words on the screen say "The Black Widow Jeanette Lee Worlds Best Female Pool Player A Ron Hawks Video".</t>
  </si>
  <si>
    <t>v_Fp_uU-qMDSc</t>
  </si>
  <si>
    <t>A man dressed in all white is shown fighting different men outdoors and hitting them very hard.</t>
  </si>
  <si>
    <t>Tai Chi Combat along with his website and various other website icons are located on the bottom right.</t>
  </si>
  <si>
    <t>The man is then standing alone outdoors where he's still wearing the same white outfit and is talking very passionately using hand motions and lots of facial expressions.</t>
  </si>
  <si>
    <t>The man is once again shown to be fighting different men outdoors and he seems to be winning each fight.</t>
  </si>
  <si>
    <t>After this round of fights, the man is once again talking very passionately with a lot of hand movements and facial expressions.</t>
  </si>
  <si>
    <t>The man then goes back to more fighting with different men somewhere outdoors where he continues to win the fights by hitting and occasionally kicking.</t>
  </si>
  <si>
    <t>Lastly, the man is once again show talking very passionately with hand movements and a lot of facial expressions and around him are overlays on the screen advertising his youtube channel along with his website for TAI CHI COMBAT.</t>
  </si>
  <si>
    <t>v_jQgAdClKvDE</t>
  </si>
  <si>
    <t>A man in a neon coat is driving a car with the camera on a stick outside the window.</t>
  </si>
  <si>
    <t>He drives quickly on the snow, laughing as he records himself.</t>
  </si>
  <si>
    <t>He and his passengers stand on a snowy mound, spinning as they record themselves.</t>
  </si>
  <si>
    <t>They then use saws to cut a path in the snow.</t>
  </si>
  <si>
    <t>They water ski on the frozen water path.</t>
  </si>
  <si>
    <t>v_E33xUgVqEH0</t>
  </si>
  <si>
    <t>A person cleans an extremely dirty sink with a paper towel.</t>
  </si>
  <si>
    <t>The title, TubOTowels, appears on the screen.</t>
  </si>
  <si>
    <t>v_E_Z4BceegCQ</t>
  </si>
  <si>
    <t>A young man in white runs on the stage dancing.</t>
  </si>
  <si>
    <t>Other men are dancing in the background.</t>
  </si>
  <si>
    <t>A smaller boy runs on stage, confused.</t>
  </si>
  <si>
    <t>A man with a microphone talks to the young kid.</t>
  </si>
  <si>
    <t>The young boy starts dancing.</t>
  </si>
  <si>
    <t>Everyone on the stage stops dancing.</t>
  </si>
  <si>
    <t>The men point to the singer.</t>
  </si>
  <si>
    <t>The singer in red starts dancing.</t>
  </si>
  <si>
    <t>v_aTvt_fP243g</t>
  </si>
  <si>
    <t>A yellow cloth, yellow and green sponge, and a cif creme cleaner is placed on the counter next to a shallow sink with silver drainer.</t>
  </si>
  <si>
    <t>A hand pour a drop of Cif creme, wiped it with the green side of the sponge, wiped it in circular motion, then wipe the counter with yellow cloth.</t>
  </si>
  <si>
    <t>v_uWguPHhQON4</t>
  </si>
  <si>
    <t>A man prepares his supplies near a picnic table and then sets one down.</t>
  </si>
  <si>
    <t>The man pours lighter fluid in a camp fire ring.</t>
  </si>
  <si>
    <t>The man retrieves matches which drops onto the fire and it erupts in flames.</t>
  </si>
  <si>
    <t>v_VFvHqc5Bg-0</t>
  </si>
  <si>
    <t>A group of people in snow gear are shown snow boarding on snow covered snow slopes with visual emphasis shown to a particular snow boarder in a green coat.</t>
  </si>
  <si>
    <t>A man in a green coat snow sleds over many surfaces up and down slopes as he passes other snow sledders while surrounded by bare brown foliage and snow covered roofs and hills.</t>
  </si>
  <si>
    <t>As the man snowboards, one person he passes falls down and break his sled and several of the other skiers perform trick as they snowboard including snow boarding off of elevated platforms and doing jumps as they snow board.</t>
  </si>
  <si>
    <t>v_w9LRKWLmw0A</t>
  </si>
  <si>
    <t>A little boy mops a wooden ramp, barefoot,outdoors with a mini mop and bucket of water.</t>
  </si>
  <si>
    <t>A young boy stands outside, without a shirt, barefoot and jeans and mops a wooden ramp with a yellow mini mop.</t>
  </si>
  <si>
    <t>The boy dunks the mop in water after awhile and continues to mop the ramp.</t>
  </si>
  <si>
    <t>v_f--wWfsr0zA</t>
  </si>
  <si>
    <t>A news woman is speaking inside a news room.</t>
  </si>
  <si>
    <t>A couple of professional dancers are shown dancing and performing ballet on a stage, with the female occasionally shown speaking to the camera.</t>
  </si>
  <si>
    <t>She is seen walking out after a performance to see a room filled with people and do a press conference.</t>
  </si>
  <si>
    <t>A poster of three women is shown at the end.</t>
  </si>
  <si>
    <t>v_1GQARL4coRo</t>
  </si>
  <si>
    <t>A man paddles a surfboard with a baby on the board in front of him.</t>
  </si>
  <si>
    <t>He momentarily lifts the baby up to a standing position.</t>
  </si>
  <si>
    <t>A woman moves towards the man and the baby.</t>
  </si>
  <si>
    <t>The man momentarily lifts the baby up to a standing position again.</t>
  </si>
  <si>
    <t>The man momentarily lifts the baby up to a standing position once more.</t>
  </si>
  <si>
    <t>v_PcSnU_nGi5E</t>
  </si>
  <si>
    <t>The man in brown shirt is standing next to a pile of tennis ball while he is talking to the camera.</t>
  </si>
  <si>
    <t>He played tennis ball with another person.</t>
  </si>
  <si>
    <t>The man in purple shirt serve the ball while the black man hit the ball back.</t>
  </si>
  <si>
    <t>v_x03YF3JbWjs</t>
  </si>
  <si>
    <t>A woman gives a hair tutorial.</t>
  </si>
  <si>
    <t>The woman ties her hair and prepares it so that it looks better.</t>
  </si>
  <si>
    <t>v_zLbSEo4xhVY</t>
  </si>
  <si>
    <t>A special effect intro of a man airborn on a waterboard with the words MMXIV HYPERLITE COLLECTION is on the screen.</t>
  </si>
  <si>
    <t>A few men appear near the lake and then a series of different clips and men on water boards play one after another as they all waterboard quickly on the water and some are doing flips while holding onto the rope.</t>
  </si>
  <si>
    <t>A woman in pink shorts appears and she is briefly shown water boarding as well.</t>
  </si>
  <si>
    <t>Now a man is sitting on a boat while a large remote controlled airplane is flying towards him, and a standing man quickly grabs it before it hits the face of the sitting man, and the sitting man turns to the camera to give a shocked and relief look on his face.</t>
  </si>
  <si>
    <t>The clips of various people waterboarding shows up again and they are all still holding onto the rope while standing on the boards and doing jumps, flips and other tricks.</t>
  </si>
  <si>
    <t>The outro clip begins and it's similar to the intro.</t>
  </si>
  <si>
    <t>v_gEqT50dX-iY</t>
  </si>
  <si>
    <t>A man explains a procedure holdings cloths and cleaning materials while showing the cloths.</t>
  </si>
  <si>
    <t>After, the man approaches to a window and starts to clean for an instant, and then continues explaining.</t>
  </si>
  <si>
    <t>v_uavot-yVwhg</t>
  </si>
  <si>
    <t>A lady sits at a table with a shoe, water, salt, brush and towel.</t>
  </si>
  <si>
    <t>The lady puts salt it the water and dips the brush then brushes the shoe.</t>
  </si>
  <si>
    <t>The lady wipes the shoe with the towel and talks to the camera.</t>
  </si>
  <si>
    <t>We see an ending title screen.</t>
  </si>
  <si>
    <t>v_17ytsjuUCRA</t>
  </si>
  <si>
    <t>A dog is getting a bath outside.</t>
  </si>
  <si>
    <t>Soap is worked through the coat and then washed off.</t>
  </si>
  <si>
    <t>v_6hsOVkC7hxA</t>
  </si>
  <si>
    <t>There's a shirtless man wearing denim jeans out in a forest.</t>
  </si>
  <si>
    <t>He is chopping wood from a cut tree bark with a hammer.</t>
  </si>
  <si>
    <t>He he hitting the chopped log of wood with all his force.</t>
  </si>
  <si>
    <t>v_U-kPlTqXc_M</t>
  </si>
  <si>
    <t>A small group of people are seen standing around a table filled with solo cups and one catching a cup.</t>
  </si>
  <si>
    <t>The man then drinks from a cup and proceeds to collapse onto the table.</t>
  </si>
  <si>
    <t>v_Cf7xy_HQ9H0</t>
  </si>
  <si>
    <t>A man is rollerblading outside in a parking lot.</t>
  </si>
  <si>
    <t>He does several tricks on his rollerblades.</t>
  </si>
  <si>
    <t>He does a cart wheel on the ground.</t>
  </si>
  <si>
    <t>v_v1FHFQ1UZHw</t>
  </si>
  <si>
    <t>A man writing on the wall.</t>
  </si>
  <si>
    <t>Switches to a product being featured.</t>
  </si>
  <si>
    <t>The man writes on the wall again.</t>
  </si>
  <si>
    <t>He begins to apply product.</t>
  </si>
  <si>
    <t>Switches to the product again.</t>
  </si>
  <si>
    <t>He writes on the wall.</t>
  </si>
  <si>
    <t>He begins to lay out tools.</t>
  </si>
  <si>
    <t>Next he measures and levels the wall.</t>
  </si>
  <si>
    <t>He takes out the product and begins placing a coat on the crack in the wall.</t>
  </si>
  <si>
    <t>He then takes a roller and rolls it along the wall.</t>
  </si>
  <si>
    <t>Next he hangs and apply s a white sheet to the wall.</t>
  </si>
  <si>
    <t>He repeats the process in the different sections of the wall that need it.</t>
  </si>
  <si>
    <t>Now He writes on the wall again.</t>
  </si>
  <si>
    <t>Next a dog jumps in front of a wall.</t>
  </si>
  <si>
    <t>He writes again on the wall.</t>
  </si>
  <si>
    <t>Lettering appears on the screen for the product.</t>
  </si>
  <si>
    <t>v_x39KxoQHEp4</t>
  </si>
  <si>
    <t>Several people float down a river in tubes.</t>
  </si>
  <si>
    <t>They pass through several rocks.</t>
  </si>
  <si>
    <t>The water gets rough as the past through some rocks.</t>
  </si>
  <si>
    <t>Several people stand up in the river.</t>
  </si>
  <si>
    <t>v_C8fyaj592GA</t>
  </si>
  <si>
    <t>Individuals stand behind black platforms awaiting instructions.</t>
  </si>
  <si>
    <t>Individuals are using dance moves to exercise using the platform.</t>
  </si>
  <si>
    <t>The people do jumping jacks to the right of the platform.</t>
  </si>
  <si>
    <t>The individuals do jumping jacks at the left of the platform.</t>
  </si>
  <si>
    <t>The lady who had been instructing the group continuously claps her hands and begins to leave.</t>
  </si>
  <si>
    <t>v_z6g5QbIPatk</t>
  </si>
  <si>
    <t>A girl holds up a white piece of paper and it has a drawing on it that is done in black ink.</t>
  </si>
  <si>
    <t>The girl then turns around and the video is sped up to show her drawing on a pumpkin near a kitchen while multiple people are moving about around her.</t>
  </si>
  <si>
    <t>The girl finishes the drawing and she begins to carve the design out of the pumpkin while the video is still in a sped up mode.</t>
  </si>
  <si>
    <t>The pumpkin is now done being carved and it appears on a black screen with just the carved out area illuminating in an orange color.</t>
  </si>
  <si>
    <t>The girl appears again holding up the white paper, runs out of the room and the screen goes back to black with just the pumpkin illuminating.</t>
  </si>
  <si>
    <t>v_F12ga-do744</t>
  </si>
  <si>
    <t>A large man is seen standing on a large mat walking forward and screaming to the audience.</t>
  </si>
  <si>
    <t>The man then lifts the bar up then back down and screams out loud.</t>
  </si>
  <si>
    <t>The same clips is shown again immediately afterwards.</t>
  </si>
  <si>
    <t>v_YPNLMBhuDS8</t>
  </si>
  <si>
    <t>A man is seen speaking to the camera while holding up a shoe and polish and pointing to objects.</t>
  </si>
  <si>
    <t>The man then rubs down the shoe with a rag while the camera zooms in on more products and speaking to the camera.</t>
  </si>
  <si>
    <t>v_-ew9R4QppTk</t>
  </si>
  <si>
    <t>man is sitting in a white room playing congas a bongos.</t>
  </si>
  <si>
    <t>fat man wearing glasses is sitting on a chair in a white room.</t>
  </si>
  <si>
    <t>man is sitting in a room playing salsa music with the bongos.</t>
  </si>
  <si>
    <t>v_ePAc9xK9fac</t>
  </si>
  <si>
    <t>woman is climbing a rock wall in a gym and a man is pulling the ropes.</t>
  </si>
  <si>
    <t>woman start descending from the rock wall.</t>
  </si>
  <si>
    <t>v_SV-8M3HNk1s</t>
  </si>
  <si>
    <t>A clip is shown of a person on a wake board riding on some waves and crashing into the water.</t>
  </si>
  <si>
    <t>Several more clips are shown of people riding on the wake boards on the ocean waves gliding along.</t>
  </si>
  <si>
    <t>v_m12BPEN6Y3s</t>
  </si>
  <si>
    <t>A girl wearing a scarf is seen talking to the camera and begins mixing various ingredients into a bowl.</t>
  </si>
  <si>
    <t>She places the batter into circles on separate pans and shows the cookies she made after they are done.</t>
  </si>
  <si>
    <t>v_4DmsWE6byuw</t>
  </si>
  <si>
    <t>A man is walking in circles in the center of a crowd.</t>
  </si>
  <si>
    <t>He begins to break dance.</t>
  </si>
  <si>
    <t>Several clips of men break dancing in different venues are shown, as they flip, spin, and perform for crowds.</t>
  </si>
  <si>
    <t>v_vbLxVuLLPek</t>
  </si>
  <si>
    <t>There two men dressed Scottish kilts and attire standing in the courtyard.</t>
  </si>
  <si>
    <t>One of the men is playing the bagpipes and the other is playing the drums.</t>
  </si>
  <si>
    <t>A woman tourist walks past them as they continue to play.</t>
  </si>
  <si>
    <t>v_d_6BVfxlAsI</t>
  </si>
  <si>
    <t>An empty poker table is shown followed by a woman dealing cards and speaking to the camera.</t>
  </si>
  <si>
    <t>She instructs on how to play the game while still speaking to the camera and smiling.</t>
  </si>
  <si>
    <t>v_MINjkEBIIkA</t>
  </si>
  <si>
    <t>A man is standing in a room.</t>
  </si>
  <si>
    <t>They are throwing darts at a dartboard.</t>
  </si>
  <si>
    <t>A woman then comes and throws darts at a dartboard.</t>
  </si>
  <si>
    <t>v_AgocNx3-De0</t>
  </si>
  <si>
    <t>People raft in a muddy river, then they camping on the shore to rest and play.</t>
  </si>
  <si>
    <t>Then, the man continue rafting in the river, and a man falls in the water and his friends rescue him, then they continue rafting.</t>
  </si>
  <si>
    <t>A woman and a man stands next a helicopter, then the helicopter fly.</t>
  </si>
  <si>
    <t>v_yNHc-xADBm8</t>
  </si>
  <si>
    <t>A camp fire burns brightly in the night.</t>
  </si>
  <si>
    <t>The fire slowly grows in size.</t>
  </si>
  <si>
    <t>The scene becomes brighter and better lit.</t>
  </si>
  <si>
    <t>There are trees in the background.</t>
  </si>
  <si>
    <t>v_saShR7NwjMg</t>
  </si>
  <si>
    <t>A close up of a person leads into the person watching their hands and scrubbing it with soap.</t>
  </si>
  <si>
    <t>A man is shown scrubbing up his hands in a sink while demonstrating the proper way to wash hands and dip them under the water.</t>
  </si>
  <si>
    <t>The man dries it off with a rag in the end.</t>
  </si>
  <si>
    <t>v_sz1772O9AUM</t>
  </si>
  <si>
    <t>A car drives into a car wash bay.</t>
  </si>
  <si>
    <t>The driver gets out and inserts money into a machine.</t>
  </si>
  <si>
    <t>The person then washes their car with a pressure washer.</t>
  </si>
  <si>
    <t>We see another machine, and a vending machine.</t>
  </si>
  <si>
    <t>v_pK3OSevBqDw</t>
  </si>
  <si>
    <t>A man is seen standing next to a fence while the camera pans around the lake nearby.</t>
  </si>
  <si>
    <t>The man bends down and begins painting the fence while the camera focuses on a person walking down.</t>
  </si>
  <si>
    <t>Another man walks up with a bucket and helps the man paint while the cameraman continues to look around.</t>
  </si>
  <si>
    <t>v_wj_xmkHjItg</t>
  </si>
  <si>
    <t>A car is traveling through snow covered roads and trees before arriving at a cabin.</t>
  </si>
  <si>
    <t>The people put on skis and are shown going down the hills, skiing.</t>
  </si>
  <si>
    <t>They continue skiing, waving at the camera and showing a final panoramic view as the video ends.</t>
  </si>
  <si>
    <t>v_nVN1rP8H688</t>
  </si>
  <si>
    <t>Various title cards flash in front of the screen.</t>
  </si>
  <si>
    <t>We see a dog, and a man with a selfie stick carrying a snowboard.</t>
  </si>
  <si>
    <t>The man is snowboarding and holding the selfie stick.</t>
  </si>
  <si>
    <t>The man is playing with the dog, and we see the dog close up.</t>
  </si>
  <si>
    <t>The man is snowboarding downhill.</t>
  </si>
  <si>
    <t>He stops to pet his dog again before snowboarding again.</t>
  </si>
  <si>
    <t>the man and the dog are walking in an area with little snow.</t>
  </si>
  <si>
    <t>The man mounts the board and snowboards before putting it in his truck.</t>
  </si>
  <si>
    <t>We see the Gopro screen.</t>
  </si>
  <si>
    <t>v_kuPWb9E4aUQ</t>
  </si>
  <si>
    <t>A diver is swimming under the blue water.</t>
  </si>
  <si>
    <t>Two divers wearing their oxygen are under the water, they are holding onto the strong rope.</t>
  </si>
  <si>
    <t>The divers dive deeper to into the water, they swim towards a coral bed under the water.</t>
  </si>
  <si>
    <t>The people are riding the white boat towards the ocean.</t>
  </si>
  <si>
    <t>v_KSbIw1m2KoU</t>
  </si>
  <si>
    <t>A female gymnast prepares to mount the bar.</t>
  </si>
  <si>
    <t>She mounts, then does several hand springs, forward flips, and back flips.</t>
  </si>
  <si>
    <t>Then she dismounts, throwing her arms up in the air.</t>
  </si>
  <si>
    <t>v_5u-PL0wr3TU</t>
  </si>
  <si>
    <t>A toddler goes down on a slide in a playground full of people, when the toddler touches the floor, she stand and run.</t>
  </si>
  <si>
    <t>Suddenly, a man run behind the toddler.</t>
  </si>
  <si>
    <t>v_yrGietojx78</t>
  </si>
  <si>
    <t>A man in a white shirt is holding a tool in his hand.</t>
  </si>
  <si>
    <t>He starts chopping weeds down in a field.</t>
  </si>
  <si>
    <t>He stops and puts the tool against a fence.</t>
  </si>
  <si>
    <t>v_KEU4Sj6x1p4</t>
  </si>
  <si>
    <t>The race begins, one of the racer has a huge head start before the other even starts moving.</t>
  </si>
  <si>
    <t>They begin to run again but this time the man who had the head start takes his time and the man in the blue runs fast and jumps in the sand.</t>
  </si>
  <si>
    <t>He runs and jumps again, this time they show it again in slow motion.</t>
  </si>
  <si>
    <t>He just keeps practicing his run and jump over and over trying to get it perfect.</t>
  </si>
  <si>
    <t>v_iYdbam6e8cI</t>
  </si>
  <si>
    <t>People are roller blading down sets of stairs.</t>
  </si>
  <si>
    <t>A person falls into the street.</t>
  </si>
  <si>
    <t>A school bus is on the street behind them.</t>
  </si>
  <si>
    <t>v_XazKuBawFCM</t>
  </si>
  <si>
    <t>A woman is standing on a field in a circle.</t>
  </si>
  <si>
    <t>She spins while holding a disc.</t>
  </si>
  <si>
    <t>she accidentally lets go, and the disc flies out behind her.</t>
  </si>
  <si>
    <t>v__K88UOvtQPk</t>
  </si>
  <si>
    <t>A young girl is seen playing a saxophone while looking over to the camera and moving her hands up and down.</t>
  </si>
  <si>
    <t>The woman continues to play the instrument and ends by turning off the camera.</t>
  </si>
  <si>
    <t>v_G6FhQuR3_88</t>
  </si>
  <si>
    <t>We see men playing instruments in a plaza.</t>
  </si>
  <si>
    <t>The front man turns around to the men behind him.</t>
  </si>
  <si>
    <t>The man in front grabs the microphone.</t>
  </si>
  <si>
    <t>The band finishes playing their instruments.</t>
  </si>
  <si>
    <t>v_8liz3Fu7DGU</t>
  </si>
  <si>
    <t>On a a big field there is a lacrosse team playing a game , they are all moving around strategically.</t>
  </si>
  <si>
    <t>They throw the ball trying to make the goal while the other team tries to block them.</t>
  </si>
  <si>
    <t>They are running around you can see arrows to pointing to whats going on here and there.</t>
  </si>
  <si>
    <t>it is a very physical and hands on sport that requires stamina and energy.</t>
  </si>
  <si>
    <t>v_kB0h-fHb_WU</t>
  </si>
  <si>
    <t>A guy with with leg extensions enter.</t>
  </si>
  <si>
    <t>The guy hops and flips on a trampoline.</t>
  </si>
  <si>
    <t>A man and woman remove an attachment from a cable and attach another.</t>
  </si>
  <si>
    <t>The cables are lifted up.</t>
  </si>
  <si>
    <t>The man and woman remove what they removed from the trampoline and leave.</t>
  </si>
  <si>
    <t>The guy with leg extensions leaves.</t>
  </si>
  <si>
    <t>Two people enter with a chair and bucket.</t>
  </si>
  <si>
    <t>v_Ne8UzAInivM</t>
  </si>
  <si>
    <t>A scuba diver is swimming through the water on a video game.</t>
  </si>
  <si>
    <t>They are looking through rubble of an old ship.</t>
  </si>
  <si>
    <t>They get in their boat and drive.</t>
  </si>
  <si>
    <t>They jump under the water again.</t>
  </si>
  <si>
    <t>v_dZa5ir3baH4</t>
  </si>
  <si>
    <t>A man prepares to run along an indoor track.</t>
  </si>
  <si>
    <t>He runs, taking very large strides.</t>
  </si>
  <si>
    <t>He jumps awkwardly into the sand, landing on his face.</t>
  </si>
  <si>
    <t>v_d3Rx-nw5Zlw</t>
  </si>
  <si>
    <t>There's a young man wearing a blue jacket and a white shirt standing near a wall with white bathroom tiles.</t>
  </si>
  <si>
    <t>He is smoking a cigarette.</t>
  </si>
  <si>
    <t>He continues taking a several puffs of the cigarette as he empties the ashes of the burned cigarette on the side.</t>
  </si>
  <si>
    <t>He looks a bit confused as he continues smoking the cigarette.</t>
  </si>
  <si>
    <t>v_pajUG7Y6Gtk</t>
  </si>
  <si>
    <t>Three people are seen standing on a sandy field and lead into one scoring a goal.</t>
  </si>
  <si>
    <t>The men celebrate while his clip is shown again several times.</t>
  </si>
  <si>
    <t>The men continue to celebrate and begin playing the game again.</t>
  </si>
  <si>
    <t>v_avGe67wRvxA</t>
  </si>
  <si>
    <t>A lady wipes lipstick off her face.</t>
  </si>
  <si>
    <t>The lady then lines her lips with a pencil.</t>
  </si>
  <si>
    <t>The lady stops and adjusts the camera.</t>
  </si>
  <si>
    <t>the camera move and we see a man next to the lady.</t>
  </si>
  <si>
    <t>the lady fixes her hair in the camera.</t>
  </si>
  <si>
    <t>v_OZftVCeblMk</t>
  </si>
  <si>
    <t>A man is seen standing before a kitchen sink and washing dishes in his hands.</t>
  </si>
  <si>
    <t>The man then cleans the dishes and puts them away, then looking over upset to see more dishes.</t>
  </si>
  <si>
    <t>v___wPHayoMgw</t>
  </si>
  <si>
    <t>A young woman is dressed in a zebra onesie sitting on her bed smoking a hookah.</t>
  </si>
  <si>
    <t>She takes two puffs,exhales the smoke and a spark flies from the end of the tube.</t>
  </si>
  <si>
    <t>The man behind the camera switches and then begins to smoke the hookah as the girl begins to record.</t>
  </si>
  <si>
    <t>Once he is finished,the hookah is given back to the girl and she starts to smoke.</t>
  </si>
  <si>
    <t>v_t9UsqWspqZM</t>
  </si>
  <si>
    <t>A person dressed up as Darth Vader plays a violin on the sidewalk.</t>
  </si>
  <si>
    <t>People walk in front of him.</t>
  </si>
  <si>
    <t>v_LZleSe6Kovg</t>
  </si>
  <si>
    <t>A man is wearing a white robe with a black belt.</t>
  </si>
  <si>
    <t>He starts doing karate moves in a room.</t>
  </si>
  <si>
    <t>He stands up right at the end.</t>
  </si>
  <si>
    <t>v_bt4cH91_KPI</t>
  </si>
  <si>
    <t>An excited man is seen talking to the camera and transitions into several shots of men winning games, beer, and being interviewed by the host.</t>
  </si>
  <si>
    <t>The men are then seen playing a game of beer pong with several others around and showing off a shaved head.</t>
  </si>
  <si>
    <t>A man is seen talking on a phone and more shots of the men playing beer pong are shown.</t>
  </si>
  <si>
    <t>v_hJKX5ZulTgI</t>
  </si>
  <si>
    <t>A woman spins around, showing off her hair style.</t>
  </si>
  <si>
    <t>We see a black hair drying spinning on the screen.</t>
  </si>
  <si>
    <t>The woman is getting her hair styled in the background by another woman, while text covers the screen with instructions.</t>
  </si>
  <si>
    <t>The woman brushes and finalizes the style, and the client has a huge happy smile.</t>
  </si>
  <si>
    <t>v_8ZqRn0ovdAI</t>
  </si>
  <si>
    <t>A man is seen sitting on a park bench playing guitar with a small boy beside him.</t>
  </si>
  <si>
    <t>The boy then begins playing a set of drums next to the man playing guitar.</t>
  </si>
  <si>
    <t>The two continue playing with one another and stop to wave to the camera and speak to one another.</t>
  </si>
  <si>
    <t>v_ns8v94HCtlM</t>
  </si>
  <si>
    <t>A person is turning on a machine and watching a hose grow bigger while he spins the dial.</t>
  </si>
  <si>
    <t>He continues pressing buttons and begins grooming a dog.</t>
  </si>
  <si>
    <t>The person goes up and down on the dog and eventually makes him look good as new with different settings.</t>
  </si>
  <si>
    <t>v_tHFF0OaIHoE</t>
  </si>
  <si>
    <t>A young girl is sitting in an empty bath tub shaving a man's leg that is thrown over the tub.</t>
  </si>
  <si>
    <t>As she continues,the dog comes and she shows the hair on the razor to the camera.</t>
  </si>
  <si>
    <t>v_vvoqG7UQsdc</t>
  </si>
  <si>
    <t>There are two students, a boy and a girl in a pole vault runway.</t>
  </si>
  <si>
    <t>One of the students, a boy sprints with the pole on the runway while a person in blue the other student watch him perform.</t>
  </si>
  <si>
    <t>Then he jumps up high and lands a few feet away on the landing area.</t>
  </si>
  <si>
    <t>His actions are replayed in slow motion to capture his jump and landing.</t>
  </si>
  <si>
    <t>v_2bkQz8BcKZ4</t>
  </si>
  <si>
    <t>A small group of girls are seen walking onto a stage followed by more people following behind.</t>
  </si>
  <si>
    <t>More people continue walking out onto the stage with some holding signs and others watching on the side.</t>
  </si>
  <si>
    <t>v_tilmCzSf1oc</t>
  </si>
  <si>
    <t>A boy in karate class bows before a performance.</t>
  </si>
  <si>
    <t>The boy performs a karate routine with hand scythes.</t>
  </si>
  <si>
    <t>The boy ends his routine and bows.</t>
  </si>
  <si>
    <t>v_bUHE8XcPZgs</t>
  </si>
  <si>
    <t>We see a man walk to the parallel bars and jump on.</t>
  </si>
  <si>
    <t>We see the man perform a routine on the bars.</t>
  </si>
  <si>
    <t>The man does a handstand.</t>
  </si>
  <si>
    <t>The man flips and dismounts from the bars.</t>
  </si>
  <si>
    <t>The man raise his arms in the air.</t>
  </si>
  <si>
    <t>The man walks away and hugs another man.</t>
  </si>
  <si>
    <t>v_-AaOr1DI2no</t>
  </si>
  <si>
    <t>A lady stands in a living room and discusses.</t>
  </si>
  <si>
    <t>The lady easily pulls the wallpaper of the wall.</t>
  </si>
  <si>
    <t>A woman paints the wall with a liquid.</t>
  </si>
  <si>
    <t>The woman puts wallpaper on the area.</t>
  </si>
  <si>
    <t>The woman cuts the wallpaper with a box cutter.</t>
  </si>
  <si>
    <t>The woman paints the wallpaper with paint.</t>
  </si>
  <si>
    <t>v_1Uur858vdY8</t>
  </si>
  <si>
    <t>An athletic man is seen standing ready and begins running down a track and jumping into a pit.</t>
  </si>
  <si>
    <t>The man celebrates as his score is shown and his jump is shown again in slow motion.</t>
  </si>
  <si>
    <t>v_7Xl0K-revJc</t>
  </si>
  <si>
    <t>A man teaches the proper way to get a mouthpiece on a saxophone.</t>
  </si>
  <si>
    <t>He then describes how to properly play the horn.</t>
  </si>
  <si>
    <t>v_gHk4mjlJ5cg</t>
  </si>
  <si>
    <t>A shirtless man talks in a gym.</t>
  </si>
  <si>
    <t>A lady runs past both ways then jumps rope behind the man.</t>
  </si>
  <si>
    <t>We see title screens with instructions.</t>
  </si>
  <si>
    <t>We see a lady jumping rope eleven different ways.</t>
  </si>
  <si>
    <t>v_ajA_cE6b9AY</t>
  </si>
  <si>
    <t>a river is shown and a car is a dust path.</t>
  </si>
  <si>
    <t>men are rafting on a lake on the rapids.</t>
  </si>
  <si>
    <t>v_GPR8rtfZr4A</t>
  </si>
  <si>
    <t>A graphic logo is seen that is black and white in color with the letter "N".</t>
  </si>
  <si>
    <t>A tv host stands in front of a camouflaged background.</t>
  </si>
  <si>
    <t>Two girls are seen walking in a photograph in baseball uniforms.</t>
  </si>
  <si>
    <t>A large group of fans crowds on a baseball field and surrounds a famous singer doing a performance.</t>
  </si>
  <si>
    <t>A red handball is rolled to a kicker during a kickball match who kicks it into the outfield for a run.</t>
  </si>
  <si>
    <t>Another man in tshirt and black sweats kicks a ball and runs around the bases trying to avoid being tagged with the ball.</t>
  </si>
  <si>
    <t>The same man rides on a skateboard in the city.</t>
  </si>
  <si>
    <t>The man is seen again in an up close video in a room.</t>
  </si>
  <si>
    <t>v_E-6XZrDYRuM</t>
  </si>
  <si>
    <t>The title shows as a man ride a horse through an arena.</t>
  </si>
  <si>
    <t>There is then a showcase of horses jumping over obstacles.</t>
  </si>
  <si>
    <t>One of the pictures rotates around in a circle and the next video squeezes in on itself.</t>
  </si>
  <si>
    <t>It continues to show horse jumping over obstacles with video effects.</t>
  </si>
  <si>
    <t>A man walks side my side with with partner.</t>
  </si>
  <si>
    <t>The credits role with some praise.</t>
  </si>
  <si>
    <t>v_Jth2Zlpr1gQ</t>
  </si>
  <si>
    <t>The woman in red top is standing.</t>
  </si>
  <si>
    <t>The woman stretches her arms one side first then the next one.</t>
  </si>
  <si>
    <t>The woman put her arms in front of her, then stretch out and turned around.</t>
  </si>
  <si>
    <t>v_GKK32IWDlSE</t>
  </si>
  <si>
    <t>A man is outside on a track.</t>
  </si>
  <si>
    <t>He runs with a javelin in his hand.</t>
  </si>
  <si>
    <t>He throws it as far as he can, raising his arms in victory.</t>
  </si>
  <si>
    <t>v_fgFU8vdsA8k</t>
  </si>
  <si>
    <t>A girl and a man are inside a high structure wearing bungee jumping equipment.</t>
  </si>
  <si>
    <t>The girl get out and stand on the border of the structure, then while the man puts a rope behind the girl.</t>
  </si>
  <si>
    <t>After, the girl jumps from the structure for a moment and then she gets up on the structure.</t>
  </si>
  <si>
    <t>v_YDNEa5ZOf6c</t>
  </si>
  <si>
    <t>A man wearing a hood is opening a paper, then he went down the stair and walked to a pathway.</t>
  </si>
  <si>
    <t>The woman is talking to the camera and showing the ground covered with snow.</t>
  </si>
  <si>
    <t>The man is standing next to the van and began scooping off the snow on the roof of the car, while the other person is using a broom to get the snow off the car.</t>
  </si>
  <si>
    <t>v_Hub83eTB8mM</t>
  </si>
  <si>
    <t>A construction worker is standing and talking to the camera while holding a sprayer.</t>
  </si>
  <si>
    <t>He is very animated while he goes back to sanding and spraying.</t>
  </si>
  <si>
    <t>v_9ZQY-ZfimYo</t>
  </si>
  <si>
    <t>A man is shown speaking to the camera excitedly and shows several shots of the man climbing a rock wall and various locations.</t>
  </si>
  <si>
    <t>Then man then continues speaking to the camera and demonstrates how to properly climb the wall while still speaking.</t>
  </si>
  <si>
    <t>v_GwLhmYF7Wdw</t>
  </si>
  <si>
    <t>man is standing in front of a white cloth in a studio doing exercise in an elliptical machine showing the characteristics of the bike.</t>
  </si>
  <si>
    <t>woman is doing the same that the man, watching the elliptical and doing exercise.</t>
  </si>
  <si>
    <t>v_uA3dbKjT9rM</t>
  </si>
  <si>
    <t>A girl sitting int eh driver seat of a car is talking on her phone on speaker.</t>
  </si>
  <si>
    <t>She hangs up and starts talking out loud and then her and her friend are walking through a parking garage.</t>
  </si>
  <si>
    <t>The girls are walking and talking through the mall, then they go to Claires to get ears pierced.</t>
  </si>
  <si>
    <t>They continue walking around the mall for a while.</t>
  </si>
  <si>
    <t>v_Gn7Ha7l1uOk</t>
  </si>
  <si>
    <t>A man stands in a stair rail holding a knife.</t>
  </si>
  <si>
    <t>A guy prepare to play the drums.</t>
  </si>
  <si>
    <t>The guy plays a drum set.</t>
  </si>
  <si>
    <t>v_zryPDx9WL08</t>
  </si>
  <si>
    <t>Several shots are shown of a man warming up as well as performing martial arts tricks.</t>
  </si>
  <si>
    <t>A man speaks to the camera while several clips are shown of people flipping and doing tricks in various locations.</t>
  </si>
  <si>
    <t>The people jump and flip around one another and continue performing parkour.</t>
  </si>
  <si>
    <t>v_OjQHQptSXk0</t>
  </si>
  <si>
    <t>A large parade of people marching down a street is shown with several hundred people watching on the side.</t>
  </si>
  <si>
    <t>The people continue playing the instruments as the camera pans around the large group of people and following the parade.</t>
  </si>
  <si>
    <t>v_qm1dudWLlUg</t>
  </si>
  <si>
    <t>A man is drinking a beer during a game while others look on and smile.</t>
  </si>
  <si>
    <t>Several people are watching the match and the man drinking a beer looks at the camera and smiles.</t>
  </si>
  <si>
    <t>v_ZjHIN-M-dQY</t>
  </si>
  <si>
    <t>A group of people re riding stationary bikes in a big gym.</t>
  </si>
  <si>
    <t>One man moves a stationary bike.</t>
  </si>
  <si>
    <t>A woman adjusts the top hat she is wearing.</t>
  </si>
  <si>
    <t>v_ZEChBNpLCyU</t>
  </si>
  <si>
    <t>A man is seen speaking to the camera and begins laying out tarp next to a tree.</t>
  </si>
  <si>
    <t>The man cuts the tarp and begins putting mulch all around the tree.</t>
  </si>
  <si>
    <t>v_xAI1y9izXOM</t>
  </si>
  <si>
    <t>Two men sit across a table and begin an arm wrestling match.</t>
  </si>
  <si>
    <t>They both struggle a bit until the man on the left eventually wins.</t>
  </si>
  <si>
    <t>v_me4rMjlnTlI</t>
  </si>
  <si>
    <t>A small group of children are seen holding onto a rope with a man standing in front of them speaking to them.</t>
  </si>
  <si>
    <t>The kids continue pulling with adult's help and then cheer in the end.</t>
  </si>
  <si>
    <t>v_ZhPL4xb8JD0</t>
  </si>
  <si>
    <t>A horseman sits on a horse and a person stands on front a cattle squeeze chute.</t>
  </si>
  <si>
    <t>Suddenly, the horseman and a calf run to the the arena, while the horseman runs behind the calf spinning in the air a rope.</t>
  </si>
  <si>
    <t>After, the horseman throws the hoop and catch the calf, then quickly he lie the calf on the floor and tie the legs.</t>
  </si>
  <si>
    <t>v_5Ia1MCFut_8</t>
  </si>
  <si>
    <t>A young child is seen climbing into a slide and edging her way closer to the edge.</t>
  </si>
  <si>
    <t>The girl then rides down the slide smiling and walks away.</t>
  </si>
  <si>
    <t>v_X0IXZMr95TM</t>
  </si>
  <si>
    <t>A clear bottle pours a drink into a cocktail glass.</t>
  </si>
  <si>
    <t>A bartender picks up a stainless steel cup and scoops ice into it.</t>
  </si>
  <si>
    <t>The bartender pours liquors into a shot glass and dumps them into a cup.</t>
  </si>
  <si>
    <t>The bartender caps the cup and shakes vigorously.</t>
  </si>
  <si>
    <t>The contents of the mixing cup are poured into a martini glass.</t>
  </si>
  <si>
    <t>v_V4tqzi5uw9Y</t>
  </si>
  <si>
    <t>A man touches his faces and waves.</t>
  </si>
  <si>
    <t>The man walks a mower across very tall growing grass.</t>
  </si>
  <si>
    <t>v_eLVaojWbwHE</t>
  </si>
  <si>
    <t>A middle aged woman is standing in a room behind a table full of pain and various size brushes and an image of trees on a easel.</t>
  </si>
  <si>
    <t>In her left hand,she has a wheel of paint and begins to make stokes on the image to complete her picture.</t>
  </si>
  <si>
    <t>She goes back and forth from the paint to the board and shows how to make a tree and then cleans her brushes.</t>
  </si>
  <si>
    <t>v_BCsfauy69xM</t>
  </si>
  <si>
    <t>A person is carving a pumpkin.</t>
  </si>
  <si>
    <t>We see two people side by side carving pumpkins.</t>
  </si>
  <si>
    <t>We see from inside the pumpkin as they are being carved.</t>
  </si>
  <si>
    <t>We see five pumpkins on a couch and in the dark lit from the inside.</t>
  </si>
  <si>
    <t>v_Y82dz6aTwJ0</t>
  </si>
  <si>
    <t>A woman is sitting on the couch and is putting her feet in a python printed heels.</t>
  </si>
  <si>
    <t>Once they are on she stands up and walks around as the camera zooms in on her red painted toe nails.</t>
  </si>
  <si>
    <t>v_O2JUUFFdWpk</t>
  </si>
  <si>
    <t>A man in a blue costume throws something into the audience.</t>
  </si>
  <si>
    <t>He picks up a green can and takes a drink.</t>
  </si>
  <si>
    <t>He then plays rock paper scissors with another man across from him.</t>
  </si>
  <si>
    <t>v_B3fiiuk0EqE</t>
  </si>
  <si>
    <t>A man shovels snow from a driveway.</t>
  </si>
  <si>
    <t>The camera pans to show another man using an electric shoveling machine to clear show from his driveway.</t>
  </si>
  <si>
    <t>The man finishes clearing snow and turns to the camera.</t>
  </si>
  <si>
    <t>v_gYARGADLcmQ</t>
  </si>
  <si>
    <t>We see an aerial view of a beach with people all over.</t>
  </si>
  <si>
    <t>We see people building sand castles.</t>
  </si>
  <si>
    <t>We interview a judge, who then walks among the people.</t>
  </si>
  <si>
    <t>We see two men interviewed.</t>
  </si>
  <si>
    <t>We see an awning over the beach and canopies beyond that.</t>
  </si>
  <si>
    <t>v_VQPfRCsSmQk</t>
  </si>
  <si>
    <t>There's a woman in a red sweater and white shirt and blue pants sitting in her living room on a brown leather sofa.</t>
  </si>
  <si>
    <t>She is holding a spray can of furniture polish in her hand.</t>
  </si>
  <si>
    <t>She also has a paper towel in her other hand which she uses to wipe the table.</t>
  </si>
  <si>
    <t>She sprays the wooden table surface with the spray and then wipes it with the white paper towel.</t>
  </si>
  <si>
    <t>She explains how to use the spray and wipe the furniture.</t>
  </si>
  <si>
    <t>v_jYA_3BMF2d4</t>
  </si>
  <si>
    <t>We see a man standing in a room.</t>
  </si>
  <si>
    <t>The man starts performing tai chi.</t>
  </si>
  <si>
    <t>The man turns and faces left.</t>
  </si>
  <si>
    <t>The man turns to face right.</t>
  </si>
  <si>
    <t>The man makes his way to the right side of the room slowly.</t>
  </si>
  <si>
    <t>The screen then fades to black.</t>
  </si>
  <si>
    <t>v_QEaQzeB94N4</t>
  </si>
  <si>
    <t>A young man plays the violin on a sidewalk for people passing by in downtown area.</t>
  </si>
  <si>
    <t>Two students walk by behind the musician while he plays.</t>
  </si>
  <si>
    <t>The woman on the bench has turned to watch facing the man play the song.</t>
  </si>
  <si>
    <t>A man drops change in the musician's cup after he plays.</t>
  </si>
  <si>
    <t>v_dN14VPSHimI</t>
  </si>
  <si>
    <t>a man is riding a horse in a rodeo and catch a bull while in stands people are watching them andother man in a hse are on side of the court.</t>
  </si>
  <si>
    <t>men are riding a horse in a barn and throw a rope to catch a bull.</t>
  </si>
  <si>
    <t>v_TI3WqIauOYs</t>
  </si>
  <si>
    <t>A man takes off his shirt.</t>
  </si>
  <si>
    <t>He starts doing karate moves on a blue mat.</t>
  </si>
  <si>
    <t>He does several flips in the air.</t>
  </si>
  <si>
    <t>v_aAlbRFeu32E</t>
  </si>
  <si>
    <t>First the young woman is sleeping in her bed, but then she wakes up to say something.</t>
  </si>
  <si>
    <t>Next she is shown sitting at the restaurant eating fries and then she is shown in her room again, staring at the clothes on her bed and putting on her shoes.</t>
  </si>
  <si>
    <t>She is also shown doing fun things in the video and other girls are too.</t>
  </si>
  <si>
    <t>v_ICM-GjDa9QY</t>
  </si>
  <si>
    <t>A young man puts detergent in a blue bucket, then shows and explains how to clean a screen windows using a squeegee.</t>
  </si>
  <si>
    <t>After, the young man cleans the wet screen with a cloth.</t>
  </si>
  <si>
    <t>The young man compares a dirt screen with the clean one and gives a thump up.</t>
  </si>
  <si>
    <t>v_-HHybw--2XA</t>
  </si>
  <si>
    <t>A camera pans around a fenced in area and leads into a man and his dog performing tricks with a frisbee.</t>
  </si>
  <si>
    <t>The an continues to perform tricks with the dog using the toys and other dogs watching on the side.</t>
  </si>
  <si>
    <t>v_rgrzN8ELIxI</t>
  </si>
  <si>
    <t>A collage of drawings and logos are seen in black and white that make up a larger logo.</t>
  </si>
  <si>
    <t>A beach is seen from the distance and houses are seen on a hillside in a small beach town.</t>
  </si>
  <si>
    <t>A surfer walks down towards the beach.</t>
  </si>
  <si>
    <t>v_w3DvA9405_o</t>
  </si>
  <si>
    <t>A woman is seen looking off in the distance who holds onto a harmonica.</t>
  </si>
  <si>
    <t>She begins playing the harmonica while looking away from the camera.</t>
  </si>
  <si>
    <t>The continues playing the harmonica and stops to look down at the camera.</t>
  </si>
  <si>
    <t>v_5ytocb1ypRU</t>
  </si>
  <si>
    <t>A person using a chain saw is cutting down limbs off of a tree.</t>
  </si>
  <si>
    <t>The man uses an extension to cut a limb off the top of the tree.</t>
  </si>
  <si>
    <t>v_j5V7kD_HeMw</t>
  </si>
  <si>
    <t>A man descends from a steam slope on his snowboard.</t>
  </si>
  <si>
    <t>Another catches air as he flies over a snowy hill.</t>
  </si>
  <si>
    <t>Another snowboarder sharply slides down a steep hill to the base.</t>
  </si>
  <si>
    <t>A man in grey is shown performing some tricks in the air.</t>
  </si>
  <si>
    <t>First person perspective of a snowboarder going down a hill is shown.</t>
  </si>
  <si>
    <t>Another snowboarder flies down the hill, expertly cutting left and right.</t>
  </si>
  <si>
    <t>Various footage of snowboarders descending large slopes is shown.</t>
  </si>
  <si>
    <t>First person perspective of snowboarder with fellow rider in front of him closes the video.</t>
  </si>
  <si>
    <t>v_feUoPtDWe1Y</t>
  </si>
  <si>
    <t>The woman in white sweater is talking to the camera.</t>
  </si>
  <si>
    <t>The woman is holding a violin and stick.</t>
  </si>
  <si>
    <t>The woman put the violin between her neck and shoulder and began playing for few seconds then talked to the camera.</t>
  </si>
  <si>
    <t>v_pzZ4TGcMK1k</t>
  </si>
  <si>
    <t>People stand on the border of the diving boards and they dive while in the water.</t>
  </si>
  <si>
    <t>Swimmer stand on the diving boards, then they jump spinning in the air and diving in the water.</t>
  </si>
  <si>
    <t>Swimmers jump from the diving board, they spins three times in the air before to dive inn the water.</t>
  </si>
  <si>
    <t>v_NLpWaffN3XM</t>
  </si>
  <si>
    <t>A girl demonstrates playing an acoustic guitar using her hands to create percussion noise on the body of the guitar.</t>
  </si>
  <si>
    <t>A girl enters a room where an acoustic guitar is leaning against a sofa and sits down on the sofa and begins to play the guitar.</t>
  </si>
  <si>
    <t>The girl uses her right hand to make beats with the guitar and picks chords with the left hand while staring intently at the guitar.</t>
  </si>
  <si>
    <t>The girl continues to play intensely, occasionally nodding her head to the rhythm.</t>
  </si>
  <si>
    <t>v_xddZ9YjTGgo</t>
  </si>
  <si>
    <t>A young man in green shirt is standing at the goal, while the young player in blue kicked the ball to the goal, and the ball went inside the goal, the man in green shirt missed the ball.</t>
  </si>
  <si>
    <t>The man in red shirt run towards the ball, kicked the ball, and the goalkeeper wasn't able to block it, the player high five his teammates.</t>
  </si>
  <si>
    <t>The players are kicking the ball to the goal and the goalkeepers weren't able to block the ball.</t>
  </si>
  <si>
    <t>v_8btD4-N4stM</t>
  </si>
  <si>
    <t>We see scene of a bullfighting with matadors in the ring and see them stabbing the bulls.</t>
  </si>
  <si>
    <t>We see images of bloody bulls and carcasses being dragged on the ground.</t>
  </si>
  <si>
    <t>We see images of a bull in a slaughterhouse.</t>
  </si>
  <si>
    <t>Words go across the screen about torturing the bulls.</t>
  </si>
  <si>
    <t>We then see a PETA ending screen.</t>
  </si>
  <si>
    <t>v_3_hJrb_aDWU</t>
  </si>
  <si>
    <t>A kayak rider drifts in the bay of an ocean.</t>
  </si>
  <si>
    <t>Two kayak riders talk while sitting in their kayaks.</t>
  </si>
  <si>
    <t>The view of the surrounding mountains is seen.</t>
  </si>
  <si>
    <t>v_TZ5Vd9eL5WA</t>
  </si>
  <si>
    <t>Two people are standing in a kitchen.</t>
  </si>
  <si>
    <t>A man moves a glass bowl off the counter.</t>
  </si>
  <si>
    <t>A woman begins chopping a tomato on a board.</t>
  </si>
  <si>
    <t>v_unLrTQt07kI</t>
  </si>
  <si>
    <t>We a man washing dishes in a restaurant kitchen with two other men standing behind him on massaging his shoulder.</t>
  </si>
  <si>
    <t>Teh dishwasher shakes the man off his shoulders.</t>
  </si>
  <si>
    <t>The man in rear in blue walks out of the room.</t>
  </si>
  <si>
    <t>The other man pretends to wash dishes then washes his hands.</t>
  </si>
  <si>
    <t>v_2VYZeOa6804</t>
  </si>
  <si>
    <t>A reporter broadcast from a TV studio set.</t>
  </si>
  <si>
    <t>Then he reporter shows interviews a male an a female player next a swimming pool while a group of players jump into the water.</t>
  </si>
  <si>
    <t>Two teams play water polo in the swimming pool while the reporter continues to interview people.</t>
  </si>
  <si>
    <t>A woman and a man writes the scores on a the game, then people applauds.</t>
  </si>
  <si>
    <t>The winner team gets out the water and celebrates, and then the reporter interviews the team members.</t>
  </si>
  <si>
    <t>Again, the team gets in the water, and then the reporter broadcast from a studio set.</t>
  </si>
  <si>
    <t>v_0ivHmKR8cUw</t>
  </si>
  <si>
    <t>woman is standing in front of a counter talking to the camera and showing drinks.</t>
  </si>
  <si>
    <t>woman grabbs the juice and liquor and and serve it in a cup.</t>
  </si>
  <si>
    <t>woman is showing in a bar how to prepare a cocktail.</t>
  </si>
  <si>
    <t>v_4XfNexN6t04</t>
  </si>
  <si>
    <t>A man wearing a blue shirt walks to some congas and sit down.</t>
  </si>
  <si>
    <t>The musician begins to play the congas in a small room.</t>
  </si>
  <si>
    <t>The man then gets up and approaches the camera.</t>
  </si>
  <si>
    <t>v_YWu9gYCBAas</t>
  </si>
  <si>
    <t>We see shots of a sink.</t>
  </si>
  <si>
    <t>A person sprays the sink with a bottle then uses scrub brushes to scrub the sink.</t>
  </si>
  <si>
    <t>The person rinses the sink the wipes it with a blue towel.</t>
  </si>
  <si>
    <t>The person then rinses the sink again and wipes it down with the blue towel again.</t>
  </si>
  <si>
    <t>The person sprays the sink with a solution and uses a small roller paint brush to run the solution into the sink.</t>
  </si>
  <si>
    <t>We see before and after shots of the sink.</t>
  </si>
  <si>
    <t>v_QGY7zA03RkE</t>
  </si>
  <si>
    <t>A group of people play ping pong with automated machines and robots.</t>
  </si>
  <si>
    <t>One man plays ping pong with an orange machine with a red paddle attached to the end of a robotic arm.</t>
  </si>
  <si>
    <t>A man and a child play ping pong across a blue ping pong table as a man appears standing next to an orange automated machine and talks.</t>
  </si>
  <si>
    <t>Another man plays ping pong across a blue ping pong table with a white, metal, robot.</t>
  </si>
  <si>
    <t>A man in a suit and tie talks while a hand places an orange ball into the automated two prong hand of a white robot before going to an area in a room filled with orange robotic machines.</t>
  </si>
  <si>
    <t>v_in5XF1bbYr0</t>
  </si>
  <si>
    <t>We see a series of opening screens.</t>
  </si>
  <si>
    <t>A person throws a frisbee as a dog catches them.</t>
  </si>
  <si>
    <t>A man raises his hands in the air and walks off and another person walks past the camera.</t>
  </si>
  <si>
    <t>We see an image of the dog laying in the grass with words on the screen.</t>
  </si>
  <si>
    <t>v_pCEg_GoXoU4</t>
  </si>
  <si>
    <t>Several shots are shown of scuba divers moving along the water and fish moving around them.</t>
  </si>
  <si>
    <t>More people are seen moving along the ocean while gesturing to the camera and capturing all the wildlife around them.</t>
  </si>
  <si>
    <t>In the end they're seen riding a boat together and waving to the camera.</t>
  </si>
  <si>
    <t>v_J_ZY19xnhJU</t>
  </si>
  <si>
    <t>A little boy runs fast to his swing set and his dog runs after him.</t>
  </si>
  <si>
    <t>He climbs up the slide and and slide and his little brother comes up to play too.</t>
  </si>
  <si>
    <t>The mom comes over to play on the sea saw with one of the boys and he falls off.</t>
  </si>
  <si>
    <t>They play for a while going from one part of the set to the next.</t>
  </si>
  <si>
    <t>v_Aqq8S79ZAhk</t>
  </si>
  <si>
    <t>A camera pans around a room and leads into two women speaking and pulling out rock tiles.</t>
  </si>
  <si>
    <t>The women then put plaster down followed by the rock tiles and showing off the finished shower in the end and people reacting.</t>
  </si>
  <si>
    <t>v_69SYd5feEBQ</t>
  </si>
  <si>
    <t>An elderly lady sits in a chair knitting and talking to the camera.</t>
  </si>
  <si>
    <t>The lady shakes her head slightly while looking at the camera.</t>
  </si>
  <si>
    <t>The lady pauses and looks out the window.</t>
  </si>
  <si>
    <t>v_FBbN6FHC7L8</t>
  </si>
  <si>
    <t>A woman wearing a red leotard demonstrates a ballet move traveling toe move.</t>
  </si>
  <si>
    <t>The ballet instructor shimmies across the floor taking small little side steps.</t>
  </si>
  <si>
    <t>The instructor demonstrates a spot turn ballet turns.</t>
  </si>
  <si>
    <t>The instructor than combines the side toe step with the spot turning move.</t>
  </si>
  <si>
    <t>v_vZuy4OyWBsQ</t>
  </si>
  <si>
    <t>Two young teenage girls hold soapsuds in their hands in a kitchen.</t>
  </si>
  <si>
    <t>The girls throw the suds in each other's faces.</t>
  </si>
  <si>
    <t>One girl hops on the shoulders of the other.</t>
  </si>
  <si>
    <t>They begin to wash the dishes.</t>
  </si>
  <si>
    <t>v_e6r-A-LAe2E</t>
  </si>
  <si>
    <t>A young boy and a small boy are on a fenced field.</t>
  </si>
  <si>
    <t>They kick a ball, then try to chase it down.</t>
  </si>
  <si>
    <t>The kids continue playing as a man joins, fighting over the ball.</t>
  </si>
  <si>
    <t>v_4uwtqRBE4Kk</t>
  </si>
  <si>
    <t>a sea is shown with a green forest on seashore.</t>
  </si>
  <si>
    <t>blond man is standing in seashore and talking to the camera and surfing big waves on the sea.</t>
  </si>
  <si>
    <t>man is walking on seashore through a lot of people and talking to the camera and holding an award and talking about surfing the seashore.</t>
  </si>
  <si>
    <t>v_M1J3XjExaW4</t>
  </si>
  <si>
    <t>A man is seen speaking to the camera while holding onto a stick.</t>
  </si>
  <si>
    <t>He points down to balls in front of him as well as his body.</t>
  </si>
  <si>
    <t>He them demonstrates how to hit the ball properly while still speaking.</t>
  </si>
  <si>
    <t>v_FRjVP5r9rqc</t>
  </si>
  <si>
    <t>An elderly woman pans to the camera and does various hand movements on the floor.</t>
  </si>
  <si>
    <t>The woman grabs several items of clothing and shows how she washes them in the sink.</t>
  </si>
  <si>
    <t>She holds a bar of soap and rubs it all over the clothes and dips it into the water.</t>
  </si>
  <si>
    <t>She continues cleaning the clothes off in the water and showing how she cleans her clothes.</t>
  </si>
  <si>
    <t>v_ZBuPedt-oEE</t>
  </si>
  <si>
    <t>First the woman grabs some dishes to prepare something and puts them into a refrigerator.</t>
  </si>
  <si>
    <t>She then holds a cup under a foam dispenser and remove sit when it's filled up.</t>
  </si>
  <si>
    <t>She then tops it with crushed graham bears.</t>
  </si>
  <si>
    <t>next she gets a plate and a round stencil.</t>
  </si>
  <si>
    <t>she puts the plate under the dispenser and she removes it and slowly pulls the circle off of the cake once she is done smoothing the paste.</t>
  </si>
  <si>
    <t>Then she uses a knife to put lines on the sides of the cake.</t>
  </si>
  <si>
    <t>Next she puts cream on the edges from top to bottom.</t>
  </si>
  <si>
    <t>then she drizzles a little chocolate syrup on there.</t>
  </si>
  <si>
    <t>She is now done making the cake.</t>
  </si>
  <si>
    <t>v_SMUWOVJ3bzE</t>
  </si>
  <si>
    <t>A young child is seen sitting before a piano and playing a song while wearing a halloween costume.</t>
  </si>
  <si>
    <t>The boy continues playing the instrument and ends by pulling his mask down.</t>
  </si>
  <si>
    <t>v_PY4304sV5fY</t>
  </si>
  <si>
    <t>An young male Caucasian is sitting in a room behind a keyboard.</t>
  </si>
  <si>
    <t>Before he plays,he begins to talk and make movements across three black keys with his right hand as he continues to talk.</t>
  </si>
  <si>
    <t>He finally begins to play and you can see his hand moving rapidly across the keyboard on the left side of the screen.</t>
  </si>
  <si>
    <t>For his final chords,he takes his hand off the board and moves his head around in a circle.</t>
  </si>
  <si>
    <t>v_3ddoLUFrGsE</t>
  </si>
  <si>
    <t>A woman and a boy are making victory sign and smiling.</t>
  </si>
  <si>
    <t>The woman is putting make up to the boy's face, and then the boy shows his face.</t>
  </si>
  <si>
    <t>Then, the woman put make on a girl face.</t>
  </si>
  <si>
    <t>The boy and the girl look their faces on a mirror making funny faces and waving.</t>
  </si>
  <si>
    <t>v_9wtMJoqGTg0</t>
  </si>
  <si>
    <t>A girl performances some gymnastics stunts.</t>
  </si>
  <si>
    <t>A girl stands in place facing a lady.</t>
  </si>
  <si>
    <t>The girl holds up her hand.</t>
  </si>
  <si>
    <t>The girl turn around and climbs the gymnastic, wooden bar.</t>
  </si>
  <si>
    <t>With her hands on the bar, the girl lifts and splits her legs above her head.</t>
  </si>
  <si>
    <t>The lady moves a platform to the left side of the bar.</t>
  </si>
  <si>
    <t>The girl sits on the bar with her hand raised.</t>
  </si>
  <si>
    <t>The girl knees on the bar.</t>
  </si>
  <si>
    <t>The girl stands on the bar.</t>
  </si>
  <si>
    <t>The girl lifts off the bar and land on edge of the bar.</t>
  </si>
  <si>
    <t>The girl back flips three times.</t>
  </si>
  <si>
    <t>The girl takes two steps and front flips.</t>
  </si>
  <si>
    <t>The girl lifts of the bar and lands in the same position.</t>
  </si>
  <si>
    <t>The girl turns, jumps in place, and back flips.</t>
  </si>
  <si>
    <t>The girl turns and spins with hands raised.</t>
  </si>
  <si>
    <t>The girl steps forward, jumps and turns.</t>
  </si>
  <si>
    <t>The girls steps forward and front flips and lands at the edge.</t>
  </si>
  <si>
    <t>The girl back flips three times off the bar and lands on a blue mat.</t>
  </si>
  <si>
    <t>v_IbcBQFvcS9o</t>
  </si>
  <si>
    <t>a white house and a backyard full of snow appears a person is cleaning the fron entrance of the house.</t>
  </si>
  <si>
    <t>a car covered in snow appears and the person is cleaning the snow from the car and its open the road in front of the car.</t>
  </si>
  <si>
    <t>a red car appears covered in snow and a person is cleaning the snow .</t>
  </si>
  <si>
    <t>a black car is covered in snow.</t>
  </si>
  <si>
    <t>v_QDjaaUtepHo</t>
  </si>
  <si>
    <t>A pink and yellow logo with lips appears on screen.</t>
  </si>
  <si>
    <t>A male hairdresser works on the hair of a seated woman in a luxury beauty salon.</t>
  </si>
  <si>
    <t>The man dries and applies product to the woman's hair.</t>
  </si>
  <si>
    <t>v_dJVTlZWqYOs</t>
  </si>
  <si>
    <t>A man picks up a bowling ball and throws it down the lane at some pins.</t>
  </si>
  <si>
    <t>He falls onto the ground.</t>
  </si>
  <si>
    <t>The audience behind him applauds him.</t>
  </si>
  <si>
    <t>v_fsyMiHRW3z4</t>
  </si>
  <si>
    <t>A woman stands by a yellow hopscotch and talks to the camera.</t>
  </si>
  <si>
    <t>The woman plays hopscotch on the painted concrete.</t>
  </si>
  <si>
    <t>The woman talks to the camera once again.</t>
  </si>
  <si>
    <t>v_htKhaMfxxrM</t>
  </si>
  <si>
    <t>An opening scene with a child with a light saber deflecting lasers as they hit the wall to introduce a show.</t>
  </si>
  <si>
    <t>A man in a blue t-shirt and glasses is standing in front of an old telephone booth and explains to his followers on Youtube how he had gone to the hospital to fix a damaged knee from an arm wrestling match.</t>
  </si>
  <si>
    <t>Then a video is shown of the incident where he damaged his knee at an arm wrestling match as these two men sit at a table with a referee overlooking as the man in the glasses at the end of the match falls off his chair and walks off stage.</t>
  </si>
  <si>
    <t>v_wCGpPDYfs-s</t>
  </si>
  <si>
    <t>A band is playing music, while a woman in gray suit is singing, and behind her is a man in black suit is also singing, the guy in green shirt is playing the drum, the people in the big room are dancing and singing while others are sitting, two people are talking in one corner while the singing and dancing continue.</t>
  </si>
  <si>
    <t>The guy in green shirt plays the drums.</t>
  </si>
  <si>
    <t>v_mdJHGKABLhU</t>
  </si>
  <si>
    <t>A man and a woman are smiling in a picture.</t>
  </si>
  <si>
    <t>Someone holds a razor over a sink.</t>
  </si>
  <si>
    <t>A man with shaving cream on his beard starts shaving.</t>
  </si>
  <si>
    <t>The man continues shaving his beard.</t>
  </si>
  <si>
    <t>He wipes his face with a towel and smiles.</t>
  </si>
  <si>
    <t>v_m3AbqJNPn-o</t>
  </si>
  <si>
    <t>A young girl has her hair pulled back and glasses on as someone marks here cartilage.</t>
  </si>
  <si>
    <t>Once it is marked,she begins smiling at the camera.</t>
  </si>
  <si>
    <t>The man then grabs a pair of tweezers and clips the girl's ear.</t>
  </si>
  <si>
    <t>The earring is finally in and the girl begins to smile in approval and touches her other ear.</t>
  </si>
  <si>
    <t>v_nMK_jVy5ZuI</t>
  </si>
  <si>
    <t>Several clips are shown of athletes running down a large track into a pit of sand.</t>
  </si>
  <si>
    <t>More people are shown running down the track performing impressive jumps as well as celebrating afterwards.</t>
  </si>
  <si>
    <t>Several clips are shown of athletes running down the track as well as jumping over beams and waving to the audience.</t>
  </si>
  <si>
    <t>v_OMlpKhvmMpA</t>
  </si>
  <si>
    <t>A group of men are seen walking around a table filled with cups while laughing and smiling to one another.</t>
  </si>
  <si>
    <t>One man then jumps on the table and crashes it to the floor while others run around and laugh.</t>
  </si>
  <si>
    <t>v_IjFlVNAWQec</t>
  </si>
  <si>
    <t>A view is seen of people in the ocean.</t>
  </si>
  <si>
    <t>The waters are rough, splashing harshly against the rocks.</t>
  </si>
  <si>
    <t>The people are being knocked off their surfboards.</t>
  </si>
  <si>
    <t>v_ibIRzsC9NjY</t>
  </si>
  <si>
    <t>People are sitting on and riding camels outside.</t>
  </si>
  <si>
    <t>A person is walking and holding a string tied to the camel's face.</t>
  </si>
  <si>
    <t>A light brown liquid is being poured into small glasses.</t>
  </si>
  <si>
    <t>v_7wBrvMGZROQ</t>
  </si>
  <si>
    <t>A man is working out on bars.</t>
  </si>
  <si>
    <t>He has a weight attached to his belt.</t>
  </si>
  <si>
    <t>He goes up and down on the bars.</t>
  </si>
  <si>
    <t>v_g_cdSUwwk8Y</t>
  </si>
  <si>
    <t>We are shown the overgrown yard.</t>
  </si>
  <si>
    <t>A white truck is seen in a driveway.</t>
  </si>
  <si>
    <t>We see the cameraman's shadow.</t>
  </si>
  <si>
    <t>A person in blue is mowing the lawn.</t>
  </si>
  <si>
    <t>A person People are using leaf blowers.</t>
  </si>
  <si>
    <t>The camera pans to show the trees and the garden.</t>
  </si>
  <si>
    <t>v_xywGFiZ0hqs</t>
  </si>
  <si>
    <t>In introduction with show title and website is seen.</t>
  </si>
  <si>
    <t>A woman stands in bathroom and then places a contact lens into her eye.</t>
  </si>
  <si>
    <t>The woman then takes the contact lens back out of her eye.</t>
  </si>
  <si>
    <t>The woman shows a pair of tweezers and uses them to take the contact out of her eye instead.</t>
  </si>
  <si>
    <t>v_Amnp8434e90</t>
  </si>
  <si>
    <t>Various shots of windersurfers are shown on a large body of water with several people swimming off in the distance.</t>
  </si>
  <si>
    <t>The wake boarders ride back and fourth past each other and perform several tricks.</t>
  </si>
  <si>
    <t>The ride close to shore doing tricks one at a time.</t>
  </si>
  <si>
    <t>v_zTrI4pPFIlw</t>
  </si>
  <si>
    <t>He mounts, then proceeds to do many flips and handsprings.</t>
  </si>
  <si>
    <t>When he is finished, he dismounts.</t>
  </si>
  <si>
    <t>v_UtErFzrzcqk</t>
  </si>
  <si>
    <t>A girl hits a piñata blindfolded while the piñata goes up and down in a backyard.</t>
  </si>
  <si>
    <t>Then, the girl take off the cloth on her eyes and smile.</t>
  </si>
  <si>
    <t>v_pLJhoqTpAaI</t>
  </si>
  <si>
    <t>A tire for a bicycle spins, and a man catches it.</t>
  </si>
  <si>
    <t>We see a question written on paper, then a man in a bike shop as he talks.</t>
  </si>
  <si>
    <t>He demonstrates how to remove the rubber of a tire from the frame and replace it.</t>
  </si>
  <si>
    <t>He then talks to the camera a little longer.</t>
  </si>
  <si>
    <t>v_fMRgMeDs9Ck</t>
  </si>
  <si>
    <t>A mans hair is seen close up followed by a razor being used on the sides.</t>
  </si>
  <si>
    <t>A person is seen combing the person's hair while still using the trimmer.</t>
  </si>
  <si>
    <t>The man's head is also seen being shaven on the side.</t>
  </si>
  <si>
    <t>v_-zfOvigQLdA</t>
  </si>
  <si>
    <t>There's a lady swimmer diving into an indoor pool from a tall diving board while a small group of people are watching her perform.</t>
  </si>
  <si>
    <t>The diver stands in one position first to adjust her stance and then gradually steps forward on the diving board.</t>
  </si>
  <si>
    <t>She jumps up high and twists her body as she makes the jump.</t>
  </si>
  <si>
    <t>She ends up hurting herself on the back as she misjudges the distance from the diving board as she falls into the pool.</t>
  </si>
  <si>
    <t>v_Tcf9sOzU-7M</t>
  </si>
  <si>
    <t>Several different intros eventually leads into two men pointing on a field and getting ready for paintball.</t>
  </si>
  <si>
    <t>Then the men run throughout the field and attack each other with paintball guns.</t>
  </si>
  <si>
    <t>They run through the field quickly and attack one another using the paint gun.</t>
  </si>
  <si>
    <t>v_0kykNR9FUWU</t>
  </si>
  <si>
    <t>A girl gymnast in red sparkly leotard is doing gymnastics on a horse bar.</t>
  </si>
  <si>
    <t>She swiftly jumps and does handsprings and back flips on the horse bar.</t>
  </si>
  <si>
    <t>There is a panel of judges watching her in the stadium in Nanning, China.</t>
  </si>
  <si>
    <t>She continues to gracefully walk on the horse bar as she jumps and does a back flip right onto the ground and then walks away.</t>
  </si>
  <si>
    <t>v_sV8nkrbJIKE</t>
  </si>
  <si>
    <t>A close up of food is shown followed by a person putting various ingredients into a mug.</t>
  </si>
  <si>
    <t>They mix around the ingredients, put the mug in the microwave, and take it out in the end showing off the cake.</t>
  </si>
  <si>
    <t>v_79jhPh0PzWQ</t>
  </si>
  <si>
    <t>Someone hits a bat against two balls.</t>
  </si>
  <si>
    <t>The balls go to a loop in the ground.</t>
  </si>
  <si>
    <t>They split apart and go different distances.</t>
  </si>
  <si>
    <t>v_EoYvQ_pn8KE</t>
  </si>
  <si>
    <t>Two women sweep a floor together as a ball glides behind them.</t>
  </si>
  <si>
    <t>They sweep the floor again and one of the women stops for a second as her partner starts sweeping faster.</t>
  </si>
  <si>
    <t>They sweep the floor again with one woman furiously sweeping towards the end as her partner stops for a second and looks up.</t>
  </si>
  <si>
    <t>v_EAp9xQx2o6k</t>
  </si>
  <si>
    <t>People warm out raising the hands and bending.</t>
  </si>
  <si>
    <t>Then, people work out doing stepper workout putting a feet each time.</t>
  </si>
  <si>
    <t>After, people turn before step on the stepper.</t>
  </si>
  <si>
    <t>v_3zjhYw-TVQw</t>
  </si>
  <si>
    <t>There's a man in a blue shirt and beige pants sitting in front yard on brown mulch talking about lawn and garden care.</t>
  </si>
  <si>
    <t>He points to the brown mulch and the shrub near him as he explains the do's and don'ts about lawn care.</t>
  </si>
  <si>
    <t>v_Z3DhUZhoRDA</t>
  </si>
  <si>
    <t>Wall paper on a wall is shown.</t>
  </si>
  <si>
    <t>A person puts a piece of wax paper on the wall paper.</t>
  </si>
  <si>
    <t>They run a brush down the front of the paper.</t>
  </si>
  <si>
    <t>v_3HUoSa_3vpc</t>
  </si>
  <si>
    <t>We see a bartender behind a bar add ice to a glass.</t>
  </si>
  <si>
    <t>The man pours three liquors into a glass and shakes it up.</t>
  </si>
  <si>
    <t>The man pours it in a glass and adds soda.</t>
  </si>
  <si>
    <t>The man squeezes a lemon, stirs in the glass and transfers it to a smaller glass.</t>
  </si>
  <si>
    <t>The man adds a straw and presents the glass to us.</t>
  </si>
  <si>
    <t>v_uWWo9qZh3cU</t>
  </si>
  <si>
    <t>News anchors introduce a clip sitting at a desk in a newsroom.</t>
  </si>
  <si>
    <t>President Obama introduces and interviews a band playing on stage.</t>
  </si>
  <si>
    <t>President Clinton plays the saxophone on stage with a band.</t>
  </si>
  <si>
    <t>President George Bush dances with an African drum player and other diplomats.</t>
  </si>
  <si>
    <t>v_X5Dsemc20pg</t>
  </si>
  <si>
    <t>A man is seen speaking to the camera while presenting various liquids and ingredients.</t>
  </si>
  <si>
    <t>The man mixes ingredients into a glass with fruit for several drinks while stopping to have a drink.</t>
  </si>
  <si>
    <t>He continues making more drinks using different ingredients and speaking to the camera.</t>
  </si>
  <si>
    <t>v_6SFW4g4UVKI</t>
  </si>
  <si>
    <t>A man's face is moving back and forth.</t>
  </si>
  <si>
    <t>The man is shining a shoe.</t>
  </si>
  <si>
    <t>v_ys3NrLuOxMs</t>
  </si>
  <si>
    <t>Green text explains several rules of the game.</t>
  </si>
  <si>
    <t>A man and a boy practice lay ups together, and the coach shows his point of view.</t>
  </si>
  <si>
    <t>They demonstrate a couple of different moves.</t>
  </si>
  <si>
    <t>v_iPk4GeFFcTQ</t>
  </si>
  <si>
    <t>An athletic man is seen running down a long track and throwing a javelin off into the distance with others measuring his throw.</t>
  </si>
  <si>
    <t>The man walks away and high fives a man in the crowd while his score is shown and another steps up to the side.</t>
  </si>
  <si>
    <t>v_gdi_m9LjRAw</t>
  </si>
  <si>
    <t>A man is standing outside holding a chainsaw.</t>
  </si>
  <si>
    <t>He starts cutting down a tree next to him.</t>
  </si>
  <si>
    <t>He stands next to the tree talking.</t>
  </si>
  <si>
    <t>v_wUsmKmxxHYQ</t>
  </si>
  <si>
    <t>A woman is seen speaking to the camera while a woman swims back and fourth in the pool behind her.</t>
  </si>
  <si>
    <t>Clips are then shown close up on how to perform proper swimming techniques while the camera interments with the woman speaking.</t>
  </si>
  <si>
    <t>v_fhtNAMK0Vqk</t>
  </si>
  <si>
    <t>A man wearing a cowboy hat, sunglasses and yellow latex gloves is standing next to a horse in a stable.</t>
  </si>
  <si>
    <t>He is using a blow dryer to dry the horse's wet body.</t>
  </si>
  <si>
    <t>He moves the blow dryer back and forth all over the horse's back to dry it.</t>
  </si>
  <si>
    <t>He is also uses a scrubbing brush on the horse's back to clean the horse.</t>
  </si>
  <si>
    <t>v_o6lTgyb_AkM</t>
  </si>
  <si>
    <t>A painter demonstrates various art pieces in her studio.</t>
  </si>
  <si>
    <t>She sits in her studio, speaking.</t>
  </si>
  <si>
    <t>She grabs a paintbrush and dips it into black paint repeatedly, as she paints a black tree.</t>
  </si>
  <si>
    <t>She grabs a sponge and dips it into green and blue paint while painting the leaves on the tree.</t>
  </si>
  <si>
    <t>She moves on to grab the paintbrush and dips it into black paint repeatedly, and moves on to paint another tree.</t>
  </si>
  <si>
    <t>With the same paint brush, this time dipping it into green paint, she paints the pines of three.</t>
  </si>
  <si>
    <t>She finishes her painting and speaks for a bit.</t>
  </si>
  <si>
    <t>v_zCcUwVzaEac</t>
  </si>
  <si>
    <t>A man sits on a track and talks as he is interviewed.</t>
  </si>
  <si>
    <t>Two men in red walk up the bleachers and one stops to talk to someone.</t>
  </si>
  <si>
    <t>A group of women walk behind the man being interviewer.</t>
  </si>
  <si>
    <t>v_Bm6HrokioXU</t>
  </si>
  <si>
    <t>A man is seen standing around with a large group of kids and leads into the kids play dodgbeall in a large gymnasium.</t>
  </si>
  <si>
    <t>A woman is seen speaking to the camera while more shots of the game are shown and the man speaking to the kids.</t>
  </si>
  <si>
    <t>They are all seen sitting together and the man interviews the kids in a classroom.</t>
  </si>
  <si>
    <t>v_D5EgASje8MQ</t>
  </si>
  <si>
    <t>Lawrence Welk is playing an accordion and directing his band.</t>
  </si>
  <si>
    <t>He is joined by another accordion player.</t>
  </si>
  <si>
    <t>The band stands up to plan and the camera goes back and forth between the accordion players and the band.</t>
  </si>
  <si>
    <t>They continue to play the accordions with the band behind them.</t>
  </si>
  <si>
    <t>v_w6xH78z3l08</t>
  </si>
  <si>
    <t>A man is seen speaking to the camera in front of a car and begins taking a hubcap off.</t>
  </si>
  <si>
    <t>He slides the pieces off of the tire.</t>
  </si>
  <si>
    <t>Finally he puts the hubcap back in place.</t>
  </si>
  <si>
    <t>v_xdl0lyO9ub0</t>
  </si>
  <si>
    <t>A man ina shirt that says beast mode is making a video on what the best free workouts to do without a gym are.</t>
  </si>
  <si>
    <t>He has a weight bar with no weight and he bends over a certain way.</t>
  </si>
  <si>
    <t>He shows you how to use the weight bar for different weight lifting positions.</t>
  </si>
  <si>
    <t>Once he is done with the weight bar he stands back and talks about it all.</t>
  </si>
  <si>
    <t>v_vruB4ViPGuE</t>
  </si>
  <si>
    <t>People are sitting on a bench.</t>
  </si>
  <si>
    <t>A man is drinking from a coffee cup.</t>
  </si>
  <si>
    <t>A woman is drinking from a coffee cup.</t>
  </si>
  <si>
    <t>v_DF8nlagyN6k</t>
  </si>
  <si>
    <t>Two people are on a white slab and they begin fencing one another.</t>
  </si>
  <si>
    <t>There are constant stops and the boy closest to the camera keeps winning.</t>
  </si>
  <si>
    <t>Both of them keep being reset but the outcome is no different and the lady on the side keeps walking back and forth clicking a black button.</t>
  </si>
  <si>
    <t>v_2_Tgrk8iJpE</t>
  </si>
  <si>
    <t>An indoor court is filled with people wearing uniforms and playing dodgeball throwing the balls to either side of the team.</t>
  </si>
  <si>
    <t>A slow motion replay of a dodgeball being thrown and caught is replayed.</t>
  </si>
  <si>
    <t>A man quickly throws a ball and his target catches it, he turns around and walks with his right up straight up in the air while the rest of the players continue to play.</t>
  </si>
  <si>
    <t>A still shot picture of a man holding two balls and black words scrolling from the bottom to the top with the word and number "JARDINE 77" is at the top.</t>
  </si>
  <si>
    <t>v_K5_Rm4MfF9o</t>
  </si>
  <si>
    <t>A man is swimming backward in lake water.</t>
  </si>
  <si>
    <t>The two men shown begin water skiing.</t>
  </si>
  <si>
    <t>They lose their gopro device, and have to scuba to find it, taking more than two weeks to locate the still working device.</t>
  </si>
  <si>
    <t>v_sRMrtzg0nwU</t>
  </si>
  <si>
    <t>Various shots of strings are shown followed by knitting supplies and people knitting in a library.</t>
  </si>
  <si>
    <t>The woman give a small child knit wear and demonstrate how they properly knit to the young girl.</t>
  </si>
  <si>
    <t>v_9DVsv84awMg</t>
  </si>
  <si>
    <t>"EPBF Millennium Series" appears on screen.</t>
  </si>
  <si>
    <t>Opened end of vehicle appears with "www paint-supply net" printed on bumper while tools are placed inside.</t>
  </si>
  <si>
    <t>The car drives down a dark black road with photoshopped objects popping up on either side.</t>
  </si>
  <si>
    <t>The end of the road appears with the word "Paintball FAILs" above it and pictures of paintball below it.</t>
  </si>
  <si>
    <t>The words "Friendly Fire" appear.</t>
  </si>
  <si>
    <t>A group of people play paintball on a grassy field with inflatable obstacles.</t>
  </si>
  <si>
    <t>The words "Stupid Hopper" appear.</t>
  </si>
  <si>
    <t>People once again play paintball on the field.</t>
  </si>
  <si>
    <t>The words "1/3 Lauf" appear.</t>
  </si>
  <si>
    <t>People again play paintball on the field.</t>
  </si>
  <si>
    <t>The word "Fehlstart" appears on screen.</t>
  </si>
  <si>
    <t>People play paintball on the field.</t>
  </si>
  <si>
    <t>Contact information for Paint Supply GmbH appears.</t>
  </si>
  <si>
    <t>v_dRRht9vdYDE</t>
  </si>
  <si>
    <t>There are a few older gentlemen playing a game on ice.</t>
  </si>
  <si>
    <t>They have a coach to help them and he talks about how to curl.</t>
  </si>
  <si>
    <t>He talks about the steps and how to get in the hack, even demonstrating.</t>
  </si>
  <si>
    <t>He seems pretty professional walking on the ice with his shoes on while demonstrating.</t>
  </si>
  <si>
    <t>v_uhAIe9rcjSo</t>
  </si>
  <si>
    <t>A close up is seen of a metal double sink.</t>
  </si>
  <si>
    <t>Then we see two bowls with powder and a cut lime.</t>
  </si>
  <si>
    <t>A woman uses the lime dipped in powder to scrub and then rinse the sink before drying it off, showing off a perfecting clean sink.</t>
  </si>
  <si>
    <t>v_TCcopbAANQ0</t>
  </si>
  <si>
    <t>A person is assembling a bike on a white cloth.</t>
  </si>
  <si>
    <t>They put on a blue apron and gloves.</t>
  </si>
  <si>
    <t>They put handle bars on the bike.</t>
  </si>
  <si>
    <t>v_cAGABdvv5u8</t>
  </si>
  <si>
    <t>two men are riding a water bike in a sea while a big wave is behind them.</t>
  </si>
  <si>
    <t>a lot of scenes of people surfing on big waves on the sea and a city is in the background.</t>
  </si>
  <si>
    <t>v_KjbZvsu0OxE</t>
  </si>
  <si>
    <t>A dog is seen wandering around a yard as well as a man speaking to the camera.</t>
  </si>
  <si>
    <t>The dog moves around the area while the man continues to speak to the camera.</t>
  </si>
  <si>
    <t>The dog runs back and fourth while the camera zooms in on his face.</t>
  </si>
  <si>
    <t>v_YQiTt8b6N60</t>
  </si>
  <si>
    <t>A close up is shown of a woman's eyes.</t>
  </si>
  <si>
    <t>She is sitting on a rock, then biking, then adorning scuba gear.</t>
  </si>
  <si>
    <t>She dives, swimming alongside tropical fish and a nursing shark.</t>
  </si>
  <si>
    <t>She is finally shown wearing sunglasses, smiling and laughing.</t>
  </si>
  <si>
    <t>v_CoHVA7nr82A</t>
  </si>
  <si>
    <t>A man holds a welding device and adjusts it while showing his work area.</t>
  </si>
  <si>
    <t>The welder is held over a steel plate and moved slowly.</t>
  </si>
  <si>
    <t>The man pulls the welder over a copper colored piece of metal.</t>
  </si>
  <si>
    <t>The man puts down his face guard and welds a spot on a piece of metal.</t>
  </si>
  <si>
    <t>The man stops for a break.</t>
  </si>
  <si>
    <t>The man welds a line into a piece of material.</t>
  </si>
  <si>
    <t>The man holds up a hammer chisel over the bar of metal and chips off some pieces.</t>
  </si>
  <si>
    <t>the man uses a wire brush to clean the metal.</t>
  </si>
  <si>
    <t>v_bV_X5E1-T50</t>
  </si>
  <si>
    <t>A girl is sitting and smoking cigarettes.</t>
  </si>
  <si>
    <t>Johnny cash is playing in the background and she has a drink in her hand.</t>
  </si>
  <si>
    <t>She stares into the camera while taking puffs on her cigarette.</t>
  </si>
  <si>
    <t>She fixes her hair a bit while looking into the camera.</t>
  </si>
  <si>
    <t>She smiles into the camera and leans closer.</t>
  </si>
  <si>
    <t>v_G-fsWVYrAgc</t>
  </si>
  <si>
    <t>A woman stands on front a table with baby products, then the woman rolls up diapers and puts around a circular container with a ribbon.</t>
  </si>
  <si>
    <t>After, the woman puts diapers around a folded towel with a ribbon.</t>
  </si>
  <si>
    <t>Next, the woman fills the circular container with baby products and put on top the towel, a plush and a bottle.</t>
  </si>
  <si>
    <t>v_WW0Sm6oDc9M</t>
  </si>
  <si>
    <t>A boy picks up a bowling ball and runs down the lane.</t>
  </si>
  <si>
    <t>He dives into the pins at the end.</t>
  </si>
  <si>
    <t>He runs back and falls onto the lane.</t>
  </si>
  <si>
    <t>v_i0rC2mfp7mI</t>
  </si>
  <si>
    <t>A man dressed in all black and a mask on is outside in a public place playing and instrument with bags in the middle and small keyboard on the outside of it.</t>
  </si>
  <si>
    <t>As he plays,multiple people walk by continuing on with their life.</t>
  </si>
  <si>
    <t>None of them acknowledge him and the hat in front of hi remains empty.</t>
  </si>
  <si>
    <t>v_8w9pf_Ecm_U</t>
  </si>
  <si>
    <t>Two girls holding pom poms perform a dance routine in a gymnasium.</t>
  </si>
  <si>
    <t>Several people are shown watching in the background while the girls continue to do flexible moves.</t>
  </si>
  <si>
    <t>The grab canes and continue spinning the canes while doing splits and various other dance moves.</t>
  </si>
  <si>
    <t>v_LNKdVrX_0Fg</t>
  </si>
  <si>
    <t>A woman wearing overalls is talking to the camera.</t>
  </si>
  <si>
    <t>She lays out wrapping paper, showing how to wrap a toy in it.</t>
  </si>
  <si>
    <t>She wraps it around the toy, then tapes it up.</t>
  </si>
  <si>
    <t>v_I6gc2AjcYOY</t>
  </si>
  <si>
    <t>We see a lady washing a white towel in a sink.</t>
  </si>
  <si>
    <t>The lady lifts the towel up.</t>
  </si>
  <si>
    <t>The lady picks something up off the floor.</t>
  </si>
  <si>
    <t>The lady wrings out the towel in the sink.</t>
  </si>
  <si>
    <t>the lady then walks away.</t>
  </si>
  <si>
    <t>v_b87ec6jTm_M</t>
  </si>
  <si>
    <t>We see a black screen with the intro.</t>
  </si>
  <si>
    <t>We see people in blue playing drums.</t>
  </si>
  <si>
    <t>A title screen appears and we see another team.</t>
  </si>
  <si>
    <t>Another title screen and a team with a man jumping a ribbon.</t>
  </si>
  <si>
    <t>The title appears twice and we see a red team.</t>
  </si>
  <si>
    <t>The title screen returns and we see a team in purple.</t>
  </si>
  <si>
    <t>The title returns 3 times and people are outdoors practicing.</t>
  </si>
  <si>
    <t>We see people perform in front of a crowd.</t>
  </si>
  <si>
    <t>We see a bunch of quick shots of teams, then the ending screen.</t>
  </si>
  <si>
    <t>v_w9cJ3FNGw_U</t>
  </si>
  <si>
    <t>A cowboy on a horse is released from a gate.</t>
  </si>
  <si>
    <t>He lassos a little calf.</t>
  </si>
  <si>
    <t>He dismounts, then ties the calf.</t>
  </si>
  <si>
    <t>v_LxLvhGHwca8</t>
  </si>
  <si>
    <t>Several people are seen wandering around a dark city while wearing stilts on their feet to walk.</t>
  </si>
  <si>
    <t>The people continue walking and jumping around on the stilts while waving to the camera and sitting on the ground.</t>
  </si>
  <si>
    <t>v_27Pg4wHah2I</t>
  </si>
  <si>
    <t>A man is seated at a piano, looking confused as he plays and an elderly woman watches.</t>
  </si>
  <si>
    <t>He speeds his playing as she stands.</t>
  </si>
  <si>
    <t>The audience looks perplexed and amused, dancing in place.</t>
  </si>
  <si>
    <t>The people get up and dance to the music.</t>
  </si>
  <si>
    <t>He then walks away with his arm in a woman's.</t>
  </si>
  <si>
    <t>v_UzCeMCr0lM8</t>
  </si>
  <si>
    <t>A woman peels a potatoes in a rustic kitchen.</t>
  </si>
  <si>
    <t>Then, the woman takes another potatoes and peels it with a knife.</t>
  </si>
  <si>
    <t>After, the woman puts the potatoe on adish.</t>
  </si>
  <si>
    <t>v_YnG1Uhh2h5E</t>
  </si>
  <si>
    <t>Two young man and a man play pool hitting white balls with a cue stick.</t>
  </si>
  <si>
    <t>The young man hits balls that land in the pocket of the pool table.</t>
  </si>
  <si>
    <t>Then, the man puts the balls in a metal triangle and arrange others balls.</t>
  </si>
  <si>
    <t>After, the young man strikes the white ball but immidiately stop it with the cue sticks.</t>
  </si>
  <si>
    <t>Next, the young man strikes the balls and sends a white ball to a pocket.</t>
  </si>
  <si>
    <t>The man strikes a white ball and send balls in the pocket.</t>
  </si>
  <si>
    <t>At the end, the young man puts the ball inside a metal triangle.</t>
  </si>
  <si>
    <t>v_rDWa3Z2IaIw</t>
  </si>
  <si>
    <t>Three girls are standing together on a green floor talking with one another about a sport.</t>
  </si>
  <si>
    <t>One person is then shown playing Field hockey and then comes back to talk about what she has just done.</t>
  </si>
  <si>
    <t>Next,they go over the correct ways to defend the ball and then they all begin talking one by one about the sport again.</t>
  </si>
  <si>
    <t>After,a screen appears with the question,"What if the game is tied?"and the young lady goes into detail for the answer.</t>
  </si>
  <si>
    <t>Finally the questions are answered and they all come back together and close out the video.</t>
  </si>
  <si>
    <t>v_fo0gFCcKdtg</t>
  </si>
  <si>
    <t>People are paddling canoes in an indoor pool.</t>
  </si>
  <si>
    <t>A boy paddles a canoe.</t>
  </si>
  <si>
    <t>The boy leans to the side, and the canoe flips over.</t>
  </si>
  <si>
    <t>The boy swims to the surface of the water.</t>
  </si>
  <si>
    <t>v_B69Fkd_L9gA</t>
  </si>
  <si>
    <t>There's man standing on his deck that is covered with snow.</t>
  </si>
  <si>
    <t>He is getting ready to get into his hot tub on his deck.</t>
  </si>
  <si>
    <t>He walks bare foot through the snow to get into his hot tub.</t>
  </si>
  <si>
    <t>He begins to shovel the snow off the deck to make it easier for him to walk.</t>
  </si>
  <si>
    <t>He clears the snow from the deck to create a pathway to the hot tub.</t>
  </si>
  <si>
    <t>v_jTChoOFb05w</t>
  </si>
  <si>
    <t>Various shots of landscapes are shown as well as people driving and other's being interviewed.</t>
  </si>
  <si>
    <t>Several shots of people on the beach are shown and leads into people playing various sports on the beach.</t>
  </si>
  <si>
    <t>The people play back and fourth while others interview and many watch on the sides.</t>
  </si>
  <si>
    <t>v_Qp_zbvHLwLk</t>
  </si>
  <si>
    <t>A woman is seen pushing a lawn mower along a yard and stopping to pull the string and get it going.</t>
  </si>
  <si>
    <t>The woman continues pushing the mower along the lawn and moving back to where she started.</t>
  </si>
  <si>
    <t>v_Lr-FutvMXoA</t>
  </si>
  <si>
    <t>A person is pole volting over a beam followed by several more clips of people jumping.</t>
  </si>
  <si>
    <t>More people are shown using the bar to pole volt over a beam.</t>
  </si>
  <si>
    <t>v_wr2FC2P3hIs</t>
  </si>
  <si>
    <t>A row of clippers,brushes,and razors are being shown.</t>
  </si>
  <si>
    <t>Shortly after,the front of the building is shown and the name on the plaza is shown.</t>
  </si>
  <si>
    <t>A man with long curly hair is shown sitting in the barbershop getting his hair down and the barber is using a combination of scissors,brushes, and blow dryers to complete the look.</t>
  </si>
  <si>
    <t>Once done, a still image of the barber and his information is shown for advertisement.</t>
  </si>
  <si>
    <t>v_rMevLL0KHzc</t>
  </si>
  <si>
    <t>A person is seen riding on a horse around others while speaking to other people and kids holding up a sign.</t>
  </si>
  <si>
    <t>The kids continue to hold signs and look to the camera while more people ride around on horses.</t>
  </si>
  <si>
    <t>More clips are shown of people riding horses and kids wearing helmets.</t>
  </si>
  <si>
    <t>v_hEoASC7qC28</t>
  </si>
  <si>
    <t>A man is sitting in the water holding a rope.</t>
  </si>
  <si>
    <t>He gets up and starts wake boarding.</t>
  </si>
  <si>
    <t>He falls back into the water.</t>
  </si>
  <si>
    <t>v_vX0xxYxGj-4</t>
  </si>
  <si>
    <t>Two lines of people stand over a long rope.</t>
  </si>
  <si>
    <t>Each line picks up the rope and starts playing tug rope while a large crowd watches.</t>
  </si>
  <si>
    <t>The team wearing light blue shirts wins the round.</t>
  </si>
  <si>
    <t>v_JQ3mObvro1s</t>
  </si>
  <si>
    <t>A white intro screen appears with small circle pictures of a man at the upper left, a woman at the bottom right, and the words "HOOKED ON RUNNING Smart training for busy women" in the middle.</t>
  </si>
  <si>
    <t>A woman wearing a hat, glasses and a long sleeved hot pink top is standing in front of a brick wall and talking.</t>
  </si>
  <si>
    <t>The woman is now standing behind a table and is putting crumpled up papers into a running shoe and stuffing it as much as she can.</t>
  </si>
  <si>
    <t>The woman then grabs a pink sole from the shoe and pours baking soda all over the top.</t>
  </si>
  <si>
    <t>The woman then grabs a toothbrush and the show she just stuffed and motions scrubbing but doesn't really do it, then puts both the toothbrush and the shoe out of sight.</t>
  </si>
  <si>
    <t>The woman grabs another pair of shoes, the right shoe is unlaced and the left shoe is laced and she's holding onto them then puts them down.</t>
  </si>
  <si>
    <t>v_uXPm6SMQH1M</t>
  </si>
  <si>
    <t>A black horse is standing in a stable with several yellow things on his hair.</t>
  </si>
  <si>
    <t>A woman then appears and begin shaving off all of the horse's hair.</t>
  </si>
  <si>
    <t>The side is completely gone and when she moves from the back she goes underneath his body to remove that hair as well.</t>
  </si>
  <si>
    <t>v_Z8QrA66UVzI</t>
  </si>
  <si>
    <t>A man is seen standing in front of a window speaking to the camera while wearing a headpiece.</t>
  </si>
  <si>
    <t>The man then brushes along the sides of the window and points back and fourth to the window while speaking to the camera.</t>
  </si>
  <si>
    <t>v_f3spxjpfuxM</t>
  </si>
  <si>
    <t>A man is shown speaking to the camera then kneels down and presses carpet down with a tool.</t>
  </si>
  <si>
    <t>He then screws in the stairs and kneel down while still speaking to the camera.</t>
  </si>
  <si>
    <t>v_meMZuh8iNDs</t>
  </si>
  <si>
    <t>A woman talks and shows her long French braid.</t>
  </si>
  <si>
    <t>Then, the woman lie on the bed and brush her hair on the border of the bed.</t>
  </si>
  <si>
    <t>Then, the woman takes a lock of front hair and braid taking hair from sides.</t>
  </si>
  <si>
    <t>Then, the woman shows the braid while continues talking.</t>
  </si>
  <si>
    <t>v_L5nqeFWufrE</t>
  </si>
  <si>
    <t>There's a diver participating in an event in a large stadium in lots of spectators.</t>
  </si>
  <si>
    <t>He is jumping off the dash board and diving into the deep swimming pool.</t>
  </si>
  <si>
    <t>While diving he accidentally bumps his head on the diving board and injures himself.</t>
  </si>
  <si>
    <t>He expresses pain as he gets off the pool and his coach comes to help him.</t>
  </si>
  <si>
    <t>The second time when the diver dives, he manages to successfully make it into the swimming pool without injuries.</t>
  </si>
  <si>
    <t>Another historic diving event is shown where the diver accidentally hurts his head on the diving board while diving into the pool.</t>
  </si>
  <si>
    <t>v_oJCB2Zglcq4</t>
  </si>
  <si>
    <t>A small group of people are seen standing inside a fenced in area with a man sitting on a horse.</t>
  </si>
  <si>
    <t>The man rides into the pit and chases a calf with a rope.</t>
  </si>
  <si>
    <t>The man ties up the calf after it's caught and climbs back on the horse while another unties the calf.</t>
  </si>
  <si>
    <t>v_r4bI22hGTg4</t>
  </si>
  <si>
    <t>There are kids bouncing in trampolines.</t>
  </si>
  <si>
    <t>Several kids are jumping up and down.</t>
  </si>
  <si>
    <t>The camera is very shaky.</t>
  </si>
  <si>
    <t>v_ZsXJw0d3QbU</t>
  </si>
  <si>
    <t>They begin going and bumping into each other.</t>
  </si>
  <si>
    <t>People are standing behind the gate watching them.</t>
  </si>
  <si>
    <t>A man in a blue shirt is walking in front of them.</t>
  </si>
  <si>
    <t>v_STaS53CNlZI</t>
  </si>
  <si>
    <t>An intro that's a blue screen with white words that read "MegaZip Sentosa dot Singapore dot November 2010" appear on the screen.</t>
  </si>
  <si>
    <t>Four people appear near a railing where they are all attached to harnesses.</t>
  </si>
  <si>
    <t>A man puts his hand on the woman's shoulder and guides her to the opening where she is to leave but a blue screen appears with the white words say "yes",then it goes back to the woman getting ready to jump and she bends her knees and a blue screen appears and say's "no", and she shakes her head and backs away.</t>
  </si>
  <si>
    <t>A blue screen appears again and it says "OK Maybe"and the woman once again gets ready to jump at the opening and at the same time the other man who is attached to the harness is also ready to go.</t>
  </si>
  <si>
    <t>A blue screen appears that say's "no" but the woman and the man do let go and they go zip lining across the heavily tree green forest below and a blue screen appears again and say's "I Think She Said Yes?".</t>
  </si>
  <si>
    <t>A new group is now harnessed and they are filmed taking their turns going down the zip line and the man holding the camera turns it to himself to reveal a close up shot of his smiling face as well as the scenery around him which include the forest below them and the beach at the ending point.</t>
  </si>
  <si>
    <t>They reach the end of the zip line and the worker begins to pull them to the landing point where a close up of the worker appears and he also has a big smile on his face while he other zip liners are standing there and smiling as well.</t>
  </si>
  <si>
    <t>The view changes to ground view and it shows what the zip liners look like from the ground.</t>
  </si>
  <si>
    <t>The blue outro appears and the words "Sentosa MegaZip November 2010 The End" are displayed.</t>
  </si>
  <si>
    <t>v_goSGYjLTGnQ</t>
  </si>
  <si>
    <t>A young male dressed in an red jumpsuit is on the stage break dancing.</t>
  </si>
  <si>
    <t>Once he is finished,a group of guys swarm him and they all point to another boy so he can take the stage.</t>
  </si>
  <si>
    <t>The boy comes along and starts flipping and doing a variation of the robot.</t>
  </si>
  <si>
    <t>All of the men behind him then become his background dancers as the boy takes a microphone and begins singing.</t>
  </si>
  <si>
    <t>v_Ej_a4iCd45I</t>
  </si>
  <si>
    <t>We see the title cards on blue.</t>
  </si>
  <si>
    <t>We see men playing beach volleyball.</t>
  </si>
  <si>
    <t>We see an interview with a man.</t>
  </si>
  <si>
    <t>Two men high five each other the men all trade sides.</t>
  </si>
  <si>
    <t>The ball lands on the ground.</t>
  </si>
  <si>
    <t>A man kicks the ball to the other side.</t>
  </si>
  <si>
    <t>A man jumps and spins in the air.</t>
  </si>
  <si>
    <t>The man in gray daces as the other men jump around.</t>
  </si>
  <si>
    <t>The men pose for a photo.</t>
  </si>
  <si>
    <t>The title card is shown and we fade out.</t>
  </si>
  <si>
    <t>v_QfUTGmlNO1s</t>
  </si>
  <si>
    <t>A clip of an old tv show is shown with a woman washing dishes and a young girl stepping into frame.</t>
  </si>
  <si>
    <t>The woman hands the girl a glass of water and is shown again in various angles, ending with a woman washing clothes.</t>
  </si>
  <si>
    <t>v_JWb0-VdfZI4</t>
  </si>
  <si>
    <t>A small child is seen standing on the sidewalk and looking off into the distance.</t>
  </si>
  <si>
    <t>The girl then throws the rock and begins playing a game of hopscotch.</t>
  </si>
  <si>
    <t>She throws and hops several times while stopping to look to the camera.</t>
  </si>
  <si>
    <t>v_YFTQImGp_nY</t>
  </si>
  <si>
    <t>A television announcer claps on her legs while singing introducing a show.</t>
  </si>
  <si>
    <t>A group of dancers in colorful costumes do an dance act with hula hoops.</t>
  </si>
  <si>
    <t>The audience is seen and members clap for the group.</t>
  </si>
  <si>
    <t>The older members of the group hold up poles for the children dancing to swing from.</t>
  </si>
  <si>
    <t>The hula hoop dancers get even more hoops for the finale.</t>
  </si>
  <si>
    <t>Confetti rains from the air onto the performers.</t>
  </si>
  <si>
    <t>The announcer stands up and claps for the group.</t>
  </si>
  <si>
    <t>v_rCwolEeHY80</t>
  </si>
  <si>
    <t>A man sits with shears resting in hand in a rose garden.</t>
  </si>
  <si>
    <t>The man clips dead roses from a rose bush with shears.</t>
  </si>
  <si>
    <t>The man clips whole branches near the base of the rose bushes.</t>
  </si>
  <si>
    <t>Dying rose bush leaves a seen up close.</t>
  </si>
  <si>
    <t>Healthy rose bush leaves are seen up close.</t>
  </si>
  <si>
    <t>v_boqfpo3YAps</t>
  </si>
  <si>
    <t>Several pictures are shown of a woman standing by herself as well as with friends.</t>
  </si>
  <si>
    <t>Video footage is then shown of her running alongside a large group of people while many watch on the sides.</t>
  </si>
  <si>
    <t>More pictures are shown of her finishing the race as well as others.</t>
  </si>
  <si>
    <t>v_bEt8fGREAAA</t>
  </si>
  <si>
    <t>A man with a saxaphone around his neck talks to the camera in a dim room.</t>
  </si>
  <si>
    <t>The camera changes like a box spinning.</t>
  </si>
  <si>
    <t>The man looks around then he is playing his saxophone.</t>
  </si>
  <si>
    <t>A website a person the screen in the lower left corner and the screen fades.</t>
  </si>
  <si>
    <t>v_sYJgYpQknw0</t>
  </si>
  <si>
    <t>The front of a large brown building with snow in front of it is shown.</t>
  </si>
  <si>
    <t>In the inside,there is a ping pong table and two adult males begin walking towards each other.</t>
  </si>
  <si>
    <t>They then begin playing ping pong with nun-chucks and using their feet to hit the ball.</t>
  </si>
  <si>
    <t>As the game progresses,more balls are added and they continue to play without missing one ball.</t>
  </si>
  <si>
    <t>The game intensifies and the man on the right misses the ball and the man congratulates himself.</t>
  </si>
  <si>
    <t>v_3YDQ9wZtIgw</t>
  </si>
  <si>
    <t>A large group of people are seen running around a field playing a game of lacrosse with one another.</t>
  </si>
  <si>
    <t>The players run up and down the field while the camera captures their movements.</t>
  </si>
  <si>
    <t>The men continue playing around one another while people watch on the side and cheer them on.</t>
  </si>
  <si>
    <t>v_C9yUg3e1dEg</t>
  </si>
  <si>
    <t>A man is lifting a large weight over his head several times.</t>
  </si>
  <si>
    <t>A woman walks in front of him.</t>
  </si>
  <si>
    <t>A man in a black shirt stands behind him.</t>
  </si>
  <si>
    <t>v_ybcStSlBGPc</t>
  </si>
  <si>
    <t>A lighted jack-o-lantern comes into focus.</t>
  </si>
  <si>
    <t>The jack-o-lantern moves towards the camera.</t>
  </si>
  <si>
    <t>A young woman is talking very animatedly in front of a white wall.</t>
  </si>
  <si>
    <t>The woman holds a small pumpkin in her hand while talking.</t>
  </si>
  <si>
    <t>The woman holds up a piece of paper with some stickers on it.</t>
  </si>
  <si>
    <t>The pumpkin is seen moving on it's own on a table with a black tablecloth.</t>
  </si>
  <si>
    <t>The pumpkin spins around showing some cartoon faces.</t>
  </si>
  <si>
    <t>An animation of a knife stabs the pumpkin and a cat runs back and forth next to the table.</t>
  </si>
  <si>
    <t>The pumpkin is replaced with other objects one at a time, a knife, a spoon, a candle, etc.</t>
  </si>
  <si>
    <t>The woman is wearing a sticker of a mustache on her face and draws on the small pumpkin with a black felt pen.</t>
  </si>
  <si>
    <t>The woman holds a knife and begins carving the pumpkin along the lines she drew.</t>
  </si>
  <si>
    <t>The woman scoops out the pumpkin seeds with a spoon and puts the seeds in a Halloween themed paper cup.</t>
  </si>
  <si>
    <t>The woman continues carving the face of the pumpkin to turn it into a jack-o-lantern.</t>
  </si>
  <si>
    <t>The woman cleans up the face of the jack-o-lantern with a towel and places the top with the stem back on.</t>
  </si>
  <si>
    <t>The woman places the candle inside the jack-o-lantern.</t>
  </si>
  <si>
    <t>The woman flicks on a disposable lighter.</t>
  </si>
  <si>
    <t>The lighted jack-o-lantern is seen once again moving on it's own on the black table.</t>
  </si>
  <si>
    <t>The video ends and shows a split screen with samples from three other videos the woman has made, with a "Subscribe" button in the middle.</t>
  </si>
  <si>
    <t>v_weB3srg6o4c</t>
  </si>
  <si>
    <t>man is sitting in a handwash and another man enters in the bathrrom and start a conversation.</t>
  </si>
  <si>
    <t>man is spreading toothpaste in toothbrush and wash their tooth.</t>
  </si>
  <si>
    <t>v_EE1UoJSNyms</t>
  </si>
  <si>
    <t>A man rakes leaves from the yard into a pile and dumps them in a metal trash bin.</t>
  </si>
  <si>
    <t>The man puts his tools away in the shed and carries away a bag of leaves.</t>
  </si>
  <si>
    <t>v_w2zTEQMg_v0</t>
  </si>
  <si>
    <t>A group of men and women of various ages are working out on elliptical exercise machines.</t>
  </si>
  <si>
    <t>A man, wearing only work out shorts, wipes sweat from his brown and leans against a wall.</t>
  </si>
  <si>
    <t>A fit woman's body in a white bikini exhibits as a woman and a man in work out clothes appear working out on elliptical machines.</t>
  </si>
  <si>
    <t>The woman and man then appear dressed in full casual attire before returning to the elliptical machines in work out gear, and cycling backwards and forwards on the elliptical machines again and showcasing fit profiles both alone and on the machine.</t>
  </si>
  <si>
    <t>v_TN73eY7B208</t>
  </si>
  <si>
    <t>A group of female in a big studio are wearing black, they are in a formation, then the man in black vest and white pants walked at the center.</t>
  </si>
  <si>
    <t>The females and man started to march, then danced, putting their arms up, then down and then they go forward then backward, sideways, and move their arms side to side, they also shake their hips and body.</t>
  </si>
  <si>
    <t>v_rDGbxMgkt7w</t>
  </si>
  <si>
    <t>Several women are outside on a stage doing several exercises and working out as a group.</t>
  </si>
  <si>
    <t>As they continue,several people begin to walk by the stage and watch them perform.</t>
  </si>
  <si>
    <t>The instructors continue to dance and amp up the other teams to dance and they end by clapping it off together.</t>
  </si>
  <si>
    <t>v_obt6wudzHxY</t>
  </si>
  <si>
    <t>Instruction on how to braid your hair.</t>
  </si>
  <si>
    <t>A girl in a grey t-shirt demonstrates how to braid your hair and shows a step by step process.</t>
  </si>
  <si>
    <t>Some tips are displayed in print.</t>
  </si>
  <si>
    <t>The hair stylist shows the finished product while dresses in a black top and sunglasses.</t>
  </si>
  <si>
    <t>v_xfThpRE6bLc</t>
  </si>
  <si>
    <t>A few people attempt to surf in an ocean.</t>
  </si>
  <si>
    <t>Sometimes they fall, but often the surfers do a great job.</t>
  </si>
  <si>
    <t>v_g-Egl6eXlX4</t>
  </si>
  <si>
    <t>A man is sitting in a barber chair.</t>
  </si>
  <si>
    <t>Another man starts shaving the sides of his head.</t>
  </si>
  <si>
    <t>He blow dries his hair and styles it.</t>
  </si>
  <si>
    <t>He puts some gel in his hair.</t>
  </si>
  <si>
    <t>v_XLOhMBLYy2g</t>
  </si>
  <si>
    <t>A camera pans all around a lake and trees an leads into people pulling a rope along.</t>
  </si>
  <si>
    <t>A man ties the rope into place and shows several clips of people hanging on the rope as well as walking.</t>
  </si>
  <si>
    <t>More clips are shown of people walking along the rope as well as more landscapes.</t>
  </si>
  <si>
    <t>v_pVehZjbud_M</t>
  </si>
  <si>
    <t>A lady plays with her hair.</t>
  </si>
  <si>
    <t>The lady brushes the bottom of her hair by stretching her arm upwards she brushes the top then the ends and finishes.</t>
  </si>
  <si>
    <t>v_s9Q8SZbixV4</t>
  </si>
  <si>
    <t>A group of people are in a high school gym.</t>
  </si>
  <si>
    <t>Males are partnered with females and they are holding hands.</t>
  </si>
  <si>
    <t>Now they are all dancing the same dance.</t>
  </si>
  <si>
    <t>It appears to be some sort of tango dance.</t>
  </si>
  <si>
    <t>The men are twirling the girls around their hands.</t>
  </si>
  <si>
    <t>The men are leading the girls in the dance.</t>
  </si>
  <si>
    <t>The girls are twirling around the boys.</t>
  </si>
  <si>
    <t>The dancing continues for many more moments.</t>
  </si>
  <si>
    <t>The girls and boys separate.</t>
  </si>
  <si>
    <t>The girls twirl scarfs around, then the boys pick them up to finish.</t>
  </si>
  <si>
    <t>v_nm2sHNDN7Lo</t>
  </si>
  <si>
    <t>We see a man in a pink shirt throw a ball in a cup in a game of beer pong.</t>
  </si>
  <si>
    <t>The man on the left team blows the ball out of the cup.</t>
  </si>
  <si>
    <t>The man and the two ladies laugh and cheer and he high fives one lady.</t>
  </si>
  <si>
    <t>The man makes hand signs.</t>
  </si>
  <si>
    <t>v_Ig_AvatvYrk</t>
  </si>
  <si>
    <t>There is a young man dressed in a black shirt going round in circles to show his hair from the front and back.</t>
  </si>
  <si>
    <t>Then he takes a spray bottle and sprays his hair with water and combs it.</t>
  </si>
  <si>
    <t>He then takes a razor and begins shaving the sides and the back of his head.</t>
  </si>
  <si>
    <t>He takes a pair of scissors and starts trimming the top part of hair.</t>
  </si>
  <si>
    <t>He uses a black comb and scissors to point cut his hair.</t>
  </si>
  <si>
    <t>He holds the hair in his hand as he trims it.</t>
  </si>
  <si>
    <t>He takes the razor again and shaves the sides.</t>
  </si>
  <si>
    <t>He takes the scissors too and trims his hair.</t>
  </si>
  <si>
    <t>He then blow dries his hair.</t>
  </si>
  <si>
    <t>He takes a small amount of hair gel on his finger from the container and rubs it through the long section of his hair.</t>
  </si>
  <si>
    <t>He then combs the hair to style it.</t>
  </si>
  <si>
    <t>He runs his fingers through the hair to finish off the look.</t>
  </si>
  <si>
    <t>He rotates around to show his hairstyle from all angles.</t>
  </si>
  <si>
    <t>v_fL8Gzk7ALxQ</t>
  </si>
  <si>
    <t>A group of people is gathered in a circle.</t>
  </si>
  <si>
    <t>Two men are in the circle demonstrating a martial art.</t>
  </si>
  <si>
    <t>Several men in the circle play an instrument.</t>
  </si>
  <si>
    <t>v_pLcrLi5oAvU</t>
  </si>
  <si>
    <t>A hair dresser is cutting a mans hair, starting at the top.</t>
  </si>
  <si>
    <t>Then, he starts at the back cut and combing back there.</t>
  </si>
  <si>
    <t>After that he uses some clippers to clip some of the harder areas.</t>
  </si>
  <si>
    <t>Finally using the comb to style it a bit and give it finishing touches.</t>
  </si>
  <si>
    <t>v_mhsotF4wdG8</t>
  </si>
  <si>
    <t>two guys appears in a backyard and are speaking to the camera.</t>
  </si>
  <si>
    <t>guys are in a wood surface playing rock paper scissors and the loser is given a wooden hit in the nuts and fell to the floor.</t>
  </si>
  <si>
    <t>man is talking to camera and other guys are in the back adn then talking to the winner.</t>
  </si>
  <si>
    <t>they are playing round two o rock paper scissors and again the loser is fiven a wooden hit in the nuts and a man is talking to the camera.</t>
  </si>
  <si>
    <t>the guys make the final round of rock paper scissors and the winner is announced, one of the men gaves a hit in the nuts to both guys.</t>
  </si>
  <si>
    <t>v_JvFo4uTvmYs</t>
  </si>
  <si>
    <t>A person stands on a mat.</t>
  </si>
  <si>
    <t>They run down a runway holding a pole and vault over a bar.</t>
  </si>
  <si>
    <t>They land on their back on a mat.</t>
  </si>
  <si>
    <t>v_Ia3Aa4AO-_E</t>
  </si>
  <si>
    <t>two twins dressed in the same way and with the same hairstyle are in a room talking to the camera.</t>
  </si>
  <si>
    <t>the man in the back start putting some boxers above the pants and the man in front continue speaking to the camera.</t>
  </si>
  <si>
    <t>Man in front holds a brushteeth and put some toothpaste and clean his teeth, then the guy introduces the toothbrush into a honey pot and brush the teeth with it.</t>
  </si>
  <si>
    <t>man in front holds an hairbrush and the other guy drinks water, the other guy holds a toothbrush with jam and brush his teeth.</t>
  </si>
  <si>
    <t>v_2CfCDcCuOO4</t>
  </si>
  <si>
    <t>A small dog is playing with a pink frisbee.</t>
  </si>
  <si>
    <t>A man in a white shirt and red shorts lays down and puts his feet in the air.</t>
  </si>
  <si>
    <t>The dog stands on top of the mans feet.</t>
  </si>
  <si>
    <t>People are watching them on the sidelines.</t>
  </si>
  <si>
    <t>v_QPxiOzXkUFM</t>
  </si>
  <si>
    <t>man is sitting on a boat in a calm lake.</t>
  </si>
  <si>
    <t>car is being driven in a highway with cars standing on the sides.</t>
  </si>
  <si>
    <t>photo of a iver is shown and he car going through the haighway and arriving to a lake.</t>
  </si>
  <si>
    <t>people are in boat paddling in the river and arriving to a camp on pier.</t>
  </si>
  <si>
    <t>v_KQvqRh1mY8c</t>
  </si>
  <si>
    <t>A man runs holding a pole with both hands.</t>
  </si>
  <si>
    <t>Then, she jumps high with the pole to pass over an horizontal bar.</t>
  </si>
  <si>
    <t>The man falls on the mat.</t>
  </si>
  <si>
    <t>v_nSuPseBeQI0</t>
  </si>
  <si>
    <t>A couple of boys are riding skateboards.</t>
  </si>
  <si>
    <t>They watch another couple of men playing basketball.</t>
  </si>
  <si>
    <t>They argue, then the basketball players leave.</t>
  </si>
  <si>
    <t>v_1SXVKikAHdM</t>
  </si>
  <si>
    <t>a box of rollerbldes is shown and the lid is opened amd tje accesories are shown with the rollerblades.</t>
  </si>
  <si>
    <t>man is in street skating and showing pictures of the skates.</t>
  </si>
  <si>
    <t>v_erXZ0pZEtGE</t>
  </si>
  <si>
    <t>A woman in a parking lot is bouncing up and down with some kind of pogo stick attachments on her legs.</t>
  </si>
  <si>
    <t>The woman walks around the parking lot.</t>
  </si>
  <si>
    <t>The woman starts bouncing up and down while walking around.</t>
  </si>
  <si>
    <t>A man walks up and talks to the woman.</t>
  </si>
  <si>
    <t>The woman holds the man's hands for balance while bouncing.</t>
  </si>
  <si>
    <t>v_u2uoYvo8J5s</t>
  </si>
  <si>
    <t>A man is opening his back door to let a little girl outside.</t>
  </si>
  <si>
    <t>The man is following the little girl.</t>
  </si>
  <si>
    <t>A little girl walks and points toward the camera.</t>
  </si>
  <si>
    <t>A dog enters the scene and the little girl jumps with happiness.</t>
  </si>
  <si>
    <t>The little girl walks around her slide.</t>
  </si>
  <si>
    <t>The little girl starts to climb up the slide and the man helps her get to the top.</t>
  </si>
  <si>
    <t>The little girl begins to play with the wheel and gets on her knees.</t>
  </si>
  <si>
    <t>The man helps the little girl go down the slide.</t>
  </si>
  <si>
    <t>The little girl goes to the swing and the man helps her into it.</t>
  </si>
  <si>
    <t>The little girl points at the camera.</t>
  </si>
  <si>
    <t>The man pushes the little girl on the swing.</t>
  </si>
  <si>
    <t>v_wBy9_ZSfEVA</t>
  </si>
  <si>
    <t>People run dragging a large red kite through a field.</t>
  </si>
  <si>
    <t>The kite is in the air and the kids are standing under it watching it.</t>
  </si>
  <si>
    <t>The kite is in the air flying.</t>
  </si>
  <si>
    <t>A man and a little girl and a boy are flying the kite and holding the base of it.</t>
  </si>
  <si>
    <t>A little girl throws something on the ground.</t>
  </si>
  <si>
    <t>v_jmS3NFo4XCc</t>
  </si>
  <si>
    <t>We see a dart board swinging gently.</t>
  </si>
  <si>
    <t>Two darts, one red, one green hit the board.</t>
  </si>
  <si>
    <t>We change angle and two more darts hit the board.</t>
  </si>
  <si>
    <t>The screen fades to black and we see the end credits.</t>
  </si>
  <si>
    <t>v_DR0hc7lT0hE</t>
  </si>
  <si>
    <t>A man is seen backing away from the camera while speaking and holding a hula hoop.</t>
  </si>
  <si>
    <t>The man then swings the hula hoop all around himself while walking to the camera.</t>
  </si>
  <si>
    <t>Another man walks into frame and hula hoops with the man while still looking at the camera.</t>
  </si>
  <si>
    <t>v_PF0c0UIsG0E</t>
  </si>
  <si>
    <t>A man is seen sitting down and speaking to the camera while holding a hookah hose and another person is seen in frame.</t>
  </si>
  <si>
    <t>The man takes a puff from the pipe while speaking to the camera and hands it to the other man who also takes a hit.</t>
  </si>
  <si>
    <t>He blows the smoke out and the first man is still seen speaking to the camera.</t>
  </si>
  <si>
    <t>v_4QqoWbK2ELc</t>
  </si>
  <si>
    <t>A person prepares to bungee jump over a body of water while onlookers watch from the ground.</t>
  </si>
  <si>
    <t>The person is sitting down, first, strapped into bungee jumping gear.</t>
  </si>
  <si>
    <t>The person stands at the edge of a wooden jumping surface as onlookers watch from the ground.</t>
  </si>
  <si>
    <t>The person jumps off of the edge and falls down as the camera follows and reveals that this is a man who has jumped, and the man is smiling and laughing as he flails in the air just above the water.</t>
  </si>
  <si>
    <t>v_cKFARm4dsws</t>
  </si>
  <si>
    <t>A little boy is getting on the swinging closing his little safety guard.</t>
  </si>
  <si>
    <t>He closes it and builds up some momentum to start going fast.</t>
  </si>
  <si>
    <t>He kicks his feet back and forth getting pretty high.</t>
  </si>
  <si>
    <t>He just enjoys his time swinging back and forth outside enjoying the day.</t>
  </si>
  <si>
    <t>v_3WyJNIqDFQg</t>
  </si>
  <si>
    <t>A close up a chair is shown while the camera pans out backwards and text moves across the screen.</t>
  </si>
  <si>
    <t>The camera follows closely into the chair and leads into a woman sitting comfortable on the chair.</t>
  </si>
  <si>
    <t>The woman adjusts the seat and leads into several more close ups of the chair being shown.</t>
  </si>
  <si>
    <t>v_W_iKlOPSDos</t>
  </si>
  <si>
    <t>We see a speedboat speeding through a lake and a man jet skiing behind it.</t>
  </si>
  <si>
    <t>The screen flashes black and we see more jet skiing.</t>
  </si>
  <si>
    <t>v_zlXs92vjuSU</t>
  </si>
  <si>
    <t>A young man named Sean wearing a beanie hat and black earring studs.</t>
  </si>
  <si>
    <t>He is demonstrating how to pierce his ear with stud earrings.</t>
  </si>
  <si>
    <t>He expresses severe pain as he tries to pierce his ear lobe.</t>
  </si>
  <si>
    <t>He takes an ice cube to soothe his ear lobe.</t>
  </si>
  <si>
    <t>Then he uses a cigarette lighter to heat the earring to sanitize it.</t>
  </si>
  <si>
    <t>He tries using a thumbtack to help the piercing but ends up causing severe bleeding in his ear.</t>
  </si>
  <si>
    <t>He then tries a rubber mallet to force the earring in.</t>
  </si>
  <si>
    <t>He cries and sobs in pain at his unsuccessful attempt of piercing his own ear lobe.</t>
  </si>
  <si>
    <t>v_vu-3Zi94F0M</t>
  </si>
  <si>
    <t>A man is seen sitting in a kayak looking to the camera.</t>
  </si>
  <si>
    <t>He then sticks his paddle in the water and begins moving along.</t>
  </si>
  <si>
    <t>He continues riding around an area while moving the paddle.</t>
  </si>
  <si>
    <t>v_evXdygHVzNc</t>
  </si>
  <si>
    <t>A teen spins holding a disc in his right hand, then the girl throws the disc while competing in a stadium.</t>
  </si>
  <si>
    <t>Then, another young woman spins around an throws a disc.</t>
  </si>
  <si>
    <t>A female spins and throw a disc far and she wins the competition.</t>
  </si>
  <si>
    <t>A man in the track raise a white flag on his right arm.</t>
  </si>
  <si>
    <t>v_8LiO75NtXNw</t>
  </si>
  <si>
    <t>Gymnast from Ukraine performs long jump in a final competition.</t>
  </si>
  <si>
    <t>A man holds a white and a red flags.</t>
  </si>
  <si>
    <t>The gymnast runs in the track until a white line, and jumps to perform the long jump.</t>
  </si>
  <si>
    <t>Then, a woman from Germany performs the long jump, and after a girl from Australia jumps long on the sand box.</t>
  </si>
  <si>
    <t>The woman from Germany wins the competition, she runs and greats the public.</t>
  </si>
  <si>
    <t>v_PNQpC_FlE2M</t>
  </si>
  <si>
    <t>A man in a vest is sitting in a boat.</t>
  </si>
  <si>
    <t>Then the man is in the water, holding a stick and a line attached to the boat.</t>
  </si>
  <si>
    <t>The boat begins to pull him in the water as he begins water skiing.</t>
  </si>
  <si>
    <t>He skis for a long while.</t>
  </si>
  <si>
    <t>v_8xS6cDOq5do</t>
  </si>
  <si>
    <t>girls are sitting in a rom and boys are standing behind them boys starts comb the hair.</t>
  </si>
  <si>
    <t>woman wearing blue sweater crawl on all fours.</t>
  </si>
  <si>
    <t>boys keep combing the hair and putting some hair rolls on the girls.</t>
  </si>
  <si>
    <t>woman in the middle is irritated and stands and remove the rolls for th head and sits again and laugh a lot.</t>
  </si>
  <si>
    <t>v_shZRGB58YBU</t>
  </si>
  <si>
    <t>A man is seated on a stage.</t>
  </si>
  <si>
    <t>There is a room full of people watching him.</t>
  </si>
  <si>
    <t>He is playing a set of drums with his hands.</t>
  </si>
  <si>
    <t>v_OTMkyaTCpqM</t>
  </si>
  <si>
    <t>An overhead view of a pool match.</t>
  </si>
  <si>
    <t>A man in a funny blue vest is shown as the next player to take a shot.</t>
  </si>
  <si>
    <t>He pauses and studies the table before taking his shot.</t>
  </si>
  <si>
    <t>He shoots and hits the blue ball in the corner right pocket.</t>
  </si>
  <si>
    <t>v_eBEnQDNyzFk</t>
  </si>
  <si>
    <t>A close up of food is shown followed by two women speaking to the camera and presenting various ingredients.</t>
  </si>
  <si>
    <t>The women then mix the ingredients into a pot after the noodles are cooked and then mix everything together in a bowl.</t>
  </si>
  <si>
    <t>Finally the dish is shown on a plate in the end and the women eat the food.</t>
  </si>
  <si>
    <t>v_ZtfdFFYa8vY</t>
  </si>
  <si>
    <t>black dog is walking in a treadmill in a white room.</t>
  </si>
  <si>
    <t>dog is running in the treadmill that is next to a drawer.</t>
  </si>
  <si>
    <t>dog is wearing a red necklace and is doing exercise.</t>
  </si>
  <si>
    <t>v_yE0fDD_7FkM</t>
  </si>
  <si>
    <t>A girl is walking on a diving board.</t>
  </si>
  <si>
    <t>People are in the background watching.</t>
  </si>
  <si>
    <t>The girl jumps off the diving board into the swimming pool.</t>
  </si>
  <si>
    <t>There is a small splash in the water.</t>
  </si>
  <si>
    <t>v_5qBzjfW-sMs</t>
  </si>
  <si>
    <t>A young man is seen putting a piece of wood onto a bark and holds up an axe.</t>
  </si>
  <si>
    <t>He then swings the axe the bark breaking it in half, followed by him yelling into the air.</t>
  </si>
  <si>
    <t>v_N2nNkWXYAYw</t>
  </si>
  <si>
    <t>A woman sits on the floor next a vacuum.</t>
  </si>
  <si>
    <t>The woman vacuums dirt on a hard floor.</t>
  </si>
  <si>
    <t>Then, the woman cleans waste on a carpet.</t>
  </si>
  <si>
    <t>After, the woman vacuums over a pillow using a smaller nozzle.</t>
  </si>
  <si>
    <t>Next, then woman put a new nozzle to clean narrow surfaces.</t>
  </si>
  <si>
    <t>Also the woman measures the pressure of suction and shows the inside of the vacuum.</t>
  </si>
  <si>
    <t>v_yCqe0J1xgyc</t>
  </si>
  <si>
    <t>We see two girls representing China standing on diving boards above an Olympic size pool and dive in unison and we see their scores.</t>
  </si>
  <si>
    <t>We then see two girls representing the USA dive in unison and see their scores.</t>
  </si>
  <si>
    <t>Next are two girls representing Italy diving and scores are shown.</t>
  </si>
  <si>
    <t>Germany is the next team to dive and scores are shown for them.</t>
  </si>
  <si>
    <t>v_x75wqBUD3zo</t>
  </si>
  <si>
    <t>A man is seen speaking to the camera while holding up a harmonica.</t>
  </si>
  <si>
    <t>The man blows into the instrument while pausing to speak to the camera.</t>
  </si>
  <si>
    <t>He continues playing the instrument and stopping to speak to the camera.</t>
  </si>
  <si>
    <t>v___mIAEE03bE</t>
  </si>
  <si>
    <t>People are snowboarding down a large hill of snow.</t>
  </si>
  <si>
    <t>A person in a green jacket is snowboarding while holding a camera in front of them.</t>
  </si>
  <si>
    <t>The people get to the bottom and start taking their snowboards off.</t>
  </si>
  <si>
    <t>v_vV_d5bfNmBQ</t>
  </si>
  <si>
    <t>Men on the beach playing volleyball in the sand.</t>
  </si>
  <si>
    <t>One of the guys hits the ball over to the other side and they hit it back.</t>
  </si>
  <si>
    <t>Then on the other side of the beach there is a group of women also playing volleyball.</t>
  </si>
  <si>
    <t>They are playing a really good game, one of the girl lands right on her stomach.</t>
  </si>
  <si>
    <t>v_Djlmto9iibw</t>
  </si>
  <si>
    <t>A dog is swimming in a small pool.</t>
  </si>
  <si>
    <t>He is being rubbed with shampoo.</t>
  </si>
  <si>
    <t>He is back in the water getting cleaned.</t>
  </si>
  <si>
    <t>A person is spraying the dog with a hose.</t>
  </si>
  <si>
    <t>The dog is then put in a metal pen.</t>
  </si>
  <si>
    <t>v_jA-KApGlXyA</t>
  </si>
  <si>
    <t>A person explains how to play squash holding a racket and a blue ball.</t>
  </si>
  <si>
    <t>Then, he continues explaining showing how to hit the ball on the wall.</t>
  </si>
  <si>
    <t>v_EBhAGOXvPcA</t>
  </si>
  <si>
    <t>A bike is seen outside a building.</t>
  </si>
  <si>
    <t>A group of men are outside, drinking eer and talking while playing beer pong.</t>
  </si>
  <si>
    <t>They try to throw the ball into the glasses.</t>
  </si>
  <si>
    <t>They laugh and talk as they play.</t>
  </si>
  <si>
    <t>v_eTIaRqgQ4Qg</t>
  </si>
  <si>
    <t>A camera is seen panning around a large lake followed by a person riding by on skis behind a jet ski.</t>
  </si>
  <si>
    <t>Two people are seen riding behind the jet ski and continuing to move along the water.</t>
  </si>
  <si>
    <t>v_offWBoR4Ggg</t>
  </si>
  <si>
    <t>The player in yellow shirt kicked the ball towards the goal, and the goalkeeper was not able to catch it, another player in red shirt kicked the ball and the goalkeeper weren't able to catch it.</t>
  </si>
  <si>
    <t>The goalkeeper is standing in front of the net, the crowds are cheering.</t>
  </si>
  <si>
    <t>v_0rX2f0H3AaA</t>
  </si>
  <si>
    <t>A white screen is shown and several words are shown on the screen.</t>
  </si>
  <si>
    <t>Then a blue mat is shown and an individual begins sweeping and laying the blue mat against the mat.</t>
  </si>
  <si>
    <t>The man takes out a measuring tape and cuts off a piece of the blue mat and continues covering the floor.</t>
  </si>
  <si>
    <t>v_IRmk1AM-yJE</t>
  </si>
  <si>
    <t>Two people are seen playing a game of pool while others watch on the side and conversation.</t>
  </si>
  <si>
    <t>The men continue hitting the ball around the table and moving around.</t>
  </si>
  <si>
    <t>v_Fi0PQwhsGs4</t>
  </si>
  <si>
    <t>Two men are outside talking to one another and they begin doing arm stretches.</t>
  </si>
  <si>
    <t>They then stop and do a series of Rock,Paper,Scissors.</t>
  </si>
  <si>
    <t>v_3CO7fRiJOy4</t>
  </si>
  <si>
    <t>Several small children drive around in bumper cars.</t>
  </si>
  <si>
    <t>One of them continuously spins in circles.</t>
  </si>
  <si>
    <t>She rides alone after the others have left.</t>
  </si>
  <si>
    <t>v_5KEq4f4dGto</t>
  </si>
  <si>
    <t>We see a lady painting her fingernails.</t>
  </si>
  <si>
    <t>We see a titles screen.</t>
  </si>
  <si>
    <t>The lady files and puts on a clear coat.</t>
  </si>
  <si>
    <t>The lady paints her finger nails blue.</t>
  </si>
  <si>
    <t>The lady adds a top coat of clear polish.</t>
  </si>
  <si>
    <t>The lady puts oil on her cuticles and we see the finished product.</t>
  </si>
  <si>
    <t>v_nA9MM4baSdc</t>
  </si>
  <si>
    <t>This woman is shown playing the black harmonica.</t>
  </si>
  <si>
    <t>she stops for a little bit, but then she keeps going.</t>
  </si>
  <si>
    <t>v_cfhc7tf8vU4</t>
  </si>
  <si>
    <t>A tall Black male is standing outside clapping trying to gain the crowds participation.</t>
  </si>
  <si>
    <t>The athlete then takes off and does a triple jump into the pit.</t>
  </si>
  <si>
    <t>Once he gets out of the pit,he walks around and a replay is shown to make sure that he didn't scratch and the jump can be counted.</t>
  </si>
  <si>
    <t>Another man approaches the run way and repeats the same step but ends up scratching.</t>
  </si>
  <si>
    <t>v_VEwZJ-5u_Xs</t>
  </si>
  <si>
    <t>People fly kites from a rooftop holding kite string pools.</t>
  </si>
  <si>
    <t>Several kites fly in the sky.</t>
  </si>
  <si>
    <t>A man holds a kite string pool while flying a kite.</t>
  </si>
  <si>
    <t>v_IWXIEfaltJ4</t>
  </si>
  <si>
    <t>A man is shown holding up a piece of metal and places it along a wall.</t>
  </si>
  <si>
    <t>He then puts plaster along the metal and rubs the sander all over the wall while still looking back to the camera.</t>
  </si>
  <si>
    <t>v_TWhxFETOG8I</t>
  </si>
  <si>
    <t>Two teams play a game of indoor soccer.</t>
  </si>
  <si>
    <t>Players from the white team dribble and pass the ball all the way down field and make a goal.</t>
  </si>
  <si>
    <t>Players from the blue team dribble and pass all the way down field and make a goal.</t>
  </si>
  <si>
    <t>A member of the blue team battles two defenders near goal and makes a point.</t>
  </si>
  <si>
    <t>Players take corner kicks and assist a goals.</t>
  </si>
  <si>
    <t>v_CcKeoeSZVnE</t>
  </si>
  <si>
    <t>Two women are smoking a hookah while seated on a couch.</t>
  </si>
  <si>
    <t>They take turns taking hits and blowing smoke.</t>
  </si>
  <si>
    <t>They are blowing the smoke in rings toward the camera.</t>
  </si>
  <si>
    <t>v_uK0dxEMBXfY</t>
  </si>
  <si>
    <t>A man standing in a yard talks to the camera about his yard.</t>
  </si>
  <si>
    <t>The man motions he had across the yard.</t>
  </si>
  <si>
    <t>The man then mows his lawn with his mower.</t>
  </si>
  <si>
    <t>The man stops and shows the electrical cord on his mower.</t>
  </si>
  <si>
    <t>v_QRcwvzq7QUM</t>
  </si>
  <si>
    <t>We see a lady standing in a news studio talking to the camera.</t>
  </si>
  <si>
    <t>We then see people in a field on horses.</t>
  </si>
  <si>
    <t>The people are playing polo on the horses.</t>
  </si>
  <si>
    <t>We see a man talking to the camera.</t>
  </si>
  <si>
    <t>We then see the people playing again.</t>
  </si>
  <si>
    <t>The man is talking to the camera again.</t>
  </si>
  <si>
    <t>We see the polo players on their horses.</t>
  </si>
  <si>
    <t>A man holds liquor in front of a horses mouth, We see the newscaster again.</t>
  </si>
  <si>
    <t>v_PnY3FT_QqWo</t>
  </si>
  <si>
    <t>A woman is standing in a gated yard beside a girl on a horse.</t>
  </si>
  <si>
    <t>She walks away as the girl rides the horse carefully around the fence.</t>
  </si>
  <si>
    <t>She then takes the horse into a light trot as she rides.</t>
  </si>
  <si>
    <t>v_1QjVfj0S8qQ</t>
  </si>
  <si>
    <t>A shirtless man scrapes roofing gravel using a shovel.</t>
  </si>
  <si>
    <t>The man stops and leans on the shovel for a moment to look at the amount of work that is ahead of him.</t>
  </si>
  <si>
    <t>The man continues to scrape the gravel roof and turns with his back towards the camera.</t>
  </si>
  <si>
    <t>v_BrnUW2LSJDI</t>
  </si>
  <si>
    <t>Two men are seen standing around a shuffleboard table followed by the men hitting pucks across the board.</t>
  </si>
  <si>
    <t>The men continue hitting the pucks and zoom in on their faces in the end.</t>
  </si>
  <si>
    <t>v_m978SIFnHS8</t>
  </si>
  <si>
    <t>Dark nights are shown with lightning flashing through the sky.</t>
  </si>
  <si>
    <t>After,the video begins and several people are shown on a large boat sailing in the water.</t>
  </si>
  <si>
    <t>The weather begins to turn nasty and the people have to hold on for dear life so they won't die.</t>
  </si>
  <si>
    <t>In one instance,the boat begins to tip to the side and the people jump in joy that it didn't tip over as the horrid weather continues.</t>
  </si>
  <si>
    <t>v_W-poAYW1pb0</t>
  </si>
  <si>
    <t>A group of runners are on a street, and a boston marathoner who has broken a record is shown talking in an interview after celebrating.</t>
  </si>
  <si>
    <t>News casters are shown talking about the man and others as they reach the end of the marathon.</t>
  </si>
  <si>
    <t>The runners are shown as a group, as men dressed as british solders enact a play for the crowds.</t>
  </si>
  <si>
    <t>v_BGeB6KEQM94</t>
  </si>
  <si>
    <t>A man in peach sweater is skateboarding and then fell on the ground.</t>
  </si>
  <si>
    <t>A man in orange stop is skateboarding in the dark street and fell on the ground.</t>
  </si>
  <si>
    <t>A man in black shirt skateboard down the wide road and fell on the side of the road, the man showed his bleeding cuts in front of the camera.</t>
  </si>
  <si>
    <t>A the skateboarders are falling off their skateboards.</t>
  </si>
  <si>
    <t>v_p7VTBhv3OLY</t>
  </si>
  <si>
    <t>A man is talking in front of a net in a yard.</t>
  </si>
  <si>
    <t>Two boys are seen hitting a ball into the net.</t>
  </si>
  <si>
    <t>Then we see a game on a field with men hitting balls with nets into the goal.</t>
  </si>
  <si>
    <t>v_d0h_l9bE1o0</t>
  </si>
  <si>
    <t>A group of cheerleaders are shown practicing their routine in a gymnasium.</t>
  </si>
  <si>
    <t>The scene transitions to one cheerleader being interviewed while others stretch in the background, with occasional cheerleader-related clips interspersed.</t>
  </si>
  <si>
    <t>A man wearing blue is interviewed in the same setting, with occasional cheerleader-related clips interspersed.</t>
  </si>
  <si>
    <t>Another man is interviewed in the same setting, with occasional cheerleader-related clips interspersed.</t>
  </si>
  <si>
    <t>The camera returns to the man in blue being interviewed, with short cheerleader action sequences.</t>
  </si>
  <si>
    <t>The camera returns to the first individual interviewed, with short cheerleader action sequences.</t>
  </si>
  <si>
    <t>v_cqHWqXRkUfU</t>
  </si>
  <si>
    <t>Several people are standing outside in a snow with tubes in front of them.</t>
  </si>
  <si>
    <t>Two people then get in the tubes and are pushed down the slopes.</t>
  </si>
  <si>
    <t>They go down the snow slide and once they reach the bottom they get off.</t>
  </si>
  <si>
    <t>v_g0B_4IlLn3g</t>
  </si>
  <si>
    <t>A girl is standing in her bathroom making giggly faces while holding a cup.</t>
  </si>
  <si>
    <t>She finally takes whatever is in the cub and begins to gags as she spits it into the sink.</t>
  </si>
  <si>
    <t>After her mouth is empty,she shows off a bottle of Crest mouthwash.</t>
  </si>
  <si>
    <t>v_KAbo60mowhw</t>
  </si>
  <si>
    <t>A man plays catch with a dog in a dirt field while throwing a Frisbee.</t>
  </si>
  <si>
    <t>The man holds out the Frisbee in his hand to the dog.</t>
  </si>
  <si>
    <t>A woman plays catch with the dog throwing a Frisbee in a grassy park.</t>
  </si>
  <si>
    <t>v_faF9-lWmK3Y</t>
  </si>
  <si>
    <t>The camera man opens a door and watches a woman leaving forward in a tub.</t>
  </si>
  <si>
    <t>The woman talks to the camera man while washing several clothes in a tub filled with water.</t>
  </si>
  <si>
    <t>The woman learns down exhausted and turns back to the camera man quickly then back to the tub.</t>
  </si>
  <si>
    <t>v_vAzTt06gpgE</t>
  </si>
  <si>
    <t>A group of people are running down a road with various people cheering and clapping on the sides.</t>
  </si>
  <si>
    <t>A woman is high fiving the people as well other runners.</t>
  </si>
  <si>
    <t>More shots of people on the sides are shown while the runners continue running.</t>
  </si>
  <si>
    <t>v_Mw_AIqw6rfM</t>
  </si>
  <si>
    <t>A large group of people are seen standing around a horse track and leads into several men sitting on horses and one riding around swinging a stick.</t>
  </si>
  <si>
    <t>The men then begin playing a game on the horses and shaking each other's hands.</t>
  </si>
  <si>
    <t>The princess then hands a box to one of the players and stands near several others holding a trophy.</t>
  </si>
  <si>
    <t>v_16g-sBraeKE</t>
  </si>
  <si>
    <t>A woman is showing her finger nails to the camera.</t>
  </si>
  <si>
    <t>A woman in a black shirt is sitting in a room talking to a camera.</t>
  </si>
  <si>
    <t>A person is doing someone else's nails on a table.</t>
  </si>
  <si>
    <t>They are putting fake fingernails on them.</t>
  </si>
  <si>
    <t>They are cutting the nails down.</t>
  </si>
  <si>
    <t>They begin painting the nails.</t>
  </si>
  <si>
    <t>v__ao0UwSJHWA</t>
  </si>
  <si>
    <t>A man is seen sitting in a large gym while speaking to the camera and sitting on a medicine ball.</t>
  </si>
  <si>
    <t>The man then bends forward onto the ball while still speaking to the camera.</t>
  </si>
  <si>
    <t>The man continues to balance on the ball and sits himself up as well as catches a ball.</t>
  </si>
  <si>
    <t>v_kpE3q-Hmd7A</t>
  </si>
  <si>
    <t>A group of men are inside of a gym space stepping on aerobic steppers at a fast pace.</t>
  </si>
  <si>
    <t>They look to be having a great time and begin reaching out with their arms and varying their workout.</t>
  </si>
  <si>
    <t>They continue on performing another series of similar workout with their steppers.</t>
  </si>
  <si>
    <t>They move side to side, alternating their movements to a specific rhythm.</t>
  </si>
  <si>
    <t>Their last of their workouts seem to be a compilation of everything they have been doing thus far and they are varying their movements within it.</t>
  </si>
  <si>
    <t>v_NzRNlTfyYtI</t>
  </si>
  <si>
    <t>A woman uses a NordicTrack exercise machine.</t>
  </si>
  <si>
    <t>The exercise machine is shown by itself.</t>
  </si>
  <si>
    <t>The woman uses the machine again.</t>
  </si>
  <si>
    <t>The machine's digital display controls are shown.</t>
  </si>
  <si>
    <t>A splash screen of a woman and a show title are shown.</t>
  </si>
  <si>
    <t>The woman exercises on the machine again.</t>
  </si>
  <si>
    <t>v_Wdp8yduPUX4</t>
  </si>
  <si>
    <t>Four people prepare to skateboard down a slope.</t>
  </si>
  <si>
    <t>The four individuals skateboard down the slope together or alone as spectators watch.</t>
  </si>
  <si>
    <t>The camera pans over background scenery.</t>
  </si>
  <si>
    <t>One of the individuals tends to his skateboard.</t>
  </si>
  <si>
    <t>The four individuals engage in more skateboarding down the slope.</t>
  </si>
  <si>
    <t>One of the individuals is again shown tending to his skateboard.</t>
  </si>
  <si>
    <t>v_GTxmHim5JnY</t>
  </si>
  <si>
    <t>Two children twirl on a tire swing.</t>
  </si>
  <si>
    <t>Another child is swinging in another swing set.</t>
  </si>
  <si>
    <t>A very small child runs through the play area.</t>
  </si>
  <si>
    <t>v_1FKoT6uFsjY</t>
  </si>
  <si>
    <t>A kid is sitting on the bed and waves to the camera.</t>
  </si>
  <si>
    <t>He is explaining his daily routine to the camera.</t>
  </si>
  <si>
    <t>He is putting red contacts in his eyes.</t>
  </si>
  <si>
    <t>The contact falls out of his eye and he puts it back in, but it falls out over and over.</t>
  </si>
  <si>
    <t>Finally he gets it to stay and he gives the camera close up and some moves.</t>
  </si>
  <si>
    <t>v_znhZPUF6xQw</t>
  </si>
  <si>
    <t>Several clips are shown of various girls performing gymnastics tricks on a large mat.</t>
  </si>
  <si>
    <t>The girls continue jumping and flipping around the area while the camera continues to capture their movements.</t>
  </si>
  <si>
    <t>v_gMwjhe0Njkc</t>
  </si>
  <si>
    <t>A black and white image of a man is shown and then the man appears in a field throwing a discus.</t>
  </si>
  <si>
    <t>After,he continues throwing the discus and when he is finished,he is shown standing on a set of cubes as the winner.</t>
  </si>
  <si>
    <t>The participants shake each other hands and they both end up walking off.</t>
  </si>
  <si>
    <t>v_2mVwrM0qOGw</t>
  </si>
  <si>
    <t>man is standing in a room holding a bow and talking to another man.</t>
  </si>
  <si>
    <t>manis practicing shots with a bow to a board in a large field.</t>
  </si>
  <si>
    <t>v_6EKVtCJ2nrs</t>
  </si>
  <si>
    <t>A man in black jacket holds a friend in both arms.</t>
  </si>
  <si>
    <t>The friend wearing a rope puts out her arms in preparation.</t>
  </si>
  <si>
    <t>The friend is thrown from the building wearing a bungee cord and swings in a wide arc over the ground below then back and forth.</t>
  </si>
  <si>
    <t>A woman in black jacket sits on a ramp and is pushed down by friends.</t>
  </si>
  <si>
    <t>The woman falls off the building and swings from a rope above the ground below.</t>
  </si>
  <si>
    <t>v_fs2per3zoZQ</t>
  </si>
  <si>
    <t>Two men sit behind a table with a pumpkin on it.</t>
  </si>
  <si>
    <t>A man smashes the pumpkin with a hammer.</t>
  </si>
  <si>
    <t>He starts ripping out the seeds and handing them to the man next to him.</t>
  </si>
  <si>
    <t>v_NpfdyZntPbg</t>
  </si>
  <si>
    <t>A man wipes the bottom of a ski.</t>
  </si>
  <si>
    <t>He puts polish on the bottom of the ski and rubs it in.</t>
  </si>
  <si>
    <t>He takes a paper towel and wipes the bottom of the ski.</t>
  </si>
  <si>
    <t>v_aDBSNU2trmo</t>
  </si>
  <si>
    <t>A point of view of a person shows himself sitting in a sled holding hands of two children in sleds.</t>
  </si>
  <si>
    <t>A person pushes the three down a hill while still holding hands and lets go at the bottom to meet with the others.</t>
  </si>
  <si>
    <t>v_7rT8tqLyFa0</t>
  </si>
  <si>
    <t>A man is standing in a weight room with multiple screens on and computers on it.</t>
  </si>
  <si>
    <t>After he finishes talking,he gets on an ellipitacal and starts rowing.</t>
  </si>
  <si>
    <t>Next,he moves to another machine and does the same thing as well in a slightly different way.</t>
  </si>
  <si>
    <t>v_D9DdNf-TIO8</t>
  </si>
  <si>
    <t>A bird is sitting on a bar over a bath tub.</t>
  </si>
  <si>
    <t>A dog is in the bathtub getting a shower.</t>
  </si>
  <si>
    <t>A person is rubbing soap into the dogs fur.</t>
  </si>
  <si>
    <t>The dog shakes itself off.</t>
  </si>
  <si>
    <t>v_rv9jW-t3mT4</t>
  </si>
  <si>
    <t>An outdoor track and field meet is shown.</t>
  </si>
  <si>
    <t>Pole vaulters are shown in a competition.</t>
  </si>
  <si>
    <t>Some of them make their jumps while others do not.</t>
  </si>
  <si>
    <t>v_Prt07JFztMI</t>
  </si>
  <si>
    <t>Two men are in an alley.</t>
  </si>
  <si>
    <t>They are bouncing up and down on sticks.</t>
  </si>
  <si>
    <t>There is a van in the foreground.</t>
  </si>
  <si>
    <t>There are also several buildings.</t>
  </si>
  <si>
    <t>v_EmM2yXiiz5c</t>
  </si>
  <si>
    <t>A man rides a bicycle behind three men who are running in a professional race on a paved freeway lined with onlookers, spectators and participants.</t>
  </si>
  <si>
    <t>A man is riding a bicycle down a freeway wearing a helmet and sporting a paper tag on the front of the bicycle.</t>
  </si>
  <si>
    <t>Three men are running in front of the man on the bicycle with one of the men juggling three balls while running and one drinking water and waiving at the crowd.</t>
  </si>
  <si>
    <t>The men turn a bend while jogging and an onlooker starts clapping for them from behind.</t>
  </si>
  <si>
    <t>v_64vbnwtL7I8</t>
  </si>
  <si>
    <t>Groups of people bowl games in a bowling alley.</t>
  </si>
  <si>
    <t>People in recorded video of the bowling match.</t>
  </si>
  <si>
    <t>Spectators sit and stand behind the railing watching the event.</t>
  </si>
  <si>
    <t>A man bowls a his turns standing backwards.</t>
  </si>
  <si>
    <t>People in the stands cheer for the bowler.</t>
  </si>
  <si>
    <t>v_SSqVGeD2XaQ</t>
  </si>
  <si>
    <t>Three men are seen speaking and waving to the camera that leads into the men playing games with strangers on the street.</t>
  </si>
  <si>
    <t>The winner gets to kiss the man and the loser gets to slap him.</t>
  </si>
  <si>
    <t>Several shots are shown of him slapping and kissing girls as well as running around the area to find more people.</t>
  </si>
  <si>
    <t>v_3rqesp6F95Q</t>
  </si>
  <si>
    <t>A few people are seen standing around various fooseball tables playing games with one another.</t>
  </si>
  <si>
    <t>The people continue to push the ball around back and fourth while the camera focuses on one game.</t>
  </si>
  <si>
    <t>The people keep track of their scores and others watch them in the distance.</t>
  </si>
  <si>
    <t>v_k2U1lOpLqdk</t>
  </si>
  <si>
    <t>As a red cut scene passes a young man in a blue shirt is seen concentrating.</t>
  </si>
  <si>
    <t>Afterwards another man is seen on a curling rink releasing a rock stone as two other men use brooms to clear the way as the stone travels down the path.</t>
  </si>
  <si>
    <t>The act continues with the same men once more engaging in the same act.</t>
  </si>
  <si>
    <t>Afterwards another young man in a blue shirt repeats the same move as the white team looks on.</t>
  </si>
  <si>
    <t>Finally as spectators look on, a member of the white team releases a rock stone and two men from the team use brooms to clear the path.</t>
  </si>
  <si>
    <t>v_Y-SehqCvzME</t>
  </si>
  <si>
    <t>A man is seen speaking to the camera while holding a guitar in his hands.</t>
  </si>
  <si>
    <t>The man begins playing the guitar and singing into a microphone.</t>
  </si>
  <si>
    <t>The man continues singing and playing and stops in the end.</t>
  </si>
  <si>
    <t>v_mQ9e5RyHE_k</t>
  </si>
  <si>
    <t>A man is seen speaking to the camera as well as several shots of a bowling alley and him bowling a ball.</t>
  </si>
  <si>
    <t>He continues speaking to the camera while showing several videos of him throwing the bowling ball and hitting several pins.</t>
  </si>
  <si>
    <t>v_-V5_GMuMzc8</t>
  </si>
  <si>
    <t>Another man is giving him a hair cut.</t>
  </si>
  <si>
    <t>He then brushes off the mans neck.</t>
  </si>
  <si>
    <t>v_Q0UzDeDra3U</t>
  </si>
  <si>
    <t>A man demonstrates how to change the tire on a car.</t>
  </si>
  <si>
    <t>A car drives through a street and then shows as being parked at which a man approaches the car holding a lug nut removal tool.</t>
  </si>
  <si>
    <t>The man removes the lug nuts and then jacks the car up.</t>
  </si>
  <si>
    <t>The man then removes the tire and pulls a spare tire off of the back of the car.</t>
  </si>
  <si>
    <t>The man then puts the new tire on the car.</t>
  </si>
  <si>
    <t>v_PG0ao4HkF8M</t>
  </si>
  <si>
    <t>A man hangs wallpaper on a blank wall.</t>
  </si>
  <si>
    <t>Each frame is rolled down and put on the wall.</t>
  </si>
  <si>
    <t>v_R4M90w2zPVU</t>
  </si>
  <si>
    <t>A man in a red hockey helmet and with a long curling mustache is seen in a still shot standing next to a woman while leaning on a glass barrier in front of a hockey skate rink.</t>
  </si>
  <si>
    <t>The man is then shown entering a live hockey game and playing hockey with a floor filled with other players.</t>
  </si>
  <si>
    <t>Another man is shown sitting next to a snoopy doll before the camera changes back to the man in the mustache again in another still shot.</t>
  </si>
  <si>
    <t>v_85DumZo8-ik</t>
  </si>
  <si>
    <t>A woman claps her hands together.</t>
  </si>
  <si>
    <t>She sprints down a track.</t>
  </si>
  <si>
    <t>She jumps up in the air.</t>
  </si>
  <si>
    <t>v_uO2YgcdqoZg</t>
  </si>
  <si>
    <t>A man dressed in a black wife-beater is near a fluorescent wall glass and is talking.</t>
  </si>
  <si>
    <t>As he is talking,several clips appear in between him where he is in a room with three walls and glass as the fourth wall while playing wall ball.</t>
  </si>
  <si>
    <t>The final scene is shown,and the male comes back talking before finally flashing a url at then end.</t>
  </si>
  <si>
    <t>v_Mm6iYEyY9dI</t>
  </si>
  <si>
    <t>A young man is seen standing in the middle of a large field holding instruments and standing in front of others.</t>
  </si>
  <si>
    <t>The man then begins playing the instruments one by one.</t>
  </si>
  <si>
    <t>Several kids then walk into frame using hula hoops while the man joins in still singing and clapping his hands.</t>
  </si>
  <si>
    <t>v_wtQQ5I0QRuw</t>
  </si>
  <si>
    <t>A young women in her bra and underwear sits on a bed.</t>
  </si>
  <si>
    <t>She then applies lotion to her legs and hands.</t>
  </si>
  <si>
    <t>She is very thorough in her work making sure not to miss anything.</t>
  </si>
  <si>
    <t>She then starts the process of shaving her legs very intently.</t>
  </si>
  <si>
    <t>She continues this process with her other leg being very good at attention to detail.</t>
  </si>
  <si>
    <t>v_4eCKiA1czfk</t>
  </si>
  <si>
    <t>A person blows leaves using a leaf blower.</t>
  </si>
  <si>
    <t>Then, an area without leaves are shown next to the trees.</t>
  </si>
  <si>
    <t>v_zT6ITDwPi0w</t>
  </si>
  <si>
    <t>A girl stands and talks in a public restroom.</t>
  </si>
  <si>
    <t>The girl goes into a stall and closes the door.</t>
  </si>
  <si>
    <t>She emerges and washes her hands.</t>
  </si>
  <si>
    <t>She takes a paper and drys her hands.</t>
  </si>
  <si>
    <t>Another person is washing their hands.</t>
  </si>
  <si>
    <t>The girl throws away the papertowel.</t>
  </si>
  <si>
    <t>v_eOmL8f-yB40</t>
  </si>
  <si>
    <t>A man taps the top of a piano with a stick and talks to a large band sitting in front of him.</t>
  </si>
  <si>
    <t>He sits down at the piano and he and the band play.</t>
  </si>
  <si>
    <t>A large audience watches from near by.</t>
  </si>
  <si>
    <t>The man throws the stick behind the band.</t>
  </si>
  <si>
    <t>The man plays standing for a moment and then bows.</t>
  </si>
  <si>
    <t>v_83a5nOzZU1g</t>
  </si>
  <si>
    <t>A drink is being poured into a glass followed by a woman grabbing a glass and pouring mixtures into it.</t>
  </si>
  <si>
    <t>She creates an alcoholic drink by pouring several different mixes together and the camera zooming in on the drink.</t>
  </si>
  <si>
    <t>v_EqqqGf4wLH0</t>
  </si>
  <si>
    <t>A Mexican band is playing and singing.</t>
  </si>
  <si>
    <t>The camera does a closeup on each member.</t>
  </si>
  <si>
    <t>There is a crowd listening to them.</t>
  </si>
  <si>
    <t>The band name is on the back of their shirts.</t>
  </si>
  <si>
    <t>v_k6AzbT12a9c</t>
  </si>
  <si>
    <t>This man is on his hands and knees on the floor.</t>
  </si>
  <si>
    <t>This is being recorded from a tv screen and it's really loud.</t>
  </si>
  <si>
    <t>There's no one else in the room with this man and he looks like a woman who's being entered from behind.</t>
  </si>
  <si>
    <t>v_DaDHatB3RbM</t>
  </si>
  <si>
    <t>A close up of a canoe is seen moving along the water showing a person paddling in the front.</t>
  </si>
  <si>
    <t>Several more people are seen riding around in canoes and showing waterfalls as well as a fire.</t>
  </si>
  <si>
    <t>v_nj5dMUGvOWo</t>
  </si>
  <si>
    <t>A woman is doing a gymnastics routine on uneven bars.</t>
  </si>
  <si>
    <t>A woman does flips on the bar.</t>
  </si>
  <si>
    <t>She jumps off and lands on a mat.</t>
  </si>
  <si>
    <t>v_IDr50VT8BK8</t>
  </si>
  <si>
    <t>She picks up a red brush and begins brushing her hair.</t>
  </si>
  <si>
    <t>A Netflix advertisement is shown on the screen.</t>
  </si>
  <si>
    <t>v_iCkDtX_mTII</t>
  </si>
  <si>
    <t>A man is sitting on an exercise machine.</t>
  </si>
  <si>
    <t>He pulls a bar in front of him and starts working out.</t>
  </si>
  <si>
    <t>He drops the bar and finishes.</t>
  </si>
  <si>
    <t>v_lGvI5pyjpFg</t>
  </si>
  <si>
    <t>A young girl is seen standing behind a table squeezing limes while another washes dishes in the background.</t>
  </si>
  <si>
    <t>The girl continues juicing the fruit and walks towards the camera then back again.</t>
  </si>
  <si>
    <t>v_oZa-yum3mcU</t>
  </si>
  <si>
    <t>The Duggar mom and a little girl walks up to another woman at a horse ranch and the words on the bottom left say the woman's name is Morgan Brown and she's the Equestrian Instructor.</t>
  </si>
  <si>
    <t>The woman leads them into the barn and she puts a helmet on the little girls head, they walk to get horses and at some point the Duggar mom put a helmet on as well.</t>
  </si>
  <si>
    <t>In between interviews they show the Duggar mom and the little girl getting instructions about their horse and then getting on their horses and riding on them in an enclosed area.</t>
  </si>
  <si>
    <t>The red and white TLC logo remains on the bottom right area of the screen the whole time.</t>
  </si>
  <si>
    <t>v_B_heSKsoI9o</t>
  </si>
  <si>
    <t>A man is seen speaking to the camera and leads into several people holding and shooting bows.</t>
  </si>
  <si>
    <t>The instructors assists the students while speaking to the camera and shows several shots of the person shooting the arrows.</t>
  </si>
  <si>
    <t>v_c0Hix_5Vm8I</t>
  </si>
  <si>
    <t>A vans off the wall ad is shown.</t>
  </si>
  <si>
    <t>Multiple pictures flash across the screen.</t>
  </si>
  <si>
    <t>Men are shown drinking wine before performing numerous tricks on ski boards.</t>
  </si>
  <si>
    <t>Images of them in the air performing tricks and jumping are shown.</t>
  </si>
  <si>
    <t>v_h49mHiWjXBA</t>
  </si>
  <si>
    <t>man is standing in an icetrack talking to the camera.</t>
  </si>
  <si>
    <t>people are playing curling in an ice court.</t>
  </si>
  <si>
    <t>v_BIJK3xcjiKE</t>
  </si>
  <si>
    <t>Several clips are shown of people playing soccer in front of a large stadium.</t>
  </si>
  <si>
    <t>The people kick a ball all around the area as well as throw their hands up.</t>
  </si>
  <si>
    <t>More shots are shown of people playing against one another on different fields and celebrating.</t>
  </si>
  <si>
    <t>v__7AyUgKv3kU</t>
  </si>
  <si>
    <t>A kid is seen speaking to the camera and pans over to an older woman blowing leaves in yard.</t>
  </si>
  <si>
    <t>The woman speaks to the boy and he walks over to her while she still blows leaves around.</t>
  </si>
  <si>
    <t>In the end she's seen walking away past a fence.</t>
  </si>
  <si>
    <t>v_mhU_KzxJyr4</t>
  </si>
  <si>
    <t>A young male is sitting in the desert on top of a camel.</t>
  </si>
  <si>
    <t>The man begins talking to another male who has a red wrap on his head.</t>
  </si>
  <si>
    <t>The camel then lifts up and begins walking throughout the desert towards a group of kids and cars.</t>
  </si>
  <si>
    <t>v_1PTNnaEu8xo</t>
  </si>
  <si>
    <t>A man is tying a yellow belt around the waist of a taller man who shakes his hand and then shakes everyone else.</t>
  </si>
  <si>
    <t>The man and another begin to do some karate moves against one another but they rarely make physical contact.</t>
  </si>
  <si>
    <t>There is a group of men standing around them watching them.</t>
  </si>
  <si>
    <t>When they are finished, they take all take a group photo together.</t>
  </si>
  <si>
    <t>v_om1vXrpctVE</t>
  </si>
  <si>
    <t>Two large men are seen standing in a pit surrounded by others and one ref standing in the middle.</t>
  </si>
  <si>
    <t>The men then bow before one another as people continue to sweep the arena and lead into the men fighting.</t>
  </si>
  <si>
    <t>The men continuously wrestle one another while the ref moves around them and ends with them walking around then off stage.</t>
  </si>
  <si>
    <t>v_q9y-83399Ao</t>
  </si>
  <si>
    <t>A person in a yellow cap is swimming in a swimming pool.</t>
  </si>
  <si>
    <t>A person in a white shirt is talking.</t>
  </si>
  <si>
    <t>The person is out of the water moving their arms.</t>
  </si>
  <si>
    <t>v_NeUIHk1uCgA</t>
  </si>
  <si>
    <t>A woman mounts a beam with an audience in the background.</t>
  </si>
  <si>
    <t>The woman performs gymnastics on the beam.</t>
  </si>
  <si>
    <t>The woman dismounts from the beam.</t>
  </si>
  <si>
    <t>v_QY-2lN9zwho</t>
  </si>
  <si>
    <t>A young boy laughs while holding two toothbrushes.</t>
  </si>
  <si>
    <t>He uses an electric brush to brush his teeth.</t>
  </si>
  <si>
    <t>He shakes the brush, occasionally pouring water on it and putting it back in his mouth.</t>
  </si>
  <si>
    <t>v_A1SuSeqDTEI</t>
  </si>
  <si>
    <t>We see a man preparing to get in a kayak.</t>
  </si>
  <si>
    <t>We then see the man riding in his kayak on a rough river.</t>
  </si>
  <si>
    <t>The man goes over a rock.</t>
  </si>
  <si>
    <t>We see a mountain near the river.</t>
  </si>
  <si>
    <t>The kayak is overturned in the river.</t>
  </si>
  <si>
    <t>We see the man on the shore.</t>
  </si>
  <si>
    <t>We see the man go over a waterfall.</t>
  </si>
  <si>
    <t>We see the man pull his kayak onto the shore.</t>
  </si>
  <si>
    <t>We see the kayak overturned and we then see the river running.</t>
  </si>
  <si>
    <t>We see the ending screens.</t>
  </si>
  <si>
    <t>v_QCBaT1NJ32E</t>
  </si>
  <si>
    <t>A woman is seen laughing to the camera and begins smoking a cigarette.</t>
  </si>
  <si>
    <t>The woman takes puffs off of her cigarette while looking into the camera.</t>
  </si>
  <si>
    <t>The woman continues lifting up her cigarette and blowing smoke into the distance.</t>
  </si>
  <si>
    <t>v_g2uL6H3fP1c</t>
  </si>
  <si>
    <t>We see a man walking in a parking lot.</t>
  </si>
  <si>
    <t>The man starts performing martial arts moves.</t>
  </si>
  <si>
    <t>The man removes his shirt and necklace.</t>
  </si>
  <si>
    <t>The man flips around and does Capoeira moves.</t>
  </si>
  <si>
    <t>We see the man do a handstand on one hand.</t>
  </si>
  <si>
    <t>The man finishes, grabs his shirt, and walks off.</t>
  </si>
  <si>
    <t>We see video clips in the closing screen.</t>
  </si>
  <si>
    <t>v_p0O-EsMFcL4</t>
  </si>
  <si>
    <t>An individual rides on an inner tube down a river with rocks in it.</t>
  </si>
  <si>
    <t>A man pushes the individual downstream.</t>
  </si>
  <si>
    <t>Another man pushes the individual further downstream.</t>
  </si>
  <si>
    <t>v_kMYZWwZXx3E</t>
  </si>
  <si>
    <t>A camera pans all around a fence while text is being shown across.</t>
  </si>
  <si>
    <t>A person is shown in several shots spraying down the fence with a hose.</t>
  </si>
  <si>
    <t>In the end more clips are shown of the fence.</t>
  </si>
  <si>
    <t>v_lzQwtmUrSK4</t>
  </si>
  <si>
    <t>People are running around on dirt playing soccer.</t>
  </si>
  <si>
    <t>People are in an indoor arena playing soccer.</t>
  </si>
  <si>
    <t>People in the stands are applauding for them.</t>
  </si>
  <si>
    <t>v_c05oRliUOxk</t>
  </si>
  <si>
    <t>We see an opening title scene.</t>
  </si>
  <si>
    <t>We see people riding horses through the mountains.</t>
  </si>
  <si>
    <t>We turn and see the canyon and river.</t>
  </si>
  <si>
    <t>A person in blue turns around a few times.</t>
  </si>
  <si>
    <t>We see a large white mound of snow.</t>
  </si>
  <si>
    <t>The person in the blue shirt looks up the mountain.</t>
  </si>
  <si>
    <t>We see a blue bar at the bottom of the screen.</t>
  </si>
  <si>
    <t>v_wrf4MfW4MGg</t>
  </si>
  <si>
    <t>A man with long hair is seen brushing his face with a brush while holding his hand up and speaking to the camera.</t>
  </si>
  <si>
    <t>He then holds up the brush and grabs his hoodie while smiling at the camera.</t>
  </si>
  <si>
    <t>v_U_qCCwgS0OM</t>
  </si>
  <si>
    <t>Intro leads into A man mopping up dirt on a floor and showing the tools afterwards.</t>
  </si>
  <si>
    <t>Several shots of mops pushing around dirt is shown followed by the better mop being dipped into water and dripped on a table.</t>
  </si>
  <si>
    <t>A 3d mop shows how it works with a woman also moping up things on her floor.</t>
  </si>
  <si>
    <t>Several other shots of people mopping are shown as well as people shrugging and where to buy the mops.</t>
  </si>
  <si>
    <t>v_YrMrSXH8k6k</t>
  </si>
  <si>
    <t>A man is seen holding a blow torch and begins using it while pulling his mask down.</t>
  </si>
  <si>
    <t>The man continuously sparks with the machine on a piece of metal.</t>
  </si>
  <si>
    <t>He stops in the end while taking off his mask and looking into the camera.</t>
  </si>
  <si>
    <t>v_X4IE65LtDzQ</t>
  </si>
  <si>
    <t>A woman and young girl are seen speaking to the camera while holding together a toy.</t>
  </si>
  <si>
    <t>The two create a hop scotch game with the toy and lay it down on the ground and show off the foam.</t>
  </si>
  <si>
    <t>The woman speaks to the camera while the girl hops along the game.</t>
  </si>
  <si>
    <t>v_0bjHe_5nACw</t>
  </si>
  <si>
    <t>A woman is seen speaking to the camera while holding a violin and continues with her playing the violin and pausing.</t>
  </si>
  <si>
    <t>The woman continues playing the instrument and stopping to speak to the camera and demonstrate how to play.</t>
  </si>
  <si>
    <t>v_jwqotL-yNvE</t>
  </si>
  <si>
    <t>A video is shown of a first person view of someone exploring a large open field on the way to a track.</t>
  </si>
  <si>
    <t>Then, the person puts the camera down and begins working out on the track.</t>
  </si>
  <si>
    <t>The guys takes off his track suit and continues to work out.</t>
  </si>
  <si>
    <t>He flips himself over in the air and lands on a pile of sand.</t>
  </si>
  <si>
    <t>He proceeds to do some break dancing moves before the video ends.</t>
  </si>
  <si>
    <t>v_Wx-fRCjU9r0</t>
  </si>
  <si>
    <t>Teams are playing ice hockey in the center so everyone who's sitting down can watch them.</t>
  </si>
  <si>
    <t>The blue team scores a goal first and then people start clapping and cheering.</t>
  </si>
  <si>
    <t>Next the blue team scores another one again and the crowd goes wild.</t>
  </si>
  <si>
    <t>v_wt-PGxOkL_s</t>
  </si>
  <si>
    <t>A woman is seen bending down in front of the camera and turn on a faucet of water.</t>
  </si>
  <si>
    <t>The woman continues uses the water and begins scrubbing down a shirt and stepping in the buckets.</t>
  </si>
  <si>
    <t>More shots are shown of them cleaning the clothes and ends by hanging them up.</t>
  </si>
  <si>
    <t>v_Ls8ha6c0ye8</t>
  </si>
  <si>
    <t>a man is driving a car through a window.</t>
  </si>
  <si>
    <t>He gets a pass into a park area.</t>
  </si>
  <si>
    <t>He is shown driving, walking, and riding horses as he explores the area.</t>
  </si>
  <si>
    <t>v_c8iet_4ndU0</t>
  </si>
  <si>
    <t>A girl is jumping and swinging on balance bars.</t>
  </si>
  <si>
    <t>A woman in a black shirt is standing under her watching.</t>
  </si>
  <si>
    <t>She helps her jump off and land on a mat.</t>
  </si>
  <si>
    <t>v_9VGxxRNOdbM</t>
  </si>
  <si>
    <t>A gymnast put power chalk power on his hands and stands near the pommel horse.</t>
  </si>
  <si>
    <t>Then, the gymnast approach the pommel horse to spin around many times.</t>
  </si>
  <si>
    <t>Then, the gymnast stand on his hand and jumps to land on the floor, while people applaud.</t>
  </si>
  <si>
    <t>v_JSDZWq777Mc</t>
  </si>
  <si>
    <t>A man walks up to the side of a cabin.</t>
  </si>
  <si>
    <t>He uses a large knife to cut through the grass.</t>
  </si>
  <si>
    <t>He swings the knife back and forth, cutting the grass and weeds.</t>
  </si>
  <si>
    <t>v_xWY7A8Sf-HE</t>
  </si>
  <si>
    <t>A woman is standing on a field while people are gathered behind her.</t>
  </si>
  <si>
    <t>Several people run together, chasing each other.</t>
  </si>
  <si>
    <t>Kids are shown close up at the end.</t>
  </si>
  <si>
    <t>v_6z6iFou8nW0</t>
  </si>
  <si>
    <t>A boy in a green shirt steps on a stool to reach the sink.</t>
  </si>
  <si>
    <t>A woman stands next to him.</t>
  </si>
  <si>
    <t>The little boy washes his hands in the sink.</t>
  </si>
  <si>
    <t>She wipes the sink with a paper towel.</t>
  </si>
  <si>
    <t>The boy dries his hands with a towel.</t>
  </si>
  <si>
    <t>v_ctMcsGnutho</t>
  </si>
  <si>
    <t>A woman is seen speaking to the camera in a dealership and leads into several close ups of a car.</t>
  </si>
  <si>
    <t>The woman then presents various tools and begins taking off the tire off of the car.</t>
  </si>
  <si>
    <t>She pulls out a new tire and places it on the car, screwing it in place and showing where the tire is in the trunk.</t>
  </si>
  <si>
    <t>She closes the trunk and shows off the car while still speaking to the camera.</t>
  </si>
  <si>
    <t>v_wWOH-b4PTq4</t>
  </si>
  <si>
    <t>A large group of people are seen sitting on a beach that leads into several people sitting on sail boats and riding along.</t>
  </si>
  <si>
    <t>The various boats continue riding all along the water with the winner jumping in the water and standing proudly on the podium.</t>
  </si>
  <si>
    <t>v_h-N9TvaBax8</t>
  </si>
  <si>
    <t>woman is talking in news talking about a los angeles baseball player.</t>
  </si>
  <si>
    <t>me are in a street court playing dodgeball wearing dodgers uniform, people are watching the game and cars are passing by in the street.</t>
  </si>
  <si>
    <t>men wearing dodgers uniform are shown in pictures in a baseball field people on the terraces and the woman on the news talking about them.</t>
  </si>
  <si>
    <t>v_FrvK75jGdjE</t>
  </si>
  <si>
    <t>A child plays a violin on stage during a solo performance.</t>
  </si>
  <si>
    <t>A man watches with interest from the side of the stage.</t>
  </si>
  <si>
    <t>The girl pauses briefly then begins playing again.</t>
  </si>
  <si>
    <t>The girl lowers her violin and wand at the end of the performance.</t>
  </si>
  <si>
    <t>v_jqZg_FK2OlM</t>
  </si>
  <si>
    <t>A camera pans around a fenced in are and leads into a woman holding a paint brush.</t>
  </si>
  <si>
    <t>She brushes the side of the fence up and down while the camera continues looking around the side.</t>
  </si>
  <si>
    <t>v_DkouAjobzac</t>
  </si>
  <si>
    <t>An intro leads into a man talking and smiling into a camera and several shots of people preparing a boat and riding along the water.</t>
  </si>
  <si>
    <t>Another woman is seen talking to the camera followed by several more shots of the boat along the water and people riding and steering the boat.</t>
  </si>
  <si>
    <t>v_o1R8glzh0As</t>
  </si>
  <si>
    <t>Three men are seen walking in slow motion while another girl walks into frame and the group grab tubes from a pile.</t>
  </si>
  <si>
    <t>The people speak to the camera and are then seen sitting in the tubes and floating down a river.</t>
  </si>
  <si>
    <t>The people continuously ride down the river while bobbing back and fourth and are then seen sitting on a bus and speaking to one another.</t>
  </si>
  <si>
    <t>v_kzdRUWpBXd4</t>
  </si>
  <si>
    <t>A large group of people are seen dressed up in holiday gear and are seen throwing objects at one another.</t>
  </si>
  <si>
    <t>The people continue playing dodgeball against one another and end by dancing in the middle.</t>
  </si>
  <si>
    <t>v_6ffxjwTIZHk</t>
  </si>
  <si>
    <t>A man in a green shirt is holding some papers and talking outside.</t>
  </si>
  <si>
    <t>He starts moving some dirt next to a tree with his hand.</t>
  </si>
  <si>
    <t>He steps away from the tree and continues talking.</t>
  </si>
  <si>
    <t>v_Y53B2WdEbAg</t>
  </si>
  <si>
    <t>Several women are kneeling on the ground and working on preparing a soup.</t>
  </si>
  <si>
    <t>One of the women picks out some of the food from the grater.</t>
  </si>
  <si>
    <t>A woman slices some of the white vegetable into a yellow bowl.</t>
  </si>
  <si>
    <t>v_iFDr-o61ewo</t>
  </si>
  <si>
    <t>A little boy carries a bower on his back and blow dead leaves of a backyard.</t>
  </si>
  <si>
    <t>Then, the little boy goes to other place to blow leaves.</t>
  </si>
  <si>
    <t>After, the little boy blow leaves near a tree.</t>
  </si>
  <si>
    <t>v_Vf02ZDnbduk</t>
  </si>
  <si>
    <t>A piece of exercise equipment is put together through technology and then shown in real time.</t>
  </si>
  <si>
    <t>A person's hand turns a knob on the machine and begins running on the machine.</t>
  </si>
  <si>
    <t>Close ups of her feet are shown as well as several other angles of her running.</t>
  </si>
  <si>
    <t>v_AQSiBbhLBhs</t>
  </si>
  <si>
    <t>A woman with very long hair is standing on a balcony showing off the length of her hair.</t>
  </si>
  <si>
    <t>She turns around and faces the camera continuing to brush her hair and display its length.</t>
  </si>
  <si>
    <t>She begins to twirl and sway her hair with her back to the camera and that is when the video ends.</t>
  </si>
  <si>
    <t>v_2FcdD7WapJM</t>
  </si>
  <si>
    <t>A person is seen unscrewing a bottle of mouth wash and pouring it into a cup.</t>
  </si>
  <si>
    <t>The girl then drinks from it and swishes it around her mouth.</t>
  </si>
  <si>
    <t>She spits out the mixture and shows off pictures in the end.</t>
  </si>
  <si>
    <t>v_zLF5DSuDixg</t>
  </si>
  <si>
    <t>A compilation of shot put is put together, you see many different men getting prepared.</t>
  </si>
  <si>
    <t>They turn their bodies very quickly building up as much speed as they can before taking their shot.</t>
  </si>
  <si>
    <t>They practice and they do it professionally, it a serious sport that people really enjoy yo be a part of.</t>
  </si>
  <si>
    <t>They tend to get very excited when they do good on their throws.</t>
  </si>
  <si>
    <t>v__032TQam_mY</t>
  </si>
  <si>
    <t>A woman in a purple coat is talking.</t>
  </si>
  <si>
    <t>She starts brushing a horse with the brush.</t>
  </si>
  <si>
    <t>She cleans the bottom of the horse's foot.</t>
  </si>
  <si>
    <t>She sprays the horse's tail and starts brushing it.</t>
  </si>
  <si>
    <t>She finishes and continues talking to the camera.</t>
  </si>
  <si>
    <t>v_nfe_V3ei6ag</t>
  </si>
  <si>
    <t>A volleyball player throws the ball in the air.</t>
  </si>
  <si>
    <t>Her teammate catches it and throws it over the net.</t>
  </si>
  <si>
    <t>The volleyball player serves the ball.</t>
  </si>
  <si>
    <t>An opposing player dives to spike the ball.</t>
  </si>
  <si>
    <t>Her teammate throws the ball over the net.</t>
  </si>
  <si>
    <t>The volleyball player who dove earlier spikes the ball over the net.</t>
  </si>
  <si>
    <t>An opposing player hits the ball.</t>
  </si>
  <si>
    <t>Her teammate hits it back at her.</t>
  </si>
  <si>
    <t>The teammate spikes it over the net.</t>
  </si>
  <si>
    <t>The opposing player hits the ball.</t>
  </si>
  <si>
    <t>Her teammate throws the ball over the net to the opposing team.</t>
  </si>
  <si>
    <t>The opposing player hits the ball towards her teammate.</t>
  </si>
  <si>
    <t>Her teammate hits the ball.</t>
  </si>
  <si>
    <t>Her teammate hits the ball over the net.</t>
  </si>
  <si>
    <t>An opposing player dives and hits the ball.</t>
  </si>
  <si>
    <t>One of the teammates on the opposing team dives to catch and throw the out of bounds ball.</t>
  </si>
  <si>
    <t>v_dE1NAofn3ks</t>
  </si>
  <si>
    <t>A curler prepares to make a curling shot while being watch be other people in the arena.</t>
  </si>
  <si>
    <t>She makes the shot and lets go of the puck as the other team members chase it and sweep the ice.</t>
  </si>
  <si>
    <t>Another shot is made, and team members proceed to follow the shot and sweep the ice.</t>
  </si>
  <si>
    <t>A third shot is then made and the curlers allow the shot to knock out another puck.</t>
  </si>
  <si>
    <t>v_BII4aKnegaU</t>
  </si>
  <si>
    <t>A small group of people are seen taking a spin class together that leads into a man speaking to the camera.</t>
  </si>
  <si>
    <t>Shots of the gym are shown that lead into another cycling class with the man leading the group and still speaking to the camera.</t>
  </si>
  <si>
    <t>v_EjUMR9v_8Pg</t>
  </si>
  <si>
    <t>A man and a woman are sitting down talking on a bench in front of a wall with several rims.</t>
  </si>
  <si>
    <t>The two then stand up and begin talking and you can see that they are in a junk yard.</t>
  </si>
  <si>
    <t>Finally,they begin dancing together and do rugged hip hop dance moves suited for the environment.</t>
  </si>
  <si>
    <t>v_YPlsA_vTltk</t>
  </si>
  <si>
    <t>A girl walks in from the side and begins stomping in the room.</t>
  </si>
  <si>
    <t>The girl continues exercising and moves side to side and starts to put her foot up moving in a hip hop fashion.</t>
  </si>
  <si>
    <t>She then moves into a sort of squat of some sort and continues moving and then slides from left to right and continues dancing and crumping.</t>
  </si>
  <si>
    <t>v_DuU7OKTAmsY</t>
  </si>
  <si>
    <t>We see people floating in a lake in purple rafts.</t>
  </si>
  <si>
    <t>A person puts their feet on a rock.</t>
  </si>
  <si>
    <t>The people hit the rough water.</t>
  </si>
  <si>
    <t>We see a red canoe on the shore.</t>
  </si>
  <si>
    <t>We pan over the river.</t>
  </si>
  <si>
    <t>v_Cdmd9VB8tJI</t>
  </si>
  <si>
    <t>A man is shown washing a dog with a water hose in a backyard with several flowers.</t>
  </si>
  <si>
    <t>The camera pans around the wet dog as the man continues to wash him and he shakes off.</t>
  </si>
  <si>
    <t>He pours more shampoo on the dog and rubs the shampoo into it's fur.</t>
  </si>
  <si>
    <t>v_lKSWdEIuJtM</t>
  </si>
  <si>
    <t>A back yard area is seen that leads into several kids and older man working on a ladder.</t>
  </si>
  <si>
    <t>The group cuts hedges along the side as well as throw them into a bucket and help the older man.</t>
  </si>
  <si>
    <t>The kids continue to help the other man by gathering leaves as he pushing them back towards the front.</t>
  </si>
  <si>
    <t>v_opaWopwV74I</t>
  </si>
  <si>
    <t>A woman is sitting bent over and washing her laundry by hand in a bowl.</t>
  </si>
  <si>
    <t>Her friend comes by and talks to her and laugh before walking away again.</t>
  </si>
  <si>
    <t>She continues to scrub her clothes extensively, making sure its nice and clean before putting in another bucket.</t>
  </si>
  <si>
    <t>She washes and washes and throws them in the dry bucket when she is done.</t>
  </si>
  <si>
    <t>v_v8fS--GlXF4</t>
  </si>
  <si>
    <t>A man is seen kneeling down on the dirt when a bull comes running into the man.</t>
  </si>
  <si>
    <t>He knocks over the man and is dragged away, followed by his clip being shown again.</t>
  </si>
  <si>
    <t>Several more clips are shown of people chasing bulls and running away.</t>
  </si>
  <si>
    <t>v_v3tNh1and0U</t>
  </si>
  <si>
    <t>A swimmer swims inside of a pool.</t>
  </si>
  <si>
    <t>The swimmer is seen wearing a training snorkel.</t>
  </si>
  <si>
    <t>v_Gi55CA6ktE8</t>
  </si>
  <si>
    <t>A screen of fighters are shown and then two random images are selected.</t>
  </si>
  <si>
    <t>Once selected,the pictures move to the top corners of the screen and two people dressed in sumo uniforms stand in the middle of a round-about and begin fighting as cars travel around them.</t>
  </si>
  <si>
    <t>v_rhDxMg72ofo</t>
  </si>
  <si>
    <t>An intro begins then shows pictures of a girl standing in the bathroom with long, straight hair.</t>
  </si>
  <si>
    <t>She then begins talking to the camera while stroking her hair followed by blow drying and brushing her hair.</t>
  </si>
  <si>
    <t>She then puts lotion into her hair and breaking her hair into sections.</t>
  </si>
  <si>
    <t>She straightens each section of hair and smiles in the end.</t>
  </si>
  <si>
    <t>v_sYpC9oPhmY4</t>
  </si>
  <si>
    <t>A band is gathered outside a building.</t>
  </si>
  <si>
    <t>A leader is using a baton to instruct them.</t>
  </si>
  <si>
    <t>They are playing the drums for a small audience.</t>
  </si>
  <si>
    <t>v_V4BNtCtuSQQ</t>
  </si>
  <si>
    <t>A guy in the backyard is mowing the lawn on a hot and sunny day while a lady records and narrates.</t>
  </si>
  <si>
    <t>He starts to go in a back and forth motion as he moves the mower.</t>
  </si>
  <si>
    <t>The guy changes direction as he continues to mow.</t>
  </si>
  <si>
    <t>v_MnzVdvbvnMc</t>
  </si>
  <si>
    <t>A group of guards march down a driveway as they play the trumpets.</t>
  </si>
  <si>
    <t>A man heats a small pan with a flame.</t>
  </si>
  <si>
    <t>Three soldiers standing near watch him.</t>
  </si>
  <si>
    <t>The man grabs a paintbrush and moves it around in the pan.</t>
  </si>
  <si>
    <t>He takes the brush and brushes a shoe.</t>
  </si>
  <si>
    <t>He flames the shoe with the flame canister.</t>
  </si>
  <si>
    <t>He brushes the shoe again.</t>
  </si>
  <si>
    <t>He then flames the shoe some more.</t>
  </si>
  <si>
    <t>v_-DTxZliHCTE</t>
  </si>
  <si>
    <t>A man is mowing the lawn on a yard and laughing and making jokes with friends that are watching.</t>
  </si>
  <si>
    <t>He begins to run with the lawn mover and nearly runs into something as his friends laugh in enjoyment.</t>
  </si>
  <si>
    <t>One of his friends tries to help him as he is mowing the lawn.</t>
  </si>
  <si>
    <t>v_6aj1njn541k</t>
  </si>
  <si>
    <t>a girl is sitting in a chair talking.</t>
  </si>
  <si>
    <t>A woman walks up to the girl and wipes her earlobes.</t>
  </si>
  <si>
    <t>The woman then pierces the girl's ear.</t>
  </si>
  <si>
    <t>The girl puts her glasses on after her ears are pieced.</t>
  </si>
  <si>
    <t>v_q6bl7g5JGng</t>
  </si>
  <si>
    <t>A man is shown smiling in an image as words go over his face.</t>
  </si>
  <si>
    <t>He is in and indoor court, showing a little boy how to hit a tennis ball against the wall with a racket.</t>
  </si>
  <si>
    <t>The boy tries several times.</t>
  </si>
  <si>
    <t>v_AF8sbdPa4rE</t>
  </si>
  <si>
    <t>A man with no hands grabs a dart that is stuck to the board and walks backward.</t>
  </si>
  <si>
    <t>He then throws the dark up in the air to show it landed on the board.</t>
  </si>
  <si>
    <t>v_F5IWShcFIN4</t>
  </si>
  <si>
    <t>A storm trooper is seen speaking to the camera and leads into a camera panning around a neighbor and the man walking around.</t>
  </si>
  <si>
    <t>Many kids stop to speak to the man as well as cars stopping to speak.</t>
  </si>
  <si>
    <t>v_YBuNpnthXfE</t>
  </si>
  <si>
    <t>A large group of people are seen playing a game of tug of war with other people walking around.</t>
  </si>
  <si>
    <t>The people play back and fourth while others watching on the side.</t>
  </si>
  <si>
    <t>One group then pulls another down and ends by walking away.</t>
  </si>
  <si>
    <t>v_lsgB3WU-1r0</t>
  </si>
  <si>
    <t>A city skyline appears in front of a large river.</t>
  </si>
  <si>
    <t>Several businesses are shown from the outside.</t>
  </si>
  <si>
    <t>A fencing match commences inside a building.</t>
  </si>
  <si>
    <t>v_2fs09c8gFsk</t>
  </si>
  <si>
    <t>We see people riding bumper cars.</t>
  </si>
  <si>
    <t>The camera moves down the row to the right.</t>
  </si>
  <si>
    <t>The girl in black gets stuck the gets going.</t>
  </si>
  <si>
    <t>The cars then come to a stop.</t>
  </si>
  <si>
    <t>v_hv3tNd_6qB4</t>
  </si>
  <si>
    <t>A woman dances while another stands in the background.</t>
  </si>
  <si>
    <t>A third woman sweeps the floor.</t>
  </si>
  <si>
    <t>The second woman starts walking around with a towel under one foot.</t>
  </si>
  <si>
    <t>The first woman stops dancing and starts walking around with a towel under one foot.</t>
  </si>
  <si>
    <t>The sweeping woman stops, jumps, and waves before resuming.</t>
  </si>
  <si>
    <t>The first woman pulls items out of a cabinet and places them on the floor.</t>
  </si>
  <si>
    <t>A fourth individual is briefly shown in the doorway.</t>
  </si>
  <si>
    <t>v_rfWlK9njyzg</t>
  </si>
  <si>
    <t>The floor has a hopscotch on it.</t>
  </si>
  <si>
    <t>Someone is sitting with a lap top.</t>
  </si>
  <si>
    <t>There is a trashcan in the corner.</t>
  </si>
  <si>
    <t>A boy is playing hopscotch.</t>
  </si>
  <si>
    <t>v_3YdmY4oPE5s</t>
  </si>
  <si>
    <t>A small group of people are seen standing around a field when one lady hits a ball.</t>
  </si>
  <si>
    <t>The people continue playing crochet on the lawn while walking around.</t>
  </si>
  <si>
    <t>v_XhqFJNRt-5g</t>
  </si>
  <si>
    <t>People are walking in front of a white fence.</t>
  </si>
  <si>
    <t>Behind the fence a man is riding a horse.</t>
  </si>
  <si>
    <t>He ropes a calf and throws it down onto the ground.</t>
  </si>
  <si>
    <t>He ties the legs of the calf and stands up.</t>
  </si>
  <si>
    <t>He gets back on his horse.</t>
  </si>
  <si>
    <t>v_n-hsQkfdUk0</t>
  </si>
  <si>
    <t>A person plays tam-tam using three instruments.</t>
  </si>
  <si>
    <t>Other man plays the drums using two sticks.</t>
  </si>
  <si>
    <t>v_wSTU_jI-FRU</t>
  </si>
  <si>
    <t>A cartoon yellow character is shown running with bulls behind him.</t>
  </si>
  <si>
    <t>Several sumo wrestlers are then shown running down a track.</t>
  </si>
  <si>
    <t>A gun fires, and they run again.</t>
  </si>
  <si>
    <t>v_LSkcoamI3gw</t>
  </si>
  <si>
    <t>A man comes outside and starts shoveling the snow with his black shovel and many people drive past while he's doing it.</t>
  </si>
  <si>
    <t>In the end the camera zooms in to show what is written in the big pile of snow.</t>
  </si>
  <si>
    <t>The letters create this world known holiday phrase and that is Merry Christmas including the year 2013.</t>
  </si>
  <si>
    <t>v_ntYIITLp90k</t>
  </si>
  <si>
    <t>A man gets on his bike.</t>
  </si>
  <si>
    <t>The tire is flat and he feels it.</t>
  </si>
  <si>
    <t>He hooks the air pump up to the tire.</t>
  </si>
  <si>
    <t>Tools are sitting on a brick wall.</t>
  </si>
  <si>
    <t>He turns the bike upside down to look at the tire.</t>
  </si>
  <si>
    <t>He takes a nut off of the wheel to get the tire off.</t>
  </si>
  <si>
    <t>He uses a tool to get the tire off of the wheel.</t>
  </si>
  <si>
    <t>He pumps a pump and then fills it with water.</t>
  </si>
  <si>
    <t>He rubs chalk on the tire and puts glue on it.</t>
  </si>
  <si>
    <t>He puts the tire back on the wheel.</t>
  </si>
  <si>
    <t>He puts the air pump on and fills it with air.</t>
  </si>
  <si>
    <t>He gets on his bike and rides away.</t>
  </si>
  <si>
    <t>v_xMChLTVPzNI</t>
  </si>
  <si>
    <t>A woman is seen standing behind a counter speaking to the camera and pointing to various ingredients.</t>
  </si>
  <si>
    <t>She pours oil into a hot pan and begins mixing ingredients together in the pan.</t>
  </si>
  <si>
    <t>She boils noodles into a pot and mixes it together in the pan and serves it onto a plate.</t>
  </si>
  <si>
    <t>v_fJ7gcHxxJMM</t>
  </si>
  <si>
    <t>A girl in a one piece bathing suit begins walking on a diving board that's located in a large indoor pool area with a lot of people in the stands.</t>
  </si>
  <si>
    <t>When the girl gets to the end of the diving board she jumps and then flips and spins into the pool.</t>
  </si>
  <si>
    <t>When the girl hits the water she makes a small splash.</t>
  </si>
  <si>
    <t>v_YmVdnkDo0xQ</t>
  </si>
  <si>
    <t>A man is seen cleaning up a bathroom when a walks into frame and leads into a news article.</t>
  </si>
  <si>
    <t>A picture of a sign is shown followed by a person washing their hands as well as clips from tv shows.</t>
  </si>
  <si>
    <t>More shots are articles are shown and ends with people walking in a subway.</t>
  </si>
  <si>
    <t>v_oOYaw6-b4SY</t>
  </si>
  <si>
    <t>A blurry vision shows two people in a gym with one punching and kicking the other holding gloves.</t>
  </si>
  <si>
    <t>The two continue to move around the gym practicing their kicks and punches.</t>
  </si>
  <si>
    <t>v_9BR5LChbBLQ</t>
  </si>
  <si>
    <t>There's a black and red colored race car in a parking lot.</t>
  </si>
  <si>
    <t>A man wearing beige shorts begins cleaning the black race car with a cloth and a spray.</t>
  </si>
  <si>
    <t>He wipes the car down to make it shiny and clean.</t>
  </si>
  <si>
    <t>Both the cars are parked in the parking lot, looking clean and sparkly after a car wash.</t>
  </si>
  <si>
    <t>Information about Hand Job, mobile waterless car wash is shown on the screen.</t>
  </si>
  <si>
    <t>v_AQ2-EcbX4dE</t>
  </si>
  <si>
    <t>A small group of people are seen standing around a large horse in a barn full of hay.</t>
  </si>
  <si>
    <t>The people brush the horse all along the sides when a woman comes out back to speak to them.</t>
  </si>
  <si>
    <t>v_UB2GzjNzo3M</t>
  </si>
  <si>
    <t>A man is seen riding a bike in slow motion with a flag in the back and leads into several clips of people of all ages riding bikes.</t>
  </si>
  <si>
    <t>The people continuing riding around the dirt court while other stand ready on their bikes and interact with one another.</t>
  </si>
  <si>
    <t>v_tJcbG_HGZE8</t>
  </si>
  <si>
    <t>A glue stick is shown on a table.</t>
  </si>
  <si>
    <t>A pair of scissors is on a table.</t>
  </si>
  <si>
    <t>A person gets on a computer and prints something.</t>
  </si>
  <si>
    <t>They stick that to their door.</t>
  </si>
  <si>
    <t>v_zvXi08rTq3Y</t>
  </si>
  <si>
    <t>A man is in the car with a small boy.</t>
  </si>
  <si>
    <t>We see an orange car come into the screen followed by a gold car.</t>
  </si>
  <si>
    <t>v_vi8zTSA6bhY</t>
  </si>
  <si>
    <t>man is in a swinging make a kind of somervault on the air.</t>
  </si>
  <si>
    <t>the man makes the big jump in the air and lands in a bike and stat riding it.</t>
  </si>
  <si>
    <t>men iss swinging in a green grassy yard.</t>
  </si>
  <si>
    <t>v_ggw-70xi0dA</t>
  </si>
  <si>
    <t>A man with a red jacket and grey pants is walking across a slack line in the middle of the mountains.</t>
  </si>
  <si>
    <t>As he is trying to tight rope,he falls over and is never able to stand up.</t>
  </si>
  <si>
    <t>Although he isn't able to get up,he holds on and starts bouncing up and down upside down.</t>
  </si>
  <si>
    <t>v_65rZgGe7Zr4</t>
  </si>
  <si>
    <t>man is walking in a backyard shake the tree holds a broom and sweep the dry leaves on the floor.</t>
  </si>
  <si>
    <t>man go for a dustpan and a bag and pick up the leaves from the floor.</t>
  </si>
  <si>
    <t>v_PI_A4uJ_fsI</t>
  </si>
  <si>
    <t>A man is setting up cameras and lighting in the background for some video shoot.</t>
  </si>
  <si>
    <t>A man is on a machine standing and using only his arms and feet to move on it.</t>
  </si>
  <si>
    <t>Then a woman gets on it taking the mans place and she uses the machine.</t>
  </si>
  <si>
    <t>They are creating a commercial advertisment for television viewers.</t>
  </si>
  <si>
    <t>v_Gz0UlnBx6JU</t>
  </si>
  <si>
    <t>man is talking to the camera in a news studio and sart talking with a man that is part of a band.</t>
  </si>
  <si>
    <t>band is in a stage, men are playing drums.</t>
  </si>
  <si>
    <t>man is again in news studio with the band and man start laying drums.</t>
  </si>
  <si>
    <t>v_Ci__IRtoMOo</t>
  </si>
  <si>
    <t>We see people riding in bumper cars.</t>
  </si>
  <si>
    <t>A girl is waving frilly toy.</t>
  </si>
  <si>
    <t>A little boy in gray smiles a the camera.</t>
  </si>
  <si>
    <t>We see a man in a red hat with a boy laughing hard.</t>
  </si>
  <si>
    <t>We see a traffic jam on the right.</t>
  </si>
  <si>
    <t>We zoom in on a lady in a white shirt.</t>
  </si>
  <si>
    <t>The lady in white smiles at the camera.</t>
  </si>
  <si>
    <t>The ride ends and the people all stand up.</t>
  </si>
  <si>
    <t>v_w8lqIgJn09Y</t>
  </si>
  <si>
    <t>A man in an athletic uniform begins swinging a ball and a string around.</t>
  </si>
  <si>
    <t>He lets go and the ball hits the screen as he falls to the ground.</t>
  </si>
  <si>
    <t>The video is replayed at various speeds.</t>
  </si>
  <si>
    <t>v_Z-syOvXCc20</t>
  </si>
  <si>
    <t>A young child is seen sitting on a swing set when an older man steps behind him and pushes.</t>
  </si>
  <si>
    <t>The boy moves back and fourth on the swing and leads to the boy jumping off and the man looking surprised.</t>
  </si>
  <si>
    <t>v_dtvIQ9Pd-Bg</t>
  </si>
  <si>
    <t>We see a man and the intro scene.</t>
  </si>
  <si>
    <t>A man in a kitchen has knifes and a sharpening block.</t>
  </si>
  <si>
    <t>The man wets the block and runs a knife across two different blocks.</t>
  </si>
  <si>
    <t>The man grabs a pole and sharpens the knife on it.</t>
  </si>
  <si>
    <t>The man wipes the knife on a towel.</t>
  </si>
  <si>
    <t>The man grabs and removes a lemon.</t>
  </si>
  <si>
    <t>The man shows us an upside down pot.</t>
  </si>
  <si>
    <t>v_vPhAXENSjiw</t>
  </si>
  <si>
    <t>The cheerleading team comes out for a performance.</t>
  </si>
  <si>
    <t>A girl attempts multiple flips and sticks the landing.</t>
  </si>
  <si>
    <t>Another girls follows suit as the team works hard in the background.</t>
  </si>
  <si>
    <t>The team shows off some dance moves next and the crowd cheers.</t>
  </si>
  <si>
    <t>After some more team-flips the team poses and celebrates as the routine ends.</t>
  </si>
  <si>
    <t>Several members hug and talk.</t>
  </si>
  <si>
    <t>The judges submit their scores and the team anticipates the results.</t>
  </si>
  <si>
    <t>The team is crowned the winners of the competition.</t>
  </si>
  <si>
    <t>v_qTvZtsi-3KU</t>
  </si>
  <si>
    <t>Some women are swimming in a pool.</t>
  </si>
  <si>
    <t>They have babies in their arms as they swim.</t>
  </si>
  <si>
    <t>They are teaching the babies to go under water and hold their breaths.</t>
  </si>
  <si>
    <t>v_elW8E-9bCRQ</t>
  </si>
  <si>
    <t>Two very tall men in tuxedos are dancing outside of a store.</t>
  </si>
  <si>
    <t>People are standing back watching them do their dance.</t>
  </si>
  <si>
    <t>One of the men puts his foot out while the other turns him in circles.</t>
  </si>
  <si>
    <t>When the dance is finally over both men shake hands and wave to the crowd.</t>
  </si>
  <si>
    <t>v_nAkA1HfRwF8</t>
  </si>
  <si>
    <t>A man is seen doing flips on a soft floor while moving in slow motion.</t>
  </si>
  <si>
    <t>The man continues performing several tricks across the floor and ends with a title sequence across the screen.</t>
  </si>
  <si>
    <t>v_uXcCES4BsQ0</t>
  </si>
  <si>
    <t>Two people are seen sitting behind a counter when one moves back and fourth and prepares himself.</t>
  </si>
  <si>
    <t>The man then solves a rubix cube while a timer is going and he puts a blindfold over his eyes and a person puts paper in front.</t>
  </si>
  <si>
    <t>He solves the sube and then slams his hands down on the table.</t>
  </si>
  <si>
    <t>v_-Xl95IW5H_s</t>
  </si>
  <si>
    <t>This is a tutorial on how to start a campfire.</t>
  </si>
  <si>
    <t>It shows the campfire burning on the ground.</t>
  </si>
  <si>
    <t>It starts with the things you will need to begin with.</t>
  </si>
  <si>
    <t>A designated place and some rocks arranged in a circle to create a pit.</t>
  </si>
  <si>
    <t>Some crumpled newspaper and a lighter along with a bucket of water.</t>
  </si>
  <si>
    <t>A man begins demonstrating how to place the newspaper and twigs on top of that.</t>
  </si>
  <si>
    <t>He then creates a pyramid shaped structure.</t>
  </si>
  <si>
    <t>He takes his lighter and lights the newspaper in several places to start the fire.</t>
  </si>
  <si>
    <t>The bonfire starts burning and continues to burn.</t>
  </si>
  <si>
    <t>He adds a few more twigs to keep the flames burning.</t>
  </si>
  <si>
    <t>v_aIwFZCRFHx8</t>
  </si>
  <si>
    <t>First the people are all shown sitting in their cars in one long line.</t>
  </si>
  <si>
    <t>Then the cars get powered on and they are able to get driven.</t>
  </si>
  <si>
    <t>After the people are done driving they all get out of the cars.</t>
  </si>
  <si>
    <t>v_NpKBAtQ5M6I</t>
  </si>
  <si>
    <t>An older man with a long ponytail and a pair of glasses is outside kneeling near a bike.</t>
  </si>
  <si>
    <t>The man has a pair of blue pliers in his hand and begins fixing the chain on the bike.</t>
  </si>
  <si>
    <t>Once the chain is on,he begins moving the pedal and demonstrates how the chain is operating.</t>
  </si>
  <si>
    <t>After awhile,he stops the chain and begins to take two links out of the chain on the bike.</t>
  </si>
  <si>
    <t>As the chain begins to hang down,the man puts it back in the right place and begins to spin the back wheel and begins to talk when he is finished.</t>
  </si>
  <si>
    <t>v_5laHmakSAAg</t>
  </si>
  <si>
    <t>The video leads into several shots of people throwing impressive shots of balls landing into cups.</t>
  </si>
  <si>
    <t>Several people are shown throwing balls into a cup and the camera showing a close up.</t>
  </si>
  <si>
    <t>v_q3-S2tg4ULw</t>
  </si>
  <si>
    <t>Young boy talks to camera in front of drum set in a studio.</t>
  </si>
  <si>
    <t>Young boy plays on the drum set, and the cymbals, while intermittently speaking to the camera.</t>
  </si>
  <si>
    <t>The boy finishes up recording his drum session and returns to the camera.</t>
  </si>
  <si>
    <t>v_9PqYL4zTnxY</t>
  </si>
  <si>
    <t>A woman is in a driveway, doing tricks and stunts as she jumps rope.</t>
  </si>
  <si>
    <t>She increases speed, then stops as a man approaches her to discuss her technique.</t>
  </si>
  <si>
    <t>She then returns to demonstrating how to jump rope, and the various names of the moves.</t>
  </si>
  <si>
    <t>v_mDqiAEB4Ads</t>
  </si>
  <si>
    <t>A view from indoors show a nice ocean view then pans to a man on his knees on the ground as he grouts some tiles and the white words on the screen say "INSTALLING TILES WITH DITRA".</t>
  </si>
  <si>
    <t>The man is then shown putting spacers in between tiles and measuring.</t>
  </si>
  <si>
    <t>The man then goes to another part of the room with a white bucket and an orange cloth and is wiping down wooden floorboards.</t>
  </si>
  <si>
    <t>The man is then shown pouring powder into a large white bucket, pouring water into it then mixing the contents with a hand drill.</t>
  </si>
  <si>
    <t>The man is then in a corner of the room and he's applying the mixture onto the floorboards then puts down an orange material.</t>
  </si>
  <si>
    <t>The man is then shown cutting the tiles with a manual hand cutter while another man is helping him by holding it, the the man holding the tile takes it away and sands it.</t>
  </si>
  <si>
    <t>The man is shown once again on his hands and knees and is applying putty onto the ground or the tile, putting the tiles down, adding spacers, then measuring that it's all even with a white circular leveler.</t>
  </si>
  <si>
    <t>A low view of the tiles are shown and a man is grouting, wiping tiles down and various views of the tiled room are shown.</t>
  </si>
  <si>
    <t>v_Lfh5p8ReOYo</t>
  </si>
  <si>
    <t>A woman is seen sitting at the end of a bed taking her shoes off and then baby's feet walking.</t>
  </si>
  <si>
    <t>Shots of furniture is shown that leads into a woman speaking, followed by several people vacuuming and stepping onto the carpet.</t>
  </si>
  <si>
    <t>A person adjusts the vacuum and continues using it while the woman speaks, and leads into a man playing with a baby.</t>
  </si>
  <si>
    <t>v_vYxBAbbvSxc</t>
  </si>
  <si>
    <t>A GoPro camera is seen and then another screen appears showing that the camera has won awards.</t>
  </si>
  <si>
    <t>A camera is mounted on the helmet of a water skier and after he gets himself into position a man on a horse by a pond pull him for a ride.</t>
  </si>
  <si>
    <t>Near land he lets go and falls into the water, as he celebrates and points at the man on the horse as a dog runs by.</t>
  </si>
  <si>
    <t>A screen appears asking to submit footage to the GoPro awards.</t>
  </si>
  <si>
    <t>v__6fbXk6y8X0</t>
  </si>
  <si>
    <t>We see a man kite surfing.</t>
  </si>
  <si>
    <t>We pass a person on the beach.</t>
  </si>
  <si>
    <t>The rider falls in the water.</t>
  </si>
  <si>
    <t>Water splashes and covers the camera lens.</t>
  </si>
  <si>
    <t>The person is riding in the other direction.</t>
  </si>
  <si>
    <t>We see the sand blowing in the wind.</t>
  </si>
  <si>
    <t>v_nVk5nIE-6bM</t>
  </si>
  <si>
    <t>There are a lot of people gathered on the street to watch a parade or to be in the parade.</t>
  </si>
  <si>
    <t>There are 4 young people dressed in military attire carrying a red and white banner in a parade.</t>
  </si>
  <si>
    <t>They are then followed by a group of dancing girls that are all dressed in the same outfits that are red, white and black, but some are wearing white tops and the others are wearing red tops.</t>
  </si>
  <si>
    <t>They are then followed by a very large band that are playing different instruments and they are all in sync and one woman is enjoying it so much that she begins to dance while the band plays on.</t>
  </si>
  <si>
    <t>v_mHWQrZW6-0M</t>
  </si>
  <si>
    <t>Several people canoe down a lake interspersed with several still photos of the lake stats and features.</t>
  </si>
  <si>
    <t>Several still photos of the lake are shown which includes browned and dry weeds/marsh and calm blue water along with a shallow body of water heavy with rocks.</t>
  </si>
  <si>
    <t>Two canoes with people in them are shown in the lake.</t>
  </si>
  <si>
    <t>An art mural of a blue and yellow fish is shown along with more still shots and video of people on the lake.</t>
  </si>
  <si>
    <t>v_9GP266ETAuE</t>
  </si>
  <si>
    <t>A ball is shown swinging around followed by shots of scenery and people getting ready.</t>
  </si>
  <si>
    <t>A man records an athlete holding the ball and sitting on a bench.</t>
  </si>
  <si>
    <t>Various people are shown getting ready to perform followed by several people swinging the balls.</t>
  </si>
  <si>
    <t>Eventually several different women are shown performing the task while also warming up their throws.</t>
  </si>
  <si>
    <t>v_u0p_dBCEDs4</t>
  </si>
  <si>
    <t>We see an intro screen with arrows.</t>
  </si>
  <si>
    <t>A chef is talking while standing in front of a bow as she cooks spaghetti.</t>
  </si>
  <si>
    <t>The lady adds salt, and spaghetti to boiling water.</t>
  </si>
  <si>
    <t>The lady grabs a noodle to show how it should look when cooked.</t>
  </si>
  <si>
    <t>The lady drains the water, adds sauce, and adds some of the cook water.</t>
  </si>
  <si>
    <t>She puts it on a plate.</t>
  </si>
  <si>
    <t>We then see the black credits rolling.</t>
  </si>
  <si>
    <t>v_exhsUZg_xQA</t>
  </si>
  <si>
    <t>man is standing in a track in a roofed gym and runs to make big jumps in front of judges.</t>
  </si>
  <si>
    <t>people are in terraces watching the boy.</t>
  </si>
  <si>
    <t>man claps after the man make the jumps.</t>
  </si>
  <si>
    <t>v_4-_ZQGwppfI</t>
  </si>
  <si>
    <t>A woman is seen looking beyond the camera and showing the back of her head.</t>
  </si>
  <si>
    <t>She holds up various products and rubs them through her hair.</t>
  </si>
  <si>
    <t>She then pits up her hair while hairspraying it and feeling the texture afterwards.</t>
  </si>
  <si>
    <t>She finishes pinning up her hair and looking back at the camera.</t>
  </si>
  <si>
    <t>v_IQvSj-3BGPo</t>
  </si>
  <si>
    <t>A man and a dog are standing in the middle of the field playing while he is holding a group of Frisbees.</t>
  </si>
  <si>
    <t>The man then throws all of the frisbees and the dog runs after them several times and catches them.</t>
  </si>
  <si>
    <t>In the middle of the routine,he grabs several frisbees and gives them to the dog one by one as he kneels down in front of him.</t>
  </si>
  <si>
    <t>Several tricks are done,and then the dog appears jump roping in the field,they go back to their regular routines and the owner picks up the dog and waves to the crowd.</t>
  </si>
  <si>
    <t>v_qmar8pDP5co</t>
  </si>
  <si>
    <t>The video begins with two sumo wrestlers on a sumo stage.</t>
  </si>
  <si>
    <t>There is a large crowd spectating, and a man in the center of the ring acting as referee.</t>
  </si>
  <si>
    <t>The two sumo wrestlers throw a white powder into the ring.</t>
  </si>
  <si>
    <t>The squat and clap their hands together, while a group of men hold flags and walk around the ring.</t>
  </si>
  <si>
    <t>Two other men hold brooms as sweep up some of the powder.</t>
  </si>
  <si>
    <t>The two sumo wrestlers walk out of the ring and again throw more powder.</t>
  </si>
  <si>
    <t>They collide into one another and back away.</t>
  </si>
  <si>
    <t>They again collide into each other and begin wrestling.</t>
  </si>
  <si>
    <t>The man in black sumo shorts throws the other man out of the ring.</t>
  </si>
  <si>
    <t>They bow and the loser exits the ring.</t>
  </si>
  <si>
    <t>v_gjkK_eSIs2g</t>
  </si>
  <si>
    <t>A man is bending over picking up a heavy weight several times in a row and setting it down.</t>
  </si>
  <si>
    <t>A man is measuring another mans arm length.</t>
  </si>
  <si>
    <t>The man measures the length of the weight bar.</t>
  </si>
  <si>
    <t>v_b1D6v3kZrHM</t>
  </si>
  <si>
    <t>A man stands with a bow and arrow.</t>
  </si>
  <si>
    <t>A man shots an arrow from bow.</t>
  </si>
  <si>
    <t>The credit of the clip is shown.</t>
  </si>
  <si>
    <t>A guy talks with his mouth and hand.</t>
  </si>
  <si>
    <t>An extended hand holding a pen is shown on a split screen.</t>
  </si>
  <si>
    <t>Several arrows hit the target.</t>
  </si>
  <si>
    <t>An arrow goes through the hole of a donut.</t>
  </si>
  <si>
    <t>An arrow cuts the string holding an apple.</t>
  </si>
  <si>
    <t>An arrow goes through the hole of a CD.</t>
  </si>
  <si>
    <t>Credit of the clip is presented.</t>
  </si>
  <si>
    <t>Credits of the video are shown.</t>
  </si>
  <si>
    <t>v_QRdQ8KIVf40</t>
  </si>
  <si>
    <t>Two men play billiards while taking turns to hit the ball with a stick, while a man plays billiards alone on back.</t>
  </si>
  <si>
    <t>A man and a child walk in a living room on back the table pool.</t>
  </si>
  <si>
    <t>A woman walks with a stick next to the men.</t>
  </si>
  <si>
    <t>v_CZp3ZPTQrds</t>
  </si>
  <si>
    <t>A man is seen speaking to the camera followed by several pictures of bearded men.</t>
  </si>
  <si>
    <t>The man then begins using scissors on his face while holding up pieces of paper.</t>
  </si>
  <si>
    <t>The man continues to shave his face and ends by waving to the camera.</t>
  </si>
  <si>
    <t>v_sHx5UcQQ1kU</t>
  </si>
  <si>
    <t>A young boy is shown speaking to the camera and eventually shows his hands moving objects.</t>
  </si>
  <si>
    <t>He places the objects together and begins shaving the sides with a sharp knife.</t>
  </si>
  <si>
    <t>He continues sharpening the object and shows the knife running across his bare skin.</t>
  </si>
  <si>
    <t>v_R_EnlXwBvtA</t>
  </si>
  <si>
    <t>Two men in basketball shorts are playing racketball.</t>
  </si>
  <si>
    <t>The men continue to serve and then hit and return each other's serves.</t>
  </si>
  <si>
    <t>They take a short break after one man scores.</t>
  </si>
  <si>
    <t>They continue to play and serve.</t>
  </si>
  <si>
    <t>v_iqe_HmjojQ8</t>
  </si>
  <si>
    <t>A kickball player kicks the ball at home plate in a large arena.</t>
  </si>
  <si>
    <t>The player runs past the first base.</t>
  </si>
  <si>
    <t>The player then comes back to the first base and puts his foot on it.</t>
  </si>
  <si>
    <t>v_y-7ZKlq2UFw</t>
  </si>
  <si>
    <t>There's a guitarist in a green shirt demonstrating how to play an acoustic guitar.</t>
  </si>
  <si>
    <t>Various types of guitars made from a variety of wood are shown.</t>
  </si>
  <si>
    <t>The guitarist is strumming the guitar with his pick as he plays his music.</t>
  </si>
  <si>
    <t>There are images of the guitar store and the kinds of guitars sold scrolling through the bottom of the screen.</t>
  </si>
  <si>
    <t>The guitarist continues playing his guitar.</t>
  </si>
  <si>
    <t>v_ndET50Ccnr8</t>
  </si>
  <si>
    <t>A small group of people are seen swimming around a pool throwing a ball around while several people watch on the sides.</t>
  </si>
  <si>
    <t>The people continue throwing the ball around to one another while the camera captures the game going on.</t>
  </si>
  <si>
    <t>v_tl2RLYJUu3k</t>
  </si>
  <si>
    <t>Three martial artists with black belts do a demonstration for younger children.</t>
  </si>
  <si>
    <t>They jump and kick then bow to each other.</t>
  </si>
  <si>
    <t>v_nr34x_-K5c0</t>
  </si>
  <si>
    <t>An athletic man is swimming around on a paddle board while another man gets behind and assists him.</t>
  </si>
  <si>
    <t>He then flips the man forward and the man demonstrates how to flip yourself back over.</t>
  </si>
  <si>
    <t>They do this several more times to become more comfortable with the move.</t>
  </si>
  <si>
    <t>v_xSiT1pgUEm8</t>
  </si>
  <si>
    <t>There are six to eight people sailing down a turbulent water stream in a raft.</t>
  </si>
  <si>
    <t>They are all dressed in red gears and yellow helmets.</t>
  </si>
  <si>
    <t>They use the oars to sail themselves down the rapids.</t>
  </si>
  <si>
    <t>They are trying hard to stay afloat in the turbulent water as the boat gets bumpy sailing through the rapids.</t>
  </si>
  <si>
    <t>As they sail through they come across another group of rafters in the same rapids.</t>
  </si>
  <si>
    <t>They continue their journey through the rough water of the rapids.</t>
  </si>
  <si>
    <t>v_CKWWRS9CpTY</t>
  </si>
  <si>
    <t>A group of runners are running in a marathon.</t>
  </si>
  <si>
    <t>A man high fives a woman in a crowd.</t>
  </si>
  <si>
    <t>The crowd around them cheers.</t>
  </si>
  <si>
    <t>A woman in white hat starts walking strangely.</t>
  </si>
  <si>
    <t>Another woman in a white hat falls to the ground.</t>
  </si>
  <si>
    <t>The other woman in the hat also falls.</t>
  </si>
  <si>
    <t>They both try to get up but they keep falling down.</t>
  </si>
  <si>
    <t>One of the women starts to crawl to the finish line.</t>
  </si>
  <si>
    <t>The other woman follows her.</t>
  </si>
  <si>
    <t>A man lifts one of the women and hugs her.</t>
  </si>
  <si>
    <t>v_W3a7BIqWov4</t>
  </si>
  <si>
    <t>A person is seen laying down on a bowling alley on the floor.</t>
  </si>
  <si>
    <t>The man then begins break dancing on the floor.</t>
  </si>
  <si>
    <t>The man kics a ball down a lane and people celebrate.</t>
  </si>
  <si>
    <t>v_qCy-68g0oXw</t>
  </si>
  <si>
    <t>A man is seen standing before a ping pong table and throws a ball off into the distance.</t>
  </si>
  <si>
    <t>A man takes a drink and leads into the two playing more beer pong.</t>
  </si>
  <si>
    <t>The men throw the ball back and fourth to one another while smiling to the camera.</t>
  </si>
  <si>
    <t>v_metrvLaYO1w</t>
  </si>
  <si>
    <t>People are standing on a colorful mat.</t>
  </si>
  <si>
    <t>A woman does a karate move.</t>
  </si>
  <si>
    <t>A child standing behind her raises his hand.</t>
  </si>
  <si>
    <t>v_d40Tv56RrnA</t>
  </si>
  <si>
    <t>The camera man captures a view of a thatched roof house.</t>
  </si>
  <si>
    <t>A young girl in a black blouse and a girl in a white tank top stand in a thatched roof house watching two woman washing clothes Filipino style.</t>
  </si>
  <si>
    <t>A girl in a pink blouse and a girl in a white t-shirt wash clothes in large tubs just outside the thatched roof house.</t>
  </si>
  <si>
    <t>The camera man pans the front of the washing area while the girl in the white t-shirt rinses the clothes.</t>
  </si>
  <si>
    <t>v__ajGnJjNUX0</t>
  </si>
  <si>
    <t>An ad for Floorworks appears on the screen.</t>
  </si>
  <si>
    <t>A guest room is shown, displaying the dirty carpets.</t>
  </si>
  <si>
    <t>Men are shown replacing and repairing the floors with wooden slats that don't need glue to install.</t>
  </si>
  <si>
    <t>Final photos are shown of the new hardwood floors in the guest room.</t>
  </si>
  <si>
    <t>v_yVQBdK8VQ_I</t>
  </si>
  <si>
    <t>A girl stands at a kitchen sink and demonstrates rinsing her mouth out with Crest whitening mouthwash.</t>
  </si>
  <si>
    <t>A girl stands by a sink talking and using had gestures.</t>
  </si>
  <si>
    <t>The girl then picks up a bottle of Crest whiting mouth wash and rinses her mouth for 60 seconds.</t>
  </si>
  <si>
    <t>The woman then spits the rinse out in the sink, and proceeds to talk to the camera again.</t>
  </si>
  <si>
    <t>v_He7CDkVm_aE</t>
  </si>
  <si>
    <t>A woman stands with a child that is seated next to a counter.</t>
  </si>
  <si>
    <t>The woman applies a dry powder to the back of the girls hair and brushes in through.</t>
  </si>
  <si>
    <t>The woman get s a blow dryer and uses it while she brushes the girls hair to straighten it.</t>
  </si>
  <si>
    <t>v_tbKBKWCh6rs</t>
  </si>
  <si>
    <t>man is standing in front of a mirror spreading cream on his face.</t>
  </si>
  <si>
    <t>man is kneeling and wash her face.</t>
  </si>
  <si>
    <t>the man grabs a green towel and wipe his face.</t>
  </si>
  <si>
    <t>v_iEWe6IYVIuk</t>
  </si>
  <si>
    <t>A woman is adjusting her exercise machine.</t>
  </si>
  <si>
    <t>She adjusts the knobs and pushes the seat up.</t>
  </si>
  <si>
    <t>She then sits down on the seat and places her feet in the pedals.</t>
  </si>
  <si>
    <t>She begins to pedal slow then fast.</t>
  </si>
  <si>
    <t>v_Db6sq4DjW7E</t>
  </si>
  <si>
    <t>A coach instructs players in a basketball court.</t>
  </si>
  <si>
    <t>v_YJOoLvwqWCw</t>
  </si>
  <si>
    <t>two women are standing on a gym arm wrestling.</t>
  </si>
  <si>
    <t>in te background people are standingin the gym doing exercise.</t>
  </si>
  <si>
    <t>strong women are sitting in a chair arm wrestling.</t>
  </si>
  <si>
    <t>v_66-sCRx4QRI</t>
  </si>
  <si>
    <t>A man drives to the ocean and surfs on a surfboard, riding waves, before leaving the beach with his surfboard.</t>
  </si>
  <si>
    <t>A man gets in his truck, puts his surfboard in the back of his truck and drives.</t>
  </si>
  <si>
    <t>The man arrives at the beach, changes into a wets suit and begins to surf on a surfboard in the ocean, riding waves.</t>
  </si>
  <si>
    <t>The man then leaves the beach, in his wetsuit, with his surfboard under his arm.</t>
  </si>
  <si>
    <t>v_AIZWoAbhUTY</t>
  </si>
  <si>
    <t>a man is crouched next to a girl on the beach.</t>
  </si>
  <si>
    <t>They are putting sand into a pile.</t>
  </si>
  <si>
    <t>They are trying to build a sand castle.</t>
  </si>
  <si>
    <t>v_KOFXi1RYx_g</t>
  </si>
  <si>
    <t>An audience is sitting in the stands watching a game on the field.</t>
  </si>
  <si>
    <t>These riders get on their horses and start trying to score for their team.</t>
  </si>
  <si>
    <t>Someone makes it and one of the groups in the audience clap.</t>
  </si>
  <si>
    <t>When the game is over the riders all shake each others hands.</t>
  </si>
  <si>
    <t>v_K_AFdv3PKp0</t>
  </si>
  <si>
    <t>A man is seen using a large sander against a wall moving the machinery all along the wall.</t>
  </si>
  <si>
    <t>The man continues sanding the wall and ends with him keeping it steady.</t>
  </si>
  <si>
    <t>v_IJ2m8Bi3LVE</t>
  </si>
  <si>
    <t>Various shots are shown of a person close up wearing making and laughing at the camera.</t>
  </si>
  <si>
    <t>Various objects are then shown closely to the camera and the person pours liquid into a contact case.</t>
  </si>
  <si>
    <t>He then mixes the liquids with the contacts and puts them slowly into his eye while looking at the camera.</t>
  </si>
  <si>
    <t>He then takes his hands and pops out the contacts.</t>
  </si>
  <si>
    <t>v_3CImIarFM30</t>
  </si>
  <si>
    <t>A person's hands are seen playing in dirt while moving their hands all around the soil.</t>
  </si>
  <si>
    <t>The person continues to play around in the soil while the camera watches their hand movements.</t>
  </si>
  <si>
    <t>v_F_sbhegCsyg</t>
  </si>
  <si>
    <t>A group of people are gathered at an outdoor park.</t>
  </si>
  <si>
    <t>They are dressed up, and they get into a raft.</t>
  </si>
  <si>
    <t>They white water raft down a river together.</t>
  </si>
  <si>
    <t>v_mzxp9dHn0Rs</t>
  </si>
  <si>
    <t>A man is sitting in front of a goal blocking balls.</t>
  </si>
  <si>
    <t>People are in the stands watching the game.</t>
  </si>
  <si>
    <t>v_1KVxpHAC08g</t>
  </si>
  <si>
    <t>A young boy and girl sit next to each other.</t>
  </si>
  <si>
    <t>They are fed ice cream.</t>
  </si>
  <si>
    <t>The girl tries to eat the boys ice cream.</t>
  </si>
  <si>
    <t>The girl laughs at the end.</t>
  </si>
  <si>
    <t>v_i9Yxt2k2aWg</t>
  </si>
  <si>
    <t>Someone is sleeping on a white couch.</t>
  </si>
  <si>
    <t>They get up and do crunches on the floor.</t>
  </si>
  <si>
    <t>They stand up and walk out the door.</t>
  </si>
  <si>
    <t>v_cNvTm72aGcM</t>
  </si>
  <si>
    <t>A woman is on stage in front of a band.</t>
  </si>
  <si>
    <t>She is a belly dancer, and gyrates and shakes to the music.</t>
  </si>
  <si>
    <t>She dances slowly, dropping to the ground as she finishes.</t>
  </si>
  <si>
    <t>v_dF2p3CMDe_g</t>
  </si>
  <si>
    <t>A man wearing no shirt plays a hand drum.</t>
  </si>
  <si>
    <t>A solo man spins his body around on his hands and does cartwheels.</t>
  </si>
  <si>
    <t>Two men do a practice karate routine and dodge kicks from the other opponent.</t>
  </si>
  <si>
    <t>The men both do hand stands then come together and touch hands.</t>
  </si>
  <si>
    <t>The man does jumping flips by himself.</t>
  </si>
  <si>
    <t>The two men do jumping kicks while they spar in a karate dance.</t>
  </si>
  <si>
    <t>The man stands on his hands and bends backwards to a horizontal position.</t>
  </si>
  <si>
    <t>v__LmtW0w6ad4</t>
  </si>
  <si>
    <t>A man displays martial arts moves in a movie clip that shows the man fighting different people in several different locations in a city backdrop.</t>
  </si>
  <si>
    <t>A man is escorted into a room and left alone until he is attacked, violently, by a man who appears suddenly in the room with him, the two fight.</t>
  </si>
  <si>
    <t>The man is then shown in several other locations fighting with different men using martial arts skills until the clip fades to a marketing invitation to subscribe.</t>
  </si>
  <si>
    <t>v_wJV-kQRmaGc</t>
  </si>
  <si>
    <t>A black banner overlay with the word POWERCHALK written in white and green is across the banner.</t>
  </si>
  <si>
    <t>When the banner overlay goes away a man jumps to the end of a diving board and then does a forward front flip and flips 5 times before he dives straight into the water in the pool.</t>
  </si>
  <si>
    <t>There are a lot of spectators standing on the sidelines.</t>
  </si>
  <si>
    <t>v_SEebwJMNMQs</t>
  </si>
  <si>
    <t>A violinist is playing the violin in a music room.</t>
  </si>
  <si>
    <t>She adjusts the violin under her chin as she reads the music.</t>
  </si>
  <si>
    <t>At the end of her song she removes the violin and smiles.</t>
  </si>
  <si>
    <t>v_p4Bm_NB_QoI</t>
  </si>
  <si>
    <t>A small group of girls are first seen walking out on a gymnasium floor with several people watching on the sidelines.</t>
  </si>
  <si>
    <t>The girls then perform a routine using batons while spinning and twirling.</t>
  </si>
  <si>
    <t>They make an ending pose while the audience claps and run off to the side.</t>
  </si>
  <si>
    <t>v_hDpYoAAFwOA</t>
  </si>
  <si>
    <t>A man performs stunts on the back of a motorcycle, falls off, and injures himself at which point he falls to the ground and looks hurt.</t>
  </si>
  <si>
    <t>A man is hanging off of a moving bicycle on a down ramp.</t>
  </si>
  <si>
    <t>The man falls off of the bike and onto the ground with torn clothes.</t>
  </si>
  <si>
    <t>The camera pans the man's damaged clothes and helmet and his befallen face as he lays on the ground injured.</t>
  </si>
  <si>
    <t>v_ADbpTpH4U7s</t>
  </si>
  <si>
    <t>Various ingredients are shown laid out on a table and leads into a person putting items into a bowl.</t>
  </si>
  <si>
    <t>The person is then seen cutting up fruit and laying it into a bowl.</t>
  </si>
  <si>
    <t>She pours more liquid in and presents it to the camera.</t>
  </si>
  <si>
    <t>v_yEBiJguscMY</t>
  </si>
  <si>
    <t>Two men are playing wall ball in a room.</t>
  </si>
  <si>
    <t>There is an audience watching them play.</t>
  </si>
  <si>
    <t>The man pretends his racket is a guitar.</t>
  </si>
  <si>
    <t>v_bzZMUbtgZho</t>
  </si>
  <si>
    <t>A man is surf boarding in the ocean on a blue surf board.</t>
  </si>
  <si>
    <t>The water looks greenish blue as the surfer surfs through big waves.</t>
  </si>
  <si>
    <t>The man is surfing near a beach by some hotels.</t>
  </si>
  <si>
    <t>The surfer continues to surf through tall waves without falling off.</t>
  </si>
  <si>
    <t>v_Eo3PUIfZSJU</t>
  </si>
  <si>
    <t>A gymnast performs on the vault on front a crowd, she flips and falls from the vault.</t>
  </si>
  <si>
    <t>Then, the gymnast jumps, flips but staggers during her performance.</t>
  </si>
  <si>
    <t>The gymnast performs backward flips, then she continues with her routine.</t>
  </si>
  <si>
    <t>Next, the gymnast jumps and does a double flip and land stands on the mat.</t>
  </si>
  <si>
    <t>v_scBelfrnHoI</t>
  </si>
  <si>
    <t>A man runs and jumps in various public locations with springs on his legs while spectators watch.</t>
  </si>
  <si>
    <t>A cameraman films the man while lying on the ground.</t>
  </si>
  <si>
    <t>The man with springs jumps over another man.</t>
  </si>
  <si>
    <t>v_LWJzkihZUWA</t>
  </si>
  <si>
    <t>We see a little girl putting makeup on her face at a toy vanity.</t>
  </si>
  <si>
    <t>She closes the makeup case and opens it back up.</t>
  </si>
  <si>
    <t>She rubs the tip of the brush with her finger.</t>
  </si>
  <si>
    <t>v_uICwWvS_AOo</t>
  </si>
  <si>
    <t>Four men ride in a convertible car and drive along a desert highway.</t>
  </si>
  <si>
    <t>Two friends ride down an escalator.</t>
  </si>
  <si>
    <t>The friends stand at a card table in a casino and play hands.</t>
  </si>
  <si>
    <t>The man makes a large bet and sits down to play a few hands at the table.</t>
  </si>
  <si>
    <t>The man accumulates a large number of chips.</t>
  </si>
  <si>
    <t>The man's friends win a hand and the couple celebrates.</t>
  </si>
  <si>
    <t>The man is tracked by security personnel and cameras.</t>
  </si>
  <si>
    <t>The woman falls back if her chair to the ground and the men help her up.</t>
  </si>
  <si>
    <t>The friend playing is gone and the chair is empty.</t>
  </si>
  <si>
    <t>v_Hv3We5wjaJE</t>
  </si>
  <si>
    <t>A couple are in the flowing water of a river.</t>
  </si>
  <si>
    <t>They are sitting next to several buckets.</t>
  </si>
  <si>
    <t>They scrub clothing against the rocks, trying to clean them.</t>
  </si>
  <si>
    <t>v_GySHt3Z6Lt4</t>
  </si>
  <si>
    <t>A person light wood to make fire.</t>
  </si>
  <si>
    <t>Then, a man blow the fire, while the person puts sticks on the nascent fire.</t>
  </si>
  <si>
    <t>After, the fire starts to growth bigger and bigger while the men put sticks on top.</t>
  </si>
  <si>
    <t>v_b5GrYqt5tRQ</t>
  </si>
  <si>
    <t>A group of men are holding maracas in the their hands and playing to some Reggae music.</t>
  </si>
  <si>
    <t>One of the men begins singing in the microphone.</t>
  </si>
  <si>
    <t>The rest of the men join him in singing the chorus.</t>
  </si>
  <si>
    <t>They play the maracas as they sing the song.</t>
  </si>
  <si>
    <t>The men also dance as they sing and play the maracas The lead singer sings solo for some time while the others play their maracas.</t>
  </si>
  <si>
    <t>Then all the men join him in singing the song while playing their maracas.</t>
  </si>
  <si>
    <t>v_TiQ6P1NkPHU</t>
  </si>
  <si>
    <t>Two people are dancing in a dance studio.</t>
  </si>
  <si>
    <t>First the woman sways her hips a little bit and moves one foot behind the other.</t>
  </si>
  <si>
    <t>She also tells viewers to make eye contact with the person to make sure they're comfortable and at some point, the man spins her around in a circle and she comes back around for them to start dancing normal again.</t>
  </si>
  <si>
    <t>v_BCC6fxrmA9M</t>
  </si>
  <si>
    <t>Three men are interviewed, one of whom plays the piano and sings for the interviewer and his camera crew in a narrow hallway.</t>
  </si>
  <si>
    <t>Four men are in a room, three of whom are being interviewed by the fourth man who has blonde hair, is wearing glasses, and has a camera crew with him.</t>
  </si>
  <si>
    <t>The interviewer leads one of the men into the hallway to a piano, where the man has a seat.</t>
  </si>
  <si>
    <t>The man begins to play and sing as the camera crew, interviewer and onlookers watch, before the man ends the song, gets up and walks away.</t>
  </si>
  <si>
    <t>v_-DphPPTybSY</t>
  </si>
  <si>
    <t>We see men in a room playing pool in a tournament.</t>
  </si>
  <si>
    <t>The man in the blue shirt approaches to shoot.</t>
  </si>
  <si>
    <t>The man walks away to exchange his pool stick.</t>
  </si>
  <si>
    <t>The man in blue makes his shot.</t>
  </si>
  <si>
    <t>The man then takes another shot.</t>
  </si>
  <si>
    <t>The man takes his third shot.</t>
  </si>
  <si>
    <t>The man makes his fourth shot.</t>
  </si>
  <si>
    <t>The man makes his final shot.</t>
  </si>
  <si>
    <t>v_UkZiyYfO57g</t>
  </si>
  <si>
    <t>An intro leads into a woman speaking to the camera while several skiiers ride around her.</t>
  </si>
  <si>
    <t>The camera follows the girl riding down a snowy hill as well as riding up ski lifts and speaking again to the camera.</t>
  </si>
  <si>
    <t>Several more shots of her skiing are shown and ends with her waving to the camera and various pictures of skiers.</t>
  </si>
  <si>
    <t>v_Cu8lmHiXkUU</t>
  </si>
  <si>
    <t>Two people are seen playing a game of ping pong with one another.</t>
  </si>
  <si>
    <t>They hit the ball back and fourth across the table while people watch on the sides.</t>
  </si>
  <si>
    <t>The boys continue to play back and fourth while switching places and looking to the camera.</t>
  </si>
  <si>
    <t>v_9SiYS0SEKTw</t>
  </si>
  <si>
    <t>A person is seen standing behind a bike speaking to the camera and showing close ups of the bike.</t>
  </si>
  <si>
    <t>The person continues speaking while showing off his gear and leads into him adjusting settings on his bike.</t>
  </si>
  <si>
    <t>v_YMSMASHyl2Y</t>
  </si>
  <si>
    <t>A woman dressed in a black top is talking about American Grooming services for pets.</t>
  </si>
  <si>
    <t>She demonstrates all the various grooming services that her company provides for pets.</t>
  </si>
  <si>
    <t>There are several groomers working on dogs as they trim and shear pet hair and clip their nails.</t>
  </si>
  <si>
    <t>The groomers talk about where they have graduated from and how they got hired for the job.</t>
  </si>
  <si>
    <t>The video shows how different dogs are groomed by professional groomers that provide quality services.</t>
  </si>
  <si>
    <t>v_s_H9cTp2tT8</t>
  </si>
  <si>
    <t>Various shots of people walking around a snowy mountain are shown followed by person playing games on horses.</t>
  </si>
  <si>
    <t>Many upscale people are seen watching on the sidelines as the horse game carries on and a winner is chosen.</t>
  </si>
  <si>
    <t>The people then arrive late at night dressed up and posing for pictures.</t>
  </si>
  <si>
    <t>v_uDs0wOnwaAM</t>
  </si>
  <si>
    <t>A small group of people are all seen playing various matches of ping pong with one another down a line of tables.</t>
  </si>
  <si>
    <t>The people continuing hitting the ball back and fourth while the camera captures them from various angles and a close up of a young boy in the end.</t>
  </si>
  <si>
    <t>v_15vwVfNA99o</t>
  </si>
  <si>
    <t>a woman is sitting at a table in a fast food restaurant while eating.</t>
  </si>
  <si>
    <t>She continually speaks to nobody as she eats.</t>
  </si>
  <si>
    <t>She stands up and grabs her purse, continuing to talk and laugh as she leaves.</t>
  </si>
  <si>
    <t>v_4E89GQ2UnoQ</t>
  </si>
  <si>
    <t>We see a raft full of people in a rough river and see lots of stills.</t>
  </si>
  <si>
    <t>We see the people in shots.</t>
  </si>
  <si>
    <t>We see the title screen.</t>
  </si>
  <si>
    <t>We see a helicopter over a river.</t>
  </si>
  <si>
    <t>The raft turns over and a lady laughs.</t>
  </si>
  <si>
    <t>We see a bus driving on the street.</t>
  </si>
  <si>
    <t>We see the canyon from afar.</t>
  </si>
  <si>
    <t>We see a tunnel and a speedboat.</t>
  </si>
  <si>
    <t>We see still shots of the rafters.</t>
  </si>
  <si>
    <t>v_6d7oOG3dS-Y</t>
  </si>
  <si>
    <t>A man is seen pushing a board down into the floor to push the carpet down.</t>
  </si>
  <si>
    <t>He continues cutting around the carpet and pushing it down with a large beam.</t>
  </si>
  <si>
    <t>v_Yf49q7bGpkk</t>
  </si>
  <si>
    <t>A bull in a ring starts chasing two men.</t>
  </si>
  <si>
    <t>Several others run onto the ring, and the bull flips as they grab his horns and tail.</t>
  </si>
  <si>
    <t>They open the gate, but fail to get the bull back inside as he charges them.</t>
  </si>
  <si>
    <t>v_V9nOM1VWdnc</t>
  </si>
  <si>
    <t>A person shows and explains a lemon squeezer and shows the part were the lemon goes.</t>
  </si>
  <si>
    <t>Then, the person points to two jugs on a table.</t>
  </si>
  <si>
    <t>Next, the person puts ice in a cup, and then squeeze a lemon using the lemon squeezer, add syrup and water from jugs.</t>
  </si>
  <si>
    <t>Then, the person put a cover on the cup and shake the mix.</t>
  </si>
  <si>
    <t>v_f6NpnKJZJE0</t>
  </si>
  <si>
    <t>A woman is working out an elliptical machine.</t>
  </si>
  <si>
    <t>A person plugs a cell phone into the machine.</t>
  </si>
  <si>
    <t>v_XHuKkrKjnhQ</t>
  </si>
  <si>
    <t>city with buildings and skyscrapers are in the back and a woman holding a cake is walking and is written how to wrap gifts.</t>
  </si>
  <si>
    <t>wmoan is sitting in a table and have a box and a a gift wrap on top and its showing how to wrap the gift and talking about it.</t>
  </si>
  <si>
    <t>decoative tapes are used to make a ribbon aound the gift and is showing how to make ribbons with diferents clothes.</t>
  </si>
  <si>
    <t>v_N3xWCui6fNY</t>
  </si>
  <si>
    <t>A young girl plays an accordian.</t>
  </si>
  <si>
    <t>The girl turns her head to the right.</t>
  </si>
  <si>
    <t>The girl's playing slows.</t>
  </si>
  <si>
    <t>v_XFySa1Gc-yM</t>
  </si>
  <si>
    <t>A woman is seen curling her hair while speaking to the camera and leads into her speaking in front of judges.</t>
  </si>
  <si>
    <t>The judges critique her and she runs away happy and skipping out of the building.</t>
  </si>
  <si>
    <t>v_SjwFCog0amE</t>
  </si>
  <si>
    <t>Two men are sitting, with their shoes in view.</t>
  </si>
  <si>
    <t>A man picks up a shoe and puts it on his foot.</t>
  </si>
  <si>
    <t>He then applies the other shoe, then ties the laces.</t>
  </si>
  <si>
    <t>v_3tRTl23mhVQ</t>
  </si>
  <si>
    <t>man is chewing gum sitting on the grades.</t>
  </si>
  <si>
    <t>man is standing on ractrack holding a large pole and running to do a javelin throw.</t>
  </si>
  <si>
    <t>people is going down the stairs.</t>
  </si>
  <si>
    <t>v_UrPn5-8yNgA</t>
  </si>
  <si>
    <t>A person is shaving their legs.</t>
  </si>
  <si>
    <t>A polished hand gestures at the person shaving.</t>
  </si>
  <si>
    <t>The person lows their head to see under their leg.</t>
  </si>
  <si>
    <t>v_lidR3AK0ZzQ</t>
  </si>
  <si>
    <t>A woman is seen bending down in front of a large set of weights and begins lifting it to her shoulders.</t>
  </si>
  <si>
    <t>She then bends down and puts the weights back down to her feet.</t>
  </si>
  <si>
    <t>v_sVeC5VlDsjk</t>
  </si>
  <si>
    <t>Several pictures are shown of a beach and landscapes as well as people walking on the beach.</t>
  </si>
  <si>
    <t>Several clips are then shown of people riding along the water and surfing the waves.</t>
  </si>
  <si>
    <t>More shots are shown of people surfing in the water.</t>
  </si>
  <si>
    <t>v_s2cXljpR-xk</t>
  </si>
  <si>
    <t>A man is seen speaking to a woman outside that leads into a game of rock paper scissors.</t>
  </si>
  <si>
    <t>The girls slaps the man and he continues to play the game with several other girls on the street in various locations.</t>
  </si>
  <si>
    <t>When the man wins the girls kiss him on the cheek.</t>
  </si>
  <si>
    <t>v_306mYrvdzIk</t>
  </si>
  <si>
    <t>Four people are in a pool hitting the ball back and forth over the net.</t>
  </si>
  <si>
    <t>As they play,someone walks across the camera and then a set of boys are zoomed in on as they serve the ball.</t>
  </si>
  <si>
    <t>The ball goes out on both sides and they are forced to get out and go and get it.</t>
  </si>
  <si>
    <t>They get the large beach ball back and continue to hit it over the net to one another.</t>
  </si>
  <si>
    <t>v_M-bUoaIqtDk</t>
  </si>
  <si>
    <t>We see a person kitesufing in the sea.</t>
  </si>
  <si>
    <t>The person passes us and turns around.</t>
  </si>
  <si>
    <t>The person stops before taking off again.</t>
  </si>
  <si>
    <t>v_GehJuCIJ7AI</t>
  </si>
  <si>
    <t>five different people tosses a freebie in the air and a dog jumps and catch the freebie in his mouth, the dog then moves on to the next person and do the same thing as many people watch from a distances.</t>
  </si>
  <si>
    <t>there are two dogs now that are jumping the air catching freebies while doing tricks.</t>
  </si>
  <si>
    <t>Now there is one lady with one dog doing tricks and the dog catches the freebie as the lady toss it in the air.</t>
  </si>
  <si>
    <t>v_ruHRz56XGE4</t>
  </si>
  <si>
    <t>A man mows the grass around a tree.</t>
  </si>
  <si>
    <t>The man gets stuck and the mower turns off, and the man has to pull the igniter.</t>
  </si>
  <si>
    <t>Then, the man continues cutting the grass around the tree.</t>
  </si>
  <si>
    <t>v_Q684UQhx7yI</t>
  </si>
  <si>
    <t>A man is sitting on a bull in a gate.</t>
  </si>
  <si>
    <t>The bull is released and a man on a horse chases after it.</t>
  </si>
  <si>
    <t>The man jumps off the horse and ties the bull up.</t>
  </si>
  <si>
    <t>The man stands up and walks back to his horse.</t>
  </si>
  <si>
    <t>v_pzHDfjY-pFY</t>
  </si>
  <si>
    <t>A boy is floating in a raft as his father holds a rope attached to it.</t>
  </si>
  <si>
    <t>The boat floats away slowly, pulling the child as he stands in his raft.</t>
  </si>
  <si>
    <t>He is then pulled up toward the two men in the boat.</t>
  </si>
  <si>
    <t>v_deLpSUF1wio</t>
  </si>
  <si>
    <t>A boy is standing in the woods with another boy.</t>
  </si>
  <si>
    <t>He lights a fire, then throws it at a pile.</t>
  </si>
  <si>
    <t>The two boys stare at the pile while it burns.</t>
  </si>
  <si>
    <t>v_aqpeiIMe47Q</t>
  </si>
  <si>
    <t>chiopped vegetables are in a bowls on top of table.</t>
  </si>
  <si>
    <t>the ingredients are mixed inside a bowl together with oil, pepper and mayonnaise.</t>
  </si>
  <si>
    <t>v_6RdkwoTi-98</t>
  </si>
  <si>
    <t>A man performs a hammer throw in an outdoor area, caged in, surrounded by crowds of people watching.</t>
  </si>
  <si>
    <t>A man in a red t-shirt approaches a players circle on the ground inside of an enclosed metal fence area.</t>
  </si>
  <si>
    <t>The man spins a ball, attached to a rope, around and around.</t>
  </si>
  <si>
    <t>The man lets the ball goes and watches as it lands off screen.</t>
  </si>
  <si>
    <t>v_BTG82umu8Ug</t>
  </si>
  <si>
    <t>A young woman is practicing on a track and field track, sprinting and high jumping over a high bar and landing on her feet while three men in the background are watching her practice.</t>
  </si>
  <si>
    <t>The woman jumps again, this time sprinting a little bit faster.</t>
  </si>
  <si>
    <t>The woman jumps again with a longer run up.</t>
  </si>
  <si>
    <t>Another young woman in the background is jogging by.</t>
  </si>
  <si>
    <t>The woman jumps again with an even longer run up and adds a small skip/hop to her initial run.</t>
  </si>
  <si>
    <t>A man in the background is jogging on the field while another man stands and stretches his legs.</t>
  </si>
  <si>
    <t>The woman doesn't clear the bar perfectly and it falls off of it's poles.</t>
  </si>
  <si>
    <t>The woman jumps again with an even longer run up and a more powerful skip/hop to start her run.</t>
  </si>
  <si>
    <t>The woman jumps again with the long run up and powerful skip at the beginning.</t>
  </si>
  <si>
    <t>v_5g70tfGYWDk</t>
  </si>
  <si>
    <t>A couple of people are on an indoor tennis court.</t>
  </si>
  <si>
    <t>They lob the ball back and forth, playing a game of tennis.</t>
  </si>
  <si>
    <t>They continue playing, trying to win the game.</t>
  </si>
  <si>
    <t>v_jM0l31xZj8E</t>
  </si>
  <si>
    <t>The screen is full of white bubbles and words, while a pair of hands plays the piano.</t>
  </si>
  <si>
    <t>The bubbles and words disappear and it is just the hands moving over the keyboard.</t>
  </si>
  <si>
    <t>The hands disappear and it is just the keyboard.</t>
  </si>
  <si>
    <t>v__6TamBiyYWA</t>
  </si>
  <si>
    <t>A man appears before several targets on a back wall.</t>
  </si>
  <si>
    <t>He talks about the basics of archery.</t>
  </si>
  <si>
    <t>A woman is shown with an archery set.</t>
  </si>
  <si>
    <t>She pulls back the arrow, then shoots at her target as he talks.</t>
  </si>
  <si>
    <t>v_YAjqqbSsFTg</t>
  </si>
  <si>
    <t>A bunch of colorful flowers are shown, including their identification tags.</t>
  </si>
  <si>
    <t>A man shows bees and different breeds, including a tree.</t>
  </si>
  <si>
    <t>He teaches us how to mulch a tree properly.</t>
  </si>
  <si>
    <t>v_5wOmHw6Boj8</t>
  </si>
  <si>
    <t>A clear bottle of detergent is shown and a person begins cleaning a mug with a cloth.</t>
  </si>
  <si>
    <t>The person shows herself putting on the glove and goes back to washing the mug before finally showing her book on the product.</t>
  </si>
  <si>
    <t>v_oTKYejnHLtE</t>
  </si>
  <si>
    <t>A magazine about saxophones is shown just before a pair of hands are shown playing a saxophone.</t>
  </si>
  <si>
    <t>Multiple screens begin to appear, showing the hands playing various notes on the screen.</t>
  </si>
  <si>
    <t>The screen goes backwards until the video ends.</t>
  </si>
  <si>
    <t>v_QWFedtlPRYM</t>
  </si>
  <si>
    <t>Title screens show up on the video.</t>
  </si>
  <si>
    <t>A woman is holding a cloth in a kitchen.</t>
  </si>
  <si>
    <t>The woman begins running water in a bath tub and a sink.</t>
  </si>
  <si>
    <t>The woman washes a cloth in the sink.</t>
  </si>
  <si>
    <t>The woman lays the wet cloth on a dry one and dries it out.</t>
  </si>
  <si>
    <t>The woman puts the pair of pants on an ironing board.</t>
  </si>
  <si>
    <t>The ending credits appear.</t>
  </si>
  <si>
    <t>v_oXKrreio9hg</t>
  </si>
  <si>
    <t>A gymnast is seen standing ready with her arms up that leads into her running down and doing flips down a track into a pit.</t>
  </si>
  <si>
    <t>She puts her arms up to finish and her jumps are shown several more times in slow motion.</t>
  </si>
  <si>
    <t>v_P7bvD_CZH5M</t>
  </si>
  <si>
    <t>Several clips are shown of many people standing on a surf board and pushing themselves along the water with a paddle.</t>
  </si>
  <si>
    <t>The people continue to paddle around the water while many people are seen sitting.</t>
  </si>
  <si>
    <t>v_cSfs5ht9sro</t>
  </si>
  <si>
    <t>We see a person riding a ski lift.</t>
  </si>
  <si>
    <t>The person lifts the bar on the chair.</t>
  </si>
  <si>
    <t>The person hops off the lift and onto the slope.</t>
  </si>
  <si>
    <t>The person puts on their ski poles.</t>
  </si>
  <si>
    <t>The person skis swiftly down the ski slope.</t>
  </si>
  <si>
    <t>The person reaches the bottom of the slope and looks up.</t>
  </si>
  <si>
    <t>320 The person's hand comes to the screen to turn off the camera.</t>
  </si>
  <si>
    <t>v_8xsLp6lqijo</t>
  </si>
  <si>
    <t>A man is standing on a skateboard.</t>
  </si>
  <si>
    <t>He picks up the skateboard and holds it in his hand.</t>
  </si>
  <si>
    <t>He puts the skateboard back down and continues skateboarding.</t>
  </si>
  <si>
    <t>v_buBtMl9SUNk</t>
  </si>
  <si>
    <t>People dive in the water wearing diving suit, small and big fishes swim near the divers.</t>
  </si>
  <si>
    <t>The diver kneel on the sea floor waving their hands.</t>
  </si>
  <si>
    <t>Manta fish and a big fish swim in the water.</t>
  </si>
  <si>
    <t>The divers stands and continue swimming in the water.</t>
  </si>
  <si>
    <t>v_UZBHdQZc0ZM</t>
  </si>
  <si>
    <t>men are holding snowslides from a deposit.</t>
  </si>
  <si>
    <t>old woman is sitting on snowslide and its going down a snowy slope.</t>
  </si>
  <si>
    <t>old woman is in snowslide going down snow track.</t>
  </si>
  <si>
    <t>a man and a woman are grabing the old lady fom the back in a slide.</t>
  </si>
  <si>
    <t>different people are going down slope holding snowslides with a rope.</t>
  </si>
  <si>
    <t>old women are sitting on woodn bench talking to the camera.</t>
  </si>
  <si>
    <t>old people are sitting and standing in front of a camera posing for a picture.</t>
  </si>
  <si>
    <t>v_USaP2UCPBEc</t>
  </si>
  <si>
    <t>Text appears on the screen with a link.</t>
  </si>
  <si>
    <t>People in uniform march down the street.</t>
  </si>
  <si>
    <t>It cuts to the crowd looking on.</t>
  </si>
  <si>
    <t>A marchign band begins to walk down the street.</t>
  </si>
  <si>
    <t>Another set of uniformed people walk down the street.</t>
  </si>
  <si>
    <t>They stop and wave to the crowd.</t>
  </si>
  <si>
    <t>It goes back to the marching band.</t>
  </si>
  <si>
    <t>A horse and carriage walk down the street followed by the people in uniform.</t>
  </si>
  <si>
    <t>Two woman wave flags around.</t>
  </si>
  <si>
    <t>The rest of the people continue to march down the street.</t>
  </si>
  <si>
    <t>v_lVe-7FnfNz8</t>
  </si>
  <si>
    <t>A girl is going across monkey bars on a playground.</t>
  </si>
  <si>
    <t>She gets to the end and jumps onto the ground.</t>
  </si>
  <si>
    <t>She puts her hands up in the air.</t>
  </si>
  <si>
    <t>v_NNQQPZpzCOk</t>
  </si>
  <si>
    <t>Some women are on a boat attempting to figure out how to play shuffleboard.</t>
  </si>
  <si>
    <t>The girl makes a shuffleboard ahot and the girls all begin to celebrate.</t>
  </si>
  <si>
    <t>She continues to attempt make shots and act silly.</t>
  </si>
  <si>
    <t>She puts down the shuffleboard stick and the video ends.</t>
  </si>
  <si>
    <t>v_jqLFT1c8WS8</t>
  </si>
  <si>
    <t>Videos of several men throwing the discus are shown in turn, with the men being watched by audiences and judges, and the throws replayed in slow motion after.</t>
  </si>
  <si>
    <t>Judges are shown evaluating the distance of the one of the throws.</t>
  </si>
  <si>
    <t>Judges are once again shown evaluating the distance of one of the throws.</t>
  </si>
  <si>
    <t>v_bz9R-Xa5xqM</t>
  </si>
  <si>
    <t>A man wearing a black shirt stands in a living room with a red and black accordion.</t>
  </si>
  <si>
    <t>The musician sitting in a chair holding a black accordion and prepares to demonstrate how to play an accordion.</t>
  </si>
  <si>
    <t>The man then demonstrates playing an accordian using a brown accordion.</t>
  </si>
  <si>
    <t>v_0jeq5CeP2P0</t>
  </si>
  <si>
    <t>A kite is seen flying around the air with a person riding behind the kite on the sand.</t>
  </si>
  <si>
    <t>The camera continues to pan around the beach capturing the person flying a kite and him riding around and holding it.</t>
  </si>
  <si>
    <t>v_kOIj7AgonHM</t>
  </si>
  <si>
    <t>A person with crazy hair appears and leads into her on a space ship with gravity essentially turned off.</t>
  </si>
  <si>
    <t>She shows off the various items carried on a space craft and puts a lotion into her hair.</t>
  </si>
  <si>
    <t>She combs the lotion in thoroughly and dries off her head with a towel.</t>
  </si>
  <si>
    <t>She points to the camera and combs through her hair one last time.</t>
  </si>
  <si>
    <t>v_kXP1tgr476c</t>
  </si>
  <si>
    <t>This man is sitting outdoors polishing another man's shoes and neither one of their faces are shown.</t>
  </si>
  <si>
    <t>The man is sitting on the ground and he is using a brown towel to polish the man's shoes.</t>
  </si>
  <si>
    <t>He also puts liquid onto a small brush and he puts it on the man's shoes.</t>
  </si>
  <si>
    <t>v_5DBzvN5Qe_0</t>
  </si>
  <si>
    <t>A girl does flips in front of a room full of children.</t>
  </si>
  <si>
    <t>She uses a hula hoop to go in circles.</t>
  </si>
  <si>
    <t>She acts silly as she demonstrates how she can use the hula hoop.</t>
  </si>
  <si>
    <t>v_Ay6oxBYCSnU</t>
  </si>
  <si>
    <t>Several players are on an ice rink.</t>
  </si>
  <si>
    <t>They are playing hockey against each other.</t>
  </si>
  <si>
    <t>One team scores a goal.</t>
  </si>
  <si>
    <t>Everyone cheers about the goal.</t>
  </si>
  <si>
    <t>v_Mx-rOsiQTos</t>
  </si>
  <si>
    <t>We see a man get in riding leaf blower.</t>
  </si>
  <si>
    <t>We see the leaves being blown on the ground.</t>
  </si>
  <si>
    <t>We see a pipe on the machine.</t>
  </si>
  <si>
    <t>We return to seeing the leaves being blown.</t>
  </si>
  <si>
    <t>We see leaves blowing in the street.</t>
  </si>
  <si>
    <t>v_cy-RLevyo_8</t>
  </si>
  <si>
    <t>From the roof we see the street where a car is parked and a man standing on the room the man begins to pry up roof shingles.</t>
  </si>
  <si>
    <t>The man adds a fixed piece of shingles and nails hem down.</t>
  </si>
  <si>
    <t>The man finishes and walks away.</t>
  </si>
  <si>
    <t>We see the ruck on the street for the roofing company.</t>
  </si>
  <si>
    <t>v_KYN1NR7l2zQ</t>
  </si>
  <si>
    <t>This man is shown standing in the water wearing his pool cap and his goggles are on top of his forehead.</t>
  </si>
  <si>
    <t>He then puts on the goggles on and shows us a couple of swimming techniques in the water and he goes back to talking.</t>
  </si>
  <si>
    <t>v_m34BYRanODU</t>
  </si>
  <si>
    <t>A woman talks in a backyard wearing loose clothes.</t>
  </si>
  <si>
    <t>The woman exercise stepping on the mat.</t>
  </si>
  <si>
    <t>v_2DvHUEFc5VA</t>
  </si>
  <si>
    <t>two men are sitting in front of a counter in a kitchen.</t>
  </si>
  <si>
    <t>men start mixing a cake.</t>
  </si>
  <si>
    <t>man is in the kitchen and pour some ingredients inside a cooking pot and mix them while is boiling water and put the pot on top of the boiled water.</t>
  </si>
  <si>
    <t>man start mixing in a kitchen aid and create a white cream.</t>
  </si>
  <si>
    <t>v_6Ik0MQ53FBU</t>
  </si>
  <si>
    <t>A large group of people are seen standing around a beach as well as several shots of cars and people riding bulls.</t>
  </si>
  <si>
    <t>Various people ride the bulls and sit in the cars as well as end with a game of volleyball and celebrating.</t>
  </si>
  <si>
    <t>v_O_StqLLpAVI</t>
  </si>
  <si>
    <t>A bike with a deflated tire goes through the dirt.</t>
  </si>
  <si>
    <t>A man gets off the bike to look at it.</t>
  </si>
  <si>
    <t>He removes the tire from the bike.</t>
  </si>
  <si>
    <t>He replaces the tube of the tire and fixes the bike.</t>
  </si>
  <si>
    <t>v_Pu85El6jhao</t>
  </si>
  <si>
    <t>A man in a red wet suit is sitting on a float talking casually.</t>
  </si>
  <si>
    <t>Next to hime are many other people on their own floats, just relaxing.</t>
  </si>
  <si>
    <t>They are floating through the river passing all the green scenery.</t>
  </si>
  <si>
    <t>The man in the red wet suit is leading the way.</t>
  </si>
  <si>
    <t>v_B3ZVUyLeT84</t>
  </si>
  <si>
    <t>A boy surfs in a big wave.</t>
  </si>
  <si>
    <t>A group of people lye down on surfboards in a wave.</t>
  </si>
  <si>
    <t>Suddenly, a boy stands an surf below the wave.</t>
  </si>
  <si>
    <t>Men stand in the beach holding surfboards.</t>
  </si>
  <si>
    <t>v_UVxXr_mh5BM</t>
  </si>
  <si>
    <t>A picture of a young lady's bun is shown and then the lady then appears.</t>
  </si>
  <si>
    <t>She begins by braiding one side of her hair and then twists it down and does the same thing on the other side.</t>
  </si>
  <si>
    <t>With one twist,she pulls it up and bobby pins it together with the other side following.</t>
  </si>
  <si>
    <t>The hair style is then complete and she more pictures are shown again of the finish product.</t>
  </si>
  <si>
    <t>v_cwCNZAsvf8U</t>
  </si>
  <si>
    <t>A females left leg and foot is in a bathtub as the lady shaves her leg.</t>
  </si>
  <si>
    <t>Once she is done with the front,she turns her legs to the left and right and shaves the sides in an upward motion.</t>
  </si>
  <si>
    <t>v_8YTuNZ-mIaY</t>
  </si>
  <si>
    <t>A large group of men in uniform are gathered around to play some paintball.</t>
  </si>
  <si>
    <t>They start to run off and everyone is sneaking around trying to catch and shoot other people without getting caught.</t>
  </si>
  <si>
    <t>The field they are playing on is pretty cool, it has a lot of different hiding places.</t>
  </si>
  <si>
    <t>in the end they all take of most of their head gear and start walking back together.</t>
  </si>
  <si>
    <t>v_FZix27qFZTc</t>
  </si>
  <si>
    <t>A man paints a hose on front a fence in a backyard.</t>
  </si>
  <si>
    <t>The man paint the fence from up to down.</t>
  </si>
  <si>
    <t>v_VNROQWtYhlw</t>
  </si>
  <si>
    <t>There's a woman dressed in a sparkly golden dress is eating a Magnum chocolate truffle ice cream bar.</t>
  </si>
  <si>
    <t>She talks about her favorite flavor being chocolate.</t>
  </si>
  <si>
    <t>She takes a bite off the ice cream bar as she savors the rich flavor.</t>
  </si>
  <si>
    <t>She answers questions about needing to have down time as an actor and enjoying her favorite ice cream bar.</t>
  </si>
  <si>
    <t>The video ends with a decadent chocolate ice cream bar being drizzled with rich chocolate.</t>
  </si>
  <si>
    <t>v_b0QGh__f7lU</t>
  </si>
  <si>
    <t>An older man is seen laughing to the camera and playing a large set of bongo drums.</t>
  </si>
  <si>
    <t>He continues playing along faster and faster and finishes by slapping the drum one final time.</t>
  </si>
  <si>
    <t>v_aRdqcOaBvjk</t>
  </si>
  <si>
    <t>A person is seen close up riding on the back of a bike shooting a paint ball off into the distance.</t>
  </si>
  <si>
    <t>Several shots are shown of people riding around in cars shooting paint balls at one another.</t>
  </si>
  <si>
    <t>The people continue riding around on machines and jumping over obstacles.</t>
  </si>
  <si>
    <t>v_LQAFcEvifrU</t>
  </si>
  <si>
    <t>A camera pans around the inside of a car looking out showing other cars driving around.</t>
  </si>
  <si>
    <t>The car begins moving while looking around the sandy area and showing people inside the car.</t>
  </si>
  <si>
    <t>The camera leads into shots of people riding around on camels and leads into shots of people riding on the camels.</t>
  </si>
  <si>
    <t>v_mM6F8DppWcQ</t>
  </si>
  <si>
    <t>A person skateboard down to the ramp, a woman is shown in the phone's screen and then a man.</t>
  </si>
  <si>
    <t>A boy rollerskate down the white railings as two other men walked up to him to give him high five.</t>
  </si>
  <si>
    <t>A young man in blue top roller blades in the railing and give high fives to his peers.</t>
  </si>
  <si>
    <t>v_3w5xIOwFUXU</t>
  </si>
  <si>
    <t>A small group of people are seen standing around table speaking and laughing to one another.</t>
  </si>
  <si>
    <t>Two men then drink out of ice containers and lead into more people drinking out of the containers.</t>
  </si>
  <si>
    <t>One team finishes before the other and everyone celebrates.</t>
  </si>
  <si>
    <t>v_O1XzCrHZm34</t>
  </si>
  <si>
    <t>There are many women in a gym, wearing boxing gloves and athletic gear punching on hanging bags.</t>
  </si>
  <si>
    <t>The camera pans to show a wall and the words "iLoveKickboxing dot com" is on the wall along with a logo that includes a heart with wings and boxing gloves hanging from the bottom of the right wing.</t>
  </si>
  <si>
    <t>The room pans back to the rest of the room and continues to show many women still punching the hanging punching bags.</t>
  </si>
  <si>
    <t>v_RgeVltfPDXQ</t>
  </si>
  <si>
    <t>Children swings a broom handle at a pinata in a backyard.</t>
  </si>
  <si>
    <t>The boy breaks the pinata open and candy spills on the ground.</t>
  </si>
  <si>
    <t>A woman runs up and adjusts the pinata.</t>
  </si>
  <si>
    <t>A woman runs up to get the broom stick but dodges to not get hit by the blindfolded child.</t>
  </si>
  <si>
    <t>The woman guides the boy up who is blindfolded toward the tree.</t>
  </si>
  <si>
    <t>v_JvP1O8ZIL3A</t>
  </si>
  <si>
    <t>A woman is seen standing behind another woman sitting in a chair and begins styling her hair.</t>
  </si>
  <si>
    <t>The woman brushes and parts her hair ad begins braiding the hair and pinning it in several locations.</t>
  </si>
  <si>
    <t>The woman shows off her finished hair do while looking and smiling to the camera.</t>
  </si>
  <si>
    <t>v_jhiJUgDpwFw</t>
  </si>
  <si>
    <t>A young girl is at a park and grabbing and hanging on triangles that are hanging and makes her way going forward and across 7 triangles.</t>
  </si>
  <si>
    <t>As soon as she reaches the end she goes back 3 triangles without turning around and then turns herself around on the 4th triangle and continues back to where she started .</t>
  </si>
  <si>
    <t>The young girl jumps down on the platform, smiles and waves.</t>
  </si>
  <si>
    <t>v_dG8fhIBgx9k</t>
  </si>
  <si>
    <t>A girl with two braids going down her back is standing outside.</t>
  </si>
  <si>
    <t>She turns toward the camera, and her hair is now down.</t>
  </si>
  <si>
    <t>She lays in a stylist chair, showing how the style was done.</t>
  </si>
  <si>
    <t>v_ACki-MP9qdQ</t>
  </si>
  <si>
    <t>This woman is showing viewers how she makes a cheesecake shot.</t>
  </si>
  <si>
    <t>First she puts 3 quarters of an ounce of Baileys and the same amount of pineapple juice.</t>
  </si>
  <si>
    <t>Then she puts a quarter ounce of another liquid and she gets a 2 ounce shot glass and strains the drink from the ice in the shaker to put it into the glass.</t>
  </si>
  <si>
    <t>v_knHJztfWFrA</t>
  </si>
  <si>
    <t>Two men are shown standing in a recording studio playing instruments.</t>
  </si>
  <si>
    <t>One is playing the guitar while the other plays the flute together.</t>
  </si>
  <si>
    <t>They finish their song and one gives a hand gesture to the camera while the other smiles.</t>
  </si>
  <si>
    <t>v_SHZ9fsusMGc</t>
  </si>
  <si>
    <t>A man is holding a rubiks cube.</t>
  </si>
  <si>
    <t>He then starts to turn it.</t>
  </si>
  <si>
    <t>He stops and looks it over.</t>
  </si>
  <si>
    <t>Eventually he solves it and shows his time.</t>
  </si>
  <si>
    <t>v_xfNYfCAlkM4</t>
  </si>
  <si>
    <t>A boy shows up on the screen and gets a cup of water and gargles it.</t>
  </si>
  <si>
    <t>He smiles and walks off the screen for a moment.</t>
  </si>
  <si>
    <t>He returns and continues gragling and laughing.</t>
  </si>
  <si>
    <t>A man comes onto the screen and invites people to subscribe to his videos.</t>
  </si>
  <si>
    <t>v_IWHER8iS1B4</t>
  </si>
  <si>
    <t>woman is talking to the camera.</t>
  </si>
  <si>
    <t>kids are running in stage and jumping the rope.</t>
  </si>
  <si>
    <t>kids are siting on court watching the skipping rope competition.</t>
  </si>
  <si>
    <t>v_yqFdxxWgvh8</t>
  </si>
  <si>
    <t>A woman puts ice in a glass.</t>
  </si>
  <si>
    <t>She dumps a bottle into the glass and adds juice.</t>
  </si>
  <si>
    <t>She stirs the drink and sets it down on the counter.</t>
  </si>
  <si>
    <t>v_PAhJqXTzCOU</t>
  </si>
  <si>
    <t>A man wearing a green cap sits in a car holding a coffee cup talking.</t>
  </si>
  <si>
    <t>He sets the camera on his dashboard and continues talking.</t>
  </si>
  <si>
    <t>He holds the coffee and takes several sips.</t>
  </si>
  <si>
    <t>He continues talking while holding the cup in his hand.</t>
  </si>
  <si>
    <t>v_RP_PlV5Jzuc</t>
  </si>
  <si>
    <t>A close up of a horse is shown tied to a fence when a man walks in with a reef blower and pushing it towards the horses.</t>
  </si>
  <si>
    <t>He moves all around the animals flowing the air on their fur as the horses move around.</t>
  </si>
  <si>
    <t>v_toeGFZLoeHU</t>
  </si>
  <si>
    <t>A man, wearing a kilt and white t-shirt plays the bagpipes while standing outside of a shopping strip parking lot, as cars pass by.</t>
  </si>
  <si>
    <t>A man stands outside next to a yellow fire hydrant and plays the bagpipes as cars pass.</t>
  </si>
  <si>
    <t>The man moves closer to the cars or the edge of the sidewalk as he plays.</t>
  </si>
  <si>
    <t>The man continues to play bagpipes on the sidewalk until the scene fades to black.</t>
  </si>
  <si>
    <t>v_nypn_gYS8Ik</t>
  </si>
  <si>
    <t>A woman is combing her hair while looking into the camera.</t>
  </si>
  <si>
    <t>She then brushes her bangs straight.</t>
  </si>
  <si>
    <t>She continues brushing with the comb and her hand.</t>
  </si>
  <si>
    <t>v_PgS2F7NxNBg</t>
  </si>
  <si>
    <t>A man is standing outside of a wall with some sort of machine machine and begins talking.</t>
  </si>
  <si>
    <t>The man takes the hose and pressure washes the fence before caulking it.</t>
  </si>
  <si>
    <t>He then gets on his knees and adds spray paint to the machine and paints the wall.</t>
  </si>
  <si>
    <t>Finally,he goes back to the wall with his paint brush and fills in the missing spaces.</t>
  </si>
  <si>
    <t>v_8VPiqCCOPWg</t>
  </si>
  <si>
    <t>A woman is seen diving through colorful banners.</t>
  </si>
  <si>
    <t>The outside of a building is shown.</t>
  </si>
  <si>
    <t>We see a scoreboard, then women being prepped for swimming by their coaches.</t>
  </si>
  <si>
    <t>The women take turns diving off the high board, flipping as they go.</t>
  </si>
  <si>
    <t>The winner poses with a medal as everyone claps.</t>
  </si>
  <si>
    <t>v_Y_sVqGm8AyU</t>
  </si>
  <si>
    <t>A woman gets her belly button clamped with a white clamp.</t>
  </si>
  <si>
    <t>She then gets her belly button pierced.</t>
  </si>
  <si>
    <t>The person removes the clamp and wipes it with a towel.</t>
  </si>
  <si>
    <t>v_xJ3KAhVRr8c</t>
  </si>
  <si>
    <t>They are using steppers for exercising.</t>
  </si>
  <si>
    <t>They jumping and climb back and forth over the steppers.</t>
  </si>
  <si>
    <t>v_gvHcfC9snJA</t>
  </si>
  <si>
    <t>A woman in a white shirt is dancing.</t>
  </si>
  <si>
    <t>She holds a curling iron in her hair.</t>
  </si>
  <si>
    <t>She takes the curling iron out of her hair.</t>
  </si>
  <si>
    <t>v_sV4vBuWGJng</t>
  </si>
  <si>
    <t>The video shows a tutorial from Howcast on how to create volume in a haircut.</t>
  </si>
  <si>
    <t>A lady hair dresser wearing a green shirt and pants is demonstrating a haircut on a model wearing a black tank top.</t>
  </si>
  <si>
    <t>She shows how to section the lady's hair and cuts the hair in a slanting manner.</t>
  </si>
  <si>
    <t>She explains how this technique helps in creating extra volume in the crown of the head.</t>
  </si>
  <si>
    <t>v_cb5Xy7k7z1w</t>
  </si>
  <si>
    <t>A young girl and gymnast performs a gymnastic exercise on the balancing beam at a professional sports event in front of many photographers and an audience in the stands.</t>
  </si>
  <si>
    <t>A young gymnast in a blue outfit stands in front of a balance beam, jumps on it and begins to perform a routine involving flips.</t>
  </si>
  <si>
    <t>The girl performs several flips on the balance beam and high jumps using her arms to balance her stance before performing one final flip off of the beam and sticking the landing after which she walks hugs a coach before looking at the scoreboard and talking briefly with a man seated in a white chair.</t>
  </si>
  <si>
    <t>v_02WlEYafQ9Q</t>
  </si>
  <si>
    <t>Several people white water raft and kayak in large inflatable rafts and kayaks on a violent, narrow, body of water surrounded by large rocks.</t>
  </si>
  <si>
    <t>A group of people on a blue water raft paddle against a violent stream/body of water.</t>
  </si>
  <si>
    <t>Several lone people paddle in small kayaks against the same violent water.</t>
  </si>
  <si>
    <t>A person navigates the rocky waves in a large water raft.</t>
  </si>
  <si>
    <t>The rafters and kayakers continue to fight the force of the water as the scene face to a positivity mantra and then to black.</t>
  </si>
  <si>
    <t>v_OFn-c_XvIhU</t>
  </si>
  <si>
    <t>An suv full of friends drives out of a parking lot and onto a resort.</t>
  </si>
  <si>
    <t>A young girl who was in the car steps out of the car.</t>
  </si>
  <si>
    <t>The group of friends scuba dive among fishes in a large pool.</t>
  </si>
  <si>
    <t>They leave the pool excited and happy.</t>
  </si>
  <si>
    <t>One of the girls who was on the trip gives the trip a thumbs up.</t>
  </si>
  <si>
    <t>v_3j4OdbgaoAM</t>
  </si>
  <si>
    <t>A man is seen hosting a new segment that leads into a large group of people standing and marching around a field.</t>
  </si>
  <si>
    <t>People are then seen riding around on horses playing a game with one another.</t>
  </si>
  <si>
    <t>Players speak to the camera as well as the audience and ends with a team standing all together.</t>
  </si>
  <si>
    <t>v_k5wjc4OO1XM</t>
  </si>
  <si>
    <t>A man pours an egg into a small pan.</t>
  </si>
  <si>
    <t>He sets the pan onto a stove.</t>
  </si>
  <si>
    <t>He dumps the food out onto a plate.</t>
  </si>
  <si>
    <t>v_3osNjmYjTGg</t>
  </si>
  <si>
    <t>A man pole vaults over a rope on a track of a sporting field.</t>
  </si>
  <si>
    <t>The man just barely makes his body over the rope.</t>
  </si>
  <si>
    <t>v_rBGdFwbG118</t>
  </si>
  <si>
    <t>A man wearing glasses is talking in a parking lot.</t>
  </si>
  <si>
    <t>He walks into a car wash, where a green substance is being sprayed on the cars.</t>
  </si>
  <si>
    <t>The soap is then rinsed away with hoses.</t>
  </si>
  <si>
    <t>v_E7NTSqMgx44</t>
  </si>
  <si>
    <t>A large marching band is seen walking down a street with a large group of people standing around and watching.</t>
  </si>
  <si>
    <t>The people continue marching and the camera ends with a credit scene.</t>
  </si>
  <si>
    <t>v_uBT9n8wOKP4</t>
  </si>
  <si>
    <t>A young child is seen wearing ear pieces on his head and blowing around the grass.</t>
  </si>
  <si>
    <t>He is holding a large machine and is seen pushing it all around the yard.</t>
  </si>
  <si>
    <t>He pauses for a moment to play with the grass, followed by him working more.</t>
  </si>
  <si>
    <t>v_mnv-Qz4QDfU</t>
  </si>
  <si>
    <t>A group of girls are gathered in a room.</t>
  </si>
  <si>
    <t>They are shown in a series of images posing together.</t>
  </si>
  <si>
    <t>We also several several boys posing before playing a game of foosball.</t>
  </si>
  <si>
    <t>v_kk1Iqyox4c8</t>
  </si>
  <si>
    <t>A man walks up to a microphone while playing the sax.</t>
  </si>
  <si>
    <t>A group of baseball players wait on the field.</t>
  </si>
  <si>
    <t>The man continues to play the saxophone for the crowd.</t>
  </si>
  <si>
    <t>v_kUTDgJmoRE8</t>
  </si>
  <si>
    <t>There's a young main in a white tank top and beige shorts practicing dancing with a woman wearing a gray shirt and blue shorts.</t>
  </si>
  <si>
    <t>They are practicing dancing in their living room with a flat screen television hanging on the wall.</t>
  </si>
  <si>
    <t>They are holding hands as they twirl around and dance.</t>
  </si>
  <si>
    <t>v_2PBdNJcQcp4</t>
  </si>
  <si>
    <t>They are swinging their hips from side to side.</t>
  </si>
  <si>
    <t>The dance is supposed to be sexy.</t>
  </si>
  <si>
    <t>They form a line as they dance.</t>
  </si>
  <si>
    <t>They turn their backs to the audience and dance.</t>
  </si>
  <si>
    <t>The lights go down.</t>
  </si>
  <si>
    <t>The dance is over.</t>
  </si>
  <si>
    <t>v_Nh-RdjyfGNA</t>
  </si>
  <si>
    <t>People stand and talk at a tables.</t>
  </si>
  <si>
    <t>Teams of players play beach soccer.</t>
  </si>
  <si>
    <t>A player scores a goal with the soccer ball.</t>
  </si>
  <si>
    <t>v_YRp5nE0Hlsc</t>
  </si>
  <si>
    <t>The screen is black and we see a ballerina dance across the stage spilling feathers.</t>
  </si>
  <si>
    <t>The person moves it's head like a chicken.</t>
  </si>
  <si>
    <t>The person does a shuffle and dance then falls to the ground before getting up and dancing more.</t>
  </si>
  <si>
    <t>The person puts their hands in a prayer pose.</t>
  </si>
  <si>
    <t>The person picks up feathers off the ground and sprinkles them around then dances and falls to the ground and the scene ends.</t>
  </si>
  <si>
    <t>v_56McYSkE4uQ</t>
  </si>
  <si>
    <t>A person is seen sitting behind a table solving a rubix cube while a timer records her.</t>
  </si>
  <si>
    <t>Two men are seen standing around her and write things down when the girl eventually finishes.</t>
  </si>
  <si>
    <t>v_JJ0jtr07EGE</t>
  </si>
  <si>
    <t>People are sitting and driving in a bunch of bumper cards on a track.</t>
  </si>
  <si>
    <t>They slam and bump into each other, having fun.</t>
  </si>
  <si>
    <t>v_r8qq4rU0tPE</t>
  </si>
  <si>
    <t>A large mountain covered in snow with scarce trees is visible.</t>
  </si>
  <si>
    <t>Someone begins skiing and then a man in an orange snow suit begins talking.</t>
  </si>
  <si>
    <t>The person continues skiing and then two males appear talking to one another.</t>
  </si>
  <si>
    <t>The person skiing then goes from the top of the mountain to the bottom and then hides behind a boulder of ice.</t>
  </si>
  <si>
    <t>v_dTZZq23pYFY</t>
  </si>
  <si>
    <t>Two reporters report on a story about drinking too much coffee on a live news telecast.</t>
  </si>
  <si>
    <t>A dark haired woman reporter talks on camera before the camera cuts to a blonde haired reporter also talking on camera.</t>
  </si>
  <si>
    <t>The camera cuts to video of a coffee cup being filled with coffee while a written template explaining what the story is about appears beneath the cup.</t>
  </si>
  <si>
    <t>The camera then cuts to a four person news panel of people talking on camera.</t>
  </si>
  <si>
    <t>v_9eJgsiS3xH8</t>
  </si>
  <si>
    <t>sailboat is in open sea with some people standing on it.</t>
  </si>
  <si>
    <t>men are siting on te sailboat and are driving it and talking to each other.</t>
  </si>
  <si>
    <t>v_B7Q1egUKmZg</t>
  </si>
  <si>
    <t>A group of children play and practice basketball throws and techniques in an interior gym in front of coaches and other children.</t>
  </si>
  <si>
    <t>A group of children take turns throwing orange and white balls in the net and running up to the net as well.</t>
  </si>
  <si>
    <t>The coaches trail them as they play, at time, trying to block the throws using the hands.</t>
  </si>
  <si>
    <t>v_inbkDgHuRrY</t>
  </si>
  <si>
    <t>A man is seen speaking to the camera while it pans around the area and he climbs into a machine.</t>
  </si>
  <si>
    <t>He uses the machine to rip up the roof and ends with a close up of the machine.</t>
  </si>
  <si>
    <t>v_kFmOtf_Ew1w</t>
  </si>
  <si>
    <t>Several clips are shown of people swimming in the water leading into a woman looking at the camera and still moving around under the water.</t>
  </si>
  <si>
    <t>The woman continues floating in the water followed by grabbing a boogie board and performing various moves around the water.</t>
  </si>
  <si>
    <t>v_ZEgmWaMa9PU</t>
  </si>
  <si>
    <t>Several shots of landscapes are shown that pan back from people standing on a bridge.</t>
  </si>
  <si>
    <t>Shots are shown of people jumping off the side of the bridge while the camera captures more landscapes.</t>
  </si>
  <si>
    <t>Several more people are seen lined up watching that lead into more people jumping off the side.</t>
  </si>
  <si>
    <t>v_7aydawW3AfE</t>
  </si>
  <si>
    <t>A little girl is sitting on a bed with her eyes closed.</t>
  </si>
  <si>
    <t>A woman kneels down and puts eye liner on the girl.</t>
  </si>
  <si>
    <t>The girl opens her eye and smiles.</t>
  </si>
  <si>
    <t>v_tRgK4fFA8sE</t>
  </si>
  <si>
    <t>A person repairs a bike chain and installs the chain on a bike interspersed with an image of a woman talking.</t>
  </si>
  <si>
    <t>A woman looks into a camera and smiles while talking before the scene cuts away to a pair of hands working on a bike chain.</t>
  </si>
  <si>
    <t>A pair of hands work on a bike chain with tools and bolts.</t>
  </si>
  <si>
    <t>The hands install the chain on a blue bike on a dirt ground surface.</t>
  </si>
  <si>
    <t>v_Z0GbQKiufUE</t>
  </si>
  <si>
    <t>A woman holding towels talks to the camera.</t>
  </si>
  <si>
    <t>The woman wipes the window behind her with a towel.</t>
  </si>
  <si>
    <t>The woman sprays a liquid on the window.</t>
  </si>
  <si>
    <t>The woman resumes wiping the window.</t>
  </si>
  <si>
    <t>The woman returns to talking to the camera.</t>
  </si>
  <si>
    <t>v_bPw2rvCjXUE</t>
  </si>
  <si>
    <t>Two boys perform arm wrestling while people are watching, suddenly the boys free their hands.</t>
  </si>
  <si>
    <t>After, they continue competing, then the boy wearing purple t-shirt fold the hand of his rival.</t>
  </si>
  <si>
    <t>After, the continue performing arm wrestling and then free again the hands.</t>
  </si>
  <si>
    <t>v_XyZoiuga6vw</t>
  </si>
  <si>
    <t>A man in blue stands in an auditorium.</t>
  </si>
  <si>
    <t>He does gymnastics on some equipment.</t>
  </si>
  <si>
    <t>People are watching from the stands.</t>
  </si>
  <si>
    <t>He spins his body about.</t>
  </si>
  <si>
    <t>v_08afjR_3SwI</t>
  </si>
  <si>
    <t>Two people white water raft over a rocky, climactic, body of water in narrow canoes and with paddles.</t>
  </si>
  <si>
    <t>A person dressed in a red and black outfit stands in a red canoe and begins to put a piece of black equipment on.</t>
  </si>
  <si>
    <t>The person in the red and black outfit begins rafting in the red canoe over a tumultuous body of water filled with large rocks.</t>
  </si>
  <si>
    <t>The person in the red canoe approaches another canoe in the water, this one blue, the red canoe and blue canoe raft through the waters behind one another as the scene fades to black.</t>
  </si>
  <si>
    <t>v_YMbZ7RFRuYI</t>
  </si>
  <si>
    <t>People compete bike-cross on a bumpy road.</t>
  </si>
  <si>
    <t>A person sprays water on the bumpy road where the bikers pass.</t>
  </si>
  <si>
    <t>A group of bikers leave the start line to start the motocross competition, while other group start to run bike-cross.</t>
  </si>
  <si>
    <t>A person wearing white top take pictures to the bikers.</t>
  </si>
  <si>
    <t>New groups of bikers start to run on the bumpy road to compete bike-cross.</t>
  </si>
  <si>
    <t>v_3aQnQEL3USQ</t>
  </si>
  <si>
    <t>A boy wears jumping shoes to bounce in front a building and in a playground.</t>
  </si>
  <si>
    <t>Then, the boy gets up the steps of a building, and then take big steps and jump down high.</t>
  </si>
  <si>
    <t>A family of four wait the boy to pass the street.</t>
  </si>
  <si>
    <t>Then, the boy returns to the playground and jumps over a stone.</t>
  </si>
  <si>
    <t>After, the boy jumps high on the street until he arrives to a parking lot.</t>
  </si>
  <si>
    <t>v_R58R070r2GE</t>
  </si>
  <si>
    <t>She dismounts and lands on the mat with her arms up.</t>
  </si>
  <si>
    <t>v_afrMWrFkgDg</t>
  </si>
  <si>
    <t>We see a girl kick and sit down.</t>
  </si>
  <si>
    <t>A boy joins her and they eat ice cream.</t>
  </si>
  <si>
    <t>The boy puts his cone in front of the camera.</t>
  </si>
  <si>
    <t>The boy licks his ice cream wildly.</t>
  </si>
  <si>
    <t>A boy throws something at the boy with ice cream.</t>
  </si>
  <si>
    <t>v_K0e_DdvGP54</t>
  </si>
  <si>
    <t>A boy drinks something from a small cup in a bathroom.</t>
  </si>
  <si>
    <t>The boy runs into the room and jumps on the bed.</t>
  </si>
  <si>
    <t>The boy swallows the item in his mouth and covers his mouth with his hands.</t>
  </si>
  <si>
    <t>v_8-WiWyjqAv4</t>
  </si>
  <si>
    <t>A person is seen sitting along the water in a kayak holding a paddle.</t>
  </si>
  <si>
    <t>The person then begins moving along the water in the kayak.</t>
  </si>
  <si>
    <t>The person continues paddling and is then pulled back by a rope and his arms up cheering.</t>
  </si>
  <si>
    <t>v_USwMjvs45MU</t>
  </si>
  <si>
    <t>A large group of people are seen in various areas of a building while some are signing up for a race.</t>
  </si>
  <si>
    <t>People sit around a track and leads into small children performing several long jumps.</t>
  </si>
  <si>
    <t>An older man announces awards in the end and the winners stand by and get their ribbons.</t>
  </si>
  <si>
    <t>v_rSGgal9LtDk</t>
  </si>
  <si>
    <t>A white Breville toaster is sitting on a counter being plugged.</t>
  </si>
  <si>
    <t>In front of the toaster, a block of white cream and a banana is sitting on a white plate.</t>
  </si>
  <si>
    <t>Next,two slices of bread are in the toaster going up and down.</t>
  </si>
  <si>
    <t>Once the bread is finished,it is put on the plate and the spread is put on both slices of the brad then the banana is cut up and put on the bread is put on top of the bananas.</t>
  </si>
  <si>
    <t>Now,the sandwich is cut is half and the person begins to eating it.</t>
  </si>
  <si>
    <t>v_nPTq63WtemI</t>
  </si>
  <si>
    <t>An older man is seen kneeling in the middle of a gym with several people around him.</t>
  </si>
  <si>
    <t>The man pulls on a piece of exercise equipment working his upper arms back and fourth.</t>
  </si>
  <si>
    <t>v_gUFRtx51OJc</t>
  </si>
  <si>
    <t>A woman is seen sitting in a doctor's office with a doctor speaking to her and the camera.</t>
  </si>
  <si>
    <t>The doctor then holds an object up to the girl's lip.</t>
  </si>
  <si>
    <t>Finally the man pierces the girls lip and smiles down to her.</t>
  </si>
  <si>
    <t>v_1dFLeGRT0NQ</t>
  </si>
  <si>
    <t>A boy stands at a podium, talking into a microphone.</t>
  </si>
  <si>
    <t>A group of girls are on stage together.</t>
  </si>
  <si>
    <t>They start dancing while using hula hoops.</t>
  </si>
  <si>
    <t>When they finish, one girl gathers the hoops and the crowd claps as the curtain closes.</t>
  </si>
  <si>
    <t>v_AhsujXLZYWA</t>
  </si>
  <si>
    <t>A woman is seen sitting down on the floor while holding a cat and cutting it's claws.</t>
  </si>
  <si>
    <t>The woman continues to hold the cat cutting his claws and then gets up and runs away in the end.</t>
  </si>
  <si>
    <t>v_9Nj9WdaSQCs</t>
  </si>
  <si>
    <t>The words "Women's Artistic Gymnastics (WAG)" appear on a red screen.</t>
  </si>
  <si>
    <t>"Code of Points 2013-2016" appear briefly.</t>
  </si>
  <si>
    <t>Clips of Chellsie Memmel performing gymnastics olympic trials are shown.</t>
  </si>
  <si>
    <t>Various stats from her performance are shown on screen.</t>
  </si>
  <si>
    <t>v_E0dqgXVU6wA</t>
  </si>
  <si>
    <t>This woman is doing a nail tutorial of how to create nyan cat nails.</t>
  </si>
  <si>
    <t>First paint all of your nails blue and do a big white stripe across them and dot little stars.</t>
  </si>
  <si>
    <t>Then use a tiny paintbrush to put rainbow colors and then use a plastic sandwich bag to make nyan cat and she pushes it onto her nail.</t>
  </si>
  <si>
    <t>v_b8ftOk8tKxg</t>
  </si>
  <si>
    <t>A lady discusses and folds a towel.</t>
  </si>
  <si>
    <t>The lady washes her face with a powder from a box.</t>
  </si>
  <si>
    <t>The lady rinses her face and use a towel to dry up.</t>
  </si>
  <si>
    <t>v_9nE6C-efQdc</t>
  </si>
  <si>
    <t>A woman trying to instruct big bang theory's way of playing rock paper scissors lizard spock.</t>
  </si>
  <si>
    <t>It shows a quick clip of Sheldon from big bang theory actually doing it.</t>
  </si>
  <si>
    <t>Then, she tries to demonstrate it a few times for the viewers.</t>
  </si>
  <si>
    <t>At the end she smiles and ends it with another big bang theory picture.</t>
  </si>
  <si>
    <t>v_5n7NCViB5TU</t>
  </si>
  <si>
    <t>A man swings a metal object from hand to hand.</t>
  </si>
  <si>
    <t>The man spins and releases an object behind him, and the credits of the video are shown.</t>
  </si>
  <si>
    <t>v_JxN0fchWCNI</t>
  </si>
  <si>
    <t>A man and a woman are standing in a kitchen behind an island with fruits on them.</t>
  </si>
  <si>
    <t>Once the male finishes talking,the woman begins grating a vegetable and cutting an orange in half.</t>
  </si>
  <si>
    <t>She then squeezes the orange into a clear glass bowl and seasoning it and mixing it together with the previously cut up ingredients.</t>
  </si>
  <si>
    <t>v_uegTBtD59R0</t>
  </si>
  <si>
    <t>A person is seen looking to the camera in several shots as well as a close up of a dirt bike.</t>
  </si>
  <si>
    <t>People are then shown in several shots riding around a track and performing tricks.</t>
  </si>
  <si>
    <t>The men ride around wooded areas as well as tracks in many shots.</t>
  </si>
  <si>
    <t>v_uiCkFmebAZs</t>
  </si>
  <si>
    <t>There are many different people in the pool swimming and the words "speedo How to guide series How to 'breathe' during your open water swim" appear on the screen.</t>
  </si>
  <si>
    <t>A young lady in a bathing suit and a shower cap is sitting at the side of the pool talking while clips of her swimming are shown, and her name is Keri-anne Payne and is the 10km Open Water Silver Olympic Medalist.</t>
  </si>
  <si>
    <t>The outro appears and it's a black screen with a speedo logo and the word speedo.</t>
  </si>
  <si>
    <t>v_N88-LuWK_K0</t>
  </si>
  <si>
    <t>An intro leads into several clips of people riding in on horses throwing a rope and grabbing calf's in the middle of a pit.</t>
  </si>
  <si>
    <t>More clips are shown of people roping calf's in the pit and ending with pictures of people performing.</t>
  </si>
  <si>
    <t>v_D8dHEAYIawg</t>
  </si>
  <si>
    <t>A group of women and a man are playing volleyball in the sand on a beach.</t>
  </si>
  <si>
    <t>They lob the pink ball back and forth over the net.</t>
  </si>
  <si>
    <t>A woman goes behind a piece of equipment to grab the ball.</t>
  </si>
  <si>
    <t>v_RAQs7EkXLtE</t>
  </si>
  <si>
    <t>A large group of women are seen moving around a stage and begin with two women performing a belly dancing routine.</t>
  </si>
  <si>
    <t>The women continue dancing around the stage and end by holding a pose and bumping into one another.</t>
  </si>
  <si>
    <t>v_sYAAXumvtck</t>
  </si>
  <si>
    <t>Several bottles and nail tools sit on a table.</t>
  </si>
  <si>
    <t>A woman is filing her nails on the table with a white bar.</t>
  </si>
  <si>
    <t>She then paints her nails clear.</t>
  </si>
  <si>
    <t>She then places her finger nails into a white box that is lit up.</t>
  </si>
  <si>
    <t>The light turns off and she takes her hand out and lays it on the table.</t>
  </si>
  <si>
    <t>A nail polish bottle is shown on the screen.</t>
  </si>
  <si>
    <t>She paints her nails with that polish.</t>
  </si>
  <si>
    <t>She puts her hand back in the lit up box on the table.</t>
  </si>
  <si>
    <t>She does another coat of the nail polish.</t>
  </si>
  <si>
    <t>She puts her hand back in the lit up box.</t>
  </si>
  <si>
    <t>A bottle is shown on the table.</t>
  </si>
  <si>
    <t>She lays her hands flat on the table.</t>
  </si>
  <si>
    <t>v_MbCAiWBhAjo</t>
  </si>
  <si>
    <t>Lemons are thrown onto a counter and glasses of lemon-aid appear with ice in mason jars on the counter as well.</t>
  </si>
  <si>
    <t>Lemons are then rolled around against the counter back and forth evenly with the palm of a hand using firm pressure.</t>
  </si>
  <si>
    <t>The lemons are scraped back and forth against a metal food grater to get the zest off of them leaving the skin of the lemon in a bowl.</t>
  </si>
  <si>
    <t>Water is added into a saucepan along with sugar, and then the lemon zest that was extracted with the metal shredder is added to the water as well.</t>
  </si>
  <si>
    <t>The lemons are cut and juiced over a glass bowl and then the juice is poured through a strainer along with the sugar water with zest that was previously mixed in the saucepan.</t>
  </si>
  <si>
    <t>The mixture is stirred with added water and ice is then added.</t>
  </si>
  <si>
    <t>v_EHXpUlacN88</t>
  </si>
  <si>
    <t>A man is seen standing with one man in a bedroom.</t>
  </si>
  <si>
    <t>He bends down and begins picking up the other man.</t>
  </si>
  <si>
    <t>He finally throws the man down onto the bed.</t>
  </si>
  <si>
    <t>v_MNSzt39_UbE</t>
  </si>
  <si>
    <t>Two groups of boys compete tug of war rope, while a man supervise the game and other people watch.</t>
  </si>
  <si>
    <t>A person takes a picture.</t>
  </si>
  <si>
    <t>The team on the left wins the competition.</t>
  </si>
  <si>
    <t>v_w_wIOJrztdU</t>
  </si>
  <si>
    <t>The video leads into several shots of people standing on a beach as well as playing in the sand.</t>
  </si>
  <si>
    <t>Several more pictures are shown of people moving along the beach as well as helping others and shots of the scenery.</t>
  </si>
  <si>
    <t>v_gHhgZ0Bd4H4</t>
  </si>
  <si>
    <t>We see rolling credits rise up the screen.</t>
  </si>
  <si>
    <t>We see three people riding stationary bikes in a gym.</t>
  </si>
  <si>
    <t>The camera moves closer to the bikers.</t>
  </si>
  <si>
    <t>The lady stop and adjusts something on her bike.</t>
  </si>
  <si>
    <t>We wee the fourth rider in the scene.</t>
  </si>
  <si>
    <t>The lady is riding her bike slower.</t>
  </si>
  <si>
    <t>The lady is riding her bike slowly.</t>
  </si>
  <si>
    <t>We see the closing screen on a blue background.</t>
  </si>
  <si>
    <t>v_TmnVK-cYrzg</t>
  </si>
  <si>
    <t>There's a little boy sitting on a bed in the bedroom.</t>
  </si>
  <si>
    <t>There is a laundry basket and a lot of clothes on the bed.</t>
  </si>
  <si>
    <t>The mother of the boy who is filming the video shows a vacuum cleaner.</t>
  </si>
  <si>
    <t>Then she turns the vacuum cleaner on and begins vacuuming the bedroom floor.</t>
  </si>
  <si>
    <t>The boy watches his mom vacuum as he jumps on the bed.</t>
  </si>
  <si>
    <t>the boy then lays down on the bed as he sees his mother finish the job.</t>
  </si>
  <si>
    <t>Then the boy gets off the bed and jumps down to the ground to look under the bedside table.</t>
  </si>
  <si>
    <t>v_WwwfCw1dYlg</t>
  </si>
  <si>
    <t>A man is talking inside a pool gym.</t>
  </si>
  <si>
    <t>A view is shown under the water, then it cuts back to him talking.</t>
  </si>
  <si>
    <t>v_pElJ7U46XnQ</t>
  </si>
  <si>
    <t>A guy gets ready to lift weight.</t>
  </si>
  <si>
    <t>The guy lifts the weight.</t>
  </si>
  <si>
    <t>The guy dance around and then leaves the stage.</t>
  </si>
  <si>
    <t>A man carries a box into the stage.</t>
  </si>
  <si>
    <t>v_rxEQaswh_Uo</t>
  </si>
  <si>
    <t>A boy is smiling up at the man whose shoe he is shining.</t>
  </si>
  <si>
    <t>The man is looking down at the boy.</t>
  </si>
  <si>
    <t>The boy is shining the mans shoes.</t>
  </si>
  <si>
    <t>The boy is talking to passerbys and pointing.</t>
  </si>
  <si>
    <t>A small kid walks away from the wall.</t>
  </si>
  <si>
    <t>The boy is wiping the mans shoes with a towel.</t>
  </si>
  <si>
    <t>He has started to rub with block.</t>
  </si>
  <si>
    <t>The boy gives a peace sign and grins.</t>
  </si>
  <si>
    <t>v_MJpfymVwtGc</t>
  </si>
  <si>
    <t>A lady is lying down on a black bed, a woman in black sweater and wearing black gloves is rubbing a white cotton on the lady's belly button.</t>
  </si>
  <si>
    <t>Then the woman draw a dot on the belly button, piercing the navel with a thong, then the woman inserted a metal stick, then cleaned the pierce, then the woman inserted the belly button accessory, and tighten it then cleaned up the piercing.</t>
  </si>
  <si>
    <t>v_mTtBz5d83C4</t>
  </si>
  <si>
    <t>There are several people sledding down a snowy slope in round snow tubes.</t>
  </si>
  <si>
    <t>They are going down the steep snowy slope at high speed.</t>
  </si>
  <si>
    <t>One of the people going down the slope raises his hand to his friend as he goes downhill.</t>
  </si>
  <si>
    <t>v_g_65rfEiXPY</t>
  </si>
  <si>
    <t>A man cleans a large window using a long handle squeegee.</t>
  </si>
  <si>
    <t>Then, the man uses a long steel wiper to clean the window from right to left.</t>
  </si>
  <si>
    <t>After, the man takes a cloth and cleans the lower part of the window, then he continues cleaning the with a squeegee and a steel wipe.</t>
  </si>
  <si>
    <t>v_tA7cF5wA6ZU</t>
  </si>
  <si>
    <t>A bald man is leading an orchestra.</t>
  </si>
  <si>
    <t>Several female singers are singing while a choir of younger people sing backup.</t>
  </si>
  <si>
    <t>A young drummer and a man playing the piano are near each other as the young boy looks around.</t>
  </si>
  <si>
    <t>As the singers and musicians finish the song,the conductor waves his wand to end the music.</t>
  </si>
  <si>
    <t>v_NVtRGWuiEP4</t>
  </si>
  <si>
    <t>We see girls in a red costume gym performing a baton routine.</t>
  </si>
  <si>
    <t>Three girls walk past in the background.</t>
  </si>
  <si>
    <t>The girls next to them in pink perform their routine.</t>
  </si>
  <si>
    <t>The girls in the red uniforms finish and walk away.</t>
  </si>
  <si>
    <t>A team of girls in black and neon walk past behind the girls.</t>
  </si>
  <si>
    <t>The girls in pink finish their routine.</t>
  </si>
  <si>
    <t>v_KylUHdDXuCg</t>
  </si>
  <si>
    <t>An intro leads into several clips of people attempting to fight bulls from many generations.</t>
  </si>
  <si>
    <t>Several clips are shown of people interacting with the bulls as well as running around and people watching.</t>
  </si>
  <si>
    <t>v_eqm20MDaeRQ</t>
  </si>
  <si>
    <t>A woman is seen kneeling over a bucket on an old tv show.</t>
  </si>
  <si>
    <t>She is seen washing clothes in the bucket while looking off into the distance.</t>
  </si>
  <si>
    <t>She sighs to herself in exhaustion and continues washing the clothes when a shot of a washing machine is shown.</t>
  </si>
  <si>
    <t>v_KuyaO3brwBc</t>
  </si>
  <si>
    <t>A man stands behind a shoe counter and describes how to clean them.</t>
  </si>
  <si>
    <t>The man talks about the three step program and answers frequently asked questions.</t>
  </si>
  <si>
    <t>The man scrubs to shine the shoe and adds some polish then sprays them.</t>
  </si>
  <si>
    <t>v_AbzyaqyFI0Y</t>
  </si>
  <si>
    <t>A person is seen riding a kayak along a rough river and spinning himself around.</t>
  </si>
  <si>
    <t>More shots of him riding around shown and he continues to flip in the water.</t>
  </si>
  <si>
    <t>v_Hi4YiQO47EM</t>
  </si>
  <si>
    <t>A group of people are talking next to a table with red solo cups and beer cans.</t>
  </si>
  <si>
    <t>A woman puts a red solo cup under a man's nose.</t>
  </si>
  <si>
    <t>A man tosses a ping pong ball into a red solo cup.</t>
  </si>
  <si>
    <t>The floor is shown along with a person's foot.</t>
  </si>
  <si>
    <t>v_2mOQx0l1158</t>
  </si>
  <si>
    <t>A closeup of a bike is shown followed by a person unscrewing the handles on the bike and adjusting the sides.</t>
  </si>
  <si>
    <t>The person then screwed it a light in front of the handlebars and holds them in place.</t>
  </si>
  <si>
    <t>v_5-SbGVTPM1c</t>
  </si>
  <si>
    <t>Men run down a track and leap backwards over a bar.</t>
  </si>
  <si>
    <t>A man waves a white flag once the land.</t>
  </si>
  <si>
    <t>An audience is watching them jump.</t>
  </si>
  <si>
    <t>v_TrtuuE1K8pk</t>
  </si>
  <si>
    <t>A man put paint on the wall with a hose, while a person uses a flat mop to spread the paint.</t>
  </si>
  <si>
    <t>Then, the man puts paint around the window.</t>
  </si>
  <si>
    <t>v_Izr9-P7YIKw</t>
  </si>
  <si>
    <t>A woman removes a bolt from a tire.</t>
  </si>
  <si>
    <t>The woman removes a second bolt.</t>
  </si>
  <si>
    <t>The woman removes a third bolt.</t>
  </si>
  <si>
    <t>Lastly, the woman removes a fourth bolt.</t>
  </si>
  <si>
    <t>The woman takes the tire off the car.</t>
  </si>
  <si>
    <t>v_FiJi18WpPe8</t>
  </si>
  <si>
    <t>A girl in a blue and plaid school uniform stands in a school bathroom brushing her teeth and primping in the mirror.</t>
  </si>
  <si>
    <t>The girl begins facing the camera and brushing her teeth, leaning in to the camera at one point before leaning back to continue brushing teeth.</t>
  </si>
  <si>
    <t>The girl then turns towards the bathroom mirror and spits into the bathroom sink, then returns to brushing teeth and facing the camera again.</t>
  </si>
  <si>
    <t>The girl then moves to another sink that is further back in the bathroom, plays with her hair, primps in the mirror, all while another girl in a school uniform enters the bathroom and walks into a bathroom stall.</t>
  </si>
  <si>
    <t>v_WzSZJ-yJX48</t>
  </si>
  <si>
    <t>Two men talk heatedly until a man comes and separates them.</t>
  </si>
  <si>
    <t>Number 99 leaves then goes back to finish talking.</t>
  </si>
  <si>
    <t>Number 69 walks across the field.</t>
  </si>
  <si>
    <t>We see number 69 hit the ball.</t>
  </si>
  <si>
    <t>he then argues with the catcher.</t>
  </si>
  <si>
    <t>A pitcher begins to pitch.</t>
  </si>
  <si>
    <t>v_-fBTCykx4gM</t>
  </si>
  <si>
    <t>A little boy walk toward the sink.</t>
  </si>
  <si>
    <t>The boy stands on front the sink and puts toothpaste on the brush, and then brush the teeth.</t>
  </si>
  <si>
    <t>Then, the boy rinse his mouth and then show teeth and dry mouth.</t>
  </si>
  <si>
    <t>v_8PkoDfbK5Bc</t>
  </si>
  <si>
    <t>A person is doing flips on a stage in front of people.</t>
  </si>
  <si>
    <t>People are standing in the corner playing the drums.</t>
  </si>
  <si>
    <t>A man does a hand stand on the stage.</t>
  </si>
  <si>
    <t>v_6uhLrPgbpUA</t>
  </si>
  <si>
    <t>Several bicycle racers dressed in motocross suits and wearing helmets are lined up at the start line, waiting to race.</t>
  </si>
  <si>
    <t>The race begins, and all bikers race down a hill, toward a jump.</t>
  </si>
  <si>
    <t>The bikers jump off a hill, but one of the bikers, dressed in red and black, tumbles to the ground.</t>
  </si>
  <si>
    <t>The biker immediately behind him, dressed in red, white and blue, tries to avoid the fallen biker, and falls to the ground as well.</t>
  </si>
  <si>
    <t>The other bikers race off.</t>
  </si>
  <si>
    <t>The biker in black and red immediately trots off the track, while the biker in red, white and blue, is clearly injured and struggles to get to his knees.</t>
  </si>
  <si>
    <t>Three men dressed in black jackets come to the aid of the first biker.</t>
  </si>
  <si>
    <t>v_h-lKlgls9OI</t>
  </si>
  <si>
    <t>A recreation building is pictured and kids doing various activities ranging from basketball to swimming is shown.</t>
  </si>
  <si>
    <t>A set of young boys are picture din the water on their backs holding up a green ball and one throws it into the goal.</t>
  </si>
  <si>
    <t>The outside of the building is shown again and a flash of a car parked outside in the parking lot appears.</t>
  </si>
  <si>
    <t>v_mBHsAuDJmj4</t>
  </si>
  <si>
    <t>a man in overalls sits in front of a large wheel of metal.</t>
  </si>
  <si>
    <t>He picks up a torch, and begins welding.</t>
  </si>
  <si>
    <t>Sparks fly as he wears his mask, welding the equipment.</t>
  </si>
  <si>
    <t>v_sO7ZGxFwbm8</t>
  </si>
  <si>
    <t>The video leads into several shots of javelin athletes throwing poles down a large track.</t>
  </si>
  <si>
    <t>Many people are shown running down the track throwing the javelin and watching where their pole lands.</t>
  </si>
  <si>
    <t>v_ZLJJ5LxfE6o</t>
  </si>
  <si>
    <t>Men are doing karate moves in a gym.</t>
  </si>
  <si>
    <t>People are playing instruments next to them.</t>
  </si>
  <si>
    <t>A man in a white shirt is playing the drums in front of him.</t>
  </si>
  <si>
    <t>v_jqKK2KH6l4Q</t>
  </si>
  <si>
    <t>AN intro screen showing a man perform Brazilian martial arts appears on the screen.</t>
  </si>
  <si>
    <t>It then shows a man doing the same martial arts in slow motion on some grass in what looks like a park.</t>
  </si>
  <si>
    <t>The man spins and kicks continuously and is highly skilled.</t>
  </si>
  <si>
    <t>The video then shows another man indoors giving a thumbs up, before jumping to two other men performing on a stage.</t>
  </si>
  <si>
    <t>A bunch of other men are performing martial arts inside of a gymnasium and classroom, while another man speaks to the camera.</t>
  </si>
  <si>
    <t>v_gxuere-ofCU</t>
  </si>
  <si>
    <t>A man is seen sitting in front of a camera holding a harmonica in his hands.</t>
  </si>
  <si>
    <t>The man then begins playing several songs while pausing in between.</t>
  </si>
  <si>
    <t>He continues playing the instrument while looking off into the distance.</t>
  </si>
  <si>
    <t>v_CN0F45eLq1s</t>
  </si>
  <si>
    <t>A picture of a person jumping off of a boat into the water.</t>
  </si>
  <si>
    <t>A sail boat is in the water with people on it.</t>
  </si>
  <si>
    <t>People are sitting on the boat talking.</t>
  </si>
  <si>
    <t>A woman in a white bikini stands at the bow of the boat and a man stands behind her.</t>
  </si>
  <si>
    <t>People are sitting at the bow of the boat.</t>
  </si>
  <si>
    <t>A woman lies on her back wearing a bikini on the boat.</t>
  </si>
  <si>
    <t>People are walking in the sand in front of the camera.</t>
  </si>
  <si>
    <t>A view of the water and beach is shown.</t>
  </si>
  <si>
    <t>People are walking on the sand of the beach.</t>
  </si>
  <si>
    <t>A group of people are posing for a picture.</t>
  </si>
  <si>
    <t>People are taking pictures on the boat.</t>
  </si>
  <si>
    <t>v_8twDb4CdhE0</t>
  </si>
  <si>
    <t>A close up of a woman is shown speaking to the camera holding an ice cream in front of her face.</t>
  </si>
  <si>
    <t>She takes multiple bites of the ice cream while the camera pans around her body and several other people surround her.</t>
  </si>
  <si>
    <t>v_bscUMcCmyYw</t>
  </si>
  <si>
    <t>A girls hops across the pavement.</t>
  </si>
  <si>
    <t>A younger girl watches her.</t>
  </si>
  <si>
    <t>A mans arm is in the foreground.</t>
  </si>
  <si>
    <t>There is also a wooden deck.</t>
  </si>
  <si>
    <t>v_4L0AI0f-cMs</t>
  </si>
  <si>
    <t>White text says the video is about how to make a belly cake.</t>
  </si>
  <si>
    <t>Two pieces of wrapped chocolate cake are shown as a hand adjusts and touches them.</t>
  </si>
  <si>
    <t>Instructions appear at the bottom of the screen before fondant baby parts are shown being placed after the cake is frosted.</t>
  </si>
  <si>
    <t>The cake is complete as a woman's stomach with a baby foot protruding from her dress.</t>
  </si>
  <si>
    <t>v_ADy-2Y0jmXQ</t>
  </si>
  <si>
    <t>A woman is seen hosting a news segment that leads into several clips of people measuring themselves and speaking to the camera.</t>
  </si>
  <si>
    <t>Many shots are shown of people drinking coffee while holding up larger pants and showing off the weight they had lost.</t>
  </si>
  <si>
    <t>More people are seen speaking to the camera while more products are shown as well as food being presented and a woman showing off her closet.</t>
  </si>
  <si>
    <t>v_61iCOJ3Meus</t>
  </si>
  <si>
    <t>A boy in a white tshirt picks up his brother over head and body slams him onto the bed.</t>
  </si>
  <si>
    <t>The brother in army colored shirt gets up from bed.</t>
  </si>
  <si>
    <t>v_iJ6rHJf_Hgo</t>
  </si>
  <si>
    <t>We see a skateboarder walk with his board.</t>
  </si>
  <si>
    <t>the man then skateboards down a busy street.</t>
  </si>
  <si>
    <t>The boarder has his hand on the ground as he skates.</t>
  </si>
  <si>
    <t>The boarder takes a right turn.</t>
  </si>
  <si>
    <t>The cars drive by and the scene ends.</t>
  </si>
  <si>
    <t>v_Vq7Mm98I5Qs</t>
  </si>
  <si>
    <t>A motorbike race is shown on dirt.</t>
  </si>
  <si>
    <t>The preparations include scantily clad women.</t>
  </si>
  <si>
    <t>Motorbikes are then shown jumping and doing agility things.</t>
  </si>
  <si>
    <t>v_5FwNVOIGdVs</t>
  </si>
  <si>
    <t>A man gets on a red machine.</t>
  </si>
  <si>
    <t>He then backs up and begins to blow leaves with it.</t>
  </si>
  <si>
    <t>The leaves blow all over the driveway.</t>
  </si>
  <si>
    <t>Finally the driveway is cleared of the leaves.</t>
  </si>
  <si>
    <t>v_m8SFyH4vhik</t>
  </si>
  <si>
    <t>She dismounts and lands on the mat next to the beam.</t>
  </si>
  <si>
    <t>v_QlQrJ5WsWzo</t>
  </si>
  <si>
    <t>A man sits on top of a camel.</t>
  </si>
  <si>
    <t>The camel stands up and a man in front leads it.</t>
  </si>
  <si>
    <t>A red barn is seen behind them.</t>
  </si>
  <si>
    <t>The camel sits back down and the man gets off.</t>
  </si>
  <si>
    <t>v_hcRf6HmOAzo</t>
  </si>
  <si>
    <t>A woman is seen standing in front of buckets and speaking to the camera.</t>
  </si>
  <si>
    <t>She pours water into a bucket while dragging it over as well as mixing cleaning into it and beginning to dump clothes.</t>
  </si>
  <si>
    <t>The woman dips the clothes into the bucket and shows where she hangs them and waving to the camera.</t>
  </si>
  <si>
    <t>v_GcEutQTeAnA</t>
  </si>
  <si>
    <t>A man carefully washes the side of a car with a sponge.</t>
  </si>
  <si>
    <t>The man stands up and washes the windshield.</t>
  </si>
  <si>
    <t>He then moves along the back of the car washing the spoiler.</t>
  </si>
  <si>
    <t>v_fsSCNCY0iQY</t>
  </si>
  <si>
    <t>A standing Asian woman wearing makeup is talking to a bunch of sitting Asian women who have no make up on their faces.</t>
  </si>
  <si>
    <t>The Asian woman with the make up claps and then hits a clock that has a 10 second timer.</t>
  </si>
  <si>
    <t>The women with no makeup quickly begin to apply makeup before the time runs out.</t>
  </si>
  <si>
    <t>Two women quickly apply makeup to their faces, but when they are done they have upset looks on their faces.</t>
  </si>
  <si>
    <t>The third woman puts make up and fake eyelashes onto a tray in front of her and then slams her face into the tray and rolls it side to side.</t>
  </si>
  <si>
    <t>When she lifts her head up her makeup is perfect and at the same time she pulls her hair out of a ponytail and shakes her hair free.</t>
  </si>
  <si>
    <t>The outro video is a purple screen with white words that read "Beautiful and fast" and ends with a white screen that has purple words readings "Windows 8" and the microsoft logo.</t>
  </si>
  <si>
    <t>v_BbQ39yhaC54</t>
  </si>
  <si>
    <t>A man is talking in a racquetball court.</t>
  </si>
  <si>
    <t>He talks about how to pose and swing the racquet.</t>
  </si>
  <si>
    <t>He demonstrates by hitting the ball back and forth against the wall.</t>
  </si>
  <si>
    <t>v_ZkkTMR21XLc</t>
  </si>
  <si>
    <t>A man and woman biker are standing outside an event.</t>
  </si>
  <si>
    <t>They get into a raft and push it into a river.</t>
  </si>
  <si>
    <t>They ride the rapids, going over falls and paddling as they go.</t>
  </si>
  <si>
    <t>v_w5lQ5vNAksM</t>
  </si>
  <si>
    <t>man is standing in a room playing the flute.</t>
  </si>
  <si>
    <t>the man ends to play and laugh and thanks to the public.</t>
  </si>
  <si>
    <t>man is wearing a blue shirt and is sitting behind the man playing the flute.</t>
  </si>
  <si>
    <t>v_JouywOCeGHI</t>
  </si>
  <si>
    <t>A man talks to a camera from an outdoors scene by a slope.</t>
  </si>
  <si>
    <t>Several quick cuts are shown explaining the terms behind belaying in the context of climbing.</t>
  </si>
  <si>
    <t>More quick scenes are shown explaining the process behind belaying in the context of climbing.</t>
  </si>
  <si>
    <t>The man talks to the camera once more.</t>
  </si>
  <si>
    <t>v_p1_6T9d4ZuY</t>
  </si>
  <si>
    <t>The gymnast approaches the bar with a leap.</t>
  </si>
  <si>
    <t>She grasps the bar and begins to flip herself around the bar before leaping to the next bar and propelling herself up and over it repeatedly.</t>
  </si>
  <si>
    <t>She launches herself in the air and lands on the mat.</t>
  </si>
  <si>
    <t>v_4rvACiBclFI</t>
  </si>
  <si>
    <t>A bunch of cars are driving while tilted on one side.</t>
  </si>
  <si>
    <t>The tires are taken off one of the cars.</t>
  </si>
  <si>
    <t>v_bM5VpCdPOrw</t>
  </si>
  <si>
    <t>A man is seen speaking to he camera and leads into clip of his truck driving and people riding behind.</t>
  </si>
  <si>
    <t>A man speaks to the ground with a stick as they wander around a deserted area and showing off various plants and wildlife in the area.</t>
  </si>
  <si>
    <t>He puts white clothing all over his body and several others and leads into the people riding camels with others leading in front.</t>
  </si>
  <si>
    <t>v_yuxoNmlNcc8</t>
  </si>
  <si>
    <t>A flag is shown waving where it is stuck in the ground.</t>
  </si>
  <si>
    <t>A group of people are standing outside the building, some eating.</t>
  </si>
  <si>
    <t>A man shurgs at the camera as a game commences.</t>
  </si>
  <si>
    <t>v_Q_kqplOxytU</t>
  </si>
  <si>
    <t>A small boy is immersed into pool water as he looks around.</t>
  </si>
  <si>
    <t>He floats and swims with his mother's help.</t>
  </si>
  <si>
    <t>He blows bubbles, and she removes him from the water.</t>
  </si>
  <si>
    <t>v_hDf32SV0QN0</t>
  </si>
  <si>
    <t>A woman is sitting in front of a camera.</t>
  </si>
  <si>
    <t>She begins brushing her partially wet hair.</t>
  </si>
  <si>
    <t>She continues brushing, then stops and stares at the camera.</t>
  </si>
  <si>
    <t>v_Skz2tom_Ag0</t>
  </si>
  <si>
    <t>A man is seen standing on a tennis court on one side of the fence.</t>
  </si>
  <si>
    <t>Another person is seen standing on the other side and then hit a ball to one another.</t>
  </si>
  <si>
    <t>The person misses the birdie and walks over towards it.</t>
  </si>
  <si>
    <t>v_cMoy7UJtlyA</t>
  </si>
  <si>
    <t>A man stands on a dock wearing a green shirt.</t>
  </si>
  <si>
    <t>He then rides a boat with a sail.</t>
  </si>
  <si>
    <t>He steers it through the lake.</t>
  </si>
  <si>
    <t>He stands on the dock again at the end.</t>
  </si>
  <si>
    <t>v_W70Urhy8Yl4</t>
  </si>
  <si>
    <t>A couple are standing on a snowy hillside.</t>
  </si>
  <si>
    <t>A man walks over to a small red flag.</t>
  </si>
  <si>
    <t>He removes the flag, then pulls a line out of the ground.</t>
  </si>
  <si>
    <t>He pulls up a giant fish he caught.</t>
  </si>
  <si>
    <t>v_0T14tLwBafQ</t>
  </si>
  <si>
    <t>We see people playing volleyball in sand with a dog.</t>
  </si>
  <si>
    <t>We see a man laying in the sand.</t>
  </si>
  <si>
    <t>The dog runs for the ball.</t>
  </si>
  <si>
    <t>A person throws the ball back and the dog returns.</t>
  </si>
  <si>
    <t>The dog tries to get the ball.</t>
  </si>
  <si>
    <t>A man kicks sand at and shoos the dog.</t>
  </si>
  <si>
    <t>v_xIU6DO35R_c</t>
  </si>
  <si>
    <t>A man scuffs a shoe in the street while another person sits and watches.</t>
  </si>
  <si>
    <t>She talks to the man and moves her hands to follow his movement.</t>
  </si>
  <si>
    <t>v_Q3FkUH9kImU</t>
  </si>
  <si>
    <t>He is showing a shuffleboard.</t>
  </si>
  <si>
    <t>He walks to the end of the shuffleboard and another man is on the other side.</t>
  </si>
  <si>
    <t>He begins playing by throwing one down the board.</t>
  </si>
  <si>
    <t>v_oQ_gE5_0xyc</t>
  </si>
  <si>
    <t>We see a few opening screens.</t>
  </si>
  <si>
    <t>We see a lady performs a baton routine in a arena.</t>
  </si>
  <si>
    <t>The lady spins and catches her baton.</t>
  </si>
  <si>
    <t>The lady flips forwards and backwards and catches her baton.</t>
  </si>
  <si>
    <t>The lady spins and catches her baton again.</t>
  </si>
  <si>
    <t>The lady flips multiple times and catches her baton before posing.</t>
  </si>
  <si>
    <t>The crowd claps and the lady waves.</t>
  </si>
  <si>
    <t>v_S47vfJ9g3Mw</t>
  </si>
  <si>
    <t>The video begins with a title screen and an intro which shows various works of art.</t>
  </si>
  <si>
    <t>The topic is about Chinese paintings of waterfalls and rocks.</t>
  </si>
  <si>
    <t>An older Chinese man speaks to the camera.</t>
  </si>
  <si>
    <t>He then begins painting as the camera pans down to view how he does it.</t>
  </si>
  <si>
    <t>At one point, the camera focuses back to his face for a moment.</t>
  </si>
  <si>
    <t>The video ends with another title screen.</t>
  </si>
  <si>
    <t>v_GbvZWitR2_g</t>
  </si>
  <si>
    <t>A kite is flying above a beach.</t>
  </si>
  <si>
    <t>Several people sit on the beach.</t>
  </si>
  <si>
    <t>The kite soars through the sky.</t>
  </si>
  <si>
    <t>Several people are in the water.</t>
  </si>
  <si>
    <t>v_OHOi0ZSuDUg</t>
  </si>
  <si>
    <t>An old man plays the ukulele and a boy plays the tam-tams in the street.</t>
  </si>
  <si>
    <t>A person pass on front the players.</t>
  </si>
  <si>
    <t>v_5vk8OuKkttU</t>
  </si>
  <si>
    <t>A set of instructions are shown transitioning back and fourth between a man laying down carpet on a set of stairs.</t>
  </si>
  <si>
    <t>The text continues showing while the man lays out paper all down the stairs.</t>
  </si>
  <si>
    <t>v_JjRSGzdwtc0</t>
  </si>
  <si>
    <t>A woman is seen walking along a field and throwing a jump rope to another.</t>
  </si>
  <si>
    <t>Several clips are followed by people jump roping in various locations as well as with each other.</t>
  </si>
  <si>
    <t>The group continue dancing and jumping around public places and ends with a baby holding a rope.</t>
  </si>
  <si>
    <t>v_zpJ91CkCiyw</t>
  </si>
  <si>
    <t>We see two men on a city street and the title loads.</t>
  </si>
  <si>
    <t>A man takes off his hood and talks to the camera.</t>
  </si>
  <si>
    <t>We see men in roller blades fall then skate down a railing.</t>
  </si>
  <si>
    <t>A person flashes a light at the camera.</t>
  </si>
  <si>
    <t>A man falls on the railing.</t>
  </si>
  <si>
    <t>A person falls at the bottom of the stairs and then the light is flashing again.</t>
  </si>
  <si>
    <t>We see a man fall down the railing three times.</t>
  </si>
  <si>
    <t>We see the men talk and shake hands before seeing the end screen.</t>
  </si>
  <si>
    <t>v__5VJcnrEgbg</t>
  </si>
  <si>
    <t>A man hits a ball with a tennis racket.</t>
  </si>
  <si>
    <t>Another man joins him shortly after.</t>
  </si>
  <si>
    <t>Several different angles are shown as the group of four play before an audience, hitting the ball back and forth quickly.</t>
  </si>
  <si>
    <t>When they are done, the men walk away, patting each other on the backs.</t>
  </si>
  <si>
    <t>v_nStBfiFl6RU</t>
  </si>
  <si>
    <t>A group of women dance in an aerobic class in a group inside a gym studio.</t>
  </si>
  <si>
    <t>The women jump up and down on alternating feet.</t>
  </si>
  <si>
    <t>The woman walk one way taking a few steps then back the other way during the routine.</t>
  </si>
  <si>
    <t>v_FFCmoQp_xVA</t>
  </si>
  <si>
    <t>A man stands behind a bar talking to the camera.</t>
  </si>
  <si>
    <t>The man holds a drink up and puts it down.</t>
  </si>
  <si>
    <t>The man adds ice to a glass and two shots of a red liquor then another.</t>
  </si>
  <si>
    <t>The man puts a strainer on the glass and stirs the glass with a long metal stick.</t>
  </si>
  <si>
    <t>The man pours it into a martini glass.</t>
  </si>
  <si>
    <t>The man smiles and holds the drink in the air.</t>
  </si>
  <si>
    <t>v_9z_ylV5c9HA</t>
  </si>
  <si>
    <t>A girl demonstrates applying contact lenses to her eyes in an extreme close up video.</t>
  </si>
  <si>
    <t>A pink slide appears advising that the a person is not good at applying contact lenses.</t>
  </si>
  <si>
    <t>A girl with blonde hair and long pink nails proceeds to apply contact lenses to her eyes in a close up video which capture the lens and the eye before and after.</t>
  </si>
  <si>
    <t>v_6gZuc4umTPk</t>
  </si>
  <si>
    <t>Two young girls are seen speaking to the camera and playing with one another.</t>
  </si>
  <si>
    <t>One girl then pulls out a bottle of nail polish while the other waves to the camera.</t>
  </si>
  <si>
    <t>More clips are shown of one girl attempting to paint the nails of the other and ends by waving to the camera.</t>
  </si>
  <si>
    <t>v_cGtK7bs-TE8</t>
  </si>
  <si>
    <t>A fast motion video is shown of various people raking leaves around a yard.</t>
  </si>
  <si>
    <t>Two boys look around towards each other and continue raking the leaks until the yard is done.</t>
  </si>
  <si>
    <t>v_EoQgUlLb3U4</t>
  </si>
  <si>
    <t>A man turns his body around, preparing to throw his discus.</t>
  </si>
  <si>
    <t>The man throws the discus really hard.</t>
  </si>
  <si>
    <t>The man watches ahead after his discus.</t>
  </si>
  <si>
    <t>v_jsqD1NB63hk</t>
  </si>
  <si>
    <t>A young man is seen wearing goggles and speaking to the camera followed by him jumping into the pool.</t>
  </si>
  <si>
    <t>The boy gets out and is seen once again jumping into the pool and swimming to the side to present an object.</t>
  </si>
  <si>
    <t>v_p8h3G0Tblqc</t>
  </si>
  <si>
    <t>A man introduces the basketball concepts of the video to the camera.</t>
  </si>
  <si>
    <t>The player starts from one side of the court and runs up and lays up the basketball in the net.</t>
  </si>
  <si>
    <t>He repeats around the court from every angle.</t>
  </si>
  <si>
    <t>The man returns to go over the concepts again as the video closes.</t>
  </si>
  <si>
    <t>v_ySQBZ8hqBo4</t>
  </si>
  <si>
    <t>The athlete is balancing in the bean as the man took out the spring jumper.</t>
  </si>
  <si>
    <t>The athlete did cartwheel on the beam as the crowd applauded.</t>
  </si>
  <si>
    <t>When the female athlete finished her number, she jumped off the beam cartwheeling down the blue mat.</t>
  </si>
  <si>
    <t>v_T8wY9ZQv8vQ</t>
  </si>
  <si>
    <t>The video is showing clips of gymnastics players performing tricks along a padded area, while judges and spectators look on and cheer.</t>
  </si>
  <si>
    <t>The first player hits her head at the end of her performance.</t>
  </si>
  <si>
    <t>The video continues to show many other gymnasts competing, with the audience cheering after the completion of each performance.</t>
  </si>
  <si>
    <t>The video ends with a male performer.</t>
  </si>
  <si>
    <t>v_vDaDT1vUOfI</t>
  </si>
  <si>
    <t>A woman appears and disappears under the water as she swims in an olympic sized pool.</t>
  </si>
  <si>
    <t>She is seen swimming in a fishlike manner under the water.</t>
  </si>
  <si>
    <t>She displays several different swimming styles and moves.</t>
  </si>
  <si>
    <t>v_0e7-mNDgIXw</t>
  </si>
  <si>
    <t>A special effect intro that looks like a chalk board on wood appears and the words on it say SKI SCHOOL on the upper left, and the middle words say "Ski Tips: FOOT ROTATION" along with a website at the bottom and a blue circle icon on the upper right.</t>
  </si>
  <si>
    <t>A man skis into view and he's standing on a snowy mountain with a lot of trees and he's talking and looks like he's giving tips on how to ski as he physically demonstrates and continues to talk the whole time.</t>
  </si>
  <si>
    <t>The man is now back at his starting point where he was originally standing and he's talking again.</t>
  </si>
  <si>
    <t>The special affect screen appears with a wooden background and 4 different pictures on the screen with words under them.</t>
  </si>
  <si>
    <t>v_UwZbkuVsPno</t>
  </si>
  <si>
    <t>Two men are standing on a basketball goal.</t>
  </si>
  <si>
    <t>They start doing layups, then stand talking to the camera again.</t>
  </si>
  <si>
    <t>v_Xo4-GnduX8A</t>
  </si>
  <si>
    <t>Man talks to camera shooting video.</t>
  </si>
  <si>
    <t>Soccer players are shown practicing their moves.</t>
  </si>
  <si>
    <t>Soccer players take shots.</t>
  </si>
  <si>
    <t>Man is shoved off of the court.</t>
  </si>
  <si>
    <t>Man is congratulated for his goal.</t>
  </si>
  <si>
    <t>Man shakes his hand at the camera.</t>
  </si>
  <si>
    <t>v_q1jvfsKWY5c</t>
  </si>
  <si>
    <t>These people are playing tug of war against sumo wrestler who are more than 4 times their size and the small people win against them.</t>
  </si>
  <si>
    <t>In the end the people and sumo wrestlers take selfies and the sumo wrestlers open the fanta and throw it on each other.</t>
  </si>
  <si>
    <t>v_zOcXA1S_VPI</t>
  </si>
  <si>
    <t>A man wearing a black hat is talking.</t>
  </si>
  <si>
    <t>A man dribbles a basketball around some cones and shoots the ball.</t>
  </si>
  <si>
    <t>Two people are playing basketball.</t>
  </si>
  <si>
    <t>A man is dribbling a basketball on a court.</t>
  </si>
  <si>
    <t>v_mVC8DBsg1i0</t>
  </si>
  <si>
    <t>A man is sitting on a stool while the dog is in front of him, the dog is wearing a red leash.</t>
  </si>
  <si>
    <t>A white dog is hiding behind the wall.</t>
  </si>
  <si>
    <t>A man is brushing the dog's fur on his side first the at the back.</t>
  </si>
  <si>
    <t>The man started to shave the dog's front leg.</t>
  </si>
  <si>
    <t>A white dog is laying on the brown bed.</t>
  </si>
  <si>
    <t>The beige dog is laying on the rug while the man is shaving the beige.</t>
  </si>
  <si>
    <t>The white dog rubbing her face on the glass table, then the beige dog is standing on the glass sat then sat on the table, then the white dog is standing beside the beige dog.</t>
  </si>
  <si>
    <t>v_Qmo9D73hWXY</t>
  </si>
  <si>
    <t>We see a person in hockey gear skate onto the ice.</t>
  </si>
  <si>
    <t>Another person enters and we watch two people play hockey.</t>
  </si>
  <si>
    <t>We see the puck drop in front of the camera.</t>
  </si>
  <si>
    <t>The person knocks the goalie to the ground.</t>
  </si>
  <si>
    <t>The goalie skates up to the camera.</t>
  </si>
  <si>
    <t>v_TM_5fb15eXQ</t>
  </si>
  <si>
    <t>A guy is giving a lesson about snow boards he puts a big rub brand on the board to hold the foot placers in place.</t>
  </si>
  <si>
    <t>the guy shows the difference between snow boards and put them on a object to smoothing out the bottom of the board for better skiing.</t>
  </si>
  <si>
    <t>v_9tAyfaBGwyg</t>
  </si>
  <si>
    <t>A woman is drawing a hopscotch board on the ground in chalk.</t>
  </si>
  <si>
    <t>She stands up and walks to the front of the hopscotch board.</t>
  </si>
  <si>
    <t>She begins jumping on the board.</t>
  </si>
  <si>
    <t>v_SiBSwSu_REQ</t>
  </si>
  <si>
    <t>People are walking around the basketball court.</t>
  </si>
  <si>
    <t>A team of dancers walk onto the basketball court and stand at attention.</t>
  </si>
  <si>
    <t>As onlookers clap, the squad turns around in unison.</t>
  </si>
  <si>
    <t>The squad does their routine.</t>
  </si>
  <si>
    <t>The squad ends their routine and exits the floor.</t>
  </si>
  <si>
    <t>v_I6VBFfeBqF0</t>
  </si>
  <si>
    <t>A man props his leg on the side of a tub.</t>
  </si>
  <si>
    <t>He is shaving his leg with a razor, revealing a tattoo underneath.</t>
  </si>
  <si>
    <t>When he is done, he wipes off the hair and shows a tattoo of homer simpson as the grim reaper.</t>
  </si>
  <si>
    <t>v_tu6EkaMa9c8</t>
  </si>
  <si>
    <t>A tubing advertisement is on the screen.</t>
  </si>
  <si>
    <t>Tubers are going down the river.</t>
  </si>
  <si>
    <t>West Virginia advertisement is on the screen.</t>
  </si>
  <si>
    <t>A tuber goes under a plank with a dog on it.</t>
  </si>
  <si>
    <t>The camera is pointed towards the sky and trees.</t>
  </si>
  <si>
    <t>One tuber runs into branches, one stands up and falls over.</t>
  </si>
  <si>
    <t>the cameraman turns circles in his tube then has a snack.</t>
  </si>
  <si>
    <t>One guy gets his head tangled in branches.</t>
  </si>
  <si>
    <t>The video ends with advertisements.</t>
  </si>
  <si>
    <t>v_cGNkR-JvaJs</t>
  </si>
  <si>
    <t>A sports logo flashes on the screen.</t>
  </si>
  <si>
    <t>A woman talking into a microphone wearing a white shirt.</t>
  </si>
  <si>
    <t>A man is playing pool behind a blue pool table.</t>
  </si>
  <si>
    <t>The woman continues talking in front of the pool table.</t>
  </si>
  <si>
    <t>The woman and the man talk to each other.</t>
  </si>
  <si>
    <t>A trophy flashes on the screen.</t>
  </si>
  <si>
    <t>The man and the woman continue talking.</t>
  </si>
  <si>
    <t>The man plays pool again.</t>
  </si>
  <si>
    <t>The man and woman continue talking to each other.</t>
  </si>
  <si>
    <t>It flashes back to the pool table.</t>
  </si>
  <si>
    <t>The man and woman continue talking and the woman laughs at what the man is saying.</t>
  </si>
  <si>
    <t>The man is now teaching the woman how to shoot the pool ball while standing behind her.</t>
  </si>
  <si>
    <t>The woman makes the shot and they celebrate with a high five.</t>
  </si>
  <si>
    <t>The man is telling the woman how to make another shot.</t>
  </si>
  <si>
    <t>She attempts the shot and makes it and they high five again.</t>
  </si>
  <si>
    <t>They continue talking and laughing.</t>
  </si>
  <si>
    <t>The woman lays down on the pool table and he shoots a ball out of her mouth.</t>
  </si>
  <si>
    <t>The woman is sitting in a chair next to the pool table talking into the microphone.</t>
  </si>
  <si>
    <t>A Maxim logo flashes on the screen.</t>
  </si>
  <si>
    <t>v_S4GiCywMi38</t>
  </si>
  <si>
    <t>A man demonstrates how to apply make up to a face by applying make up to his own face in the camera.</t>
  </si>
  <si>
    <t>A man talks to the camera, close up, while standing in front of a mirror.</t>
  </si>
  <si>
    <t>The man begins to put on makeup blush using a brush and brushing across the apples of his cheeks.</t>
  </si>
  <si>
    <t>The man then runs a crayon like makeup tool across his cheeks before returning to apply blush to his cheeks and forehead.</t>
  </si>
  <si>
    <t>the man then uses a narrow and wide brush across his cheeks and then back to the regular brush for the same areas of his face.</t>
  </si>
  <si>
    <t>v_BKrUkWSo4Ig</t>
  </si>
  <si>
    <t>An intro leads into a man holding a violin and playing with his hands.</t>
  </si>
  <si>
    <t>The man continues to play and then pauses to speak to the camera while also demonstrating how to properly play.</t>
  </si>
  <si>
    <t>v_m_B1Jb6Wwn0</t>
  </si>
  <si>
    <t>A man is cleaning the soles of his sneakers with the thin, metal end of a hose.</t>
  </si>
  <si>
    <t>The man places the hose back and starts to leave.</t>
  </si>
  <si>
    <t>v_Z8xxgFpK-NM</t>
  </si>
  <si>
    <t>A man is dancing on a stage in white pants.</t>
  </si>
  <si>
    <t>Two people start dancing together on a stage.</t>
  </si>
  <si>
    <t>A man does several back flips on the stage.</t>
  </si>
  <si>
    <t>A person is playing a drum.</t>
  </si>
  <si>
    <t>v_wuHLveuf6PQ</t>
  </si>
  <si>
    <t>Several person are seen riding down a hill on roller blades while a person on a police bike rides in front.</t>
  </si>
  <si>
    <t>At one point several people fall and trip over one another but keep riding their blades on.</t>
  </si>
  <si>
    <t>v_KgGQ6dHKl8U</t>
  </si>
  <si>
    <t>A man mounted on a horse chases after a cow.</t>
  </si>
  <si>
    <t>He catches the cow with a rope.</t>
  </si>
  <si>
    <t>He mounts off the horse and hits the cow several times.</t>
  </si>
  <si>
    <t>v_PIJd7_6RGpY</t>
  </si>
  <si>
    <t>A man stands around a fire pit, talking.</t>
  </si>
  <si>
    <t>The man lights a torch.</t>
  </si>
  <si>
    <t>The man uses the torch to light the wood in the fire pit.</t>
  </si>
  <si>
    <t>The man sits by the fire pit, enjoying the warmth.</t>
  </si>
  <si>
    <t>v_Yb5b_xx1P9I</t>
  </si>
  <si>
    <t>A man in a black shirt is checking food in a sandwich shop.</t>
  </si>
  <si>
    <t>The man then moves fast to make a hoagie sandwich by adding ingredients from the bins.</t>
  </si>
  <si>
    <t>The man wraps the sandwich in paper and puts it in a plastic bag.</t>
  </si>
  <si>
    <t>We see on a phone the man made the sandwich in 41 seconds.</t>
  </si>
  <si>
    <t>The man then takes the sandwich apart in the back.</t>
  </si>
  <si>
    <t>v_0ysVELHeEyc</t>
  </si>
  <si>
    <t>The camera pans down the side of a fence.</t>
  </si>
  <si>
    <t>It stops at a broken section.</t>
  </si>
  <si>
    <t>It continues to pan down the fence.</t>
  </si>
  <si>
    <t>Nails are hammered into the fence.</t>
  </si>
  <si>
    <t>They continue down the fence and remove some dead plants.</t>
  </si>
  <si>
    <t>They show a product used to clean the fence.</t>
  </si>
  <si>
    <t>A man sprays the fence with the product.</t>
  </si>
  <si>
    <t>He drops it and gets some paint.</t>
  </si>
  <si>
    <t>A painted section of the fence is shown.</t>
  </si>
  <si>
    <t>v_IOmzDJjVUoQ</t>
  </si>
  <si>
    <t>A little in a pink shirt is going across the monkey bars.</t>
  </si>
  <si>
    <t>She hangs upside down from the bars.</t>
  </si>
  <si>
    <t>She smiles at the camera.</t>
  </si>
  <si>
    <t>v_bvBNoeCBDdg</t>
  </si>
  <si>
    <t>A title screen appears for a tutorial for hockey agility.</t>
  </si>
  <si>
    <t>A hockey player goes through several routines showing agility warm ups with a hockey stick and puck and drills with tires, small cones.</t>
  </si>
  <si>
    <t>Another title screen appear with a website just below it.</t>
  </si>
  <si>
    <t>v_IcDadC2tw5c</t>
  </si>
  <si>
    <t>A person watches another person using a leaf blower in a yard from an elevated window.</t>
  </si>
  <si>
    <t>A person in dark clothing blows leaves on a piece of property in front of two open garage doors.</t>
  </si>
  <si>
    <t>Another person moves with the camera as they watch from a window in an elevated room against a white window sill.</t>
  </si>
  <si>
    <t>The person blowing the leaves moves around the yard and continues to do lawn maintenance.</t>
  </si>
  <si>
    <t>v_pFh-8ICMTFY</t>
  </si>
  <si>
    <t>A woman talks while on a stair machine in a gym and shows proper footing.</t>
  </si>
  <si>
    <t>The woman walks on aerobic machine in the gym without the handles.</t>
  </si>
  <si>
    <t>The woman uses the arm bars while walking on the aerobic machine.</t>
  </si>
  <si>
    <t>The woman holds the arm grips to get off the machine.</t>
  </si>
  <si>
    <t>v_N_zbcVs419E</t>
  </si>
  <si>
    <t>A person's hand is seen holding a paint brush.</t>
  </si>
  <si>
    <t>The hand then puts drops of ink on paper.</t>
  </si>
  <si>
    <t>The person's hand is seen again with the paint brush.</t>
  </si>
  <si>
    <t>The hand returns with an ink dropper and creates pictures with ink.</t>
  </si>
  <si>
    <t>The hand gently touches the picture with a paper towel.</t>
  </si>
  <si>
    <t>v_G5ueYVLGtm8</t>
  </si>
  <si>
    <t>The woman in black shirt is bend over and hit the ball with mallet.</t>
  </si>
  <si>
    <t>The woman hit again the green ball causing it to hit the small pole.</t>
  </si>
  <si>
    <t>The woman in black cheered and began to walk.</t>
  </si>
  <si>
    <t>v_jfFnL_o8QS0</t>
  </si>
  <si>
    <t>A stopwatch is shown and a crowd gathers for a game of field hockey.</t>
  </si>
  <si>
    <t>The documentary features the voice of a former player as archival footage is shown in color.</t>
  </si>
  <si>
    <t>Photos and video in black and white depicts the history of the game.</t>
  </si>
  <si>
    <t>The documentary then focuses on a famous player.</t>
  </si>
  <si>
    <t>After that, a famous manager is highlighted and former players talk about him.</t>
  </si>
  <si>
    <t>v_p28XWij4U1c</t>
  </si>
  <si>
    <t>A woman talks to a camera and then demonstrates exercises that can be done from the playground using playground equipment including monkey bars.</t>
  </si>
  <si>
    <t>A woman in a red short sleeved shirt stands on the sand of a playground and talks facing the camera, while standing next to some monkey bars.</t>
  </si>
  <si>
    <t>The woman begins to use the monkey bars and pulls herself across the entire expanse of the bar without using feet for propulsion from bar to bar, using just upper arm and core strength to pull across the bars.</t>
  </si>
  <si>
    <t>The woman then climbs a wall and jumps off it in a gymnastic flip into the sand and begins to talk to the camera again.</t>
  </si>
  <si>
    <t>v_bJj66H_WsDA</t>
  </si>
  <si>
    <t>A man is seen sitting on the sidelines followed by a large group of people playing lacrosse.</t>
  </si>
  <si>
    <t>The players continue to move up and down the field past one another and many watching on the sides.</t>
  </si>
  <si>
    <t>The group continue to play and end by scoring a goal and the ref reacting.</t>
  </si>
  <si>
    <t>v_xT6ejzSmftg</t>
  </si>
  <si>
    <t>A marching group of cadets in dark clothing comes into view in what appears to be a downtown city square.</t>
  </si>
  <si>
    <t>A drum corp is heard drumming proudly as the cadets march down the street.</t>
  </si>
  <si>
    <t>The marchers begin waving to the crowd and greeting the onlookers.</t>
  </si>
  <si>
    <t>A long train whistle is heard as the cadets continue to wave to the crowd.</t>
  </si>
  <si>
    <t>Behind the cadets, a marching band comes into view, dressed in white.</t>
  </si>
  <si>
    <t>The band marches by while playing cadet songs.</t>
  </si>
  <si>
    <t>v_Er88I-NQkG4</t>
  </si>
  <si>
    <t>spanish letters are shown in the video.</t>
  </si>
  <si>
    <t>baby kid is dancing in the top of a table wearing a white diaper in the kitchen and a woman is filming it.</t>
  </si>
  <si>
    <t>v_vaqswUFfvMY</t>
  </si>
  <si>
    <t>A gymnast bend to rise weight above his head, while other men sit in the gym watch him.</t>
  </si>
  <si>
    <t>The gymnast drops the weight to the floor.</t>
  </si>
  <si>
    <t>v_72F30o9V8v0</t>
  </si>
  <si>
    <t>A man is shown sitting on a fence and talking to the camera while pointing out horses.</t>
  </si>
  <si>
    <t>A girl is shown riding a horse while three others hold onto the horse and help.</t>
  </si>
  <si>
    <t>These people help various people on and off the horses.</t>
  </si>
  <si>
    <t>The people also walk through obstacle courses with the horses and keep one hand on at all times.</t>
  </si>
  <si>
    <t>The man stands in the middle applauding the riders and giving the horses direction.</t>
  </si>
  <si>
    <t>A boy smiles when he gets off the horse and several people congratulate him.</t>
  </si>
  <si>
    <t>The man finishes by talking about his camp and why you should join.</t>
  </si>
  <si>
    <t>v_dKf46wUnn-s</t>
  </si>
  <si>
    <t>Two children are seen walking around a yard play crochet with one another and laughing on the side.</t>
  </si>
  <si>
    <t>the kids continue to play with each other while the camera pans all around their movements.</t>
  </si>
  <si>
    <t>v_AoyoL-921Ws</t>
  </si>
  <si>
    <t>A large yard is shown followed by a young child pushing a lawn mower around.</t>
  </si>
  <si>
    <t>The boy continues pushing the lawn mower around while the camera watches from the side.</t>
  </si>
  <si>
    <t>The boy moves the mower all along the yard.</t>
  </si>
  <si>
    <t>v_Tg3FU9Ro6KQ</t>
  </si>
  <si>
    <t>A woman is seen speaking to the camera and leads into her holding up various nail polishes and beginning to a set of fake nails.</t>
  </si>
  <si>
    <t>She continues painting on the nails use several different colors and presents the nail to the camera in the end.</t>
  </si>
  <si>
    <t>v_Hev5Vj0Jjuk</t>
  </si>
  <si>
    <t>A group of girls look up at an amusement park ride and wave there hands in fear and anticipation.</t>
  </si>
  <si>
    <t>The girls put on safety harnesses.</t>
  </si>
  <si>
    <t>The group climb up the stairs to the top of the platform.</t>
  </si>
  <si>
    <t>A girl stands on top of the platform with a rope and harness and prepares to jump.</t>
  </si>
  <si>
    <t>A pop band is seen singing a song and dancing.</t>
  </si>
  <si>
    <t>The girl jumps from the platform and bounces on the bungee cord in the air.</t>
  </si>
  <si>
    <t>The girl is met by the group members who congratulate her for the jump.</t>
  </si>
  <si>
    <t>v_ygmYkKbS-4U</t>
  </si>
  <si>
    <t>A man in a blue shirt is sweeping the floor in a gym.</t>
  </si>
  <si>
    <t>He flips the broom over and lays it flat on the floor.</t>
  </si>
  <si>
    <t>He starts vacuuming around the floor.</t>
  </si>
  <si>
    <t>He vacuums the bottom of the broom.</t>
  </si>
  <si>
    <t>v_sx5Q-JsaAAs</t>
  </si>
  <si>
    <t>Two men play ping pong on front a crowd.</t>
  </si>
  <si>
    <t>When the person with black jacket serves, the ball lands on net, also the young man fails to serve well and the ball lands outside the table.</t>
  </si>
  <si>
    <t>The young man wins and raise his hands, while his opponent hug him.</t>
  </si>
  <si>
    <t>People take picture to the men.</t>
  </si>
  <si>
    <t>v_sicaCRRCkiY</t>
  </si>
  <si>
    <t>A camera shows several different ingredients laid out on a table followed by someone mixing the ingredients together.</t>
  </si>
  <si>
    <t>They put the mixture on a pan to create cookies in the oven and show off the final results.</t>
  </si>
  <si>
    <t>v_BFrsZmuj4Ns</t>
  </si>
  <si>
    <t>Two men are seen running around a circle surrounded by people and performing martial arts moves.</t>
  </si>
  <si>
    <t>More people come in the circle and the people continue spinning around one another and fighting with each other.</t>
  </si>
  <si>
    <t>v_m1pNOYN-DoI</t>
  </si>
  <si>
    <t>Four guys are throwing golf balls across a table to hit plastic cups.</t>
  </si>
  <si>
    <t>Two guys high five after one guy gets the golf ball into the plastic cup.</t>
  </si>
  <si>
    <t>Guys point at the camera and laugh.</t>
  </si>
  <si>
    <t>A guy takes the golf ball out of the cup and attempts to drink the liquid.</t>
  </si>
  <si>
    <t>A guy throws a golf ball with his back toward the table, lands it inside the cup, and leaves the room.</t>
  </si>
  <si>
    <t>The guys celebrate and give high fives.</t>
  </si>
  <si>
    <t>v_UXX8k68S3_g</t>
  </si>
  <si>
    <t>A person is seen drawing on the side of a pumpkin and then leads into cutting out the outlines.</t>
  </si>
  <si>
    <t>The person then wipes a rag all over the pumpkin cleaning off its sides.</t>
  </si>
  <si>
    <t>v_DCyLmohIwkQ</t>
  </si>
  <si>
    <t>A man slowly walks over and takes some equipment off of the wall as some dramatic music plays.</t>
  </si>
  <si>
    <t>He sets up the bow and gets his arrows.</t>
  </si>
  <si>
    <t>Next we see him outdoors as he walks across some grass towards a target.</t>
  </si>
  <si>
    <t>He pulls out an arrow and and sets it in his bow.</t>
  </si>
  <si>
    <t>After a few tries he gets a bulls-eye.</t>
  </si>
  <si>
    <t>He sets his bow and his arrows down onto a wooden platform.</t>
  </si>
  <si>
    <t>v_Rx4gq8hrZ8s</t>
  </si>
  <si>
    <t>Four people plays soccer table indoors.</t>
  </si>
  <si>
    <t>A man shows a ball on a stick and demonstrates the movement of the ball on the soccer table.</t>
  </si>
  <si>
    <t>Then the mans shows the ball to the players, and one of them grab the ball and others play.</t>
  </si>
  <si>
    <t>v_ydRycaBjMVw</t>
  </si>
  <si>
    <t>A man is seen sitting on a bench with other wiping his ear down with cleaner.</t>
  </si>
  <si>
    <t>The man looks at his phone while the other then begins piercing his ears.</t>
  </si>
  <si>
    <t>The man puts an earring in each hole while still speaking to the man and shoving off his earring.</t>
  </si>
  <si>
    <t>v_jpGyplACWUg</t>
  </si>
  <si>
    <t>a man is celebrating with his arms in the air.</t>
  </si>
  <si>
    <t>He is shown spinning on a field.</t>
  </si>
  <si>
    <t>He then throws the ball far away and it is measured.</t>
  </si>
  <si>
    <t>v_-5h2E52tl4Q</t>
  </si>
  <si>
    <t>A middle aged female talks about a cleaning product.</t>
  </si>
  <si>
    <t>The female opens a container of cleaner and puts it on a rag.</t>
  </si>
  <si>
    <t>The female then uses the rag to rub the inside of the sink.</t>
  </si>
  <si>
    <t>The same female then uses a different rag to rub the sink surface.</t>
  </si>
  <si>
    <t>The female puts more cleaner on the rag and cleans the counter top.</t>
  </si>
  <si>
    <t>v_Anvhv9FFv1Q</t>
  </si>
  <si>
    <t>A man is seen speaking to the camera and leads into him presenting various objects and sharpening a knife on a board.</t>
  </si>
  <si>
    <t>The man demonstrates how to properly sharpen the knife using the tools and his hands while continuing to sharpen the knife on the board.</t>
  </si>
  <si>
    <t>v_KanNWuKvkxs</t>
  </si>
  <si>
    <t>A woman talks and shows a little bottle.</t>
  </si>
  <si>
    <t>Then, the woman put on her eyes white contact lenses and continues explaining.</t>
  </si>
  <si>
    <t>v_It-SVT1ICJM</t>
  </si>
  <si>
    <t>A couple of toys are wrestling on a table next to a stack of dvds.</t>
  </si>
  <si>
    <t>They kick and push each other down.</t>
  </si>
  <si>
    <t>A screen of stars in a black sky are shown.</t>
  </si>
  <si>
    <t>v_xKPF_SpZ1gQ</t>
  </si>
  <si>
    <t>A calf and horse run out of a gate.</t>
  </si>
  <si>
    <t>The man catches the calf and ties it up.</t>
  </si>
  <si>
    <t>v_5olJd75WWFw</t>
  </si>
  <si>
    <t>A man wearing a black shirt is demonstrating how to polish wood and other surfaces using liquid polish and a white soft cloth.</t>
  </si>
  <si>
    <t>He pours some of the polish from the bottle onto the cloth and uses it to gently scrub ad rub it over the furniture and tabletop.</t>
  </si>
  <si>
    <t>He uses it over various surfaces to clean and polish the surfaces of wood, vinyl and leather.</t>
  </si>
  <si>
    <t>v_y20J3BbydOk</t>
  </si>
  <si>
    <t>kids are gathered around a wooden table in a kitchen.</t>
  </si>
  <si>
    <t>woman is cutting oranges and showing it to kids and squeezing it in a glass in the table.</t>
  </si>
  <si>
    <t>v_AEQ9zIG9LqA</t>
  </si>
  <si>
    <t>A man does several back flips on a red mat.</t>
  </si>
  <si>
    <t>A woman in a black shirt watches him go by and claps.</t>
  </si>
  <si>
    <t>He stands up and walks away.</t>
  </si>
  <si>
    <t>v_1HWajOhmPVg</t>
  </si>
  <si>
    <t>Various text is shown across the screen that leads into a man hosting a news segment.</t>
  </si>
  <si>
    <t>An athlete is then seen spinning around in circles and throwing an object off into the distance.</t>
  </si>
  <si>
    <t>More text is shown across the screen.</t>
  </si>
  <si>
    <t>v_PyM_VG5KFa4</t>
  </si>
  <si>
    <t>A channel is displaying some cool and incredible videos.</t>
  </si>
  <si>
    <t>A young boy is sitting outdoors on a wooden bench and drumming on a drum set that is made out of steel plates, cans and pots.</t>
  </si>
  <si>
    <t>A man just walked past him while the boy was drumming loudly.</t>
  </si>
  <si>
    <t>He continues to drum on the handmade drum set rhythmically.</t>
  </si>
  <si>
    <t>He plays in a fast manner without stopping.</t>
  </si>
  <si>
    <t>The screen shows details of how to subscribe to the channel.</t>
  </si>
  <si>
    <t>v_O0nOzufJ_OM</t>
  </si>
  <si>
    <t>A compilation/tribute video for a Hungarian discus throwing Olympian begins with some pictures of him in action.</t>
  </si>
  <si>
    <t>An attempt with him twirling rapidly begins and the discus launches.</t>
  </si>
  <si>
    <t>More photos play, showing the competitor in different positions.</t>
  </si>
  <si>
    <t>Two straight attempts featuring a powerful spin result in the the discus flying far both times.</t>
  </si>
  <si>
    <t>This is followed by more photos.</t>
  </si>
  <si>
    <t>Another attempt plays, followed by another slate of photos.</t>
  </si>
  <si>
    <t>The next attempt occurs in front of a large green net, the discus is launched like a rocket and the thrower celebrates.</t>
  </si>
  <si>
    <t>Another set of photos close the montage.</t>
  </si>
  <si>
    <t>v_9o_SlEkq-L0</t>
  </si>
  <si>
    <t>A man is standing in a yard of green grass and is shown mowing the lawn and when he's done there is a short exchange of a hand handing his hand one dollar bill.</t>
  </si>
  <si>
    <t>The man is then shown moving the grass again and when he's done he's once again indoors and this time getting three one dollar bills handed to him.</t>
  </si>
  <si>
    <t>He is once again back in the yard but this time he has the container filled with cut grass and a special effect makes it look like the cut grass is jumping into his container.</t>
  </si>
  <si>
    <t>A special effect shows the man quickly in one place and then in another spot that varies a lot all throughout the yard.</t>
  </si>
  <si>
    <t>The man goes back to mowing the yard and then back indoors to get one more dollar handed to him.</t>
  </si>
  <si>
    <t>The man is very happy about this and he's back in the yard celebrating by jumping and mowing the yard a little more.</t>
  </si>
  <si>
    <t>The man is then back indoors and a special effect shows a bunch of money flying into the air and straight into his hands and ends with a the man holding a bunch of money in his hands as they move.</t>
  </si>
  <si>
    <t>v_PzeM5iOLQnk</t>
  </si>
  <si>
    <t>We see a man talking in a bike ship.</t>
  </si>
  <si>
    <t>the man points at a bike.</t>
  </si>
  <si>
    <t>The man takes off the handlebars on a bike and adjusts them.</t>
  </si>
  <si>
    <t>The man puts the handlebars back on.</t>
  </si>
  <si>
    <t>The man moves to the front of the bike to adjust the handlebars.</t>
  </si>
  <si>
    <t>The man then finishes tightening the bolt on the handlebar.</t>
  </si>
  <si>
    <t>The man steps back when finished.</t>
  </si>
  <si>
    <t>v_ozgrP6Znupc</t>
  </si>
  <si>
    <t>Two men talk to the camera, interspersed with action footage of them playing lacrosse.</t>
  </si>
  <si>
    <t>The man dressed in orange talks to the camera.</t>
  </si>
  <si>
    <t>The man in orange demonstrates passing the lacrosse ball against the wall.</t>
  </si>
  <si>
    <t>The man in orange talks to the camera again.</t>
  </si>
  <si>
    <t>Both men demonstrate passing the lacrosse ball against the wall.</t>
  </si>
  <si>
    <t>The man in orange talks to the camera a third time while demonstrating with his lacrosse stick.</t>
  </si>
  <si>
    <t>The man is briefly interrupted by a scene of him passing the ball against the wall.</t>
  </si>
  <si>
    <t>The two man practice passing the ball to each other with the wall.</t>
  </si>
  <si>
    <t>The man in orange talks to the camera a final time.</t>
  </si>
  <si>
    <t>v_uklYBuQDwIw</t>
  </si>
  <si>
    <t>A woman is seen sitting down on a string while others watch around her.</t>
  </si>
  <si>
    <t>A man is shown speaking to the camera while others take their turns balance on the rope.</t>
  </si>
  <si>
    <t>More shots are shown of the people walking along one another.</t>
  </si>
  <si>
    <t>v_zFUUBWJ58UA</t>
  </si>
  <si>
    <t>A woman is seen walking up to a door and smiling to the camera while hanging up her coat.</t>
  </si>
  <si>
    <t>She puts an apron on and pours paint into a bucket while speaking to the camera.</t>
  </si>
  <si>
    <t>She is shown painting various furniture as well as showing it off in the end.</t>
  </si>
  <si>
    <t>v_mEEovBtzwHc</t>
  </si>
  <si>
    <t>A woman is seen sitting in a chair while speaking to the camera and leads into a close up of a tree and the woman putting ornaments on.</t>
  </si>
  <si>
    <t>The woman ties string all along the tree while the camera pans around and ends with her showing off the end result and speaking to the camera.</t>
  </si>
  <si>
    <t>v_nlXavqvgf6A</t>
  </si>
  <si>
    <t>A boy is sitting on a ramp with the flaps up on his dirt bike waiting to go on the course.</t>
  </si>
  <si>
    <t>The boy then comes back and begins moving the pedals on the bicycle and then stands up on the bike.</t>
  </si>
  <si>
    <t>Another angle is shown and the ramps are let down and the boy begins riding down the pavement.</t>
  </si>
  <si>
    <t>v_W4tmb8RwzQM</t>
  </si>
  <si>
    <t>A teen sits in a chair talking.</t>
  </si>
  <si>
    <t>The boy stands and we see him bouncing on a slackline in various locations.</t>
  </si>
  <si>
    <t>There is a second boy on a different line who walks away.</t>
  </si>
  <si>
    <t>The boy almost falls and steadys himself.</t>
  </si>
  <si>
    <t>The boy gets off and walks away.</t>
  </si>
  <si>
    <t>The boy walks to the camera and gestures with his hands.</t>
  </si>
  <si>
    <t>v_nnWJGghixr0</t>
  </si>
  <si>
    <t>A black intro screen appears with white words and letters saying "Eric Bristow's unique TV 'Robin Hood' Darts shot 1983 vs J Wilson".</t>
  </si>
  <si>
    <t>An older looking video begins and two different men are throwing darts at a dartboard.</t>
  </si>
  <si>
    <t>When the men are done throwing darts, a dartboard is show and blue letters scroll up from the bottom to the top.</t>
  </si>
  <si>
    <t>v_xPyj6pmYyEk</t>
  </si>
  <si>
    <t>An introduction comes onto the screen for a video about how to make linguine with clam sauce.</t>
  </si>
  <si>
    <t>Water is brought to a boil in a pot and the pasta is added to the pot.</t>
  </si>
  <si>
    <t>Parsley is finely chopped along with some garlic, and the clams are drained into a bowl to separate them from the juice.</t>
  </si>
  <si>
    <t>Olive oil goes into the pan with the garlic, red pepper, parsley, white wine, basil, salt, and clam juice to simmer, and the clams are added to the mixture at the end.</t>
  </si>
  <si>
    <t>The pasta is drained and added into the pan with the sauce.</t>
  </si>
  <si>
    <t>The pasta is then served with shredded cheese on top.</t>
  </si>
  <si>
    <t>v_gWyBBQtsDhc</t>
  </si>
  <si>
    <t>A woman with long hair is seen speaking to the camera while moving her arms around and smiling while she speaks.</t>
  </si>
  <si>
    <t>She then begins brushing her long hair out and smiling back at the camera and waving.</t>
  </si>
  <si>
    <t>v_-od9zDziq9U</t>
  </si>
  <si>
    <t>A girl walks up the the center of the stage and messes with her feet and gets in position.</t>
  </si>
  <si>
    <t>She pauses in that position before she begins to dance around.</t>
  </si>
  <si>
    <t>She does a split and some poses all around.</t>
  </si>
  <si>
    <t>She does some cart wheels and more dancing all around the court and finally she finishes.</t>
  </si>
  <si>
    <t>v_MkouTZhtvEI</t>
  </si>
  <si>
    <t>A large group of people are shown walking in holding bows and arrows and one making a shot.</t>
  </si>
  <si>
    <t>Several more people are shown making shots with their bows and arrows and celebrating in the end and standing on a podium waving.</t>
  </si>
  <si>
    <t>v_AIxxMCcmIgM</t>
  </si>
  <si>
    <t>We see a man water skiing.</t>
  </si>
  <si>
    <t>We see the water spraying on the left.</t>
  </si>
  <si>
    <t>The man jumps over to the right.</t>
  </si>
  <si>
    <t>The man is bending down on the surfboard.</t>
  </si>
  <si>
    <t>The man performs a flip.</t>
  </si>
  <si>
    <t>v_BfsCKU69hHs</t>
  </si>
  <si>
    <t>A pair of female hands uses an iron on a piece of baby clothing.</t>
  </si>
  <si>
    <t>The woman sets the iron aside and flips the clothing.</t>
  </si>
  <si>
    <t>The woman uses the iron on the other side of the clothing.</t>
  </si>
  <si>
    <t>The woman sets the iron aside.</t>
  </si>
  <si>
    <t>v_MY6o5ZObFLE</t>
  </si>
  <si>
    <t>A man is sipping a drink on the beach.</t>
  </si>
  <si>
    <t>A girl is applying squirts of suntan lotion onto their bodies.</t>
  </si>
  <si>
    <t>Then then go into the water, swimming and walking in the surf.</t>
  </si>
  <si>
    <t>v_AjiCJiOIDtI</t>
  </si>
  <si>
    <t>A man is seen speaking to the camera while holding up a foam rubber mat.</t>
  </si>
  <si>
    <t>The camera pans around more mats laying out while the man still speaks to the camera.</t>
  </si>
  <si>
    <t>v_vtYbJD2J8Tw</t>
  </si>
  <si>
    <t>A woman begins talking to the camera smiling and leads into her coming another woman's hair.</t>
  </si>
  <si>
    <t>She parts the hair into sections and places rollers into the woman's hair and talking to the camera.</t>
  </si>
  <si>
    <t>v_GJz8FEFB70w</t>
  </si>
  <si>
    <t>Two people lift a large weight over their heads.</t>
  </si>
  <si>
    <t>They drop the weight to the ground.</t>
  </si>
  <si>
    <t>The weights are shown on each side.</t>
  </si>
  <si>
    <t>v__4oBeoCuU7M</t>
  </si>
  <si>
    <t>Two cars are seen parked outside of a garage as a man focuses his camera.</t>
  </si>
  <si>
    <t>Once the camera is sin position,a man is shown with a steel mask on as he beats a piece on a concrete.</t>
  </si>
  <si>
    <t>The piece is on the concrete and he puts the bottom of the mask on and begins burning the metal.</t>
  </si>
  <si>
    <t>v_USOc5S2-3zA</t>
  </si>
  <si>
    <t>A woman in a belly dancer outfit is on stage.</t>
  </si>
  <si>
    <t>She walks down the lane while dancing and singing.</t>
  </si>
  <si>
    <t>She gyrates her hips and arms as she performs.</t>
  </si>
  <si>
    <t>v_bNh4SQ2nR80</t>
  </si>
  <si>
    <t>A video is shown for how to do a frizz free blowout.</t>
  </si>
  <si>
    <t>After washing and conditioning, product is applied and blow dried.</t>
  </si>
  <si>
    <t>Then the rest of the procedure is completed.</t>
  </si>
  <si>
    <t>v_8kGiDHAnTqY</t>
  </si>
  <si>
    <t>A man is helping a little girl go down a slide.</t>
  </si>
  <si>
    <t>She goes down the slide on her belly.</t>
  </si>
  <si>
    <t>She climbs up the side of the playground and goes down the slide again.</t>
  </si>
  <si>
    <t>v_BWCMfPoKlMM</t>
  </si>
  <si>
    <t>A large group of athletes are seen standing around a track while some holding their arms up to clap.</t>
  </si>
  <si>
    <t>One runner makes his way down the track and jumps into a large sand pit and walks away.</t>
  </si>
  <si>
    <t>v_NyL7m4JV8vQ</t>
  </si>
  <si>
    <t>A man in red runs jumps and flips over an obstacle.</t>
  </si>
  <si>
    <t>It is done over and over in slow motion.</t>
  </si>
  <si>
    <t>He then does it again for one last time.</t>
  </si>
  <si>
    <t>Then finally, they begin a race on a field a man wearing black crosses the finish line first.</t>
  </si>
  <si>
    <t>v_tr1sNwRTMd8</t>
  </si>
  <si>
    <t>A woman wearing number 177 is standing in place, she crosses her heart and get prepared to run.</t>
  </si>
  <si>
    <t>She breathes in deeply and starts to run really fast down the field.</t>
  </si>
  <si>
    <t>She jumps up high and lands right in the sand on to her butt, they show mulitple replays of her performance.</t>
  </si>
  <si>
    <t>She bends over and fixes her uniform, dusting off her bottom as she walks away.</t>
  </si>
  <si>
    <t>v_2UJ4wqJt_Y8</t>
  </si>
  <si>
    <t>People are roller blading about in front of a building.</t>
  </si>
  <si>
    <t>A man roller blades fast.</t>
  </si>
  <si>
    <t>The man lifts his hands up in the air and starts to stop his roller blades.</t>
  </si>
  <si>
    <t>v_ycBFz2RdgoY</t>
  </si>
  <si>
    <t>People windsurf on a large body of water.</t>
  </si>
  <si>
    <t>A park sign that reads "Welcome to Kanaha Beach Park" is shown.</t>
  </si>
  <si>
    <t>More windsurfers are shown racing across the water.</t>
  </si>
  <si>
    <t>v_VkRjs03YEjE</t>
  </si>
  <si>
    <t>The man in the corner kicks the ball straight into the net.</t>
  </si>
  <si>
    <t>The team runs around the court celebrating.</t>
  </si>
  <si>
    <t>A man in the stands climbs over the railing and runs onto the court celebrating.</t>
  </si>
  <si>
    <t>The group is in a bunch celebrating on the court.</t>
  </si>
  <si>
    <t>One of the players kicks the ball into the stands and walks off with his head down.</t>
  </si>
  <si>
    <t>A few players are standing in the corner looking like they are arguing.</t>
  </si>
  <si>
    <t>A bunch of players and spectators run the court toward the melee.</t>
  </si>
  <si>
    <t>Men are running along the edge of the court.</t>
  </si>
  <si>
    <t>The small group is still arguing and holding back fights.</t>
  </si>
  <si>
    <t>A small group is having an animated discussion.</t>
  </si>
  <si>
    <t>The two men walk back on to the court as the group starts talking again around the court floor and edge.</t>
  </si>
  <si>
    <t>v_2tpwfPdSEVo</t>
  </si>
  <si>
    <t>A woman talks as she is seated on the ground.</t>
  </si>
  <si>
    <t>She shows off a pair of clipping scissors.</t>
  </si>
  <si>
    <t>She then uses them to gently but quickly trim a cat's nails while another woman assists her.</t>
  </si>
  <si>
    <t>v_NI-TZyAxJU0</t>
  </si>
  <si>
    <t>People raft down a narrow river between two mountains.</t>
  </si>
  <si>
    <t>People rafting passing troubled waters in the narrow river.</t>
  </si>
  <si>
    <t>People sail down the rocky river in an open space.</t>
  </si>
  <si>
    <t>v_5V47VQHzWHc</t>
  </si>
  <si>
    <t>A man is seated at the front of a church and plays a song on an accordion.</t>
  </si>
  <si>
    <t>The man goes all the way down the scale than back up at the end of the song.</t>
  </si>
  <si>
    <t>The man finishes the song and smiles.</t>
  </si>
  <si>
    <t>v_QgzpNg0Ponc</t>
  </si>
  <si>
    <t>A man is seen riding on a skateboard down a hill on his head.</t>
  </si>
  <si>
    <t>More shots are shown of people performing tricks on skateboards around an area.</t>
  </si>
  <si>
    <t>The people continue to perform tricks and ride around while other people watch on the side.</t>
  </si>
  <si>
    <t>v_ot4CuJqrN-Y</t>
  </si>
  <si>
    <t>A group of band mates are outside at a park.</t>
  </si>
  <si>
    <t>They are wearing revolutionary war era outfits.</t>
  </si>
  <si>
    <t>They play the drums in unison to a beat.</t>
  </si>
  <si>
    <t>v_mLijl36SjJU</t>
  </si>
  <si>
    <t>A man is seen kneeling onto a floor holding a bit of carpet and speaking to the camera.</t>
  </si>
  <si>
    <t>He peels off the layers and begins rubbing down the carpet.</t>
  </si>
  <si>
    <t>He pours liquid onto the carpet and pats it down with a paper towel.</t>
  </si>
  <si>
    <t>Finally the person vacuums up the carpet and is seen standing next to the vacuum.</t>
  </si>
  <si>
    <t>v_QeH6IOAjy-4</t>
  </si>
  <si>
    <t>Three people are in the gym,one of the males is kneeling down and jerking a bar while the other is giving a massage to a woman.</t>
  </si>
  <si>
    <t>The male with the bar lifts the weights,drops it and then jumps in joy that he has lifted the weight,drops his belt and walks off.</t>
  </si>
  <si>
    <t>v_CXSoih6nFME</t>
  </si>
  <si>
    <t>A young child is seen adjusting the camera and showing off her face.</t>
  </si>
  <si>
    <t>She grabs some makeup and begins putting it all over her face.</t>
  </si>
  <si>
    <t>She continues putting on more makeup and showing it off to the camera.</t>
  </si>
  <si>
    <t>v_uVHuVnv5XAk</t>
  </si>
  <si>
    <t>A man sprints down a track.</t>
  </si>
  <si>
    <t>The man jumps at the end of the track.</t>
  </si>
  <si>
    <t>The man's jump is shown from different angles an in slow motion.</t>
  </si>
  <si>
    <t>v_v-dxQNxdMrU</t>
  </si>
  <si>
    <t>A camera pans around large city buildings and leads into people riding motocross bikes.</t>
  </si>
  <si>
    <t>More clips are seen of people performing tricks on the bike while hundreds watch on the sidelines.</t>
  </si>
  <si>
    <t>More people are seen riding around and waving their hands up in the end.</t>
  </si>
  <si>
    <t>v_Nosx28FNB5E</t>
  </si>
  <si>
    <t>People start to play a game of pool.</t>
  </si>
  <si>
    <t>A man talks to the camera and laughs.</t>
  </si>
  <si>
    <t>v_x8yuq2i72eo</t>
  </si>
  <si>
    <t>Four people are doing situps on the ground.</t>
  </si>
  <si>
    <t>The third person is paused.</t>
  </si>
  <si>
    <t>The farthest person is barely visible.</t>
  </si>
  <si>
    <t>v_9hPFweZeIWs</t>
  </si>
  <si>
    <t>People are standing around an arena wearing cowboy hats.</t>
  </si>
  <si>
    <t>They release a calf from a box.</t>
  </si>
  <si>
    <t>A man on a horse runs after the calf.</t>
  </si>
  <si>
    <t>He ties the legs of the calf and gets up and walks away.</t>
  </si>
  <si>
    <t>v_dZSjgAYlpS0</t>
  </si>
  <si>
    <t>A man is standing over a sink and with his right hand he's holding a drill that has a potato attached to the end of it, and the right hand is holding the hand peeler as the drill moves the potato and the peeler peels it.</t>
  </si>
  <si>
    <t>The man temporarily stops the drill to pull off a small piece of potato and a long piece of metal is shown sticking out of the drill.</t>
  </si>
  <si>
    <t>The man then puts another potato onto the pointy metal piece and continues to peel the potato.</t>
  </si>
  <si>
    <t>Once again he stops and then cleans off his peeler and then returns back to peeling the rest of the potato.</t>
  </si>
  <si>
    <t>The man stops the drill for the last time,lets it go and cleans the peeler once more with both hands as he throws the contents into the sink and.</t>
  </si>
  <si>
    <t>v_eBITMlyTZhY</t>
  </si>
  <si>
    <t>A lady gets up from her seat and we see the orchestra playing music.</t>
  </si>
  <si>
    <t>The woman does a belly dancing routine on the stage.</t>
  </si>
  <si>
    <t>We see a camera enter the scene on the right.</t>
  </si>
  <si>
    <t>We see the back of the head of a man.</t>
  </si>
  <si>
    <t>We then see the woman next to the man.</t>
  </si>
  <si>
    <t>The woman finishes her dance and picks up her wrap.</t>
  </si>
  <si>
    <t>We see a somber lady holding a microphone.</t>
  </si>
  <si>
    <t>v_J98U-PGh1bQ</t>
  </si>
  <si>
    <t>A man is mopping a dirty public bathroom floor.</t>
  </si>
  <si>
    <t>He pushes the mop back and forth, making the floor clean and shiny.</t>
  </si>
  <si>
    <t>v_xVQkf_TrX7U</t>
  </si>
  <si>
    <t>A big man dressed as batman is running around doing weird nonsensical stuff.</t>
  </si>
  <si>
    <t>He runs inside of the house and begins to start giving instructions on how to make the perfect batman sandwich.</t>
  </si>
  <si>
    <t>He is cutting up cheese and adding ham to the sandwich.</t>
  </si>
  <si>
    <t>He even cuts the bread into a batman shape before finally doing being done.</t>
  </si>
  <si>
    <t>v_4VVIFV6XmKo</t>
  </si>
  <si>
    <t>Two men are in a small gym boxing and fighting one another.</t>
  </si>
  <si>
    <t>They continue fighting and hitting one another as a person stands in the corner showing them.</t>
  </si>
  <si>
    <t>After some time,they finish fighting and stand still across from one another in the gym.</t>
  </si>
  <si>
    <t>v_pOyP_kDaskY</t>
  </si>
  <si>
    <t>A man in a suit reads off of a paper.</t>
  </si>
  <si>
    <t>A woman then begins to report a news story.</t>
  </si>
  <si>
    <t>A young boy plays the harmonica on the street.</t>
  </si>
  <si>
    <t>He stands on a dock telling his story.</t>
  </si>
  <si>
    <t>v_ZFi592_m_NQ</t>
  </si>
  <si>
    <t>A man is shown on camera doing several moves with his arms and legs while smiling into the camera.</t>
  </si>
  <si>
    <t>He performs several more moves slowly and continues to speak and smile to the camera.</t>
  </si>
  <si>
    <t>v_v_Vg4a8igc0</t>
  </si>
  <si>
    <t>A woman is bathing a white and brown puppy dog in a bathtub.</t>
  </si>
  <si>
    <t>the woman is using a hand held shower to wash the dog.</t>
  </si>
  <si>
    <t>The woman is holding the dog with its two front legs.</t>
  </si>
  <si>
    <t>She continues to wash the dog with the shower.</t>
  </si>
  <si>
    <t>v_7knqgoHxuGE</t>
  </si>
  <si>
    <t>Several people are at a party.</t>
  </si>
  <si>
    <t>They are drinking and playing beer pong.</t>
  </si>
  <si>
    <t>There are people dancing and looking at their phones.</t>
  </si>
  <si>
    <t>v_tES39s-LJsQ</t>
  </si>
  <si>
    <t>The name Seppe Smits appears on screen followed by "Snow Boarding 2400 Hours A Day".</t>
  </si>
  <si>
    <t>Video of Smits starting his day is intermixed with shots of him snowboarding.</t>
  </si>
  <si>
    <t>Social media hashtags on are shown on screen.</t>
  </si>
  <si>
    <t>v_c3lo99rni-o</t>
  </si>
  <si>
    <t>woman is standing in a kitchen talking to the camera holding a bag of pasta.</t>
  </si>
  <si>
    <t>woman grab some pasta and put them in boiled water.</t>
  </si>
  <si>
    <t>woman grab one spaghetti and eats it to see if is cooked and explain how to know it.</t>
  </si>
  <si>
    <t>throw the water in the sink and grate cheese in pasta and a little oegano and serve it in a white plate.</t>
  </si>
  <si>
    <t>v_IGamNJ5yIh4</t>
  </si>
  <si>
    <t>A group of men are on a sandy beach playing soccer while a lot of people are looking on.</t>
  </si>
  <si>
    <t>A man kicks the ball very hard, makes it in the goal and he throws his two arms up in the air and gives a team mate a high five and they all run back to get into place for the next play.</t>
  </si>
  <si>
    <t>The replay of the goal that was kicked is replayed but in slow motion.</t>
  </si>
  <si>
    <t>v_YJxqF6aSs7s</t>
  </si>
  <si>
    <t>A man is holding a camera as he stands talking beside a lake.</t>
  </si>
  <si>
    <t>He goes through tunnels, walks along bridges, and stands over cliffs.</t>
  </si>
  <si>
    <t>He drives down a road and records rafting on a white water river.</t>
  </si>
  <si>
    <t>People are shown diving into deep waters off of cliffs before rafting again.</t>
  </si>
  <si>
    <t>v_jhuRtkqUSSI</t>
  </si>
  <si>
    <t>A camera pans out on a man's back followed by a man performing a flipping dive into a pool.</t>
  </si>
  <si>
    <t>He is shown twice more performing impressing dives off the diving board and into the pool.</t>
  </si>
  <si>
    <t>v_OhydQlKoSUw</t>
  </si>
  <si>
    <t>A person is seen getting out of a car and walking around to the trunk to grab a surf board.</t>
  </si>
  <si>
    <t>The person is then seen wearing a suit and running down a boardwalk followed by him surfing.</t>
  </si>
  <si>
    <t>The man glides along the water in slow motion and is then seen speaking to the camera.</t>
  </si>
  <si>
    <t>v_iJzt1rvGiOc</t>
  </si>
  <si>
    <t>A blond woman is sitting on a bed in a hotel room videotaping her self in a mirror with a white phone and talking to the camera.</t>
  </si>
  <si>
    <t>the woman stands up and points the camera to the door into the bathroom where a man is washing his sneakers in the sink with a brush.</t>
  </si>
  <si>
    <t>The blond woman walks back into the room and shows all the various pairs of sneakers the man has laying all over the hotel room.</t>
  </si>
  <si>
    <t>The blond woman walks back into the bathroom and video tapes the man holding the white sneakers.</t>
  </si>
  <si>
    <t>The man is now outside putting polish and plastic tape on the sneakers and he is detailing them with a toothbrush.</t>
  </si>
  <si>
    <t>There are various pictures of the end product of clean sneakers.</t>
  </si>
  <si>
    <t>v_GPl7nFwqSgk</t>
  </si>
  <si>
    <t>A large group of people are seen standing in a circle playing drums with one person in the middle instructing them.</t>
  </si>
  <si>
    <t>The camera pans around the group playing drums while people them on the side.</t>
  </si>
  <si>
    <t>v_zcDA0s8eWU4</t>
  </si>
  <si>
    <t>A woman chops wood on a block with an ax.</t>
  </si>
  <si>
    <t>She has a hard time getting the ax out of the wood.</t>
  </si>
  <si>
    <t>Someone else comes and tries to get it out but they can't.</t>
  </si>
  <si>
    <t>The first girl comes back and continues trying to pull the ax out of the wood.</t>
  </si>
  <si>
    <t>v_64oq7grVNVs</t>
  </si>
  <si>
    <t>A young man clips the hair of several older men in an outdoor barber chair.</t>
  </si>
  <si>
    <t>The man cutting hair is inside a barber shop talking.</t>
  </si>
  <si>
    <t>Some still shots of the man cutting hair are shown.</t>
  </si>
  <si>
    <t>The man is seen again cutting a mans hair in the outdoor barber chair.</t>
  </si>
  <si>
    <t>v_ntKbTDQUhDA</t>
  </si>
  <si>
    <t>A man is pouring shots of alcohol into a blender.</t>
  </si>
  <si>
    <t>He blends the drink together.</t>
  </si>
  <si>
    <t>He puts orange slices on two glasses.</t>
  </si>
  <si>
    <t>He pours the drink from the blender into the glasses and adds straws.</t>
  </si>
  <si>
    <t>v_TexMXN2yegk</t>
  </si>
  <si>
    <t>A man is carving a pumpkin.</t>
  </si>
  <si>
    <t>A man in a batman costume is shown.</t>
  </si>
  <si>
    <t>The man continues carving the pumpkin.</t>
  </si>
  <si>
    <t>A dog is chewing on a blue ball.</t>
  </si>
  <si>
    <t>v_RaYMOYWhba8</t>
  </si>
  <si>
    <t>A group of young boys are seen passing soccer balls to each along a large sandy beach.</t>
  </si>
  <si>
    <t>They continue running back and fourth on the sand and passing the ball to one another.</t>
  </si>
  <si>
    <t>v_9AqHhUuE9bE</t>
  </si>
  <si>
    <t>A man is sitting along side a road polishing a shoe.</t>
  </si>
  <si>
    <t>Some other people are seated nearby, and many individuals walk past him.</t>
  </si>
  <si>
    <t>A motorcycle drives by on the road.</t>
  </si>
  <si>
    <t>The man puts the shoe down and picks up another one to polish.</t>
  </si>
  <si>
    <t>v_yIIDIQDKVhI</t>
  </si>
  <si>
    <t>A man in a red polo shirt demonstrates the Kleva Sharp sharpener.</t>
  </si>
  <si>
    <t>He sharpens a dull butcher knife and cuts a tomato.</t>
  </si>
  <si>
    <t>The man in the red polo shirt then sharpens a dull steak knife and cuts a tomato into slices and then he cuts a cucumber into slices.</t>
  </si>
  <si>
    <t>The man demonstrating the Kleva Sharpener, he sharpens a garden clipper and slices a carrot.</t>
  </si>
  <si>
    <t>The demonstrator then sharpens a serated bread knife and slices a loaf of bread.</t>
  </si>
  <si>
    <t>A series of demonstrations of different knives cutting different foods.</t>
  </si>
  <si>
    <t>The Kleva Sharpener is dismounted from the table and stored in a cabinet drawer.</t>
  </si>
  <si>
    <t>The Kleva Sharpener is mounted on the refrigerator on a wall and on the table.</t>
  </si>
  <si>
    <t>He demonstrates the locking mechanism.</t>
  </si>
  <si>
    <t>v_eGLD-0b1LV0</t>
  </si>
  <si>
    <t>A woman is speaking while standing next to an elliptical trainer.</t>
  </si>
  <si>
    <t>The mechanics of the elliptical machine are shown.</t>
  </si>
  <si>
    <t>We then see the woman on the machine, demonstrating how it works.</t>
  </si>
  <si>
    <t>v_2mI7NL54yP8</t>
  </si>
  <si>
    <t>A man is shown on a bike riding across the snow.</t>
  </si>
  <si>
    <t>Then another group of people are riding in a cart through the snow.</t>
  </si>
  <si>
    <t>Three skiers are pictured on top of a mountain of a snow and they begin skiing.</t>
  </si>
  <si>
    <t>A skier is then panned up and down holding a set of skiis as well as people on mountain bikes and they begin racing.</t>
  </si>
  <si>
    <t>v_KTk1Rh8Lgdw</t>
  </si>
  <si>
    <t>A woman puts rollers to a young lady, combing a portion of the hair and then coil on a roller.</t>
  </si>
  <si>
    <t>The young lady raise her left hand to pass a roller to the woman while taking.</t>
  </si>
  <si>
    <t>The young lady put a towel on front her face.</t>
  </si>
  <si>
    <t>v_cC3dwwPPHKE</t>
  </si>
  <si>
    <t>Several views are shown of a machine from different angles.</t>
  </si>
  <si>
    <t>A woman uses an attachment to suck the wrinkles out of a shirt.</t>
  </si>
  <si>
    <t>She then hangs a pair of pants, and irons it smooth, creating a crease.</t>
  </si>
  <si>
    <t>v_b993qWuMRBA</t>
  </si>
  <si>
    <t>We see a man in the upper corner and out over the hood of a car while driving.</t>
  </si>
  <si>
    <t>The car stops at an intersection.</t>
  </si>
  <si>
    <t>The car makes a u-turn.</t>
  </si>
  <si>
    <t>The man drives into a car wash and gets out.</t>
  </si>
  <si>
    <t>The man pressure washes ice off his car and continues rinsing his car.</t>
  </si>
  <si>
    <t>The man shows his wet car.</t>
  </si>
  <si>
    <t>v_Zl6o69-R2DE</t>
  </si>
  <si>
    <t>man is talking to the camera is a snowy day outside a house.</t>
  </si>
  <si>
    <t>man is holding a shovel and cleaning the path from the snow.</t>
  </si>
  <si>
    <t>little kid is wearing red snow clothes and is standing nxt to a car.</t>
  </si>
  <si>
    <t>the man stops and is again talking to the camera with the shovel on his hands.</t>
  </si>
  <si>
    <t>v_9KNOOoIK0zw</t>
  </si>
  <si>
    <t>A lady in a black tank top gives instruction on how to blow dry a girl's hair wearing a blue t-shirt.</t>
  </si>
  <si>
    <t>The hair stylist first places a liquid in her hand and rubs it into the models hair and then brushes clients hair.</t>
  </si>
  <si>
    <t>The lady in the black tank top uses the blow drier while combing the hair with a brush.</t>
  </si>
  <si>
    <t>Scenes of the finished product showing side views and back vies of the models hair.</t>
  </si>
  <si>
    <t>v_M9og58TMAm0</t>
  </si>
  <si>
    <t>A woman is seen moving up and down on an exercise bar while several shots are shown of her exercising.</t>
  </si>
  <si>
    <t>She's shown again holding weights and doing exercises while standing on the beam as well as laying.</t>
  </si>
  <si>
    <t>v_WUdefl_j2-8</t>
  </si>
  <si>
    <t>man is sitting on a seat of the car watching by the window.</t>
  </si>
  <si>
    <t>man is snowboarding on snowy slope making high jumps.</t>
  </si>
  <si>
    <t>men are in a dark room with pots.</t>
  </si>
  <si>
    <t>v_BVhUKjJrEw8</t>
  </si>
  <si>
    <t>Guys play polo sport on a dirt arena.</t>
  </si>
  <si>
    <t>v_-c71seS8bWk</t>
  </si>
  <si>
    <t>An intro leads into a fox news segment with two anchors speaking.</t>
  </si>
  <si>
    <t>A woman is then interviewed followed by several pictures of mushrooms and people speaking with one another.</t>
  </si>
  <si>
    <t>A doctor examines a man and interviews the camera followed by people using household products and interviewing the reporter.</t>
  </si>
  <si>
    <t>v_or7N8oeI-SY</t>
  </si>
  <si>
    <t>We see a lady sitting on the floor with a shoe, bucket of water, brush and soap.</t>
  </si>
  <si>
    <t>The lady shows us the items one at a time.</t>
  </si>
  <si>
    <t>We see an illustration of a thermometer.</t>
  </si>
  <si>
    <t>We see an illustration of a washer.</t>
  </si>
  <si>
    <t>The lady puts her shoe in the bucket and scrubs it with a the brush.</t>
  </si>
  <si>
    <t>She shows us the already cleaned shoe.</t>
  </si>
  <si>
    <t>We see a radiator illustration.</t>
  </si>
  <si>
    <t>The lady picks up the soap and we see an illustration of a shelf.</t>
  </si>
  <si>
    <t>The ending title screen plays.</t>
  </si>
  <si>
    <t>v_zjAZ7m8TQ3E</t>
  </si>
  <si>
    <t>A woman and her child are outside of a cabin sitting on a wooden table talking to one another.</t>
  </si>
  <si>
    <t>The camera then pans the cabin and a large mountain of snow is shown.</t>
  </si>
  <si>
    <t>After,the woman and her daughter are seen on a flat standing ski lift with large donut tubes following behind them.</t>
  </si>
  <si>
    <t>Once they are at the top,they get into the tubes and race to the bottom along with several other people who are also at the place.</t>
  </si>
  <si>
    <t>v_HGk9BqOuxCE</t>
  </si>
  <si>
    <t>A man is seen standing in front of a chalk board holding a musical instrument and transitioning to the chalk board every now and then.</t>
  </si>
  <si>
    <t>A person's hand is seen using an ipod followed by more shots of the person talking and writing on a paper.</t>
  </si>
  <si>
    <t>The man then plays the instrument as the camera captures him from several angles while pausing to speak.</t>
  </si>
  <si>
    <t>v_EjRE-fbECtg</t>
  </si>
  <si>
    <t>A man in white shirt and gray shorts is standing at the center of the court, while young people in black tops and black shorts are standing behind him.</t>
  </si>
  <si>
    <t>The young people where standing in a triangle form, the young man at the center start to perform by having his arms up then jump and do it again and some of the girls followed what he is doing.</t>
  </si>
  <si>
    <t>v_1o-Fx2dGfpc</t>
  </si>
  <si>
    <t>A woman is sitting down holding a violin.</t>
  </si>
  <si>
    <t>She lifts the violin up and starts playing it.</t>
  </si>
  <si>
    <t>She finishes and lowers the violin.</t>
  </si>
  <si>
    <t>v_H_Spgfds1iY</t>
  </si>
  <si>
    <t>A large group of people are seen walking into an office and interviewing a man on television.</t>
  </si>
  <si>
    <t>Many people are watching the interview and one man speaks to a woman angrily.</t>
  </si>
  <si>
    <t>The woman strikes the man and more people are seen walking around and talking.</t>
  </si>
  <si>
    <t>The people walk into a bar and begin playing pool and speaking.</t>
  </si>
  <si>
    <t>v_GYkKMTl-0Os</t>
  </si>
  <si>
    <t>A small group of women are seen standing around a kitchen with one stirring ingredients into a large pot.</t>
  </si>
  <si>
    <t>Another woman walks into frame when one woman pours more into the bowl and mixing it around.</t>
  </si>
  <si>
    <t>She hands a spoonful for a girl to try and another takes the bowl away from the table.</t>
  </si>
  <si>
    <t>v_kee3-2cw7-E</t>
  </si>
  <si>
    <t>A man is seen blindfolded while holding a stick and two others around him.</t>
  </si>
  <si>
    <t>The man then swings violently at the pinata as someone moves it higher and then drops the pinata right above his head.</t>
  </si>
  <si>
    <t>v__dLbtK8_SHo</t>
  </si>
  <si>
    <t>The video is about a tennis tutorial and drill by Edgar Giffenig.</t>
  </si>
  <si>
    <t>There are two lady tennis players on a clay court who are demonstrating how to throw the ball up high to the partner.</t>
  </si>
  <si>
    <t>The player is shuffling behind the net and turning the racquet upside down in between the shots.</t>
  </si>
  <si>
    <t>Then the players demonstrate another drill as they shuffle on the tennis court in between shots and returning the balls.</t>
  </si>
  <si>
    <t>The player bounces the ball back with the tip of the racquet handle.</t>
  </si>
  <si>
    <t>They continue playing while demonstrating the tennis drill.</t>
  </si>
  <si>
    <t>v_h1d-jcsWap8</t>
  </si>
  <si>
    <t>A person is seen peeling off potatoes into a box with pausing for a bit to speak to the camera.</t>
  </si>
  <si>
    <t>The person peels several potatoes and shows of a bowl full of potatoes while peeling even more.</t>
  </si>
  <si>
    <t>v_QCcueK6xiZ4</t>
  </si>
  <si>
    <t>A man is crouching on the ground, cleaning something.</t>
  </si>
  <si>
    <t>Several cars are parked in a parking lot.</t>
  </si>
  <si>
    <t>People are seeing washing the cars with soap and water.</t>
  </si>
  <si>
    <t>v_pV1b0Fs6qW8</t>
  </si>
  <si>
    <t>Three people are seen flying a kite in a field and text appears on the screen.</t>
  </si>
  <si>
    <t>A scary girl appears then leads into pictures of kids flying kites.</t>
  </si>
  <si>
    <t>v_ZBZUrC4M5E8</t>
  </si>
  <si>
    <t>A buff man steps into a circle and puts the shot put on this shoulder.</t>
  </si>
  <si>
    <t>The man then spins around and throws the ball into the field.</t>
  </si>
  <si>
    <t>Once completed,he puts on a large neon shirt.</t>
  </si>
  <si>
    <t>Another man approaches the cirle and does the samething as someone comes to the field and measure how far the ball went.</t>
  </si>
  <si>
    <t>The contestants then come back and begin talking to each other before their scores are shown.</t>
  </si>
  <si>
    <t>An aerial view is then provided,then the camera pans the crowd.</t>
  </si>
  <si>
    <t>v_MKLwNTbEK4E</t>
  </si>
  <si>
    <t>A close up of a poker table is shown followed by the camera panning around to other tables in the area as well as people playing.</t>
  </si>
  <si>
    <t>Several clips are shown of people sitting at tables gambling as well as laughing to the camera.</t>
  </si>
  <si>
    <t>More pictures are shown of people at the casino as well as video of them wandering around the area.</t>
  </si>
  <si>
    <t>v_bWYIL4KG8kM</t>
  </si>
  <si>
    <t>This girl is shown zooming in on people's teeth, eyes and other things on their face.</t>
  </si>
  <si>
    <t>Then she shows us the game of dodge ball is going.</t>
  </si>
  <si>
    <t>v_soGmSXFO7wI</t>
  </si>
  <si>
    <t>A man walks onto a field before a crowd, holding a heavy ball into the air.</t>
  </si>
  <si>
    <t>He spins, then throws the ball as far as he can.</t>
  </si>
  <si>
    <t>A woman and several others follow, doing the same.</t>
  </si>
  <si>
    <t>The winners celebrate, holding up flags and hugging joyfully.</t>
  </si>
  <si>
    <t>v_fgBFlwM466w</t>
  </si>
  <si>
    <t>A man is seen swimming in a pool holding various objects in his hands and showing how to put them on.</t>
  </si>
  <si>
    <t>He then swims down the pool with a breast stroke to the end and works his way back.</t>
  </si>
  <si>
    <t>v_Y-CZasxVlx4</t>
  </si>
  <si>
    <t>A girl holding a guitar talks to the camera.</t>
  </si>
  <si>
    <t>The girl plays the guitar as she sits on the sofa.</t>
  </si>
  <si>
    <t>The girl stops playing and talks to the camera again while demonstrating.</t>
  </si>
  <si>
    <t>v_AG6Rpvxxetg</t>
  </si>
  <si>
    <t>The video takes place in a gymnastics arena.</t>
  </si>
  <si>
    <t>A man is performing gymnastics on a beam while several others are watching.</t>
  </si>
  <si>
    <t>The man begins on the beam upside down.</t>
  </si>
  <si>
    <t>He then does several flips.</t>
  </si>
  <si>
    <t>The video ends as he performs a final flip and hops off the beam.</t>
  </si>
  <si>
    <t>v_VHUC47iq1Wg</t>
  </si>
  <si>
    <t>Several clips of cricketers are shown.</t>
  </si>
  <si>
    <t>In them a someone throws a ball at a player.</t>
  </si>
  <si>
    <t>Another player hits the ball with his bat.</t>
  </si>
  <si>
    <t>Another player then catches the ball.</t>
  </si>
  <si>
    <t>v__JE5T2RKZvo</t>
  </si>
  <si>
    <t>A woman is seen speaking to the camera and leads into her sanding down a board in several locations.</t>
  </si>
  <si>
    <t>She then sands more objects and shows off a large selection of tools she has.</t>
  </si>
  <si>
    <t>She hammers down the sides of the board and ends with her painting the board.</t>
  </si>
  <si>
    <t>v_EVSuDXeNUYQ</t>
  </si>
  <si>
    <t>The cheer leading team walked towards the stage, while in the audience, their teammates, who are wearing red and white uniforms are cheering.</t>
  </si>
  <si>
    <t>The team started their cheer dance, where women are stood up on the the men's hands, they did pinwheels, jumped in the air, held some banners in the air, jumped high in the air and fell on their teammate's arms.</t>
  </si>
  <si>
    <t>v_W80KSM1I47Q</t>
  </si>
  <si>
    <t>Video from the 1980's is shown.</t>
  </si>
  <si>
    <t>Celebrities play a game of tug of war outdoors.</t>
  </si>
  <si>
    <t>The team with Lou Ferrigno playing on it wins the contest.</t>
  </si>
  <si>
    <t>Ferrigno and other celebrities are interviewed.</t>
  </si>
  <si>
    <t>v_Q9Fw56ZvXq4</t>
  </si>
  <si>
    <t>A group of girls are outside underneath a tent.</t>
  </si>
  <si>
    <t>A girl wipes off a yellow plate with a towel.</t>
  </si>
  <si>
    <t>Three girls are washing dishes in large tubs.</t>
  </si>
  <si>
    <t>v_uwQDvcWzBy0</t>
  </si>
  <si>
    <t>A woman is seen speaking to the camera and leads into her putting several ingredients inside a mason jar.</t>
  </si>
  <si>
    <t>The woman uses tongs to layer items into the jar and then puts a lid on top.</t>
  </si>
  <si>
    <t>The woman puts a ribbon around the side as well as a label and smiles to the camera.</t>
  </si>
  <si>
    <t>v_UBDcmeET6ys</t>
  </si>
  <si>
    <t>Individuals are exercising on various equipment.</t>
  </si>
  <si>
    <t>A male and a female move back and forth.</t>
  </si>
  <si>
    <t>v_gf3JIm2C59g</t>
  </si>
  <si>
    <t>There's a middle aged couple demonstrating how to do ball room dancing.</t>
  </si>
  <si>
    <t>They are in a room with large mirrors on a wall and hardwood floors.</t>
  </si>
  <si>
    <t>They are showing how to move the foot back and forth in rhythm while twirling their hips.</t>
  </si>
  <si>
    <t>v_Atdxx_Pxnd4</t>
  </si>
  <si>
    <t>A cowboy runs out of a gate on a horse.</t>
  </si>
  <si>
    <t>He uses a lasso to rope a calf.</t>
  </si>
  <si>
    <t>He tries to tie up the calf, losing his rope.</t>
  </si>
  <si>
    <t>v_yhWw7oJrUFo</t>
  </si>
  <si>
    <t>A girl wearing a black blouse describes how to bake in a kitchen.</t>
  </si>
  <si>
    <t>The baker pours flour into a clear bowl using a measuring cup.</t>
  </si>
  <si>
    <t>The baker then scoops out four level tablespoons from a yellow container of cornstarch and ads it to the bowl of flour.</t>
  </si>
  <si>
    <t>The baker pours the flour and cornstarch mixture into a sifter and begins sifting the ingredients three times.</t>
  </si>
  <si>
    <t>v_nbgE4MAR0pc</t>
  </si>
  <si>
    <t>A person is seen running down a long track while holding a pole.</t>
  </si>
  <si>
    <t>The person pole volts over the beam onto a mat and is shown again in slow motion.</t>
  </si>
  <si>
    <t>v_1Y1pKGFm-pQ</t>
  </si>
  <si>
    <t>A young man puts lipstick on his lips.</t>
  </si>
  <si>
    <t>Two reporters talk in a TV set with audience.</t>
  </si>
  <si>
    <t>Then, the young man brush his face, then people in the audience talk.</t>
  </si>
  <si>
    <t>After, the young men shows his face with make up.</t>
  </si>
  <si>
    <t>v_Xi68dag0iGo</t>
  </si>
  <si>
    <t>A man dressed in army fatigues is playing bagpipes while other people watch.</t>
  </si>
  <si>
    <t>A woman is shown in the background dancing around as he plays.</t>
  </si>
  <si>
    <t>When he is finished claim he laughs and jokes with the other people.</t>
  </si>
  <si>
    <t>v_W4LIBSfe6bc</t>
  </si>
  <si>
    <t>A man does a tattoo on the waist area of a woman using a needle.</t>
  </si>
  <si>
    <t>The man cleans the area of the tattoo with a tissue.</t>
  </si>
  <si>
    <t>The man continues doing the tattoo and cleaning.</t>
  </si>
  <si>
    <t>v_ZuuY0xffLYE</t>
  </si>
  <si>
    <t>The image and label of the presenter or stylist is shown.</t>
  </si>
  <si>
    <t>The presenter styles a female client's hair.</t>
  </si>
  <si>
    <t>The presenter speaks directly into the camera.</t>
  </si>
  <si>
    <t>The client spins slowly on a chair to present her hair.</t>
  </si>
  <si>
    <t>The stylist wets the client's hair.</t>
  </si>
  <si>
    <t>The stylist parts the clients hair.</t>
  </si>
  <si>
    <t>The stylist uses a brush and a blow dryer to add volume, texture and curl to the client's hair.</t>
  </si>
  <si>
    <t>The stylist sprays the clients hair.</t>
  </si>
  <si>
    <t>The stylist uses his hand to position the bangs.</t>
  </si>
  <si>
    <t>The stylist use his hand to add a gel product to the client hair.</t>
  </si>
  <si>
    <t>The client spins slowly on the chair to show of her hair style.</t>
  </si>
  <si>
    <t>The stylist name and credits are shown.</t>
  </si>
  <si>
    <t>v_yJezvcXU4YE</t>
  </si>
  <si>
    <t>A man in a black vest is standing in a room.</t>
  </si>
  <si>
    <t>He throws darts at a dart board on the wall.</t>
  </si>
  <si>
    <t>A woman stands next to him watching.</t>
  </si>
  <si>
    <t>A man walks up and pulls the dart out of the board.</t>
  </si>
  <si>
    <t>v_tl2hDYGBfqU</t>
  </si>
  <si>
    <t>A "Finale Coppa Italia" beach soccer title screen appears featuring Sambenedettese and Catania.</t>
  </si>
  <si>
    <t>Men play professional soccer on a beach near the water.</t>
  </si>
  <si>
    <t>Players on the field celebrate a victory and pose for a photo.</t>
  </si>
  <si>
    <t>v_1RYEOaCeV4k</t>
  </si>
  <si>
    <t>A lawn mower is shown on the ground.</t>
  </si>
  <si>
    <t>A man starts the lawn mower and begins mowing the lawn.</t>
  </si>
  <si>
    <t>They finish mowing the lawn and the lawn is shown.</t>
  </si>
  <si>
    <t>v_c1Gby2EHBzs</t>
  </si>
  <si>
    <t>A man is seen holding a stick in his hands and speaking to the camera.</t>
  </si>
  <si>
    <t>The man attempts several times to hit the ball followed by him picking it up and hitting it off into the distance.</t>
  </si>
  <si>
    <t>v_G5gvb71BB5I</t>
  </si>
  <si>
    <t>A group of males are standing in a room getting dressed.</t>
  </si>
  <si>
    <t>All of a sudden,plenty of women and beach activities including swimming,volleyball and drinking are shown.</t>
  </si>
  <si>
    <t>Next,the man reappears but he is joined by teammates playing a game of beach soccer in a stadium surrounded by people.</t>
  </si>
  <si>
    <t>One team wins and they are shown bringing home their trophy and cheering and then it goes back to showing the rest of the team competing.</t>
  </si>
  <si>
    <t>v_jml_hnhjltg</t>
  </si>
  <si>
    <t>A woman is seen carrying a snow blower and pushing it along a path.</t>
  </si>
  <si>
    <t>The woman continues pushing the snow blowing along the snow with the camera following her movements.</t>
  </si>
  <si>
    <t>She moves back and fourth while stopping to speak to the camera and continue moving.</t>
  </si>
  <si>
    <t>v_Bhz-WgJH8R0</t>
  </si>
  <si>
    <t>A group of skiers are riding down a hill.</t>
  </si>
  <si>
    <t>They split their line and create multiple lines.</t>
  </si>
  <si>
    <t>They split again to make 4 different lines.</t>
  </si>
  <si>
    <t>The all being and finish at the same time.</t>
  </si>
  <si>
    <t>v_DqHWMWY-r1o</t>
  </si>
  <si>
    <t>A person throw a heavy in an stadium full of people, then people measure where the ball landed.</t>
  </si>
  <si>
    <t>Then, the man walks while reporters and cameramen follow him on the field.</t>
  </si>
  <si>
    <t>After, the man puts on a long sleeve shirt while a cameraman film him.</t>
  </si>
  <si>
    <t>v_qHu0fz_anTQ</t>
  </si>
  <si>
    <t>A woman is standing at a table with a pile of scissors and supplies.</t>
  </si>
  <si>
    <t>She demonstrates how to cut cellophane and wrap it around a gift.</t>
  </si>
  <si>
    <t>She ties a string around the gift, showing off the final product.</t>
  </si>
  <si>
    <t>v_makIgB4X3q8</t>
  </si>
  <si>
    <t>A girl in a ponytail is speaking.</t>
  </si>
  <si>
    <t>The girl with her hair down is speaking in a bathroom and places her hand on the sink.</t>
  </si>
  <si>
    <t>The girl turns on the faucet to wet her toothbrush.</t>
  </si>
  <si>
    <t>The girl turns off the faucet, unscrews the toothpaste, and puts some toothpaste on her toothbrush.</t>
  </si>
  <si>
    <t>The girl brushes her teeth and spit in the sink.</t>
  </si>
  <si>
    <t>The girl rinse her toothbrush and places on the side of the sink.</t>
  </si>
  <si>
    <t>The credits of the video are shown on images of the video.</t>
  </si>
  <si>
    <t>v_I5QbY8vlR54</t>
  </si>
  <si>
    <t>People are surfing behind the giant wave.</t>
  </si>
  <si>
    <t>The surfer maintains his balance as he surfs and goes beneath a second wave.</t>
  </si>
  <si>
    <t>v_FNB1BMEtIvw</t>
  </si>
  <si>
    <t>We see the opening screen and we see landscapes and a sword.</t>
  </si>
  <si>
    <t>We see a lady talking, then a man.</t>
  </si>
  <si>
    <t>We see lots of people snowboarding.</t>
  </si>
  <si>
    <t>Two people shake hands on the landing.</t>
  </si>
  <si>
    <t>A man in a black room is interviewed then we see a man outside talking.</t>
  </si>
  <si>
    <t>People high five and we see a lady talking.</t>
  </si>
  <si>
    <t>A lady throws her arms in the air, people being sprayed, and a man with a sword.</t>
  </si>
  <si>
    <t>v_M7MDkkGdkas</t>
  </si>
  <si>
    <t>A woman is talking to a camera inside a kitchen.</t>
  </si>
  <si>
    <t>She turns on water, showing how to properly soap her hands.</t>
  </si>
  <si>
    <t>She then rinses and dries them.</t>
  </si>
  <si>
    <t>v_reEjJfSUGa8</t>
  </si>
  <si>
    <t>The biker is cycling and jumping over the big ramps.</t>
  </si>
  <si>
    <t>The biker jumps in the ramp with his bike in front up.</t>
  </si>
  <si>
    <t>Four bikers raced and jumped over the ramps, the biker in white is leading in the race.</t>
  </si>
  <si>
    <t>v_wvewX55VADs</t>
  </si>
  <si>
    <t>A man and a woman are standing in front of the camera and a woman shows how to properly perform the tango.</t>
  </si>
  <si>
    <t>She moves her feet in arms in a particular motion while the man does the same from a different angle.</t>
  </si>
  <si>
    <t>The man and woman finally piece together their instructions and perform the tango moves together.</t>
  </si>
  <si>
    <t>v_Lt6waJFJWI0</t>
  </si>
  <si>
    <t>The players are holding a flat bat and running towards the balls.</t>
  </si>
  <si>
    <t>The players bounced the balls on the bat, some of them picked up the balls from the ground using the bat.</t>
  </si>
  <si>
    <t>The girl in blue jacket bounced the ball on her bat and she walked forward, but the ball fall on the ground.</t>
  </si>
  <si>
    <t>A girl in the black vest is picking up the ball from the ground using her bat.</t>
  </si>
  <si>
    <t>Two girls walked normally without chasing the balls.</t>
  </si>
  <si>
    <t>A girl on the field is trying to pick up the ball.</t>
  </si>
  <si>
    <t>The players are lined up and ready to pick up the balls from the ground using their bats.</t>
  </si>
  <si>
    <t>The players started to bounce their balls on their bat while running forward, some of the balls fell down on the ground and the players have to pick them up using the bat.</t>
  </si>
  <si>
    <t>v_8CAvjawFn3w</t>
  </si>
  <si>
    <t>A man is on a galloping horse back riding for sport.</t>
  </si>
  <si>
    <t>Horse back riding is considered to be a sport, a fun one but still work.</t>
  </si>
  <si>
    <t>Like working with a team you have to work with a horse also, you have to communicate with a horse that doesn't speak.</t>
  </si>
  <si>
    <t>Make it know when you need to go faster, when it needs to jump and such.</t>
  </si>
  <si>
    <t>v_esZMkzlZiuY</t>
  </si>
  <si>
    <t>A small group of people are seen pushing a ball along the water and scoring into the goal.</t>
  </si>
  <si>
    <t>The people continue playing with the ball and swimming along the water.</t>
  </si>
  <si>
    <t>The ball is passed another to score a goal and then the game continues on.</t>
  </si>
  <si>
    <t>v_DOONG5zq1Yg</t>
  </si>
  <si>
    <t>A woman is seen kneeling down on a yoga mat while bending forward.</t>
  </si>
  <si>
    <t>The woman then moves her leg out in front of her and bends down further creating a stretch.</t>
  </si>
  <si>
    <t>v_pspJX3Lyys0</t>
  </si>
  <si>
    <t>An athlete is seen spinning around and throwing a discuss while men on the field run to track his score.</t>
  </si>
  <si>
    <t>The athlete walks away and another steps up and throws the discuss.</t>
  </si>
  <si>
    <t>Several more people step up to throw the object and ends with one athlete winning and walking away.</t>
  </si>
  <si>
    <t>v_A_Rh4tMM2xY</t>
  </si>
  <si>
    <t>There are two kids on the swing set while two old ladies standing beside them swinging them.</t>
  </si>
  <si>
    <t>The old lady in pink top went away, while the other old woman in purple continues to swing the boy.</t>
  </si>
  <si>
    <t>The old lady in pink shirt went back with a piece of paper to fan some air on her, while a little kid is walking towards the front of the bench.</t>
  </si>
  <si>
    <t>The old lady in purple continues to swing the boy, while the old lady in pink top stood and rest her back on the red bar of the swing.</t>
  </si>
  <si>
    <t>The lady in pink top came in front of the other boy with white shirt, and talked to him, started to push him on the swing, give him a kiss and continue to swing him from the side of the swing.</t>
  </si>
  <si>
    <t>The littler girl near the bench sat to pick up something from the blue ground.</t>
  </si>
  <si>
    <t>v_cjS2B52jBbU</t>
  </si>
  <si>
    <t>A man wearing glasses is on a stage.</t>
  </si>
  <si>
    <t>He throws darts at a board, trying to hit the target while the crowd claps.</t>
  </si>
  <si>
    <t>Another competitor appears, doing the same.</t>
  </si>
  <si>
    <t>The winner walks onto the stage as camera flash, celebrating.</t>
  </si>
  <si>
    <t>v_2wC0d2XUses</t>
  </si>
  <si>
    <t>Two kids are seen playing a game of shuffleboard on the side of a boat while the camera watches.</t>
  </si>
  <si>
    <t>The kids continue taking turns while running up and down the path on the boat.</t>
  </si>
  <si>
    <t>v_GkPmeXaNY0s</t>
  </si>
  <si>
    <t>A doctor is speaking while a nurse sits next to him in a medical office.</t>
  </si>
  <si>
    <t>He holds up a bottle of cleanser, and uses a rag to wipe it onto the woman's face, before wiping it clean again.</t>
  </si>
  <si>
    <t>It is also rubbed into her hands.</t>
  </si>
  <si>
    <t>v_9DIDpTlfBWs</t>
  </si>
  <si>
    <t>A chef is standing in front of a table and begins turning on a stove with a pan on it.</t>
  </si>
  <si>
    <t>The man then mixes various ingredients together and finally putting the ingredients on the stove top.</t>
  </si>
  <si>
    <t>He finishes the plate by making an omelette and serves it on a plate and cuts it up.</t>
  </si>
  <si>
    <t>v_InwY966XXBY</t>
  </si>
  <si>
    <t>people are in a camp with a lot of camels sitting on the floor.</t>
  </si>
  <si>
    <t>a men is riding a camel and starts walking in the dessert passing by the piramids while a man is leading them with a rope.</t>
  </si>
  <si>
    <t>the camels stops and a man is taking a picture.</t>
  </si>
  <si>
    <t>men are riding camels in the dessert.</t>
  </si>
  <si>
    <t>v_zJNYqTVWqyY</t>
  </si>
  <si>
    <t>We see a small dog in a bathtub with the title over the top.</t>
  </si>
  <si>
    <t>A person wets the dog and puts shampoo on it.</t>
  </si>
  <si>
    <t>The person washes the dog with their hands.</t>
  </si>
  <si>
    <t>They stand the dog up and wash him.</t>
  </si>
  <si>
    <t>They rinse the soap off the dog.</t>
  </si>
  <si>
    <t>We see the wet little dog from above.</t>
  </si>
  <si>
    <t>v_pi2AaadXnnI</t>
  </si>
  <si>
    <t>A woman is cleaning clothes on a table.</t>
  </si>
  <si>
    <t>She pours a bucket of water onto the clothing.</t>
  </si>
  <si>
    <t>She picks up a brush and scrubs the clothing.</t>
  </si>
  <si>
    <t>She pours more water onto the clothing.</t>
  </si>
  <si>
    <t>She picks up the clothing and sets it next to her.</t>
  </si>
  <si>
    <t>v_MinmayCk2Nk</t>
  </si>
  <si>
    <t>We see a male gymnast prepare to use the pommel horse.</t>
  </si>
  <si>
    <t>The man mounts the pommel horse and spins his legs around it.</t>
  </si>
  <si>
    <t>The man takes a bow and starts walking away.</t>
  </si>
  <si>
    <t>v_P06Slwn3JG0</t>
  </si>
  <si>
    <t>A girl stands in a yard holding a rake.</t>
  </si>
  <si>
    <t>The girl rakes the leaves in a pile.</t>
  </si>
  <si>
    <t>the girl walks to a trampoline and gets a different rake and rakes the leaves in a circle.</t>
  </si>
  <si>
    <t>the girl put the rake back on the trampoline and talks to the camera.</t>
  </si>
  <si>
    <t>the girl jumps in, rolls around and throws the leaves around before standing and talking to the camera.</t>
  </si>
  <si>
    <t>v_JB3h1trZ1cE</t>
  </si>
  <si>
    <t>A man in a suit is talking into a microphone.</t>
  </si>
  <si>
    <t>People are water skiing in the water.</t>
  </si>
  <si>
    <t>A man falls down and is dragged by the boat through the water.</t>
  </si>
  <si>
    <t>A man turns around while water skiing and holds the rope with his foot.</t>
  </si>
  <si>
    <t>He crashes and falls into the water.</t>
  </si>
  <si>
    <t>v_xootaiXcXZw</t>
  </si>
  <si>
    <t>Two men are doing Capoeira surrounded by a circle of people.</t>
  </si>
  <si>
    <t>The men take a break and being to perform for the people again.</t>
  </si>
  <si>
    <t>They shake hands and leave the circle allowing two other men to enter the circle.</t>
  </si>
  <si>
    <t>A man in blue and a man in grey greet each other in the middle of the circle.</t>
  </si>
  <si>
    <t>The other two men begin to perform Capoeira for the crowd.</t>
  </si>
  <si>
    <t>v_xwu60huH3ds</t>
  </si>
  <si>
    <t>We see people grooming various dogs.</t>
  </si>
  <si>
    <t>We see a man fluff the fur on a large dog.</t>
  </si>
  <si>
    <t>We see a man blow dry a dog.</t>
  </si>
  <si>
    <t>We see a large black dog being blow dried.</t>
  </si>
  <si>
    <t>A man combs a dogs hair straight up.</t>
  </si>
  <si>
    <t>We see two dark ending screens.</t>
  </si>
  <si>
    <t>v_2WKy0FvMtCM</t>
  </si>
  <si>
    <t>`A cookie is shown on a plate.</t>
  </si>
  <si>
    <t>Ingredients are being added to a glass bowl and being mixed together.</t>
  </si>
  <si>
    <t>Chocolate chips are added to the dough.</t>
  </si>
  <si>
    <t>The dough is flattened out onto a cookie sheet.</t>
  </si>
  <si>
    <t>Chocolate is drizzled over the top.</t>
  </si>
  <si>
    <t>Candies are placed on top of the cookie.</t>
  </si>
  <si>
    <t>The cookie is cut and placed on a plate.</t>
  </si>
  <si>
    <t>A fork is shown eating the cookie.</t>
  </si>
  <si>
    <t>v_wZZUcxhISyE</t>
  </si>
  <si>
    <t>A woman is sitting in a booth.</t>
  </si>
  <si>
    <t>Her little girl shoves a vanilla ice cream cone in her face and laughs.</t>
  </si>
  <si>
    <t>The girl continues doing it, and the woman has to wipes her mouth and nose several times.</t>
  </si>
  <si>
    <t>v_5rlLaok_U5M</t>
  </si>
  <si>
    <t>The player serves the birdie to start the match.</t>
  </si>
  <si>
    <t>Two teams compete in a badminton game in gymnasium.</t>
  </si>
  <si>
    <t>The teams have a long volley during the game.</t>
  </si>
  <si>
    <t>The player spikes the birdie down hard and scores a point.</t>
  </si>
  <si>
    <t>v_Z-UR8n33TWc</t>
  </si>
  <si>
    <t>A sumo warrior is shown holding a pager.</t>
  </si>
  <si>
    <t>A larger sumo warrior is shown holding another pager.</t>
  </si>
  <si>
    <t>The sumo warriors face off and the larger one sits on and makes the smaller one disappear.</t>
  </si>
  <si>
    <t>v_c7SweMMGQE8</t>
  </si>
  <si>
    <t>A camera pans around a picture of a horse followed by a person brushing and vacuuming hair off of a horse.</t>
  </si>
  <si>
    <t>The person continues brushing and vacuuming the hair and ending with the picture of the two together.</t>
  </si>
  <si>
    <t>v_vJkL_4niC4w</t>
  </si>
  <si>
    <t>a man and a woman are sitting in front of a piano playing it together.</t>
  </si>
  <si>
    <t>people are gathered around the piano watching the people sitting on the piano.</t>
  </si>
  <si>
    <t>people on the piano stands and change the position in fornt of the piano.</t>
  </si>
  <si>
    <t>v_6GIWY4-491k</t>
  </si>
  <si>
    <t>A man dressed in winter gear is sitting out in winter on a frozen lake.</t>
  </si>
  <si>
    <t>He is sitting there with fishing equipment fishing on the frozen lake.</t>
  </si>
  <si>
    <t>He uses a bait to fish and catches a mid size gray fish.</t>
  </si>
  <si>
    <t>He shows the two fish that he has caught.</t>
  </si>
  <si>
    <t>Then he puts his fishing net in a hole in the lake and continues fishing.</t>
  </si>
  <si>
    <t>He catches another dark gray fish and tosses it in his box.</t>
  </si>
  <si>
    <t>He continues fishing and catches more fish in that same hole.</t>
  </si>
  <si>
    <t>He collects the fish in a white bucket.</t>
  </si>
  <si>
    <t>v_BH9zsAu6OMQ</t>
  </si>
  <si>
    <t>A woman stands on a track.</t>
  </si>
  <si>
    <t>She bends over on the track.</t>
  </si>
  <si>
    <t>She then runs down the track.</t>
  </si>
  <si>
    <t>She jumps and lands in the sand.</t>
  </si>
  <si>
    <t>v_3oS_28utt2Y</t>
  </si>
  <si>
    <t>A man is sitting on a wave runner in the water.</t>
  </si>
  <si>
    <t>A person is surfing on a large wave in the water.</t>
  </si>
  <si>
    <t>The wave crashes over the surfer.</t>
  </si>
  <si>
    <t>v_HYYQ56oZSDM</t>
  </si>
  <si>
    <t>A woman and man dancing provocatively outside of a restaurant.</t>
  </si>
  <si>
    <t>She is wearing a very sexy short dress and kicking her legs up and down in heels.</t>
  </si>
  <si>
    <t>People are walking out od the restaurant.</t>
  </si>
  <si>
    <t>One of the workers is sitting on a stool smoking until they end their dance on the ground.</t>
  </si>
  <si>
    <t>v_5N-PfYLyCpI</t>
  </si>
  <si>
    <t>Several people are hitting an instrument with sticks.</t>
  </si>
  <si>
    <t>Two men do flips in front of each other.</t>
  </si>
  <si>
    <t>Several more groups of people appear to be doing some kind of martial arts dance.</t>
  </si>
  <si>
    <t>They are surronded by clapping onlookers.</t>
  </si>
  <si>
    <t>v_ZbfYwmb39H0</t>
  </si>
  <si>
    <t>A man is seen standing in front of a goal holding a stick and speaking to the camera.</t>
  </si>
  <si>
    <t>Several shots of him speaking are shown and he demonstrates how to properly be a goalie.</t>
  </si>
  <si>
    <t>He moves back and fourth a bit while moving the stick while still holding his arms up and speaking to the camera.</t>
  </si>
  <si>
    <t>v_oKdzcTnENks</t>
  </si>
  <si>
    <t>A little boy is playing hop scotch on the pavement.</t>
  </si>
  <si>
    <t>There is a truck behind him.</t>
  </si>
  <si>
    <t>He doesn't really play it right.</t>
  </si>
  <si>
    <t>He jumps on all of the numbers.</t>
  </si>
  <si>
    <t>He kind of runs through the game.</t>
  </si>
  <si>
    <t>v_opxLlaEPxqw</t>
  </si>
  <si>
    <t>An athlete is seen standing ready holding a javelin and throwing it off into the distance.</t>
  </si>
  <si>
    <t>Several more people are seen throwing a javelin with their throw being shown again afterwards.</t>
  </si>
  <si>
    <t>The camera pans around the woman in the end and shows off their score.</t>
  </si>
  <si>
    <t>v_VTbMcI6nw54</t>
  </si>
  <si>
    <t>A man talks about coaching gymnastics.</t>
  </si>
  <si>
    <t>A girl starts to do a routine on the uneven bars.</t>
  </si>
  <si>
    <t>v_Hs1fGDcU6Js</t>
  </si>
  <si>
    <t>A man is seen kneeling on the floor and speaking to the camera.</t>
  </si>
  <si>
    <t>The man then flips over and begins doing leg exercises.</t>
  </si>
  <si>
    <t>His moves his body all around demonstrating proper exercises while still looking over and speaking to the camera.</t>
  </si>
  <si>
    <t>v_xBGgX2PqAo8</t>
  </si>
  <si>
    <t>A man sets up a camera in a bar.</t>
  </si>
  <si>
    <t>The man then talks to the camera.</t>
  </si>
  <si>
    <t>The man shoots pool alone.</t>
  </si>
  <si>
    <t>The bearded man walks past the table.</t>
  </si>
  <si>
    <t>The man finishes and talks to the camera before turning it off.</t>
  </si>
  <si>
    <t>v_pvFviIF1VGc</t>
  </si>
  <si>
    <t>A person pours water to a cup.</t>
  </si>
  <si>
    <t>A woman talks in a bar showing liquor bottles.</t>
  </si>
  <si>
    <t>Then, the woman put ice in a glass, then she adds liquors from three bottles.</t>
  </si>
  <si>
    <t>After, the woman add soda and put a straw.</t>
  </si>
  <si>
    <t>v_OzAqwPQ-APY</t>
  </si>
  <si>
    <t>A diver is in the ocean in the keys of florida, he has a a pumpkin in his hand.</t>
  </si>
  <si>
    <t>He goes down with another diver and they begin carving the pumpkins underneath the water.</t>
  </si>
  <si>
    <t>They are craving about five or six of them making different faces.</t>
  </si>
  <si>
    <t>Then they line them up and put some light inside or something as fish swim around them casually.</t>
  </si>
  <si>
    <t>v_tjDOXnDswdA</t>
  </si>
  <si>
    <t>A person's hands are seen holding a rube and spinning it around.</t>
  </si>
  <si>
    <t>The person turns the cube all over it's sides while attempting to solve the puzzle.</t>
  </si>
  <si>
    <t>The man connects all the sides and shows it to the camera.</t>
  </si>
  <si>
    <t>v_pHq6Eb280uM</t>
  </si>
  <si>
    <t>A close up of a fooseball table is seen followed by people holding onto the sides.</t>
  </si>
  <si>
    <t>The people play the game back and fourth while the camera captures their movements.</t>
  </si>
  <si>
    <t>The men continue playing on the table and the video fades to white.</t>
  </si>
  <si>
    <t>v_l9XzNcLiMKc</t>
  </si>
  <si>
    <t>A man and a woman are standing at the counter of a kitchen.</t>
  </si>
  <si>
    <t>They pour ingredients into a large bowl and mix it together.</t>
  </si>
  <si>
    <t>They pour the mixture into two round pans.</t>
  </si>
  <si>
    <t>They then take the cakes and stack them together with frosting in between.</t>
  </si>
  <si>
    <t>They eat the cake at the end.</t>
  </si>
  <si>
    <t>v_JZ9mgVXPD-I</t>
  </si>
  <si>
    <t>A young man plays drums on a stage with lights dancing in the background.</t>
  </si>
  <si>
    <t>He finishes and stands up playing air drums.</t>
  </si>
  <si>
    <t>v_lSbbzsOjwno</t>
  </si>
  <si>
    <t>A young girl is seen scrubbing a small dog down with soap next to a tub full of water.</t>
  </si>
  <si>
    <t>She pours more soap onto the dog and drags him over and leads into pictures of the dog all cleaned.</t>
  </si>
  <si>
    <t>v_Vh8RINfopdk</t>
  </si>
  <si>
    <t>A person applies paint designs to a red fingernail on a plastic hand with a flexible black limb labeled "nail trainer".</t>
  </si>
  <si>
    <t>A brown plastic hand with a black plastic arm appears with white fingernail tips and red fingernails.</t>
  </si>
  <si>
    <t>A person's real hand appears and begins to apply white designs on one of the red fingernails on the plastic hand.</t>
  </si>
  <si>
    <t>The scene then fades to a closeup of one finished red fingernail with a complete white design from the plastic hand.</t>
  </si>
  <si>
    <t>v_vu65aIIJHtU</t>
  </si>
  <si>
    <t>Cars are driving on a road.</t>
  </si>
  <si>
    <t>People get back into their car and put the snowboard on top of the car.</t>
  </si>
  <si>
    <t>v_XuSWH1lfcvI</t>
  </si>
  <si>
    <t>A man is seen standing before a set of uneven bars with his arms up.</t>
  </si>
  <si>
    <t>He then jumps up on the beam and swings himself around.</t>
  </si>
  <si>
    <t>The man continues to swing around on the bars and ends by jumping off the side and walking away.</t>
  </si>
  <si>
    <t>v_nwpz-KGn46A</t>
  </si>
  <si>
    <t>She then is shown performing several different exercises as well as riding on a bicycle and leading a class.</t>
  </si>
  <si>
    <t>More shots of her are shown riding on the bike and wearing a headset to speak to others.</t>
  </si>
  <si>
    <t>v_a5WhYgyH_C0</t>
  </si>
  <si>
    <t>A man in a pink shirt is holding a cord in his hand.</t>
  </si>
  <si>
    <t>He starts vacuuming the carpet in front of him.</t>
  </si>
  <si>
    <t>v_y4Y8gD1mpTw</t>
  </si>
  <si>
    <t>A woman is doing a tutorial on how to do water marble nails using water.</t>
  </si>
  <si>
    <t>She uses a nail polish brush and dips it in water.</t>
  </si>
  <si>
    <t>She gives the instructions on how to start with a base coat of nail polish.</t>
  </si>
  <si>
    <t>Then she puts drops of different colored nail polish on the water surface.</t>
  </si>
  <si>
    <t>Then she dips her nail into that paint.</t>
  </si>
  <si>
    <t>She cleans off any excess nail polish that has smeared on the side of the nails with a paint brush and Q-tip.</t>
  </si>
  <si>
    <t>She finally shares information about herself and her social media accounts.</t>
  </si>
  <si>
    <t>v_ZoKode_Gexg</t>
  </si>
  <si>
    <t>A woman is in a kitchen, wearing a dress and pregnant.</t>
  </si>
  <si>
    <t>She is washing dishes in the sink and talking to the person with the camera.</t>
  </si>
  <si>
    <t>She smiles as the camera zooms in on her right eye.</t>
  </si>
  <si>
    <t>v_djQnCU5MNJg</t>
  </si>
  <si>
    <t>A woman swings on a swing set.</t>
  </si>
  <si>
    <t>A baby swings beside her.</t>
  </si>
  <si>
    <t>They are both wearing red.</t>
  </si>
  <si>
    <t>The woman looks happy to swing.</t>
  </si>
  <si>
    <t>v_xE43h7Kd9Oc</t>
  </si>
  <si>
    <t>Two boys are standing in a living room next to a tree and begin taking ornaments out of two plastic bins and decorating the tree.</t>
  </si>
  <si>
    <t>As the boys continue,the outside of the house is shown as rain comes thundering down.</t>
  </si>
  <si>
    <t>After,the boys receive help from a male and puts the tree topper on.</t>
  </si>
  <si>
    <t>Once that is finished,the young boys hug and kiss each other and the finish product of the tree is shown.</t>
  </si>
  <si>
    <t>v_wfc_R5VnoHU</t>
  </si>
  <si>
    <t>Several animated people are in the water.</t>
  </si>
  <si>
    <t>Two people in scuba gear stand on the ledge of a platform while two other people watch from a platform above.</t>
  </si>
  <si>
    <t>The two people in scuba gear jump in the water.</t>
  </si>
  <si>
    <t>One person in scuba gear holds on to the other person in scuba gear and does something to her tank.</t>
  </si>
  <si>
    <t>One person pushes the other one away.</t>
  </si>
  <si>
    <t>Several people in scuba gear gather with one person still in the background.</t>
  </si>
  <si>
    <t>The people in scuba gear struggle and one persons mask floats away.</t>
  </si>
  <si>
    <t>v_oEdRUyN6Kfo</t>
  </si>
  <si>
    <t>A large black dog and a little girl in a white blouse carries two hoolahoops in the living room.</t>
  </si>
  <si>
    <t>The little girl holds a hoola hoop in front of the dog and the dog walks through the hoolahoop.</t>
  </si>
  <si>
    <t>The little girl spins the other hoola hoop around her waste and spins it 10 or 12 times.</t>
  </si>
  <si>
    <t>The little girl walks up to the black dog and lets the dog lick her hand.</t>
  </si>
  <si>
    <t>v_SBJWn8AjK-4</t>
  </si>
  <si>
    <t>Five boys are shown walking in a playground.</t>
  </si>
  <si>
    <t>The boys get onto the swings and begin to show how to do tricks.</t>
  </si>
  <si>
    <t>For the finale, all five guys get onto the swings and perform a back flip.</t>
  </si>
  <si>
    <t>v_srSwfib_ogk</t>
  </si>
  <si>
    <t>A young woman gets in position to perform with a baton.</t>
  </si>
  <si>
    <t>She performs a gymnastics and twirling routine.</t>
  </si>
  <si>
    <t>She does cartwheels as part of her routine.</t>
  </si>
  <si>
    <t>She drops the baton, but picks it back up and continues with the routine.</t>
  </si>
  <si>
    <t>She loses her balance but is able to recover.</t>
  </si>
  <si>
    <t>v_mWj6lO9PZCs</t>
  </si>
  <si>
    <t>A woman is seen pushing a lawn mower across some grass while speaking to the camera.</t>
  </si>
  <si>
    <t>The camera zooms in on plants in the yard and continues to follow the woman around as she cuts the grass.</t>
  </si>
  <si>
    <t>The camera wanders through a bunch of plants and trees in the end.</t>
  </si>
  <si>
    <t>v_rVLkm3MLzns</t>
  </si>
  <si>
    <t>A man in ski gear is standing on a snowy hill.</t>
  </si>
  <si>
    <t>He and others begin skiing down the slopes, kicking up snow and traveling through tunnels.</t>
  </si>
  <si>
    <t>v_CvkyjR4yk60</t>
  </si>
  <si>
    <t>men are working in a tablein the background, a man in the center of the room start walking in circles and make break dance, a screen hanging is playing a rap video.</t>
  </si>
  <si>
    <t>the screen is playing a video and the credits are in the right side.</t>
  </si>
  <si>
    <t>v_0lYwrXV1R3A</t>
  </si>
  <si>
    <t>A hockey player is injured and is helped up from the ice by the coach.</t>
  </si>
  <si>
    <t>The hockey player is escorted from the ice by the coach.</t>
  </si>
  <si>
    <t>A replay shows the hockey player being hit in the face by the puck and he falls to the ice.</t>
  </si>
  <si>
    <t>The teams stand together around a circle and face off to start the match.</t>
  </si>
  <si>
    <t>Hockey player play a game and skate around the ice passing back and forth.</t>
  </si>
  <si>
    <t>v_P0A0rMgjXGQ</t>
  </si>
  <si>
    <t>We see water on an opening screen.</t>
  </si>
  <si>
    <t>A man is measuring and cutting carpet while kneeling.</t>
  </si>
  <si>
    <t>The man adds a strip and puts a tool in the seam.</t>
  </si>
  <si>
    <t>The man runs a black item over the seam repeatedly then stands.</t>
  </si>
  <si>
    <t>v_IYbnF7LM2II</t>
  </si>
  <si>
    <t>Two men are seen running around an enclosed room holding tennis rackets and hitting a ball around the room.</t>
  </si>
  <si>
    <t>The men continue hitting the ball around the room while the camera continues to follow their movements.</t>
  </si>
  <si>
    <t>v_pS-BoCsMcpQ</t>
  </si>
  <si>
    <t>Men are swimming more or less in sync with the volleyballs.</t>
  </si>
  <si>
    <t>They stop and get a in a circle in the pool and start throwing the ball between each other.</t>
  </si>
  <si>
    <t>After that they start to swim and throw for a little bit.</t>
  </si>
  <si>
    <t>After, they put it all together and every one joins in to play.</t>
  </si>
  <si>
    <t>v_ok6LTNirAPo</t>
  </si>
  <si>
    <t>A child sitting at restaurant table places his hands in a dessert.</t>
  </si>
  <si>
    <t>The child uses his hands to eat the food.</t>
  </si>
  <si>
    <t>The adult keeps the child from spilling the food on the floor and helps feed him.</t>
  </si>
  <si>
    <t>v_vWz90CichbM</t>
  </si>
  <si>
    <t>The video starts showing the company logo for a roofing company.</t>
  </si>
  <si>
    <t>A voice is heard reciting the steps to applying ridges on a roof.</t>
  </si>
  <si>
    <t>As the voice recites the steps, an older man is shown on video performing these steps to a roof.</t>
  </si>
  <si>
    <t>As the voice says the steps are complete, the final shot shows a close up of the completed ridges.</t>
  </si>
  <si>
    <t>The video ends with the company logo.</t>
  </si>
  <si>
    <t>v_UoX2xhYPD38</t>
  </si>
  <si>
    <t>A young man is washing clothes inside a bathroom sink as he talks to the camera.</t>
  </si>
  <si>
    <t>Initially he starts to wash the clothes with both hands.</t>
  </si>
  <si>
    <t>Afterwards he adds more soap using two different bottles to the sink.</t>
  </si>
  <si>
    <t>Subsequently he keeps washing the clothes as he talks to the camera.</t>
  </si>
  <si>
    <t>v_NKNgAE07TIQ</t>
  </si>
  <si>
    <t>A man wearing a black shirts with a graphic design is seated near a table with liquor bottles and a shaker.</t>
  </si>
  <si>
    <t>He is a demonstrating how to make a seasonal alcoholic drink.</t>
  </si>
  <si>
    <t>He picks up the liquor bottles that he will be using for the drinks.</t>
  </si>
  <si>
    <t>He uses the jigger to measure and then pour the necessary ingredients into the shaker.</t>
  </si>
  <si>
    <t>He then adds some cream to the mixture.</t>
  </si>
  <si>
    <t>He adds a few cubes of ice into the shaker.</t>
  </si>
  <si>
    <t>Then he shakes beverage vigorously and pours into a conical glass.</t>
  </si>
  <si>
    <t>He then tops the drink with whipped cream from a can and puts a cherry on the top.</t>
  </si>
  <si>
    <t>He gives information about his Facebook page and other details.</t>
  </si>
  <si>
    <t>v_3lla2AaJgNA</t>
  </si>
  <si>
    <t>A woman is using an iron on a board.</t>
  </si>
  <si>
    <t>She is showing how to iron baby clothes.</t>
  </si>
  <si>
    <t>She flips the clothing, buttoning it up as she goes.</t>
  </si>
  <si>
    <t>v_dsgQVrJi71g</t>
  </si>
  <si>
    <t>A man plugs a mowing machine, then he pushes the mower to cut the grass in a backyard.</t>
  </si>
  <si>
    <t>After, the man cuts the grass on the borders with garden scissors.</t>
  </si>
  <si>
    <t>v_lcwR7eA-VOY</t>
  </si>
  <si>
    <t>Two wrestlers are up on a ring arguing.</t>
  </si>
  <si>
    <t>The referee stands by, instructing them on what to do.</t>
  </si>
  <si>
    <t>They finally get to the arm wrestling.</t>
  </si>
  <si>
    <t>The crowd around them cheers on.</t>
  </si>
  <si>
    <t>A guy jumps onto the ring and begins to fight with one of the wrestlers.</t>
  </si>
  <si>
    <t>The man leaves the ring and the wrestler approaches the other wrestler and beats him to the ground.</t>
  </si>
  <si>
    <t>The wrestler celebrates his win.</t>
  </si>
  <si>
    <t>v_I2Ctmi7C56k</t>
  </si>
  <si>
    <t>Two little boys rake leaves in a backyard while a little girl watches and walks with them as they rake.</t>
  </si>
  <si>
    <t>The two little boys rake leaves with red handled rakes and a little girl watches them and hangs around while they rake.</t>
  </si>
  <si>
    <t>The two boys start raking to the right of the lawn and the little girl runs behind them.</t>
  </si>
  <si>
    <t>The boys then turn around and begin raking to the right side of the lawn.</t>
  </si>
  <si>
    <t>v_bz62JE0qMSk</t>
  </si>
  <si>
    <t>little kid is standing in a pool poining out a yellow bucket in the water and other peolpe is sitting in benches around the pool.</t>
  </si>
  <si>
    <t>woman is carrying the child on his back and then she is with a man and the kid riding bikes in the park.</t>
  </si>
  <si>
    <t>kid is running inside a roofed basket court.</t>
  </si>
  <si>
    <t>kid is laying with a tennis racket.</t>
  </si>
  <si>
    <t>v_lMYtmGRAn8k</t>
  </si>
  <si>
    <t>A boy is standing next to a playground jumping rope.</t>
  </si>
  <si>
    <t>A person is jumping rope on a white mat.</t>
  </si>
  <si>
    <t>A man is kneeling down on the ground in front of a red table.</t>
  </si>
  <si>
    <t>He gets up and starts jumping rope.</t>
  </si>
  <si>
    <t>v_i2e67kStfk4</t>
  </si>
  <si>
    <t>A child performs on the double uneven bars, while flipping around the bars.</t>
  </si>
  <si>
    <t>Then, the child flips and land stand on the floor, then walks.</t>
  </si>
  <si>
    <t>v_EBOT5e2xAoQ</t>
  </si>
  <si>
    <t>The video leads into several clips of track runners jumping over a bar with their jump being shown again in slow motion.</t>
  </si>
  <si>
    <t>Several more people are shown jumping over the bar with one hitting the bar and not jumping over.</t>
  </si>
  <si>
    <t>v_EkwX8Swnut8</t>
  </si>
  <si>
    <t>A boy sits behind the wheel of car, driving and talking to the other passengers in the car.</t>
  </si>
  <si>
    <t>The car travels down a winding highway as the camera pans between the people talking at the time.</t>
  </si>
  <si>
    <t>The people in the car eventually arrive at a snow covered slope where they don ski apparel and begin to ski on the slopesdoing flips, going down hills and jumping off of elevated platforms.</t>
  </si>
  <si>
    <t>At one point of the boys falls on the ground and huddles in the fetal position on the snow.</t>
  </si>
  <si>
    <t>The scene then cuts to the boys back at home in the kitchen peparing things with a final image of a boy standing in the snow covered woods talking to the camera.</t>
  </si>
  <si>
    <t>v_BfTjydFBQJU</t>
  </si>
  <si>
    <t>A small group of people are seen standing in a gym with a man leading in front.</t>
  </si>
  <si>
    <t>The man leads the group in an exercise class that involves a beam on the floor.</t>
  </si>
  <si>
    <t>The people move up and down the beam while the man claps and smiles at the group.</t>
  </si>
  <si>
    <t>v_Q159fj3M9NM</t>
  </si>
  <si>
    <t>A gymnast runs, then flips several times down an indoor track.</t>
  </si>
  <si>
    <t>Other girls follow suit, flipping quickly as they go.</t>
  </si>
  <si>
    <t>They dismount at the end, arms in the air.</t>
  </si>
  <si>
    <t>v_AZrI6X2XAUU</t>
  </si>
  <si>
    <t>a blond little kid with large hair sits in a table and holds a contact eye and put the contacts on his eyes.</t>
  </si>
  <si>
    <t>little kid is talking to the camera and is in a table wearnig a red uniform putting contact lenses on her eyes.</t>
  </si>
  <si>
    <t>v_GTV4XlxawgE</t>
  </si>
  <si>
    <t>man is running in a roofed gym and doing a high jump.</t>
  </si>
  <si>
    <t>man is doing a somersault in a roofed gym.</t>
  </si>
  <si>
    <t>two woman are standing in the gym by the jumping man.</t>
  </si>
  <si>
    <t>man is doing a somersault in a roofed gym in a racetrack.</t>
  </si>
  <si>
    <t>v_bRVazNYfpGE</t>
  </si>
  <si>
    <t>There's a girl gymnast dressed in purple leotards doing flips on a horse bar in a large indoor stadium filled with spectators.</t>
  </si>
  <si>
    <t>She continues doing front flips and twisting her body around on the horse bar.</t>
  </si>
  <si>
    <t>She walks the entire horse bar and then finally jumps off the horse bar to successfully end her round.</t>
  </si>
  <si>
    <t>As she jumps down and walks away, the crowd cheer and applaud loudly.</t>
  </si>
  <si>
    <t>v_WxefBZ7Iaow</t>
  </si>
  <si>
    <t>A blue raft is shown and a group of people are shown throwing them up in a pile.</t>
  </si>
  <si>
    <t>Finally,they are by the water and about eight of them are sitting on the raft traveling down the water.</t>
  </si>
  <si>
    <t>After a certain distance,they encounter a rock and a large wave and they all flip out of the raft.</t>
  </si>
  <si>
    <t>The rafting continues and eventually they are all shown standing outside in a field in a large circle talking and drinking about a job well done.</t>
  </si>
  <si>
    <t>v_lsIiSTG2pn4</t>
  </si>
  <si>
    <t>Ladies are playing volley ball outside.</t>
  </si>
  <si>
    <t>A female hits the ball twice.</t>
  </si>
  <si>
    <t>A lady touches a teammate's arm.</t>
  </si>
  <si>
    <t>v_js9SDSngI7A</t>
  </si>
  <si>
    <t>A coach align a group of teens in a basketball court, the teen on front holds a basketball ball.</t>
  </si>
  <si>
    <t>Three teens run and a boy throws the basketball to the basket, then the second teen grabs the ball and pass the ball to two teens disputing to have the ball.</t>
  </si>
  <si>
    <t>Then, three more boys run to practice the same steps.</t>
  </si>
  <si>
    <t>A young man wearing a yellow t-shirt practice basketball on the other basketball goal.</t>
  </si>
  <si>
    <t>After, a group of three boys runs to practice basketball shooting and blocking.</t>
  </si>
  <si>
    <t>v_YD7pb5-CZdI</t>
  </si>
  <si>
    <t>An athlete is standing on a field.</t>
  </si>
  <si>
    <t>He is holding a large steel ball.</t>
  </si>
  <si>
    <t>He spins and throws the ball, then walks around the track waiting for his next turn.</t>
  </si>
  <si>
    <t>v_UYUvjnlU9Ho</t>
  </si>
  <si>
    <t>There are some people playing croquet in their backyard that is covered with fall leaves.</t>
  </si>
  <si>
    <t>There's a teenage boy and a teenage girl playing croquet on some wooden boards.</t>
  </si>
  <si>
    <t>They use their wooden mallet to hit the ball down the wooden boards.</t>
  </si>
  <si>
    <t>Another group of young teenagers are also playing croquet in the yard.</t>
  </si>
  <si>
    <t>One of the teens wearing a yellow shirt pretends his mallet is a guitar and plays it.</t>
  </si>
  <si>
    <t>The teens continue playing croquet as they take turns to hit the ball with the mallet while another boy is playing with a black and white cat.</t>
  </si>
  <si>
    <t>The teens continue playing while the cat watches them.</t>
  </si>
  <si>
    <t>The teen in the yellow shirt plays with the black and white cat.</t>
  </si>
  <si>
    <t>One of the teen pose and aims to hit the ball with his mallet while the two other teens watch him.</t>
  </si>
  <si>
    <t>They continue playing croquet as they take turns to hit the balls one by one with the mallets.</t>
  </si>
  <si>
    <t>One of the teens then just drops his mallet down while the two other teens give each other high fives.</t>
  </si>
  <si>
    <t>v_Lh3dhueuKmQ</t>
  </si>
  <si>
    <t>A woman is putting wall paper on a wall.</t>
  </si>
  <si>
    <t>She smooths the wall paper with her hands.</t>
  </si>
  <si>
    <t>She is rolling the wall paper onto the wall.</t>
  </si>
  <si>
    <t>v_Wr69bnB86d0</t>
  </si>
  <si>
    <t>A man sits at a table and holds a screwdriver which he presses it against the tabletop.</t>
  </si>
  <si>
    <t>The man pretents to time himself and uses the screwdriver tool to pierce a hole in a full beer can that sprays some of its contents.</t>
  </si>
  <si>
    <t>The man holds up the can with the hole facing upwards.</t>
  </si>
  <si>
    <t>The man drinks the contents of the beer can from the hole after opening the top.</t>
  </si>
  <si>
    <t>v_aSFtL7YEbDE</t>
  </si>
  <si>
    <t>A group of people are on a neatly mown field.</t>
  </si>
  <si>
    <t>They are playing a game of croquette.</t>
  </si>
  <si>
    <t>They hit the balls through the hoops with mallets.</t>
  </si>
  <si>
    <t>v_bTlfN4vJkiY</t>
  </si>
  <si>
    <t>A young boy is wearing a bandana and mowing a large yard.</t>
  </si>
  <si>
    <t>He walks away from the camera as he pushes the mower.</t>
  </si>
  <si>
    <t>He then suddenly stops, chasing the person with the camera and knocking them over.</t>
  </si>
  <si>
    <t>v_2LzWCwYtUzs</t>
  </si>
  <si>
    <t>We see an animation on the opening title screen.</t>
  </si>
  <si>
    <t>A person washes and peels a potato.</t>
  </si>
  <si>
    <t>The person rinses the person rinses the peeled potato in a bowl.</t>
  </si>
  <si>
    <t>The person then dices the potato.</t>
  </si>
  <si>
    <t>v_T1T3UvwZcKU</t>
  </si>
  <si>
    <t>A young child is seen sitting a top of a slide with his tongue sticking out.</t>
  </si>
  <si>
    <t>He begins to go down the slide but falls off the side and is seen laying on the floor.</t>
  </si>
  <si>
    <t>v_4uitkT3dDIM</t>
  </si>
  <si>
    <t>General technique is shown for throwing javelins.</t>
  </si>
  <si>
    <t>He then shows how to do it with crossovers.</t>
  </si>
  <si>
    <t>v_ozkDsQ1UY1k</t>
  </si>
  <si>
    <t>A close up of a pool table is seen followed by a man hitting a ball.</t>
  </si>
  <si>
    <t>Another man steps up with the pool stick to aim his shot and hits the balls.</t>
  </si>
  <si>
    <t>The men take turns back and fourth playing pool until one wins and the camera pans to a man watching.</t>
  </si>
  <si>
    <t>v_F_-w_z4B3bg</t>
  </si>
  <si>
    <t>A young man is seen sitting before an instrument with another sitting on a drum set.</t>
  </si>
  <si>
    <t>The man moves sticks around while looking off into the distance and begins to play.</t>
  </si>
  <si>
    <t>Another boy walks in and out of frame and begins singing into a microphone.</t>
  </si>
  <si>
    <t>v_fGMZvLvAMK4</t>
  </si>
  <si>
    <t>A skier holds a ski stick in his left hand and a pole in his right hand.</t>
  </si>
  <si>
    <t>Then, the man ski down the hill covered with snow.</t>
  </si>
  <si>
    <t>The man stops in middle of the hill.</t>
  </si>
  <si>
    <t>Then, the man continues skiing until arrives to a city.</t>
  </si>
  <si>
    <t>v_OSndW3d2XxU</t>
  </si>
  <si>
    <t>a man is on a field in a circle.</t>
  </si>
  <si>
    <t>He starts spinning a ball around in circles.</t>
  </si>
  <si>
    <t>He then throws the ball as far as he can, but falls down.</t>
  </si>
  <si>
    <t>v_K8G5CBJtluY</t>
  </si>
  <si>
    <t>A young man lying prone on a tiled floor with this hands behind his head and his knees bent attempts to perform a sit-up in front of a few friends.</t>
  </si>
  <si>
    <t>As he brings his elbows towards his knees, a loud crack can be heard as the man laughs, "That hurt my ass.</t>
  </si>
  <si>
    <t>" He attempts a second sit-up and with another cracking sound, exclaims and grabs his buttocks.</t>
  </si>
  <si>
    <t>The man says, "one more" and attempts another time, after which he says, "that felt horrible.</t>
  </si>
  <si>
    <t>" The man struggles through nine more attempts before giving up to the amusement of his friends.</t>
  </si>
  <si>
    <t>v_I41kmlYZmt4</t>
  </si>
  <si>
    <t>A close up of a hedge is shown as well as a man using a tool to cut the hedge.</t>
  </si>
  <si>
    <t>The man speaks to the camera and continues using the tool on the hedge.</t>
  </si>
  <si>
    <t>Several shots are shown of his surroundings as well as other tools you can use and more grass being cut.</t>
  </si>
  <si>
    <t>v_7CeAzJF2z4o</t>
  </si>
  <si>
    <t>A intro leads to a young man wearing a backwards baseball cap playing the guitar on a bed.</t>
  </si>
  <si>
    <t>The man strokes his fingers up and down the neck of the guitar while strumming the string and looking down at the neck.</t>
  </si>
  <si>
    <t>v_erevt6avST0</t>
  </si>
  <si>
    <t>A man is standing at a counter.</t>
  </si>
  <si>
    <t>The store front is shown to the door.</t>
  </si>
  <si>
    <t>the man is still at the counter talking.</t>
  </si>
  <si>
    <t>A man is runnign around a course with a gun.</t>
  </si>
  <si>
    <t>The man is still talkign at the counter.</t>
  </si>
  <si>
    <t>A man in the course is aiming his gun.</t>
  </si>
  <si>
    <t>The man at the counter is showing a particular gun.</t>
  </si>
  <si>
    <t>A man at the course is running around aiming and shooting his gun.</t>
  </si>
  <si>
    <t>The man at the counter is still holding the gun talking.</t>
  </si>
  <si>
    <t>The man on the course runs around and shoots.</t>
  </si>
  <si>
    <t>The man at the counter continues to talk with the gun in his hand.</t>
  </si>
  <si>
    <t>The man at the course peers around a corner aiming his gun.</t>
  </si>
  <si>
    <t>The man at the counter is talking and motioning with the gun in his hand.</t>
  </si>
  <si>
    <t>v_-X7fBYN5fBc</t>
  </si>
  <si>
    <t>Men are standing against the fence, the gates are up and a rider is waiting to start.</t>
  </si>
  <si>
    <t>Once the gate opens a little cow comes running out and the horse chases after.</t>
  </si>
  <si>
    <t>The rider throws a rope at the cow trying to catch it and then jumps off the horse.</t>
  </si>
  <si>
    <t>After he jumps off the horse he starts to pin the cow down and tie the rope around its legs very roughly.</t>
  </si>
  <si>
    <t>v_0_IShglbOQ4</t>
  </si>
  <si>
    <t>A young boy is seen holding onto a lawn mower and pushing it along the yard.</t>
  </si>
  <si>
    <t>The boy continues to push the mower around while the camera captures his movements.</t>
  </si>
  <si>
    <t>He pushes the mower back where he started and looks back to the camera.</t>
  </si>
  <si>
    <t>v_I9_eKiGZPxc</t>
  </si>
  <si>
    <t>Vehicles are moving down a road.</t>
  </si>
  <si>
    <t>A lady stands and discusses.</t>
  </si>
  <si>
    <t>People are paddling down a rocky body of water.</t>
  </si>
  <si>
    <t>A person tries to lift an individual back into the inflated boat.</t>
  </si>
  <si>
    <t>A lady walks away from the inflated boat.</t>
  </si>
  <si>
    <t>The lady used her hands to over her face.</t>
  </si>
  <si>
    <t>People that are sitting on an inflated boat raise their paddles.</t>
  </si>
  <si>
    <t>An inflated boat flips over and the occupants falls overboard.</t>
  </si>
  <si>
    <t>The lady takes off her helmet.</t>
  </si>
  <si>
    <t>A guy gives the lady her white sandals.</t>
  </si>
  <si>
    <t>The lady blows a kiss.</t>
  </si>
  <si>
    <t>Guys are playing soccer outside.</t>
  </si>
  <si>
    <t>Two red team players chest bump.</t>
  </si>
  <si>
    <t>v_Z90-HZ_geSI</t>
  </si>
  <si>
    <t>An intro leads into shots outside a dog groomers and inside where several dogs are tied it.</t>
  </si>
  <si>
    <t>Many woman are shown brushing the dogs and trimming their fur while giving them head scratches in between.</t>
  </si>
  <si>
    <t>More dogs are seen sitting in crates and barking at the camera while the wind blows on them.</t>
  </si>
  <si>
    <t>v_kGxikShxkpQ</t>
  </si>
  <si>
    <t>Team mates are seen walking out onto a field surrounded by dozens of people and stand ready over a rope holding their arms up.</t>
  </si>
  <si>
    <t>The men then pull the rope against another team and end by falling down.</t>
  </si>
  <si>
    <t>v__MYAaRrTeMQ</t>
  </si>
  <si>
    <t>A man is seen holding an axe and looking back to smile at the camera.</t>
  </si>
  <si>
    <t>The man then swings the axe down and hits a log of wood still smiling at the camera.</t>
  </si>
  <si>
    <t>v_C7sabT8febk</t>
  </si>
  <si>
    <t>Paint is shown being mixed on a styrofoam plate.</t>
  </si>
  <si>
    <t>A hand draws on a piece of paper using a brush and the mixed paint.</t>
  </si>
  <si>
    <t>v_fZc3tkvUJe0</t>
  </si>
  <si>
    <t>A chef is seen speaking to a woman and leads into him holding knives and sharpening the sides.</t>
  </si>
  <si>
    <t>He then wipes the knife with a rag and continues sharpening the knives.</t>
  </si>
  <si>
    <t>v_S5kuckj4Ud4</t>
  </si>
  <si>
    <t>We see are driving down the street then we see the man in the car.</t>
  </si>
  <si>
    <t>The man gets out and grabs flat tire supplies.</t>
  </si>
  <si>
    <t>The man sits in the car and thinks about how to change a tire.</t>
  </si>
  <si>
    <t>The guy loosens bolts, jacks the car up and takes off the flat.</t>
  </si>
  <si>
    <t>The guy then puts the spare tire on the car.</t>
  </si>
  <si>
    <t>We see the bolts up close in a line.</t>
  </si>
  <si>
    <t>The man puts the spare tire in the car and gets in the car.</t>
  </si>
  <si>
    <t>He makes a call and turns on the radio.</t>
  </si>
  <si>
    <t>The man makes a u-turn and leaves.</t>
  </si>
  <si>
    <t>We see the ending title.</t>
  </si>
  <si>
    <t>v_IKTYMYu8FFs</t>
  </si>
  <si>
    <t>A container of hair styling cream is shown by a stylist.</t>
  </si>
  <si>
    <t>She applies it to a seated brunette's skin.</t>
  </si>
  <si>
    <t>She then demonstrates how it works.</t>
  </si>
  <si>
    <t>v_Iphl3YB-yYQ</t>
  </si>
  <si>
    <t>A man is seen speaking to the camera and pans over to a roof that is breaking apart.</t>
  </si>
  <si>
    <t>He points all over the roof and shows a man working on the roof while panning around again.</t>
  </si>
  <si>
    <t>v_feqYwvoENzk</t>
  </si>
  <si>
    <t>A woman is seen putting her hair up in a pony tail with a man watching her on the side.</t>
  </si>
  <si>
    <t>She then plays the piano while smiling and the man continuing to watch her.</t>
  </si>
  <si>
    <t>v_O8vPTn6Ho7w</t>
  </si>
  <si>
    <t>People are paddling in kayaks in a body of water.</t>
  </si>
  <si>
    <t>A man takes off in a green kayak.</t>
  </si>
  <si>
    <t>A man in a red jacket is talking to the camera.</t>
  </si>
  <si>
    <t>v_dyobp97TugE</t>
  </si>
  <si>
    <t>A woman and a dog are playing on the grass with a frisbee.</t>
  </si>
  <si>
    <t>The dog has the frisbee in its mouth.</t>
  </si>
  <si>
    <t>The woman and the dog are playing with a rope.</t>
  </si>
  <si>
    <t>v_qX7UMKN6ygM</t>
  </si>
  <si>
    <t>At the beach, a group of soccer balls lie next to a man who is kicking them at the goal, protected by a keeper.</t>
  </si>
  <si>
    <t>He boots them up and off his knee before shooting wide.</t>
  </si>
  <si>
    <t>He finally scores over the keeper.</t>
  </si>
  <si>
    <t>His final ball is saved once again by the keeper.</t>
  </si>
  <si>
    <t>v_r96PJ548pn8</t>
  </si>
  <si>
    <t>A woman wearing exercise equipment is shown talking to the camera and pointing to several areas on her body.</t>
  </si>
  <si>
    <t>She continues talking to the camera while performing several ab crunches to work your core.</t>
  </si>
  <si>
    <t>She then grabs a weight in both hands as well as a cat to use as a weight for the exercise.</t>
  </si>
  <si>
    <t>She bends forward and continues talking to the camera.</t>
  </si>
  <si>
    <t>v_N8otQdjR96s</t>
  </si>
  <si>
    <t>A man is sitting at a drum set.</t>
  </si>
  <si>
    <t>He is playing the drums and cymbals, and talking to the camera.</t>
  </si>
  <si>
    <t>He shows the mechanics of the pedals and the effects on the drums as he uses them.</t>
  </si>
  <si>
    <t>v_mTmcz5NWNQA</t>
  </si>
  <si>
    <t>A group of people riding bmx dirt bikes come down a path together.</t>
  </si>
  <si>
    <t>Then spin around, taking sharp turns and curves on the track.</t>
  </si>
  <si>
    <t>When the race is over, they walk around handing out medals and posing for photos.</t>
  </si>
  <si>
    <t>v_kF6tSW-ZOFg</t>
  </si>
  <si>
    <t>A lady stands at the end of a hopscotch court.</t>
  </si>
  <si>
    <t>The lady then jumps across the hopscotch court towards the right.</t>
  </si>
  <si>
    <t>The lady then hops back where she started.</t>
  </si>
  <si>
    <t>v_hP8wUI0qdaQ</t>
  </si>
  <si>
    <t>woman is talking to the camera in front of a large gym with a lot of estatic bikes in the background and people doing exercise.</t>
  </si>
  <si>
    <t>girl start doing exercise in the elliptical bike.</t>
  </si>
  <si>
    <t>v_2GSSuYAWFc8</t>
  </si>
  <si>
    <t>Several pieces of belly button jewelry are shown.</t>
  </si>
  <si>
    <t>This is followed by a man disinfecting a woman's belly button.</t>
  </si>
  <si>
    <t>He then inserts a piercing using a clamp and a rod.</t>
  </si>
  <si>
    <t>The woman watches as the final studs are in place.</t>
  </si>
  <si>
    <t>v_ufK2mbJI0to</t>
  </si>
  <si>
    <t>A large group of people are seen running around a soccer field playing a game of soccer.</t>
  </si>
  <si>
    <t>The kids continue to kick the ball around one another while others watch on the side.</t>
  </si>
  <si>
    <t>More shots are shown of the game as well as people playing with one another.</t>
  </si>
  <si>
    <t>v_jMQP5ePI4eQ</t>
  </si>
  <si>
    <t>A man in a white shirt is sitting down playing a guitar.</t>
  </si>
  <si>
    <t>Next to the man is a smaller screen of a black and white video of a man singing and a woman.</t>
  </si>
  <si>
    <t>v_LcmTBkWvV74</t>
  </si>
  <si>
    <t>A close up a girl smiling and pointing to her face is shown followed by a pair of pliers piercing her inner lip.</t>
  </si>
  <si>
    <t>The piercer pushes the scissor through her lip while she holds it up and presents the piercing in the end.</t>
  </si>
  <si>
    <t>v_BfnM0eyjB5Q</t>
  </si>
  <si>
    <t>A woman is giving instructions on how to install and adjust a saddle on a bike.</t>
  </si>
  <si>
    <t>She uses a Allen key wrench to loosen up the bolt.</t>
  </si>
  <si>
    <t>Then she demonstrates how she can move the saddle after she loosens it.</t>
  </si>
  <si>
    <t>She hits it with her hand to push the jammed saddle.</t>
  </si>
  <si>
    <t>Then she shows how to adjust the saddle by moving it back and forth.</t>
  </si>
  <si>
    <t>She later demonstrates how to remove the saddle off.</t>
  </si>
  <si>
    <t>She puts the new one on and then uses tools to tighten it back on.</t>
  </si>
  <si>
    <t>She uses a screwdriver to tighten the screws and adjust the level.</t>
  </si>
  <si>
    <t>She then shows another saddle and demonstrates how to tighten the bolts to adjust the level of the saddle.</t>
  </si>
  <si>
    <t>She shows how to tighten the bolt to make sure the saddle fits snugly.</t>
  </si>
  <si>
    <t>v_P1Ve5WrfTb8</t>
  </si>
  <si>
    <t>A boy in grey throws a ball at a a kid on the other side of the court.</t>
  </si>
  <si>
    <t>A boy in blue does an extraordinary flip in the air after catching the ball and lands.</t>
  </si>
  <si>
    <t>He throws the ball back at the other kid after landing.</t>
  </si>
  <si>
    <t>They are being watched by a group of kids standing behind them.</t>
  </si>
  <si>
    <t>v_Cj3W6CW3Zbc</t>
  </si>
  <si>
    <t>Four men are working on the roof of a house.</t>
  </si>
  <si>
    <t>They are scraping the shingles off with shovels, knocking debris to the ground as they work.</t>
  </si>
  <si>
    <t>v_pYYA4rARL1Y</t>
  </si>
  <si>
    <t>We then see men spinning on the pommel horse with title screens clipped in between.</t>
  </si>
  <si>
    <t>We see a man throwing his legs over the pommel horse.</t>
  </si>
  <si>
    <t>We see a man in red spinning himself around the pommel horse quickly.</t>
  </si>
  <si>
    <t>A man in red and yellow spins fast on the pommel.</t>
  </si>
  <si>
    <t>We see a man dismount the pommel and throw his arms in the air.</t>
  </si>
  <si>
    <t>We then see the closing scenes.</t>
  </si>
  <si>
    <t>v_ZO8ValsY3rE</t>
  </si>
  <si>
    <t>A woman holds a box with UV light to light the handle of the refrigerator, her hand, the microwave oven and utensils.</t>
  </si>
  <si>
    <t>Then, the woman wash and dry her hands and light a hand with the UV light.</t>
  </si>
  <si>
    <t>After, the woman takes off her ring and wash and wash her hands with soap and rinse with water.</t>
  </si>
  <si>
    <t>v_Yjkz62cLVdQ</t>
  </si>
  <si>
    <t>A man holds clips against a bracket placed on a wooden desk.</t>
  </si>
  <si>
    <t>He welds the metal bracket.</t>
  </si>
  <si>
    <t>The man finishes welding and picks up a stick from the wooden desk.</t>
  </si>
  <si>
    <t>v_YVbMt3qsB3o</t>
  </si>
  <si>
    <t>A chubby man is standing outside in a field and throws a yellow medicine ball demonstrating exercising to strengthen athletes for shot put.</t>
  </si>
  <si>
    <t>The man is then pictured in a gym doing reps with the bar and then begins throwing a ball up against the tree.</t>
  </si>
  <si>
    <t>Another boy then begins throwing a bag of sand before the previous man comes back and starts using elliptical machines.</t>
  </si>
  <si>
    <t>Once finished,he returns back to a field and begins pulling the chain across the field and throwing kettle balls.</t>
  </si>
  <si>
    <t>v_KiE-fFIz5ic</t>
  </si>
  <si>
    <t>A man in a hat is standing outside talking.</t>
  </si>
  <si>
    <t>People are practicing pole vaulting on a blue mat.</t>
  </si>
  <si>
    <t>A person is jumping over hurdles on a track.</t>
  </si>
  <si>
    <t>People are laying on a blue mat stretching.</t>
  </si>
  <si>
    <t>v_WJwLjPDvLrY</t>
  </si>
  <si>
    <t>A group is on the beach, playing volleyball.</t>
  </si>
  <si>
    <t>The crowd cheers them on as they continue the competition.</t>
  </si>
  <si>
    <t>v_PiDMuIRtgZo</t>
  </si>
  <si>
    <t>We see men playing hockey in an ice rink.</t>
  </si>
  <si>
    <t>A player in blue goes behind the goal close to the camera.</t>
  </si>
  <si>
    <t>The hockey puck slips past the goalie and into the goal net.</t>
  </si>
  <si>
    <t>The goalie gets up off the ground.</t>
  </si>
  <si>
    <t>v_-lJS58hyo1c</t>
  </si>
  <si>
    <t>A lady walks to a barbell.</t>
  </si>
  <si>
    <t>She bends down and grabs the pole.</t>
  </si>
  <si>
    <t>The lady stands and lifts the weight over her head.</t>
  </si>
  <si>
    <t>The lady drops the barbell and smiles.</t>
  </si>
  <si>
    <t>v_KpoH4pBp9fg</t>
  </si>
  <si>
    <t>a woman is standing inside a dark kitchen, talking.</t>
  </si>
  <si>
    <t>She shows a cake cooling on a metal rack.</t>
  </si>
  <si>
    <t>She demonstrates how to mix the ingredients in a mixer, then bake the cake.</t>
  </si>
  <si>
    <t>When it is done, she turns it onto the rack to cool.</t>
  </si>
  <si>
    <t>v_n04zQqQI3wQ</t>
  </si>
  <si>
    <t>woman is with two kids in snow in a open land and they are on a inflatable sliding down a mountain.</t>
  </si>
  <si>
    <t>kids walks with the inflatable on their hands through the field and run to the mountain again.</t>
  </si>
  <si>
    <t>v_ciS5DtShxA8</t>
  </si>
  <si>
    <t>A young boy has on a black and white soccer jersey and is sitting down on the floor next to a bed and begins putting on a long black soccer sock.</t>
  </si>
  <si>
    <t>The young boy then reaches for his shin guard and puts it over his right leg and then folds his sock down over it.</t>
  </si>
  <si>
    <t>Once that is finished,he reaches over for his other sock and begins to do the same thing on the left leg.</t>
  </si>
  <si>
    <t>Finally,he moves to his cleats and grabs a pair of orange Adidas soccer cleats and ties them up.</t>
  </si>
  <si>
    <t>Everything is completed and the child sits criss-cross and begins talking to the camera.</t>
  </si>
  <si>
    <t>v_BpiExjaNwvI</t>
  </si>
  <si>
    <t>A close up zooms in on a screen.</t>
  </si>
  <si>
    <t>Several adults and kids are outdoors.</t>
  </si>
  <si>
    <t>The kids are riding dirt bikes in a competition.</t>
  </si>
  <si>
    <t>They are shown racing around a course and over hills and taking sharp turns.</t>
  </si>
  <si>
    <t>A boy on a bike stops at the camera, looking intently.</t>
  </si>
  <si>
    <t>v_cHHVpBYfwdU</t>
  </si>
  <si>
    <t>A man leans over the camera he has placed on a dog.</t>
  </si>
  <si>
    <t>The dog runs through different rooms of the house, then to the door and outside.</t>
  </si>
  <si>
    <t>They go for a walk outside with the people and other dogs.</t>
  </si>
  <si>
    <t>He returns home, and looks in his water bowl.</t>
  </si>
  <si>
    <t>v_VN-BUL75x5Y</t>
  </si>
  <si>
    <t>A woman sitting on the floor talks to the camera while petting a dog.</t>
  </si>
  <si>
    <t>The woman holds up some sort of tool while talking to the camera.</t>
  </si>
  <si>
    <t>The woman uses the tool to brush the dog while talking.</t>
  </si>
  <si>
    <t>The woman sets down the tool and pets the dog while talking to the camera.</t>
  </si>
  <si>
    <t>The woman talks to the camera about the tool.</t>
  </si>
  <si>
    <t>The dog and women get up from the ground.</t>
  </si>
  <si>
    <t>A sped up process of drawing an owl emblem is shown.</t>
  </si>
  <si>
    <t>v_M1dEZrQWeRY</t>
  </si>
  <si>
    <t>A skier uses a wind drone to propel him across a flat slope.</t>
  </si>
  <si>
    <t>The skier uses the wind drone to do a few passes on a flat area of a ski resort.</t>
  </si>
  <si>
    <t>The camera pans across the ski area and views of the surrounding mountains.</t>
  </si>
  <si>
    <t>The skier does a pass by on a large flat area going very fast.</t>
  </si>
  <si>
    <t>v_qJfhu80Ldgo</t>
  </si>
  <si>
    <t>A man squats down and lifts a bar of weights in a gym.</t>
  </si>
  <si>
    <t>He throws the bar down and it crashes into the floor and takes a deep breath.</t>
  </si>
  <si>
    <t>v_5T7vTuJmYeQ</t>
  </si>
  <si>
    <t>A child swings on monkey bars.</t>
  </si>
  <si>
    <t>The child dismounts from the monkey bars.</t>
  </si>
  <si>
    <t>The child walks towards the camera.</t>
  </si>
  <si>
    <t>v_k3nRbFeancA</t>
  </si>
  <si>
    <t>The video shows various clips of sumo wrestlers fighting in a ring while a referee and audience looks on.</t>
  </si>
  <si>
    <t>In the first clip, a much bigger wrestler wrestles a smaller man who ends up winning.</t>
  </si>
  <si>
    <t>The video continues with several other clips of wrestlers and how each wrestler wins the round.</t>
  </si>
  <si>
    <t>The video ends with a comedy commercial where a smaller sumo wrestler crawls under another very large one, and ends up stuck in his sumo outfit.</t>
  </si>
  <si>
    <t>v_QsRW8dj-F7M</t>
  </si>
  <si>
    <t>A mascot is seen running around a field as the camera pans around a large audience.</t>
  </si>
  <si>
    <t>Several mascots are seen holing sticks on a field walking around one another and leads into them chasing a ball.</t>
  </si>
  <si>
    <t>The group continues running around the field as the mascots continue to chase the ball one after the other.</t>
  </si>
  <si>
    <t>v_W5cGKWhOTOU</t>
  </si>
  <si>
    <t>There are 3 people at a store in a shoe section and there are two people on the ground trying on boots.</t>
  </si>
  <si>
    <t>The man on the ground removes his pink boot, throws it on the side and stands up smiling.</t>
  </si>
  <si>
    <t>The girl grabs his pink boot, tries it on her right foot and sits there modeling it while talking to the people around her.</t>
  </si>
  <si>
    <t>The girl then grabs the left boot, removes the stuff in it, tries it on and stands up to model them.</t>
  </si>
  <si>
    <t>The girl stands next to the guy and they smile, she gives a thumbs up and he hugs her from behind.</t>
  </si>
  <si>
    <t>v_wLcpMJv83XY</t>
  </si>
  <si>
    <t>A still image of a man dressed in an Under Armour shirt and a pair of slacks is standing in one spot in a bowling alley.</t>
  </si>
  <si>
    <t>The man finally moves and throws the ball down the Alley.</t>
  </si>
  <si>
    <t>After,an instant replay is shown of the video being chopped and screwed with a circle highlighting the ball before it is thrown down the lane.</t>
  </si>
  <si>
    <t>v_-3Ss9jSRbKk</t>
  </si>
  <si>
    <t>A woman demonstrates how to do sit ups, in a gym room, using a woman who is simulating the exercise as an example.</t>
  </si>
  <si>
    <t>A woman kneels on the hardwood floors of a gym room and talks to the camera.</t>
  </si>
  <si>
    <t>The camera pans out and another woman is revealed lying on her back on a gym mat as the woman kneeling above her continues to talk.</t>
  </si>
  <si>
    <t>The woman lying down demonstrates how to do a sit up and the other woman continues to talk at times touching the other woman's stomach.</t>
  </si>
  <si>
    <t>v_iFwmJi-I5sg</t>
  </si>
  <si>
    <t>A person is seen standing in the middle of a circle throwing a discuss off into the distance.</t>
  </si>
  <si>
    <t>The man walks back several times and is shown continuing to throw the object.</t>
  </si>
  <si>
    <t>The man continues to spin around while throwing the object off into the distance.</t>
  </si>
  <si>
    <t>v_FayB7ZswnAw</t>
  </si>
  <si>
    <t>two men are standing in a court room playing squash.</t>
  </si>
  <si>
    <t>man is wearing white shirt standing in a court room.</t>
  </si>
  <si>
    <t>men are standing in a court room behind transparent doors.</t>
  </si>
  <si>
    <t>v_ZZImcxqa1_w</t>
  </si>
  <si>
    <t>A little boy is standing outside on the sidewalk he has his arms behind his back holding something.</t>
  </si>
  <si>
    <t>Then out of nowhere is starts to spin the thing in his hand, it looks really dangerous.</t>
  </si>
  <si>
    <t>He starts to turn along with it when he catches a lot of speed.</t>
  </si>
  <si>
    <t>Then he suddenly loses control of it and he ends up falling to the ground.</t>
  </si>
  <si>
    <t>v_bDkSq9T55RI</t>
  </si>
  <si>
    <t>A man wearing a red shirt is decorating a Christmas tree.</t>
  </si>
  <si>
    <t>He is using white lights to wrap the tree around to decorate it.</t>
  </si>
  <si>
    <t>He goes around the tree several times.</t>
  </si>
  <si>
    <t>Then he takes a gold colored garland and wraps the tree.</t>
  </si>
  <si>
    <t>Then he turns the lights on to light up the tree.</t>
  </si>
  <si>
    <t>He then stands besides the tree, pointing to it after the lights turn on.</t>
  </si>
  <si>
    <t>v_nXD-q814KjI</t>
  </si>
  <si>
    <t>A man uses a hose to spray something vertically on a wooden wall.</t>
  </si>
  <si>
    <t>The man changes to spraying horizontally on the wall.</t>
  </si>
  <si>
    <t>The man manipulates the tip of the spray nozzle.</t>
  </si>
  <si>
    <t>v_AA46-AbEGdk</t>
  </si>
  <si>
    <t>There's a girl gymnast dressed in shiny blue leotards performing gymnastics on a horse bar in front of many spectators in a large gymnasium.</t>
  </si>
  <si>
    <t>She gets on the horse bar and begins to do front flips and back flips.</t>
  </si>
  <si>
    <t>Then she does twisted backs flip while landing securely back on the horse bar.</t>
  </si>
  <si>
    <t>She continues her gymnastic moves and then securely jumps off the horse bar and lands on the ground.</t>
  </si>
  <si>
    <t>After she gets off the bar, she goes and hugs her coach.</t>
  </si>
  <si>
    <t>Slow motion actions of her gymnastic moves are replayed to show how she landed back on the ground from the horse bar.</t>
  </si>
  <si>
    <t>Then the gymnast walks past the where the panel of judges are seated.</t>
  </si>
  <si>
    <t>v_NVNUT5iwLtw</t>
  </si>
  <si>
    <t>A woman is seen sitting on a rock and grabbing laundry out of a bucket.</t>
  </si>
  <si>
    <t>She then rubs down the clothes with a rag while smiling to the camera.</t>
  </si>
  <si>
    <t>She continues cleaning the cloth by hitting it on cement and washing it down with water.</t>
  </si>
  <si>
    <t>v_p8tlnMtsTf8</t>
  </si>
  <si>
    <t>A helicopter is seen driving over an ocean where people are seen surfing.</t>
  </si>
  <si>
    <t>Several shots are shown of people riding along the water and others sitting.</t>
  </si>
  <si>
    <t>The people continue riding along the water while the helicopter rides around.</t>
  </si>
  <si>
    <t>v_M9uQCTr2-r0</t>
  </si>
  <si>
    <t>Young boys are shown playing ping pong with one another in a large gymnasium serving one after the other.</t>
  </si>
  <si>
    <t>Another boy walks up to the table and starts playing with the other boys, which then turns into a two versus two game of Ping Pong.</t>
  </si>
  <si>
    <t>The boys take turns serving back and forth scoring points at random.</t>
  </si>
  <si>
    <t>The boy that was first shown is playing a third game now that is being kept score of by an official and scores the first 4 points.</t>
  </si>
  <si>
    <t>The boy is playing yet another tournament with a different child in Ping Pong and seems to possibly be falling behind a little in points.</t>
  </si>
  <si>
    <t>v_aQQr1ad0v1I</t>
  </si>
  <si>
    <t>A man is showing off his motorbike.</t>
  </si>
  <si>
    <t>He gives a small talk about his bike first.</t>
  </si>
  <si>
    <t>Then he drives his bike on the track.</t>
  </si>
  <si>
    <t>He then does quick demonstrations on how his bike moves and how it sits.</t>
  </si>
  <si>
    <t>He then talks more about his bike while sitting on his bike.</t>
  </si>
  <si>
    <t>He then drives around a flat dirt track while cutting a few times to his talks describing his techniques.</t>
  </si>
  <si>
    <t>He ends by talking about his bike some more.</t>
  </si>
  <si>
    <t>v_Ye3u6ujLEl0</t>
  </si>
  <si>
    <t>A swimmer puts on a pair of goggles getting ready.</t>
  </si>
  <si>
    <t>The swimmer pulls a muscle in the pool and jumps up onto the pool deck and stretches out his leg.</t>
  </si>
  <si>
    <t>A swimmer dives off from a board into the water with a splash.</t>
  </si>
  <si>
    <t>The athlete swims in a lane and pulls himself along with the float line.</t>
  </si>
  <si>
    <t>The swimmer swims underwater and pushes off the pool floor.</t>
  </si>
  <si>
    <t>The swimmer does a butterfly stroke in the pool lane.</t>
  </si>
  <si>
    <t>v_V1ntLwOfkyE</t>
  </si>
  <si>
    <t>A gymnast jumps onto a pummel horse.</t>
  </si>
  <si>
    <t>The gymnast performs many spins around the horse as he holds onto the two bars on the pummel horse.</t>
  </si>
  <si>
    <t>A couple of judges look on.</t>
  </si>
  <si>
    <t>The gymnast jumps off the pummel horse.</t>
  </si>
  <si>
    <t>v_hkpYSfc5Ewc</t>
  </si>
  <si>
    <t>A gymnast is seen jumping onto a set of uneven bars and performs a gymnastics routine in front of a large crowd.</t>
  </si>
  <si>
    <t>The man flips around the beams and ends with him jumping down with his arms up and waving to the crowd.</t>
  </si>
  <si>
    <t>v_Xag8E74bkpw</t>
  </si>
  <si>
    <t>A woman wearing a hat is seen sitting behind a large set of bongo drums.</t>
  </si>
  <si>
    <t>The woman plays on the drums continuously.</t>
  </si>
  <si>
    <t>The woman continues hitting the drums and ends by pointing to the camera and standing up.</t>
  </si>
  <si>
    <t>v_UOkpGU7NAag</t>
  </si>
  <si>
    <t>A girl is going across a set of monkey bars.</t>
  </si>
  <si>
    <t>She gets to the end and stands on a wooden plank.</t>
  </si>
  <si>
    <t>She then goes back across the monkey bars in the other direction.</t>
  </si>
  <si>
    <t>She goes to another part of the playground and jumps up and down.</t>
  </si>
  <si>
    <t>v_b-ex8bAnl5U</t>
  </si>
  <si>
    <t>man is in front of an automaic cashier and take some money of it, and go talk with some men in a room full of people.</t>
  </si>
  <si>
    <t>men are sittig in a blackjack table and are gambling in a casino and talking to each other while people is looking the game and walking around the table.</t>
  </si>
  <si>
    <t>dealing is spreading the cards and men fire up a tobacco.</t>
  </si>
  <si>
    <t>v_Jb8YAhQ6EMk</t>
  </si>
  <si>
    <t>A woman washes a pot with soapy water while standing with her back to the camera at the kitchen sink.</t>
  </si>
  <si>
    <t>The woman turns and talks to the camera while washing the pot and smiles a bit as the camera shakily catches the activity.</t>
  </si>
  <si>
    <t>The woman rinses the pot off and then turns and holds it up in the air, dripping water, making a scary face, as if she is going to attack the camera man with it, but then turns away from the camera man and toward the sink counter.</t>
  </si>
  <si>
    <t>v_csxC5H5uDb4</t>
  </si>
  <si>
    <t>Two individuals are in room painting and doing redecorating.</t>
  </si>
  <si>
    <t>Two men alternate going up and down on a ladder putting paste on the wall for the wall paper.</t>
  </si>
  <si>
    <t>These actions continue to take place until the whole wall is covered in white wall paper with large blue flowers on them as a girl sits down behind a row of books.</t>
  </si>
  <si>
    <t>v_02yDi9BaDO8</t>
  </si>
  <si>
    <t>A woman in a red shirt is standing in a room.</t>
  </si>
  <si>
    <t>She starts working out on a blue mat.</t>
  </si>
  <si>
    <t>She stops and talks to the camera.</t>
  </si>
  <si>
    <t>v_wBv1tu74S2E</t>
  </si>
  <si>
    <t>A gymnast stretches out and climbs onto a set of parallel double bars.</t>
  </si>
  <si>
    <t>The gymnast does a routine in a competition on the double bars with flips and turns.</t>
  </si>
  <si>
    <t>The gymnast dismounts from the equipment and lands on the mat.</t>
  </si>
  <si>
    <t>v_hxQhQsl-N1k</t>
  </si>
  <si>
    <t>A guy is half kneeing on a gym floor.</t>
  </si>
  <si>
    <t>The guy starts pressing a weight in one hand.</t>
  </si>
  <si>
    <t>v_MYRsm8m9mk4</t>
  </si>
  <si>
    <t>There are several men playing tug of war on a sandy ground that is surrounded by mountains.</t>
  </si>
  <si>
    <t>They continue pulling the rope with force.</t>
  </si>
  <si>
    <t>Several spectators are watching them and cheering them as they continue to play.</t>
  </si>
  <si>
    <t>The players continue to pull the rope with concentration.</t>
  </si>
  <si>
    <t>Finally the victorious team raises their hands up and cheer and dance around in a circle.</t>
  </si>
  <si>
    <t>v_NdFbQ0l3R9k</t>
  </si>
  <si>
    <t>A young preteen female is standing in the corner of a room talking.</t>
  </si>
  <si>
    <t>The girl is then shown in a sparkly leotard inside of a gymnasium.</t>
  </si>
  <si>
    <t>After,she hops on the balance beam and begins to do tricks before she flips off of the balance beam.</t>
  </si>
  <si>
    <t>She then retreats back to the camera,says a few brief words and waves bye.</t>
  </si>
  <si>
    <t>v_mbGDPga031E</t>
  </si>
  <si>
    <t>People play shuffleboard indoors and outdoors.</t>
  </si>
  <si>
    <t>A person observes when people plays shuffleboard in the street.</t>
  </si>
  <si>
    <t>A couple of old people play outdoor.</t>
  </si>
  <si>
    <t>Other people play shuffleboard pushing the balls in the triangle.</t>
  </si>
  <si>
    <t>v_T-rV3KKFOgg</t>
  </si>
  <si>
    <t>A man demonstrates how to wash the underbody of a car.</t>
  </si>
  <si>
    <t>A car is shown going through a commercial wash.</t>
  </si>
  <si>
    <t>They advertise their expertise in washing cars.</t>
  </si>
  <si>
    <t>v_K-PpTJmmjhA</t>
  </si>
  <si>
    <t>An old woman talks in a costume shop.</t>
  </si>
  <si>
    <t>Then she puts a garment on the iron board, sprays water and iron the collar.</t>
  </si>
  <si>
    <t>After, the woman irons the sleeves of the garment and the body part.</t>
  </si>
  <si>
    <t>Next, the woman shows the ironed garment.</t>
  </si>
  <si>
    <t>v_I_6Ok72DnJA</t>
  </si>
  <si>
    <t>A man is hanging wallpaper on a wall.</t>
  </si>
  <si>
    <t>He peels the sticky side from the backing paper.</t>
  </si>
  <si>
    <t>He is now applying the sticky side of the paper to the wall.</t>
  </si>
  <si>
    <t>He repeats this several more times on different parts of the wall.</t>
  </si>
  <si>
    <t>v_GoVqtUSnshE</t>
  </si>
  <si>
    <t>A news woman is speaking from a news room.</t>
  </si>
  <si>
    <t>Then we see breaking news videos on the screen.</t>
  </si>
  <si>
    <t>A woman is shown drinking some kind of fluid on a dare, and the women take turns drinking the liquid.</t>
  </si>
  <si>
    <t>v_cHdZ_dBVgDE</t>
  </si>
  <si>
    <t>A man and a woman dressed in black and red stand in the middle of a room surrounded by a very large amount of people sitting and watching them.</t>
  </si>
  <si>
    <t>They dance and dance working very well together.</t>
  </si>
  <si>
    <t>They twist and turn and even do all kinds of nice moves together.</t>
  </si>
  <si>
    <t>The man bends down and swings the female across his back where she flips over and ends the dance.</t>
  </si>
  <si>
    <t>v_hGUUlFxygmw</t>
  </si>
  <si>
    <t>A girl is sitting talking the the camera.</t>
  </si>
  <si>
    <t>The girl points the camera to the ground.</t>
  </si>
  <si>
    <t>A half manicure hand of another girl is seen on the floor.</t>
  </si>
  <si>
    <t>The first girl proceeds to polish the second girl's fingernails.</t>
  </si>
  <si>
    <t>v_WvpiEwrWmWE</t>
  </si>
  <si>
    <t>A cheerleader perform graciously using a rod that spins in her right hand.</t>
  </si>
  <si>
    <t>Then, she takes another rod to perform and spins at the same time the rods.</t>
  </si>
  <si>
    <t>After, the cheerleader put one rod on the floor and continue performing only with one rod.</t>
  </si>
  <si>
    <t>v_Fk0z6MeCV0I</t>
  </si>
  <si>
    <t>A class of kids are at outside at school dressed in uniforms with their teacher standing next to them.</t>
  </si>
  <si>
    <t>As they are in line,one girl is in the middle of a game of hop scotch,turns around,finishes and gets back in line.</t>
  </si>
  <si>
    <t>Once she is finishes,all of the other kids takes their turn one by one.</t>
  </si>
  <si>
    <t>v_YmGXXV6ztUo</t>
  </si>
  <si>
    <t>An Asian man wearing glasses, a green shirt with yellow stripes is sitting down talking in a room.</t>
  </si>
  <si>
    <t>Still shot pictures of a book appear, and the man appears talking again, and then more black text on a white screen shows up.</t>
  </si>
  <si>
    <t>The man appears again but this time he's outdoors and he's holding a very large archery and is showing the right and the wrong way to draw his string back.</t>
  </si>
  <si>
    <t>The man then moves a plant and stands so that he's standing in between two of them on the ground and he begins holding his archery, and showing different ways to hold it.</t>
  </si>
  <si>
    <t>The man appears again back indoors and sitting down talking.</t>
  </si>
  <si>
    <t>v_8l7SuE4_lCk</t>
  </si>
  <si>
    <t>A young man is seen looking into the camera holding a toothbrush.</t>
  </si>
  <si>
    <t>The man then begins brushing his teeth in several shots.</t>
  </si>
  <si>
    <t>He continues brushing his teeth and showing off his mouth in the end.</t>
  </si>
  <si>
    <t>v_CYj2ltxPNDo</t>
  </si>
  <si>
    <t>An athlete stands eagerly awaiting his turn while the judges prepare for his routine.</t>
  </si>
  <si>
    <t>A foreign commentator comments on his routine while he flips himself through the air.</t>
  </si>
  <si>
    <t>The man continues twirling and flipping on the bars for his gymnastic routine while audience members cheer loudly.</t>
  </si>
  <si>
    <t>The video slows down and shows the highlights of the routine in slow motion.</t>
  </si>
  <si>
    <t>The athlete rests on the couch while the judges finish their critiques.</t>
  </si>
  <si>
    <t>Eventually the man hears his score and smiles pleasingly.</t>
  </si>
  <si>
    <t>v_E1b_DF716Q4</t>
  </si>
  <si>
    <t>A young girl is seen sitting in front of the camera with several objects being held in front of her face.</t>
  </si>
  <si>
    <t>Two hand pulls a tube through next to her and the woman then puts the tubes in the girl's hair.</t>
  </si>
  <si>
    <t>In the end the woman takes the tubes out and the girl continues to look at the camera.</t>
  </si>
  <si>
    <t>v_ucR3VztMyeE</t>
  </si>
  <si>
    <t>A girl starts to climb the monkey bars.</t>
  </si>
  <si>
    <t>She starts climbing forward to the end.</t>
  </si>
  <si>
    <t>She has difficulties in the middle of the bars.</t>
  </si>
  <si>
    <t>A woman appears looking to help.</t>
  </si>
  <si>
    <t>She finishes the climb very happy.</t>
  </si>
  <si>
    <t>v_7hRls13HJow</t>
  </si>
  <si>
    <t>A person is filming a house and a dog walking into frame.</t>
  </si>
  <si>
    <t>A small girl is washing the floor with a mop and talking to the camera man.</t>
  </si>
  <si>
    <t>The camera man talks to the girl about cleaning and why she likes it.</t>
  </si>
  <si>
    <t>The girl finishes washing the floor.</t>
  </si>
  <si>
    <t>v_Ax8GCogz6Yg</t>
  </si>
  <si>
    <t>An introduction comes onto the screen for a video about a jump rope competition.</t>
  </si>
  <si>
    <t>One person is shown doing a set of jump rope tricks.</t>
  </si>
  <si>
    <t>Two people are then shown doing more jump rope tricks.</t>
  </si>
  <si>
    <t>Next, four people are shown doing jump rope tricks in the gymnasium.</t>
  </si>
  <si>
    <t>Next a variety of tricks are being shown done by several different people on the floor in the gymnasium.</t>
  </si>
  <si>
    <t>The video then ends with the closing credits.</t>
  </si>
  <si>
    <t>v_ANuV_fDgI54</t>
  </si>
  <si>
    <t>We see a red opening screen.</t>
  </si>
  <si>
    <t>Men pole vault in an outdoor field.</t>
  </si>
  <si>
    <t>A mans's face on the left of the screen moves back and out of the shot.</t>
  </si>
  <si>
    <t>The camera angle changes and we continue to watch the men pole vault.</t>
  </si>
  <si>
    <t>v_dzsSiqXxfpw</t>
  </si>
  <si>
    <t>A man is seen lecturing a crowd while holding several green Frisbees in his hand.</t>
  </si>
  <si>
    <t>After talking to the crowd he calls out and a dog runs out on the stage to him.</t>
  </si>
  <si>
    <t>Initially he starts to play with the dog and the dog kept trying to grab the mans frisbees,than the man throws the Frisbees on the ground and starts to play fetch with the dog.</t>
  </si>
  <si>
    <t>At one point the dog starts to jump off the mans back as he chases after Frisbees.</t>
  </si>
  <si>
    <t>Also at another point the man grabs on to a Frisbee at one end and a dog at the other end and he starts to spin the dog around.</t>
  </si>
  <si>
    <t>In the end the man performs a trick with the dog and makes him do a back flip and grabs him and takes him off the stage .</t>
  </si>
  <si>
    <t>v_-uICMT1yOcM</t>
  </si>
  <si>
    <t>A baby is sitting in a high chair.</t>
  </si>
  <si>
    <t>An ice cream pop goes into her mouth, and she chews a bite from it.</t>
  </si>
  <si>
    <t>She sticks out her tongue after every bite, licking at the air.</t>
  </si>
  <si>
    <t>v_FI_1dsErIXE</t>
  </si>
  <si>
    <t>A man holds a yellow canister as he clears a wood board.</t>
  </si>
  <si>
    <t>He sprays the wood with the yellow canister.</t>
  </si>
  <si>
    <t>He takes a rag and cleans the wood.</t>
  </si>
  <si>
    <t>He speaks as he showcases the wood and presses his fingers on the board.</t>
  </si>
  <si>
    <t>v_c6Cbq-WNq9M</t>
  </si>
  <si>
    <t>The exterior of a building is shown, including a waving American flag near the front door.</t>
  </si>
  <si>
    <t>A man appears and talks about a tree near the front of the building.</t>
  </si>
  <si>
    <t>He then demonstrates how to trim the tree, picking off branches at eye level and using a tool for taller branches.</t>
  </si>
  <si>
    <t>The company hat is then shown on the step, surrounded by leaves.</t>
  </si>
  <si>
    <t>v_mb2fWzNSob0</t>
  </si>
  <si>
    <t>At the center of sandy field, has the cows fighting at the center, while the audience are watching on the sides, sitting on the ground.</t>
  </si>
  <si>
    <t>Three men are supervising the bullfighting, the bull push each other with their horns.</t>
  </si>
  <si>
    <t>A man got off from his truck, the other man pulled the bull off of his truck, the bull are tied on a poles.</t>
  </si>
  <si>
    <t>Two men are holding each end of the rope as the black bull stumped on the ground.</t>
  </si>
  <si>
    <t>The bulls are fighting at the center of the field, and the people are watching, one bull ran towards the audience.</t>
  </si>
  <si>
    <t>v_80spFFIdnC4</t>
  </si>
  <si>
    <t>A view of a wide ocean taken from a boat appears and various men are shown doing different things on the boat on both the inside and the outside and include steering the wheel up deck, or sitting at computers monitoring things.</t>
  </si>
  <si>
    <t>A man sitting on the deck of the boat is talking to the camera while a man behind him is standing and the man beside that standing man is controlling the steering wheel of the boat.</t>
  </si>
  <si>
    <t>The focus change to another man on the boat and he is talking to the camera as well.</t>
  </si>
  <si>
    <t>v_2OEc8kPVn_Y</t>
  </si>
  <si>
    <t>An Asian woman is standing outside in a large field wearing a pink loose linen like outfit.</t>
  </si>
  <si>
    <t>She then puts her legs and hands out and begins to move like a ninja throughout the field.</t>
  </si>
  <si>
    <t>After she has moved left and right across the field,she then comes back to the middle of the field and stands still to complete her routine.</t>
  </si>
  <si>
    <t>v_kRBqJhxfWHc</t>
  </si>
  <si>
    <t>A woman in an orange shirt is drinking a glass of beer.</t>
  </si>
  <si>
    <t>The beer is pouring down the front of her shirt.</t>
  </si>
  <si>
    <t>People behind her are dancing.</t>
  </si>
  <si>
    <t>She finishes the drink and sets it down.</t>
  </si>
  <si>
    <t>v_4ZyPBOe4P0U</t>
  </si>
  <si>
    <t>A man in a tan shirt is talking.</t>
  </si>
  <si>
    <t>He sets his tennis racket down on the ground.</t>
  </si>
  <si>
    <t>Another man runs around on a tennis court.</t>
  </si>
  <si>
    <t>v_bH7ORYDcI7A</t>
  </si>
  <si>
    <t>A black and white dog is standing near the main door of a house as he listens to the sound of helicopter.</t>
  </si>
  <si>
    <t>Then main door then opens and the dog steps back.</t>
  </si>
  <si>
    <t>There are two dog trainers in an enclosed room training a dog to jump and catch several Frisbee.</t>
  </si>
  <si>
    <t>the male trainer throws the Frisbee at the dog and the dog jumps and fetches it for him.</t>
  </si>
  <si>
    <t>The trainer continuously throws the Frisbee and dog jumps high up and grabs the Frisbee every time.</t>
  </si>
  <si>
    <t>There are several different trainers shown training and teaching their dogs tricks.</t>
  </si>
  <si>
    <t>v_rScqKu8Mwhk</t>
  </si>
  <si>
    <t>An introduction for a vacuum demo is shown on the screen.</t>
  </si>
  <si>
    <t>The video shows the vacuum being tested against several different challenges by a boy and his father.</t>
  </si>
  <si>
    <t>The video ends with a screen showing the logo for the vacuum company.</t>
  </si>
  <si>
    <t>v_7VbXyfF3kEw</t>
  </si>
  <si>
    <t>Two women wearing matching outfits are on their microphones and kind of half watching a boy play with a rubix cube.</t>
  </si>
  <si>
    <t>The boy is solving the cube pretty quickly the girl seems pretty shocked.</t>
  </si>
  <si>
    <t>Then a group of people start trying to a puzzle to see who is the fastest.</t>
  </si>
  <si>
    <t>Another boy in a blue shirt come up and starts to solve it and when he does the girls give hime a prize.</t>
  </si>
  <si>
    <t>v_7lwrP2ma2TU</t>
  </si>
  <si>
    <t>A person observes an old samurai temple.</t>
  </si>
  <si>
    <t>A man holds an arch and shoots arrows, while men sit on the road sorts arrows.</t>
  </si>
  <si>
    <t>Three small boards are fix on the ground, suddenly and arrow hits one board.</t>
  </si>
  <si>
    <t>People gather on a road, then a old man gives a white box to a man dressed in white clothes.</t>
  </si>
  <si>
    <t>v_gi0wjdtxaC4</t>
  </si>
  <si>
    <t>A boy does cartwheels and back hand springs on the grass as a friend watches and records.</t>
  </si>
  <si>
    <t>He stops for a moment and takes a break then continues to do more flips.</t>
  </si>
  <si>
    <t>Another guy comes onto the screen and attempts to do some flips on the grass.</t>
  </si>
  <si>
    <t>v_ru4NMIVZqrg</t>
  </si>
  <si>
    <t>A girl walks out of a room and down a hall.</t>
  </si>
  <si>
    <t>She puts down her duffel bag before lying down on a table.</t>
  </si>
  <si>
    <t>Someone hands her a cup and she drinks it, then they work on tattooing her tongue.</t>
  </si>
  <si>
    <t>A rod is inserted into her tonue and clipped, creating a piercing.</t>
  </si>
  <si>
    <t>She sticks out her tongue at the camera, showing off her piercing.</t>
  </si>
  <si>
    <t>v_r09mVf2dQnk</t>
  </si>
  <si>
    <t>A custodian sprays the counter of a sink with a spray bottle.</t>
  </si>
  <si>
    <t>The worker uses a brush to clean out the sink.</t>
  </si>
  <si>
    <t>The worker uses a hand towel to clean out the liquid in the sink.</t>
  </si>
  <si>
    <t>v_xww6n1FoJIM</t>
  </si>
  <si>
    <t>A man is talking about what is going on in the TV behind him as a news story.</t>
  </si>
  <si>
    <t>A group of people are in the field playing a game running all around.</t>
  </si>
  <si>
    <t>Many of the players are able to have a chance to speak about the team and stuff.</t>
  </si>
  <si>
    <t>They show the practice and the players and then they go back to the news anchors who continue to talk a little bit more about it.</t>
  </si>
  <si>
    <t>v_8TqqLqBb3sk</t>
  </si>
  <si>
    <t>A woman is standing in a kitchen while talking.</t>
  </si>
  <si>
    <t>She shows a bag, pushing on it with her fist.</t>
  </si>
  <si>
    <t>She closes it up, and shows how it stays in shape.</t>
  </si>
  <si>
    <t>v__cU5aISTDBo</t>
  </si>
  <si>
    <t>A man picks up a long pole and starts running down a track.</t>
  </si>
  <si>
    <t>He jumps over a high bar and lands on a mat.</t>
  </si>
  <si>
    <t>v_ij87GXkcdho</t>
  </si>
  <si>
    <t>Several people are seen riding on exercise equipment while speaking to the camera.</t>
  </si>
  <si>
    <t>A man is seen speaking to the camera while more shots of the equipment are shown.</t>
  </si>
  <si>
    <t>People move all around the machine and lead with the man speaking more and showing how to adjust the machine.</t>
  </si>
  <si>
    <t>v_3FUVKpQA6IY</t>
  </si>
  <si>
    <t>Some people are playing beer bong having a good time, the man throws fist and he makes it into the girls cup.</t>
  </si>
  <si>
    <t>She drinks her drink and then wets her ball in water before throwing her ball.</t>
  </si>
  <si>
    <t>Then, she takes a seat and the other guy takes his turn.</t>
  </si>
  <si>
    <t>Then it's the girl on the other teams turn, they keep taking their turns and drinking away, having a good time.</t>
  </si>
  <si>
    <t>v_IytPbGtfo14</t>
  </si>
  <si>
    <t>We see a lady behind a bar talking.</t>
  </si>
  <si>
    <t>The lady pours ice in glass.</t>
  </si>
  <si>
    <t>The lady pours three shots of liquor into a cup.</t>
  </si>
  <si>
    <t>The lady pours other stuff in and shakes it.</t>
  </si>
  <si>
    <t>The lady pours the pours the drink into a glass.</t>
  </si>
  <si>
    <t>The lady adds some red stuff.</t>
  </si>
  <si>
    <t>The lady holds the glass and smiles.</t>
  </si>
  <si>
    <t>v_hiz0rH1bO7k</t>
  </si>
  <si>
    <t>kids are playing hurling in a large green field.</t>
  </si>
  <si>
    <t>kids are sanding al in front of the goal to make a free shot.</t>
  </si>
  <si>
    <t>kids are posing for a picture in the green field.</t>
  </si>
  <si>
    <t>v_J7LhH4IKvnM</t>
  </si>
  <si>
    <t>A large dog is standing in a bath tub.</t>
  </si>
  <si>
    <t>A woman in a pink shirt is scrubbing the dog with soap.</t>
  </si>
  <si>
    <t>She then starts washing the dog with a hose.</t>
  </si>
  <si>
    <t>v_bW5HfDWUP3U</t>
  </si>
  <si>
    <t>A woman is sitting on the floor with her shoes off.</t>
  </si>
  <si>
    <t>The woman puts one shoe on.</t>
  </si>
  <si>
    <t>Something is thrown at the woman and she attempts to catch it.</t>
  </si>
  <si>
    <t>The camera briefly shifts right to show another individual.</t>
  </si>
  <si>
    <t>The camera returns to the woman still putting the shoe on.</t>
  </si>
  <si>
    <t>The camera shifts right to several individuals in the room, waiting for the woman to put her shoes on.</t>
  </si>
  <si>
    <t>The camera shifts back to the woman, still putting her shoe on.</t>
  </si>
  <si>
    <t>The woman begins putting the other shoe on.</t>
  </si>
  <si>
    <t>v_Z2b84JjYdtw</t>
  </si>
  <si>
    <t>A slide of pictures shows performing a marching band and girls moving around.</t>
  </si>
  <si>
    <t>Then, marching bands play and girls perform holding flags.</t>
  </si>
  <si>
    <t>v_uGVkH6PjXLs</t>
  </si>
  <si>
    <t>A young lady is standing in a field of dirt with an ax in her hand attempting to cut down a log.</t>
  </si>
  <si>
    <t>The girl is not successful in her first attempt so she picks the log back up and tries again.</t>
  </si>
  <si>
    <t>v_giN7cA0EmLs</t>
  </si>
  <si>
    <t>A group of people are seen riding around in tubes while pushing themselves down a diver.</t>
  </si>
  <si>
    <t>The people continue to ride in the tubes down the river while looking towards the camera as well as laughing and smiling.</t>
  </si>
  <si>
    <t>v_3LrLgh2rlAM</t>
  </si>
  <si>
    <t>A man wearing black is in a gym.</t>
  </si>
  <si>
    <t>He picks up some heavy barbells.</t>
  </si>
  <si>
    <t>He lifts the barbells over his head.</t>
  </si>
  <si>
    <t>He then drops the barbells onto the ground.</t>
  </si>
  <si>
    <t>v_iRp-pWnPoYw</t>
  </si>
  <si>
    <t>A man walks out of a building and starts skateboarding.</t>
  </si>
  <si>
    <t>He is skateboarding in between cars.</t>
  </si>
  <si>
    <t>He walks into a building and sits down at a computer.</t>
  </si>
  <si>
    <t>v_23-lat1nVJg</t>
  </si>
  <si>
    <t>We see a lady knitting and singing.</t>
  </si>
  <si>
    <t>We then see a ad for a beer.</t>
  </si>
  <si>
    <t>v_Vk-aKj0R65o</t>
  </si>
  <si>
    <t>Two people are in a room, wearing fencing equipment.</t>
  </si>
  <si>
    <t>They fight with swords, passing back and forth as they jab at each other.</t>
  </si>
  <si>
    <t>v_arfBwR8qgPw</t>
  </si>
  <si>
    <t>a camera shows a group of people sitting around a gymnasium floor with a few standing and one crossing his arms.</t>
  </si>
  <si>
    <t>Suddenly a student comes into frame and jumps over a pole into a mat.</t>
  </si>
  <si>
    <t>v_Cb_R59_-0zU</t>
  </si>
  <si>
    <t>A man starts doing different things such as sneezing,cooking,using the restroom,and washing his face indicating when to wash your hands.</t>
  </si>
  <si>
    <t>A female then comes along and walks to a sink in the kitchen and begins to lather her hands.</t>
  </si>
  <si>
    <t>She then turns on the faucet and rinses her hands,dries them,and puts the napkin in the trash can.</t>
  </si>
  <si>
    <t>v_jpSbO4LrEnc</t>
  </si>
  <si>
    <t>A person is seen wearing a back pack and riding away from the camera on roller blades.</t>
  </si>
  <si>
    <t>The person then rides back and hangs onto a sign swinging himself around then smiling at the camera.</t>
  </si>
  <si>
    <t>v_hhN1647pP88</t>
  </si>
  <si>
    <t>a man is wearing a safety vest.</t>
  </si>
  <si>
    <t>He is working with tools and sand.</t>
  </si>
  <si>
    <t>He uses the sand to spread evenly against the walls.</t>
  </si>
  <si>
    <t>v_FCYdwCXRNVI</t>
  </si>
  <si>
    <t>We see a person welding in the dark.</t>
  </si>
  <si>
    <t>The person pauses and adjusts his helmet.</t>
  </si>
  <si>
    <t>The man lifts his helmet briefly.</t>
  </si>
  <si>
    <t>The man lifts and lowers his helmet.</t>
  </si>
  <si>
    <t>the man looks out from under his helmet.</t>
  </si>
  <si>
    <t>The man finishes and lifts his helmet.</t>
  </si>
  <si>
    <t>v_QLVgy-1ydr0</t>
  </si>
  <si>
    <t>A male attaches a hollow stick on a bull whom chases him.</t>
  </si>
  <si>
    <t>A guy messes with a bull.</t>
  </si>
  <si>
    <t>A bull pushes a man down.</t>
  </si>
  <si>
    <t>The audience claps while standing.</t>
  </si>
  <si>
    <t>The bull is lured into a pen and the gates are close.</t>
  </si>
  <si>
    <t>The male gives a thumbs up and smiles.</t>
  </si>
  <si>
    <t>A male attaches two hollow sticks on a bull and runs off.</t>
  </si>
  <si>
    <t>The bull tackles the male.</t>
  </si>
  <si>
    <t>The male gets up and his face is bloody.</t>
  </si>
  <si>
    <t>People help the male and carry him away.</t>
  </si>
  <si>
    <t>The male leaves a black shoe behind.</t>
  </si>
  <si>
    <t>People discuss in a circle.</t>
  </si>
  <si>
    <t>The man nods his head.</t>
  </si>
  <si>
    <t>People walk off the rodeo dirt and the man covers his nose.</t>
  </si>
  <si>
    <t>v_fZ_CmvF-_No</t>
  </si>
  <si>
    <t>A team of competition cheerleaders come running out into the field and get into formation.</t>
  </si>
  <si>
    <t>The girls squat down and they begin to do their cheer which consists of several stunts,tricks,and jumps across the mat.</t>
  </si>
  <si>
    <t>Once they are finished,the girls end in a stunt and the stunt man runs out to the group.</t>
  </si>
  <si>
    <t>v_2cUJTeArPsI</t>
  </si>
  <si>
    <t>little kid is hanging from a pole in a playground.</t>
  </si>
  <si>
    <t>playground is shown in a dusty field in a big park.</t>
  </si>
  <si>
    <t>little kid is wearng pink shirt and is hanging from a side to side.</t>
  </si>
  <si>
    <t>v_0UcBldDI0RA</t>
  </si>
  <si>
    <t>Joe Morin from Titan alloy is talking about welding aluminum.</t>
  </si>
  <si>
    <t>He is doing a tutorial on how to fix aluminum.</t>
  </si>
  <si>
    <t>He shows a new product called Nova, which is an electrode for cleaning dirty aluminum.</t>
  </si>
  <si>
    <t>He shows two aluminum plates that are joined together for demonstration purposes.</t>
  </si>
  <si>
    <t>He takes the Nova rod and shows how he can weld the two pieces together.</t>
  </si>
  <si>
    <t>He begins welding the two plates of aluminum.</t>
  </si>
  <si>
    <t>Then he hits the plates with a hammer and scrubs off the dust.</t>
  </si>
  <si>
    <t>He shows the back side of the plates and how it is welded together.</t>
  </si>
  <si>
    <t>v_EzQL-i_MTdU</t>
  </si>
  <si>
    <t>A man at a professional sports event, lifts a large and heavy weight using knees, back and arm strength while a woman in a suit watches from the sidelines.</t>
  </si>
  <si>
    <t>A man wearing a "USA" shirt, or team uniform approaches a two sided weight as a woman watches from the side near a door.</t>
  </si>
  <si>
    <t>The man lifts the weight and the camera shows the process in slow motion.</t>
  </si>
  <si>
    <t>The man lifts the weight over his head and then drops it to mid body before letting it fall to the floor, at which he point he waives at an unseen audience, all while the woman on the sideline continues to observe.</t>
  </si>
  <si>
    <t>v_b1PAqOmflgI</t>
  </si>
  <si>
    <t>A boy in a blue t-shirt bounces two basketballs in a gym while blocking another basketball player and making a goal with the ball.</t>
  </si>
  <si>
    <t>A boy bounces two basketballs between his legs.</t>
  </si>
  <si>
    <t>Another basketball player approaches him and tries to take the ball from him.</t>
  </si>
  <si>
    <t>The player in the blue shirt blocks him and makes the goal, and then proceeds to do it again, twice.</t>
  </si>
  <si>
    <t>v_OLUOk4xfYWE</t>
  </si>
  <si>
    <t>man is playing piano with a lot of people gathered around him.</t>
  </si>
  <si>
    <t>man is holding a cellphone and is recording the man in the piano.</t>
  </si>
  <si>
    <t>v_HBJzxWj7CaY</t>
  </si>
  <si>
    <t>A man stands in front of the camera speaking and various trips of people and sites are shown.</t>
  </si>
  <si>
    <t>Another man is interviewed followed by several more shots of the area.</t>
  </si>
  <si>
    <t>A panel of people speak to one another and people get ready for a race.</t>
  </si>
  <si>
    <t>Dozens of people line up and begin swimming in the ocean to race.</t>
  </si>
  <si>
    <t>Many more people are interviewed while the race continues and many people watch and discuss the events.</t>
  </si>
  <si>
    <t>v_pf9u7M6vafU</t>
  </si>
  <si>
    <t>A young girl is seen sitting on a bed with two knitting needles and thread in her hands.</t>
  </si>
  <si>
    <t>The camera pans around her and watches her knit while she speaks and looks off into the distance.</t>
  </si>
  <si>
    <t>v_2U0vMYnC49c</t>
  </si>
  <si>
    <t>A boy in red jacket holds a window scraper tool and remove snow from a car windshield.</t>
  </si>
  <si>
    <t>The boy turns the tool and uses the edge corner edge briefly.</t>
  </si>
  <si>
    <t>The boy continues to scrape the windshield as before with the broad side of the tool.</t>
  </si>
  <si>
    <t>v_0GpNcvAVWVg</t>
  </si>
  <si>
    <t>We see the colorful title card.</t>
  </si>
  <si>
    <t>We see kids playing at the playground.</t>
  </si>
  <si>
    <t>The boy gets off the swing and we follow him to the slide.</t>
  </si>
  <si>
    <t>The boy finishes sliding and goes to a different part of the park and plays around.</t>
  </si>
  <si>
    <t>The boy slides and falls on the bridge before sliding down.</t>
  </si>
  <si>
    <t>He plays with the large swing with another kid.</t>
  </si>
  <si>
    <t>We see the end screen.</t>
  </si>
  <si>
    <t>v_hgpekgU915k</t>
  </si>
  <si>
    <t>A person is holding someone on their shoulders.</t>
  </si>
  <si>
    <t>They spin around several times and fall over onto the floor.</t>
  </si>
  <si>
    <t>The man gets up and sits on the bed.</t>
  </si>
  <si>
    <t>v_PvrozrgcGf0</t>
  </si>
  <si>
    <t>These girls are shown kneeling down on the floor and playing dress up One girl put's chap stick on her lips, cheeks, forehead, and under her eyes.</t>
  </si>
  <si>
    <t>Then another one puts a little makeup on the top of her eyes.</t>
  </si>
  <si>
    <t>v_e5XATG2IK6Q</t>
  </si>
  <si>
    <t>A young child is seen standing before a car holding a rag and looking at the camera.</t>
  </si>
  <si>
    <t>The boy uses the rag all over the car while the camera follows his movements.</t>
  </si>
  <si>
    <t>He continues moving around the car while another man sprays a hose and the boy wipes it down.</t>
  </si>
  <si>
    <t>v_JXucFXh58VE</t>
  </si>
  <si>
    <t>Several people are seen drilling holes into the ice while looking down and speaking to the camera.</t>
  </si>
  <si>
    <t>Many pictures are shown of the people fishing as well as pulling fish out of a hole.</t>
  </si>
  <si>
    <t>More people sit by the holes and continue to pull out fish.</t>
  </si>
  <si>
    <t>v_lV7tpgelpAY</t>
  </si>
  <si>
    <t>A group of people are on an obstacle course together.</t>
  </si>
  <si>
    <t>They are hiding behind the obstacles and shooting at each other with paint guns.</t>
  </si>
  <si>
    <t>They run around, then gather and hug when they are done.</t>
  </si>
  <si>
    <t>v_T8P52q1gCNA</t>
  </si>
  <si>
    <t>Ingredients are mixed together in a silver bowl.</t>
  </si>
  <si>
    <t>It is then placed on a cookie sheet.</t>
  </si>
  <si>
    <t>The cooked food is then shown and broken in half.</t>
  </si>
  <si>
    <t>v_kRVmpJILmjo</t>
  </si>
  <si>
    <t>A field is shown along with some mountains as a person begins driving down a road.</t>
  </si>
  <si>
    <t>After,men are shown and they get out and begin skateboarding down a road in the country.</t>
  </si>
  <si>
    <t>As the continue,a large hay stand is in the middle of the road and they all pass through it and they finish skating down the road.</t>
  </si>
  <si>
    <t>v_LihSTWbJZJo</t>
  </si>
  <si>
    <t>A pile of trees are shown blowing outside on a cobblestone path outside of a building.</t>
  </si>
  <si>
    <t>As the leaves continue to blow a young boy walks into the scene clearing the path with his leaf blower.</t>
  </si>
  <si>
    <t>v_LI3wIHFQkAk</t>
  </si>
  <si>
    <t>A man in a suit plays a flute on stage in front of a man playing a piano.</t>
  </si>
  <si>
    <t>They finish playing and the man playing the piano stands up.</t>
  </si>
  <si>
    <t>v_zc7_D9RiOY0</t>
  </si>
  <si>
    <t>A scuba diver is under the water wearing oxygen in he mouth.</t>
  </si>
  <si>
    <t>The diver is holding his eye mask, and put it on.</t>
  </si>
  <si>
    <t>Another scuba diver took off his eye masks, while behind him are other scuba divers swimming, then he put back is masked on and give an okay sign with his fingers.</t>
  </si>
  <si>
    <t>v_XgJ6iiK-gQo</t>
  </si>
  <si>
    <t>A man is hedging a bush in a yard.</t>
  </si>
  <si>
    <t>He cuts the thick brush up and down.</t>
  </si>
  <si>
    <t>He finishes the hedge, showing off his skills.</t>
  </si>
  <si>
    <t>v_LXH96dFBVYk</t>
  </si>
  <si>
    <t>A bulls runs in the street goring people and throwing them to the floor, while the bulls is attached to a rope.</t>
  </si>
  <si>
    <t>The bull enters a home, then the bull continues goring people in the street.</t>
  </si>
  <si>
    <t>The bull enters a corral and attack a person behind the fence, then the bull continues fiercely goring people in the street.</t>
  </si>
  <si>
    <t>A person pet the bull through a window, after the bull clash with another bull that falls on the ground.</t>
  </si>
  <si>
    <t>The bull attacks a dog sit on front a door.</t>
  </si>
  <si>
    <t>The bull gores people and also attacks people on the sidewalk.</t>
  </si>
  <si>
    <t>The bull continues goring people's behind.</t>
  </si>
  <si>
    <t>v__Ga4HoMl6yM</t>
  </si>
  <si>
    <t>First the man walks the blindfolded woman near the pinata and she starts swinging the broom to hit it.</t>
  </si>
  <si>
    <t>But she misses a few times because the pinata moves up and down in the air.</t>
  </si>
  <si>
    <t>After a while of trying, she hits the string the pinata is hanging from and knocks the pinata down, but has barely gotten any candy out.</t>
  </si>
  <si>
    <t>v_DHWmzuAWxLM</t>
  </si>
  <si>
    <t>A small group of people seen sitting in the water followed by one riding behind a helicopter on a board and a woman speaking to the camera.</t>
  </si>
  <si>
    <t>The man continues to ride and then is seen up in the air with the helicopter and the pilots waving.</t>
  </si>
  <si>
    <t>The man then lets go of the helicopter, riding down on a parachute and landing safely back into the water.</t>
  </si>
  <si>
    <t>The man then lays down while his shot is shown again and the woman speaks to him.</t>
  </si>
  <si>
    <t>v_5Vd6PEUWo64</t>
  </si>
  <si>
    <t>Two women are standing on a beach, wearing bikinis and holding a surf board.</t>
  </si>
  <si>
    <t>They are then shown walking onto the beach and posing for pictures in between surfing on the waves.</t>
  </si>
  <si>
    <t>They show how to do various surfing moves.</t>
  </si>
  <si>
    <t>They are then shown on the beach, sitting down as they talk.</t>
  </si>
  <si>
    <t>v_WVkOtMX9Gg8</t>
  </si>
  <si>
    <t>Several men are seen hosting a news segment that leads into clips of people playing a game together and arguing with one another.</t>
  </si>
  <si>
    <t>More shots of people playing are shown as well as people celebrating and walking away.</t>
  </si>
  <si>
    <t>More shots are shown of the hosts speaking to one another and people hitting the ball and walking away.</t>
  </si>
  <si>
    <t>v_2RxbcK90TeA</t>
  </si>
  <si>
    <t>A woman and one other person paddle in an orange canoe in a calm body of water surrounded by mountains, trees, and bushes.</t>
  </si>
  <si>
    <t>The woman is at the front of the canoe paddling and the other person, who is wearing a face covering hat, sits behind the woman.</t>
  </si>
  <si>
    <t>The two people paddle from the left and pass a line of bushes in front of a mountain.</t>
  </si>
  <si>
    <t>The two people then paddle further away from the mountain and closer to the middle of the body of water.</t>
  </si>
  <si>
    <t>v_vcE8e-fQBhs</t>
  </si>
  <si>
    <t>The video leads into several shots of people performing impressing jumps and flips off of a high dive.</t>
  </si>
  <si>
    <t>More and more people jump off the various heights of the dives and two are shown at the same time in the end.</t>
  </si>
  <si>
    <t>v_8O1cLqQrn4o</t>
  </si>
  <si>
    <t>A man is seen speaking to the camera while man people stand around behind him and practice.</t>
  </si>
  <si>
    <t>The men hit the badminton back and fourth while the older gentlemen continues to speak and point around the court.</t>
  </si>
  <si>
    <t>v_SmBEf-g82Ew</t>
  </si>
  <si>
    <t>A close up of tools and objects are shown laid out leading into several clips of a mean measuring a wall and laying plaster down on it.</t>
  </si>
  <si>
    <t>The man shows how to make plaster while transitioning with him making plaster and continues to show more clips of him laying it down.</t>
  </si>
  <si>
    <t>v_mTsEJFP3W1A</t>
  </si>
  <si>
    <t>A bicycle is shown in a room leaning up against a brown table.</t>
  </si>
  <si>
    <t>A person then walks into the room and starts to take pieces off of the bicycle.</t>
  </si>
  <si>
    <t>The pieces are then added back on the bike and tightened around the wheel.</t>
  </si>
  <si>
    <t>v_iHQ-Kg4Fms8</t>
  </si>
  <si>
    <t>A man stand in the porch of a house looks around and smile.</t>
  </si>
  <si>
    <t>Then, the man grabs a cup and drinks, after he leaves.</t>
  </si>
  <si>
    <t>v_i_Fs0Qrtu90</t>
  </si>
  <si>
    <t>A woman touched a black phone, and a screen of purple capsule like bacteria showed up.</t>
  </si>
  <si>
    <t>The person put back the phone, and started typing on the black keyboard.</t>
  </si>
  <si>
    <t>The bacteria shot is put in the scene.</t>
  </si>
  <si>
    <t>The woman put her hand on the mouse.</t>
  </si>
  <si>
    <t>She put her hand on the wooden desktop.</t>
  </si>
  <si>
    <t>The woman got up and walk towards the hallway.</t>
  </si>
  <si>
    <t>The woman saw a man and shake his hand.</t>
  </si>
  <si>
    <t>The woman went to the bathroom.</t>
  </si>
  <si>
    <t>The woman took off her ring, wash her hand, got home soap and rub it on her hand thoroughly and rinse it.</t>
  </si>
  <si>
    <t>The woman sneeze on her hand.</t>
  </si>
  <si>
    <t>She walks towards her office, put her hand on the desk and phone.</t>
  </si>
  <si>
    <t>v_qqLiKDMtps8</t>
  </si>
  <si>
    <t>These two people shown here are riding their bikes over snowy humps outside.</t>
  </si>
  <si>
    <t>They've rode over dirt humps.</t>
  </si>
  <si>
    <t>They've also rode over sand humps in the building and other humps in a race.</t>
  </si>
  <si>
    <t>v_V3Sz4WWJ2_M</t>
  </si>
  <si>
    <t>A man is seen holding up objects while speaking to a woman and rubbing the object along the wall.</t>
  </si>
  <si>
    <t>He then dips paper in water and begins hanging it up on the walls.</t>
  </si>
  <si>
    <t>He holds up a spray bottle to spray the walls while the others help.</t>
  </si>
  <si>
    <t>The people check the wall and take the paper off followed taking the actual wallpaper off and rubbing the wall.</t>
  </si>
  <si>
    <t>v_3I6LMFdA2lc</t>
  </si>
  <si>
    <t>A baby is shown laying in bed while a comb gently brushes it's hair.</t>
  </si>
  <si>
    <t>The baby eventually smiling while the hand continues to brush the baby's head.</t>
  </si>
  <si>
    <t>The baby gently closes it's eyes and yawns while the brush continues to comb.</t>
  </si>
  <si>
    <t>v_g4vyzwiJYWw</t>
  </si>
  <si>
    <t>A woman demonstrates how to wash the face by washing her face in sink.</t>
  </si>
  <si>
    <t>A woman stands over a sink and splashes water on her face.</t>
  </si>
  <si>
    <t>The woman then works up a lather with liquid soap she has poured onto her hands.</t>
  </si>
  <si>
    <t>The woman then washes her face in circular motions the woman then used a towel to dry her face.</t>
  </si>
  <si>
    <t>v_Ti14bsS3RtU</t>
  </si>
  <si>
    <t>A roofing commercial demonstrates how to fix a slate roof on a house.</t>
  </si>
  <si>
    <t>A man cuts parts on a folding table outside and then installs a slate on a roof using power tools and tools from his tool belt.</t>
  </si>
  <si>
    <t>The man installs copper pieces to the slate roof that protrude from the roof.</t>
  </si>
  <si>
    <t>The man then cuts a copper pipe and does some soldering to the edges of a hole in the copper pipe before the camera cuts again to the roof and then a marketing graphic.</t>
  </si>
  <si>
    <t>v_GBNj2k2OVGo</t>
  </si>
  <si>
    <t>A man with saxophone is playing at the center of the park while a woman is sitting by the fountain.</t>
  </si>
  <si>
    <t>The man is playing the saxophone.</t>
  </si>
  <si>
    <t>Behind him are people lining up at the atm.</t>
  </si>
  <si>
    <t>The camera came closer to the gold saxophone.</t>
  </si>
  <si>
    <t>The man continue playing while people walking past him.</t>
  </si>
  <si>
    <t>The man blow so hard on his saxophone.</t>
  </si>
  <si>
    <t>A white bird standing behind the man.</t>
  </si>
  <si>
    <t>v_7HKWppcWgeY</t>
  </si>
  <si>
    <t>A man is standing next to a bicycle.</t>
  </si>
  <si>
    <t>He is holding a new tube for a tire.</t>
  </si>
  <si>
    <t>He grabs an air pump and attaches it to the tire.</t>
  </si>
  <si>
    <t>He pumps the tire with air.</t>
  </si>
  <si>
    <t>He attaches the pump to the flat tire and pumps it up.</t>
  </si>
  <si>
    <t>v_OO3NO29L50U</t>
  </si>
  <si>
    <t>A person's hand is shown sticking a pen into some water followed by a bit of nail polish.</t>
  </si>
  <si>
    <t>The water changes colors as the various paints are shown and the person creates a swirling pattern into the water.</t>
  </si>
  <si>
    <t>v_RoHYo2x9gbc</t>
  </si>
  <si>
    <t>We see three men in a field cutting tall grass with a scythe.</t>
  </si>
  <si>
    <t>We see the man take a handful of grass and wipe the scythe head with it.</t>
  </si>
  <si>
    <t>The man pulls something from his pocket and rubs it on the scythe.</t>
  </si>
  <si>
    <t>The men then return to cutting the grass.</t>
  </si>
  <si>
    <t>v_1aNOjjLWjxc</t>
  </si>
  <si>
    <t>People are standing on a volleyball court.</t>
  </si>
  <si>
    <t>A man in a white hat is standing in the sand.</t>
  </si>
  <si>
    <t>A person in a black shirt serves the volleyball but it doesn't make it over the net.</t>
  </si>
  <si>
    <t>v_e4YsOfQR3sI</t>
  </si>
  <si>
    <t>A woman sits at a piano and plays in front of a small audience.</t>
  </si>
  <si>
    <t>The camera focuses on several men watching her.</t>
  </si>
  <si>
    <t>The woman sings with the piano.</t>
  </si>
  <si>
    <t>The camera captures the reaction of the members of the audience.</t>
  </si>
  <si>
    <t>The camera captures more reaction shots from the audience.</t>
  </si>
  <si>
    <t>v_QZi1yBFRZzc</t>
  </si>
  <si>
    <t>A pair of garden shears is shown.</t>
  </si>
  <si>
    <t>A woman is demonstrating how to use the garden shears in different situations.</t>
  </si>
  <si>
    <t>A younger girl demonstrates how to use the shears.</t>
  </si>
  <si>
    <t>An older man shows how he uses the shears.</t>
  </si>
  <si>
    <t>A young man is shown using the shears to reach something above his head.</t>
  </si>
  <si>
    <t>The original woman shown demonstrates using the shears on different plant types.</t>
  </si>
  <si>
    <t>The same woman shows how to use the telescoping handle of the shears and cutting plants that would be out of reach.</t>
  </si>
  <si>
    <t>The same woman walks down a path with the shears.</t>
  </si>
  <si>
    <t>The woman then shows how the shears work demonstrating on several other plants.</t>
  </si>
  <si>
    <t>A young woman is shown using the shears.</t>
  </si>
  <si>
    <t>An older man uses the shears.</t>
  </si>
  <si>
    <t>Another man is shown using the shears to reach tree limbs.</t>
  </si>
  <si>
    <t>The first woman shows additional features of the shears and the same examples of other people using the shears is shown again.</t>
  </si>
  <si>
    <t>The woman walks up a set of stairs with the shears.</t>
  </si>
  <si>
    <t>The same woman is shown in the store purchasing the shears.</t>
  </si>
  <si>
    <t>v_fFoYCI-Si6s</t>
  </si>
  <si>
    <t>Two men are inside a gym.</t>
  </si>
  <si>
    <t>One is in boxing gloves and the other is wearing arm guards.</t>
  </si>
  <si>
    <t>They show off the different moves in punching and kicking.</t>
  </si>
  <si>
    <t>v_6aHGUTy1iho</t>
  </si>
  <si>
    <t>A camera pans around an athletic field with various people warming up and holding sticks.</t>
  </si>
  <si>
    <t>A girl holding a stick is spoken to by an instructor and she runs through and throws the pole.</t>
  </si>
  <si>
    <t>She walks back while another grabs a rope to estimate her distance.</t>
  </si>
  <si>
    <t>v_n1JkJu0VjQk</t>
  </si>
  <si>
    <t>A young man in a white karate uniform practices some moves.</t>
  </si>
  <si>
    <t>He bows at the end and runs towards the camera.</t>
  </si>
  <si>
    <t>v_aDrjDISgmLU</t>
  </si>
  <si>
    <t>men are standing in a field playing throwing a small piece of food into another man's mouth.</t>
  </si>
  <si>
    <t>man is talking in front of the camera and the team is standing in a big green grassy field.</t>
  </si>
  <si>
    <t>man starts playing cricket in the field.</t>
  </si>
  <si>
    <t>woman is talking to the camera in news.</t>
  </si>
  <si>
    <t>v_xSpWBpHMxqY</t>
  </si>
  <si>
    <t>A girl is riding in the back seat of a car, playing lipstick to a baby girl in a car seat.</t>
  </si>
  <si>
    <t>The girl takes the wand, trying to put it on her own lips.</t>
  </si>
  <si>
    <t>She smiles broadly for the camera.</t>
  </si>
  <si>
    <t>v_bXJMw4gLmGM</t>
  </si>
  <si>
    <t>A man is talking inside a shop.</t>
  </si>
  <si>
    <t>He shows off an iron, then uses it to melt a piece of plastic.</t>
  </si>
  <si>
    <t>The man irons then brushes a long piece of metal.</t>
  </si>
  <si>
    <t>v_HXCLDIk4pgI</t>
  </si>
  <si>
    <t>A person is clearing snow with a red snow plow.</t>
  </si>
  <si>
    <t>They push the snow to the side in a pile.</t>
  </si>
  <si>
    <t>They finish plowing the driveway.</t>
  </si>
  <si>
    <t>v_B5Zi054Fa5k</t>
  </si>
  <si>
    <t>A man in a black sweater quickly performs a Rubik cube challenge as the timer ticks.</t>
  </si>
  <si>
    <t>A man sits next to him watching.</t>
  </si>
  <si>
    <t>The man in the black sweater finishes and jumps up in excitement.</t>
  </si>
  <si>
    <t>The man that was sitting next to him stands up and is joined by other young men.</t>
  </si>
  <si>
    <t>v_cXRWQa9tQLw</t>
  </si>
  <si>
    <t>A group of cheerleaders are posing on a stage.</t>
  </si>
  <si>
    <t>They break apart, going into an elaborate dance routine.</t>
  </si>
  <si>
    <t>They flip, toss, and throw each other, then jump up and down excitedly.</t>
  </si>
  <si>
    <t>v_A_g93uJD-_8</t>
  </si>
  <si>
    <t>Two men cook omelettes on long pans in the street.</t>
  </si>
  <si>
    <t>People pass on front the men.</t>
  </si>
  <si>
    <t>A man puts scrambles eggs in the hot pan using two stick to turn over the eggs.</t>
  </si>
  <si>
    <t>Then the man adds more scrambled eggs while turning the omelette to make it bigger.</t>
  </si>
  <si>
    <t>After, he man wraps the omelette.</t>
  </si>
  <si>
    <t>v_JKE9D1anR7I</t>
  </si>
  <si>
    <t>A man jumps onto parallel bars.</t>
  </si>
  <si>
    <t>He begins doing a gymnastic routine on the parallel bars.</t>
  </si>
  <si>
    <t>He does a jump off and lands on the mat.</t>
  </si>
  <si>
    <t>v_BLSycXOF3Ro</t>
  </si>
  <si>
    <t>A girl does hula hoop spinning a hula ring around her neck, body and hands.</t>
  </si>
  <si>
    <t>Then, a person gives a hula to the girl who spins simultaneously the two hula rings.</t>
  </si>
  <si>
    <t>After, a person gives another hula ring to the girl to do hula hooping with three rings.</t>
  </si>
  <si>
    <t>At the end the girl gives a hug to the person and a presenter talks.</t>
  </si>
  <si>
    <t>v_BR4dhPz42mQ</t>
  </si>
  <si>
    <t>A large crowd of people are seen standing in the middle of the street and lead into a dance performance as well as a music performance.</t>
  </si>
  <si>
    <t>The people continue moving around in the street and end with a finishing pose.</t>
  </si>
  <si>
    <t>v_CQtu83639js</t>
  </si>
  <si>
    <t>A camera pans outside of a building and looks into a dark room where a man is exercising and speaking to the camera.</t>
  </si>
  <si>
    <t>The man continues riding on the equipment while moving faster and slower and the camera pans around his movements.</t>
  </si>
  <si>
    <t>v_BnkUgUQBED0</t>
  </si>
  <si>
    <t>We see a chair with a pillow on it.</t>
  </si>
  <si>
    <t>A man holding a cat sits down on the chair.</t>
  </si>
  <si>
    <t>The man clips the cats fingernails.</t>
  </si>
  <si>
    <t>The man strokes the cat's head.</t>
  </si>
  <si>
    <t>The man plays with the cat rocking it back and forth.</t>
  </si>
  <si>
    <t>The man stops the camera.</t>
  </si>
  <si>
    <t>v_zHXpo62bCaQ</t>
  </si>
  <si>
    <t>A woman with blonde long hair is carrying a white hula hoops, the hula hoops has rainbow colored tape on parts of it.</t>
  </si>
  <si>
    <t>The girl walked towards the lake, she is walking barefoot on the grass.</t>
  </si>
  <si>
    <t>The camera turns towards her face, then she started swirling the hula hoops and put it on her.</t>
  </si>
  <si>
    <t>The girl started to do hula hoops tricks, first on her waist then up, then to her legs and arms.</t>
  </si>
  <si>
    <t>v_M3jMJB_t024</t>
  </si>
  <si>
    <t>A large group of people are seen standing around a foose ball table speaking to one another and leads into them playing the game.</t>
  </si>
  <si>
    <t>Many people continue to watch the game on the sidelines and look down at the game taking place.</t>
  </si>
  <si>
    <t>v_VssVjdgvHrQ</t>
  </si>
  <si>
    <t>A person is seen standing before a sink turning on the faucet and wetting their hands.</t>
  </si>
  <si>
    <t>They then put soap on their hands, scrub the soap in, and rinse their hands through the water.</t>
  </si>
  <si>
    <t>Finally they use paper towels to dry their hands and throw it into the trash.</t>
  </si>
  <si>
    <t>v_jLykQW_-IVw</t>
  </si>
  <si>
    <t>A woman is smoking a cigarette.</t>
  </si>
  <si>
    <t>She is sitting down and people are walking behind her.</t>
  </si>
  <si>
    <t>She continues to hold cigarette in one arm.</t>
  </si>
  <si>
    <t>People continue to walk behind her and in front.</t>
  </si>
  <si>
    <t>She continues to smoke and stare straight ahead.</t>
  </si>
  <si>
    <t>v_Koxtbgzexmw</t>
  </si>
  <si>
    <t>Two boys play ping pong across a large ping pong table outdoors while a third boy watches from the sidelines.</t>
  </si>
  <si>
    <t>A boy in a t shirt with a wing graphic on it hits the ball towards the other shirtless player.</t>
  </si>
  <si>
    <t>The shirtless player returns the serve and the boy with the t-shirt misses the ball and has to pick it up and throw it to the other player for a re-serve.</t>
  </si>
  <si>
    <t>The two begin playing again while the boy in the middle on the sidelines observes the game.</t>
  </si>
  <si>
    <t>v_F1MKU9-yXg0</t>
  </si>
  <si>
    <t>A young man in a green jacket is standing in front of a mound of dirt and is talking about his maintenance tasks.</t>
  </si>
  <si>
    <t>The man then comes in the back yard with a green wheelbarrow and dumps the dirt in the back yard.</t>
  </si>
  <si>
    <t>He then takes his rake and moves the dirt back and forth around the house evening it out.</t>
  </si>
  <si>
    <t>When complete,he disappears and a path of mulch is seen along the garage.</t>
  </si>
  <si>
    <t>v_lxtG6PbeaqY</t>
  </si>
  <si>
    <t>Two dodgeball teams play against each other in an interior gym surrounded by onlookers in bleachers.</t>
  </si>
  <si>
    <t>The game begins with a team of men against a team of women each taking turns throwing dodge balls at each other violently.</t>
  </si>
  <si>
    <t>The teams then change sides on the gym floor with the women on the left and the men on the right.</t>
  </si>
  <si>
    <t>The game ends and both teams meet in the middle of the floor and give each other high fives.</t>
  </si>
  <si>
    <t>v_sYPd_0tC318</t>
  </si>
  <si>
    <t>There's a woman skurfing where the woman is towed on a surf board behind a sailboat.</t>
  </si>
  <si>
    <t>The woman surfer jumps up high as the sailboat sails in the water.</t>
  </si>
  <si>
    <t>The woman twists and turns around while on the surf board.</t>
  </si>
  <si>
    <t>The sailboat continues to pull the woman and she balances perfectly on the surfs as she twists and turns and spins on the surfs.</t>
  </si>
  <si>
    <t>She goes in a zig zag pattern making foamy waves in the water as the boats speeds up.</t>
  </si>
  <si>
    <t>The same surfing is watched on television as a guy and a another woman put several medals around the surfer's neck.</t>
  </si>
  <si>
    <t>The surfer pretends to fall down with the sheer weight of the medals.</t>
  </si>
  <si>
    <t>v_6ZabZdqdLyA</t>
  </si>
  <si>
    <t>Two small children are playing on a swingset on a snow covered yard.</t>
  </si>
  <si>
    <t>One child runs over to a swingset, but decides to change over to a green swing.</t>
  </si>
  <si>
    <t>An adult helps the child onto the swing.</t>
  </si>
  <si>
    <t>The other child also wants to join the first child on the same swing, and holds the swing steady while the child climbs on.</t>
  </si>
  <si>
    <t>The child is able to climb on, and the two children enjoy swinging together as the adult pushes the swing forward.</t>
  </si>
  <si>
    <t>v_Kt1JpqwDvl8</t>
  </si>
  <si>
    <t>A person vacuum the inside of a car, while other men clean by hand the car with detergent and water.</t>
  </si>
  <si>
    <t>Then, a man dry the car with clothes.</t>
  </si>
  <si>
    <t>Other cars are washed in a automatic car machine.</t>
  </si>
  <si>
    <t>After, people cleans the car with cloths inside and outside by hand.</t>
  </si>
  <si>
    <t>v_YfWKbMPFmcU</t>
  </si>
  <si>
    <t>The outside of homes is shown by a woman in a pink shirt.</t>
  </si>
  <si>
    <t>She is painting one of the houses with blue paint.</t>
  </si>
  <si>
    <t>She is holding a bucket of paint.</t>
  </si>
  <si>
    <t>v_Eilil6FZhK8</t>
  </si>
  <si>
    <t>peolpe are running wearing stilts in an avenue.</t>
  </si>
  <si>
    <t>man is interviewing an old woman in the sreet.</t>
  </si>
  <si>
    <t>man is doing a high jump above a car in street.</t>
  </si>
  <si>
    <t>man is laying down in a wooden table and other man jumps above the table.</t>
  </si>
  <si>
    <t>men are jumping side to side wearing stilts.</t>
  </si>
  <si>
    <t>man is helping a woman wear the stilts and walks in a gym room playing basketball with oher players.</t>
  </si>
  <si>
    <t>people are in sreet wearing stilts and running and jumping .</t>
  </si>
  <si>
    <t>man are sitting around a bench in street outside a restaurant.</t>
  </si>
  <si>
    <t>team are jumping in stilts in the roofed gym.</t>
  </si>
  <si>
    <t>v_YfouQ4TJhmQ</t>
  </si>
  <si>
    <t>An old man in white shirt is brushing the the body of the brown horse.</t>
  </si>
  <si>
    <t>The girl in blue shirt standing beside the old man brushed the horse's fur, then the old man took over, brush the horse and the girl rub the horse's fur with her hands.</t>
  </si>
  <si>
    <t>v_kKxNVwk7Evc</t>
  </si>
  <si>
    <t>A marching band is walking down a track.</t>
  </si>
  <si>
    <t>People carrying flags follows behind them.</t>
  </si>
  <si>
    <t>The drummers at at the back playing their drums.</t>
  </si>
  <si>
    <t>v_7cpX1j9dwjA</t>
  </si>
  <si>
    <t>A colorful intro includes the white words that say "World's Most DANGEROUS SPORTS Events" and the green letters separately "SRP".</t>
  </si>
  <si>
    <t>Madrid Spain on a map appears and it quickly goes into various different clips of men in arenas holding red capes as they taunt angry bulls.</t>
  </si>
  <si>
    <t>Suddenly a bull doesn't go after the cape, and instead he goes after the man where the bull continues to attack him with his horns and throw him around on the dirt.</t>
  </si>
  <si>
    <t>People begin to run towards the bull and the man to help him and the injured man quickly gets carried and run out of the area of danger.</t>
  </si>
  <si>
    <t>The intro appears and it's a black screen with the green letters SRP, production credits along with the rights.</t>
  </si>
  <si>
    <t>v_AV8q7nnOtq4</t>
  </si>
  <si>
    <t>A young man is seen sitting in front of a drum kit and begins playing the set of drums for the camera.</t>
  </si>
  <si>
    <t>He continues playing the drums and finishes by hitting the cymbal one last time.</t>
  </si>
  <si>
    <t>v_701UoJ5pgeo</t>
  </si>
  <si>
    <t>A woman is in a kitchen talking.</t>
  </si>
  <si>
    <t>She pours cleaner in a sink and describes some cleaning tools.</t>
  </si>
  <si>
    <t>She puts a powder in the sink and squeezes a lemon over the powder.</t>
  </si>
  <si>
    <t>She pours a liquid over that and scrubs with a brush.</t>
  </si>
  <si>
    <t>She turns the water on for a second and then uses a stone on the sink before using the sprayer to rinse everything.</t>
  </si>
  <si>
    <t>v__K3Cpdks6NQ</t>
  </si>
  <si>
    <t>There is very large group of people outside on a basketball court after sunset.</t>
  </si>
  <si>
    <t>They are all jumping up and down on these new pogo stick things that you wear like shoes.</t>
  </si>
  <si>
    <t>There are many young kids just bouncing up and down on them enjoying the evening.</t>
  </si>
  <si>
    <t>There are even a few people standing by and watching.</t>
  </si>
  <si>
    <t>v_eksIn1NfWJg</t>
  </si>
  <si>
    <t>A person's eye is seen close up the camera holing a contact lens in their hands and holding their eye open.</t>
  </si>
  <si>
    <t>The person then puts the contact lens in their eye and rubs their eye while blinking multiple times.</t>
  </si>
  <si>
    <t>v_yCAsVc5Tb_0</t>
  </si>
  <si>
    <t>We see the title card over the screen.</t>
  </si>
  <si>
    <t>We see people standing on a blue stage.</t>
  </si>
  <si>
    <t>They then perform a cheer leading routine.</t>
  </si>
  <si>
    <t>The men lift the women who spin into their arms.</t>
  </si>
  <si>
    <t>They all flip backwards together.</t>
  </si>
  <si>
    <t>The men hold the women by one leg and almost drop a lady.</t>
  </si>
  <si>
    <t>A girl brings letters onto the field.</t>
  </si>
  <si>
    <t>They use the letter to spell a word while standing in the air.</t>
  </si>
  <si>
    <t>They have different cards with color names on them.</t>
  </si>
  <si>
    <t>The men yell out of horns.</t>
  </si>
  <si>
    <t>Two women flip out of a stance, and they end in the air.</t>
  </si>
  <si>
    <t>v_VufybWyvP98</t>
  </si>
  <si>
    <t>There are some swimmers playing water polo in an indoor swimming pool.</t>
  </si>
  <si>
    <t>One of the swimmers is underwater, trying to reach the ball.</t>
  </si>
  <si>
    <t>He throws the ball across to another swimmer who catches the ball.</t>
  </si>
  <si>
    <t>Two swimmers are under water trying to reach the ball.</t>
  </si>
  <si>
    <t>They pass the ball around as they swim through the water.</t>
  </si>
  <si>
    <t>Then the swimmers swim their way up and get out of the pool while some other swimmers are still inside the pool.</t>
  </si>
  <si>
    <t>One of the swimmers spits out water on the camera while still inside the pool.</t>
  </si>
  <si>
    <t>A few other swimmerd can be seen in the locker room drying themselves after the swim.</t>
  </si>
  <si>
    <t>v_67NwPB79MTo</t>
  </si>
  <si>
    <t>A small group of people are seen moving around a gym kicking a ball around.</t>
  </si>
  <si>
    <t>The boys yell to one another with their hands up and continue walking around the gym.</t>
  </si>
  <si>
    <t>v_kyMsxlpBjlY</t>
  </si>
  <si>
    <t>There's a person mowing the lawn in his yard with a lawn mower while carrying his child on his back.</t>
  </si>
  <si>
    <t>The man walks up and down, straight across the yard as he mows the lawn.</t>
  </si>
  <si>
    <t>The child watches calmly while resting on the man's back.</t>
  </si>
  <si>
    <t>The man continues to mow the lawn with his black lawn mower.</t>
  </si>
  <si>
    <t>v_zEdAxKm9SLA</t>
  </si>
  <si>
    <t>There's a person named Michael from the Wild flower Tool company who is doing a tutorial on telescopic head shears for gardening.</t>
  </si>
  <si>
    <t>He demonstrates the several features of the shears such as extendable handles.</t>
  </si>
  <si>
    <t>He is standing near a big hedge in a garden.</t>
  </si>
  <si>
    <t>He shows how to use the shears by cutting off some of the branches of the hedge.</t>
  </si>
  <si>
    <t>He then extends the handles of the shears to show how far he can reach hard to reach places on top of the hedge.</t>
  </si>
  <si>
    <t>v_qRFZMO_mTGU</t>
  </si>
  <si>
    <t>A woman walks forward talking to the camera and putting her hands on her hips.</t>
  </si>
  <si>
    <t>A girl is shown playing field hockey and presents various clips of herself doing moves.</t>
  </si>
  <si>
    <t>She later is talking to the camera about her experiences with the sport and who exactly she is and why other people love her.</t>
  </si>
  <si>
    <t>v_qwdavExYM_Y</t>
  </si>
  <si>
    <t>We see people walking with rafts up an escalator on a snowy field in a rafting park.</t>
  </si>
  <si>
    <t>A child almost falls on the left.</t>
  </si>
  <si>
    <t>We see the crowded escalator from a distance.</t>
  </si>
  <si>
    <t>We see a boy in a black coat running with his raft in tow.</t>
  </si>
  <si>
    <t>v_r9AepFEEfsQ</t>
  </si>
  <si>
    <t>A man with glasses playing an accordion and smiling.</t>
  </si>
  <si>
    <t>The camera zooms in on his fingers going up and down the neck of the instrument.</t>
  </si>
  <si>
    <t>The man continues to play his song and smiles to the camera while moving up and down.</t>
  </si>
  <si>
    <t>v_uuH0ieCzqkM</t>
  </si>
  <si>
    <t>A kid stands on a court as a group of judges watch him jump rope rapidly.</t>
  </si>
  <si>
    <t>Behind him, other competitors jump rope, too.</t>
  </si>
  <si>
    <t>v_qi5Oie047pQ</t>
  </si>
  <si>
    <t>A young boy is sitting up against the wall making a face as two people are standing in front of him.</t>
  </si>
  <si>
    <t>The girl on the left then takes a small tube of polish and begins to paints the boy's nail with red glitter.</t>
  </si>
  <si>
    <t>When she is finished,the boy is shown and he begins to laugh about the situation.</t>
  </si>
  <si>
    <t>v_twL4mmkCQ0s</t>
  </si>
  <si>
    <t>A backdrop screen with paws and dog bones appear and the words in red and black appear and read "TEG's CANINE CLIPPERY Dog &amp; Cat Grooming".</t>
  </si>
  <si>
    <t>Clips of different dogs are shown getting baths, haircuts, and brushed while still shots of pictures appear between clips and they all include company name, website and phone number.</t>
  </si>
  <si>
    <t>The very last screen is a picture of a dog with it's eyes closed and 2 pairs of hands blow drying it with a brush above it's head, the company name, website, phone number and address.</t>
  </si>
  <si>
    <t>v_TLJdzU44My4</t>
  </si>
  <si>
    <t>A young man is seen sitting in a chair holding a vacuum in his hands.</t>
  </si>
  <si>
    <t>The boy speaks to the camera while still pushing the vacuum back and fourth.</t>
  </si>
  <si>
    <t>The camera moves closer to the boy and zooms in on his face while vacuuming.</t>
  </si>
  <si>
    <t>v_InavXU3iWBE</t>
  </si>
  <si>
    <t>A man is standing on top of a truck.</t>
  </si>
  <si>
    <t>Two men jump onto a trampoline.</t>
  </si>
  <si>
    <t>One of the men lays down and the other man hits him.</t>
  </si>
  <si>
    <t>The man on the truck jumps onto the trampoline.</t>
  </si>
  <si>
    <t>v__wl0vFvb8Bc</t>
  </si>
  <si>
    <t>A person's foot is shown and then it moves up slowly to their face.</t>
  </si>
  <si>
    <t>The camera pans out and shows a silver car.</t>
  </si>
  <si>
    <t>The person is holding a stick in their hands.</t>
  </si>
  <si>
    <t>The person is holding a hose and washing the car.</t>
  </si>
  <si>
    <t>They dip the stick into a bucket of soapy water and continue washing the car.</t>
  </si>
  <si>
    <t>They hold the hose up and pour the water on their face.</t>
  </si>
  <si>
    <t>They take their sunglasses off at the end and wipe their face.</t>
  </si>
  <si>
    <t>v_7uhJ_0oKV6s</t>
  </si>
  <si>
    <t>Two people are standing in front of a street performance.</t>
  </si>
  <si>
    <t>We see a group of people as two use a jump rope.</t>
  </si>
  <si>
    <t>Several others jump in, jumping over the rope, flipping and doing stunts.</t>
  </si>
  <si>
    <t>v_qV8hycDJWto</t>
  </si>
  <si>
    <t>A man steps away from a desk.</t>
  </si>
  <si>
    <t>The man applies his glove to his left hand.</t>
  </si>
  <si>
    <t>The man taps a metal with a soldering iron.</t>
  </si>
  <si>
    <t>The man soldiers on the piece of metal.</t>
  </si>
  <si>
    <t>The man stops soldering the metal.</t>
  </si>
  <si>
    <t>The man removes his glove and blows smoke away from the metal piece.</t>
  </si>
  <si>
    <t>v_BNQPVf2Ia5Y</t>
  </si>
  <si>
    <t>A man wearing black pants, a plaid shirt and baseball cap trims a dark green hedge with an electric hedge trimmer.</t>
  </si>
  <si>
    <t>The man trims a smaller light green hedge with the trimmer.</t>
  </si>
  <si>
    <t>The man trims another hedge with trimmer.</t>
  </si>
  <si>
    <t>The scene is sped up and contains ambient noises.</t>
  </si>
  <si>
    <t>v_cDe2GlvMEQg</t>
  </si>
  <si>
    <t>A man is seen speaking to the camera indoors as well as outdoors.</t>
  </si>
  <si>
    <t>He points to several objects while leading into dirt being shown as well as plaster.</t>
  </si>
  <si>
    <t>People are seen putting plaster all over the walls while the man continues to speak.</t>
  </si>
  <si>
    <t>v_uokQq9Xrjf8</t>
  </si>
  <si>
    <t>There's a fitness trainer representing The FitCast fitness in a gym demonstrating how to do a tall kneeling palloff press.</t>
  </si>
  <si>
    <t>He is kneeling down on the floor in a black shirt and gray sweat pants.</t>
  </si>
  <si>
    <t>He is pulling the handles of the palloff press with both hands towards his chest while keeping his back and shoulders up straight.</t>
  </si>
  <si>
    <t>v_yOKDaH8Go0A</t>
  </si>
  <si>
    <t>A man in a garage stands over a plank of wood.</t>
  </si>
  <si>
    <t>The man takes some white paste out of a can, adds some coloring to it and mixes it.</t>
  </si>
  <si>
    <t>The man applies the brown colored paste to holes in the wood.</t>
  </si>
  <si>
    <t>v_9-U2WOLIqB8</t>
  </si>
  <si>
    <t>A shot of pins are shown sitting on a lane followed by a man walking into frame.</t>
  </si>
  <si>
    <t>The man spins a ball to go around the pins to hit more in the end.</t>
  </si>
  <si>
    <t>The person spins another ball that is followed shortly afterwards.</t>
  </si>
  <si>
    <t>v_M1_4oDuh2as</t>
  </si>
  <si>
    <t>A woman wearing an apron is talking and picks up a bucket with supplies in it.</t>
  </si>
  <si>
    <t>She grabs a brush and cleans a window.</t>
  </si>
  <si>
    <t>She grabs a squeegee and removes the excess water from the window.</t>
  </si>
  <si>
    <t>v_AFs_aK0DY7E</t>
  </si>
  <si>
    <t>He does a gymnastics routine on the beam.</t>
  </si>
  <si>
    <t>He does a hand stand before jumping off onto a mat.</t>
  </si>
  <si>
    <t>v__9e948mdwrs</t>
  </si>
  <si>
    <t>A man blows dead leaves of a backyard.</t>
  </si>
  <si>
    <t>A person makes a pile of dead leaves.</t>
  </si>
  <si>
    <t>v_AK34mhNU28s</t>
  </si>
  <si>
    <t>A man holds a huge kite in a big field.</t>
  </si>
  <si>
    <t>A dog chases the man as he runs and jumps.</t>
  </si>
  <si>
    <t>The man brings the kite to the ground.</t>
  </si>
  <si>
    <t>v_b1U1VmaZz7Y</t>
  </si>
  <si>
    <t>A man is pouring something onto a large camp fire.</t>
  </si>
  <si>
    <t>A dog walks around the camp site.</t>
  </si>
  <si>
    <t>A person in a yellow shirt holding a blanket walks around the fire.</t>
  </si>
  <si>
    <t>v_kxXoosv0iDg</t>
  </si>
  <si>
    <t>A girl in a sparkly outfit dances on a hardwood floor.</t>
  </si>
  <si>
    <t>She brings out batons and twirls them around while dancing.</t>
  </si>
  <si>
    <t>She sits on the ground after finishing her performance.</t>
  </si>
  <si>
    <t>v_6iSqTbL5WXY</t>
  </si>
  <si>
    <t>We see a man dunk a basketball wearing jump stilts.</t>
  </si>
  <si>
    <t>We see another man bounce the ball and the jump stilt man dunks again.</t>
  </si>
  <si>
    <t>We then see the opening screen for the closing.</t>
  </si>
  <si>
    <t>v_1AZxtWKkRlo</t>
  </si>
  <si>
    <t>A group of cheerleaders run onto a stage before a cheering audience.</t>
  </si>
  <si>
    <t>They get into formation, then begin dancing and flipping as male cheerleaders join them.</t>
  </si>
  <si>
    <t>They all continue dancing and flipping, doing hand springs.</t>
  </si>
  <si>
    <t>When they are finished, they jump up and down happily and walk off the stage, exhausted.</t>
  </si>
  <si>
    <t>v_sJK-NjgOB6g</t>
  </si>
  <si>
    <t>A man lifts a young girl up to reach the sink in a bathroom.</t>
  </si>
  <si>
    <t>Both the man and the girl reach for their toothbrush and add toothpaste at the same time.</t>
  </si>
  <si>
    <t>They look in the mirror together as the man shows the girl how to brush her teeth properly.</t>
  </si>
  <si>
    <t>They rinse and smile at their clean teeth in the mirror.</t>
  </si>
  <si>
    <t>The man then teaches the girl to floss.</t>
  </si>
  <si>
    <t>They put their toothbrushes away and the man helps the girl back to the floor.</t>
  </si>
  <si>
    <t>They walk away together and turn off the bathroom light.</t>
  </si>
  <si>
    <t>v_crxqFzslD0Y</t>
  </si>
  <si>
    <t>A man in a black shirt smiles at the camera.</t>
  </si>
  <si>
    <t>He pulls out a harmonica and begins to play it.</t>
  </si>
  <si>
    <t>He uses his hand to accentuate the notes.</t>
  </si>
  <si>
    <t>He finishes the song at the end.</t>
  </si>
  <si>
    <t>v_boRX-UKXzy8</t>
  </si>
  <si>
    <t>A bumper car arena is shown followed by people driving around and bumping into one another.</t>
  </si>
  <si>
    <t>Several shots are shown of people crashing into one another and a man speaking to the camera in the end.</t>
  </si>
  <si>
    <t>v_tvR1ovqyJZ8</t>
  </si>
  <si>
    <t>A person is riding inside a boat on the water.</t>
  </si>
  <si>
    <t>They are dragging a person on water skis.</t>
  </si>
  <si>
    <t>The person stays upright as they are pulled quickly through the water.</t>
  </si>
  <si>
    <t>v_uCdUm-lou7w</t>
  </si>
  <si>
    <t>A girl swings on monkey bars on an outdoor playground.</t>
  </si>
  <si>
    <t>The girl misses a monkey bar and then looses her grip and falls to the ground.</t>
  </si>
  <si>
    <t>v_WhhbKOSW7m0</t>
  </si>
  <si>
    <t>People are sitting in bleachers watching people.</t>
  </si>
  <si>
    <t>The people in the room are playing wall ball.</t>
  </si>
  <si>
    <t>A man in the stands puts his hands on his face.</t>
  </si>
  <si>
    <t>v_x0TiekqVMj0</t>
  </si>
  <si>
    <t>A woman is seen performing a belly dancing routine in a dark room with one single line shown on her.</t>
  </si>
  <si>
    <t>She continues dancing around the room and ends by the room going dark as she spins.</t>
  </si>
  <si>
    <t>v_uBCLX7hfZLQ</t>
  </si>
  <si>
    <t>A woman wearing a white shirt is sitting with her black and white cat on her lap.</t>
  </si>
  <si>
    <t>She is clipping the cats nails by holding the cat's paws in her hands.</t>
  </si>
  <si>
    <t>She continues clipping the cat's nails one by one.</t>
  </si>
  <si>
    <t>When she's done she kisses the cat.</t>
  </si>
  <si>
    <t>then she begins clipping a brown cat's nails.</t>
  </si>
  <si>
    <t>The cat sits calmly on her lap as she finishes clipping its nails.</t>
  </si>
  <si>
    <t>v_R4yz8nXO5hI</t>
  </si>
  <si>
    <t>A person paints flowers onto a white canvas with a fine brush.</t>
  </si>
  <si>
    <t>The person removes the painting from the table and shows the finished product.</t>
  </si>
  <si>
    <t>v_gGg-kio0dmU</t>
  </si>
  <si>
    <t>People are playing and swimming in a pool.</t>
  </si>
  <si>
    <t>a girl does a back flip off a board.</t>
  </si>
  <si>
    <t>v_WXaFTEWJThM</t>
  </si>
  <si>
    <t>A person is seen filling up a sink with water and holding a rag in the water.</t>
  </si>
  <si>
    <t>She scrubs down her face and washing it off with the rag and smiling into the mirror.</t>
  </si>
  <si>
    <t>v_QsfIM28uvHM</t>
  </si>
  <si>
    <t>A person hangs onto the handles of a kite flying overhead.</t>
  </si>
  <si>
    <t>The kite falls as the wind lessens.</t>
  </si>
  <si>
    <t>The kite blows hard in the air as the wind picks up again.</t>
  </si>
  <si>
    <t>v_FL9yhHtoc6c</t>
  </si>
  <si>
    <t>A man and a woman are dancing on a concrete ground at night under a street light.</t>
  </si>
  <si>
    <t>Both the man and the woman are wearing a black tank top and black shorts along with black shoes.</t>
  </si>
  <si>
    <t>They are dancing in a synchronized manner by following choreographed dance steps to a song.</t>
  </si>
  <si>
    <t>They move their hands as they lift their right leg up high while dancing.</t>
  </si>
  <si>
    <t>Then they shake their hips and their heads they lip sync to the song.</t>
  </si>
  <si>
    <t>when the music gets faster, they move their hands in a circular motion.</t>
  </si>
  <si>
    <t>They also lift their knees up high while shaking their bodies.</t>
  </si>
  <si>
    <t>They repeat the steps every time the chorus of the song plays.</t>
  </si>
  <si>
    <t>They lift their knees up high alternating between the two legs.</t>
  </si>
  <si>
    <t>They continue to dance as they hold up the palms of their hands straight up and move their hips.</t>
  </si>
  <si>
    <t>They repeat the steps as the chorus of the song repeats.</t>
  </si>
  <si>
    <t>Finally after the song ends, they both stand still with their hands on their hips.</t>
  </si>
  <si>
    <t>v_tVbrnWNOmFY</t>
  </si>
  <si>
    <t>A man takes a patch and put on a wheel while explaining and showing materials .</t>
  </si>
  <si>
    <t>Then, the man takes the wheel of a bike to fix the hole of the tube by applying a patch.</t>
  </si>
  <si>
    <t>After, the man put the tube on the wheel and pump air in the wheel.</t>
  </si>
  <si>
    <t>Then, the man put and fix the wheel in the bike.</t>
  </si>
  <si>
    <t>v_fLvPz8W00l4</t>
  </si>
  <si>
    <t>A man shows the proper way to lift a kettlebell.</t>
  </si>
  <si>
    <t>He shows with his hips how not to do it.</t>
  </si>
  <si>
    <t>v_W-pFUV2O1l0</t>
  </si>
  <si>
    <t>A man is cutting another mans hair.</t>
  </si>
  <si>
    <t>He is demonstrating the types of cuts.</t>
  </si>
  <si>
    <t>He combs and snips the front of the mans hair.</t>
  </si>
  <si>
    <t>He parts the hair and continues pulling and trimming the front flip.</t>
  </si>
  <si>
    <t>He then turns the mans head and works on the back.</t>
  </si>
  <si>
    <t>He finishes haircut on the man.</t>
  </si>
  <si>
    <t>v_rlH9RkelqHk</t>
  </si>
  <si>
    <t>A person's feet are show followed by a woman putting shoes over her socks and bending forward.</t>
  </si>
  <si>
    <t>She twirls around her feet and looking to the camera while showing her shoe completely on.</t>
  </si>
  <si>
    <t>v_N6HUPyM5m2o</t>
  </si>
  <si>
    <t>woman is wearing a purple shit lifting weight.</t>
  </si>
  <si>
    <t>woman is sitting in stairs tying the laces.</t>
  </si>
  <si>
    <t>two women are in a gym room doing exercise.</t>
  </si>
  <si>
    <t>v_CZveW9zX0s8</t>
  </si>
  <si>
    <t>A man is shown speaking to the camera and leads into a woman trimming the fur on a dog.</t>
  </si>
  <si>
    <t>The speaks more to the camera while other dogs are shown groomed and one woman walks away holding two excited dogs.</t>
  </si>
  <si>
    <t>More shots of dogs held are shown while the man speaks and the camera pans around the building.</t>
  </si>
  <si>
    <t>v_9fnmcyUz5jg</t>
  </si>
  <si>
    <t>A logo shows that this video is presented by Expert Village.</t>
  </si>
  <si>
    <t>A man in a small blue boat discusses the topic of hand surfing in a hole and gives hints on how to perform this activity.</t>
  </si>
  <si>
    <t>The man demonstrates tricks that can be done while performing this activity.</t>
  </si>
  <si>
    <t>v_ayDqRzRN8_M</t>
  </si>
  <si>
    <t>News hosts present a story seated at a desk in a news room.</t>
  </si>
  <si>
    <t>A news reporter interviews a man on an ice skating rink.</t>
  </si>
  <si>
    <t>An athlete glides a stone across the ice.</t>
  </si>
  <si>
    <t>The reporter and the man practice brushing the ice with brooms.</t>
  </si>
  <si>
    <t>A woman sits in a salon and has her hair curled.</t>
  </si>
  <si>
    <t>The curls are taken out of the woman's hair after the makeover.</t>
  </si>
  <si>
    <t>The news anchors close out the story.</t>
  </si>
  <si>
    <t>v_LHewj6shKGw</t>
  </si>
  <si>
    <t>A group of kids are on a track, and they practice jumping over a low beam.</t>
  </si>
  <si>
    <t>They perform the motion several times, portraying the act in slow motion.</t>
  </si>
  <si>
    <t>v_UxIXOCccW24</t>
  </si>
  <si>
    <t>Two people are seen speaking to the camera wearing costume when another person steps into frame.</t>
  </si>
  <si>
    <t>Two people then battle one another in the costumes and run into one another.</t>
  </si>
  <si>
    <t>One person knocks the other on the ground and shows off a wrestling move.</t>
  </si>
  <si>
    <t>v_1OmzECVyIww</t>
  </si>
  <si>
    <t>An athletic man is seen waving one arm up into the air and standing ready for a beam.</t>
  </si>
  <si>
    <t>The man then spins himself around the beam performing a gymnastics routine and ends with him jumping to the side and holding his arms up, smiling and waving to the crowd.</t>
  </si>
  <si>
    <t>v_-rwKyNnz89s</t>
  </si>
  <si>
    <t>A man is seen standing in a goal followed by a person kicking a boll.</t>
  </si>
  <si>
    <t>More clips are shown of people kicking a ball towards the goal while people watch on the sides.</t>
  </si>
  <si>
    <t>Several more people take their turn kicking a ball and end by running all together and cheering.</t>
  </si>
  <si>
    <t>v_gBTnWp9VLz4</t>
  </si>
  <si>
    <t>A car drives behind another while filming several snowy houses and trees shown.</t>
  </si>
  <si>
    <t>Eventually two snowboarding are shown doing jumps and tricks down a mountain.</t>
  </si>
  <si>
    <t>Another does several flips and tricks while another performs the same down the mountain.</t>
  </si>
  <si>
    <t>v_iMXdwkAGfM4</t>
  </si>
  <si>
    <t>A man sits in a chair while a standing man uses an electric razor on his beard.</t>
  </si>
  <si>
    <t>The man gently shaves the other man's beard until it is gone.</t>
  </si>
  <si>
    <t>The man sits in the chair, wiping himself off before standing up.</t>
  </si>
  <si>
    <t>v_yqzV0O139Yk</t>
  </si>
  <si>
    <t>Two people are seen standing on a field in front of ball when one bends over to balance on the ball.</t>
  </si>
  <si>
    <t>The woman then performs exercises on the ball with the man's assistance.</t>
  </si>
  <si>
    <t>v_leKf6Q87IYg</t>
  </si>
  <si>
    <t>Several pictures of seen of a man wakeboarding and leading into him speaking to the camera.</t>
  </si>
  <si>
    <t>He demonstrates how to properly perform moves while standing on the lawn.</t>
  </si>
  <si>
    <t>It follows into the man riding around on a wakeboard.</t>
  </si>
  <si>
    <t>v_PwbZimjxzps</t>
  </si>
  <si>
    <t>A man stands in front of a crowd pointing and speaking about the layout of a bullfighting ring.</t>
  </si>
  <si>
    <t>A demonstration of bullfighting is performed by a man with a pink cape and a man moving a fake bull object with a wheel.</t>
  </si>
  <si>
    <t>The bullfighter then demonstrates how to use his sword on the bull.</t>
  </si>
  <si>
    <t>Then the students wants to give it a try.</t>
  </si>
  <si>
    <t>v_J1LIG037WzE</t>
  </si>
  <si>
    <t>Two men are seen fighting back and fourth on a set of mats using boxing gloves and pads.</t>
  </si>
  <si>
    <t>The men continue punching and kicking back and fourth while the camera continues to follow them around.</t>
  </si>
  <si>
    <t>v_RrScnC2xQpw</t>
  </si>
  <si>
    <t>A girl is seen kneeling before the camera and leads into her walking around her house.</t>
  </si>
  <si>
    <t>She zooms in on an oven and is shown taking a pan out full of cookies.</t>
  </si>
  <si>
    <t>She lays out a plate to clean off follows by grabbing the cookies and laying them on the plate.</t>
  </si>
  <si>
    <t>v_ZeN0mrRQHg8</t>
  </si>
  <si>
    <t>A group of kids are riding in bumper cars.</t>
  </si>
  <si>
    <t>They spin and move, hitting each other.</t>
  </si>
  <si>
    <t>The kids smile and laugh at each other as they collide.</t>
  </si>
  <si>
    <t>v_3LyyqeVeYkI</t>
  </si>
  <si>
    <t>He lassos a young calf on the dirt.</t>
  </si>
  <si>
    <t>He jumps off his horse and ties the calf.</t>
  </si>
  <si>
    <t>v_UySzNwvkQKQ</t>
  </si>
  <si>
    <t>There are people standing in a large indoor court, on two different sides, with balls in the middle of the court.</t>
  </si>
  <si>
    <t>Suddenly people start running towards the balls and they begin to play dodge ball and pick them up and throw them at one another until one of the teams has only 1 person left standing.</t>
  </si>
  <si>
    <t>Only 1 guy remain standings and he attempts to hit someone else on the other team with a ball, and they in return do the same, they go back and forth doing this until a red ball finally hits the last guy standing on the team and he hits the floor.</t>
  </si>
  <si>
    <t>v_xzoquwJYEZw</t>
  </si>
  <si>
    <t>man is standing in a wooden court talking to the camera.</t>
  </si>
  <si>
    <t>men are playing squash in a room holding rackets on his hands.</t>
  </si>
  <si>
    <t>the man is holding a racket and is talking to the camera.</t>
  </si>
  <si>
    <t>v_v-xUwDARVb4</t>
  </si>
  <si>
    <t>A band is seen performing on stage while the camera pans around and captures them from several angles.</t>
  </si>
  <si>
    <t>The singer interacts with the band and continues playing while the audience cheers.</t>
  </si>
  <si>
    <t>v_YGBldj7DUq4</t>
  </si>
  <si>
    <t>A man is in a kayak in the water making turns with the help of an oar.</t>
  </si>
  <si>
    <t>Then, the man explains showing and moving the oar.</t>
  </si>
  <si>
    <t>After the man starts to row in the river and turning the kayak.</t>
  </si>
  <si>
    <t>v_wP0jr86MNOw</t>
  </si>
  <si>
    <t>man is standing nex to a van wearing stilts.</t>
  </si>
  <si>
    <t>another man is sitting on the back part of a van is putting the stilts on his feet.</t>
  </si>
  <si>
    <t>men wearing stilts are walking in a parking lot to street.</t>
  </si>
  <si>
    <t>men are kneeling on the street and start jumping going down the paved slope.</t>
  </si>
  <si>
    <t>v_X9CpU4ucYeg</t>
  </si>
  <si>
    <t>woman is standing in a kitchen talking to the camera and showing the lemons, jar and the bowl on the counter.</t>
  </si>
  <si>
    <t>woman is squeezing the lemon into a bowl and on the water.</t>
  </si>
  <si>
    <t>woman is ni front of the stove and pour sugar into water in a pan till boil.</t>
  </si>
  <si>
    <t>woman pour sugar in the jar with ice.</t>
  </si>
  <si>
    <t>v_rG-WlnAoc3M</t>
  </si>
  <si>
    <t>A person wet a car with water, then he puts detergent to the car using a long squeegee.</t>
  </si>
  <si>
    <t>The man rinses the car with water.</t>
  </si>
  <si>
    <t>Then, the man cleans again with soap and water the car for the second time.</t>
  </si>
  <si>
    <t>The man cleans with a cloth and rinse with water the rims of the car.</t>
  </si>
  <si>
    <t>After, the man dry the car manually with a cloth.</t>
  </si>
  <si>
    <t>Next, the man cleans inside the car, then drives the car.</t>
  </si>
  <si>
    <t>v_AA6nXQMyfhU</t>
  </si>
  <si>
    <t>A man sits at a table talking.</t>
  </si>
  <si>
    <t>The man, now standing, pours paint thinner n a rag and wipes the table with the rag.</t>
  </si>
  <si>
    <t>The man sits at the table again while talking.</t>
  </si>
  <si>
    <t>Now he is standing putting a polish on the table and shining it.</t>
  </si>
  <si>
    <t>He then cleans the table legs with a brush.</t>
  </si>
  <si>
    <t>He sits at the table talking for another moment.</t>
  </si>
  <si>
    <t>The scene changes and the man is seen standing in a garage.</t>
  </si>
  <si>
    <t>v_FAPMunnTNsE</t>
  </si>
  <si>
    <t>Two people are seen riding in a canoe pushing a paddle along the water and looking into the camera.</t>
  </si>
  <si>
    <t>More clips are shown of the scenery as well as the people riding around and meeting up with others.</t>
  </si>
  <si>
    <t>v_-5Yp-vToI2E</t>
  </si>
  <si>
    <t>A large group of people are seen standing around a ballet room and leads into four performing a dance.</t>
  </si>
  <si>
    <t>The four continuously move together while holding hands and doing the same moves.</t>
  </si>
  <si>
    <t>The girls laugh together and continue dancing and ending by holding a pose.</t>
  </si>
  <si>
    <t>v_zPl4spxrvg4</t>
  </si>
  <si>
    <t>A woman walks into frame speaking to the camera and pointing to a sign that leads into her speaking with a man in front of a bow and arrow.</t>
  </si>
  <si>
    <t>The man speaks to her and puts bowing equipment on the woman and holds out the bow for her.</t>
  </si>
  <si>
    <t>He teaches her how to properly hold the bow and the woman takes several turns shooting the bow and arrow.</t>
  </si>
  <si>
    <t>She cheers and continues shooting while the man speaks to her and shakes her hand as they walk away.</t>
  </si>
  <si>
    <t>v_svSM-UqjNWE</t>
  </si>
  <si>
    <t>A woman is seen sitting under an umbrella with a hookah stick in her mouth.</t>
  </si>
  <si>
    <t>She takes a couple puffs from the stick while blowing it into the camera and speaking to the camera.</t>
  </si>
  <si>
    <t>v_pu-2w-UxdYg</t>
  </si>
  <si>
    <t>The woman wipes down the furniture with acetone.</t>
  </si>
  <si>
    <t>Woman sprays silicone on table and wipes it off.</t>
  </si>
  <si>
    <t>Woman compares old section to cleaned section.</t>
  </si>
  <si>
    <t>v_f2LGG2ocbu8</t>
  </si>
  <si>
    <t>A large group of people are seen sitting around a pit with one man spinning around and throwing a ball off into the distance.</t>
  </si>
  <si>
    <t>People around him clap while more stand around and talk as well as watch the balls be thrown.</t>
  </si>
  <si>
    <t>The people grab the ball from the ground over and over again while occasionally looking over to the camera and panning back to the large crowd.</t>
  </si>
  <si>
    <t>v_NyNuB328oi0</t>
  </si>
  <si>
    <t>A ball is shown flying up in the sky while a large group of people stand around.</t>
  </si>
  <si>
    <t>A person is then seen grabbing the ball on the ground.</t>
  </si>
  <si>
    <t>The person catches the ball and the clip is shown again in slow motion.</t>
  </si>
  <si>
    <t>v_4avZ79LB5n4</t>
  </si>
  <si>
    <t>At an outdoor poor facility people are in the pool and others are outside standing by.</t>
  </si>
  <si>
    <t>There are two boys on the diving board preparing to jump down.</t>
  </si>
  <si>
    <t>They get in a unique position and then simultaneously dive in together.</t>
  </si>
  <si>
    <t>They make a huge splash as they land inside the water.</t>
  </si>
  <si>
    <t>v_InHt3sukfeg</t>
  </si>
  <si>
    <t>A picture of a patio set is shown followed by a woman scrubbing down the tables and chairs.</t>
  </si>
  <si>
    <t>She wipes them down with a rag and then shakes up a can and spray paints the furniture.</t>
  </si>
  <si>
    <t>More close ups are shown of the furniture while text instructions pan over the screen.</t>
  </si>
  <si>
    <t>v_5qh_gx81Bd8</t>
  </si>
  <si>
    <t>A man stands in a dance studio and shows how he sets up for different dance postures.</t>
  </si>
  <si>
    <t>The man in white tshirt does a spins while break dancing.</t>
  </si>
  <si>
    <t>v_Lk_Xe9yQ8Zc</t>
  </si>
  <si>
    <t>man is in stage in the news.</t>
  </si>
  <si>
    <t>people are in street jumping the rope and dancing while people gathered around them are watching them.</t>
  </si>
  <si>
    <t>an old chinese woman is being interviewed.</t>
  </si>
  <si>
    <t>old man is talking to the camera.</t>
  </si>
  <si>
    <t>woman is holding a microphone talking to the camera jumping the rope.</t>
  </si>
  <si>
    <t>woman is jumping the rope and doing somersaults.</t>
  </si>
  <si>
    <t>women are being interviewed and behind her people are jumping the rope.</t>
  </si>
  <si>
    <t>people are in stage in competition jumping the rope.</t>
  </si>
  <si>
    <t>women are in street being interviewed and people keep jumping the rope.</t>
  </si>
  <si>
    <t>v_of4bEaqQzOk</t>
  </si>
  <si>
    <t>The man in blue leotard raised the barbel, but he let go of the barbel and he fell on his back.</t>
  </si>
  <si>
    <t>The man in red leotard carried the barbel all the way up his head the crowd cheered.</t>
  </si>
  <si>
    <t>The athlete raised his barbel but wasn't able to go all the way up his head.</t>
  </si>
  <si>
    <t>The crowd is cheering while the athletes are able to raise the barbel all up his head.</t>
  </si>
  <si>
    <t>v_cC1nvRqyXWs</t>
  </si>
  <si>
    <t>A man in blue gym shorts iron his clothes on an ironing board at home.</t>
  </si>
  <si>
    <t>The man sits down on the floor and folds his clothes and stacks them up.</t>
  </si>
  <si>
    <t>The man leaves the room and the room goes dark.</t>
  </si>
  <si>
    <t>v_rbLCMaf3phk</t>
  </si>
  <si>
    <t>A man stands in a large arena.</t>
  </si>
  <si>
    <t>She throws a heavy ball really far.</t>
  </si>
  <si>
    <t>He does this again and again.</t>
  </si>
  <si>
    <t>He throws the balls really far.</t>
  </si>
  <si>
    <t>v_Pso333FAp2w</t>
  </si>
  <si>
    <t>Outside a dog is laying down on the pavement when a human picks up a frisbee and throws it.</t>
  </si>
  <si>
    <t>The dog excitedly runs after it and come running back with it, bringing it back to his human.</t>
  </si>
  <si>
    <t>He disappears for a little bit and then you see him excitedly get ready to run for it again.</t>
  </si>
  <si>
    <t>Once he see's the frisbee flying he starts to run for it and brings it back every time.</t>
  </si>
  <si>
    <t>v_t3Zg4mSksXk</t>
  </si>
  <si>
    <t>There are a few teenage boys skateboarding on a quiet streets in a neighborhood.</t>
  </si>
  <si>
    <t>They are going down the street, trying some stunts on the skateboard.</t>
  </si>
  <si>
    <t>There are a some leaves fallen on the curb.</t>
  </si>
  <si>
    <t>One of the boys bends down and skates in a seated position.</t>
  </si>
  <si>
    <t>The boys continue skateboarding through the streets, going past houses in the residential area.</t>
  </si>
  <si>
    <t>v_H6hb3SIqdL4</t>
  </si>
  <si>
    <t>A man in a striped shirt prepares to throw dart at a dart board.</t>
  </si>
  <si>
    <t>The man throws three darts at the dartboard.</t>
  </si>
  <si>
    <t>The camera man pans to the side of the dartboard and zooms in on the darts as the man in the striped shirt reaches for the dart board.</t>
  </si>
  <si>
    <t>v_S9QG5MAga68</t>
  </si>
  <si>
    <t>An ad for Vidal Sassoon appears.</t>
  </si>
  <si>
    <t>We then see their curling iron and hot roller set.</t>
  </si>
  <si>
    <t>A demonstration is shown for how to set and use the hot rollers and iron on a woman's hair.</t>
  </si>
  <si>
    <t>Her hair is shown in pretty curls all around her head.</t>
  </si>
  <si>
    <t>v_uRBE-ANigvs</t>
  </si>
  <si>
    <t>An intro shot of various athletes are shown.</t>
  </si>
  <si>
    <t>A man is then shown throwing a discus on a large field.</t>
  </si>
  <si>
    <t>Another man is also shown doing the same with a still shot of him afterwards showing his posture and his throw in slow motion.</t>
  </si>
  <si>
    <t>He is then shown walking away and feeling very confident about what he just accomplished.</t>
  </si>
  <si>
    <t>v_4kbtdUz2M3M</t>
  </si>
  <si>
    <t>Various people are seen wandering around a beach, followed by waves moving along the water and people sitting in the water.</t>
  </si>
  <si>
    <t>Several people surfing the waves while people on the sidelines watch the athletes move.</t>
  </si>
  <si>
    <t>v_00S8I27qDU4</t>
  </si>
  <si>
    <t>A lady holds a javelin on a track she puts it down.</t>
  </si>
  <si>
    <t>The scene starts over and we see a lady throw a javelin and walk away.</t>
  </si>
  <si>
    <t>We then see the throw measured and a man walks up as talks to the girl.</t>
  </si>
  <si>
    <t>v__8m1tlowwKM</t>
  </si>
  <si>
    <t>A man with long sideburns wearing a red colored robe is playing the piano.</t>
  </si>
  <si>
    <t>there's another man in a blue shirt standing near him, busy engaged in packing some bags.</t>
  </si>
  <si>
    <t>The main in red continues playing the piano as the other man carries two bags and leaves.</t>
  </si>
  <si>
    <t>The man stops playing the piano and waves to the other person as he gets up and leaves.</t>
  </si>
  <si>
    <t>v_TdZOfBHjU5g</t>
  </si>
  <si>
    <t>There's a person wearing blue latex gloves polishing a hexagonal wooden table to demonstrate French polishing technique.</t>
  </si>
  <si>
    <t>He is using a polishing sponge to polish the table top surface in circular motion.</t>
  </si>
  <si>
    <t>He then goes in up and down motion over the table surface to make it shiny.</t>
  </si>
  <si>
    <t>He meticulously goes over the entire surface making sure no part of the table is left untouched.</t>
  </si>
  <si>
    <t>He then starts polishing the surface of a dinning room buffet that has bamboo finish doors.</t>
  </si>
  <si>
    <t>He again polishes in circular motions on the top surface.</t>
  </si>
  <si>
    <t>v_cRpzDPS6zeY</t>
  </si>
  <si>
    <t>A man and a woman are performing a couple's dance routine while other couples dance around them.</t>
  </si>
  <si>
    <t>A group of onlookers watch the couples spin around and continue the dance routine.</t>
  </si>
  <si>
    <t>v_HGqaDftZe5s</t>
  </si>
  <si>
    <t>We see small kids ride BMX bikes on a dirt track in an arena.</t>
  </si>
  <si>
    <t>The kids ride past the camera.</t>
  </si>
  <si>
    <t>The kids start passing the finish line.</t>
  </si>
  <si>
    <t>v_p4MMyVArVc0</t>
  </si>
  <si>
    <t>A woman is balancing on a tight rope outdoors.</t>
  </si>
  <si>
    <t>The woman is showing various acrobatic moves.</t>
  </si>
  <si>
    <t>The woman is bouncing on the wire.</t>
  </si>
  <si>
    <t>An animal is in the field in the background.</t>
  </si>
  <si>
    <t>v_OT98MiVje0g</t>
  </si>
  <si>
    <t>A close up is seen of Christmas decorations.</t>
  </si>
  <si>
    <t>A man in Santa Claus costume plays a drum set in a home with a lit up Christmas tree.</t>
  </si>
  <si>
    <t>The man dressed up as Santa finishes playing the song on drums.</t>
  </si>
  <si>
    <t>v_DeHIqrMlsU8</t>
  </si>
  <si>
    <t>The video begins with several shots of a person riding down a hill on a skateboard and doing tricks.</t>
  </si>
  <si>
    <t>The boy continues to ride around on a skateboard doing flips and tricks and the camera capturing him from several angles.</t>
  </si>
  <si>
    <t>v_haUWdHvwpUo</t>
  </si>
  <si>
    <t>A man is giving instructions about playing the congo.</t>
  </si>
  <si>
    <t>He speaks with his hands and then he taps the top of the congo very lightly.</t>
  </si>
  <si>
    <t>He starts to tap lightly on the congo at a very slow tempo and after a little bit of doing that he stops to start talking again.</t>
  </si>
  <si>
    <t>Finally, he starts using both of his hands to build up an actual beat and talks some more about it.</t>
  </si>
  <si>
    <t>v_JQf_oSGY8q4</t>
  </si>
  <si>
    <t>There's a woman dressed in black playing billiards in front of some spectators.</t>
  </si>
  <si>
    <t>After she's done another lady takes her turn and hits a few shots.</t>
  </si>
  <si>
    <t>The second contestant aims and shoots the ball in the hole.</t>
  </si>
  <si>
    <t>She aims precisely and shoots the balls in the holes one by one, without missing a single shot.</t>
  </si>
  <si>
    <t>She continues to concentrate and shoots the balls till only one ball is left on the billiards table.</t>
  </si>
  <si>
    <t>v_cErtrZrWhiQ</t>
  </si>
  <si>
    <t>Two men dressed in suits are facing one another with a hand on each others back, and holding hands with the other one and they dance in one direction, then back in another and then laugh and separate.</t>
  </si>
  <si>
    <t>Right where the men separate from dancing there is an Asian woman that is now the focus as she plays on an accordion keyboard.</t>
  </si>
  <si>
    <t>The woman stops playing, laughs and looks and says something.</t>
  </si>
  <si>
    <t>v_gPjH9C9wdJw</t>
  </si>
  <si>
    <t>A man is holding a guitar and looks back and fourth between the camera and the guitar.</t>
  </si>
  <si>
    <t>He moves his hands up and down the neck of the guitar and sings softly to the camera.</t>
  </si>
  <si>
    <t>v_fBxpQxIqGN8</t>
  </si>
  <si>
    <t>A person in pink does tai chi.</t>
  </si>
  <si>
    <t>She moves around but is basically doing the same basic thing.</t>
  </si>
  <si>
    <t>She stops and is still at the end.</t>
  </si>
  <si>
    <t>v_IGXq7a7Jl7s</t>
  </si>
  <si>
    <t>Several athletes compete for the javelin world championships.</t>
  </si>
  <si>
    <t>The Russia Dimitri is 3rd bronze medal in the competition.</t>
  </si>
  <si>
    <t>the Japanese Jenki is silver medal.</t>
  </si>
  <si>
    <t>Till from Germany won the gold medal.</t>
  </si>
  <si>
    <t>v_nvFtFFJXxB0</t>
  </si>
  <si>
    <t>An intro leads into hands seen playing a musical instrument while pausing the point on the instrument.</t>
  </si>
  <si>
    <t>He continues moving his hands around to play and is then seen speaking to the camera.</t>
  </si>
  <si>
    <t>v_rZ8tVgFyY84</t>
  </si>
  <si>
    <t>A man wearing surgical clothes demonstrates the proper way to wash hands for surgical procedures and first removes jewelry.</t>
  </si>
  <si>
    <t>The surgeon then wets his hands and ads soap.</t>
  </si>
  <si>
    <t>The surgeon then rubs the palms together and builds a lather.</t>
  </si>
  <si>
    <t>He then rubs back of hand with palm.</t>
  </si>
  <si>
    <t>The surgeon then rubs the back of fingers with hands.</t>
  </si>
  <si>
    <t>He then rubs the thumbs with the palm clasping thumb.</t>
  </si>
  <si>
    <t>Then he rubs the tips of the fingers into palm.</t>
  </si>
  <si>
    <t>Then he rubs the wrists and rinses the hands in wter and fully dries his hands.</t>
  </si>
  <si>
    <t>v_VqeeqABnpQk</t>
  </si>
  <si>
    <t>A dancer stands up from a chair.</t>
  </si>
  <si>
    <t>He pushes the chair towards him female dance partner.</t>
  </si>
  <si>
    <t>She sits on the chair.</t>
  </si>
  <si>
    <t>He walks towards her, picking her up from the chair and they dance.</t>
  </si>
  <si>
    <t>People in the audience applaud.</t>
  </si>
  <si>
    <t>v_CAW0CEuyvZo</t>
  </si>
  <si>
    <t>A girl is in front of a camera.</t>
  </si>
  <si>
    <t>She applies light pink lip gloss to her lips.</t>
  </si>
  <si>
    <t>v_xS6elK6Khs4</t>
  </si>
  <si>
    <t>A man is seen sitting in front of a fence sitting on a skateboard and speaking to the camera.</t>
  </si>
  <si>
    <t>Several shots are then shown of him speaking to the camera and performing various skateboarding tricks around a park.</t>
  </si>
  <si>
    <t>v_QIkDYInr17A</t>
  </si>
  <si>
    <t>Two young children are seen standing behind a table with one peeling lemons and a boy watching on the side.</t>
  </si>
  <si>
    <t>Another child is seen squeezing lemons and zooms in on the kids working.</t>
  </si>
  <si>
    <t>The kids continue to squeeze the lemon while looking and waving to the camera and speaking on the side.</t>
  </si>
  <si>
    <t>v_IwViXKNNBEU</t>
  </si>
  <si>
    <t>A man prepares himself to throw a discus.</t>
  </si>
  <si>
    <t>Multiple people walk around and talk in the background.</t>
  </si>
  <si>
    <t>The man spins and throws the discus.</t>
  </si>
  <si>
    <t>v_vWULU8NttX8</t>
  </si>
  <si>
    <t>A group of bike riders are seen standing ready side by side with one another and speaking to a man in front.</t>
  </si>
  <si>
    <t>The camera continues to pan around the riders getting ready and finally jumping down and racing along the dirt path.</t>
  </si>
  <si>
    <t>v_cffsp2tCT5k</t>
  </si>
  <si>
    <t>A young girl is seen cutting a hole in the top of a pumpkin followed by her scooping out seeds and cutting out the sides.</t>
  </si>
  <si>
    <t>The girl wipes off the pumpkin and puts on the top and shows the pumpkin in the dark.</t>
  </si>
  <si>
    <t>v_APuN4vwgKJ4</t>
  </si>
  <si>
    <t>A woman standing at a counter speaking about making chocolate chip cookies.</t>
  </si>
  <si>
    <t>She combines and mixes the ingredients with a hand mixer.</t>
  </si>
  <si>
    <t>She then places flour into a bowl after she measures it along with baking soda.</t>
  </si>
  <si>
    <t>She adds it to the cookies dough and mixes it by hand then adds in the chocolate chips.</t>
  </si>
  <si>
    <t>She then measures out dough that is on a baking sheet for cooking.</t>
  </si>
  <si>
    <t>Placed in the oven and after they cool you have cookies.</t>
  </si>
  <si>
    <t>v_DXluU6_7OXQ</t>
  </si>
  <si>
    <t>A girl stands up from a table in a kitchen.</t>
  </si>
  <si>
    <t>She and another girl have glasses and spoons.</t>
  </si>
  <si>
    <t>They proceed to eat the substance as they sit on the floor.</t>
  </si>
  <si>
    <t>v_GldxuTsExZM</t>
  </si>
  <si>
    <t>A person holding a moose moves the puppet and leads into someone opening a box.</t>
  </si>
  <si>
    <t>The person pulls pumpkins out of the box and cuts a circle around the top.</t>
  </si>
  <si>
    <t>He scoops the seeds out of the pumpkin while using the moose and uses a marker to draw on its side.</t>
  </si>
  <si>
    <t>He cuts around the marker lines and puts a candle inside to make a jack o lantern.</t>
  </si>
  <si>
    <t>v_xBtydVn3MVI</t>
  </si>
  <si>
    <t>A man films himself standing in a bathroom while holding a razor close to his face.</t>
  </si>
  <si>
    <t>He begins gently shaving the sides of his face and moves down towards his beard.</t>
  </si>
  <si>
    <t>He continues shaving the beard from all angles and eventually leaves nothing but a five 0 lock shadow.</t>
  </si>
  <si>
    <t>v_YtFGG_7A_UU</t>
  </si>
  <si>
    <t>A middle aged white female is standing in a lobby of some sort next to a picture talking.</t>
  </si>
  <si>
    <t>She then reappears in another room of the same place and is talking in front of a mirror,vase,and plant.</t>
  </si>
  <si>
    <t>In her hand,she has a small circular container with shoe polish it and takes a rag and dips the rag in the container.</t>
  </si>
  <si>
    <t>The woman then proceeds to clean the male dress shoe with the cloth and polish.</t>
  </si>
  <si>
    <t>She then takes a brush and start going over the shoe with it and pauses briefly and begins talking.</t>
  </si>
  <si>
    <t>v_r5oPTDuHhoE</t>
  </si>
  <si>
    <t>A group of girls are shown standing around a field huddled up together.</t>
  </si>
  <si>
    <t>The next shots are of the girls running around the field passing the ball back and fourth.</t>
  </si>
  <si>
    <t>A girl shoots the ball into the goal and achieves a point.</t>
  </si>
  <si>
    <t>Another later tries to shoot a goal but is blocked by the goalie.</t>
  </si>
  <si>
    <t>v_A8q6beSMpEE</t>
  </si>
  <si>
    <t>A man is holding windex near his car door.</t>
  </si>
  <si>
    <t>The man then sprays the window with windex and wipes the window.</t>
  </si>
  <si>
    <t>The man rolls the window up.</t>
  </si>
  <si>
    <t>The man finishes and rolls the window down to wipe it some more.</t>
  </si>
  <si>
    <t>v_WX1TLuHXCd8</t>
  </si>
  <si>
    <t>Guys are playing lacrosse on a field.</t>
  </si>
  <si>
    <t>A guy pushes a male to the ground.</t>
  </si>
  <si>
    <t>v_FMtUqoxfR50</t>
  </si>
  <si>
    <t>A special effect intro screen appears, it's mainly red and contains words on it that say "How to Improve Your Volleyball Spike".</t>
  </si>
  <si>
    <t>In slow motion a man is on a volleyball court demonstrating moves as white text appears as he does certain movements.</t>
  </si>
  <si>
    <t>When he's done a red screen appears that include a website in white text that say's "AcuSpike dot com" and it includes a blue clip art going through it along with a white volleyball.</t>
  </si>
  <si>
    <t>v_SO67XxdevPw</t>
  </si>
  <si>
    <t>An African American male gymnast in a blue leotard steps under two bars and begins stretching.</t>
  </si>
  <si>
    <t>He grabs the bars and pulls himself up into a hand stand on the bars.</t>
  </si>
  <si>
    <t>He continues to do acrobatic flips and continuous flips.</t>
  </si>
  <si>
    <t>His next set of flips consists of splits over the bars,followed by hand stands.</t>
  </si>
  <si>
    <t>Finally, he flips off the bars and lands on the mat to complete his performance.</t>
  </si>
  <si>
    <t>v_hFtmkU7wdx4</t>
  </si>
  <si>
    <t>A sky with the sun is peeking through the clouds.</t>
  </si>
  <si>
    <t>A man is on a track in front of a crowd.</t>
  </si>
  <si>
    <t>He runs, doing a long jump in slow motion.</t>
  </si>
  <si>
    <t>He celebrates as he wins the medal.</t>
  </si>
  <si>
    <t>A man is shown talking about him.</t>
  </si>
  <si>
    <t>The credits appear at the end.</t>
  </si>
  <si>
    <t>v_t6vWMTMooDc</t>
  </si>
  <si>
    <t>A man and a woman are standing in a living room with large sumo costumes on.</t>
  </si>
  <si>
    <t>The girl jumps up and then the man tries it to see how heavy the uniform is.</t>
  </si>
  <si>
    <t>Next,the man holds up a bag of lemons and begin to talk before they put their head equipment on.</t>
  </si>
  <si>
    <t>Now,it is time for the match and they begin wrestling with one another.</t>
  </si>
  <si>
    <t>However,they've added a feature to the match and each person has to put lemons in the other's hat to gain points.</t>
  </si>
  <si>
    <t>After several attempts,the girl wins and the score is 4 to 0.</t>
  </si>
  <si>
    <t>Now begins round two and the outcome is the same as the girl cheats to win.</t>
  </si>
  <si>
    <t>v_FmugQfHQ4p0</t>
  </si>
  <si>
    <t>Two vacuums appear in a gray room.</t>
  </si>
  <si>
    <t>One of the vacuums disappears.</t>
  </si>
  <si>
    <t>A lady vacuums her house then empties the vacuum.</t>
  </si>
  <si>
    <t>The lady puts the vacuum in a closet.</t>
  </si>
  <si>
    <t>We see a room full of desks and engineers designing products.</t>
  </si>
  <si>
    <t>Three Dyson fans swivel toward the camera.</t>
  </si>
  <si>
    <t>v_pt6XC-p_CFE</t>
  </si>
  <si>
    <t>A woman is seen speaking to the camera and holding up a tin.</t>
  </si>
  <si>
    <t>She then folds a piece of paper into an airplane and rubs it along the pan.</t>
  </si>
  <si>
    <t>She then puts a container into the pan while speaking to the camera.</t>
  </si>
  <si>
    <t>v_0PyY_iHBZHk</t>
  </si>
  <si>
    <t>A man is seen speaking to the camera while showing shots of people playing water polo.</t>
  </si>
  <si>
    <t>More clips are shown of people hitting the ball as well as the host speaking to another man.</t>
  </si>
  <si>
    <t>More clips are shown of people playing in the pool and laughing with one another.</t>
  </si>
  <si>
    <t>v_J4FBxa5FWSo</t>
  </si>
  <si>
    <t>A man runs on a pair of stilts down an alley.</t>
  </si>
  <si>
    <t>He bounces over a bike as he runs.</t>
  </si>
  <si>
    <t>He then runs up the side trim of a building before disappearing around the corner.</t>
  </si>
  <si>
    <t>v_0O589B9zr84</t>
  </si>
  <si>
    <t>Cartoon buildings are shown, then a pair of angels.</t>
  </si>
  <si>
    <t>We see a bucket filled with laundry.</t>
  </si>
  <si>
    <t>The video explains how washing clothes should involve soaking and brushing, and hand washing.</t>
  </si>
  <si>
    <t>Then it talks about rinsing and hanging the clothing to dry.</t>
  </si>
  <si>
    <t>We finally see an empty dryer before an ad for Laundry Bin Heaven.</t>
  </si>
  <si>
    <t>v_smYAy6TYS3M</t>
  </si>
  <si>
    <t>A group of small children are on a playground.</t>
  </si>
  <si>
    <t>They take turns hopping across a game of hopscotch drawn on the sidewalk.</t>
  </si>
  <si>
    <t>They continue taking turns over and over.</t>
  </si>
  <si>
    <t>v_jE0XAclET5w</t>
  </si>
  <si>
    <t>A man is doing a rubiks cube behind a table.</t>
  </si>
  <si>
    <t>There is a timer on the table in front of him.</t>
  </si>
  <si>
    <t>He picks up another rubiks cube and starts completing it.</t>
  </si>
  <si>
    <t>v_drarkco9LfQ</t>
  </si>
  <si>
    <t>A man is about to do an arm wrestling match with an older gentlemen.</t>
  </si>
  <si>
    <t>The older man is struggling from the faces that he is making.</t>
  </si>
  <si>
    <t>The camera's are getting all in their faces basically.</t>
  </si>
  <si>
    <t>The older man wins the match and the referees and everyone start to talk.</t>
  </si>
  <si>
    <t>v_COeXmBZpLSE</t>
  </si>
  <si>
    <t>An intro to Dancing with the Stars shows followed by a man playing piano and a couple looking off into the distance.</t>
  </si>
  <si>
    <t>The woman begins playing the piano when the man standing plays and grabs her.</t>
  </si>
  <si>
    <t>They twirl around a large stage surrounded by hundreds of people watching them dance.</t>
  </si>
  <si>
    <t>The man picks her up and twirls her around the music and ends with audience clapping.</t>
  </si>
  <si>
    <t>v_800KXmqsK-w</t>
  </si>
  <si>
    <t>A group of people riding bumper cars.</t>
  </si>
  <si>
    <t>The attendant crosses the course dodging the bumper cars.</t>
  </si>
  <si>
    <t>The attendant hops onto a girls car and helps her maneuver the car.</t>
  </si>
  <si>
    <t>The attendant continues running across the course assisting drivers while the the other drivers continue to crash into each other.</t>
  </si>
  <si>
    <t>v_37siIMJNG9Y</t>
  </si>
  <si>
    <t>A young girl is sitting down in front of a screen and begins talking as she is holding a bottle of blue mouthwash.</t>
  </si>
  <si>
    <t>The girl then takes the mouthwash and starts to put it over head and playing with is while making funny faces.</t>
  </si>
  <si>
    <t>After taking about it,the girls takes a gulp of it and starts to gargle it and holds it in her mouth.</t>
  </si>
  <si>
    <t>Finally,she spits it out and takes a drink of water before the replay is shown.</t>
  </si>
  <si>
    <t>v_6uNhwOSZXco</t>
  </si>
  <si>
    <t>A man in a snow jacket is seated in a ski lift.</t>
  </si>
  <si>
    <t>A man in yellow jacket holds a rubber inter tube with a rope and a child in ski clothes sits down inside.</t>
  </si>
  <si>
    <t>The man pushes the child down a ski slope.</t>
  </si>
  <si>
    <t>The child goes down a set of hills on the intertube.</t>
  </si>
  <si>
    <t>A woman attempts to stop the child then retrieves his intertube.</t>
  </si>
  <si>
    <t>A group of young girls and boy pull intertubes up a hill.</t>
  </si>
  <si>
    <t>A child in green jacket gets into an intertube.</t>
  </si>
  <si>
    <t>The child is pushed down the ski slope and sleds to the bottom.</t>
  </si>
  <si>
    <t>A woman in grey sweatshirt retrieves the intertube at the bottom of the slope.</t>
  </si>
  <si>
    <t>A boy in green jacket is pushed down the ski slope.</t>
  </si>
  <si>
    <t>A woman an grey sweatshirt retrieves the intertube at the bottom of the slope.</t>
  </si>
  <si>
    <t>v_9vqOA8KVcME</t>
  </si>
  <si>
    <t>A lady talks to the camera.</t>
  </si>
  <si>
    <t>We see the lady hold up bottle of witch hazel and a cotton pad and talks.</t>
  </si>
  <si>
    <t>The lady holds up a bottle of lotion.</t>
  </si>
  <si>
    <t>We see the lady put lotion on her face and then hold a small bottle of serum she puts on her face.</t>
  </si>
  <si>
    <t>We see teh lady with makeup on talking to the camera.</t>
  </si>
  <si>
    <t>v_KYtV2vpwuVw</t>
  </si>
  <si>
    <t>1 A camera man watches men on bikes that are about to race.</t>
  </si>
  <si>
    <t>2 The race begins with the guys on bikes.</t>
  </si>
  <si>
    <t>3 One man wipes out.</t>
  </si>
  <si>
    <t>4 The race ends and the guys take their bikes.</t>
  </si>
  <si>
    <t>v_HRbBaePTCR8</t>
  </si>
  <si>
    <t>A man is driving a boat, then two men are sitting on the side of the boat, the man in black life vest is on the side of the boat then let go off the boat then start to wakeboard while he is holding on to the harness.</t>
  </si>
  <si>
    <t>The man continue to wake board, he flipped over and then wake board on the water.</t>
  </si>
  <si>
    <t>v_QjoEYtjPa3w</t>
  </si>
  <si>
    <t>We see an opening instruction screen.</t>
  </si>
  <si>
    <t>We see a person holding a contact lens.</t>
  </si>
  <si>
    <t>We see another instruction screen and see the person inserts the lens on the left.</t>
  </si>
  <si>
    <t>Another screen of instructions and the person inserts the right lens.</t>
  </si>
  <si>
    <t>Two sets of Instructions appear an the person removes the left and right lens.</t>
  </si>
  <si>
    <t>the person waves bye to the camera.</t>
  </si>
  <si>
    <t>v_5z6q_Ix3kWI</t>
  </si>
  <si>
    <t>A man is skiing very fast down a hillside and hops one for fun.</t>
  </si>
  <si>
    <t>He is now walking back up the mountain with difficulty.</t>
  </si>
  <si>
    <t>He skiis and walks up various hills.</t>
  </si>
  <si>
    <t>Skiis down a rather large hillside or mountain.</t>
  </si>
  <si>
    <t>He jumps off a hill and tries to do a 360 but falls.</t>
  </si>
  <si>
    <t>He skiis between some trees and on a path.</t>
  </si>
  <si>
    <t>v_32EWNGHBctI</t>
  </si>
  <si>
    <t>A professional tennis match is played during a tournament.</t>
  </si>
  <si>
    <t>The players talk on headsets during the match.</t>
  </si>
  <si>
    <t>A man prepares to serve the ball to start the match.</t>
  </si>
  <si>
    <t>The man serves the ball and scores a point.</t>
  </si>
  <si>
    <t>The opposing team has a turn to serve the ball.</t>
  </si>
  <si>
    <t>v_9SEc3QVBCo4</t>
  </si>
  <si>
    <t>A man is working outside a house.</t>
  </si>
  <si>
    <t>He uses a hammer and clamp on the shingles.</t>
  </si>
  <si>
    <t>He knocks each shingle off the house with the hammer.</t>
  </si>
  <si>
    <t>v_g5BPyMdlurg</t>
  </si>
  <si>
    <t>First this girl does a back bend and then another girl does a back walkover.</t>
  </si>
  <si>
    <t>Then someone else does a cartwheel and that same person does a round off.</t>
  </si>
  <si>
    <t>next someone does a front walkover and another girl does a standing back handspring along with other people who are doing gymnastic moves.</t>
  </si>
  <si>
    <t>v_bSBmunE-1KQ</t>
  </si>
  <si>
    <t>A man wearing a bag is seen speaking to the camera and leads into a group of people riding in a raft.</t>
  </si>
  <si>
    <t>One person paddles around and turns the ground around, leading back into the man speaking to the camera.</t>
  </si>
  <si>
    <t>v_gCuRcP4txc0</t>
  </si>
  <si>
    <t>A group of drummers dressed in all white outfits perform a song.</t>
  </si>
  <si>
    <t>An instructor stands in front of the group giving instructions.</t>
  </si>
  <si>
    <t>v_oBZ_oAUGO0E</t>
  </si>
  <si>
    <t>man is sitting in an ofice talking to the camera.</t>
  </si>
  <si>
    <t>a tattoo is shown in a back of a man and the man is tattoing him.</t>
  </si>
  <si>
    <t>man is standing laying no a stand getting a tatto on his back.</t>
  </si>
  <si>
    <t>v_eElKkhIJXCs</t>
  </si>
  <si>
    <t>A group of kids are playing on a field.</t>
  </si>
  <si>
    <t>The coaches talk to them as they run.</t>
  </si>
  <si>
    <t>They engage in a game of lacrosse together.</t>
  </si>
  <si>
    <t>v_oWaqaK58Tds</t>
  </si>
  <si>
    <t>A large group of people are seen standing on ice followed by various shots of curling tools and people playing the sport.</t>
  </si>
  <si>
    <t>A man is seen putting shoes on, walking along the ice while another helps him walk.</t>
  </si>
  <si>
    <t>The men continue to teach him how to glide along the ice and and use the brush to move the puck.</t>
  </si>
  <si>
    <t>v_tzbJ_CETeG8</t>
  </si>
  <si>
    <t>A group of men are in a sandy desert.</t>
  </si>
  <si>
    <t>They climb on top of camels and ride them.</t>
  </si>
  <si>
    <t>They ride the camels toward a set of pyramids.</t>
  </si>
  <si>
    <t>v_pwoy7UXdnAE</t>
  </si>
  <si>
    <t>We see a title screen fade in and out.</t>
  </si>
  <si>
    <t>A man and a dog walk in a training room.</t>
  </si>
  <si>
    <t>The man throws Frisbees for the dog to catch.</t>
  </si>
  <si>
    <t>The dog stands to catch the Frisbee the leans on the man.</t>
  </si>
  <si>
    <t>The dog jumps into the man's arms.</t>
  </si>
  <si>
    <t>v_L9dtiopWGe4</t>
  </si>
  <si>
    <t>A table of various cut fruits appear on screen with the title "Making Drinks".</t>
  </si>
  <si>
    <t>A person cuts and squeezes lemons followed by the title "Making Lemonade Is Easy and Fun".</t>
  </si>
  <si>
    <t>Different items needed to make lemonade are shown and titled followed by interviews.</t>
  </si>
  <si>
    <t>Each step of making lemonade is shown and titled.</t>
  </si>
  <si>
    <t>People are interviewed drinking the lemonade.</t>
  </si>
  <si>
    <t>A "Citrus Saturday" logo appears with various supporting organization logos beneath.</t>
  </si>
  <si>
    <t>v_wideKBXF-60</t>
  </si>
  <si>
    <t>An intro appears showing empty glasses, a card that say's "Audi Polo Challenge 2014", an Audi flag blowing in the wind, close up shots of a white horse, people with drinks, cars driving, polo riders getting on their horses, and a large group of people near and in a tent both standing and sitting.</t>
  </si>
  <si>
    <t>The polo match begins and the men are riding on hroses that are going very fast as they all attempt to hit the ball with their sticks.</t>
  </si>
  <si>
    <t>There are a lot of celebrities and even royalty at this polo event and every now and then they are shown, and sometimes they are also interviewed.</t>
  </si>
  <si>
    <t>Between matches the people all go out into the grass and put the patches of grass back into the holes that are missing them, and the polo game continues for another round.</t>
  </si>
  <si>
    <t>The polo match ends and Prince Harry and Prince William are seen separately receiving a white box from a man, while they talk and shake hands as people clap and take pictures.</t>
  </si>
  <si>
    <t>v_q3NOVbRyFfw</t>
  </si>
  <si>
    <t>People are seen walking in the forest carrying tubes and lead into them sitting in the water.</t>
  </si>
  <si>
    <t>More people climb into the water and sit on top of their tubes.</t>
  </si>
  <si>
    <t>Several close ups are seen of the people riding on the tubes as well as swimming in the water.</t>
  </si>
  <si>
    <t>v_uv7COBs24D8</t>
  </si>
  <si>
    <t>written instructions about how to makea hand lay down are in the screen.</t>
  </si>
  <si>
    <t>man is standing in a basket court dribbling the ball and doing shos to the basket.</t>
  </si>
  <si>
    <t>three basket players are doing shots and showing how to do a two steps technique.</t>
  </si>
  <si>
    <t>v_UaZcqOngDzo</t>
  </si>
  <si>
    <t>Two kids are seen riding in a truck moving down a road as well as shots of landscapes and the kids sitting on bikes.</t>
  </si>
  <si>
    <t>Several shots are shown of the kids riding around a dirt track with one another while the camera captures them all over.</t>
  </si>
  <si>
    <t>v_Taw5ILRt9hI</t>
  </si>
  <si>
    <t>There's a woman with red colored hair wearing a black tank top and printed black tights skating on roller blades through the streets of a city.</t>
  </si>
  <si>
    <t>The streets don't have any cars but people are riding bikes or skateboarding.</t>
  </si>
  <si>
    <t>The woman swiftly skates through the crowded streets as she passes by several tourists walking leisurely.</t>
  </si>
  <si>
    <t>v_8d7FyPzxzjg</t>
  </si>
  <si>
    <t>A man flies in the air with on a motorcycle.</t>
  </si>
  <si>
    <t>A man makes a motocross circuit using a heavy machine.</t>
  </si>
  <si>
    <t>People runs motocross on an bumpy road.</t>
  </si>
  <si>
    <t>people ride a motorcycle on ramps, and then flies and spin in the air.</t>
  </si>
  <si>
    <t>v_8ZPV7ySIcbM</t>
  </si>
  <si>
    <t>men are walking to a bike shop and talks with the man inside.</t>
  </si>
  <si>
    <t>they are assembling different pieces of the bike.</t>
  </si>
  <si>
    <t>man says goodbye and leaves the shop and get home where man carry the bike and put it in a living room.</t>
  </si>
  <si>
    <t>man is wriing on white papers and is fixing the bike on the garage.</t>
  </si>
  <si>
    <t>v_U0p4tW1LoPg</t>
  </si>
  <si>
    <t>A group of people wearing swim caps move around a pool and toss a ball around with a man on the sides waving a flag.</t>
  </si>
  <si>
    <t>They play a game of water polo and throw the ball around to each other.</t>
  </si>
  <si>
    <t>One throws the ball into the net and causes the people on the side to jump and cheer.</t>
  </si>
  <si>
    <t>A video of the event shows in slow motion followed by men on the sidelines watching.</t>
  </si>
  <si>
    <t>v_tJLm2D4J3X0</t>
  </si>
  <si>
    <t>People are running down a track and jumping into a sand pit.</t>
  </si>
  <si>
    <t>People are standing on the side of the track watching them.</t>
  </si>
  <si>
    <t>The man is posing in front of a sign.</t>
  </si>
  <si>
    <t>v_qxQWNu_MN94</t>
  </si>
  <si>
    <t>He jumps off into the pool below him.</t>
  </si>
  <si>
    <t>Another person steps onto the diving board.</t>
  </si>
  <si>
    <t>v_f-uRpjoKGLQ</t>
  </si>
  <si>
    <t>Two people are seen riding along on skis while speaking to one another and leads into them riding down a snowy hill.</t>
  </si>
  <si>
    <t>The people continuously push themselves quickly down a hill moving past several people and ending by stopping at the end.</t>
  </si>
  <si>
    <t>v_4pSWTD4vAz0</t>
  </si>
  <si>
    <t>A dog rides on a boat with his owners.</t>
  </si>
  <si>
    <t>A crab is seen crawling on the bottom of a lake.</t>
  </si>
  <si>
    <t>People water ski behind a boat on a calm lake.</t>
  </si>
  <si>
    <t>The person lets go of the tug rope and glides towards the shore of the lake.</t>
  </si>
  <si>
    <t>The group prepare a chair on a sled with a rope on shore.</t>
  </si>
  <si>
    <t>A man is pulled on a sled from the shore then on the lake.</t>
  </si>
  <si>
    <t>The group removes the sled from the water and lifts it to drain the water.</t>
  </si>
  <si>
    <t>v_rWHm1-o_zL0</t>
  </si>
  <si>
    <t>A shiny mopped floor is shown.</t>
  </si>
  <si>
    <t>A janitor is shown rolling rugs, scraping gum, putting out signs, and mopping floors.</t>
  </si>
  <si>
    <t>He goes into a closet and picks out the cleaner he uses while he talks about it.</t>
  </si>
  <si>
    <t>He sprays water and the cleaning solution into his mop cart.</t>
  </si>
  <si>
    <t>He is then shown mopping the floor with the solution.</t>
  </si>
  <si>
    <t>He takes everything apart and puts it away before washing his hands for the day.</t>
  </si>
  <si>
    <t>v_beASFdYJFUU</t>
  </si>
  <si>
    <t>Women are playing indoor hockey and competing.</t>
  </si>
  <si>
    <t>They begin fighting over the inflatable pucks.</t>
  </si>
  <si>
    <t>They are shown talking to the camera about the game.</t>
  </si>
  <si>
    <t>The women are again shown playing hockey in a competition with one another.</t>
  </si>
  <si>
    <t>A close up is shown of the puck.</t>
  </si>
  <si>
    <t>v_Vckc3ZOollk</t>
  </si>
  <si>
    <t>Several outside views of a casino are shown.</t>
  </si>
  <si>
    <t>Card players and the dealer at a table are shown engaging in a game inside the casino.</t>
  </si>
  <si>
    <t>The dealer deals cards to each player.</t>
  </si>
  <si>
    <t>The dealer reveals the dealer's hand.</t>
  </si>
  <si>
    <t>One man talks to the camera while another man stands nearby.</t>
  </si>
  <si>
    <t>v_ZC65qkYMy9Q</t>
  </si>
  <si>
    <t>Several people are seen standing around an arena while others stand to play shuffleboard.</t>
  </si>
  <si>
    <t>A man pushes a puck along several times while others do the same behind him.</t>
  </si>
  <si>
    <t>The people continue playing and end with a man speaking to the camera in the end.</t>
  </si>
  <si>
    <t>v_U_ZW0tTvf0k</t>
  </si>
  <si>
    <t>A girl is seen laying on a table with a man piercing her belly button below her.</t>
  </si>
  <si>
    <t>The girl screams in pain and the man finishes her piercing while she looks to the camera.</t>
  </si>
  <si>
    <t>v_95L-8JtlwRU</t>
  </si>
  <si>
    <t>A pair of white and red nike shoes are shown.</t>
  </si>
  <si>
    <t>A man is using inserts to prepare the shoes.</t>
  </si>
  <si>
    <t>He then uses a brush and cleaning solution to wash the shoes.</t>
  </si>
  <si>
    <t>v_bBXbFpJMveI</t>
  </si>
  <si>
    <t>We see men skateboarding near a parking lot.</t>
  </si>
  <si>
    <t>We see two men talking to each other.</t>
  </si>
  <si>
    <t>We see the man in khakis stumble and fail repeatedly.</t>
  </si>
  <si>
    <t>We see a man holding a cell phone and talking to the skater.</t>
  </si>
  <si>
    <t>The men shake hands and the cameraman points at the skater.</t>
  </si>
  <si>
    <t>We see the subscribe screen.</t>
  </si>
  <si>
    <t>We see people riding and see a man ride a red toy kids skateboard and the cameraman kicks it across the lot.</t>
  </si>
  <si>
    <t>v_99Mk5a8Tvyk</t>
  </si>
  <si>
    <t>There's a man wearing a red hat and a black shirt training and playing with his dog in a dog park.</t>
  </si>
  <si>
    <t>There are several other people in that park with their dogs, sitting under canopies.</t>
  </si>
  <si>
    <t>The man is throwing a Frisbee for the dog to fetch.</t>
  </si>
  <si>
    <t>The dog is running around and fetching the Frisbee for its owner.</t>
  </si>
  <si>
    <t>The dog jumps up high to catch the Frisbee.</t>
  </si>
  <si>
    <t>The man also throws a ball to the dog for him to fetch.</t>
  </si>
  <si>
    <t>The man lifts the dog up and walks away with it.</t>
  </si>
  <si>
    <t>v_fYIr-1aIHmA</t>
  </si>
  <si>
    <t>We see a black screen and the title.</t>
  </si>
  <si>
    <t>We see a boy holding onto to a pole being pulled by a boat.</t>
  </si>
  <si>
    <t>He gets on his feet and skis.</t>
  </si>
  <si>
    <t>The boy loses his balance and fall off the pole entirely.</t>
  </si>
  <si>
    <t>A girl is next to hold onto the bar of the boat.</t>
  </si>
  <si>
    <t>The girls looks at the camera before she looses her footing and falls off the bar.</t>
  </si>
  <si>
    <t>v_n9Fqjdwh-L8</t>
  </si>
  <si>
    <t>A woman in an orange shirt is doing various karate moves.</t>
  </si>
  <si>
    <t>She does a back flip on the mat.</t>
  </si>
  <si>
    <t>v_E0U3v4WLuEA</t>
  </si>
  <si>
    <t>A man demonstrates how to install some grips onto bicycle handles.</t>
  </si>
  <si>
    <t>First he installs some rings onto the grips themselves.</t>
  </si>
  <si>
    <t>Next he screws on some screws to have them ready.</t>
  </si>
  <si>
    <t>He then slides on the grips onto the handles of the bike.</t>
  </si>
  <si>
    <t>He completes the tightening of the grips with an Alan wrench.</t>
  </si>
  <si>
    <t>Last he inserts plugs into the end of the grips and the handle bars.</t>
  </si>
  <si>
    <t>v_1SdH6HFnOZA</t>
  </si>
  <si>
    <t>men are playing beach football in a empty court.</t>
  </si>
  <si>
    <t>man kick another player on the head and he holds his head.</t>
  </si>
  <si>
    <t>v_jPLJAYnjsBw</t>
  </si>
  <si>
    <t>Two woman are riding in a car.</t>
  </si>
  <si>
    <t>The passenger is talking to the camera.</t>
  </si>
  <si>
    <t>They are demonstrating dance moves.</t>
  </si>
  <si>
    <t>The driver is talking to the camera.</t>
  </si>
  <si>
    <t>The passenger is now talking to the camera.</t>
  </si>
  <si>
    <t>The driver is looking at the camera and smiling while driving.</t>
  </si>
  <si>
    <t>A girl is looking in a mirror holding a tattoo pattern on her shoulder.</t>
  </si>
  <si>
    <t>Another girl is lying on a bed while another girl gives her a tattoo.</t>
  </si>
  <si>
    <t>The other girl is sitting on a stool while a man gives her a tattoo her shoulder.</t>
  </si>
  <si>
    <t>A hand reaches out from behind the camera.</t>
  </si>
  <si>
    <t>A girl is talking to the camera with her hand on her shoulder.</t>
  </si>
  <si>
    <t>Another girl is talking to the camera and making hand gestures.</t>
  </si>
  <si>
    <t>Both girls are talking to the camera.</t>
  </si>
  <si>
    <t>v_lp_Rwbp8S1k</t>
  </si>
  <si>
    <t>A man in a black coat is shoveling snow with a shovel.</t>
  </si>
  <si>
    <t>He picks up a large shovel full of snow and tosses it next to him.</t>
  </si>
  <si>
    <t>He continues shoveling the driveway.</t>
  </si>
  <si>
    <t>v_1tRTSOnylOs</t>
  </si>
  <si>
    <t>A man is in an arena fighting a bull.</t>
  </si>
  <si>
    <t>He swings the cape and runs near other men, teasing the bull into chasing him.</t>
  </si>
  <si>
    <t>The bull slams into the side of a horse being ridden by a man before running back towards the man with the cape.</t>
  </si>
  <si>
    <t>The man on the horse rides away to the side.</t>
  </si>
  <si>
    <t>v_iL__89eDRzg</t>
  </si>
  <si>
    <t>An intro comes onto the screen introducing the video clip.</t>
  </si>
  <si>
    <t>Two people are shown frolicking around in the lake.</t>
  </si>
  <si>
    <t>After that, they take off in motion in the water connected by a cord to a speed boat.</t>
  </si>
  <si>
    <t>The video ends when they both fall int the water.</t>
  </si>
  <si>
    <t>v_THtDZ6g9csA</t>
  </si>
  <si>
    <t>A lady paints her fingernails a plum color.</t>
  </si>
  <si>
    <t>She then puts streaks and dots of black and silver on the nails to create a design.</t>
  </si>
  <si>
    <t>She finishes and shows her painted nails.</t>
  </si>
  <si>
    <t>v_lR4vyq1WbyU</t>
  </si>
  <si>
    <t>A man is seen speaking to others off in the distance and begins pushing a man around a room.</t>
  </si>
  <si>
    <t>He continues pushing the man while many watch on the side.</t>
  </si>
  <si>
    <t>The man stands up and looks surprised as he's continuously pushed down.</t>
  </si>
  <si>
    <t>v_RZpbFG3j-Bo</t>
  </si>
  <si>
    <t>A lady stands outside and talks.</t>
  </si>
  <si>
    <t>The lady is let in an office where she undergoes an eye exam.</t>
  </si>
  <si>
    <t>A eye contact is examined using a tool and a human hand.</t>
  </si>
  <si>
    <t>Several items associated with contacts lenses wear are displayed.</t>
  </si>
  <si>
    <t>A man washes his hand.</t>
  </si>
  <si>
    <t>A lady picks up a contact lens.</t>
  </si>
  <si>
    <t>A man writes the letter l on a paper.</t>
  </si>
  <si>
    <t>A hand bends a contact lens.</t>
  </si>
  <si>
    <t>A man puts a contact lens in.</t>
  </si>
  <si>
    <t>A lady puts each contact lens in.</t>
  </si>
  <si>
    <t>The lady shakes the man's hand.</t>
  </si>
  <si>
    <t>v_hPIHCG5n7RI</t>
  </si>
  <si>
    <t>A small group of people are seen playing a game of lacrosse on a field with a man walking towards them.</t>
  </si>
  <si>
    <t>The man yells to the players as they run up and down the field and continues to watch them as they play.</t>
  </si>
  <si>
    <t>v_Fpivz0Yie_Q</t>
  </si>
  <si>
    <t>A van towing a car drives by view of blue road signs are shown and in white letters they read "WALTON", "Ontario's West Coast" and "MOTORCROSS TOWN".</t>
  </si>
  <si>
    <t>A lot of people are now shown walking or riding bikes at a large gathering as other people are hanging out under tents.</t>
  </si>
  <si>
    <t>A group of men are at a starting line of a large motor cross track and they begin to go around and around while people watch on.</t>
  </si>
  <si>
    <t>When they are done going around the track various clips of people doing different things are shown again.</t>
  </si>
  <si>
    <t>v_iaqFvTpoceI</t>
  </si>
  <si>
    <t>Cheerleaders are standing on a blue mat.</t>
  </si>
  <si>
    <t>They start doing a routine on the mat.</t>
  </si>
  <si>
    <t>They hold up signs in the air.</t>
  </si>
  <si>
    <t>They finish their routine and wave at the audience.</t>
  </si>
  <si>
    <t>v_rYumFn7S1YA</t>
  </si>
  <si>
    <t>A woman is holding an athlete's ankle while sh is on the beam.</t>
  </si>
  <si>
    <t>The woman is making the athlete raiser her ankle a and walk to the beam, she guide the athlete as she walks.</t>
  </si>
  <si>
    <t>The athlete walked backwards with her ankle's up, then the woman guided her as she turns around.</t>
  </si>
  <si>
    <t>v_qK2iRSxxRQU</t>
  </si>
  <si>
    <t>A bellydancer in green begins her routine, smiling for the audience.</t>
  </si>
  <si>
    <t>She is joined by two more dancers who are in red and each does their own moves before coming together.</t>
  </si>
  <si>
    <t>They again break for solo performances, each dancer getting a moment to show off.</t>
  </si>
  <si>
    <t>They return to dancing together and the performance ends.</t>
  </si>
  <si>
    <t>v_RkBHHWFh2rk</t>
  </si>
  <si>
    <t>The video leads into several shots of people riding skateboards as well as riding on a tire and walking next to each other.</t>
  </si>
  <si>
    <t>They're seen looking and laughing to the camera while more shots of people riding down on skateboards are shown.</t>
  </si>
  <si>
    <t>v_u1upxlAgsqM</t>
  </si>
  <si>
    <t>Three people do a basketball drill of driving to the hoop.</t>
  </si>
  <si>
    <t>They take turns playing different positions and doing a layup.</t>
  </si>
  <si>
    <t>v_arTumJHoLB0</t>
  </si>
  <si>
    <t>A young man is seen looking off into the distance with lotion on his face.</t>
  </si>
  <si>
    <t>He continues rubbing the lotion in while looking away from the camera.</t>
  </si>
  <si>
    <t>He finishes putting in the sunscreen and looking away from the camera.</t>
  </si>
  <si>
    <t>v_bMDyOXygNPM</t>
  </si>
  <si>
    <t>Several men are seen standing around an indoor court kicking a ball around.</t>
  </si>
  <si>
    <t>People watch the game on the sidelines as the players continue to run up and down the field.</t>
  </si>
  <si>
    <t>Different games are shown in between and the group continues to play.</t>
  </si>
  <si>
    <t>v_GfSGZZSGH6g</t>
  </si>
  <si>
    <t>There are two roofers standing top of a building roof removing working on old roof removal.</t>
  </si>
  <si>
    <t>They are using roofing shovel to remove the shingles and tarp.</t>
  </si>
  <si>
    <t>One of the roofers is peeling off the tarp from the rooftop as he digs in the shovel underneath the tarp.</t>
  </si>
  <si>
    <t>The other roofer is helping him roll up the tarp as he peels it off.</t>
  </si>
  <si>
    <t>v_1p_HYu0EZAk</t>
  </si>
  <si>
    <t>A camera pans over a sink full of dishes followed by a woman jogging over.</t>
  </si>
  <si>
    <t>She dances with the dishes and looks into the camera while she does them.</t>
  </si>
  <si>
    <t>A timer counts down how many dishes she's washed and she smiles to the camera.</t>
  </si>
  <si>
    <t>v__N9LhaKnZv4</t>
  </si>
  <si>
    <t>A man talks in the woods holding a can and key chain.</t>
  </si>
  <si>
    <t>Then, the man takes the key chain and points the lower part of the can.</t>
  </si>
  <si>
    <t>After, the man pocks the lower part of the can and intermediately opens the can and drinks from the hole of the can.</t>
  </si>
  <si>
    <t>v_a2vaM_aRHv4</t>
  </si>
  <si>
    <t>A list of ingredients is shown written in a list.</t>
  </si>
  <si>
    <t>Glass bowls are set on a counter with various ingredients for a dish.</t>
  </si>
  <si>
    <t>A person measures and cuts parchment paper using a cooking tin as a guide.</t>
  </si>
  <si>
    <t>The person measures ingredients in a glass bowl then adds them to an electric mixer to blend.</t>
  </si>
  <si>
    <t>The person brushes on oil to the parchment paper then sets it into a cooking tin.</t>
  </si>
  <si>
    <t>The tins are added to an oven to cook.</t>
  </si>
  <si>
    <t>The tins are shown fully cooked and then flipped over to empty cake onto table.</t>
  </si>
  <si>
    <t>The parchment paper is peeled off the cake.</t>
  </si>
  <si>
    <t>The cake is sliced into loaves with a serrated knife.</t>
  </si>
  <si>
    <t>The cake is seen on plates for serving.</t>
  </si>
  <si>
    <t>v_6FPoGGaox4g</t>
  </si>
  <si>
    <t>A woman is helping a little boy slide down a slide.</t>
  </si>
  <si>
    <t>A woman is at the top of a slide helping a little boy slide down into the arms of another person in a red vest.</t>
  </si>
  <si>
    <t>A woman is helping the boy down a slide and the same person in the red vest catches them.</t>
  </si>
  <si>
    <t>The person in the red vest then kissed the child.</t>
  </si>
  <si>
    <t>v_KaicDn9WDUo</t>
  </si>
  <si>
    <t>They all come onto the stage and pose at the end.</t>
  </si>
  <si>
    <t>They bow and walk off the stage.</t>
  </si>
  <si>
    <t>v_srXhWAGzd-s</t>
  </si>
  <si>
    <t>A person is shown cleaning off the outside of a car.</t>
  </si>
  <si>
    <t>The car is then driven inside of a shop.</t>
  </si>
  <si>
    <t>Inside a man starts detailing the car once again and cleaning off the outside.</t>
  </si>
  <si>
    <t>He spray paints parts of the car.</t>
  </si>
  <si>
    <t>He sprays cleaner on the inside and outside of the car.</t>
  </si>
  <si>
    <t>He wipes down all surfaces from inside and outside the car.</t>
  </si>
  <si>
    <t>v_wott7JRSkOk</t>
  </si>
  <si>
    <t>Two men plays soccer table moving the players on the rods.</t>
  </si>
  <si>
    <t>A man wearing yellow shirt stroke the rod strong to hit the white ball.</t>
  </si>
  <si>
    <t>A person stands on front the soccer table.</t>
  </si>
  <si>
    <t>v_kO_4QDNExkY</t>
  </si>
  <si>
    <t>A hand is shown flipping a switch.</t>
  </si>
  <si>
    <t>A the hose of a leaf blower is shown.</t>
  </si>
  <si>
    <t>The hose begins forcefully blowing leaves away from the camera.</t>
  </si>
  <si>
    <t>The person holding the leaf blower repeatedly swings the hose left to ring blowing leaves into a pile.</t>
  </si>
  <si>
    <t>v_RTS4mOH3cFY</t>
  </si>
  <si>
    <t>A residential security video is playing and shows an empty yard and road.</t>
  </si>
  <si>
    <t>A man walking two dogs show up walking on the side closer to the camera, and he quickly notices another dog from the other side of the road suddenly coming his way so he tries to tighten up his dogs leash to gain control of them, but the other dog begins running towards them and starts attacking the man's dogs.</t>
  </si>
  <si>
    <t>The man kicks the attack dog away and tries to regain control of his two dogs while the man and the other dog is on the other side of the road.</t>
  </si>
  <si>
    <t>The man picks up one of his dogs and they resume walking.</t>
  </si>
  <si>
    <t>v_n6A8YtBAJX0</t>
  </si>
  <si>
    <t>We see a man and a boy playing by sliding a plastic thing around table.</t>
  </si>
  <si>
    <t>The camera shifts and we see more of the room.</t>
  </si>
  <si>
    <t>The camera angle changes and we see them playing the game from behind.</t>
  </si>
  <si>
    <t>A persons hand on the left enters the screen.</t>
  </si>
  <si>
    <t>The camera angle changes again and we are in front of the players.</t>
  </si>
  <si>
    <t>We see a boy in a sweater moving a chair to sit and join the game.</t>
  </si>
  <si>
    <t>v_V-Yz865cbn4</t>
  </si>
  <si>
    <t>A young child is seen smiling to the camera and then begins dancing around.</t>
  </si>
  <si>
    <t>The boy continues dancing while the camera captures him moving up and down.</t>
  </si>
  <si>
    <t>v_Hlc6FXX5kGs</t>
  </si>
  <si>
    <t>A baby girl is holding a compact, wiping the makeup pad against her cheek.</t>
  </si>
  <si>
    <t>She sits on the floor, continuing to play with the makeup, opening and closing the case, and wiping it onto her face.</t>
  </si>
  <si>
    <t>v_mdwbRGlPn3A</t>
  </si>
  <si>
    <t>Three men are walking with the stilts.</t>
  </si>
  <si>
    <t>One of the men with stilts splits at the center.</t>
  </si>
  <si>
    <t>One of the men jumped so high several time with his stilts.</t>
  </si>
  <si>
    <t>v_xwSeXFkTNlE</t>
  </si>
  <si>
    <t>A gymnast is patiently waiting to start his performance.</t>
  </si>
  <si>
    <t>He jumps on to the board and starts spinning really fast before he jumps off and walks around.</t>
  </si>
  <si>
    <t>He take a breath and the audience claps for him before he jumps back on it and starts spinning again.</t>
  </si>
  <si>
    <t>When he is done he walks down and shakes hands with all the team mates, before he gets on one last time.</t>
  </si>
  <si>
    <t>v_bbDWLOPnWOY</t>
  </si>
  <si>
    <t>A man in a blue shirt moves to take his shot.</t>
  </si>
  <si>
    <t>He then talks to the other men.</t>
  </si>
  <si>
    <t>The man in black moves out of the shot.</t>
  </si>
  <si>
    <t>The man in black and blue throw their hands in the air.</t>
  </si>
  <si>
    <t>All of the men break out and react wildly to the last shot.</t>
  </si>
  <si>
    <t>v_GnbyHdd-BjQ</t>
  </si>
  <si>
    <t>They are sitting down drinking coffee.</t>
  </si>
  <si>
    <t>They are standing next to a body of water.</t>
  </si>
  <si>
    <t>They are snowboarding down a hill again.</t>
  </si>
  <si>
    <t>A girl is laying down sleeping.</t>
  </si>
  <si>
    <t>They are eating dinner around a table.</t>
  </si>
  <si>
    <t>They leave their snowboards and walk into a cabin.</t>
  </si>
  <si>
    <t>v_mcDVNexy6Ps</t>
  </si>
  <si>
    <t>A woman is standing in front of a christmas tree, applying a wreath.</t>
  </si>
  <si>
    <t>She then hangs lights and ornaments.</t>
  </si>
  <si>
    <t>At the end, she adjusts the ornaments and adds a star to the top of the tree.</t>
  </si>
  <si>
    <t>v_FJnCSFPoWVU</t>
  </si>
  <si>
    <t>A man is sitting on the rock, then people are climbing the big rocks without harness.</t>
  </si>
  <si>
    <t>People are walking in a rope attached to two trees.</t>
  </si>
  <si>
    <t>v_MkL-tApJgXc</t>
  </si>
  <si>
    <t>Text appears on the screen with regards to coffee possibly being bad for your health.</t>
  </si>
  <si>
    <t>It is then mention with text on the screen that it can lead to high blood pressure It is then mentioned that it can hurt your hair growth and that it doesn't have any vital nutrients in it.</t>
  </si>
  <si>
    <t>It is then shown that there are benefits and that one should moderate their intake to keep a balance.</t>
  </si>
  <si>
    <t>A website is then shown to get more information on this topic.</t>
  </si>
  <si>
    <t>v_fxqzU9KGOsQ</t>
  </si>
  <si>
    <t>Several young kids are in a gym playing dodge wall with medium sized red balls.</t>
  </si>
  <si>
    <t>As they throw the balls,a little girl tries to join in on the action and begins following them and running from one side of the court to the other to chase the balls.</t>
  </si>
  <si>
    <t>v_0McanL-Gob8</t>
  </si>
  <si>
    <t>A woman is lying down, showing off a tattoo on her side.</t>
  </si>
  <si>
    <t>A man in a surgical mask is preparing her as he continues his work on the tattoo.</t>
  </si>
  <si>
    <t>He cleans and wipes down the tattoo.</t>
  </si>
  <si>
    <t>She is finished, showing off the final product.</t>
  </si>
  <si>
    <t>v_Oyi0X-rwUg8</t>
  </si>
  <si>
    <t>A man is holding another man on his shoulders in a wrestling ring as the crowd cheers and watches.</t>
  </si>
  <si>
    <t>the man throws the man on his shoulder to the ground.</t>
  </si>
  <si>
    <t>Both men lay on the ground int he ring.</t>
  </si>
  <si>
    <t>v_snUWwTH8eQg</t>
  </si>
  <si>
    <t>teams are playing fusal in a small court running side to side of the court.</t>
  </si>
  <si>
    <t>a lot of people are celebrating the vicory and hugging.</t>
  </si>
  <si>
    <t>v_ObOkhXGu7oY</t>
  </si>
  <si>
    <t>A person is seen walking into frame with a bar in her hands.</t>
  </si>
  <si>
    <t>She puts the bar down and begins exercising in a humerus way while speaking to the audience.</t>
  </si>
  <si>
    <t>The audience laughs at her movements while she continues to move and dance around the stage.</t>
  </si>
  <si>
    <t>v_hi07Rdf1r4Y</t>
  </si>
  <si>
    <t>A balded man is seen talking to the camera while another man stands above him and cuts his hair.</t>
  </si>
  <si>
    <t>The man sitting rubs his hand and holds his face into his hands.</t>
  </si>
  <si>
    <t>v_adUapXmi-xA</t>
  </si>
  <si>
    <t>A person is seen sitting behind a table with one holding a piece of paper around him.</t>
  </si>
  <si>
    <t>The man then attempts to solve a rubix cube while a timer catches his score.</t>
  </si>
  <si>
    <t>The man writes down his score and the man attempts to solve the cube several more times while the boy helps.</t>
  </si>
  <si>
    <t>v_dc9m-G9CKmQ</t>
  </si>
  <si>
    <t>A man speaking about how he will be sharpening knives today.</t>
  </si>
  <si>
    <t>He shows the tool that he will be using that is called chefs choice.</t>
  </si>
  <si>
    <t>He shows how to use it and how you can use it with either hand.</t>
  </si>
  <si>
    <t>Then he begins to sharpen one of his knives.</t>
  </si>
  <si>
    <t>After he is done sharpening it he demonstrates with a tomato how helpful it is.</t>
  </si>
  <si>
    <t>v_-ypKYhjrlXw</t>
  </si>
  <si>
    <t>A medical worker is sitting at a table with a woman and talking to the camera.</t>
  </si>
  <si>
    <t>He moves a can and touches two other cans.</t>
  </si>
  <si>
    <t>He picks up a can and sprays it on the woman's arm and rubs it.</t>
  </si>
  <si>
    <t>He picks up another can and talks about it then sprays her arm again and rubs the cream in.</t>
  </si>
  <si>
    <t>He picks up a third container and puts it on her arm and rubs it in as well.</t>
  </si>
  <si>
    <t>He picks up a fourth tube and puts the cream on her hand and rubs it in.</t>
  </si>
  <si>
    <t>He does this again with a fifth cream.</t>
  </si>
  <si>
    <t>He then takes a compact of brown powder, presents it to the camera and puts it back down.</t>
  </si>
  <si>
    <t>v_f-4PjtdFbP4</t>
  </si>
  <si>
    <t>A little girl is blowing leaves in fall outside of a house.</t>
  </si>
  <si>
    <t>She pauses for a moment to get a better grasp of the leaf blower.</t>
  </si>
  <si>
    <t>She walks by a little boy and continues to blow the leaves.</t>
  </si>
  <si>
    <t>v_JN1mex2vCjI</t>
  </si>
  <si>
    <t>A man with a pony tail is seen walking along a rope with another man watching him and smiling in the background.</t>
  </si>
  <si>
    <t>The man turns around, loses his balance, and falls off the rope.</t>
  </si>
  <si>
    <t>The man watches attempts to walk and falls off as well in the end.</t>
  </si>
  <si>
    <t>v_0IFJNGqjsUQ</t>
  </si>
  <si>
    <t>A man talks to the camera while holding a leash type of object with a bag in his hand.</t>
  </si>
  <si>
    <t>The scene transitions to the leash being use on a dog.</t>
  </si>
  <si>
    <t>The scene transitions to a closeup of the man disassembling and reassembling the leash.</t>
  </si>
  <si>
    <t>The scene transitions to the leash being used on a dog again.</t>
  </si>
  <si>
    <t>The man is shown in a closeup interacting with and petting the dog.</t>
  </si>
  <si>
    <t>v_b0LY869JBrE</t>
  </si>
  <si>
    <t>A woman is showing her fingernails.</t>
  </si>
  <si>
    <t>A bottle of acetone is shown.</t>
  </si>
  <si>
    <t>The acetone is being poured into a small glass.</t>
  </si>
  <si>
    <t>A woman is now holding a napkin.</t>
  </si>
  <si>
    <t>A makeup brush is being held.</t>
  </si>
  <si>
    <t>A bottle of nail polish is shown.</t>
  </si>
  <si>
    <t>A person starts painting their fingernails.</t>
  </si>
  <si>
    <t>Another bottle of nail polish is shown.</t>
  </si>
  <si>
    <t>The person continues painting their nails.</t>
  </si>
  <si>
    <t>They use the makeup brush and dip it in the acetone.</t>
  </si>
  <si>
    <t>They rub the brush on their fingernail.</t>
  </si>
  <si>
    <t>They use a wooden stick to clean the side of their nails.</t>
  </si>
  <si>
    <t>A clear bottle of nail polish is shown.</t>
  </si>
  <si>
    <t>She then paints that over her nails.</t>
  </si>
  <si>
    <t>v_6HyNydVIji4</t>
  </si>
  <si>
    <t>We see a lady holding a flute.</t>
  </si>
  <si>
    <t>We see the song title.</t>
  </si>
  <si>
    <t>We see a lady performing a song on a flute.</t>
  </si>
  <si>
    <t>The girl pauses and plays again.</t>
  </si>
  <si>
    <t>The girl finishes playing and smiles at the camera.</t>
  </si>
  <si>
    <t>v_QyTiHhG9qf0</t>
  </si>
  <si>
    <t>Teens drive electric bumper cars in an oval circuit while people watch behind the fence.</t>
  </si>
  <si>
    <t>Two girls in a yellow car get stuck,but then they continue driving.</t>
  </si>
  <si>
    <t>All the cars are stuck on the track, then one car gets out and the others get free to continue driving.</t>
  </si>
  <si>
    <t>Then, all cars stop and the teen get out the cars.</t>
  </si>
  <si>
    <t>v_A_4yI6vh03I</t>
  </si>
  <si>
    <t>Instructions of how to pole vault is presented.</t>
  </si>
  <si>
    <t>A person holds a elongated, hollow stick.</t>
  </si>
  <si>
    <t>A guy runs with a elongated stick and uses it to elevate himself over a heighten hurdle.</t>
  </si>
  <si>
    <t>The top of the hurdle falls apart.</t>
  </si>
  <si>
    <t>A man uses an elongated stick to elevate himself over a heighten hurdle.</t>
  </si>
  <si>
    <t>v_F53s94562zc</t>
  </si>
  <si>
    <t>There are two boys playing rock, paper, scissors.</t>
  </si>
  <si>
    <t>First they play one game and the boy who's shirtless loses and gets slapped.</t>
  </si>
  <si>
    <t>Next they play two more games, one person wins and the shirtless boy loses.</t>
  </si>
  <si>
    <t>Then the boy who's wearing a sweater loses and the other boy slaps him.</t>
  </si>
  <si>
    <t>v_uh-H5Gmt4PI</t>
  </si>
  <si>
    <t>A bald man is standing in an industrial building with a lot of glass on the ceiling.</t>
  </si>
  <si>
    <t>The male's friend then grabs a bar and begins lifting weights and jerking.</t>
  </si>
  <si>
    <t>All of the actions continue but with different people as various people step up to grab the bar.</t>
  </si>
  <si>
    <t>v_Bg-0ibLZrgg</t>
  </si>
  <si>
    <t>People surf in the ocean and a man pass under a huge wave.</t>
  </si>
  <si>
    <t>A man surfs in a small wave along the beach.</t>
  </si>
  <si>
    <t>Then, the man get out the water, after he takes surfboard and return to surf in a high wave.</t>
  </si>
  <si>
    <t>People swim in the beach.</t>
  </si>
  <si>
    <t>v_nlkmPF8TBdQ</t>
  </si>
  <si>
    <t>People gather in a restaurant, then a cooker shows pasta and ingredients while talking.</t>
  </si>
  <si>
    <t>The cooker cuts and fries squid in a pot, then he adds salt and vinegar.</t>
  </si>
  <si>
    <t>Then, the cooker cut tomatoes and add to the squid, also adds garlic, pepper and green vegetables.</t>
  </si>
  <si>
    <t>After, the cooker adds water and covers the pot with aluminum paper.</t>
  </si>
  <si>
    <t>Next, the cooker add the pasta to the squid and mix, then he and serves in a dish while talking.</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</si>
</sst>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sz val="11.0"/>
      <color theme="1"/>
      <name val="Calibri"/>
    </font>
    <font>
      <sz val="11.0"/>
      <color theme="1"/>
      <name val="Calibri"/>
    </font>
    <font>
      <color theme="1"/>
      <name val="Arial"/>
      <scheme val="minor"/>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vertical="top"/>
    </xf>
    <xf borderId="2" fillId="0" fontId="1" numFmtId="0" xfId="0" applyAlignment="1" applyBorder="1" applyFont="1">
      <alignment horizontal="center" readingOrder="0" vertical="top"/>
    </xf>
    <xf borderId="0" fillId="0" fontId="2" numFmtId="0" xfId="0" applyAlignment="1" applyFont="1">
      <alignment vertical="bottom"/>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63"/>
    <col customWidth="1" min="2" max="2" width="73.0"/>
    <col customWidth="1" min="3" max="3" width="69.25"/>
  </cols>
  <sheetData>
    <row r="1">
      <c r="A1" s="1" t="s">
        <v>0</v>
      </c>
      <c r="B1" s="2" t="s">
        <v>1</v>
      </c>
      <c r="C1" s="3" t="s">
        <v>2</v>
      </c>
    </row>
    <row r="2">
      <c r="A2" s="4" t="s">
        <v>3</v>
      </c>
      <c r="B2" s="4" t="s">
        <v>4</v>
      </c>
      <c r="C2" s="5" t="str">
        <f>IFERROR(__xludf.DUMMYFUNCTION("GOOGLETRANSLATE(B2,""en"",""de"")"),"Eine junge Frau steht in einem Raum und führt in ihr Tanzen.")</f>
        <v>Eine junge Frau steht in einem Raum und führt in ihr Tanzen.</v>
      </c>
    </row>
    <row r="3">
      <c r="A3" s="4" t="s">
        <v>3</v>
      </c>
      <c r="B3" s="4" t="s">
        <v>5</v>
      </c>
      <c r="C3" s="5" t="str">
        <f>IFERROR(__xludf.DUMMYFUNCTION("GOOGLETRANSLATE(B3,""en"",""de"")"),"Das Mädchen tanzt durch den Raum, während die Kamera ihre Bewegungen einfängt.")</f>
        <v>Das Mädchen tanzt durch den Raum, während die Kamera ihre Bewegungen einfängt.</v>
      </c>
    </row>
    <row r="4">
      <c r="A4" s="4" t="s">
        <v>3</v>
      </c>
      <c r="B4" s="4" t="s">
        <v>6</v>
      </c>
      <c r="C4" s="5" t="str">
        <f>IFERROR(__xludf.DUMMYFUNCTION("GOOGLETRANSLATE(B4,""en"",""de"")"),"Sie tanzt weiter im Raum und endet, indem sie auf dem Boden liegt.")</f>
        <v>Sie tanzt weiter im Raum und endet, indem sie auf dem Boden liegt.</v>
      </c>
    </row>
    <row r="5">
      <c r="A5" s="4" t="s">
        <v>7</v>
      </c>
      <c r="B5" s="4" t="s">
        <v>8</v>
      </c>
      <c r="C5" s="5" t="str">
        <f>IFERROR(__xludf.DUMMYFUNCTION("GOOGLETRANSLATE(B5,""en"",""de"")"),"Das Video beginnt mit einer Title -Logo -Sequenz.")</f>
        <v>Das Video beginnt mit einer Title -Logo -Sequenz.</v>
      </c>
    </row>
    <row r="6">
      <c r="A6" s="4" t="s">
        <v>7</v>
      </c>
      <c r="B6" s="4" t="s">
        <v>9</v>
      </c>
      <c r="C6" s="5" t="str">
        <f>IFERROR(__xludf.DUMMYFUNCTION("GOOGLETRANSLATE(B6,""en"",""de"")"),"Ein Mann und eine Frau befinden sich in einem Wohnzimmer, das Übungen demonstriert.")</f>
        <v>Ein Mann und eine Frau befinden sich in einem Wohnzimmer, das Übungen demonstriert.</v>
      </c>
    </row>
    <row r="7">
      <c r="A7" s="4" t="s">
        <v>7</v>
      </c>
      <c r="B7" s="4" t="s">
        <v>10</v>
      </c>
      <c r="C7" s="5" t="str">
        <f>IFERROR(__xludf.DUMMYFUNCTION("GOOGLETRANSLATE(B7,""en"",""de"")"),"Die Frau liegt auf dem Boden.")</f>
        <v>Die Frau liegt auf dem Boden.</v>
      </c>
    </row>
    <row r="8">
      <c r="A8" s="4" t="s">
        <v>7</v>
      </c>
      <c r="B8" s="4" t="s">
        <v>11</v>
      </c>
      <c r="C8" s="5" t="str">
        <f>IFERROR(__xludf.DUMMYFUNCTION("GOOGLETRANSLATE(B8,""en"",""de"")"),"Der Mann zeigt auf verschiedene Bereiche des Körpers der Frau, während sie eine Übung macht.")</f>
        <v>Der Mann zeigt auf verschiedene Bereiche des Körpers der Frau, während sie eine Übung macht.</v>
      </c>
    </row>
    <row r="9">
      <c r="A9" s="4" t="s">
        <v>7</v>
      </c>
      <c r="B9" s="4" t="s">
        <v>12</v>
      </c>
      <c r="C9" s="5" t="str">
        <f>IFERROR(__xludf.DUMMYFUNCTION("GOOGLETRANSLATE(B9,""en"",""de"")"),"Die Frau beginnt, kleine Sit -Ups zu machen.")</f>
        <v>Die Frau beginnt, kleine Sit -Ups zu machen.</v>
      </c>
    </row>
    <row r="10">
      <c r="A10" s="4" t="s">
        <v>7</v>
      </c>
      <c r="B10" s="4" t="s">
        <v>13</v>
      </c>
      <c r="C10" s="5" t="str">
        <f>IFERROR(__xludf.DUMMYFUNCTION("GOOGLETRANSLATE(B10,""en"",""de"")"),"Die Frau endet mit einer endgültigen Titellogo -Sequenz.")</f>
        <v>Die Frau endet mit einer endgültigen Titellogo -Sequenz.</v>
      </c>
    </row>
    <row r="11">
      <c r="A11" s="4" t="s">
        <v>14</v>
      </c>
      <c r="B11" s="4" t="s">
        <v>15</v>
      </c>
      <c r="C11" s="5" t="str">
        <f>IFERROR(__xludf.DUMMYFUNCTION("GOOGLETRANSLATE(B11,""en"",""de"")"),"Zwei Personen bewegen sich in einer Küche, die schnell verschiedene Aufgaben ausführen und sich hinsetzen.")</f>
        <v>Zwei Personen bewegen sich in einer Küche, die schnell verschiedene Aufgaben ausführen und sich hinsetzen.</v>
      </c>
    </row>
    <row r="12">
      <c r="A12" s="4" t="s">
        <v>14</v>
      </c>
      <c r="B12" s="4" t="s">
        <v>16</v>
      </c>
      <c r="C12" s="5" t="str">
        <f>IFERROR(__xludf.DUMMYFUNCTION("GOOGLETRANSLATE(B12,""en"",""de"")"),"Sie wachsen dann einen Ski in der Küche, während sie sich weiter bewegen.")</f>
        <v>Sie wachsen dann einen Ski in der Küche, während sie sich weiter bewegen.</v>
      </c>
    </row>
    <row r="13">
      <c r="A13" s="4" t="s">
        <v>17</v>
      </c>
      <c r="B13" s="4" t="s">
        <v>18</v>
      </c>
      <c r="C13" s="5" t="str">
        <f>IFERROR(__xludf.DUMMYFUNCTION("GOOGLETRANSLATE(B13,""en"",""de"")"),"Wir sehen einen Flur mit einem Holzboden.")</f>
        <v>Wir sehen einen Flur mit einem Holzboden.</v>
      </c>
    </row>
    <row r="14">
      <c r="A14" s="4" t="s">
        <v>17</v>
      </c>
      <c r="B14" s="4" t="s">
        <v>19</v>
      </c>
      <c r="C14" s="5" t="str">
        <f>IFERROR(__xludf.DUMMYFUNCTION("GOOGLETRANSLATE(B14,""en"",""de"")"),"Ein Hund in Socken geht langsam auf den Boden, als ihn eine Dame filmt.")</f>
        <v>Ein Hund in Socken geht langsam auf den Boden, als ihn eine Dame filmt.</v>
      </c>
    </row>
    <row r="15">
      <c r="A15" s="4" t="s">
        <v>17</v>
      </c>
      <c r="B15" s="4" t="s">
        <v>20</v>
      </c>
      <c r="C15" s="5" t="str">
        <f>IFERROR(__xludf.DUMMYFUNCTION("GOOGLETRANSLATE(B15,""en"",""de"")"),"Der Hund dreht sich um und geht zurück in den anderen Raum.")</f>
        <v>Der Hund dreht sich um und geht zurück in den anderen Raum.</v>
      </c>
    </row>
    <row r="16">
      <c r="A16" s="4" t="s">
        <v>21</v>
      </c>
      <c r="B16" s="4" t="s">
        <v>22</v>
      </c>
      <c r="C16" s="5" t="str">
        <f>IFERROR(__xludf.DUMMYFUNCTION("GOOGLETRANSLATE(B16,""en"",""de"")"),"Eine Frau und ein Mann sitzen auf dem Bürgersteig, der Musik spielt.")</f>
        <v>Eine Frau und ein Mann sitzen auf dem Bürgersteig, der Musik spielt.</v>
      </c>
    </row>
    <row r="17">
      <c r="A17" s="4" t="s">
        <v>21</v>
      </c>
      <c r="B17" s="4" t="s">
        <v>23</v>
      </c>
      <c r="C17" s="5" t="str">
        <f>IFERROR(__xludf.DUMMYFUNCTION("GOOGLETRANSLATE(B17,""en"",""de"")"),"Die Leute stehen neben ihnen und sehen sie spielen zu.")</f>
        <v>Die Leute stehen neben ihnen und sehen sie spielen zu.</v>
      </c>
    </row>
    <row r="18">
      <c r="A18" s="4" t="s">
        <v>21</v>
      </c>
      <c r="B18" s="4" t="s">
        <v>24</v>
      </c>
      <c r="C18" s="5" t="str">
        <f>IFERROR(__xludf.DUMMYFUNCTION("GOOGLETRANSLATE(B18,""en"",""de"")"),"Ein kleiner Junge, der einen gelben Ball hält, geht vorbei.")</f>
        <v>Ein kleiner Junge, der einen gelben Ball hält, geht vorbei.</v>
      </c>
    </row>
    <row r="19">
      <c r="A19" s="4" t="s">
        <v>21</v>
      </c>
      <c r="B19" s="4" t="s">
        <v>25</v>
      </c>
      <c r="C19" s="5" t="str">
        <f>IFERROR(__xludf.DUMMYFUNCTION("GOOGLETRANSLATE(B19,""en"",""de"")"),"Ein Mann posiert für ein Bild vor sich.")</f>
        <v>Ein Mann posiert für ein Bild vor sich.</v>
      </c>
    </row>
    <row r="20">
      <c r="A20" s="4" t="s">
        <v>26</v>
      </c>
      <c r="B20" s="4" t="s">
        <v>27</v>
      </c>
      <c r="C20" s="5" t="str">
        <f>IFERROR(__xludf.DUMMYFUNCTION("GOOGLETRANSLATE(B20,""en"",""de"")"),"Ein junges Mädchen sitzt auf einem Stuhl mit einer Person, die neben ihr steht.")</f>
        <v>Ein junges Mädchen sitzt auf einem Stuhl mit einer Person, die neben ihr steht.</v>
      </c>
    </row>
    <row r="21">
      <c r="A21" s="4" t="s">
        <v>26</v>
      </c>
      <c r="B21" s="4" t="s">
        <v>28</v>
      </c>
      <c r="C21" s="5" t="str">
        <f>IFERROR(__xludf.DUMMYFUNCTION("GOOGLETRANSLATE(B21,""en"",""de"")"),"Die Person neben ihr, die dann ein Ohr durchdringt, gefolgt von der anderen.")</f>
        <v>Die Person neben ihr, die dann ein Ohr durchdringt, gefolgt von der anderen.</v>
      </c>
    </row>
    <row r="22">
      <c r="A22" s="4" t="s">
        <v>26</v>
      </c>
      <c r="B22" s="4" t="s">
        <v>29</v>
      </c>
      <c r="C22" s="5" t="str">
        <f>IFERROR(__xludf.DUMMYFUNCTION("GOOGLETRANSLATE(B22,""en"",""de"")"),"Die Person reibt anschließend Lotion auf den Piercings.")</f>
        <v>Die Person reibt anschließend Lotion auf den Piercings.</v>
      </c>
    </row>
    <row r="23">
      <c r="A23" s="4" t="s">
        <v>30</v>
      </c>
      <c r="B23" s="4" t="s">
        <v>31</v>
      </c>
      <c r="C23" s="5" t="str">
        <f>IFERROR(__xludf.DUMMYFUNCTION("GOOGLETRANSLATE(B23,""en"",""de"")"),"Es wird gezeigt, dass eine Frau in Ägypten ein Kamel -Pyramiden reitet.")</f>
        <v>Es wird gezeigt, dass eine Frau in Ägypten ein Kamel -Pyramiden reitet.</v>
      </c>
    </row>
    <row r="24">
      <c r="A24" s="4" t="s">
        <v>30</v>
      </c>
      <c r="B24" s="4" t="s">
        <v>32</v>
      </c>
      <c r="C24" s="5" t="str">
        <f>IFERROR(__xludf.DUMMYFUNCTION("GOOGLETRANSLATE(B24,""en"",""de"")"),"Der Kamel geht, als die Frau vordert.")</f>
        <v>Der Kamel geht, als die Frau vordert.</v>
      </c>
    </row>
    <row r="25">
      <c r="A25" s="4" t="s">
        <v>30</v>
      </c>
      <c r="B25" s="4" t="s">
        <v>33</v>
      </c>
      <c r="C25" s="5" t="str">
        <f>IFERROR(__xludf.DUMMYFUNCTION("GOOGLETRANSLATE(B25,""en"",""de"")"),"Und Hand bedeckt das Objektiv, wenn der Geschirr gezeigt wird.")</f>
        <v>Und Hand bedeckt das Objektiv, wenn der Geschirr gezeigt wird.</v>
      </c>
    </row>
    <row r="26">
      <c r="A26" s="4" t="s">
        <v>34</v>
      </c>
      <c r="B26" s="4" t="s">
        <v>35</v>
      </c>
      <c r="C26" s="5" t="str">
        <f>IFERROR(__xludf.DUMMYFUNCTION("GOOGLETRANSLATE(B26,""en"",""de"")"),"Ein Kind mops auf dem Boden eines Flurs in einem Haus.")</f>
        <v>Ein Kind mops auf dem Boden eines Flurs in einem Haus.</v>
      </c>
    </row>
    <row r="27">
      <c r="A27" s="4" t="s">
        <v>34</v>
      </c>
      <c r="B27" s="4" t="s">
        <v>36</v>
      </c>
      <c r="C27" s="5" t="str">
        <f>IFERROR(__xludf.DUMMYFUNCTION("GOOGLETRANSLATE(B27,""en"",""de"")"),"Das Kind setzt den Mopp nieder und spielt mit ihrem Familienmitglied.")</f>
        <v>Das Kind setzt den Mopp nieder und spielt mit ihrem Familienmitglied.</v>
      </c>
    </row>
    <row r="28">
      <c r="A28" s="4" t="s">
        <v>34</v>
      </c>
      <c r="B28" s="4" t="s">
        <v>37</v>
      </c>
      <c r="C28" s="5" t="str">
        <f>IFERROR(__xludf.DUMMYFUNCTION("GOOGLETRANSLATE(B28,""en"",""de"")"),"Das Kind geht in den Schlafzimmerbereich und wischt weiter auf dem Boden.")</f>
        <v>Das Kind geht in den Schlafzimmerbereich und wischt weiter auf dem Boden.</v>
      </c>
    </row>
    <row r="29">
      <c r="A29" s="4" t="s">
        <v>38</v>
      </c>
      <c r="B29" s="4" t="s">
        <v>39</v>
      </c>
      <c r="C29" s="5" t="str">
        <f>IFERROR(__xludf.DUMMYFUNCTION("GOOGLETRANSLATE(B29,""en"",""de"")"),"Ein Mann kniet auf dem Boden und spricht mit der Kamera.")</f>
        <v>Ein Mann kniet auf dem Boden und spricht mit der Kamera.</v>
      </c>
    </row>
    <row r="30">
      <c r="A30" s="4" t="s">
        <v>38</v>
      </c>
      <c r="B30" s="4" t="s">
        <v>40</v>
      </c>
      <c r="C30" s="5" t="str">
        <f>IFERROR(__xludf.DUMMYFUNCTION("GOOGLETRANSLATE(B30,""en"",""de"")"),"Der Mann mischt verschiedene Zutaten und beginnt Gips auf den Boden zu legen.")</f>
        <v>Der Mann mischt verschiedene Zutaten und beginnt Gips auf den Boden zu legen.</v>
      </c>
    </row>
    <row r="31">
      <c r="A31" s="4" t="s">
        <v>38</v>
      </c>
      <c r="B31" s="4" t="s">
        <v>41</v>
      </c>
      <c r="C31" s="5" t="str">
        <f>IFERROR(__xludf.DUMMYFUNCTION("GOOGLETRANSLATE(B31,""en"",""de"")"),"Er misst den Boden und die Fliesen und schneidet ein Stück Fliesen auf, um auf den Boden zu liegen.")</f>
        <v>Er misst den Boden und die Fliesen und schneidet ein Stück Fliesen auf, um auf den Boden zu liegen.</v>
      </c>
    </row>
    <row r="32">
      <c r="A32" s="4" t="s">
        <v>38</v>
      </c>
      <c r="B32" s="4" t="s">
        <v>42</v>
      </c>
      <c r="C32" s="5" t="str">
        <f>IFERROR(__xludf.DUMMYFUNCTION("GOOGLETRANSLATE(B32,""en"",""de"")"),"Er legt weiterhin Fliesen auf den Boden, während er zurückblickt, um mit der Kamera zu sprechen.")</f>
        <v>Er legt weiterhin Fliesen auf den Boden, während er zurückblickt, um mit der Kamera zu sprechen.</v>
      </c>
    </row>
    <row r="33">
      <c r="A33" s="4" t="s">
        <v>43</v>
      </c>
      <c r="B33" s="4" t="s">
        <v>44</v>
      </c>
      <c r="C33" s="5" t="str">
        <f>IFERROR(__xludf.DUMMYFUNCTION("GOOGLETRANSLATE(B33,""en"",""de"")"),"Zwei Linien junger Männer gehen nebeneinander auf einer Straße.")</f>
        <v>Zwei Linien junger Männer gehen nebeneinander auf einer Straße.</v>
      </c>
    </row>
    <row r="34">
      <c r="A34" s="4" t="s">
        <v>43</v>
      </c>
      <c r="B34" s="4" t="s">
        <v>45</v>
      </c>
      <c r="C34" s="5" t="str">
        <f>IFERROR(__xludf.DUMMYFUNCTION("GOOGLETRANSLATE(B34,""en"",""de"")"),"Dann steht ein Mann in einem Feld ein Holzobjekt und beginnt es zu verdrehen.")</f>
        <v>Dann steht ein Mann in einem Feld ein Holzobjekt und beginnt es zu verdrehen.</v>
      </c>
    </row>
    <row r="35">
      <c r="A35" s="4" t="s">
        <v>43</v>
      </c>
      <c r="B35" s="4" t="s">
        <v>46</v>
      </c>
      <c r="C35" s="5" t="str">
        <f>IFERROR(__xludf.DUMMYFUNCTION("GOOGLETRANSLATE(B35,""en"",""de"")"),"Dann biegt er sich hin und schnappt sich einen Ball.")</f>
        <v>Dann biegt er sich hin und schnappt sich einen Ball.</v>
      </c>
    </row>
    <row r="36">
      <c r="A36" s="4" t="s">
        <v>43</v>
      </c>
      <c r="B36" s="4" t="s">
        <v>47</v>
      </c>
      <c r="C36" s="5" t="str">
        <f>IFERROR(__xludf.DUMMYFUNCTION("GOOGLETRANSLATE(B36,""en"",""de"")"),"Danach wird der Ball auf den Boden gelegt und er nimmt ihn auf und schlägt ihn, als würde er Baseball spielen.")</f>
        <v>Danach wird der Ball auf den Boden gelegt und er nimmt ihn auf und schlägt ihn, als würde er Baseball spielen.</v>
      </c>
    </row>
    <row r="37">
      <c r="A37" s="4" t="s">
        <v>43</v>
      </c>
      <c r="B37" s="4" t="s">
        <v>48</v>
      </c>
      <c r="C37" s="5" t="str">
        <f>IFERROR(__xludf.DUMMYFUNCTION("GOOGLETRANSLATE(B37,""en"",""de"")"),"Der Ball wird zurückgeworfen und er ist wieder.")</f>
        <v>Der Ball wird zurückgeworfen und er ist wieder.</v>
      </c>
    </row>
    <row r="38">
      <c r="A38" s="4" t="s">
        <v>43</v>
      </c>
      <c r="B38" s="4" t="s">
        <v>49</v>
      </c>
      <c r="C38" s="5" t="str">
        <f>IFERROR(__xludf.DUMMYFUNCTION("GOOGLETRANSLATE(B38,""en"",""de"")"),"Kurz darauf wird ein Feld von Männern gezeigt und sie beginnen ein Spiel gegeneinander zu spielen.")</f>
        <v>Kurz darauf wird ein Feld von Männern gezeigt und sie beginnen ein Spiel gegeneinander zu spielen.</v>
      </c>
    </row>
    <row r="39">
      <c r="A39" s="4" t="s">
        <v>43</v>
      </c>
      <c r="B39" s="4" t="s">
        <v>50</v>
      </c>
      <c r="C39" s="5" t="str">
        <f>IFERROR(__xludf.DUMMYFUNCTION("GOOGLETRANSLATE(B39,""en"",""de"")"),"Es gab einen Elfmeter und ein Spieler versuchte, den Ball von der Seite in das Tor zu schlagen.")</f>
        <v>Es gab einen Elfmeter und ein Spieler versuchte, den Ball von der Seite in das Tor zu schlagen.</v>
      </c>
    </row>
    <row r="40">
      <c r="A40" s="4" t="s">
        <v>43</v>
      </c>
      <c r="B40" s="4" t="s">
        <v>51</v>
      </c>
      <c r="C40" s="5" t="str">
        <f>IFERROR(__xludf.DUMMYFUNCTION("GOOGLETRANSLATE(B40,""en"",""de"")"),"Danach ist jeder dargestellt, als ob sie tot wären, aber eine Person beginnt sich aufzusetzen, wird aber vom Ball in den Kopf getroffen und legt sich wieder nach unten.")</f>
        <v>Danach ist jeder dargestellt, als ob sie tot wären, aber eine Person beginnt sich aufzusetzen, wird aber vom Ball in den Kopf getroffen und legt sich wieder nach unten.</v>
      </c>
    </row>
    <row r="41">
      <c r="A41" s="4" t="s">
        <v>43</v>
      </c>
      <c r="B41" s="4" t="s">
        <v>52</v>
      </c>
      <c r="C41" s="5" t="str">
        <f>IFERROR(__xludf.DUMMYFUNCTION("GOOGLETRANSLATE(B41,""en"",""de"")"),"Zuletzt blitzt der Bildschirm auf einen schwarzen Bildschirm und die Wörter werden das Ende angezeigt.")</f>
        <v>Zuletzt blitzt der Bildschirm auf einen schwarzen Bildschirm und die Wörter werden das Ende angezeigt.</v>
      </c>
    </row>
    <row r="42">
      <c r="A42" s="4" t="s">
        <v>53</v>
      </c>
      <c r="B42" s="4" t="s">
        <v>54</v>
      </c>
      <c r="C42" s="5" t="str">
        <f>IFERROR(__xludf.DUMMYFUNCTION("GOOGLETRANSLATE(B42,""en"",""de"")"),"Der Bildschirm zeigt den Titel der Zubereitung eines chilenischen Hulte -Salatgerichts.")</f>
        <v>Der Bildschirm zeigt den Titel der Zubereitung eines chilenischen Hulte -Salatgerichts.</v>
      </c>
    </row>
    <row r="43">
      <c r="A43" s="4" t="s">
        <v>53</v>
      </c>
      <c r="B43" s="4" t="s">
        <v>55</v>
      </c>
      <c r="C43" s="5" t="str">
        <f>IFERROR(__xludf.DUMMYFUNCTION("GOOGLETRANSLATE(B43,""en"",""de"")"),"Eine Person mischt Salatzutaten in einer großen Schüssel.")</f>
        <v>Eine Person mischt Salatzutaten in einer großen Schüssel.</v>
      </c>
    </row>
    <row r="44">
      <c r="A44" s="4" t="s">
        <v>53</v>
      </c>
      <c r="B44" s="4" t="s">
        <v>56</v>
      </c>
      <c r="C44" s="5" t="str">
        <f>IFERROR(__xludf.DUMMYFUNCTION("GOOGLETRANSLATE(B44,""en"",""de"")"),"Es werden Informationen über Dr. gezeigt")</f>
        <v>Es werden Informationen über Dr. gezeigt</v>
      </c>
    </row>
    <row r="45">
      <c r="A45" s="4" t="s">
        <v>53</v>
      </c>
      <c r="B45" s="4" t="s">
        <v>57</v>
      </c>
      <c r="C45" s="5" t="str">
        <f>IFERROR(__xludf.DUMMYFUNCTION("GOOGLETRANSLATE(B45,""en"",""de"")"),"Rachel Collins Reise nach Chile.")</f>
        <v>Rachel Collins Reise nach Chile.</v>
      </c>
    </row>
    <row r="46">
      <c r="A46" s="4" t="s">
        <v>53</v>
      </c>
      <c r="B46" s="4" t="s">
        <v>58</v>
      </c>
      <c r="C46" s="5" t="str">
        <f>IFERROR(__xludf.DUMMYFUNCTION("GOOGLETRANSLATE(B46,""en"",""de"")"),"Auf einem Lebensmittelmarkt stehen mehrere Menschen unter einem Baldachin.")</f>
        <v>Auf einem Lebensmittelmarkt stehen mehrere Menschen unter einem Baldachin.</v>
      </c>
    </row>
    <row r="47">
      <c r="A47" s="4" t="s">
        <v>53</v>
      </c>
      <c r="B47" s="4" t="s">
        <v>59</v>
      </c>
      <c r="C47" s="5" t="str">
        <f>IFERROR(__xludf.DUMMYFUNCTION("GOOGLETRANSLATE(B47,""en"",""de"")"),"Zwei Kunden tätigen einen Kauf und geben dem Verkäufer Geld und geben der Kamera einen Daumen hoch.")</f>
        <v>Zwei Kunden tätigen einen Kauf und geben dem Verkäufer Geld und geben der Kamera einen Daumen hoch.</v>
      </c>
    </row>
    <row r="48">
      <c r="A48" s="4" t="s">
        <v>53</v>
      </c>
      <c r="B48" s="4" t="s">
        <v>60</v>
      </c>
      <c r="C48" s="5" t="str">
        <f>IFERROR(__xludf.DUMMYFUNCTION("GOOGLETRANSLATE(B48,""en"",""de"")"),"Der Küchenchef zeigt Hulte auf eine Küchentheke.")</f>
        <v>Der Küchenchef zeigt Hulte auf eine Küchentheke.</v>
      </c>
    </row>
    <row r="49">
      <c r="A49" s="4" t="s">
        <v>53</v>
      </c>
      <c r="B49" s="4" t="s">
        <v>61</v>
      </c>
      <c r="C49" s="5" t="str">
        <f>IFERROR(__xludf.DUMMYFUNCTION("GOOGLETRANSLATE(B49,""en"",""de"")"),"Der Koch schneidet die Hulte in kreisförmigen Bissgröße.")</f>
        <v>Der Koch schneidet die Hulte in kreisförmigen Bissgröße.</v>
      </c>
    </row>
    <row r="50">
      <c r="A50" s="4" t="s">
        <v>53</v>
      </c>
      <c r="B50" s="4" t="s">
        <v>62</v>
      </c>
      <c r="C50" s="5" t="str">
        <f>IFERROR(__xludf.DUMMYFUNCTION("GOOGLETRANSLATE(B50,""en"",""de"")"),"Eine Frau isst die geschnittenen Hultestücke.")</f>
        <v>Eine Frau isst die geschnittenen Hultestücke.</v>
      </c>
    </row>
    <row r="51">
      <c r="A51" s="4" t="s">
        <v>53</v>
      </c>
      <c r="B51" s="4" t="s">
        <v>63</v>
      </c>
      <c r="C51" s="5" t="str">
        <f>IFERROR(__xludf.DUMMYFUNCTION("GOOGLETRANSLATE(B51,""en"",""de"")"),"Der Küchenchef kocht etwas Koriander auf der Küchentheke.")</f>
        <v>Der Küchenchef kocht etwas Koriander auf der Küchentheke.</v>
      </c>
    </row>
    <row r="52">
      <c r="A52" s="4" t="s">
        <v>53</v>
      </c>
      <c r="B52" s="4" t="s">
        <v>64</v>
      </c>
      <c r="C52" s="5" t="str">
        <f>IFERROR(__xludf.DUMMYFUNCTION("GOOGLETRANSLATE(B52,""en"",""de"")"),"Dann legt der Koch die Zutaten in eine Salatschale.")</f>
        <v>Dann legt der Koch die Zutaten in eine Salatschale.</v>
      </c>
    </row>
    <row r="53">
      <c r="A53" s="4" t="s">
        <v>53</v>
      </c>
      <c r="B53" s="4" t="s">
        <v>65</v>
      </c>
      <c r="C53" s="5" t="str">
        <f>IFERROR(__xludf.DUMMYFUNCTION("GOOGLETRANSLATE(B53,""en"",""de"")"),"Das fertige Produkt wird auf dem Bildschirm angezeigt, gefolgt von einer Gruppe von Menschen, die zusammen sitzen und den Salat genießen.")</f>
        <v>Das fertige Produkt wird auf dem Bildschirm angezeigt, gefolgt von einer Gruppe von Menschen, die zusammen sitzen und den Salat genießen.</v>
      </c>
    </row>
    <row r="54">
      <c r="A54" s="4" t="s">
        <v>53</v>
      </c>
      <c r="B54" s="4" t="s">
        <v>66</v>
      </c>
      <c r="C54" s="5" t="str">
        <f>IFERROR(__xludf.DUMMYFUNCTION("GOOGLETRANSLATE(B54,""en"",""de"")"),"Die Endkredite werden auf dem Bildschirm angezeigt.")</f>
        <v>Die Endkredite werden auf dem Bildschirm angezeigt.</v>
      </c>
    </row>
    <row r="55">
      <c r="A55" s="4" t="s">
        <v>67</v>
      </c>
      <c r="B55" s="4" t="s">
        <v>68</v>
      </c>
      <c r="C55" s="5" t="str">
        <f>IFERROR(__xludf.DUMMYFUNCTION("GOOGLETRANSLATE(B55,""en"",""de"")"),"Ein Mann in einem Anzug sitzt hinter einem Schreibtisch.")</f>
        <v>Ein Mann in einem Anzug sitzt hinter einem Schreibtisch.</v>
      </c>
    </row>
    <row r="56">
      <c r="A56" s="4" t="s">
        <v>67</v>
      </c>
      <c r="B56" s="4" t="s">
        <v>69</v>
      </c>
      <c r="C56" s="5" t="str">
        <f>IFERROR(__xludf.DUMMYFUNCTION("GOOGLETRANSLATE(B56,""en"",""de"")"),"Die Leute spielen Lacrosse auf einem Grasfeld.")</f>
        <v>Die Leute spielen Lacrosse auf einem Grasfeld.</v>
      </c>
    </row>
    <row r="57">
      <c r="A57" s="4" t="s">
        <v>67</v>
      </c>
      <c r="B57" s="4" t="s">
        <v>70</v>
      </c>
      <c r="C57" s="5" t="str">
        <f>IFERROR(__xludf.DUMMYFUNCTION("GOOGLETRANSLATE(B57,""en"",""de"")"),"Eine Person in einer gelben Uniform steht vor einem Netzblockierkugeln.")</f>
        <v>Eine Person in einer gelben Uniform steht vor einem Netzblockierkugeln.</v>
      </c>
    </row>
    <row r="58">
      <c r="A58" s="4" t="s">
        <v>71</v>
      </c>
      <c r="B58" s="4" t="s">
        <v>72</v>
      </c>
      <c r="C58" s="5" t="str">
        <f>IFERROR(__xludf.DUMMYFUNCTION("GOOGLETRANSLATE(B58,""en"",""de"")"),"Ein Mädchen klettert über eine Reihe von Affenstangen, gefolgt von ihrem Winken zur Kamera.")</f>
        <v>Ein Mädchen klettert über eine Reihe von Affenstangen, gefolgt von ihrem Winken zur Kamera.</v>
      </c>
    </row>
    <row r="59">
      <c r="A59" s="4" t="s">
        <v>71</v>
      </c>
      <c r="B59" s="4" t="s">
        <v>73</v>
      </c>
      <c r="C59" s="5" t="str">
        <f>IFERROR(__xludf.DUMMYFUNCTION("GOOGLETRANSLATE(B59,""en"",""de"")"),"Sie klettert zurück auf die Bars und springt mitten in der Mitte.")</f>
        <v>Sie klettert zurück auf die Bars und springt mitten in der Mitte.</v>
      </c>
    </row>
    <row r="60">
      <c r="A60" s="4" t="s">
        <v>74</v>
      </c>
      <c r="B60" s="4" t="s">
        <v>75</v>
      </c>
      <c r="C60" s="5" t="str">
        <f>IFERROR(__xludf.DUMMYFUNCTION("GOOGLETRANSLATE(B60,""en"",""de"")"),"Eine Kamera schwenkt über einem schneebedeckten Bereich und führt in einen Mann, der auf einem Snowboard steht und einen Berg hinunterfährt.")</f>
        <v>Eine Kamera schwenkt über einem schneebedeckten Bereich und führt in einen Mann, der auf einem Snowboard steht und einen Berg hinunterfährt.</v>
      </c>
    </row>
    <row r="61">
      <c r="A61" s="4" t="s">
        <v>74</v>
      </c>
      <c r="B61" s="4" t="s">
        <v>76</v>
      </c>
      <c r="C61" s="5" t="str">
        <f>IFERROR(__xludf.DUMMYFUNCTION("GOOGLETRANSLATE(B61,""en"",""de"")"),"Der Mann zoomt auf sich selbst und reitet den Hügel hinunter und endet damit, dass er die Kamera ausschaltet.")</f>
        <v>Der Mann zoomt auf sich selbst und reitet den Hügel hinunter und endet damit, dass er die Kamera ausschaltet.</v>
      </c>
    </row>
    <row r="62">
      <c r="A62" s="4" t="s">
        <v>77</v>
      </c>
      <c r="B62" s="4" t="s">
        <v>78</v>
      </c>
      <c r="C62" s="5" t="str">
        <f>IFERROR(__xludf.DUMMYFUNCTION("GOOGLETRANSLATE(B62,""en"",""de"")"),"Ein Spielzimmer ist zu sehen, gefolgt von einem Jungen, der eine Rutsche hinunterrutscht und wieder hochklettert.")</f>
        <v>Ein Spielzimmer ist zu sehen, gefolgt von einem Jungen, der eine Rutsche hinunterrutscht und wieder hochklettert.</v>
      </c>
    </row>
    <row r="63">
      <c r="A63" s="4" t="s">
        <v>77</v>
      </c>
      <c r="B63" s="4" t="s">
        <v>79</v>
      </c>
      <c r="C63" s="5" t="str">
        <f>IFERROR(__xludf.DUMMYFUNCTION("GOOGLETRANSLATE(B63,""en"",""de"")"),"Er rutscht wieder nach unten, landet diesmal auf seinem Rücken und gleitet noch lange nach unten.")</f>
        <v>Er rutscht wieder nach unten, landet diesmal auf seinem Rücken und gleitet noch lange nach unten.</v>
      </c>
    </row>
    <row r="64">
      <c r="A64" s="4" t="s">
        <v>80</v>
      </c>
      <c r="B64" s="4" t="s">
        <v>81</v>
      </c>
      <c r="C64" s="5" t="str">
        <f>IFERROR(__xludf.DUMMYFUNCTION("GOOGLETRANSLATE(B64,""en"",""de"")"),"Ein Mann und eine Frau sitzen auf roten Sofas mit Sporttrikots an der Wand und einem blauen Bildschirm an der Wand hinter ihnen in der Mitte.")</f>
        <v>Ein Mann und eine Frau sitzen auf roten Sofas mit Sporttrikots an der Wand und einem blauen Bildschirm an der Wand hinter ihnen in der Mitte.</v>
      </c>
    </row>
    <row r="65">
      <c r="A65" s="4" t="s">
        <v>80</v>
      </c>
      <c r="B65" s="4" t="s">
        <v>82</v>
      </c>
      <c r="C65" s="5" t="str">
        <f>IFERROR(__xludf.DUMMYFUNCTION("GOOGLETRANSLATE(B65,""en"",""de"")"),"Die Frau nimmt eine Zwischenablage neben sich auf und glättet die Papiere, die sich beim Lächeln darüber befinden, überquert ihre Beine und lehnt sich zurück.")</f>
        <v>Die Frau nimmt eine Zwischenablage neben sich auf und glättet die Papiere, die sich beim Lächeln darüber befinden, überquert ihre Beine und lehnt sich zurück.</v>
      </c>
    </row>
    <row r="66">
      <c r="A66" s="4" t="s">
        <v>80</v>
      </c>
      <c r="B66" s="4" t="s">
        <v>83</v>
      </c>
      <c r="C66" s="5" t="str">
        <f>IFERROR(__xludf.DUMMYFUNCTION("GOOGLETRANSLATE(B66,""en"",""de"")"),"Der Mann spricht die ganze Zeit, während sich die Frau auf ihrer Couch wohl fühlt und die Frau kurz spricht.")</f>
        <v>Der Mann spricht die ganze Zeit, während sich die Frau auf ihrer Couch wohl fühlt und die Frau kurz spricht.</v>
      </c>
    </row>
    <row r="67">
      <c r="A67" s="4" t="s">
        <v>80</v>
      </c>
      <c r="B67" s="4" t="s">
        <v>84</v>
      </c>
      <c r="C67" s="5" t="str">
        <f>IFERROR(__xludf.DUMMYFUNCTION("GOOGLETRANSLATE(B67,""en"",""de"")"),"Verschiedene Clips beginnen zu spielen und es zeigt kurz Teile einer Stadt, dann ist das meiste von Männern draußen und spielt Fußball auf Sand in einer Mitte der Stadt, und gelegentlich tauchen blaue Wörter auf dem Bildschirm auf, wenn bestimmte Spiele i"&amp;"m Spiel gemacht werden .")</f>
        <v>Verschiedene Clips beginnen zu spielen und es zeigt kurz Teile einer Stadt, dann ist das meiste von Männern draußen und spielt Fußball auf Sand in einer Mitte der Stadt, und gelegentlich tauchen blaue Wörter auf dem Bildschirm auf, wenn bestimmte Spiele im Spiel gemacht werden .</v>
      </c>
    </row>
    <row r="68">
      <c r="A68" s="4" t="s">
        <v>80</v>
      </c>
      <c r="B68" s="4" t="s">
        <v>85</v>
      </c>
      <c r="C68" s="5" t="str">
        <f>IFERROR(__xludf.DUMMYFUNCTION("GOOGLETRANSLATE(B68,""en"",""de"")"),"Wenn die Clips beenden, beginnt der Mann und die Frau auf der Couch zu reden und sie legt ihre Zwischenablage ab.")</f>
        <v>Wenn die Clips beenden, beginnt der Mann und die Frau auf der Couch zu reden und sie legt ihre Zwischenablage ab.</v>
      </c>
    </row>
    <row r="69">
      <c r="A69" s="4" t="s">
        <v>86</v>
      </c>
      <c r="B69" s="4" t="s">
        <v>87</v>
      </c>
      <c r="C69" s="5" t="str">
        <f>IFERROR(__xludf.DUMMYFUNCTION("GOOGLETRANSLATE(B69,""en"",""de"")"),"Der ehemalige Präsident ist gesehen, wie er in einem großen Feld neben einer Frau spaziert und von einer großen Menge umgeben ist.")</f>
        <v>Der ehemalige Präsident ist gesehen, wie er in einem großen Feld neben einer Frau spaziert und von einer großen Menge umgeben ist.</v>
      </c>
    </row>
    <row r="70">
      <c r="A70" s="4" t="s">
        <v>86</v>
      </c>
      <c r="B70" s="4" t="s">
        <v>88</v>
      </c>
      <c r="C70" s="5" t="str">
        <f>IFERROR(__xludf.DUMMYFUNCTION("GOOGLETRANSLATE(B70,""en"",""de"")"),"Der Mann hält eine Rede, während Menschen jubeln und er mit anderen die Hand schüttelt.")</f>
        <v>Der Mann hält eine Rede, während Menschen jubeln und er mit anderen die Hand schüttelt.</v>
      </c>
    </row>
    <row r="71">
      <c r="A71" s="4" t="s">
        <v>86</v>
      </c>
      <c r="B71" s="4" t="s">
        <v>89</v>
      </c>
      <c r="C71" s="5" t="str">
        <f>IFERROR(__xludf.DUMMYFUNCTION("GOOGLETRANSLATE(B71,""en"",""de"")"),"Der Mann teilt dann ein Bier mit anderen Menschen um ihn herum.")</f>
        <v>Der Mann teilt dann ein Bier mit anderen Menschen um ihn herum.</v>
      </c>
    </row>
    <row r="72">
      <c r="A72" s="4" t="s">
        <v>90</v>
      </c>
      <c r="B72" s="4" t="s">
        <v>91</v>
      </c>
      <c r="C72" s="5" t="str">
        <f>IFERROR(__xludf.DUMMYFUNCTION("GOOGLETRANSLATE(B72,""en"",""de"")"),"Vier Kinder sind draußen am Strand im Sand, zwei Jungen links und zwei Mädchen auf der rechten Seite.")</f>
        <v>Vier Kinder sind draußen am Strand im Sand, zwei Jungen links und zwei Mädchen auf der rechten Seite.</v>
      </c>
    </row>
    <row r="73">
      <c r="A73" s="4" t="s">
        <v>90</v>
      </c>
      <c r="B73" s="4" t="s">
        <v>92</v>
      </c>
      <c r="C73" s="5" t="str">
        <f>IFERROR(__xludf.DUMMYFUNCTION("GOOGLETRANSLATE(B73,""en"",""de"")"),"Die Mädchen haben ungefähr sechs Sandburgen und einen großen Kreis, der mit Wasser gefüllt ist.")</f>
        <v>Die Mädchen haben ungefähr sechs Sandburgen und einen großen Kreis, der mit Wasser gefüllt ist.</v>
      </c>
    </row>
    <row r="74">
      <c r="A74" s="4" t="s">
        <v>90</v>
      </c>
      <c r="B74" s="4" t="s">
        <v>93</v>
      </c>
      <c r="C74" s="5" t="str">
        <f>IFERROR(__xludf.DUMMYFUNCTION("GOOGLETRANSLATE(B74,""en"",""de"")"),"Sie rennen dann zum Strand, um mehr Wasser zu holen, als der Junge kommt und sich auf ihre Arbeit schaut.")</f>
        <v>Sie rennen dann zum Strand, um mehr Wasser zu holen, als der Junge kommt und sich auf ihre Arbeit schaut.</v>
      </c>
    </row>
    <row r="75">
      <c r="A75" s="4" t="s">
        <v>90</v>
      </c>
      <c r="B75" s="4" t="s">
        <v>94</v>
      </c>
      <c r="C75" s="5" t="str">
        <f>IFERROR(__xludf.DUMMYFUNCTION("GOOGLETRANSLATE(B75,""en"",""de"")"),"Sobald sie fertig sind, rennen beide Mädchen zum Wasser rennen, halten aber dann auf halbem Weg an, um zurück zu kommen und ihre Schwimmer zu bekommen.")</f>
        <v>Sobald sie fertig sind, rennen beide Mädchen zum Wasser rennen, halten aber dann auf halbem Weg an, um zurück zu kommen und ihre Schwimmer zu bekommen.</v>
      </c>
    </row>
    <row r="76">
      <c r="A76" s="4" t="s">
        <v>95</v>
      </c>
      <c r="B76" s="4" t="s">
        <v>96</v>
      </c>
      <c r="C76" s="5" t="str">
        <f>IFERROR(__xludf.DUMMYFUNCTION("GOOGLETRANSLATE(B76,""en"",""de"")"),"Ein großer Haufen Blätter wird gesehen, wie ein Gebläse geschossen wird.")</f>
        <v>Ein großer Haufen Blätter wird gesehen, wie ein Gebläse geschossen wird.</v>
      </c>
    </row>
    <row r="77">
      <c r="A77" s="4" t="s">
        <v>95</v>
      </c>
      <c r="B77" s="4" t="s">
        <v>97</v>
      </c>
      <c r="C77" s="5" t="str">
        <f>IFERROR(__xludf.DUMMYFUNCTION("GOOGLETRANSLATE(B77,""en"",""de"")"),"Die Blätter werden weiterhin herumblasen wie eine Maschine, die in der Ferne sitzt.")</f>
        <v>Die Blätter werden weiterhin herumblasen wie eine Maschine, die in der Ferne sitzt.</v>
      </c>
    </row>
    <row r="78">
      <c r="A78" s="4" t="s">
        <v>98</v>
      </c>
      <c r="B78" s="4" t="s">
        <v>99</v>
      </c>
      <c r="C78" s="5" t="str">
        <f>IFERROR(__xludf.DUMMYFUNCTION("GOOGLETRANSLATE(B78,""en"",""de"")"),"Ein Basketballspieler dribiert in verschiedenen Schüssen für die Kamera einen Ball und führt immer wieder in den Spieler, der Körbe macht.")</f>
        <v>Ein Basketballspieler dribiert in verschiedenen Schüssen für die Kamera einen Ball und führt immer wieder in den Spieler, der Körbe macht.</v>
      </c>
    </row>
    <row r="79">
      <c r="A79" s="4" t="s">
        <v>98</v>
      </c>
      <c r="B79" s="4" t="s">
        <v>100</v>
      </c>
      <c r="C79" s="5" t="str">
        <f>IFERROR(__xludf.DUMMYFUNCTION("GOOGLETRANSLATE(B79,""en"",""de"")"),"Der Mann wird dann gesehen, wie er mit der Kamera spricht und in ihn übergeht und mehrere weitere Körbe erzielt.")</f>
        <v>Der Mann wird dann gesehen, wie er mit der Kamera spricht und in ihn übergeht und mehrere weitere Körbe erzielt.</v>
      </c>
    </row>
    <row r="80">
      <c r="A80" s="4" t="s">
        <v>101</v>
      </c>
      <c r="B80" s="4" t="s">
        <v>102</v>
      </c>
      <c r="C80" s="5" t="str">
        <f>IFERROR(__xludf.DUMMYFUNCTION("GOOGLETRANSLATE(B80,""en"",""de"")"),"Die Leute stehen in einem Raum und trainieren.")</f>
        <v>Die Leute stehen in einem Raum und trainieren.</v>
      </c>
    </row>
    <row r="81">
      <c r="A81" s="4" t="s">
        <v>101</v>
      </c>
      <c r="B81" s="4" t="s">
        <v>103</v>
      </c>
      <c r="C81" s="5" t="str">
        <f>IFERROR(__xludf.DUMMYFUNCTION("GOOGLETRANSLATE(B81,""en"",""de"")"),"Sie treten auf kleinen Sprungschützen auf und ab.")</f>
        <v>Sie treten auf kleinen Sprungschützen auf und ab.</v>
      </c>
    </row>
    <row r="82">
      <c r="A82" s="4" t="s">
        <v>101</v>
      </c>
      <c r="B82" s="4" t="s">
        <v>104</v>
      </c>
      <c r="C82" s="5" t="str">
        <f>IFERROR(__xludf.DUMMYFUNCTION("GOOGLETRANSLATE(B82,""en"",""de"")"),"Sie trainieren weiter im Raum.")</f>
        <v>Sie trainieren weiter im Raum.</v>
      </c>
    </row>
    <row r="83">
      <c r="A83" s="4" t="s">
        <v>105</v>
      </c>
      <c r="B83" s="4" t="s">
        <v>106</v>
      </c>
      <c r="C83" s="5" t="str">
        <f>IFERROR(__xludf.DUMMYFUNCTION("GOOGLETRANSLATE(B83,""en"",""de"")"),"Ein schwarz -weißes Video wird von Leuten gespielt, die Lacrosse auf einem Feld spielen.")</f>
        <v>Ein schwarz -weißes Video wird von Leuten gespielt, die Lacrosse auf einem Feld spielen.</v>
      </c>
    </row>
    <row r="84">
      <c r="A84" s="4" t="s">
        <v>105</v>
      </c>
      <c r="B84" s="4" t="s">
        <v>107</v>
      </c>
      <c r="C84" s="5" t="str">
        <f>IFERROR(__xludf.DUMMYFUNCTION("GOOGLETRANSLATE(B84,""en"",""de"")"),"Es verwandelt sich dann wieder in Farbe und spaltet sich in mehrere Frames und Geschwindigkeiten auf.")</f>
        <v>Es verwandelt sich dann wieder in Farbe und spaltet sich in mehrere Frames und Geschwindigkeiten auf.</v>
      </c>
    </row>
    <row r="85">
      <c r="A85" s="4" t="s">
        <v>105</v>
      </c>
      <c r="B85" s="4" t="s">
        <v>108</v>
      </c>
      <c r="C85" s="5" t="str">
        <f>IFERROR(__xludf.DUMMYFUNCTION("GOOGLETRANSLATE(B85,""en"",""de"")"),"Das Video enthält zahlreiche Clips von Spielern in Lacrosse -Spielen, die den Ball in Richtung gegnerischer Tore treffen.")</f>
        <v>Das Video enthält zahlreiche Clips von Spielern in Lacrosse -Spielen, die den Ball in Richtung gegnerischer Tore treffen.</v>
      </c>
    </row>
    <row r="86">
      <c r="A86" s="4" t="s">
        <v>109</v>
      </c>
      <c r="B86" s="4" t="s">
        <v>110</v>
      </c>
      <c r="C86" s="5" t="str">
        <f>IFERROR(__xludf.DUMMYFUNCTION("GOOGLETRANSLATE(B86,""en"",""de"")"),"Ein Mann spielt die Dudelsack vor Menschen.")</f>
        <v>Ein Mann spielt die Dudelsack vor Menschen.</v>
      </c>
    </row>
    <row r="87">
      <c r="A87" s="4" t="s">
        <v>109</v>
      </c>
      <c r="B87" s="4" t="s">
        <v>111</v>
      </c>
      <c r="C87" s="5" t="str">
        <f>IFERROR(__xludf.DUMMYFUNCTION("GOOGLETRANSLATE(B87,""en"",""de"")"),"Die Leute auf der Couch vor ihm beginnen zu lachen.")</f>
        <v>Die Leute auf der Couch vor ihm beginnen zu lachen.</v>
      </c>
    </row>
    <row r="88">
      <c r="A88" s="4" t="s">
        <v>112</v>
      </c>
      <c r="B88" s="4" t="s">
        <v>113</v>
      </c>
      <c r="C88" s="5" t="str">
        <f>IFERROR(__xludf.DUMMYFUNCTION("GOOGLETRANSLATE(B88,""en"",""de"")"),"Ein Mann wird gesehen, wie er ein Kanu entlang des Wassers tadelt, während die Kamera ihn aus mehreren Winkeln einfängt.")</f>
        <v>Ein Mann wird gesehen, wie er ein Kanu entlang des Wassers tadelt, während die Kamera ihn aus mehreren Winkeln einfängt.</v>
      </c>
    </row>
    <row r="89">
      <c r="A89" s="4" t="s">
        <v>112</v>
      </c>
      <c r="B89" s="4" t="s">
        <v>114</v>
      </c>
      <c r="C89" s="5" t="str">
        <f>IFERROR(__xludf.DUMMYFUNCTION("GOOGLETRANSLATE(B89,""en"",""de"")"),"Der Mann fährt weiter herum und führt verschiedene Möglichkeiten, um das Kanu umzudrehen.")</f>
        <v>Der Mann fährt weiter herum und führt verschiedene Möglichkeiten, um das Kanu umzudrehen.</v>
      </c>
    </row>
    <row r="90">
      <c r="A90" s="4" t="s">
        <v>115</v>
      </c>
      <c r="B90" s="4" t="s">
        <v>116</v>
      </c>
      <c r="C90" s="5" t="str">
        <f>IFERROR(__xludf.DUMMYFUNCTION("GOOGLETRANSLATE(B90,""en"",""de"")"),"Ein Mann steht auf Eis, wobei seine Stange gerade neben ihm steht.")</f>
        <v>Ein Mann steht auf Eis, wobei seine Stange gerade neben ihm steht.</v>
      </c>
    </row>
    <row r="91">
      <c r="A91" s="4" t="s">
        <v>115</v>
      </c>
      <c r="B91" s="4" t="s">
        <v>117</v>
      </c>
      <c r="C91" s="5" t="str">
        <f>IFERROR(__xludf.DUMMYFUNCTION("GOOGLETRANSLATE(B91,""en"",""de"")"),"Der Mann greift nach seiner Angelstange und fängt an, im Loch im Eis zu fischen.")</f>
        <v>Der Mann greift nach seiner Angelstange und fängt an, im Loch im Eis zu fischen.</v>
      </c>
    </row>
    <row r="92">
      <c r="A92" s="4" t="s">
        <v>115</v>
      </c>
      <c r="B92" s="4" t="s">
        <v>118</v>
      </c>
      <c r="C92" s="5" t="str">
        <f>IFERROR(__xludf.DUMMYFUNCTION("GOOGLETRANSLATE(B92,""en"",""de"")"),"Der Mann scheint etwas gefangen zu haben und kniet nach unten, um seine Fischerei von Hand zu ziehen.")</f>
        <v>Der Mann scheint etwas gefangen zu haben und kniet nach unten, um seine Fischerei von Hand zu ziehen.</v>
      </c>
    </row>
    <row r="93">
      <c r="A93" s="4" t="s">
        <v>115</v>
      </c>
      <c r="B93" s="4" t="s">
        <v>119</v>
      </c>
      <c r="C93" s="5" t="str">
        <f>IFERROR(__xludf.DUMMYFUNCTION("GOOGLETRANSLATE(B93,""en"",""de"")"),"Der Mann zieht einen Fisch aus dem Wasser und posiert damit.")</f>
        <v>Der Mann zieht einen Fisch aus dem Wasser und posiert damit.</v>
      </c>
    </row>
    <row r="94">
      <c r="A94" s="4" t="s">
        <v>115</v>
      </c>
      <c r="B94" s="4" t="s">
        <v>120</v>
      </c>
      <c r="C94" s="5" t="str">
        <f>IFERROR(__xludf.DUMMYFUNCTION("GOOGLETRANSLATE(B94,""en"",""de"")"),"Der Mann löst den Haken aus dem Mund des Fisches aus.")</f>
        <v>Der Mann löst den Haken aus dem Mund des Fisches aus.</v>
      </c>
    </row>
    <row r="95">
      <c r="A95" s="4" t="s">
        <v>115</v>
      </c>
      <c r="B95" s="4" t="s">
        <v>121</v>
      </c>
      <c r="C95" s="5" t="str">
        <f>IFERROR(__xludf.DUMMYFUNCTION("GOOGLETRANSLATE(B95,""en"",""de"")"),"Der Mann küsst den Fisch und lässt ihn wieder in das Loch frei.")</f>
        <v>Der Mann küsst den Fisch und lässt ihn wieder in das Loch frei.</v>
      </c>
    </row>
    <row r="96">
      <c r="A96" s="4" t="s">
        <v>122</v>
      </c>
      <c r="B96" s="4" t="s">
        <v>123</v>
      </c>
      <c r="C96" s="5" t="str">
        <f>IFERROR(__xludf.DUMMYFUNCTION("GOOGLETRANSLATE(B96,""en"",""de"")"),"Ein Mann saß in einem Raum.")</f>
        <v>Ein Mann saß in einem Raum.</v>
      </c>
    </row>
    <row r="97">
      <c r="A97" s="4" t="s">
        <v>122</v>
      </c>
      <c r="B97" s="4" t="s">
        <v>124</v>
      </c>
      <c r="C97" s="5" t="str">
        <f>IFERROR(__xludf.DUMMYFUNCTION("GOOGLETRANSLATE(B97,""en"",""de"")"),"Er hält eine Schüssel Nudeln und Brühe.")</f>
        <v>Er hält eine Schüssel Nudeln und Brühe.</v>
      </c>
    </row>
    <row r="98">
      <c r="A98" s="4" t="s">
        <v>122</v>
      </c>
      <c r="B98" s="4" t="s">
        <v>125</v>
      </c>
      <c r="C98" s="5" t="str">
        <f>IFERROR(__xludf.DUMMYFUNCTION("GOOGLETRANSLATE(B98,""en"",""de"")"),"Er trinkt die Brühe aus einer Schüssel.")</f>
        <v>Er trinkt die Brühe aus einer Schüssel.</v>
      </c>
    </row>
    <row r="99">
      <c r="A99" s="4" t="s">
        <v>126</v>
      </c>
      <c r="B99" s="4" t="s">
        <v>127</v>
      </c>
      <c r="C99" s="5" t="str">
        <f>IFERROR(__xludf.DUMMYFUNCTION("GOOGLETRANSLATE(B99,""en"",""de"")"),"Ein kleiner Junge legt sich auf einen Übungsball.")</f>
        <v>Ein kleiner Junge legt sich auf einen Übungsball.</v>
      </c>
    </row>
    <row r="100">
      <c r="A100" s="4" t="s">
        <v>126</v>
      </c>
      <c r="B100" s="4" t="s">
        <v>128</v>
      </c>
      <c r="C100" s="5" t="str">
        <f>IFERROR(__xludf.DUMMYFUNCTION("GOOGLETRANSLATE(B100,""en"",""de"")"),"Der Junge fällt von und steigt wieder auf den Ball, bevor er wieder abfällt.")</f>
        <v>Der Junge fällt von und steigt wieder auf den Ball, bevor er wieder abfällt.</v>
      </c>
    </row>
    <row r="101">
      <c r="A101" s="4" t="s">
        <v>126</v>
      </c>
      <c r="B101" s="4" t="s">
        <v>129</v>
      </c>
      <c r="C101" s="5" t="str">
        <f>IFERROR(__xludf.DUMMYFUNCTION("GOOGLETRANSLATE(B101,""en"",""de"")"),"Er versucht auf dem Ball zu sitzen, aber der Ball rollt weg.")</f>
        <v>Er versucht auf dem Ball zu sitzen, aber der Ball rollt weg.</v>
      </c>
    </row>
    <row r="102">
      <c r="A102" s="4" t="s">
        <v>126</v>
      </c>
      <c r="B102" s="4" t="s">
        <v>130</v>
      </c>
      <c r="C102" s="5" t="str">
        <f>IFERROR(__xludf.DUMMYFUNCTION("GOOGLETRANSLATE(B102,""en"",""de"")"),"Er holt es ab und sitzt weiterhin auf und fällt vom Ball.")</f>
        <v>Er holt es ab und sitzt weiterhin auf und fällt vom Ball.</v>
      </c>
    </row>
    <row r="103">
      <c r="A103" s="4" t="s">
        <v>131</v>
      </c>
      <c r="B103" s="4" t="s">
        <v>132</v>
      </c>
      <c r="C103" s="5" t="str">
        <f>IFERROR(__xludf.DUMMYFUNCTION("GOOGLETRANSLATE(B103,""en"",""de"")"),"Eine Frau setzt ein Paar Schuhe an, während er auf einem Bürostuhl sitzt.")</f>
        <v>Eine Frau setzt ein Paar Schuhe an, während er auf einem Bürostuhl sitzt.</v>
      </c>
    </row>
    <row r="104">
      <c r="A104" s="4" t="s">
        <v>131</v>
      </c>
      <c r="B104" s="4" t="s">
        <v>133</v>
      </c>
      <c r="C104" s="5" t="str">
        <f>IFERROR(__xludf.DUMMYFUNCTION("GOOGLETRANSLATE(B104,""en"",""de"")"),"Die Frau schnallt ihre Schuhe.")</f>
        <v>Die Frau schnallt ihre Schuhe.</v>
      </c>
    </row>
    <row r="105">
      <c r="A105" s="4" t="s">
        <v>134</v>
      </c>
      <c r="B105" s="4" t="s">
        <v>135</v>
      </c>
      <c r="C105" s="5" t="str">
        <f>IFERROR(__xludf.DUMMYFUNCTION("GOOGLETRANSLATE(B105,""en"",""de"")"),"Es ist eine Nahaufnahme eines Fahrradrads zu sehen, das in die Hände einer Person auf den Reifen drückt.")</f>
        <v>Es ist eine Nahaufnahme eines Fahrradrads zu sehen, das in die Hände einer Person auf den Reifen drückt.</v>
      </c>
    </row>
    <row r="106">
      <c r="A106" s="4" t="s">
        <v>134</v>
      </c>
      <c r="B106" s="4" t="s">
        <v>136</v>
      </c>
      <c r="C106" s="5" t="str">
        <f>IFERROR(__xludf.DUMMYFUNCTION("GOOGLETRANSLATE(B106,""en"",""de"")"),"Die Person benutzt ein Werkzeug entlang des Reifens, um es weiterzuschieben.")</f>
        <v>Die Person benutzt ein Werkzeug entlang des Reifens, um es weiterzuschieben.</v>
      </c>
    </row>
    <row r="107">
      <c r="A107" s="4" t="s">
        <v>134</v>
      </c>
      <c r="B107" s="4" t="s">
        <v>137</v>
      </c>
      <c r="C107" s="5" t="str">
        <f>IFERROR(__xludf.DUMMYFUNCTION("GOOGLETRANSLATE(B107,""en"",""de"")"),"Die Person schiebt schließlich den Reifen entlang der Seiten.")</f>
        <v>Die Person schiebt schließlich den Reifen entlang der Seiten.</v>
      </c>
    </row>
    <row r="108">
      <c r="A108" s="4" t="s">
        <v>138</v>
      </c>
      <c r="B108" s="4" t="s">
        <v>139</v>
      </c>
      <c r="C108" s="5" t="str">
        <f>IFERROR(__xludf.DUMMYFUNCTION("GOOGLETRANSLATE(B108,""en"",""de"")"),"Eine Frau kniet auf dem Boden und zieht sich an ein Übungsgerät.")</f>
        <v>Eine Frau kniet auf dem Boden und zieht sich an ein Übungsgerät.</v>
      </c>
    </row>
    <row r="109">
      <c r="A109" s="4" t="s">
        <v>138</v>
      </c>
      <c r="B109" s="4" t="s">
        <v>140</v>
      </c>
      <c r="C109" s="5" t="str">
        <f>IFERROR(__xludf.DUMMYFUNCTION("GOOGLETRANSLATE(B109,""en"",""de"")"),"Die Frau fängt an, ihren Körper mit der Ausrüstung zu drehen, während sie mit der Kamera spricht.")</f>
        <v>Die Frau fängt an, ihren Körper mit der Ausrüstung zu drehen, während sie mit der Kamera spricht.</v>
      </c>
    </row>
    <row r="110">
      <c r="A110" s="4" t="s">
        <v>138</v>
      </c>
      <c r="B110" s="4" t="s">
        <v>141</v>
      </c>
      <c r="C110" s="5" t="str">
        <f>IFERROR(__xludf.DUMMYFUNCTION("GOOGLETRANSLATE(B110,""en"",""de"")"),"Sie zieht weiter auf den Hebel, während sie zur Kamera zurückblickt.")</f>
        <v>Sie zieht weiter auf den Hebel, während sie zur Kamera zurückblickt.</v>
      </c>
    </row>
    <row r="111">
      <c r="A111" s="4" t="s">
        <v>142</v>
      </c>
      <c r="B111" s="4" t="s">
        <v>143</v>
      </c>
      <c r="C111" s="5" t="str">
        <f>IFERROR(__xludf.DUMMYFUNCTION("GOOGLETRANSLATE(B111,""en"",""de"")"),"Drei Personen stehen an der Ecke eines Gebäudes.")</f>
        <v>Drei Personen stehen an der Ecke eines Gebäudes.</v>
      </c>
    </row>
    <row r="112">
      <c r="A112" s="4" t="s">
        <v>142</v>
      </c>
      <c r="B112" s="4" t="s">
        <v>144</v>
      </c>
      <c r="C112" s="5" t="str">
        <f>IFERROR(__xludf.DUMMYFUNCTION("GOOGLETRANSLATE(B112,""en"",""de"")"),"Einer der Personen, ein kleiner Junge, nimmt sich verbeugt.")</f>
        <v>Einer der Personen, ein kleiner Junge, nimmt sich verbeugt.</v>
      </c>
    </row>
    <row r="113">
      <c r="A113" s="4" t="s">
        <v>142</v>
      </c>
      <c r="B113" s="4" t="s">
        <v>145</v>
      </c>
      <c r="C113" s="5" t="str">
        <f>IFERROR(__xludf.DUMMYFUNCTION("GOOGLETRANSLATE(B113,""en"",""de"")"),"Eine Menge von Menschen beobachtet ihn.")</f>
        <v>Eine Menge von Menschen beobachtet ihn.</v>
      </c>
    </row>
    <row r="114">
      <c r="A114" s="4" t="s">
        <v>142</v>
      </c>
      <c r="B114" s="4" t="s">
        <v>146</v>
      </c>
      <c r="C114" s="5" t="str">
        <f>IFERROR(__xludf.DUMMYFUNCTION("GOOGLETRANSLATE(B114,""en"",""de"")"),"Er führt verschiedene Karate -Bewegungen durch, wie Beugen, Wagenräder und Flips.")</f>
        <v>Er führt verschiedene Karate -Bewegungen durch, wie Beugen, Wagenräder und Flips.</v>
      </c>
    </row>
    <row r="115">
      <c r="A115" s="4" t="s">
        <v>147</v>
      </c>
      <c r="B115" s="4" t="s">
        <v>148</v>
      </c>
      <c r="C115" s="5" t="str">
        <f>IFERROR(__xludf.DUMMYFUNCTION("GOOGLETRANSLATE(B115,""en"",""de"")"),"Eine Person hält eine Flöte.")</f>
        <v>Eine Person hält eine Flöte.</v>
      </c>
    </row>
    <row r="116">
      <c r="A116" s="4" t="s">
        <v>147</v>
      </c>
      <c r="B116" s="4" t="s">
        <v>149</v>
      </c>
      <c r="C116" s="5" t="str">
        <f>IFERROR(__xludf.DUMMYFUNCTION("GOOGLETRANSLATE(B116,""en"",""de"")"),"Die Person zeigt ein Fingern für die zweite Oktave der Notiz.")</f>
        <v>Die Person zeigt ein Fingern für die zweite Oktave der Notiz.</v>
      </c>
    </row>
    <row r="117">
      <c r="A117" s="4" t="s">
        <v>147</v>
      </c>
      <c r="B117" s="4" t="s">
        <v>150</v>
      </c>
      <c r="C117" s="5" t="str">
        <f>IFERROR(__xludf.DUMMYFUNCTION("GOOGLETRANSLATE(B117,""en"",""de"")"),"Die Person zeigt das Finger auf der dritten Oktave.")</f>
        <v>Die Person zeigt das Finger auf der dritten Oktave.</v>
      </c>
    </row>
    <row r="118">
      <c r="A118" s="4" t="s">
        <v>147</v>
      </c>
      <c r="B118" s="4" t="s">
        <v>151</v>
      </c>
      <c r="C118" s="5" t="str">
        <f>IFERROR(__xludf.DUMMYFUNCTION("GOOGLETRANSLATE(B118,""en"",""de"")"),"Die Frau spricht direkt mit der Kamera.")</f>
        <v>Die Frau spricht direkt mit der Kamera.</v>
      </c>
    </row>
    <row r="119">
      <c r="A119" s="4" t="s">
        <v>152</v>
      </c>
      <c r="B119" s="4" t="s">
        <v>153</v>
      </c>
      <c r="C119" s="5" t="str">
        <f>IFERROR(__xludf.DUMMYFUNCTION("GOOGLETRANSLATE(B119,""en"",""de"")"),"Ein Intro führt in mehrere Bilder eines Tennisspieler und Führungskräfte in Videomaterial des Spielers, das Spiele spielt.")</f>
        <v>Ein Intro führt in mehrere Bilder eines Tennisspieler und Führungskräfte in Videomaterial des Spielers, das Spiele spielt.</v>
      </c>
    </row>
    <row r="120">
      <c r="A120" s="4" t="s">
        <v>152</v>
      </c>
      <c r="B120" s="4" t="s">
        <v>154</v>
      </c>
      <c r="C120" s="5" t="str">
        <f>IFERROR(__xludf.DUMMYFUNCTION("GOOGLETRANSLATE(B120,""en"",""de"")"),"Der Tennisspieler wird in mehreren Schüssen von Spielen gezeigt, die unglaubliche Stunts durchführen und am Ende seine Fäuste zusammenballen, um zu feiern.")</f>
        <v>Der Tennisspieler wird in mehreren Schüssen von Spielen gezeigt, die unglaubliche Stunts durchführen und am Ende seine Fäuste zusammenballen, um zu feiern.</v>
      </c>
    </row>
    <row r="121">
      <c r="A121" s="4" t="s">
        <v>155</v>
      </c>
      <c r="B121" s="4" t="s">
        <v>156</v>
      </c>
      <c r="C121" s="5" t="str">
        <f>IFERROR(__xludf.DUMMYFUNCTION("GOOGLETRANSLATE(B121,""en"",""de"")"),"HipHop -Tänzer treten vor einer Menge auf.")</f>
        <v>HipHop -Tänzer treten vor einer Menge auf.</v>
      </c>
    </row>
    <row r="122">
      <c r="A122" s="4" t="s">
        <v>155</v>
      </c>
      <c r="B122" s="4" t="s">
        <v>157</v>
      </c>
      <c r="C122" s="5" t="str">
        <f>IFERROR(__xludf.DUMMYFUNCTION("GOOGLETRANSLATE(B122,""en"",""de"")"),"Sie alle machen den gleichen grundlegenden Tanz und haben Bilder von ihnen aufgenommen.")</f>
        <v>Sie alle machen den gleichen grundlegenden Tanz und haben Bilder von ihnen aufgenommen.</v>
      </c>
    </row>
    <row r="123">
      <c r="A123" s="4" t="s">
        <v>158</v>
      </c>
      <c r="B123" s="4" t="s">
        <v>159</v>
      </c>
      <c r="C123" s="5" t="str">
        <f>IFERROR(__xludf.DUMMYFUNCTION("GOOGLETRANSLATE(B123,""en"",""de"")"),"Neben einer Reihe von Bäumen wird ein trübe Fluss gezeigt.")</f>
        <v>Neben einer Reihe von Bäumen wird ein trübe Fluss gezeigt.</v>
      </c>
    </row>
    <row r="124">
      <c r="A124" s="4" t="s">
        <v>158</v>
      </c>
      <c r="B124" s="4" t="s">
        <v>160</v>
      </c>
      <c r="C124" s="5" t="str">
        <f>IFERROR(__xludf.DUMMYFUNCTION("GOOGLETRANSLATE(B124,""en"",""de"")"),"Ein paar Leute auf Gezeiten gehen langsam vorbei.")</f>
        <v>Ein paar Leute auf Gezeiten gehen langsam vorbei.</v>
      </c>
    </row>
    <row r="125">
      <c r="A125" s="4" t="s">
        <v>158</v>
      </c>
      <c r="B125" s="4" t="s">
        <v>161</v>
      </c>
      <c r="C125" s="5" t="str">
        <f>IFERROR(__xludf.DUMMYFUNCTION("GOOGLETRANSLATE(B125,""en"",""de"")"),"Dann sehen wir schnelles Wasser, wenn die Knollen über kleine Wasserfälle gehen.")</f>
        <v>Dann sehen wir schnelles Wasser, wenn die Knollen über kleine Wasserfälle gehen.</v>
      </c>
    </row>
    <row r="126">
      <c r="A126" s="4" t="s">
        <v>162</v>
      </c>
      <c r="B126" s="4" t="s">
        <v>163</v>
      </c>
      <c r="C126" s="5" t="str">
        <f>IFERROR(__xludf.DUMMYFUNCTION("GOOGLETRANSLATE(B126,""en"",""de"")"),"Drei Mädchen sind am Strand und reden.")</f>
        <v>Drei Mädchen sind am Strand und reden.</v>
      </c>
    </row>
    <row r="127">
      <c r="A127" s="4" t="s">
        <v>162</v>
      </c>
      <c r="B127" s="4" t="s">
        <v>164</v>
      </c>
      <c r="C127" s="5" t="str">
        <f>IFERROR(__xludf.DUMMYFUNCTION("GOOGLETRANSLATE(B127,""en"",""de"")"),"Sie machen mehrere Flips am Strand.")</f>
        <v>Sie machen mehrere Flips am Strand.</v>
      </c>
    </row>
    <row r="128">
      <c r="A128" s="4" t="s">
        <v>162</v>
      </c>
      <c r="B128" s="4" t="s">
        <v>165</v>
      </c>
      <c r="C128" s="5" t="str">
        <f>IFERROR(__xludf.DUMMYFUNCTION("GOOGLETRANSLATE(B128,""en"",""de"")"),"Sie heben eines der Mädchen für einen Stunt hoch.")</f>
        <v>Sie heben eines der Mädchen für einen Stunt hoch.</v>
      </c>
    </row>
    <row r="129">
      <c r="A129" s="4" t="s">
        <v>166</v>
      </c>
      <c r="B129" s="4" t="s">
        <v>167</v>
      </c>
      <c r="C129" s="5" t="str">
        <f>IFERROR(__xludf.DUMMYFUNCTION("GOOGLETRANSLATE(B129,""en"",""de"")"),"Die Kamera schwenkt über üppigem und grünem Gelände über einer Bergkette.")</f>
        <v>Die Kamera schwenkt über üppigem und grünem Gelände über einer Bergkette.</v>
      </c>
    </row>
    <row r="130">
      <c r="A130" s="4" t="s">
        <v>166</v>
      </c>
      <c r="B130" s="4" t="s">
        <v>168</v>
      </c>
      <c r="C130" s="5" t="str">
        <f>IFERROR(__xludf.DUMMYFUNCTION("GOOGLETRANSLATE(B130,""en"",""de"")"),"Ein Mann wird schweißgebadet gezeigt und springt dann über verschiedene Hügel, die Stunts auf einem Dirtbike durchführen.")</f>
        <v>Ein Mann wird schweißgebadet gezeigt und springt dann über verschiedene Hügel, die Stunts auf einem Dirtbike durchführen.</v>
      </c>
    </row>
    <row r="131">
      <c r="A131" s="4" t="s">
        <v>166</v>
      </c>
      <c r="B131" s="4" t="s">
        <v>169</v>
      </c>
      <c r="C131" s="5" t="str">
        <f>IFERROR(__xludf.DUMMYFUNCTION("GOOGLETRANSLATE(B131,""en"",""de"")"),"Er dreht und dreht sich um und führt alle Arten von Akrobatik durch.")</f>
        <v>Er dreht und dreht sich um und führt alle Arten von Akrobatik durch.</v>
      </c>
    </row>
    <row r="132">
      <c r="A132" s="4" t="s">
        <v>166</v>
      </c>
      <c r="B132" s="4" t="s">
        <v>170</v>
      </c>
      <c r="C132" s="5" t="str">
        <f>IFERROR(__xludf.DUMMYFUNCTION("GOOGLETRANSLATE(B132,""en"",""de"")"),"Er ist hochqualifiziert und springt über alles.")</f>
        <v>Er ist hochqualifiziert und springt über alles.</v>
      </c>
    </row>
    <row r="133">
      <c r="A133" s="4" t="s">
        <v>166</v>
      </c>
      <c r="B133" s="4" t="s">
        <v>171</v>
      </c>
      <c r="C133" s="5" t="str">
        <f>IFERROR(__xludf.DUMMYFUNCTION("GOOGLETRANSLATE(B133,""en"",""de"")"),"Das Video zeigt dann mehrere Männer auf Dirtbikes, die an verschiedenen Orten springen und die Aktion aus einer Vielzahl von Winkeln zeigt.")</f>
        <v>Das Video zeigt dann mehrere Männer auf Dirtbikes, die an verschiedenen Orten springen und die Aktion aus einer Vielzahl von Winkeln zeigt.</v>
      </c>
    </row>
    <row r="134">
      <c r="A134" s="4" t="s">
        <v>166</v>
      </c>
      <c r="B134" s="4" t="s">
        <v>172</v>
      </c>
      <c r="C134" s="5" t="str">
        <f>IFERROR(__xludf.DUMMYFUNCTION("GOOGLETRANSLATE(B134,""en"",""de"")"),"Die Männer führen ihre Elektroschöpfe in verschiedenen anderen Landschaften weiter aus.")</f>
        <v>Die Männer führen ihre Elektroschöpfe in verschiedenen anderen Landschaften weiter aus.</v>
      </c>
    </row>
    <row r="135">
      <c r="A135" s="4" t="s">
        <v>173</v>
      </c>
      <c r="B135" s="4" t="s">
        <v>174</v>
      </c>
      <c r="C135" s="5" t="str">
        <f>IFERROR(__xludf.DUMMYFUNCTION("GOOGLETRANSLATE(B135,""en"",""de"")"),"Eine Frau geht eine Strecke entlang.")</f>
        <v>Eine Frau geht eine Strecke entlang.</v>
      </c>
    </row>
    <row r="136">
      <c r="A136" s="4" t="s">
        <v>173</v>
      </c>
      <c r="B136" s="4" t="s">
        <v>175</v>
      </c>
      <c r="C136" s="5" t="str">
        <f>IFERROR(__xludf.DUMMYFUNCTION("GOOGLETRANSLATE(B136,""en"",""de"")"),"Sie nimmt bei einem schnellen Lauf ab.")</f>
        <v>Sie nimmt bei einem schnellen Lauf ab.</v>
      </c>
    </row>
    <row r="137">
      <c r="A137" s="4" t="s">
        <v>173</v>
      </c>
      <c r="B137" s="4" t="s">
        <v>176</v>
      </c>
      <c r="C137" s="5" t="str">
        <f>IFERROR(__xludf.DUMMYFUNCTION("GOOGLETRANSLATE(B137,""en"",""de"")"),"Sie springt über eine Bar auf eine Matte.")</f>
        <v>Sie springt über eine Bar auf eine Matte.</v>
      </c>
    </row>
    <row r="138">
      <c r="A138" s="4" t="s">
        <v>177</v>
      </c>
      <c r="B138" s="4" t="s">
        <v>178</v>
      </c>
      <c r="C138" s="5" t="str">
        <f>IFERROR(__xludf.DUMMYFUNCTION("GOOGLETRANSLATE(B138,""en"",""de"")"),"Eine Person schneidet Limetten auf einem Board.")</f>
        <v>Eine Person schneidet Limetten auf einem Board.</v>
      </c>
    </row>
    <row r="139">
      <c r="A139" s="4" t="s">
        <v>177</v>
      </c>
      <c r="B139" s="4" t="s">
        <v>179</v>
      </c>
      <c r="C139" s="5" t="str">
        <f>IFERROR(__xludf.DUMMYFUNCTION("GOOGLETRANSLATE(B139,""en"",""de"")"),"Sie stecken die Limetten und den Zucker in einen Mixer.")</f>
        <v>Sie stecken die Limetten und den Zucker in einen Mixer.</v>
      </c>
    </row>
    <row r="140">
      <c r="A140" s="4" t="s">
        <v>177</v>
      </c>
      <c r="B140" s="4" t="s">
        <v>180</v>
      </c>
      <c r="C140" s="5" t="str">
        <f>IFERROR(__xludf.DUMMYFUNCTION("GOOGLETRANSLATE(B140,""en"",""de"")"),"Sie belasten den Saft und gießen ihn in ein Glas.")</f>
        <v>Sie belasten den Saft und gießen ihn in ein Glas.</v>
      </c>
    </row>
    <row r="141">
      <c r="A141" s="4" t="s">
        <v>177</v>
      </c>
      <c r="B141" s="4" t="s">
        <v>181</v>
      </c>
      <c r="C141" s="5" t="str">
        <f>IFERROR(__xludf.DUMMYFUNCTION("GOOGLETRANSLATE(B141,""en"",""de"")"),"Sie legten einen Strohhalm und einen Limettenkeil auf den Rand des Glass.")</f>
        <v>Sie legten einen Strohhalm und einen Limettenkeil auf den Rand des Glass.</v>
      </c>
    </row>
    <row r="142">
      <c r="A142" s="4" t="s">
        <v>182</v>
      </c>
      <c r="B142" s="4" t="s">
        <v>183</v>
      </c>
      <c r="C142" s="5" t="str">
        <f>IFERROR(__xludf.DUMMYFUNCTION("GOOGLETRANSLATE(B142,""en"",""de"")"),"Ein Kind schrubbt das Spülbecken mit einem Pinsel.")</f>
        <v>Ein Kind schrubbt das Spülbecken mit einem Pinsel.</v>
      </c>
    </row>
    <row r="143">
      <c r="A143" s="4" t="s">
        <v>182</v>
      </c>
      <c r="B143" s="4" t="s">
        <v>184</v>
      </c>
      <c r="C143" s="5" t="str">
        <f>IFERROR(__xludf.DUMMYFUNCTION("GOOGLETRANSLATE(B143,""en"",""de"")"),"Der Junge schaltet den Waschbeckenhahn ein.")</f>
        <v>Der Junge schaltet den Waschbeckenhahn ein.</v>
      </c>
    </row>
    <row r="144">
      <c r="A144" s="4" t="s">
        <v>182</v>
      </c>
      <c r="B144" s="4" t="s">
        <v>185</v>
      </c>
      <c r="C144" s="5" t="str">
        <f>IFERROR(__xludf.DUMMYFUNCTION("GOOGLETRANSLATE(B144,""en"",""de"")"),"Das Kind verwendet die Wasserhahndüse, um die Spüle auszuspülen.")</f>
        <v>Das Kind verwendet die Wasserhahndüse, um die Spüle auszuspülen.</v>
      </c>
    </row>
    <row r="145">
      <c r="A145" s="4" t="s">
        <v>182</v>
      </c>
      <c r="B145" s="4" t="s">
        <v>186</v>
      </c>
      <c r="C145" s="5" t="str">
        <f>IFERROR(__xludf.DUMMYFUNCTION("GOOGLETRANSLATE(B145,""en"",""de"")"),"Der Junge kehrt die Spülendüse in den Wasserhahn zurück und schaltet das Wasser aus.")</f>
        <v>Der Junge kehrt die Spülendüse in den Wasserhahn zurück und schaltet das Wasser aus.</v>
      </c>
    </row>
    <row r="146">
      <c r="A146" s="4" t="s">
        <v>187</v>
      </c>
      <c r="B146" s="4" t="s">
        <v>188</v>
      </c>
      <c r="C146" s="5" t="str">
        <f>IFERROR(__xludf.DUMMYFUNCTION("GOOGLETRANSLATE(B146,""en"",""de"")"),"Ein Mann in einem nackten Studio zeigt eine Reihe von Kampfkünsten alleine vor einer Kamera.")</f>
        <v>Ein Mann in einem nackten Studio zeigt eine Reihe von Kampfkünsten alleine vor einer Kamera.</v>
      </c>
    </row>
    <row r="147">
      <c r="A147" s="4" t="s">
        <v>187</v>
      </c>
      <c r="B147" s="4" t="s">
        <v>189</v>
      </c>
      <c r="C147" s="5" t="str">
        <f>IFERROR(__xludf.DUMMYFUNCTION("GOOGLETRANSLATE(B147,""en"",""de"")"),"Ein Mann erscheint in einem weißen T-Shirt und einer schwarzen Hose, barfuß und beginnt, Kampfkunstbewegungen zu präsentieren.")</f>
        <v>Ein Mann erscheint in einem weißen T-Shirt und einer schwarzen Hose, barfuß und beginnt, Kampfkunstbewegungen zu präsentieren.</v>
      </c>
    </row>
    <row r="148">
      <c r="A148" s="4" t="s">
        <v>187</v>
      </c>
      <c r="B148" s="4" t="s">
        <v>190</v>
      </c>
      <c r="C148" s="5" t="str">
        <f>IFERROR(__xludf.DUMMYFUNCTION("GOOGLETRANSLATE(B148,""en"",""de"")"),"Der Mann beginnt Bewegungen zu verwenden, die Bodenarbeiten und Lichtstürme zusammen mit einem Kopfstand aufweisen.")</f>
        <v>Der Mann beginnt Bewegungen zu verwenden, die Bodenarbeiten und Lichtstürme zusammen mit einem Kopfstand aufweisen.</v>
      </c>
    </row>
    <row r="149">
      <c r="A149" s="4" t="s">
        <v>187</v>
      </c>
      <c r="B149" s="4" t="s">
        <v>191</v>
      </c>
      <c r="C149" s="5" t="str">
        <f>IFERROR(__xludf.DUMMYFUNCTION("GOOGLETRANSLATE(B149,""en"",""de"")"),"Der Mann geht mit hohen Tritten kontrollierter Somersaults und Seite an die Seitenarbeit voran.")</f>
        <v>Der Mann geht mit hohen Tritten kontrollierter Somersaults und Seite an die Seitenarbeit voran.</v>
      </c>
    </row>
    <row r="150">
      <c r="A150" s="4" t="s">
        <v>192</v>
      </c>
      <c r="B150" s="4" t="s">
        <v>193</v>
      </c>
      <c r="C150" s="5" t="str">
        <f>IFERROR(__xludf.DUMMYFUNCTION("GOOGLETRANSLATE(B150,""en"",""de"")"),"Ein Händler wird angezeigt, der Karten auf einem Tisch auslegt, während die Hände anderer Personen nebenbei angezeigt werden.")</f>
        <v>Ein Händler wird angezeigt, der Karten auf einem Tisch auslegt, während die Hände anderer Personen nebenbei angezeigt werden.</v>
      </c>
    </row>
    <row r="151">
      <c r="A151" s="4" t="s">
        <v>192</v>
      </c>
      <c r="B151" s="4" t="s">
        <v>194</v>
      </c>
      <c r="C151" s="5" t="str">
        <f>IFERROR(__xludf.DUMMYFUNCTION("GOOGLETRANSLATE(B151,""en"",""de"")"),"Die Person legt dann Karten aus, während eine andere Person ihre Chips darstellt.")</f>
        <v>Die Person legt dann Karten aus, während eine andere Person ihre Chips darstellt.</v>
      </c>
    </row>
    <row r="152">
      <c r="A152" s="4" t="s">
        <v>195</v>
      </c>
      <c r="B152" s="4" t="s">
        <v>196</v>
      </c>
      <c r="C152" s="5" t="str">
        <f>IFERROR(__xludf.DUMMYFUNCTION("GOOGLETRANSLATE(B152,""en"",""de"")"),"Mehrere Personen sind draußen mit Laufausrüstung und Zahlen, die ihnen langsam eingestuft werden, in welchem ​​Näher ein Marathon oder ein 5K sind.")</f>
        <v>Mehrere Personen sind draußen mit Laufausrüstung und Zahlen, die ihnen langsam eingestuft werden, in welchem ​​Näher ein Marathon oder ein 5K sind.</v>
      </c>
    </row>
    <row r="153">
      <c r="A153" s="4" t="s">
        <v>195</v>
      </c>
      <c r="B153" s="4" t="s">
        <v>197</v>
      </c>
      <c r="C153" s="5" t="str">
        <f>IFERROR(__xludf.DUMMYFUNCTION("GOOGLETRANSLATE(B153,""en"",""de"")"),"Eine in Schwarz gekleidete Frau scheint jedoch der Schwerpunkt im gesamten Video zu sein, und sie geht die ganze Zeit über extrem langsam.")</f>
        <v>Eine in Schwarz gekleidete Frau scheint jedoch der Schwerpunkt im gesamten Video zu sein, und sie geht die ganze Zeit über extrem langsam.</v>
      </c>
    </row>
    <row r="154">
      <c r="A154" s="4" t="s">
        <v>195</v>
      </c>
      <c r="B154" s="4" t="s">
        <v>198</v>
      </c>
      <c r="C154" s="5" t="str">
        <f>IFERROR(__xludf.DUMMYFUNCTION("GOOGLETRANSLATE(B154,""en"",""de"")"),"Nachdem die Menge gezeigt wurde und mehr Menschen durch die Stadt laufen oder sogar an einem Radstuhl teilnehmen, während die Menschen auf der Seite sie anfeuern.")</f>
        <v>Nachdem die Menge gezeigt wurde und mehr Menschen durch die Stadt laufen oder sogar an einem Radstuhl teilnehmen, während die Menschen auf der Seite sie anfeuern.</v>
      </c>
    </row>
    <row r="155">
      <c r="A155" s="4" t="s">
        <v>199</v>
      </c>
      <c r="B155" s="4" t="s">
        <v>200</v>
      </c>
      <c r="C155" s="5" t="str">
        <f>IFERROR(__xludf.DUMMYFUNCTION("GOOGLETRANSLATE(B155,""en"",""de"")"),"Ein Mann steht vor einem blauen Hintergrund, wie viele Harmonikas gezeigt werden und er beginnt, sie zu spielen.")</f>
        <v>Ein Mann steht vor einem blauen Hintergrund, wie viele Harmonikas gezeigt werden und er beginnt, sie zu spielen.</v>
      </c>
    </row>
    <row r="156">
      <c r="A156" s="4" t="s">
        <v>199</v>
      </c>
      <c r="B156" s="4" t="s">
        <v>201</v>
      </c>
      <c r="C156" s="5" t="str">
        <f>IFERROR(__xludf.DUMMYFUNCTION("GOOGLETRANSLATE(B156,""en"",""de"")"),"Anschließend wird er in die Kamera spricht und in Bezug auf die Produkte mit den Produkten ins Detail geht.")</f>
        <v>Anschließend wird er in die Kamera spricht und in Bezug auf die Produkte mit den Produkten ins Detail geht.</v>
      </c>
    </row>
    <row r="157">
      <c r="A157" s="4" t="s">
        <v>199</v>
      </c>
      <c r="B157" s="4" t="s">
        <v>202</v>
      </c>
      <c r="C157" s="5" t="str">
        <f>IFERROR(__xludf.DUMMYFUNCTION("GOOGLETRANSLATE(B157,""en"",""de"")"),"Er zeigt, wie viele er in seinem Mantel hat und spricht weiter.")</f>
        <v>Er zeigt, wie viele er in seinem Mantel hat und spricht weiter.</v>
      </c>
    </row>
    <row r="158">
      <c r="A158" s="4" t="s">
        <v>199</v>
      </c>
      <c r="B158" s="4" t="s">
        <v>203</v>
      </c>
      <c r="C158" s="5" t="str">
        <f>IFERROR(__xludf.DUMMYFUNCTION("GOOGLETRANSLATE(B158,""en"",""de"")"),"Dann wird ihm gezeigt, wie er eine andere Mundharmonika spielt, während er Anweisungen dazu gibt.")</f>
        <v>Dann wird ihm gezeigt, wie er eine andere Mundharmonika spielt, während er Anweisungen dazu gibt.</v>
      </c>
    </row>
    <row r="159">
      <c r="A159" s="4" t="s">
        <v>199</v>
      </c>
      <c r="B159" s="4" t="s">
        <v>204</v>
      </c>
      <c r="C159" s="5" t="str">
        <f>IFERROR(__xludf.DUMMYFUNCTION("GOOGLETRANSLATE(B159,""en"",""de"")"),"Er spricht noch etwas mehr und zeigt seine Mundharmonika erneut, wenn das Video zu einem End -Titel -Bildschirm mit dem Lesen von Howcast Original geht. """)</f>
        <v>Er spricht noch etwas mehr und zeigt seine Mundharmonika erneut, wenn das Video zu einem End -Titel -Bildschirm mit dem Lesen von Howcast Original geht. "</v>
      </c>
    </row>
    <row r="160">
      <c r="A160" s="4" t="s">
        <v>205</v>
      </c>
      <c r="B160" s="4" t="s">
        <v>206</v>
      </c>
      <c r="C160" s="5" t="str">
        <f>IFERROR(__xludf.DUMMYFUNCTION("GOOGLETRANSLATE(B160,""en"",""de"")"),"Ein Junge, der weiße Shorts trägt, steht in einem Raum.")</f>
        <v>Ein Junge, der weiße Shorts trägt, steht in einem Raum.</v>
      </c>
    </row>
    <row r="161">
      <c r="A161" s="4" t="s">
        <v>205</v>
      </c>
      <c r="B161" s="4" t="s">
        <v>207</v>
      </c>
      <c r="C161" s="5" t="str">
        <f>IFERROR(__xludf.DUMMYFUNCTION("GOOGLETRANSLATE(B161,""en"",""de"")"),"Er steckt etwas in den Mund.")</f>
        <v>Er steckt etwas in den Mund.</v>
      </c>
    </row>
    <row r="162">
      <c r="A162" s="4" t="s">
        <v>205</v>
      </c>
      <c r="B162" s="4" t="s">
        <v>208</v>
      </c>
      <c r="C162" s="5" t="str">
        <f>IFERROR(__xludf.DUMMYFUNCTION("GOOGLETRANSLATE(B162,""en"",""de"")"),"Er tritt seine Beine zur Seite.")</f>
        <v>Er tritt seine Beine zur Seite.</v>
      </c>
    </row>
    <row r="163">
      <c r="A163" s="4" t="s">
        <v>205</v>
      </c>
      <c r="B163" s="4" t="s">
        <v>209</v>
      </c>
      <c r="C163" s="5" t="str">
        <f>IFERROR(__xludf.DUMMYFUNCTION("GOOGLETRANSLATE(B163,""en"",""de"")"),"Die Kniet auf den Boden.")</f>
        <v>Die Kniet auf den Boden.</v>
      </c>
    </row>
    <row r="164">
      <c r="A164" s="4" t="s">
        <v>210</v>
      </c>
      <c r="B164" s="4" t="s">
        <v>211</v>
      </c>
      <c r="C164" s="5" t="str">
        <f>IFERROR(__xludf.DUMMYFUNCTION("GOOGLETRANSLATE(B164,""en"",""de"")"),"Eine kleine Gruppe von Menschen sitzt nebenbei und führt zu zwei Menschen, die zusammen tanzen.")</f>
        <v>Eine kleine Gruppe von Menschen sitzt nebenbei und führt zu zwei Menschen, die zusammen tanzen.</v>
      </c>
    </row>
    <row r="165">
      <c r="A165" s="4" t="s">
        <v>210</v>
      </c>
      <c r="B165" s="4" t="s">
        <v>212</v>
      </c>
      <c r="C165" s="5" t="str">
        <f>IFERROR(__xludf.DUMMYFUNCTION("GOOGLETRANSLATE(B165,""en"",""de"")"),"Die Leute tanzen weiter auf dem Boden und enden, indem sie mit der Band klatschen.")</f>
        <v>Die Leute tanzen weiter auf dem Boden und enden, indem sie mit der Band klatschen.</v>
      </c>
    </row>
    <row r="166">
      <c r="A166" s="4" t="s">
        <v>213</v>
      </c>
      <c r="B166" s="4" t="s">
        <v>214</v>
      </c>
      <c r="C166" s="5" t="str">
        <f>IFERROR(__xludf.DUMMYFUNCTION("GOOGLETRANSLATE(B166,""en"",""de"")"),"Ein Läufer testet in Ferngespräche ein Beinprothese.")</f>
        <v>Ein Läufer testet in Ferngespräche ein Beinprothese.</v>
      </c>
    </row>
    <row r="167">
      <c r="A167" s="4" t="s">
        <v>213</v>
      </c>
      <c r="B167" s="4" t="s">
        <v>215</v>
      </c>
      <c r="C167" s="5" t="str">
        <f>IFERROR(__xludf.DUMMYFUNCTION("GOOGLETRANSLATE(B167,""en"",""de"")"),"Er rennt drinnen und rennt dann nach draußen.")</f>
        <v>Er rennt drinnen und rennt dann nach draußen.</v>
      </c>
    </row>
    <row r="168">
      <c r="A168" s="4" t="s">
        <v>216</v>
      </c>
      <c r="B168" s="4" t="s">
        <v>217</v>
      </c>
      <c r="C168" s="5" t="str">
        <f>IFERROR(__xludf.DUMMYFUNCTION("GOOGLETRANSLATE(B168,""en"",""de"")"),"Eine kleine Gruppe von Menschen lässt sich um einen Tennisplatz herumwandern, der einen Ball über das Netz schlägt.")</f>
        <v>Eine kleine Gruppe von Menschen lässt sich um einen Tennisplatz herumwandern, der einen Ball über das Netz schlägt.</v>
      </c>
    </row>
    <row r="169">
      <c r="A169" s="4" t="s">
        <v>216</v>
      </c>
      <c r="B169" s="4" t="s">
        <v>218</v>
      </c>
      <c r="C169" s="5" t="str">
        <f>IFERROR(__xludf.DUMMYFUNCTION("GOOGLETRANSLATE(B169,""en"",""de"")"),"Die Leute schlugen den Ball zurück und vierten, während andere nebenbei zuschauen.")</f>
        <v>Die Leute schlugen den Ball zurück und vierten, während andere nebenbei zuschauen.</v>
      </c>
    </row>
    <row r="170">
      <c r="A170" s="4" t="s">
        <v>216</v>
      </c>
      <c r="B170" s="4" t="s">
        <v>219</v>
      </c>
      <c r="C170" s="5" t="str">
        <f>IFERROR(__xludf.DUMMYFUNCTION("GOOGLETRANSLATE(B170,""en"",""de"")"),"Sie spielen auch weiterhin das Spiel und andere.")</f>
        <v>Sie spielen auch weiterhin das Spiel und andere.</v>
      </c>
    </row>
    <row r="171">
      <c r="A171" s="4" t="s">
        <v>220</v>
      </c>
      <c r="B171" s="4" t="s">
        <v>221</v>
      </c>
      <c r="C171" s="5" t="str">
        <f>IFERROR(__xludf.DUMMYFUNCTION("GOOGLETRANSLATE(B171,""en"",""de"")"),"Ein junger Mann, der ein weißes Hemd, einen Helm und eine schwarze Hose trägt, hält ein Skateboard in den Händen, während er geht.")</f>
        <v>Ein junger Mann, der ein weißes Hemd, einen Helm und eine schwarze Hose trägt, hält ein Skateboard in den Händen, während er geht.</v>
      </c>
    </row>
    <row r="172">
      <c r="A172" s="4" t="s">
        <v>220</v>
      </c>
      <c r="B172" s="4" t="s">
        <v>222</v>
      </c>
      <c r="C172" s="5" t="str">
        <f>IFERROR(__xludf.DUMMYFUNCTION("GOOGLETRANSLATE(B172,""en"",""de"")"),"Er legt das Skateboard ab und beginnt auf einer Asphaltstraße zu skaten.")</f>
        <v>Er legt das Skateboard ab und beginnt auf einer Asphaltstraße zu skaten.</v>
      </c>
    </row>
    <row r="173">
      <c r="A173" s="4" t="s">
        <v>220</v>
      </c>
      <c r="B173" s="4" t="s">
        <v>223</v>
      </c>
      <c r="C173" s="5" t="str">
        <f>IFERROR(__xludf.DUMMYFUNCTION("GOOGLETRANSLATE(B173,""en"",""de"")"),"Er dreht das Skateboard mehrmals um und geht in Kreise.")</f>
        <v>Er dreht das Skateboard mehrmals um und geht in Kreise.</v>
      </c>
    </row>
    <row r="174">
      <c r="A174" s="4" t="s">
        <v>220</v>
      </c>
      <c r="B174" s="4" t="s">
        <v>224</v>
      </c>
      <c r="C174" s="5" t="str">
        <f>IFERROR(__xludf.DUMMYFUNCTION("GOOGLETRANSLATE(B174,""en"",""de"")"),"Zwei Leute gehen an ihm vorbei, während er weiter zum Skateboard geht.")</f>
        <v>Zwei Leute gehen an ihm vorbei, während er weiter zum Skateboard geht.</v>
      </c>
    </row>
    <row r="175">
      <c r="A175" s="4" t="s">
        <v>220</v>
      </c>
      <c r="B175" s="4" t="s">
        <v>225</v>
      </c>
      <c r="C175" s="5" t="str">
        <f>IFERROR(__xludf.DUMMYFUNCTION("GOOGLETRANSLATE(B175,""en"",""de"")"),"Der Mann beginnt auf seinem Skateboard zu beschleunigen, als er die Straße hinunter geht.")</f>
        <v>Der Mann beginnt auf seinem Skateboard zu beschleunigen, als er die Straße hinunter geht.</v>
      </c>
    </row>
    <row r="176">
      <c r="A176" s="4" t="s">
        <v>220</v>
      </c>
      <c r="B176" s="4" t="s">
        <v>226</v>
      </c>
      <c r="C176" s="5" t="str">
        <f>IFERROR(__xludf.DUMMYFUNCTION("GOOGLETRANSLATE(B176,""en"",""de"")"),"Er schlägt auch an einem See auf einer langen und kurvenreichen Straße vorbei.")</f>
        <v>Er schlägt auch an einem See auf einer langen und kurvenreichen Straße vorbei.</v>
      </c>
    </row>
    <row r="177">
      <c r="A177" s="4" t="s">
        <v>220</v>
      </c>
      <c r="B177" s="4" t="s">
        <v>227</v>
      </c>
      <c r="C177" s="5" t="str">
        <f>IFERROR(__xludf.DUMMYFUNCTION("GOOGLETRANSLATE(B177,""en"",""de"")"),"Er fährt an einem Feld und Bergen vorbei, die mit Grün gefüllt sind.")</f>
        <v>Er fährt an einem Feld und Bergen vorbei, die mit Grün gefüllt sind.</v>
      </c>
    </row>
    <row r="178">
      <c r="A178" s="4" t="s">
        <v>220</v>
      </c>
      <c r="B178" s="4" t="s">
        <v>228</v>
      </c>
      <c r="C178" s="5" t="str">
        <f>IFERROR(__xludf.DUMMYFUNCTION("GOOGLETRANSLATE(B178,""en"",""de"")"),"Er versucht verschiedene Stunts und Tricks auf seinem Skateboard.")</f>
        <v>Er versucht verschiedene Stunts und Tricks auf seinem Skateboard.</v>
      </c>
    </row>
    <row r="179">
      <c r="A179" s="4" t="s">
        <v>220</v>
      </c>
      <c r="B179" s="4" t="s">
        <v>229</v>
      </c>
      <c r="C179" s="5" t="str">
        <f>IFERROR(__xludf.DUMMYFUNCTION("GOOGLETRANSLATE(B179,""en"",""de"")"),"Er skateboard durch die Straßen weiter.")</f>
        <v>Er skateboard durch die Straßen weiter.</v>
      </c>
    </row>
    <row r="180">
      <c r="A180" s="4" t="s">
        <v>220</v>
      </c>
      <c r="B180" s="4" t="s">
        <v>230</v>
      </c>
      <c r="C180" s="5" t="str">
        <f>IFERROR(__xludf.DUMMYFUNCTION("GOOGLETRANSLATE(B180,""en"",""de"")"),"Er fällt vom Skateboard am Straßenrand, steigt aber gleich wieder darauf und schließt weg.")</f>
        <v>Er fällt vom Skateboard am Straßenrand, steigt aber gleich wieder darauf und schließt weg.</v>
      </c>
    </row>
    <row r="181">
      <c r="A181" s="4" t="s">
        <v>231</v>
      </c>
      <c r="B181" s="4" t="s">
        <v>232</v>
      </c>
      <c r="C181" s="5" t="str">
        <f>IFERROR(__xludf.DUMMYFUNCTION("GOOGLETRANSLATE(B181,""en"",""de"")"),"Athleten werfen während eines Wettbewerbs einen Speer.")</f>
        <v>Athleten werfen während eines Wettbewerbs einen Speer.</v>
      </c>
    </row>
    <row r="182">
      <c r="A182" s="4" t="s">
        <v>231</v>
      </c>
      <c r="B182" s="4" t="s">
        <v>233</v>
      </c>
      <c r="C182" s="5" t="str">
        <f>IFERROR(__xludf.DUMMYFUNCTION("GOOGLETRANSLATE(B182,""en"",""de"")"),"Ein Mann übt seine Haltung zu spazieren und macht eine halbe Würfe ohne Speer.")</f>
        <v>Ein Mann übt seine Haltung zu spazieren und macht eine halbe Würfe ohne Speer.</v>
      </c>
    </row>
    <row r="183">
      <c r="A183" s="4" t="s">
        <v>231</v>
      </c>
      <c r="B183" s="4" t="s">
        <v>234</v>
      </c>
      <c r="C183" s="5" t="str">
        <f>IFERROR(__xludf.DUMMYFUNCTION("GOOGLETRANSLATE(B183,""en"",""de"")"),"Ein Mann übt seine Haltung zu wandern und halb wirft, einen Speer zu halten.")</f>
        <v>Ein Mann übt seine Haltung zu wandern und halb wirft, einen Speer zu halten.</v>
      </c>
    </row>
    <row r="184">
      <c r="A184" s="4" t="s">
        <v>231</v>
      </c>
      <c r="B184" s="4" t="s">
        <v>235</v>
      </c>
      <c r="C184" s="5" t="str">
        <f>IFERROR(__xludf.DUMMYFUNCTION("GOOGLETRANSLATE(B184,""en"",""de"")"),"Der Mann schwingt einen Hammer.")</f>
        <v>Der Mann schwingt einen Hammer.</v>
      </c>
    </row>
    <row r="185">
      <c r="A185" s="4" t="s">
        <v>231</v>
      </c>
      <c r="B185" s="4" t="s">
        <v>236</v>
      </c>
      <c r="C185" s="5" t="str">
        <f>IFERROR(__xludf.DUMMYFUNCTION("GOOGLETRANSLATE(B185,""en"",""de"")"),"Der Mann wirft einen gewichteten Ball.")</f>
        <v>Der Mann wirft einen gewichteten Ball.</v>
      </c>
    </row>
    <row r="186">
      <c r="A186" s="4" t="s">
        <v>231</v>
      </c>
      <c r="B186" s="4" t="s">
        <v>237</v>
      </c>
      <c r="C186" s="5" t="str">
        <f>IFERROR(__xludf.DUMMYFUNCTION("GOOGLETRANSLATE(B186,""en"",""de"")"),"Athleten trainieren in einem Fitnessstudio und werfen Bewegungen auf gewichtete Kabelmaschinen.")</f>
        <v>Athleten trainieren in einem Fitnessstudio und werfen Bewegungen auf gewichtete Kabelmaschinen.</v>
      </c>
    </row>
    <row r="187">
      <c r="A187" s="4" t="s">
        <v>238</v>
      </c>
      <c r="B187" s="4" t="s">
        <v>239</v>
      </c>
      <c r="C187" s="5" t="str">
        <f>IFERROR(__xludf.DUMMYFUNCTION("GOOGLETRANSLATE(B187,""en"",""de"")"),"Wir sehen eine Person, die ein Messer auf einer Schleifscheibe schärft.")</f>
        <v>Wir sehen eine Person, die ein Messer auf einer Schleifscheibe schärft.</v>
      </c>
    </row>
    <row r="188">
      <c r="A188" s="4" t="s">
        <v>238</v>
      </c>
      <c r="B188" s="4" t="s">
        <v>240</v>
      </c>
      <c r="C188" s="5" t="str">
        <f>IFERROR(__xludf.DUMMYFUNCTION("GOOGLETRANSLATE(B188,""en"",""de"")"),"Die Person berührt es und schaltet es aus.")</f>
        <v>Die Person berührt es und schaltet es aus.</v>
      </c>
    </row>
    <row r="189">
      <c r="A189" s="4" t="s">
        <v>238</v>
      </c>
      <c r="B189" s="4" t="s">
        <v>241</v>
      </c>
      <c r="C189" s="5" t="str">
        <f>IFERROR(__xludf.DUMMYFUNCTION("GOOGLETRANSLATE(B189,""en"",""de"")"),"Die Person schaltet es ein und dann aus.")</f>
        <v>Die Person schaltet es ein und dann aus.</v>
      </c>
    </row>
    <row r="190">
      <c r="A190" s="4" t="s">
        <v>238</v>
      </c>
      <c r="B190" s="4" t="s">
        <v>242</v>
      </c>
      <c r="C190" s="5" t="str">
        <f>IFERROR(__xludf.DUMMYFUNCTION("GOOGLETRANSLATE(B190,""en"",""de"")"),"Wir sehen den Mann mit der Kamera sprechen.")</f>
        <v>Wir sehen den Mann mit der Kamera sprechen.</v>
      </c>
    </row>
    <row r="191">
      <c r="A191" s="4" t="s">
        <v>243</v>
      </c>
      <c r="B191" s="4" t="s">
        <v>244</v>
      </c>
      <c r="C191" s="5" t="str">
        <f>IFERROR(__xludf.DUMMYFUNCTION("GOOGLETRANSLATE(B191,""en"",""de"")"),"Der Text wird aus den Zentren zur Kontrolle der Krankheit in Bezug auf ordnungsgemäße Handwäsche gezeigt.")</f>
        <v>Der Text wird aus den Zentren zur Kontrolle der Krankheit in Bezug auf ordnungsgemäße Handwäsche gezeigt.</v>
      </c>
    </row>
    <row r="192">
      <c r="A192" s="4" t="s">
        <v>243</v>
      </c>
      <c r="B192" s="4" t="s">
        <v>245</v>
      </c>
      <c r="C192" s="5" t="str">
        <f>IFERROR(__xludf.DUMMYFUNCTION("GOOGLETRANSLATE(B192,""en"",""de"")"),"Es wird einer Frau gezeigt, die ihre Hände seifen, während Wasser in einem Waschbecken läuft.")</f>
        <v>Es wird einer Frau gezeigt, die ihre Hände seifen, während Wasser in einem Waschbecken läuft.</v>
      </c>
    </row>
    <row r="193">
      <c r="A193" s="4" t="s">
        <v>243</v>
      </c>
      <c r="B193" s="4" t="s">
        <v>246</v>
      </c>
      <c r="C193" s="5" t="str">
        <f>IFERROR(__xludf.DUMMYFUNCTION("GOOGLETRANSLATE(B193,""en"",""de"")"),"Sie greift nach einem Handtuch und dreht dann den Wasserhahn mit einer Hand um.")</f>
        <v>Sie greift nach einem Handtuch und dreht dann den Wasserhahn mit einer Hand um.</v>
      </c>
    </row>
    <row r="194">
      <c r="A194" s="4" t="s">
        <v>243</v>
      </c>
      <c r="B194" s="4" t="s">
        <v>247</v>
      </c>
      <c r="C194" s="5" t="str">
        <f>IFERROR(__xludf.DUMMYFUNCTION("GOOGLETRANSLATE(B194,""en"",""de"")"),"Sie senkt die Hände, spült dann mit dem Wasser, bevor sie ein anderes Handtuch schnappte, um den Wasserhahn auszuschalten, und das Handtuch wegzuwerfen.")</f>
        <v>Sie senkt die Hände, spült dann mit dem Wasser, bevor sie ein anderes Handtuch schnappte, um den Wasserhahn auszuschalten, und das Handtuch wegzuwerfen.</v>
      </c>
    </row>
    <row r="195">
      <c r="A195" s="4" t="s">
        <v>248</v>
      </c>
      <c r="B195" s="4" t="s">
        <v>249</v>
      </c>
      <c r="C195" s="5" t="str">
        <f>IFERROR(__xludf.DUMMYFUNCTION("GOOGLETRANSLATE(B195,""en"",""de"")"),"Menschen trainieren auf Fitnessmaschinen, während die Menschen vorne sitzen und zuschauen.")</f>
        <v>Menschen trainieren auf Fitnessmaschinen, während die Menschen vorne sitzen und zuschauen.</v>
      </c>
    </row>
    <row r="196">
      <c r="A196" s="4" t="s">
        <v>248</v>
      </c>
      <c r="B196" s="4" t="s">
        <v>250</v>
      </c>
      <c r="C196" s="5" t="str">
        <f>IFERROR(__xludf.DUMMYFUNCTION("GOOGLETRANSLATE(B196,""en"",""de"")"),"Ein Mann, der vorne mit einer Jacke vorbeikommt und als nächstes einen Fernseher stand.")</f>
        <v>Ein Mann, der vorne mit einer Jacke vorbeikommt und als nächstes einen Fernseher stand.</v>
      </c>
    </row>
    <row r="197">
      <c r="A197" s="4" t="s">
        <v>248</v>
      </c>
      <c r="B197" s="4" t="s">
        <v>251</v>
      </c>
      <c r="C197" s="5" t="str">
        <f>IFERROR(__xludf.DUMMYFUNCTION("GOOGLETRANSLATE(B197,""en"",""de"")"),"Eine Gruppe von Frauen spaziert auf Front, die trainieren.")</f>
        <v>Eine Gruppe von Frauen spaziert auf Front, die trainieren.</v>
      </c>
    </row>
    <row r="198">
      <c r="A198" s="4" t="s">
        <v>252</v>
      </c>
      <c r="B198" s="4" t="s">
        <v>253</v>
      </c>
      <c r="C198" s="5" t="str">
        <f>IFERROR(__xludf.DUMMYFUNCTION("GOOGLETRANSLATE(B198,""en"",""de"")"),"Ein Mann spielt die Dudelsack am Boden der Treppe im Wohnzimmer eines Hauses, trägt einen Knopf und kleidete die Hosen zusammen mit Socken.")</f>
        <v>Ein Mann spielt die Dudelsack am Boden der Treppe im Wohnzimmer eines Hauses, trägt einen Knopf und kleidete die Hosen zusammen mit Socken.</v>
      </c>
    </row>
    <row r="199">
      <c r="A199" s="4" t="s">
        <v>252</v>
      </c>
      <c r="B199" s="4" t="s">
        <v>254</v>
      </c>
      <c r="C199" s="5" t="str">
        <f>IFERROR(__xludf.DUMMYFUNCTION("GOOGLETRANSLATE(B199,""en"",""de"")"),"Er beginnt mit dem Takt seiner Melodie seinen Fuß zu klopfen, er tippt mit seinem rechten Fuß auf seinen linken Fuß in einem Hin- und Her -Rhythmus.")</f>
        <v>Er beginnt mit dem Takt seiner Melodie seinen Fuß zu klopfen, er tippt mit seinem rechten Fuß auf seinen linken Fuß in einem Hin- und Her -Rhythmus.</v>
      </c>
    </row>
    <row r="200">
      <c r="A200" s="4" t="s">
        <v>252</v>
      </c>
      <c r="B200" s="4" t="s">
        <v>255</v>
      </c>
      <c r="C200" s="5" t="str">
        <f>IFERROR(__xludf.DUMMYFUNCTION("GOOGLETRANSLATE(B200,""en"",""de"")"),"Er endet und lächelt in die Kamera.")</f>
        <v>Er endet und lächelt in die Kamera.</v>
      </c>
    </row>
    <row r="201">
      <c r="A201" s="4" t="s">
        <v>256</v>
      </c>
      <c r="B201" s="4" t="s">
        <v>257</v>
      </c>
      <c r="C201" s="5" t="str">
        <f>IFERROR(__xludf.DUMMYFUNCTION("GOOGLETRANSLATE(B201,""en"",""de"")"),"Die Leute arbeiten in einem Fahrradladen und reparieren ein Fahrrad.")</f>
        <v>Die Leute arbeiten in einem Fahrradladen und reparieren ein Fahrrad.</v>
      </c>
    </row>
    <row r="202">
      <c r="A202" s="4" t="s">
        <v>256</v>
      </c>
      <c r="B202" s="4" t="s">
        <v>258</v>
      </c>
      <c r="C202" s="5" t="str">
        <f>IFERROR(__xludf.DUMMYFUNCTION("GOOGLETRANSLATE(B202,""en"",""de"")"),"Sie legten die Räder zurück auf das Fahrrad.")</f>
        <v>Sie legten die Räder zurück auf das Fahrrad.</v>
      </c>
    </row>
    <row r="203">
      <c r="A203" s="4" t="s">
        <v>256</v>
      </c>
      <c r="B203" s="4" t="s">
        <v>259</v>
      </c>
      <c r="C203" s="5" t="str">
        <f>IFERROR(__xludf.DUMMYFUNCTION("GOOGLETRANSLATE(B203,""en"",""de"")"),"Der Sitz setzte den Sitz auf das Fahrrad.")</f>
        <v>Der Sitz setzte den Sitz auf das Fahrrad.</v>
      </c>
    </row>
    <row r="204">
      <c r="A204" s="4" t="s">
        <v>256</v>
      </c>
      <c r="B204" s="4" t="s">
        <v>260</v>
      </c>
      <c r="C204" s="5" t="str">
        <f>IFERROR(__xludf.DUMMYFUNCTION("GOOGLETRANSLATE(B204,""en"",""de"")"),"Das Fahrrad wird auf dem Boden zusammengestellt.")</f>
        <v>Das Fahrrad wird auf dem Boden zusammengestellt.</v>
      </c>
    </row>
    <row r="205">
      <c r="A205" s="4" t="s">
        <v>261</v>
      </c>
      <c r="B205" s="4" t="s">
        <v>262</v>
      </c>
      <c r="C205" s="5" t="str">
        <f>IFERROR(__xludf.DUMMYFUNCTION("GOOGLETRANSLATE(B205,""en"",""de"")"),"Ein Mann gibt Ratschläge zu Outdoor -Aktivitäten, insbesondere zu Pilzen und Nahaufnahmen, und der Mann spricht darüber.")</f>
        <v>Ein Mann gibt Ratschläge zu Outdoor -Aktivitäten, insbesondere zu Pilzen und Nahaufnahmen, und der Mann spricht darüber.</v>
      </c>
    </row>
    <row r="206">
      <c r="A206" s="4" t="s">
        <v>261</v>
      </c>
      <c r="B206" s="4" t="s">
        <v>263</v>
      </c>
      <c r="C206" s="5" t="str">
        <f>IFERROR(__xludf.DUMMYFUNCTION("GOOGLETRANSLATE(B206,""en"",""de"")"),"Der Mann schneidet einen auf und schneidet ihn dann in zwei Hälften.")</f>
        <v>Der Mann schneidet einen auf und schneidet ihn dann in zwei Hälften.</v>
      </c>
    </row>
    <row r="207">
      <c r="A207" s="4" t="s">
        <v>261</v>
      </c>
      <c r="B207" s="4" t="s">
        <v>264</v>
      </c>
      <c r="C207" s="5" t="str">
        <f>IFERROR(__xludf.DUMMYFUNCTION("GOOGLETRANSLATE(B207,""en"",""de"")"),"Ein anderer Mann spricht über die Erfahrung.")</f>
        <v>Ein anderer Mann spricht über die Erfahrung.</v>
      </c>
    </row>
    <row r="208">
      <c r="A208" s="4" t="s">
        <v>265</v>
      </c>
      <c r="B208" s="4" t="s">
        <v>266</v>
      </c>
      <c r="C208" s="5" t="str">
        <f>IFERROR(__xludf.DUMMYFUNCTION("GOOGLETRANSLATE(B208,""en"",""de"")"),"Ein junger Mann, der einen Hut trägt, spricht mit der Kamera und hält eine Tabelle hoch.")</f>
        <v>Ein junger Mann, der einen Hut trägt, spricht mit der Kamera und hält eine Tabelle hoch.</v>
      </c>
    </row>
    <row r="209">
      <c r="A209" s="4" t="s">
        <v>265</v>
      </c>
      <c r="B209" s="4" t="s">
        <v>267</v>
      </c>
      <c r="C209" s="5" t="str">
        <f>IFERROR(__xludf.DUMMYFUNCTION("GOOGLETRANSLATE(B209,""en"",""de"")"),"Er spricht weiter und spielt eine Mundharmonika.")</f>
        <v>Er spricht weiter und spielt eine Mundharmonika.</v>
      </c>
    </row>
    <row r="210">
      <c r="A210" s="4" t="s">
        <v>265</v>
      </c>
      <c r="B210" s="4" t="s">
        <v>268</v>
      </c>
      <c r="C210" s="5" t="str">
        <f>IFERROR(__xludf.DUMMYFUNCTION("GOOGLETRANSLATE(B210,""en"",""de"")"),"Er hält das Schild mehr, während er weiter spielt und mit der Kamera spricht.")</f>
        <v>Er hält das Schild mehr, während er weiter spielt und mit der Kamera spricht.</v>
      </c>
    </row>
    <row r="211">
      <c r="A211" s="4" t="s">
        <v>269</v>
      </c>
      <c r="B211" s="4" t="s">
        <v>270</v>
      </c>
      <c r="C211" s="5" t="str">
        <f>IFERROR(__xludf.DUMMYFUNCTION("GOOGLETRANSLATE(B211,""en"",""de"")"),"Eine Person geht auf dem Dach einer Kletterausrüstung, dann geht sie die Wand hinunter und greift auf den Boden und geht vorwärts.")</f>
        <v>Eine Person geht auf dem Dach einer Kletterausrüstung, dann geht sie die Wand hinunter und greift auf den Boden und geht vorwärts.</v>
      </c>
    </row>
    <row r="212">
      <c r="A212" s="4" t="s">
        <v>269</v>
      </c>
      <c r="B212" s="4" t="s">
        <v>271</v>
      </c>
      <c r="C212" s="5" t="str">
        <f>IFERROR(__xludf.DUMMYFUNCTION("GOOGLETRANSLATE(B212,""en"",""de"")"),"Der Mann steht mit den Händen an der Grenze an der Ausrüstung und steigt mit den Händen den Weg hinunter, dann geht er auf Händen auf der Seite.")</f>
        <v>Der Mann steht mit den Händen an der Grenze an der Ausrüstung und steigt mit den Händen den Weg hinunter, dann geht er auf Händen auf der Seite.</v>
      </c>
    </row>
    <row r="213">
      <c r="A213" s="4" t="s">
        <v>272</v>
      </c>
      <c r="B213" s="4" t="s">
        <v>273</v>
      </c>
      <c r="C213" s="5" t="str">
        <f>IFERROR(__xludf.DUMMYFUNCTION("GOOGLETRANSLATE(B213,""en"",""de"")"),"Eine Frau hält zwei Hunde an der Leine und löst sie weiter und lässt sie gehen.")</f>
        <v>Eine Frau hält zwei Hunde an der Leine und löst sie weiter und lässt sie gehen.</v>
      </c>
    </row>
    <row r="214">
      <c r="A214" s="4" t="s">
        <v>272</v>
      </c>
      <c r="B214" s="4" t="s">
        <v>274</v>
      </c>
      <c r="C214" s="5" t="str">
        <f>IFERROR(__xludf.DUMMYFUNCTION("GOOGLETRANSLATE(B214,""en"",""de"")"),"Einer runter macht dann sein Geschäft in eine Tasche, die an ihn gebunden ist, und läuft hinter Bikes ab.")</f>
        <v>Einer runter macht dann sein Geschäft in eine Tasche, die an ihn gebunden ist, und läuft hinter Bikes ab.</v>
      </c>
    </row>
    <row r="215">
      <c r="A215" s="4" t="s">
        <v>275</v>
      </c>
      <c r="B215" s="4" t="s">
        <v>276</v>
      </c>
      <c r="C215" s="5" t="str">
        <f>IFERROR(__xludf.DUMMYFUNCTION("GOOGLETRANSLATE(B215,""en"",""de"")"),"Ein junges Mädchen steht mit einem Sprungseil auf einem Hof.")</f>
        <v>Ein junges Mädchen steht mit einem Sprungseil auf einem Hof.</v>
      </c>
    </row>
    <row r="216">
      <c r="A216" s="4" t="s">
        <v>275</v>
      </c>
      <c r="B216" s="4" t="s">
        <v>277</v>
      </c>
      <c r="C216" s="5" t="str">
        <f>IFERROR(__xludf.DUMMYFUNCTION("GOOGLETRANSLATE(B216,""en"",""de"")"),"Sie beginnt vor einem Tisch von Richtern zu springen.")</f>
        <v>Sie beginnt vor einem Tisch von Richtern zu springen.</v>
      </c>
    </row>
    <row r="217">
      <c r="A217" s="4" t="s">
        <v>275</v>
      </c>
      <c r="B217" s="4" t="s">
        <v>278</v>
      </c>
      <c r="C217" s="5" t="str">
        <f>IFERROR(__xludf.DUMMYFUNCTION("GOOGLETRANSLATE(B217,""en"",""de"")"),"Sie hüpft, dreht sich und dreht sich mit dem Seil um.")</f>
        <v>Sie hüpft, dreht sich und dreht sich mit dem Seil um.</v>
      </c>
    </row>
    <row r="218">
      <c r="A218" s="4" t="s">
        <v>279</v>
      </c>
      <c r="B218" s="4" t="s">
        <v>280</v>
      </c>
      <c r="C218" s="5" t="str">
        <f>IFERROR(__xludf.DUMMYFUNCTION("GOOGLETRANSLATE(B218,""en"",""de"")"),"Zwei Männer in Workout -Kleidung stehen an der Wand und sprechen über das Training.")</f>
        <v>Zwei Männer in Workout -Kleidung stehen an der Wand und sprechen über das Training.</v>
      </c>
    </row>
    <row r="219">
      <c r="A219" s="4" t="s">
        <v>279</v>
      </c>
      <c r="B219" s="4" t="s">
        <v>281</v>
      </c>
      <c r="C219" s="5" t="str">
        <f>IFERROR(__xludf.DUMMYFUNCTION("GOOGLETRANSLATE(B219,""en"",""de"")"),"Ein Mann wird dann gezeigt und er biegt sich nieder und zeigt den richtigen Weg, um die Stange mit Gewicht zu heben.")</f>
        <v>Ein Mann wird dann gezeigt und er biegt sich nieder und zeigt den richtigen Weg, um die Stange mit Gewicht zu heben.</v>
      </c>
    </row>
    <row r="220">
      <c r="A220" s="4" t="s">
        <v>279</v>
      </c>
      <c r="B220" s="4" t="s">
        <v>282</v>
      </c>
      <c r="C220" s="5" t="str">
        <f>IFERROR(__xludf.DUMMYFUNCTION("GOOGLETRANSLATE(B220,""en"",""de"")"),"Dann wird eine Wiederholung gezeigt und der Junge biegt sich von den Knien und dreht dann sein Handgelenk und bringt sie über seine Schulter, als er in eine hockende Position fällt.")</f>
        <v>Dann wird eine Wiederholung gezeigt und der Junge biegt sich von den Knien und dreht dann sein Handgelenk und bringt sie über seine Schulter, als er in eine hockende Position fällt.</v>
      </c>
    </row>
    <row r="221">
      <c r="A221" s="4" t="s">
        <v>283</v>
      </c>
      <c r="B221" s="4" t="s">
        <v>284</v>
      </c>
      <c r="C221" s="5" t="str">
        <f>IFERROR(__xludf.DUMMYFUNCTION("GOOGLETRANSLATE(B221,""en"",""de"")"),"Ein Mann kniet in einem Fitnessstudio.")</f>
        <v>Ein Mann kniet in einem Fitnessstudio.</v>
      </c>
    </row>
    <row r="222">
      <c r="A222" s="4" t="s">
        <v>283</v>
      </c>
      <c r="B222" s="4" t="s">
        <v>285</v>
      </c>
      <c r="C222" s="5" t="str">
        <f>IFERROR(__xludf.DUMMYFUNCTION("GOOGLETRANSLATE(B222,""en"",""de"")"),"Er beugt sich mehrmals vor.")</f>
        <v>Er beugt sich mehrmals vor.</v>
      </c>
    </row>
    <row r="223">
      <c r="A223" s="4" t="s">
        <v>283</v>
      </c>
      <c r="B223" s="4" t="s">
        <v>286</v>
      </c>
      <c r="C223" s="5" t="str">
        <f>IFERROR(__xludf.DUMMYFUNCTION("GOOGLETRANSLATE(B223,""en"",""de"")"),"Er führt langsame Stretchbewegungen durch.")</f>
        <v>Er führt langsame Stretchbewegungen durch.</v>
      </c>
    </row>
    <row r="224">
      <c r="A224" s="4" t="s">
        <v>287</v>
      </c>
      <c r="B224" s="4" t="s">
        <v>288</v>
      </c>
      <c r="C224" s="5" t="str">
        <f>IFERROR(__xludf.DUMMYFUNCTION("GOOGLETRANSLATE(B224,""en"",""de"")"),"Eine Person benutzt ein Blattgebläse, um Blätter in einen Stapel zu blasen.")</f>
        <v>Eine Person benutzt ein Blattgebläse, um Blätter in einen Stapel zu blasen.</v>
      </c>
    </row>
    <row r="225">
      <c r="A225" s="4" t="s">
        <v>287</v>
      </c>
      <c r="B225" s="4" t="s">
        <v>289</v>
      </c>
      <c r="C225" s="5" t="str">
        <f>IFERROR(__xludf.DUMMYFUNCTION("GOOGLETRANSLATE(B225,""en"",""de"")"),"Die Blätter blasen auf eine Hecke.")</f>
        <v>Die Blätter blasen auf eine Hecke.</v>
      </c>
    </row>
    <row r="226">
      <c r="A226" s="4" t="s">
        <v>287</v>
      </c>
      <c r="B226" s="4" t="s">
        <v>290</v>
      </c>
      <c r="C226" s="5" t="str">
        <f>IFERROR(__xludf.DUMMYFUNCTION("GOOGLETRANSLATE(B226,""en"",""de"")"),"Sie gehen vor einem Baum.")</f>
        <v>Sie gehen vor einem Baum.</v>
      </c>
    </row>
    <row r="227">
      <c r="A227" s="4" t="s">
        <v>291</v>
      </c>
      <c r="B227" s="4" t="s">
        <v>292</v>
      </c>
      <c r="C227" s="5" t="str">
        <f>IFERROR(__xludf.DUMMYFUNCTION("GOOGLETRANSLATE(B227,""en"",""de"")"),"Eine Gruppe von Menschen sitzt in einem Röhrchen oben auf einem Schneerutschen.")</f>
        <v>Eine Gruppe von Menschen sitzt in einem Röhrchen oben auf einem Schneerutschen.</v>
      </c>
    </row>
    <row r="228">
      <c r="A228" s="4" t="s">
        <v>291</v>
      </c>
      <c r="B228" s="4" t="s">
        <v>293</v>
      </c>
      <c r="C228" s="5" t="str">
        <f>IFERROR(__xludf.DUMMYFUNCTION("GOOGLETRANSLATE(B228,""en"",""de"")"),"Die Person, die die Kamera hält, beginnt seine Reise und er ist von der Schnee hinunter.")</f>
        <v>Die Person, die die Kamera hält, beginnt seine Reise und er ist von der Schnee hinunter.</v>
      </c>
    </row>
    <row r="229">
      <c r="A229" s="4" t="s">
        <v>291</v>
      </c>
      <c r="B229" s="4" t="s">
        <v>294</v>
      </c>
      <c r="C229" s="5" t="str">
        <f>IFERROR(__xludf.DUMMYFUNCTION("GOOGLETRANSLATE(B229,""en"",""de"")"),"Als er den Boden erreicht, werden vor ihm mehrere schwarze Matten platziert, um ihn zu verlangsamen.")</f>
        <v>Als er den Boden erreicht, werden vor ihm mehrere schwarze Matten platziert, um ihn zu verlangsamen.</v>
      </c>
    </row>
    <row r="230">
      <c r="A230" s="4" t="s">
        <v>295</v>
      </c>
      <c r="B230" s="4" t="s">
        <v>296</v>
      </c>
      <c r="C230" s="5" t="str">
        <f>IFERROR(__xludf.DUMMYFUNCTION("GOOGLETRANSLATE(B230,""en"",""de"")"),"Verschiedene Aufnahmen einer Stadt werden gezeigt, gefolgt von einem Mädchen, das Geige spielt und viele andere Beobachtungen.")</f>
        <v>Verschiedene Aufnahmen einer Stadt werden gezeigt, gefolgt von einem Mädchen, das Geige spielt und viele andere Beobachtungen.</v>
      </c>
    </row>
    <row r="231">
      <c r="A231" s="4" t="s">
        <v>295</v>
      </c>
      <c r="B231" s="4" t="s">
        <v>297</v>
      </c>
      <c r="C231" s="5" t="str">
        <f>IFERROR(__xludf.DUMMYFUNCTION("GOOGLETRANSLATE(B231,""en"",""de"")"),"Ein anderes Mädchen tritt ein und schließt sich ihr durch, indem sie singt, und einige andere singen ebenfalls mit.")</f>
        <v>Ein anderes Mädchen tritt ein und schließt sich ihr durch, indem sie singt, und einige andere singen ebenfalls mit.</v>
      </c>
    </row>
    <row r="232">
      <c r="A232" s="4" t="s">
        <v>295</v>
      </c>
      <c r="B232" s="4" t="s">
        <v>298</v>
      </c>
      <c r="C232" s="5" t="str">
        <f>IFERROR(__xludf.DUMMYFUNCTION("GOOGLETRANSLATE(B232,""en"",""de"")"),"Ein Mime kommt mit Feuerwerkskörpern herein, während die Gruppe immer noch singt und viele in der Nähe lachen und lächeln.")</f>
        <v>Ein Mime kommt mit Feuerwerkskörpern herein, während die Gruppe immer noch singt und viele in der Nähe lachen und lächeln.</v>
      </c>
    </row>
    <row r="233">
      <c r="A233" s="4" t="s">
        <v>299</v>
      </c>
      <c r="B233" s="4" t="s">
        <v>300</v>
      </c>
      <c r="C233" s="5" t="str">
        <f>IFERROR(__xludf.DUMMYFUNCTION("GOOGLETRANSLATE(B233,""en"",""de"")"),"Zwei Männer trainieren in einem Fitnessstudio, dann springt ein Mann Seil, der seine Arme und auch das Seil vorne bewegt.")</f>
        <v>Zwei Männer trainieren in einem Fitnessstudio, dann springt ein Mann Seil, der seine Arme und auch das Seil vorne bewegt.</v>
      </c>
    </row>
    <row r="234">
      <c r="A234" s="4" t="s">
        <v>299</v>
      </c>
      <c r="B234" s="4" t="s">
        <v>301</v>
      </c>
      <c r="C234" s="5" t="str">
        <f>IFERROR(__xludf.DUMMYFUNCTION("GOOGLETRANSLATE(B234,""en"",""de"")"),"Der Mann bewegt das Seil mit seiner rechten Hand, dann bewegt er beide Hände, während er überspringt.")</f>
        <v>Der Mann bewegt das Seil mit seiner rechten Hand, dann bewegt er beide Hände, während er überspringt.</v>
      </c>
    </row>
    <row r="235">
      <c r="A235" s="4" t="s">
        <v>299</v>
      </c>
      <c r="B235" s="4" t="s">
        <v>302</v>
      </c>
      <c r="C235" s="5" t="str">
        <f>IFERROR(__xludf.DUMMYFUNCTION("GOOGLETRANSLATE(B235,""en"",""de"")"),"Dann springt der Mann die Arme, nachdem er lange normal gesprungen ist.")</f>
        <v>Dann springt der Mann die Arme, nachdem er lange normal gesprungen ist.</v>
      </c>
    </row>
    <row r="236">
      <c r="A236" s="4" t="s">
        <v>299</v>
      </c>
      <c r="B236" s="4" t="s">
        <v>303</v>
      </c>
      <c r="C236" s="5" t="str">
        <f>IFERROR(__xludf.DUMMYFUNCTION("GOOGLETRANSLATE(B236,""en"",""de"")"),"Als nächstes springt der ein junger Mann Seil und hebt die Füße hoch, dann überquert er die Arme, die springen.")</f>
        <v>Als nächstes springt der ein junger Mann Seil und hebt die Füße hoch, dann überquert er die Arme, die springen.</v>
      </c>
    </row>
    <row r="237">
      <c r="A237" s="4" t="s">
        <v>299</v>
      </c>
      <c r="B237" s="4" t="s">
        <v>304</v>
      </c>
      <c r="C237" s="5" t="str">
        <f>IFERROR(__xludf.DUMMYFUNCTION("GOOGLETRANSLATE(B237,""en"",""de"")"),"Danach bewegt der junge Mann das Seil mit der rechten Hand, dann bewegt er es mit beiden Händen und bewegt auch das Seil vorne.")</f>
        <v>Danach bewegt der junge Mann das Seil mit der rechten Hand, dann bewegt er es mit beiden Händen und bewegt auch das Seil vorne.</v>
      </c>
    </row>
    <row r="238">
      <c r="A238" s="4" t="s">
        <v>299</v>
      </c>
      <c r="B238" s="4" t="s">
        <v>305</v>
      </c>
      <c r="C238" s="5" t="str">
        <f>IFERROR(__xludf.DUMMYFUNCTION("GOOGLETRANSLATE(B238,""en"",""de"")"),"Danach springt der junge Mann alternativ, um die Arme zu überqueren, das Seil nach vorne zu überspringen und zu bewegen.")</f>
        <v>Danach springt der junge Mann alternativ, um die Arme zu überqueren, das Seil nach vorne zu überspringen und zu bewegen.</v>
      </c>
    </row>
    <row r="239">
      <c r="A239" s="4" t="s">
        <v>306</v>
      </c>
      <c r="B239" s="4" t="s">
        <v>307</v>
      </c>
      <c r="C239" s="5" t="str">
        <f>IFERROR(__xludf.DUMMYFUNCTION("GOOGLETRANSLATE(B239,""en"",""de"")"),"Ein Mann sitzt auf einem Pferd.")</f>
        <v>Ein Mann sitzt auf einem Pferd.</v>
      </c>
    </row>
    <row r="240">
      <c r="A240" s="4" t="s">
        <v>306</v>
      </c>
      <c r="B240" s="4" t="s">
        <v>308</v>
      </c>
      <c r="C240" s="5" t="str">
        <f>IFERROR(__xludf.DUMMYFUNCTION("GOOGLETRANSLATE(B240,""en"",""de"")"),"Er beginnt von einem Mann, der eine Schubkarre drängt, durch die Arena zu verfolgen.")</f>
        <v>Er beginnt von einem Mann, der eine Schubkarre drängt, durch die Arena zu verfolgen.</v>
      </c>
    </row>
    <row r="241">
      <c r="A241" s="4" t="s">
        <v>306</v>
      </c>
      <c r="B241" s="4" t="s">
        <v>309</v>
      </c>
      <c r="C241" s="5" t="str">
        <f>IFERROR(__xludf.DUMMYFUNCTION("GOOGLETRANSLATE(B241,""en"",""de"")"),"Das Pferd läuft vom Stift aus Bullen.")</f>
        <v>Das Pferd läuft vom Stift aus Bullen.</v>
      </c>
    </row>
    <row r="242">
      <c r="A242" s="4" t="s">
        <v>310</v>
      </c>
      <c r="B242" s="4" t="s">
        <v>311</v>
      </c>
      <c r="C242" s="5" t="str">
        <f>IFERROR(__xludf.DUMMYFUNCTION("GOOGLETRANSLATE(B242,""en"",""de"")"),"Am Strand wird ein Leuchtturm gezeigt, bevor wir einen Mann mit einem Surfbrett laufen sehen.")</f>
        <v>Am Strand wird ein Leuchtturm gezeigt, bevor wir einen Mann mit einem Surfbrett laufen sehen.</v>
      </c>
    </row>
    <row r="243">
      <c r="A243" s="4" t="s">
        <v>310</v>
      </c>
      <c r="B243" s="4" t="s">
        <v>312</v>
      </c>
      <c r="C243" s="5" t="str">
        <f>IFERROR(__xludf.DUMMYFUNCTION("GOOGLETRANSLATE(B243,""en"",""de"")"),"Der Mann reitet eine Welle, dann durch sie.")</f>
        <v>Der Mann reitet eine Welle, dann durch sie.</v>
      </c>
    </row>
    <row r="244">
      <c r="A244" s="4" t="s">
        <v>310</v>
      </c>
      <c r="B244" s="4" t="s">
        <v>313</v>
      </c>
      <c r="C244" s="5" t="str">
        <f>IFERROR(__xludf.DUMMYFUNCTION("GOOGLETRANSLATE(B244,""en"",""de"")"),"Er vervollständigt mehrere Stunts, bevor er mit dem Brett unter seinem Arm auf den Strand geht.")</f>
        <v>Er vervollständigt mehrere Stunts, bevor er mit dem Brett unter seinem Arm auf den Strand geht.</v>
      </c>
    </row>
    <row r="245">
      <c r="A245" s="4" t="s">
        <v>314</v>
      </c>
      <c r="B245" s="4" t="s">
        <v>315</v>
      </c>
      <c r="C245" s="5" t="str">
        <f>IFERROR(__xludf.DUMMYFUNCTION("GOOGLETRANSLATE(B245,""en"",""de"")"),"Ein Mann wird gezeigt, der eine Geige in seine Hände dreht und ein beliebtes Lied auf seiner Geige spielt.")</f>
        <v>Ein Mann wird gezeigt, der eine Geige in seine Hände dreht und ein beliebtes Lied auf seiner Geige spielt.</v>
      </c>
    </row>
    <row r="246">
      <c r="A246" s="4" t="s">
        <v>314</v>
      </c>
      <c r="B246" s="4" t="s">
        <v>316</v>
      </c>
      <c r="C246" s="5" t="str">
        <f>IFERROR(__xludf.DUMMYFUNCTION("GOOGLETRANSLATE(B246,""en"",""de"")"),"Die Kamera zeigt den Geiger aus verschiedenen Blickwinkeln, die das beliebte Lied spielen und keine Konzentration brechen.")</f>
        <v>Die Kamera zeigt den Geiger aus verschiedenen Blickwinkeln, die das beliebte Lied spielen und keine Konzentration brechen.</v>
      </c>
    </row>
    <row r="247">
      <c r="A247" s="4" t="s">
        <v>314</v>
      </c>
      <c r="B247" s="4" t="s">
        <v>317</v>
      </c>
      <c r="C247" s="5" t="str">
        <f>IFERROR(__xludf.DUMMYFUNCTION("GOOGLETRANSLATE(B247,""en"",""de"")"),"Die Kamera schwenkt rund um den Spieler und zeigt ihn, den kompletten Song zu spielen.")</f>
        <v>Die Kamera schwenkt rund um den Spieler und zeigt ihn, den kompletten Song zu spielen.</v>
      </c>
    </row>
    <row r="248">
      <c r="A248" s="4" t="s">
        <v>318</v>
      </c>
      <c r="B248" s="4" t="s">
        <v>319</v>
      </c>
      <c r="C248" s="5" t="str">
        <f>IFERROR(__xludf.DUMMYFUNCTION("GOOGLETRANSLATE(B248,""en"",""de"")"),"Eine Kamera vergrößert eine Person, die in einer Röhre fährt.")</f>
        <v>Eine Kamera vergrößert eine Person, die in einer Röhre fährt.</v>
      </c>
    </row>
    <row r="249">
      <c r="A249" s="4" t="s">
        <v>318</v>
      </c>
      <c r="B249" s="4" t="s">
        <v>320</v>
      </c>
      <c r="C249" s="5" t="str">
        <f>IFERROR(__xludf.DUMMYFUNCTION("GOOGLETRANSLATE(B249,""en"",""de"")"),"Weitere Menschen werden in Röhren hinter dem Mann fahren.")</f>
        <v>Weitere Menschen werden in Röhren hinter dem Mann fahren.</v>
      </c>
    </row>
    <row r="250">
      <c r="A250" s="4" t="s">
        <v>318</v>
      </c>
      <c r="B250" s="4" t="s">
        <v>321</v>
      </c>
      <c r="C250" s="5" t="str">
        <f>IFERROR(__xludf.DUMMYFUNCTION("GOOGLETRANSLATE(B250,""en"",""de"")"),"Die Menschen fahren weiter durch die Gegend den Fluss hinunter.")</f>
        <v>Die Menschen fahren weiter durch die Gegend den Fluss hinunter.</v>
      </c>
    </row>
    <row r="251">
      <c r="A251" s="4" t="s">
        <v>322</v>
      </c>
      <c r="B251" s="4" t="s">
        <v>323</v>
      </c>
      <c r="C251" s="5" t="str">
        <f>IFERROR(__xludf.DUMMYFUNCTION("GOOGLETRANSLATE(B251,""en"",""de"")"),"Ein Mann trainiert einen Jungen -Kickbox, während zwei Männer zusehen, wie sie im Raum sitzen.")</f>
        <v>Ein Mann trainiert einen Jungen -Kickbox, während zwei Männer zusehen, wie sie im Raum sitzen.</v>
      </c>
    </row>
    <row r="252">
      <c r="A252" s="4" t="s">
        <v>322</v>
      </c>
      <c r="B252" s="4" t="s">
        <v>324</v>
      </c>
      <c r="C252" s="5" t="str">
        <f>IFERROR(__xludf.DUMMYFUNCTION("GOOGLETRANSLATE(B252,""en"",""de"")"),"Dann steht der Mann und tritt den Jungen, der sich damals zurückläuft.")</f>
        <v>Dann steht der Mann und tritt den Jungen, der sich damals zurückläuft.</v>
      </c>
    </row>
    <row r="253">
      <c r="A253" s="4" t="s">
        <v>322</v>
      </c>
      <c r="B253" s="4" t="s">
        <v>325</v>
      </c>
      <c r="C253" s="5" t="str">
        <f>IFERROR(__xludf.DUMMYFUNCTION("GOOGLETRANSLATE(B253,""en"",""de"")"),"Danach trainiert der Mann ein anderes Kind, während er Bewegungen zeigt.")</f>
        <v>Danach trainiert der Mann ein anderes Kind, während er Bewegungen zeigt.</v>
      </c>
    </row>
    <row r="254">
      <c r="A254" s="4" t="s">
        <v>322</v>
      </c>
      <c r="B254" s="4" t="s">
        <v>326</v>
      </c>
      <c r="C254" s="5" t="str">
        <f>IFERROR(__xludf.DUMMYFUNCTION("GOOGLETRANSLATE(B254,""en"",""de"")"),"Danach üben der Mann Tritte, dann läuft der Mann nieder und umarmt das Kind, das weiterhin Kickbox übt.")</f>
        <v>Danach üben der Mann Tritte, dann läuft der Mann nieder und umarmt das Kind, das weiterhin Kickbox übt.</v>
      </c>
    </row>
    <row r="255">
      <c r="A255" s="4" t="s">
        <v>327</v>
      </c>
      <c r="B255" s="4" t="s">
        <v>328</v>
      </c>
      <c r="C255" s="5" t="str">
        <f>IFERROR(__xludf.DUMMYFUNCTION("GOOGLETRANSLATE(B255,""en"",""de"")"),"Die Leute werden gezeigt, die entlang eines Strandes gehen.")</f>
        <v>Die Leute werden gezeigt, die entlang eines Strandes gehen.</v>
      </c>
    </row>
    <row r="256">
      <c r="A256" s="4" t="s">
        <v>327</v>
      </c>
      <c r="B256" s="4" t="s">
        <v>329</v>
      </c>
      <c r="C256" s="5" t="str">
        <f>IFERROR(__xludf.DUMMYFUNCTION("GOOGLETRANSLATE(B256,""en"",""de"")"),"Mehrere Personen in Paintball -Ausrüstung durchlaufen einen Hinderniskurs.")</f>
        <v>Mehrere Personen in Paintball -Ausrüstung durchlaufen einen Hinderniskurs.</v>
      </c>
    </row>
    <row r="257">
      <c r="A257" s="4" t="s">
        <v>327</v>
      </c>
      <c r="B257" s="4" t="s">
        <v>330</v>
      </c>
      <c r="C257" s="5" t="str">
        <f>IFERROR(__xludf.DUMMYFUNCTION("GOOGLETRANSLATE(B257,""en"",""de"")"),"Die Leute schießen aufeinander und verstecken sich hinter den Hindernissen.")</f>
        <v>Die Leute schießen aufeinander und verstecken sich hinter den Hindernissen.</v>
      </c>
    </row>
    <row r="258">
      <c r="A258" s="4" t="s">
        <v>327</v>
      </c>
      <c r="B258" s="4" t="s">
        <v>331</v>
      </c>
      <c r="C258" s="5" t="str">
        <f>IFERROR(__xludf.DUMMYFUNCTION("GOOGLETRANSLATE(B258,""en"",""de"")"),"Der Gewinner tanzt und rennt über das Feld.")</f>
        <v>Der Gewinner tanzt und rennt über das Feld.</v>
      </c>
    </row>
    <row r="259">
      <c r="A259" s="4" t="s">
        <v>332</v>
      </c>
      <c r="B259" s="4" t="s">
        <v>333</v>
      </c>
      <c r="C259" s="5" t="str">
        <f>IFERROR(__xludf.DUMMYFUNCTION("GOOGLETRANSLATE(B259,""en"",""de"")"),"Ein kleines Kind sitzt hinter einem Drum -Set, das Schlagzeug spielt.")</f>
        <v>Ein kleines Kind sitzt hinter einem Drum -Set, das Schlagzeug spielt.</v>
      </c>
    </row>
    <row r="260">
      <c r="A260" s="4" t="s">
        <v>332</v>
      </c>
      <c r="B260" s="4" t="s">
        <v>334</v>
      </c>
      <c r="C260" s="5" t="str">
        <f>IFERROR(__xludf.DUMMYFUNCTION("GOOGLETRANSLATE(B260,""en"",""de"")"),"Der Junge spielt weiterhin das Instrument, während die Kamera ihn spielt.")</f>
        <v>Der Junge spielt weiterhin das Instrument, während die Kamera ihn spielt.</v>
      </c>
    </row>
    <row r="261">
      <c r="A261" s="4" t="s">
        <v>335</v>
      </c>
      <c r="B261" s="4" t="s">
        <v>336</v>
      </c>
      <c r="C261" s="5" t="str">
        <f>IFERROR(__xludf.DUMMYFUNCTION("GOOGLETRANSLATE(B261,""en"",""de"")"),"Eine Familie hat ein Picknick und fährt an einem regnerischen Tag auf aufblasbare Flöße in einem schmalen Wasser, das von Bäumen umgeben ist, die von Bäumen umgeben ist.")</f>
        <v>Eine Familie hat ein Picknick und fährt an einem regnerischen Tag auf aufblasbare Flöße in einem schmalen Wasser, das von Bäumen umgeben ist, die von Bäumen umgeben ist.</v>
      </c>
    </row>
    <row r="262">
      <c r="A262" s="4" t="s">
        <v>335</v>
      </c>
      <c r="B262" s="4" t="s">
        <v>337</v>
      </c>
      <c r="C262" s="5" t="str">
        <f>IFERROR(__xludf.DUMMYFUNCTION("GOOGLETRANSLATE(B262,""en"",""de"")"),"Eine Menschenfamilie sitzt an einem Holzpicknicktisch im Freien, isst und verzichtet auf die Kamera.")</f>
        <v>Eine Menschenfamilie sitzt an einem Holzpicknicktisch im Freien, isst und verzichtet auf die Kamera.</v>
      </c>
    </row>
    <row r="263">
      <c r="A263" s="4" t="s">
        <v>335</v>
      </c>
      <c r="B263" s="4" t="s">
        <v>338</v>
      </c>
      <c r="C263" s="5" t="str">
        <f>IFERROR(__xludf.DUMMYFUNCTION("GOOGLETRANSLATE(B263,""en"",""de"")"),"Die Familie beobachtet das Wetter im Freien, wenn es zu regnen beginnt und ein kleines Mädchen in den Regen geht und darin tanzt.")</f>
        <v>Die Familie beobachtet das Wetter im Freien, wenn es zu regnen beginnt und ein kleines Mädchen in den Regen geht und darin tanzt.</v>
      </c>
    </row>
    <row r="264">
      <c r="A264" s="4" t="s">
        <v>335</v>
      </c>
      <c r="B264" s="4" t="s">
        <v>339</v>
      </c>
      <c r="C264" s="5" t="str">
        <f>IFERROR(__xludf.DUMMYFUNCTION("GOOGLETRANSLATE(B264,""en"",""de"")"),"Die Familie erscheint dann, schwebt, redet und lächelte auf aufblasbaren Röhren auf einem schmalen Gewässer.")</f>
        <v>Die Familie erscheint dann, schwebt, redet und lächelte auf aufblasbaren Röhren auf einem schmalen Gewässer.</v>
      </c>
    </row>
    <row r="265">
      <c r="A265" s="4" t="s">
        <v>335</v>
      </c>
      <c r="B265" s="4" t="s">
        <v>340</v>
      </c>
      <c r="C265" s="5" t="str">
        <f>IFERROR(__xludf.DUMMYFUNCTION("GOOGLETRANSLATE(B265,""en"",""de"")"),"Die Veranstaltung endet und die Familie verlässt einen Bereich, der von einem Holzzaun begrenzt ist.")</f>
        <v>Die Veranstaltung endet und die Familie verlässt einen Bereich, der von einem Holzzaun begrenzt ist.</v>
      </c>
    </row>
    <row r="266">
      <c r="A266" s="4" t="s">
        <v>341</v>
      </c>
      <c r="B266" s="4" t="s">
        <v>342</v>
      </c>
      <c r="C266" s="5" t="str">
        <f>IFERROR(__xludf.DUMMYFUNCTION("GOOGLETRANSLATE(B266,""en"",""de"")"),"Ein Mann spielt gleichzeitig Gitarre und Mundharmonika.")</f>
        <v>Ein Mann spielt gleichzeitig Gitarre und Mundharmonika.</v>
      </c>
    </row>
    <row r="267">
      <c r="A267" s="4" t="s">
        <v>341</v>
      </c>
      <c r="B267" s="4" t="s">
        <v>343</v>
      </c>
      <c r="C267" s="5" t="str">
        <f>IFERROR(__xludf.DUMMYFUNCTION("GOOGLETRANSLATE(B267,""en"",""de"")"),"Dann singt der Mann, während er Gitarre spielt.")</f>
        <v>Dann singt der Mann, während er Gitarre spielt.</v>
      </c>
    </row>
    <row r="268">
      <c r="A268" s="4" t="s">
        <v>341</v>
      </c>
      <c r="B268" s="4" t="s">
        <v>344</v>
      </c>
      <c r="C268" s="5" t="str">
        <f>IFERROR(__xludf.DUMMYFUNCTION("GOOGLETRANSLATE(B268,""en"",""de"")"),"Danach spielt der Mann weiterhin sowohl die Gitarre als auch die Mundharmonika und singt dann.")</f>
        <v>Danach spielt der Mann weiterhin sowohl die Gitarre als auch die Mundharmonika und singt dann.</v>
      </c>
    </row>
    <row r="269">
      <c r="A269" s="4" t="s">
        <v>341</v>
      </c>
      <c r="B269" s="4" t="s">
        <v>345</v>
      </c>
      <c r="C269" s="5" t="str">
        <f>IFERROR(__xludf.DUMMYFUNCTION("GOOGLETRANSLATE(B269,""en"",""de"")"),"Als nächstes spielt der Mann zusammen die Mundharmonika und die Gitarre.")</f>
        <v>Als nächstes spielt der Mann zusammen die Mundharmonika und die Gitarre.</v>
      </c>
    </row>
    <row r="270">
      <c r="A270" s="4" t="s">
        <v>346</v>
      </c>
      <c r="B270" s="4" t="s">
        <v>347</v>
      </c>
      <c r="C270" s="5" t="str">
        <f>IFERROR(__xludf.DUMMYFUNCTION("GOOGLETRANSLATE(B270,""en"",""de"")"),"Das Video handelt von Wallwik und Tapetenentfernungssystem.")</f>
        <v>Das Video handelt von Wallwik und Tapetenentfernungssystem.</v>
      </c>
    </row>
    <row r="271">
      <c r="A271" s="4" t="s">
        <v>346</v>
      </c>
      <c r="B271" s="4" t="s">
        <v>348</v>
      </c>
      <c r="C271" s="5" t="str">
        <f>IFERROR(__xludf.DUMMYFUNCTION("GOOGLETRANSLATE(B271,""en"",""de"")"),"Es zeigt eine Frau, die auf bequeme und einfache Weise Tapete von der Wand entfernt.")</f>
        <v>Es zeigt eine Frau, die auf bequeme und einfache Weise Tapete von der Wand entfernt.</v>
      </c>
    </row>
    <row r="272">
      <c r="A272" s="4" t="s">
        <v>346</v>
      </c>
      <c r="B272" s="4" t="s">
        <v>349</v>
      </c>
      <c r="C272" s="5" t="str">
        <f>IFERROR(__xludf.DUMMYFUNCTION("GOOGLETRANSLATE(B272,""en"",""de"")"),"Sie benutzt ein A -Scheuerwerkzeug, um die Tapete von der Wand abzukratzen.")</f>
        <v>Sie benutzt ein A -Scheuerwerkzeug, um die Tapete von der Wand abzukratzen.</v>
      </c>
    </row>
    <row r="273">
      <c r="A273" s="4" t="s">
        <v>346</v>
      </c>
      <c r="B273" s="4" t="s">
        <v>350</v>
      </c>
      <c r="C273" s="5" t="str">
        <f>IFERROR(__xludf.DUMMYFUNCTION("GOOGLETRANSLATE(B273,""en"",""de"")"),"Dann verwendet sie eine Seifenlösung und taucht das Blatt in die Lösung ein.")</f>
        <v>Dann verwendet sie eine Seifenlösung und taucht das Blatt in die Lösung ein.</v>
      </c>
    </row>
    <row r="274">
      <c r="A274" s="4" t="s">
        <v>346</v>
      </c>
      <c r="B274" s="4" t="s">
        <v>351</v>
      </c>
      <c r="C274" s="5" t="str">
        <f>IFERROR(__xludf.DUMMYFUNCTION("GOOGLETRANSLATE(B274,""en"",""de"")"),"Es gibt einen Mann, der die nassen Blätter an der Wand hängt.")</f>
        <v>Es gibt einen Mann, der die nassen Blätter an der Wand hängt.</v>
      </c>
    </row>
    <row r="275">
      <c r="A275" s="4" t="s">
        <v>346</v>
      </c>
      <c r="B275" s="4" t="s">
        <v>352</v>
      </c>
      <c r="C275" s="5" t="str">
        <f>IFERROR(__xludf.DUMMYFUNCTION("GOOGLETRANSLATE(B275,""en"",""de"")"),"Eine Frau verwendet ein Sprühgerät auf den feuchten Blättern und sprüht sie auf.")</f>
        <v>Eine Frau verwendet ein Sprühgerät auf den feuchten Blättern und sprüht sie auf.</v>
      </c>
    </row>
    <row r="276">
      <c r="A276" s="4" t="s">
        <v>346</v>
      </c>
      <c r="B276" s="4" t="s">
        <v>353</v>
      </c>
      <c r="C276" s="5" t="str">
        <f>IFERROR(__xludf.DUMMYFUNCTION("GOOGLETRANSLATE(B276,""en"",""de"")"),"Dann schleppt ein Mann und eine Frau von der alten Tapete von der Wand.")</f>
        <v>Dann schleppt ein Mann und eine Frau von der alten Tapete von der Wand.</v>
      </c>
    </row>
    <row r="277">
      <c r="A277" s="4" t="s">
        <v>346</v>
      </c>
      <c r="B277" s="4" t="s">
        <v>354</v>
      </c>
      <c r="C277" s="5" t="str">
        <f>IFERROR(__xludf.DUMMYFUNCTION("GOOGLETRANSLATE(B277,""en"",""de"")"),"Das Video zeigt Anweisungen zur Verwendung der Wallwik -Produkte.")</f>
        <v>Das Video zeigt Anweisungen zur Verwendung der Wallwik -Produkte.</v>
      </c>
    </row>
    <row r="278">
      <c r="A278" s="4" t="s">
        <v>355</v>
      </c>
      <c r="B278" s="4" t="s">
        <v>356</v>
      </c>
      <c r="C278" s="5" t="str">
        <f>IFERROR(__xludf.DUMMYFUNCTION("GOOGLETRANSLATE(B278,""en"",""de"")"),"Das Video beginnt mit einer Titelsequenz.")</f>
        <v>Das Video beginnt mit einer Titelsequenz.</v>
      </c>
    </row>
    <row r="279">
      <c r="A279" s="4" t="s">
        <v>355</v>
      </c>
      <c r="B279" s="4" t="s">
        <v>357</v>
      </c>
      <c r="C279" s="5" t="str">
        <f>IFERROR(__xludf.DUMMYFUNCTION("GOOGLETRANSLATE(B279,""en"",""de"")"),"Ein junger Mann wird in einem Fitnessstudio gezeigt, das Tricks mit einem Sprungseil aufführt, als Musik im Hintergrund spielt.")</f>
        <v>Ein junger Mann wird in einem Fitnessstudio gezeigt, das Tricks mit einem Sprungseil aufführt, als Musik im Hintergrund spielt.</v>
      </c>
    </row>
    <row r="280">
      <c r="A280" s="4" t="s">
        <v>355</v>
      </c>
      <c r="B280" s="4" t="s">
        <v>358</v>
      </c>
      <c r="C280" s="5" t="str">
        <f>IFERROR(__xludf.DUMMYFUNCTION("GOOGLETRANSLATE(B280,""en"",""de"")"),"Dann legte er sich hin und beginnt Tricks auf dem Boden zu machen.")</f>
        <v>Dann legte er sich hin und beginnt Tricks auf dem Boden zu machen.</v>
      </c>
    </row>
    <row r="281">
      <c r="A281" s="4" t="s">
        <v>355</v>
      </c>
      <c r="B281" s="4" t="s">
        <v>359</v>
      </c>
      <c r="C281" s="5" t="str">
        <f>IFERROR(__xludf.DUMMYFUNCTION("GOOGLETRANSLATE(B281,""en"",""de"")"),"Der junge Mann steht wieder auf und macht im Stehen mehr Tricks.")</f>
        <v>Der junge Mann steht wieder auf und macht im Stehen mehr Tricks.</v>
      </c>
    </row>
    <row r="282">
      <c r="A282" s="4" t="s">
        <v>355</v>
      </c>
      <c r="B282" s="4" t="s">
        <v>360</v>
      </c>
      <c r="C282" s="5" t="str">
        <f>IFERROR(__xludf.DUMMYFUNCTION("GOOGLETRANSLATE(B282,""en"",""de"")"),"Irgendwann helfen seine Freunde bei den Sprungseiltricks.")</f>
        <v>Irgendwann helfen seine Freunde bei den Sprungseiltricks.</v>
      </c>
    </row>
    <row r="283">
      <c r="A283" s="4" t="s">
        <v>355</v>
      </c>
      <c r="B283" s="4" t="s">
        <v>361</v>
      </c>
      <c r="C283" s="5" t="str">
        <f>IFERROR(__xludf.DUMMYFUNCTION("GOOGLETRANSLATE(B283,""en"",""de"")"),"Das Video endet mit Credits, die den Namen des jungen Mannes zeigen, zusammen mit den Namen derer, die ihm unterstützten.")</f>
        <v>Das Video endet mit Credits, die den Namen des jungen Mannes zeigen, zusammen mit den Namen derer, die ihm unterstützten.</v>
      </c>
    </row>
    <row r="284">
      <c r="A284" s="4" t="s">
        <v>362</v>
      </c>
      <c r="B284" s="4" t="s">
        <v>363</v>
      </c>
      <c r="C284" s="5" t="str">
        <f>IFERROR(__xludf.DUMMYFUNCTION("GOOGLETRANSLATE(B284,""en"",""de"")"),"Eine Dame legt Wachs auf einen Mans -Schuhe.")</f>
        <v>Eine Dame legt Wachs auf einen Mans -Schuhe.</v>
      </c>
    </row>
    <row r="285">
      <c r="A285" s="4" t="s">
        <v>362</v>
      </c>
      <c r="B285" s="4" t="s">
        <v>364</v>
      </c>
      <c r="C285" s="5" t="str">
        <f>IFERROR(__xludf.DUMMYFUNCTION("GOOGLETRANSLATE(B285,""en"",""de"")"),"Wir sehen das Tuch an der Wand hängen.")</f>
        <v>Wir sehen das Tuch an der Wand hängen.</v>
      </c>
    </row>
    <row r="286">
      <c r="A286" s="4" t="s">
        <v>362</v>
      </c>
      <c r="B286" s="4" t="s">
        <v>365</v>
      </c>
      <c r="C286" s="5" t="str">
        <f>IFERROR(__xludf.DUMMYFUNCTION("GOOGLETRANSLATE(B286,""en"",""de"")"),"Wir sehen die Fußabdrücke auf der Plattform.")</f>
        <v>Wir sehen die Fußabdrücke auf der Plattform.</v>
      </c>
    </row>
    <row r="287">
      <c r="A287" s="4" t="s">
        <v>362</v>
      </c>
      <c r="B287" s="4" t="s">
        <v>366</v>
      </c>
      <c r="C287" s="5" t="str">
        <f>IFERROR(__xludf.DUMMYFUNCTION("GOOGLETRANSLATE(B287,""en"",""de"")"),"Die Frau reibt sich mit einem Tuch die Schuhe der Msten.")</f>
        <v>Die Frau reibt sich mit einem Tuch die Schuhe der Msten.</v>
      </c>
    </row>
    <row r="288">
      <c r="A288" s="4" t="s">
        <v>362</v>
      </c>
      <c r="B288" s="4" t="s">
        <v>367</v>
      </c>
      <c r="C288" s="5" t="str">
        <f>IFERROR(__xludf.DUMMYFUNCTION("GOOGLETRANSLATE(B288,""en"",""de"")"),"Wir sehen das Tuch an der Wand, dann die Stofflinien in der Nähe des Schuheschilds.")</f>
        <v>Wir sehen das Tuch an der Wand, dann die Stofflinien in der Nähe des Schuheschilds.</v>
      </c>
    </row>
    <row r="289">
      <c r="A289" s="4" t="s">
        <v>362</v>
      </c>
      <c r="B289" s="4" t="s">
        <v>368</v>
      </c>
      <c r="C289" s="5" t="str">
        <f>IFERROR(__xludf.DUMMYFUNCTION("GOOGLETRANSLATE(B289,""en"",""de"")"),"Ein Mann steht auf einer Plattform.")</f>
        <v>Ein Mann steht auf einer Plattform.</v>
      </c>
    </row>
    <row r="290">
      <c r="A290" s="4" t="s">
        <v>362</v>
      </c>
      <c r="B290" s="4" t="s">
        <v>369</v>
      </c>
      <c r="C290" s="5" t="str">
        <f>IFERROR(__xludf.DUMMYFUNCTION("GOOGLETRANSLATE(B290,""en"",""de"")"),"Wir sehen den holographischen Mann mit dem Papier an der Wand.")</f>
        <v>Wir sehen den holographischen Mann mit dem Papier an der Wand.</v>
      </c>
    </row>
    <row r="291">
      <c r="A291" s="4" t="s">
        <v>370</v>
      </c>
      <c r="B291" s="4" t="s">
        <v>371</v>
      </c>
      <c r="C291" s="5" t="str">
        <f>IFERROR(__xludf.DUMMYFUNCTION("GOOGLETRANSLATE(B291,""en"",""de"")"),"Ein schwarzer Zwei -Tür -Audi A3 wird angezeigt und dann zoomt die Kamera auf den Reifen.")</f>
        <v>Ein schwarzer Zwei -Tür -Audi A3 wird angezeigt und dann zoomt die Kamera auf den Reifen.</v>
      </c>
    </row>
    <row r="292">
      <c r="A292" s="4" t="s">
        <v>370</v>
      </c>
      <c r="B292" s="4" t="s">
        <v>372</v>
      </c>
      <c r="C292" s="5" t="str">
        <f>IFERROR(__xludf.DUMMYFUNCTION("GOOGLETRANSLATE(B292,""en"",""de"")"),"Ein Finger berührt dann das Notlicht und die Lichter am Auto beginnen zu blinken.")</f>
        <v>Ein Finger berührt dann das Notlicht und die Lichter am Auto beginnen zu blinken.</v>
      </c>
    </row>
    <row r="293">
      <c r="A293" s="4" t="s">
        <v>370</v>
      </c>
      <c r="B293" s="4" t="s">
        <v>373</v>
      </c>
      <c r="C293" s="5" t="str">
        <f>IFERROR(__xludf.DUMMYFUNCTION("GOOGLETRANSLATE(B293,""en"",""de"")"),"Als nächstes wird der LKW geöffnet und die Person entfernt den Ersatzreifen und den Jack.")</f>
        <v>Als nächstes wird der LKW geöffnet und die Person entfernt den Ersatzreifen und den Jack.</v>
      </c>
    </row>
    <row r="294">
      <c r="A294" s="4" t="s">
        <v>370</v>
      </c>
      <c r="B294" s="4" t="s">
        <v>374</v>
      </c>
      <c r="C294" s="5" t="str">
        <f>IFERROR(__xludf.DUMMYFUNCTION("GOOGLETRANSLATE(B294,""en"",""de"")"),"Dann hebt er das Auto und löst die Schrauben am Rad des Autos weiter.")</f>
        <v>Dann hebt er das Auto und löst die Schrauben am Rad des Autos weiter.</v>
      </c>
    </row>
    <row r="295">
      <c r="A295" s="4" t="s">
        <v>370</v>
      </c>
      <c r="B295" s="4" t="s">
        <v>375</v>
      </c>
      <c r="C295" s="5" t="str">
        <f>IFERROR(__xludf.DUMMYFUNCTION("GOOGLETRANSLATE(B295,""en"",""de"")"),"Sobald das Rad entfernt ist, wird das Rad entfernt und der Ersatz wird angelegt und die gleichen Aktionen werden umgekehrt ausgeführt.")</f>
        <v>Sobald das Rad entfernt ist, wird das Rad entfernt und der Ersatz wird angelegt und die gleichen Aktionen werden umgekehrt ausgeführt.</v>
      </c>
    </row>
    <row r="296">
      <c r="A296" s="4" t="s">
        <v>376</v>
      </c>
      <c r="B296" s="4" t="s">
        <v>377</v>
      </c>
      <c r="C296" s="5" t="str">
        <f>IFERROR(__xludf.DUMMYFUNCTION("GOOGLETRANSLATE(B296,""en"",""de"")"),"Eine Frau mischt Gegenstände in einer Schüssel.")</f>
        <v>Eine Frau mischt Gegenstände in einer Schüssel.</v>
      </c>
    </row>
    <row r="297">
      <c r="A297" s="4" t="s">
        <v>376</v>
      </c>
      <c r="B297" s="4" t="s">
        <v>378</v>
      </c>
      <c r="C297" s="5" t="str">
        <f>IFERROR(__xludf.DUMMYFUNCTION("GOOGLETRANSLATE(B297,""en"",""de"")"),"Sie reibt das an einen Holztisch.")</f>
        <v>Sie reibt das an einen Holztisch.</v>
      </c>
    </row>
    <row r="298">
      <c r="A298" s="4" t="s">
        <v>376</v>
      </c>
      <c r="B298" s="4" t="s">
        <v>379</v>
      </c>
      <c r="C298" s="5" t="str">
        <f>IFERROR(__xludf.DUMMYFUNCTION("GOOGLETRANSLATE(B298,""en"",""de"")"),"Sie lacht und legt ihre Hände in die Luft.")</f>
        <v>Sie lacht und legt ihre Hände in die Luft.</v>
      </c>
    </row>
    <row r="299">
      <c r="A299" s="4" t="s">
        <v>380</v>
      </c>
      <c r="B299" s="4" t="s">
        <v>381</v>
      </c>
      <c r="C299" s="5" t="str">
        <f>IFERROR(__xludf.DUMMYFUNCTION("GOOGLETRANSLATE(B299,""en"",""de"")"),"Zwei Mädchen stehen zwischen einem Mädchen in einem Friseursalonhocker und beginnen, sie zu putzen und ihre Haare zu teilen.")</f>
        <v>Zwei Mädchen stehen zwischen einem Mädchen in einem Friseursalonhocker und beginnen, sie zu putzen und ihre Haare zu teilen.</v>
      </c>
    </row>
    <row r="300">
      <c r="A300" s="4" t="s">
        <v>380</v>
      </c>
      <c r="B300" s="4" t="s">
        <v>382</v>
      </c>
      <c r="C300" s="5" t="str">
        <f>IFERROR(__xludf.DUMMYFUNCTION("GOOGLETRANSLATE(B300,""en"",""de"")"),"Eine Frau flechtet ihr Haar kontinuierlich, um schließlich ein französisches Geflecht zu schaffen.")</f>
        <v>Eine Frau flechtet ihr Haar kontinuierlich, um schließlich ein französisches Geflecht zu schaffen.</v>
      </c>
    </row>
    <row r="301">
      <c r="A301" s="4" t="s">
        <v>380</v>
      </c>
      <c r="B301" s="4" t="s">
        <v>383</v>
      </c>
      <c r="C301" s="5" t="str">
        <f>IFERROR(__xludf.DUMMYFUNCTION("GOOGLETRANSLATE(B301,""en"",""de"")"),"Beide Frauen stehen mit der Kamera, während sie das gerade gemachtes Geflecht präsentieren.")</f>
        <v>Beide Frauen stehen mit der Kamera, während sie das gerade gemachtes Geflecht präsentieren.</v>
      </c>
    </row>
    <row r="302">
      <c r="A302" s="4" t="s">
        <v>384</v>
      </c>
      <c r="B302" s="4" t="s">
        <v>385</v>
      </c>
      <c r="C302" s="5" t="str">
        <f>IFERROR(__xludf.DUMMYFUNCTION("GOOGLETRANSLATE(B302,""en"",""de"")"),"Wir sehen eine farbenfrohe Eröffnungsszene.")</f>
        <v>Wir sehen eine farbenfrohe Eröffnungsszene.</v>
      </c>
    </row>
    <row r="303">
      <c r="A303" s="4" t="s">
        <v>384</v>
      </c>
      <c r="B303" s="4" t="s">
        <v>386</v>
      </c>
      <c r="C303" s="5" t="str">
        <f>IFERROR(__xludf.DUMMYFUNCTION("GOOGLETRANSLATE(B303,""en"",""de"")"),"Kinder in farbenfrohen Kleidern gehen auf einer Bühne und treten ein.")</f>
        <v>Kinder in farbenfrohen Kleidern gehen auf einer Bühne und treten ein.</v>
      </c>
    </row>
    <row r="304">
      <c r="A304" s="4" t="s">
        <v>384</v>
      </c>
      <c r="B304" s="4" t="s">
        <v>387</v>
      </c>
      <c r="C304" s="5" t="str">
        <f>IFERROR(__xludf.DUMMYFUNCTION("GOOGLETRANSLATE(B304,""en"",""de"")"),"Die Kinder spielen Zumba auf einer Bühne.")</f>
        <v>Die Kinder spielen Zumba auf einer Bühne.</v>
      </c>
    </row>
    <row r="305">
      <c r="A305" s="4" t="s">
        <v>384</v>
      </c>
      <c r="B305" s="4" t="s">
        <v>388</v>
      </c>
      <c r="C305" s="5" t="str">
        <f>IFERROR(__xludf.DUMMYFUNCTION("GOOGLETRANSLATE(B305,""en"",""de"")"),"Das Mädchen von links geht in die falsche Richtung und trifft fast auf ein anderes Mädchen.")</f>
        <v>Das Mädchen von links geht in die falsche Richtung und trifft fast auf ein anderes Mädchen.</v>
      </c>
    </row>
    <row r="306">
      <c r="A306" s="4" t="s">
        <v>384</v>
      </c>
      <c r="B306" s="4" t="s">
        <v>389</v>
      </c>
      <c r="C306" s="5" t="str">
        <f>IFERROR(__xludf.DUMMYFUNCTION("GOOGLETRANSLATE(B306,""en"",""de"")"),"Wir sehen einen Endbildschirm.")</f>
        <v>Wir sehen einen Endbildschirm.</v>
      </c>
    </row>
    <row r="307">
      <c r="A307" s="4" t="s">
        <v>390</v>
      </c>
      <c r="B307" s="4" t="s">
        <v>391</v>
      </c>
      <c r="C307" s="5" t="str">
        <f>IFERROR(__xludf.DUMMYFUNCTION("GOOGLETRANSLATE(B307,""en"",""de"")"),"Ein Mann, der ein gestreiftes Hemd trägt, tanzt mit einem Mädchen in einer braunen Bluse bei einem Straßenfest.")</f>
        <v>Ein Mann, der ein gestreiftes Hemd trägt, tanzt mit einem Mädchen in einer braunen Bluse bei einem Straßenfest.</v>
      </c>
    </row>
    <row r="308">
      <c r="A308" s="4" t="s">
        <v>390</v>
      </c>
      <c r="B308" s="4" t="s">
        <v>392</v>
      </c>
      <c r="C308" s="5" t="str">
        <f>IFERROR(__xludf.DUMMYFUNCTION("GOOGLETRANSLATE(B308,""en"",""de"")"),"Andere Paare treten auf und tanzen auf einem Straßenfestival, während die Darsteller auf einer Bühne spielen.")</f>
        <v>Andere Paare treten auf und tanzen auf einem Straßenfestival, während die Darsteller auf einer Bühne spielen.</v>
      </c>
    </row>
    <row r="309">
      <c r="A309" s="4" t="s">
        <v>390</v>
      </c>
      <c r="B309" s="4" t="s">
        <v>393</v>
      </c>
      <c r="C309" s="5" t="str">
        <f>IFERROR(__xludf.DUMMYFUNCTION("GOOGLETRANSLATE(B309,""en"",""de"")"),"Die Zuschauer gehen vorbei, während die Gruppe weiter tanzt.")</f>
        <v>Die Zuschauer gehen vorbei, während die Gruppe weiter tanzt.</v>
      </c>
    </row>
    <row r="310">
      <c r="A310" s="4" t="s">
        <v>394</v>
      </c>
      <c r="B310" s="4" t="s">
        <v>395</v>
      </c>
      <c r="C310" s="5" t="str">
        <f>IFERROR(__xludf.DUMMYFUNCTION("GOOGLETRANSLATE(B310,""en"",""de"")"),"Der Mann schlägt eine Trommel.")</f>
        <v>Der Mann schlägt eine Trommel.</v>
      </c>
    </row>
    <row r="311">
      <c r="A311" s="4" t="s">
        <v>394</v>
      </c>
      <c r="B311" s="4" t="s">
        <v>396</v>
      </c>
      <c r="C311" s="5" t="str">
        <f>IFERROR(__xludf.DUMMYFUNCTION("GOOGLETRANSLATE(B311,""en"",""de"")"),"Der Mann treibt die andere Trommel, während er sein Bein bewegte.")</f>
        <v>Der Mann treibt die andere Trommel, während er sein Bein bewegte.</v>
      </c>
    </row>
    <row r="312">
      <c r="A312" s="4" t="s">
        <v>394</v>
      </c>
      <c r="B312" s="4" t="s">
        <v>397</v>
      </c>
      <c r="C312" s="5" t="str">
        <f>IFERROR(__xludf.DUMMYFUNCTION("GOOGLETRANSLATE(B312,""en"",""de"")"),"Der Mann spielt gleichzeitig zwei Schlagzeug.")</f>
        <v>Der Mann spielt gleichzeitig zwei Schlagzeug.</v>
      </c>
    </row>
    <row r="313">
      <c r="A313" s="4" t="s">
        <v>398</v>
      </c>
      <c r="B313" s="4" t="s">
        <v>399</v>
      </c>
      <c r="C313" s="5" t="str">
        <f>IFERROR(__xludf.DUMMYFUNCTION("GOOGLETRANSLATE(B313,""en"",""de"")"),"Die Frau sitzt am Kamin und hält eine Geige.")</f>
        <v>Die Frau sitzt am Kamin und hält eine Geige.</v>
      </c>
    </row>
    <row r="314">
      <c r="A314" s="4" t="s">
        <v>398</v>
      </c>
      <c r="B314" s="4" t="s">
        <v>400</v>
      </c>
      <c r="C314" s="5" t="str">
        <f>IFERROR(__xludf.DUMMYFUNCTION("GOOGLETRANSLATE(B314,""en"",""de"")"),"Die Frau legte die Geige zwischen Nacken und Schulter und begann mit dem Stock die Geige zu schlagen.")</f>
        <v>Die Frau legte die Geige zwischen Nacken und Schulter und begann mit dem Stock die Geige zu schlagen.</v>
      </c>
    </row>
    <row r="315">
      <c r="A315" s="4" t="s">
        <v>398</v>
      </c>
      <c r="B315" s="4" t="s">
        <v>401</v>
      </c>
      <c r="C315" s="5" t="str">
        <f>IFERROR(__xludf.DUMMYFUNCTION("GOOGLETRANSLATE(B315,""en"",""de"")"),"Die Dame legte die Geige auf ihren Schoß und redete.")</f>
        <v>Die Dame legte die Geige auf ihren Schoß und redete.</v>
      </c>
    </row>
    <row r="316">
      <c r="A316" s="4" t="s">
        <v>402</v>
      </c>
      <c r="B316" s="4" t="s">
        <v>403</v>
      </c>
      <c r="C316" s="5" t="str">
        <f>IFERROR(__xludf.DUMMYFUNCTION("GOOGLETRANSLATE(B316,""en"",""de"")"),"Ein Mann sitzt auf einem Stuhl, als er sich die Haare schneiden lässt.")</f>
        <v>Ein Mann sitzt auf einem Stuhl, als er sich die Haare schneiden lässt.</v>
      </c>
    </row>
    <row r="317">
      <c r="A317" s="4" t="s">
        <v>402</v>
      </c>
      <c r="B317" s="4" t="s">
        <v>404</v>
      </c>
      <c r="C317" s="5" t="str">
        <f>IFERROR(__xludf.DUMMYFUNCTION("GOOGLETRANSLATE(B317,""en"",""de"")"),"Ein Mann in einem schwarzen Hemd bewegt ein Licht herum.")</f>
        <v>Ein Mann in einem schwarzen Hemd bewegt ein Licht herum.</v>
      </c>
    </row>
    <row r="318">
      <c r="A318" s="4" t="s">
        <v>402</v>
      </c>
      <c r="B318" s="4" t="s">
        <v>405</v>
      </c>
      <c r="C318" s="5" t="str">
        <f>IFERROR(__xludf.DUMMYFUNCTION("GOOGLETRANSLATE(B318,""en"",""de"")"),"Leute krabbeln hinter dem Friseur.")</f>
        <v>Leute krabbeln hinter dem Friseur.</v>
      </c>
    </row>
    <row r="319">
      <c r="A319" s="4" t="s">
        <v>402</v>
      </c>
      <c r="B319" s="4" t="s">
        <v>406</v>
      </c>
      <c r="C319" s="5" t="str">
        <f>IFERROR(__xludf.DUMMYFUNCTION("GOOGLETRANSLATE(B319,""en"",""de"")"),"Ein Friseur kämmt und schneidet die Haare des Mannes.")</f>
        <v>Ein Friseur kämmt und schneidet die Haare des Mannes.</v>
      </c>
    </row>
    <row r="320">
      <c r="A320" s="4" t="s">
        <v>402</v>
      </c>
      <c r="B320" s="4" t="s">
        <v>407</v>
      </c>
      <c r="C320" s="5" t="str">
        <f>IFERROR(__xludf.DUMMYFUNCTION("GOOGLETRANSLATE(B320,""en"",""de"")"),"Die Haarstylisten reiben einige Pomade an den Haaren des Mannes.")</f>
        <v>Die Haarstylisten reiben einige Pomade an den Haaren des Mannes.</v>
      </c>
    </row>
    <row r="321">
      <c r="A321" s="4" t="s">
        <v>402</v>
      </c>
      <c r="B321" s="4" t="s">
        <v>408</v>
      </c>
      <c r="C321" s="5" t="str">
        <f>IFERROR(__xludf.DUMMYFUNCTION("GOOGLETRANSLATE(B321,""en"",""de"")"),"Der Mann posiert.")</f>
        <v>Der Mann posiert.</v>
      </c>
    </row>
    <row r="322">
      <c r="A322" s="4" t="s">
        <v>409</v>
      </c>
      <c r="B322" s="4" t="s">
        <v>410</v>
      </c>
      <c r="C322" s="5" t="str">
        <f>IFERROR(__xludf.DUMMYFUNCTION("GOOGLETRANSLATE(B322,""en"",""de"")"),"Eine jugendliche weibliche Jubel, die führend ist, geht auf einer Matte herum und kommt in Formation.")</f>
        <v>Eine jugendliche weibliche Jubel, die führend ist, geht auf einer Matte herum und kommt in Formation.</v>
      </c>
    </row>
    <row r="323">
      <c r="A323" s="4" t="s">
        <v>409</v>
      </c>
      <c r="B323" s="4" t="s">
        <v>411</v>
      </c>
      <c r="C323" s="5" t="str">
        <f>IFERROR(__xludf.DUMMYFUNCTION("GOOGLETRANSLATE(B323,""en"",""de"")"),"Die Routine beginnt in einer Manikin -Herausforderung und alle beginnen, einen Flip zu machen.")</f>
        <v>Die Routine beginnt in einer Manikin -Herausforderung und alle beginnen, einen Flip zu machen.</v>
      </c>
    </row>
    <row r="324">
      <c r="A324" s="4" t="s">
        <v>409</v>
      </c>
      <c r="B324" s="4" t="s">
        <v>412</v>
      </c>
      <c r="C324" s="5" t="str">
        <f>IFERROR(__xludf.DUMMYFUNCTION("GOOGLETRANSLATE(B324,""en"",""de"")"),"Danach machen sie mehrere Straddle -Sprünge und beginnen in Tribünen aufzusteigen.")</f>
        <v>Danach machen sie mehrere Straddle -Sprünge und beginnen in Tribünen aufzusteigen.</v>
      </c>
    </row>
    <row r="325">
      <c r="A325" s="4" t="s">
        <v>409</v>
      </c>
      <c r="B325" s="4" t="s">
        <v>413</v>
      </c>
      <c r="C325" s="5" t="str">
        <f>IFERROR(__xludf.DUMMYFUNCTION("GOOGLETRANSLATE(B325,""en"",""de"")"),"Sobald die Stunts fertig sind, beginnt die Hälfte des Teams Wagenräder und sie treffen sich alle in der Mitte, um Stunts in der Luft zu machen.")</f>
        <v>Sobald die Stunts fertig sind, beginnt die Hälfte des Teams Wagenräder und sie treffen sich alle in der Mitte, um Stunts in der Luft zu machen.</v>
      </c>
    </row>
    <row r="326">
      <c r="A326" s="4" t="s">
        <v>409</v>
      </c>
      <c r="B326" s="4" t="s">
        <v>414</v>
      </c>
      <c r="C326" s="5" t="str">
        <f>IFERROR(__xludf.DUMMYFUNCTION("GOOGLETRANSLATE(B326,""en"",""de"")"),"Weitere Stunts sind fertig und die Mädchen landen durch eine Trennung, dann stehen sie auf und umarmen sich in der Mitte der Matte.")</f>
        <v>Weitere Stunts sind fertig und die Mädchen landen durch eine Trennung, dann stehen sie auf und umarmen sich in der Mitte der Matte.</v>
      </c>
    </row>
    <row r="327">
      <c r="A327" s="4" t="s">
        <v>415</v>
      </c>
      <c r="B327" s="4" t="s">
        <v>416</v>
      </c>
      <c r="C327" s="5" t="str">
        <f>IFERROR(__xludf.DUMMYFUNCTION("GOOGLETRANSLATE(B327,""en"",""de"")"),"Eine Frau, die eine Kapuze und eine Brille trägt, redet.")</f>
        <v>Eine Frau, die eine Kapuze und eine Brille trägt, redet.</v>
      </c>
    </row>
    <row r="328">
      <c r="A328" s="4" t="s">
        <v>415</v>
      </c>
      <c r="B328" s="4" t="s">
        <v>417</v>
      </c>
      <c r="C328" s="5" t="str">
        <f>IFERROR(__xludf.DUMMYFUNCTION("GOOGLETRANSLATE(B328,""en"",""de"")"),"Sie hält einen Schlagstock und wirft sie in ihren Händen.")</f>
        <v>Sie hält einen Schlagstock und wirft sie in ihren Händen.</v>
      </c>
    </row>
    <row r="329">
      <c r="A329" s="4" t="s">
        <v>418</v>
      </c>
      <c r="B329" s="4" t="s">
        <v>419</v>
      </c>
      <c r="C329" s="5" t="str">
        <f>IFERROR(__xludf.DUMMYFUNCTION("GOOGLETRANSLATE(B329,""en"",""de"")"),"Eine Frau steht hinter einem Waschbecken und wäscht Geschirr, während er mit der Kamera spricht.")</f>
        <v>Eine Frau steht hinter einem Waschbecken und wäscht Geschirr, während er mit der Kamera spricht.</v>
      </c>
    </row>
    <row r="330">
      <c r="A330" s="4" t="s">
        <v>418</v>
      </c>
      <c r="B330" s="4" t="s">
        <v>420</v>
      </c>
      <c r="C330" s="5" t="str">
        <f>IFERROR(__xludf.DUMMYFUNCTION("GOOGLETRANSLATE(B330,""en"",""de"")"),"Die Frau wäscht weiterhin Besteck, während sie zur Kamera schaut und lächelt.")</f>
        <v>Die Frau wäscht weiterhin Besteck, während sie zur Kamera schaut und lächelt.</v>
      </c>
    </row>
    <row r="331">
      <c r="A331" s="4" t="s">
        <v>421</v>
      </c>
      <c r="B331" s="4" t="s">
        <v>422</v>
      </c>
      <c r="C331" s="5" t="str">
        <f>IFERROR(__xludf.DUMMYFUNCTION("GOOGLETRANSLATE(B331,""en"",""de"")"),"Ein Mann in einem schwarzen Hut schlägt mit einem Club einen Ball auf das Gras.")</f>
        <v>Ein Mann in einem schwarzen Hut schlägt mit einem Club einen Ball auf das Gras.</v>
      </c>
    </row>
    <row r="332">
      <c r="A332" s="4" t="s">
        <v>421</v>
      </c>
      <c r="B332" s="4" t="s">
        <v>423</v>
      </c>
      <c r="C332" s="5" t="str">
        <f>IFERROR(__xludf.DUMMYFUNCTION("GOOGLETRANSLATE(B332,""en"",""de"")"),"Er spricht weiterhin mit der Kamera.")</f>
        <v>Er spricht weiterhin mit der Kamera.</v>
      </c>
    </row>
    <row r="333">
      <c r="A333" s="4" t="s">
        <v>421</v>
      </c>
      <c r="B333" s="4" t="s">
        <v>424</v>
      </c>
      <c r="C333" s="5" t="str">
        <f>IFERROR(__xludf.DUMMYFUNCTION("GOOGLETRANSLATE(B333,""en"",""de"")"),"Er hält eine kleine Trophäe hoch.")</f>
        <v>Er hält eine kleine Trophäe hoch.</v>
      </c>
    </row>
    <row r="334">
      <c r="A334" s="4" t="s">
        <v>425</v>
      </c>
      <c r="B334" s="4" t="s">
        <v>426</v>
      </c>
      <c r="C334" s="5" t="str">
        <f>IFERROR(__xludf.DUMMYFUNCTION("GOOGLETRANSLATE(B334,""en"",""de"")"),"Eine Gruppe von Menschen ist auf einem Feld.")</f>
        <v>Eine Gruppe von Menschen ist auf einem Feld.</v>
      </c>
    </row>
    <row r="335">
      <c r="A335" s="4" t="s">
        <v>425</v>
      </c>
      <c r="B335" s="4" t="s">
        <v>427</v>
      </c>
      <c r="C335" s="5" t="str">
        <f>IFERROR(__xludf.DUMMYFUNCTION("GOOGLETRANSLATE(B335,""en"",""de"")"),"Sie befestigen eine Kamera an einem der Köpfe des Spielers.")</f>
        <v>Sie befestigen eine Kamera an einem der Köpfe des Spielers.</v>
      </c>
    </row>
    <row r="336">
      <c r="A336" s="4" t="s">
        <v>425</v>
      </c>
      <c r="B336" s="4" t="s">
        <v>428</v>
      </c>
      <c r="C336" s="5" t="str">
        <f>IFERROR(__xludf.DUMMYFUNCTION("GOOGLETRANSLATE(B336,""en"",""de"")"),"Sie heben sich gegenseitig in Cheerleading -Stunts über ihre Köpfe, die aus der Ansicht der Kamera gesehen werden können.")</f>
        <v>Sie heben sich gegenseitig in Cheerleading -Stunts über ihre Köpfe, die aus der Ansicht der Kamera gesehen werden können.</v>
      </c>
    </row>
    <row r="337">
      <c r="A337" s="4" t="s">
        <v>425</v>
      </c>
      <c r="B337" s="4" t="s">
        <v>429</v>
      </c>
      <c r="C337" s="5" t="str">
        <f>IFERROR(__xludf.DUMMYFUNCTION("GOOGLETRANSLATE(B337,""en"",""de"")"),"Sie lächeln und lachen, als sie weiterhin Stunts ausführen.")</f>
        <v>Sie lächeln und lachen, als sie weiterhin Stunts ausführen.</v>
      </c>
    </row>
    <row r="338">
      <c r="A338" s="4" t="s">
        <v>430</v>
      </c>
      <c r="B338" s="4" t="s">
        <v>431</v>
      </c>
      <c r="C338" s="5" t="str">
        <f>IFERROR(__xludf.DUMMYFUNCTION("GOOGLETRANSLATE(B338,""en"",""de"")"),"Eine große Gruppe von Menschen steht vor, wenn ein Mann, der versucht, über eine Bar zu springen, mehrere Clips gezeigt wird.")</f>
        <v>Eine große Gruppe von Menschen steht vor, wenn ein Mann, der versucht, über eine Bar zu springen, mehrere Clips gezeigt wird.</v>
      </c>
    </row>
    <row r="339">
      <c r="A339" s="4" t="s">
        <v>430</v>
      </c>
      <c r="B339" s="4" t="s">
        <v>432</v>
      </c>
      <c r="C339" s="5" t="str">
        <f>IFERROR(__xludf.DUMMYFUNCTION("GOOGLETRANSLATE(B339,""en"",""de"")"),"Der Mann vervollständigt den Sprung, nachdem ein Paar versucht wurde und wird in Zeitlupe wieder angezeigt.")</f>
        <v>Der Mann vervollständigt den Sprung, nachdem ein Paar versucht wurde und wird in Zeitlupe wieder angezeigt.</v>
      </c>
    </row>
    <row r="340">
      <c r="A340" s="4" t="s">
        <v>430</v>
      </c>
      <c r="B340" s="4" t="s">
        <v>433</v>
      </c>
      <c r="C340" s="5" t="str">
        <f>IFERROR(__xludf.DUMMYFUNCTION("GOOGLETRANSLATE(B340,""en"",""de"")"),"Der Mann versucht, mehrmals mehrmals höher zu springen, und schlägt jedes Mal die Stange ab.")</f>
        <v>Der Mann versucht, mehrmals mehrmals höher zu springen, und schlägt jedes Mal die Stange ab.</v>
      </c>
    </row>
    <row r="341">
      <c r="A341" s="4" t="s">
        <v>434</v>
      </c>
      <c r="B341" s="4" t="s">
        <v>435</v>
      </c>
      <c r="C341" s="5" t="str">
        <f>IFERROR(__xludf.DUMMYFUNCTION("GOOGLETRANSLATE(B341,""en"",""de"")"),"Eine Frau lacht, als sie Seil in ein Fitnessstudio springt.")</f>
        <v>Eine Frau lacht, als sie Seil in ein Fitnessstudio springt.</v>
      </c>
    </row>
    <row r="342">
      <c r="A342" s="4" t="s">
        <v>434</v>
      </c>
      <c r="B342" s="4" t="s">
        <v>436</v>
      </c>
      <c r="C342" s="5" t="str">
        <f>IFERROR(__xludf.DUMMYFUNCTION("GOOGLETRANSLATE(B342,""en"",""de"")"),"Sie springt über einen langen Zeitraum weiter, beschleunigt und wechselt die Positionen, während Männer mit Kameras sie aufnehmen.")</f>
        <v>Sie springt über einen langen Zeitraum weiter, beschleunigt und wechselt die Positionen, während Männer mit Kameras sie aufnehmen.</v>
      </c>
    </row>
    <row r="343">
      <c r="A343" s="4" t="s">
        <v>437</v>
      </c>
      <c r="B343" s="4" t="s">
        <v>438</v>
      </c>
      <c r="C343" s="5" t="str">
        <f>IFERROR(__xludf.DUMMYFUNCTION("GOOGLETRANSLATE(B343,""en"",""de"")"),"Eine Frau, die ein Leopardenmuster -Hemd und eine Jeansjacke trägt, macht ein Tutorial über falsche Nägel und wie man sie benutzt.")</f>
        <v>Eine Frau, die ein Leopardenmuster -Hemd und eine Jeansjacke trägt, macht ein Tutorial über falsche Nägel und wie man sie benutzt.</v>
      </c>
    </row>
    <row r="344">
      <c r="A344" s="4" t="s">
        <v>437</v>
      </c>
      <c r="B344" s="4" t="s">
        <v>439</v>
      </c>
      <c r="C344" s="5" t="str">
        <f>IFERROR(__xludf.DUMMYFUNCTION("GOOGLETRANSLATE(B344,""en"",""de"")"),"Sie hält eine Packung der falschen Nägel in der Hand, als sie den Prozess erklärt.")</f>
        <v>Sie hält eine Packung der falschen Nägel in der Hand, als sie den Prozess erklärt.</v>
      </c>
    </row>
    <row r="345">
      <c r="A345" s="4" t="s">
        <v>437</v>
      </c>
      <c r="B345" s="4" t="s">
        <v>440</v>
      </c>
      <c r="C345" s="5" t="str">
        <f>IFERROR(__xludf.DUMMYFUNCTION("GOOGLETRANSLATE(B345,""en"",""de"")"),"Dann zeigt sie, wie man die falschen Nägel auf ihre Nägel legt.")</f>
        <v>Dann zeigt sie, wie man die falschen Nägel auf ihre Nägel legt.</v>
      </c>
    </row>
    <row r="346">
      <c r="A346" s="4" t="s">
        <v>437</v>
      </c>
      <c r="B346" s="4" t="s">
        <v>441</v>
      </c>
      <c r="C346" s="5" t="str">
        <f>IFERROR(__xludf.DUMMYFUNCTION("GOOGLETRANSLATE(B346,""en"",""de"")"),"Dann nimmt sie eine Nagelfeile und filmt die Enden der Nägel, um sie zu glätten.")</f>
        <v>Dann nimmt sie eine Nagelfeile und filmt die Enden der Nägel, um sie zu glätten.</v>
      </c>
    </row>
    <row r="347">
      <c r="A347" s="4" t="s">
        <v>437</v>
      </c>
      <c r="B347" s="4" t="s">
        <v>442</v>
      </c>
      <c r="C347" s="5" t="str">
        <f>IFERROR(__xludf.DUMMYFUNCTION("GOOGLETRANSLATE(B347,""en"",""de"")"),"Sie benutzt dann einen Klebstoff, um die Nägel über ihre Nägel zu kleben.")</f>
        <v>Sie benutzt dann einen Klebstoff, um die Nägel über ihre Nägel zu kleben.</v>
      </c>
    </row>
    <row r="348">
      <c r="A348" s="4" t="s">
        <v>437</v>
      </c>
      <c r="B348" s="4" t="s">
        <v>443</v>
      </c>
      <c r="C348" s="5" t="str">
        <f>IFERROR(__xludf.DUMMYFUNCTION("GOOGLETRANSLATE(B348,""en"",""de"")"),"Dann streckt sie den Überschuss ab, um die Nägel zu verkürzen, gefolgt von der Einreichung der Nägel.")</f>
        <v>Dann streckt sie den Überschuss ab, um die Nägel zu verkürzen, gefolgt von der Einreichung der Nägel.</v>
      </c>
    </row>
    <row r="349">
      <c r="A349" s="4" t="s">
        <v>437</v>
      </c>
      <c r="B349" s="4" t="s">
        <v>444</v>
      </c>
      <c r="C349" s="5" t="str">
        <f>IFERROR(__xludf.DUMMYFUNCTION("GOOGLETRANSLATE(B349,""en"",""de"")"),"Sie benutzt auch einige kalkgrüne Nagellack und malt die Nägel, um den Prozess abzuschließen und sie glänzend zu machen.")</f>
        <v>Sie benutzt auch einige kalkgrüne Nagellack und malt die Nägel, um den Prozess abzuschließen und sie glänzend zu machen.</v>
      </c>
    </row>
    <row r="350">
      <c r="A350" s="4" t="s">
        <v>445</v>
      </c>
      <c r="B350" s="4" t="s">
        <v>446</v>
      </c>
      <c r="C350" s="5" t="str">
        <f>IFERROR(__xludf.DUMMYFUNCTION("GOOGLETRANSLATE(B350,""en"",""de"")"),"Ein Koch steht vor einem großen Herd.")</f>
        <v>Ein Koch steht vor einem großen Herd.</v>
      </c>
    </row>
    <row r="351">
      <c r="A351" s="4" t="s">
        <v>445</v>
      </c>
      <c r="B351" s="4" t="s">
        <v>447</v>
      </c>
      <c r="C351" s="5" t="str">
        <f>IFERROR(__xludf.DUMMYFUNCTION("GOOGLETRANSLATE(B351,""en"",""de"")"),"Es ist mit Zutaten und Pfannen auf Brennern bedeckt.")</f>
        <v>Es ist mit Zutaten und Pfannen auf Brennern bedeckt.</v>
      </c>
    </row>
    <row r="352">
      <c r="A352" s="4" t="s">
        <v>445</v>
      </c>
      <c r="B352" s="4" t="s">
        <v>448</v>
      </c>
      <c r="C352" s="5" t="str">
        <f>IFERROR(__xludf.DUMMYFUNCTION("GOOGLETRANSLATE(B352,""en"",""de"")"),"Der Mann schafft ein riesiges Omelett, dreht sie schließlich auf einen Teller und übergibt es einem Patron.")</f>
        <v>Der Mann schafft ein riesiges Omelett, dreht sie schließlich auf einen Teller und übergibt es einem Patron.</v>
      </c>
    </row>
    <row r="353">
      <c r="A353" s="4" t="s">
        <v>449</v>
      </c>
      <c r="B353" s="4" t="s">
        <v>450</v>
      </c>
      <c r="C353" s="5" t="str">
        <f>IFERROR(__xludf.DUMMYFUNCTION("GOOGLETRANSLATE(B353,""en"",""de"")"),"Ein alter Mann mit grauem Haar, rotem Hemd und schwarze Hosen dribbelt den Ball in einem Innenplatz und dribierte die Kugel nebeneinander zwischen seine Beine.")</f>
        <v>Ein alter Mann mit grauem Haar, rotem Hemd und schwarze Hosen dribbelt den Ball in einem Innenplatz und dribierte die Kugel nebeneinander zwischen seine Beine.</v>
      </c>
    </row>
    <row r="354">
      <c r="A354" s="4" t="s">
        <v>449</v>
      </c>
      <c r="B354" s="4" t="s">
        <v>451</v>
      </c>
      <c r="C354" s="5" t="str">
        <f>IFERROR(__xludf.DUMMYFUNCTION("GOOGLETRANSLATE(B354,""en"",""de"")"),"Er schießt den Ball in den Ring, fängt dann wieder an, zwischen und zwischen seine Beine und schieße den Ball in den Ring.")</f>
        <v>Er schießt den Ball in den Ring, fängt dann wieder an, zwischen und zwischen seine Beine und schieße den Ball in den Ring.</v>
      </c>
    </row>
    <row r="355">
      <c r="A355" s="4" t="s">
        <v>452</v>
      </c>
      <c r="B355" s="4" t="s">
        <v>453</v>
      </c>
      <c r="C355" s="5" t="str">
        <f>IFERROR(__xludf.DUMMYFUNCTION("GOOGLETRANSLATE(B355,""en"",""de"")"),"Eine Gruppe von Cheerleadern kommt von der Seitenbühne und beginnt zu lächeln und winkt zu der Menge, bevor sie sich in ihre Formation niederlassen.")</f>
        <v>Eine Gruppe von Cheerleadern kommt von der Seitenbühne und beginnt zu lächeln und winkt zu der Menge, bevor sie sich in ihre Formation niederlassen.</v>
      </c>
    </row>
    <row r="356">
      <c r="A356" s="4" t="s">
        <v>452</v>
      </c>
      <c r="B356" s="4" t="s">
        <v>454</v>
      </c>
      <c r="C356" s="5" t="str">
        <f>IFERROR(__xludf.DUMMYFUNCTION("GOOGLETRANSLATE(B356,""en"",""de"")"),"Die Routine beginnt und sie fangen an, Hurkies zu machen, sich gegenseitig in die Luft zu werfen und sich gegenseitig zu halten.")</f>
        <v>Die Routine beginnt und sie fangen an, Hurkies zu machen, sich gegenseitig in die Luft zu werfen und sich gegenseitig zu halten.</v>
      </c>
    </row>
    <row r="357">
      <c r="A357" s="4" t="s">
        <v>452</v>
      </c>
      <c r="B357" s="4" t="s">
        <v>455</v>
      </c>
      <c r="C357" s="5" t="str">
        <f>IFERROR(__xludf.DUMMYFUNCTION("GOOGLETRANSLATE(B357,""en"",""de"")"),"Die Hälfte der Mädchen sitzt hinter dem Rest der Cheerleader, während sie einen Teil der Routine betreiben.")</f>
        <v>Die Hälfte der Mädchen sitzt hinter dem Rest der Cheerleader, während sie einen Teil der Routine betreiben.</v>
      </c>
    </row>
    <row r="358">
      <c r="A358" s="4" t="s">
        <v>452</v>
      </c>
      <c r="B358" s="4" t="s">
        <v>456</v>
      </c>
      <c r="C358" s="5" t="str">
        <f>IFERROR(__xludf.DUMMYFUNCTION("GOOGLETRANSLATE(B358,""en"",""de"")"),"Die Routine endet und sie rennen alle mit Spirit Fingers über die Bühne, bevor sie die Bühne verlassen.")</f>
        <v>Die Routine endet und sie rennen alle mit Spirit Fingers über die Bühne, bevor sie die Bühne verlassen.</v>
      </c>
    </row>
    <row r="359">
      <c r="A359" s="4" t="s">
        <v>457</v>
      </c>
      <c r="B359" s="4" t="s">
        <v>458</v>
      </c>
      <c r="C359" s="5" t="str">
        <f>IFERROR(__xludf.DUMMYFUNCTION("GOOGLETRANSLATE(B359,""en"",""de"")"),"Musik spielt als Surfer mit den Wellen.")</f>
        <v>Musik spielt als Surfer mit den Wellen.</v>
      </c>
    </row>
    <row r="360">
      <c r="A360" s="4" t="s">
        <v>457</v>
      </c>
      <c r="B360" s="4" t="s">
        <v>459</v>
      </c>
      <c r="C360" s="5" t="str">
        <f>IFERROR(__xludf.DUMMYFUNCTION("GOOGLETRANSLATE(B360,""en"",""de"")"),"Einige Männer bereiten sich auf das Surfen vor, bereiten ihr Brett vor und ziehen sich an.")</f>
        <v>Einige Männer bereiten sich auf das Surfen vor, bereiten ihr Brett vor und ziehen sich an.</v>
      </c>
    </row>
    <row r="361">
      <c r="A361" s="4" t="s">
        <v>457</v>
      </c>
      <c r="B361" s="4" t="s">
        <v>460</v>
      </c>
      <c r="C361" s="5" t="str">
        <f>IFERROR(__xludf.DUMMYFUNCTION("GOOGLETRANSLATE(B361,""en"",""de"")"),"Ein Hubschrauber fährt über die Küste, an der die Surfer reiten.")</f>
        <v>Ein Hubschrauber fährt über die Küste, an der die Surfer reiten.</v>
      </c>
    </row>
    <row r="362">
      <c r="A362" s="4" t="s">
        <v>457</v>
      </c>
      <c r="B362" s="4" t="s">
        <v>461</v>
      </c>
      <c r="C362" s="5" t="str">
        <f>IFERROR(__xludf.DUMMYFUNCTION("GOOGLETRANSLATE(B362,""en"",""de"")"),"Ein paar lacht zusammen am Strand in einem Zelt, das mehr Surfen wartet.")</f>
        <v>Ein paar lacht zusammen am Strand in einem Zelt, das mehr Surfen wartet.</v>
      </c>
    </row>
    <row r="363">
      <c r="A363" s="4" t="s">
        <v>457</v>
      </c>
      <c r="B363" s="4" t="s">
        <v>462</v>
      </c>
      <c r="C363" s="5" t="str">
        <f>IFERROR(__xludf.DUMMYFUNCTION("GOOGLETRANSLATE(B363,""en"",""de"")"),"Ein Mann wird dann gezeigt, der sein Vorstand mit Surfwachs vorbereitet.")</f>
        <v>Ein Mann wird dann gezeigt, der sein Vorstand mit Surfwachs vorbereitet.</v>
      </c>
    </row>
    <row r="364">
      <c r="A364" s="4" t="s">
        <v>457</v>
      </c>
      <c r="B364" s="4" t="s">
        <v>463</v>
      </c>
      <c r="C364" s="5" t="str">
        <f>IFERROR(__xludf.DUMMYFUNCTION("GOOGLETRANSLATE(B364,""en"",""de"")"),"Die Menge beobachtet, wie andere Wellen reiten.")</f>
        <v>Die Menge beobachtet, wie andere Wellen reiten.</v>
      </c>
    </row>
    <row r="365">
      <c r="A365" s="4" t="s">
        <v>457</v>
      </c>
      <c r="B365" s="4" t="s">
        <v>464</v>
      </c>
      <c r="C365" s="5" t="str">
        <f>IFERROR(__xludf.DUMMYFUNCTION("GOOGLETRANSLATE(B365,""en"",""de"")"),"Die Menge jubelt es, dass Surfen läuft.")</f>
        <v>Die Menge jubelt es, dass Surfen läuft.</v>
      </c>
    </row>
    <row r="366">
      <c r="A366" s="4" t="s">
        <v>457</v>
      </c>
      <c r="B366" s="4" t="s">
        <v>465</v>
      </c>
      <c r="C366" s="5" t="str">
        <f>IFERROR(__xludf.DUMMYFUNCTION("GOOGLETRANSLATE(B366,""en"",""de"")"),"Kelly Slater ist auf einem erfolgreichen Lauf zu sehen, gefolgt von weiteren Clips mit den Wellen.")</f>
        <v>Kelly Slater ist auf einem erfolgreichen Lauf zu sehen, gefolgt von weiteren Clips mit den Wellen.</v>
      </c>
    </row>
    <row r="367">
      <c r="A367" s="4" t="s">
        <v>457</v>
      </c>
      <c r="B367" s="4" t="s">
        <v>466</v>
      </c>
      <c r="C367" s="5" t="str">
        <f>IFERROR(__xludf.DUMMYFUNCTION("GOOGLETRANSLATE(B367,""en"",""de"")"),"Kelly Slater wird in der Mitte der Welle angehalten, um die Handlung abzuwickeln.")</f>
        <v>Kelly Slater wird in der Mitte der Welle angehalten, um die Handlung abzuwickeln.</v>
      </c>
    </row>
    <row r="368">
      <c r="A368" s="4" t="s">
        <v>457</v>
      </c>
      <c r="B368" s="4" t="s">
        <v>467</v>
      </c>
      <c r="C368" s="5" t="str">
        <f>IFERROR(__xludf.DUMMYFUNCTION("GOOGLETRANSLATE(B368,""en"",""de"")"),"Anschließend werden Musik- und Produzenten -Credits angezeigt.")</f>
        <v>Anschließend werden Musik- und Produzenten -Credits angezeigt.</v>
      </c>
    </row>
    <row r="369">
      <c r="A369" s="4" t="s">
        <v>468</v>
      </c>
      <c r="B369" s="4" t="s">
        <v>469</v>
      </c>
      <c r="C369" s="5" t="str">
        <f>IFERROR(__xludf.DUMMYFUNCTION("GOOGLETRANSLATE(B369,""en"",""de"")"),"Wir sehen einen goldenen Titel auf einem schwarzen Bildschirm.")</f>
        <v>Wir sehen einen goldenen Titel auf einem schwarzen Bildschirm.</v>
      </c>
    </row>
    <row r="370">
      <c r="A370" s="4" t="s">
        <v>468</v>
      </c>
      <c r="B370" s="4" t="s">
        <v>470</v>
      </c>
      <c r="C370" s="5" t="str">
        <f>IFERROR(__xludf.DUMMYFUNCTION("GOOGLETRANSLATE(B370,""en"",""de"")"),"Ein Mann spielt eine Mundharmonika, während Pfeile auf Zahlen über ihm hinweisen.")</f>
        <v>Ein Mann spielt eine Mundharmonika, während Pfeile auf Zahlen über ihm hinweisen.</v>
      </c>
    </row>
    <row r="371">
      <c r="A371" s="4" t="s">
        <v>468</v>
      </c>
      <c r="B371" s="4" t="s">
        <v>471</v>
      </c>
      <c r="C371" s="5" t="str">
        <f>IFERROR(__xludf.DUMMYFUNCTION("GOOGLETRANSLATE(B371,""en"",""de"")"),"Wir sehen einen anderen Titelbildschirm und mehr Pfeile auf Zahlen.")</f>
        <v>Wir sehen einen anderen Titelbildschirm und mehr Pfeile auf Zahlen.</v>
      </c>
    </row>
    <row r="372">
      <c r="A372" s="4" t="s">
        <v>468</v>
      </c>
      <c r="B372" s="4" t="s">
        <v>472</v>
      </c>
      <c r="C372" s="5" t="str">
        <f>IFERROR(__xludf.DUMMYFUNCTION("GOOGLETRANSLATE(B372,""en"",""de"")"),"Der Titelbildschirm kehrt zurück und der Mann spielt wieder mit den Pfeilen über ihm.")</f>
        <v>Der Titelbildschirm kehrt zurück und der Mann spielt wieder mit den Pfeilen über ihm.</v>
      </c>
    </row>
    <row r="373">
      <c r="A373" s="4" t="s">
        <v>468</v>
      </c>
      <c r="B373" s="4" t="s">
        <v>473</v>
      </c>
      <c r="C373" s="5" t="str">
        <f>IFERROR(__xludf.DUMMYFUNCTION("GOOGLETRANSLATE(B373,""en"",""de"")"),"Der vierte Titelbildschirm und der Mann spielen mit Pfeilen oben.")</f>
        <v>Der vierte Titelbildschirm und der Mann spielen mit Pfeilen oben.</v>
      </c>
    </row>
    <row r="374">
      <c r="A374" s="4" t="s">
        <v>468</v>
      </c>
      <c r="B374" s="4" t="s">
        <v>474</v>
      </c>
      <c r="C374" s="5" t="str">
        <f>IFERROR(__xludf.DUMMYFUNCTION("GOOGLETRANSLATE(B374,""en"",""de"")"),"Der Name wird angezeigt und das Video endet.")</f>
        <v>Der Name wird angezeigt und das Video endet.</v>
      </c>
    </row>
    <row r="375">
      <c r="A375" s="4" t="s">
        <v>475</v>
      </c>
      <c r="B375" s="4" t="s">
        <v>476</v>
      </c>
      <c r="C375" s="5" t="str">
        <f>IFERROR(__xludf.DUMMYFUNCTION("GOOGLETRANSLATE(B375,""en"",""de"")"),"Ein Mann zieht einen Helm mit einer Kamera an.")</f>
        <v>Ein Mann zieht einen Helm mit einer Kamera an.</v>
      </c>
    </row>
    <row r="376">
      <c r="A376" s="4" t="s">
        <v>475</v>
      </c>
      <c r="B376" s="4" t="s">
        <v>477</v>
      </c>
      <c r="C376" s="5" t="str">
        <f>IFERROR(__xludf.DUMMYFUNCTION("GOOGLETRANSLATE(B376,""en"",""de"")"),"Der Mann nimmt an einem Lacrosse -Match mit der Kameraaufzeichnung in der Sicht der ersten Person teil.")</f>
        <v>Der Mann nimmt an einem Lacrosse -Match mit der Kameraaufzeichnung in der Sicht der ersten Person teil.</v>
      </c>
    </row>
    <row r="377">
      <c r="A377" s="4" t="s">
        <v>475</v>
      </c>
      <c r="B377" s="4" t="s">
        <v>478</v>
      </c>
      <c r="C377" s="5" t="str">
        <f>IFERROR(__xludf.DUMMYFUNCTION("GOOGLETRANSLATE(B377,""en"",""de"")"),"Der Mann macht einen erfolgreichen Tor und einen Teamkollegen auf hohen Fünfen.")</f>
        <v>Der Mann macht einen erfolgreichen Tor und einen Teamkollegen auf hohen Fünfen.</v>
      </c>
    </row>
    <row r="378">
      <c r="A378" s="4" t="s">
        <v>475</v>
      </c>
      <c r="B378" s="4" t="s">
        <v>479</v>
      </c>
      <c r="C378" s="5" t="str">
        <f>IFERROR(__xludf.DUMMYFUNCTION("GOOGLETRANSLATE(B378,""en"",""de"")"),"Die beiden Teams geben nach dem Spiel die Hand.")</f>
        <v>Die beiden Teams geben nach dem Spiel die Hand.</v>
      </c>
    </row>
    <row r="379">
      <c r="A379" s="4" t="s">
        <v>475</v>
      </c>
      <c r="B379" s="4" t="s">
        <v>480</v>
      </c>
      <c r="C379" s="5" t="str">
        <f>IFERROR(__xludf.DUMMYFUNCTION("GOOGLETRANSLATE(B379,""en"",""de"")"),"Der Mann geht zu einer Gruppe von Menschen, die schwarz gekleidet sind.")</f>
        <v>Der Mann geht zu einer Gruppe von Menschen, die schwarz gekleidet sind.</v>
      </c>
    </row>
    <row r="380">
      <c r="A380" s="4" t="s">
        <v>481</v>
      </c>
      <c r="B380" s="4" t="s">
        <v>482</v>
      </c>
      <c r="C380" s="5" t="str">
        <f>IFERROR(__xludf.DUMMYFUNCTION("GOOGLETRANSLATE(B380,""en"",""de"")"),"Ein kleines Kind ist gesehen, wie er auf ein Kamel klettert und eine Frau vor ihm.")</f>
        <v>Ein kleines Kind ist gesehen, wie er auf ein Kamel klettert und eine Frau vor ihm.</v>
      </c>
    </row>
    <row r="381">
      <c r="A381" s="4" t="s">
        <v>481</v>
      </c>
      <c r="B381" s="4" t="s">
        <v>483</v>
      </c>
      <c r="C381" s="5" t="str">
        <f>IFERROR(__xludf.DUMMYFUNCTION("GOOGLETRANSLATE(B381,""en"",""de"")"),"Ein Mann steht das Kamel auf den Beinen und geht um die Gegend.")</f>
        <v>Ein Mann steht das Kamel auf den Beinen und geht um die Gegend.</v>
      </c>
    </row>
    <row r="382">
      <c r="A382" s="4" t="s">
        <v>481</v>
      </c>
      <c r="B382" s="4" t="s">
        <v>484</v>
      </c>
      <c r="C382" s="5" t="str">
        <f>IFERROR(__xludf.DUMMYFUNCTION("GOOGLETRANSLATE(B382,""en"",""de"")"),"Der Mann geht weiter mit den Kamele herum, während die Kamera zu ihren Bewegungen schwenkt.")</f>
        <v>Der Mann geht weiter mit den Kamele herum, während die Kamera zu ihren Bewegungen schwenkt.</v>
      </c>
    </row>
    <row r="383">
      <c r="A383" s="4" t="s">
        <v>485</v>
      </c>
      <c r="B383" s="4" t="s">
        <v>486</v>
      </c>
      <c r="C383" s="5" t="str">
        <f>IFERROR(__xludf.DUMMYFUNCTION("GOOGLETRANSLATE(B383,""en"",""de"")"),"Ein Intro führt zu einem Mann in Frauen, der neben einem Pool sitzt und spricht.")</f>
        <v>Ein Intro führt zu einem Mann in Frauen, der neben einem Pool sitzt und spricht.</v>
      </c>
    </row>
    <row r="384">
      <c r="A384" s="4" t="s">
        <v>485</v>
      </c>
      <c r="B384" s="4" t="s">
        <v>487</v>
      </c>
      <c r="C384" s="5" t="str">
        <f>IFERROR(__xludf.DUMMYFUNCTION("GOOGLETRANSLATE(B384,""en"",""de"")"),"Den Menschen wird dann unter Wasser gezeigt, wenn es darum geht, Tauchausrüstung zu tragen und sich gegenseitig die Handsignale beizubringen, während der Mann mit der Kamera über der Oberfläche spricht.")</f>
        <v>Den Menschen wird dann unter Wasser gezeigt, wenn es darum geht, Tauchausrüstung zu tragen und sich gegenseitig die Handsignale beizubringen, während der Mann mit der Kamera über der Oberfläche spricht.</v>
      </c>
    </row>
    <row r="385">
      <c r="A385" s="4" t="s">
        <v>488</v>
      </c>
      <c r="B385" s="4" t="s">
        <v>489</v>
      </c>
      <c r="C385" s="5" t="str">
        <f>IFERROR(__xludf.DUMMYFUNCTION("GOOGLETRANSLATE(B385,""en"",""de"")"),"Eine Person ist in verschiedenen Schüssen zu sehen, die in einem Kanu herumfährt und in die Ferne lächelt.")</f>
        <v>Eine Person ist in verschiedenen Schüssen zu sehen, die in einem Kanu herumfährt und in die Ferne lächelt.</v>
      </c>
    </row>
    <row r="386">
      <c r="A386" s="4" t="s">
        <v>488</v>
      </c>
      <c r="B386" s="4" t="s">
        <v>490</v>
      </c>
      <c r="C386" s="5" t="str">
        <f>IFERROR(__xludf.DUMMYFUNCTION("GOOGLETRANSLATE(B386,""en"",""de"")"),"Eine andere Person sitzt in einem Kanu und zeigt, wie man sich richtig umdreht.")</f>
        <v>Eine andere Person sitzt in einem Kanu und zeigt, wie man sich richtig umdreht.</v>
      </c>
    </row>
    <row r="387">
      <c r="A387" s="4" t="s">
        <v>488</v>
      </c>
      <c r="B387" s="4" t="s">
        <v>491</v>
      </c>
      <c r="C387" s="5" t="str">
        <f>IFERROR(__xludf.DUMMYFUNCTION("GOOGLETRANSLATE(B387,""en"",""de"")"),"Der Mann bewegt sich weiter über das Wasser und bewegt sein Paddel herum, während die Kamera seine Bewegungen einfängt.")</f>
        <v>Der Mann bewegt sich weiter über das Wasser und bewegt sein Paddel herum, während die Kamera seine Bewegungen einfängt.</v>
      </c>
    </row>
    <row r="388">
      <c r="A388" s="4" t="s">
        <v>492</v>
      </c>
      <c r="B388" s="4" t="s">
        <v>493</v>
      </c>
      <c r="C388" s="5" t="str">
        <f>IFERROR(__xludf.DUMMYFUNCTION("GOOGLETRANSLATE(B388,""en"",""de"")"),"Eine Gruppe von Männern reitet auf Pferden herum, während sie große Stöcke tragen und sie in die Luft halten.")</f>
        <v>Eine Gruppe von Männern reitet auf Pferden herum, während sie große Stöcke tragen und sie in die Luft halten.</v>
      </c>
    </row>
    <row r="389">
      <c r="A389" s="4" t="s">
        <v>492</v>
      </c>
      <c r="B389" s="4" t="s">
        <v>494</v>
      </c>
      <c r="C389" s="5" t="str">
        <f>IFERROR(__xludf.DUMMYFUNCTION("GOOGLETRANSLATE(B389,""en"",""de"")"),"Ein Mann kommt für einige Momente dem Kameramann und der Menge nahe.")</f>
        <v>Ein Mann kommt für einige Momente dem Kameramann und der Menge nahe.</v>
      </c>
    </row>
    <row r="390">
      <c r="A390" s="4" t="s">
        <v>492</v>
      </c>
      <c r="B390" s="4" t="s">
        <v>495</v>
      </c>
      <c r="C390" s="5" t="str">
        <f>IFERROR(__xludf.DUMMYFUNCTION("GOOGLETRANSLATE(B390,""en"",""de"")"),"Der Mann auf Pferden geht zurück zum Stall, um auf ihre Rückkehr zu warten, und schließlich wieder in den Ring.")</f>
        <v>Der Mann auf Pferden geht zurück zum Stall, um auf ihre Rückkehr zu warten, und schließlich wieder in den Ring.</v>
      </c>
    </row>
    <row r="391">
      <c r="A391" s="4" t="s">
        <v>496</v>
      </c>
      <c r="B391" s="4" t="s">
        <v>497</v>
      </c>
      <c r="C391" s="5" t="str">
        <f>IFERROR(__xludf.DUMMYFUNCTION("GOOGLETRANSLATE(B391,""en"",""de"")"),"Ein Mann tritt auf einem Rasen zur Seite und bewegt seine Arme und Beine herum.")</f>
        <v>Ein Mann tritt auf einem Rasen zur Seite und bewegt seine Arme und Beine herum.</v>
      </c>
    </row>
    <row r="392">
      <c r="A392" s="4" t="s">
        <v>496</v>
      </c>
      <c r="B392" s="4" t="s">
        <v>498</v>
      </c>
      <c r="C392" s="5" t="str">
        <f>IFERROR(__xludf.DUMMYFUNCTION("GOOGLETRANSLATE(B392,""en"",""de"")"),"Er bewegt langsam seine Arme in verschiedenen Bewegungen, während er von einer Seite zur anderen tritt.")</f>
        <v>Er bewegt langsam seine Arme in verschiedenen Bewegungen, während er von einer Seite zur anderen tritt.</v>
      </c>
    </row>
    <row r="393">
      <c r="A393" s="4" t="s">
        <v>496</v>
      </c>
      <c r="B393" s="4" t="s">
        <v>499</v>
      </c>
      <c r="C393" s="5" t="str">
        <f>IFERROR(__xludf.DUMMYFUNCTION("GOOGLETRANSLATE(B393,""en"",""de"")"),"Er bewegt seine Beine hoch und seine Arme folgen kontinuierlich, bis er die Leistung beendet hat.")</f>
        <v>Er bewegt seine Beine hoch und seine Arme folgen kontinuierlich, bis er die Leistung beendet hat.</v>
      </c>
    </row>
    <row r="394">
      <c r="A394" s="4" t="s">
        <v>500</v>
      </c>
      <c r="B394" s="4" t="s">
        <v>501</v>
      </c>
      <c r="C394" s="5" t="str">
        <f>IFERROR(__xludf.DUMMYFUNCTION("GOOGLETRANSLATE(B394,""en"",""de"")"),"Die Person im schwarzen Hemd spielt Schlagzeug.")</f>
        <v>Die Person im schwarzen Hemd spielt Schlagzeug.</v>
      </c>
    </row>
    <row r="395">
      <c r="A395" s="4" t="s">
        <v>500</v>
      </c>
      <c r="B395" s="4" t="s">
        <v>502</v>
      </c>
      <c r="C395" s="5" t="str">
        <f>IFERROR(__xludf.DUMMYFUNCTION("GOOGLETRANSLATE(B395,""en"",""de"")"),"Die Kamera zoomte zum Schlagzeug, als die Person weiter spielt.")</f>
        <v>Die Kamera zoomte zum Schlagzeug, als die Person weiter spielt.</v>
      </c>
    </row>
    <row r="396">
      <c r="A396" s="4" t="s">
        <v>500</v>
      </c>
      <c r="B396" s="4" t="s">
        <v>503</v>
      </c>
      <c r="C396" s="5" t="str">
        <f>IFERROR(__xludf.DUMMYFUNCTION("GOOGLETRANSLATE(B396,""en"",""de"")"),"Die Kamera verlagerte sich auf die Aussicht und sah die Trommeln hinunter.")</f>
        <v>Die Kamera verlagerte sich auf die Aussicht und sah die Trommeln hinunter.</v>
      </c>
    </row>
    <row r="397">
      <c r="A397" s="4" t="s">
        <v>504</v>
      </c>
      <c r="B397" s="4" t="s">
        <v>505</v>
      </c>
      <c r="C397" s="5" t="str">
        <f>IFERROR(__xludf.DUMMYFUNCTION("GOOGLETRANSLATE(B397,""en"",""de"")"),"Eine Person wirft eine Scheibe mit einem Stock, die Scheibe kommt zu einem Dreieck auf dem Boden, wo zwei Personen stehen.")</f>
        <v>Eine Person wirft eine Scheibe mit einem Stock, die Scheibe kommt zu einem Dreieck auf dem Boden, wo zwei Personen stehen.</v>
      </c>
    </row>
    <row r="398">
      <c r="A398" s="4" t="s">
        <v>504</v>
      </c>
      <c r="B398" s="4" t="s">
        <v>506</v>
      </c>
      <c r="C398" s="5" t="str">
        <f>IFERROR(__xludf.DUMMYFUNCTION("GOOGLETRANSLATE(B398,""en"",""de"")"),"Dann gleitet eine weitere Scheibe auf den Boden, um im Dreieck anzuhalten.")</f>
        <v>Dann gleitet eine weitere Scheibe auf den Boden, um im Dreieck anzuhalten.</v>
      </c>
    </row>
    <row r="399">
      <c r="A399" s="4" t="s">
        <v>504</v>
      </c>
      <c r="B399" s="4" t="s">
        <v>507</v>
      </c>
      <c r="C399" s="5" t="str">
        <f>IFERROR(__xludf.DUMMYFUNCTION("GOOGLETRANSLATE(B399,""en"",""de"")"),"Danach wirft die Person eine andere Bandscheibe, die im Dreieck anhält.")</f>
        <v>Danach wirft die Person eine andere Bandscheibe, die im Dreieck anhält.</v>
      </c>
    </row>
    <row r="400">
      <c r="A400" s="4" t="s">
        <v>504</v>
      </c>
      <c r="B400" s="4" t="s">
        <v>508</v>
      </c>
      <c r="C400" s="5" t="str">
        <f>IFERROR(__xludf.DUMMYFUNCTION("GOOGLETRANSLATE(B400,""en"",""de"")"),"Die Regeln, oh das Shuffleboard -Spiel wird in einem Brett angezeigt.")</f>
        <v>Die Regeln, oh das Shuffleboard -Spiel wird in einem Brett angezeigt.</v>
      </c>
    </row>
    <row r="401">
      <c r="A401" s="4" t="s">
        <v>509</v>
      </c>
      <c r="B401" s="4" t="s">
        <v>510</v>
      </c>
      <c r="C401" s="5" t="str">
        <f>IFERROR(__xludf.DUMMYFUNCTION("GOOGLETRANSLATE(B401,""en"",""de"")"),"Paintballs fliegen Männer vor einem Zelt.")</f>
        <v>Paintballs fliegen Männer vor einem Zelt.</v>
      </c>
    </row>
    <row r="402">
      <c r="A402" s="4" t="s">
        <v>509</v>
      </c>
      <c r="B402" s="4" t="s">
        <v>511</v>
      </c>
      <c r="C402" s="5" t="str">
        <f>IFERROR(__xludf.DUMMYFUNCTION("GOOGLETRANSLATE(B402,""en"",""de"")"),"Die Männer zurück in das Zelt.")</f>
        <v>Die Männer zurück in das Zelt.</v>
      </c>
    </row>
    <row r="403">
      <c r="A403" s="4" t="s">
        <v>509</v>
      </c>
      <c r="B403" s="4" t="s">
        <v>512</v>
      </c>
      <c r="C403" s="5" t="str">
        <f>IFERROR(__xludf.DUMMYFUNCTION("GOOGLETRANSLATE(B403,""en"",""de"")"),"Die Leute bereiten sich auf den Paintball -Wettbewerb vor.")</f>
        <v>Die Leute bereiten sich auf den Paintball -Wettbewerb vor.</v>
      </c>
    </row>
    <row r="404">
      <c r="A404" s="4" t="s">
        <v>509</v>
      </c>
      <c r="B404" s="4" t="s">
        <v>513</v>
      </c>
      <c r="C404" s="5" t="str">
        <f>IFERROR(__xludf.DUMMYFUNCTION("GOOGLETRANSLATE(B404,""en"",""de"")"),"Paintballs kommen aus dem Mund eines Mannes.")</f>
        <v>Paintballs kommen aus dem Mund eines Mannes.</v>
      </c>
    </row>
    <row r="405">
      <c r="A405" s="4" t="s">
        <v>509</v>
      </c>
      <c r="B405" s="4" t="s">
        <v>514</v>
      </c>
      <c r="C405" s="5" t="str">
        <f>IFERROR(__xludf.DUMMYFUNCTION("GOOGLETRANSLATE(B405,""en"",""de"")"),"Die Sonne geht unter.")</f>
        <v>Die Sonne geht unter.</v>
      </c>
    </row>
    <row r="406">
      <c r="A406" s="4" t="s">
        <v>515</v>
      </c>
      <c r="B406" s="4" t="s">
        <v>516</v>
      </c>
      <c r="C406" s="5" t="str">
        <f>IFERROR(__xludf.DUMMYFUNCTION("GOOGLETRANSLATE(B406,""en"",""de"")"),"Ein Intro führt zu mehreren Clips einer Person, die schwere Gewichte über ihre Schultern und ihre Arme richtet.")</f>
        <v>Ein Intro führt zu mehreren Clips einer Person, die schwere Gewichte über ihre Schultern und ihre Arme richtet.</v>
      </c>
    </row>
    <row r="407">
      <c r="A407" s="4" t="s">
        <v>515</v>
      </c>
      <c r="B407" s="4" t="s">
        <v>517</v>
      </c>
      <c r="C407" s="5" t="str">
        <f>IFERROR(__xludf.DUMMYFUNCTION("GOOGLETRANSLATE(B407,""en"",""de"")"),"Weitere Schüsse zeigen Sportler, die beeindruckende Stunts durchführen, während sie in die Ferne schauen und Menschen ihre Würfe messen.")</f>
        <v>Weitere Schüsse zeigen Sportler, die beeindruckende Stunts durchführen, während sie in die Ferne schauen und Menschen ihre Würfe messen.</v>
      </c>
    </row>
    <row r="408">
      <c r="A408" s="4" t="s">
        <v>518</v>
      </c>
      <c r="B408" s="4" t="s">
        <v>519</v>
      </c>
      <c r="C408" s="5" t="str">
        <f>IFERROR(__xludf.DUMMYFUNCTION("GOOGLETRANSLATE(B408,""en"",""de"")"),"Ein Mann spielt auf einer Bühne Becken unter einem hellen Licht.")</f>
        <v>Ein Mann spielt auf einer Bühne Becken unter einem hellen Licht.</v>
      </c>
    </row>
    <row r="409">
      <c r="A409" s="4" t="s">
        <v>518</v>
      </c>
      <c r="B409" s="4" t="s">
        <v>520</v>
      </c>
      <c r="C409" s="5" t="str">
        <f>IFERROR(__xludf.DUMMYFUNCTION("GOOGLETRANSLATE(B409,""en"",""de"")"),"Er wird von einer Frau auf einer Bassdrum begleitet.")</f>
        <v>Er wird von einer Frau auf einer Bassdrum begleitet.</v>
      </c>
    </row>
    <row r="410">
      <c r="A410" s="4" t="s">
        <v>518</v>
      </c>
      <c r="B410" s="4" t="s">
        <v>521</v>
      </c>
      <c r="C410" s="5" t="str">
        <f>IFERROR(__xludf.DUMMYFUNCTION("GOOGLETRANSLATE(B410,""en"",""de"")"),"Dann werden sie von anderen Schlagzeugern und einem Mann auf einem riesigen Set im Hintergrund begleitet.")</f>
        <v>Dann werden sie von anderen Schlagzeugern und einem Mann auf einem riesigen Set im Hintergrund begleitet.</v>
      </c>
    </row>
    <row r="411">
      <c r="A411" s="4" t="s">
        <v>518</v>
      </c>
      <c r="B411" s="4" t="s">
        <v>522</v>
      </c>
      <c r="C411" s="5" t="str">
        <f>IFERROR(__xludf.DUMMYFUNCTION("GOOGLETRANSLATE(B411,""en"",""de"")"),"Lichter blinken, wenn sie unisono ausführen.")</f>
        <v>Lichter blinken, wenn sie unisono ausführen.</v>
      </c>
    </row>
    <row r="412">
      <c r="A412" s="4" t="s">
        <v>523</v>
      </c>
      <c r="B412" s="4" t="s">
        <v>524</v>
      </c>
      <c r="C412" s="5" t="str">
        <f>IFERROR(__xludf.DUMMYFUNCTION("GOOGLETRANSLATE(B412,""en"",""de"")"),"Eine Montage des Stierkampfs wird gezeigt.")</f>
        <v>Eine Montage des Stierkampfs wird gezeigt.</v>
      </c>
    </row>
    <row r="413">
      <c r="A413" s="4" t="s">
        <v>523</v>
      </c>
      <c r="B413" s="4" t="s">
        <v>525</v>
      </c>
      <c r="C413" s="5" t="str">
        <f>IFERROR(__xludf.DUMMYFUNCTION("GOOGLETRANSLATE(B413,""en"",""de"")"),"Der Matador wird vom Stier getroffen, während andere Matadors versuchen, den Stier abzulenken.")</f>
        <v>Der Matador wird vom Stier getroffen, während andere Matadors versuchen, den Stier abzulenken.</v>
      </c>
    </row>
    <row r="414">
      <c r="A414" s="4" t="s">
        <v>526</v>
      </c>
      <c r="B414" s="4" t="s">
        <v>527</v>
      </c>
      <c r="C414" s="5" t="str">
        <f>IFERROR(__xludf.DUMMYFUNCTION("GOOGLETRANSLATE(B414,""en"",""de"")"),"Eine Frau mit verbundenen Augen in einem Hof ​​und schwingte zu einer Pinata, die herumbewegt wurde.")</f>
        <v>Eine Frau mit verbundenen Augen in einem Hof ​​und schwingte zu einer Pinata, die herumbewegt wurde.</v>
      </c>
    </row>
    <row r="415">
      <c r="A415" s="4" t="s">
        <v>526</v>
      </c>
      <c r="B415" s="4" t="s">
        <v>528</v>
      </c>
      <c r="C415" s="5" t="str">
        <f>IFERROR(__xludf.DUMMYFUNCTION("GOOGLETRANSLATE(B415,""en"",""de"")"),"Mehrere Menschen um sie herum sind Uhren und können nicht anders, als zu lachen.")</f>
        <v>Mehrere Menschen um sie herum sind Uhren und können nicht anders, als zu lachen.</v>
      </c>
    </row>
    <row r="416">
      <c r="A416" s="4" t="s">
        <v>526</v>
      </c>
      <c r="B416" s="4" t="s">
        <v>529</v>
      </c>
      <c r="C416" s="5" t="str">
        <f>IFERROR(__xludf.DUMMYFUNCTION("GOOGLETRANSLATE(B416,""en"",""de"")"),"Die Frau lacht ebenfalls und schlägt schließlich die Pinata, damit die Kinder sich greifen können.")</f>
        <v>Die Frau lacht ebenfalls und schlägt schließlich die Pinata, damit die Kinder sich greifen können.</v>
      </c>
    </row>
    <row r="417">
      <c r="A417" s="4" t="s">
        <v>530</v>
      </c>
      <c r="B417" s="4" t="s">
        <v>531</v>
      </c>
      <c r="C417" s="5" t="str">
        <f>IFERROR(__xludf.DUMMYFUNCTION("GOOGLETRANSLATE(B417,""en"",""de"")"),"Ein Mann spricht von einem Parkplatz mit der Kamera.")</f>
        <v>Ein Mann spricht von einem Parkplatz mit der Kamera.</v>
      </c>
    </row>
    <row r="418">
      <c r="A418" s="4" t="s">
        <v>530</v>
      </c>
      <c r="B418" s="4" t="s">
        <v>532</v>
      </c>
      <c r="C418" s="5" t="str">
        <f>IFERROR(__xludf.DUMMYFUNCTION("GOOGLETRANSLATE(B418,""en"",""de"")"),"Er rennt die Straße entlang, während er weiter spricht.")</f>
        <v>Er rennt die Straße entlang, während er weiter spricht.</v>
      </c>
    </row>
    <row r="419">
      <c r="A419" s="4" t="s">
        <v>530</v>
      </c>
      <c r="B419" s="4" t="s">
        <v>533</v>
      </c>
      <c r="C419" s="5" t="str">
        <f>IFERROR(__xludf.DUMMYFUNCTION("GOOGLETRANSLATE(B419,""en"",""de"")"),"Er rennt auf mehrere Straßen der Stadt und hört nicht auf.")</f>
        <v>Er rennt auf mehrere Straßen der Stadt und hört nicht auf.</v>
      </c>
    </row>
    <row r="420">
      <c r="A420" s="4" t="s">
        <v>534</v>
      </c>
      <c r="B420" s="4" t="s">
        <v>535</v>
      </c>
      <c r="C420" s="5" t="str">
        <f>IFERROR(__xludf.DUMMYFUNCTION("GOOGLETRANSLATE(B420,""en"",""de"")"),"Ein Mann steht draußen am Bürgersteig, der eine Menge Hecken fällt.")</f>
        <v>Ein Mann steht draußen am Bürgersteig, der eine Menge Hecken fällt.</v>
      </c>
    </row>
    <row r="421">
      <c r="A421" s="4" t="s">
        <v>534</v>
      </c>
      <c r="B421" s="4" t="s">
        <v>536</v>
      </c>
      <c r="C421" s="5" t="str">
        <f>IFERROR(__xludf.DUMMYFUNCTION("GOOGLETRANSLATE(B421,""en"",""de"")"),"Als er die Seite beendet, bewegt er sich zur Vorderseite der Pflanze und schneidet die Pflanze weiter ab.")</f>
        <v>Als er die Seite beendet, bewegt er sich zur Vorderseite der Pflanze und schneidet die Pflanze weiter ab.</v>
      </c>
    </row>
    <row r="422">
      <c r="A422" s="4" t="s">
        <v>534</v>
      </c>
      <c r="B422" s="4" t="s">
        <v>537</v>
      </c>
      <c r="C422" s="5" t="str">
        <f>IFERROR(__xludf.DUMMYFUNCTION("GOOGLETRANSLATE(B422,""en"",""de"")"),"Sobald ein kleiner Teil gezeigt ist, schaut er auf die Pflanze und schneidet dann den Gegenstand in seiner Hand ab.")</f>
        <v>Sobald ein kleiner Teil gezeigt ist, schaut er auf die Pflanze und schneidet dann den Gegenstand in seiner Hand ab.</v>
      </c>
    </row>
    <row r="423">
      <c r="A423" s="4" t="s">
        <v>538</v>
      </c>
      <c r="B423" s="4" t="s">
        <v>539</v>
      </c>
      <c r="C423" s="5" t="str">
        <f>IFERROR(__xludf.DUMMYFUNCTION("GOOGLETRANSLATE(B423,""en"",""de"")"),"Ein Mann spricht mit der Kamera.")</f>
        <v>Ein Mann spricht mit der Kamera.</v>
      </c>
    </row>
    <row r="424">
      <c r="A424" s="4" t="s">
        <v>538</v>
      </c>
      <c r="B424" s="4" t="s">
        <v>540</v>
      </c>
      <c r="C424" s="5" t="str">
        <f>IFERROR(__xludf.DUMMYFUNCTION("GOOGLETRANSLATE(B424,""en"",""de"")"),"Ein olympisches Feld wird mit vielen Menschen gezeigt, die darauf herumlaufen.")</f>
        <v>Ein olympisches Feld wird mit vielen Menschen gezeigt, die darauf herumlaufen.</v>
      </c>
    </row>
    <row r="425">
      <c r="A425" s="4" t="s">
        <v>538</v>
      </c>
      <c r="B425" s="4" t="s">
        <v>541</v>
      </c>
      <c r="C425" s="5" t="str">
        <f>IFERROR(__xludf.DUMMYFUNCTION("GOOGLETRANSLATE(B425,""en"",""de"")"),"Der Mann rennt einen Streckenstreifen hinunter und springt in einen Sandhaufen.")</f>
        <v>Der Mann rennt einen Streckenstreifen hinunter und springt in einen Sandhaufen.</v>
      </c>
    </row>
    <row r="426">
      <c r="A426" s="4" t="s">
        <v>538</v>
      </c>
      <c r="B426" s="4" t="s">
        <v>542</v>
      </c>
      <c r="C426" s="5" t="str">
        <f>IFERROR(__xludf.DUMMYFUNCTION("GOOGLETRANSLATE(B426,""en"",""de"")"),"Er hat eine Flagge um ihn und winkt auf das Publikum.")</f>
        <v>Er hat eine Flagge um ihn und winkt auf das Publikum.</v>
      </c>
    </row>
    <row r="427">
      <c r="A427" s="4" t="s">
        <v>543</v>
      </c>
      <c r="B427" s="4" t="s">
        <v>544</v>
      </c>
      <c r="C427" s="5" t="str">
        <f>IFERROR(__xludf.DUMMYFUNCTION("GOOGLETRANSLATE(B427,""en"",""de"")"),"Die Leute sind in einem Pool, das Wasserball spielt.")</f>
        <v>Die Leute sind in einem Pool, das Wasserball spielt.</v>
      </c>
    </row>
    <row r="428">
      <c r="A428" s="4" t="s">
        <v>543</v>
      </c>
      <c r="B428" s="4" t="s">
        <v>545</v>
      </c>
      <c r="C428" s="5" t="str">
        <f>IFERROR(__xludf.DUMMYFUNCTION("GOOGLETRANSLATE(B428,""en"",""de"")"),"Ein Mann in einem weißen Hemd geht neben dem Pool.")</f>
        <v>Ein Mann in einem weißen Hemd geht neben dem Pool.</v>
      </c>
    </row>
    <row r="429">
      <c r="A429" s="4" t="s">
        <v>543</v>
      </c>
      <c r="B429" s="4" t="s">
        <v>546</v>
      </c>
      <c r="C429" s="5" t="str">
        <f>IFERROR(__xludf.DUMMYFUNCTION("GOOGLETRANSLATE(B429,""en"",""de"")"),"Eine Frau, die einen Hund hält, steht auf einem Dock.")</f>
        <v>Eine Frau, die einen Hund hält, steht auf einem Dock.</v>
      </c>
    </row>
    <row r="430">
      <c r="A430" s="4" t="s">
        <v>547</v>
      </c>
      <c r="B430" s="4" t="s">
        <v>548</v>
      </c>
      <c r="C430" s="5" t="str">
        <f>IFERROR(__xludf.DUMMYFUNCTION("GOOGLETRANSLATE(B430,""en"",""de"")"),"Ein Mädchen wird gesehen, wie sie mit der Hand auf ihrer Hüfte mit der Kamera spricht und führt in sie hält verschiedene Zutaten hoch.")</f>
        <v>Ein Mädchen wird gesehen, wie sie mit der Hand auf ihrer Hüfte mit der Kamera spricht und führt in sie hält verschiedene Zutaten hoch.</v>
      </c>
    </row>
    <row r="431">
      <c r="A431" s="4" t="s">
        <v>547</v>
      </c>
      <c r="B431" s="4" t="s">
        <v>549</v>
      </c>
      <c r="C431" s="5" t="str">
        <f>IFERROR(__xludf.DUMMYFUNCTION("GOOGLETRANSLATE(B431,""en"",""de"")"),"Sie mischt dann die Zutaten auf einem Stück Brot und erstellt ein Sandwich, während sie Chips auf die Seite gießt.")</f>
        <v>Sie mischt dann die Zutaten auf einem Stück Brot und erstellt ein Sandwich, während sie Chips auf die Seite gießt.</v>
      </c>
    </row>
    <row r="432">
      <c r="A432" s="4" t="s">
        <v>547</v>
      </c>
      <c r="B432" s="4" t="s">
        <v>550</v>
      </c>
      <c r="C432" s="5" t="str">
        <f>IFERROR(__xludf.DUMMYFUNCTION("GOOGLETRANSLATE(B432,""en"",""de"")"),"Sie präsentiert dann den Teller, während sie mit der Kamera spricht und verschiedene Flüssigkeiten hochhält.")</f>
        <v>Sie präsentiert dann den Teller, während sie mit der Kamera spricht und verschiedene Flüssigkeiten hochhält.</v>
      </c>
    </row>
    <row r="433">
      <c r="A433" s="4" t="s">
        <v>551</v>
      </c>
      <c r="B433" s="4" t="s">
        <v>552</v>
      </c>
      <c r="C433" s="5" t="str">
        <f>IFERROR(__xludf.DUMMYFUNCTION("GOOGLETRANSLATE(B433,""en"",""de"")"),"Wir sehen zwei Männer, die auf Jump-Stilts laufen und springen.")</f>
        <v>Wir sehen zwei Männer, die auf Jump-Stilts laufen und springen.</v>
      </c>
    </row>
    <row r="434">
      <c r="A434" s="4" t="s">
        <v>551</v>
      </c>
      <c r="B434" s="4" t="s">
        <v>553</v>
      </c>
      <c r="C434" s="5" t="str">
        <f>IFERROR(__xludf.DUMMYFUNCTION("GOOGLETRANSLATE(B434,""en"",""de"")"),"Ein Mann springt die Straße hinunter, der andere, als ein Mann sie fotografiert.")</f>
        <v>Ein Mann springt die Straße hinunter, der andere, als ein Mann sie fotografiert.</v>
      </c>
    </row>
    <row r="435">
      <c r="A435" s="4" t="s">
        <v>551</v>
      </c>
      <c r="B435" s="4" t="s">
        <v>554</v>
      </c>
      <c r="C435" s="5" t="str">
        <f>IFERROR(__xludf.DUMMYFUNCTION("GOOGLETRANSLATE(B435,""en"",""de"")"),"Ein Mann auf einem Fahrrad fährt an den Männern vorbei.")</f>
        <v>Ein Mann auf einem Fahrrad fährt an den Männern vorbei.</v>
      </c>
    </row>
    <row r="436">
      <c r="A436" s="4" t="s">
        <v>551</v>
      </c>
      <c r="B436" s="4" t="s">
        <v>555</v>
      </c>
      <c r="C436" s="5" t="str">
        <f>IFERROR(__xludf.DUMMYFUNCTION("GOOGLETRANSLATE(B436,""en"",""de"")"),"Vier Fahrräder fahren an den Männern vorbei.")</f>
        <v>Vier Fahrräder fahren an den Männern vorbei.</v>
      </c>
    </row>
    <row r="437">
      <c r="A437" s="4" t="s">
        <v>556</v>
      </c>
      <c r="B437" s="4" t="s">
        <v>557</v>
      </c>
      <c r="C437" s="5" t="str">
        <f>IFERROR(__xludf.DUMMYFUNCTION("GOOGLETRANSLATE(B437,""en"",""de"")"),"Ein Junge springt auf ein Trampolin, während er eine ausgestopfte Puppe auf den Schultern in der Luft fängt.")</f>
        <v>Ein Junge springt auf ein Trampolin, während er eine ausgestopfte Puppe auf den Schultern in der Luft fängt.</v>
      </c>
    </row>
    <row r="438">
      <c r="A438" s="4" t="s">
        <v>556</v>
      </c>
      <c r="B438" s="4" t="s">
        <v>558</v>
      </c>
      <c r="C438" s="5" t="str">
        <f>IFERROR(__xludf.DUMMYFUNCTION("GOOGLETRANSLATE(B438,""en"",""de"")"),"Der Junge fällt zurück und landet auf dem Rücken auf dem Trampolin.")</f>
        <v>Der Junge fällt zurück und landet auf dem Rücken auf dem Trampolin.</v>
      </c>
    </row>
    <row r="439">
      <c r="A439" s="4" t="s">
        <v>556</v>
      </c>
      <c r="B439" s="4" t="s">
        <v>559</v>
      </c>
      <c r="C439" s="5" t="str">
        <f>IFERROR(__xludf.DUMMYFUNCTION("GOOGLETRANSLATE(B439,""en"",""de"")"),"Der Junge springt und fängt die Puppe und knallt sie zwischen seine Beine auf dem Trampolin.")</f>
        <v>Der Junge springt und fängt die Puppe und knallt sie zwischen seine Beine auf dem Trampolin.</v>
      </c>
    </row>
    <row r="440">
      <c r="A440" s="4" t="s">
        <v>556</v>
      </c>
      <c r="B440" s="4" t="s">
        <v>560</v>
      </c>
      <c r="C440" s="5" t="str">
        <f>IFERROR(__xludf.DUMMYFUNCTION("GOOGLETRANSLATE(B440,""en"",""de"")"),"Der Junge vermisst den Versuch, die Puppe zu fangen, und fällt auf das Trampolin.")</f>
        <v>Der Junge vermisst den Versuch, die Puppe zu fangen, und fällt auf das Trampolin.</v>
      </c>
    </row>
    <row r="441">
      <c r="A441" s="4" t="s">
        <v>561</v>
      </c>
      <c r="B441" s="4" t="s">
        <v>562</v>
      </c>
      <c r="C441" s="5" t="str">
        <f>IFERROR(__xludf.DUMMYFUNCTION("GOOGLETRANSLATE(B441,""en"",""de"")"),"Zwei Personen sprechen miteinander, während sie auf den Docks stehen und mit der Kamera sprechen.")</f>
        <v>Zwei Personen sprechen miteinander, während sie auf den Docks stehen und mit der Kamera sprechen.</v>
      </c>
    </row>
    <row r="442">
      <c r="A442" s="4" t="s">
        <v>561</v>
      </c>
      <c r="B442" s="4" t="s">
        <v>563</v>
      </c>
      <c r="C442" s="5" t="str">
        <f>IFERROR(__xludf.DUMMYFUNCTION("GOOGLETRANSLATE(B442,""en"",""de"")"),"Die Menschen amüsieren sich in der Nähe, indem sie sich die Haare schneiden lassen, Essen essen und der Mann ein Boot zubereitet.")</f>
        <v>Die Menschen amüsieren sich in der Nähe, indem sie sich die Haare schneiden lassen, Essen essen und der Mann ein Boot zubereitet.</v>
      </c>
    </row>
    <row r="443">
      <c r="A443" s="4" t="s">
        <v>561</v>
      </c>
      <c r="B443" s="4" t="s">
        <v>564</v>
      </c>
      <c r="C443" s="5" t="str">
        <f>IFERROR(__xludf.DUMMYFUNCTION("GOOGLETRANSLATE(B443,""en"",""de"")"),"Es werden mehrere Schüsse von einer Küche sowie von Menschen gezeigt, die auf dem Boot fahren und weiterhin mit der Kamera sprechen.")</f>
        <v>Es werden mehrere Schüsse von einer Küche sowie von Menschen gezeigt, die auf dem Boot fahren und weiterhin mit der Kamera sprechen.</v>
      </c>
    </row>
    <row r="444">
      <c r="A444" s="4" t="s">
        <v>565</v>
      </c>
      <c r="B444" s="4" t="s">
        <v>566</v>
      </c>
      <c r="C444" s="5" t="str">
        <f>IFERROR(__xludf.DUMMYFUNCTION("GOOGLETRANSLATE(B444,""en"",""de"")"),"Der Name des Geschäfts wird angezeigt.")</f>
        <v>Der Name des Geschäfts wird angezeigt.</v>
      </c>
    </row>
    <row r="445">
      <c r="A445" s="4" t="s">
        <v>565</v>
      </c>
      <c r="B445" s="4" t="s">
        <v>567</v>
      </c>
      <c r="C445" s="5" t="str">
        <f>IFERROR(__xludf.DUMMYFUNCTION("GOOGLETRANSLATE(B445,""en"",""de"")"),"Eine Person flechtet die Haare eines Kunden.")</f>
        <v>Eine Person flechtet die Haare eines Kunden.</v>
      </c>
    </row>
    <row r="446">
      <c r="A446" s="4" t="s">
        <v>565</v>
      </c>
      <c r="B446" s="4" t="s">
        <v>568</v>
      </c>
      <c r="C446" s="5" t="str">
        <f>IFERROR(__xludf.DUMMYFUNCTION("GOOGLETRANSLATE(B446,""en"",""de"")"),"Eine Person leitet eine Schere durch ein Geflecht.")</f>
        <v>Eine Person leitet eine Schere durch ein Geflecht.</v>
      </c>
    </row>
    <row r="447">
      <c r="A447" s="4" t="s">
        <v>565</v>
      </c>
      <c r="B447" s="4" t="s">
        <v>569</v>
      </c>
      <c r="C447" s="5" t="str">
        <f>IFERROR(__xludf.DUMMYFUNCTION("GOOGLETRANSLATE(B447,""en"",""de"")"),"Eine Person wendet Stangen auf Zöpfe an.")</f>
        <v>Eine Person wendet Stangen auf Zöpfe an.</v>
      </c>
    </row>
    <row r="448">
      <c r="A448" s="4" t="s">
        <v>565</v>
      </c>
      <c r="B448" s="4" t="s">
        <v>570</v>
      </c>
      <c r="C448" s="5" t="str">
        <f>IFERROR(__xludf.DUMMYFUNCTION("GOOGLETRANSLATE(B448,""en"",""de"")"),"Eine Person bringt Zöpfe mit Stangen in Wasser.")</f>
        <v>Eine Person bringt Zöpfe mit Stangen in Wasser.</v>
      </c>
    </row>
    <row r="449">
      <c r="A449" s="4" t="s">
        <v>565</v>
      </c>
      <c r="B449" s="4" t="s">
        <v>571</v>
      </c>
      <c r="C449" s="5" t="str">
        <f>IFERROR(__xludf.DUMMYFUNCTION("GOOGLETRANSLATE(B449,""en"",""de"")"),"Ein Kunde mit Lesebrille spricht.")</f>
        <v>Ein Kunde mit Lesebrille spricht.</v>
      </c>
    </row>
    <row r="450">
      <c r="A450" s="4" t="s">
        <v>565</v>
      </c>
      <c r="B450" s="4" t="s">
        <v>572</v>
      </c>
      <c r="C450" s="5" t="str">
        <f>IFERROR(__xludf.DUMMYFUNCTION("GOOGLETRANSLATE(B450,""en"",""de"")"),"Ein Kunde fährt nach Abschluss von Zöpfen ab.")</f>
        <v>Ein Kunde fährt nach Abschluss von Zöpfen ab.</v>
      </c>
    </row>
    <row r="451">
      <c r="A451" s="4" t="s">
        <v>565</v>
      </c>
      <c r="B451" s="4" t="s">
        <v>573</v>
      </c>
      <c r="C451" s="5" t="str">
        <f>IFERROR(__xludf.DUMMYFUNCTION("GOOGLETRANSLATE(B451,""en"",""de"")"),"Die Credits des Videos werden angezeigt.")</f>
        <v>Die Credits des Videos werden angezeigt.</v>
      </c>
    </row>
    <row r="452">
      <c r="A452" s="4" t="s">
        <v>574</v>
      </c>
      <c r="B452" s="4" t="s">
        <v>575</v>
      </c>
      <c r="C452" s="5" t="str">
        <f>IFERROR(__xludf.DUMMYFUNCTION("GOOGLETRANSLATE(B452,""en"",""de"")"),"Eine Frau steht mit sportlicher Jacke in einem grasgezogenen und bewaldeten Hof.")</f>
        <v>Eine Frau steht mit sportlicher Jacke in einem grasgezogenen und bewaldeten Hof.</v>
      </c>
    </row>
    <row r="453">
      <c r="A453" s="4" t="s">
        <v>574</v>
      </c>
      <c r="B453" s="4" t="s">
        <v>576</v>
      </c>
      <c r="C453" s="5" t="str">
        <f>IFERROR(__xludf.DUMMYFUNCTION("GOOGLETRANSLATE(B453,""en"",""de"")"),"Die Frau betritt einen offenen Werkstattbereich.")</f>
        <v>Die Frau betritt einen offenen Werkstattbereich.</v>
      </c>
    </row>
    <row r="454">
      <c r="A454" s="4" t="s">
        <v>574</v>
      </c>
      <c r="B454" s="4" t="s">
        <v>577</v>
      </c>
      <c r="C454" s="5" t="str">
        <f>IFERROR(__xludf.DUMMYFUNCTION("GOOGLETRANSLATE(B454,""en"",""de"")"),"Die Protokolle werden auf einem Hackblock aufrecht gestapelt.")</f>
        <v>Die Protokolle werden auf einem Hackblock aufrecht gestapelt.</v>
      </c>
    </row>
    <row r="455">
      <c r="A455" s="4" t="s">
        <v>574</v>
      </c>
      <c r="B455" s="4" t="s">
        <v>578</v>
      </c>
      <c r="C455" s="5" t="str">
        <f>IFERROR(__xludf.DUMMYFUNCTION("GOOGLETRANSLATE(B455,""en"",""de"")"),"Die Frau verwendet eine A -Axt, um die Protokolle in zwei Hälften zu teilen.")</f>
        <v>Die Frau verwendet eine A -Axt, um die Protokolle in zwei Hälften zu teilen.</v>
      </c>
    </row>
    <row r="456">
      <c r="A456" s="4" t="s">
        <v>579</v>
      </c>
      <c r="B456" s="4" t="s">
        <v>580</v>
      </c>
      <c r="C456" s="5" t="str">
        <f>IFERROR(__xludf.DUMMYFUNCTION("GOOGLETRANSLATE(B456,""en"",""de"")"),"Autos fahren ziemlich schnell die Autobahn hinunter.")</f>
        <v>Autos fahren ziemlich schnell die Autobahn hinunter.</v>
      </c>
    </row>
    <row r="457">
      <c r="A457" s="4" t="s">
        <v>579</v>
      </c>
      <c r="B457" s="4" t="s">
        <v>581</v>
      </c>
      <c r="C457" s="5" t="str">
        <f>IFERROR(__xludf.DUMMYFUNCTION("GOOGLETRANSLATE(B457,""en"",""de"")"),"Sie stoppen, ein Mann steigt aus und hilft zwei Frauen, auszusteigen.")</f>
        <v>Sie stoppen, ein Mann steigt aus und hilft zwei Frauen, auszusteigen.</v>
      </c>
    </row>
    <row r="458">
      <c r="A458" s="4" t="s">
        <v>579</v>
      </c>
      <c r="B458" s="4" t="s">
        <v>582</v>
      </c>
      <c r="C458" s="5" t="str">
        <f>IFERROR(__xludf.DUMMYFUNCTION("GOOGLETRANSLATE(B458,""en"",""de"")"),"Sie gehen in eine Bar und werfen einen Ball in ein Mädchen, das ein Bierpongkrieg beginnt.")</f>
        <v>Sie gehen in eine Bar und werfen einen Ball in ein Mädchen, das ein Bierpongkrieg beginnt.</v>
      </c>
    </row>
    <row r="459">
      <c r="A459" s="4" t="s">
        <v>579</v>
      </c>
      <c r="B459" s="4" t="s">
        <v>583</v>
      </c>
      <c r="C459" s="5" t="str">
        <f>IFERROR(__xludf.DUMMYFUNCTION("GOOGLETRANSLATE(B459,""en"",""de"")"),"Er wacht in seinem Wohnheim auf und klickt dann auf sein iPad, um eine Bier -Pong -Meisterschaft zu starten.")</f>
        <v>Er wacht in seinem Wohnheim auf und klickt dann auf sein iPad, um eine Bier -Pong -Meisterschaft zu starten.</v>
      </c>
    </row>
    <row r="460">
      <c r="A460" s="4" t="s">
        <v>584</v>
      </c>
      <c r="B460" s="4" t="s">
        <v>585</v>
      </c>
      <c r="C460" s="5" t="str">
        <f>IFERROR(__xludf.DUMMYFUNCTION("GOOGLETRANSLATE(B460,""en"",""de"")"),"Eine junge Dame mit einer grauen Jacke steht vor einem Waschbecken, der ihre Hände schrägt.")</f>
        <v>Eine junge Dame mit einer grauen Jacke steht vor einem Waschbecken, der ihre Hände schrägt.</v>
      </c>
    </row>
    <row r="461">
      <c r="A461" s="4" t="s">
        <v>584</v>
      </c>
      <c r="B461" s="4" t="s">
        <v>586</v>
      </c>
      <c r="C461" s="5" t="str">
        <f>IFERROR(__xludf.DUMMYFUNCTION("GOOGLETRANSLATE(B461,""en"",""de"")"),"Sie schaltet dann das Wasser ein und beginnt ihre Hände auszuspülen und ihre Finger zu biegen, um sicherzustellen, dass die gesamte Seife ausgeschaltet ist.")</f>
        <v>Sie schaltet dann das Wasser ein und beginnt ihre Hände auszuspülen und ihre Finger zu biegen, um sicherzustellen, dass die gesamte Seife ausgeschaltet ist.</v>
      </c>
    </row>
    <row r="462">
      <c r="A462" s="4" t="s">
        <v>584</v>
      </c>
      <c r="B462" s="4" t="s">
        <v>587</v>
      </c>
      <c r="C462" s="5" t="str">
        <f>IFERROR(__xludf.DUMMYFUNCTION("GOOGLETRANSLATE(B462,""en"",""de"")"),"Danach erledigt sie ein weißes Handtuch, trocknet ihre Hände und wischt ihren Mund ab.")</f>
        <v>Danach erledigt sie ein weißes Handtuch, trocknet ihre Hände und wischt ihren Mund ab.</v>
      </c>
    </row>
    <row r="463">
      <c r="A463" s="4" t="s">
        <v>588</v>
      </c>
      <c r="B463" s="4" t="s">
        <v>589</v>
      </c>
      <c r="C463" s="5" t="str">
        <f>IFERROR(__xludf.DUMMYFUNCTION("GOOGLETRANSLATE(B463,""en"",""de"")"),"Mehrere Percussionisten stehen auf einem Feld.")</f>
        <v>Mehrere Percussionisten stehen auf einem Feld.</v>
      </c>
    </row>
    <row r="464">
      <c r="A464" s="4" t="s">
        <v>588</v>
      </c>
      <c r="B464" s="4" t="s">
        <v>590</v>
      </c>
      <c r="C464" s="5" t="str">
        <f>IFERROR(__xludf.DUMMYFUNCTION("GOOGLETRANSLATE(B464,""en"",""de"")"),"Sie marschieren auf dem Feld an Ort und Stelle.")</f>
        <v>Sie marschieren auf dem Feld an Ort und Stelle.</v>
      </c>
    </row>
    <row r="465">
      <c r="A465" s="4" t="s">
        <v>588</v>
      </c>
      <c r="B465" s="4" t="s">
        <v>591</v>
      </c>
      <c r="C465" s="5" t="str">
        <f>IFERROR(__xludf.DUMMYFUNCTION("GOOGLETRANSLATE(B465,""en"",""de"")"),"Sie trommeln synchron.")</f>
        <v>Sie trommeln synchron.</v>
      </c>
    </row>
    <row r="466">
      <c r="A466" s="4" t="s">
        <v>588</v>
      </c>
      <c r="B466" s="4" t="s">
        <v>592</v>
      </c>
      <c r="C466" s="5" t="str">
        <f>IFERROR(__xludf.DUMMYFUNCTION("GOOGLETRANSLATE(B466,""en"",""de"")"),"Eine Frau geht mit einer Videokamera vorbei.")</f>
        <v>Eine Frau geht mit einer Videokamera vorbei.</v>
      </c>
    </row>
    <row r="467">
      <c r="A467" s="4" t="s">
        <v>593</v>
      </c>
      <c r="B467" s="4" t="s">
        <v>594</v>
      </c>
      <c r="C467" s="5" t="str">
        <f>IFERROR(__xludf.DUMMYFUNCTION("GOOGLETRANSLATE(B467,""en"",""de"")"),"Ein Mädchen mit mehreren Gesichtspierungen, die seine gesehene Lotion über ihr Gesicht rieben und ihre Wangen und ihr Gesicht pudert.")</f>
        <v>Ein Mädchen mit mehreren Gesichtspierungen, die seine gesehene Lotion über ihr Gesicht rieben und ihre Wangen und ihr Gesicht pudert.</v>
      </c>
    </row>
    <row r="468">
      <c r="A468" s="4" t="s">
        <v>593</v>
      </c>
      <c r="B468" s="4" t="s">
        <v>595</v>
      </c>
      <c r="C468" s="5" t="str">
        <f>IFERROR(__xludf.DUMMYFUNCTION("GOOGLETRANSLATE(B468,""en"",""de"")"),"Sie legt dann Eyeliner an, gefolgt von Mascara und Lippenstiche.")</f>
        <v>Sie legt dann Eyeliner an, gefolgt von Mascara und Lippenstiche.</v>
      </c>
    </row>
    <row r="469">
      <c r="A469" s="4" t="s">
        <v>593</v>
      </c>
      <c r="B469" s="4" t="s">
        <v>596</v>
      </c>
      <c r="C469" s="5" t="str">
        <f>IFERROR(__xludf.DUMMYFUNCTION("GOOGLETRANSLATE(B469,""en"",""de"")"),"Sie färbt in ihren Augenbrauen und zieht falsche Augenwimpern an, dann rieb dann etwas Schwarz und mehr Wimperntusche an.")</f>
        <v>Sie färbt in ihren Augenbrauen und zieht falsche Augenwimpern an, dann rieb dann etwas Schwarz und mehr Wimperntusche an.</v>
      </c>
    </row>
    <row r="470">
      <c r="A470" s="4" t="s">
        <v>593</v>
      </c>
      <c r="B470" s="4" t="s">
        <v>597</v>
      </c>
      <c r="C470" s="5" t="str">
        <f>IFERROR(__xludf.DUMMYFUNCTION("GOOGLETRANSLATE(B470,""en"",""de"")"),"Sie steckt ein bisschen errötend in ihre Wangen und lächelt und winkt dann zur Kamera.")</f>
        <v>Sie steckt ein bisschen errötend in ihre Wangen und lächelt und winkt dann zur Kamera.</v>
      </c>
    </row>
    <row r="471">
      <c r="A471" s="4" t="s">
        <v>598</v>
      </c>
      <c r="B471" s="4" t="s">
        <v>599</v>
      </c>
      <c r="C471" s="5" t="str">
        <f>IFERROR(__xludf.DUMMYFUNCTION("GOOGLETRANSLATE(B471,""en"",""de"")"),"Der Mann schaut in die Kamera und geht dann wieder woanders hin und redet.")</f>
        <v>Der Mann schaut in die Kamera und geht dann wieder woanders hin und redet.</v>
      </c>
    </row>
    <row r="472">
      <c r="A472" s="4" t="s">
        <v>598</v>
      </c>
      <c r="B472" s="4" t="s">
        <v>600</v>
      </c>
      <c r="C472" s="5" t="str">
        <f>IFERROR(__xludf.DUMMYFUNCTION("GOOGLETRANSLATE(B472,""en"",""de"")"),"Dann werden die Tassen, die sie halten und eine blaue Flüssigkeit enthält, dann in den Mund gestellt und sie beide gurgeln, bis sie viele Blasen im Mund bilden.")</f>
        <v>Dann werden die Tassen, die sie halten und eine blaue Flüssigkeit enthält, dann in den Mund gestellt und sie beide gurgeln, bis sie viele Blasen im Mund bilden.</v>
      </c>
    </row>
    <row r="473">
      <c r="A473" s="4" t="s">
        <v>601</v>
      </c>
      <c r="B473" s="4" t="s">
        <v>602</v>
      </c>
      <c r="C473" s="5" t="str">
        <f>IFERROR(__xludf.DUMMYFUNCTION("GOOGLETRANSLATE(B473,""en"",""de"")"),"Die Leute Skateboard in einem Wettbewerb auf der Straße, während sie sich beugen und seine Arme zurückhalten.")</f>
        <v>Die Leute Skateboard in einem Wettbewerb auf der Straße, während sie sich beugen und seine Arme zurückhalten.</v>
      </c>
    </row>
    <row r="474">
      <c r="A474" s="4" t="s">
        <v>601</v>
      </c>
      <c r="B474" s="4" t="s">
        <v>603</v>
      </c>
      <c r="C474" s="5" t="str">
        <f>IFERROR(__xludf.DUMMYFUNCTION("GOOGLETRANSLATE(B474,""en"",""de"")"),"Dann öffnet ein Skateboarder seine Arme und signalisiert anderen, dass sie voranschreiten.")</f>
        <v>Dann öffnet ein Skateboarder seine Arme und signalisiert anderen, dass sie voranschreiten.</v>
      </c>
    </row>
    <row r="475">
      <c r="A475" s="4" t="s">
        <v>601</v>
      </c>
      <c r="B475" s="4" t="s">
        <v>604</v>
      </c>
      <c r="C475" s="5" t="str">
        <f>IFERROR(__xludf.DUMMYFUNCTION("GOOGLETRANSLATE(B475,""en"",""de"")"),"Anschließend sehen die Skateboarder die vorderen Zuschauer auf der Straße an.")</f>
        <v>Anschließend sehen die Skateboarder die vorderen Zuschauer auf der Straße an.</v>
      </c>
    </row>
    <row r="476">
      <c r="A476" s="4" t="s">
        <v>601</v>
      </c>
      <c r="B476" s="4" t="s">
        <v>605</v>
      </c>
      <c r="C476" s="5" t="str">
        <f>IFERROR(__xludf.DUMMYFUNCTION("GOOGLETRANSLATE(B476,""en"",""de"")"),"Die Leute machen den Skateboardern ein Foto.")</f>
        <v>Die Leute machen den Skateboardern ein Foto.</v>
      </c>
    </row>
    <row r="477">
      <c r="A477" s="4" t="s">
        <v>601</v>
      </c>
      <c r="B477" s="4" t="s">
        <v>606</v>
      </c>
      <c r="C477" s="5" t="str">
        <f>IFERROR(__xludf.DUMMYFUNCTION("GOOGLETRANSLATE(B477,""en"",""de"")"),"Ein Skateboarder fällt auf der Straße.")</f>
        <v>Ein Skateboarder fällt auf der Straße.</v>
      </c>
    </row>
    <row r="478">
      <c r="A478" s="4" t="s">
        <v>601</v>
      </c>
      <c r="B478" s="4" t="s">
        <v>607</v>
      </c>
      <c r="C478" s="5" t="str">
        <f>IFERROR(__xludf.DUMMYFUNCTION("GOOGLETRANSLATE(B478,""en"",""de"")"),"Die Leute skanieren weiter auf der Straße.")</f>
        <v>Die Leute skanieren weiter auf der Straße.</v>
      </c>
    </row>
    <row r="479">
      <c r="A479" s="4" t="s">
        <v>608</v>
      </c>
      <c r="B479" s="4" t="s">
        <v>609</v>
      </c>
      <c r="C479" s="5" t="str">
        <f>IFERROR(__xludf.DUMMYFUNCTION("GOOGLETRANSLATE(B479,""en"",""de"")"),"Eine Gruppe fährt Pferde, die ein Polospiel auf einem Feld spielen.")</f>
        <v>Eine Gruppe fährt Pferde, die ein Polospiel auf einem Feld spielen.</v>
      </c>
    </row>
    <row r="480">
      <c r="A480" s="4" t="s">
        <v>608</v>
      </c>
      <c r="B480" s="4" t="s">
        <v>610</v>
      </c>
      <c r="C480" s="5" t="str">
        <f>IFERROR(__xludf.DUMMYFUNCTION("GOOGLETRANSLATE(B480,""en"",""de"")"),"Die Gruppe kämpft um den Ball und fährt in einer engen Formation.")</f>
        <v>Die Gruppe kämpft um den Ball und fährt in einer engen Formation.</v>
      </c>
    </row>
    <row r="481">
      <c r="A481" s="4" t="s">
        <v>608</v>
      </c>
      <c r="B481" s="4" t="s">
        <v>611</v>
      </c>
      <c r="C481" s="5" t="str">
        <f>IFERROR(__xludf.DUMMYFUNCTION("GOOGLETRANSLATE(B481,""en"",""de"")"),"Ein Mitglied des Teams bricht sich auf und reitet das Ziel seines Pferdes.")</f>
        <v>Ein Mitglied des Teams bricht sich auf und reitet das Ziel seines Pferdes.</v>
      </c>
    </row>
    <row r="482">
      <c r="A482" s="4" t="s">
        <v>612</v>
      </c>
      <c r="B482" s="4" t="s">
        <v>613</v>
      </c>
      <c r="C482" s="5" t="str">
        <f>IFERROR(__xludf.DUMMYFUNCTION("GOOGLETRANSLATE(B482,""en"",""de"")"),"Ein junger Mann schüttelt an der Seite einer Klippe.")</f>
        <v>Ein junger Mann schüttelt an der Seite einer Klippe.</v>
      </c>
    </row>
    <row r="483">
      <c r="A483" s="4" t="s">
        <v>612</v>
      </c>
      <c r="B483" s="4" t="s">
        <v>614</v>
      </c>
      <c r="C483" s="5" t="str">
        <f>IFERROR(__xludf.DUMMYFUNCTION("GOOGLETRANSLATE(B483,""en"",""de"")"),"Ein anderer Mann beobachtet und hilft von unten.")</f>
        <v>Ein anderer Mann beobachtet und hilft von unten.</v>
      </c>
    </row>
    <row r="484">
      <c r="A484" s="4" t="s">
        <v>612</v>
      </c>
      <c r="B484" s="4" t="s">
        <v>615</v>
      </c>
      <c r="C484" s="5" t="str">
        <f>IFERROR(__xludf.DUMMYFUNCTION("GOOGLETRANSLATE(B484,""en"",""de"")"),"Der Mann klettern weiter, bis er die Spitze erreicht.")</f>
        <v>Der Mann klettern weiter, bis er die Spitze erreicht.</v>
      </c>
    </row>
    <row r="485">
      <c r="A485" s="4" t="s">
        <v>616</v>
      </c>
      <c r="B485" s="4" t="s">
        <v>617</v>
      </c>
      <c r="C485" s="5" t="str">
        <f>IFERROR(__xludf.DUMMYFUNCTION("GOOGLETRANSLATE(B485,""en"",""de"")"),"Die Leute spielen zusammen Cricket draußen.")</f>
        <v>Die Leute spielen zusammen Cricket draußen.</v>
      </c>
    </row>
    <row r="486">
      <c r="A486" s="4" t="s">
        <v>616</v>
      </c>
      <c r="B486" s="4" t="s">
        <v>618</v>
      </c>
      <c r="C486" s="5" t="str">
        <f>IFERROR(__xludf.DUMMYFUNCTION("GOOGLETRANSLATE(B486,""en"",""de"")"),"Eine Gruppe von Menschen hält eine Trophäe auf.")</f>
        <v>Eine Gruppe von Menschen hält eine Trophäe auf.</v>
      </c>
    </row>
    <row r="487">
      <c r="A487" s="4" t="s">
        <v>616</v>
      </c>
      <c r="B487" s="4" t="s">
        <v>619</v>
      </c>
      <c r="C487" s="5" t="str">
        <f>IFERROR(__xludf.DUMMYFUNCTION("GOOGLETRANSLATE(B487,""en"",""de"")"),"Die Leute gehen draußen herum und spielen Cricket.")</f>
        <v>Die Leute gehen draußen herum und spielen Cricket.</v>
      </c>
    </row>
    <row r="488">
      <c r="A488" s="4" t="s">
        <v>620</v>
      </c>
      <c r="B488" s="4" t="s">
        <v>621</v>
      </c>
      <c r="C488" s="5" t="str">
        <f>IFERROR(__xludf.DUMMYFUNCTION("GOOGLETRANSLATE(B488,""en"",""de"")"),"Eine Frau steht an einer Toilette in einem Bikini.")</f>
        <v>Eine Frau steht an einer Toilette in einem Bikini.</v>
      </c>
    </row>
    <row r="489">
      <c r="A489" s="4" t="s">
        <v>620</v>
      </c>
      <c r="B489" s="4" t="s">
        <v>622</v>
      </c>
      <c r="C489" s="5" t="str">
        <f>IFERROR(__xludf.DUMMYFUNCTION("GOOGLETRANSLATE(B489,""en"",""de"")"),"Ein Mann rieb Sonnenschutzmittel auf ihre Beine.")</f>
        <v>Ein Mann rieb Sonnenschutzmittel auf ihre Beine.</v>
      </c>
    </row>
    <row r="490">
      <c r="A490" s="4" t="s">
        <v>620</v>
      </c>
      <c r="B490" s="4" t="s">
        <v>623</v>
      </c>
      <c r="C490" s="5" t="str">
        <f>IFERROR(__xludf.DUMMYFUNCTION("GOOGLETRANSLATE(B490,""en"",""de"")"),"Sie beginnt ihr Bein zu reiben.")</f>
        <v>Sie beginnt ihr Bein zu reiben.</v>
      </c>
    </row>
    <row r="491">
      <c r="A491" s="4" t="s">
        <v>624</v>
      </c>
      <c r="B491" s="4" t="s">
        <v>625</v>
      </c>
      <c r="C491" s="5" t="str">
        <f>IFERROR(__xludf.DUMMYFUNCTION("GOOGLETRANSLATE(B491,""en"",""de"")"),"Eine Frau spricht mit der Kamera und hält verschiedene Objekte hoch.")</f>
        <v>Eine Frau spricht mit der Kamera und hält verschiedene Objekte hoch.</v>
      </c>
    </row>
    <row r="492">
      <c r="A492" s="4" t="s">
        <v>624</v>
      </c>
      <c r="B492" s="4" t="s">
        <v>626</v>
      </c>
      <c r="C492" s="5" t="str">
        <f>IFERROR(__xludf.DUMMYFUNCTION("GOOGLETRANSLATE(B492,""en"",""de"")"),"Das Klebeband auf das Auge und beginnt Eyeliner über ihr Auge.")</f>
        <v>Das Klebeband auf das Auge und beginnt Eyeliner über ihr Auge.</v>
      </c>
    </row>
    <row r="493">
      <c r="A493" s="4" t="s">
        <v>624</v>
      </c>
      <c r="B493" s="4" t="s">
        <v>627</v>
      </c>
      <c r="C493" s="5" t="str">
        <f>IFERROR(__xludf.DUMMYFUNCTION("GOOGLETRANSLATE(B493,""en"",""de"")"),"Sie zieht das Make -up fort, während sie mit der Kamera spricht und am Ende das Band auszieht.")</f>
        <v>Sie zieht das Make -up fort, während sie mit der Kamera spricht und am Ende das Band auszieht.</v>
      </c>
    </row>
    <row r="494">
      <c r="A494" s="4" t="s">
        <v>628</v>
      </c>
      <c r="B494" s="4" t="s">
        <v>629</v>
      </c>
      <c r="C494" s="5" t="str">
        <f>IFERROR(__xludf.DUMMYFUNCTION("GOOGLETRANSLATE(B494,""en"",""de"")"),"Der Mann, der ein lila Hemd trägt, hält eine Gasleitung.")</f>
        <v>Der Mann, der ein lila Hemd trägt, hält eine Gasleitung.</v>
      </c>
    </row>
    <row r="495">
      <c r="A495" s="4" t="s">
        <v>628</v>
      </c>
      <c r="B495" s="4" t="s">
        <v>630</v>
      </c>
      <c r="C495" s="5" t="str">
        <f>IFERROR(__xludf.DUMMYFUNCTION("GOOGLETRANSLATE(B495,""en"",""de"")"),"Der Mann nutzt das Rohr, um das Holzfeuer zu beleuchten.")</f>
        <v>Der Mann nutzt das Rohr, um das Holzfeuer zu beleuchten.</v>
      </c>
    </row>
    <row r="496">
      <c r="A496" s="4" t="s">
        <v>628</v>
      </c>
      <c r="B496" s="4" t="s">
        <v>631</v>
      </c>
      <c r="C496" s="5" t="str">
        <f>IFERROR(__xludf.DUMMYFUNCTION("GOOGLETRANSLATE(B496,""en"",""de"")"),"Der Mann steht vor einem Haus, das ein Holzfeuer aufleuchtet.")</f>
        <v>Der Mann steht vor einem Haus, das ein Holzfeuer aufleuchtet.</v>
      </c>
    </row>
    <row r="497">
      <c r="A497" s="4" t="s">
        <v>632</v>
      </c>
      <c r="B497" s="4" t="s">
        <v>633</v>
      </c>
      <c r="C497" s="5" t="str">
        <f>IFERROR(__xludf.DUMMYFUNCTION("GOOGLETRANSLATE(B497,""en"",""de"")"),"Ein Mann wird gesehen, wie er mit einem Hund auf einem Feld steht, während er sich an Spielzeug hält.")</f>
        <v>Ein Mann wird gesehen, wie er mit einem Hund auf einem Feld steht, während er sich an Spielzeug hält.</v>
      </c>
    </row>
    <row r="498">
      <c r="A498" s="4" t="s">
        <v>632</v>
      </c>
      <c r="B498" s="4" t="s">
        <v>634</v>
      </c>
      <c r="C498" s="5" t="str">
        <f>IFERROR(__xludf.DUMMYFUNCTION("GOOGLETRANSLATE(B498,""en"",""de"")"),"Der Mann wirft dann das Spielzeug, während der Hund nach ihnen nachjagt.")</f>
        <v>Der Mann wirft dann das Spielzeug, während der Hund nach ihnen nachjagt.</v>
      </c>
    </row>
    <row r="499">
      <c r="A499" s="4" t="s">
        <v>632</v>
      </c>
      <c r="B499" s="4" t="s">
        <v>635</v>
      </c>
      <c r="C499" s="5" t="str">
        <f>IFERROR(__xludf.DUMMYFUNCTION("GOOGLETRANSLATE(B499,""en"",""de"")"),"Die Männer machen weiterhin Tricks mit dem Hund und enden mit einem Bild.")</f>
        <v>Die Männer machen weiterhin Tricks mit dem Hund und enden mit einem Bild.</v>
      </c>
    </row>
    <row r="500">
      <c r="A500" s="4" t="s">
        <v>636</v>
      </c>
      <c r="B500" s="4" t="s">
        <v>637</v>
      </c>
      <c r="C500" s="5" t="str">
        <f>IFERROR(__xludf.DUMMYFUNCTION("GOOGLETRANSLATE(B500,""en"",""de"")"),"Ein älterer blonde Newswoman liest eine Geschichte.")</f>
        <v>Ein älterer blonde Newswoman liest eine Geschichte.</v>
      </c>
    </row>
    <row r="501">
      <c r="A501" s="4" t="s">
        <v>636</v>
      </c>
      <c r="B501" s="4" t="s">
        <v>638</v>
      </c>
      <c r="C501" s="5" t="str">
        <f>IFERROR(__xludf.DUMMYFUNCTION("GOOGLETRANSLATE(B501,""en"",""de"")"),"Verschiedene Bilder werden aus Shuffleboard -Geschichte gezeigt.")</f>
        <v>Verschiedene Bilder werden aus Shuffleboard -Geschichte gezeigt.</v>
      </c>
    </row>
    <row r="502">
      <c r="A502" s="4" t="s">
        <v>636</v>
      </c>
      <c r="B502" s="4" t="s">
        <v>639</v>
      </c>
      <c r="C502" s="5" t="str">
        <f>IFERROR(__xludf.DUMMYFUNCTION("GOOGLETRANSLATE(B502,""en"",""de"")"),"Ein älterer Mann wird für die Kamera interviewt.")</f>
        <v>Ein älterer Mann wird für die Kamera interviewt.</v>
      </c>
    </row>
    <row r="503">
      <c r="A503" s="4" t="s">
        <v>636</v>
      </c>
      <c r="B503" s="4" t="s">
        <v>640</v>
      </c>
      <c r="C503" s="5" t="str">
        <f>IFERROR(__xludf.DUMMYFUNCTION("GOOGLETRANSLATE(B503,""en"",""de"")"),"Es werden verschiedene Clips von Leuten, die Shuffleboard spielen, gezeigt.")</f>
        <v>Es werden verschiedene Clips von Leuten, die Shuffleboard spielen, gezeigt.</v>
      </c>
    </row>
    <row r="504">
      <c r="A504" s="4" t="s">
        <v>636</v>
      </c>
      <c r="B504" s="4" t="s">
        <v>641</v>
      </c>
      <c r="C504" s="5" t="str">
        <f>IFERROR(__xludf.DUMMYFUNCTION("GOOGLETRANSLATE(B504,""en"",""de"")"),"Der ältere blonde Reporter beendet die Nachrichtengeschichte.")</f>
        <v>Der ältere blonde Reporter beendet die Nachrichtengeschichte.</v>
      </c>
    </row>
    <row r="505">
      <c r="A505" s="4" t="s">
        <v>642</v>
      </c>
      <c r="B505" s="4" t="s">
        <v>643</v>
      </c>
      <c r="C505" s="5" t="str">
        <f>IFERROR(__xludf.DUMMYFUNCTION("GOOGLETRANSLATE(B505,""en"",""de"")"),"Es werden mehrere Schüsse von Wrestlern gezeigt.")</f>
        <v>Es werden mehrere Schüsse von Wrestlern gezeigt.</v>
      </c>
    </row>
    <row r="506">
      <c r="A506" s="4" t="s">
        <v>642</v>
      </c>
      <c r="B506" s="4" t="s">
        <v>644</v>
      </c>
      <c r="C506" s="5" t="str">
        <f>IFERROR(__xludf.DUMMYFUNCTION("GOOGLETRANSLATE(B506,""en"",""de"")"),"Sie alle machen die Ecke ab.")</f>
        <v>Sie alle machen die Ecke ab.</v>
      </c>
    </row>
    <row r="507">
      <c r="A507" s="4" t="s">
        <v>642</v>
      </c>
      <c r="B507" s="4" t="s">
        <v>645</v>
      </c>
      <c r="C507" s="5" t="str">
        <f>IFERROR(__xludf.DUMMYFUNCTION("GOOGLETRANSLATE(B507,""en"",""de"")"),"Das Land auf ihrem Gegner.")</f>
        <v>Das Land auf ihrem Gegner.</v>
      </c>
    </row>
    <row r="508">
      <c r="A508" s="4" t="s">
        <v>642</v>
      </c>
      <c r="B508" s="4" t="s">
        <v>646</v>
      </c>
      <c r="C508" s="5" t="str">
        <f>IFERROR(__xludf.DUMMYFUNCTION("GOOGLETRANSLATE(B508,""en"",""de"")"),"Sie schlagen sie auf den Boden.")</f>
        <v>Sie schlagen sie auf den Boden.</v>
      </c>
    </row>
    <row r="509">
      <c r="A509" s="4" t="s">
        <v>647</v>
      </c>
      <c r="B509" s="4" t="s">
        <v>648</v>
      </c>
      <c r="C509" s="5" t="str">
        <f>IFERROR(__xludf.DUMMYFUNCTION("GOOGLETRANSLATE(B509,""en"",""de"")"),"Eine unsichtbare Person zeigt, wie man ein Reifenventil mit einem speziellen Werkzeug auf einem Reifen entfernen und installiert.")</f>
        <v>Eine unsichtbare Person zeigt, wie man ein Reifenventil mit einem speziellen Werkzeug auf einem Reifen entfernen und installiert.</v>
      </c>
    </row>
    <row r="510">
      <c r="A510" s="4" t="s">
        <v>647</v>
      </c>
      <c r="B510" s="4" t="s">
        <v>649</v>
      </c>
      <c r="C510" s="5" t="str">
        <f>IFERROR(__xludf.DUMMYFUNCTION("GOOGLETRANSLATE(B510,""en"",""de"")"),"Es wird zu sehen, dass ein Paar Hände ein Metall -Werkzeug über einem gelben, ummauerten Reifen auf einer flachen Oberfläche liefert.")</f>
        <v>Es wird zu sehen, dass ein Paar Hände ein Metall -Werkzeug über einem gelben, ummauerten Reifen auf einer flachen Oberfläche liefert.</v>
      </c>
    </row>
    <row r="511">
      <c r="A511" s="4" t="s">
        <v>647</v>
      </c>
      <c r="B511" s="4" t="s">
        <v>650</v>
      </c>
      <c r="C511" s="5" t="str">
        <f>IFERROR(__xludf.DUMMYFUNCTION("GOOGLETRANSLATE(B511,""en"",""de"")"),"Die Hand verwendet das Metallkrümmungswerkzeug, um das alte Reifenventil aus dem Loch zu pflücken.")</f>
        <v>Die Hand verwendet das Metallkrümmungswerkzeug, um das alte Reifenventil aus dem Loch zu pflücken.</v>
      </c>
    </row>
    <row r="512">
      <c r="A512" s="4" t="s">
        <v>647</v>
      </c>
      <c r="B512" s="4" t="s">
        <v>651</v>
      </c>
      <c r="C512" s="5" t="str">
        <f>IFERROR(__xludf.DUMMYFUNCTION("GOOGLETRANSLATE(B512,""en"",""de"")"),"Die Hand verwendet dann ein Metall, schwarz und Werkzeug, um ein neues Ventil in den Reifen einzulegen.")</f>
        <v>Die Hand verwendet dann ein Metall, schwarz und Werkzeug, um ein neues Ventil in den Reifen einzulegen.</v>
      </c>
    </row>
    <row r="513">
      <c r="A513" s="4" t="s">
        <v>652</v>
      </c>
      <c r="B513" s="4" t="s">
        <v>653</v>
      </c>
      <c r="C513" s="5" t="str">
        <f>IFERROR(__xludf.DUMMYFUNCTION("GOOGLETRANSLATE(B513,""en"",""de"")"),"Die Hände einer Person bewegten sich um eine Katze und trimmen ihre Krallen, während die Katze stilllegt und sich umsieht.")</f>
        <v>Die Hände einer Person bewegten sich um eine Katze und trimmen ihre Krallen, während die Katze stilllegt und sich umsieht.</v>
      </c>
    </row>
    <row r="514">
      <c r="A514" s="4" t="s">
        <v>652</v>
      </c>
      <c r="B514" s="4" t="s">
        <v>654</v>
      </c>
      <c r="C514" s="5" t="str">
        <f>IFERROR(__xludf.DUMMYFUNCTION("GOOGLETRANSLATE(B514,""en"",""de"")"),"Die Person endet dann die Nägel der Katze und zoomt am Ende auf den Bauch der Katze.")</f>
        <v>Die Person endet dann die Nägel der Katze und zoomt am Ende auf den Bauch der Katze.</v>
      </c>
    </row>
    <row r="515">
      <c r="A515" s="4" t="s">
        <v>655</v>
      </c>
      <c r="B515" s="4" t="s">
        <v>656</v>
      </c>
      <c r="C515" s="5" t="str">
        <f>IFERROR(__xludf.DUMMYFUNCTION("GOOGLETRANSLATE(B515,""en"",""de"")"),"Ein Mann sitzt auf einer schwarzen Matte in einem Fitnessstudio.")</f>
        <v>Ein Mann sitzt auf einer schwarzen Matte in einem Fitnessstudio.</v>
      </c>
    </row>
    <row r="516">
      <c r="A516" s="4" t="s">
        <v>655</v>
      </c>
      <c r="B516" s="4" t="s">
        <v>657</v>
      </c>
      <c r="C516" s="5" t="str">
        <f>IFERROR(__xludf.DUMMYFUNCTION("GOOGLETRANSLATE(B516,""en"",""de"")"),"Er legt sich zurück und knirscht auf der Matte.")</f>
        <v>Er legt sich zurück und knirscht auf der Matte.</v>
      </c>
    </row>
    <row r="517">
      <c r="A517" s="4" t="s">
        <v>655</v>
      </c>
      <c r="B517" s="4" t="s">
        <v>658</v>
      </c>
      <c r="C517" s="5" t="str">
        <f>IFERROR(__xludf.DUMMYFUNCTION("GOOGLETRANSLATE(B517,""en"",""de"")"),"Er setzt sich auf und redet weiter.")</f>
        <v>Er setzt sich auf und redet weiter.</v>
      </c>
    </row>
    <row r="518">
      <c r="A518" s="4" t="s">
        <v>659</v>
      </c>
      <c r="B518" s="4" t="s">
        <v>660</v>
      </c>
      <c r="C518" s="5" t="str">
        <f>IFERROR(__xludf.DUMMYFUNCTION("GOOGLETRANSLATE(B518,""en"",""de"")"),"Eine Kamera schwenkt um einen hemdlosen Mann, der im Schnee sitzt, gefolgt vom Mann Snowboarden und Männer, die einen Hügel hinauffahren.")</f>
        <v>Eine Kamera schwenkt um einen hemdlosen Mann, der im Schnee sitzt, gefolgt vom Mann Snowboarden und Männer, die einen Hügel hinauffahren.</v>
      </c>
    </row>
    <row r="519">
      <c r="A519" s="4" t="s">
        <v>659</v>
      </c>
      <c r="B519" s="4" t="s">
        <v>661</v>
      </c>
      <c r="C519" s="5" t="str">
        <f>IFERROR(__xludf.DUMMYFUNCTION("GOOGLETRANSLATE(B519,""en"",""de"")"),"Es werden mehrere Schüsse von Menschen gezeigt, die den schneebedeckten Hügel hinunterreiten und Tricks vor der Kamera machen.")</f>
        <v>Es werden mehrere Schüsse von Menschen gezeigt, die den schneebedeckten Hügel hinunterreiten und Tricks vor der Kamera machen.</v>
      </c>
    </row>
    <row r="520">
      <c r="A520" s="4" t="s">
        <v>662</v>
      </c>
      <c r="B520" s="4" t="s">
        <v>663</v>
      </c>
      <c r="C520" s="5" t="str">
        <f>IFERROR(__xludf.DUMMYFUNCTION("GOOGLETRANSLATE(B520,""en"",""de"")"),"Ein Höhlenmensch ist gesehen, wie er einen lila Felsen spaziert.")</f>
        <v>Ein Höhlenmensch ist gesehen, wie er einen lila Felsen spaziert.</v>
      </c>
    </row>
    <row r="521">
      <c r="A521" s="4" t="s">
        <v>662</v>
      </c>
      <c r="B521" s="4" t="s">
        <v>664</v>
      </c>
      <c r="C521" s="5" t="str">
        <f>IFERROR(__xludf.DUMMYFUNCTION("GOOGLETRANSLATE(B521,""en"",""de"")"),"Er trifft auf einen großen Hund und der Hund isst den Höhlenmenschen.")</f>
        <v>Er trifft auf einen großen Hund und der Hund isst den Höhlenmenschen.</v>
      </c>
    </row>
    <row r="522">
      <c r="A522" s="4" t="s">
        <v>662</v>
      </c>
      <c r="B522" s="4" t="s">
        <v>665</v>
      </c>
      <c r="C522" s="5" t="str">
        <f>IFERROR(__xludf.DUMMYFUNCTION("GOOGLETRANSLATE(B522,""en"",""de"")"),"Ein Gott geht einen Pudel.")</f>
        <v>Ein Gott geht einen Pudel.</v>
      </c>
    </row>
    <row r="523">
      <c r="A523" s="4" t="s">
        <v>662</v>
      </c>
      <c r="B523" s="4" t="s">
        <v>666</v>
      </c>
      <c r="C523" s="5" t="str">
        <f>IFERROR(__xludf.DUMMYFUNCTION("GOOGLETRANSLATE(B523,""en"",""de"")"),"Ein Cowboy geht mit seinem Hund und wird aus einem Salon erschossen.")</f>
        <v>Ein Cowboy geht mit seinem Hund und wird aus einem Salon erschossen.</v>
      </c>
    </row>
    <row r="524">
      <c r="A524" s="4" t="s">
        <v>662</v>
      </c>
      <c r="B524" s="4" t="s">
        <v>667</v>
      </c>
      <c r="C524" s="5" t="str">
        <f>IFERROR(__xludf.DUMMYFUNCTION("GOOGLETRANSLATE(B524,""en"",""de"")"),"Chaplin ist gesehen, wie er mit seinem Hund spazieren geht.")</f>
        <v>Chaplin ist gesehen, wie er mit seinem Hund spazieren geht.</v>
      </c>
    </row>
    <row r="525">
      <c r="A525" s="4" t="s">
        <v>662</v>
      </c>
      <c r="B525" s="4" t="s">
        <v>668</v>
      </c>
      <c r="C525" s="5" t="str">
        <f>IFERROR(__xludf.DUMMYFUNCTION("GOOGLETRANSLATE(B525,""en"",""de"")"),"Ein Hippie -Hund legt sich auf den Boden und scheint halluzinierend zu sein.")</f>
        <v>Ein Hippie -Hund legt sich auf den Boden und scheint halluzinierend zu sein.</v>
      </c>
    </row>
    <row r="526">
      <c r="A526" s="4" t="s">
        <v>662</v>
      </c>
      <c r="B526" s="4" t="s">
        <v>669</v>
      </c>
      <c r="C526" s="5" t="str">
        <f>IFERROR(__xludf.DUMMYFUNCTION("GOOGLETRANSLATE(B526,""en"",""de"")"),"Hunde und Raumschiffe werden im Raum erforscht.")</f>
        <v>Hunde und Raumschiffe werden im Raum erforscht.</v>
      </c>
    </row>
    <row r="527">
      <c r="A527" s="4" t="s">
        <v>670</v>
      </c>
      <c r="B527" s="4" t="s">
        <v>671</v>
      </c>
      <c r="C527" s="5" t="str">
        <f>IFERROR(__xludf.DUMMYFUNCTION("GOOGLETRANSLATE(B527,""en"",""de"")"),"Ein Mann, der eine schwarze Kleidung trägt, schärft das Messer auf einem Stein.")</f>
        <v>Ein Mann, der eine schwarze Kleidung trägt, schärft das Messer auf einem Stein.</v>
      </c>
    </row>
    <row r="528">
      <c r="A528" s="4" t="s">
        <v>670</v>
      </c>
      <c r="B528" s="4" t="s">
        <v>672</v>
      </c>
      <c r="C528" s="5" t="str">
        <f>IFERROR(__xludf.DUMMYFUNCTION("GOOGLETRANSLATE(B528,""en"",""de"")"),"Der Mann neben ihm auf Blue Long Sleeves zeichnet mit seinem Finger etwas auf den Tisch.")</f>
        <v>Der Mann neben ihm auf Blue Long Sleeves zeichnet mit seinem Finger etwas auf den Tisch.</v>
      </c>
    </row>
    <row r="529">
      <c r="A529" s="4" t="s">
        <v>670</v>
      </c>
      <c r="B529" s="4" t="s">
        <v>673</v>
      </c>
      <c r="C529" s="5" t="str">
        <f>IFERROR(__xludf.DUMMYFUNCTION("GOOGLETRANSLATE(B529,""en"",""de"")"),"Der Mann dreht das Messer, um die andere Seite zu schärfen und es dann mit Papiertuch abzuwischen.")</f>
        <v>Der Mann dreht das Messer, um die andere Seite zu schärfen und es dann mit Papiertuch abzuwischen.</v>
      </c>
    </row>
    <row r="530">
      <c r="A530" s="4" t="s">
        <v>670</v>
      </c>
      <c r="B530" s="4" t="s">
        <v>674</v>
      </c>
      <c r="C530" s="5" t="str">
        <f>IFERROR(__xludf.DUMMYFUNCTION("GOOGLETRANSLATE(B530,""en"",""de"")"),"Der Mann im dunkelblauen Hemd zeigt auf das Messer, während der Mann das Messer schärft, um es eine Hand zu schärfen.")</f>
        <v>Der Mann im dunkelblauen Hemd zeigt auf das Messer, während der Mann das Messer schärft, um es eine Hand zu schärfen.</v>
      </c>
    </row>
    <row r="531">
      <c r="A531" s="4" t="s">
        <v>670</v>
      </c>
      <c r="B531" s="4" t="s">
        <v>675</v>
      </c>
      <c r="C531" s="5" t="str">
        <f>IFERROR(__xludf.DUMMYFUNCTION("GOOGLETRANSLATE(B531,""en"",""de"")"),"Er schärft das Messer weiter, dreht es erneut um, um die andere Seite weiter zu schärfen und es erneut mit Papiertuch abzuwischen.")</f>
        <v>Er schärft das Messer weiter, dreht es erneut um, um die andere Seite weiter zu schärfen und es erneut mit Papiertuch abzuwischen.</v>
      </c>
    </row>
    <row r="532">
      <c r="A532" s="4" t="s">
        <v>670</v>
      </c>
      <c r="B532" s="4" t="s">
        <v>676</v>
      </c>
      <c r="C532" s="5" t="str">
        <f>IFERROR(__xludf.DUMMYFUNCTION("GOOGLETRANSLATE(B532,""en"",""de"")"),"Wirft das alte und schmutzige Papiertuch und erreicht die Brötchen des Papiertuchs und reinigen Sie das Messer.")</f>
        <v>Wirft das alte und schmutzige Papiertuch und erreicht die Brötchen des Papiertuchs und reinigen Sie das Messer.</v>
      </c>
    </row>
    <row r="533">
      <c r="A533" s="4" t="s">
        <v>677</v>
      </c>
      <c r="B533" s="4" t="s">
        <v>678</v>
      </c>
      <c r="C533" s="5" t="str">
        <f>IFERROR(__xludf.DUMMYFUNCTION("GOOGLETRANSLATE(B533,""en"",""de"")"),"Eine Kamera schwenkt um einen schneebedeckten Bereich und wechselt in mehrere Personen in Röhren hinunter.")</f>
        <v>Eine Kamera schwenkt um einen schneebedeckten Bereich und wechselt in mehrere Personen in Röhren hinunter.</v>
      </c>
    </row>
    <row r="534">
      <c r="A534" s="4" t="s">
        <v>677</v>
      </c>
      <c r="B534" s="4" t="s">
        <v>679</v>
      </c>
      <c r="C534" s="5" t="str">
        <f>IFERROR(__xludf.DUMMYFUNCTION("GOOGLETRANSLATE(B534,""en"",""de"")"),"Die Leute lachen, während sie den Hügel hinunter reiten, als eine Person abfällt und die Kamera um die Menschen schwenkt.")</f>
        <v>Die Leute lachen, während sie den Hügel hinunter reiten, als eine Person abfällt und die Kamera um die Menschen schwenkt.</v>
      </c>
    </row>
    <row r="535">
      <c r="A535" s="4" t="s">
        <v>677</v>
      </c>
      <c r="B535" s="4" t="s">
        <v>680</v>
      </c>
      <c r="C535" s="5" t="str">
        <f>IFERROR(__xludf.DUMMYFUNCTION("GOOGLETRANSLATE(B535,""en"",""de"")"),"Die Kamera zeigt eine weitere Aufnahme der Menschen, die alle zusammen den langen Hügel hinunterreiten.")</f>
        <v>Die Kamera zeigt eine weitere Aufnahme der Menschen, die alle zusammen den langen Hügel hinunterreiten.</v>
      </c>
    </row>
    <row r="536">
      <c r="A536" s="4" t="s">
        <v>681</v>
      </c>
      <c r="B536" s="4" t="s">
        <v>682</v>
      </c>
      <c r="C536" s="5" t="str">
        <f>IFERROR(__xludf.DUMMYFUNCTION("GOOGLETRANSLATE(B536,""en"",""de"")"),"Ein Mann sitzt auf einem gefrorenen See, fischt durch ein Loch und ist von Angelausrüstung umgeben.")</f>
        <v>Ein Mann sitzt auf einem gefrorenen See, fischt durch ein Loch und ist von Angelausrüstung umgeben.</v>
      </c>
    </row>
    <row r="537">
      <c r="A537" s="4" t="s">
        <v>681</v>
      </c>
      <c r="B537" s="4" t="s">
        <v>683</v>
      </c>
      <c r="C537" s="5" t="str">
        <f>IFERROR(__xludf.DUMMYFUNCTION("GOOGLETRANSLATE(B537,""en"",""de"")"),"Er geht von seinen Sachen weg und ein Fisch zieht seine Stange ins Wasser und verschwindet damit.")</f>
        <v>Er geht von seinen Sachen weg und ein Fisch zieht seine Stange ins Wasser und verschwindet damit.</v>
      </c>
    </row>
    <row r="538">
      <c r="A538" s="4" t="s">
        <v>681</v>
      </c>
      <c r="B538" s="4" t="s">
        <v>684</v>
      </c>
      <c r="C538" s="5" t="str">
        <f>IFERROR(__xludf.DUMMYFUNCTION("GOOGLETRANSLATE(B538,""en"",""de"")"),"Er steht wütend mit den Händen an den Hüften und bekommt dann einen anderen Stangen, um zu versuchen, es zurückzubekommen.")</f>
        <v>Er steht wütend mit den Händen an den Hüften und bekommt dann einen anderen Stangen, um zu versuchen, es zurückzubekommen.</v>
      </c>
    </row>
    <row r="539">
      <c r="A539" s="4" t="s">
        <v>685</v>
      </c>
      <c r="B539" s="4" t="s">
        <v>686</v>
      </c>
      <c r="C539" s="5" t="str">
        <f>IFERROR(__xludf.DUMMYFUNCTION("GOOGLETRANSLATE(B539,""en"",""de"")"),"Ein Mann steht auf einer Bühne und führt verschiedene Bewegungen aus.")</f>
        <v>Ein Mann steht auf einer Bühne und führt verschiedene Bewegungen aus.</v>
      </c>
    </row>
    <row r="540">
      <c r="A540" s="4" t="s">
        <v>685</v>
      </c>
      <c r="B540" s="4" t="s">
        <v>687</v>
      </c>
      <c r="C540" s="5" t="str">
        <f>IFERROR(__xludf.DUMMYFUNCTION("GOOGLETRANSLATE(B540,""en"",""de"")"),"Er geht von der Bühne und jemand anderes geht auf die Bühne.")</f>
        <v>Er geht von der Bühne und jemand anderes geht auf die Bühne.</v>
      </c>
    </row>
    <row r="541">
      <c r="A541" s="4" t="s">
        <v>688</v>
      </c>
      <c r="B541" s="4" t="s">
        <v>689</v>
      </c>
      <c r="C541" s="5" t="str">
        <f>IFERROR(__xludf.DUMMYFUNCTION("GOOGLETRANSLATE(B541,""en"",""de"")"),"Diese Frau zeigt ihren Zuschauern, wie man einen Chambord Royale macht.")</f>
        <v>Diese Frau zeigt ihren Zuschauern, wie man einen Chambord Royale macht.</v>
      </c>
    </row>
    <row r="542">
      <c r="A542" s="4" t="s">
        <v>688</v>
      </c>
      <c r="B542" s="4" t="s">
        <v>690</v>
      </c>
      <c r="C542" s="5" t="str">
        <f>IFERROR(__xludf.DUMMYFUNCTION("GOOGLETRANSLATE(B542,""en"",""de"")"),"Zuerst füllt sie ihren Schüttler auf halbem Weg mit Eis und fügt dann Wodka und Chambord hinzu und sie setzt eine Unze von beiden und fügt dann ein bisschen Ananasaft und Cranberry -Saft hinzu.")</f>
        <v>Zuerst füllt sie ihren Schüttler auf halbem Weg mit Eis und fügt dann Wodka und Chambord hinzu und sie setzt eine Unze von beiden und fügt dann ein bisschen Ananasaft und Cranberry -Saft hinzu.</v>
      </c>
    </row>
    <row r="543">
      <c r="A543" s="4" t="s">
        <v>688</v>
      </c>
      <c r="B543" s="4" t="s">
        <v>691</v>
      </c>
      <c r="C543" s="5" t="str">
        <f>IFERROR(__xludf.DUMMYFUNCTION("GOOGLETRANSLATE(B543,""en"",""de"")"),"Als nächstes schüttelt sie alles und belastet das Getränk in die Cocktailbecher.")</f>
        <v>Als nächstes schüttelt sie alles und belastet das Getränk in die Cocktailbecher.</v>
      </c>
    </row>
    <row r="544">
      <c r="A544" s="4" t="s">
        <v>692</v>
      </c>
      <c r="B544" s="4" t="s">
        <v>693</v>
      </c>
      <c r="C544" s="5" t="str">
        <f>IFERROR(__xludf.DUMMYFUNCTION("GOOGLETRANSLATE(B544,""en"",""de"")"),"Diese Perosn wird gezeigt, dass ein Sandwich mit Mittagsfleisch, Schweizer Käse und Mayonnaise enthält.")</f>
        <v>Diese Perosn wird gezeigt, dass ein Sandwich mit Mittagsfleisch, Schweizer Käse und Mayonnaise enthält.</v>
      </c>
    </row>
    <row r="545">
      <c r="A545" s="4" t="s">
        <v>692</v>
      </c>
      <c r="B545" s="4" t="s">
        <v>694</v>
      </c>
      <c r="C545" s="5" t="str">
        <f>IFERROR(__xludf.DUMMYFUNCTION("GOOGLETRANSLATE(B545,""en"",""de"")"),"Dann mischt er ein Ei und Milch zusammen und steckt das Sandwich in die Mischung.")</f>
        <v>Dann mischt er ein Ei und Milch zusammen und steckt das Sandwich in die Mischung.</v>
      </c>
    </row>
    <row r="546">
      <c r="A546" s="4" t="s">
        <v>692</v>
      </c>
      <c r="B546" s="4" t="s">
        <v>695</v>
      </c>
      <c r="C546" s="5" t="str">
        <f>IFERROR(__xludf.DUMMYFUNCTION("GOOGLETRANSLATE(B546,""en"",""de"")"),"Er steckt das Sandwich in eine Pfanne, die ein bisschen auf dem Herd steht, und dann legt er das Sandwich auf einen quadratischen Teller, den er vermute, den er gegessen hat.")</f>
        <v>Er steckt das Sandwich in eine Pfanne, die ein bisschen auf dem Herd steht, und dann legt er das Sandwich auf einen quadratischen Teller, den er vermute, den er gegessen hat.</v>
      </c>
    </row>
    <row r="547">
      <c r="A547" s="4" t="s">
        <v>696</v>
      </c>
      <c r="B547" s="4" t="s">
        <v>697</v>
      </c>
      <c r="C547" s="5" t="str">
        <f>IFERROR(__xludf.DUMMYFUNCTION("GOOGLETRANSLATE(B547,""en"",""de"")"),"Ein sehr großer, muskulöser Mann wird in einem Fitnessstudio mit einer Gewichtsbar gezeigt, während Klaviermusik im Hintergrund spielt.")</f>
        <v>Ein sehr großer, muskulöser Mann wird in einem Fitnessstudio mit einer Gewichtsbar gezeigt, während Klaviermusik im Hintergrund spielt.</v>
      </c>
    </row>
    <row r="548">
      <c r="A548" s="4" t="s">
        <v>696</v>
      </c>
      <c r="B548" s="4" t="s">
        <v>698</v>
      </c>
      <c r="C548" s="5" t="str">
        <f>IFERROR(__xludf.DUMMYFUNCTION("GOOGLETRANSLATE(B548,""en"",""de"")"),"Das Video beginnt mit dem Gewicht auf dem Boden und dem Mann, der sich darauf vorbereitet, es zu heben.")</f>
        <v>Das Video beginnt mit dem Gewicht auf dem Boden und dem Mann, der sich darauf vorbereitet, es zu heben.</v>
      </c>
    </row>
    <row r="549">
      <c r="A549" s="4" t="s">
        <v>696</v>
      </c>
      <c r="B549" s="4" t="s">
        <v>699</v>
      </c>
      <c r="C549" s="5" t="str">
        <f>IFERROR(__xludf.DUMMYFUNCTION("GOOGLETRANSLATE(B549,""en"",""de"")"),"Er hebt das Gewicht und bringt es zuerst parallel zu seinen Schultern.")</f>
        <v>Er hebt das Gewicht und bringt es zuerst parallel zu seinen Schultern.</v>
      </c>
    </row>
    <row r="550">
      <c r="A550" s="4" t="s">
        <v>696</v>
      </c>
      <c r="B550" s="4" t="s">
        <v>700</v>
      </c>
      <c r="C550" s="5" t="str">
        <f>IFERROR(__xludf.DUMMYFUNCTION("GOOGLETRANSLATE(B550,""en"",""de"")"),"Dann hebt er es vollständig über seinen Kopf mit verlängerter Arme.")</f>
        <v>Dann hebt er es vollständig über seinen Kopf mit verlängerter Arme.</v>
      </c>
    </row>
    <row r="551">
      <c r="A551" s="4" t="s">
        <v>696</v>
      </c>
      <c r="B551" s="4" t="s">
        <v>701</v>
      </c>
      <c r="C551" s="5" t="str">
        <f>IFERROR(__xludf.DUMMYFUNCTION("GOOGLETRANSLATE(B551,""en"",""de"")"),"Nachdem er einige Sekunden lang seine Arme aufgelassen hatte, lässt er das Gewicht auf den Boden fallen.")</f>
        <v>Nachdem er einige Sekunden lang seine Arme aufgelassen hatte, lässt er das Gewicht auf den Boden fallen.</v>
      </c>
    </row>
    <row r="552">
      <c r="A552" s="4" t="s">
        <v>702</v>
      </c>
      <c r="B552" s="4" t="s">
        <v>703</v>
      </c>
      <c r="C552" s="5" t="str">
        <f>IFERROR(__xludf.DUMMYFUNCTION("GOOGLETRANSLATE(B552,""en"",""de"")"),"Ein Intro führt zu einer Frau, die einen Eimer herauszieht und einen Mopp zusammenstellt.")</f>
        <v>Ein Intro führt zu einer Frau, die einen Eimer herauszieht und einen Mopp zusammenstellt.</v>
      </c>
    </row>
    <row r="553">
      <c r="A553" s="4" t="s">
        <v>702</v>
      </c>
      <c r="B553" s="4" t="s">
        <v>704</v>
      </c>
      <c r="C553" s="5" t="str">
        <f>IFERROR(__xludf.DUMMYFUNCTION("GOOGLETRANSLATE(B553,""en"",""de"")"),"Die Kamera schwenkt um den Eimer und die Frau nutzt den Mopp im Eimer und bewegt sich um das Objekt.")</f>
        <v>Die Kamera schwenkt um den Eimer und die Frau nutzt den Mopp im Eimer und bewegt sich um das Objekt.</v>
      </c>
    </row>
    <row r="554">
      <c r="A554" s="4" t="s">
        <v>705</v>
      </c>
      <c r="B554" s="4" t="s">
        <v>706</v>
      </c>
      <c r="C554" s="5" t="str">
        <f>IFERROR(__xludf.DUMMYFUNCTION("GOOGLETRANSLATE(B554,""en"",""de"")"),"Ein Mann in einem roten Hemd sitzt bei einem Übungsrad.")</f>
        <v>Ein Mann in einem roten Hemd sitzt bei einem Übungsrad.</v>
      </c>
    </row>
    <row r="555">
      <c r="A555" s="4" t="s">
        <v>705</v>
      </c>
      <c r="B555" s="4" t="s">
        <v>707</v>
      </c>
      <c r="C555" s="5" t="str">
        <f>IFERROR(__xludf.DUMMYFUNCTION("GOOGLETRANSLATE(B555,""en"",""de"")"),"Er bewegt seine Beine auf den Pedalen.")</f>
        <v>Er bewegt seine Beine auf den Pedalen.</v>
      </c>
    </row>
    <row r="556">
      <c r="A556" s="4" t="s">
        <v>705</v>
      </c>
      <c r="B556" s="4" t="s">
        <v>708</v>
      </c>
      <c r="C556" s="5" t="str">
        <f>IFERROR(__xludf.DUMMYFUNCTION("GOOGLETRANSLATE(B556,""en"",""de"")"),"Es gibt andere Fahrräder neben ihm.")</f>
        <v>Es gibt andere Fahrräder neben ihm.</v>
      </c>
    </row>
    <row r="557">
      <c r="A557" s="4" t="s">
        <v>709</v>
      </c>
      <c r="B557" s="4" t="s">
        <v>710</v>
      </c>
      <c r="C557" s="5" t="str">
        <f>IFERROR(__xludf.DUMMYFUNCTION("GOOGLETRANSLATE(B557,""en"",""de"")"),"Ein Mann kniet auf dem Boden und schwingt die Arme zurück und vierten.")</f>
        <v>Ein Mann kniet auf dem Boden und schwingt die Arme zurück und vierten.</v>
      </c>
    </row>
    <row r="558">
      <c r="A558" s="4" t="s">
        <v>709</v>
      </c>
      <c r="B558" s="4" t="s">
        <v>711</v>
      </c>
      <c r="C558" s="5" t="str">
        <f>IFERROR(__xludf.DUMMYFUNCTION("GOOGLETRANSLATE(B558,""en"",""de"")"),"Der Text bewegt sich über sein Gesicht, als er mit den Armen schwingt.")</f>
        <v>Der Text bewegt sich über sein Gesicht, als er mit den Armen schwingt.</v>
      </c>
    </row>
    <row r="559">
      <c r="A559" s="4" t="s">
        <v>709</v>
      </c>
      <c r="B559" s="4" t="s">
        <v>712</v>
      </c>
      <c r="C559" s="5" t="str">
        <f>IFERROR(__xludf.DUMMYFUNCTION("GOOGLETRANSLATE(B559,""en"",""de"")"),"Der Mann schwingt weiterhin seine Arme und endet mit dem Credits.")</f>
        <v>Der Mann schwingt weiterhin seine Arme und endet mit dem Credits.</v>
      </c>
    </row>
    <row r="560">
      <c r="A560" s="4" t="s">
        <v>713</v>
      </c>
      <c r="B560" s="4" t="s">
        <v>714</v>
      </c>
      <c r="C560" s="5" t="str">
        <f>IFERROR(__xludf.DUMMYFUNCTION("GOOGLETRANSLATE(B560,""en"",""de"")"),"Eine Nahaufnahme einer Holzbank ist zu sehen, gefolgt von einer Person, die Zutaten zusammen mischt.")</f>
        <v>Eine Nahaufnahme einer Holzbank ist zu sehen, gefolgt von einer Person, die Zutaten zusammen mischt.</v>
      </c>
    </row>
    <row r="561">
      <c r="A561" s="4" t="s">
        <v>713</v>
      </c>
      <c r="B561" s="4" t="s">
        <v>715</v>
      </c>
      <c r="C561" s="5" t="str">
        <f>IFERROR(__xludf.DUMMYFUNCTION("GOOGLETRANSLATE(B561,""en"",""de"")"),"Eine Person wird dann gesehen, wie er einen Lappen hält und die Bank entlang wischt.")</f>
        <v>Eine Person wird dann gesehen, wie er einen Lappen hält und die Bank entlang wischt.</v>
      </c>
    </row>
    <row r="562">
      <c r="A562" s="4" t="s">
        <v>713</v>
      </c>
      <c r="B562" s="4" t="s">
        <v>716</v>
      </c>
      <c r="C562" s="5" t="str">
        <f>IFERROR(__xludf.DUMMYFUNCTION("GOOGLETRANSLATE(B562,""en"",""de"")"),"Danach werden mehr Zutaten gemischt, was sich mit dem Lappen mehr aus Wischung führt.")</f>
        <v>Danach werden mehr Zutaten gemischt, was sich mit dem Lappen mehr aus Wischung führt.</v>
      </c>
    </row>
    <row r="563">
      <c r="A563" s="4" t="s">
        <v>717</v>
      </c>
      <c r="B563" s="4" t="s">
        <v>718</v>
      </c>
      <c r="C563" s="5" t="str">
        <f>IFERROR(__xludf.DUMMYFUNCTION("GOOGLETRANSLATE(B563,""en"",""de"")"),"Ein Mädchen schiebt zwei kleine Jungen auf einen Hinterhofschwung.")</f>
        <v>Ein Mädchen schiebt zwei kleine Jungen auf einen Hinterhofschwung.</v>
      </c>
    </row>
    <row r="564">
      <c r="A564" s="4" t="s">
        <v>717</v>
      </c>
      <c r="B564" s="4" t="s">
        <v>719</v>
      </c>
      <c r="C564" s="5" t="str">
        <f>IFERROR(__xludf.DUMMYFUNCTION("GOOGLETRANSLATE(B564,""en"",""de"")"),"Sie lächelt in die Kamera, als sie die Jungen hin und her drückt.")</f>
        <v>Sie lächelt in die Kamera, als sie die Jungen hin und her drückt.</v>
      </c>
    </row>
    <row r="565">
      <c r="A565" s="4" t="s">
        <v>720</v>
      </c>
      <c r="B565" s="4" t="s">
        <v>721</v>
      </c>
      <c r="C565" s="5" t="str">
        <f>IFERROR(__xludf.DUMMYFUNCTION("GOOGLETRANSLATE(B565,""en"",""de"")"),"Eine Band sitzt auf der Bühne mit einem Mann, der Schlagzeug spielt und eine Frau ihn interviewt.")</f>
        <v>Eine Band sitzt auf der Bühne mit einem Mann, der Schlagzeug spielt und eine Frau ihn interviewt.</v>
      </c>
    </row>
    <row r="566">
      <c r="A566" s="4" t="s">
        <v>720</v>
      </c>
      <c r="B566" s="4" t="s">
        <v>722</v>
      </c>
      <c r="C566" s="5" t="str">
        <f>IFERROR(__xludf.DUMMYFUNCTION("GOOGLETRANSLATE(B566,""en"",""de"")"),"Der Mann spielt weiter, während die Frauen mit der Menge sprechen und singen, während sie spielen.")</f>
        <v>Der Mann spielt weiter, während die Frauen mit der Menge sprechen und singen, während sie spielen.</v>
      </c>
    </row>
    <row r="567">
      <c r="A567" s="4" t="s">
        <v>723</v>
      </c>
      <c r="B567" s="4" t="s">
        <v>724</v>
      </c>
      <c r="C567" s="5" t="str">
        <f>IFERROR(__xludf.DUMMYFUNCTION("GOOGLETRANSLATE(B567,""en"",""de"")"),"Verschiedene Schüsse werden aus Pferdesätteln und verschiedenen Menschen gezeigt, die diese Sättel auf Pferden fahren.")</f>
        <v>Verschiedene Schüsse werden aus Pferdesätteln und verschiedenen Menschen gezeigt, die diese Sättel auf Pferden fahren.</v>
      </c>
    </row>
    <row r="568">
      <c r="A568" s="4" t="s">
        <v>723</v>
      </c>
      <c r="B568" s="4" t="s">
        <v>725</v>
      </c>
      <c r="C568" s="5" t="str">
        <f>IFERROR(__xludf.DUMMYFUNCTION("GOOGLETRANSLATE(B568,""en"",""de"")"),"Ein Mädchen wickelt das Seil um ihren Sattel, während andere auf platzierten Sätteln üben.")</f>
        <v>Ein Mädchen wickelt das Seil um ihren Sattel, während andere auf platzierten Sätteln üben.</v>
      </c>
    </row>
    <row r="569">
      <c r="A569" s="4" t="s">
        <v>723</v>
      </c>
      <c r="B569" s="4" t="s">
        <v>726</v>
      </c>
      <c r="C569" s="5" t="str">
        <f>IFERROR(__xludf.DUMMYFUNCTION("GOOGLETRANSLATE(B569,""en"",""de"")"),"Die Leute reiten um die Sättel und zeigen verschiedene Caddy und wie man sie reitet.")</f>
        <v>Die Leute reiten um die Sättel und zeigen verschiedene Caddy und wie man sie reitet.</v>
      </c>
    </row>
    <row r="570">
      <c r="A570" s="4" t="s">
        <v>723</v>
      </c>
      <c r="B570" s="4" t="s">
        <v>727</v>
      </c>
      <c r="C570" s="5" t="str">
        <f>IFERROR(__xludf.DUMMYFUNCTION("GOOGLETRANSLATE(B570,""en"",""de"")"),"Eine Touristin wird über Reitfahrung interviewt, sah aber andere Reiten und fühlte sich zuversichtlich.")</f>
        <v>Eine Touristin wird über Reitfahrung interviewt, sah aber andere Reiten und fühlte sich zuversichtlich.</v>
      </c>
    </row>
    <row r="571">
      <c r="A571" s="4" t="s">
        <v>723</v>
      </c>
      <c r="B571" s="4" t="s">
        <v>728</v>
      </c>
      <c r="C571" s="5" t="str">
        <f>IFERROR(__xludf.DUMMYFUNCTION("GOOGLETRANSLATE(B571,""en"",""de"")"),"Es werden ein Mann mit Sprechern seiner Erfahrung und verschiedenen Aufnahmen von Pferden und Wildtieren gezeigt.")</f>
        <v>Es werden ein Mann mit Sprechern seiner Erfahrung und verschiedenen Aufnahmen von Pferden und Wildtieren gezeigt.</v>
      </c>
    </row>
    <row r="572">
      <c r="A572" s="4" t="s">
        <v>729</v>
      </c>
      <c r="B572" s="4" t="s">
        <v>730</v>
      </c>
      <c r="C572" s="5" t="str">
        <f>IFERROR(__xludf.DUMMYFUNCTION("GOOGLETRANSLATE(B572,""en"",""de"")"),"Ein Mann schwingt sein Bein in die Luft und wir sehen Buchstaben und wir sehen einen Öffnungsbildschirm.")</f>
        <v>Ein Mann schwingt sein Bein in die Luft und wir sehen Buchstaben und wir sehen einen Öffnungsbildschirm.</v>
      </c>
    </row>
    <row r="573">
      <c r="A573" s="4" t="s">
        <v>729</v>
      </c>
      <c r="B573" s="4" t="s">
        <v>731</v>
      </c>
      <c r="C573" s="5" t="str">
        <f>IFERROR(__xludf.DUMMYFUNCTION("GOOGLETRANSLATE(B573,""en"",""de"")"),"Zwei Männer sind in zwei verschiedenen Räumen, die Capoeira -Bewegungen durchführen.")</f>
        <v>Zwei Männer sind in zwei verschiedenen Räumen, die Capoeira -Bewegungen durchführen.</v>
      </c>
    </row>
    <row r="574">
      <c r="A574" s="4" t="s">
        <v>729</v>
      </c>
      <c r="B574" s="4" t="s">
        <v>732</v>
      </c>
      <c r="C574" s="5" t="str">
        <f>IFERROR(__xludf.DUMMYFUNCTION("GOOGLETRANSLATE(B574,""en"",""de"")"),"Ein Mann macht eine Handstandbewegung.")</f>
        <v>Ein Mann macht eine Handstandbewegung.</v>
      </c>
    </row>
    <row r="575">
      <c r="A575" s="4" t="s">
        <v>729</v>
      </c>
      <c r="B575" s="4" t="s">
        <v>733</v>
      </c>
      <c r="C575" s="5" t="str">
        <f>IFERROR(__xludf.DUMMYFUNCTION("GOOGLETRANSLATE(B575,""en"",""de"")"),"Der Mann macht einen Handstand und macht eine Pause.")</f>
        <v>Der Mann macht einen Handstand und macht eine Pause.</v>
      </c>
    </row>
    <row r="576">
      <c r="A576" s="4" t="s">
        <v>729</v>
      </c>
      <c r="B576" s="4" t="s">
        <v>734</v>
      </c>
      <c r="C576" s="5" t="str">
        <f>IFERROR(__xludf.DUMMYFUNCTION("GOOGLETRANSLATE(B576,""en"",""de"")"),"Wir sehen die Website auf einem schwarzen Bildschirm.")</f>
        <v>Wir sehen die Website auf einem schwarzen Bildschirm.</v>
      </c>
    </row>
    <row r="577">
      <c r="A577" s="4" t="s">
        <v>729</v>
      </c>
      <c r="B577" s="4" t="s">
        <v>735</v>
      </c>
      <c r="C577" s="5" t="str">
        <f>IFERROR(__xludf.DUMMYFUNCTION("GOOGLETRANSLATE(B577,""en"",""de"")"),"Wir sehen vier Bildschirme mit Bildern von Männern, die Capoeira machen.")</f>
        <v>Wir sehen vier Bildschirme mit Bildern von Männern, die Capoeira machen.</v>
      </c>
    </row>
    <row r="578">
      <c r="A578" s="4" t="s">
        <v>736</v>
      </c>
      <c r="B578" s="4" t="s">
        <v>737</v>
      </c>
      <c r="C578" s="5" t="str">
        <f>IFERROR(__xludf.DUMMYFUNCTION("GOOGLETRANSLATE(B578,""en"",""de"")"),"Jemand putzt die Zähne mit einer elektrischen Zahnbürste.")</f>
        <v>Jemand putzt die Zähne mit einer elektrischen Zahnbürste.</v>
      </c>
    </row>
    <row r="579">
      <c r="A579" s="4" t="s">
        <v>736</v>
      </c>
      <c r="B579" s="4" t="s">
        <v>738</v>
      </c>
      <c r="C579" s="5" t="str">
        <f>IFERROR(__xludf.DUMMYFUNCTION("GOOGLETRANSLATE(B579,""en"",""de"")"),"Sie tragen Zahnspangen, sodass sie sehr gut rund um die Rundum schrubben.")</f>
        <v>Sie tragen Zahnspangen, sodass sie sehr gut rund um die Rundum schrubben.</v>
      </c>
    </row>
    <row r="580">
      <c r="A580" s="4" t="s">
        <v>736</v>
      </c>
      <c r="B580" s="4" t="s">
        <v>739</v>
      </c>
      <c r="C580" s="5" t="str">
        <f>IFERROR(__xludf.DUMMYFUNCTION("GOOGLETRANSLATE(B580,""en"",""de"")"),"Sie können sehen, wie sich die Zunge herum bewegt, wenn man sich im Mund nie wirklich wohl fühlt.")</f>
        <v>Sie können sehen, wie sich die Zunge herum bewegt, wenn man sich im Mund nie wirklich wohl fühlt.</v>
      </c>
    </row>
    <row r="581">
      <c r="A581" s="4" t="s">
        <v>736</v>
      </c>
      <c r="B581" s="4" t="s">
        <v>740</v>
      </c>
      <c r="C581" s="5" t="str">
        <f>IFERROR(__xludf.DUMMYFUNCTION("GOOGLETRANSLATE(B581,""en"",""de"")"),"Der Mann putzt weiter, Zahnpasta spuckt ein wenig über die Lippen.")</f>
        <v>Der Mann putzt weiter, Zahnpasta spuckt ein wenig über die Lippen.</v>
      </c>
    </row>
    <row r="582">
      <c r="A582" s="4" t="s">
        <v>741</v>
      </c>
      <c r="B582" s="4" t="s">
        <v>742</v>
      </c>
      <c r="C582" s="5" t="str">
        <f>IFERROR(__xludf.DUMMYFUNCTION("GOOGLETRANSLATE(B582,""en"",""de"")"),"Eine Person spricht ein Waschbecken und wischt sie mit einem Handtuch ab.")</f>
        <v>Eine Person spricht ein Waschbecken und wischt sie mit einem Handtuch ab.</v>
      </c>
    </row>
    <row r="583">
      <c r="A583" s="4" t="s">
        <v>741</v>
      </c>
      <c r="B583" s="4" t="s">
        <v>743</v>
      </c>
      <c r="C583" s="5" t="str">
        <f>IFERROR(__xludf.DUMMYFUNCTION("GOOGLETRANSLATE(B583,""en"",""de"")"),"Sie sprühen eine Badewanne und wischen sie mit einem Handtuch ab.")</f>
        <v>Sie sprühen eine Badewanne und wischen sie mit einem Handtuch ab.</v>
      </c>
    </row>
    <row r="584">
      <c r="A584" s="4" t="s">
        <v>741</v>
      </c>
      <c r="B584" s="4" t="s">
        <v>744</v>
      </c>
      <c r="C584" s="5" t="str">
        <f>IFERROR(__xludf.DUMMYFUNCTION("GOOGLETRANSLATE(B584,""en"",""de"")"),"Sie sprühen eine Toilette und wischen sie mit einer Toilette ab.")</f>
        <v>Sie sprühen eine Toilette und wischen sie mit einer Toilette ab.</v>
      </c>
    </row>
    <row r="585">
      <c r="A585" s="4" t="s">
        <v>745</v>
      </c>
      <c r="B585" s="4" t="s">
        <v>746</v>
      </c>
      <c r="C585" s="5" t="str">
        <f>IFERROR(__xludf.DUMMYFUNCTION("GOOGLETRANSLATE(B585,""en"",""de"")"),"In einem Skating -Park mit Skateboards sind mehrere Personen versammelt.")</f>
        <v>In einem Skating -Park mit Skateboards sind mehrere Personen versammelt.</v>
      </c>
    </row>
    <row r="586">
      <c r="A586" s="4" t="s">
        <v>745</v>
      </c>
      <c r="B586" s="4" t="s">
        <v>747</v>
      </c>
      <c r="C586" s="5" t="str">
        <f>IFERROR(__xludf.DUMMYFUNCTION("GOOGLETRANSLATE(B586,""en"",""de"")"),"Dort spricht ein junger Mann, der einen roten Hut trägt, über ein Skateboard -Event bei Red Bull Skate Arcade.")</f>
        <v>Dort spricht ein junger Mann, der einen roten Hut trägt, über ein Skateboard -Event bei Red Bull Skate Arcade.</v>
      </c>
    </row>
    <row r="587">
      <c r="A587" s="4" t="s">
        <v>745</v>
      </c>
      <c r="B587" s="4" t="s">
        <v>748</v>
      </c>
      <c r="C587" s="5" t="str">
        <f>IFERROR(__xludf.DUMMYFUNCTION("GOOGLETRANSLATE(B587,""en"",""de"")"),"Mehrere Zuschauer werden zusammen mit einer Jury in der Arkade gesammelt.")</f>
        <v>Mehrere Zuschauer werden zusammen mit einer Jury in der Arkade gesammelt.</v>
      </c>
    </row>
    <row r="588">
      <c r="A588" s="4" t="s">
        <v>745</v>
      </c>
      <c r="B588" s="4" t="s">
        <v>749</v>
      </c>
      <c r="C588" s="5" t="str">
        <f>IFERROR(__xludf.DUMMYFUNCTION("GOOGLETRANSLATE(B588,""en"",""de"")"),"Einige der Teilnehmer schlagen die Hitze, indem sie Wasser auf sich selbst spritzen.")</f>
        <v>Einige der Teilnehmer schlagen die Hitze, indem sie Wasser auf sich selbst spritzen.</v>
      </c>
    </row>
    <row r="589">
      <c r="A589" s="4" t="s">
        <v>745</v>
      </c>
      <c r="B589" s="4" t="s">
        <v>750</v>
      </c>
      <c r="C589" s="5" t="str">
        <f>IFERROR(__xludf.DUMMYFUNCTION("GOOGLETRANSLATE(B589,""en"",""de"")"),"Die Teilnehmer beginnen ihre Stunts auf den Skateboards, wenn sie Rampen und steile Hänge durchgehen.")</f>
        <v>Die Teilnehmer beginnen ihre Stunts auf den Skateboards, wenn sie Rampen und steile Hänge durchgehen.</v>
      </c>
    </row>
    <row r="590">
      <c r="A590" s="4" t="s">
        <v>745</v>
      </c>
      <c r="B590" s="4" t="s">
        <v>751</v>
      </c>
      <c r="C590" s="5" t="str">
        <f>IFERROR(__xludf.DUMMYFUNCTION("GOOGLETRANSLATE(B590,""en"",""de"")"),"Mehrere Teilnehmer zeigen ihre Stunts, während die Zuschauer für sie jubeln und klatschen.")</f>
        <v>Mehrere Teilnehmer zeigen ihre Stunts, während die Zuschauer für sie jubeln und klatschen.</v>
      </c>
    </row>
    <row r="591">
      <c r="A591" s="4" t="s">
        <v>745</v>
      </c>
      <c r="B591" s="4" t="s">
        <v>752</v>
      </c>
      <c r="C591" s="5" t="str">
        <f>IFERROR(__xludf.DUMMYFUNCTION("GOOGLETRANSLATE(B591,""en"",""de"")"),"Sie zeigen ihre gruseligen, aber beeindruckenden Stunts, während die Aufstiegsmauern und steile Rampen ohne fallen.")</f>
        <v>Sie zeigen ihre gruseligen, aber beeindruckenden Stunts, während die Aufstiegsmauern und steile Rampen ohne fallen.</v>
      </c>
    </row>
    <row r="592">
      <c r="A592" s="4" t="s">
        <v>745</v>
      </c>
      <c r="B592" s="4" t="s">
        <v>753</v>
      </c>
      <c r="C592" s="5" t="str">
        <f>IFERROR(__xludf.DUMMYFUNCTION("GOOGLETRANSLATE(B592,""en"",""de"")"),"Die Menge jubelt sie an und applaudiert sie.")</f>
        <v>Die Menge jubelt sie an und applaudiert sie.</v>
      </c>
    </row>
    <row r="593">
      <c r="A593" s="4" t="s">
        <v>745</v>
      </c>
      <c r="B593" s="4" t="s">
        <v>754</v>
      </c>
      <c r="C593" s="5" t="str">
        <f>IFERROR(__xludf.DUMMYFUNCTION("GOOGLETRANSLATE(B593,""en"",""de"")"),"Die Gewinner erhalten Zertifikate und Preise für den Gewinn.")</f>
        <v>Die Gewinner erhalten Zertifikate und Preise für den Gewinn.</v>
      </c>
    </row>
    <row r="594">
      <c r="A594" s="4" t="s">
        <v>755</v>
      </c>
      <c r="B594" s="4" t="s">
        <v>756</v>
      </c>
      <c r="C594" s="5" t="str">
        <f>IFERROR(__xludf.DUMMYFUNCTION("GOOGLETRANSLATE(B594,""en"",""de"")"),"Eine Person wirft einen Frisbee für ihren Hund, damit ein Hund während einer Veranstaltung auf einem Sportfeld zurückholt.")</f>
        <v>Eine Person wirft einen Frisbee für ihren Hund, damit ein Hund während einer Veranstaltung auf einem Sportfeld zurückholt.</v>
      </c>
    </row>
    <row r="595">
      <c r="A595" s="4" t="s">
        <v>755</v>
      </c>
      <c r="B595" s="4" t="s">
        <v>757</v>
      </c>
      <c r="C595" s="5" t="str">
        <f>IFERROR(__xludf.DUMMYFUNCTION("GOOGLETRANSLATE(B595,""en"",""de"")"),"Der Hund fängt die Frisbee und bringt ihn zurück zum Trainer.")</f>
        <v>Der Hund fängt die Frisbee und bringt ihn zurück zum Trainer.</v>
      </c>
    </row>
    <row r="596">
      <c r="A596" s="4" t="s">
        <v>758</v>
      </c>
      <c r="B596" s="4" t="s">
        <v>759</v>
      </c>
      <c r="C596" s="5" t="str">
        <f>IFERROR(__xludf.DUMMYFUNCTION("GOOGLETRANSLATE(B596,""en"",""de"")"),"Es gibt eine Frau, die Jamaika vertritt, die an einem Weitsprungereignis teilnimmt.")</f>
        <v>Es gibt eine Frau, die Jamaika vertritt, die an einem Weitsprungereignis teilnimmt.</v>
      </c>
    </row>
    <row r="597">
      <c r="A597" s="4" t="s">
        <v>758</v>
      </c>
      <c r="B597" s="4" t="s">
        <v>760</v>
      </c>
      <c r="C597" s="5" t="str">
        <f>IFERROR(__xludf.DUMMYFUNCTION("GOOGLETRANSLATE(B597,""en"",""de"")"),"Es gibt eine andere Frau, die Weitsprung aus einem anderen Land macht.")</f>
        <v>Es gibt eine andere Frau, die Weitsprung aus einem anderen Land macht.</v>
      </c>
    </row>
    <row r="598">
      <c r="A598" s="4" t="s">
        <v>758</v>
      </c>
      <c r="B598" s="4" t="s">
        <v>761</v>
      </c>
      <c r="C598" s="5" t="str">
        <f>IFERROR(__xludf.DUMMYFUNCTION("GOOGLETRANSLATE(B598,""en"",""de"")"),"Mehrere andere Kandidaten nehmen am gleichen Weitsprungwettbewerb teil.")</f>
        <v>Mehrere andere Kandidaten nehmen am gleichen Weitsprungwettbewerb teil.</v>
      </c>
    </row>
    <row r="599">
      <c r="A599" s="4" t="s">
        <v>758</v>
      </c>
      <c r="B599" s="4" t="s">
        <v>762</v>
      </c>
      <c r="C599" s="5" t="str">
        <f>IFERROR(__xludf.DUMMYFUNCTION("GOOGLETRANSLATE(B599,""en"",""de"")"),"Es gibt Zuschauer, die sie beobachten, wenn sie gegeneinander antreten.")</f>
        <v>Es gibt Zuschauer, die sie beobachten, wenn sie gegeneinander antreten.</v>
      </c>
    </row>
    <row r="600">
      <c r="A600" s="4" t="s">
        <v>758</v>
      </c>
      <c r="B600" s="4" t="s">
        <v>763</v>
      </c>
      <c r="C600" s="5" t="str">
        <f>IFERROR(__xludf.DUMMYFUNCTION("GOOGLETRANSLATE(B600,""en"",""de"")"),"Der Kandidat aus Istanbul macht in der Sandgrube einen sehr Weitsprung.")</f>
        <v>Der Kandidat aus Istanbul macht in der Sandgrube einen sehr Weitsprung.</v>
      </c>
    </row>
    <row r="601">
      <c r="A601" s="4" t="s">
        <v>758</v>
      </c>
      <c r="B601" s="4" t="s">
        <v>764</v>
      </c>
      <c r="C601" s="5" t="str">
        <f>IFERROR(__xludf.DUMMYFUNCTION("GOOGLETRANSLATE(B601,""en"",""de"")"),"Die Teilnehmer treten weiter an der Sportereignis an.")</f>
        <v>Die Teilnehmer treten weiter an der Sportereignis an.</v>
      </c>
    </row>
    <row r="602">
      <c r="A602" s="4" t="s">
        <v>765</v>
      </c>
      <c r="B602" s="4" t="s">
        <v>766</v>
      </c>
      <c r="C602" s="5" t="str">
        <f>IFERROR(__xludf.DUMMYFUNCTION("GOOGLETRANSLATE(B602,""en"",""de"")"),"Ein Mann sitzt auf einem Übungsgerät mit einem Trainer vor ihm.")</f>
        <v>Ein Mann sitzt auf einem Übungsgerät mit einem Trainer vor ihm.</v>
      </c>
    </row>
    <row r="603">
      <c r="A603" s="4" t="s">
        <v>765</v>
      </c>
      <c r="B603" s="4" t="s">
        <v>767</v>
      </c>
      <c r="C603" s="5" t="str">
        <f>IFERROR(__xludf.DUMMYFUNCTION("GOOGLETRANSLATE(B603,""en"",""de"")"),"Der Mann bewegt sich dann zurück und vierte auf der Maschine, während der andere Mann hilft.")</f>
        <v>Der Mann bewegt sich dann zurück und vierte auf der Maschine, während der andere Mann hilft.</v>
      </c>
    </row>
    <row r="604">
      <c r="A604" s="4" t="s">
        <v>765</v>
      </c>
      <c r="B604" s="4" t="s">
        <v>768</v>
      </c>
      <c r="C604" s="5" t="str">
        <f>IFERROR(__xludf.DUMMYFUNCTION("GOOGLETRANSLATE(B604,""en"",""de"")"),"Er wird erneut in anderen Clips gezeigt, die sich bewegt und der Trainer hilft.")</f>
        <v>Er wird erneut in anderen Clips gezeigt, die sich bewegt und der Trainer hilft.</v>
      </c>
    </row>
    <row r="605">
      <c r="A605" s="4" t="s">
        <v>769</v>
      </c>
      <c r="B605" s="4" t="s">
        <v>770</v>
      </c>
      <c r="C605" s="5" t="str">
        <f>IFERROR(__xludf.DUMMYFUNCTION("GOOGLETRANSLATE(B605,""en"",""de"")"),"Wir sehen den Titel und die Einführungsbildschirme.")</f>
        <v>Wir sehen den Titel und die Einführungsbildschirme.</v>
      </c>
    </row>
    <row r="606">
      <c r="A606" s="4" t="s">
        <v>769</v>
      </c>
      <c r="B606" s="4" t="s">
        <v>771</v>
      </c>
      <c r="C606" s="5" t="str">
        <f>IFERROR(__xludf.DUMMYFUNCTION("GOOGLETRANSLATE(B606,""en"",""de"")"),"Wir sehen ein Boot mit einem Mann darauf.")</f>
        <v>Wir sehen ein Boot mit einem Mann darauf.</v>
      </c>
    </row>
    <row r="607">
      <c r="A607" s="4" t="s">
        <v>769</v>
      </c>
      <c r="B607" s="4" t="s">
        <v>772</v>
      </c>
      <c r="C607" s="5" t="str">
        <f>IFERROR(__xludf.DUMMYFUNCTION("GOOGLETRANSLATE(B607,""en"",""de"")"),"Wir sehen Menschen und das Innere des Bootes.")</f>
        <v>Wir sehen Menschen und das Innere des Bootes.</v>
      </c>
    </row>
    <row r="608">
      <c r="A608" s="4" t="s">
        <v>769</v>
      </c>
      <c r="B608" s="4" t="s">
        <v>773</v>
      </c>
      <c r="C608" s="5" t="str">
        <f>IFERROR(__xludf.DUMMYFUNCTION("GOOGLETRANSLATE(B608,""en"",""de"")"),"Der Mann Wakeboards um einen See.")</f>
        <v>Der Mann Wakeboards um einen See.</v>
      </c>
    </row>
    <row r="609">
      <c r="A609" s="4" t="s">
        <v>769</v>
      </c>
      <c r="B609" s="4" t="s">
        <v>774</v>
      </c>
      <c r="C609" s="5" t="str">
        <f>IFERROR(__xludf.DUMMYFUNCTION("GOOGLETRANSLATE(B609,""en"",""de"")"),"Wir sehen das Boot mit Menschen darin.")</f>
        <v>Wir sehen das Boot mit Menschen darin.</v>
      </c>
    </row>
    <row r="610">
      <c r="A610" s="4" t="s">
        <v>769</v>
      </c>
      <c r="B610" s="4" t="s">
        <v>775</v>
      </c>
      <c r="C610" s="5" t="str">
        <f>IFERROR(__xludf.DUMMYFUNCTION("GOOGLETRANSLATE(B610,""en"",""de"")"),"Der Mann zieht die Leiter heraus und steigt auf das Boot, dann sehen wir ein Boot ab und in einem Ausstellungsraum.")</f>
        <v>Der Mann zieht die Leiter heraus und steigt auf das Boot, dann sehen wir ein Boot ab und in einem Ausstellungsraum.</v>
      </c>
    </row>
    <row r="611">
      <c r="A611" s="4" t="s">
        <v>769</v>
      </c>
      <c r="B611" s="4" t="s">
        <v>776</v>
      </c>
      <c r="C611" s="5" t="str">
        <f>IFERROR(__xludf.DUMMYFUNCTION("GOOGLETRANSLATE(B611,""en"",""de"")"),"Der Mann fällt 2 Mal vom Wakeboard.")</f>
        <v>Der Mann fällt 2 Mal vom Wakeboard.</v>
      </c>
    </row>
    <row r="612">
      <c r="A612" s="4" t="s">
        <v>769</v>
      </c>
      <c r="B612" s="4" t="s">
        <v>777</v>
      </c>
      <c r="C612" s="5" t="str">
        <f>IFERROR(__xludf.DUMMYFUNCTION("GOOGLETRANSLATE(B612,""en"",""de"")"),"Wir sehen den End -Titelbildschirm.")</f>
        <v>Wir sehen den End -Titelbildschirm.</v>
      </c>
    </row>
    <row r="613">
      <c r="A613" s="4" t="s">
        <v>778</v>
      </c>
      <c r="B613" s="4" t="s">
        <v>779</v>
      </c>
      <c r="C613" s="5" t="str">
        <f>IFERROR(__xludf.DUMMYFUNCTION("GOOGLETRANSLATE(B613,""en"",""de"")"),"Am Anfang wird der Mann gezeigt, der den Stier aussieht.")</f>
        <v>Am Anfang wird der Mann gezeigt, der den Stier aussieht.</v>
      </c>
    </row>
    <row r="614">
      <c r="A614" s="4" t="s">
        <v>778</v>
      </c>
      <c r="B614" s="4" t="s">
        <v>780</v>
      </c>
      <c r="C614" s="5" t="str">
        <f>IFERROR(__xludf.DUMMYFUNCTION("GOOGLETRANSLATE(B614,""en"",""de"")"),"Viele andere Männer haben gezeigt, dass sie Bullen vor großen Menschenmengen betrogen haben.")</f>
        <v>Viele andere Männer haben gezeigt, dass sie Bullen vor großen Menschenmengen betrogen haben.</v>
      </c>
    </row>
    <row r="615">
      <c r="A615" s="4" t="s">
        <v>781</v>
      </c>
      <c r="B615" s="4" t="s">
        <v>782</v>
      </c>
      <c r="C615" s="5" t="str">
        <f>IFERROR(__xludf.DUMMYFUNCTION("GOOGLETRANSLATE(B615,""en"",""de"")"),"Ein junger männlicher Turner ist eine Arena, die auf einer Matte steht, die sich auf seine Routine vorbereitet.")</f>
        <v>Ein junger männlicher Turner ist eine Arena, die auf einer Matte steht, die sich auf seine Routine vorbereitet.</v>
      </c>
    </row>
    <row r="616">
      <c r="A616" s="4" t="s">
        <v>781</v>
      </c>
      <c r="B616" s="4" t="s">
        <v>783</v>
      </c>
      <c r="C616" s="5" t="str">
        <f>IFERROR(__xludf.DUMMYFUNCTION("GOOGLETRANSLATE(B616,""en"",""de"")"),"Der Junge näherte sich dann an die Bars und macht eine Reihe von Schaukeln und Hand stehen in der Luft.")</f>
        <v>Der Junge näherte sich dann an die Bars und macht eine Reihe von Schaukeln und Hand stehen in der Luft.</v>
      </c>
    </row>
    <row r="617">
      <c r="A617" s="4" t="s">
        <v>781</v>
      </c>
      <c r="B617" s="4" t="s">
        <v>784</v>
      </c>
      <c r="C617" s="5" t="str">
        <f>IFERROR(__xludf.DUMMYFUNCTION("GOOGLETRANSLATE(B617,""en"",""de"")"),"Während er auftritt, fügt er mehrere Flips und Rolls in seine Leistung hinzu, bevor er schließlich von den Bars springt.")</f>
        <v>Während er auftritt, fügt er mehrere Flips und Rolls in seine Leistung hinzu, bevor er schließlich von den Bars springt.</v>
      </c>
    </row>
    <row r="618">
      <c r="A618" s="4" t="s">
        <v>785</v>
      </c>
      <c r="B618" s="4" t="s">
        <v>786</v>
      </c>
      <c r="C618" s="5" t="str">
        <f>IFERROR(__xludf.DUMMYFUNCTION("GOOGLETRANSLATE(B618,""en"",""de"")"),"Männer spielen Badminton im Sand.")</f>
        <v>Männer spielen Badminton im Sand.</v>
      </c>
    </row>
    <row r="619">
      <c r="A619" s="4" t="s">
        <v>785</v>
      </c>
      <c r="B619" s="4" t="s">
        <v>787</v>
      </c>
      <c r="C619" s="5" t="str">
        <f>IFERROR(__xludf.DUMMYFUNCTION("GOOGLETRANSLATE(B619,""en"",""de"")"),"Ein Mann links dient dem Birdie beide Männer auf der rechten Seite vermissen es.")</f>
        <v>Ein Mann links dient dem Birdie beide Männer auf der rechten Seite vermissen es.</v>
      </c>
    </row>
    <row r="620">
      <c r="A620" s="4" t="s">
        <v>785</v>
      </c>
      <c r="B620" s="4" t="s">
        <v>788</v>
      </c>
      <c r="C620" s="5" t="str">
        <f>IFERROR(__xludf.DUMMYFUNCTION("GOOGLETRANSLATE(B620,""en"",""de"")"),"Der Mann rechts dient und der Mann auf der linken Seite trifft es zurück, aber er trifft das Netz.")</f>
        <v>Der Mann rechts dient und der Mann auf der linken Seite trifft es zurück, aber er trifft das Netz.</v>
      </c>
    </row>
    <row r="621">
      <c r="A621" s="4" t="s">
        <v>785</v>
      </c>
      <c r="B621" s="4" t="s">
        <v>789</v>
      </c>
      <c r="C621" s="5" t="str">
        <f>IFERROR(__xludf.DUMMYFUNCTION("GOOGLETRANSLATE(B621,""en"",""de"")"),"Ein Mann steht auf der linken Seite und Beobachtung.")</f>
        <v>Ein Mann steht auf der linken Seite und Beobachtung.</v>
      </c>
    </row>
    <row r="622">
      <c r="A622" s="4" t="s">
        <v>790</v>
      </c>
      <c r="B622" s="4" t="s">
        <v>791</v>
      </c>
      <c r="C622" s="5" t="str">
        <f>IFERROR(__xludf.DUMMYFUNCTION("GOOGLETRANSLATE(B622,""en"",""de"")"),"Ein Mann legt Gips auf eine Basis.")</f>
        <v>Ein Mann legt Gips auf eine Basis.</v>
      </c>
    </row>
    <row r="623">
      <c r="A623" s="4" t="s">
        <v>790</v>
      </c>
      <c r="B623" s="4" t="s">
        <v>792</v>
      </c>
      <c r="C623" s="5" t="str">
        <f>IFERROR(__xludf.DUMMYFUNCTION("GOOGLETRANSLATE(B623,""en"",""de"")"),"Der Mann geht hinüber und reibt es an der Decke.")</f>
        <v>Der Mann geht hinüber und reibt es an der Decke.</v>
      </c>
    </row>
    <row r="624">
      <c r="A624" s="4" t="s">
        <v>790</v>
      </c>
      <c r="B624" s="4" t="s">
        <v>793</v>
      </c>
      <c r="C624" s="5" t="str">
        <f>IFERROR(__xludf.DUMMYFUNCTION("GOOGLETRANSLATE(B624,""en"",""de"")"),"Wir sehen die Stelzen, auf der der Mann geht.")</f>
        <v>Wir sehen die Stelzen, auf der der Mann geht.</v>
      </c>
    </row>
    <row r="625">
      <c r="A625" s="4" t="s">
        <v>790</v>
      </c>
      <c r="B625" s="4" t="s">
        <v>794</v>
      </c>
      <c r="C625" s="5" t="str">
        <f>IFERROR(__xludf.DUMMYFUNCTION("GOOGLETRANSLATE(B625,""en"",""de"")"),"Die Kamera wird wackelig und verschwommen.")</f>
        <v>Die Kamera wird wackelig und verschwommen.</v>
      </c>
    </row>
    <row r="626">
      <c r="A626" s="4" t="s">
        <v>790</v>
      </c>
      <c r="B626" s="4" t="s">
        <v>795</v>
      </c>
      <c r="C626" s="5" t="str">
        <f>IFERROR(__xludf.DUMMYFUNCTION("GOOGLETRANSLATE(B626,""en"",""de"")"),"Der Mann biegt sich zusammen, um mehr Gips zu holen.")</f>
        <v>Der Mann biegt sich zusammen, um mehr Gips zu holen.</v>
      </c>
    </row>
    <row r="627">
      <c r="A627" s="4" t="s">
        <v>790</v>
      </c>
      <c r="B627" s="4" t="s">
        <v>796</v>
      </c>
      <c r="C627" s="5" t="str">
        <f>IFERROR(__xludf.DUMMYFUNCTION("GOOGLETRANSLATE(B627,""en"",""de"")"),"Der Mann lächelt und das Video endet.")</f>
        <v>Der Mann lächelt und das Video endet.</v>
      </c>
    </row>
    <row r="628">
      <c r="A628" s="4" t="s">
        <v>797</v>
      </c>
      <c r="B628" s="4" t="s">
        <v>798</v>
      </c>
      <c r="C628" s="5" t="str">
        <f>IFERROR(__xludf.DUMMYFUNCTION("GOOGLETRANSLATE(B628,""en"",""de"")"),"Im ersten Rahmen nickt ein Mann.")</f>
        <v>Im ersten Rahmen nickt ein Mann.</v>
      </c>
    </row>
    <row r="629">
      <c r="A629" s="4" t="s">
        <v>797</v>
      </c>
      <c r="B629" s="4" t="s">
        <v>799</v>
      </c>
      <c r="C629" s="5" t="str">
        <f>IFERROR(__xludf.DUMMYFUNCTION("GOOGLETRANSLATE(B629,""en"",""de"")"),"Die Videofilme des Mannes, das das Handlungspapier aufstellt, indem sie es zuerst gemessen, das Muster aufstellen und an die Wand aufstellen.")</f>
        <v>Die Videofilme des Mannes, das das Handlungspapier aufstellt, indem sie es zuerst gemessen, das Muster aufstellen und an die Wand aufstellen.</v>
      </c>
    </row>
    <row r="630">
      <c r="A630" s="4" t="s">
        <v>797</v>
      </c>
      <c r="B630" s="4" t="s">
        <v>800</v>
      </c>
      <c r="C630" s="5" t="str">
        <f>IFERROR(__xludf.DUMMYFUNCTION("GOOGLETRANSLATE(B630,""en"",""de"")"),"Er schraubt dann einen Lichtschalter und zieht ihn nur ein wenig heraus, macht einige Schlitze in den Stoff oder Papier und legt dann den Lichtschalter über das neue Handlittpapier zurück.")</f>
        <v>Er schraubt dann einen Lichtschalter und zieht ihn nur ein wenig heraus, macht einige Schlitze in den Stoff oder Papier und legt dann den Lichtschalter über das neue Handlittpapier zurück.</v>
      </c>
    </row>
    <row r="631">
      <c r="A631" s="4" t="s">
        <v>797</v>
      </c>
      <c r="B631" s="4" t="s">
        <v>801</v>
      </c>
      <c r="C631" s="5" t="str">
        <f>IFERROR(__xludf.DUMMYFUNCTION("GOOGLETRANSLATE(B631,""en"",""de"")"),"Die Kamera zeigt nebenbei in einem fertigen Raum und geht über verschiedene Räume mit verschiedenen Wandpapieren.")</f>
        <v>Die Kamera zeigt nebenbei in einem fertigen Raum und geht über verschiedene Räume mit verschiedenen Wandpapieren.</v>
      </c>
    </row>
    <row r="632">
      <c r="A632" s="4" t="s">
        <v>797</v>
      </c>
      <c r="B632" s="4" t="s">
        <v>802</v>
      </c>
      <c r="C632" s="5" t="str">
        <f>IFERROR(__xludf.DUMMYFUNCTION("GOOGLETRANSLATE(B632,""en"",""de"")"),"Der Mann wird später gesehen, wie er die Wand misst und markiert, mehr Handpapier ausrollt und es an die Wand legt.")</f>
        <v>Der Mann wird später gesehen, wie er die Wand misst und markiert, mehr Handpapier ausrollt und es an die Wand legt.</v>
      </c>
    </row>
    <row r="633">
      <c r="A633" s="4" t="s">
        <v>797</v>
      </c>
      <c r="B633" s="4" t="s">
        <v>803</v>
      </c>
      <c r="C633" s="5" t="str">
        <f>IFERROR(__xludf.DUMMYFUNCTION("GOOGLETRANSLATE(B633,""en"",""de"")"),"Dann zeigt es zwei Tische, die so aussehen, als wären sie auch mit einem Papierpapier.")</f>
        <v>Dann zeigt es zwei Tische, die so aussehen, als wären sie auch mit einem Papierpapier.</v>
      </c>
    </row>
    <row r="634">
      <c r="A634" s="4" t="s">
        <v>804</v>
      </c>
      <c r="B634" s="4" t="s">
        <v>805</v>
      </c>
      <c r="C634" s="5" t="str">
        <f>IFERROR(__xludf.DUMMYFUNCTION("GOOGLETRANSLATE(B634,""en"",""de"")"),"Ein Text -Intro führt zu einem Bild eines Hundes und demselben Hund, der entlang des Hofes läuft.")</f>
        <v>Ein Text -Intro führt zu einem Bild eines Hundes und demselben Hund, der entlang des Hofes läuft.</v>
      </c>
    </row>
    <row r="635">
      <c r="A635" s="4" t="s">
        <v>804</v>
      </c>
      <c r="B635" s="4" t="s">
        <v>806</v>
      </c>
      <c r="C635" s="5" t="str">
        <f>IFERROR(__xludf.DUMMYFUNCTION("GOOGLETRANSLATE(B635,""en"",""de"")"),"Der Hund ist in mehreren Clips zu sehen, die nach einer Frisbee nachjagen.")</f>
        <v>Der Hund ist in mehreren Clips zu sehen, die nach einer Frisbee nachjagen.</v>
      </c>
    </row>
    <row r="636">
      <c r="A636" s="4" t="s">
        <v>804</v>
      </c>
      <c r="B636" s="4" t="s">
        <v>807</v>
      </c>
      <c r="C636" s="5" t="str">
        <f>IFERROR(__xludf.DUMMYFUNCTION("GOOGLETRANSLATE(B636,""en"",""de"")"),"Ein Mann wirft den Frisbee dem Hund in den Hof, der ihm weiter nachjagt.")</f>
        <v>Ein Mann wirft den Frisbee dem Hund in den Hof, der ihm weiter nachjagt.</v>
      </c>
    </row>
    <row r="637">
      <c r="A637" s="4" t="s">
        <v>808</v>
      </c>
      <c r="B637" s="4" t="s">
        <v>809</v>
      </c>
      <c r="C637" s="5" t="str">
        <f>IFERROR(__xludf.DUMMYFUNCTION("GOOGLETRANSLATE(B637,""en"",""de"")"),"Individuen laufen mit einem länglichen Stock und nutzen ihn, um ihren Körper über eine erhöhte Hürde zu erhöhen.")</f>
        <v>Individuen laufen mit einem länglichen Stock und nutzen ihn, um ihren Körper über eine erhöhte Hürde zu erhöhen.</v>
      </c>
    </row>
    <row r="638">
      <c r="A638" s="4" t="s">
        <v>808</v>
      </c>
      <c r="B638" s="4" t="s">
        <v>810</v>
      </c>
      <c r="C638" s="5" t="str">
        <f>IFERROR(__xludf.DUMMYFUNCTION("GOOGLETRANSLATE(B638,""en"",""de"")"),"Ein Mann berührt den Rücken des Einzelnen, während er seinen Körper hebt.")</f>
        <v>Ein Mann berührt den Rücken des Einzelnen, während er seinen Körper hebt.</v>
      </c>
    </row>
    <row r="639">
      <c r="A639" s="4" t="s">
        <v>808</v>
      </c>
      <c r="B639" s="4" t="s">
        <v>811</v>
      </c>
      <c r="C639" s="5" t="str">
        <f>IFERROR(__xludf.DUMMYFUNCTION("GOOGLETRANSLATE(B639,""en"",""de"")"),"Der Typ scheint, als würde er zurückfallen, während er versucht, seinen Körper zu heben, weil der Clip umgekehrt ist.")</f>
        <v>Der Typ scheint, als würde er zurückfallen, während er versucht, seinen Körper zu heben, weil der Clip umgekehrt ist.</v>
      </c>
    </row>
    <row r="640">
      <c r="A640" s="4" t="s">
        <v>808</v>
      </c>
      <c r="B640" s="4" t="s">
        <v>573</v>
      </c>
      <c r="C640" s="5" t="str">
        <f>IFERROR(__xludf.DUMMYFUNCTION("GOOGLETRANSLATE(B640,""en"",""de"")"),"Die Credits des Videos werden angezeigt.")</f>
        <v>Die Credits des Videos werden angezeigt.</v>
      </c>
    </row>
    <row r="641">
      <c r="A641" s="4" t="s">
        <v>812</v>
      </c>
      <c r="B641" s="4" t="s">
        <v>813</v>
      </c>
      <c r="C641" s="5" t="str">
        <f>IFERROR(__xludf.DUMMYFUNCTION("GOOGLETRANSLATE(B641,""en"",""de"")"),"Eine Kamera schwenkt zu einer Person in einer Küche und tanzt dann auf dem Boden.")</f>
        <v>Eine Kamera schwenkt zu einer Person in einer Küche und tanzt dann auf dem Boden.</v>
      </c>
    </row>
    <row r="642">
      <c r="A642" s="4" t="s">
        <v>812</v>
      </c>
      <c r="B642" s="4" t="s">
        <v>814</v>
      </c>
      <c r="C642" s="5" t="str">
        <f>IFERROR(__xludf.DUMMYFUNCTION("GOOGLETRANSLATE(B642,""en"",""de"")"),"Der Mann tanzt weiter herum, während er zur Kamera schaut und singt.")</f>
        <v>Der Mann tanzt weiter herum, während er zur Kamera schaut und singt.</v>
      </c>
    </row>
    <row r="643">
      <c r="A643" s="4" t="s">
        <v>815</v>
      </c>
      <c r="B643" s="4" t="s">
        <v>816</v>
      </c>
      <c r="C643" s="5" t="str">
        <f>IFERROR(__xludf.DUMMYFUNCTION("GOOGLETRANSLATE(B643,""en"",""de"")"),"Eine große Gruppe von Cheerleadern ist zu sehen, wie eine Arena bejubelt und beginnt, eine Routine miteinander auszuführen.")</f>
        <v>Eine große Gruppe von Cheerleadern ist zu sehen, wie eine Arena bejubelt und beginnt, eine Routine miteinander auszuführen.</v>
      </c>
    </row>
    <row r="644">
      <c r="A644" s="4" t="s">
        <v>815</v>
      </c>
      <c r="B644" s="4" t="s">
        <v>817</v>
      </c>
      <c r="C644" s="5" t="str">
        <f>IFERROR(__xludf.DUMMYFUNCTION("GOOGLETRANSLATE(B644,""en"",""de"")"),"Die Mädchen jubeln weiter auf der Bühne, während sie sich gegenseitig anheben und am Ende Tricks und Pfannen an das Publikum aufführen.")</f>
        <v>Die Mädchen jubeln weiter auf der Bühne, während sie sich gegenseitig anheben und am Ende Tricks und Pfannen an das Publikum aufführen.</v>
      </c>
    </row>
    <row r="645">
      <c r="A645" s="4" t="s">
        <v>818</v>
      </c>
      <c r="B645" s="4" t="s">
        <v>819</v>
      </c>
      <c r="C645" s="5" t="str">
        <f>IFERROR(__xludf.DUMMYFUNCTION("GOOGLETRANSLATE(B645,""en"",""de"")"),"Eine Frau sitzt auf einem Stuhl in einem Esszimmer.")</f>
        <v>Eine Frau sitzt auf einem Stuhl in einem Esszimmer.</v>
      </c>
    </row>
    <row r="646">
      <c r="A646" s="4" t="s">
        <v>818</v>
      </c>
      <c r="B646" s="4" t="s">
        <v>820</v>
      </c>
      <c r="C646" s="5" t="str">
        <f>IFERROR(__xludf.DUMMYFUNCTION("GOOGLETRANSLATE(B646,""en"",""de"")"),"Sie zeigt ihre nackten Füße und ihre Form.")</f>
        <v>Sie zeigt ihre nackten Füße und ihre Form.</v>
      </c>
    </row>
    <row r="647">
      <c r="A647" s="4" t="s">
        <v>818</v>
      </c>
      <c r="B647" s="4" t="s">
        <v>821</v>
      </c>
      <c r="C647" s="5" t="str">
        <f>IFERROR(__xludf.DUMMYFUNCTION("GOOGLETRANSLATE(B647,""en"",""de"")"),"Sie zieht dann an und versucht, ihre Schuhe um die geschwollenen Füße zu schnüren.")</f>
        <v>Sie zieht dann an und versucht, ihre Schuhe um die geschwollenen Füße zu schnüren.</v>
      </c>
    </row>
    <row r="648">
      <c r="A648" s="4" t="s">
        <v>822</v>
      </c>
      <c r="B648" s="4" t="s">
        <v>823</v>
      </c>
      <c r="C648" s="5" t="str">
        <f>IFERROR(__xludf.DUMMYFUNCTION("GOOGLETRANSLATE(B648,""en"",""de"")"),"Zwei Kinder klettern auf eine Felswand.")</f>
        <v>Zwei Kinder klettern auf eine Felswand.</v>
      </c>
    </row>
    <row r="649">
      <c r="A649" s="4" t="s">
        <v>822</v>
      </c>
      <c r="B649" s="4" t="s">
        <v>824</v>
      </c>
      <c r="C649" s="5" t="str">
        <f>IFERROR(__xludf.DUMMYFUNCTION("GOOGLETRANSLATE(B649,""en"",""de"")"),"Die Erwachsenen führen die Linien.")</f>
        <v>Die Erwachsenen führen die Linien.</v>
      </c>
    </row>
    <row r="650">
      <c r="A650" s="4" t="s">
        <v>822</v>
      </c>
      <c r="B650" s="4" t="s">
        <v>825</v>
      </c>
      <c r="C650" s="5" t="str">
        <f>IFERROR(__xludf.DUMMYFUNCTION("GOOGLETRANSLATE(B650,""en"",""de"")"),"Die Kinder klettern weiter.")</f>
        <v>Die Kinder klettern weiter.</v>
      </c>
    </row>
    <row r="651">
      <c r="A651" s="4" t="s">
        <v>822</v>
      </c>
      <c r="B651" s="4" t="s">
        <v>826</v>
      </c>
      <c r="C651" s="5" t="str">
        <f>IFERROR(__xludf.DUMMYFUNCTION("GOOGLETRANSLATE(B651,""en"",""de"")"),"Der rechts wird es zuerst nach oben schaffen.")</f>
        <v>Der rechts wird es zuerst nach oben schaffen.</v>
      </c>
    </row>
    <row r="652">
      <c r="A652" s="4" t="s">
        <v>822</v>
      </c>
      <c r="B652" s="4" t="s">
        <v>827</v>
      </c>
      <c r="C652" s="5" t="str">
        <f>IFERROR(__xludf.DUMMYFUNCTION("GOOGLETRANSLATE(B652,""en"",""de"")"),"Der links schaffte es nicht nach oben, beide hüpfen zurück die Wand hinunter.")</f>
        <v>Der links schaffte es nicht nach oben, beide hüpfen zurück die Wand hinunter.</v>
      </c>
    </row>
    <row r="653">
      <c r="A653" s="4" t="s">
        <v>828</v>
      </c>
      <c r="B653" s="4" t="s">
        <v>829</v>
      </c>
      <c r="C653" s="5" t="str">
        <f>IFERROR(__xludf.DUMMYFUNCTION("GOOGLETRANSLATE(B653,""en"",""de"")"),"Eine Frau und eine Mannübung, die auf einer Cardio -Maschine sitzt.")</f>
        <v>Eine Frau und eine Mannübung, die auf einer Cardio -Maschine sitzt.</v>
      </c>
    </row>
    <row r="654">
      <c r="A654" s="4" t="s">
        <v>828</v>
      </c>
      <c r="B654" s="4" t="s">
        <v>830</v>
      </c>
      <c r="C654" s="5" t="str">
        <f>IFERROR(__xludf.DUMMYFUNCTION("GOOGLETRANSLATE(B654,""en"",""de"")"),"Eine Frau trainiert auf einer Cardio -Maschine.")</f>
        <v>Eine Frau trainiert auf einer Cardio -Maschine.</v>
      </c>
    </row>
    <row r="655">
      <c r="A655" s="4" t="s">
        <v>828</v>
      </c>
      <c r="B655" s="4" t="s">
        <v>831</v>
      </c>
      <c r="C655" s="5" t="str">
        <f>IFERROR(__xludf.DUMMYFUNCTION("GOOGLETRANSLATE(B655,""en"",""de"")"),"Als nächstes sitzt ein Mann eine Frau, die Cardio -Trainingseinheiten durchführt.")</f>
        <v>Als nächstes sitzt ein Mann eine Frau, die Cardio -Trainingseinheiten durchführt.</v>
      </c>
    </row>
    <row r="656">
      <c r="A656" s="4" t="s">
        <v>832</v>
      </c>
      <c r="B656" s="4" t="s">
        <v>833</v>
      </c>
      <c r="C656" s="5" t="str">
        <f>IFERROR(__xludf.DUMMYFUNCTION("GOOGLETRANSLATE(B656,""en"",""de"")"),"Ein Mädchen spielt Hopscotch auf einem Bürgersteig.")</f>
        <v>Ein Mädchen spielt Hopscotch auf einem Bürgersteig.</v>
      </c>
    </row>
    <row r="657">
      <c r="A657" s="4" t="s">
        <v>832</v>
      </c>
      <c r="B657" s="4" t="s">
        <v>834</v>
      </c>
      <c r="C657" s="5" t="str">
        <f>IFERROR(__xludf.DUMMYFUNCTION("GOOGLETRANSLATE(B657,""en"",""de"")"),"Sie kommt zum Ende und dreht sich um, um zurück zu gehen.")</f>
        <v>Sie kommt zum Ende und dreht sich um, um zurück zu gehen.</v>
      </c>
    </row>
    <row r="658">
      <c r="A658" s="4" t="s">
        <v>832</v>
      </c>
      <c r="B658" s="4" t="s">
        <v>835</v>
      </c>
      <c r="C658" s="5" t="str">
        <f>IFERROR(__xludf.DUMMYFUNCTION("GOOGLETRANSLATE(B658,""en"",""de"")"),"Ein anderes Mädchen wirft einen Puck auf den Bürgersteig und beginnt Hopscotch zu spielen.")</f>
        <v>Ein anderes Mädchen wirft einen Puck auf den Bürgersteig und beginnt Hopscotch zu spielen.</v>
      </c>
    </row>
    <row r="659">
      <c r="A659" s="4" t="s">
        <v>836</v>
      </c>
      <c r="B659" s="4" t="s">
        <v>837</v>
      </c>
      <c r="C659" s="5" t="str">
        <f>IFERROR(__xludf.DUMMYFUNCTION("GOOGLETRANSLATE(B659,""en"",""de"")"),"Eine Person löst ein Würfel -Puzzle, das die Teile umdreht.")</f>
        <v>Eine Person löst ein Würfel -Puzzle, das die Teile umdreht.</v>
      </c>
    </row>
    <row r="660">
      <c r="A660" s="4" t="s">
        <v>836</v>
      </c>
      <c r="B660" s="4" t="s">
        <v>838</v>
      </c>
      <c r="C660" s="5" t="str">
        <f>IFERROR(__xludf.DUMMYFUNCTION("GOOGLETRANSLATE(B660,""en"",""de"")"),"Die Person löst das Puzzle und zeigt einen Chronometer.")</f>
        <v>Die Person löst das Puzzle und zeigt einen Chronometer.</v>
      </c>
    </row>
    <row r="661">
      <c r="A661" s="4" t="s">
        <v>839</v>
      </c>
      <c r="B661" s="4" t="s">
        <v>840</v>
      </c>
      <c r="C661" s="5" t="str">
        <f>IFERROR(__xludf.DUMMYFUNCTION("GOOGLETRANSLATE(B661,""en"",""de"")"),"Zwei kleine Kinder werden auf einem Kamel vorbei an einer Gruppe von Menschen und einem Mann, der sie mitwirft.")</f>
        <v>Zwei kleine Kinder werden auf einem Kamel vorbei an einer Gruppe von Menschen und einem Mann, der sie mitwirft.</v>
      </c>
    </row>
    <row r="662">
      <c r="A662" s="4" t="s">
        <v>839</v>
      </c>
      <c r="B662" s="4" t="s">
        <v>841</v>
      </c>
      <c r="C662" s="5" t="str">
        <f>IFERROR(__xludf.DUMMYFUNCTION("GOOGLETRANSLATE(B662,""en"",""de"")"),"Der Mann führt das Kamel weiterhin mit den Kindern an der Spitze herum und endet damit, dass sie hinunterklettern und andere aufgehen.")</f>
        <v>Der Mann führt das Kamel weiterhin mit den Kindern an der Spitze herum und endet damit, dass sie hinunterklettern und andere aufgehen.</v>
      </c>
    </row>
    <row r="663">
      <c r="A663" s="4" t="s">
        <v>842</v>
      </c>
      <c r="B663" s="4" t="s">
        <v>843</v>
      </c>
      <c r="C663" s="5" t="str">
        <f>IFERROR(__xludf.DUMMYFUNCTION("GOOGLETRANSLATE(B663,""en"",""de"")"),"Kleine Kinder sind gesehen, wie sie auf eine Matte zurückspringen und vierte, während zwei ältere Frauen sie nebenbei beobachten.")</f>
        <v>Kleine Kinder sind gesehen, wie sie auf eine Matte zurückspringen und vierte, während zwei ältere Frauen sie nebenbei beobachten.</v>
      </c>
    </row>
    <row r="664">
      <c r="A664" s="4" t="s">
        <v>842</v>
      </c>
      <c r="B664" s="4" t="s">
        <v>844</v>
      </c>
      <c r="C664" s="5" t="str">
        <f>IFERROR(__xludf.DUMMYFUNCTION("GOOGLETRANSLATE(B664,""en"",""de"")"),"Der Junge macht dann einen großen Sprung und das Mädchen steht vor ihm.")</f>
        <v>Der Junge macht dann einen großen Sprung und das Mädchen steht vor ihm.</v>
      </c>
    </row>
    <row r="665">
      <c r="A665" s="4" t="s">
        <v>845</v>
      </c>
      <c r="B665" s="4" t="s">
        <v>846</v>
      </c>
      <c r="C665" s="5" t="str">
        <f>IFERROR(__xludf.DUMMYFUNCTION("GOOGLETRANSLATE(B665,""en"",""de"")"),"Ein Mann geht zu einer Schneehöhe.")</f>
        <v>Ein Mann geht zu einer Schneehöhe.</v>
      </c>
    </row>
    <row r="666">
      <c r="A666" s="4" t="s">
        <v>845</v>
      </c>
      <c r="B666" s="4" t="s">
        <v>847</v>
      </c>
      <c r="C666" s="5" t="str">
        <f>IFERROR(__xludf.DUMMYFUNCTION("GOOGLETRANSLATE(B666,""en"",""de"")"),"Der Mann schaufelt den Schnee auf einem Dach, während der Kameramann spricht.")</f>
        <v>Der Mann schaufelt den Schnee auf einem Dach, während der Kameramann spricht.</v>
      </c>
    </row>
    <row r="667">
      <c r="A667" s="4" t="s">
        <v>845</v>
      </c>
      <c r="B667" s="4" t="s">
        <v>848</v>
      </c>
      <c r="C667" s="5" t="str">
        <f>IFERROR(__xludf.DUMMYFUNCTION("GOOGLETRANSLATE(B667,""en"",""de"")"),"Der Mann hört auf, den Schnee zu schöpfen.")</f>
        <v>Der Mann hört auf, den Schnee zu schöpfen.</v>
      </c>
    </row>
    <row r="668">
      <c r="A668" s="4" t="s">
        <v>849</v>
      </c>
      <c r="B668" s="4" t="s">
        <v>850</v>
      </c>
      <c r="C668" s="5" t="str">
        <f>IFERROR(__xludf.DUMMYFUNCTION("GOOGLETRANSLATE(B668,""en"",""de"")"),"Ein Mann, der in einem Blattgebläse sitzt, startet die Maschine und bläst einen großen Blatthaufen in die Bürste in der Nähe.")</f>
        <v>Ein Mann, der in einem Blattgebläse sitzt, startet die Maschine und bläst einen großen Blatthaufen in die Bürste in der Nähe.</v>
      </c>
    </row>
    <row r="669">
      <c r="A669" s="4" t="s">
        <v>849</v>
      </c>
      <c r="B669" s="4" t="s">
        <v>851</v>
      </c>
      <c r="C669" s="5" t="str">
        <f>IFERROR(__xludf.DUMMYFUNCTION("GOOGLETRANSLATE(B669,""en"",""de"")"),"Wir sehen das Fahrzeug zurück und gehen die Blätter hin und her.")</f>
        <v>Wir sehen das Fahrzeug zurück und gehen die Blätter hin und her.</v>
      </c>
    </row>
    <row r="670">
      <c r="A670" s="4" t="s">
        <v>849</v>
      </c>
      <c r="B670" s="4" t="s">
        <v>852</v>
      </c>
      <c r="C670" s="5" t="str">
        <f>IFERROR(__xludf.DUMMYFUNCTION("GOOGLETRANSLATE(B670,""en"",""de"")"),"Der Kameramann stoppt das Fahrzeug und steigt aus.")</f>
        <v>Der Kameramann stoppt das Fahrzeug und steigt aus.</v>
      </c>
    </row>
    <row r="671">
      <c r="A671" s="4" t="s">
        <v>849</v>
      </c>
      <c r="B671" s="4" t="s">
        <v>853</v>
      </c>
      <c r="C671" s="5" t="str">
        <f>IFERROR(__xludf.DUMMYFUNCTION("GOOGLETRANSLATE(B671,""en"",""de"")"),"Wir sehen das volle Fahrzeug von vorne und sehen das Feld.")</f>
        <v>Wir sehen das volle Fahrzeug von vorne und sehen das Feld.</v>
      </c>
    </row>
    <row r="672">
      <c r="A672" s="4" t="s">
        <v>854</v>
      </c>
      <c r="B672" s="4" t="s">
        <v>855</v>
      </c>
      <c r="C672" s="5" t="str">
        <f>IFERROR(__xludf.DUMMYFUNCTION("GOOGLETRANSLATE(B672,""en"",""de"")"),"Wir sehen, dass ein Mann die Arme hebt und sich darauf vorbereitet, das Pommel -Pferd zu montieren.")</f>
        <v>Wir sehen, dass ein Mann die Arme hebt und sich darauf vorbereitet, das Pommel -Pferd zu montieren.</v>
      </c>
    </row>
    <row r="673">
      <c r="A673" s="4" t="s">
        <v>854</v>
      </c>
      <c r="B673" s="4" t="s">
        <v>856</v>
      </c>
      <c r="C673" s="5" t="str">
        <f>IFERROR(__xludf.DUMMYFUNCTION("GOOGLETRANSLATE(B673,""en"",""de"")"),"Der Mann montiert das Pommel -Pferd.")</f>
        <v>Der Mann montiert das Pommel -Pferd.</v>
      </c>
    </row>
    <row r="674">
      <c r="A674" s="4" t="s">
        <v>854</v>
      </c>
      <c r="B674" s="4" t="s">
        <v>857</v>
      </c>
      <c r="C674" s="5" t="str">
        <f>IFERROR(__xludf.DUMMYFUNCTION("GOOGLETRANSLATE(B674,""en"",""de"")"),"Der Mann macht einen Handstand und wirft seine offenen Beine über den Pommel.")</f>
        <v>Der Mann macht einen Handstand und wirft seine offenen Beine über den Pommel.</v>
      </c>
    </row>
    <row r="675">
      <c r="A675" s="4" t="s">
        <v>854</v>
      </c>
      <c r="B675" s="4" t="s">
        <v>858</v>
      </c>
      <c r="C675" s="5" t="str">
        <f>IFERROR(__xludf.DUMMYFUNCTION("GOOGLETRANSLATE(B675,""en"",""de"")"),"Der Mann dreht sich auf dem Pommel Horse.")</f>
        <v>Der Mann dreht sich auf dem Pommel Horse.</v>
      </c>
    </row>
    <row r="676">
      <c r="A676" s="4" t="s">
        <v>854</v>
      </c>
      <c r="B676" s="4" t="s">
        <v>859</v>
      </c>
      <c r="C676" s="5" t="str">
        <f>IFERROR(__xludf.DUMMYFUNCTION("GOOGLETRANSLATE(B676,""en"",""de"")"),"Der Mann macht einen Handstand und steigt ab.")</f>
        <v>Der Mann macht einen Handstand und steigt ab.</v>
      </c>
    </row>
    <row r="677">
      <c r="A677" s="4" t="s">
        <v>854</v>
      </c>
      <c r="B677" s="4" t="s">
        <v>860</v>
      </c>
      <c r="C677" s="5" t="str">
        <f>IFERROR(__xludf.DUMMYFUNCTION("GOOGLETRANSLATE(B677,""en"",""de"")"),"Der Mann hebt seine Arme und geht weg.")</f>
        <v>Der Mann hebt seine Arme und geht weg.</v>
      </c>
    </row>
    <row r="678">
      <c r="A678" s="4" t="s">
        <v>854</v>
      </c>
      <c r="B678" s="4" t="s">
        <v>861</v>
      </c>
      <c r="C678" s="5" t="str">
        <f>IFERROR(__xludf.DUMMYFUNCTION("GOOGLETRANSLATE(B678,""en"",""de"")"),"Der Mann zittert die Hand eines anderen Mannes.")</f>
        <v>Der Mann zittert die Hand eines anderen Mannes.</v>
      </c>
    </row>
    <row r="679">
      <c r="A679" s="4" t="s">
        <v>862</v>
      </c>
      <c r="B679" s="4" t="s">
        <v>863</v>
      </c>
      <c r="C679" s="5" t="str">
        <f>IFERROR(__xludf.DUMMYFUNCTION("GOOGLETRANSLATE(B679,""en"",""de"")"),"Mehrere Menschen spielen in einem öffentlichen Schwimmbad.")</f>
        <v>Mehrere Menschen spielen in einem öffentlichen Schwimmbad.</v>
      </c>
    </row>
    <row r="680">
      <c r="A680" s="4" t="s">
        <v>862</v>
      </c>
      <c r="B680" s="4" t="s">
        <v>864</v>
      </c>
      <c r="C680" s="5" t="str">
        <f>IFERROR(__xludf.DUMMYFUNCTION("GOOGLETRANSLATE(B680,""en"",""de"")"),"Sie schwimmen im Wasser und spielen ein Spiel mit einem Ball.")</f>
        <v>Sie schwimmen im Wasser und spielen ein Spiel mit einem Ball.</v>
      </c>
    </row>
    <row r="681">
      <c r="A681" s="4" t="s">
        <v>862</v>
      </c>
      <c r="B681" s="4" t="s">
        <v>865</v>
      </c>
      <c r="C681" s="5" t="str">
        <f>IFERROR(__xludf.DUMMYFUNCTION("GOOGLETRANSLATE(B681,""en"",""de"")"),"Sie schlugen den Ball hin und her und versuchten, ihn voneinander zu halten.")</f>
        <v>Sie schlugen den Ball hin und her und versuchten, ihn voneinander zu halten.</v>
      </c>
    </row>
    <row r="682">
      <c r="A682" s="4" t="s">
        <v>866</v>
      </c>
      <c r="B682" s="4" t="s">
        <v>867</v>
      </c>
      <c r="C682" s="5" t="str">
        <f>IFERROR(__xludf.DUMMYFUNCTION("GOOGLETRANSLATE(B682,""en"",""de"")"),"Eine Frau wird gesehen, wie sie mit der Kamera spricht und der Kamera verschiedene Flüssigkeiten präsentiert.")</f>
        <v>Eine Frau wird gesehen, wie sie mit der Kamera spricht und der Kamera verschiedene Flüssigkeiten präsentiert.</v>
      </c>
    </row>
    <row r="683">
      <c r="A683" s="4" t="s">
        <v>866</v>
      </c>
      <c r="B683" s="4" t="s">
        <v>868</v>
      </c>
      <c r="C683" s="5" t="str">
        <f>IFERROR(__xludf.DUMMYFUNCTION("GOOGLETRANSLATE(B683,""en"",""de"")"),"Sie ist die Spitze eines Glass bereit und taucht das Glas auf einen Teller in den Zucker.")</f>
        <v>Sie ist die Spitze eines Glass bereit und taucht das Glas auf einen Teller in den Zucker.</v>
      </c>
    </row>
    <row r="684">
      <c r="A684" s="4" t="s">
        <v>866</v>
      </c>
      <c r="B684" s="4" t="s">
        <v>869</v>
      </c>
      <c r="C684" s="5" t="str">
        <f>IFERROR(__xludf.DUMMYFUNCTION("GOOGLETRANSLATE(B684,""en"",""de"")"),"Sie gießt verschiedene Flüssigkeiten in einen Mixer und schüttelt die Mischung alle zusammen.")</f>
        <v>Sie gießt verschiedene Flüssigkeiten in einen Mixer und schüttelt die Mischung alle zusammen.</v>
      </c>
    </row>
    <row r="685">
      <c r="A685" s="4" t="s">
        <v>866</v>
      </c>
      <c r="B685" s="4" t="s">
        <v>870</v>
      </c>
      <c r="C685" s="5" t="str">
        <f>IFERROR(__xludf.DUMMYFUNCTION("GOOGLETRANSLATE(B685,""en"",""de"")"),"Sie gießt das Getränk ins Glas, während sie immer noch mit der Kamera spricht.")</f>
        <v>Sie gießt das Getränk ins Glas, während sie immer noch mit der Kamera spricht.</v>
      </c>
    </row>
    <row r="686">
      <c r="A686" s="4" t="s">
        <v>871</v>
      </c>
      <c r="B686" s="4" t="s">
        <v>872</v>
      </c>
      <c r="C686" s="5" t="str">
        <f>IFERROR(__xludf.DUMMYFUNCTION("GOOGLETRANSLATE(B686,""en"",""de"")"),"Eine Gruppe von Menschen steht auf einem sandigen Feld, wobei einer einen Fußball zu einem anderen wirft.")</f>
        <v>Eine Gruppe von Menschen steht auf einem sandigen Feld, wobei einer einen Fußball zu einem anderen wirft.</v>
      </c>
    </row>
    <row r="687">
      <c r="A687" s="4" t="s">
        <v>871</v>
      </c>
      <c r="B687" s="4" t="s">
        <v>873</v>
      </c>
      <c r="C687" s="5" t="str">
        <f>IFERROR(__xludf.DUMMYFUNCTION("GOOGLETRANSLATE(B687,""en"",""de"")"),"Die andere Person erzielt ein Tor und andere Spieler springen auf ihn und gratulieren ihm.")</f>
        <v>Die andere Person erzielt ein Tor und andere Spieler springen auf ihn und gratulieren ihm.</v>
      </c>
    </row>
    <row r="688">
      <c r="A688" s="4" t="s">
        <v>871</v>
      </c>
      <c r="B688" s="4" t="s">
        <v>874</v>
      </c>
      <c r="C688" s="5" t="str">
        <f>IFERROR(__xludf.DUMMYFUNCTION("GOOGLETRANSLATE(B688,""en"",""de"")"),"Das gleiche Ziel wird mehrmals aus verschiedenen Blickwinkeln gezeigt.")</f>
        <v>Das gleiche Ziel wird mehrmals aus verschiedenen Blickwinkeln gezeigt.</v>
      </c>
    </row>
    <row r="689">
      <c r="A689" s="4" t="s">
        <v>875</v>
      </c>
      <c r="B689" s="4" t="s">
        <v>876</v>
      </c>
      <c r="C689" s="5" t="str">
        <f>IFERROR(__xludf.DUMMYFUNCTION("GOOGLETRANSLATE(B689,""en"",""de"")"),"Der Mensch steht vor einem Motorrad und steckt einen Toilettendeckel in den schwarzen Platz.")</f>
        <v>Der Mensch steht vor einem Motorrad und steckt einen Toilettendeckel in den schwarzen Platz.</v>
      </c>
    </row>
    <row r="690">
      <c r="A690" s="4" t="s">
        <v>875</v>
      </c>
      <c r="B690" s="4" t="s">
        <v>877</v>
      </c>
      <c r="C690" s="5" t="str">
        <f>IFERROR(__xludf.DUMMYFUNCTION("GOOGLETRANSLATE(B690,""en"",""de"")"),"Der Mann fährt mit dem Motorrad Thorugh die Straße und ein Hund läuft neben ihm.")</f>
        <v>Der Mann fährt mit dem Motorrad Thorugh die Straße und ein Hund läuft neben ihm.</v>
      </c>
    </row>
    <row r="691">
      <c r="A691" s="4" t="s">
        <v>875</v>
      </c>
      <c r="B691" s="4" t="s">
        <v>878</v>
      </c>
      <c r="C691" s="5" t="str">
        <f>IFERROR(__xludf.DUMMYFUNCTION("GOOGLETRANSLATE(B691,""en"",""de"")"),"Der Mann öffnet den Motorradkoffer und schließt ihn.")</f>
        <v>Der Mann öffnet den Motorradkoffer und schließt ihn.</v>
      </c>
    </row>
    <row r="692">
      <c r="A692" s="4" t="s">
        <v>879</v>
      </c>
      <c r="B692" s="4" t="s">
        <v>880</v>
      </c>
      <c r="C692" s="5" t="str">
        <f>IFERROR(__xludf.DUMMYFUNCTION("GOOGLETRANSLATE(B692,""en"",""de"")"),"Eine große Gruppe von Menschen schwimmt in einem Pool herum, während ein Trainer an den Seiten schreit.")</f>
        <v>Eine große Gruppe von Menschen schwimmt in einem Pool herum, während ein Trainer an den Seiten schreit.</v>
      </c>
    </row>
    <row r="693">
      <c r="A693" s="4" t="s">
        <v>879</v>
      </c>
      <c r="B693" s="4" t="s">
        <v>881</v>
      </c>
      <c r="C693" s="5" t="str">
        <f>IFERROR(__xludf.DUMMYFUNCTION("GOOGLETRANSLATE(B693,""en"",""de"")"),"Aufnahmen von Leuten, die spielen, werden gezeigt, wenn einer die andere trifft.")</f>
        <v>Aufnahmen von Leuten, die spielen, werden gezeigt, wenn einer die andere trifft.</v>
      </c>
    </row>
    <row r="694">
      <c r="A694" s="4" t="s">
        <v>879</v>
      </c>
      <c r="B694" s="4" t="s">
        <v>882</v>
      </c>
      <c r="C694" s="5" t="str">
        <f>IFERROR(__xludf.DUMMYFUNCTION("GOOGLETRANSLATE(B694,""en"",""de"")"),"Die Trainer schreien sich gegenseitig, während die Leute immer noch das Spiel spielen.")</f>
        <v>Die Trainer schreien sich gegenseitig, während die Leute immer noch das Spiel spielen.</v>
      </c>
    </row>
    <row r="695">
      <c r="A695" s="4" t="s">
        <v>883</v>
      </c>
      <c r="B695" s="4" t="s">
        <v>884</v>
      </c>
      <c r="C695" s="5" t="str">
        <f>IFERROR(__xludf.DUMMYFUNCTION("GOOGLETRANSLATE(B695,""en"",""de"")"),"Ein kleiner Junge und isst Eis.")</f>
        <v>Ein kleiner Junge und isst Eis.</v>
      </c>
    </row>
    <row r="696">
      <c r="A696" s="4" t="s">
        <v>883</v>
      </c>
      <c r="B696" s="4" t="s">
        <v>885</v>
      </c>
      <c r="C696" s="5" t="str">
        <f>IFERROR(__xludf.DUMMYFUNCTION("GOOGLETRANSLATE(B696,""en"",""de"")"),"Hinter ihm ist ein Hund auf dem Boden.")</f>
        <v>Hinter ihm ist ein Hund auf dem Boden.</v>
      </c>
    </row>
    <row r="697">
      <c r="A697" s="4" t="s">
        <v>883</v>
      </c>
      <c r="B697" s="4" t="s">
        <v>886</v>
      </c>
      <c r="C697" s="5" t="str">
        <f>IFERROR(__xludf.DUMMYFUNCTION("GOOGLETRANSLATE(B697,""en"",""de"")"),"Er lacht und dreht sich um.")</f>
        <v>Er lacht und dreht sich um.</v>
      </c>
    </row>
    <row r="698">
      <c r="A698" s="4" t="s">
        <v>887</v>
      </c>
      <c r="B698" s="4" t="s">
        <v>888</v>
      </c>
      <c r="C698" s="5" t="str">
        <f>IFERROR(__xludf.DUMMYFUNCTION("GOOGLETRANSLATE(B698,""en"",""de"")"),"Ein Mädchen sitzt auf einem großen Stuhl mit zwei Mädchen neben sich und einem Mann, der ihren Fuß tätowiert.")</f>
        <v>Ein Mädchen sitzt auf einem großen Stuhl mit zwei Mädchen neben sich und einem Mann, der ihren Fuß tätowiert.</v>
      </c>
    </row>
    <row r="699">
      <c r="A699" s="4" t="s">
        <v>887</v>
      </c>
      <c r="B699" s="4" t="s">
        <v>889</v>
      </c>
      <c r="C699" s="5" t="str">
        <f>IFERROR(__xludf.DUMMYFUNCTION("GOOGLETRANSLATE(B699,""en"",""de"")"),"Ein anderer Mann tritt in den Rahmen und die Mädchen reden weiterhin miteinander, während der Künstler.")</f>
        <v>Ein anderer Mann tritt in den Rahmen und die Mädchen reden weiterhin miteinander, während der Künstler.</v>
      </c>
    </row>
    <row r="700">
      <c r="A700" s="4" t="s">
        <v>890</v>
      </c>
      <c r="B700" s="4" t="s">
        <v>891</v>
      </c>
      <c r="C700" s="5" t="str">
        <f>IFERROR(__xludf.DUMMYFUNCTION("GOOGLETRANSLATE(B700,""en"",""de"")"),"Eine Frau hinter einer Bar zeigt, wie man ein gemischtes Getränk macht.")</f>
        <v>Eine Frau hinter einer Bar zeigt, wie man ein gemischtes Getränk macht.</v>
      </c>
    </row>
    <row r="701">
      <c r="A701" s="4" t="s">
        <v>890</v>
      </c>
      <c r="B701" s="4" t="s">
        <v>892</v>
      </c>
      <c r="C701" s="5" t="str">
        <f>IFERROR(__xludf.DUMMYFUNCTION("GOOGLETRANSLATE(B701,""en"",""de"")"),"Eine Reihe von Aufnahmen erscheinen mit einer Person, die Alkohol in ein Martini -Glas gießt, und dann verblasst der Bildschirm in den Bildschirm des Videotitels, der einen Namensnamen, den Namen des Getränks und die Person, die es herstellt, aufweist.")</f>
        <v>Eine Reihe von Aufnahmen erscheinen mit einer Person, die Alkohol in ein Martini -Glas gießt, und dann verblasst der Bildschirm in den Bildschirm des Videotitels, der einen Namensnamen, den Namen des Getränks und die Person, die es herstellt, aufweist.</v>
      </c>
    </row>
    <row r="702">
      <c r="A702" s="4" t="s">
        <v>890</v>
      </c>
      <c r="B702" s="4" t="s">
        <v>893</v>
      </c>
      <c r="C702" s="5" t="str">
        <f>IFERROR(__xludf.DUMMYFUNCTION("GOOGLETRANSLATE(B702,""en"",""de"")"),"Am Ende des Bildschirms wird eine Website -Adresse angezeigt.")</f>
        <v>Am Ende des Bildschirms wird eine Website -Adresse angezeigt.</v>
      </c>
    </row>
    <row r="703">
      <c r="A703" s="4" t="s">
        <v>890</v>
      </c>
      <c r="B703" s="4" t="s">
        <v>894</v>
      </c>
      <c r="C703" s="5" t="str">
        <f>IFERROR(__xludf.DUMMYFUNCTION("GOOGLETRANSLATE(B703,""en"",""de"")"),"Ein Mädchen, das hinter der Bar steht, erklärt, welche Zutaten sie für das Getränk verwendet, welche Mengen sie verwendet, und mischt sie alle in einem Glas und präsentiert das Getränk.")</f>
        <v>Ein Mädchen, das hinter der Bar steht, erklärt, welche Zutaten sie für das Getränk verwendet, welche Mengen sie verwendet, und mischt sie alle in einem Glas und präsentiert das Getränk.</v>
      </c>
    </row>
    <row r="704">
      <c r="A704" s="4" t="s">
        <v>890</v>
      </c>
      <c r="B704" s="4" t="s">
        <v>895</v>
      </c>
      <c r="C704" s="5" t="str">
        <f>IFERROR(__xludf.DUMMYFUNCTION("GOOGLETRANSLATE(B704,""en"",""de"")"),"Die Kamera vergrößert das Getränk und verblasst schwarz, um das Video zu beenden.")</f>
        <v>Die Kamera vergrößert das Getränk und verblasst schwarz, um das Video zu beenden.</v>
      </c>
    </row>
    <row r="705">
      <c r="A705" s="4" t="s">
        <v>896</v>
      </c>
      <c r="B705" s="4" t="s">
        <v>897</v>
      </c>
      <c r="C705" s="5" t="str">
        <f>IFERROR(__xludf.DUMMYFUNCTION("GOOGLETRANSLATE(B705,""en"",""de"")"),"Eine Frau, die draußen in der Nähe eines Tennisplatzes steht, spricht über Dinge.")</f>
        <v>Eine Frau, die draußen in der Nähe eines Tennisplatzes steht, spricht über Dinge.</v>
      </c>
    </row>
    <row r="706">
      <c r="A706" s="4" t="s">
        <v>896</v>
      </c>
      <c r="B706" s="4" t="s">
        <v>898</v>
      </c>
      <c r="C706" s="5" t="str">
        <f>IFERROR(__xludf.DUMMYFUNCTION("GOOGLETRANSLATE(B706,""en"",""de"")"),"Ein Mädchen in ganz Schwarz mit einem Schlagstock, der ihre Bewegungen und Tänze im Studio übt.")</f>
        <v>Ein Mädchen in ganz Schwarz mit einem Schlagstock, der ihre Bewegungen und Tänze im Studio übt.</v>
      </c>
    </row>
    <row r="707">
      <c r="A707" s="4" t="s">
        <v>896</v>
      </c>
      <c r="B707" s="4" t="s">
        <v>899</v>
      </c>
      <c r="C707" s="5" t="str">
        <f>IFERROR(__xludf.DUMMYFUNCTION("GOOGLETRANSLATE(B707,""en"",""de"")"),"Ihr Trainer macht ein Interview, während sie sich mit ihren Händen zusammensetzt.")</f>
        <v>Ihr Trainer macht ein Interview, während sie sich mit ihren Händen zusammensetzt.</v>
      </c>
    </row>
    <row r="708">
      <c r="A708" s="4" t="s">
        <v>896</v>
      </c>
      <c r="B708" s="4" t="s">
        <v>900</v>
      </c>
      <c r="C708" s="5" t="str">
        <f>IFERROR(__xludf.DUMMYFUNCTION("GOOGLETRANSLATE(B708,""en"",""de"")"),"Das Mädchen übt im Studio weiterhin alleine.")</f>
        <v>Das Mädchen übt im Studio weiterhin alleine.</v>
      </c>
    </row>
    <row r="709">
      <c r="A709" s="4" t="s">
        <v>901</v>
      </c>
      <c r="B709" s="4" t="s">
        <v>902</v>
      </c>
      <c r="C709" s="5" t="str">
        <f>IFERROR(__xludf.DUMMYFUNCTION("GOOGLETRANSLATE(B709,""en"",""de"")"),"Ein junges Mädchen stellt das Video vor und erklärt, was sie mit Holz tun wird.")</f>
        <v>Ein junges Mädchen stellt das Video vor und erklärt, was sie mit Holz tun wird.</v>
      </c>
    </row>
    <row r="710">
      <c r="A710" s="4" t="s">
        <v>901</v>
      </c>
      <c r="B710" s="4" t="s">
        <v>903</v>
      </c>
      <c r="C710" s="5" t="str">
        <f>IFERROR(__xludf.DUMMYFUNCTION("GOOGLETRANSLATE(B710,""en"",""de"")"),"Sie legt ein Stück Bubblewrap und stellt sicher, dass es etwa die Hälfte des Holzes abdeckt.")</f>
        <v>Sie legt ein Stück Bubblewrap und stellt sicher, dass es etwa die Hälfte des Holzes abdeckt.</v>
      </c>
    </row>
    <row r="711">
      <c r="A711" s="4" t="s">
        <v>901</v>
      </c>
      <c r="B711" s="4" t="s">
        <v>904</v>
      </c>
      <c r="C711" s="5" t="str">
        <f>IFERROR(__xludf.DUMMYFUNCTION("GOOGLETRANSLATE(B711,""en"",""de"")"),"Sie bedeckt dann den Rest des Holzes und geht wie eine Planke darüber.")</f>
        <v>Sie bedeckt dann den Rest des Holzes und geht wie eine Planke darüber.</v>
      </c>
    </row>
    <row r="712">
      <c r="A712" s="4" t="s">
        <v>905</v>
      </c>
      <c r="B712" s="4" t="s">
        <v>906</v>
      </c>
      <c r="C712" s="5" t="str">
        <f>IFERROR(__xludf.DUMMYFUNCTION("GOOGLETRANSLATE(B712,""en"",""de"")"),"Die Leute spielen vor dem Publikum Gymnastikstunts.")</f>
        <v>Die Leute spielen vor dem Publikum Gymnastikstunts.</v>
      </c>
    </row>
    <row r="713">
      <c r="A713" s="4" t="s">
        <v>905</v>
      </c>
      <c r="B713" s="4" t="s">
        <v>907</v>
      </c>
      <c r="C713" s="5" t="str">
        <f>IFERROR(__xludf.DUMMYFUNCTION("GOOGLETRANSLATE(B713,""en"",""de"")"),"Ein Mann schließt seine Arme um Riegel über seinem Kopf.")</f>
        <v>Ein Mann schließt seine Arme um Riegel über seinem Kopf.</v>
      </c>
    </row>
    <row r="714">
      <c r="A714" s="4" t="s">
        <v>905</v>
      </c>
      <c r="B714" s="4" t="s">
        <v>908</v>
      </c>
      <c r="C714" s="5" t="str">
        <f>IFERROR(__xludf.DUMMYFUNCTION("GOOGLETRANSLATE(B714,""en"",""de"")"),"Der Typ schwingt seinen Körper, während er sich an den Bars festhält.")</f>
        <v>Der Typ schwingt seinen Körper, während er sich an den Bars festhält.</v>
      </c>
    </row>
    <row r="715">
      <c r="A715" s="4" t="s">
        <v>905</v>
      </c>
      <c r="B715" s="4" t="s">
        <v>909</v>
      </c>
      <c r="C715" s="5" t="str">
        <f>IFERROR(__xludf.DUMMYFUNCTION("GOOGLETRANSLATE(B715,""en"",""de"")"),"Der Typ fließt die Bars ab und landet auf den Füßen, klatscht und beginnt zu gehen.")</f>
        <v>Der Typ fließt die Bars ab und landet auf den Füßen, klatscht und beginnt zu gehen.</v>
      </c>
    </row>
    <row r="716">
      <c r="A716" s="4" t="s">
        <v>905</v>
      </c>
      <c r="B716" s="4" t="s">
        <v>910</v>
      </c>
      <c r="C716" s="5" t="str">
        <f>IFERROR(__xludf.DUMMYFUNCTION("GOOGLETRANSLATE(B716,""en"",""de"")"),"Ein Mann nähert sich dem Kerl, der klatscht.")</f>
        <v>Ein Mann nähert sich dem Kerl, der klatscht.</v>
      </c>
    </row>
    <row r="717">
      <c r="A717" s="4" t="s">
        <v>911</v>
      </c>
      <c r="B717" s="4" t="s">
        <v>912</v>
      </c>
      <c r="C717" s="5" t="str">
        <f>IFERROR(__xludf.DUMMYFUNCTION("GOOGLETRANSLATE(B717,""en"",""de"")"),"Zwei Fitnessstudio treten vor einer Menge auf.")</f>
        <v>Zwei Fitnessstudio treten vor einer Menge auf.</v>
      </c>
    </row>
    <row r="718">
      <c r="A718" s="4" t="s">
        <v>911</v>
      </c>
      <c r="B718" s="4" t="s">
        <v>913</v>
      </c>
      <c r="C718" s="5" t="str">
        <f>IFERROR(__xludf.DUMMYFUNCTION("GOOGLETRANSLATE(B718,""en"",""de"")"),"Einer dreht sich ständig auf einem Strahl.")</f>
        <v>Einer dreht sich ständig auf einem Strahl.</v>
      </c>
    </row>
    <row r="719">
      <c r="A719" s="4" t="s">
        <v>911</v>
      </c>
      <c r="B719" s="4" t="s">
        <v>914</v>
      </c>
      <c r="C719" s="5" t="str">
        <f>IFERROR(__xludf.DUMMYFUNCTION("GOOGLETRANSLATE(B719,""en"",""de"")"),"Der Mann in den roten Reittieren und beginnt sich zu drehen, wobei mehrere Tricks durchführen.")</f>
        <v>Der Mann in den roten Reittieren und beginnt sich zu drehen, wobei mehrere Tricks durchführen.</v>
      </c>
    </row>
    <row r="720">
      <c r="A720" s="4" t="s">
        <v>911</v>
      </c>
      <c r="B720" s="4" t="s">
        <v>915</v>
      </c>
      <c r="C720" s="5" t="str">
        <f>IFERROR(__xludf.DUMMYFUNCTION("GOOGLETRANSLATE(B720,""en"",""de"")"),"Der Mann steigt ab und legt einen siegreichen Arm in die Luft.")</f>
        <v>Der Mann steigt ab und legt einen siegreichen Arm in die Luft.</v>
      </c>
    </row>
    <row r="721">
      <c r="A721" s="4" t="s">
        <v>916</v>
      </c>
      <c r="B721" s="4" t="s">
        <v>917</v>
      </c>
      <c r="C721" s="5" t="str">
        <f>IFERROR(__xludf.DUMMYFUNCTION("GOOGLETRANSLATE(B721,""en"",""de"")"),"Ein Junge zieht während des Redens eine Schnur von Home -Fitness -Maschine.")</f>
        <v>Ein Junge zieht während des Redens eine Schnur von Home -Fitness -Maschine.</v>
      </c>
    </row>
    <row r="722">
      <c r="A722" s="4" t="s">
        <v>916</v>
      </c>
      <c r="B722" s="4" t="s">
        <v>918</v>
      </c>
      <c r="C722" s="5" t="str">
        <f>IFERROR(__xludf.DUMMYFUNCTION("GOOGLETRANSLATE(B722,""en"",""de"")"),"Dann fällt der Junge auf den Boden.")</f>
        <v>Dann fällt der Junge auf den Boden.</v>
      </c>
    </row>
    <row r="723">
      <c r="A723" s="4" t="s">
        <v>919</v>
      </c>
      <c r="B723" s="4" t="s">
        <v>920</v>
      </c>
      <c r="C723" s="5" t="str">
        <f>IFERROR(__xludf.DUMMYFUNCTION("GOOGLETRANSLATE(B723,""en"",""de"")"),"Es gibt ein großes Team von Teilnehmern, die sich darauf vorbereiten, eine Wasserrohraktivität zu betreiben.")</f>
        <v>Es gibt ein großes Team von Teilnehmern, die sich darauf vorbereiten, eine Wasserrohraktivität zu betreiben.</v>
      </c>
    </row>
    <row r="724">
      <c r="A724" s="4" t="s">
        <v>919</v>
      </c>
      <c r="B724" s="4" t="s">
        <v>921</v>
      </c>
      <c r="C724" s="5" t="str">
        <f>IFERROR(__xludf.DUMMYFUNCTION("GOOGLETRANSLATE(B724,""en"",""de"")"),"Sie gehen ein hügeliges Gelände zum Fluss hinunter.")</f>
        <v>Sie gehen ein hügeliges Gelände zum Fluss hinunter.</v>
      </c>
    </row>
    <row r="725">
      <c r="A725" s="4" t="s">
        <v>919</v>
      </c>
      <c r="B725" s="4" t="s">
        <v>922</v>
      </c>
      <c r="C725" s="5" t="str">
        <f>IFERROR(__xludf.DUMMYFUNCTION("GOOGLETRANSLATE(B725,""en"",""de"")"),"Sie steigen auf ihre Röhren und gehen in die Stromschnellen.")</f>
        <v>Sie steigen auf ihre Röhren und gehen in die Stromschnellen.</v>
      </c>
    </row>
    <row r="726">
      <c r="A726" s="4" t="s">
        <v>919</v>
      </c>
      <c r="B726" s="4" t="s">
        <v>923</v>
      </c>
      <c r="C726" s="5" t="str">
        <f>IFERROR(__xludf.DUMMYFUNCTION("GOOGLETRANSLATE(B726,""en"",""de"")"),"Die Teilnehmer scheinen sehr ruhig und glücklich zu sein, als sie der Kamera winken.")</f>
        <v>Die Teilnehmer scheinen sehr ruhig und glücklich zu sein, als sie der Kamera winken.</v>
      </c>
    </row>
    <row r="727">
      <c r="A727" s="4" t="s">
        <v>919</v>
      </c>
      <c r="B727" s="4" t="s">
        <v>924</v>
      </c>
      <c r="C727" s="5" t="str">
        <f>IFERROR(__xludf.DUMMYFUNCTION("GOOGLETRANSLATE(B727,""en"",""de"")"),"Sie alle beginnen ihre Reise durch die Stromschnellen, als das Wasser turbulierter wird.")</f>
        <v>Sie alle beginnen ihre Reise durch die Stromschnellen, als das Wasser turbulierter wird.</v>
      </c>
    </row>
    <row r="728">
      <c r="A728" s="4" t="s">
        <v>919</v>
      </c>
      <c r="B728" s="4" t="s">
        <v>925</v>
      </c>
      <c r="C728" s="5" t="str">
        <f>IFERROR(__xludf.DUMMYFUNCTION("GOOGLETRANSLATE(B728,""en"",""de"")"),"Sie gehen weiter mit dem mit Wasserstrom entlang, als sie stetig durch das Wasser fließen.")</f>
        <v>Sie gehen weiter mit dem mit Wasserstrom entlang, als sie stetig durch das Wasser fließen.</v>
      </c>
    </row>
    <row r="729">
      <c r="A729" s="4" t="s">
        <v>919</v>
      </c>
      <c r="B729" s="4" t="s">
        <v>926</v>
      </c>
      <c r="C729" s="5" t="str">
        <f>IFERROR(__xludf.DUMMYFUNCTION("GOOGLETRANSLATE(B729,""en"",""de"")"),"Dann kommen sie alle am Ufer des Flusses, wo das Wasser ruhig und stetig fließt.")</f>
        <v>Dann kommen sie alle am Ufer des Flusses, wo das Wasser ruhig und stetig fließt.</v>
      </c>
    </row>
    <row r="730">
      <c r="A730" s="4" t="s">
        <v>927</v>
      </c>
      <c r="B730" s="4" t="s">
        <v>928</v>
      </c>
      <c r="C730" s="5" t="str">
        <f>IFERROR(__xludf.DUMMYFUNCTION("GOOGLETRANSLATE(B730,""en"",""de"")"),"Das Video wird von North Face und Cliff Bar vertreten, wo sie Bergkletterer im Yosemite National Park zeigen.")</f>
        <v>Das Video wird von North Face und Cliff Bar vertreten, wo sie Bergkletterer im Yosemite National Park zeigen.</v>
      </c>
    </row>
    <row r="731">
      <c r="A731" s="4" t="s">
        <v>927</v>
      </c>
      <c r="B731" s="4" t="s">
        <v>929</v>
      </c>
      <c r="C731" s="5" t="str">
        <f>IFERROR(__xludf.DUMMYFUNCTION("GOOGLETRANSLATE(B731,""en"",""de"")"),"Es gibt mehrere Menschen, die über die Faszination des Bergkletters sprechen.")</f>
        <v>Es gibt mehrere Menschen, die über die Faszination des Bergkletters sprechen.</v>
      </c>
    </row>
    <row r="732">
      <c r="A732" s="4" t="s">
        <v>927</v>
      </c>
      <c r="B732" s="4" t="s">
        <v>930</v>
      </c>
      <c r="C732" s="5" t="str">
        <f>IFERROR(__xludf.DUMMYFUNCTION("GOOGLETRANSLATE(B732,""en"",""de"")"),"Es gibt Bilder von Menschen, die Bandanas tragen, die gezeigt sind, die auf den Berggipfeln sitzen.")</f>
        <v>Es gibt Bilder von Menschen, die Bandanas tragen, die gezeigt sind, die auf den Berggipfeln sitzen.</v>
      </c>
    </row>
    <row r="733">
      <c r="A733" s="4" t="s">
        <v>927</v>
      </c>
      <c r="B733" s="4" t="s">
        <v>931</v>
      </c>
      <c r="C733" s="5" t="str">
        <f>IFERROR(__xludf.DUMMYFUNCTION("GOOGLETRANSLATE(B733,""en"",""de"")"),"Es gibt einen Mann, der auf einem steilen Hang Berg klettern.")</f>
        <v>Es gibt einen Mann, der auf einem steilen Hang Berg klettern.</v>
      </c>
    </row>
    <row r="734">
      <c r="A734" s="4" t="s">
        <v>927</v>
      </c>
      <c r="B734" s="4" t="s">
        <v>932</v>
      </c>
      <c r="C734" s="5" t="str">
        <f>IFERROR(__xludf.DUMMYFUNCTION("GOOGLETRANSLATE(B734,""en"",""de"")"),"Ein anderer Mann macht einen Sprung von der Spitze des Berges, um von dieser Höhe zu springen.")</f>
        <v>Ein anderer Mann macht einen Sprung von der Spitze des Berges, um von dieser Höhe zu springen.</v>
      </c>
    </row>
    <row r="735">
      <c r="A735" s="4" t="s">
        <v>933</v>
      </c>
      <c r="B735" s="4" t="s">
        <v>934</v>
      </c>
      <c r="C735" s="5" t="str">
        <f>IFERROR(__xludf.DUMMYFUNCTION("GOOGLETRANSLATE(B735,""en"",""de"")"),"Eine Gruppe von Jungen befindet sich in einem Basketballplatz.")</f>
        <v>Eine Gruppe von Jungen befindet sich in einem Basketballplatz.</v>
      </c>
    </row>
    <row r="736">
      <c r="A736" s="4" t="s">
        <v>933</v>
      </c>
      <c r="B736" s="4" t="s">
        <v>935</v>
      </c>
      <c r="C736" s="5" t="str">
        <f>IFERROR(__xludf.DUMMYFUNCTION("GOOGLETRANSLATE(B736,""en"",""de"")"),"Sie spielen ein Spiel, während der Trainer sie anfeuert und sie anweist.")</f>
        <v>Sie spielen ein Spiel, während der Trainer sie anfeuert und sie anweist.</v>
      </c>
    </row>
    <row r="737">
      <c r="A737" s="4" t="s">
        <v>933</v>
      </c>
      <c r="B737" s="4" t="s">
        <v>936</v>
      </c>
      <c r="C737" s="5" t="str">
        <f>IFERROR(__xludf.DUMMYFUNCTION("GOOGLETRANSLATE(B737,""en"",""de"")"),"Einige der Jungen beobachten aus der Seitenlinie und warten auf ihre Reihe.")</f>
        <v>Einige der Jungen beobachten aus der Seitenlinie und warten auf ihre Reihe.</v>
      </c>
    </row>
    <row r="738">
      <c r="A738" s="4" t="s">
        <v>937</v>
      </c>
      <c r="B738" s="4" t="s">
        <v>938</v>
      </c>
      <c r="C738" s="5" t="str">
        <f>IFERROR(__xludf.DUMMYFUNCTION("GOOGLETRANSLATE(B738,""en"",""de"")"),"Winterszenen mit Fahrzeugen und starkem Schnee werden gezeigt.")</f>
        <v>Winterszenen mit Fahrzeugen und starkem Schnee werden gezeigt.</v>
      </c>
    </row>
    <row r="739">
      <c r="A739" s="4" t="s">
        <v>937</v>
      </c>
      <c r="B739" s="4" t="s">
        <v>939</v>
      </c>
      <c r="C739" s="5" t="str">
        <f>IFERROR(__xludf.DUMMYFUNCTION("GOOGLETRANSLATE(B739,""en"",""de"")"),"Szenen aus dem Inneren eines Flughafens werden gezeigt, wobei Menschen herumlaufen oder warten.")</f>
        <v>Szenen aus dem Inneren eines Flughafens werden gezeigt, wobei Menschen herumlaufen oder warten.</v>
      </c>
    </row>
    <row r="740">
      <c r="A740" s="4" t="s">
        <v>937</v>
      </c>
      <c r="B740" s="4" t="s">
        <v>940</v>
      </c>
      <c r="C740" s="5" t="str">
        <f>IFERROR(__xludf.DUMMYFUNCTION("GOOGLETRANSLATE(B740,""en"",""de"")"),"Eine Frau spricht mit der Kamera.")</f>
        <v>Eine Frau spricht mit der Kamera.</v>
      </c>
    </row>
    <row r="741">
      <c r="A741" s="4" t="s">
        <v>937</v>
      </c>
      <c r="B741" s="4" t="s">
        <v>941</v>
      </c>
      <c r="C741" s="5" t="str">
        <f>IFERROR(__xludf.DUMMYFUNCTION("GOOGLETRANSLATE(B741,""en"",""de"")"),"Ein Mann reinigt Schnee von einem Auto.")</f>
        <v>Ein Mann reinigt Schnee von einem Auto.</v>
      </c>
    </row>
    <row r="742">
      <c r="A742" s="4" t="s">
        <v>937</v>
      </c>
      <c r="B742" s="4" t="s">
        <v>942</v>
      </c>
      <c r="C742" s="5" t="str">
        <f>IFERROR(__xludf.DUMMYFUNCTION("GOOGLETRANSLATE(B742,""en"",""de"")"),"Weitere Szenen aus einem Wintersturm werden gezeigt.")</f>
        <v>Weitere Szenen aus einem Wintersturm werden gezeigt.</v>
      </c>
    </row>
    <row r="743">
      <c r="A743" s="4" t="s">
        <v>937</v>
      </c>
      <c r="B743" s="4" t="s">
        <v>943</v>
      </c>
      <c r="C743" s="5" t="str">
        <f>IFERROR(__xludf.DUMMYFUNCTION("GOOGLETRANSLATE(B743,""en"",""de"")"),"Szenen von Menschen, die Schnee von ihren Fahrzeugen reinigen, werden gezeigt.")</f>
        <v>Szenen von Menschen, die Schnee von ihren Fahrzeugen reinigen, werden gezeigt.</v>
      </c>
    </row>
    <row r="744">
      <c r="A744" s="4" t="s">
        <v>937</v>
      </c>
      <c r="B744" s="4" t="s">
        <v>944</v>
      </c>
      <c r="C744" s="5" t="str">
        <f>IFERROR(__xludf.DUMMYFUNCTION("GOOGLETRANSLATE(B744,""en"",""de"")"),"Eine andere Frau spricht mit der Kamera.")</f>
        <v>Eine andere Frau spricht mit der Kamera.</v>
      </c>
    </row>
    <row r="745">
      <c r="A745" s="4" t="s">
        <v>937</v>
      </c>
      <c r="B745" s="4" t="s">
        <v>945</v>
      </c>
      <c r="C745" s="5" t="str">
        <f>IFERROR(__xludf.DUMMYFUNCTION("GOOGLETRANSLATE(B745,""en"",""de"")"),"Ein Auto fährt von der Kamera weg.")</f>
        <v>Ein Auto fährt von der Kamera weg.</v>
      </c>
    </row>
    <row r="746">
      <c r="A746" s="4" t="s">
        <v>937</v>
      </c>
      <c r="B746" s="4" t="s">
        <v>946</v>
      </c>
      <c r="C746" s="5" t="str">
        <f>IFERROR(__xludf.DUMMYFUNCTION("GOOGLETRANSLATE(B746,""en"",""de"")"),"Zwei Leute sprechen mit der Kamera.")</f>
        <v>Zwei Leute sprechen mit der Kamera.</v>
      </c>
    </row>
    <row r="747">
      <c r="A747" s="4" t="s">
        <v>937</v>
      </c>
      <c r="B747" s="4" t="s">
        <v>947</v>
      </c>
      <c r="C747" s="5" t="str">
        <f>IFERROR(__xludf.DUMMYFUNCTION("GOOGLETRANSLATE(B747,""en"",""de"")"),"Ein LKW fährt von der Kamera weg.")</f>
        <v>Ein LKW fährt von der Kamera weg.</v>
      </c>
    </row>
    <row r="748">
      <c r="A748" s="4" t="s">
        <v>948</v>
      </c>
      <c r="B748" s="4" t="s">
        <v>949</v>
      </c>
      <c r="C748" s="5" t="str">
        <f>IFERROR(__xludf.DUMMYFUNCTION("GOOGLETRANSLATE(B748,""en"",""de"")"),"Eine Frau wird mit einem Pinsel und einem Stück Leinwand gezeigt.")</f>
        <v>Eine Frau wird mit einem Pinsel und einem Stück Leinwand gezeigt.</v>
      </c>
    </row>
    <row r="749">
      <c r="A749" s="4" t="s">
        <v>948</v>
      </c>
      <c r="B749" s="4" t="s">
        <v>950</v>
      </c>
      <c r="C749" s="5" t="str">
        <f>IFERROR(__xludf.DUMMYFUNCTION("GOOGLETRANSLATE(B749,""en"",""de"")"),"Sie verwendet grüne Farbe, um eine Zeichnung einer Pflanze zu füllen.")</f>
        <v>Sie verwendet grüne Farbe, um eine Zeichnung einer Pflanze zu füllen.</v>
      </c>
    </row>
    <row r="750">
      <c r="A750" s="4" t="s">
        <v>948</v>
      </c>
      <c r="B750" s="4" t="s">
        <v>951</v>
      </c>
      <c r="C750" s="5" t="str">
        <f>IFERROR(__xludf.DUMMYFUNCTION("GOOGLETRANSLATE(B750,""en"",""de"")"),"Sie geht im Kreis herum und malt das Bild.")</f>
        <v>Sie geht im Kreis herum und malt das Bild.</v>
      </c>
    </row>
    <row r="751">
      <c r="A751" s="4" t="s">
        <v>952</v>
      </c>
      <c r="B751" s="4" t="s">
        <v>953</v>
      </c>
      <c r="C751" s="5" t="str">
        <f>IFERROR(__xludf.DUMMYFUNCTION("GOOGLETRANSLATE(B751,""en"",""de"")"),"Ein weißer Mann ist draußen in einer Schottlanduniform gekleidet, die draußen mitten auf einem Friedhof steht.")</f>
        <v>Ein weißer Mann ist draußen in einer Schottlanduniform gekleidet, die draußen mitten auf einem Friedhof steht.</v>
      </c>
    </row>
    <row r="752">
      <c r="A752" s="4" t="s">
        <v>952</v>
      </c>
      <c r="B752" s="4" t="s">
        <v>954</v>
      </c>
      <c r="C752" s="5" t="str">
        <f>IFERROR(__xludf.DUMMYFUNCTION("GOOGLETRANSLATE(B752,""en"",""de"")"),"Während er steht, spielt er die Taschenrohre, wobei die amerikanische Flagge von ihnen abhängt.")</f>
        <v>Während er steht, spielt er die Taschenrohre, wobei die amerikanische Flagge von ihnen abhängt.</v>
      </c>
    </row>
    <row r="753">
      <c r="A753" s="4" t="s">
        <v>952</v>
      </c>
      <c r="B753" s="4" t="s">
        <v>955</v>
      </c>
      <c r="C753" s="5" t="str">
        <f>IFERROR(__xludf.DUMMYFUNCTION("GOOGLETRANSLATE(B753,""en"",""de"")"),"Wenn er fertig ist, schaut er nach rechts, schüttelt den Kopf, holt den Atem und spielt weiter.")</f>
        <v>Wenn er fertig ist, schaut er nach rechts, schüttelt den Kopf, holt den Atem und spielt weiter.</v>
      </c>
    </row>
    <row r="754">
      <c r="A754" s="4" t="s">
        <v>956</v>
      </c>
      <c r="B754" s="4" t="s">
        <v>957</v>
      </c>
      <c r="C754" s="5" t="str">
        <f>IFERROR(__xludf.DUMMYFUNCTION("GOOGLETRANSLATE(B754,""en"",""de"")"),"Eine Nahaufnahme eines Schildes wird von einem jungen Paar gesehen, das zur Kamera schaut.")</f>
        <v>Eine Nahaufnahme eines Schildes wird von einem jungen Paar gesehen, das zur Kamera schaut.</v>
      </c>
    </row>
    <row r="755">
      <c r="A755" s="4" t="s">
        <v>956</v>
      </c>
      <c r="B755" s="4" t="s">
        <v>958</v>
      </c>
      <c r="C755" s="5" t="str">
        <f>IFERROR(__xludf.DUMMYFUNCTION("GOOGLETRANSLATE(B755,""en"",""de"")"),"Andere Menschen stehen nebenbei und beobachten die anderen beiden.")</f>
        <v>Andere Menschen stehen nebenbei und beobachten die anderen beiden.</v>
      </c>
    </row>
    <row r="756">
      <c r="A756" s="4" t="s">
        <v>956</v>
      </c>
      <c r="B756" s="4" t="s">
        <v>959</v>
      </c>
      <c r="C756" s="5" t="str">
        <f>IFERROR(__xludf.DUMMYFUNCTION("GOOGLETRANSLATE(B756,""en"",""de"")"),"Das Coupé hält an und springt dann von der Seite, während die anderen stehen und zuschauen.")</f>
        <v>Das Coupé hält an und springt dann von der Seite, während die anderen stehen und zuschauen.</v>
      </c>
    </row>
    <row r="757">
      <c r="A757" s="4" t="s">
        <v>960</v>
      </c>
      <c r="B757" s="4" t="s">
        <v>961</v>
      </c>
      <c r="C757" s="5" t="str">
        <f>IFERROR(__xludf.DUMMYFUNCTION("GOOGLETRANSLATE(B757,""en"",""de"")"),"Eine Person wird vor dem Publikum verschiedene Flips und Tricks durchführen und führt zu einem Jungen, der in der Mitte steht.")</f>
        <v>Eine Person wird vor dem Publikum verschiedene Flips und Tricks durchführen und führt zu einem Jungen, der in der Mitte steht.</v>
      </c>
    </row>
    <row r="758">
      <c r="A758" s="4" t="s">
        <v>960</v>
      </c>
      <c r="B758" s="4" t="s">
        <v>962</v>
      </c>
      <c r="C758" s="5" t="str">
        <f>IFERROR(__xludf.DUMMYFUNCTION("GOOGLETRANSLATE(B758,""en"",""de"")"),"Der Junge und der Mann kämpfen dann gegeneinander und enden mit dem Arm des Jungen.")</f>
        <v>Der Junge und der Mann kämpfen dann gegeneinander und enden mit dem Arm des Jungen.</v>
      </c>
    </row>
    <row r="759">
      <c r="A759" s="4" t="s">
        <v>960</v>
      </c>
      <c r="B759" s="4" t="s">
        <v>963</v>
      </c>
      <c r="C759" s="5" t="str">
        <f>IFERROR(__xludf.DUMMYFUNCTION("GOOGLETRANSLATE(B759,""en"",""de"")"),"Dann klatscht er zu dem Jungen und mehreren Leuten auf der Seite klatschen.")</f>
        <v>Dann klatscht er zu dem Jungen und mehreren Leuten auf der Seite klatschen.</v>
      </c>
    </row>
    <row r="760">
      <c r="A760" s="4" t="s">
        <v>964</v>
      </c>
      <c r="B760" s="4" t="s">
        <v>965</v>
      </c>
      <c r="C760" s="5" t="str">
        <f>IFERROR(__xludf.DUMMYFUNCTION("GOOGLETRANSLATE(B760,""en"",""de"")"),"Ein kleiner Junge, der Karate macht, schreibt Befehle.")</f>
        <v>Ein kleiner Junge, der Karate macht, schreibt Befehle.</v>
      </c>
    </row>
    <row r="761">
      <c r="A761" s="4" t="s">
        <v>964</v>
      </c>
      <c r="B761" s="4" t="s">
        <v>966</v>
      </c>
      <c r="C761" s="5" t="str">
        <f>IFERROR(__xludf.DUMMYFUNCTION("GOOGLETRANSLATE(B761,""en"",""de"")"),"Er beginnt einige seiner Karate -Züge zu machen und bewegt sich rundum auf dem Platz.")</f>
        <v>Er beginnt einige seiner Karate -Züge zu machen und bewegt sich rundum auf dem Platz.</v>
      </c>
    </row>
    <row r="762">
      <c r="A762" s="4" t="s">
        <v>964</v>
      </c>
      <c r="B762" s="4" t="s">
        <v>967</v>
      </c>
      <c r="C762" s="5" t="str">
        <f>IFERROR(__xludf.DUMMYFUNCTION("GOOGLETRANSLATE(B762,""en"",""de"")"),"Er ist ein blauer Gürtel, der für seine Fähigkeiten beurteilt wird.")</f>
        <v>Er ist ein blauer Gürtel, der für seine Fähigkeiten beurteilt wird.</v>
      </c>
    </row>
    <row r="763">
      <c r="A763" s="4" t="s">
        <v>964</v>
      </c>
      <c r="B763" s="4" t="s">
        <v>968</v>
      </c>
      <c r="C763" s="5" t="str">
        <f>IFERROR(__xludf.DUMMYFUNCTION("GOOGLETRANSLATE(B763,""en"",""de"")"),"Er beugt anmutig, bevor er weggeht und die Richter ihre Flaggen hochwerfen.")</f>
        <v>Er beugt anmutig, bevor er weggeht und die Richter ihre Flaggen hochwerfen.</v>
      </c>
    </row>
    <row r="764">
      <c r="A764" s="4" t="s">
        <v>969</v>
      </c>
      <c r="B764" s="4" t="s">
        <v>970</v>
      </c>
      <c r="C764" s="5" t="str">
        <f>IFERROR(__xludf.DUMMYFUNCTION("GOOGLETRANSLATE(B764,""en"",""de"")"),"Eine Gruppe von Männern steht auf einem Tauchbrett und sie springen vom Tauchbrett.")</f>
        <v>Eine Gruppe von Männern steht auf einem Tauchbrett und sie springen vom Tauchbrett.</v>
      </c>
    </row>
    <row r="765">
      <c r="A765" s="4" t="s">
        <v>969</v>
      </c>
      <c r="B765" s="4" t="s">
        <v>971</v>
      </c>
      <c r="C765" s="5" t="str">
        <f>IFERROR(__xludf.DUMMYFUNCTION("GOOGLETRANSLATE(B765,""en"",""de"")"),"Während die letzte Person vom Brett springt, wird eine Gruppe von Männern gezeigt, die über den Pool gehen.")</f>
        <v>Während die letzte Person vom Brett springt, wird eine Gruppe von Männern gezeigt, die über den Pool gehen.</v>
      </c>
    </row>
    <row r="766">
      <c r="A766" s="4" t="s">
        <v>972</v>
      </c>
      <c r="B766" s="4" t="s">
        <v>973</v>
      </c>
      <c r="C766" s="5" t="str">
        <f>IFERROR(__xludf.DUMMYFUNCTION("GOOGLETRANSLATE(B766,""en"",""de"")"),"Eine Frau mit blonden Haaren, einer lila Jacke und schwarzen Handschuhen steht in der Nähe eines stabilen Redens.")</f>
        <v>Eine Frau mit blonden Haaren, einer lila Jacke und schwarzen Handschuhen steht in der Nähe eines stabilen Redens.</v>
      </c>
    </row>
    <row r="767">
      <c r="A767" s="4" t="s">
        <v>972</v>
      </c>
      <c r="B767" s="4" t="s">
        <v>974</v>
      </c>
      <c r="C767" s="5" t="str">
        <f>IFERROR(__xludf.DUMMYFUNCTION("GOOGLETRANSLATE(B767,""en"",""de"")"),"Während sie weiter redet, wird ihr Sattel gezeigt und sie beginnt über die Besonderheiten zu sprechen.")</f>
        <v>Während sie weiter redet, wird ihr Sattel gezeigt und sie beginnt über die Besonderheiten zu sprechen.</v>
      </c>
    </row>
    <row r="768">
      <c r="A768" s="4" t="s">
        <v>972</v>
      </c>
      <c r="B768" s="4" t="s">
        <v>975</v>
      </c>
      <c r="C768" s="5" t="str">
        <f>IFERROR(__xludf.DUMMYFUNCTION("GOOGLETRANSLATE(B768,""en"",""de"")"),"Die Dame legt es dann auf das Pferd und fängt an, bestimmte Teile davon zu reiben, um sicherzustellen, dass es sicher ist.")</f>
        <v>Die Dame legt es dann auf das Pferd und fängt an, bestimmte Teile davon zu reiben, um sicherzustellen, dass es sicher ist.</v>
      </c>
    </row>
    <row r="769">
      <c r="A769" s="4" t="s">
        <v>976</v>
      </c>
      <c r="B769" s="4" t="s">
        <v>977</v>
      </c>
      <c r="C769" s="5" t="str">
        <f>IFERROR(__xludf.DUMMYFUNCTION("GOOGLETRANSLATE(B769,""en"",""de"")"),"Eine Nahaufnahme eines Globus wird mit einer Person gezeigt, die eine Shisha darauf zeigt.")</f>
        <v>Eine Nahaufnahme eines Globus wird mit einer Person gezeigt, die eine Shisha darauf zeigt.</v>
      </c>
    </row>
    <row r="770">
      <c r="A770" s="4" t="s">
        <v>976</v>
      </c>
      <c r="B770" s="4" t="s">
        <v>978</v>
      </c>
      <c r="C770" s="5" t="str">
        <f>IFERROR(__xludf.DUMMYFUNCTION("GOOGLETRANSLATE(B770,""en"",""de"")"),"Der Mann wird dann genau in die Kamera schauen.")</f>
        <v>Der Mann wird dann genau in die Kamera schauen.</v>
      </c>
    </row>
    <row r="771">
      <c r="A771" s="4" t="s">
        <v>976</v>
      </c>
      <c r="B771" s="4" t="s">
        <v>979</v>
      </c>
      <c r="C771" s="5" t="str">
        <f>IFERROR(__xludf.DUMMYFUNCTION("GOOGLETRANSLATE(B771,""en"",""de"")"),"Er bläst schließlich Rauchringe aus seinem Mund.")</f>
        <v>Er bläst schließlich Rauchringe aus seinem Mund.</v>
      </c>
    </row>
    <row r="772">
      <c r="A772" s="4" t="s">
        <v>980</v>
      </c>
      <c r="B772" s="4" t="s">
        <v>981</v>
      </c>
      <c r="C772" s="5" t="str">
        <f>IFERROR(__xludf.DUMMYFUNCTION("GOOGLETRANSLATE(B772,""en"",""de"")"),"Das Wort Curling erscheint mehrfach auf dem Bildschirm.")</f>
        <v>Das Wort Curling erscheint mehrfach auf dem Bildschirm.</v>
      </c>
    </row>
    <row r="773">
      <c r="A773" s="4" t="s">
        <v>980</v>
      </c>
      <c r="B773" s="4" t="s">
        <v>982</v>
      </c>
      <c r="C773" s="5" t="str">
        <f>IFERROR(__xludf.DUMMYFUNCTION("GOOGLETRANSLATE(B773,""en"",""de"")"),"Es wird gezeigt, dass eine Frau von einem Spezialisten getrocknet, gebürstet und zusammengerollt wird.")</f>
        <v>Es wird gezeigt, dass eine Frau von einem Spezialisten getrocknet, gebürstet und zusammengerollt wird.</v>
      </c>
    </row>
    <row r="774">
      <c r="A774" s="4" t="s">
        <v>980</v>
      </c>
      <c r="B774" s="4" t="s">
        <v>983</v>
      </c>
      <c r="C774" s="5" t="str">
        <f>IFERROR(__xludf.DUMMYFUNCTION("GOOGLETRANSLATE(B774,""en"",""de"")"),"Er platziert ihre Haare, die Walzen sind, nimmt sie ab und stilft sie.")</f>
        <v>Er platziert ihre Haare, die Walzen sind, nimmt sie ab und stilft sie.</v>
      </c>
    </row>
    <row r="775">
      <c r="A775" s="4" t="s">
        <v>980</v>
      </c>
      <c r="B775" s="4" t="s">
        <v>984</v>
      </c>
      <c r="C775" s="5" t="str">
        <f>IFERROR(__xludf.DUMMYFUNCTION("GOOGLETRANSLATE(B775,""en"",""de"")"),"Dann posiert sie mit ihrer neuen Frisur.")</f>
        <v>Dann posiert sie mit ihrer neuen Frisur.</v>
      </c>
    </row>
    <row r="776">
      <c r="A776" s="4" t="s">
        <v>985</v>
      </c>
      <c r="B776" s="4" t="s">
        <v>986</v>
      </c>
      <c r="C776" s="5" t="str">
        <f>IFERROR(__xludf.DUMMYFUNCTION("GOOGLETRANSLATE(B776,""en"",""de"")"),"Es werden mehrere Schüsse eines Gebäudes sowie ein See gezeigt, der von Bäumen umgeben ist.")</f>
        <v>Es werden mehrere Schüsse eines Gebäudes sowie ein See gezeigt, der von Bäumen umgeben ist.</v>
      </c>
    </row>
    <row r="777">
      <c r="A777" s="4" t="s">
        <v>985</v>
      </c>
      <c r="B777" s="4" t="s">
        <v>987</v>
      </c>
      <c r="C777" s="5" t="str">
        <f>IFERROR(__xludf.DUMMYFUNCTION("GOOGLETRANSLATE(B777,""en"",""de"")"),"Viele Menschen sind gesehen, wie sie Kanus fahren und die Füße und Beine einer Person gezeigt werden.")</f>
        <v>Viele Menschen sind gesehen, wie sie Kanus fahren und die Füße und Beine einer Person gezeigt werden.</v>
      </c>
    </row>
    <row r="778">
      <c r="A778" s="4" t="s">
        <v>985</v>
      </c>
      <c r="B778" s="4" t="s">
        <v>988</v>
      </c>
      <c r="C778" s="5" t="str">
        <f>IFERROR(__xludf.DUMMYFUNCTION("GOOGLETRANSLATE(B778,""en"",""de"")"),"Die Menschen reiten den Fluss hinunter, während die Kamera in mehr Landschaften und Bäumen schwenkt.")</f>
        <v>Die Menschen reiten den Fluss hinunter, während die Kamera in mehr Landschaften und Bäumen schwenkt.</v>
      </c>
    </row>
    <row r="779">
      <c r="A779" s="4" t="s">
        <v>989</v>
      </c>
      <c r="B779" s="4" t="s">
        <v>990</v>
      </c>
      <c r="C779" s="5" t="str">
        <f>IFERROR(__xludf.DUMMYFUNCTION("GOOGLETRANSLATE(B779,""en"",""de"")"),"Wir sehen einen Jungen, der im Dreck hockt.")</f>
        <v>Wir sehen einen Jungen, der im Dreck hockt.</v>
      </c>
    </row>
    <row r="780">
      <c r="A780" s="4" t="s">
        <v>989</v>
      </c>
      <c r="B780" s="4" t="s">
        <v>991</v>
      </c>
      <c r="C780" s="5" t="str">
        <f>IFERROR(__xludf.DUMMYFUNCTION("GOOGLETRANSLATE(B780,""en"",""de"")"),"Wir sehen dann den Titelbildschirm.")</f>
        <v>Wir sehen dann den Titelbildschirm.</v>
      </c>
    </row>
    <row r="781">
      <c r="A781" s="4" t="s">
        <v>989</v>
      </c>
      <c r="B781" s="4" t="s">
        <v>992</v>
      </c>
      <c r="C781" s="5" t="str">
        <f>IFERROR(__xludf.DUMMYFUNCTION("GOOGLETRANSLATE(B781,""en"",""de"")"),"Der kleine Junge versucht mit einem Feuerstein ein Lagerfeuer zu machen.")</f>
        <v>Der kleine Junge versucht mit einem Feuerstein ein Lagerfeuer zu machen.</v>
      </c>
    </row>
    <row r="782">
      <c r="A782" s="4" t="s">
        <v>989</v>
      </c>
      <c r="B782" s="4" t="s">
        <v>993</v>
      </c>
      <c r="C782" s="5" t="str">
        <f>IFERROR(__xludf.DUMMYFUNCTION("GOOGLETRANSLATE(B782,""en"",""de"")"),"Kleine Flammen beginnen und wachsen.")</f>
        <v>Kleine Flammen beginnen und wachsen.</v>
      </c>
    </row>
    <row r="783">
      <c r="A783" s="4" t="s">
        <v>989</v>
      </c>
      <c r="B783" s="4" t="s">
        <v>994</v>
      </c>
      <c r="C783" s="5" t="str">
        <f>IFERROR(__xludf.DUMMYFUNCTION("GOOGLETRANSLATE(B783,""en"",""de"")"),"Der Junge steht neben seinem Feuer.")</f>
        <v>Der Junge steht neben seinem Feuer.</v>
      </c>
    </row>
    <row r="784">
      <c r="A784" s="4" t="s">
        <v>989</v>
      </c>
      <c r="B784" s="4" t="s">
        <v>995</v>
      </c>
      <c r="C784" s="5" t="str">
        <f>IFERROR(__xludf.DUMMYFUNCTION("GOOGLETRANSLATE(B784,""en"",""de"")"),"Wir sehen 2 Titelkarten über das Überleben von Feuer und die Website wird vor den Endbildschirmen angezeigt.")</f>
        <v>Wir sehen 2 Titelkarten über das Überleben von Feuer und die Website wird vor den Endbildschirmen angezeigt.</v>
      </c>
    </row>
    <row r="785">
      <c r="A785" s="4" t="s">
        <v>996</v>
      </c>
      <c r="B785" s="4" t="s">
        <v>997</v>
      </c>
      <c r="C785" s="5" t="str">
        <f>IFERROR(__xludf.DUMMYFUNCTION("GOOGLETRANSLATE(B785,""en"",""de"")"),"Eine Gruppe von Menschen steht auf einem Parkplatz.")</f>
        <v>Eine Gruppe von Menschen steht auf einem Parkplatz.</v>
      </c>
    </row>
    <row r="786">
      <c r="A786" s="4" t="s">
        <v>996</v>
      </c>
      <c r="B786" s="4" t="s">
        <v>998</v>
      </c>
      <c r="C786" s="5" t="str">
        <f>IFERROR(__xludf.DUMMYFUNCTION("GOOGLETRANSLATE(B786,""en"",""de"")"),"Die Menschen bewegen sich in mehreren Kampfkunsttechniken.")</f>
        <v>Die Menschen bewegen sich in mehreren Kampfkunsttechniken.</v>
      </c>
    </row>
    <row r="787">
      <c r="A787" s="4" t="s">
        <v>996</v>
      </c>
      <c r="B787" s="4" t="s">
        <v>999</v>
      </c>
      <c r="C787" s="5" t="str">
        <f>IFERROR(__xludf.DUMMYFUNCTION("GOOGLETRANSLATE(B787,""en"",""de"")"),"Sie treten und schlagen hin und her.")</f>
        <v>Sie treten und schlagen hin und her.</v>
      </c>
    </row>
    <row r="788">
      <c r="A788" s="4" t="s">
        <v>1000</v>
      </c>
      <c r="B788" s="4" t="s">
        <v>1001</v>
      </c>
      <c r="C788" s="5" t="str">
        <f>IFERROR(__xludf.DUMMYFUNCTION("GOOGLETRANSLATE(B788,""en"",""de"")"),"Wir sehen einen platten Reifen auf einem Auto.")</f>
        <v>Wir sehen einen platten Reifen auf einem Auto.</v>
      </c>
    </row>
    <row r="789">
      <c r="A789" s="4" t="s">
        <v>1000</v>
      </c>
      <c r="B789" s="4" t="s">
        <v>1002</v>
      </c>
      <c r="C789" s="5" t="str">
        <f>IFERROR(__xludf.DUMMYFUNCTION("GOOGLETRANSLATE(B789,""en"",""de"")"),"Der Besitzer nimmt den Ersatzreifen und die Werkzeuge heraus.")</f>
        <v>Der Besitzer nimmt den Ersatzreifen und die Werkzeuge heraus.</v>
      </c>
    </row>
    <row r="790">
      <c r="A790" s="4" t="s">
        <v>1000</v>
      </c>
      <c r="B790" s="4" t="s">
        <v>1003</v>
      </c>
      <c r="C790" s="5" t="str">
        <f>IFERROR(__xludf.DUMMYFUNCTION("GOOGLETRANSLATE(B790,""en"",""de"")"),"Die Person hebt das Auto auf.")</f>
        <v>Die Person hebt das Auto auf.</v>
      </c>
    </row>
    <row r="791">
      <c r="A791" s="4" t="s">
        <v>1000</v>
      </c>
      <c r="B791" s="4" t="s">
        <v>1004</v>
      </c>
      <c r="C791" s="5" t="str">
        <f>IFERROR(__xludf.DUMMYFUNCTION("GOOGLETRANSLATE(B791,""en"",""de"")"),"Die Person legt ihre Hand unter den erhöhten Reifen.")</f>
        <v>Die Person legt ihre Hand unter den erhöhten Reifen.</v>
      </c>
    </row>
    <row r="792">
      <c r="A792" s="4" t="s">
        <v>1000</v>
      </c>
      <c r="B792" s="4" t="s">
        <v>1005</v>
      </c>
      <c r="C792" s="5" t="str">
        <f>IFERROR(__xludf.DUMMYFUNCTION("GOOGLETRANSLATE(B792,""en"",""de"")"),"Der Mann nimmt den schlechten Reifen ab.")</f>
        <v>Der Mann nimmt den schlechten Reifen ab.</v>
      </c>
    </row>
    <row r="793">
      <c r="A793" s="4" t="s">
        <v>1000</v>
      </c>
      <c r="B793" s="4" t="s">
        <v>1006</v>
      </c>
      <c r="C793" s="5" t="str">
        <f>IFERROR(__xludf.DUMMYFUNCTION("GOOGLETRANSLATE(B793,""en"",""de"")"),"Der Mann zeigt eine Schraube in seinem Reifen.")</f>
        <v>Der Mann zeigt eine Schraube in seinem Reifen.</v>
      </c>
    </row>
    <row r="794">
      <c r="A794" s="4" t="s">
        <v>1000</v>
      </c>
      <c r="B794" s="4" t="s">
        <v>1007</v>
      </c>
      <c r="C794" s="5" t="str">
        <f>IFERROR(__xludf.DUMMYFUNCTION("GOOGLETRANSLATE(B794,""en"",""de"")"),"Der Mann zieht den Ersatzreifen auf.")</f>
        <v>Der Mann zieht den Ersatzreifen auf.</v>
      </c>
    </row>
    <row r="795">
      <c r="A795" s="4" t="s">
        <v>1000</v>
      </c>
      <c r="B795" s="4" t="s">
        <v>1008</v>
      </c>
      <c r="C795" s="5" t="str">
        <f>IFERROR(__xludf.DUMMYFUNCTION("GOOGLETRANSLATE(B795,""en"",""de"")"),"Der Mann senkt das Auto auf dem Ersatz.")</f>
        <v>Der Mann senkt das Auto auf dem Ersatz.</v>
      </c>
    </row>
    <row r="796">
      <c r="A796" s="4" t="s">
        <v>1009</v>
      </c>
      <c r="B796" s="4" t="s">
        <v>1010</v>
      </c>
      <c r="C796" s="5" t="str">
        <f>IFERROR(__xludf.DUMMYFUNCTION("GOOGLETRANSLATE(B796,""en"",""de"")"),"Ein Mann in einem Kanu spricht in einem See, umgeben von großen Felsen, Bäumen, Laub, streunenden Kajaks und anderen Menschen in Kanus.")</f>
        <v>Ein Mann in einem Kanu spricht in einem See, umgeben von großen Felsen, Bäumen, Laub, streunenden Kajaks und anderen Menschen in Kanus.</v>
      </c>
    </row>
    <row r="797">
      <c r="A797" s="4" t="s">
        <v>1009</v>
      </c>
      <c r="B797" s="4" t="s">
        <v>1011</v>
      </c>
      <c r="C797" s="5" t="str">
        <f>IFERROR(__xludf.DUMMYFUNCTION("GOOGLETRANSLATE(B797,""en"",""de"")"),"Der Mann beginnt mit einer Profilansicht, die ein Paddel hält, während er in einem Kanu sitzt und mit einer Kamera spricht, die gelegentlich auf ein nahe gelegenes Ufer mit dem Paddel zeigt.")</f>
        <v>Der Mann beginnt mit einer Profilansicht, die ein Paddel hält, während er in einem Kanu sitzt und mit einer Kamera spricht, die gelegentlich auf ein nahe gelegenes Ufer mit dem Paddel zeigt.</v>
      </c>
    </row>
    <row r="798">
      <c r="A798" s="4" t="s">
        <v>1009</v>
      </c>
      <c r="B798" s="4" t="s">
        <v>1012</v>
      </c>
      <c r="C798" s="5" t="str">
        <f>IFERROR(__xludf.DUMMYFUNCTION("GOOGLETRANSLATE(B798,""en"",""de"")"),"Der Mann benutzt das Paddel im Wasser, um das Kanu tiefer ins Wasser zu schieben.")</f>
        <v>Der Mann benutzt das Paddel im Wasser, um das Kanu tiefer ins Wasser zu schieben.</v>
      </c>
    </row>
    <row r="799">
      <c r="A799" s="4" t="s">
        <v>1009</v>
      </c>
      <c r="B799" s="4" t="s">
        <v>1013</v>
      </c>
      <c r="C799" s="5" t="str">
        <f>IFERROR(__xludf.DUMMYFUNCTION("GOOGLETRANSLATE(B799,""en"",""de"")"),"Der Mann beginnt sich frei im Wasser zu paddeln und fährt auf dem Weg, eine Gruppe von Menschen auf einem Kanu und mehrere streunende Kanus und Kajaks im Wasser, bevor sie sich in der Nähe und Reden wieder der Kamera gegenübersehen.")</f>
        <v>Der Mann beginnt sich frei im Wasser zu paddeln und fährt auf dem Weg, eine Gruppe von Menschen auf einem Kanu und mehrere streunende Kanus und Kajaks im Wasser, bevor sie sich in der Nähe und Reden wieder der Kamera gegenübersehen.</v>
      </c>
    </row>
    <row r="800">
      <c r="A800" s="4" t="s">
        <v>1014</v>
      </c>
      <c r="B800" s="4" t="s">
        <v>1015</v>
      </c>
      <c r="C800" s="5" t="str">
        <f>IFERROR(__xludf.DUMMYFUNCTION("GOOGLETRANSLATE(B800,""en"",""de"")"),"Weiße Worte erscheinen auf dem Bildschirm und sagen ""The American Dream"" und ein Mann, der einen Helm trägt Bereich.")</f>
        <v>Weiße Worte erscheinen auf dem Bildschirm und sagen "The American Dream" und ein Mann, der einen Helm trägt Bereich.</v>
      </c>
    </row>
    <row r="801">
      <c r="A801" s="4" t="s">
        <v>1014</v>
      </c>
      <c r="B801" s="4" t="s">
        <v>1016</v>
      </c>
      <c r="C801" s="5" t="str">
        <f>IFERROR(__xludf.DUMMYFUNCTION("GOOGLETRANSLATE(B801,""en"",""de"")"),"Der Mann fährt jetzt in einer Straße in einem Wohngebiet, in dem er viele Häuser mit dem auf den Straßen geparkten Autos überträgt.")</f>
        <v>Der Mann fährt jetzt in einer Straße in einem Wohngebiet, in dem er viele Häuser mit dem auf den Straßen geparkten Autos überträgt.</v>
      </c>
    </row>
    <row r="802">
      <c r="A802" s="4" t="s">
        <v>1014</v>
      </c>
      <c r="B802" s="4" t="s">
        <v>1017</v>
      </c>
      <c r="C802" s="5" t="str">
        <f>IFERROR(__xludf.DUMMYFUNCTION("GOOGLETRANSLATE(B802,""en"",""de"")"),"Der Mann fährt weiterhin durch Wohngebiete, Wasserkanten entlang von Parks, Häfen, Städten und etcetera.")</f>
        <v>Der Mann fährt weiterhin durch Wohngebiete, Wasserkanten entlang von Parks, Häfen, Städten und etcetera.</v>
      </c>
    </row>
    <row r="803">
      <c r="A803" s="4" t="s">
        <v>1014</v>
      </c>
      <c r="B803" s="4" t="s">
        <v>1018</v>
      </c>
      <c r="C803" s="5" t="str">
        <f>IFERROR(__xludf.DUMMYFUNCTION("GOOGLETRANSLATE(B803,""en"",""de"")"),"Der Mann endet mit einem Spaziergang entlang eines felsigen Strandes und trägt sein Skateboard auf der rechten Schulter.")</f>
        <v>Der Mann endet mit einem Spaziergang entlang eines felsigen Strandes und trägt sein Skateboard auf der rechten Schulter.</v>
      </c>
    </row>
    <row r="804">
      <c r="A804" s="4" t="s">
        <v>1019</v>
      </c>
      <c r="B804" s="4" t="s">
        <v>1020</v>
      </c>
      <c r="C804" s="5" t="str">
        <f>IFERROR(__xludf.DUMMYFUNCTION("GOOGLETRANSLATE(B804,""en"",""de"")"),"Eine Frau hält ein Mikrofon vor einem Raum.")</f>
        <v>Eine Frau hält ein Mikrofon vor einem Raum.</v>
      </c>
    </row>
    <row r="805">
      <c r="A805" s="4" t="s">
        <v>1019</v>
      </c>
      <c r="B805" s="4" t="s">
        <v>1021</v>
      </c>
      <c r="C805" s="5" t="str">
        <f>IFERROR(__xludf.DUMMYFUNCTION("GOOGLETRANSLATE(B805,""en"",""de"")"),"Die Leute spielen Wallball im Raum.")</f>
        <v>Die Leute spielen Wallball im Raum.</v>
      </c>
    </row>
    <row r="806">
      <c r="A806" s="4" t="s">
        <v>1019</v>
      </c>
      <c r="B806" s="4" t="s">
        <v>1022</v>
      </c>
      <c r="C806" s="5" t="str">
        <f>IFERROR(__xludf.DUMMYFUNCTION("GOOGLETRANSLATE(B806,""en"",""de"")"),"Die Frau hält ein Stück Papier.")</f>
        <v>Die Frau hält ein Stück Papier.</v>
      </c>
    </row>
    <row r="807">
      <c r="A807" s="4" t="s">
        <v>1023</v>
      </c>
      <c r="B807" s="4" t="s">
        <v>1024</v>
      </c>
      <c r="C807" s="5" t="str">
        <f>IFERROR(__xludf.DUMMYFUNCTION("GOOGLETRANSLATE(B807,""en"",""de"")"),"Das ""llumar"" -Logo wird auf dem Bildschirm angezeigt.")</f>
        <v>Das "llumar" -Logo wird auf dem Bildschirm angezeigt.</v>
      </c>
    </row>
    <row r="808">
      <c r="A808" s="4" t="s">
        <v>1023</v>
      </c>
      <c r="B808" s="4" t="s">
        <v>1025</v>
      </c>
      <c r="C808" s="5" t="str">
        <f>IFERROR(__xludf.DUMMYFUNCTION("GOOGLETRANSLATE(B808,""en"",""de"")"),"Ein junges Mädchen mit einem Pool -Cue geht zu einem Billardtisch, die Kamera konzentriert sich auf ihr niedrig geschnittenes Oberteil.")</f>
        <v>Ein junges Mädchen mit einem Pool -Cue geht zu einem Billardtisch, die Kamera konzentriert sich auf ihr niedrig geschnittenes Oberteil.</v>
      </c>
    </row>
    <row r="809">
      <c r="A809" s="4" t="s">
        <v>1023</v>
      </c>
      <c r="B809" s="4" t="s">
        <v>1026</v>
      </c>
      <c r="C809" s="5" t="str">
        <f>IFERROR(__xludf.DUMMYFUNCTION("GOOGLETRANSLATE(B809,""en"",""de"")"),"Mehrere Frauen spielen am Tisch Pool in der enthüllenden Kleidung.")</f>
        <v>Mehrere Frauen spielen am Tisch Pool in der enthüllenden Kleidung.</v>
      </c>
    </row>
    <row r="810">
      <c r="A810" s="4" t="s">
        <v>1023</v>
      </c>
      <c r="B810" s="4" t="s">
        <v>1027</v>
      </c>
      <c r="C810" s="5" t="str">
        <f>IFERROR(__xludf.DUMMYFUNCTION("GOOGLETRANSLATE(B810,""en"",""de"")"),"Das ""Llumar"" -Logo taucht wieder auf dem Bildschirm auf.")</f>
        <v>Das "Llumar" -Logo taucht wieder auf dem Bildschirm auf.</v>
      </c>
    </row>
    <row r="811">
      <c r="A811" s="4" t="s">
        <v>1028</v>
      </c>
      <c r="B811" s="4" t="s">
        <v>1029</v>
      </c>
      <c r="C811" s="5" t="str">
        <f>IFERROR(__xludf.DUMMYFUNCTION("GOOGLETRANSLATE(B811,""en"",""de"")"),"Ein junges Mädchen steht auf einem Tennisplatz, der einen Schläger hält.")</f>
        <v>Ein junges Mädchen steht auf einem Tennisplatz, der einen Schläger hält.</v>
      </c>
    </row>
    <row r="812">
      <c r="A812" s="4" t="s">
        <v>1028</v>
      </c>
      <c r="B812" s="4" t="s">
        <v>1030</v>
      </c>
      <c r="C812" s="5" t="str">
        <f>IFERROR(__xludf.DUMMYFUNCTION("GOOGLETRANSLATE(B812,""en"",""de"")"),"Die Frau beginnt den Schläger zu schwingen, während ein anderer Junge neben ihr steht.")</f>
        <v>Die Frau beginnt den Schläger zu schwingen, während ein anderer Junge neben ihr steht.</v>
      </c>
    </row>
    <row r="813">
      <c r="A813" s="4" t="s">
        <v>1028</v>
      </c>
      <c r="B813" s="4" t="s">
        <v>1031</v>
      </c>
      <c r="C813" s="5" t="str">
        <f>IFERROR(__xludf.DUMMYFUNCTION("GOOGLETRANSLATE(B813,""en"",""de"")"),"Die Frau schwingt weiter und geht zurück zum Jungen.")</f>
        <v>Die Frau schwingt weiter und geht zurück zum Jungen.</v>
      </c>
    </row>
    <row r="814">
      <c r="A814" s="4" t="s">
        <v>1032</v>
      </c>
      <c r="B814" s="4" t="s">
        <v>1033</v>
      </c>
      <c r="C814" s="5" t="str">
        <f>IFERROR(__xludf.DUMMYFUNCTION("GOOGLETRANSLATE(B814,""en"",""de"")"),"Mehrere Männer spielen in einem Fitnessstudio Fußball.")</f>
        <v>Mehrere Männer spielen in einem Fitnessstudio Fußball.</v>
      </c>
    </row>
    <row r="815">
      <c r="A815" s="4" t="s">
        <v>1032</v>
      </c>
      <c r="B815" s="4" t="s">
        <v>1034</v>
      </c>
      <c r="C815" s="5" t="str">
        <f>IFERROR(__xludf.DUMMYFUNCTION("GOOGLETRANSLATE(B815,""en"",""de"")"),"Es gibt einige Zuschauer im Hintergrund.")</f>
        <v>Es gibt einige Zuschauer im Hintergrund.</v>
      </c>
    </row>
    <row r="816">
      <c r="A816" s="4" t="s">
        <v>1032</v>
      </c>
      <c r="B816" s="4" t="s">
        <v>1035</v>
      </c>
      <c r="C816" s="5" t="str">
        <f>IFERROR(__xludf.DUMMYFUNCTION("GOOGLETRANSLATE(B816,""en"",""de"")"),"Eine andere Gruppe von Männern spielt Fußball.")</f>
        <v>Eine andere Gruppe von Männern spielt Fußball.</v>
      </c>
    </row>
    <row r="817">
      <c r="A817" s="4" t="s">
        <v>1032</v>
      </c>
      <c r="B817" s="4" t="s">
        <v>1036</v>
      </c>
      <c r="C817" s="5" t="str">
        <f>IFERROR(__xludf.DUMMYFUNCTION("GOOGLETRANSLATE(B817,""en"",""de"")"),"Es gibt Zuschauer im Hintergrund.")</f>
        <v>Es gibt Zuschauer im Hintergrund.</v>
      </c>
    </row>
    <row r="818">
      <c r="A818" s="4" t="s">
        <v>1032</v>
      </c>
      <c r="B818" s="4" t="s">
        <v>1037</v>
      </c>
      <c r="C818" s="5" t="str">
        <f>IFERROR(__xludf.DUMMYFUNCTION("GOOGLETRANSLATE(B818,""en"",""de"")"),"Bei Zuschauern werden verschiedene Szenen von Fußballspielen angezeigt.")</f>
        <v>Bei Zuschauern werden verschiedene Szenen von Fußballspielen angezeigt.</v>
      </c>
    </row>
    <row r="819">
      <c r="A819" s="4" t="s">
        <v>1038</v>
      </c>
      <c r="B819" s="4" t="s">
        <v>1039</v>
      </c>
      <c r="C819" s="5" t="str">
        <f>IFERROR(__xludf.DUMMYFUNCTION("GOOGLETRANSLATE(B819,""en"",""de"")"),"Ein paar Mädchen werden mitten in einem Park eine lange Rutsche hinunterfahren.")</f>
        <v>Ein paar Mädchen werden mitten in einem Park eine lange Rutsche hinunterfahren.</v>
      </c>
    </row>
    <row r="820">
      <c r="A820" s="4" t="s">
        <v>1038</v>
      </c>
      <c r="B820" s="4" t="s">
        <v>1040</v>
      </c>
      <c r="C820" s="5" t="str">
        <f>IFERROR(__xludf.DUMMYFUNCTION("GOOGLETRANSLATE(B820,""en"",""de"")"),"Mehr Kinder fahren die Rutsche entlang, während eine Mutter den Kindern an der Spitze hilft.")</f>
        <v>Mehr Kinder fahren die Rutsche entlang, während eine Mutter den Kindern an der Spitze hilft.</v>
      </c>
    </row>
    <row r="821">
      <c r="A821" s="4" t="s">
        <v>1041</v>
      </c>
      <c r="B821" s="4" t="s">
        <v>1042</v>
      </c>
      <c r="C821" s="5" t="str">
        <f>IFERROR(__xludf.DUMMYFUNCTION("GOOGLETRANSLATE(B821,""en"",""de"")"),"Eine Frau sitzt sich hin und hält ein Eis und schaut in die Kamera.")</f>
        <v>Eine Frau sitzt sich hin und hält ein Eis und schaut in die Kamera.</v>
      </c>
    </row>
    <row r="822">
      <c r="A822" s="4" t="s">
        <v>1041</v>
      </c>
      <c r="B822" s="4" t="s">
        <v>1043</v>
      </c>
      <c r="C822" s="5" t="str">
        <f>IFERROR(__xludf.DUMMYFUNCTION("GOOGLETRANSLATE(B822,""en"",""de"")"),"Sie isst weiterhin das Eis, während die Kamera um sie herum schwenkt und sie isst.")</f>
        <v>Sie isst weiterhin das Eis, während die Kamera um sie herum schwenkt und sie isst.</v>
      </c>
    </row>
    <row r="823">
      <c r="A823" s="4" t="s">
        <v>1044</v>
      </c>
      <c r="B823" s="4" t="s">
        <v>1045</v>
      </c>
      <c r="C823" s="5" t="str">
        <f>IFERROR(__xludf.DUMMYFUNCTION("GOOGLETRANSLATE(B823,""en"",""de"")"),"Ein Mann spielt einen Set Dudelsets, während die Leute hinter ihm durch Fahrräder herumschieben.")</f>
        <v>Ein Mann spielt einen Set Dudelsets, während die Leute hinter ihm durch Fahrräder herumschieben.</v>
      </c>
    </row>
    <row r="824">
      <c r="A824" s="4" t="s">
        <v>1044</v>
      </c>
      <c r="B824" s="4" t="s">
        <v>1046</v>
      </c>
      <c r="C824" s="5" t="str">
        <f>IFERROR(__xludf.DUMMYFUNCTION("GOOGLETRANSLATE(B824,""en"",""de"")"),"Er spielt wieder, während mehr Menschen mit Kindern und Hunden hinein- und aus dem Rahmen gehen.")</f>
        <v>Er spielt wieder, während mehr Menschen mit Kindern und Hunden hinein- und aus dem Rahmen gehen.</v>
      </c>
    </row>
    <row r="825">
      <c r="A825" s="4" t="s">
        <v>1044</v>
      </c>
      <c r="B825" s="4" t="s">
        <v>1047</v>
      </c>
      <c r="C825" s="5" t="str">
        <f>IFERROR(__xludf.DUMMYFUNCTION("GOOGLETRANSLATE(B825,""en"",""de"")"),"Einige Leute hören auf, ihn spielen zu hören, und er hört auf, in die Kamera zu schauen.")</f>
        <v>Einige Leute hören auf, ihn spielen zu hören, und er hört auf, in die Kamera zu schauen.</v>
      </c>
    </row>
    <row r="826">
      <c r="A826" s="4" t="s">
        <v>1048</v>
      </c>
      <c r="B826" s="4" t="s">
        <v>1049</v>
      </c>
      <c r="C826" s="5" t="str">
        <f>IFERROR(__xludf.DUMMYFUNCTION("GOOGLETRANSLATE(B826,""en"",""de"")"),"Ein Bauchtänzer in Rot und Schwarz zeigt, wie man Kreise und Schimmern schmeckt.")</f>
        <v>Ein Bauchtänzer in Rot und Schwarz zeigt, wie man Kreise und Schimmern schmeckt.</v>
      </c>
    </row>
    <row r="827">
      <c r="A827" s="4" t="s">
        <v>1048</v>
      </c>
      <c r="B827" s="4" t="s">
        <v>1050</v>
      </c>
      <c r="C827" s="5" t="str">
        <f>IFERROR(__xludf.DUMMYFUNCTION("GOOGLETRANSLATE(B827,""en"",""de"")"),"Sie steht mit der Hüftbreite der Füße auseinander.")</f>
        <v>Sie steht mit der Hüftbreite der Füße auseinander.</v>
      </c>
    </row>
    <row r="828">
      <c r="A828" s="4" t="s">
        <v>1048</v>
      </c>
      <c r="B828" s="4" t="s">
        <v>1051</v>
      </c>
      <c r="C828" s="5" t="str">
        <f>IFERROR(__xludf.DUMMYFUNCTION("GOOGLETRANSLATE(B828,""en"",""de"")"),"Dann zeigt sie, wie man die Fußarbeit macht, während sie ihre Hüften in Kreisen bewegt.")</f>
        <v>Dann zeigt sie, wie man die Fußarbeit macht, während sie ihre Hüften in Kreisen bewegt.</v>
      </c>
    </row>
    <row r="829">
      <c r="A829" s="4" t="s">
        <v>1048</v>
      </c>
      <c r="B829" s="4" t="s">
        <v>1052</v>
      </c>
      <c r="C829" s="5" t="str">
        <f>IFERROR(__xludf.DUMMYFUNCTION("GOOGLETRANSLATE(B829,""en"",""de"")"),"Sie bewegt gleichzeitig ihre Hüften und als sie sich seitlich bewegt.")</f>
        <v>Sie bewegt gleichzeitig ihre Hüften und als sie sich seitlich bewegt.</v>
      </c>
    </row>
    <row r="830">
      <c r="A830" s="4" t="s">
        <v>1048</v>
      </c>
      <c r="B830" s="4" t="s">
        <v>1053</v>
      </c>
      <c r="C830" s="5" t="str">
        <f>IFERROR(__xludf.DUMMYFUNCTION("GOOGLETRANSLATE(B830,""en"",""de"")"),"Dann streckt sie ihre Hände und auf einer Seite nach oben, als sie sich weiterhin seitlich bewegt.")</f>
        <v>Dann streckt sie ihre Hände und auf einer Seite nach oben, als sie sich weiterhin seitlich bewegt.</v>
      </c>
    </row>
    <row r="831">
      <c r="A831" s="4" t="s">
        <v>1048</v>
      </c>
      <c r="B831" s="4" t="s">
        <v>1054</v>
      </c>
      <c r="C831" s="5" t="str">
        <f>IFERROR(__xludf.DUMMYFUNCTION("GOOGLETRANSLATE(B831,""en"",""de"")"),"Sie wiederholt die Schritte hin und her, während sie ihre Hüften dreht.")</f>
        <v>Sie wiederholt die Schritte hin und her, während sie ihre Hüften dreht.</v>
      </c>
    </row>
    <row r="832">
      <c r="A832" s="4" t="s">
        <v>1055</v>
      </c>
      <c r="B832" s="4" t="s">
        <v>1056</v>
      </c>
      <c r="C832" s="5" t="str">
        <f>IFERROR(__xludf.DUMMYFUNCTION("GOOGLETRANSLATE(B832,""en"",""de"")"),"Ein Körperbauer der Frau hebt langsam eine riesige Langhantel von Gewichten in die Luft.")</f>
        <v>Ein Körperbauer der Frau hebt langsam eine riesige Langhantel von Gewichten in die Luft.</v>
      </c>
    </row>
    <row r="833">
      <c r="A833" s="4" t="s">
        <v>1055</v>
      </c>
      <c r="B833" s="4" t="s">
        <v>1057</v>
      </c>
      <c r="C833" s="5" t="str">
        <f>IFERROR(__xludf.DUMMYFUNCTION("GOOGLETRANSLATE(B833,""en"",""de"")"),"Sie hebt es an ihre Brust und dann über ihren Kopf, bevor sie an Ort und Stelle gefriert.")</f>
        <v>Sie hebt es an ihre Brust und dann über ihren Kopf, bevor sie an Ort und Stelle gefriert.</v>
      </c>
    </row>
    <row r="834">
      <c r="A834" s="4" t="s">
        <v>1058</v>
      </c>
      <c r="B834" s="4" t="s">
        <v>1059</v>
      </c>
      <c r="C834" s="5" t="str">
        <f>IFERROR(__xludf.DUMMYFUNCTION("GOOGLETRANSLATE(B834,""en"",""de"")"),"Ein Cheerleading -Team tritt auf einer blauen Matte auf.")</f>
        <v>Ein Cheerleading -Team tritt auf einer blauen Matte auf.</v>
      </c>
    </row>
    <row r="835">
      <c r="A835" s="4" t="s">
        <v>1058</v>
      </c>
      <c r="B835" s="4" t="s">
        <v>1060</v>
      </c>
      <c r="C835" s="5" t="str">
        <f>IFERROR(__xludf.DUMMYFUNCTION("GOOGLETRANSLATE(B835,""en"",""de"")"),"Sie tanzen und stürzen während ihrer Routine.")</f>
        <v>Sie tanzen und stürzen während ihrer Routine.</v>
      </c>
    </row>
    <row r="836">
      <c r="A836" s="4" t="s">
        <v>1061</v>
      </c>
      <c r="B836" s="4" t="s">
        <v>1062</v>
      </c>
      <c r="C836" s="5" t="str">
        <f>IFERROR(__xludf.DUMMYFUNCTION("GOOGLETRANSLATE(B836,""en"",""de"")"),"Kuchenchemie, in der erklärt wird, wie man ein Experiment zu Hause durchführt, geben alle die benötigten Zutaten und beginnen zu erklären, was sie tun werden.")</f>
        <v>Kuchenchemie, in der erklärt wird, wie man ein Experiment zu Hause durchführt, geben alle die benötigten Zutaten und beginnen zu erklären, was sie tun werden.</v>
      </c>
    </row>
    <row r="837">
      <c r="A837" s="4" t="s">
        <v>1061</v>
      </c>
      <c r="B837" s="4" t="s">
        <v>1063</v>
      </c>
      <c r="C837" s="5" t="str">
        <f>IFERROR(__xludf.DUMMYFUNCTION("GOOGLETRANSLATE(B837,""en"",""de"")"),"Der Start gibt Schritt für Schritt Anweisungen zum Zusammenmischen der Zutaten miteinander.")</f>
        <v>Der Start gibt Schritt für Schritt Anweisungen zum Zusammenmischen der Zutaten miteinander.</v>
      </c>
    </row>
    <row r="838">
      <c r="A838" s="4" t="s">
        <v>1061</v>
      </c>
      <c r="B838" s="4" t="s">
        <v>1064</v>
      </c>
      <c r="C838" s="5" t="str">
        <f>IFERROR(__xludf.DUMMYFUNCTION("GOOGLETRANSLATE(B838,""en"",""de"")"),"Sie geben sehr detaillierte Informationen darüber, was zu tun ist, bevor sie in den Ofen gesteckt werden.")</f>
        <v>Sie geben sehr detaillierte Informationen darüber, was zu tun ist, bevor sie in den Ofen gesteckt werden.</v>
      </c>
    </row>
    <row r="839">
      <c r="A839" s="4" t="s">
        <v>1061</v>
      </c>
      <c r="B839" s="4" t="s">
        <v>1065</v>
      </c>
      <c r="C839" s="5" t="str">
        <f>IFERROR(__xludf.DUMMYFUNCTION("GOOGLETRANSLATE(B839,""en"",""de"")"),"Einmal kommen sie aus dem Ofen heraus, sie erklären den Unterschied zwischen allen Kuchen und den verschiedenen Zutaten, die sie nicht in jedes Mal eingesetzt haben, um zu sehen, warum die Ergebnisse unterschiedlich waren.")</f>
        <v>Einmal kommen sie aus dem Ofen heraus, sie erklären den Unterschied zwischen allen Kuchen und den verschiedenen Zutaten, die sie nicht in jedes Mal eingesetzt haben, um zu sehen, warum die Ergebnisse unterschiedlich waren.</v>
      </c>
    </row>
    <row r="840">
      <c r="A840" s="4" t="s">
        <v>1066</v>
      </c>
      <c r="B840" s="4" t="s">
        <v>1067</v>
      </c>
      <c r="C840" s="5" t="str">
        <f>IFERROR(__xludf.DUMMYFUNCTION("GOOGLETRANSLATE(B840,""en"",""de"")"),"Ein Mann fährt eine Mähmaschine, um das Gras eines Gartens zu schneiden.")</f>
        <v>Ein Mann fährt eine Mähmaschine, um das Gras eines Gartens zu schneiden.</v>
      </c>
    </row>
    <row r="841">
      <c r="A841" s="4" t="s">
        <v>1066</v>
      </c>
      <c r="B841" s="4" t="s">
        <v>1068</v>
      </c>
      <c r="C841" s="5" t="str">
        <f>IFERROR(__xludf.DUMMYFUNCTION("GOOGLETRANSLATE(B841,""en"",""de"")"),"Der Mann geht vor dem Haus vor dem Haus, um die anderen Teile des Hofes weiter zu mähen.")</f>
        <v>Der Mann geht vor dem Haus vor dem Haus, um die anderen Teile des Hofes weiter zu mähen.</v>
      </c>
    </row>
    <row r="842">
      <c r="A842" s="4" t="s">
        <v>1069</v>
      </c>
      <c r="B842" s="4" t="s">
        <v>1070</v>
      </c>
      <c r="C842" s="5" t="str">
        <f>IFERROR(__xludf.DUMMYFUNCTION("GOOGLETRANSLATE(B842,""en"",""de"")"),"Zwei Menschen spielen verschiedene Kampfkünste miteinander, während eine große Gruppe von Menschen an den Seiten zuschauen.")</f>
        <v>Zwei Menschen spielen verschiedene Kampfkünste miteinander, während eine große Gruppe von Menschen an den Seiten zuschauen.</v>
      </c>
    </row>
    <row r="843">
      <c r="A843" s="4" t="s">
        <v>1069</v>
      </c>
      <c r="B843" s="4" t="s">
        <v>1071</v>
      </c>
      <c r="C843" s="5" t="str">
        <f>IFERROR(__xludf.DUMMYFUNCTION("GOOGLETRANSLATE(B843,""en"",""de"")"),"Mehr Menschen stehen in der Mitte und treten miteinander auf und endet damit, dass sich Menschen bewegen und sich gegenseitig packen.")</f>
        <v>Mehr Menschen stehen in der Mitte und treten miteinander auf und endet damit, dass sich Menschen bewegen und sich gegenseitig packen.</v>
      </c>
    </row>
    <row r="844">
      <c r="A844" s="4" t="s">
        <v>1072</v>
      </c>
      <c r="B844" s="4" t="s">
        <v>1073</v>
      </c>
      <c r="C844" s="5" t="str">
        <f>IFERROR(__xludf.DUMMYFUNCTION("GOOGLETRANSLATE(B844,""en"",""de"")"),"Zwei junge Männer stehen drinnen und sprechen mit der Kamera.")</f>
        <v>Zwei junge Männer stehen drinnen und sprechen mit der Kamera.</v>
      </c>
    </row>
    <row r="845">
      <c r="A845" s="4" t="s">
        <v>1072</v>
      </c>
      <c r="B845" s="4" t="s">
        <v>1074</v>
      </c>
      <c r="C845" s="5" t="str">
        <f>IFERROR(__xludf.DUMMYFUNCTION("GOOGLETRANSLATE(B845,""en"",""de"")"),"Sie zeigen, wie sie auf einer Strecke laufen und einen Weitsprung in Sand machen.")</f>
        <v>Sie zeigen, wie sie auf einer Strecke laufen und einen Weitsprung in Sand machen.</v>
      </c>
    </row>
    <row r="846">
      <c r="A846" s="4" t="s">
        <v>1075</v>
      </c>
      <c r="B846" s="4" t="s">
        <v>1076</v>
      </c>
      <c r="C846" s="5" t="str">
        <f>IFERROR(__xludf.DUMMYFUNCTION("GOOGLETRANSLATE(B846,""en"",""de"")"),"Ein Zaun vor einem Haus wird gezeigt.")</f>
        <v>Ein Zaun vor einem Haus wird gezeigt.</v>
      </c>
    </row>
    <row r="847">
      <c r="A847" s="4" t="s">
        <v>1075</v>
      </c>
      <c r="B847" s="4" t="s">
        <v>1077</v>
      </c>
      <c r="C847" s="5" t="str">
        <f>IFERROR(__xludf.DUMMYFUNCTION("GOOGLETRANSLATE(B847,""en"",""de"")"),"Ein Mann, der Weiß trägt, beginnt den Zaun zu malen.")</f>
        <v>Ein Mann, der Weiß trägt, beginnt den Zaun zu malen.</v>
      </c>
    </row>
    <row r="848">
      <c r="A848" s="4" t="s">
        <v>1078</v>
      </c>
      <c r="B848" s="4" t="s">
        <v>1079</v>
      </c>
      <c r="C848" s="5" t="str">
        <f>IFERROR(__xludf.DUMMYFUNCTION("GOOGLETRANSLATE(B848,""en"",""de"")"),"Eine Person in blauen Hosen remt einige gefallene Blätter vom Boden.")</f>
        <v>Eine Person in blauen Hosen remt einige gefallene Blätter vom Boden.</v>
      </c>
    </row>
    <row r="849">
      <c r="A849" s="4" t="s">
        <v>1078</v>
      </c>
      <c r="B849" s="4" t="s">
        <v>1080</v>
      </c>
      <c r="C849" s="5" t="str">
        <f>IFERROR(__xludf.DUMMYFUNCTION("GOOGLETRANSLATE(B849,""en"",""de"")"),"Es gibt einen schwarzen Hund und ein weißer Hund, der um die Person springt, die die Blätter fährt.")</f>
        <v>Es gibt einen schwarzen Hund und ein weißer Hund, der um die Person springt, die die Blätter fährt.</v>
      </c>
    </row>
    <row r="850">
      <c r="A850" s="4" t="s">
        <v>1078</v>
      </c>
      <c r="B850" s="4" t="s">
        <v>1081</v>
      </c>
      <c r="C850" s="5" t="str">
        <f>IFERROR(__xludf.DUMMYFUNCTION("GOOGLETRANSLATE(B850,""en"",""de"")"),"Der weiße Hund versucht den Rechen abzubeißen.")</f>
        <v>Der weiße Hund versucht den Rechen abzubeißen.</v>
      </c>
    </row>
    <row r="851">
      <c r="A851" s="4" t="s">
        <v>1078</v>
      </c>
      <c r="B851" s="4" t="s">
        <v>1082</v>
      </c>
      <c r="C851" s="5" t="str">
        <f>IFERROR(__xludf.DUMMYFUNCTION("GOOGLETRANSLATE(B851,""en"",""de"")"),"Beide Hunde spielen um den Mann herum, der die Blätter durchrollt und versucht, den Rake zu beißen.")</f>
        <v>Beide Hunde spielen um den Mann herum, der die Blätter durchrollt und versucht, den Rake zu beißen.</v>
      </c>
    </row>
    <row r="852">
      <c r="A852" s="4" t="s">
        <v>1078</v>
      </c>
      <c r="B852" s="4" t="s">
        <v>1083</v>
      </c>
      <c r="C852" s="5" t="str">
        <f>IFERROR(__xludf.DUMMYFUNCTION("GOOGLETRANSLATE(B852,""en"",""de"")"),"Die Person bewegt den Rake in Kreisen, während die Hunde um ihn herum springen.")</f>
        <v>Die Person bewegt den Rake in Kreisen, während die Hunde um ihn herum springen.</v>
      </c>
    </row>
    <row r="853">
      <c r="A853" s="4" t="s">
        <v>1084</v>
      </c>
      <c r="B853" s="4" t="s">
        <v>1085</v>
      </c>
      <c r="C853" s="5" t="str">
        <f>IFERROR(__xludf.DUMMYFUNCTION("GOOGLETRANSLATE(B853,""en"",""de"")"),"Ein Schmetterling fliegt auf dem Bildschirm mit Wörtern auf Folien.")</f>
        <v>Ein Schmetterling fliegt auf dem Bildschirm mit Wörtern auf Folien.</v>
      </c>
    </row>
    <row r="854">
      <c r="A854" s="4" t="s">
        <v>1084</v>
      </c>
      <c r="B854" s="4" t="s">
        <v>1086</v>
      </c>
      <c r="C854" s="5" t="str">
        <f>IFERROR(__xludf.DUMMYFUNCTION("GOOGLETRANSLATE(B854,""en"",""de"")"),"Eine Person mischt Zutaten in einer Schüssel.")</f>
        <v>Eine Person mischt Zutaten in einer Schüssel.</v>
      </c>
    </row>
    <row r="855">
      <c r="A855" s="4" t="s">
        <v>1084</v>
      </c>
      <c r="B855" s="4" t="s">
        <v>1087</v>
      </c>
      <c r="C855" s="5" t="str">
        <f>IFERROR(__xludf.DUMMYFUNCTION("GOOGLETRANSLATE(B855,""en"",""de"")"),"Sie geben den Teig auf ein Keksblatt.")</f>
        <v>Sie geben den Teig auf ein Keksblatt.</v>
      </c>
    </row>
    <row r="856">
      <c r="A856" s="4" t="s">
        <v>1084</v>
      </c>
      <c r="B856" s="4" t="s">
        <v>1088</v>
      </c>
      <c r="C856" s="5" t="str">
        <f>IFERROR(__xludf.DUMMYFUNCTION("GOOGLETRANSLATE(B856,""en"",""de"")"),"Bakeskekse werden auf einer Platte gestapelt.")</f>
        <v>Bakeskekse werden auf einer Platte gestapelt.</v>
      </c>
    </row>
    <row r="857">
      <c r="A857" s="4" t="s">
        <v>1089</v>
      </c>
      <c r="B857" s="4" t="s">
        <v>1090</v>
      </c>
      <c r="C857" s="5" t="str">
        <f>IFERROR(__xludf.DUMMYFUNCTION("GOOGLETRANSLATE(B857,""en"",""de"")"),"Eine Person sitzt auf einem Stuhl und führt mit einem Messer eine Kartoffel in ihre Kartoffel.")</f>
        <v>Eine Person sitzt auf einem Stuhl und führt mit einem Messer eine Kartoffel in ihre Kartoffel.</v>
      </c>
    </row>
    <row r="858">
      <c r="A858" s="4" t="s">
        <v>1089</v>
      </c>
      <c r="B858" s="4" t="s">
        <v>1091</v>
      </c>
      <c r="C858" s="5" t="str">
        <f>IFERROR(__xludf.DUMMYFUNCTION("GOOGLETRANSLATE(B858,""en"",""de"")"),"Die Person beendet dann die Kartoffeln und legt sie ab.")</f>
        <v>Die Person beendet dann die Kartoffeln und legt sie ab.</v>
      </c>
    </row>
    <row r="859">
      <c r="A859" s="4" t="s">
        <v>1092</v>
      </c>
      <c r="B859" s="4" t="s">
        <v>1093</v>
      </c>
      <c r="C859" s="5" t="str">
        <f>IFERROR(__xludf.DUMMYFUNCTION("GOOGLETRANSLATE(B859,""en"",""de"")"),"Eine Person wird zu sehen, die verschiedene Früchte zerschneidet und gleichzeitig mit der Kamera gesprochen hat.")</f>
        <v>Eine Person wird zu sehen, die verschiedene Früchte zerschneidet und gleichzeitig mit der Kamera gesprochen hat.</v>
      </c>
    </row>
    <row r="860">
      <c r="A860" s="4" t="s">
        <v>1092</v>
      </c>
      <c r="B860" s="4" t="s">
        <v>1094</v>
      </c>
      <c r="C860" s="5" t="str">
        <f>IFERROR(__xludf.DUMMYFUNCTION("GOOGLETRANSLATE(B860,""en"",""de"")"),"Die Person mischt verschiedene Zutaten in einen Wasserbehälter.")</f>
        <v>Die Person mischt verschiedene Zutaten in einen Wasserbehälter.</v>
      </c>
    </row>
    <row r="861">
      <c r="A861" s="4" t="s">
        <v>1092</v>
      </c>
      <c r="B861" s="4" t="s">
        <v>1095</v>
      </c>
      <c r="C861" s="5" t="str">
        <f>IFERROR(__xludf.DUMMYFUNCTION("GOOGLETRANSLATE(B861,""en"",""de"")"),"Die Person dreht sich am Ende um den Behälter.")</f>
        <v>Die Person dreht sich am Ende um den Behälter.</v>
      </c>
    </row>
    <row r="862">
      <c r="A862" s="4" t="s">
        <v>1096</v>
      </c>
      <c r="B862" s="4" t="s">
        <v>1097</v>
      </c>
      <c r="C862" s="5" t="str">
        <f>IFERROR(__xludf.DUMMYFUNCTION("GOOGLETRANSLATE(B862,""en"",""de"")"),"Die Hand einer Person wäscht eine graue Katze in einer weißen Wasserwanne.")</f>
        <v>Die Hand einer Person wäscht eine graue Katze in einer weißen Wasserwanne.</v>
      </c>
    </row>
    <row r="863">
      <c r="A863" s="4" t="s">
        <v>1096</v>
      </c>
      <c r="B863" s="4" t="s">
        <v>1098</v>
      </c>
      <c r="C863" s="5" t="str">
        <f>IFERROR(__xludf.DUMMYFUNCTION("GOOGLETRANSLATE(B863,""en"",""de"")"),"Eine graue Katze sitzt in einer weißen Wanne mit klarem Wasser, die in Wasser durchtränkt ist.")</f>
        <v>Eine graue Katze sitzt in einer weißen Wanne mit klarem Wasser, die in Wasser durchtränkt ist.</v>
      </c>
    </row>
    <row r="864">
      <c r="A864" s="4" t="s">
        <v>1096</v>
      </c>
      <c r="B864" s="4" t="s">
        <v>1099</v>
      </c>
      <c r="C864" s="5" t="str">
        <f>IFERROR(__xludf.DUMMYFUNCTION("GOOGLETRANSLATE(B864,""en"",""de"")"),"Eine Hand mit einem Tattoo erscheint und wischt den Rücken der Katze mit einem roten Tuch ab.")</f>
        <v>Eine Hand mit einem Tattoo erscheint und wischt den Rücken der Katze mit einem roten Tuch ab.</v>
      </c>
    </row>
    <row r="865">
      <c r="A865" s="4" t="s">
        <v>1096</v>
      </c>
      <c r="B865" s="4" t="s">
        <v>1100</v>
      </c>
      <c r="C865" s="5" t="str">
        <f>IFERROR(__xludf.DUMMYFUNCTION("GOOGLETRANSLATE(B865,""en"",""de"")"),"Die Hand wischt dann den Hals der Katze und den Hinterkopf mit dem roten Tuch ab.")</f>
        <v>Die Hand wischt dann den Hals der Katze und den Hinterkopf mit dem roten Tuch ab.</v>
      </c>
    </row>
    <row r="866">
      <c r="A866" s="4" t="s">
        <v>1096</v>
      </c>
      <c r="B866" s="4" t="s">
        <v>1101</v>
      </c>
      <c r="C866" s="5" t="str">
        <f>IFERROR(__xludf.DUMMYFUNCTION("GOOGLETRANSLATE(B866,""en"",""de"")"),"Die Hand lässt schließlich das rote Tuch ins Wasser fallen, während sich die Hand an die Nase der Katze hält.")</f>
        <v>Die Hand lässt schließlich das rote Tuch ins Wasser fallen, während sich die Hand an die Nase der Katze hält.</v>
      </c>
    </row>
    <row r="867">
      <c r="A867" s="4" t="s">
        <v>1102</v>
      </c>
      <c r="B867" s="4" t="s">
        <v>1103</v>
      </c>
      <c r="C867" s="5" t="str">
        <f>IFERROR(__xludf.DUMMYFUNCTION("GOOGLETRANSLATE(B867,""en"",""de"")"),"Ein Mädchen steht mit ihrem Rücken auf einem Hof.")</f>
        <v>Ein Mädchen steht mit ihrem Rücken auf einem Hof.</v>
      </c>
    </row>
    <row r="868">
      <c r="A868" s="4" t="s">
        <v>1102</v>
      </c>
      <c r="B868" s="4" t="s">
        <v>1104</v>
      </c>
      <c r="C868" s="5" t="str">
        <f>IFERROR(__xludf.DUMMYFUNCTION("GOOGLETRANSLATE(B868,""en"",""de"")"),"Sie dreht sich um und lässt versehentlich ein Seil fallen.")</f>
        <v>Sie dreht sich um und lässt versehentlich ein Seil fallen.</v>
      </c>
    </row>
    <row r="869">
      <c r="A869" s="4" t="s">
        <v>1102</v>
      </c>
      <c r="B869" s="4" t="s">
        <v>1105</v>
      </c>
      <c r="C869" s="5" t="str">
        <f>IFERROR(__xludf.DUMMYFUNCTION("GOOGLETRANSLATE(B869,""en"",""de"")"),"Sie tritt dann auf, dreht sich und springt mit dem Seil.")</f>
        <v>Sie tritt dann auf, dreht sich und springt mit dem Seil.</v>
      </c>
    </row>
    <row r="870">
      <c r="A870" s="4" t="s">
        <v>1106</v>
      </c>
      <c r="B870" s="4" t="s">
        <v>1107</v>
      </c>
      <c r="C870" s="5" t="str">
        <f>IFERROR(__xludf.DUMMYFUNCTION("GOOGLETRANSLATE(B870,""en"",""de"")"),"Eine Person schaufelt etwas Schnee mit der Kamera auf dem Kopf.")</f>
        <v>Eine Person schaufelt etwas Schnee mit der Kamera auf dem Kopf.</v>
      </c>
    </row>
    <row r="871">
      <c r="A871" s="4" t="s">
        <v>1106</v>
      </c>
      <c r="B871" s="4" t="s">
        <v>1108</v>
      </c>
      <c r="C871" s="5" t="str">
        <f>IFERROR(__xludf.DUMMYFUNCTION("GOOGLETRANSLATE(B871,""en"",""de"")"),"Er zeigt mehrere Schüsse von ihm, die den Schnee, eine Nahaufnahme seines Gesichts und schwenkt durch die Gegend.")</f>
        <v>Er zeigt mehrere Schüsse von ihm, die den Schnee, eine Nahaufnahme seines Gesichts und schwenkt durch die Gegend.</v>
      </c>
    </row>
    <row r="872">
      <c r="A872" s="4" t="s">
        <v>1109</v>
      </c>
      <c r="B872" s="4" t="s">
        <v>1110</v>
      </c>
      <c r="C872" s="5" t="str">
        <f>IFERROR(__xludf.DUMMYFUNCTION("GOOGLETRANSLATE(B872,""en"",""de"")"),"Ein Koch zeigt alle Zutaten, um Pasta zu machen.")</f>
        <v>Ein Koch zeigt alle Zutaten, um Pasta zu machen.</v>
      </c>
    </row>
    <row r="873">
      <c r="A873" s="4" t="s">
        <v>1109</v>
      </c>
      <c r="B873" s="4" t="s">
        <v>1111</v>
      </c>
      <c r="C873" s="5" t="str">
        <f>IFERROR(__xludf.DUMMYFUNCTION("GOOGLETRANSLATE(B873,""en"",""de"")"),"Dann steckt der Koch die Nudeln in heißes Wasser und gießt dann Öl in eine Pfanne.")</f>
        <v>Dann steckt der Koch die Nudeln in heißes Wasser und gießt dann Öl in eine Pfanne.</v>
      </c>
    </row>
    <row r="874">
      <c r="A874" s="4" t="s">
        <v>1109</v>
      </c>
      <c r="B874" s="4" t="s">
        <v>1112</v>
      </c>
      <c r="C874" s="5" t="str">
        <f>IFERROR(__xludf.DUMMYFUNCTION("GOOGLETRANSLATE(B874,""en"",""de"")"),"Als nächstes erweitert der Koch in die Pfanne den Knoblauch, Tomaten, Basilikum, Salz, Pfeffer und die gekochten Nudeln und die Mischung.")</f>
        <v>Als nächstes erweitert der Koch in die Pfanne den Knoblauch, Tomaten, Basilikum, Salz, Pfeffer und die gekochten Nudeln und die Mischung.</v>
      </c>
    </row>
    <row r="875">
      <c r="A875" s="4" t="s">
        <v>1109</v>
      </c>
      <c r="B875" s="4" t="s">
        <v>1113</v>
      </c>
      <c r="C875" s="5" t="str">
        <f>IFERROR(__xludf.DUMMYFUNCTION("GOOGLETRANSLATE(B875,""en"",""de"")"),"Danach fügt der Koch den Parmesankäse auf die Nudeln und serviert in einem Gericht.")</f>
        <v>Danach fügt der Koch den Parmesankäse auf die Nudeln und serviert in einem Gericht.</v>
      </c>
    </row>
    <row r="876">
      <c r="A876" s="4" t="s">
        <v>1109</v>
      </c>
      <c r="B876" s="4" t="s">
        <v>1114</v>
      </c>
      <c r="C876" s="5" t="str">
        <f>IFERROR(__xludf.DUMMYFUNCTION("GOOGLETRANSLATE(B876,""en"",""de"")"),"Der Koch legte Käse und zwei grüne Blätter auf die Nudeln im Gericht.")</f>
        <v>Der Koch legte Käse und zwei grüne Blätter auf die Nudeln im Gericht.</v>
      </c>
    </row>
    <row r="877">
      <c r="A877" s="4" t="s">
        <v>1115</v>
      </c>
      <c r="B877" s="4" t="s">
        <v>1116</v>
      </c>
      <c r="C877" s="5" t="str">
        <f>IFERROR(__xludf.DUMMYFUNCTION("GOOGLETRANSLATE(B877,""en"",""de"")"),"Eine Person installiert einen Teppich mit einer Maschine.")</f>
        <v>Eine Person installiert einen Teppich mit einer Maschine.</v>
      </c>
    </row>
    <row r="878">
      <c r="A878" s="4" t="s">
        <v>1115</v>
      </c>
      <c r="B878" s="4" t="s">
        <v>1117</v>
      </c>
      <c r="C878" s="5" t="str">
        <f>IFERROR(__xludf.DUMMYFUNCTION("GOOGLETRANSLATE(B878,""en"",""de"")"),"Die Person schneidet ein Stück befleckter Teppich.")</f>
        <v>Die Person schneidet ein Stück befleckter Teppich.</v>
      </c>
    </row>
    <row r="879">
      <c r="A879" s="4" t="s">
        <v>1115</v>
      </c>
      <c r="B879" s="4" t="s">
        <v>1118</v>
      </c>
      <c r="C879" s="5" t="str">
        <f>IFERROR(__xludf.DUMMYFUNCTION("GOOGLETRANSLATE(B879,""en"",""de"")"),"Dann ersetzt die Person durch ein neues Stück und Busch.")</f>
        <v>Dann ersetzt die Person durch ein neues Stück und Busch.</v>
      </c>
    </row>
    <row r="880">
      <c r="A880" s="4" t="s">
        <v>1119</v>
      </c>
      <c r="B880" s="4" t="s">
        <v>1120</v>
      </c>
      <c r="C880" s="5" t="str">
        <f>IFERROR(__xludf.DUMMYFUNCTION("GOOGLETRANSLATE(B880,""en"",""de"")"),"Der Mensch läuft in einer Rennstrecke und macht einen Weitsprung, während die Leute auf den Tribünen ein Klatschen beobachten.")</f>
        <v>Der Mensch läuft in einer Rennstrecke und macht einen Weitsprung, während die Leute auf den Tribünen ein Klatschen beobachten.</v>
      </c>
    </row>
    <row r="881">
      <c r="A881" s="4" t="s">
        <v>1119</v>
      </c>
      <c r="B881" s="4" t="s">
        <v>1121</v>
      </c>
      <c r="C881" s="5" t="str">
        <f>IFERROR(__xludf.DUMMYFUNCTION("GOOGLETRANSLATE(B881,""en"",""de"")"),"Menschen auf der Seite der Rennstrecke sitzen auf einer Seite.")</f>
        <v>Menschen auf der Seite der Rennstrecke sitzen auf einer Seite.</v>
      </c>
    </row>
    <row r="882">
      <c r="A882" s="4" t="s">
        <v>1122</v>
      </c>
      <c r="B882" s="4" t="s">
        <v>1123</v>
      </c>
      <c r="C882" s="5" t="str">
        <f>IFERROR(__xludf.DUMMYFUNCTION("GOOGLETRANSLATE(B882,""en"",""de"")"),"Eine Frau sitzt hinter einer Reihe von Bongo -Schlagzeug und spielt mit der Kamera mit.")</f>
        <v>Eine Frau sitzt hinter einer Reihe von Bongo -Schlagzeug und spielt mit der Kamera mit.</v>
      </c>
    </row>
    <row r="883">
      <c r="A883" s="4" t="s">
        <v>1122</v>
      </c>
      <c r="B883" s="4" t="s">
        <v>1124</v>
      </c>
      <c r="C883" s="5" t="str">
        <f>IFERROR(__xludf.DUMMYFUNCTION("GOOGLETRANSLATE(B883,""en"",""de"")"),"Die Frau schlägt weiterhin zum Schlagzeug, während er mit der Kamera spricht und mit singt.")</f>
        <v>Die Frau schlägt weiterhin zum Schlagzeug, während er mit der Kamera spricht und mit singt.</v>
      </c>
    </row>
    <row r="884">
      <c r="A884" s="4" t="s">
        <v>1125</v>
      </c>
      <c r="B884" s="4" t="s">
        <v>1126</v>
      </c>
      <c r="C884" s="5" t="str">
        <f>IFERROR(__xludf.DUMMYFUNCTION("GOOGLETRANSLATE(B884,""en"",""de"")"),"Eine Frau liegt auf einem Bett mit ausbreitenden Haaren.")</f>
        <v>Eine Frau liegt auf einem Bett mit ausbreitenden Haaren.</v>
      </c>
    </row>
    <row r="885">
      <c r="A885" s="4" t="s">
        <v>1125</v>
      </c>
      <c r="B885" s="4" t="s">
        <v>1127</v>
      </c>
      <c r="C885" s="5" t="str">
        <f>IFERROR(__xludf.DUMMYFUNCTION("GOOGLETRANSLATE(B885,""en"",""de"")"),"Es gibt mehrere Bilder von ihr von hinten mit sehr langen Haaren.")</f>
        <v>Es gibt mehrere Bilder von ihr von hinten mit sehr langen Haaren.</v>
      </c>
    </row>
    <row r="886">
      <c r="A886" s="4" t="s">
        <v>1125</v>
      </c>
      <c r="B886" s="4" t="s">
        <v>1128</v>
      </c>
      <c r="C886" s="5" t="str">
        <f>IFERROR(__xludf.DUMMYFUNCTION("GOOGLETRANSLATE(B886,""en"",""de"")"),"Wir sehen dann zahlreiche Bilder von ihr, mit der die Haare auf schulterlange abgeschnitten sind.")</f>
        <v>Wir sehen dann zahlreiche Bilder von ihr, mit der die Haare auf schulterlange abgeschnitten sind.</v>
      </c>
    </row>
    <row r="887">
      <c r="A887" s="4" t="s">
        <v>1129</v>
      </c>
      <c r="B887" s="4" t="s">
        <v>1130</v>
      </c>
      <c r="C887" s="5" t="str">
        <f>IFERROR(__xludf.DUMMYFUNCTION("GOOGLETRANSLATE(B887,""en"",""de"")"),"Ein Mann in einem roten Mantel befindet sich draußen auf einem Snowboard.")</f>
        <v>Ein Mann in einem roten Mantel befindet sich draußen auf einem Snowboard.</v>
      </c>
    </row>
    <row r="888">
      <c r="A888" s="4" t="s">
        <v>1129</v>
      </c>
      <c r="B888" s="4" t="s">
        <v>1131</v>
      </c>
      <c r="C888" s="5" t="str">
        <f>IFERROR(__xludf.DUMMYFUNCTION("GOOGLETRANSLATE(B888,""en"",""de"")"),"Er beginnt einen Kurs hinunter und macht einige wirklich coole Tricks, während er sich bewegt.")</f>
        <v>Er beginnt einen Kurs hinunter und macht einige wirklich coole Tricks, während er sich bewegt.</v>
      </c>
    </row>
    <row r="889">
      <c r="A889" s="4" t="s">
        <v>1129</v>
      </c>
      <c r="B889" s="4" t="s">
        <v>1132</v>
      </c>
      <c r="C889" s="5" t="str">
        <f>IFERROR(__xludf.DUMMYFUNCTION("GOOGLETRANSLATE(B889,""en"",""de"")"),"Einige Männer reiben ihre Bretter nieder und andere steigen auf das Feld und beginnen ein paar Flips und Sachen in der Luft.")</f>
        <v>Einige Männer reiben ihre Bretter nieder und andere steigen auf das Feld und beginnen ein paar Flips und Sachen in der Luft.</v>
      </c>
    </row>
    <row r="890">
      <c r="A890" s="4" t="s">
        <v>1129</v>
      </c>
      <c r="B890" s="4" t="s">
        <v>1133</v>
      </c>
      <c r="C890" s="5" t="str">
        <f>IFERROR(__xludf.DUMMYFUNCTION("GOOGLETRANSLATE(B890,""en"",""de"")"),"Dies sind alles ziemlich erfahrene Menschen in den Boards, sie steigen sogar durch Wasser und haben eine gute Zeit.")</f>
        <v>Dies sind alles ziemlich erfahrene Menschen in den Boards, sie steigen sogar durch Wasser und haben eine gute Zeit.</v>
      </c>
    </row>
    <row r="891">
      <c r="A891" s="4" t="s">
        <v>1134</v>
      </c>
      <c r="B891" s="4" t="s">
        <v>1135</v>
      </c>
      <c r="C891" s="5" t="str">
        <f>IFERROR(__xludf.DUMMYFUNCTION("GOOGLETRANSLATE(B891,""en"",""de"")"),"Frau steht im Gespräch mit der Kamera mit einem Mikrofon und interviewt Voleyball -Spieler.")</f>
        <v>Frau steht im Gespräch mit der Kamera mit einem Mikrofon und interviewt Voleyball -Spieler.</v>
      </c>
    </row>
    <row r="892">
      <c r="A892" s="4" t="s">
        <v>1134</v>
      </c>
      <c r="B892" s="4" t="s">
        <v>1136</v>
      </c>
      <c r="C892" s="5" t="str">
        <f>IFERROR(__xludf.DUMMYFUNCTION("GOOGLETRANSLATE(B892,""en"",""de"")"),"Männer stehen in einem sandigen Bereich, der interviewt wird.")</f>
        <v>Männer stehen in einem sandigen Bereich, der interviewt wird.</v>
      </c>
    </row>
    <row r="893">
      <c r="A893" s="4" t="s">
        <v>1134</v>
      </c>
      <c r="B893" s="4" t="s">
        <v>1137</v>
      </c>
      <c r="C893" s="5" t="str">
        <f>IFERROR(__xludf.DUMMYFUNCTION("GOOGLETRANSLATE(B893,""en"",""de"")"),"Männer sind auf Sandfield und zeigen, dass er Mädchen wie man Strandfußball spielt.")</f>
        <v>Männer sind auf Sandfield und zeigen, dass er Mädchen wie man Strandfußball spielt.</v>
      </c>
    </row>
    <row r="894">
      <c r="A894" s="4" t="s">
        <v>1134</v>
      </c>
      <c r="B894" s="4" t="s">
        <v>1138</v>
      </c>
      <c r="C894" s="5" t="str">
        <f>IFERROR(__xludf.DUMMYFUNCTION("GOOGLETRANSLATE(B894,""en"",""de"")"),"Frau ist Sünde vor dem Netz, die mit der Kamera spricht.")</f>
        <v>Frau ist Sünde vor dem Netz, die mit der Kamera spricht.</v>
      </c>
    </row>
    <row r="895">
      <c r="A895" s="4" t="s">
        <v>1139</v>
      </c>
      <c r="B895" s="4" t="s">
        <v>1140</v>
      </c>
      <c r="C895" s="5" t="str">
        <f>IFERROR(__xludf.DUMMYFUNCTION("GOOGLETRANSLATE(B895,""en"",""de"")"),"Ein Mann wird gepumpt, um einen Weitsprung zu machen, dann macht es ihn.")</f>
        <v>Ein Mann wird gepumpt, um einen Weitsprung zu machen, dann macht es ihn.</v>
      </c>
    </row>
    <row r="896">
      <c r="A896" s="4" t="s">
        <v>1139</v>
      </c>
      <c r="B896" s="4" t="s">
        <v>1141</v>
      </c>
      <c r="C896" s="5" t="str">
        <f>IFERROR(__xludf.DUMMYFUNCTION("GOOGLETRANSLATE(B896,""en"",""de"")"),"Andere gehen als nächstes und versuchen, die Menge für ihre jeweiligen langwierigen Sprünge aufzupumpen.")</f>
        <v>Andere gehen als nächstes und versuchen, die Menge für ihre jeweiligen langwierigen Sprünge aufzupumpen.</v>
      </c>
    </row>
    <row r="897">
      <c r="A897" s="4" t="s">
        <v>1142</v>
      </c>
      <c r="B897" s="4" t="s">
        <v>1143</v>
      </c>
      <c r="C897" s="5" t="str">
        <f>IFERROR(__xludf.DUMMYFUNCTION("GOOGLETRANSLATE(B897,""en"",""de"")"),"Eine schwarze Frau spricht mit langen blonden lockigen Haaren und einem schwarzen Pullover mit dem Bildschirm.")</f>
        <v>Eine schwarze Frau spricht mit langen blonden lockigen Haaren und einem schwarzen Pullover mit dem Bildschirm.</v>
      </c>
    </row>
    <row r="898">
      <c r="A898" s="4" t="s">
        <v>1142</v>
      </c>
      <c r="B898" s="4" t="s">
        <v>1144</v>
      </c>
      <c r="C898" s="5" t="str">
        <f>IFERROR(__xludf.DUMMYFUNCTION("GOOGLETRANSLATE(B898,""en"",""de"")"),"Es wird ein Föhntrockner gezeigt und die Dame beginnt dann, die Haare eines Mädchens zu trocknen.")</f>
        <v>Es wird ein Föhntrockner gezeigt und die Dame beginnt dann, die Haare eines Mädchens zu trocknen.</v>
      </c>
    </row>
    <row r="899">
      <c r="A899" s="4" t="s">
        <v>1142</v>
      </c>
      <c r="B899" s="4" t="s">
        <v>1145</v>
      </c>
      <c r="C899" s="5" t="str">
        <f>IFERROR(__xludf.DUMMYFUNCTION("GOOGLETRANSLATE(B899,""en"",""de"")"),"Das Haar der Mädchen wird dann extrem lockig gezeigt und die junge Dame hat Probleme, ihre Haare zu trocknen.")</f>
        <v>Das Haar der Mädchen wird dann extrem lockig gezeigt und die junge Dame hat Probleme, ihre Haare zu trocknen.</v>
      </c>
    </row>
    <row r="900">
      <c r="A900" s="4" t="s">
        <v>1142</v>
      </c>
      <c r="B900" s="4" t="s">
        <v>1146</v>
      </c>
      <c r="C900" s="5" t="str">
        <f>IFERROR(__xludf.DUMMYFUNCTION("GOOGLETRANSLATE(B900,""en"",""de"")"),"Der rote By -Kuss -Flow -Trockner wird wieder gezeigt und die Dame trocknet die Haare der jungen Dame weiter.")</f>
        <v>Der rote By -Kuss -Flow -Trockner wird wieder gezeigt und die Dame trocknet die Haare der jungen Dame weiter.</v>
      </c>
    </row>
    <row r="901">
      <c r="A901" s="4" t="s">
        <v>1147</v>
      </c>
      <c r="B901" s="4" t="s">
        <v>1148</v>
      </c>
      <c r="C901" s="5" t="str">
        <f>IFERROR(__xludf.DUMMYFUNCTION("GOOGLETRANSLATE(B901,""en"",""de"")"),"Der Mensch legt die Aufzüge auf einen Stangen.")</f>
        <v>Der Mensch legt die Aufzüge auf einen Stangen.</v>
      </c>
    </row>
    <row r="902">
      <c r="A902" s="4" t="s">
        <v>1147</v>
      </c>
      <c r="B902" s="4" t="s">
        <v>1149</v>
      </c>
      <c r="C902" s="5" t="str">
        <f>IFERROR(__xludf.DUMMYFUNCTION("GOOGLETRANSLATE(B902,""en"",""de"")"),"Der Mensch steht in einem Raum in einem Fitnessstudio.")</f>
        <v>Der Mensch steht in einem Raum in einem Fitnessstudio.</v>
      </c>
    </row>
    <row r="903">
      <c r="A903" s="4" t="s">
        <v>1147</v>
      </c>
      <c r="B903" s="4" t="s">
        <v>1150</v>
      </c>
      <c r="C903" s="5" t="str">
        <f>IFERROR(__xludf.DUMMYFUNCTION("GOOGLETRANSLATE(B903,""en"",""de"")"),"Viele verschiedene Lifte sind im Fitnessstudio gestapelt.")</f>
        <v>Viele verschiedene Lifte sind im Fitnessstudio gestapelt.</v>
      </c>
    </row>
    <row r="904">
      <c r="A904" s="4" t="s">
        <v>1151</v>
      </c>
      <c r="B904" s="4" t="s">
        <v>1152</v>
      </c>
      <c r="C904" s="5" t="str">
        <f>IFERROR(__xludf.DUMMYFUNCTION("GOOGLETRANSLATE(B904,""en"",""de"")"),"Eine Person läuft auf der Straße, die Geräte trägt und mit der Kamera spricht.")</f>
        <v>Eine Person läuft auf der Straße, die Geräte trägt und mit der Kamera spricht.</v>
      </c>
    </row>
    <row r="905">
      <c r="A905" s="4" t="s">
        <v>1151</v>
      </c>
      <c r="B905" s="4" t="s">
        <v>1153</v>
      </c>
      <c r="C905" s="5" t="str">
        <f>IFERROR(__xludf.DUMMYFUNCTION("GOOGLETRANSLATE(B905,""en"",""de"")"),"Der Mann rennt herum und spricht mit der Kamera.")</f>
        <v>Der Mann rennt herum und spricht mit der Kamera.</v>
      </c>
    </row>
    <row r="906">
      <c r="A906" s="4" t="s">
        <v>1151</v>
      </c>
      <c r="B906" s="4" t="s">
        <v>1154</v>
      </c>
      <c r="C906" s="5" t="str">
        <f>IFERROR(__xludf.DUMMYFUNCTION("GOOGLETRANSLATE(B906,""en"",""de"")"),"Der Mann spricht weiter, während mehr Schüsse von ihm gezeigt werden.")</f>
        <v>Der Mann spricht weiter, während mehr Schüsse von ihm gezeigt werden.</v>
      </c>
    </row>
    <row r="907">
      <c r="A907" s="4" t="s">
        <v>1155</v>
      </c>
      <c r="B907" s="4" t="s">
        <v>1156</v>
      </c>
      <c r="C907" s="5" t="str">
        <f>IFERROR(__xludf.DUMMYFUNCTION("GOOGLETRANSLATE(B907,""en"",""de"")"),"Die Leute sitzen auf Tribünen und beobachten Menschen.")</f>
        <v>Die Leute sitzen auf Tribünen und beobachten Menschen.</v>
      </c>
    </row>
    <row r="908">
      <c r="A908" s="4" t="s">
        <v>1155</v>
      </c>
      <c r="B908" s="4" t="s">
        <v>1157</v>
      </c>
      <c r="C908" s="5" t="str">
        <f>IFERROR(__xludf.DUMMYFUNCTION("GOOGLETRANSLATE(B908,""en"",""de"")"),"Die Menschen sind in Roben.")</f>
        <v>Die Menschen sind in Roben.</v>
      </c>
    </row>
    <row r="909">
      <c r="A909" s="4" t="s">
        <v>1155</v>
      </c>
      <c r="B909" s="4" t="s">
        <v>1158</v>
      </c>
      <c r="C909" s="5" t="str">
        <f>IFERROR(__xludf.DUMMYFUNCTION("GOOGLETRANSLATE(B909,""en"",""de"")"),"Sie machen Karate -Bewegungen auf dem Boden.")</f>
        <v>Sie machen Karate -Bewegungen auf dem Boden.</v>
      </c>
    </row>
    <row r="910">
      <c r="A910" s="4" t="s">
        <v>1159</v>
      </c>
      <c r="B910" s="4" t="s">
        <v>1160</v>
      </c>
      <c r="C910" s="5" t="str">
        <f>IFERROR(__xludf.DUMMYFUNCTION("GOOGLETRANSLATE(B910,""en"",""de"")"),"Ein Mann spricht über einen Bogen, den er vor einem offenen Feld benutzt.")</f>
        <v>Ein Mann spricht über einen Bogen, den er vor einem offenen Feld benutzt.</v>
      </c>
    </row>
    <row r="911">
      <c r="A911" s="4" t="s">
        <v>1159</v>
      </c>
      <c r="B911" s="4" t="s">
        <v>1161</v>
      </c>
      <c r="C911" s="5" t="str">
        <f>IFERROR(__xludf.DUMMYFUNCTION("GOOGLETRANSLATE(B911,""en"",""de"")"),"Der Mann zeigt, wie man den Bogen benutzt, indem er ein Ziel im Feld erreicht.")</f>
        <v>Der Mann zeigt, wie man den Bogen benutzt, indem er ein Ziel im Feld erreicht.</v>
      </c>
    </row>
    <row r="912">
      <c r="A912" s="4" t="s">
        <v>1159</v>
      </c>
      <c r="B912" s="4" t="s">
        <v>1162</v>
      </c>
      <c r="C912" s="5" t="str">
        <f>IFERROR(__xludf.DUMMYFUNCTION("GOOGLETRANSLATE(B912,""en"",""de"")"),"Mehrere Fahrzeuge fahren eine Straße hinter dem Feld hinunter.")</f>
        <v>Mehrere Fahrzeuge fahren eine Straße hinter dem Feld hinunter.</v>
      </c>
    </row>
    <row r="913">
      <c r="A913" s="4" t="s">
        <v>1159</v>
      </c>
      <c r="B913" s="4" t="s">
        <v>1163</v>
      </c>
      <c r="C913" s="5" t="str">
        <f>IFERROR(__xludf.DUMMYFUNCTION("GOOGLETRANSLATE(B913,""en"",""de"")"),"Kühe weiden sich hinter der Straße.")</f>
        <v>Kühe weiden sich hinter der Straße.</v>
      </c>
    </row>
    <row r="914">
      <c r="A914" s="4" t="s">
        <v>1159</v>
      </c>
      <c r="B914" s="4" t="s">
        <v>1164</v>
      </c>
      <c r="C914" s="5" t="str">
        <f>IFERROR(__xludf.DUMMYFUNCTION("GOOGLETRANSLATE(B914,""en"",""de"")"),"Der Mann trifft sein letztes Ziel und geht weg.")</f>
        <v>Der Mann trifft sein letztes Ziel und geht weg.</v>
      </c>
    </row>
    <row r="915">
      <c r="A915" s="4" t="s">
        <v>1165</v>
      </c>
      <c r="B915" s="4" t="s">
        <v>1166</v>
      </c>
      <c r="C915" s="5" t="str">
        <f>IFERROR(__xludf.DUMMYFUNCTION("GOOGLETRANSLATE(B915,""en"",""de"")"),"Ein männlicher Barkeeper steht hinter einer Bar vor Getränken und Mischbechern.")</f>
        <v>Ein männlicher Barkeeper steht hinter einer Bar vor Getränken und Mischbechern.</v>
      </c>
    </row>
    <row r="916">
      <c r="A916" s="4" t="s">
        <v>1165</v>
      </c>
      <c r="B916" s="4" t="s">
        <v>1167</v>
      </c>
      <c r="C916" s="5" t="str">
        <f>IFERROR(__xludf.DUMMYFUNCTION("GOOGLETRANSLATE(B916,""en"",""de"")"),"Der Mann nimmt einen Stahl -SUP auf und gießt seinen Eis in ein Glas, das er in der gegenüberliegenden Hand hält.")</f>
        <v>Der Mann nimmt einen Stahl -SUP auf und gießt seinen Eis in ein Glas, das er in der gegenüberliegenden Hand hält.</v>
      </c>
    </row>
    <row r="917">
      <c r="A917" s="4" t="s">
        <v>1165</v>
      </c>
      <c r="B917" s="4" t="s">
        <v>1168</v>
      </c>
      <c r="C917" s="5" t="str">
        <f>IFERROR(__xludf.DUMMYFUNCTION("GOOGLETRANSLATE(B917,""en"",""de"")"),"Der Mann nimmt dann ein kleines Stahl -Schnapsglas auf und füllt es mit Spirituosen.")</f>
        <v>Der Mann nimmt dann ein kleines Stahl -Schnapsglas auf und füllt es mit Spirituosen.</v>
      </c>
    </row>
    <row r="918">
      <c r="A918" s="4" t="s">
        <v>1165</v>
      </c>
      <c r="B918" s="4" t="s">
        <v>1169</v>
      </c>
      <c r="C918" s="5" t="str">
        <f>IFERROR(__xludf.DUMMYFUNCTION("GOOGLETRANSLATE(B918,""en"",""de"")"),"Der Mann gießt dann den Spirituosen aus dem Schnapsglas mit Eis in den Glasbecher in die Glasbecher.")</f>
        <v>Der Mann gießt dann den Spirituosen aus dem Schnapsglas mit Eis in den Glasbecher in die Glasbecher.</v>
      </c>
    </row>
    <row r="919">
      <c r="A919" s="4" t="s">
        <v>1165</v>
      </c>
      <c r="B919" s="4" t="s">
        <v>1170</v>
      </c>
      <c r="C919" s="5" t="str">
        <f>IFERROR(__xludf.DUMMYFUNCTION("GOOGLETRANSLATE(B919,""en"",""de"")"),"Der Mann nimmt ein weiteres Glas mit rotem Saft im Inneren auf und gießt es mit Eis in das Glas, bevor er zurückgeht.")</f>
        <v>Der Mann nimmt ein weiteres Glas mit rotem Saft im Inneren auf und gießt es mit Eis in das Glas, bevor er zurückgeht.</v>
      </c>
    </row>
    <row r="920">
      <c r="A920" s="4" t="s">
        <v>1165</v>
      </c>
      <c r="B920" s="4" t="s">
        <v>1171</v>
      </c>
      <c r="C920" s="5" t="str">
        <f>IFERROR(__xludf.DUMMYFUNCTION("GOOGLETRANSLATE(B920,""en"",""de"")"),"Der Mann gießt die Tasse mit allen Flüssigkeiten in einen Mischbecher, um den Mixer zu kappen und zu schütteln.")</f>
        <v>Der Mann gießt die Tasse mit allen Flüssigkeiten in einen Mischbecher, um den Mixer zu kappen und zu schütteln.</v>
      </c>
    </row>
    <row r="921">
      <c r="A921" s="4" t="s">
        <v>1165</v>
      </c>
      <c r="B921" s="4" t="s">
        <v>1172</v>
      </c>
      <c r="C921" s="5" t="str">
        <f>IFERROR(__xludf.DUMMYFUNCTION("GOOGLETRANSLATE(B921,""en"",""de"")"),"Der Mann hört auf zu zittern und sepperiert die beiden Tassen und setzt sie wieder auf die Theke.")</f>
        <v>Der Mann hört auf zu zittern und sepperiert die beiden Tassen und setzt sie wieder auf die Theke.</v>
      </c>
    </row>
    <row r="922">
      <c r="A922" s="4" t="s">
        <v>1165</v>
      </c>
      <c r="B922" s="4" t="s">
        <v>1173</v>
      </c>
      <c r="C922" s="5" t="str">
        <f>IFERROR(__xludf.DUMMYFUNCTION("GOOGLETRANSLATE(B922,""en"",""de"")"),"Der Mann schnappt sich ein drittes leeres Glas und bewegt es auf die gegenüberliegende Seite der Theke.")</f>
        <v>Der Mann schnappt sich ein drittes leeres Glas und bewegt es auf die gegenüberliegende Seite der Theke.</v>
      </c>
    </row>
    <row r="923">
      <c r="A923" s="4" t="s">
        <v>1165</v>
      </c>
      <c r="B923" s="4" t="s">
        <v>1174</v>
      </c>
      <c r="C923" s="5" t="str">
        <f>IFERROR(__xludf.DUMMYFUNCTION("GOOGLETRANSLATE(B923,""en"",""de"")"),"Der Mann nimmt den Mixer auf und gießt seinen Inhalt in das leere Glas, bevor er wieder nach unten setzt.")</f>
        <v>Der Mann nimmt den Mixer auf und gießt seinen Inhalt in das leere Glas, bevor er wieder nach unten setzt.</v>
      </c>
    </row>
    <row r="924">
      <c r="A924" s="4" t="s">
        <v>1165</v>
      </c>
      <c r="B924" s="4" t="s">
        <v>1175</v>
      </c>
      <c r="C924" s="5" t="str">
        <f>IFERROR(__xludf.DUMMYFUNCTION("GOOGLETRANSLATE(B924,""en"",""de"")"),"Der Mann fügt dann einen Regenschirm für eine schicke und miniaturene Dach in das Getränk zur Dekoration hinzu, bevor er das Glas hochhält.")</f>
        <v>Der Mann fügt dann einen Regenschirm für eine schicke und miniaturene Dach in das Getränk zur Dekoration hinzu, bevor er das Glas hochhält.</v>
      </c>
    </row>
    <row r="925">
      <c r="A925" s="4" t="s">
        <v>1176</v>
      </c>
      <c r="B925" s="4" t="s">
        <v>1177</v>
      </c>
      <c r="C925" s="5" t="str">
        <f>IFERROR(__xludf.DUMMYFUNCTION("GOOGLETRANSLATE(B925,""en"",""de"")"),"Eine Frau hebt eine Katze vom Tisch und setzt sich damit in ihrem Schoß.")</f>
        <v>Eine Frau hebt eine Katze vom Tisch und setzt sich damit in ihrem Schoß.</v>
      </c>
    </row>
    <row r="926">
      <c r="A926" s="4" t="s">
        <v>1176</v>
      </c>
      <c r="B926" s="4" t="s">
        <v>1178</v>
      </c>
      <c r="C926" s="5" t="str">
        <f>IFERROR(__xludf.DUMMYFUNCTION("GOOGLETRANSLATE(B926,""en"",""de"")"),"Die Frau benutzt die Trimmschere, um die Katzenkrallen zu schneiden.")</f>
        <v>Die Frau benutzt die Trimmschere, um die Katzenkrallen zu schneiden.</v>
      </c>
    </row>
    <row r="927">
      <c r="A927" s="4" t="s">
        <v>1179</v>
      </c>
      <c r="B927" s="4" t="s">
        <v>1180</v>
      </c>
      <c r="C927" s="5" t="str">
        <f>IFERROR(__xludf.DUMMYFUNCTION("GOOGLETRANSLATE(B927,""en"",""de"")"),"Eine unsichtbare Person navigiert mehrere Amazon Dot Com -Seiten auf Trainingsgeräten.")</f>
        <v>Eine unsichtbare Person navigiert mehrere Amazon Dot Com -Seiten auf Trainingsgeräten.</v>
      </c>
    </row>
    <row r="928">
      <c r="A928" s="4" t="s">
        <v>1179</v>
      </c>
      <c r="B928" s="4" t="s">
        <v>1181</v>
      </c>
      <c r="C928" s="5" t="str">
        <f>IFERROR(__xludf.DUMMYFUNCTION("GOOGLETRANSLATE(B928,""en"",""de"")"),"Eine Amazon -Seite, die allein eine Übungsmaschine zeigt, wird angezeigt, gefolgt von einem weiteren Bild einer Amazon -Seite, die eine Frau zeigt, die eine Übungsmaschine verwendet, zusammen mit einem Preis und Informationen über die Ausrüstung.")</f>
        <v>Eine Amazon -Seite, die allein eine Übungsmaschine zeigt, wird angezeigt, gefolgt von einem weiteren Bild einer Amazon -Seite, die eine Frau zeigt, die eine Übungsmaschine verwendet, zusammen mit einem Preis und Informationen über die Ausrüstung.</v>
      </c>
    </row>
    <row r="929">
      <c r="A929" s="4" t="s">
        <v>1179</v>
      </c>
      <c r="B929" s="4" t="s">
        <v>1182</v>
      </c>
      <c r="C929" s="5" t="str">
        <f>IFERROR(__xludf.DUMMYFUNCTION("GOOGLETRANSLATE(B929,""en"",""de"")"),"Eine andere Seite, die einen Elementrainer zeigt, wird gezeigt, auf dem eine aktive Computermaus durch die Überprüfung für das Element navigiert, an dem ein anderer Modell Elliptischer Trainer auf einer anderen Seite angezeigt wird.")</f>
        <v>Eine andere Seite, die einen Elementrainer zeigt, wird gezeigt, auf dem eine aktive Computermaus durch die Überprüfung für das Element navigiert, an dem ein anderer Modell Elliptischer Trainer auf einer anderen Seite angezeigt wird.</v>
      </c>
    </row>
    <row r="930">
      <c r="A930" s="4" t="s">
        <v>1183</v>
      </c>
      <c r="B930" s="4" t="s">
        <v>1184</v>
      </c>
      <c r="C930" s="5" t="str">
        <f>IFERROR(__xludf.DUMMYFUNCTION("GOOGLETRANSLATE(B930,""en"",""de"")"),"Eine Frau verbreitet die Rasiercreme an den Beinen einer anderen Frau.")</f>
        <v>Eine Frau verbreitet die Rasiercreme an den Beinen einer anderen Frau.</v>
      </c>
    </row>
    <row r="931">
      <c r="A931" s="4" t="s">
        <v>1183</v>
      </c>
      <c r="B931" s="4" t="s">
        <v>1185</v>
      </c>
      <c r="C931" s="5" t="str">
        <f>IFERROR(__xludf.DUMMYFUNCTION("GOOGLETRANSLATE(B931,""en"",""de"")"),"Sie legt ihre Hände unter Wasser und beginnt, die Beine der Frau für sie zu rasieren.")</f>
        <v>Sie legt ihre Hände unter Wasser und beginnt, die Beine der Frau für sie zu rasieren.</v>
      </c>
    </row>
    <row r="932">
      <c r="A932" s="4" t="s">
        <v>1183</v>
      </c>
      <c r="B932" s="4" t="s">
        <v>1186</v>
      </c>
      <c r="C932" s="5" t="str">
        <f>IFERROR(__xludf.DUMMYFUNCTION("GOOGLETRANSLATE(B932,""en"",""de"")"),"Sie beginnt von unten nach oben und setzt diese Bewegung fort.")</f>
        <v>Sie beginnt von unten nach oben und setzt diese Bewegung fort.</v>
      </c>
    </row>
    <row r="933">
      <c r="A933" s="4" t="s">
        <v>1183</v>
      </c>
      <c r="B933" s="4" t="s">
        <v>1187</v>
      </c>
      <c r="C933" s="5" t="str">
        <f>IFERROR(__xludf.DUMMYFUNCTION("GOOGLETRANSLATE(B933,""en"",""de"")"),"Das Video ist sehr unsicher, aber die Frau rasiert weiterhin das Bein der Freunde.")</f>
        <v>Das Video ist sehr unsicher, aber die Frau rasiert weiterhin das Bein der Freunde.</v>
      </c>
    </row>
    <row r="934">
      <c r="A934" s="4" t="s">
        <v>1188</v>
      </c>
      <c r="B934" s="4" t="s">
        <v>1189</v>
      </c>
      <c r="C934" s="5" t="str">
        <f>IFERROR(__xludf.DUMMYFUNCTION("GOOGLETRANSLATE(B934,""en"",""de"")"),"Eine Pinata hängt an einem Baum, als eine Gruppe von Mädchen davor steht.")</f>
        <v>Eine Pinata hängt an einem Baum, als eine Gruppe von Mädchen davor steht.</v>
      </c>
    </row>
    <row r="935">
      <c r="A935" s="4" t="s">
        <v>1188</v>
      </c>
      <c r="B935" s="4" t="s">
        <v>1190</v>
      </c>
      <c r="C935" s="5" t="str">
        <f>IFERROR(__xludf.DUMMYFUNCTION("GOOGLETRANSLATE(B935,""en"",""de"")"),"Man hat einen Stock und ist die Augen verbunden.")</f>
        <v>Man hat einen Stock und ist die Augen verbunden.</v>
      </c>
    </row>
    <row r="936">
      <c r="A936" s="4" t="s">
        <v>1188</v>
      </c>
      <c r="B936" s="4" t="s">
        <v>1191</v>
      </c>
      <c r="C936" s="5" t="str">
        <f>IFERROR(__xludf.DUMMYFUNCTION("GOOGLETRANSLATE(B936,""en"",""de"")"),"Sie trifft die Pinata und geht dann weg.")</f>
        <v>Sie trifft die Pinata und geht dann weg.</v>
      </c>
    </row>
    <row r="937">
      <c r="A937" s="4" t="s">
        <v>1192</v>
      </c>
      <c r="B937" s="4" t="s">
        <v>1193</v>
      </c>
      <c r="C937" s="5" t="str">
        <f>IFERROR(__xludf.DUMMYFUNCTION("GOOGLETRANSLATE(B937,""en"",""de"")"),"Eine Frau in einem rosa Hemd fährt ein Fahrradrad.")</f>
        <v>Eine Frau in einem rosa Hemd fährt ein Fahrradrad.</v>
      </c>
    </row>
    <row r="938">
      <c r="A938" s="4" t="s">
        <v>1192</v>
      </c>
      <c r="B938" s="4" t="s">
        <v>1194</v>
      </c>
      <c r="C938" s="5" t="str">
        <f>IFERROR(__xludf.DUMMYFUNCTION("GOOGLETRANSLATE(B938,""en"",""de"")"),"Sie macht dann Liegestütze auf dem Boden.")</f>
        <v>Sie macht dann Liegestütze auf dem Boden.</v>
      </c>
    </row>
    <row r="939">
      <c r="A939" s="4" t="s">
        <v>1192</v>
      </c>
      <c r="B939" s="4" t="s">
        <v>1195</v>
      </c>
      <c r="C939" s="5" t="str">
        <f>IFERROR(__xludf.DUMMYFUNCTION("GOOGLETRANSLATE(B939,""en"",""de"")"),"Sie sitzt ups am Boden.")</f>
        <v>Sie sitzt ups am Boden.</v>
      </c>
    </row>
    <row r="940">
      <c r="A940" s="4" t="s">
        <v>1196</v>
      </c>
      <c r="B940" s="4" t="s">
        <v>1197</v>
      </c>
      <c r="C940" s="5" t="str">
        <f>IFERROR(__xludf.DUMMYFUNCTION("GOOGLETRANSLATE(B940,""en"",""de"")"),"Ein Mann sitzt und spricht mit einem Talkshow -Host.")</f>
        <v>Ein Mann sitzt und spricht mit einem Talkshow -Host.</v>
      </c>
    </row>
    <row r="941">
      <c r="A941" s="4" t="s">
        <v>1196</v>
      </c>
      <c r="B941" s="4" t="s">
        <v>1198</v>
      </c>
      <c r="C941" s="5" t="str">
        <f>IFERROR(__xludf.DUMMYFUNCTION("GOOGLETRANSLATE(B941,""en"",""de"")"),"Sie sind animiert, wenn sie miteinander sprechen.")</f>
        <v>Sie sind animiert, wenn sie miteinander sprechen.</v>
      </c>
    </row>
    <row r="942">
      <c r="A942" s="4" t="s">
        <v>1196</v>
      </c>
      <c r="B942" s="4" t="s">
        <v>1199</v>
      </c>
      <c r="C942" s="5" t="str">
        <f>IFERROR(__xludf.DUMMYFUNCTION("GOOGLETRANSLATE(B942,""en"",""de"")"),"Sie reden weiter, dann präsentiert der Gastgeber den Mann ein Geschenk.")</f>
        <v>Sie reden weiter, dann präsentiert der Gastgeber den Mann ein Geschenk.</v>
      </c>
    </row>
    <row r="943">
      <c r="A943" s="4" t="s">
        <v>1200</v>
      </c>
      <c r="B943" s="4" t="s">
        <v>1201</v>
      </c>
      <c r="C943" s="5" t="str">
        <f>IFERROR(__xludf.DUMMYFUNCTION("GOOGLETRANSLATE(B943,""en"",""de"")"),"Ein Mann sitzt drinnen auf einem Stuhl, der von einer Pfeife eingeatmet wird, die aussah, als wäre es eine Oboe.")</f>
        <v>Ein Mann sitzt drinnen auf einem Stuhl, der von einer Pfeife eingeatmet wird, die aussah, als wäre es eine Oboe.</v>
      </c>
    </row>
    <row r="944">
      <c r="A944" s="4" t="s">
        <v>1200</v>
      </c>
      <c r="B944" s="4" t="s">
        <v>1202</v>
      </c>
      <c r="C944" s="5" t="str">
        <f>IFERROR(__xludf.DUMMYFUNCTION("GOOGLETRANSLATE(B944,""en"",""de"")"),"Er nimmt den Schlauch aus seinem Mund und beginnt ausatmen, O's in der Luft zu bilden.")</f>
        <v>Er nimmt den Schlauch aus seinem Mund und beginnt ausatmen, O's in der Luft zu bilden.</v>
      </c>
    </row>
    <row r="945">
      <c r="A945" s="4" t="s">
        <v>1200</v>
      </c>
      <c r="B945" s="4" t="s">
        <v>1203</v>
      </c>
      <c r="C945" s="5" t="str">
        <f>IFERROR(__xludf.DUMMYFUNCTION("GOOGLETRANSLATE(B945,""en"",""de"")"),"Er beginnt seinen Rauch in einen Behälter zu blasen und macht einige wirklich coole Kreise, die ich noch nie gesehen habe.")</f>
        <v>Er beginnt seinen Rauch in einen Behälter zu blasen und macht einige wirklich coole Kreise, die ich noch nie gesehen habe.</v>
      </c>
    </row>
    <row r="946">
      <c r="A946" s="4" t="s">
        <v>1200</v>
      </c>
      <c r="B946" s="4" t="s">
        <v>1204</v>
      </c>
      <c r="C946" s="5" t="str">
        <f>IFERROR(__xludf.DUMMYFUNCTION("GOOGLETRANSLATE(B946,""en"",""de"")"),"Es ist ziemlich cool, wie er die Os bildet, sich nur entspannend und einfach Spaß genießt.")</f>
        <v>Es ist ziemlich cool, wie er die Os bildet, sich nur entspannend und einfach Spaß genießt.</v>
      </c>
    </row>
    <row r="947">
      <c r="A947" s="4" t="s">
        <v>1205</v>
      </c>
      <c r="B947" s="4" t="s">
        <v>1206</v>
      </c>
      <c r="C947" s="5" t="str">
        <f>IFERROR(__xludf.DUMMYFUNCTION("GOOGLETRANSLATE(B947,""en"",""de"")"),"Ein Mann steht an der Vorderseite seines Minivans und zeigt es.")</f>
        <v>Ein Mann steht an der Vorderseite seines Minivans und zeigt es.</v>
      </c>
    </row>
    <row r="948">
      <c r="A948" s="4" t="s">
        <v>1205</v>
      </c>
      <c r="B948" s="4" t="s">
        <v>1207</v>
      </c>
      <c r="C948" s="5" t="str">
        <f>IFERROR(__xludf.DUMMYFUNCTION("GOOGLETRANSLATE(B948,""en"",""de"")"),"Der Mann stützt sich auf die Heckklappe seines Van und zeigt im Inneren Aufbewahrungsfrachtfunktionen.")</f>
        <v>Der Mann stützt sich auf die Heckklappe seines Van und zeigt im Inneren Aufbewahrungsfrachtfunktionen.</v>
      </c>
    </row>
    <row r="949">
      <c r="A949" s="4" t="s">
        <v>1205</v>
      </c>
      <c r="B949" s="4" t="s">
        <v>1208</v>
      </c>
      <c r="C949" s="5" t="str">
        <f>IFERROR(__xludf.DUMMYFUNCTION("GOOGLETRANSLATE(B949,""en"",""de"")"),"Der Mann versammelt sich zusammen.")</f>
        <v>Der Mann versammelt sich zusammen.</v>
      </c>
    </row>
    <row r="950">
      <c r="A950" s="4" t="s">
        <v>1205</v>
      </c>
      <c r="B950" s="4" t="s">
        <v>1209</v>
      </c>
      <c r="C950" s="5" t="str">
        <f>IFERROR(__xludf.DUMMYFUNCTION("GOOGLETRANSLATE(B950,""en"",""de"")"),"Der Mann sitzt im Fahrersitz des Vans und legt den Stabrahmen in eine Steckdose und dreht ihn herum.")</f>
        <v>Der Mann sitzt im Fahrersitz des Vans und legt den Stabrahmen in eine Steckdose und dreht ihn herum.</v>
      </c>
    </row>
    <row r="951">
      <c r="A951" s="4" t="s">
        <v>1205</v>
      </c>
      <c r="B951" s="4" t="s">
        <v>1210</v>
      </c>
      <c r="C951" s="5" t="str">
        <f>IFERROR(__xludf.DUMMYFUNCTION("GOOGLETRANSLATE(B951,""en"",""de"")"),"Der Mann passt die Stange an und greift unter dem Van, um einen Ersatzreifen zu entfernen.")</f>
        <v>Der Mann passt die Stange an und greift unter dem Van, um einen Ersatzreifen zu entfernen.</v>
      </c>
    </row>
    <row r="952">
      <c r="A952" s="4" t="s">
        <v>1205</v>
      </c>
      <c r="B952" s="4" t="s">
        <v>1211</v>
      </c>
      <c r="C952" s="5" t="str">
        <f>IFERROR(__xludf.DUMMYFUNCTION("GOOGLETRANSLATE(B952,""en"",""de"")"),"Der Mann entfernt das Ersatzreifen aus seinem Gehäuse.")</f>
        <v>Der Mann entfernt das Ersatzreifen aus seinem Gehäuse.</v>
      </c>
    </row>
    <row r="953">
      <c r="A953" s="4" t="s">
        <v>1205</v>
      </c>
      <c r="B953" s="4" t="s">
        <v>1212</v>
      </c>
      <c r="C953" s="5" t="str">
        <f>IFERROR(__xludf.DUMMYFUNCTION("GOOGLETRANSLATE(B953,""en"",""de"")"),"Der Mann arbeitet an der Installation des neuen Reifens.")</f>
        <v>Der Mann arbeitet an der Installation des neuen Reifens.</v>
      </c>
    </row>
    <row r="954">
      <c r="A954" s="4" t="s">
        <v>1213</v>
      </c>
      <c r="B954" s="4" t="s">
        <v>1214</v>
      </c>
      <c r="C954" s="5" t="str">
        <f>IFERROR(__xludf.DUMMYFUNCTION("GOOGLETRANSLATE(B954,""en"",""de"")"),"Eine junge Frau sitzt in einem Kajak, das zur Kamera schaut.")</f>
        <v>Eine junge Frau sitzt in einem Kajak, das zur Kamera schaut.</v>
      </c>
    </row>
    <row r="955">
      <c r="A955" s="4" t="s">
        <v>1213</v>
      </c>
      <c r="B955" s="4" t="s">
        <v>1215</v>
      </c>
      <c r="C955" s="5" t="str">
        <f>IFERROR(__xludf.DUMMYFUNCTION("GOOGLETRANSLATE(B955,""en"",""de"")"),"Das Mädchen bewegt dann das Paddel zurück und den vierten Platz.")</f>
        <v>Das Mädchen bewegt dann das Paddel zurück und den vierten Platz.</v>
      </c>
    </row>
    <row r="956">
      <c r="A956" s="4" t="s">
        <v>1213</v>
      </c>
      <c r="B956" s="4" t="s">
        <v>1216</v>
      </c>
      <c r="C956" s="5" t="str">
        <f>IFERROR(__xludf.DUMMYFUNCTION("GOOGLETRANSLATE(B956,""en"",""de"")"),"Sie paddelt in der Ferne.")</f>
        <v>Sie paddelt in der Ferne.</v>
      </c>
    </row>
    <row r="957">
      <c r="A957" s="4" t="s">
        <v>1217</v>
      </c>
      <c r="B957" s="4" t="s">
        <v>1218</v>
      </c>
      <c r="C957" s="5" t="str">
        <f>IFERROR(__xludf.DUMMYFUNCTION("GOOGLETRANSLATE(B957,""en"",""de"")"),"Es gibt zwei jugendliche Jungen, die den Rubikwürfel spielen und lösen.")</f>
        <v>Es gibt zwei jugendliche Jungen, die den Rubikwürfel spielen und lösen.</v>
      </c>
    </row>
    <row r="958">
      <c r="A958" s="4" t="s">
        <v>1217</v>
      </c>
      <c r="B958" s="4" t="s">
        <v>1219</v>
      </c>
      <c r="C958" s="5" t="str">
        <f>IFERROR(__xludf.DUMMYFUNCTION("GOOGLETRANSLATE(B958,""en"",""de"")"),"Ein anderer kleiner Junge kommt dort rein und schaut sich die Kamera an.")</f>
        <v>Ein anderer kleiner Junge kommt dort rein und schaut sich die Kamera an.</v>
      </c>
    </row>
    <row r="959">
      <c r="A959" s="4" t="s">
        <v>1217</v>
      </c>
      <c r="B959" s="4" t="s">
        <v>1220</v>
      </c>
      <c r="C959" s="5" t="str">
        <f>IFERROR(__xludf.DUMMYFUNCTION("GOOGLETRANSLATE(B959,""en"",""de"")"),"Die Teenager treten gegeneinander an, um den Würfel zu lösen.")</f>
        <v>Die Teenager treten gegeneinander an, um den Würfel zu lösen.</v>
      </c>
    </row>
    <row r="960">
      <c r="A960" s="4" t="s">
        <v>1217</v>
      </c>
      <c r="B960" s="4" t="s">
        <v>1221</v>
      </c>
      <c r="C960" s="5" t="str">
        <f>IFERROR(__xludf.DUMMYFUNCTION("GOOGLETRANSLATE(B960,""en"",""de"")"),"Beide enden fast zur gleichen Zeit und lösen den Würfel des Rubiks.")</f>
        <v>Beide enden fast zur gleichen Zeit und lösen den Würfel des Rubiks.</v>
      </c>
    </row>
    <row r="961">
      <c r="A961" s="4" t="s">
        <v>1217</v>
      </c>
      <c r="B961" s="4" t="s">
        <v>1222</v>
      </c>
      <c r="C961" s="5" t="str">
        <f>IFERROR(__xludf.DUMMYFUNCTION("GOOGLETRANSLATE(B961,""en"",""de"")"),"Sie zeigen stolz ihre Fähigkeiten in der Kamera.")</f>
        <v>Sie zeigen stolz ihre Fähigkeiten in der Kamera.</v>
      </c>
    </row>
    <row r="962">
      <c r="A962" s="4" t="s">
        <v>1223</v>
      </c>
      <c r="B962" s="4" t="s">
        <v>1224</v>
      </c>
      <c r="C962" s="5" t="str">
        <f>IFERROR(__xludf.DUMMYFUNCTION("GOOGLETRANSLATE(B962,""en"",""de"")"),"Der männliche Athlet steht an den beiden Polen, hob die Arme hoch und sprang dann mit seinen Armen auf die Polen, während unter ihm ein Mann einen roten Strahl herausholte.")</f>
        <v>Der männliche Athlet steht an den beiden Polen, hob die Arme hoch und sprang dann mit seinen Armen auf die Polen, während unter ihm ein Mann einen roten Strahl herausholte.</v>
      </c>
    </row>
    <row r="963">
      <c r="A963" s="4" t="s">
        <v>1223</v>
      </c>
      <c r="B963" s="4" t="s">
        <v>1225</v>
      </c>
      <c r="C963" s="5" t="str">
        <f>IFERROR(__xludf.DUMMYFUNCTION("GOOGLETRANSLATE(B963,""en"",""de"")"),"Der Athlet führt seine Ausstellung auf den Stangen aus, er steht auf seinen Armen, während seine Füße und Beine gerade in die Luft strecken, er dreht sich um, wirbte, sprang und drehte sich um und sprang dann auf der Matte und stand gerade.")</f>
        <v>Der Athlet führt seine Ausstellung auf den Stangen aus, er steht auf seinen Armen, während seine Füße und Beine gerade in die Luft strecken, er dreht sich um, wirbte, sprang und drehte sich um und sprang dann auf der Matte und stand gerade.</v>
      </c>
    </row>
    <row r="964">
      <c r="A964" s="4" t="s">
        <v>1226</v>
      </c>
      <c r="B964" s="4" t="s">
        <v>1227</v>
      </c>
      <c r="C964" s="5" t="str">
        <f>IFERROR(__xludf.DUMMYFUNCTION("GOOGLETRANSLATE(B964,""en"",""de"")"),"Maria zeigt, wie man ein Nyquil -Cocktailgetränk macht.")</f>
        <v>Maria zeigt, wie man ein Nyquil -Cocktailgetränk macht.</v>
      </c>
    </row>
    <row r="965">
      <c r="A965" s="4" t="s">
        <v>1226</v>
      </c>
      <c r="B965" s="4" t="s">
        <v>1228</v>
      </c>
      <c r="C965" s="5" t="str">
        <f>IFERROR(__xludf.DUMMYFUNCTION("GOOGLETRANSLATE(B965,""en"",""de"")"),"Sie zeigt die Zutaten, die für das Getränk erforderlich sind.")</f>
        <v>Sie zeigt die Zutaten, die für das Getränk erforderlich sind.</v>
      </c>
    </row>
    <row r="966">
      <c r="A966" s="4" t="s">
        <v>1226</v>
      </c>
      <c r="B966" s="4" t="s">
        <v>1229</v>
      </c>
      <c r="C966" s="5" t="str">
        <f>IFERROR(__xludf.DUMMYFUNCTION("GOOGLETRANSLATE(B966,""en"",""de"")"),"Sie verweist auf Wodka, Jagermeister und Lebensmittelfarbe.")</f>
        <v>Sie verweist auf Wodka, Jagermeister und Lebensmittelfarbe.</v>
      </c>
    </row>
    <row r="967">
      <c r="A967" s="4" t="s">
        <v>1226</v>
      </c>
      <c r="B967" s="4" t="s">
        <v>1230</v>
      </c>
      <c r="C967" s="5" t="str">
        <f>IFERROR(__xludf.DUMMYFUNCTION("GOOGLETRANSLATE(B967,""en"",""de"")"),"Sie nimmt dann einen Shaker und gießt und Wodka und den Jagermeister.")</f>
        <v>Sie nimmt dann einen Shaker und gießt und Wodka und den Jagermeister.</v>
      </c>
    </row>
    <row r="968">
      <c r="A968" s="4" t="s">
        <v>1226</v>
      </c>
      <c r="B968" s="4" t="s">
        <v>1231</v>
      </c>
      <c r="C968" s="5" t="str">
        <f>IFERROR(__xludf.DUMMYFUNCTION("GOOGLETRANSLATE(B968,""en"",""de"")"),"Dann fügt es etwas Eis hinzu und schüttelt es.")</f>
        <v>Dann fügt es etwas Eis hinzu und schüttelt es.</v>
      </c>
    </row>
    <row r="969">
      <c r="A969" s="4" t="s">
        <v>1226</v>
      </c>
      <c r="B969" s="4" t="s">
        <v>1232</v>
      </c>
      <c r="C969" s="5" t="str">
        <f>IFERROR(__xludf.DUMMYFUNCTION("GOOGLETRANSLATE(B969,""en"",""de"")"),"Sie benutzt ein Sieb, um das Getränk in ein Cocktailglas abzuziehen und das Glas auf den Tisch zu legen.")</f>
        <v>Sie benutzt ein Sieb, um das Getränk in ein Cocktailglas abzuziehen und das Glas auf den Tisch zu legen.</v>
      </c>
    </row>
    <row r="970">
      <c r="A970" s="4" t="s">
        <v>1233</v>
      </c>
      <c r="B970" s="4" t="s">
        <v>1234</v>
      </c>
      <c r="C970" s="5" t="str">
        <f>IFERROR(__xludf.DUMMYFUNCTION("GOOGLETRANSLATE(B970,""en"",""de"")"),"Es gibt einige Männer, die sich mit Gillette -Rasiergel rasieren.")</f>
        <v>Es gibt einige Männer, die sich mit Gillette -Rasiergel rasieren.</v>
      </c>
    </row>
    <row r="971">
      <c r="A971" s="4" t="s">
        <v>1233</v>
      </c>
      <c r="B971" s="4" t="s">
        <v>1235</v>
      </c>
      <c r="C971" s="5" t="str">
        <f>IFERROR(__xludf.DUMMYFUNCTION("GOOGLETRANSLATE(B971,""en"",""de"")"),"Es gibt ein Model, dessen Gesicht vollständig mit Rasiergel geschmiert ist, und er benutzt einen blauen Rasierer, um sein Gesicht zu rasieren.")</f>
        <v>Es gibt ein Model, dessen Gesicht vollständig mit Rasiergel geschmiert ist, und er benutzt einen blauen Rasierer, um sein Gesicht zu rasieren.</v>
      </c>
    </row>
    <row r="972">
      <c r="A972" s="4" t="s">
        <v>1233</v>
      </c>
      <c r="B972" s="4" t="s">
        <v>1236</v>
      </c>
      <c r="C972" s="5" t="str">
        <f>IFERROR(__xludf.DUMMYFUNCTION("GOOGLETRANSLATE(B972,""en"",""de"")"),"Ein anderes männliches Modell hat auch sein ganzes Gesicht mit Rasiergel geschmiert.")</f>
        <v>Ein anderes männliches Modell hat auch sein ganzes Gesicht mit Rasiergel geschmiert.</v>
      </c>
    </row>
    <row r="973">
      <c r="A973" s="4" t="s">
        <v>1233</v>
      </c>
      <c r="B973" s="4" t="s">
        <v>1237</v>
      </c>
      <c r="C973" s="5" t="str">
        <f>IFERROR(__xludf.DUMMYFUNCTION("GOOGLETRANSLATE(B973,""en"",""de"")"),"Er rasiert auch mit einem blauen Rasiermesser sein Gesicht.")</f>
        <v>Er rasiert auch mit einem blauen Rasiermesser sein Gesicht.</v>
      </c>
    </row>
    <row r="974">
      <c r="A974" s="4" t="s">
        <v>1233</v>
      </c>
      <c r="B974" s="4" t="s">
        <v>1238</v>
      </c>
      <c r="C974" s="5" t="str">
        <f>IFERROR(__xludf.DUMMYFUNCTION("GOOGLETRANSLATE(B974,""en"",""de"")"),"Er rasiert seine Wangen und den Schnurrbart.")</f>
        <v>Er rasiert seine Wangen und den Schnurrbart.</v>
      </c>
    </row>
    <row r="975">
      <c r="A975" s="4" t="s">
        <v>1233</v>
      </c>
      <c r="B975" s="4" t="s">
        <v>1239</v>
      </c>
      <c r="C975" s="5" t="str">
        <f>IFERROR(__xludf.DUMMYFUNCTION("GOOGLETRANSLATE(B975,""en"",""de"")"),"Er pumpt ein kleines Gel -Gel an den Händen.")</f>
        <v>Er pumpt ein kleines Gel -Gel an den Händen.</v>
      </c>
    </row>
    <row r="976">
      <c r="A976" s="4" t="s">
        <v>1233</v>
      </c>
      <c r="B976" s="4" t="s">
        <v>1240</v>
      </c>
      <c r="C976" s="5" t="str">
        <f>IFERROR(__xludf.DUMMYFUNCTION("GOOGLETRANSLATE(B976,""en"",""de"")"),"Zeigt dann den Unterschied zwischen normaler Schaumcreme und Gel -Rasiercreme und hat weiterhin.")</f>
        <v>Zeigt dann den Unterschied zwischen normaler Schaumcreme und Gel -Rasiercreme und hat weiterhin.</v>
      </c>
    </row>
    <row r="977">
      <c r="A977" s="4" t="s">
        <v>1233</v>
      </c>
      <c r="B977" s="4" t="s">
        <v>1241</v>
      </c>
      <c r="C977" s="5" t="str">
        <f>IFERROR(__xludf.DUMMYFUNCTION("GOOGLETRANSLATE(B977,""en"",""de"")"),"Dann posiert er mit einem Lady -Model, das sein Gesicht berührt, um seine glatte Haut zu spüren.")</f>
        <v>Dann posiert er mit einem Lady -Model, das sein Gesicht berührt, um seine glatte Haut zu spüren.</v>
      </c>
    </row>
    <row r="978">
      <c r="A978" s="4" t="s">
        <v>1233</v>
      </c>
      <c r="B978" s="4" t="s">
        <v>1242</v>
      </c>
      <c r="C978" s="5" t="str">
        <f>IFERROR(__xludf.DUMMYFUNCTION("GOOGLETRANSLATE(B978,""en"",""de"")"),"Das gesamte Gillette -Rasierset wird angezeigt.")</f>
        <v>Das gesamte Gillette -Rasierset wird angezeigt.</v>
      </c>
    </row>
    <row r="979">
      <c r="A979" s="4" t="s">
        <v>1243</v>
      </c>
      <c r="B979" s="4" t="s">
        <v>1244</v>
      </c>
      <c r="C979" s="5" t="str">
        <f>IFERROR(__xludf.DUMMYFUNCTION("GOOGLETRANSLATE(B979,""en"",""de"")"),"Eine Einführung für eine Kanu -Sportmarke erscheint auf dem Bildschirm.")</f>
        <v>Eine Einführung für eine Kanu -Sportmarke erscheint auf dem Bildschirm.</v>
      </c>
    </row>
    <row r="980">
      <c r="A980" s="4" t="s">
        <v>1243</v>
      </c>
      <c r="B980" s="4" t="s">
        <v>1245</v>
      </c>
      <c r="C980" s="5" t="str">
        <f>IFERROR(__xludf.DUMMYFUNCTION("GOOGLETRANSLATE(B980,""en"",""de"")"),"Mehrere Menschen bereiten sich darauf vor, an einem schneebedeckten Tag ihre Kanus ins Wasser zu bringen.")</f>
        <v>Mehrere Menschen bereiten sich darauf vor, an einem schneebedeckten Tag ihre Kanus ins Wasser zu bringen.</v>
      </c>
    </row>
    <row r="981">
      <c r="A981" s="4" t="s">
        <v>1243</v>
      </c>
      <c r="B981" s="4" t="s">
        <v>1246</v>
      </c>
      <c r="C981" s="5" t="str">
        <f>IFERROR(__xludf.DUMMYFUNCTION("GOOGLETRANSLATE(B981,""en"",""de"")"),"Mehrere andere Menschen steigen aus einem Bus und fahren zum Wasser.")</f>
        <v>Mehrere andere Menschen steigen aus einem Bus und fahren zum Wasser.</v>
      </c>
    </row>
    <row r="982">
      <c r="A982" s="4" t="s">
        <v>1243</v>
      </c>
      <c r="B982" s="4" t="s">
        <v>1247</v>
      </c>
      <c r="C982" s="5" t="str">
        <f>IFERROR(__xludf.DUMMYFUNCTION("GOOGLETRANSLATE(B982,""en"",""de"")"),"Es wird dann gezeigt, dass Menschen mehrere Kanu und Trainingsübungen durchführen.")</f>
        <v>Es wird dann gezeigt, dass Menschen mehrere Kanu und Trainingsübungen durchführen.</v>
      </c>
    </row>
    <row r="983">
      <c r="A983" s="4" t="s">
        <v>1243</v>
      </c>
      <c r="B983" s="4" t="s">
        <v>1248</v>
      </c>
      <c r="C983" s="5" t="str">
        <f>IFERROR(__xludf.DUMMYFUNCTION("GOOGLETRANSLATE(B983,""en"",""de"")"),"Im Wasser werden dann Menschen Kanufahren gezeigt und haben Spaß.")</f>
        <v>Im Wasser werden dann Menschen Kanufahren gezeigt und haben Spaß.</v>
      </c>
    </row>
    <row r="984">
      <c r="A984" s="4" t="s">
        <v>1243</v>
      </c>
      <c r="B984" s="4" t="s">
        <v>1249</v>
      </c>
      <c r="C984" s="5" t="str">
        <f>IFERROR(__xludf.DUMMYFUNCTION("GOOGLETRANSLATE(B984,""en"",""de"")"),"Das Video endet mit der angezeigten Canoesport -Website.")</f>
        <v>Das Video endet mit der angezeigten Canoesport -Website.</v>
      </c>
    </row>
    <row r="985">
      <c r="A985" s="4" t="s">
        <v>1250</v>
      </c>
      <c r="B985" s="4" t="s">
        <v>1251</v>
      </c>
      <c r="C985" s="5" t="str">
        <f>IFERROR(__xludf.DUMMYFUNCTION("GOOGLETRANSLATE(B985,""en"",""de"")"),"Die Credits des Clips werden angezeigt.")</f>
        <v>Die Credits des Clips werden angezeigt.</v>
      </c>
    </row>
    <row r="986">
      <c r="A986" s="4" t="s">
        <v>1250</v>
      </c>
      <c r="B986" s="4" t="s">
        <v>1252</v>
      </c>
      <c r="C986" s="5" t="str">
        <f>IFERROR(__xludf.DUMMYFUNCTION("GOOGLETRANSLATE(B986,""en"",""de"")"),"Eine Person ruht seine Hände auf Schlagzeug.")</f>
        <v>Eine Person ruht seine Hände auf Schlagzeug.</v>
      </c>
    </row>
    <row r="987">
      <c r="A987" s="4" t="s">
        <v>1250</v>
      </c>
      <c r="B987" s="4" t="s">
        <v>1253</v>
      </c>
      <c r="C987" s="5" t="str">
        <f>IFERROR(__xludf.DUMMYFUNCTION("GOOGLETRANSLATE(B987,""en"",""de"")"),"Die Person spielt Schlagzeug.")</f>
        <v>Die Person spielt Schlagzeug.</v>
      </c>
    </row>
    <row r="988">
      <c r="A988" s="4" t="s">
        <v>1250</v>
      </c>
      <c r="B988" s="4" t="s">
        <v>1254</v>
      </c>
      <c r="C988" s="5" t="str">
        <f>IFERROR(__xludf.DUMMYFUNCTION("GOOGLETRANSLATE(B988,""en"",""de"")"),"Die Person klatscht in die Hände.")</f>
        <v>Die Person klatscht in die Hände.</v>
      </c>
    </row>
    <row r="989">
      <c r="A989" s="4" t="s">
        <v>1250</v>
      </c>
      <c r="B989" s="4" t="s">
        <v>1255</v>
      </c>
      <c r="C989" s="5" t="str">
        <f>IFERROR(__xludf.DUMMYFUNCTION("GOOGLETRANSLATE(B989,""en"",""de"")"),"Die Person stellt seine Finger zusammen.")</f>
        <v>Die Person stellt seine Finger zusammen.</v>
      </c>
    </row>
    <row r="990">
      <c r="A990" s="4" t="s">
        <v>1250</v>
      </c>
      <c r="B990" s="4" t="s">
        <v>1251</v>
      </c>
      <c r="C990" s="5" t="str">
        <f>IFERROR(__xludf.DUMMYFUNCTION("GOOGLETRANSLATE(B990,""en"",""de"")"),"Die Credits des Clips werden angezeigt.")</f>
        <v>Die Credits des Clips werden angezeigt.</v>
      </c>
    </row>
    <row r="991">
      <c r="A991" s="4" t="s">
        <v>1256</v>
      </c>
      <c r="B991" s="4" t="s">
        <v>1257</v>
      </c>
      <c r="C991" s="5" t="str">
        <f>IFERROR(__xludf.DUMMYFUNCTION("GOOGLETRANSLATE(B991,""en"",""de"")"),"Eine Frau hält einen gelben Ball hinter ihrem Hals.")</f>
        <v>Eine Frau hält einen gelben Ball hinter ihrem Hals.</v>
      </c>
    </row>
    <row r="992">
      <c r="A992" s="4" t="s">
        <v>1256</v>
      </c>
      <c r="B992" s="4" t="s">
        <v>1258</v>
      </c>
      <c r="C992" s="5" t="str">
        <f>IFERROR(__xludf.DUMMYFUNCTION("GOOGLETRANSLATE(B992,""en"",""de"")"),"Sie dreht sich um und startet den Ball auf ein Feld.")</f>
        <v>Sie dreht sich um und startet den Ball auf ein Feld.</v>
      </c>
    </row>
    <row r="993">
      <c r="A993" s="4" t="s">
        <v>1256</v>
      </c>
      <c r="B993" s="4" t="s">
        <v>1259</v>
      </c>
      <c r="C993" s="5" t="str">
        <f>IFERROR(__xludf.DUMMYFUNCTION("GOOGLETRANSLATE(B993,""en"",""de"")"),"Menschen rennen, um die Entfernung zu messen.")</f>
        <v>Menschen rennen, um die Entfernung zu messen.</v>
      </c>
    </row>
    <row r="994">
      <c r="A994" s="4" t="s">
        <v>1256</v>
      </c>
      <c r="B994" s="4" t="s">
        <v>1260</v>
      </c>
      <c r="C994" s="5" t="str">
        <f>IFERROR(__xludf.DUMMYFUNCTION("GOOGLETRANSLATE(B994,""en"",""de"")"),"Ein Mann in einem roten Hemd hält einen Ball hinter seinem Hals.")</f>
        <v>Ein Mann in einem roten Hemd hält einen Ball hinter seinem Hals.</v>
      </c>
    </row>
    <row r="995">
      <c r="A995" s="4" t="s">
        <v>1256</v>
      </c>
      <c r="B995" s="4" t="s">
        <v>1261</v>
      </c>
      <c r="C995" s="5" t="str">
        <f>IFERROR(__xludf.DUMMYFUNCTION("GOOGLETRANSLATE(B995,""en"",""de"")"),"Er dreht sich um und startet den Ball auf dem Feld.")</f>
        <v>Er dreht sich um und startet den Ball auf dem Feld.</v>
      </c>
    </row>
    <row r="996">
      <c r="A996" s="4" t="s">
        <v>1256</v>
      </c>
      <c r="B996" s="4" t="s">
        <v>1262</v>
      </c>
      <c r="C996" s="5" t="str">
        <f>IFERROR(__xludf.DUMMYFUNCTION("GOOGLETRANSLATE(B996,""en"",""de"")"),"Die Leute rennen, um die Entfernung davon zu messen.")</f>
        <v>Die Leute rennen, um die Entfernung davon zu messen.</v>
      </c>
    </row>
    <row r="997">
      <c r="A997" s="4" t="s">
        <v>1256</v>
      </c>
      <c r="B997" s="4" t="s">
        <v>1263</v>
      </c>
      <c r="C997" s="5" t="str">
        <f>IFERROR(__xludf.DUMMYFUNCTION("GOOGLETRANSLATE(B997,""en"",""de"")"),"Eine andere Frau hält einen Ball hinter ihrem Hals.")</f>
        <v>Eine andere Frau hält einen Ball hinter ihrem Hals.</v>
      </c>
    </row>
    <row r="998">
      <c r="A998" s="4" t="s">
        <v>1256</v>
      </c>
      <c r="B998" s="4" t="s">
        <v>1264</v>
      </c>
      <c r="C998" s="5" t="str">
        <f>IFERROR(__xludf.DUMMYFUNCTION("GOOGLETRANSLATE(B998,""en"",""de"")"),"Sie dreht sich auch um und startet den Ball auf das Feld.")</f>
        <v>Sie dreht sich auch um und startet den Ball auf das Feld.</v>
      </c>
    </row>
    <row r="999">
      <c r="A999" s="4" t="s">
        <v>1256</v>
      </c>
      <c r="B999" s="4" t="s">
        <v>1265</v>
      </c>
      <c r="C999" s="5" t="str">
        <f>IFERROR(__xludf.DUMMYFUNCTION("GOOGLETRANSLATE(B999,""en"",""de"")"),"Die Leute rennen dann rüber, um die Entfernung zu messen.")</f>
        <v>Die Leute rennen dann rüber, um die Entfernung zu messen.</v>
      </c>
    </row>
    <row r="1000">
      <c r="A1000" s="4" t="s">
        <v>1256</v>
      </c>
      <c r="B1000" s="4" t="s">
        <v>1266</v>
      </c>
      <c r="C1000" s="5" t="str">
        <f>IFERROR(__xludf.DUMMYFUNCTION("GOOGLETRANSLATE(B1000,""en"",""de"")"),"Sie winkt auf die Menge.")</f>
        <v>Sie winkt auf die Menge.</v>
      </c>
    </row>
    <row r="1001">
      <c r="A1001" s="4" t="s">
        <v>1256</v>
      </c>
      <c r="B1001" s="4" t="s">
        <v>1267</v>
      </c>
      <c r="C1001" s="5" t="str">
        <f>IFERROR(__xludf.DUMMYFUNCTION("GOOGLETRANSLATE(B1001,""en"",""de"")"),"Sie wirft dann wieder den Ball.")</f>
        <v>Sie wirft dann wieder den Ball.</v>
      </c>
    </row>
    <row r="1002">
      <c r="A1002" s="4" t="s">
        <v>1256</v>
      </c>
      <c r="B1002" s="4" t="s">
        <v>1268</v>
      </c>
      <c r="C1002" s="5" t="str">
        <f>IFERROR(__xludf.DUMMYFUNCTION("GOOGLETRANSLATE(B1002,""en"",""de"")"),"Die Ergebnisse blinken dann auf dem Bildschirm.")</f>
        <v>Die Ergebnisse blinken dann auf dem Bildschirm.</v>
      </c>
    </row>
    <row r="1003">
      <c r="A1003" s="4" t="s">
        <v>1269</v>
      </c>
      <c r="B1003" s="4" t="s">
        <v>1270</v>
      </c>
      <c r="C1003" s="5" t="str">
        <f>IFERROR(__xludf.DUMMYFUNCTION("GOOGLETRANSLATE(B1003,""en"",""de"")"),"Ein Intro beginnt und zeigt eine Gruppe von Menschen.")</f>
        <v>Ein Intro beginnt und zeigt eine Gruppe von Menschen.</v>
      </c>
    </row>
    <row r="1004">
      <c r="A1004" s="4" t="s">
        <v>1269</v>
      </c>
      <c r="B1004" s="4" t="s">
        <v>1271</v>
      </c>
      <c r="C1004" s="5" t="str">
        <f>IFERROR(__xludf.DUMMYFUNCTION("GOOGLETRANSLATE(B1004,""en"",""de"")"),"Verschiedene Menschen führen zusammen mit einem Ausbilder vorne und in der Mitte eine Tanzroutine durch.")</f>
        <v>Verschiedene Menschen führen zusammen mit einem Ausbilder vorne und in der Mitte eine Tanzroutine durch.</v>
      </c>
    </row>
    <row r="1005">
      <c r="A1005" s="4" t="s">
        <v>1269</v>
      </c>
      <c r="B1005" s="4" t="s">
        <v>1272</v>
      </c>
      <c r="C1005" s="5" t="str">
        <f>IFERROR(__xludf.DUMMYFUNCTION("GOOGLETRANSLATE(B1005,""en"",""de"")"),"Die Routine setzt sich fort, wobei sich die Menschen und Ausbilder mit ihren Armen und Beinen bewegen, die verschiedene Bewegungen zur Musik durchführen.")</f>
        <v>Die Routine setzt sich fort, wobei sich die Menschen und Ausbilder mit ihren Armen und Beinen bewegen, die verschiedene Bewegungen zur Musik durchführen.</v>
      </c>
    </row>
    <row r="1006">
      <c r="A1006" s="4" t="s">
        <v>1273</v>
      </c>
      <c r="B1006" s="4" t="s">
        <v>1274</v>
      </c>
      <c r="C1006" s="5" t="str">
        <f>IFERROR(__xludf.DUMMYFUNCTION("GOOGLETRANSLATE(B1006,""en"",""de"")"),"Ein Junge und ein Mädchen sitzen hinter einem Tisch.")</f>
        <v>Ein Junge und ein Mädchen sitzen hinter einem Tisch.</v>
      </c>
    </row>
    <row r="1007">
      <c r="A1007" s="4" t="s">
        <v>1273</v>
      </c>
      <c r="B1007" s="4" t="s">
        <v>1275</v>
      </c>
      <c r="C1007" s="5" t="str">
        <f>IFERROR(__xludf.DUMMYFUNCTION("GOOGLETRANSLATE(B1007,""en"",""de"")"),"Sie fangen an, auf dem Tisch zu ringen.")</f>
        <v>Sie fangen an, auf dem Tisch zu ringen.</v>
      </c>
    </row>
    <row r="1008">
      <c r="A1008" s="4" t="s">
        <v>1273</v>
      </c>
      <c r="B1008" s="4" t="s">
        <v>1276</v>
      </c>
      <c r="C1008" s="5" t="str">
        <f>IFERROR(__xludf.DUMMYFUNCTION("GOOGLETRANSLATE(B1008,""en"",""de"")"),"Der Mann gewinnt und lächelt.")</f>
        <v>Der Mann gewinnt und lächelt.</v>
      </c>
    </row>
    <row r="1009">
      <c r="A1009" s="4" t="s">
        <v>1277</v>
      </c>
      <c r="B1009" s="4" t="s">
        <v>1278</v>
      </c>
      <c r="C1009" s="5" t="str">
        <f>IFERROR(__xludf.DUMMYFUNCTION("GOOGLETRANSLATE(B1009,""en"",""de"")"),"Wir sehen ein paar Eröffnungsbildschirme.")</f>
        <v>Wir sehen ein paar Eröffnungsbildschirme.</v>
      </c>
    </row>
    <row r="1010">
      <c r="A1010" s="4" t="s">
        <v>1277</v>
      </c>
      <c r="B1010" s="4" t="s">
        <v>1279</v>
      </c>
      <c r="C1010" s="5" t="str">
        <f>IFERROR(__xludf.DUMMYFUNCTION("GOOGLETRANSLATE(B1010,""en"",""de"")"),"Ein Mann rasiert mit einem geraden Rasiermesser.")</f>
        <v>Ein Mann rasiert mit einem geraden Rasiermesser.</v>
      </c>
    </row>
    <row r="1011">
      <c r="A1011" s="4" t="s">
        <v>1277</v>
      </c>
      <c r="B1011" s="4" t="s">
        <v>1280</v>
      </c>
      <c r="C1011" s="5" t="str">
        <f>IFERROR(__xludf.DUMMYFUNCTION("GOOGLETRANSLATE(B1011,""en"",""de"")"),"Wir sehen den Mann hinter ihm und die Männer umarmen und reden.")</f>
        <v>Wir sehen den Mann hinter ihm und die Männer umarmen und reden.</v>
      </c>
    </row>
    <row r="1012">
      <c r="A1012" s="4" t="s">
        <v>1277</v>
      </c>
      <c r="B1012" s="4" t="s">
        <v>1281</v>
      </c>
      <c r="C1012" s="5" t="str">
        <f>IFERROR(__xludf.DUMMYFUNCTION("GOOGLETRANSLATE(B1012,""en"",""de"")"),"Der Mann kehrt zurück, um sein Gesicht zu rasieren.")</f>
        <v>Der Mann kehrt zurück, um sein Gesicht zu rasieren.</v>
      </c>
    </row>
    <row r="1013">
      <c r="A1013" s="4" t="s">
        <v>1277</v>
      </c>
      <c r="B1013" s="4" t="s">
        <v>1282</v>
      </c>
      <c r="C1013" s="5" t="str">
        <f>IFERROR(__xludf.DUMMYFUNCTION("GOOGLETRANSLATE(B1013,""en"",""de"")"),"Wir sehen den Mann wieder im Heck.")</f>
        <v>Wir sehen den Mann wieder im Heck.</v>
      </c>
    </row>
    <row r="1014">
      <c r="A1014" s="4" t="s">
        <v>1277</v>
      </c>
      <c r="B1014" s="4" t="s">
        <v>1283</v>
      </c>
      <c r="C1014" s="5" t="str">
        <f>IFERROR(__xludf.DUMMYFUNCTION("GOOGLETRANSLATE(B1014,""en"",""de"")"),"Der Rasiermann spricht und wir sehen die Endtitelbildschirme.")</f>
        <v>Der Rasiermann spricht und wir sehen die Endtitelbildschirme.</v>
      </c>
    </row>
    <row r="1015">
      <c r="A1015" s="4" t="s">
        <v>1284</v>
      </c>
      <c r="B1015" s="4" t="s">
        <v>1285</v>
      </c>
      <c r="C1015" s="5" t="str">
        <f>IFERROR(__xludf.DUMMYFUNCTION("GOOGLETRANSLATE(B1015,""en"",""de"")"),"Eine Nahaufnahme der Produkte wird von einer Frau gezeigt, die das Paket vor einem Spiegel öffnet.")</f>
        <v>Eine Nahaufnahme der Produkte wird von einer Frau gezeigt, die das Paket vor einem Spiegel öffnet.</v>
      </c>
    </row>
    <row r="1016">
      <c r="A1016" s="4" t="s">
        <v>1284</v>
      </c>
      <c r="B1016" s="4" t="s">
        <v>1286</v>
      </c>
      <c r="C1016" s="5" t="str">
        <f>IFERROR(__xludf.DUMMYFUNCTION("GOOGLETRANSLATE(B1016,""en"",""de"")"),"Die Frau steckt das Paket in ihren Mund, schwingt es herum und spuckt es dann aus.")</f>
        <v>Die Frau steckt das Paket in ihren Mund, schwingt es herum und spuckt es dann aus.</v>
      </c>
    </row>
    <row r="1017">
      <c r="A1017" s="4" t="s">
        <v>1287</v>
      </c>
      <c r="B1017" s="4" t="s">
        <v>1288</v>
      </c>
      <c r="C1017" s="5" t="str">
        <f>IFERROR(__xludf.DUMMYFUNCTION("GOOGLETRANSLATE(B1017,""en"",""de"")"),"Ein Mann steht auf der Bühne und hält ein Instrumente in seinen Händen.")</f>
        <v>Ein Mann steht auf der Bühne und hält ein Instrumente in seinen Händen.</v>
      </c>
    </row>
    <row r="1018">
      <c r="A1018" s="4" t="s">
        <v>1287</v>
      </c>
      <c r="B1018" s="4" t="s">
        <v>1289</v>
      </c>
      <c r="C1018" s="5" t="str">
        <f>IFERROR(__xludf.DUMMYFUNCTION("GOOGLETRANSLATE(B1018,""en"",""de"")"),"Dann nimmt er das Instrument auf und beginnt auf der Bühne zu spielen.")</f>
        <v>Dann nimmt er das Instrument auf und beginnt auf der Bühne zu spielen.</v>
      </c>
    </row>
    <row r="1019">
      <c r="A1019" s="4" t="s">
        <v>1287</v>
      </c>
      <c r="B1019" s="4" t="s">
        <v>1290</v>
      </c>
      <c r="C1019" s="5" t="str">
        <f>IFERROR(__xludf.DUMMYFUNCTION("GOOGLETRANSLATE(B1019,""en"",""de"")"),"Der Mann spielt weiter und endet mit und schaut weg.")</f>
        <v>Der Mann spielt weiter und endet mit und schaut weg.</v>
      </c>
    </row>
    <row r="1020">
      <c r="A1020" s="4" t="s">
        <v>1291</v>
      </c>
      <c r="B1020" s="4" t="s">
        <v>1292</v>
      </c>
      <c r="C1020" s="5" t="str">
        <f>IFERROR(__xludf.DUMMYFUNCTION("GOOGLETRANSLATE(B1020,""en"",""de"")"),"Das Video beginnt mit einer Kulisse eines schneebedeckten Gebiets und führt die Namen der Menschen im Video vor und es ist die ""Wisp Snowboard Trip 2014"".")</f>
        <v>Das Video beginnt mit einer Kulisse eines schneebedeckten Gebiets und führt die Namen der Menschen im Video vor und es ist die "Wisp Snowboard Trip 2014".</v>
      </c>
    </row>
    <row r="1021">
      <c r="A1021" s="4" t="s">
        <v>1291</v>
      </c>
      <c r="B1021" s="4" t="s">
        <v>1293</v>
      </c>
      <c r="C1021" s="5" t="str">
        <f>IFERROR(__xludf.DUMMYFUNCTION("GOOGLETRANSLATE(B1021,""en"",""de"")"),"Das Video geht dann in zahlreiche verschiedene Segmente einer Reihe verschiedener Snowboarden in verschiedenen Menschen, während sie tagsüber oder nachts und an verschiedenen Orten Tricks machen.")</f>
        <v>Das Video geht dann in zahlreiche verschiedene Segmente einer Reihe verschiedener Snowboarden in verschiedenen Menschen, während sie tagsüber oder nachts und an verschiedenen Orten Tricks machen.</v>
      </c>
    </row>
    <row r="1022">
      <c r="A1022" s="4" t="s">
        <v>1291</v>
      </c>
      <c r="B1022" s="4" t="s">
        <v>1294</v>
      </c>
      <c r="C1022" s="5" t="str">
        <f>IFERROR(__xludf.DUMMYFUNCTION("GOOGLETRANSLATE(B1022,""en"",""de"")"),"Das Outro geht zu grau und verblasst dann zu schwarz.")</f>
        <v>Das Outro geht zu grau und verblasst dann zu schwarz.</v>
      </c>
    </row>
    <row r="1023">
      <c r="A1023" s="4" t="s">
        <v>1295</v>
      </c>
      <c r="B1023" s="4" t="s">
        <v>1296</v>
      </c>
      <c r="C1023" s="5" t="str">
        <f>IFERROR(__xludf.DUMMYFUNCTION("GOOGLETRANSLATE(B1023,""en"",""de"")"),"Auf dem Bildschirm wird ein großes Gezeiten angezeigt.")</f>
        <v>Auf dem Bildschirm wird ein großes Gezeiten angezeigt.</v>
      </c>
    </row>
    <row r="1024">
      <c r="A1024" s="4" t="s">
        <v>1295</v>
      </c>
      <c r="B1024" s="4" t="s">
        <v>1297</v>
      </c>
      <c r="C1024" s="5" t="str">
        <f>IFERROR(__xludf.DUMMYFUNCTION("GOOGLETRANSLATE(B1024,""en"",""de"")"),"Ein Haufen Schlittenbeschwerden steigen in die Röhren.")</f>
        <v>Ein Haufen Schlittenbeschwerden steigen in die Röhren.</v>
      </c>
    </row>
    <row r="1025">
      <c r="A1025" s="4" t="s">
        <v>1295</v>
      </c>
      <c r="B1025" s="4" t="s">
        <v>1298</v>
      </c>
      <c r="C1025" s="5" t="str">
        <f>IFERROR(__xludf.DUMMYFUNCTION("GOOGLETRANSLATE(B1025,""en"",""de"")"),"Sie reiten sie zusammen einen steilen Hügel hinunter.")</f>
        <v>Sie reiten sie zusammen einen steilen Hügel hinunter.</v>
      </c>
    </row>
    <row r="1026">
      <c r="A1026" s="4" t="s">
        <v>1299</v>
      </c>
      <c r="B1026" s="4" t="s">
        <v>1300</v>
      </c>
      <c r="C1026" s="5" t="str">
        <f>IFERROR(__xludf.DUMMYFUNCTION("GOOGLETRANSLATE(B1026,""en"",""de"")"),"Ein weiblicher Nachrichtensprecher stellt eine Geschichte vor.")</f>
        <v>Ein weiblicher Nachrichtensprecher stellt eine Geschichte vor.</v>
      </c>
    </row>
    <row r="1027">
      <c r="A1027" s="4" t="s">
        <v>1299</v>
      </c>
      <c r="B1027" s="4" t="s">
        <v>1301</v>
      </c>
      <c r="C1027" s="5" t="str">
        <f>IFERROR(__xludf.DUMMYFUNCTION("GOOGLETRANSLATE(B1027,""en"",""de"")"),"Ein weiblicher Nachrichtenreporter spricht mit einem Fitnesslehrer in einem Fitnessstudio, in dem Radfahrer Fitnessräder fahren.")</f>
        <v>Ein weiblicher Nachrichtenreporter spricht mit einem Fitnesslehrer in einem Fitnessstudio, in dem Radfahrer Fitnessräder fahren.</v>
      </c>
    </row>
    <row r="1028">
      <c r="A1028" s="4" t="s">
        <v>1299</v>
      </c>
      <c r="B1028" s="4" t="s">
        <v>1302</v>
      </c>
      <c r="C1028" s="5" t="str">
        <f>IFERROR(__xludf.DUMMYFUNCTION("GOOGLETRANSLATE(B1028,""en"",""de"")"),"Übungen wie Yoga und Radfahren werden von denen im Fitnessstudio demonstriert.")</f>
        <v>Übungen wie Yoga und Radfahren werden von denen im Fitnessstudio demonstriert.</v>
      </c>
    </row>
    <row r="1029">
      <c r="A1029" s="4" t="s">
        <v>1299</v>
      </c>
      <c r="B1029" s="4" t="s">
        <v>1303</v>
      </c>
      <c r="C1029" s="5" t="str">
        <f>IFERROR(__xludf.DUMMYFUNCTION("GOOGLETRANSLATE(B1029,""en"",""de"")"),"Der weibliche Nachrichtenreporter spricht weiterhin mit dem Fitnesslehrer.")</f>
        <v>Der weibliche Nachrichtenreporter spricht weiterhin mit dem Fitnesslehrer.</v>
      </c>
    </row>
    <row r="1030">
      <c r="A1030" s="4" t="s">
        <v>1299</v>
      </c>
      <c r="B1030" s="4" t="s">
        <v>1304</v>
      </c>
      <c r="C1030" s="5" t="str">
        <f>IFERROR(__xludf.DUMMYFUNCTION("GOOGLETRANSLATE(B1030,""en"",""de"")"),"Sie spricht mit dem Anker zurück im Studio.")</f>
        <v>Sie spricht mit dem Anker zurück im Studio.</v>
      </c>
    </row>
    <row r="1031">
      <c r="A1031" s="4" t="s">
        <v>1305</v>
      </c>
      <c r="B1031" s="4" t="s">
        <v>1306</v>
      </c>
      <c r="C1031" s="5" t="str">
        <f>IFERROR(__xludf.DUMMYFUNCTION("GOOGLETRANSLATE(B1031,""en"",""de"")"),"Ein Fahrrad steht auf einer holprigen unbefestigten Straße.")</f>
        <v>Ein Fahrrad steht auf einer holprigen unbefestigten Straße.</v>
      </c>
    </row>
    <row r="1032">
      <c r="A1032" s="4" t="s">
        <v>1305</v>
      </c>
      <c r="B1032" s="4" t="s">
        <v>1307</v>
      </c>
      <c r="C1032" s="5" t="str">
        <f>IFERROR(__xludf.DUMMYFUNCTION("GOOGLETRANSLATE(B1032,""en"",""de"")"),"Die Leute fahren mit den Fahrrädern sehr schnell auf der Straße und geben hohe Sprünge, wenn sie den holprigen Teil der Straße vorbeifahren.")</f>
        <v>Die Leute fahren mit den Fahrrädern sehr schnell auf der Straße und geben hohe Sprünge, wenn sie den holprigen Teil der Straße vorbeifahren.</v>
      </c>
    </row>
    <row r="1033">
      <c r="A1033" s="4" t="s">
        <v>1305</v>
      </c>
      <c r="B1033" s="4" t="s">
        <v>1308</v>
      </c>
      <c r="C1033" s="5" t="str">
        <f>IFERROR(__xludf.DUMMYFUNCTION("GOOGLETRANSLATE(B1033,""en"",""de"")"),"Die Schatten eines Biker -auf der holprigen Straße.")</f>
        <v>Die Schatten eines Biker -auf der holprigen Straße.</v>
      </c>
    </row>
    <row r="1034">
      <c r="A1034" s="4" t="s">
        <v>1309</v>
      </c>
      <c r="B1034" s="4" t="s">
        <v>1310</v>
      </c>
      <c r="C1034" s="5" t="str">
        <f>IFERROR(__xludf.DUMMYFUNCTION("GOOGLETRANSLATE(B1034,""en"",""de"")"),"Ein Kind wird gesehen, wie er eine Reihe von Affenstangen gibt, während Kinder herumlaufen.")</f>
        <v>Ein Kind wird gesehen, wie er eine Reihe von Affenstangen gibt, während Kinder herumlaufen.</v>
      </c>
    </row>
    <row r="1035">
      <c r="A1035" s="4" t="s">
        <v>1309</v>
      </c>
      <c r="B1035" s="4" t="s">
        <v>1311</v>
      </c>
      <c r="C1035" s="5" t="str">
        <f>IFERROR(__xludf.DUMMYFUNCTION("GOOGLETRANSLATE(B1035,""en"",""de"")"),"Das Mädchen klettert dann über das Set der Affenstangen.")</f>
        <v>Das Mädchen klettert dann über das Set der Affenstangen.</v>
      </c>
    </row>
    <row r="1036">
      <c r="A1036" s="4" t="s">
        <v>1309</v>
      </c>
      <c r="B1036" s="4" t="s">
        <v>1312</v>
      </c>
      <c r="C1036" s="5" t="str">
        <f>IFERROR(__xludf.DUMMYFUNCTION("GOOGLETRANSLATE(B1036,""en"",""de"")"),"Sie steigt bis zum Ende und springt von der Seite.")</f>
        <v>Sie steigt bis zum Ende und springt von der Seite.</v>
      </c>
    </row>
    <row r="1037">
      <c r="A1037" s="4" t="s">
        <v>1313</v>
      </c>
      <c r="B1037" s="4" t="s">
        <v>1314</v>
      </c>
      <c r="C1037" s="5" t="str">
        <f>IFERROR(__xludf.DUMMYFUNCTION("GOOGLETRANSLATE(B1037,""en"",""de"")"),"Eine Nahaufnahme einer Zahnradwelle folgt von jemandem, der einen Kofferraum öffnet und einen Reifen herauszieht.")</f>
        <v>Eine Nahaufnahme einer Zahnradwelle folgt von jemandem, der einen Kofferraum öffnet und einen Reifen herauszieht.</v>
      </c>
    </row>
    <row r="1038">
      <c r="A1038" s="4" t="s">
        <v>1313</v>
      </c>
      <c r="B1038" s="4" t="s">
        <v>1315</v>
      </c>
      <c r="C1038" s="5" t="str">
        <f>IFERROR(__xludf.DUMMYFUNCTION("GOOGLETRANSLATE(B1038,""en"",""de"")"),"Die Person legt eine Buchse unter das Auto und beginnt den Reifen abzuschrauben und nimmt ihn aus.")</f>
        <v>Die Person legt eine Buchse unter das Auto und beginnt den Reifen abzuschrauben und nimmt ihn aus.</v>
      </c>
    </row>
    <row r="1039">
      <c r="A1039" s="4" t="s">
        <v>1313</v>
      </c>
      <c r="B1039" s="4" t="s">
        <v>1316</v>
      </c>
      <c r="C1039" s="5" t="str">
        <f>IFERROR(__xludf.DUMMYFUNCTION("GOOGLETRANSLATE(B1039,""en"",""de"")"),"Die Person zieht einen neuen Reifen an und schraubt ihn an Ort und Stelle, während sie den Buchse auszieht und den Hubcap wieder einsetzt.")</f>
        <v>Die Person zieht einen neuen Reifen an und schraubt ihn an Ort und Stelle, während sie den Buchse auszieht und den Hubcap wieder einsetzt.</v>
      </c>
    </row>
    <row r="1040">
      <c r="A1040" s="4" t="s">
        <v>1317</v>
      </c>
      <c r="B1040" s="4" t="s">
        <v>1318</v>
      </c>
      <c r="C1040" s="5" t="str">
        <f>IFERROR(__xludf.DUMMYFUNCTION("GOOGLETRANSLATE(B1040,""en"",""de"")"),"Die Eröffnungskredite werden für ein Video über Bowling angezeigt.")</f>
        <v>Die Eröffnungskredite werden für ein Video über Bowling angezeigt.</v>
      </c>
    </row>
    <row r="1041">
      <c r="A1041" s="4" t="s">
        <v>1317</v>
      </c>
      <c r="B1041" s="4" t="s">
        <v>1319</v>
      </c>
      <c r="C1041" s="5" t="str">
        <f>IFERROR(__xludf.DUMMYFUNCTION("GOOGLETRANSLATE(B1041,""en"",""de"")"),"Das Video zeigt dann mehrere Bowler, die Bowling -Tricks in einer Kegelbahn machen.")</f>
        <v>Das Video zeigt dann mehrere Bowler, die Bowling -Tricks in einer Kegelbahn machen.</v>
      </c>
    </row>
    <row r="1042">
      <c r="A1042" s="4" t="s">
        <v>1317</v>
      </c>
      <c r="B1042" s="4" t="s">
        <v>1320</v>
      </c>
      <c r="C1042" s="5" t="str">
        <f>IFERROR(__xludf.DUMMYFUNCTION("GOOGLETRANSLATE(B1042,""en"",""de"")"),"Ein Guthaben auf den Bildschirm, in dem der Absolventen -Finale -Trick eingeführt wird.")</f>
        <v>Ein Guthaben auf den Bildschirm, in dem der Absolventen -Finale -Trick eingeführt wird.</v>
      </c>
    </row>
    <row r="1043">
      <c r="A1043" s="4" t="s">
        <v>1317</v>
      </c>
      <c r="B1043" s="4" t="s">
        <v>1321</v>
      </c>
      <c r="C1043" s="5" t="str">
        <f>IFERROR(__xludf.DUMMYFUNCTION("GOOGLETRANSLATE(B1043,""en"",""de"")"),"Ein Mann wirft den Ball und wirft sich gleichzeitig auch in die Gasse.")</f>
        <v>Ein Mann wirft den Ball und wirft sich gleichzeitig auch in die Gasse.</v>
      </c>
    </row>
    <row r="1044">
      <c r="A1044" s="4" t="s">
        <v>1317</v>
      </c>
      <c r="B1044" s="4" t="s">
        <v>1322</v>
      </c>
      <c r="C1044" s="5" t="str">
        <f>IFERROR(__xludf.DUMMYFUNCTION("GOOGLETRANSLATE(B1044,""en"",""de"")"),"Die Schließkredite com auf dem Bildschirm, um das Video zu beenden.")</f>
        <v>Die Schließkredite com auf dem Bildschirm, um das Video zu beenden.</v>
      </c>
    </row>
    <row r="1045">
      <c r="A1045" s="4" t="s">
        <v>1323</v>
      </c>
      <c r="B1045" s="4" t="s">
        <v>1324</v>
      </c>
      <c r="C1045" s="5" t="str">
        <f>IFERROR(__xludf.DUMMYFUNCTION("GOOGLETRANSLATE(B1045,""en"",""de"")"),"Ein kleines Kind malt die Fingernägel einer anderen Person.")</f>
        <v>Ein kleines Kind malt die Fingernägel einer anderen Person.</v>
      </c>
    </row>
    <row r="1046">
      <c r="A1046" s="4" t="s">
        <v>1323</v>
      </c>
      <c r="B1046" s="4" t="s">
        <v>1325</v>
      </c>
      <c r="C1046" s="5" t="str">
        <f>IFERROR(__xludf.DUMMYFUNCTION("GOOGLETRANSLATE(B1046,""en"",""de"")"),"Die andere Person untersucht die Nägel.")</f>
        <v>Die andere Person untersucht die Nägel.</v>
      </c>
    </row>
    <row r="1047">
      <c r="A1047" s="4" t="s">
        <v>1326</v>
      </c>
      <c r="B1047" s="4" t="s">
        <v>1327</v>
      </c>
      <c r="C1047" s="5" t="str">
        <f>IFERROR(__xludf.DUMMYFUNCTION("GOOGLETRANSLATE(B1047,""en"",""de"")"),"Ein Mann montiert einen Strahl vor einer Menge.")</f>
        <v>Ein Mann montiert einen Strahl vor einer Menge.</v>
      </c>
    </row>
    <row r="1048">
      <c r="A1048" s="4" t="s">
        <v>1326</v>
      </c>
      <c r="B1048" s="4" t="s">
        <v>1328</v>
      </c>
      <c r="C1048" s="5" t="str">
        <f>IFERROR(__xludf.DUMMYFUNCTION("GOOGLETRANSLATE(B1048,""en"",""de"")"),"Der Turner beginnt in Kreisen auf den High Beams für die Menge zu fallen, zu halten, zu halten und zu drehen.")</f>
        <v>Der Turner beginnt in Kreisen auf den High Beams für die Menge zu fallen, zu halten, zu halten und zu drehen.</v>
      </c>
    </row>
    <row r="1049">
      <c r="A1049" s="4" t="s">
        <v>1326</v>
      </c>
      <c r="B1049" s="4" t="s">
        <v>1329</v>
      </c>
      <c r="C1049" s="5" t="str">
        <f>IFERROR(__xludf.DUMMYFUNCTION("GOOGLETRANSLATE(B1049,""en"",""de"")"),"Er steigt anmutig ab und hebt seine Arme an die Menge, bevor er weggeht.")</f>
        <v>Er steigt anmutig ab und hebt seine Arme an die Menge, bevor er weggeht.</v>
      </c>
    </row>
    <row r="1050">
      <c r="A1050" s="4" t="s">
        <v>1330</v>
      </c>
      <c r="B1050" s="4" t="s">
        <v>1331</v>
      </c>
      <c r="C1050" s="5" t="str">
        <f>IFERROR(__xludf.DUMMYFUNCTION("GOOGLETRANSLATE(B1050,""en"",""de"")"),"Mehrere junge Leute, reden und lachen, während sie an einem Tisch mit Bierdosen und blauen Plastikbechern bedeckt sind.")</f>
        <v>Mehrere junge Leute, reden und lachen, während sie an einem Tisch mit Bierdosen und blauen Plastikbechern bedeckt sind.</v>
      </c>
    </row>
    <row r="1051">
      <c r="A1051" s="4" t="s">
        <v>1330</v>
      </c>
      <c r="B1051" s="4" t="s">
        <v>1332</v>
      </c>
      <c r="C1051" s="5" t="str">
        <f>IFERROR(__xludf.DUMMYFUNCTION("GOOGLETRANSLATE(B1051,""en"",""de"")"),"Ein junger Mann steht in einem Raum um einen Tisch, der mit zwei Frauen und einigen weiteren Männern spricht, gelegentlich lachen und lächelt.")</f>
        <v>Ein junger Mann steht in einem Raum um einen Tisch, der mit zwei Frauen und einigen weiteren Männern spricht, gelegentlich lachen und lächelt.</v>
      </c>
    </row>
    <row r="1052">
      <c r="A1052" s="4" t="s">
        <v>1330</v>
      </c>
      <c r="B1052" s="4" t="s">
        <v>1333</v>
      </c>
      <c r="C1052" s="5" t="str">
        <f>IFERROR(__xludf.DUMMYFUNCTION("GOOGLETRANSLATE(B1052,""en"",""de"")"),"Ein kleiner weißer Bälle wird über den Tisch geworfen, während die Leute versuchen, die Bälle in den blauen Tassen vom Tisch zu werfen.")</f>
        <v>Ein kleiner weißer Bälle wird über den Tisch geworfen, während die Leute versuchen, die Bälle in den blauen Tassen vom Tisch zu werfen.</v>
      </c>
    </row>
    <row r="1053">
      <c r="A1053" s="4" t="s">
        <v>1330</v>
      </c>
      <c r="B1053" s="4" t="s">
        <v>1334</v>
      </c>
      <c r="C1053" s="5" t="str">
        <f>IFERROR(__xludf.DUMMYFUNCTION("GOOGLETRANSLATE(B1053,""en"",""de"")"),"In den letzten Augenblicken des Clips fliegt ein Ball über den Tisch und die Männer reagieren triumphal und werfen ihre Arme zum Feiern in die Luft.")</f>
        <v>In den letzten Augenblicken des Clips fliegt ein Ball über den Tisch und die Männer reagieren triumphal und werfen ihre Arme zum Feiern in die Luft.</v>
      </c>
    </row>
    <row r="1054">
      <c r="A1054" s="4" t="s">
        <v>1335</v>
      </c>
      <c r="B1054" s="4" t="s">
        <v>1336</v>
      </c>
      <c r="C1054" s="5" t="str">
        <f>IFERROR(__xludf.DUMMYFUNCTION("GOOGLETRANSLATE(B1054,""en"",""de"")"),"Eine Gruppe junger Männer posiert und dumm vor einem Tisch voller roter Tassen.")</f>
        <v>Eine Gruppe junger Männer posiert und dumm vor einem Tisch voller roter Tassen.</v>
      </c>
    </row>
    <row r="1055">
      <c r="A1055" s="4" t="s">
        <v>1335</v>
      </c>
      <c r="B1055" s="4" t="s">
        <v>1337</v>
      </c>
      <c r="C1055" s="5" t="str">
        <f>IFERROR(__xludf.DUMMYFUNCTION("GOOGLETRANSLATE(B1055,""en"",""de"")"),"Ein junger Mann in Schwarz legt zwei Schnapsgläser auf den Tisch.")</f>
        <v>Ein junger Mann in Schwarz legt zwei Schnapsgläser auf den Tisch.</v>
      </c>
    </row>
    <row r="1056">
      <c r="A1056" s="4" t="s">
        <v>1335</v>
      </c>
      <c r="B1056" s="4" t="s">
        <v>1338</v>
      </c>
      <c r="C1056" s="5" t="str">
        <f>IFERROR(__xludf.DUMMYFUNCTION("GOOGLETRANSLATE(B1056,""en"",""de"")"),"Eine andere Gruppe junger Männer sitzt draußen auf Stühlen.")</f>
        <v>Eine andere Gruppe junger Männer sitzt draußen auf Stühlen.</v>
      </c>
    </row>
    <row r="1057">
      <c r="A1057" s="4" t="s">
        <v>1335</v>
      </c>
      <c r="B1057" s="4" t="s">
        <v>1339</v>
      </c>
      <c r="C1057" s="5" t="str">
        <f>IFERROR(__xludf.DUMMYFUNCTION("GOOGLETRANSLATE(B1057,""en"",""de"")"),"Ein junger Mann in Grey springt auf den Tisch und in einen der Tassen und feiert mit dem jungen Mann neben ihm.")</f>
        <v>Ein junger Mann in Grey springt auf den Tisch und in einen der Tassen und feiert mit dem jungen Mann neben ihm.</v>
      </c>
    </row>
    <row r="1058">
      <c r="A1058" s="4" t="s">
        <v>1335</v>
      </c>
      <c r="B1058" s="4" t="s">
        <v>1340</v>
      </c>
      <c r="C1058" s="5" t="str">
        <f>IFERROR(__xludf.DUMMYFUNCTION("GOOGLETRANSLATE(B1058,""en"",""de"")"),"Ein junger Mann in Schwarz springt einen Ball in Richtung der Tassen, vermisst aber.")</f>
        <v>Ein junger Mann in Schwarz springt einen Ball in Richtung der Tassen, vermisst aber.</v>
      </c>
    </row>
    <row r="1059">
      <c r="A1059" s="4" t="s">
        <v>1335</v>
      </c>
      <c r="B1059" s="4" t="s">
        <v>1341</v>
      </c>
      <c r="C1059" s="5" t="str">
        <f>IFERROR(__xludf.DUMMYFUNCTION("GOOGLETRANSLATE(B1059,""en"",""de"")"),"Ein anderer Mann hält seine Hand neben den Tassen.")</f>
        <v>Ein anderer Mann hält seine Hand neben den Tassen.</v>
      </c>
    </row>
    <row r="1060">
      <c r="A1060" s="4" t="s">
        <v>1335</v>
      </c>
      <c r="B1060" s="4" t="s">
        <v>1342</v>
      </c>
      <c r="C1060" s="5" t="str">
        <f>IFERROR(__xludf.DUMMYFUNCTION("GOOGLETRANSLATE(B1060,""en"",""de"")"),"Die beiden Männer, die die Bälle an den Tassen hüpften, klinken die Schnapsgläser zusammen und trinken dann den Schuss.")</f>
        <v>Die beiden Männer, die die Bälle an den Tassen hüpften, klinken die Schnapsgläser zusammen und trinken dann den Schuss.</v>
      </c>
    </row>
    <row r="1061">
      <c r="A1061" s="4" t="s">
        <v>1335</v>
      </c>
      <c r="B1061" s="4" t="s">
        <v>1343</v>
      </c>
      <c r="C1061" s="5" t="str">
        <f>IFERROR(__xludf.DUMMYFUNCTION("GOOGLETRANSLATE(B1061,""en"",""de"")"),"Ein junger Mann in Schwarz käppelt die Rückseite des jungen Mannes in Grau.")</f>
        <v>Ein junger Mann in Schwarz käppelt die Rückseite des jungen Mannes in Grau.</v>
      </c>
    </row>
    <row r="1062">
      <c r="A1062" s="4" t="s">
        <v>1335</v>
      </c>
      <c r="B1062" s="4" t="s">
        <v>1344</v>
      </c>
      <c r="C1062" s="5" t="str">
        <f>IFERROR(__xludf.DUMMYFUNCTION("GOOGLETRANSLATE(B1062,""en"",""de"")"),"Der junge Mann in grauen Getränken aus einer der roten Tassen auf dem Tisch, während der junge Mann in Schwarz vorgibt, ihn zu schlagen.")</f>
        <v>Der junge Mann in grauen Getränken aus einer der roten Tassen auf dem Tisch, während der junge Mann in Schwarz vorgibt, ihn zu schlagen.</v>
      </c>
    </row>
    <row r="1063">
      <c r="A1063" s="4" t="s">
        <v>1335</v>
      </c>
      <c r="B1063" s="4" t="s">
        <v>1345</v>
      </c>
      <c r="C1063" s="5" t="str">
        <f>IFERROR(__xludf.DUMMYFUNCTION("GOOGLETRANSLATE(B1063,""en"",""de"")"),"Ein anderer junger Mann ordnet die verbleibenden Tassen auf dem Tisch neu.")</f>
        <v>Ein anderer junger Mann ordnet die verbleibenden Tassen auf dem Tisch neu.</v>
      </c>
    </row>
    <row r="1064">
      <c r="A1064" s="4" t="s">
        <v>1335</v>
      </c>
      <c r="B1064" s="4" t="s">
        <v>1346</v>
      </c>
      <c r="C1064" s="5" t="str">
        <f>IFERROR(__xludf.DUMMYFUNCTION("GOOGLETRANSLATE(B1064,""en"",""de"")"),"Der junge Mann in Grau und der junge Mann in schwarzer Faustbeule.")</f>
        <v>Der junge Mann in Grau und der junge Mann in schwarzer Faustbeule.</v>
      </c>
    </row>
    <row r="1065">
      <c r="A1065" s="4" t="s">
        <v>1347</v>
      </c>
      <c r="B1065" s="4" t="s">
        <v>1348</v>
      </c>
      <c r="C1065" s="5" t="str">
        <f>IFERROR(__xludf.DUMMYFUNCTION("GOOGLETRANSLATE(B1065,""en"",""de"")"),"Es wird ein Volleyballspiel zwischen Blue und Yellow Team gespielt.")</f>
        <v>Es wird ein Volleyballspiel zwischen Blue und Yellow Team gespielt.</v>
      </c>
    </row>
    <row r="1066">
      <c r="A1066" s="4" t="s">
        <v>1347</v>
      </c>
      <c r="B1066" s="4" t="s">
        <v>1349</v>
      </c>
      <c r="C1066" s="5" t="str">
        <f>IFERROR(__xludf.DUMMYFUNCTION("GOOGLETRANSLATE(B1066,""en"",""de"")"),"Das gelbe Team serviert den Ball und er wird ständig hin und her getroffen, bis das gelbe Team einen Punkt erzielt.")</f>
        <v>Das gelbe Team serviert den Ball und er wird ständig hin und her getroffen, bis das gelbe Team einen Punkt erzielt.</v>
      </c>
    </row>
    <row r="1067">
      <c r="A1067" s="4" t="s">
        <v>1347</v>
      </c>
      <c r="B1067" s="4" t="s">
        <v>1350</v>
      </c>
      <c r="C1067" s="5" t="str">
        <f>IFERROR(__xludf.DUMMYFUNCTION("GOOGLETRANSLATE(B1067,""en"",""de"")"),"Ein Spieler im gelben Team fällt und die Spieler in jedem Team unterstützen sie.")</f>
        <v>Ein Spieler im gelben Team fällt und die Spieler in jedem Team unterstützen sie.</v>
      </c>
    </row>
    <row r="1068">
      <c r="A1068" s="4" t="s">
        <v>1347</v>
      </c>
      <c r="B1068" s="4" t="s">
        <v>1351</v>
      </c>
      <c r="C1068" s="5" t="str">
        <f>IFERROR(__xludf.DUMMYFUNCTION("GOOGLETRANSLATE(B1068,""en"",""de"")"),"Sie nehmen ihren Schuh und die Socke ab und massieren ihr Bein.")</f>
        <v>Sie nehmen ihren Schuh und die Socke ab und massieren ihr Bein.</v>
      </c>
    </row>
    <row r="1069">
      <c r="A1069" s="4" t="s">
        <v>1347</v>
      </c>
      <c r="B1069" s="4" t="s">
        <v>1352</v>
      </c>
      <c r="C1069" s="5" t="str">
        <f>IFERROR(__xludf.DUMMYFUNCTION("GOOGLETRANSLATE(B1069,""en"",""de"")"),"Zwei Leute holen sie mit Hilfe eines dritten ab und nehmen sie vom Platz und legen sie zur Seite, um die Pflege fortzusetzen.")</f>
        <v>Zwei Leute holen sie mit Hilfe eines dritten ab und nehmen sie vom Platz und legen sie zur Seite, um die Pflege fortzusetzen.</v>
      </c>
    </row>
    <row r="1070">
      <c r="A1070" s="4" t="s">
        <v>1353</v>
      </c>
      <c r="B1070" s="4" t="s">
        <v>1354</v>
      </c>
      <c r="C1070" s="5" t="str">
        <f>IFERROR(__xludf.DUMMYFUNCTION("GOOGLETRANSLATE(B1070,""en"",""de"")"),"Ein Mann in einem roten Hemd arbeitet eine Trainingsmaschine.")</f>
        <v>Ein Mann in einem roten Hemd arbeitet eine Trainingsmaschine.</v>
      </c>
    </row>
    <row r="1071">
      <c r="A1071" s="4" t="s">
        <v>1353</v>
      </c>
      <c r="B1071" s="4" t="s">
        <v>1355</v>
      </c>
      <c r="C1071" s="5" t="str">
        <f>IFERROR(__xludf.DUMMYFUNCTION("GOOGLETRANSLATE(B1071,""en"",""de"")"),"Eine Frau in einem lila Hemd geht hinter ihm.")</f>
        <v>Eine Frau in einem lila Hemd geht hinter ihm.</v>
      </c>
    </row>
    <row r="1072">
      <c r="A1072" s="4" t="s">
        <v>1353</v>
      </c>
      <c r="B1072" s="4" t="s">
        <v>1356</v>
      </c>
      <c r="C1072" s="5" t="str">
        <f>IFERROR(__xludf.DUMMYFUNCTION("GOOGLETRANSLATE(B1072,""en"",""de"")"),"Zwei Leute reden hinter ihm miteinander.")</f>
        <v>Zwei Leute reden hinter ihm miteinander.</v>
      </c>
    </row>
    <row r="1073">
      <c r="A1073" s="4" t="s">
        <v>1357</v>
      </c>
      <c r="B1073" s="4" t="s">
        <v>1358</v>
      </c>
      <c r="C1073" s="5" t="str">
        <f>IFERROR(__xludf.DUMMYFUNCTION("GOOGLETRANSLATE(B1073,""en"",""de"")"),"Eine große Gruppe von Menschen wird gesehen, wie sie Flaggen hochhalten und in einem Kreis laufen, während viele andere an den Seiten zuschauen.")</f>
        <v>Eine große Gruppe von Menschen wird gesehen, wie sie Flaggen hochhalten und in einem Kreis laufen, während viele andere an den Seiten zuschauen.</v>
      </c>
    </row>
    <row r="1074">
      <c r="A1074" s="4" t="s">
        <v>1357</v>
      </c>
      <c r="B1074" s="4" t="s">
        <v>1359</v>
      </c>
      <c r="C1074" s="5" t="str">
        <f>IFERROR(__xludf.DUMMYFUNCTION("GOOGLETRANSLATE(B1074,""en"",""de"")"),"Zwei Menschen werden dann zum Kreis laufen und führen in ein Wrestling -Match zwischen den beiden.")</f>
        <v>Zwei Menschen werden dann zum Kreis laufen und führen in ein Wrestling -Match zwischen den beiden.</v>
      </c>
    </row>
    <row r="1075">
      <c r="A1075" s="4" t="s">
        <v>1357</v>
      </c>
      <c r="B1075" s="4" t="s">
        <v>1360</v>
      </c>
      <c r="C1075" s="5" t="str">
        <f>IFERROR(__xludf.DUMMYFUNCTION("GOOGLETRANSLATE(B1075,""en"",""de"")"),"Ein Mann schmeckt zum anderen und der Gewinner geht von der Bühne weg.")</f>
        <v>Ein Mann schmeckt zum anderen und der Gewinner geht von der Bühne weg.</v>
      </c>
    </row>
    <row r="1076">
      <c r="A1076" s="4" t="s">
        <v>1361</v>
      </c>
      <c r="B1076" s="4" t="s">
        <v>1362</v>
      </c>
      <c r="C1076" s="5" t="str">
        <f>IFERROR(__xludf.DUMMYFUNCTION("GOOGLETRANSLATE(B1076,""en"",""de"")"),"Auf einer geschäftigen Stadtstraße sitzt ein Mann, der einen Turban trägt und eine Zigarette raucht.")</f>
        <v>Auf einer geschäftigen Stadtstraße sitzt ein Mann, der einen Turban trägt und eine Zigarette raucht.</v>
      </c>
    </row>
    <row r="1077">
      <c r="A1077" s="4" t="s">
        <v>1361</v>
      </c>
      <c r="B1077" s="4" t="s">
        <v>1363</v>
      </c>
      <c r="C1077" s="5" t="str">
        <f>IFERROR(__xludf.DUMMYFUNCTION("GOOGLETRANSLATE(B1077,""en"",""de"")"),"Es gibt mehrere Leute an ihm vorbei.")</f>
        <v>Es gibt mehrere Leute an ihm vorbei.</v>
      </c>
    </row>
    <row r="1078">
      <c r="A1078" s="4" t="s">
        <v>1361</v>
      </c>
      <c r="B1078" s="4" t="s">
        <v>1364</v>
      </c>
      <c r="C1078" s="5" t="str">
        <f>IFERROR(__xludf.DUMMYFUNCTION("GOOGLETRANSLATE(B1078,""en"",""de"")"),"Er raucht weiterhin die Zigarette, während er den Rauch einatmet und atmet.")</f>
        <v>Er raucht weiterhin die Zigarette, während er den Rauch einatmet und atmet.</v>
      </c>
    </row>
    <row r="1079">
      <c r="A1079" s="4" t="s">
        <v>1361</v>
      </c>
      <c r="B1079" s="4" t="s">
        <v>1365</v>
      </c>
      <c r="C1079" s="5" t="str">
        <f>IFERROR(__xludf.DUMMYFUNCTION("GOOGLETRANSLATE(B1079,""en"",""de"")"),"Auf der Straße gibt es viel Verkehr sowie viele Menschen auf der Straße.")</f>
        <v>Auf der Straße gibt es viel Verkehr sowie viele Menschen auf der Straße.</v>
      </c>
    </row>
    <row r="1080">
      <c r="A1080" s="4" t="s">
        <v>1366</v>
      </c>
      <c r="B1080" s="4" t="s">
        <v>1367</v>
      </c>
      <c r="C1080" s="5" t="str">
        <f>IFERROR(__xludf.DUMMYFUNCTION("GOOGLETRANSLATE(B1080,""en"",""de"")"),"Zwei Personen werden zusammen über das Meerwasser gezeigt.")</f>
        <v>Zwei Personen werden zusammen über das Meerwasser gezeigt.</v>
      </c>
    </row>
    <row r="1081">
      <c r="A1081" s="4" t="s">
        <v>1366</v>
      </c>
      <c r="B1081" s="4" t="s">
        <v>1368</v>
      </c>
      <c r="C1081" s="5" t="str">
        <f>IFERROR(__xludf.DUMMYFUNCTION("GOOGLETRANSLATE(B1081,""en"",""de"")"),"Sie bewegen ihre Segel herum, während sie gehen.")</f>
        <v>Sie bewegen ihre Segel herum, während sie gehen.</v>
      </c>
    </row>
    <row r="1082">
      <c r="A1082" s="4" t="s">
        <v>1369</v>
      </c>
      <c r="B1082" s="4" t="s">
        <v>1370</v>
      </c>
      <c r="C1082" s="5" t="str">
        <f>IFERROR(__xludf.DUMMYFUNCTION("GOOGLETRANSLATE(B1082,""en"",""de"")"),"Zwei Personen fahren auf Skiern hinter einem Boot, wobei eine Person ein Kind auf ihren Schultern hat.")</f>
        <v>Zwei Personen fahren auf Skiern hinter einem Boot, wobei eine Person ein Kind auf ihren Schultern hat.</v>
      </c>
    </row>
    <row r="1083">
      <c r="A1083" s="4" t="s">
        <v>1369</v>
      </c>
      <c r="B1083" s="4" t="s">
        <v>1371</v>
      </c>
      <c r="C1083" s="5" t="str">
        <f>IFERROR(__xludf.DUMMYFUNCTION("GOOGLETRANSLATE(B1083,""en"",""de"")"),"Die Menschen hängen alle aneinander fest, während das kleine Kind auf sie klettert und am Ende abfällt.")</f>
        <v>Die Menschen hängen alle aneinander fest, während das kleine Kind auf sie klettert und am Ende abfällt.</v>
      </c>
    </row>
    <row r="1084">
      <c r="A1084" s="4" t="s">
        <v>1372</v>
      </c>
      <c r="B1084" s="4" t="s">
        <v>1373</v>
      </c>
      <c r="C1084" s="5" t="str">
        <f>IFERROR(__xludf.DUMMYFUNCTION("GOOGLETRANSLATE(B1084,""en"",""de"")"),"Wir sehen einen Öffnungsbildschirm und ein Mann rennt und macht einen Hochsprung auf fünfzehn Fuß.")</f>
        <v>Wir sehen einen Öffnungsbildschirm und ein Mann rennt und macht einen Hochsprung auf fünfzehn Fuß.</v>
      </c>
    </row>
    <row r="1085">
      <c r="A1085" s="4" t="s">
        <v>1372</v>
      </c>
      <c r="B1085" s="4" t="s">
        <v>1374</v>
      </c>
      <c r="C1085" s="5" t="str">
        <f>IFERROR(__xludf.DUMMYFUNCTION("GOOGLETRANSLATE(B1085,""en"",""de"")"),"Wir sehen, wie ein Mann mit vielen geschnittenen Szenen den Hochsprung auf einer Spur in verschiedenen Höhe springt.")</f>
        <v>Wir sehen, wie ein Mann mit vielen geschnittenen Szenen den Hochsprung auf einer Spur in verschiedenen Höhe springt.</v>
      </c>
    </row>
    <row r="1086">
      <c r="A1086" s="4" t="s">
        <v>1372</v>
      </c>
      <c r="B1086" s="4" t="s">
        <v>1375</v>
      </c>
      <c r="C1086" s="5" t="str">
        <f>IFERROR(__xludf.DUMMYFUNCTION("GOOGLETRANSLATE(B1086,""en"",""de"")"),"Wir sehen siebzehn und still des Mannes.")</f>
        <v>Wir sehen siebzehn und still des Mannes.</v>
      </c>
    </row>
    <row r="1087">
      <c r="A1087" s="4" t="s">
        <v>1372</v>
      </c>
      <c r="B1087" s="4" t="s">
        <v>1376</v>
      </c>
      <c r="C1087" s="5" t="str">
        <f>IFERROR(__xludf.DUMMYFUNCTION("GOOGLETRANSLATE(B1087,""en"",""de"")"),"Wir sehen fünfzehn neun scrollen über den Bildschirm.")</f>
        <v>Wir sehen fünfzehn neun scrollen über den Bildschirm.</v>
      </c>
    </row>
    <row r="1088">
      <c r="A1088" s="4" t="s">
        <v>1372</v>
      </c>
      <c r="B1088" s="4" t="s">
        <v>1377</v>
      </c>
      <c r="C1088" s="5" t="str">
        <f>IFERROR(__xludf.DUMMYFUNCTION("GOOGLETRANSLATE(B1088,""en"",""de"")"),"Wir sehen eine Reihe von Still of the Man und sechzehn sechs.")</f>
        <v>Wir sehen eine Reihe von Still of the Man und sechzehn sechs.</v>
      </c>
    </row>
    <row r="1089">
      <c r="A1089" s="4" t="s">
        <v>1372</v>
      </c>
      <c r="B1089" s="4" t="s">
        <v>1378</v>
      </c>
      <c r="C1089" s="5" t="str">
        <f>IFERROR(__xludf.DUMMYFUNCTION("GOOGLETRANSLATE(B1089,""en"",""de"")"),"Siebzehn zwei Schriftrollen über den Bildschirm.")</f>
        <v>Siebzehn zwei Schriftrollen über den Bildschirm.</v>
      </c>
    </row>
    <row r="1090">
      <c r="A1090" s="4" t="s">
        <v>1372</v>
      </c>
      <c r="B1090" s="4" t="s">
        <v>1379</v>
      </c>
      <c r="C1090" s="5" t="str">
        <f>IFERROR(__xludf.DUMMYFUNCTION("GOOGLETRANSLATE(B1090,""en"",""de"")"),"Wir sehen siebzehn neun Schriftrollen über den Bildschirm.")</f>
        <v>Wir sehen siebzehn neun Schriftrollen über den Bildschirm.</v>
      </c>
    </row>
    <row r="1091">
      <c r="A1091" s="4" t="s">
        <v>1372</v>
      </c>
      <c r="B1091" s="4" t="s">
        <v>1380</v>
      </c>
      <c r="C1091" s="5" t="str">
        <f>IFERROR(__xludf.DUMMYFUNCTION("GOOGLETRANSLATE(B1091,""en"",""de"")"),"Wir sehen dann die Endgutschrift.")</f>
        <v>Wir sehen dann die Endgutschrift.</v>
      </c>
    </row>
    <row r="1092">
      <c r="A1092" s="4" t="s">
        <v>1381</v>
      </c>
      <c r="B1092" s="4" t="s">
        <v>1382</v>
      </c>
      <c r="C1092" s="5" t="str">
        <f>IFERROR(__xludf.DUMMYFUNCTION("GOOGLETRANSLATE(B1092,""en"",""de"")"),"Ein Mann in einem Toga -Schlittschuh auf Rollerblades auf einem Parkplatz.")</f>
        <v>Ein Mann in einem Toga -Schlittschuh auf Rollerblades auf einem Parkplatz.</v>
      </c>
    </row>
    <row r="1093">
      <c r="A1093" s="4" t="s">
        <v>1381</v>
      </c>
      <c r="B1093" s="4" t="s">
        <v>1383</v>
      </c>
      <c r="C1093" s="5" t="str">
        <f>IFERROR(__xludf.DUMMYFUNCTION("GOOGLETRANSLATE(B1093,""en"",""de"")"),"Eine Person, die eine Kamera hält, steht zur Seite und beobachtet den Mann auf Rollerblades.")</f>
        <v>Eine Person, die eine Kamera hält, steht zur Seite und beobachtet den Mann auf Rollerblades.</v>
      </c>
    </row>
    <row r="1094">
      <c r="A1094" s="4" t="s">
        <v>1384</v>
      </c>
      <c r="B1094" s="4" t="s">
        <v>1385</v>
      </c>
      <c r="C1094" s="5" t="str">
        <f>IFERROR(__xludf.DUMMYFUNCTION("GOOGLETRANSLATE(B1094,""en"",""de"")"),"Ein kleines Kind schaut in die Kamera mit einer Kaffeetasse auf.")</f>
        <v>Ein kleines Kind schaut in die Kamera mit einer Kaffeetasse auf.</v>
      </c>
    </row>
    <row r="1095">
      <c r="A1095" s="4" t="s">
        <v>1384</v>
      </c>
      <c r="B1095" s="4" t="s">
        <v>1386</v>
      </c>
      <c r="C1095" s="5" t="str">
        <f>IFERROR(__xludf.DUMMYFUNCTION("GOOGLETRANSLATE(B1095,""en"",""de"")"),"Das Mädchen nimmt ein Getränk aus der Tasse und legt es wieder ab.")</f>
        <v>Das Mädchen nimmt ein Getränk aus der Tasse und legt es wieder ab.</v>
      </c>
    </row>
    <row r="1096">
      <c r="A1096" s="4" t="s">
        <v>1384</v>
      </c>
      <c r="B1096" s="4" t="s">
        <v>1387</v>
      </c>
      <c r="C1096" s="5" t="str">
        <f>IFERROR(__xludf.DUMMYFUNCTION("GOOGLETRANSLATE(B1096,""en"",""de"")"),"Sie trinkt weiter aus dem Behälter und schaut zur Kamera auf.")</f>
        <v>Sie trinkt weiter aus dem Behälter und schaut zur Kamera auf.</v>
      </c>
    </row>
    <row r="1097">
      <c r="A1097" s="4" t="s">
        <v>1388</v>
      </c>
      <c r="B1097" s="4" t="s">
        <v>1389</v>
      </c>
      <c r="C1097" s="5" t="str">
        <f>IFERROR(__xludf.DUMMYFUNCTION("GOOGLETRANSLATE(B1097,""en"",""de"")"),"Zwei Männer stehen vor einem Dartspiel stehen und beginnen Darts auf das Brett zu werfen.")</f>
        <v>Zwei Männer stehen vor einem Dartspiel stehen und beginnen Darts auf das Brett zu werfen.</v>
      </c>
    </row>
    <row r="1098">
      <c r="A1098" s="4" t="s">
        <v>1388</v>
      </c>
      <c r="B1098" s="4" t="s">
        <v>1390</v>
      </c>
      <c r="C1098" s="5" t="str">
        <f>IFERROR(__xludf.DUMMYFUNCTION("GOOGLETRANSLATE(B1098,""en"",""de"")"),"Die Männer blicken zurück und lachen miteinander, während sie noch spielen.")</f>
        <v>Die Männer blicken zurück und lachen miteinander, während sie noch spielen.</v>
      </c>
    </row>
    <row r="1099">
      <c r="A1099" s="4" t="s">
        <v>1388</v>
      </c>
      <c r="B1099" s="4" t="s">
        <v>1391</v>
      </c>
      <c r="C1099" s="5" t="str">
        <f>IFERROR(__xludf.DUMMYFUNCTION("GOOGLETRANSLATE(B1099,""en"",""de"")"),"Das Spielen mit anderen um sie herum und endet, indem sie mit einem anderen die Hand schütteln.")</f>
        <v>Das Spielen mit anderen um sie herum und endet, indem sie mit einem anderen die Hand schütteln.</v>
      </c>
    </row>
    <row r="1100">
      <c r="A1100" s="4" t="s">
        <v>1392</v>
      </c>
      <c r="B1100" s="4" t="s">
        <v>1393</v>
      </c>
      <c r="C1100" s="5" t="str">
        <f>IFERROR(__xludf.DUMMYFUNCTION("GOOGLETRANSLATE(B1100,""en"",""de"")"),"Die Frau in schwarzer Uniform warf den Speerball.")</f>
        <v>Die Frau in schwarzer Uniform warf den Speerball.</v>
      </c>
    </row>
    <row r="1101">
      <c r="A1101" s="4" t="s">
        <v>1392</v>
      </c>
      <c r="B1101" s="4" t="s">
        <v>1394</v>
      </c>
      <c r="C1101" s="5" t="str">
        <f>IFERROR(__xludf.DUMMYFUNCTION("GOOGLETRANSLATE(B1101,""en"",""de"")"),"Die kleine Frau mit gelbem Hemd und schwarzen Ärmeln warf den Ball.")</f>
        <v>Die kleine Frau mit gelbem Hemd und schwarzen Ärmeln warf den Ball.</v>
      </c>
    </row>
    <row r="1102">
      <c r="A1102" s="4" t="s">
        <v>1392</v>
      </c>
      <c r="B1102" s="4" t="s">
        <v>1395</v>
      </c>
      <c r="C1102" s="5" t="str">
        <f>IFERROR(__xludf.DUMMYFUNCTION("GOOGLETRANSLATE(B1102,""en"",""de"")"),"Die Frau in weißem Hemd und schwarze Hosen streckte sich ein bisschen aus und warf dann den Ball.")</f>
        <v>Die Frau in weißem Hemd und schwarze Hosen streckte sich ein bisschen aus und warf dann den Ball.</v>
      </c>
    </row>
    <row r="1103">
      <c r="A1103" s="4" t="s">
        <v>1392</v>
      </c>
      <c r="B1103" s="4" t="s">
        <v>1396</v>
      </c>
      <c r="C1103" s="5" t="str">
        <f>IFERROR(__xludf.DUMMYFUNCTION("GOOGLETRANSLATE(B1103,""en"",""de"")"),"Die Athleten haben nacheinander den Speerball geworfen, während sie an den Seiten Menschen sind, die messen, wie weit er geworfen wurde.")</f>
        <v>Die Athleten haben nacheinander den Speerball geworfen, während sie an den Seiten Menschen sind, die messen, wie weit er geworfen wurde.</v>
      </c>
    </row>
    <row r="1104">
      <c r="A1104" s="4" t="s">
        <v>1397</v>
      </c>
      <c r="B1104" s="4" t="s">
        <v>1398</v>
      </c>
      <c r="C1104" s="5" t="str">
        <f>IFERROR(__xludf.DUMMYFUNCTION("GOOGLETRANSLATE(B1104,""en"",""de"")"),"Mit einem elektrischen Blattgebläse kommt ein Mann aus seiner Garage.")</f>
        <v>Mit einem elektrischen Blattgebläse kommt ein Mann aus seiner Garage.</v>
      </c>
    </row>
    <row r="1105">
      <c r="A1105" s="4" t="s">
        <v>1397</v>
      </c>
      <c r="B1105" s="4" t="s">
        <v>1399</v>
      </c>
      <c r="C1105" s="5" t="str">
        <f>IFERROR(__xludf.DUMMYFUNCTION("GOOGLETRANSLATE(B1105,""en"",""de"")"),"Er beginnt, die Blätter von seinem Garten abzublasen, um die Herbstaufbereitung zu erhalten.")</f>
        <v>Er beginnt, die Blätter von seinem Garten abzublasen, um die Herbstaufbereitung zu erhalten.</v>
      </c>
    </row>
    <row r="1106">
      <c r="A1106" s="4" t="s">
        <v>1397</v>
      </c>
      <c r="B1106" s="4" t="s">
        <v>1400</v>
      </c>
      <c r="C1106" s="5" t="str">
        <f>IFERROR(__xludf.DUMMYFUNCTION("GOOGLETRANSLATE(B1106,""en"",""de"")"),"Er geht mit dem Gebläse um seinen Garten, als er die Blätter reinigt.")</f>
        <v>Er geht mit dem Gebläse um seinen Garten, als er die Blätter reinigt.</v>
      </c>
    </row>
    <row r="1107">
      <c r="A1107" s="4" t="s">
        <v>1401</v>
      </c>
      <c r="B1107" s="4" t="s">
        <v>1402</v>
      </c>
      <c r="C1107" s="5" t="str">
        <f>IFERROR(__xludf.DUMMYFUNCTION("GOOGLETRANSLATE(B1107,""en"",""de"")"),"Ein Taucher hält an einem Felsen fest, als er ein Friedensschild in die Luft wirft.")</f>
        <v>Ein Taucher hält an einem Felsen fest, als er ein Friedensschild in die Luft wirft.</v>
      </c>
    </row>
    <row r="1108">
      <c r="A1108" s="4" t="s">
        <v>1401</v>
      </c>
      <c r="B1108" s="4" t="s">
        <v>1403</v>
      </c>
      <c r="C1108" s="5" t="str">
        <f>IFERROR(__xludf.DUMMYFUNCTION("GOOGLETRANSLATE(B1108,""en"",""de"")"),"Der Mann lässt den Felsen los und legt zwei Friedensschilder in die Luft.")</f>
        <v>Der Mann lässt den Felsen los und legt zwei Friedensschilder in die Luft.</v>
      </c>
    </row>
    <row r="1109">
      <c r="A1109" s="4" t="s">
        <v>1401</v>
      </c>
      <c r="B1109" s="4" t="s">
        <v>1404</v>
      </c>
      <c r="C1109" s="5" t="str">
        <f>IFERROR(__xludf.DUMMYFUNCTION("GOOGLETRANSLATE(B1109,""en"",""de"")"),"Der Mann repariert seinen Schnorchel und seine Schutzbrille.")</f>
        <v>Der Mann repariert seinen Schnorchel und seine Schutzbrille.</v>
      </c>
    </row>
    <row r="1110">
      <c r="A1110" s="4" t="s">
        <v>1405</v>
      </c>
      <c r="B1110" s="4" t="s">
        <v>1406</v>
      </c>
      <c r="C1110" s="5" t="str">
        <f>IFERROR(__xludf.DUMMYFUNCTION("GOOGLETRANSLATE(B1110,""en"",""de"")"),"Blaue Lichter leuchten eine Bühne.")</f>
        <v>Blaue Lichter leuchten eine Bühne.</v>
      </c>
    </row>
    <row r="1111">
      <c r="A1111" s="4" t="s">
        <v>1405</v>
      </c>
      <c r="B1111" s="4" t="s">
        <v>1407</v>
      </c>
      <c r="C1111" s="5" t="str">
        <f>IFERROR(__xludf.DUMMYFUNCTION("GOOGLETRANSLATE(B1111,""en"",""de"")"),"Die Silhouette eines Mannes ist sichtbar und wir sehen die Arena in blauem Licht.")</f>
        <v>Die Silhouette eines Mannes ist sichtbar und wir sehen die Arena in blauem Licht.</v>
      </c>
    </row>
    <row r="1112">
      <c r="A1112" s="4" t="s">
        <v>1405</v>
      </c>
      <c r="B1112" s="4" t="s">
        <v>1408</v>
      </c>
      <c r="C1112" s="5" t="str">
        <f>IFERROR(__xludf.DUMMYFUNCTION("GOOGLETRANSLATE(B1112,""en"",""de"")"),"Der Mann auf der Bühne spielt in rotem Licht beleuchtet.")</f>
        <v>Der Mann auf der Bühne spielt in rotem Licht beleuchtet.</v>
      </c>
    </row>
    <row r="1113">
      <c r="A1113" s="4" t="s">
        <v>1405</v>
      </c>
      <c r="B1113" s="4" t="s">
        <v>1409</v>
      </c>
      <c r="C1113" s="5" t="str">
        <f>IFERROR(__xludf.DUMMYFUNCTION("GOOGLETRANSLATE(B1113,""en"",""de"")"),"Wir sehen die Arena in Blue und den Sax -Spieler in Rot.")</f>
        <v>Wir sehen die Arena in Blue und den Sax -Spieler in Rot.</v>
      </c>
    </row>
    <row r="1114">
      <c r="A1114" s="4" t="s">
        <v>1405</v>
      </c>
      <c r="B1114" s="4" t="s">
        <v>1410</v>
      </c>
      <c r="C1114" s="5" t="str">
        <f>IFERROR(__xludf.DUMMYFUNCTION("GOOGLETRANSLATE(B1114,""en"",""de"")"),"Wir sehen ein anderes Mitglied der Band.")</f>
        <v>Wir sehen ein anderes Mitglied der Band.</v>
      </c>
    </row>
    <row r="1115">
      <c r="A1115" s="4" t="s">
        <v>1405</v>
      </c>
      <c r="B1115" s="4" t="s">
        <v>1411</v>
      </c>
      <c r="C1115" s="5" t="str">
        <f>IFERROR(__xludf.DUMMYFUNCTION("GOOGLETRANSLATE(B1115,""en"",""de"")"),"Wir sehen den Mann auf dem Saxophon in der Nähe und weit.")</f>
        <v>Wir sehen den Mann auf dem Saxophon in der Nähe und weit.</v>
      </c>
    </row>
    <row r="1116">
      <c r="A1116" s="4" t="s">
        <v>1405</v>
      </c>
      <c r="B1116" s="4" t="s">
        <v>1412</v>
      </c>
      <c r="C1116" s="5" t="str">
        <f>IFERROR(__xludf.DUMMYFUNCTION("GOOGLETRANSLATE(B1116,""en"",""de"")"),"Wir sehen die ganze Arena und den Mann, der in der Nähe spielt.")</f>
        <v>Wir sehen die ganze Arena und den Mann, der in der Nähe spielt.</v>
      </c>
    </row>
    <row r="1117">
      <c r="A1117" s="4" t="s">
        <v>1405</v>
      </c>
      <c r="B1117" s="4" t="s">
        <v>1413</v>
      </c>
      <c r="C1117" s="5" t="str">
        <f>IFERROR(__xludf.DUMMYFUNCTION("GOOGLETRANSLATE(B1117,""en"",""de"")"),"Wir schwenken vom Mann zum Publikum.")</f>
        <v>Wir schwenken vom Mann zum Publikum.</v>
      </c>
    </row>
    <row r="1118">
      <c r="A1118" s="4" t="s">
        <v>1414</v>
      </c>
      <c r="B1118" s="4" t="s">
        <v>1415</v>
      </c>
      <c r="C1118" s="5" t="str">
        <f>IFERROR(__xludf.DUMMYFUNCTION("GOOGLETRANSLATE(B1118,""en"",""de"")"),"Eine Person wird gesehen, wie sie die Tiefen eines Poolbodens schwimmen.")</f>
        <v>Eine Person wird gesehen, wie sie die Tiefen eines Poolbodens schwimmen.</v>
      </c>
    </row>
    <row r="1119">
      <c r="A1119" s="4" t="s">
        <v>1414</v>
      </c>
      <c r="B1119" s="4" t="s">
        <v>1416</v>
      </c>
      <c r="C1119" s="5" t="str">
        <f>IFERROR(__xludf.DUMMYFUNCTION("GOOGLETRANSLATE(B1119,""en"",""de"")"),"Der Mann kommt vor der Kamera, sein Gesicht zeigt sich.")</f>
        <v>Der Mann kommt vor der Kamera, sein Gesicht zeigt sich.</v>
      </c>
    </row>
    <row r="1120">
      <c r="A1120" s="4" t="s">
        <v>1414</v>
      </c>
      <c r="B1120" s="4" t="s">
        <v>1417</v>
      </c>
      <c r="C1120" s="5" t="str">
        <f>IFERROR(__xludf.DUMMYFUNCTION("GOOGLETRANSLATE(B1120,""en"",""de"")"),"Dann schwimmt er langsam zurück zur Oberfläche.")</f>
        <v>Dann schwimmt er langsam zurück zur Oberfläche.</v>
      </c>
    </row>
    <row r="1121">
      <c r="A1121" s="4" t="s">
        <v>1418</v>
      </c>
      <c r="B1121" s="4" t="s">
        <v>1419</v>
      </c>
      <c r="C1121" s="5" t="str">
        <f>IFERROR(__xludf.DUMMYFUNCTION("GOOGLETRANSLATE(B1121,""en"",""de"")"),"Eine Reihe von Anweisungen ist mit Diagrammen zu sehen.")</f>
        <v>Eine Reihe von Anweisungen ist mit Diagrammen zu sehen.</v>
      </c>
    </row>
    <row r="1122">
      <c r="A1122" s="4" t="s">
        <v>1418</v>
      </c>
      <c r="B1122" s="4" t="s">
        <v>1420</v>
      </c>
      <c r="C1122" s="5" t="str">
        <f>IFERROR(__xludf.DUMMYFUNCTION("GOOGLETRANSLATE(B1122,""en"",""de"")"),"Ein Mann verwendet ein Werkzeug, um einzelne Glieder einer Fahrradkette zu reparieren.")</f>
        <v>Ein Mann verwendet ein Werkzeug, um einzelne Glieder einer Fahrradkette zu reparieren.</v>
      </c>
    </row>
    <row r="1123">
      <c r="A1123" s="4" t="s">
        <v>1418</v>
      </c>
      <c r="B1123" s="4" t="s">
        <v>1421</v>
      </c>
      <c r="C1123" s="5" t="str">
        <f>IFERROR(__xludf.DUMMYFUNCTION("GOOGLETRANSLATE(B1123,""en"",""de"")"),"Die Fahrradkette ist mit einem speziellen Werkzeug wieder zusammen auf den Fahrrad Zahnrädern befestigt.")</f>
        <v>Die Fahrradkette ist mit einem speziellen Werkzeug wieder zusammen auf den Fahrrad Zahnrädern befestigt.</v>
      </c>
    </row>
    <row r="1124">
      <c r="A1124" s="4" t="s">
        <v>1418</v>
      </c>
      <c r="B1124" s="4" t="s">
        <v>1422</v>
      </c>
      <c r="C1124" s="5" t="str">
        <f>IFERROR(__xludf.DUMMYFUNCTION("GOOGLETRANSLATE(B1124,""en"",""de"")"),"Die Person inspiziert die neu ersetzte Kette von Hand.")</f>
        <v>Die Person inspiziert die neu ersetzte Kette von Hand.</v>
      </c>
    </row>
    <row r="1125">
      <c r="A1125" s="4" t="s">
        <v>1418</v>
      </c>
      <c r="B1125" s="4" t="s">
        <v>1423</v>
      </c>
      <c r="C1125" s="5" t="str">
        <f>IFERROR(__xludf.DUMMYFUNCTION("GOOGLETRANSLATE(B1125,""en"",""de"")"),"Die Person verweist auf verschiedene Bereiche auf dem Fahrrad mit dem Fahrrad auf dem Rack, nachdem der Job abgeschlossen ist.")</f>
        <v>Die Person verweist auf verschiedene Bereiche auf dem Fahrrad mit dem Fahrrad auf dem Rack, nachdem der Job abgeschlossen ist.</v>
      </c>
    </row>
    <row r="1126">
      <c r="A1126" s="4" t="s">
        <v>1424</v>
      </c>
      <c r="B1126" s="4" t="s">
        <v>1425</v>
      </c>
      <c r="C1126" s="5" t="str">
        <f>IFERROR(__xludf.DUMMYFUNCTION("GOOGLETRANSLATE(B1126,""en"",""de"")"),"Ein Koch spricht mit der Kamera, die ein Messer sowie einen Spitzer hochhält.")</f>
        <v>Ein Koch spricht mit der Kamera, die ein Messer sowie einen Spitzer hochhält.</v>
      </c>
    </row>
    <row r="1127">
      <c r="A1127" s="4" t="s">
        <v>1424</v>
      </c>
      <c r="B1127" s="4" t="s">
        <v>1426</v>
      </c>
      <c r="C1127" s="5" t="str">
        <f>IFERROR(__xludf.DUMMYFUNCTION("GOOGLETRANSLATE(B1127,""en"",""de"")"),"Der Mann schärft dann das Messer auf einem Brett auf dem Tisch sowie auf dem Spitzer.")</f>
        <v>Der Mann schärft dann das Messer auf einem Brett auf dem Tisch sowie auf dem Spitzer.</v>
      </c>
    </row>
    <row r="1128">
      <c r="A1128" s="4" t="s">
        <v>1427</v>
      </c>
      <c r="B1128" s="4" t="s">
        <v>1428</v>
      </c>
      <c r="C1128" s="5" t="str">
        <f>IFERROR(__xludf.DUMMYFUNCTION("GOOGLETRANSLATE(B1128,""en"",""de"")"),"Eine junge Frau mit verbundenen Augen schwingt wild herum, während ein Mann auf einer Geburtstagsfeier einen Piñata hoch über dem Kopf auf einer Schnur hält.")</f>
        <v>Eine junge Frau mit verbundenen Augen schwingt wild herum, während ein Mann auf einer Geburtstagsfeier einen Piñata hoch über dem Kopf auf einer Schnur hält.</v>
      </c>
    </row>
    <row r="1129">
      <c r="A1129" s="4" t="s">
        <v>1427</v>
      </c>
      <c r="B1129" s="4" t="s">
        <v>1429</v>
      </c>
      <c r="C1129" s="5" t="str">
        <f>IFERROR(__xludf.DUMMYFUNCTION("GOOGLETRANSLATE(B1129,""en"",""de"")"),"Dann schwingt die Frau noch ein paar Mal, als der Mann die Piñata mit der angeschlossenen Schnur hoch und runter bringt und wie sie dies tut, ein Stück der Piñata aus und ein paar Kinder versammeln sich um sie, um zu sehen, ob eine Süßigkeit ausfiel.")</f>
        <v>Dann schwingt die Frau noch ein paar Mal, als der Mann die Piñata mit der angeschlossenen Schnur hoch und runter bringt und wie sie dies tut, ein Stück der Piñata aus und ein paar Kinder versammeln sich um sie, um zu sehen, ob eine Süßigkeit ausfiel.</v>
      </c>
    </row>
    <row r="1130">
      <c r="A1130" s="4" t="s">
        <v>1427</v>
      </c>
      <c r="B1130" s="4" t="s">
        <v>1430</v>
      </c>
      <c r="C1130" s="5" t="str">
        <f>IFERROR(__xludf.DUMMYFUNCTION("GOOGLETRANSLATE(B1130,""en"",""de"")"),"Die Frau fühlt sich ein paar Mal mit dem Stock für die Piñata, schwingt aber nicht, da Kinder erstaunt aufblicken.")</f>
        <v>Die Frau fühlt sich ein paar Mal mit dem Stock für die Piñata, schwingt aber nicht, da Kinder erstaunt aufblicken.</v>
      </c>
    </row>
    <row r="1131">
      <c r="A1131" s="4" t="s">
        <v>1431</v>
      </c>
      <c r="B1131" s="4" t="s">
        <v>1432</v>
      </c>
      <c r="C1131" s="5" t="str">
        <f>IFERROR(__xludf.DUMMYFUNCTION("GOOGLETRANSLATE(B1131,""en"",""de"")"),"Es werden verschiedene Aufnahmen von Frauen gezeigt, die Lotion an sich an einem Strand legen, während die Kamera von mehreren Seiten herum schwenkt.")</f>
        <v>Es werden verschiedene Aufnahmen von Frauen gezeigt, die Lotion an sich an einem Strand legen, während die Kamera von mehreren Seiten herum schwenkt.</v>
      </c>
    </row>
    <row r="1132">
      <c r="A1132" s="4" t="s">
        <v>1431</v>
      </c>
      <c r="B1132" s="4" t="s">
        <v>1433</v>
      </c>
      <c r="C1132" s="5" t="str">
        <f>IFERROR(__xludf.DUMMYFUNCTION("GOOGLETRANSLATE(B1132,""en"",""de"")"),"Weitere Aufnahmen von Frauen in verschiedenen Winkel, die überall in ihrem Körper Lotion reiben und verführerisch in den Abstand schauen.")</f>
        <v>Weitere Aufnahmen von Frauen in verschiedenen Winkel, die überall in ihrem Körper Lotion reiben und verführerisch in den Abstand schauen.</v>
      </c>
    </row>
    <row r="1133">
      <c r="A1133" s="4" t="s">
        <v>1434</v>
      </c>
      <c r="B1133" s="4" t="s">
        <v>1435</v>
      </c>
      <c r="C1133" s="5" t="str">
        <f>IFERROR(__xludf.DUMMYFUNCTION("GOOGLETRANSLATE(B1133,""en"",""de"")"),"Ein jubelfeueres Team beginnt, Plakate zu halten, während sein Maskottchen hinter ihnen läuft.")</f>
        <v>Ein jubelfeueres Team beginnt, Plakate zu halten, während sein Maskottchen hinter ihnen läuft.</v>
      </c>
    </row>
    <row r="1134">
      <c r="A1134" s="4" t="s">
        <v>1434</v>
      </c>
      <c r="B1134" s="4" t="s">
        <v>1436</v>
      </c>
      <c r="C1134" s="5" t="str">
        <f>IFERROR(__xludf.DUMMYFUNCTION("GOOGLETRANSLATE(B1134,""en"",""de"")"),"Sie beginnen dann eine Routine zu machen und einige der Mädchen rennen mit Streamern, während die anderen die Mädchen für ihren Stunt hochhalten.")</f>
        <v>Sie beginnen dann eine Routine zu machen und einige der Mädchen rennen mit Streamern, während die anderen die Mädchen für ihren Stunt hochhalten.</v>
      </c>
    </row>
    <row r="1135">
      <c r="A1135" s="4" t="s">
        <v>1434</v>
      </c>
      <c r="B1135" s="4" t="s">
        <v>1437</v>
      </c>
      <c r="C1135" s="5" t="str">
        <f>IFERROR(__xludf.DUMMYFUNCTION("GOOGLETRANSLATE(B1135,""en"",""de"")"),"Der Stunt ist beendet und der Rückzug zurück in ihre ursprüngliche Position und beginnt zusammen mit ihrem Maskottchen Wagenräder und andere Tricks und Stunts.")</f>
        <v>Der Stunt ist beendet und der Rückzug zurück in ihre ursprüngliche Position und beginnt zusammen mit ihrem Maskottchen Wagenräder und andere Tricks und Stunts.</v>
      </c>
    </row>
    <row r="1136">
      <c r="A1136" s="4" t="s">
        <v>1434</v>
      </c>
      <c r="B1136" s="4" t="s">
        <v>1438</v>
      </c>
      <c r="C1136" s="5" t="str">
        <f>IFERROR(__xludf.DUMMYFUNCTION("GOOGLETRANSLATE(B1136,""en"",""de"")"),"Im weiteren Verlauf der Routine werden mehr Stunts durchgeführt und das Tigermaskottchen jubelt weiterhin mit den Mädchen an.")</f>
        <v>Im weiteren Verlauf der Routine werden mehr Stunts durchgeführt und das Tigermaskottchen jubelt weiterhin mit den Mädchen an.</v>
      </c>
    </row>
    <row r="1137">
      <c r="A1137" s="4" t="s">
        <v>1439</v>
      </c>
      <c r="B1137" s="4" t="s">
        <v>1440</v>
      </c>
      <c r="C1137" s="5" t="str">
        <f>IFERROR(__xludf.DUMMYFUNCTION("GOOGLETRANSLATE(B1137,""en"",""de"")"),"Ein Junge und ein Mann spielen abwechselnd Billard, während eine Menge zusieht.")</f>
        <v>Ein Junge und ein Mann spielen abwechselnd Billard, während eine Menge zusieht.</v>
      </c>
    </row>
    <row r="1138">
      <c r="A1138" s="4" t="s">
        <v>1439</v>
      </c>
      <c r="B1138" s="4" t="s">
        <v>1441</v>
      </c>
      <c r="C1138" s="5" t="str">
        <f>IFERROR(__xludf.DUMMYFUNCTION("GOOGLETRANSLATE(B1138,""en"",""de"")"),"Der Mann wischt sich das Gesicht mit einem Handtuch ab.")</f>
        <v>Der Mann wischt sich das Gesicht mit einem Handtuch ab.</v>
      </c>
    </row>
    <row r="1139">
      <c r="A1139" s="4" t="s">
        <v>1439</v>
      </c>
      <c r="B1139" s="4" t="s">
        <v>1442</v>
      </c>
      <c r="C1139" s="5" t="str">
        <f>IFERROR(__xludf.DUMMYFUNCTION("GOOGLETRANSLATE(B1139,""en"",""de"")"),"Der Junge gewinnt und die Menge jubelt.")</f>
        <v>Der Junge gewinnt und die Menge jubelt.</v>
      </c>
    </row>
    <row r="1140">
      <c r="A1140" s="4" t="s">
        <v>1439</v>
      </c>
      <c r="B1140" s="4" t="s">
        <v>1443</v>
      </c>
      <c r="C1140" s="5" t="str">
        <f>IFERROR(__xludf.DUMMYFUNCTION("GOOGLETRANSLATE(B1140,""en"",""de"")"),"Mehrere Männer nehmen den Jungen zum Feiern ab.")</f>
        <v>Mehrere Männer nehmen den Jungen zum Feiern ab.</v>
      </c>
    </row>
    <row r="1141">
      <c r="A1141" s="4" t="s">
        <v>1439</v>
      </c>
      <c r="B1141" s="4" t="s">
        <v>1444</v>
      </c>
      <c r="C1141" s="5" t="str">
        <f>IFERROR(__xludf.DUMMYFUNCTION("GOOGLETRANSLATE(B1141,""en"",""de"")"),"Der Gewinner wird in Zeitlupe wiederholt.")</f>
        <v>Der Gewinner wird in Zeitlupe wiederholt.</v>
      </c>
    </row>
    <row r="1142">
      <c r="A1142" s="4" t="s">
        <v>1445</v>
      </c>
      <c r="B1142" s="4" t="s">
        <v>1446</v>
      </c>
      <c r="C1142" s="5" t="str">
        <f>IFERROR(__xludf.DUMMYFUNCTION("GOOGLETRANSLATE(B1142,""en"",""de"")"),"Eine Frau hält einen Faden in ihren Händen und beginnt mit ihren Händen die Schnur zu stricken.")</f>
        <v>Eine Frau hält einen Faden in ihren Händen und beginnt mit ihren Händen die Schnur zu stricken.</v>
      </c>
    </row>
    <row r="1143">
      <c r="A1143" s="4" t="s">
        <v>1445</v>
      </c>
      <c r="B1143" s="4" t="s">
        <v>1447</v>
      </c>
      <c r="C1143" s="5" t="str">
        <f>IFERROR(__xludf.DUMMYFUNCTION("GOOGLETRANSLATE(B1143,""en"",""de"")"),"Sie fädelt die Schnur mit ihren Händen fort und endet, indem sie den Faden hochhält, um sie zu zeigen.")</f>
        <v>Sie fädelt die Schnur mit ihren Händen fort und endet, indem sie den Faden hochhält, um sie zu zeigen.</v>
      </c>
    </row>
    <row r="1144">
      <c r="A1144" s="4" t="s">
        <v>1448</v>
      </c>
      <c r="B1144" s="4" t="s">
        <v>1449</v>
      </c>
      <c r="C1144" s="5" t="str">
        <f>IFERROR(__xludf.DUMMYFUNCTION("GOOGLETRANSLATE(B1144,""en"",""de"")"),"Ein Mann, der in einem Floß in Wasser spricht, spricht an der Kamera.")</f>
        <v>Ein Mann, der in einem Floß in Wasser spricht, spricht an der Kamera.</v>
      </c>
    </row>
    <row r="1145">
      <c r="A1145" s="4" t="s">
        <v>1448</v>
      </c>
      <c r="B1145" s="4" t="s">
        <v>1450</v>
      </c>
      <c r="C1145" s="5" t="str">
        <f>IFERROR(__xludf.DUMMYFUNCTION("GOOGLETRANSLATE(B1145,""en"",""de"")"),"Der Mann demonstriert Techniken, während er mit der Kamera spricht.")</f>
        <v>Der Mann demonstriert Techniken, während er mit der Kamera spricht.</v>
      </c>
    </row>
    <row r="1146">
      <c r="A1146" s="4" t="s">
        <v>1448</v>
      </c>
      <c r="B1146" s="4" t="s">
        <v>1451</v>
      </c>
      <c r="C1146" s="5" t="str">
        <f>IFERROR(__xludf.DUMMYFUNCTION("GOOGLETRANSLATE(B1146,""en"",""de"")"),"Der Mann fließt stromabwärts beim Paddeln.")</f>
        <v>Der Mann fließt stromabwärts beim Paddeln.</v>
      </c>
    </row>
    <row r="1147">
      <c r="A1147" s="4" t="s">
        <v>1452</v>
      </c>
      <c r="B1147" s="4" t="s">
        <v>1453</v>
      </c>
      <c r="C1147" s="5" t="str">
        <f>IFERROR(__xludf.DUMMYFUNCTION("GOOGLETRANSLATE(B1147,""en"",""de"")"),"Alexandra Raisman aus Massachusetts trägt lila Trikots und bereitet sich auf die Gymnastik in der Pferdestange vor.")</f>
        <v>Alexandra Raisman aus Massachusetts trägt lila Trikots und bereitet sich auf die Gymnastik in der Pferdestange vor.</v>
      </c>
    </row>
    <row r="1148">
      <c r="A1148" s="4" t="s">
        <v>1452</v>
      </c>
      <c r="B1148" s="4" t="s">
        <v>1454</v>
      </c>
      <c r="C1148" s="5" t="str">
        <f>IFERROR(__xludf.DUMMYFUNCTION("GOOGLETRANSLATE(B1148,""en"",""de"")"),"Sie springt direkt auf die Pferdestange und macht ein paar Vorder- und Rückenflips.")</f>
        <v>Sie springt direkt auf die Pferdestange und macht ein paar Vorder- und Rückenflips.</v>
      </c>
    </row>
    <row r="1149">
      <c r="A1149" s="4" t="s">
        <v>1452</v>
      </c>
      <c r="B1149" s="4" t="s">
        <v>1455</v>
      </c>
      <c r="C1149" s="5" t="str">
        <f>IFERROR(__xludf.DUMMYFUNCTION("GOOGLETRANSLATE(B1149,""en"",""de"")"),"Dann macht sie ein paar Rückenhandfedern auf der Pferdestange.")</f>
        <v>Dann macht sie ein paar Rückenhandfedern auf der Pferdestange.</v>
      </c>
    </row>
    <row r="1150">
      <c r="A1150" s="4" t="s">
        <v>1452</v>
      </c>
      <c r="B1150" s="4" t="s">
        <v>1456</v>
      </c>
      <c r="C1150" s="5" t="str">
        <f>IFERROR(__xludf.DUMMYFUNCTION("GOOGLETRANSLATE(B1150,""en"",""de"")"),"Sie springt schnell auf die Pferdestange, während sie die vollständige Kontrolle über Körper und Gleichgewicht beibehält.")</f>
        <v>Sie springt schnell auf die Pferdestange, während sie die vollständige Kontrolle über Körper und Gleichgewicht beibehält.</v>
      </c>
    </row>
    <row r="1151">
      <c r="A1151" s="4" t="s">
        <v>1452</v>
      </c>
      <c r="B1151" s="4" t="s">
        <v>1457</v>
      </c>
      <c r="C1151" s="5" t="str">
        <f>IFERROR(__xludf.DUMMYFUNCTION("GOOGLETRANSLATE(B1151,""en"",""de"")"),"Sie macht einen letzten Rückenflip und einen vorderen Flip und steigt dann von der Pferdestange.")</f>
        <v>Sie macht einen letzten Rückenflip und einen vorderen Flip und steigt dann von der Pferdestange.</v>
      </c>
    </row>
    <row r="1152">
      <c r="A1152" s="4" t="s">
        <v>1452</v>
      </c>
      <c r="B1152" s="4" t="s">
        <v>1458</v>
      </c>
      <c r="C1152" s="5" t="str">
        <f>IFERROR(__xludf.DUMMYFUNCTION("GOOGLETRANSLATE(B1152,""en"",""de"")"),"Die Zuschauer jubeln sie an, als sie weggeht.")</f>
        <v>Die Zuschauer jubeln sie an, als sie weggeht.</v>
      </c>
    </row>
    <row r="1153">
      <c r="A1153" s="4" t="s">
        <v>1459</v>
      </c>
      <c r="B1153" s="4" t="s">
        <v>1460</v>
      </c>
      <c r="C1153" s="5" t="str">
        <f>IFERROR(__xludf.DUMMYFUNCTION("GOOGLETRANSLATE(B1153,""en"",""de"")"),"Ein Mann wird mitten in Schlagzeuger über einen Knall beugen.")</f>
        <v>Ein Mann wird mitten in Schlagzeuger über einen Knall beugen.</v>
      </c>
    </row>
    <row r="1154">
      <c r="A1154" s="4" t="s">
        <v>1459</v>
      </c>
      <c r="B1154" s="4" t="s">
        <v>1461</v>
      </c>
      <c r="C1154" s="5" t="str">
        <f>IFERROR(__xludf.DUMMYFUNCTION("GOOGLETRANSLATE(B1154,""en"",""de"")"),"Die Leute schlugen kontinuierlich die Trommeln, während die Kamera ums Leben kommt.")</f>
        <v>Die Leute schlugen kontinuierlich die Trommeln, während die Kamera ums Leben kommt.</v>
      </c>
    </row>
    <row r="1155">
      <c r="A1155" s="4" t="s">
        <v>1459</v>
      </c>
      <c r="B1155" s="4" t="s">
        <v>1462</v>
      </c>
      <c r="C1155" s="5" t="str">
        <f>IFERROR(__xludf.DUMMYFUNCTION("GOOGLETRANSLATE(B1155,""en"",""de"")"),"Die Männer trommeln, während die Kamera um sie herum schwenkt.")</f>
        <v>Die Männer trommeln, während die Kamera um sie herum schwenkt.</v>
      </c>
    </row>
    <row r="1156">
      <c r="A1156" s="4" t="s">
        <v>1463</v>
      </c>
      <c r="B1156" s="4" t="s">
        <v>1464</v>
      </c>
      <c r="C1156" s="5" t="str">
        <f>IFERROR(__xludf.DUMMYFUNCTION("GOOGLETRANSLATE(B1156,""en"",""de"")"),"Ein Nachrichtenmann spricht vor einer Gruppe von Menschen.")</f>
        <v>Ein Nachrichtenmann spricht vor einer Gruppe von Menschen.</v>
      </c>
    </row>
    <row r="1157">
      <c r="A1157" s="4" t="s">
        <v>1463</v>
      </c>
      <c r="B1157" s="4" t="s">
        <v>1465</v>
      </c>
      <c r="C1157" s="5" t="str">
        <f>IFERROR(__xludf.DUMMYFUNCTION("GOOGLETRANSLATE(B1157,""en"",""de"")"),"Ein Mann wird auf einem Tauchbrett auf einer Klippe gezeigt.")</f>
        <v>Ein Mann wird auf einem Tauchbrett auf einer Klippe gezeigt.</v>
      </c>
    </row>
    <row r="1158">
      <c r="A1158" s="4" t="s">
        <v>1463</v>
      </c>
      <c r="B1158" s="4" t="s">
        <v>1466</v>
      </c>
      <c r="C1158" s="5" t="str">
        <f>IFERROR(__xludf.DUMMYFUNCTION("GOOGLETRANSLATE(B1158,""en"",""de"")"),"Er taucht und springt in das flache Wasser unten.")</f>
        <v>Er taucht und springt in das flache Wasser unten.</v>
      </c>
    </row>
    <row r="1159">
      <c r="A1159" s="4" t="s">
        <v>1467</v>
      </c>
      <c r="B1159" s="4" t="s">
        <v>1468</v>
      </c>
      <c r="C1159" s="5" t="str">
        <f>IFERROR(__xludf.DUMMYFUNCTION("GOOGLETRANSLATE(B1159,""en"",""de"")"),"Der Mann putzt die Wand.")</f>
        <v>Der Mann putzt die Wand.</v>
      </c>
    </row>
    <row r="1160">
      <c r="A1160" s="4" t="s">
        <v>1467</v>
      </c>
      <c r="B1160" s="4" t="s">
        <v>1469</v>
      </c>
      <c r="C1160" s="5" t="str">
        <f>IFERROR(__xludf.DUMMYFUNCTION("GOOGLETRANSLATE(B1160,""en"",""de"")"),"Der Mann beugen sich dann weiter.")</f>
        <v>Der Mann beugen sich dann weiter.</v>
      </c>
    </row>
    <row r="1161">
      <c r="A1161" s="4" t="s">
        <v>1467</v>
      </c>
      <c r="B1161" s="4" t="s">
        <v>1470</v>
      </c>
      <c r="C1161" s="5" t="str">
        <f>IFERROR(__xludf.DUMMYFUNCTION("GOOGLETRANSLATE(B1161,""en"",""de"")"),"Der Mann bedeckt die Wand mit rosa Gips, bis die ganze Wand bedeckt ist.")</f>
        <v>Der Mann bedeckt die Wand mit rosa Gips, bis die ganze Wand bedeckt ist.</v>
      </c>
    </row>
    <row r="1162">
      <c r="A1162" s="4" t="s">
        <v>1471</v>
      </c>
      <c r="B1162" s="4" t="s">
        <v>1472</v>
      </c>
      <c r="C1162" s="5" t="str">
        <f>IFERROR(__xludf.DUMMYFUNCTION("GOOGLETRANSLATE(B1162,""en"",""de"")"),"Ein Mann mit einem orangefarbenen Hemd und blauen Handschuhen wird gezeigt, wie eine Feuerbrennermaschine betreibt.")</f>
        <v>Ein Mann mit einem orangefarbenen Hemd und blauen Handschuhen wird gezeigt, wie eine Feuerbrennermaschine betreibt.</v>
      </c>
    </row>
    <row r="1163">
      <c r="A1163" s="4" t="s">
        <v>1471</v>
      </c>
      <c r="B1163" s="4" t="s">
        <v>1473</v>
      </c>
      <c r="C1163" s="5" t="str">
        <f>IFERROR(__xludf.DUMMYFUNCTION("GOOGLETRANSLATE(B1163,""en"",""de"")"),"Zwei weitere Personen werden gezeigt und eine Nahaufnahme ist abgebildet.")</f>
        <v>Zwei weitere Personen werden gezeigt und eine Nahaufnahme ist abgebildet.</v>
      </c>
    </row>
    <row r="1164">
      <c r="A1164" s="4" t="s">
        <v>1471</v>
      </c>
      <c r="B1164" s="4" t="s">
        <v>1474</v>
      </c>
      <c r="C1164" s="5" t="str">
        <f>IFERROR(__xludf.DUMMYFUNCTION("GOOGLETRANSLATE(B1164,""en"",""de"")"),"Zuletzt schwenkt die Kamera auf einen Mann, der auf einer Maschine aufsteht.")</f>
        <v>Zuletzt schwenkt die Kamera auf einen Mann, der auf einer Maschine aufsteht.</v>
      </c>
    </row>
    <row r="1165">
      <c r="A1165" s="4" t="s">
        <v>1475</v>
      </c>
      <c r="B1165" s="4" t="s">
        <v>1476</v>
      </c>
      <c r="C1165" s="5" t="str">
        <f>IFERROR(__xludf.DUMMYFUNCTION("GOOGLETRANSLATE(B1165,""en"",""de"")"),"Eine Nahaufnahme einer Hand ist zu sehen, dass Pfannen nach einem Mann, der Handschuhe anzieht.")</f>
        <v>Eine Nahaufnahme einer Hand ist zu sehen, dass Pfannen nach einem Mann, der Handschuhe anzieht.</v>
      </c>
    </row>
    <row r="1166">
      <c r="A1166" s="4" t="s">
        <v>1475</v>
      </c>
      <c r="B1166" s="4" t="s">
        <v>1477</v>
      </c>
      <c r="C1166" s="5" t="str">
        <f>IFERROR(__xludf.DUMMYFUNCTION("GOOGLETRANSLATE(B1166,""en"",""de"")"),"Der Mann setzt dann eine Taschenlampe zusammen und verbrennt ein Stück Metall vor sich.")</f>
        <v>Der Mann setzt dann eine Taschenlampe zusammen und verbrennt ein Stück Metall vor sich.</v>
      </c>
    </row>
    <row r="1167">
      <c r="A1167" s="4" t="s">
        <v>1475</v>
      </c>
      <c r="B1167" s="4" t="s">
        <v>1478</v>
      </c>
      <c r="C1167" s="5" t="str">
        <f>IFERROR(__xludf.DUMMYFUNCTION("GOOGLETRANSLATE(B1167,""en"",""de"")"),"Der Mann arbeitet weiter und hammert Objekte sowie an der Seite.")</f>
        <v>Der Mann arbeitet weiter und hammert Objekte sowie an der Seite.</v>
      </c>
    </row>
    <row r="1168">
      <c r="A1168" s="4" t="s">
        <v>1479</v>
      </c>
      <c r="B1168" s="4" t="s">
        <v>1480</v>
      </c>
      <c r="C1168" s="5" t="str">
        <f>IFERROR(__xludf.DUMMYFUNCTION("GOOGLETRANSLATE(B1168,""en"",""de"")"),"Zwei Männer stehen auf der Seite des Platzes mit Basketball.")</f>
        <v>Zwei Männer stehen auf der Seite des Platzes mit Basketball.</v>
      </c>
    </row>
    <row r="1169">
      <c r="A1169" s="4" t="s">
        <v>1479</v>
      </c>
      <c r="B1169" s="4" t="s">
        <v>1481</v>
      </c>
      <c r="C1169" s="5" t="str">
        <f>IFERROR(__xludf.DUMMYFUNCTION("GOOGLETRANSLATE(B1169,""en"",""de"")"),"Die Männer geben ein Interview, sprechen mit der Kamera, während ein Mann spricht, der andere Mann hört und dann umgekehrt.")</f>
        <v>Die Männer geben ein Interview, sprechen mit der Kamera, während ein Mann spricht, der andere Mann hört und dann umgekehrt.</v>
      </c>
    </row>
    <row r="1170">
      <c r="A1170" s="4" t="s">
        <v>1479</v>
      </c>
      <c r="B1170" s="4" t="s">
        <v>1482</v>
      </c>
      <c r="C1170" s="5" t="str">
        <f>IFERROR(__xludf.DUMMYFUNCTION("GOOGLETRANSLATE(B1170,""en"",""de"")"),"Der Mann ging zum Korb zum Ball, die Männer rannten zum Korb und schossen den Ball.")</f>
        <v>Der Mann ging zum Korb zum Ball, die Männer rannten zum Korb und schossen den Ball.</v>
      </c>
    </row>
    <row r="1171">
      <c r="A1171" s="4" t="s">
        <v>1483</v>
      </c>
      <c r="B1171" s="4" t="s">
        <v>1484</v>
      </c>
      <c r="C1171" s="5" t="str">
        <f>IFERROR(__xludf.DUMMYFUNCTION("GOOGLETRANSLATE(B1171,""en"",""de"")"),"Ein Mann in grauem Hemd und Mütze sitzt neben einem Bootsmotor, während hinter ihm eine Frau befindet, die mit einem Surfbrett fährt und ein Kabelbaum hält, der am Boot angebracht ist.")</f>
        <v>Ein Mann in grauem Hemd und Mütze sitzt neben einem Bootsmotor, während hinter ihm eine Frau befindet, die mit einem Surfbrett fährt und ein Kabelbaum hält, der am Boot angebracht ist.</v>
      </c>
    </row>
    <row r="1172">
      <c r="A1172" s="4" t="s">
        <v>1483</v>
      </c>
      <c r="B1172" s="4" t="s">
        <v>1485</v>
      </c>
      <c r="C1172" s="5" t="str">
        <f>IFERROR(__xludf.DUMMYFUNCTION("GOOGLETRANSLATE(B1172,""en"",""de"")"),"Als die Frau, die die Delfine bewegten, anfingen, mit ihr zu schwimmen, sind die Flossen der Delfine sichtbar, als sie auf und ab schwimmen.")</f>
        <v>Als die Frau, die die Delfine bewegten, anfingen, mit ihr zu schwimmen, sind die Flossen der Delfine sichtbar, als sie auf und ab schwimmen.</v>
      </c>
    </row>
    <row r="1173">
      <c r="A1173" s="4" t="s">
        <v>1486</v>
      </c>
      <c r="B1173" s="4" t="s">
        <v>1487</v>
      </c>
      <c r="C1173" s="5" t="str">
        <f>IFERROR(__xludf.DUMMYFUNCTION("GOOGLETRANSLATE(B1173,""en"",""de"")"),"Wir sehen einen Öffnungsbildschirm.")</f>
        <v>Wir sehen einen Öffnungsbildschirm.</v>
      </c>
    </row>
    <row r="1174">
      <c r="A1174" s="4" t="s">
        <v>1486</v>
      </c>
      <c r="B1174" s="4" t="s">
        <v>1488</v>
      </c>
      <c r="C1174" s="5" t="str">
        <f>IFERROR(__xludf.DUMMYFUNCTION("GOOGLETRANSLATE(B1174,""en"",""de"")"),"Wir sehen eine Dame, die Sonnencreme in ein Badezimmer und am Strand anzieht.")</f>
        <v>Wir sehen eine Dame, die Sonnencreme in ein Badezimmer und am Strand anzieht.</v>
      </c>
    </row>
    <row r="1175">
      <c r="A1175" s="4" t="s">
        <v>1486</v>
      </c>
      <c r="B1175" s="4" t="s">
        <v>1489</v>
      </c>
      <c r="C1175" s="5" t="str">
        <f>IFERROR(__xludf.DUMMYFUNCTION("GOOGLETRANSLATE(B1175,""en"",""de"")"),"Wir sehen einen Titelbildschirm und sehen, wie die Dame ihren Sonnenschutz und einen anderen Titelbildschirm kauft.")</f>
        <v>Wir sehen einen Titelbildschirm und sehen, wie die Dame ihren Sonnenschutz und einen anderen Titelbildschirm kauft.</v>
      </c>
    </row>
    <row r="1176">
      <c r="A1176" s="4" t="s">
        <v>1486</v>
      </c>
      <c r="B1176" s="4" t="s">
        <v>1490</v>
      </c>
      <c r="C1176" s="5" t="str">
        <f>IFERROR(__xludf.DUMMYFUNCTION("GOOGLETRANSLATE(B1176,""en"",""de"")"),"Die Dame wirft eine Flasche nach und schaut auf ihr Handy, bevor sie auf die Toilette geht und Sonnencreme anzieht.")</f>
        <v>Die Dame wirft eine Flasche nach und schaut auf ihr Handy, bevor sie auf die Toilette geht und Sonnencreme anzieht.</v>
      </c>
    </row>
    <row r="1177">
      <c r="A1177" s="4" t="s">
        <v>1486</v>
      </c>
      <c r="B1177" s="4" t="s">
        <v>1491</v>
      </c>
      <c r="C1177" s="5" t="str">
        <f>IFERROR(__xludf.DUMMYFUNCTION("GOOGLETRANSLATE(B1177,""en"",""de"")"),"Wir sehen einen Titelbildschirm und die Dame wendet Sonnencreme an und eine Freundin legt einen auf den Rücken.")</f>
        <v>Wir sehen einen Titelbildschirm und die Dame wendet Sonnencreme an und eine Freundin legt einen auf den Rücken.</v>
      </c>
    </row>
    <row r="1178">
      <c r="A1178" s="4" t="s">
        <v>1486</v>
      </c>
      <c r="B1178" s="4" t="s">
        <v>1492</v>
      </c>
      <c r="C1178" s="5" t="str">
        <f>IFERROR(__xludf.DUMMYFUNCTION("GOOGLETRANSLATE(B1178,""en"",""de"")"),"Die Dame zieht Sonnencreme am Strand an und ihre Freundin rennt am Strand.")</f>
        <v>Die Dame zieht Sonnencreme am Strand an und ihre Freundin rennt am Strand.</v>
      </c>
    </row>
    <row r="1179">
      <c r="A1179" s="4" t="s">
        <v>1486</v>
      </c>
      <c r="B1179" s="4" t="s">
        <v>1493</v>
      </c>
      <c r="C1179" s="5" t="str">
        <f>IFERROR(__xludf.DUMMYFUNCTION("GOOGLETRANSLATE(B1179,""en"",""de"")"),"Wir sehen einen Titelbildschirm und den Endbildschirm.")</f>
        <v>Wir sehen einen Titelbildschirm und den Endbildschirm.</v>
      </c>
    </row>
    <row r="1180">
      <c r="A1180" s="4" t="s">
        <v>1494</v>
      </c>
      <c r="B1180" s="4" t="s">
        <v>1495</v>
      </c>
      <c r="C1180" s="5" t="str">
        <f>IFERROR(__xludf.DUMMYFUNCTION("GOOGLETRANSLATE(B1180,""en"",""de"")"),"Eine Gruppe von Kindern befindet sich in einem Gebäude.")</f>
        <v>Eine Gruppe von Kindern befindet sich in einem Gebäude.</v>
      </c>
    </row>
    <row r="1181">
      <c r="A1181" s="4" t="s">
        <v>1494</v>
      </c>
      <c r="B1181" s="4" t="s">
        <v>1496</v>
      </c>
      <c r="C1181" s="5" t="str">
        <f>IFERROR(__xludf.DUMMYFUNCTION("GOOGLETRANSLATE(B1181,""en"",""de"")"),"Sie alle fahren Stoßstangenautos um eine Strecke.")</f>
        <v>Sie alle fahren Stoßstangenautos um eine Strecke.</v>
      </c>
    </row>
    <row r="1182">
      <c r="A1182" s="4" t="s">
        <v>1494</v>
      </c>
      <c r="B1182" s="4" t="s">
        <v>1497</v>
      </c>
      <c r="C1182" s="5" t="str">
        <f>IFERROR(__xludf.DUMMYFUNCTION("GOOGLETRANSLATE(B1182,""en"",""de"")"),"Sie stoßen und schlagen ineinander.")</f>
        <v>Sie stoßen und schlagen ineinander.</v>
      </c>
    </row>
    <row r="1183">
      <c r="A1183" s="4" t="s">
        <v>1498</v>
      </c>
      <c r="B1183" s="4" t="s">
        <v>1499</v>
      </c>
      <c r="C1183" s="5" t="str">
        <f>IFERROR(__xludf.DUMMYFUNCTION("GOOGLETRANSLATE(B1183,""en"",""de"")"),"Eine Person löst ein Würfel -Puzzle, das die Teile zu den Farben entspricht.")</f>
        <v>Eine Person löst ein Würfel -Puzzle, das die Teile zu den Farben entspricht.</v>
      </c>
    </row>
    <row r="1184">
      <c r="A1184" s="4" t="s">
        <v>1498</v>
      </c>
      <c r="B1184" s="4" t="s">
        <v>1500</v>
      </c>
      <c r="C1184" s="5" t="str">
        <f>IFERROR(__xludf.DUMMYFUNCTION("GOOGLETRANSLATE(B1184,""en"",""de"")"),"Wenn die Person die ganze Farbe übereinstimmt, zeigt die Tabelle und legt das Würfel -Puzzle darauf.")</f>
        <v>Wenn die Person die ganze Farbe übereinstimmt, zeigt die Tabelle und legt das Würfel -Puzzle darauf.</v>
      </c>
    </row>
    <row r="1185">
      <c r="A1185" s="4" t="s">
        <v>1501</v>
      </c>
      <c r="B1185" s="4" t="s">
        <v>1502</v>
      </c>
      <c r="C1185" s="5" t="str">
        <f>IFERROR(__xludf.DUMMYFUNCTION("GOOGLETRANSLATE(B1185,""en"",""de"")"),"Wir sehen einen Gopro -Öffnungsbildschirm.")</f>
        <v>Wir sehen einen Gopro -Öffnungsbildschirm.</v>
      </c>
    </row>
    <row r="1186">
      <c r="A1186" s="4" t="s">
        <v>1501</v>
      </c>
      <c r="B1186" s="4" t="s">
        <v>1503</v>
      </c>
      <c r="C1186" s="5" t="str">
        <f>IFERROR(__xludf.DUMMYFUNCTION("GOOGLETRANSLATE(B1186,""en"",""de"")"),"Wir sehen eine Dame mit einem Floß in einen Fluss.")</f>
        <v>Wir sehen eine Dame mit einem Floß in einen Fluss.</v>
      </c>
    </row>
    <row r="1187">
      <c r="A1187" s="4" t="s">
        <v>1501</v>
      </c>
      <c r="B1187" s="4" t="s">
        <v>1504</v>
      </c>
      <c r="C1187" s="5" t="str">
        <f>IFERROR(__xludf.DUMMYFUNCTION("GOOGLETRANSLATE(B1187,""en"",""de"")"),"Wir sehen Leute im Fluss.")</f>
        <v>Wir sehen Leute im Fluss.</v>
      </c>
    </row>
    <row r="1188">
      <c r="A1188" s="4" t="s">
        <v>1501</v>
      </c>
      <c r="B1188" s="4" t="s">
        <v>1505</v>
      </c>
      <c r="C1188" s="5" t="str">
        <f>IFERROR(__xludf.DUMMYFUNCTION("GOOGLETRANSLATE(B1188,""en"",""de"")"),"Wir sehen die Beine eines Mannes und die Dame reitet vorbei.")</f>
        <v>Wir sehen die Beine eines Mannes und die Dame reitet vorbei.</v>
      </c>
    </row>
    <row r="1189">
      <c r="A1189" s="4" t="s">
        <v>1501</v>
      </c>
      <c r="B1189" s="4" t="s">
        <v>1506</v>
      </c>
      <c r="C1189" s="5" t="str">
        <f>IFERROR(__xludf.DUMMYFUNCTION("GOOGLETRANSLATE(B1189,""en"",""de"")"),"Wir sehen, wie die Dame dem Kameramann ein Getränk in einer Dose gibt.")</f>
        <v>Wir sehen, wie die Dame dem Kameramann ein Getränk in einer Dose gibt.</v>
      </c>
    </row>
    <row r="1190">
      <c r="A1190" s="4" t="s">
        <v>1501</v>
      </c>
      <c r="B1190" s="4" t="s">
        <v>1507</v>
      </c>
      <c r="C1190" s="5" t="str">
        <f>IFERROR(__xludf.DUMMYFUNCTION("GOOGLETRANSLATE(B1190,""en"",""de"")"),"Der Kameramann geht unter einen Zweig, der sich über dem Wasser befindet.")</f>
        <v>Der Kameramann geht unter einen Zweig, der sich über dem Wasser befindet.</v>
      </c>
    </row>
    <row r="1191">
      <c r="A1191" s="4" t="s">
        <v>1501</v>
      </c>
      <c r="B1191" s="4" t="s">
        <v>1508</v>
      </c>
      <c r="C1191" s="5" t="str">
        <f>IFERROR(__xludf.DUMMYFUNCTION("GOOGLETRANSLATE(B1191,""en"",""de"")"),"Wir sehen dann die Gopro -Endszene.")</f>
        <v>Wir sehen dann die Gopro -Endszene.</v>
      </c>
    </row>
    <row r="1192">
      <c r="A1192" s="4" t="s">
        <v>1509</v>
      </c>
      <c r="B1192" s="4" t="s">
        <v>1510</v>
      </c>
      <c r="C1192" s="5" t="str">
        <f>IFERROR(__xludf.DUMMYFUNCTION("GOOGLETRANSLATE(B1192,""en"",""de"")"),"Mehrere Menschen rennen die Straße um einen Bullen hinunter, wobei einige Stöcke in ihren Händen halten.")</f>
        <v>Mehrere Menschen rennen die Straße um einen Bullen hinunter, wobei einige Stöcke in ihren Händen halten.</v>
      </c>
    </row>
    <row r="1193">
      <c r="A1193" s="4" t="s">
        <v>1509</v>
      </c>
      <c r="B1193" s="4" t="s">
        <v>1511</v>
      </c>
      <c r="C1193" s="5" t="str">
        <f>IFERROR(__xludf.DUMMYFUNCTION("GOOGLETRANSLATE(B1193,""en"",""de"")"),"Die Menschen drängen sich um die Bullen wehten die Stöcke und folgen dem Bullen, als er wütend wird.")</f>
        <v>Die Menschen drängen sich um die Bullen wehten die Stöcke und folgen dem Bullen, als er wütend wird.</v>
      </c>
    </row>
    <row r="1194">
      <c r="A1194" s="4" t="s">
        <v>1509</v>
      </c>
      <c r="B1194" s="4" t="s">
        <v>1512</v>
      </c>
      <c r="C1194" s="5" t="str">
        <f>IFERROR(__xludf.DUMMYFUNCTION("GOOGLETRANSLATE(B1194,""en"",""de"")"),"Ein weiterer Stier wird gezeigt und die beiden kämpfen, während die Menschen stehen und an den Seiten jubeln.")</f>
        <v>Ein weiterer Stier wird gezeigt und die beiden kämpfen, während die Menschen stehen und an den Seiten jubeln.</v>
      </c>
    </row>
    <row r="1195">
      <c r="A1195" s="4" t="s">
        <v>1513</v>
      </c>
      <c r="B1195" s="4" t="s">
        <v>1514</v>
      </c>
      <c r="C1195" s="5" t="str">
        <f>IFERROR(__xludf.DUMMYFUNCTION("GOOGLETRANSLATE(B1195,""en"",""de"")"),"Die Leute sitzen in Reihenbooten im Wasser.")</f>
        <v>Die Leute sitzen in Reihenbooten im Wasser.</v>
      </c>
    </row>
    <row r="1196">
      <c r="A1196" s="4" t="s">
        <v>1513</v>
      </c>
      <c r="B1196" s="4" t="s">
        <v>1515</v>
      </c>
      <c r="C1196" s="5" t="str">
        <f>IFERROR(__xludf.DUMMYFUNCTION("GOOGLETRANSLATE(B1196,""en"",""de"")"),"Ein Mann steht in einem roten Reihenboot auf.")</f>
        <v>Ein Mann steht in einem roten Reihenboot auf.</v>
      </c>
    </row>
    <row r="1197">
      <c r="A1197" s="4" t="s">
        <v>1513</v>
      </c>
      <c r="B1197" s="4" t="s">
        <v>1516</v>
      </c>
      <c r="C1197" s="5" t="str">
        <f>IFERROR(__xludf.DUMMYFUNCTION("GOOGLETRANSLATE(B1197,""en"",""de"")"),"Ein Boot dreht sich um und die Kamera geht ins Wasser.")</f>
        <v>Ein Boot dreht sich um und die Kamera geht ins Wasser.</v>
      </c>
    </row>
    <row r="1198">
      <c r="A1198" s="4" t="s">
        <v>1513</v>
      </c>
      <c r="B1198" s="4" t="s">
        <v>1517</v>
      </c>
      <c r="C1198" s="5" t="str">
        <f>IFERROR(__xludf.DUMMYFUNCTION("GOOGLETRANSLATE(B1198,""en"",""de"")"),"Zwei Personen, die auf einem Dock stehen, heben ihr Boot aus dem Wasser.")</f>
        <v>Zwei Personen, die auf einem Dock stehen, heben ihr Boot aus dem Wasser.</v>
      </c>
    </row>
    <row r="1199">
      <c r="A1199" s="4" t="s">
        <v>1518</v>
      </c>
      <c r="B1199" s="4" t="s">
        <v>1519</v>
      </c>
      <c r="C1199" s="5" t="str">
        <f>IFERROR(__xludf.DUMMYFUNCTION("GOOGLETRANSLATE(B1199,""en"",""de"")"),"Ein Maler wendet Gips mit einem breiten Flachkantenwerkzeug auf eine Wand auf.")</f>
        <v>Ein Maler wendet Gips mit einem breiten Flachkantenwerkzeug auf eine Wand auf.</v>
      </c>
    </row>
    <row r="1200">
      <c r="A1200" s="4" t="s">
        <v>1518</v>
      </c>
      <c r="B1200" s="4" t="s">
        <v>1520</v>
      </c>
      <c r="C1200" s="5" t="str">
        <f>IFERROR(__xludf.DUMMYFUNCTION("GOOGLETRANSLATE(B1200,""en"",""de"")"),"Der Mann bewegt Elektrodraht über die Weile, um um ihn herum zu putzen.")</f>
        <v>Der Mann bewegt Elektrodraht über die Weile, um um ihn herum zu putzen.</v>
      </c>
    </row>
    <row r="1201">
      <c r="A1201" s="4" t="s">
        <v>1518</v>
      </c>
      <c r="B1201" s="4" t="s">
        <v>1521</v>
      </c>
      <c r="C1201" s="5" t="str">
        <f>IFERROR(__xludf.DUMMYFUNCTION("GOOGLETRANSLATE(B1201,""en"",""de"")"),"Andere Räume des Hauses sind in verschiedenen Phasen der Vollständigkeit zu sehen.")</f>
        <v>Andere Räume des Hauses sind in verschiedenen Phasen der Vollständigkeit zu sehen.</v>
      </c>
    </row>
    <row r="1202">
      <c r="A1202" s="4" t="s">
        <v>1522</v>
      </c>
      <c r="B1202" s="4" t="s">
        <v>1523</v>
      </c>
      <c r="C1202" s="5" t="str">
        <f>IFERROR(__xludf.DUMMYFUNCTION("GOOGLETRANSLATE(B1202,""en"",""de"")"),"Ein Mann überspringt auf einen mit weißen Linien signierten Lastwagen, als er in die dritte Linie kommt, springt hoch und landet in der Sandkiste.")</f>
        <v>Ein Mann überspringt auf einen mit weißen Linien signierten Lastwagen, als er in die dritte Linie kommt, springt hoch und landet in der Sandkiste.</v>
      </c>
    </row>
    <row r="1203">
      <c r="A1203" s="4" t="s">
        <v>1522</v>
      </c>
      <c r="B1203" s="4" t="s">
        <v>1524</v>
      </c>
      <c r="C1203" s="5" t="str">
        <f>IFERROR(__xludf.DUMMYFUNCTION("GOOGLETRANSLATE(B1203,""en"",""de"")"),"Die Wiedergabe eines Mannes, der Weitsprung auftritt, wird mehrmals gezeigt.")</f>
        <v>Die Wiedergabe eines Mannes, der Weitsprung auftritt, wird mehrmals gezeigt.</v>
      </c>
    </row>
    <row r="1204">
      <c r="A1204" s="4" t="s">
        <v>1525</v>
      </c>
      <c r="B1204" s="4" t="s">
        <v>1526</v>
      </c>
      <c r="C1204" s="5" t="str">
        <f>IFERROR(__xludf.DUMMYFUNCTION("GOOGLETRANSLATE(B1204,""en"",""de"")"),"Ein Cheerleadermädchen steht im Gras.")</f>
        <v>Ein Cheerleadermädchen steht im Gras.</v>
      </c>
    </row>
    <row r="1205">
      <c r="A1205" s="4" t="s">
        <v>1525</v>
      </c>
      <c r="B1205" s="4" t="s">
        <v>1527</v>
      </c>
      <c r="C1205" s="5" t="str">
        <f>IFERROR(__xludf.DUMMYFUNCTION("GOOGLETRANSLATE(B1205,""en"",""de"")"),"Ein junger Mann, der Baseballhut trägt, zeigt sie mit einer Kuchenform und scherzt mit ihr.")</f>
        <v>Ein junger Mann, der Baseballhut trägt, zeigt sie mit einer Kuchenform und scherzt mit ihr.</v>
      </c>
    </row>
    <row r="1206">
      <c r="A1206" s="4" t="s">
        <v>1525</v>
      </c>
      <c r="B1206" s="4" t="s">
        <v>1528</v>
      </c>
      <c r="C1206" s="5" t="str">
        <f>IFERROR(__xludf.DUMMYFUNCTION("GOOGLETRANSLATE(B1206,""en"",""de"")"),"Der Mann schiebt eine Kuchenform ins Mädchen Gesicht als Witz, das sie sehr unordentlich macht.")</f>
        <v>Der Mann schiebt eine Kuchenform ins Mädchen Gesicht als Witz, das sie sehr unordentlich macht.</v>
      </c>
    </row>
    <row r="1207">
      <c r="A1207" s="4" t="s">
        <v>1525</v>
      </c>
      <c r="B1207" s="4" t="s">
        <v>1529</v>
      </c>
      <c r="C1207" s="5" t="str">
        <f>IFERROR(__xludf.DUMMYFUNCTION("GOOGLETRANSLATE(B1207,""en"",""de"")"),"Ein Mädchen im Gymnastikunterricht stürzt eine rote Matte mit dem Team, das aufschaut.")</f>
        <v>Ein Mädchen im Gymnastikunterricht stürzt eine rote Matte mit dem Team, das aufschaut.</v>
      </c>
    </row>
    <row r="1208">
      <c r="A1208" s="4" t="s">
        <v>1525</v>
      </c>
      <c r="B1208" s="4" t="s">
        <v>1530</v>
      </c>
      <c r="C1208" s="5" t="str">
        <f>IFERROR(__xludf.DUMMYFUNCTION("GOOGLETRANSLATE(B1208,""en"",""de"")"),"Eine Cheerleaderin der Frau fällt während eines Fußballspiels mit einem Maskottchen.")</f>
        <v>Eine Cheerleaderin der Frau fällt während eines Fußballspiels mit einem Maskottchen.</v>
      </c>
    </row>
    <row r="1209">
      <c r="A1209" s="4" t="s">
        <v>1525</v>
      </c>
      <c r="B1209" s="4" t="s">
        <v>1531</v>
      </c>
      <c r="C1209" s="5" t="str">
        <f>IFERROR(__xludf.DUMMYFUNCTION("GOOGLETRANSLATE(B1209,""en"",""de"")"),"Das Maskottchen verschlingt das Mädchen und zieht sie in seine Uniform.")</f>
        <v>Das Maskottchen verschlingt das Mädchen und zieht sie in seine Uniform.</v>
      </c>
    </row>
    <row r="1210">
      <c r="A1210" s="4" t="s">
        <v>1525</v>
      </c>
      <c r="B1210" s="4" t="s">
        <v>1532</v>
      </c>
      <c r="C1210" s="5" t="str">
        <f>IFERROR(__xludf.DUMMYFUNCTION("GOOGLETRANSLATE(B1210,""en"",""de"")"),"Eine jubelführende Gruppe kommt in einem Kreis zusammen, in dem man die Hände hält und Teammitglieder umdreht, wenn man zu Boden fällt.")</f>
        <v>Eine jubelführende Gruppe kommt in einem Kreis zusammen, in dem man die Hände hält und Teammitglieder umdreht, wenn man zu Boden fällt.</v>
      </c>
    </row>
    <row r="1211">
      <c r="A1211" s="4" t="s">
        <v>1525</v>
      </c>
      <c r="B1211" s="4" t="s">
        <v>1533</v>
      </c>
      <c r="C1211" s="5" t="str">
        <f>IFERROR(__xludf.DUMMYFUNCTION("GOOGLETRANSLATE(B1211,""en"",""de"")"),"Eine Gruppe von Cheerleadern in Black to Back spielt auf einer Spur des Fußballfeldes.")</f>
        <v>Eine Gruppe von Cheerleadern in Black to Back spielt auf einer Spur des Fußballfeldes.</v>
      </c>
    </row>
    <row r="1212">
      <c r="A1212" s="4" t="s">
        <v>1525</v>
      </c>
      <c r="B1212" s="4" t="s">
        <v>1534</v>
      </c>
      <c r="C1212" s="5" t="str">
        <f>IFERROR(__xludf.DUMMYFUNCTION("GOOGLETRANSLATE(B1212,""en"",""de"")"),"Eine Gruppe von Mädchen hebt sich auf [ein Teamkollege, um eine menschliche Pyramide zu machen.")</f>
        <v>Eine Gruppe von Mädchen hebt sich auf [ein Teamkollege, um eine menschliche Pyramide zu machen.</v>
      </c>
    </row>
    <row r="1213">
      <c r="A1213" s="4" t="s">
        <v>1525</v>
      </c>
      <c r="B1213" s="4" t="s">
        <v>1535</v>
      </c>
      <c r="C1213" s="5" t="str">
        <f>IFERROR(__xludf.DUMMYFUNCTION("GOOGLETRANSLATE(B1213,""en"",""de"")"),"Der Teamkollegen fällt zu Boden und landet auf anderen.")</f>
        <v>Der Teamkollegen fällt zu Boden und landet auf anderen.</v>
      </c>
    </row>
    <row r="1214">
      <c r="A1214" s="4" t="s">
        <v>1525</v>
      </c>
      <c r="B1214" s="4" t="s">
        <v>1536</v>
      </c>
      <c r="C1214" s="5" t="str">
        <f>IFERROR(__xludf.DUMMYFUNCTION("GOOGLETRANSLATE(B1214,""en"",""de"")"),"Ein Mann im hawaiianischen Hemd stellt während eines Basketballwettbewerbs ein Trampolin auf.")</f>
        <v>Ein Mann im hawaiianischen Hemd stellt während eines Basketballwettbewerbs ein Trampolin auf.</v>
      </c>
    </row>
    <row r="1215">
      <c r="A1215" s="4" t="s">
        <v>1525</v>
      </c>
      <c r="B1215" s="4" t="s">
        <v>1537</v>
      </c>
      <c r="C1215" s="5" t="str">
        <f>IFERROR(__xludf.DUMMYFUNCTION("GOOGLETRANSLATE(B1215,""en"",""de"")"),"Eine Gruppe von Cheerleadern hält eine Frau vor dem Trampolin zusammen.")</f>
        <v>Eine Gruppe von Cheerleadern hält eine Frau vor dem Trampolin zusammen.</v>
      </c>
    </row>
    <row r="1216">
      <c r="A1216" s="4" t="s">
        <v>1525</v>
      </c>
      <c r="B1216" s="4" t="s">
        <v>1538</v>
      </c>
      <c r="C1216" s="5" t="str">
        <f>IFERROR(__xludf.DUMMYFUNCTION("GOOGLETRANSLATE(B1216,""en"",""de"")"),"Der Mann rennt zurück und springt auf das Trampolin, schlägt das Mädchen um, während er seinen Stunt ausführt.")</f>
        <v>Der Mann rennt zurück und springt auf das Trampolin, schlägt das Mädchen um, während er seinen Stunt ausführt.</v>
      </c>
    </row>
    <row r="1217">
      <c r="A1217" s="4" t="s">
        <v>1525</v>
      </c>
      <c r="B1217" s="4" t="s">
        <v>1539</v>
      </c>
      <c r="C1217" s="5" t="str">
        <f>IFERROR(__xludf.DUMMYFUNCTION("GOOGLETRANSLATE(B1217,""en"",""de"")"),"Eine Gruppe von Cheerleadern in Red macht auf dem Feld, wenn man herunterfällt.")</f>
        <v>Eine Gruppe von Cheerleadern in Red macht auf dem Feld, wenn man herunterfällt.</v>
      </c>
    </row>
    <row r="1218">
      <c r="A1218" s="4" t="s">
        <v>1525</v>
      </c>
      <c r="B1218" s="4" t="s">
        <v>1540</v>
      </c>
      <c r="C1218" s="5" t="str">
        <f>IFERROR(__xludf.DUMMYFUNCTION("GOOGLETRANSLATE(B1218,""en"",""de"")"),"Ein Cheerleadermädchen in Schwarz federzen Frühling und fällt zu Boden.")</f>
        <v>Ein Cheerleadermädchen in Schwarz federzen Frühling und fällt zu Boden.</v>
      </c>
    </row>
    <row r="1219">
      <c r="A1219" s="4" t="s">
        <v>1525</v>
      </c>
      <c r="B1219" s="4" t="s">
        <v>1541</v>
      </c>
      <c r="C1219" s="5" t="str">
        <f>IFERROR(__xludf.DUMMYFUNCTION("GOOGLETRANSLATE(B1219,""en"",""de"")"),"Eine Gruppe von Cheerleadern tanzt zusammen mit Pom Poms.")</f>
        <v>Eine Gruppe von Cheerleadern tanzt zusammen mit Pom Poms.</v>
      </c>
    </row>
    <row r="1220">
      <c r="A1220" s="4" t="s">
        <v>1525</v>
      </c>
      <c r="B1220" s="4" t="s">
        <v>1542</v>
      </c>
      <c r="C1220" s="5" t="str">
        <f>IFERROR(__xludf.DUMMYFUNCTION("GOOGLETRANSLATE(B1220,""en"",""de"")"),"Eine andere Gruppe von Cheerleadern im Hintergrund hebt Teamkollegen auf, wenn man umfällt.")</f>
        <v>Eine andere Gruppe von Cheerleadern im Hintergrund hebt Teamkollegen auf, wenn man umfällt.</v>
      </c>
    </row>
    <row r="1221">
      <c r="A1221" s="4" t="s">
        <v>1525</v>
      </c>
      <c r="B1221" s="4" t="s">
        <v>1543</v>
      </c>
      <c r="C1221" s="5" t="str">
        <f>IFERROR(__xludf.DUMMYFUNCTION("GOOGLETRANSLATE(B1221,""en"",""de"")"),"Eine Gruppe von Cheerleadern in Blue heben Teamkollegen im Wettbewerb, wenn man zu Boden fällt.")</f>
        <v>Eine Gruppe von Cheerleadern in Blue heben Teamkollegen im Wettbewerb, wenn man zu Boden fällt.</v>
      </c>
    </row>
    <row r="1222">
      <c r="A1222" s="4" t="s">
        <v>1525</v>
      </c>
      <c r="B1222" s="4" t="s">
        <v>1544</v>
      </c>
      <c r="C1222" s="5" t="str">
        <f>IFERROR(__xludf.DUMMYFUNCTION("GOOGLETRANSLATE(B1222,""en"",""de"")"),"Ein Mädchen im weißen Hemd spricht mit der Kamera.")</f>
        <v>Ein Mädchen im weißen Hemd spricht mit der Kamera.</v>
      </c>
    </row>
    <row r="1223">
      <c r="A1223" s="4" t="s">
        <v>1525</v>
      </c>
      <c r="B1223" s="4" t="s">
        <v>1545</v>
      </c>
      <c r="C1223" s="5" t="str">
        <f>IFERROR(__xludf.DUMMYFUNCTION("GOOGLETRANSLATE(B1223,""en"",""de"")"),"Das Mädchen macht einen Sommer, fällt aber zu Boden.")</f>
        <v>Das Mädchen macht einen Sommer, fällt aber zu Boden.</v>
      </c>
    </row>
    <row r="1224">
      <c r="A1224" s="4" t="s">
        <v>1525</v>
      </c>
      <c r="B1224" s="4" t="s">
        <v>1546</v>
      </c>
      <c r="C1224" s="5" t="str">
        <f>IFERROR(__xludf.DUMMYFUNCTION("GOOGLETRANSLATE(B1224,""en"",""de"")"),"Ein Mädchen in grünem Hemd mit Freunden macht einen hohen Kick auf ein Feld, fällt aber zu Boden.")</f>
        <v>Ein Mädchen in grünem Hemd mit Freunden macht einen hohen Kick auf ein Feld, fällt aber zu Boden.</v>
      </c>
    </row>
    <row r="1225">
      <c r="A1225" s="4" t="s">
        <v>1525</v>
      </c>
      <c r="B1225" s="4" t="s">
        <v>1547</v>
      </c>
      <c r="C1225" s="5" t="str">
        <f>IFERROR(__xludf.DUMMYFUNCTION("GOOGLETRANSLATE(B1225,""en"",""de"")"),"Ein Cheerleader fällt beim Tanzen mit Gruppe zu Boden.")</f>
        <v>Ein Cheerleader fällt beim Tanzen mit Gruppe zu Boden.</v>
      </c>
    </row>
    <row r="1226">
      <c r="A1226" s="4" t="s">
        <v>1525</v>
      </c>
      <c r="B1226" s="4" t="s">
        <v>1548</v>
      </c>
      <c r="C1226" s="5" t="str">
        <f>IFERROR(__xludf.DUMMYFUNCTION("GOOGLETRANSLATE(B1226,""en"",""de"")"),"Eine Cheerleaderin wird in die Hände des Teams gehoben, wenn sie zu Boden fällt.")</f>
        <v>Eine Cheerleaderin wird in die Hände des Teams gehoben, wenn sie zu Boden fällt.</v>
      </c>
    </row>
    <row r="1227">
      <c r="A1227" s="4" t="s">
        <v>1525</v>
      </c>
      <c r="B1227" s="4" t="s">
        <v>1549</v>
      </c>
      <c r="C1227" s="5" t="str">
        <f>IFERROR(__xludf.DUMMYFUNCTION("GOOGLETRANSLATE(B1227,""en"",""de"")"),"Eine Gruppe von Cheerleadern im gelben Aufzug Temmate in einer Pyramide, lässt sie aber fallen.")</f>
        <v>Eine Gruppe von Cheerleadern im gelben Aufzug Temmate in einer Pyramide, lässt sie aber fallen.</v>
      </c>
    </row>
    <row r="1228">
      <c r="A1228" s="4" t="s">
        <v>1525</v>
      </c>
      <c r="B1228" s="4" t="s">
        <v>1550</v>
      </c>
      <c r="C1228" s="5" t="str">
        <f>IFERROR(__xludf.DUMMYFUNCTION("GOOGLETRANSLATE(B1228,""en"",""de"")"),"Eine Gruppe von Frauen springt während des Basketballwettbewerbs aus einem Trampolin und slam Dunks.")</f>
        <v>Eine Gruppe von Frauen springt während des Basketballwettbewerbs aus einem Trampolin und slam Dunks.</v>
      </c>
    </row>
    <row r="1229">
      <c r="A1229" s="4" t="s">
        <v>1525</v>
      </c>
      <c r="B1229" s="4" t="s">
        <v>1551</v>
      </c>
      <c r="C1229" s="5" t="str">
        <f>IFERROR(__xludf.DUMMYFUNCTION("GOOGLETRANSLATE(B1229,""en"",""de"")"),"Ein Mädchen vermisst das Trampolin und rennt in die Matte.")</f>
        <v>Ein Mädchen vermisst das Trampolin und rennt in die Matte.</v>
      </c>
    </row>
    <row r="1230">
      <c r="A1230" s="4" t="s">
        <v>1525</v>
      </c>
      <c r="B1230" s="4" t="s">
        <v>1552</v>
      </c>
      <c r="C1230" s="5" t="str">
        <f>IFERROR(__xludf.DUMMYFUNCTION("GOOGLETRANSLATE(B1230,""en"",""de"")"),"Männer aus dem Basketballteam eilen hinüber, um nach ihr zu sehen.")</f>
        <v>Männer aus dem Basketballteam eilen hinüber, um nach ihr zu sehen.</v>
      </c>
    </row>
    <row r="1231">
      <c r="A1231" s="4" t="s">
        <v>1553</v>
      </c>
      <c r="B1231" s="4" t="s">
        <v>1554</v>
      </c>
      <c r="C1231" s="5" t="str">
        <f>IFERROR(__xludf.DUMMYFUNCTION("GOOGLETRANSLATE(B1231,""en"",""de"")"),"Eine Gruppe von Männern in Masken ist um Ziele gesammelt.")</f>
        <v>Eine Gruppe von Männern in Masken ist um Ziele gesammelt.</v>
      </c>
    </row>
    <row r="1232">
      <c r="A1232" s="4" t="s">
        <v>1553</v>
      </c>
      <c r="B1232" s="4" t="s">
        <v>1555</v>
      </c>
      <c r="C1232" s="5" t="str">
        <f>IFERROR(__xludf.DUMMYFUNCTION("GOOGLETRANSLATE(B1232,""en"",""de"")"),"Sie halten Farbpistolen, während sie über das Feld rennen.")</f>
        <v>Sie halten Farbpistolen, während sie über das Feld rennen.</v>
      </c>
    </row>
    <row r="1233">
      <c r="A1233" s="4" t="s">
        <v>1553</v>
      </c>
      <c r="B1233" s="4" t="s">
        <v>1556</v>
      </c>
      <c r="C1233" s="5" t="str">
        <f>IFERROR(__xludf.DUMMYFUNCTION("GOOGLETRANSLATE(B1233,""en"",""de"")"),"Sie verstecken sich hinter Hindernissen und schießen aufeinander.")</f>
        <v>Sie verstecken sich hinter Hindernissen und schießen aufeinander.</v>
      </c>
    </row>
    <row r="1234">
      <c r="A1234" s="4" t="s">
        <v>1557</v>
      </c>
      <c r="B1234" s="4" t="s">
        <v>1558</v>
      </c>
      <c r="C1234" s="5" t="str">
        <f>IFERROR(__xludf.DUMMYFUNCTION("GOOGLETRANSLATE(B1234,""en"",""de"")"),"Ein Mann läuft die Straße entlang und spricht mit einem anderen.")</f>
        <v>Ein Mann läuft die Straße entlang und spricht mit einem anderen.</v>
      </c>
    </row>
    <row r="1235">
      <c r="A1235" s="4" t="s">
        <v>1557</v>
      </c>
      <c r="B1235" s="4" t="s">
        <v>1559</v>
      </c>
      <c r="C1235" s="5" t="str">
        <f>IFERROR(__xludf.DUMMYFUNCTION("GOOGLETRANSLATE(B1235,""en"",""de"")"),"Der Mann spielt dann nach jedem Spiel ein Spiel mit einem kleinen Mädchen und Bögen.")</f>
        <v>Der Mann spielt dann nach jedem Spiel ein Spiel mit einem kleinen Mädchen und Bögen.</v>
      </c>
    </row>
    <row r="1236">
      <c r="A1236" s="4" t="s">
        <v>1557</v>
      </c>
      <c r="B1236" s="4" t="s">
        <v>1560</v>
      </c>
      <c r="C1236" s="5" t="str">
        <f>IFERROR(__xludf.DUMMYFUNCTION("GOOGLETRANSLATE(B1236,""en"",""de"")"),"Die beiden spielen weiter mit dem Mann, der über die Kamera lacht und er am Ende einen Kuss gibt.")</f>
        <v>Die beiden spielen weiter mit dem Mann, der über die Kamera lacht und er am Ende einen Kuss gibt.</v>
      </c>
    </row>
    <row r="1237">
      <c r="A1237" s="4" t="s">
        <v>1561</v>
      </c>
      <c r="B1237" s="4" t="s">
        <v>1562</v>
      </c>
      <c r="C1237" s="5" t="str">
        <f>IFERROR(__xludf.DUMMYFUNCTION("GOOGLETRANSLATE(B1237,""en"",""de"")"),"Ein Mann nimmt einen Ball auf und legt ihn hinter seinen Hals und wirft ihn auf das Feld.")</f>
        <v>Ein Mann nimmt einen Ball auf und legt ihn hinter seinen Hals und wirft ihn auf das Feld.</v>
      </c>
    </row>
    <row r="1238">
      <c r="A1238" s="4" t="s">
        <v>1561</v>
      </c>
      <c r="B1238" s="4" t="s">
        <v>1563</v>
      </c>
      <c r="C1238" s="5" t="str">
        <f>IFERROR(__xludf.DUMMYFUNCTION("GOOGLETRANSLATE(B1238,""en"",""de"")"),"Ein anderer Mann in einem blauen Hemd nimmt einen Ball auf und legt ihn hinter sein Ohr und wirft ihn auf das Feld.")</f>
        <v>Ein anderer Mann in einem blauen Hemd nimmt einen Ball auf und legt ihn hinter sein Ohr und wirft ihn auf das Feld.</v>
      </c>
    </row>
    <row r="1239">
      <c r="A1239" s="4" t="s">
        <v>1561</v>
      </c>
      <c r="B1239" s="4" t="s">
        <v>1564</v>
      </c>
      <c r="C1239" s="5" t="str">
        <f>IFERROR(__xludf.DUMMYFUNCTION("GOOGLETRANSLATE(B1239,""en"",""de"")"),"Menschen messen die Entfernung auf dem Feld.")</f>
        <v>Menschen messen die Entfernung auf dem Feld.</v>
      </c>
    </row>
    <row r="1240">
      <c r="A1240" s="4" t="s">
        <v>1561</v>
      </c>
      <c r="B1240" s="4" t="s">
        <v>1565</v>
      </c>
      <c r="C1240" s="5" t="str">
        <f>IFERROR(__xludf.DUMMYFUNCTION("GOOGLETRANSLATE(B1240,""en"",""de"")"),"Der Mann zieht ein weißes T -Shirt an und legt seine Arme in die Luft.")</f>
        <v>Der Mann zieht ein weißes T -Shirt an und legt seine Arme in die Luft.</v>
      </c>
    </row>
    <row r="1241">
      <c r="A1241" s="4" t="s">
        <v>1561</v>
      </c>
      <c r="B1241" s="4" t="s">
        <v>1566</v>
      </c>
      <c r="C1241" s="5" t="str">
        <f>IFERROR(__xludf.DUMMYFUNCTION("GOOGLETRANSLATE(B1241,""en"",""de"")"),"Ein anderer Mann startet einen Ball auf das Feld.")</f>
        <v>Ein anderer Mann startet einen Ball auf das Feld.</v>
      </c>
    </row>
    <row r="1242">
      <c r="A1242" s="4" t="s">
        <v>1567</v>
      </c>
      <c r="B1242" s="4" t="s">
        <v>1568</v>
      </c>
      <c r="C1242" s="5" t="str">
        <f>IFERROR(__xludf.DUMMYFUNCTION("GOOGLETRANSLATE(B1242,""en"",""de"")"),"Eine Frau hält den hinteren Teil eines Mädchenhaares, während sie sich bereit macht, ihn zu stylen.")</f>
        <v>Eine Frau hält den hinteren Teil eines Mädchenhaares, während sie sich bereit macht, ihn zu stylen.</v>
      </c>
    </row>
    <row r="1243">
      <c r="A1243" s="4" t="s">
        <v>1567</v>
      </c>
      <c r="B1243" s="4" t="s">
        <v>1569</v>
      </c>
      <c r="C1243" s="5" t="str">
        <f>IFERROR(__xludf.DUMMYFUNCTION("GOOGLETRANSLATE(B1243,""en"",""de"")"),"Die Frau verwendet einen einzelnen Kamm, um Haarsträhnen zu trennen.")</f>
        <v>Die Frau verwendet einen einzelnen Kamm, um Haarsträhnen zu trennen.</v>
      </c>
    </row>
    <row r="1244">
      <c r="A1244" s="4" t="s">
        <v>1567</v>
      </c>
      <c r="B1244" s="4" t="s">
        <v>1570</v>
      </c>
      <c r="C1244" s="5" t="str">
        <f>IFERROR(__xludf.DUMMYFUNCTION("GOOGLETRANSLATE(B1244,""en"",""de"")"),"Die Frau streckt die Haarabschnitte zurück.")</f>
        <v>Die Frau streckt die Haarabschnitte zurück.</v>
      </c>
    </row>
    <row r="1245">
      <c r="A1245" s="4" t="s">
        <v>1567</v>
      </c>
      <c r="B1245" s="4" t="s">
        <v>1571</v>
      </c>
      <c r="C1245" s="5" t="str">
        <f>IFERROR(__xludf.DUMMYFUNCTION("GOOGLETRANSLATE(B1245,""en"",""de"")"),"Die Frau zieht sich an den Haarsträhnen, um sie auszurichten.")</f>
        <v>Die Frau zieht sich an den Haarsträhnen, um sie auszurichten.</v>
      </c>
    </row>
    <row r="1246">
      <c r="A1246" s="4" t="s">
        <v>1567</v>
      </c>
      <c r="B1246" s="4" t="s">
        <v>1572</v>
      </c>
      <c r="C1246" s="5" t="str">
        <f>IFERROR(__xludf.DUMMYFUNCTION("GOOGLETRANSLATE(B1246,""en"",""de"")"),"Die Frau flechtet ihnen die Haarsträhnen zusammen.")</f>
        <v>Die Frau flechtet ihnen die Haarsträhnen zusammen.</v>
      </c>
    </row>
    <row r="1247">
      <c r="A1247" s="4" t="s">
        <v>1573</v>
      </c>
      <c r="B1247" s="4" t="s">
        <v>1574</v>
      </c>
      <c r="C1247" s="5" t="str">
        <f>IFERROR(__xludf.DUMMYFUNCTION("GOOGLETRANSLATE(B1247,""en"",""de"")"),"Ein Bild wird von einem Mann gezeigt, der mit Trophäen posiert und seinen Bizeps beugt.")</f>
        <v>Ein Bild wird von einem Mann gezeigt, der mit Trophäen posiert und seinen Bizeps beugt.</v>
      </c>
    </row>
    <row r="1248">
      <c r="A1248" s="4" t="s">
        <v>1573</v>
      </c>
      <c r="B1248" s="4" t="s">
        <v>1575</v>
      </c>
      <c r="C1248" s="5" t="str">
        <f>IFERROR(__xludf.DUMMYFUNCTION("GOOGLETRANSLATE(B1248,""en"",""de"")"),"Die Bilder schneiden zu Videos, während er mehrere Armringen und Trophäen gewinnt.")</f>
        <v>Die Bilder schneiden zu Videos, während er mehrere Armringen und Trophäen gewinnt.</v>
      </c>
    </row>
    <row r="1249">
      <c r="A1249" s="4" t="s">
        <v>1573</v>
      </c>
      <c r="B1249" s="4" t="s">
        <v>1576</v>
      </c>
      <c r="C1249" s="5" t="str">
        <f>IFERROR(__xludf.DUMMYFUNCTION("GOOGLETRANSLATE(B1249,""en"",""de"")"),"In den letzten Szenen spricht ein riesiges Publikum, während sie ihn wieder gewinnen sehen.")</f>
        <v>In den letzten Szenen spricht ein riesiges Publikum, während sie ihn wieder gewinnen sehen.</v>
      </c>
    </row>
    <row r="1250">
      <c r="A1250" s="4" t="s">
        <v>1577</v>
      </c>
      <c r="B1250" s="4" t="s">
        <v>1578</v>
      </c>
      <c r="C1250" s="5" t="str">
        <f>IFERROR(__xludf.DUMMYFUNCTION("GOOGLETRANSLATE(B1250,""en"",""de"")"),"Der Mensch steht in einer Eisbahn, die Hockey übt.")</f>
        <v>Der Mensch steht in einer Eisbahn, die Hockey übt.</v>
      </c>
    </row>
    <row r="1251">
      <c r="A1251" s="4" t="s">
        <v>1577</v>
      </c>
      <c r="B1251" s="4" t="s">
        <v>1579</v>
      </c>
      <c r="C1251" s="5" t="str">
        <f>IFERROR(__xludf.DUMMYFUNCTION("GOOGLETRANSLATE(B1251,""en"",""de"")"),"Der Mensch setzt Hockeyuniform.")</f>
        <v>Der Mensch setzt Hockeyuniform.</v>
      </c>
    </row>
    <row r="1252">
      <c r="A1252" s="4" t="s">
        <v>1580</v>
      </c>
      <c r="B1252" s="4" t="s">
        <v>1581</v>
      </c>
      <c r="C1252" s="5" t="str">
        <f>IFERROR(__xludf.DUMMYFUNCTION("GOOGLETRANSLATE(B1252,""en"",""de"")"),"Auf der Straße versammeln sich mehrere Menschen, auf denen Live -Musik spielt.")</f>
        <v>Auf der Straße versammeln sich mehrere Menschen, auf denen Live -Musik spielt.</v>
      </c>
    </row>
    <row r="1253">
      <c r="A1253" s="4" t="s">
        <v>1580</v>
      </c>
      <c r="B1253" s="4" t="s">
        <v>1582</v>
      </c>
      <c r="C1253" s="5" t="str">
        <f>IFERROR(__xludf.DUMMYFUNCTION("GOOGLETRANSLATE(B1253,""en"",""de"")"),"Es gibt Paare zusammen mit der Musik, die den Salsa -Tanzstil mit dem Salsa -Stil tanzen.")</f>
        <v>Es gibt Paare zusammen mit der Musik, die den Salsa -Tanzstil mit dem Salsa -Stil tanzen.</v>
      </c>
    </row>
    <row r="1254">
      <c r="A1254" s="4" t="s">
        <v>1580</v>
      </c>
      <c r="B1254" s="4" t="s">
        <v>1583</v>
      </c>
      <c r="C1254" s="5" t="str">
        <f>IFERROR(__xludf.DUMMYFUNCTION("GOOGLETRANSLATE(B1254,""en"",""de"")"),"Auf diesem Stadtplatz gibt es viele Restaurants und Geschäfte, in denen Menschen versammelt sind, um die Paare zu tanzen.")</f>
        <v>Auf diesem Stadtplatz gibt es viele Restaurants und Geschäfte, in denen Menschen versammelt sind, um die Paare zu tanzen.</v>
      </c>
    </row>
    <row r="1255">
      <c r="A1255" s="4" t="s">
        <v>1580</v>
      </c>
      <c r="B1255" s="4" t="s">
        <v>1584</v>
      </c>
      <c r="C1255" s="5" t="str">
        <f>IFERROR(__xludf.DUMMYFUNCTION("GOOGLETRANSLATE(B1255,""en"",""de"")"),"Einige der Zuschauer sind Videos, die die Tänzer aufnehmen.")</f>
        <v>Einige der Zuschauer sind Videos, die die Tänzer aufnehmen.</v>
      </c>
    </row>
    <row r="1256">
      <c r="A1256" s="4" t="s">
        <v>1580</v>
      </c>
      <c r="B1256" s="4" t="s">
        <v>1585</v>
      </c>
      <c r="C1256" s="5" t="str">
        <f>IFERROR(__xludf.DUMMYFUNCTION("GOOGLETRANSLATE(B1256,""en"",""de"")"),"Die Paare tanzen weiter, bis die Musik endet.")</f>
        <v>Die Paare tanzen weiter, bis die Musik endet.</v>
      </c>
    </row>
    <row r="1257">
      <c r="A1257" s="4" t="s">
        <v>1580</v>
      </c>
      <c r="B1257" s="4" t="s">
        <v>1586</v>
      </c>
      <c r="C1257" s="5" t="str">
        <f>IFERROR(__xludf.DUMMYFUNCTION("GOOGLETRANSLATE(B1257,""en"",""de"")"),"Ein Mann küsst seine Freundin nach dem Tanz auf die Wange.")</f>
        <v>Ein Mann küsst seine Freundin nach dem Tanz auf die Wange.</v>
      </c>
    </row>
    <row r="1258">
      <c r="A1258" s="4" t="s">
        <v>1587</v>
      </c>
      <c r="B1258" s="4" t="s">
        <v>1588</v>
      </c>
      <c r="C1258" s="5" t="str">
        <f>IFERROR(__xludf.DUMMYFUNCTION("GOOGLETRANSLATE(B1258,""en"",""de"")"),"Ein Mann hält einen Stock hoch und führt in Clips of Men -Spielfeldhockey.")</f>
        <v>Ein Mann hält einen Stock hoch und führt in Clips of Men -Spielfeldhockey.</v>
      </c>
    </row>
    <row r="1259">
      <c r="A1259" s="4" t="s">
        <v>1587</v>
      </c>
      <c r="B1259" s="4" t="s">
        <v>1589</v>
      </c>
      <c r="C1259" s="5" t="str">
        <f>IFERROR(__xludf.DUMMYFUNCTION("GOOGLETRANSLATE(B1259,""en"",""de"")"),"Männer werden gesehen, wie sie auf ein Feld rennen und nach einem Ball nachjagen und ein Tor erzielen.")</f>
        <v>Männer werden gesehen, wie sie auf ein Feld rennen und nach einem Ball nachjagen und ein Tor erzielen.</v>
      </c>
    </row>
    <row r="1260">
      <c r="A1260" s="4" t="s">
        <v>1587</v>
      </c>
      <c r="B1260" s="4" t="s">
        <v>1590</v>
      </c>
      <c r="C1260" s="5" t="str">
        <f>IFERROR(__xludf.DUMMYFUNCTION("GOOGLETRANSLATE(B1260,""en"",""de"")"),"Es werden mehrere Clips gezeigt, von denen Leute dieses Spiel spielen und mit Teamkollegen feiern.")</f>
        <v>Es werden mehrere Clips gezeigt, von denen Leute dieses Spiel spielen und mit Teamkollegen feiern.</v>
      </c>
    </row>
    <row r="1261">
      <c r="A1261" s="4" t="s">
        <v>1591</v>
      </c>
      <c r="B1261" s="4" t="s">
        <v>1592</v>
      </c>
      <c r="C1261" s="5" t="str">
        <f>IFERROR(__xludf.DUMMYFUNCTION("GOOGLETRANSLATE(B1261,""en"",""de"")"),"Ein Intro führt in eine Kamera nach einem Lacrosse -Match und inne, um Spielerbewegungen zu zeigen.")</f>
        <v>Ein Intro führt in eine Kamera nach einem Lacrosse -Match und inne, um Spielerbewegungen zu zeigen.</v>
      </c>
    </row>
    <row r="1262">
      <c r="A1262" s="4" t="s">
        <v>1591</v>
      </c>
      <c r="B1262" s="4" t="s">
        <v>1593</v>
      </c>
      <c r="C1262" s="5" t="str">
        <f>IFERROR(__xludf.DUMMYFUNCTION("GOOGLETRANSLATE(B1262,""en"",""de"")"),"Das Spiel geht weiter, während die Leute spielen und herumlaufen und einen Ball jagen.")</f>
        <v>Das Spiel geht weiter, während die Leute spielen und herumlaufen und einen Ball jagen.</v>
      </c>
    </row>
    <row r="1263">
      <c r="A1263" s="4" t="s">
        <v>1594</v>
      </c>
      <c r="B1263" s="4" t="s">
        <v>1595</v>
      </c>
      <c r="C1263" s="5" t="str">
        <f>IFERROR(__xludf.DUMMYFUNCTION("GOOGLETRANSLATE(B1263,""en"",""de"")"),"Der Mann im Streifenhemd rannte zum schmalen Weg und hüpfte und sprang auf den sandigen Boden.")</f>
        <v>Der Mann im Streifenhemd rannte zum schmalen Weg und hüpfte und sprang auf den sandigen Boden.</v>
      </c>
    </row>
    <row r="1264">
      <c r="A1264" s="4" t="s">
        <v>1594</v>
      </c>
      <c r="B1264" s="4" t="s">
        <v>1596</v>
      </c>
      <c r="C1264" s="5" t="str">
        <f>IFERROR(__xludf.DUMMYFUNCTION("GOOGLETRANSLATE(B1264,""en"",""de"")"),"Die Männer werden einzeln auf dem sandigen Boden gesprungen, während ein Mann und eine Frau einen Rechen halten und den Boden glätten.")</f>
        <v>Die Männer werden einzeln auf dem sandigen Boden gesprungen, während ein Mann und eine Frau einen Rechen halten und den Boden glätten.</v>
      </c>
    </row>
    <row r="1265">
      <c r="A1265" s="4" t="s">
        <v>1594</v>
      </c>
      <c r="B1265" s="4" t="s">
        <v>1597</v>
      </c>
      <c r="C1265" s="5" t="str">
        <f>IFERROR(__xludf.DUMMYFUNCTION("GOOGLETRANSLATE(B1265,""en"",""de"")"),"Zwei Personen halten ein Maßband und messen den Sprung.")</f>
        <v>Zwei Personen halten ein Maßband und messen den Sprung.</v>
      </c>
    </row>
    <row r="1266">
      <c r="A1266" s="4" t="s">
        <v>1598</v>
      </c>
      <c r="B1266" s="4" t="s">
        <v>1599</v>
      </c>
      <c r="C1266" s="5" t="str">
        <f>IFERROR(__xludf.DUMMYFUNCTION("GOOGLETRANSLATE(B1266,""en"",""de"")"),"Wörter werden auf dem Bildschirm angezeigt.")</f>
        <v>Wörter werden auf dem Bildschirm angezeigt.</v>
      </c>
    </row>
    <row r="1267">
      <c r="A1267" s="4" t="s">
        <v>1598</v>
      </c>
      <c r="B1267" s="4" t="s">
        <v>1600</v>
      </c>
      <c r="C1267" s="5" t="str">
        <f>IFERROR(__xludf.DUMMYFUNCTION("GOOGLETRANSLATE(B1267,""en"",""de"")"),"Ein Mann redet, während er draußen vor einem Hügel steht.")</f>
        <v>Ein Mann redet, während er draußen vor einem Hügel steht.</v>
      </c>
    </row>
    <row r="1268">
      <c r="A1268" s="4" t="s">
        <v>1598</v>
      </c>
      <c r="B1268" s="4" t="s">
        <v>1601</v>
      </c>
      <c r="C1268" s="5" t="str">
        <f>IFERROR(__xludf.DUMMYFUNCTION("GOOGLETRANSLATE(B1268,""en"",""de"")"),"Der Mann hält eine Schaufel vor einem kleinen Baum.")</f>
        <v>Der Mann hält eine Schaufel vor einem kleinen Baum.</v>
      </c>
    </row>
    <row r="1269">
      <c r="A1269" s="4" t="s">
        <v>1598</v>
      </c>
      <c r="B1269" s="4" t="s">
        <v>1602</v>
      </c>
      <c r="C1269" s="5" t="str">
        <f>IFERROR(__xludf.DUMMYFUNCTION("GOOGLETRANSLATE(B1269,""en"",""de"")"),"Der Mann redet weiter und schaufelt dann ein paar Unkraut und Schmutz um den Baum.")</f>
        <v>Der Mann redet weiter und schaufelt dann ein paar Unkraut und Schmutz um den Baum.</v>
      </c>
    </row>
    <row r="1270">
      <c r="A1270" s="4" t="s">
        <v>1598</v>
      </c>
      <c r="B1270" s="4" t="s">
        <v>1603</v>
      </c>
      <c r="C1270" s="5" t="str">
        <f>IFERROR(__xludf.DUMMYFUNCTION("GOOGLETRANSLATE(B1270,""en"",""de"")"),"Er nimmt Steine ​​aus dem Baum auf.")</f>
        <v>Er nimmt Steine ​​aus dem Baum auf.</v>
      </c>
    </row>
    <row r="1271">
      <c r="A1271" s="4" t="s">
        <v>1598</v>
      </c>
      <c r="B1271" s="4" t="s">
        <v>1604</v>
      </c>
      <c r="C1271" s="5" t="str">
        <f>IFERROR(__xludf.DUMMYFUNCTION("GOOGLETRANSLATE(B1271,""en"",""de"")"),"Vor ihm befindet sich ein weißer Eimer, den er um den Baum legt.")</f>
        <v>Vor ihm befindet sich ein weißer Eimer, den er um den Baum legt.</v>
      </c>
    </row>
    <row r="1272">
      <c r="A1272" s="4" t="s">
        <v>1605</v>
      </c>
      <c r="B1272" s="4" t="s">
        <v>1606</v>
      </c>
      <c r="C1272" s="5" t="str">
        <f>IFERROR(__xludf.DUMMYFUNCTION("GOOGLETRANSLATE(B1272,""en"",""de"")"),"Zwei Mädchen sitzen auf der Veranda eines Hauses und rasieren ihre Beine.")</f>
        <v>Zwei Mädchen sitzen auf der Veranda eines Hauses und rasieren ihre Beine.</v>
      </c>
    </row>
    <row r="1273">
      <c r="A1273" s="4" t="s">
        <v>1605</v>
      </c>
      <c r="B1273" s="4" t="s">
        <v>1607</v>
      </c>
      <c r="C1273" s="5" t="str">
        <f>IFERROR(__xludf.DUMMYFUNCTION("GOOGLETRANSLATE(B1273,""en"",""de"")"),"Ein Junge geht raus und schaut, bevor er weggeht.")</f>
        <v>Ein Junge geht raus und schaut, bevor er weggeht.</v>
      </c>
    </row>
    <row r="1274">
      <c r="A1274" s="4" t="s">
        <v>1605</v>
      </c>
      <c r="B1274" s="4" t="s">
        <v>1608</v>
      </c>
      <c r="C1274" s="5" t="str">
        <f>IFERROR(__xludf.DUMMYFUNCTION("GOOGLETRANSLATE(B1274,""en"",""de"")"),"Die Mädchen seifen weiter und rasieren.")</f>
        <v>Die Mädchen seifen weiter und rasieren.</v>
      </c>
    </row>
    <row r="1275">
      <c r="A1275" s="4" t="s">
        <v>1609</v>
      </c>
      <c r="B1275" s="4" t="s">
        <v>1610</v>
      </c>
      <c r="C1275" s="5" t="str">
        <f>IFERROR(__xludf.DUMMYFUNCTION("GOOGLETRANSLATE(B1275,""en"",""de"")"),"Ein Mann benutzt einen Schläger, um Eis von einem Auto zu entfernen, während es draußen schneit, und ein Mann Video von hinten Videos.")</f>
        <v>Ein Mann benutzt einen Schläger, um Eis von einem Auto zu entfernen, während es draußen schneit, und ein Mann Video von hinten Videos.</v>
      </c>
    </row>
    <row r="1276">
      <c r="A1276" s="4" t="s">
        <v>1609</v>
      </c>
      <c r="B1276" s="4" t="s">
        <v>1611</v>
      </c>
      <c r="C1276" s="5" t="str">
        <f>IFERROR(__xludf.DUMMYFUNCTION("GOOGLETRANSLATE(B1276,""en"",""de"")"),"Ein Mann in einem schwarzen Wintermantel und Handschuhen benutzt ein Schläger, um Eis aus einem Eisbedeckung im Schnee zu entfernen.")</f>
        <v>Ein Mann in einem schwarzen Wintermantel und Handschuhen benutzt ein Schläger, um Eis aus einem Eisbedeckung im Schnee zu entfernen.</v>
      </c>
    </row>
    <row r="1277">
      <c r="A1277" s="4" t="s">
        <v>1609</v>
      </c>
      <c r="B1277" s="4" t="s">
        <v>1612</v>
      </c>
      <c r="C1277" s="5" t="str">
        <f>IFERROR(__xludf.DUMMYFUNCTION("GOOGLETRANSLATE(B1277,""en"",""de"")"),"Der Mann nimmt dann seine Autoschlüsseln und versucht, den gefrorenen Kofferraum zu öffnen und muss das Ziehen geöffnet werden.")</f>
        <v>Der Mann nimmt dann seine Autoschlüsseln und versucht, den gefrorenen Kofferraum zu öffnen und muss das Ziehen geöffnet werden.</v>
      </c>
    </row>
    <row r="1278">
      <c r="A1278" s="4" t="s">
        <v>1609</v>
      </c>
      <c r="B1278" s="4" t="s">
        <v>1613</v>
      </c>
      <c r="C1278" s="5" t="str">
        <f>IFERROR(__xludf.DUMMYFUNCTION("GOOGLETRANSLATE(B1278,""en"",""de"")"),"Der Mann schlägt weiterhin mit dem Schläger auf das Eis auf dem Auto, während die Eischips in Stücken abbrechen.")</f>
        <v>Der Mann schlägt weiterhin mit dem Schläger auf das Eis auf dem Auto, während die Eischips in Stücken abbrechen.</v>
      </c>
    </row>
    <row r="1279">
      <c r="A1279" s="4" t="s">
        <v>1609</v>
      </c>
      <c r="B1279" s="4" t="s">
        <v>1614</v>
      </c>
      <c r="C1279" s="5" t="str">
        <f>IFERROR(__xludf.DUMMYFUNCTION("GOOGLETRANSLATE(B1279,""en"",""de"")"),"Der Mann versucht erneut, seinen Kofferraum zu öffnen, diesmal ist die Öffnung einfacher und der Mann klettert in den Kofferraum des Autos vor dem Auto, um die Fahrertür vom Innenfahrersitz zu öffnen.")</f>
        <v>Der Mann versucht erneut, seinen Kofferraum zu öffnen, diesmal ist die Öffnung einfacher und der Mann klettert in den Kofferraum des Autos vor dem Auto, um die Fahrertür vom Innenfahrersitz zu öffnen.</v>
      </c>
    </row>
    <row r="1280">
      <c r="A1280" s="4" t="s">
        <v>1615</v>
      </c>
      <c r="B1280" s="4" t="s">
        <v>1616</v>
      </c>
      <c r="C1280" s="5" t="str">
        <f>IFERROR(__xludf.DUMMYFUNCTION("GOOGLETRANSLATE(B1280,""en"",""de"")"),"Eine große Matte ist mit einer Bar oben und zwei Personen zu sehen, die an den Seiten zuschauen.")</f>
        <v>Eine große Matte ist mit einer Bar oben und zwei Personen zu sehen, die an den Seiten zuschauen.</v>
      </c>
    </row>
    <row r="1281">
      <c r="A1281" s="4" t="s">
        <v>1615</v>
      </c>
      <c r="B1281" s="4" t="s">
        <v>1617</v>
      </c>
      <c r="C1281" s="5" t="str">
        <f>IFERROR(__xludf.DUMMYFUNCTION("GOOGLETRANSLATE(B1281,""en"",""de"")"),"Ein Mann wird dann von der Seite hereinläuft.")</f>
        <v>Ein Mann wird dann von der Seite hereinläuft.</v>
      </c>
    </row>
    <row r="1282">
      <c r="A1282" s="4" t="s">
        <v>1615</v>
      </c>
      <c r="B1282" s="4" t="s">
        <v>1618</v>
      </c>
      <c r="C1282" s="5" t="str">
        <f>IFERROR(__xludf.DUMMYFUNCTION("GOOGLETRANSLATE(B1282,""en"",""de"")"),"Der Mann springt über den Strahl und steht auf der Matte.")</f>
        <v>Der Mann springt über den Strahl und steht auf der Matte.</v>
      </c>
    </row>
    <row r="1283">
      <c r="A1283" s="4" t="s">
        <v>1619</v>
      </c>
      <c r="B1283" s="4" t="s">
        <v>1620</v>
      </c>
      <c r="C1283" s="5" t="str">
        <f>IFERROR(__xludf.DUMMYFUNCTION("GOOGLETRANSLATE(B1283,""en"",""de"")"),"Eine Person wird außerhalb von einem Auto mit eingeschaltetem Snow von einem Auto angezeigt.")</f>
        <v>Eine Person wird außerhalb von einem Auto mit eingeschaltetem Snow von einem Auto angezeigt.</v>
      </c>
    </row>
    <row r="1284">
      <c r="A1284" s="4" t="s">
        <v>1619</v>
      </c>
      <c r="B1284" s="4" t="s">
        <v>1621</v>
      </c>
      <c r="C1284" s="5" t="str">
        <f>IFERROR(__xludf.DUMMYFUNCTION("GOOGLETRANSLATE(B1284,""en"",""de"")"),"Der Mann geht um das Auto herum und schiebt mehr Schnee ab und schließt die Tür.")</f>
        <v>Der Mann geht um das Auto herum und schiebt mehr Schnee ab und schließt die Tür.</v>
      </c>
    </row>
    <row r="1285">
      <c r="A1285" s="4" t="s">
        <v>1622</v>
      </c>
      <c r="B1285" s="4" t="s">
        <v>1623</v>
      </c>
      <c r="C1285" s="5" t="str">
        <f>IFERROR(__xludf.DUMMYFUNCTION("GOOGLETRANSLATE(B1285,""en"",""de"")"),"Ein schwarzer Bildschirm mit einem weißen Titel erscheint.")</f>
        <v>Ein schwarzer Bildschirm mit einem weißen Titel erscheint.</v>
      </c>
    </row>
    <row r="1286">
      <c r="A1286" s="4" t="s">
        <v>1622</v>
      </c>
      <c r="B1286" s="4" t="s">
        <v>1624</v>
      </c>
      <c r="C1286" s="5" t="str">
        <f>IFERROR(__xludf.DUMMYFUNCTION("GOOGLETRANSLATE(B1286,""en"",""de"")"),"Ein Koch befindet sich vor einem professionellen Herd, der Gewürze in eine Metallpfanne steckt und eine Pfanne über einer blauen Flamme mit Gas beleuchtet.")</f>
        <v>Ein Koch befindet sich vor einem professionellen Herd, der Gewürze in eine Metallpfanne steckt und eine Pfanne über einer blauen Flamme mit Gas beleuchtet.</v>
      </c>
    </row>
    <row r="1287">
      <c r="A1287" s="4" t="s">
        <v>1622</v>
      </c>
      <c r="B1287" s="4" t="s">
        <v>1625</v>
      </c>
      <c r="C1287" s="5" t="str">
        <f>IFERROR(__xludf.DUMMYFUNCTION("GOOGLETRANSLATE(B1287,""en"",""de"")"),"Der Koch schöscht jetzt eine große Portion gemischtes Ei aus einem großen Metalltopf in die kleine Metallpfanne.")</f>
        <v>Der Koch schöscht jetzt eine große Portion gemischtes Ei aus einem großen Metalltopf in die kleine Metallpfanne.</v>
      </c>
    </row>
    <row r="1288">
      <c r="A1288" s="4" t="s">
        <v>1622</v>
      </c>
      <c r="B1288" s="4" t="s">
        <v>1626</v>
      </c>
      <c r="C1288" s="5" t="str">
        <f>IFERROR(__xludf.DUMMYFUNCTION("GOOGLETRANSLATE(B1288,""en"",""de"")"),"Er beginnt, die Eiermischung mit zwei Holzstöcken zu verquirlen und die Pfanne über dem Brenner zu halten.")</f>
        <v>Er beginnt, die Eiermischung mit zwei Holzstöcken zu verquirlen und die Pfanne über dem Brenner zu halten.</v>
      </c>
    </row>
    <row r="1289">
      <c r="A1289" s="4" t="s">
        <v>1622</v>
      </c>
      <c r="B1289" s="4" t="s">
        <v>1627</v>
      </c>
      <c r="C1289" s="5" t="str">
        <f>IFERROR(__xludf.DUMMYFUNCTION("GOOGLETRANSLATE(B1289,""en"",""de"")"),"Wenn das Ei fast vollständig gekocht ist, beginnt der Mann das Ei in der Pfanne mit den Holzstäben in Form eines Omeletts zu formen.")</f>
        <v>Wenn das Ei fast vollständig gekocht ist, beginnt der Mann das Ei in der Pfanne mit den Holzstäben in Form eines Omeletts zu formen.</v>
      </c>
    </row>
    <row r="1290">
      <c r="A1290" s="4" t="s">
        <v>1622</v>
      </c>
      <c r="B1290" s="4" t="s">
        <v>1628</v>
      </c>
      <c r="C1290" s="5" t="str">
        <f>IFERROR(__xludf.DUMMYFUNCTION("GOOGLETRANSLATE(B1290,""en"",""de"")"),"Er rollt das Omelett hin und her in der Pfanne.")</f>
        <v>Er rollt das Omelett hin und her in der Pfanne.</v>
      </c>
    </row>
    <row r="1291">
      <c r="A1291" s="4" t="s">
        <v>1622</v>
      </c>
      <c r="B1291" s="4" t="s">
        <v>1629</v>
      </c>
      <c r="C1291" s="5" t="str">
        <f>IFERROR(__xludf.DUMMYFUNCTION("GOOGLETRANSLATE(B1291,""en"",""de"")"),"Ende schwarzer Bildschirm und ein blaues Wort.")</f>
        <v>Ende schwarzer Bildschirm und ein blaues Wort.</v>
      </c>
    </row>
    <row r="1292">
      <c r="A1292" s="4" t="s">
        <v>1630</v>
      </c>
      <c r="B1292" s="4" t="s">
        <v>1631</v>
      </c>
      <c r="C1292" s="5" t="str">
        <f>IFERROR(__xludf.DUMMYFUNCTION("GOOGLETRANSLATE(B1292,""en"",""de"")"),"Eine Nahaufnahme von Ballettschuhen wird gezeigt, gefolgt von einer Frau, die sie anzieht und sich in einem Schlafzimmer bewegt.")</f>
        <v>Eine Nahaufnahme von Ballettschuhen wird gezeigt, gefolgt von einer Frau, die sie anzieht und sich in einem Schlafzimmer bewegt.</v>
      </c>
    </row>
    <row r="1293">
      <c r="A1293" s="4" t="s">
        <v>1630</v>
      </c>
      <c r="B1293" s="4" t="s">
        <v>1632</v>
      </c>
      <c r="C1293" s="5" t="str">
        <f>IFERROR(__xludf.DUMMYFUNCTION("GOOGLETRANSLATE(B1293,""en"",""de"")"),"Sie bewegt ihre Arme und Füße in den Point -Schuhen und peitscht ihre Haare im ganzen Raum.")</f>
        <v>Sie bewegt ihre Arme und Füße in den Point -Schuhen und peitscht ihre Haare im ganzen Raum.</v>
      </c>
    </row>
    <row r="1294">
      <c r="A1294" s="4" t="s">
        <v>1633</v>
      </c>
      <c r="B1294" s="4" t="s">
        <v>1634</v>
      </c>
      <c r="C1294" s="5" t="str">
        <f>IFERROR(__xludf.DUMMYFUNCTION("GOOGLETRANSLATE(B1294,""en"",""de"")"),"Eine Person mischt verschiedene Zutaten in einen Mixer und rollt rau in einen Ball und spricht mit der Kamera.")</f>
        <v>Eine Person mischt verschiedene Zutaten in einen Mixer und rollt rau in einen Ball und spricht mit der Kamera.</v>
      </c>
    </row>
    <row r="1295">
      <c r="A1295" s="4" t="s">
        <v>1633</v>
      </c>
      <c r="B1295" s="4" t="s">
        <v>1635</v>
      </c>
      <c r="C1295" s="5" t="str">
        <f>IFERROR(__xludf.DUMMYFUNCTION("GOOGLETRANSLATE(B1295,""en"",""de"")"),"Der Mann spricht mit anderen Köchen und weist sie an, wie man einen groben Ball rollt.")</f>
        <v>Der Mann spricht mit anderen Köchen und weist sie an, wie man einen groben Ball rollt.</v>
      </c>
    </row>
    <row r="1296">
      <c r="A1296" s="4" t="s">
        <v>1633</v>
      </c>
      <c r="B1296" s="4" t="s">
        <v>1636</v>
      </c>
      <c r="C1296" s="5" t="str">
        <f>IFERROR(__xludf.DUMMYFUNCTION("GOOGLETRANSLATE(B1296,""en"",""de"")"),"Dann steckt er den Teig in eine Maschine, um Spaghetti zu machen, und steckt sie dann in einen Teller, um zu präsentieren.")</f>
        <v>Dann steckt er den Teig in eine Maschine, um Spaghetti zu machen, und steckt sie dann in einen Teller, um zu präsentieren.</v>
      </c>
    </row>
    <row r="1297">
      <c r="A1297" s="4" t="s">
        <v>1637</v>
      </c>
      <c r="B1297" s="4" t="s">
        <v>1638</v>
      </c>
      <c r="C1297" s="5" t="str">
        <f>IFERROR(__xludf.DUMMYFUNCTION("GOOGLETRANSLATE(B1297,""en"",""de"")"),"Eine Person wird gesehen, wie sich ein Gymnastikstrahl vorwärts bewegt, während sie seine Hände hoch bewegt, um das Gleichgewicht zu halten.")</f>
        <v>Eine Person wird gesehen, wie sich ein Gymnastikstrahl vorwärts bewegt, während sie seine Hände hoch bewegt, um das Gleichgewicht zu halten.</v>
      </c>
    </row>
    <row r="1298">
      <c r="A1298" s="4" t="s">
        <v>1637</v>
      </c>
      <c r="B1298" s="4" t="s">
        <v>1639</v>
      </c>
      <c r="C1298" s="5" t="str">
        <f>IFERROR(__xludf.DUMMYFUNCTION("GOOGLETRANSLATE(B1298,""en"",""de"")"),"Der Mann versucht dann einen Flip, landet aber auf dem Bauch und fällt ab und geht vor Schmerzen weg und sein Sprung wird in Zeitlupe wieder gezeigt.")</f>
        <v>Der Mann versucht dann einen Flip, landet aber auf dem Bauch und fällt ab und geht vor Schmerzen weg und sein Sprung wird in Zeitlupe wieder gezeigt.</v>
      </c>
    </row>
    <row r="1299">
      <c r="A1299" s="4" t="s">
        <v>1640</v>
      </c>
      <c r="B1299" s="4" t="s">
        <v>1641</v>
      </c>
      <c r="C1299" s="5" t="str">
        <f>IFERROR(__xludf.DUMMYFUNCTION("GOOGLETRANSLATE(B1299,""en"",""de"")"),"Vier Leute spielen Foosball an einem Foosballtisch.")</f>
        <v>Vier Leute spielen Foosball an einem Foosballtisch.</v>
      </c>
    </row>
    <row r="1300">
      <c r="A1300" s="4" t="s">
        <v>1640</v>
      </c>
      <c r="B1300" s="4" t="s">
        <v>1642</v>
      </c>
      <c r="C1300" s="5" t="str">
        <f>IFERROR(__xludf.DUMMYFUNCTION("GOOGLETRANSLATE(B1300,""en"",""de"")"),"Eines der Mädchen, die spielen, zieht einen Arm fehl am Platz auf dem Tisch.")</f>
        <v>Eines der Mädchen, die spielen, zieht einen Arm fehl am Platz auf dem Tisch.</v>
      </c>
    </row>
    <row r="1301">
      <c r="A1301" s="4" t="s">
        <v>1640</v>
      </c>
      <c r="B1301" s="4" t="s">
        <v>1643</v>
      </c>
      <c r="C1301" s="5" t="str">
        <f>IFERROR(__xludf.DUMMYFUNCTION("GOOGLETRANSLATE(B1301,""en"",""de"")"),"Das gleiche Mädchen greift über den Tisch, um einen Arm auf der anderen Seite zu kontrollieren.")</f>
        <v>Das gleiche Mädchen greift über den Tisch, um einen Arm auf der anderen Seite zu kontrollieren.</v>
      </c>
    </row>
    <row r="1302">
      <c r="A1302" s="4" t="s">
        <v>1640</v>
      </c>
      <c r="B1302" s="4" t="s">
        <v>1644</v>
      </c>
      <c r="C1302" s="5" t="str">
        <f>IFERROR(__xludf.DUMMYFUNCTION("GOOGLETRANSLATE(B1302,""en"",""de"")"),"Das Mädchen auf der anderen Seite versucht sie aufzuhalten.")</f>
        <v>Das Mädchen auf der anderen Seite versucht sie aufzuhalten.</v>
      </c>
    </row>
    <row r="1303">
      <c r="A1303" s="4" t="s">
        <v>1640</v>
      </c>
      <c r="B1303" s="4" t="s">
        <v>1645</v>
      </c>
      <c r="C1303" s="5" t="str">
        <f>IFERROR(__xludf.DUMMYFUNCTION("GOOGLETRANSLATE(B1303,""en"",""de"")"),"Eine fünfte Person sitzt auf einem Stuhl und beobachtet.")</f>
        <v>Eine fünfte Person sitzt auf einem Stuhl und beobachtet.</v>
      </c>
    </row>
    <row r="1304">
      <c r="A1304" s="4" t="s">
        <v>1646</v>
      </c>
      <c r="B1304" s="4" t="s">
        <v>1647</v>
      </c>
      <c r="C1304" s="5" t="str">
        <f>IFERROR(__xludf.DUMMYFUNCTION("GOOGLETRANSLATE(B1304,""en"",""de"")"),"Ein männlicher Turner, der einen blauen Trikot mit Gymnastik in einer Pferdestange trägt.")</f>
        <v>Ein männlicher Turner, der einen blauen Trikot mit Gymnastik in einer Pferdestange trägt.</v>
      </c>
    </row>
    <row r="1305">
      <c r="A1305" s="4" t="s">
        <v>1646</v>
      </c>
      <c r="B1305" s="4" t="s">
        <v>1648</v>
      </c>
      <c r="C1305" s="5" t="str">
        <f>IFERROR(__xludf.DUMMYFUNCTION("GOOGLETRANSLATE(B1305,""en"",""de"")"),"Er tritt in einem Innenstadion voller Zuschauer auf.")</f>
        <v>Er tritt in einem Innenstadion voller Zuschauer auf.</v>
      </c>
    </row>
    <row r="1306">
      <c r="A1306" s="4" t="s">
        <v>1646</v>
      </c>
      <c r="B1306" s="4" t="s">
        <v>1649</v>
      </c>
      <c r="C1306" s="5" t="str">
        <f>IFERROR(__xludf.DUMMYFUNCTION("GOOGLETRANSLATE(B1306,""en"",""de"")"),"Er zeichnet sich weiterhin aus, wenn er seine Bewegungen stetig auf der Pferdestange durchführt.")</f>
        <v>Er zeichnet sich weiterhin aus, wenn er seine Bewegungen stetig auf der Pferdestange durchführt.</v>
      </c>
    </row>
    <row r="1307">
      <c r="A1307" s="4" t="s">
        <v>1646</v>
      </c>
      <c r="B1307" s="4" t="s">
        <v>1650</v>
      </c>
      <c r="C1307" s="5" t="str">
        <f>IFERROR(__xludf.DUMMYFUNCTION("GOOGLETRANSLATE(B1307,""en"",""de"")"),"Nachdem er fertig ist, steigt er von der Bar und einer der Trainer umarmt ihn, als die Menge nach ihm jubelt.")</f>
        <v>Nachdem er fertig ist, steigt er von der Bar und einer der Trainer umarmt ihn, als die Menge nach ihm jubelt.</v>
      </c>
    </row>
    <row r="1308">
      <c r="A1308" s="4" t="s">
        <v>1651</v>
      </c>
      <c r="B1308" s="4" t="s">
        <v>1652</v>
      </c>
      <c r="C1308" s="5" t="str">
        <f>IFERROR(__xludf.DUMMYFUNCTION("GOOGLETRANSLATE(B1308,""en"",""de"")"),"Eine Ballerina wird in der Klasse gezeigt, die ihre Füße aufwärmt und weinend weggeht.")</f>
        <v>Eine Ballerina wird in der Klasse gezeigt, die ihre Füße aufwärmt und weinend weggeht.</v>
      </c>
    </row>
    <row r="1309">
      <c r="A1309" s="4" t="s">
        <v>1651</v>
      </c>
      <c r="B1309" s="4" t="s">
        <v>1653</v>
      </c>
      <c r="C1309" s="5" t="str">
        <f>IFERROR(__xludf.DUMMYFUNCTION("GOOGLETRANSLATE(B1309,""en"",""de"")"),"Verschiedene Schauspieler sprechen mit der Kamera über das Filmen eines Films über Ballett und die Bewegungen, die sie gelernt haben.")</f>
        <v>Verschiedene Schauspieler sprechen mit der Kamera über das Filmen eines Films über Ballett und die Bewegungen, die sie gelernt haben.</v>
      </c>
    </row>
    <row r="1310">
      <c r="A1310" s="4" t="s">
        <v>1651</v>
      </c>
      <c r="B1310" s="4" t="s">
        <v>1654</v>
      </c>
      <c r="C1310" s="5" t="str">
        <f>IFERROR(__xludf.DUMMYFUNCTION("GOOGLETRANSLATE(B1310,""en"",""de"")"),"Die Ballerinas bewegen sich um das Set, während die Kamera rollt.")</f>
        <v>Die Ballerinas bewegen sich um das Set, während die Kamera rollt.</v>
      </c>
    </row>
    <row r="1311">
      <c r="A1311" s="4" t="s">
        <v>1651</v>
      </c>
      <c r="B1311" s="4" t="s">
        <v>1655</v>
      </c>
      <c r="C1311" s="5" t="str">
        <f>IFERROR(__xludf.DUMMYFUNCTION("GOOGLETRANSLATE(B1311,""en"",""de"")"),"Die Schauspieler sprechen weiterhin über Tricks und was sie gelernt haben.")</f>
        <v>Die Schauspieler sprechen weiterhin über Tricks und was sie gelernt haben.</v>
      </c>
    </row>
    <row r="1312">
      <c r="A1312" s="4" t="s">
        <v>1651</v>
      </c>
      <c r="B1312" s="4" t="s">
        <v>1656</v>
      </c>
      <c r="C1312" s="5" t="str">
        <f>IFERROR(__xludf.DUMMYFUNCTION("GOOGLETRANSLATE(B1312,""en"",""de"")"),"Ein Mann spielt die Geige, während die letzte Szene gedreht wird und jeder tanzt.")</f>
        <v>Ein Mann spielt die Geige, während die letzte Szene gedreht wird und jeder tanzt.</v>
      </c>
    </row>
    <row r="1313">
      <c r="A1313" s="4" t="s">
        <v>1657</v>
      </c>
      <c r="B1313" s="4" t="s">
        <v>1658</v>
      </c>
      <c r="C1313" s="5" t="str">
        <f>IFERROR(__xludf.DUMMYFUNCTION("GOOGLETRANSLATE(B1313,""en"",""de"")"),"Verschiedene Gegenstände werden auf einem Boden angezeigt und führen zu einer Frau, die die Produkte hochhält und mit der Kamera spricht.")</f>
        <v>Verschiedene Gegenstände werden auf einem Boden angezeigt und führen zu einer Frau, die die Produkte hochhält und mit der Kamera spricht.</v>
      </c>
    </row>
    <row r="1314">
      <c r="A1314" s="4" t="s">
        <v>1657</v>
      </c>
      <c r="B1314" s="4" t="s">
        <v>1659</v>
      </c>
      <c r="C1314" s="5" t="str">
        <f>IFERROR(__xludf.DUMMYFUNCTION("GOOGLETRANSLATE(B1314,""en"",""de"")"),"Sie hält ihren Schuh hoch und beleuchtet ein Match über dem Lack.")</f>
        <v>Sie hält ihren Schuh hoch und beleuchtet ein Match über dem Lack.</v>
      </c>
    </row>
    <row r="1315">
      <c r="A1315" s="4" t="s">
        <v>1657</v>
      </c>
      <c r="B1315" s="4" t="s">
        <v>1660</v>
      </c>
      <c r="C1315" s="5" t="str">
        <f>IFERROR(__xludf.DUMMYFUNCTION("GOOGLETRANSLATE(B1315,""en"",""de"")"),"Sie nimmt dann einen Lappen und rennt über den Stiefel mit der Politur in kleinen Kreisen.")</f>
        <v>Sie nimmt dann einen Lappen und rennt über den Stiefel mit der Politur in kleinen Kreisen.</v>
      </c>
    </row>
    <row r="1316">
      <c r="A1316" s="4" t="s">
        <v>1661</v>
      </c>
      <c r="B1316" s="4" t="s">
        <v>1662</v>
      </c>
      <c r="C1316" s="5" t="str">
        <f>IFERROR(__xludf.DUMMYFUNCTION("GOOGLETRANSLATE(B1316,""en"",""de"")"),"Ein noch Bild des Rückens eines Individuums wird gezeigt.")</f>
        <v>Ein noch Bild des Rückens eines Individuums wird gezeigt.</v>
      </c>
    </row>
    <row r="1317">
      <c r="A1317" s="4" t="s">
        <v>1661</v>
      </c>
      <c r="B1317" s="4" t="s">
        <v>1663</v>
      </c>
      <c r="C1317" s="5" t="str">
        <f>IFERROR(__xludf.DUMMYFUNCTION("GOOGLETRANSLATE(B1317,""en"",""de"")"),"Eine Art von Gegenstand wird in Nahaufnahme angezeigt.")</f>
        <v>Eine Art von Gegenstand wird in Nahaufnahme angezeigt.</v>
      </c>
    </row>
    <row r="1318">
      <c r="A1318" s="4" t="s">
        <v>1661</v>
      </c>
      <c r="B1318" s="4" t="s">
        <v>1664</v>
      </c>
      <c r="C1318" s="5" t="str">
        <f>IFERROR(__xludf.DUMMYFUNCTION("GOOGLETRANSLATE(B1318,""en"",""de"")"),"Ein Mann und eine Frau sprechen mit der Kamera in einer Nachrichtensendung.")</f>
        <v>Ein Mann und eine Frau sprechen mit der Kamera in einer Nachrichtensendung.</v>
      </c>
    </row>
    <row r="1319">
      <c r="A1319" s="4" t="s">
        <v>1661</v>
      </c>
      <c r="B1319" s="4" t="s">
        <v>1665</v>
      </c>
      <c r="C1319" s="5" t="str">
        <f>IFERROR(__xludf.DUMMYFUNCTION("GOOGLETRANSLATE(B1319,""en"",""de"")"),"Szenen der Sommerstrandbesucher werden in einem Nachrichtenberichtskontext gezeigt.")</f>
        <v>Szenen der Sommerstrandbesucher werden in einem Nachrichtenberichtskontext gezeigt.</v>
      </c>
    </row>
    <row r="1320">
      <c r="A1320" s="4" t="s">
        <v>1661</v>
      </c>
      <c r="B1320" s="4" t="s">
        <v>1666</v>
      </c>
      <c r="C1320" s="5" t="str">
        <f>IFERROR(__xludf.DUMMYFUNCTION("GOOGLETRANSLATE(B1320,""en"",""de"")"),"Ein Mann wird gezeigt, der mit Hunden in der Nähe eines Bootes geht.")</f>
        <v>Ein Mann wird gezeigt, der mit Hunden in der Nähe eines Bootes geht.</v>
      </c>
    </row>
    <row r="1321">
      <c r="A1321" s="4" t="s">
        <v>1661</v>
      </c>
      <c r="B1321" s="4" t="s">
        <v>1667</v>
      </c>
      <c r="C1321" s="5" t="str">
        <f>IFERROR(__xludf.DUMMYFUNCTION("GOOGLETRANSLATE(B1321,""en"",""de"")"),"Der Mann wird in der Nähe eines Grills gezeigt.")</f>
        <v>Der Mann wird in der Nähe eines Grills gezeigt.</v>
      </c>
    </row>
    <row r="1322">
      <c r="A1322" s="4" t="s">
        <v>1661</v>
      </c>
      <c r="B1322" s="4" t="s">
        <v>1668</v>
      </c>
      <c r="C1322" s="5" t="str">
        <f>IFERROR(__xludf.DUMMYFUNCTION("GOOGLETRANSLATE(B1322,""en"",""de"")"),"Ein kurzer Schnitt von A The Item von zuvor wird aus der Nähe gezeigt.")</f>
        <v>Ein kurzer Schnitt von A The Item von zuvor wird aus der Nähe gezeigt.</v>
      </c>
    </row>
    <row r="1323">
      <c r="A1323" s="4" t="s">
        <v>1661</v>
      </c>
      <c r="B1323" s="4" t="s">
        <v>1669</v>
      </c>
      <c r="C1323" s="5" t="str">
        <f>IFERROR(__xludf.DUMMYFUNCTION("GOOGLETRANSLATE(B1323,""en"",""de"")"),"Der Mann wird im Sitzen interviewt, wobei ein kurzer Teil von ihm geht.")</f>
        <v>Der Mann wird im Sitzen interviewt, wobei ein kurzer Teil von ihm geht.</v>
      </c>
    </row>
    <row r="1324">
      <c r="A1324" s="4" t="s">
        <v>1661</v>
      </c>
      <c r="B1324" s="4" t="s">
        <v>1670</v>
      </c>
      <c r="C1324" s="5" t="str">
        <f>IFERROR(__xludf.DUMMYFUNCTION("GOOGLETRANSLATE(B1324,""en"",""de"")"),"Der Mann entfernt sein Hemd.")</f>
        <v>Der Mann entfernt sein Hemd.</v>
      </c>
    </row>
    <row r="1325">
      <c r="A1325" s="4" t="s">
        <v>1661</v>
      </c>
      <c r="B1325" s="4" t="s">
        <v>1671</v>
      </c>
      <c r="C1325" s="5" t="str">
        <f>IFERROR(__xludf.DUMMYFUNCTION("GOOGLETRANSLATE(B1325,""en"",""de"")"),"Weitere Nahaufnahmeszenen des Artikels werden angezeigt.")</f>
        <v>Weitere Nahaufnahmeszenen des Artikels werden angezeigt.</v>
      </c>
    </row>
    <row r="1326">
      <c r="A1326" s="4" t="s">
        <v>1661</v>
      </c>
      <c r="B1326" s="4" t="s">
        <v>1672</v>
      </c>
      <c r="C1326" s="5" t="str">
        <f>IFERROR(__xludf.DUMMYFUNCTION("GOOGLETRANSLATE(B1326,""en"",""de"")"),"Stillbilder und Videos von Hautschäden werden gezeigt.")</f>
        <v>Stillbilder und Videos von Hautschäden werden gezeigt.</v>
      </c>
    </row>
    <row r="1327">
      <c r="A1327" s="4" t="s">
        <v>1661</v>
      </c>
      <c r="B1327" s="4" t="s">
        <v>1673</v>
      </c>
      <c r="C1327" s="5" t="str">
        <f>IFERROR(__xludf.DUMMYFUNCTION("GOOGLETRANSLATE(B1327,""en"",""de"")"),"Der Mann spricht in einer Innenumgebung.")</f>
        <v>Der Mann spricht in einer Innenumgebung.</v>
      </c>
    </row>
    <row r="1328">
      <c r="A1328" s="4" t="s">
        <v>1661</v>
      </c>
      <c r="B1328" s="4" t="s">
        <v>1674</v>
      </c>
      <c r="C1328" s="5" t="str">
        <f>IFERROR(__xludf.DUMMYFUNCTION("GOOGLETRANSLATE(B1328,""en"",""de"")"),"Ein weiteres Standbild des Elements wird angezeigt.")</f>
        <v>Ein weiteres Standbild des Elements wird angezeigt.</v>
      </c>
    </row>
    <row r="1329">
      <c r="A1329" s="4" t="s">
        <v>1661</v>
      </c>
      <c r="B1329" s="4" t="s">
        <v>1675</v>
      </c>
      <c r="C1329" s="5" t="str">
        <f>IFERROR(__xludf.DUMMYFUNCTION("GOOGLETRANSLATE(B1329,""en"",""de"")"),"Der Mann wird wieder befragt.")</f>
        <v>Der Mann wird wieder befragt.</v>
      </c>
    </row>
    <row r="1330">
      <c r="A1330" s="4" t="s">
        <v>1661</v>
      </c>
      <c r="B1330" s="4" t="s">
        <v>1676</v>
      </c>
      <c r="C1330" s="5" t="str">
        <f>IFERROR(__xludf.DUMMYFUNCTION("GOOGLETRANSLATE(B1330,""en"",""de"")"),"Es wird ein noch Textbildschirm angezeigt.")</f>
        <v>Es wird ein noch Textbildschirm angezeigt.</v>
      </c>
    </row>
    <row r="1331">
      <c r="A1331" s="4" t="s">
        <v>1661</v>
      </c>
      <c r="B1331" s="4" t="s">
        <v>1677</v>
      </c>
      <c r="C1331" s="5" t="str">
        <f>IFERROR(__xludf.DUMMYFUNCTION("GOOGLETRANSLATE(B1331,""en"",""de"")"),"Ein anderer Mann spricht mit der Kamera, während neben ihm ein Logo gezeigt wird.")</f>
        <v>Ein anderer Mann spricht mit der Kamera, während neben ihm ein Logo gezeigt wird.</v>
      </c>
    </row>
    <row r="1332">
      <c r="A1332" s="4" t="s">
        <v>1661</v>
      </c>
      <c r="B1332" s="4" t="s">
        <v>1678</v>
      </c>
      <c r="C1332" s="5" t="str">
        <f>IFERROR(__xludf.DUMMYFUNCTION("GOOGLETRANSLATE(B1332,""en"",""de"")"),"Eine Webseite über den ersten Mann wird gezeigt.")</f>
        <v>Eine Webseite über den ersten Mann wird gezeigt.</v>
      </c>
    </row>
    <row r="1333">
      <c r="A1333" s="4" t="s">
        <v>1679</v>
      </c>
      <c r="B1333" s="4" t="s">
        <v>1680</v>
      </c>
      <c r="C1333" s="5" t="str">
        <f>IFERROR(__xludf.DUMMYFUNCTION("GOOGLETRANSLATE(B1333,""en"",""de"")"),"Ein Mann tanzt auf einer Bühne in einem gelben Hemd.")</f>
        <v>Ein Mann tanzt auf einer Bühne in einem gelben Hemd.</v>
      </c>
    </row>
    <row r="1334">
      <c r="A1334" s="4" t="s">
        <v>1679</v>
      </c>
      <c r="B1334" s="4" t="s">
        <v>1681</v>
      </c>
      <c r="C1334" s="5" t="str">
        <f>IFERROR(__xludf.DUMMYFUNCTION("GOOGLETRANSLATE(B1334,""en"",""de"")"),"Leute im Publikum, die ihn beobachten, tanzen mit ihm.")</f>
        <v>Leute im Publikum, die ihn beobachten, tanzen mit ihm.</v>
      </c>
    </row>
    <row r="1335">
      <c r="A1335" s="4" t="s">
        <v>1679</v>
      </c>
      <c r="B1335" s="4" t="s">
        <v>1682</v>
      </c>
      <c r="C1335" s="5" t="str">
        <f>IFERROR(__xludf.DUMMYFUNCTION("GOOGLETRANSLATE(B1335,""en"",""de"")"),"Ein Mann geht vor der Menge.")</f>
        <v>Ein Mann geht vor der Menge.</v>
      </c>
    </row>
    <row r="1336">
      <c r="A1336" s="4" t="s">
        <v>1683</v>
      </c>
      <c r="B1336" s="4" t="s">
        <v>1684</v>
      </c>
      <c r="C1336" s="5" t="str">
        <f>IFERROR(__xludf.DUMMYFUNCTION("GOOGLETRANSLATE(B1336,""en"",""de"")"),"Ein Pferd tritt einen Mann in ein rotes Hemd.")</f>
        <v>Ein Pferd tritt einen Mann in ein rotes Hemd.</v>
      </c>
    </row>
    <row r="1337">
      <c r="A1337" s="4" t="s">
        <v>1683</v>
      </c>
      <c r="B1337" s="4" t="s">
        <v>1685</v>
      </c>
      <c r="C1337" s="5" t="str">
        <f>IFERROR(__xludf.DUMMYFUNCTION("GOOGLETRANSLATE(B1337,""en"",""de"")"),"Ein Mädchen in einem grauen Hemd wird von einem Pferd geworfen.")</f>
        <v>Ein Mädchen in einem grauen Hemd wird von einem Pferd geworfen.</v>
      </c>
    </row>
    <row r="1338">
      <c r="A1338" s="4" t="s">
        <v>1683</v>
      </c>
      <c r="B1338" s="4" t="s">
        <v>1686</v>
      </c>
      <c r="C1338" s="5" t="str">
        <f>IFERROR(__xludf.DUMMYFUNCTION("GOOGLETRANSLATE(B1338,""en"",""de"")"),"Ein Mann, der mit einem Pferd reitet, wird abgerockt.")</f>
        <v>Ein Mann, der mit einem Pferd reitet, wird abgerockt.</v>
      </c>
    </row>
    <row r="1339">
      <c r="A1339" s="4" t="s">
        <v>1683</v>
      </c>
      <c r="B1339" s="4" t="s">
        <v>1687</v>
      </c>
      <c r="C1339" s="5" t="str">
        <f>IFERROR(__xludf.DUMMYFUNCTION("GOOGLETRANSLATE(B1339,""en"",""de"")"),"Ein Pferd tippt nach hinten mit einer Person darauf.")</f>
        <v>Ein Pferd tippt nach hinten mit einer Person darauf.</v>
      </c>
    </row>
    <row r="1340">
      <c r="A1340" s="4" t="s">
        <v>1683</v>
      </c>
      <c r="B1340" s="4" t="s">
        <v>1688</v>
      </c>
      <c r="C1340" s="5" t="str">
        <f>IFERROR(__xludf.DUMMYFUNCTION("GOOGLETRANSLATE(B1340,""en"",""de"")"),"Ein Mann reitet auf einem Pferd und fliegt ab.")</f>
        <v>Ein Mann reitet auf einem Pferd und fliegt ab.</v>
      </c>
    </row>
    <row r="1341">
      <c r="A1341" s="4" t="s">
        <v>1683</v>
      </c>
      <c r="B1341" s="4" t="s">
        <v>1689</v>
      </c>
      <c r="C1341" s="5" t="str">
        <f>IFERROR(__xludf.DUMMYFUNCTION("GOOGLETRANSLATE(B1341,""en"",""de"")"),"Ein weißes Pferd verpasst einen Sprung und die Person fällt ab.")</f>
        <v>Ein weißes Pferd verpasst einen Sprung und die Person fällt ab.</v>
      </c>
    </row>
    <row r="1342">
      <c r="A1342" s="4" t="s">
        <v>1683</v>
      </c>
      <c r="B1342" s="4" t="s">
        <v>1690</v>
      </c>
      <c r="C1342" s="5" t="str">
        <f>IFERROR(__xludf.DUMMYFUNCTION("GOOGLETRANSLATE(B1342,""en"",""de"")"),"Ein Mann wird von einem Seil getroffen, während er ein Kalb jagt.")</f>
        <v>Ein Mann wird von einem Seil getroffen, während er ein Kalb jagt.</v>
      </c>
    </row>
    <row r="1343">
      <c r="A1343" s="4" t="s">
        <v>1683</v>
      </c>
      <c r="B1343" s="4" t="s">
        <v>1691</v>
      </c>
      <c r="C1343" s="5" t="str">
        <f>IFERROR(__xludf.DUMMYFUNCTION("GOOGLETRANSLATE(B1343,""en"",""de"")"),"Ein Pferd lässt seinen Kopf in einer Mülldose stecken.")</f>
        <v>Ein Pferd lässt seinen Kopf in einer Mülldose stecken.</v>
      </c>
    </row>
    <row r="1344">
      <c r="A1344" s="4" t="s">
        <v>1692</v>
      </c>
      <c r="B1344" s="4" t="s">
        <v>1693</v>
      </c>
      <c r="C1344" s="5" t="str">
        <f>IFERROR(__xludf.DUMMYFUNCTION("GOOGLETRANSLATE(B1344,""en"",""de"")"),"Die Wörter ""Wie man einen Drachen ohne Wind fliegt"" erscheinen auf einem schwarzen Bildschirm.")</f>
        <v>Die Wörter "Wie man einen Drachen ohne Wind fliegt" erscheinen auf einem schwarzen Bildschirm.</v>
      </c>
    </row>
    <row r="1345">
      <c r="A1345" s="4" t="s">
        <v>1692</v>
      </c>
      <c r="B1345" s="4" t="s">
        <v>1694</v>
      </c>
      <c r="C1345" s="5" t="str">
        <f>IFERROR(__xludf.DUMMYFUNCTION("GOOGLETRANSLATE(B1345,""en"",""de"")"),"Der Mann, der ein gelbes T-Shirt trägt, erscheint in einem großen Vorortfeld.")</f>
        <v>Der Mann, der ein gelbes T-Shirt trägt, erscheint in einem großen Vorortfeld.</v>
      </c>
    </row>
    <row r="1346">
      <c r="A1346" s="4" t="s">
        <v>1692</v>
      </c>
      <c r="B1346" s="4" t="s">
        <v>1695</v>
      </c>
      <c r="C1346" s="5" t="str">
        <f>IFERROR(__xludf.DUMMYFUNCTION("GOOGLETRANSLATE(B1346,""en"",""de"")"),"Der Mann setzt einen Regenbogen -Kite mit langen gelben Schwänzen zusammen.")</f>
        <v>Der Mann setzt einen Regenbogen -Kite mit langen gelben Schwänzen zusammen.</v>
      </c>
    </row>
    <row r="1347">
      <c r="A1347" s="4" t="s">
        <v>1692</v>
      </c>
      <c r="B1347" s="4" t="s">
        <v>1696</v>
      </c>
      <c r="C1347" s="5" t="str">
        <f>IFERROR(__xludf.DUMMYFUNCTION("GOOGLETRANSLATE(B1347,""en"",""de"")"),"Der Mann fährt einen kleinen grünen Mäh Traktor, während er den Kite -Schnur hält, während er darüber fliegt.")</f>
        <v>Der Mann fährt einen kleinen grünen Mäh Traktor, während er den Kite -Schnur hält, während er darüber fliegt.</v>
      </c>
    </row>
    <row r="1348">
      <c r="A1348" s="4" t="s">
        <v>1692</v>
      </c>
      <c r="B1348" s="4" t="s">
        <v>1697</v>
      </c>
      <c r="C1348" s="5" t="str">
        <f>IFERROR(__xludf.DUMMYFUNCTION("GOOGLETRANSLATE(B1348,""en"",""de"")"),"Eine junge Dame spricht auf dem Bildschirm und fährt dann den Traktor, während er den fliegenden Drachen hält.")</f>
        <v>Eine junge Dame spricht auf dem Bildschirm und fährt dann den Traktor, während er den fliegenden Drachen hält.</v>
      </c>
    </row>
    <row r="1349">
      <c r="A1349" s="4" t="s">
        <v>1698</v>
      </c>
      <c r="B1349" s="4" t="s">
        <v>1699</v>
      </c>
      <c r="C1349" s="5" t="str">
        <f>IFERROR(__xludf.DUMMYFUNCTION("GOOGLETRANSLATE(B1349,""en"",""de"")"),"Ein kleines Mädchen spielt Tischtennis und schlägt den Ball extrem schnell hin und her über das Netz.")</f>
        <v>Ein kleines Mädchen spielt Tischtennis und schlägt den Ball extrem schnell hin und her über das Netz.</v>
      </c>
    </row>
    <row r="1350">
      <c r="A1350" s="4" t="s">
        <v>1698</v>
      </c>
      <c r="B1350" s="4" t="s">
        <v>1700</v>
      </c>
      <c r="C1350" s="5" t="str">
        <f>IFERROR(__xludf.DUMMYFUNCTION("GOOGLETRANSLATE(B1350,""en"",""de"")"),"Einige der Bälle fliegen an ihr vorbei, aber sie schlägt weiterhin neue Bälle, ohne in der Pause zu gehen.")</f>
        <v>Einige der Bälle fliegen an ihr vorbei, aber sie schlägt weiterhin neue Bälle, ohne in der Pause zu gehen.</v>
      </c>
    </row>
    <row r="1351">
      <c r="A1351" s="4" t="s">
        <v>1701</v>
      </c>
      <c r="B1351" s="4" t="s">
        <v>1702</v>
      </c>
      <c r="C1351" s="5" t="str">
        <f>IFERROR(__xludf.DUMMYFUNCTION("GOOGLETRANSLATE(B1351,""en"",""de"")"),"Ein Mann geht hinüber und kanscht die Hände.")</f>
        <v>Ein Mann geht hinüber und kanscht die Hände.</v>
      </c>
    </row>
    <row r="1352">
      <c r="A1352" s="4" t="s">
        <v>1701</v>
      </c>
      <c r="B1352" s="4" t="s">
        <v>1703</v>
      </c>
      <c r="C1352" s="5" t="str">
        <f>IFERROR(__xludf.DUMMYFUNCTION("GOOGLETRANSLATE(B1352,""en"",""de"")"),"Der Mann geht die Bars, streckt und steht dort.")</f>
        <v>Der Mann geht die Bars, streckt und steht dort.</v>
      </c>
    </row>
    <row r="1353">
      <c r="A1353" s="4" t="s">
        <v>1701</v>
      </c>
      <c r="B1353" s="4" t="s">
        <v>1704</v>
      </c>
      <c r="C1353" s="5" t="str">
        <f>IFERROR(__xludf.DUMMYFUNCTION("GOOGLETRANSLATE(B1353,""en"",""de"")"),"Der Mann montiert die Stangen und beginnt sich zu drehen.")</f>
        <v>Der Mann montiert die Stangen und beginnt sich zu drehen.</v>
      </c>
    </row>
    <row r="1354">
      <c r="A1354" s="4" t="s">
        <v>1701</v>
      </c>
      <c r="B1354" s="4" t="s">
        <v>1705</v>
      </c>
      <c r="C1354" s="5" t="str">
        <f>IFERROR(__xludf.DUMMYFUNCTION("GOOGLETRANSLATE(B1354,""en"",""de"")"),"Der Mann flippt und steigt ab.")</f>
        <v>Der Mann flippt und steigt ab.</v>
      </c>
    </row>
    <row r="1355">
      <c r="A1355" s="4" t="s">
        <v>1701</v>
      </c>
      <c r="B1355" s="4" t="s">
        <v>1706</v>
      </c>
      <c r="C1355" s="5" t="str">
        <f>IFERROR(__xludf.DUMMYFUNCTION("GOOGLETRANSLATE(B1355,""en"",""de"")"),"Der Mann geht von den Bars weg.")</f>
        <v>Der Mann geht von den Bars weg.</v>
      </c>
    </row>
    <row r="1356">
      <c r="A1356" s="4" t="s">
        <v>1707</v>
      </c>
      <c r="B1356" s="4" t="s">
        <v>1708</v>
      </c>
      <c r="C1356" s="5" t="str">
        <f>IFERROR(__xludf.DUMMYFUNCTION("GOOGLETRANSLATE(B1356,""en"",""de"")"),"Eine Frau spricht, dann hält sie die Röhre eines Vakuums und zeigt die Düse.")</f>
        <v>Eine Frau spricht, dann hält sie die Röhre eines Vakuums und zeigt die Düse.</v>
      </c>
    </row>
    <row r="1357">
      <c r="A1357" s="4" t="s">
        <v>1707</v>
      </c>
      <c r="B1357" s="4" t="s">
        <v>1709</v>
      </c>
      <c r="C1357" s="5" t="str">
        <f>IFERROR(__xludf.DUMMYFUNCTION("GOOGLETRANSLATE(B1357,""en"",""de"")"),"Die Frau Vakuum Schmutz auf einem Teppich, dann erweitert sie die Röhre, während sie erklärt.")</f>
        <v>Die Frau Vakuum Schmutz auf einem Teppich, dann erweitert sie die Röhre, während sie erklärt.</v>
      </c>
    </row>
    <row r="1358">
      <c r="A1358" s="4" t="s">
        <v>1707</v>
      </c>
      <c r="B1358" s="4" t="s">
        <v>1710</v>
      </c>
      <c r="C1358" s="5" t="str">
        <f>IFERROR(__xludf.DUMMYFUNCTION("GOOGLETRANSLATE(B1358,""en"",""de"")"),"Dann legt die Frau eine kleine Düse und staubsaugen Sie eine Couch, dann erklärt sie, wie man den Staubbehälter entfernen.")</f>
        <v>Dann legt die Frau eine kleine Düse und staubsaugen Sie eine Couch, dann erklärt sie, wie man den Staubbehälter entfernen.</v>
      </c>
    </row>
    <row r="1359">
      <c r="A1359" s="4" t="s">
        <v>1707</v>
      </c>
      <c r="B1359" s="4" t="s">
        <v>1711</v>
      </c>
      <c r="C1359" s="5" t="str">
        <f>IFERROR(__xludf.DUMMYFUNCTION("GOOGLETRANSLATE(B1359,""en"",""de"")"),"Die Frau erklärt weiter neben dem Vakuum.")</f>
        <v>Die Frau erklärt weiter neben dem Vakuum.</v>
      </c>
    </row>
    <row r="1360">
      <c r="A1360" s="4" t="s">
        <v>1712</v>
      </c>
      <c r="B1360" s="4" t="s">
        <v>1713</v>
      </c>
      <c r="C1360" s="5" t="str">
        <f>IFERROR(__xludf.DUMMYFUNCTION("GOOGLETRANSLATE(B1360,""en"",""de"")"),"Zwei Männer reiten Pferde in einem staubigen Feld in Bergen.")</f>
        <v>Zwei Männer reiten Pferde in einem staubigen Feld in Bergen.</v>
      </c>
    </row>
    <row r="1361">
      <c r="A1361" s="4" t="s">
        <v>1712</v>
      </c>
      <c r="B1361" s="4" t="s">
        <v>1714</v>
      </c>
      <c r="C1361" s="5" t="str">
        <f>IFERROR(__xludf.DUMMYFUNCTION("GOOGLETRANSLATE(B1361,""en"",""de"")"),"Männer und eine Frau, die Kufiyyas auf ihren Köpfen trägt, stehen neben Pferden auf dem Dessert.")</f>
        <v>Männer und eine Frau, die Kufiyyas auf ihren Köpfen trägt, stehen neben Pferden auf dem Dessert.</v>
      </c>
    </row>
    <row r="1362">
      <c r="A1362" s="4" t="s">
        <v>1712</v>
      </c>
      <c r="B1362" s="4" t="s">
        <v>1715</v>
      </c>
      <c r="C1362" s="5" t="str">
        <f>IFERROR(__xludf.DUMMYFUNCTION("GOOGLETRANSLATE(B1362,""en"",""de"")"),"Dessert mit Bergen in der Ferne wird gezeigt und die Männer stehen neben einem Kinder, der mit den Pferden reiten, die in der Wüste gehen.")</f>
        <v>Dessert mit Bergen in der Ferne wird gezeigt und die Männer stehen neben einem Kinder, der mit den Pferden reiten, die in der Wüste gehen.</v>
      </c>
    </row>
    <row r="1363">
      <c r="A1363" s="4" t="s">
        <v>1716</v>
      </c>
      <c r="B1363" s="4" t="s">
        <v>1717</v>
      </c>
      <c r="C1363" s="5" t="str">
        <f>IFERROR(__xludf.DUMMYFUNCTION("GOOGLETRANSLATE(B1363,""en"",""de"")"),"Ein Mann und eine Frau stehen in einer Bar.")</f>
        <v>Ein Mann und eine Frau stehen in einer Bar.</v>
      </c>
    </row>
    <row r="1364">
      <c r="A1364" s="4" t="s">
        <v>1716</v>
      </c>
      <c r="B1364" s="4" t="s">
        <v>1718</v>
      </c>
      <c r="C1364" s="5" t="str">
        <f>IFERROR(__xludf.DUMMYFUNCTION("GOOGLETRANSLATE(B1364,""en"",""de"")"),"Wir sehen den Mann und einen Ballsaal der Frau tanzen.")</f>
        <v>Wir sehen den Mann und einen Ballsaal der Frau tanzen.</v>
      </c>
    </row>
    <row r="1365">
      <c r="A1365" s="4" t="s">
        <v>1716</v>
      </c>
      <c r="B1365" s="4" t="s">
        <v>1719</v>
      </c>
      <c r="C1365" s="5" t="str">
        <f>IFERROR(__xludf.DUMMYFUNCTION("GOOGLETRANSLATE(B1365,""en"",""de"")"),"Die Dame tritt ihr Bein hinter sie heraus.")</f>
        <v>Die Dame tritt ihr Bein hinter sie heraus.</v>
      </c>
    </row>
    <row r="1366">
      <c r="A1366" s="4" t="s">
        <v>1716</v>
      </c>
      <c r="B1366" s="4" t="s">
        <v>1720</v>
      </c>
      <c r="C1366" s="5" t="str">
        <f>IFERROR(__xludf.DUMMYFUNCTION("GOOGLETRANSLATE(B1366,""en"",""de"")"),"Wir zoomen auf den Beinen der Tänzer.")</f>
        <v>Wir zoomen auf den Beinen der Tänzer.</v>
      </c>
    </row>
    <row r="1367">
      <c r="A1367" s="4" t="s">
        <v>1716</v>
      </c>
      <c r="B1367" s="4" t="s">
        <v>1721</v>
      </c>
      <c r="C1367" s="5" t="str">
        <f>IFERROR(__xludf.DUMMYFUNCTION("GOOGLETRANSLATE(B1367,""en"",""de"")"),"Die Kamera wird verschwommen und die Szene endet.")</f>
        <v>Die Kamera wird verschwommen und die Szene endet.</v>
      </c>
    </row>
    <row r="1368">
      <c r="A1368" s="4" t="s">
        <v>1722</v>
      </c>
      <c r="B1368" s="4" t="s">
        <v>1723</v>
      </c>
      <c r="C1368" s="5" t="str">
        <f>IFERROR(__xludf.DUMMYFUNCTION("GOOGLETRANSLATE(B1368,""en"",""de"")"),"Ein Haufen Frauen wird gezeigt, wie sie in einem Innenpool ein Wasserballspiel spielen.")</f>
        <v>Ein Haufen Frauen wird gezeigt, wie sie in einem Innenpool ein Wasserballspiel spielen.</v>
      </c>
    </row>
    <row r="1369">
      <c r="A1369" s="4" t="s">
        <v>1722</v>
      </c>
      <c r="B1369" s="4" t="s">
        <v>1724</v>
      </c>
      <c r="C1369" s="5" t="str">
        <f>IFERROR(__xludf.DUMMYFUNCTION("GOOGLETRANSLATE(B1369,""en"",""de"")"),"Es scheint ein Turnier zu sein, da sie sehr wettbewerbsfähig sind und alles ausgehen.")</f>
        <v>Es scheint ein Turnier zu sein, da sie sehr wettbewerbsfähig sind und alles ausgehen.</v>
      </c>
    </row>
    <row r="1370">
      <c r="A1370" s="4" t="s">
        <v>1722</v>
      </c>
      <c r="B1370" s="4" t="s">
        <v>1725</v>
      </c>
      <c r="C1370" s="5" t="str">
        <f>IFERROR(__xludf.DUMMYFUNCTION("GOOGLETRANSLATE(B1370,""en"",""de"")"),"Verschiedene Aufnahmen der Wirkung sind in normaler Bewegung und Zeitlupe gezeigt.")</f>
        <v>Verschiedene Aufnahmen der Wirkung sind in normaler Bewegung und Zeitlupe gezeigt.</v>
      </c>
    </row>
    <row r="1371">
      <c r="A1371" s="4" t="s">
        <v>1722</v>
      </c>
      <c r="B1371" s="4" t="s">
        <v>1726</v>
      </c>
      <c r="C1371" s="5" t="str">
        <f>IFERROR(__xludf.DUMMYFUNCTION("GOOGLETRANSLATE(B1371,""en"",""de"")"),"Das Match scheint sehr angespannt zu werden, da beide Teams ihr Bestes geben, um zu punkten, und beide Torhüter haben eine große Verteidigung erzielt.")</f>
        <v>Das Match scheint sehr angespannt zu werden, da beide Teams ihr Bestes geben, um zu punkten, und beide Torhüter haben eine große Verteidigung erzielt.</v>
      </c>
    </row>
    <row r="1372">
      <c r="A1372" s="4" t="s">
        <v>1722</v>
      </c>
      <c r="B1372" s="4" t="s">
        <v>1727</v>
      </c>
      <c r="C1372" s="5" t="str">
        <f>IFERROR(__xludf.DUMMYFUNCTION("GOOGLETRANSLATE(B1372,""en"",""de"")"),"Ein junges Mädchen, das im Spiel spielte, wird dann mit ihrer ganzen Familie gezeigt, während sie ein Foto machen.")</f>
        <v>Ein junges Mädchen, das im Spiel spielte, wird dann mit ihrer ganzen Familie gezeigt, während sie ein Foto machen.</v>
      </c>
    </row>
    <row r="1373">
      <c r="A1373" s="4" t="s">
        <v>1728</v>
      </c>
      <c r="B1373" s="4" t="s">
        <v>1729</v>
      </c>
      <c r="C1373" s="5" t="str">
        <f>IFERROR(__xludf.DUMMYFUNCTION("GOOGLETRANSLATE(B1373,""en"",""de"")"),"Ein Mann nähert sich einem Koffer, der zu einem Schmutz steht.")</f>
        <v>Ein Mann nähert sich einem Koffer, der zu einem Schmutz steht.</v>
      </c>
    </row>
    <row r="1374">
      <c r="A1374" s="4" t="s">
        <v>1728</v>
      </c>
      <c r="B1374" s="4" t="s">
        <v>1730</v>
      </c>
      <c r="C1374" s="5" t="str">
        <f>IFERROR(__xludf.DUMMYFUNCTION("GOOGLETRANSLATE(B1374,""en"",""de"")"),"Er schnappt sich eine Axt, die auf dem Schmutz sitzt.")</f>
        <v>Er schnappt sich eine Axt, die auf dem Schmutz sitzt.</v>
      </c>
    </row>
    <row r="1375">
      <c r="A1375" s="4" t="s">
        <v>1728</v>
      </c>
      <c r="B1375" s="4" t="s">
        <v>1731</v>
      </c>
      <c r="C1375" s="5" t="str">
        <f>IFERROR(__xludf.DUMMYFUNCTION("GOOGLETRANSLATE(B1375,""en"",""de"")"),"Er nimmt die Axt und schneidet den Kofferraum in zwei Hälften.")</f>
        <v>Er nimmt die Axt und schneidet den Kofferraum in zwei Hälften.</v>
      </c>
    </row>
    <row r="1376">
      <c r="A1376" s="4" t="s">
        <v>1728</v>
      </c>
      <c r="B1376" s="4" t="s">
        <v>1732</v>
      </c>
      <c r="C1376" s="5" t="str">
        <f>IFERROR(__xludf.DUMMYFUNCTION("GOOGLETRANSLATE(B1376,""en"",""de"")"),"Der Kofferraum fällt und er nimmt eine der Hälften auf.")</f>
        <v>Der Kofferraum fällt und er nimmt eine der Hälften auf.</v>
      </c>
    </row>
    <row r="1377">
      <c r="A1377" s="4" t="s">
        <v>1728</v>
      </c>
      <c r="B1377" s="4" t="s">
        <v>1733</v>
      </c>
      <c r="C1377" s="5" t="str">
        <f>IFERROR(__xludf.DUMMYFUNCTION("GOOGLETRANSLATE(B1377,""en"",""de"")"),"Er nimmt die Axt zum Kofferraum und schneidet sie in zwei Hälften.")</f>
        <v>Er nimmt die Axt zum Kofferraum und schneidet sie in zwei Hälften.</v>
      </c>
    </row>
    <row r="1378">
      <c r="A1378" s="4" t="s">
        <v>1728</v>
      </c>
      <c r="B1378" s="4" t="s">
        <v>1734</v>
      </c>
      <c r="C1378" s="5" t="str">
        <f>IFERROR(__xludf.DUMMYFUNCTION("GOOGLETRANSLATE(B1378,""en"",""de"")"),"Er steht den anderen Kofferraum und schneidet ihn in zwei Hälften.")</f>
        <v>Er steht den anderen Kofferraum und schneidet ihn in zwei Hälften.</v>
      </c>
    </row>
    <row r="1379">
      <c r="A1379" s="4" t="s">
        <v>1735</v>
      </c>
      <c r="B1379" s="4" t="s">
        <v>1736</v>
      </c>
      <c r="C1379" s="5" t="str">
        <f>IFERROR(__xludf.DUMMYFUNCTION("GOOGLETRANSLATE(B1379,""en"",""de"")"),"Zwei Männer stehen am Tisch in Arm Wrestling Position.")</f>
        <v>Zwei Männer stehen am Tisch in Arm Wrestling Position.</v>
      </c>
    </row>
    <row r="1380">
      <c r="A1380" s="4" t="s">
        <v>1735</v>
      </c>
      <c r="B1380" s="4" t="s">
        <v>1737</v>
      </c>
      <c r="C1380" s="5" t="str">
        <f>IFERROR(__xludf.DUMMYFUNCTION("GOOGLETRANSLATE(B1380,""en"",""de"")"),"Eine Frau positioniert die Männer und hält ihre Hände.")</f>
        <v>Eine Frau positioniert die Männer und hält ihre Hände.</v>
      </c>
    </row>
    <row r="1381">
      <c r="A1381" s="4" t="s">
        <v>1735</v>
      </c>
      <c r="B1381" s="4" t="s">
        <v>1738</v>
      </c>
      <c r="C1381" s="5" t="str">
        <f>IFERROR(__xludf.DUMMYFUNCTION("GOOGLETRANSLATE(B1381,""en"",""de"")"),"Ein Mann ohne Brille beugt sich mit seinem Gewicht an der Seite.")</f>
        <v>Ein Mann ohne Brille beugt sich mit seinem Gewicht an der Seite.</v>
      </c>
    </row>
    <row r="1382">
      <c r="A1382" s="4" t="s">
        <v>1735</v>
      </c>
      <c r="B1382" s="4" t="s">
        <v>1739</v>
      </c>
      <c r="C1382" s="5" t="str">
        <f>IFERROR(__xludf.DUMMYFUNCTION("GOOGLETRANSLATE(B1382,""en"",""de"")"),"Der Mann mit Glas legte die Hand des anderen Mannes nieder und gewann.")</f>
        <v>Der Mann mit Glas legte die Hand des anderen Mannes nieder und gewann.</v>
      </c>
    </row>
    <row r="1383">
      <c r="A1383" s="4" t="s">
        <v>1740</v>
      </c>
      <c r="B1383" s="4" t="s">
        <v>1741</v>
      </c>
      <c r="C1383" s="5" t="str">
        <f>IFERROR(__xludf.DUMMYFUNCTION("GOOGLETRANSLATE(B1383,""en"",""de"")"),"Damen stehen in einem Trainingsraum.")</f>
        <v>Damen stehen in einem Trainingsraum.</v>
      </c>
    </row>
    <row r="1384">
      <c r="A1384" s="4" t="s">
        <v>1740</v>
      </c>
      <c r="B1384" s="4" t="s">
        <v>1742</v>
      </c>
      <c r="C1384" s="5" t="str">
        <f>IFERROR(__xludf.DUMMYFUNCTION("GOOGLETRANSLATE(B1384,""en"",""de"")"),"Die Damen tanzen Bauch.")</f>
        <v>Die Damen tanzen Bauch.</v>
      </c>
    </row>
    <row r="1385">
      <c r="A1385" s="4" t="s">
        <v>1740</v>
      </c>
      <c r="B1385" s="4" t="s">
        <v>1743</v>
      </c>
      <c r="C1385" s="5" t="str">
        <f>IFERROR(__xludf.DUMMYFUNCTION("GOOGLETRANSLATE(B1385,""en"",""de"")"),"Die Damen tauchen ab und werfen ihre Haare nach hinten.")</f>
        <v>Die Damen tauchen ab und werfen ihre Haare nach hinten.</v>
      </c>
    </row>
    <row r="1386">
      <c r="A1386" s="4" t="s">
        <v>1740</v>
      </c>
      <c r="B1386" s="4" t="s">
        <v>1744</v>
      </c>
      <c r="C1386" s="5" t="str">
        <f>IFERROR(__xludf.DUMMYFUNCTION("GOOGLETRANSLATE(B1386,""en"",""de"")"),"Sie schwingen ihre getauchten Körper.")</f>
        <v>Sie schwingen ihre getauchten Körper.</v>
      </c>
    </row>
    <row r="1387">
      <c r="A1387" s="4" t="s">
        <v>1740</v>
      </c>
      <c r="B1387" s="4" t="s">
        <v>1745</v>
      </c>
      <c r="C1387" s="5" t="str">
        <f>IFERROR(__xludf.DUMMYFUNCTION("GOOGLETRANSLATE(B1387,""en"",""de"")"),"Die Damen tauchen und beugen sich nach hinten.")</f>
        <v>Die Damen tauchen und beugen sich nach hinten.</v>
      </c>
    </row>
    <row r="1388">
      <c r="A1388" s="4" t="s">
        <v>1740</v>
      </c>
      <c r="B1388" s="4" t="s">
        <v>1746</v>
      </c>
      <c r="C1388" s="5" t="str">
        <f>IFERROR(__xludf.DUMMYFUNCTION("GOOGLETRANSLATE(B1388,""en"",""de"")"),"Die Damen werfen ihre Haare hin und her.")</f>
        <v>Die Damen werfen ihre Haare hin und her.</v>
      </c>
    </row>
    <row r="1389">
      <c r="A1389" s="4" t="s">
        <v>1740</v>
      </c>
      <c r="B1389" s="4" t="s">
        <v>1747</v>
      </c>
      <c r="C1389" s="5" t="str">
        <f>IFERROR(__xludf.DUMMYFUNCTION("GOOGLETRANSLATE(B1389,""en"",""de"")"),"2:43 Ein Mann befindet sich im Raum im Rücken und biegt sich nieder.")</f>
        <v>2:43 Ein Mann befindet sich im Raum im Rücken und biegt sich nieder.</v>
      </c>
    </row>
    <row r="1390">
      <c r="A1390" s="4" t="s">
        <v>1740</v>
      </c>
      <c r="B1390" s="4" t="s">
        <v>1748</v>
      </c>
      <c r="C1390" s="5" t="str">
        <f>IFERROR(__xludf.DUMMYFUNCTION("GOOGLETRANSLATE(B1390,""en"",""de"")"),"Die Damen beenden das Tanzen und nutzen einen Verbeugerchen.")</f>
        <v>Die Damen beenden das Tanzen und nutzen einen Verbeugerchen.</v>
      </c>
    </row>
    <row r="1391">
      <c r="A1391" s="4" t="s">
        <v>1749</v>
      </c>
      <c r="B1391" s="4" t="s">
        <v>1750</v>
      </c>
      <c r="C1391" s="5" t="str">
        <f>IFERROR(__xludf.DUMMYFUNCTION("GOOGLETRANSLATE(B1391,""en"",""de"")"),"Es ist eine Nacht draußen auf einer Pferdebranch und viele Leute stehen herum.")</f>
        <v>Es ist eine Nacht draußen auf einer Pferdebranch und viele Leute stehen herum.</v>
      </c>
    </row>
    <row r="1392">
      <c r="A1392" s="4" t="s">
        <v>1749</v>
      </c>
      <c r="B1392" s="4" t="s">
        <v>1751</v>
      </c>
      <c r="C1392" s="5" t="str">
        <f>IFERROR(__xludf.DUMMYFUNCTION("GOOGLETRANSLATE(B1392,""en"",""de"")"),"Plötzlich rennt ein Pferd mit einem Mann, der auf ihm fährt, und es gibt ein Kalb, das dem Pferd seilt, das vor ihnen rennt.")</f>
        <v>Plötzlich rennt ein Pferd mit einem Mann, der auf ihm fährt, und es gibt ein Kalb, das dem Pferd seilt, das vor ihnen rennt.</v>
      </c>
    </row>
    <row r="1393">
      <c r="A1393" s="4" t="s">
        <v>1749</v>
      </c>
      <c r="B1393" s="4" t="s">
        <v>1752</v>
      </c>
      <c r="C1393" s="5" t="str">
        <f>IFERROR(__xludf.DUMMYFUNCTION("GOOGLETRANSLATE(B1393,""en"",""de"")"),"Der Mann Lassos das Kalb, springt vom Pferd, wirft das Kalb auf die Seite und verbindet es schnell.")</f>
        <v>Der Mann Lassos das Kalb, springt vom Pferd, wirft das Kalb auf die Seite und verbindet es schnell.</v>
      </c>
    </row>
    <row r="1394">
      <c r="A1394" s="4" t="s">
        <v>1749</v>
      </c>
      <c r="B1394" s="4" t="s">
        <v>1753</v>
      </c>
      <c r="C1394" s="5" t="str">
        <f>IFERROR(__xludf.DUMMYFUNCTION("GOOGLETRANSLATE(B1394,""en"",""de"")"),"Der Mann steht auf, geht zurück zu seinem Pferd, springt zurück und das Pferd beginnt langsam zu laufen, während das Kalb versucht, aufzustehen.")</f>
        <v>Der Mann steht auf, geht zurück zu seinem Pferd, springt zurück und das Pferd beginnt langsam zu laufen, während das Kalb versucht, aufzustehen.</v>
      </c>
    </row>
    <row r="1395">
      <c r="A1395" s="4" t="s">
        <v>1754</v>
      </c>
      <c r="B1395" s="4" t="s">
        <v>1755</v>
      </c>
      <c r="C1395" s="5" t="str">
        <f>IFERROR(__xludf.DUMMYFUNCTION("GOOGLETRANSLATE(B1395,""en"",""de"")"),"Wir sehen einen Öffnungsbildschirm mit einem Mond.")</f>
        <v>Wir sehen einen Öffnungsbildschirm mit einem Mond.</v>
      </c>
    </row>
    <row r="1396">
      <c r="A1396" s="4" t="s">
        <v>1754</v>
      </c>
      <c r="B1396" s="4" t="s">
        <v>1756</v>
      </c>
      <c r="C1396" s="5" t="str">
        <f>IFERROR(__xludf.DUMMYFUNCTION("GOOGLETRANSLATE(B1396,""en"",""de"")"),"Eine Dame scheint einen Kürbis zu halten.")</f>
        <v>Eine Dame scheint einen Kürbis zu halten.</v>
      </c>
    </row>
    <row r="1397">
      <c r="A1397" s="4" t="s">
        <v>1754</v>
      </c>
      <c r="B1397" s="4" t="s">
        <v>1757</v>
      </c>
      <c r="C1397" s="5" t="str">
        <f>IFERROR(__xludf.DUMMYFUNCTION("GOOGLETRANSLATE(B1397,""en"",""de"")"),"Wir sehen die Dame in der unteren linken Hand des Bildschirms reden.")</f>
        <v>Wir sehen die Dame in der unteren linken Hand des Bildschirms reden.</v>
      </c>
    </row>
    <row r="1398">
      <c r="A1398" s="4" t="s">
        <v>1754</v>
      </c>
      <c r="B1398" s="4" t="s">
        <v>1758</v>
      </c>
      <c r="C1398" s="5" t="str">
        <f>IFERROR(__xludf.DUMMYFUNCTION("GOOGLETRANSLATE(B1398,""en"",""de"")"),"Wir sehen eine Person öffnen und reinigen einen Kürbis.")</f>
        <v>Wir sehen eine Person öffnen und reinigen einen Kürbis.</v>
      </c>
    </row>
    <row r="1399">
      <c r="A1399" s="4" t="s">
        <v>1754</v>
      </c>
      <c r="B1399" s="4" t="s">
        <v>1759</v>
      </c>
      <c r="C1399" s="5" t="str">
        <f>IFERROR(__xludf.DUMMYFUNCTION("GOOGLETRANSLATE(B1399,""en"",""de"")"),"Wir sehen, wie die Person eine Zeichnung mit einem Kürbis schnitzt.")</f>
        <v>Wir sehen, wie die Person eine Zeichnung mit einem Kürbis schnitzt.</v>
      </c>
    </row>
    <row r="1400">
      <c r="A1400" s="4" t="s">
        <v>1754</v>
      </c>
      <c r="B1400" s="4" t="s">
        <v>1760</v>
      </c>
      <c r="C1400" s="5" t="str">
        <f>IFERROR(__xludf.DUMMYFUNCTION("GOOGLETRANSLATE(B1400,""en"",""de"")"),"Wir sehen, wie eine Person mit einem schwarzen Marker auf den Kürbis zieht.")</f>
        <v>Wir sehen, wie eine Person mit einem schwarzen Marker auf den Kürbis zieht.</v>
      </c>
    </row>
    <row r="1401">
      <c r="A1401" s="4" t="s">
        <v>1754</v>
      </c>
      <c r="B1401" s="4" t="s">
        <v>1761</v>
      </c>
      <c r="C1401" s="5" t="str">
        <f>IFERROR(__xludf.DUMMYFUNCTION("GOOGLETRANSLATE(B1401,""en"",""de"")"),"Wir sehen den fertigen Jack O Lantern mit einer Kerze.")</f>
        <v>Wir sehen den fertigen Jack O Lantern mit einer Kerze.</v>
      </c>
    </row>
    <row r="1402">
      <c r="A1402" s="4" t="s">
        <v>1762</v>
      </c>
      <c r="B1402" s="4" t="s">
        <v>1763</v>
      </c>
      <c r="C1402" s="5" t="str">
        <f>IFERROR(__xludf.DUMMYFUNCTION("GOOGLETRANSLATE(B1402,""en"",""de"")"),"Ein Gymnastikmädchen spielt einen Balancestrahl.")</f>
        <v>Ein Gymnastikmädchen spielt einen Balancestrahl.</v>
      </c>
    </row>
    <row r="1403">
      <c r="A1403" s="4" t="s">
        <v>1762</v>
      </c>
      <c r="B1403" s="4" t="s">
        <v>1764</v>
      </c>
      <c r="C1403" s="5" t="str">
        <f>IFERROR(__xludf.DUMMYFUNCTION("GOOGLETRANSLATE(B1403,""en"",""de"")"),"Das Mädchen bereitet sich bereit, aus einem Sprungkissen auf den Strahl zu steigen.")</f>
        <v>Das Mädchen bereitet sich bereit, aus einem Sprungkissen auf den Strahl zu steigen.</v>
      </c>
    </row>
    <row r="1404">
      <c r="A1404" s="4" t="s">
        <v>1762</v>
      </c>
      <c r="B1404" s="4" t="s">
        <v>1765</v>
      </c>
      <c r="C1404" s="5" t="str">
        <f>IFERROR(__xludf.DUMMYFUNCTION("GOOGLETRANSLATE(B1404,""en"",""de"")"),"Das Mädchen tritt makellos auf dem Strahl auf.")</f>
        <v>Das Mädchen tritt makellos auf dem Strahl auf.</v>
      </c>
    </row>
    <row r="1405">
      <c r="A1405" s="4" t="s">
        <v>1762</v>
      </c>
      <c r="B1405" s="4" t="s">
        <v>1766</v>
      </c>
      <c r="C1405" s="5" t="str">
        <f>IFERROR(__xludf.DUMMYFUNCTION("GOOGLETRANSLATE(B1405,""en"",""de"")"),"Das Mädchen landet perfekt auf dem Boden mit einem großen Lächeln.")</f>
        <v>Das Mädchen landet perfekt auf dem Boden mit einem großen Lächeln.</v>
      </c>
    </row>
    <row r="1406">
      <c r="A1406" s="4" t="s">
        <v>1767</v>
      </c>
      <c r="B1406" s="4" t="s">
        <v>1768</v>
      </c>
      <c r="C1406" s="5" t="str">
        <f>IFERROR(__xludf.DUMMYFUNCTION("GOOGLETRANSLATE(B1406,""en"",""de"")"),"Ein Mann wird gesehen, wie eine Maschine über einen langen Blätterabschnitt verwendet wird, während sie den Rasen auf und ab bewegt.")</f>
        <v>Ein Mann wird gesehen, wie eine Maschine über einen langen Blätterabschnitt verwendet wird, während sie den Rasen auf und ab bewegt.</v>
      </c>
    </row>
    <row r="1407">
      <c r="A1407" s="4" t="s">
        <v>1767</v>
      </c>
      <c r="B1407" s="4" t="s">
        <v>1769</v>
      </c>
      <c r="C1407" s="5" t="str">
        <f>IFERROR(__xludf.DUMMYFUNCTION("GOOGLETRANSLATE(B1407,""en"",""de"")"),"Er schiebt die Blätter weiter in der Gegend und bewegt sich auf und ab den Rasen.")</f>
        <v>Er schiebt die Blätter weiter in der Gegend und bewegt sich auf und ab den Rasen.</v>
      </c>
    </row>
    <row r="1408">
      <c r="A1408" s="4" t="s">
        <v>1770</v>
      </c>
      <c r="B1408" s="4" t="s">
        <v>1771</v>
      </c>
      <c r="C1408" s="5" t="str">
        <f>IFERROR(__xludf.DUMMYFUNCTION("GOOGLETRANSLATE(B1408,""en"",""de"")"),"Ein Mann stellt das Thema des Videos vor, nämlich wie man einen Smash -Shot in Badminton macht.")</f>
        <v>Ein Mann stellt das Thema des Videos vor, nämlich wie man einen Smash -Shot in Badminton macht.</v>
      </c>
    </row>
    <row r="1409">
      <c r="A1409" s="4" t="s">
        <v>1770</v>
      </c>
      <c r="B1409" s="4" t="s">
        <v>1772</v>
      </c>
      <c r="C1409" s="5" t="str">
        <f>IFERROR(__xludf.DUMMYFUNCTION("GOOGLETRANSLATE(B1409,""en"",""de"")"),"Er demonstriert langsam den notwendigen Ansatz und die Form des Schusses.")</f>
        <v>Er demonstriert langsam den notwendigen Ansatz und die Form des Schusses.</v>
      </c>
    </row>
    <row r="1410">
      <c r="A1410" s="4" t="s">
        <v>1770</v>
      </c>
      <c r="B1410" s="4" t="s">
        <v>1773</v>
      </c>
      <c r="C1410" s="5" t="str">
        <f>IFERROR(__xludf.DUMMYFUNCTION("GOOGLETRANSLATE(B1410,""en"",""de"")"),"Wir sehen dann, dass ein Spieler den Schuss mehrmals ausführt, wenn eine andere Person ihn aufstellt.")</f>
        <v>Wir sehen dann, dass ein Spieler den Schuss mehrmals ausführt, wenn eine andere Person ihn aufstellt.</v>
      </c>
    </row>
    <row r="1411">
      <c r="A1411" s="4" t="s">
        <v>1774</v>
      </c>
      <c r="B1411" s="4" t="s">
        <v>1775</v>
      </c>
      <c r="C1411" s="5" t="str">
        <f>IFERROR(__xludf.DUMMYFUNCTION("GOOGLETRANSLATE(B1411,""en"",""de"")"),"Ein männlicher Turner in einem blauen Outfit wendet Kreidestaub in seine Hände.")</f>
        <v>Ein männlicher Turner in einem blauen Outfit wendet Kreidestaub in seine Hände.</v>
      </c>
    </row>
    <row r="1412">
      <c r="A1412" s="4" t="s">
        <v>1774</v>
      </c>
      <c r="B1412" s="4" t="s">
        <v>1776</v>
      </c>
      <c r="C1412" s="5" t="str">
        <f>IFERROR(__xludf.DUMMYFUNCTION("GOOGLETRANSLATE(B1412,""en"",""de"")"),"Es erscheint eine Infografik, die seinen Namen als Danell Leyva aus den USA zeigt.")</f>
        <v>Es erscheint eine Infografik, die seinen Namen als Danell Leyva aus den USA zeigt.</v>
      </c>
    </row>
    <row r="1413">
      <c r="A1413" s="4" t="s">
        <v>1774</v>
      </c>
      <c r="B1413" s="4" t="s">
        <v>1777</v>
      </c>
      <c r="C1413" s="5" t="str">
        <f>IFERROR(__xludf.DUMMYFUNCTION("GOOGLETRANSLATE(B1413,""en"",""de"")"),"Er tritt auf parallele Bars und Wellen.")</f>
        <v>Er tritt auf parallele Bars und Wellen.</v>
      </c>
    </row>
    <row r="1414">
      <c r="A1414" s="4" t="s">
        <v>1774</v>
      </c>
      <c r="B1414" s="4" t="s">
        <v>1778</v>
      </c>
      <c r="C1414" s="5" t="str">
        <f>IFERROR(__xludf.DUMMYFUNCTION("GOOGLETRANSLATE(B1414,""en"",""de"")"),"Er führt seine Routine durch und führt viele Flips und Handstand aus.")</f>
        <v>Er führt seine Routine durch und führt viele Flips und Handstand aus.</v>
      </c>
    </row>
    <row r="1415">
      <c r="A1415" s="4" t="s">
        <v>1774</v>
      </c>
      <c r="B1415" s="4" t="s">
        <v>1779</v>
      </c>
      <c r="C1415" s="5" t="str">
        <f>IFERROR(__xludf.DUMMYFUNCTION("GOOGLETRANSLATE(B1415,""en"",""de"")"),"Er steigt schlecht ab, fällt um und landet auf dem Rücken neben der Matte.")</f>
        <v>Er steigt schlecht ab, fällt um und landet auf dem Rücken neben der Matte.</v>
      </c>
    </row>
    <row r="1416">
      <c r="A1416" s="4" t="s">
        <v>1774</v>
      </c>
      <c r="B1416" s="4" t="s">
        <v>1780</v>
      </c>
      <c r="C1416" s="5" t="str">
        <f>IFERROR(__xludf.DUMMYFUNCTION("GOOGLETRANSLATE(B1416,""en"",""de"")"),"Er tritt zurück auf die Matte und hebt kurz die Arme.")</f>
        <v>Er tritt zurück auf die Matte und hebt kurz die Arme.</v>
      </c>
    </row>
    <row r="1417">
      <c r="A1417" s="4" t="s">
        <v>1781</v>
      </c>
      <c r="B1417" s="4" t="s">
        <v>1782</v>
      </c>
      <c r="C1417" s="5" t="str">
        <f>IFERROR(__xludf.DUMMYFUNCTION("GOOGLETRANSLATE(B1417,""en"",""de"")"),"Hockeyspieler gehen auf das Eis und begrüßen sich gegenseitig.")</f>
        <v>Hockeyspieler gehen auf das Eis und begrüßen sich gegenseitig.</v>
      </c>
    </row>
    <row r="1418">
      <c r="A1418" s="4" t="s">
        <v>1781</v>
      </c>
      <c r="B1418" s="4" t="s">
        <v>1783</v>
      </c>
      <c r="C1418" s="5" t="str">
        <f>IFERROR(__xludf.DUMMYFUNCTION("GOOGLETRANSLATE(B1418,""en"",""de"")"),"Sie spielen das Spiel und versuchen, den Puck an ihren Gegnern in das Tor zu bringen.")</f>
        <v>Sie spielen das Spiel und versuchen, den Puck an ihren Gegnern in das Tor zu bringen.</v>
      </c>
    </row>
    <row r="1419">
      <c r="A1419" s="4" t="s">
        <v>1781</v>
      </c>
      <c r="B1419" s="4" t="s">
        <v>1784</v>
      </c>
      <c r="C1419" s="5" t="str">
        <f>IFERROR(__xludf.DUMMYFUNCTION("GOOGLETRANSLATE(B1419,""en"",""de"")"),"Sie rollen langsam auf dem Eis herum.")</f>
        <v>Sie rollen langsam auf dem Eis herum.</v>
      </c>
    </row>
    <row r="1420">
      <c r="A1420" s="4" t="s">
        <v>1785</v>
      </c>
      <c r="B1420" s="4" t="s">
        <v>1786</v>
      </c>
      <c r="C1420" s="5" t="str">
        <f>IFERROR(__xludf.DUMMYFUNCTION("GOOGLETRANSLATE(B1420,""en"",""de"")"),"Eine sportliche Frau dehnt sich mit einem Ball und schwingt ihre Beine zurück und den vierten Platz.")</f>
        <v>Eine sportliche Frau dehnt sich mit einem Ball und schwingt ihre Beine zurück und den vierten Platz.</v>
      </c>
    </row>
    <row r="1421">
      <c r="A1421" s="4" t="s">
        <v>1785</v>
      </c>
      <c r="B1421" s="4" t="s">
        <v>1787</v>
      </c>
      <c r="C1421" s="5" t="str">
        <f>IFERROR(__xludf.DUMMYFUNCTION("GOOGLETRANSLATE(B1421,""en"",""de"")"),"Sie wirft den Ball und bereitet sich wieder auf einen weiteren Wurf vor.")</f>
        <v>Sie wirft den Ball und bereitet sich wieder auf einen weiteren Wurf vor.</v>
      </c>
    </row>
    <row r="1422">
      <c r="A1422" s="4" t="s">
        <v>1785</v>
      </c>
      <c r="B1422" s="4" t="s">
        <v>1788</v>
      </c>
      <c r="C1422" s="5" t="str">
        <f>IFERROR(__xludf.DUMMYFUNCTION("GOOGLETRANSLATE(B1422,""en"",""de"")"),"Kurz darauf dreht sie den Ball erneut mit einem dritten Wurf.")</f>
        <v>Kurz darauf dreht sie den Ball erneut mit einem dritten Wurf.</v>
      </c>
    </row>
    <row r="1423">
      <c r="A1423" s="4" t="s">
        <v>1785</v>
      </c>
      <c r="B1423" s="4" t="s">
        <v>1789</v>
      </c>
      <c r="C1423" s="5" t="str">
        <f>IFERROR(__xludf.DUMMYFUNCTION("GOOGLETRANSLATE(B1423,""en"",""de"")"),"Sie führt einen letzten Wurf durch und dreht sich erneut herum.")</f>
        <v>Sie führt einen letzten Wurf durch und dreht sich erneut herum.</v>
      </c>
    </row>
    <row r="1424">
      <c r="A1424" s="4" t="s">
        <v>1790</v>
      </c>
      <c r="B1424" s="4" t="s">
        <v>1791</v>
      </c>
      <c r="C1424" s="5" t="str">
        <f>IFERROR(__xludf.DUMMYFUNCTION("GOOGLETRANSLATE(B1424,""en"",""de"")"),"Baumwollbälle werden in Brand gesteckt und auf verschiedene Weise herausgebracht.")</f>
        <v>Baumwollbälle werden in Brand gesteckt und auf verschiedene Weise herausgebracht.</v>
      </c>
    </row>
    <row r="1425">
      <c r="A1425" s="4" t="s">
        <v>1790</v>
      </c>
      <c r="B1425" s="4" t="s">
        <v>1792</v>
      </c>
      <c r="C1425" s="5" t="str">
        <f>IFERROR(__xludf.DUMMYFUNCTION("GOOGLETRANSLATE(B1425,""en"",""de"")"),"Eine Axt wird verwendet, um das Feuer zu löschen.")</f>
        <v>Eine Axt wird verwendet, um das Feuer zu löschen.</v>
      </c>
    </row>
    <row r="1426">
      <c r="A1426" s="4" t="s">
        <v>1790</v>
      </c>
      <c r="B1426" s="4" t="s">
        <v>1793</v>
      </c>
      <c r="C1426" s="5" t="str">
        <f>IFERROR(__xludf.DUMMYFUNCTION("GOOGLETRANSLATE(B1426,""en"",""de"")"),"Ein Stück Holz wird verwendet, um das Feuer zu löschen.")</f>
        <v>Ein Stück Holz wird verwendet, um das Feuer zu löschen.</v>
      </c>
    </row>
    <row r="1427">
      <c r="A1427" s="4" t="s">
        <v>1794</v>
      </c>
      <c r="B1427" s="4" t="s">
        <v>1795</v>
      </c>
      <c r="C1427" s="5" t="str">
        <f>IFERROR(__xludf.DUMMYFUNCTION("GOOGLETRANSLATE(B1427,""en"",""de"")"),"Eine Frau wäscht den Kopf eines Mannes und schneidet ihm die Haare, dann steht die Frau den nächsten zwei Mann und berührt den Kopf des jungen Mannes.")</f>
        <v>Eine Frau wäscht den Kopf eines Mannes und schneidet ihm die Haare, dann steht die Frau den nächsten zwei Mann und berührt den Kopf des jungen Mannes.</v>
      </c>
    </row>
    <row r="1428">
      <c r="A1428" s="4" t="s">
        <v>1794</v>
      </c>
      <c r="B1428" s="4" t="s">
        <v>1796</v>
      </c>
      <c r="C1428" s="5" t="str">
        <f>IFERROR(__xludf.DUMMYFUNCTION("GOOGLETRANSLATE(B1428,""en"",""de"")"),"Die Frau schneidet die Haare eines jungen Mannes mit zunächst eine Maschine und dann einen Kamm und eine Schere.")</f>
        <v>Die Frau schneidet die Haare eines jungen Mannes mit zunächst eine Maschine und dann einen Kamm und eine Schere.</v>
      </c>
    </row>
    <row r="1429">
      <c r="A1429" s="4" t="s">
        <v>1794</v>
      </c>
      <c r="B1429" s="4" t="s">
        <v>1797</v>
      </c>
      <c r="C1429" s="5" t="str">
        <f>IFERROR(__xludf.DUMMYFUNCTION("GOOGLETRANSLATE(B1429,""en"",""de"")"),"Dann trocknet die Frau das Haar mit einem Trockner und streift den Kopf.")</f>
        <v>Dann trocknet die Frau das Haar mit einem Trockner und streift den Kopf.</v>
      </c>
    </row>
    <row r="1430">
      <c r="A1430" s="4" t="s">
        <v>1794</v>
      </c>
      <c r="B1430" s="4" t="s">
        <v>1798</v>
      </c>
      <c r="C1430" s="5" t="str">
        <f>IFERROR(__xludf.DUMMYFUNCTION("GOOGLETRANSLATE(B1430,""en"",""de"")"),"Danach nimmt die Frau Creme auf ihre Hände und kämmt den Kopf des Mannes mit ihren Fingern, um den Haaren Form zu geben.")</f>
        <v>Danach nimmt die Frau Creme auf ihre Hände und kämmt den Kopf des Mannes mit ihren Fingern, um den Haaren Form zu geben.</v>
      </c>
    </row>
    <row r="1431">
      <c r="A1431" s="4" t="s">
        <v>1794</v>
      </c>
      <c r="B1431" s="4" t="s">
        <v>1799</v>
      </c>
      <c r="C1431" s="5" t="str">
        <f>IFERROR(__xludf.DUMMYFUNCTION("GOOGLETRANSLATE(B1431,""en"",""de"")"),"Als nächstes erklärt die Frau die Frisur.")</f>
        <v>Als nächstes erklärt die Frau die Frisur.</v>
      </c>
    </row>
    <row r="1432">
      <c r="A1432" s="4" t="s">
        <v>1800</v>
      </c>
      <c r="B1432" s="4" t="s">
        <v>1801</v>
      </c>
      <c r="C1432" s="5" t="str">
        <f>IFERROR(__xludf.DUMMYFUNCTION("GOOGLETRANSLATE(B1432,""en"",""de"")"),"Die Menschen gehen in den Gängen eines Krankenhauses, dann bewertet ein Arzt das verletzte Bein eines Mannes, der grüne Funkeln auf dem Bein und eine Maschine hinterlässt.")</f>
        <v>Die Menschen gehen in den Gängen eines Krankenhauses, dann bewertet ein Arzt das verletzte Bein eines Mannes, der grüne Funkeln auf dem Bein und eine Maschine hinterlässt.</v>
      </c>
    </row>
    <row r="1433">
      <c r="A1433" s="4" t="s">
        <v>1800</v>
      </c>
      <c r="B1433" s="4" t="s">
        <v>1802</v>
      </c>
      <c r="C1433" s="5" t="str">
        <f>IFERROR(__xludf.DUMMYFUNCTION("GOOGLETRANSLATE(B1433,""en"",""de"")"),"Dann ruft der Mann an und lässt grüne Funkeln am Telefon, dass er an die Hand einer Krankenschwester übergeht, die das Telefon greift.")</f>
        <v>Dann ruft der Mann an und lässt grüne Funkeln am Telefon, dass er an die Hand einer Krankenschwester übergeht, die das Telefon greift.</v>
      </c>
    </row>
    <row r="1434">
      <c r="A1434" s="4" t="s">
        <v>1800</v>
      </c>
      <c r="B1434" s="4" t="s">
        <v>1803</v>
      </c>
      <c r="C1434" s="5" t="str">
        <f>IFERROR(__xludf.DUMMYFUNCTION("GOOGLETRANSLATE(B1434,""en"",""de"")"),"Nachdem die Krankenschwester einen kranken Mann besucht hatte, zwei Ärzte, die grüne Funkeln auf ihren Händen tragen, die dem kranken Mann hinterlassen.")</f>
        <v>Nachdem die Krankenschwester einen kranken Mann besucht hatte, zwei Ärzte, die grüne Funkeln auf ihren Händen tragen, die dem kranken Mann hinterlassen.</v>
      </c>
    </row>
    <row r="1435">
      <c r="A1435" s="4" t="s">
        <v>1800</v>
      </c>
      <c r="B1435" s="4" t="s">
        <v>1804</v>
      </c>
      <c r="C1435" s="5" t="str">
        <f>IFERROR(__xludf.DUMMYFUNCTION("GOOGLETRANSLATE(B1435,""en"",""de"")"),"Eine Person waschen die Hand, verwenden Sie Hand, um ein Stethoskop zu säubern, um Mikroben loszuwerden.")</f>
        <v>Eine Person waschen die Hand, verwenden Sie Hand, um ein Stethoskop zu säubern, um Mikroben loszuwerden.</v>
      </c>
    </row>
    <row r="1436">
      <c r="A1436" s="4" t="s">
        <v>1805</v>
      </c>
      <c r="B1436" s="4" t="s">
        <v>1806</v>
      </c>
      <c r="C1436" s="5" t="str">
        <f>IFERROR(__xludf.DUMMYFUNCTION("GOOGLETRANSLATE(B1436,""en"",""de"")"),"Ein Athlet bereitet sich darauf vor, einen Weitsprung in einem Stadion voller Menschen zu erzielen, dann rennt ein weißer Mann hoch und springt hoch, um im Sand zu landen.")</f>
        <v>Ein Athlet bereitet sich darauf vor, einen Weitsprung in einem Stadion voller Menschen zu erzielen, dann rennt ein weißer Mann hoch und springt hoch, um im Sand zu landen.</v>
      </c>
    </row>
    <row r="1437">
      <c r="A1437" s="4" t="s">
        <v>1805</v>
      </c>
      <c r="B1437" s="4" t="s">
        <v>1807</v>
      </c>
      <c r="C1437" s="5" t="str">
        <f>IFERROR(__xludf.DUMMYFUNCTION("GOOGLETRANSLATE(B1437,""en"",""de"")"),"Außerdem laufen drei schwarze Männer schnell und springen hoch, um einen Weitsprung zu erzielen.")</f>
        <v>Außerdem laufen drei schwarze Männer schnell und springen hoch, um einen Weitsprung zu erzielen.</v>
      </c>
    </row>
    <row r="1438">
      <c r="A1438" s="4" t="s">
        <v>1805</v>
      </c>
      <c r="B1438" s="4" t="s">
        <v>1808</v>
      </c>
      <c r="C1438" s="5" t="str">
        <f>IFERROR(__xludf.DUMMYFUNCTION("GOOGLETRANSLATE(B1438,""en"",""de"")"),"Auch ein weißer Mann spielt Weitsprung, und zwei schwarze Männer machen lange Sprünge.")</f>
        <v>Auch ein weißer Mann spielt Weitsprung, und zwei schwarze Männer machen lange Sprünge.</v>
      </c>
    </row>
    <row r="1439">
      <c r="A1439" s="4" t="s">
        <v>1805</v>
      </c>
      <c r="B1439" s="4" t="s">
        <v>1809</v>
      </c>
      <c r="C1439" s="5" t="str">
        <f>IFERROR(__xludf.DUMMYFUNCTION("GOOGLETRANSLATE(B1439,""en"",""de"")"),"Ein Score -Board -Shows und ein Score, während eine Person steht und seinen süßen Pullover auszieht.")</f>
        <v>Ein Score -Board -Shows und ein Score, während eine Person steht und seinen süßen Pullover auszieht.</v>
      </c>
    </row>
    <row r="1440">
      <c r="A1440" s="4" t="s">
        <v>1805</v>
      </c>
      <c r="B1440" s="4" t="s">
        <v>1810</v>
      </c>
      <c r="C1440" s="5" t="str">
        <f>IFERROR(__xludf.DUMMYFUNCTION("GOOGLETRANSLATE(B1440,""en"",""de"")"),"Ein schwarzer Mann springt hoch glücklich und feiert seinen Triumph.")</f>
        <v>Ein schwarzer Mann springt hoch glücklich und feiert seinen Triumph.</v>
      </c>
    </row>
    <row r="1441">
      <c r="A1441" s="4" t="s">
        <v>1811</v>
      </c>
      <c r="B1441" s="4" t="s">
        <v>1812</v>
      </c>
      <c r="C1441" s="5" t="str">
        <f>IFERROR(__xludf.DUMMYFUNCTION("GOOGLETRANSLATE(B1441,""en"",""de"")"),"Ein Bildschirm wird mit Anweisungen angezeigt, wie Sie einen Innisc ​​-Fahrradanhänger anfügen.")</f>
        <v>Ein Bildschirm wird mit Anweisungen angezeigt, wie Sie einen Innisc ​​-Fahrradanhänger anfügen.</v>
      </c>
    </row>
    <row r="1442">
      <c r="A1442" s="4" t="s">
        <v>1811</v>
      </c>
      <c r="B1442" s="4" t="s">
        <v>1813</v>
      </c>
      <c r="C1442" s="5" t="str">
        <f>IFERROR(__xludf.DUMMYFUNCTION("GOOGLETRANSLATE(B1442,""en"",""de"")"),"Ein Mann zeigt, wie man einen atemberaubenden Fahrradanhänger am hinteren Rad eines Fahrrads befestigt.")</f>
        <v>Ein Mann zeigt, wie man einen atemberaubenden Fahrradanhänger am hinteren Rad eines Fahrrads befestigt.</v>
      </c>
    </row>
    <row r="1443">
      <c r="A1443" s="4" t="s">
        <v>1811</v>
      </c>
      <c r="B1443" s="4" t="s">
        <v>1814</v>
      </c>
      <c r="C1443" s="5" t="str">
        <f>IFERROR(__xludf.DUMMYFUNCTION("GOOGLETRANSLATE(B1443,""en"",""de"")"),"Dann erklärt der Mann weiterhin den Prozess im Esszimmer.")</f>
        <v>Dann erklärt der Mann weiterhin den Prozess im Esszimmer.</v>
      </c>
    </row>
    <row r="1444">
      <c r="A1444" s="4" t="s">
        <v>1811</v>
      </c>
      <c r="B1444" s="4" t="s">
        <v>1815</v>
      </c>
      <c r="C1444" s="5" t="str">
        <f>IFERROR(__xludf.DUMMYFUNCTION("GOOGLETRANSLATE(B1444,""en"",""de"")"),"Zwei Kleinkinder sitzen in einem Fahrradanhänger, während der Mann die Sicherheitsgurte befestigt.")</f>
        <v>Zwei Kleinkinder sitzen in einem Fahrradanhänger, während der Mann die Sicherheitsgurte befestigt.</v>
      </c>
    </row>
    <row r="1445">
      <c r="A1445" s="4" t="s">
        <v>1816</v>
      </c>
      <c r="B1445" s="4" t="s">
        <v>1817</v>
      </c>
      <c r="C1445" s="5" t="str">
        <f>IFERROR(__xludf.DUMMYFUNCTION("GOOGLETRANSLATE(B1445,""en"",""de"")"),"Ein Schwarz -Weiß -Filterpfand über ein Fußballspiel in einem Innenfeld.")</f>
        <v>Ein Schwarz -Weiß -Filterpfand über ein Fußballspiel in einem Innenfeld.</v>
      </c>
    </row>
    <row r="1446">
      <c r="A1446" s="4" t="s">
        <v>1816</v>
      </c>
      <c r="B1446" s="4" t="s">
        <v>1818</v>
      </c>
      <c r="C1446" s="5" t="str">
        <f>IFERROR(__xludf.DUMMYFUNCTION("GOOGLETRANSLATE(B1446,""en"",""de"")"),"Die Farbe wird dann gezeigt, wenn mehr Menschen in mehreren Schüssen Fußball und viertes Viertel spielen.")</f>
        <v>Die Farbe wird dann gezeigt, wenn mehr Menschen in mehreren Schüssen Fußball und viertes Viertel spielen.</v>
      </c>
    </row>
    <row r="1447">
      <c r="A1447" s="4" t="s">
        <v>1819</v>
      </c>
      <c r="B1447" s="4" t="s">
        <v>1820</v>
      </c>
      <c r="C1447" s="5" t="str">
        <f>IFERROR(__xludf.DUMMYFUNCTION("GOOGLETRANSLATE(B1447,""en"",""de"")"),"Eine große Gruppe von Menschen ist gesehen, wie sie auf einem Feld herumlaufen und Lacrosse spielt, während andere zuschauen.")</f>
        <v>Eine große Gruppe von Menschen ist gesehen, wie sie auf einem Feld herumlaufen und Lacrosse spielt, während andere zuschauen.</v>
      </c>
    </row>
    <row r="1448">
      <c r="A1448" s="4" t="s">
        <v>1819</v>
      </c>
      <c r="B1448" s="4" t="s">
        <v>1821</v>
      </c>
      <c r="C1448" s="5" t="str">
        <f>IFERROR(__xludf.DUMMYFUNCTION("GOOGLETRANSLATE(B1448,""en"",""de"")"),"Das Spiel geht weiter, da die Leute sie immer noch an den Seiten beobachten.")</f>
        <v>Das Spiel geht weiter, da die Leute sie immer noch an den Seiten beobachten.</v>
      </c>
    </row>
    <row r="1449">
      <c r="A1449" s="4" t="s">
        <v>1819</v>
      </c>
      <c r="B1449" s="4" t="s">
        <v>1822</v>
      </c>
      <c r="C1449" s="5" t="str">
        <f>IFERROR(__xludf.DUMMYFUNCTION("GOOGLETRANSLATE(B1449,""en"",""de"")"),"Sie stoppen verschiedene Zeiten, um miteinander zu sprechen und das Spiel weiter zu spielen.")</f>
        <v>Sie stoppen verschiedene Zeiten, um miteinander zu sprechen und das Spiel weiter zu spielen.</v>
      </c>
    </row>
    <row r="1450">
      <c r="A1450" s="4" t="s">
        <v>1823</v>
      </c>
      <c r="B1450" s="4" t="s">
        <v>1824</v>
      </c>
      <c r="C1450" s="5" t="str">
        <f>IFERROR(__xludf.DUMMYFUNCTION("GOOGLETRANSLATE(B1450,""en"",""de"")"),"Eine Person fährt Wellen auf dem Wasser und Menschen, die in einem Haus feiern.")</f>
        <v>Eine Person fährt Wellen auf dem Wasser und Menschen, die in einem Haus feiern.</v>
      </c>
    </row>
    <row r="1451">
      <c r="A1451" s="4" t="s">
        <v>1823</v>
      </c>
      <c r="B1451" s="4" t="s">
        <v>1825</v>
      </c>
      <c r="C1451" s="5" t="str">
        <f>IFERROR(__xludf.DUMMYFUNCTION("GOOGLETRANSLATE(B1451,""en"",""de"")"),"Ein DJ spielt sowohl Musik als auch Menschen, die herumtanzen und surfen.")</f>
        <v>Ein DJ spielt sowohl Musik als auch Menschen, die herumtanzen und surfen.</v>
      </c>
    </row>
    <row r="1452">
      <c r="A1452" s="4" t="s">
        <v>1823</v>
      </c>
      <c r="B1452" s="4" t="s">
        <v>1826</v>
      </c>
      <c r="C1452" s="5" t="str">
        <f>IFERROR(__xludf.DUMMYFUNCTION("GOOGLETRANSLATE(B1452,""en"",""de"")"),"Weitere Aufnahmen werden gezeigt, dass Menschen surfen und Spaß im Haus haben.")</f>
        <v>Weitere Aufnahmen werden gezeigt, dass Menschen surfen und Spaß im Haus haben.</v>
      </c>
    </row>
    <row r="1453">
      <c r="A1453" s="4" t="s">
        <v>1827</v>
      </c>
      <c r="B1453" s="4" t="s">
        <v>1828</v>
      </c>
      <c r="C1453" s="5" t="str">
        <f>IFERROR(__xludf.DUMMYFUNCTION("GOOGLETRANSLATE(B1453,""en"",""de"")"),"Wir sehen einen Öffnungsbildschirm auf Weiß.")</f>
        <v>Wir sehen einen Öffnungsbildschirm auf Weiß.</v>
      </c>
    </row>
    <row r="1454">
      <c r="A1454" s="4" t="s">
        <v>1827</v>
      </c>
      <c r="B1454" s="4" t="s">
        <v>1829</v>
      </c>
      <c r="C1454" s="5" t="str">
        <f>IFERROR(__xludf.DUMMYFUNCTION("GOOGLETRANSLATE(B1454,""en"",""de"")"),"Wir sehen dann Leute auf Röhren in einem Fluss.")</f>
        <v>Wir sehen dann Leute auf Röhren in einem Fluss.</v>
      </c>
    </row>
    <row r="1455">
      <c r="A1455" s="4" t="s">
        <v>1827</v>
      </c>
      <c r="B1455" s="4" t="s">
        <v>1830</v>
      </c>
      <c r="C1455" s="5" t="str">
        <f>IFERROR(__xludf.DUMMYFUNCTION("GOOGLETRANSLATE(B1455,""en"",""de"")"),"Ein Junge in Sonnenbrillen schwebt an der Kamera vorbei.")</f>
        <v>Ein Junge in Sonnenbrillen schwebt an der Kamera vorbei.</v>
      </c>
    </row>
    <row r="1456">
      <c r="A1456" s="4" t="s">
        <v>1827</v>
      </c>
      <c r="B1456" s="4" t="s">
        <v>1831</v>
      </c>
      <c r="C1456" s="5" t="str">
        <f>IFERROR(__xludf.DUMMYFUNCTION("GOOGLETRANSLATE(B1456,""en"",""de"")"),"Ein Junge wirft ein Friedenszeichen in die Kamera.")</f>
        <v>Ein Junge wirft ein Friedenszeichen in die Kamera.</v>
      </c>
    </row>
    <row r="1457">
      <c r="A1457" s="4" t="s">
        <v>1827</v>
      </c>
      <c r="B1457" s="4" t="s">
        <v>1832</v>
      </c>
      <c r="C1457" s="5" t="str">
        <f>IFERROR(__xludf.DUMMYFUNCTION("GOOGLETRANSLATE(B1457,""en"",""de"")"),"Die Leute gehen einen Wasserfall in ihren Flößen.")</f>
        <v>Die Leute gehen einen Wasserfall in ihren Flößen.</v>
      </c>
    </row>
    <row r="1458">
      <c r="A1458" s="4" t="s">
        <v>1827</v>
      </c>
      <c r="B1458" s="4" t="s">
        <v>1833</v>
      </c>
      <c r="C1458" s="5" t="str">
        <f>IFERROR(__xludf.DUMMYFUNCTION("GOOGLETRANSLATE(B1458,""en"",""de"")"),"Wir sehen ein paar Leute ins Wasser springen.")</f>
        <v>Wir sehen ein paar Leute ins Wasser springen.</v>
      </c>
    </row>
    <row r="1459">
      <c r="A1459" s="4" t="s">
        <v>1834</v>
      </c>
      <c r="B1459" s="4" t="s">
        <v>1835</v>
      </c>
      <c r="C1459" s="5" t="str">
        <f>IFERROR(__xludf.DUMMYFUNCTION("GOOGLETRANSLATE(B1459,""en"",""de"")"),"Ein Kind spielt eine Chromflöte im Zuhause.")</f>
        <v>Ein Kind spielt eine Chromflöte im Zuhause.</v>
      </c>
    </row>
    <row r="1460">
      <c r="A1460" s="4" t="s">
        <v>1834</v>
      </c>
      <c r="B1460" s="4" t="s">
        <v>1836</v>
      </c>
      <c r="C1460" s="5" t="str">
        <f>IFERROR(__xludf.DUMMYFUNCTION("GOOGLETRANSLATE(B1460,""en"",""de"")"),"Das Mädchen beendet das Lied und senkt die Flöte.")</f>
        <v>Das Mädchen beendet das Lied und senkt die Flöte.</v>
      </c>
    </row>
    <row r="1461">
      <c r="A1461" s="4" t="s">
        <v>1837</v>
      </c>
      <c r="B1461" s="4" t="s">
        <v>1838</v>
      </c>
      <c r="C1461" s="5" t="str">
        <f>IFERROR(__xludf.DUMMYFUNCTION("GOOGLETRANSLATE(B1461,""en"",""de"")"),"Zwei Männer spielen in einer Arena Foosball mit zwei Schiedsrichtern, die in der Nähe des Ruhmes stehen.")</f>
        <v>Zwei Männer spielen in einer Arena Foosball mit zwei Schiedsrichtern, die in der Nähe des Ruhmes stehen.</v>
      </c>
    </row>
    <row r="1462">
      <c r="A1462" s="4" t="s">
        <v>1837</v>
      </c>
      <c r="B1462" s="4" t="s">
        <v>1839</v>
      </c>
      <c r="C1462" s="5" t="str">
        <f>IFERROR(__xludf.DUMMYFUNCTION("GOOGLETRANSLATE(B1462,""en"",""de"")"),"Wir sehen den Tribünen als Zuschauer.")</f>
        <v>Wir sehen den Tribünen als Zuschauer.</v>
      </c>
    </row>
    <row r="1463">
      <c r="A1463" s="4" t="s">
        <v>1837</v>
      </c>
      <c r="B1463" s="4" t="s">
        <v>1840</v>
      </c>
      <c r="C1463" s="5" t="str">
        <f>IFERROR(__xludf.DUMMYFUNCTION("GOOGLETRANSLATE(B1463,""en"",""de"")"),"Ein Punkt wird bewertet und sehen, wie Leute klatschen, eine Wiederholung und ein Titelbildschirm.")</f>
        <v>Ein Punkt wird bewertet und sehen, wie Leute klatschen, eine Wiederholung und ein Titelbildschirm.</v>
      </c>
    </row>
    <row r="1464">
      <c r="A1464" s="4" t="s">
        <v>1837</v>
      </c>
      <c r="B1464" s="4" t="s">
        <v>1841</v>
      </c>
      <c r="C1464" s="5" t="str">
        <f>IFERROR(__xludf.DUMMYFUNCTION("GOOGLETRANSLATE(B1464,""en"",""de"")"),"Der Mann in Grau ist zurückgezogen und wischt Schweiß.")</f>
        <v>Der Mann in Grau ist zurückgezogen und wischt Schweiß.</v>
      </c>
    </row>
    <row r="1465">
      <c r="A1465" s="4" t="s">
        <v>1837</v>
      </c>
      <c r="B1465" s="4" t="s">
        <v>1842</v>
      </c>
      <c r="C1465" s="5" t="str">
        <f>IFERROR(__xludf.DUMMYFUNCTION("GOOGLETRANSLATE(B1465,""en"",""de"")"),"Wir sehen den Mann in Schwarz mit den Menschen hinter ihm sprechen, bevor die Männer zum Spiel zurückkehren.")</f>
        <v>Wir sehen den Mann in Schwarz mit den Menschen hinter ihm sprechen, bevor die Männer zum Spiel zurückkehren.</v>
      </c>
    </row>
    <row r="1466">
      <c r="A1466" s="4" t="s">
        <v>1837</v>
      </c>
      <c r="B1466" s="4" t="s">
        <v>777</v>
      </c>
      <c r="C1466" s="5" t="str">
        <f>IFERROR(__xludf.DUMMYFUNCTION("GOOGLETRANSLATE(B1466,""en"",""de"")"),"Wir sehen den End -Titelbildschirm.")</f>
        <v>Wir sehen den End -Titelbildschirm.</v>
      </c>
    </row>
    <row r="1467">
      <c r="A1467" s="4" t="s">
        <v>1843</v>
      </c>
      <c r="B1467" s="4" t="s">
        <v>1844</v>
      </c>
      <c r="C1467" s="5" t="str">
        <f>IFERROR(__xludf.DUMMYFUNCTION("GOOGLETRANSLATE(B1467,""en"",""de"")"),"Zwei Menschen klettern nachts nachts vor einem schmalen Wasserbecken, der von einer Menge von Zuschauern umgeben ist.")</f>
        <v>Zwei Menschen klettern nachts nachts vor einem schmalen Wasserbecken, der von einer Menge von Zuschauern umgeben ist.</v>
      </c>
    </row>
    <row r="1468">
      <c r="A1468" s="4" t="s">
        <v>1843</v>
      </c>
      <c r="B1468" s="4" t="s">
        <v>1845</v>
      </c>
      <c r="C1468" s="5" t="str">
        <f>IFERROR(__xludf.DUMMYFUNCTION("GOOGLETRANSLATE(B1468,""en"",""de"")"),"Die beiden Menschen klettern langsam die Wand hinauf, wenn sie auf halbem Weg nach oben ist, fällt die Person auf der linken Seite von der Wand und in das Wasser unten.")</f>
        <v>Die beiden Menschen klettern langsam die Wand hinauf, wenn sie auf halbem Weg nach oben ist, fällt die Person auf der linken Seite von der Wand und in das Wasser unten.</v>
      </c>
    </row>
    <row r="1469">
      <c r="A1469" s="4" t="s">
        <v>1843</v>
      </c>
      <c r="B1469" s="4" t="s">
        <v>1846</v>
      </c>
      <c r="C1469" s="5" t="str">
        <f>IFERROR(__xludf.DUMMYFUNCTION("GOOGLETRANSLATE(B1469,""en"",""de"")"),"Ein weiteres Rennen hoch an der Wand beginnt, in der die Person rechts abfällt und die Person auf der linken Seite zur Oberseite der Wand steigt und dann von der Wand ins Wasser springt.")</f>
        <v>Ein weiteres Rennen hoch an der Wand beginnt, in der die Person rechts abfällt und die Person auf der linken Seite zur Oberseite der Wand steigt und dann von der Wand ins Wasser springt.</v>
      </c>
    </row>
    <row r="1470">
      <c r="A1470" s="4" t="s">
        <v>1843</v>
      </c>
      <c r="B1470" s="4" t="s">
        <v>1847</v>
      </c>
      <c r="C1470" s="5" t="str">
        <f>IFERROR(__xludf.DUMMYFUNCTION("GOOGLETRANSLATE(B1470,""en"",""de"")"),"In der gleichen Umgebung, aber jetzt tagsüber katapultiert eine einsame Person, die Skier trägt, durch die Luft vorbei an der Klettermauer und landet im Wasser unten.")</f>
        <v>In der gleichen Umgebung, aber jetzt tagsüber katapultiert eine einsame Person, die Skier trägt, durch die Luft vorbei an der Klettermauer und landet im Wasser unten.</v>
      </c>
    </row>
    <row r="1471">
      <c r="A1471" s="4" t="s">
        <v>1848</v>
      </c>
      <c r="B1471" s="4" t="s">
        <v>1849</v>
      </c>
      <c r="C1471" s="5" t="str">
        <f>IFERROR(__xludf.DUMMYFUNCTION("GOOGLETRANSLATE(B1471,""en"",""de"")"),"Ein Publikum beobachtet Pfannen in eine große Strecke und Athleten, die in eine Grube rennen.")</f>
        <v>Ein Publikum beobachtet Pfannen in eine große Strecke und Athleten, die in eine Grube rennen.</v>
      </c>
    </row>
    <row r="1472">
      <c r="A1472" s="4" t="s">
        <v>1848</v>
      </c>
      <c r="B1472" s="4" t="s">
        <v>1850</v>
      </c>
      <c r="C1472" s="5" t="str">
        <f>IFERROR(__xludf.DUMMYFUNCTION("GOOGLETRANSLATE(B1472,""en"",""de"")"),"Mehrere Personen werden gezeigt, dass das Publikum klatscht und die Leute mit der Kamera sprechen.")</f>
        <v>Mehrere Personen werden gezeigt, dass das Publikum klatscht und die Leute mit der Kamera sprechen.</v>
      </c>
    </row>
    <row r="1473">
      <c r="A1473" s="4" t="s">
        <v>1851</v>
      </c>
      <c r="B1473" s="4" t="s">
        <v>1852</v>
      </c>
      <c r="C1473" s="5" t="str">
        <f>IFERROR(__xludf.DUMMYFUNCTION("GOOGLETRANSLATE(B1473,""en"",""de"")"),"Ein junger Mann zieht ein Rad heraus und zeigt die richtige Struktur eines Rades.")</f>
        <v>Ein junger Mann zieht ein Rad heraus und zeigt die richtige Struktur eines Rades.</v>
      </c>
    </row>
    <row r="1474">
      <c r="A1474" s="4" t="s">
        <v>1851</v>
      </c>
      <c r="B1474" s="4" t="s">
        <v>1853</v>
      </c>
      <c r="C1474" s="5" t="str">
        <f>IFERROR(__xludf.DUMMYFUNCTION("GOOGLETRANSLATE(B1474,""en"",""de"")"),"Er überprüft den aktuellen Druck für den Reifen und beginnt, Luft in den Reifen zu pumpen.")</f>
        <v>Er überprüft den aktuellen Druck für den Reifen und beginnt, Luft in den Reifen zu pumpen.</v>
      </c>
    </row>
    <row r="1475">
      <c r="A1475" s="4" t="s">
        <v>1851</v>
      </c>
      <c r="B1475" s="4" t="s">
        <v>1854</v>
      </c>
      <c r="C1475" s="5" t="str">
        <f>IFERROR(__xludf.DUMMYFUNCTION("GOOGLETRANSLATE(B1475,""en"",""de"")"),"Er zeigt den Unterschied zwischen gutem und schlechtem Profil sowie wann zu wissen, wann Sie Ihre Reifen ersetzen müssen.")</f>
        <v>Er zeigt den Unterschied zwischen gutem und schlechtem Profil sowie wann zu wissen, wann Sie Ihre Reifen ersetzen müssen.</v>
      </c>
    </row>
    <row r="1476">
      <c r="A1476" s="4" t="s">
        <v>1855</v>
      </c>
      <c r="B1476" s="4" t="s">
        <v>1856</v>
      </c>
      <c r="C1476" s="5" t="str">
        <f>IFERROR(__xludf.DUMMYFUNCTION("GOOGLETRANSLATE(B1476,""en"",""de"")"),"Eine Nahaufnahme einer Spüle wird gezeigt, gefolgt von einer Person, die sie mit einem Lappen aus verschiedenen Winkeln abreibt.")</f>
        <v>Eine Nahaufnahme einer Spüle wird gezeigt, gefolgt von einer Person, die sie mit einem Lappen aus verschiedenen Winkeln abreibt.</v>
      </c>
    </row>
    <row r="1477">
      <c r="A1477" s="4" t="s">
        <v>1855</v>
      </c>
      <c r="B1477" s="4" t="s">
        <v>1857</v>
      </c>
      <c r="C1477" s="5" t="str">
        <f>IFERROR(__xludf.DUMMYFUNCTION("GOOGLETRANSLATE(B1477,""en"",""de"")"),"Die Spüle wird wieder von selbst gezeigt, gefolgt von Wasser, das nach unten tropft.")</f>
        <v>Die Spüle wird wieder von selbst gezeigt, gefolgt von Wasser, das nach unten tropft.</v>
      </c>
    </row>
    <row r="1478">
      <c r="A1478" s="4" t="s">
        <v>1858</v>
      </c>
      <c r="B1478" s="4" t="s">
        <v>1859</v>
      </c>
      <c r="C1478" s="5" t="str">
        <f>IFERROR(__xludf.DUMMYFUNCTION("GOOGLETRANSLATE(B1478,""en"",""de"")"),"Wir sehen eine Dame, die ein Zimmer aufnimmt und ihre Haare berührt.")</f>
        <v>Wir sehen eine Dame, die ein Zimmer aufnimmt und ihre Haare berührt.</v>
      </c>
    </row>
    <row r="1479">
      <c r="A1479" s="4" t="s">
        <v>1858</v>
      </c>
      <c r="B1479" s="4" t="s">
        <v>1860</v>
      </c>
      <c r="C1479" s="5" t="str">
        <f>IFERROR(__xludf.DUMMYFUNCTION("GOOGLETRANSLATE(B1479,""en"",""de"")"),"Es gibt einen Titelbildschirm.")</f>
        <v>Es gibt einen Titelbildschirm.</v>
      </c>
    </row>
    <row r="1480">
      <c r="A1480" s="4" t="s">
        <v>1858</v>
      </c>
      <c r="B1480" s="4" t="s">
        <v>1861</v>
      </c>
      <c r="C1480" s="5" t="str">
        <f>IFERROR(__xludf.DUMMYFUNCTION("GOOGLETRANSLATE(B1480,""en"",""de"")"),"Die Dame zeigt uns die Produkte und Werkzeuge, die sie auf ihren Haaren verwendet.")</f>
        <v>Die Dame zeigt uns die Produkte und Werkzeuge, die sie auf ihren Haaren verwendet.</v>
      </c>
    </row>
    <row r="1481">
      <c r="A1481" s="4" t="s">
        <v>1858</v>
      </c>
      <c r="B1481" s="4" t="s">
        <v>1862</v>
      </c>
      <c r="C1481" s="5" t="str">
        <f>IFERROR(__xludf.DUMMYFUNCTION("GOOGLETRANSLATE(B1481,""en"",""de"")"),"Wir sehen, wie die Dame ihre Haare macht.")</f>
        <v>Wir sehen, wie die Dame ihre Haare macht.</v>
      </c>
    </row>
    <row r="1482">
      <c r="A1482" s="4" t="s">
        <v>1858</v>
      </c>
      <c r="B1482" s="4" t="s">
        <v>1863</v>
      </c>
      <c r="C1482" s="5" t="str">
        <f>IFERROR(__xludf.DUMMYFUNCTION("GOOGLETRANSLATE(B1482,""en"",""de"")"),"Die Dame schneidet ihr Haar und fügt Produkt hinzu.")</f>
        <v>Die Dame schneidet ihr Haar und fügt Produkt hinzu.</v>
      </c>
    </row>
    <row r="1483">
      <c r="A1483" s="4" t="s">
        <v>1858</v>
      </c>
      <c r="B1483" s="4" t="s">
        <v>1864</v>
      </c>
      <c r="C1483" s="5" t="str">
        <f>IFERROR(__xludf.DUMMYFUNCTION("GOOGLETRANSLATE(B1483,""en"",""de"")"),"Die Dame dreht ihre Haare um ihren Finger.")</f>
        <v>Die Dame dreht ihre Haare um ihren Finger.</v>
      </c>
    </row>
    <row r="1484">
      <c r="A1484" s="4" t="s">
        <v>1858</v>
      </c>
      <c r="B1484" s="4" t="s">
        <v>1865</v>
      </c>
      <c r="C1484" s="5" t="str">
        <f>IFERROR(__xludf.DUMMYFUNCTION("GOOGLETRANSLATE(B1484,""en"",""de"")"),"Die Dame beginnt, ihre Haare zu blasen.")</f>
        <v>Die Dame beginnt, ihre Haare zu blasen.</v>
      </c>
    </row>
    <row r="1485">
      <c r="A1485" s="4" t="s">
        <v>1858</v>
      </c>
      <c r="B1485" s="4" t="s">
        <v>1866</v>
      </c>
      <c r="C1485" s="5" t="str">
        <f>IFERROR(__xludf.DUMMYFUNCTION("GOOGLETRANSLATE(B1485,""en"",""de"")"),"Wir sehen Bilder der Damen, die das Haar fertigen.")</f>
        <v>Wir sehen Bilder der Damen, die das Haar fertigen.</v>
      </c>
    </row>
    <row r="1486">
      <c r="A1486" s="4" t="s">
        <v>1867</v>
      </c>
      <c r="B1486" s="4" t="s">
        <v>1868</v>
      </c>
      <c r="C1486" s="5" t="str">
        <f>IFERROR(__xludf.DUMMYFUNCTION("GOOGLETRANSLATE(B1486,""en"",""de"")"),"Ein Gewässer wird gezeigt.")</f>
        <v>Ein Gewässer wird gezeigt.</v>
      </c>
    </row>
    <row r="1487">
      <c r="A1487" s="4" t="s">
        <v>1867</v>
      </c>
      <c r="B1487" s="4" t="s">
        <v>1869</v>
      </c>
      <c r="C1487" s="5" t="str">
        <f>IFERROR(__xludf.DUMMYFUNCTION("GOOGLETRANSLATE(B1487,""en"",""de"")"),"Eine Person nimmt einen Topf aus.")</f>
        <v>Eine Person nimmt einen Topf aus.</v>
      </c>
    </row>
    <row r="1488">
      <c r="A1488" s="4" t="s">
        <v>1867</v>
      </c>
      <c r="B1488" s="4" t="s">
        <v>1870</v>
      </c>
      <c r="C1488" s="5" t="str">
        <f>IFERROR(__xludf.DUMMYFUNCTION("GOOGLETRANSLATE(B1488,""en"",""de"")"),"Sie zeigen einen Camp -Standort mit einem Zelt.")</f>
        <v>Sie zeigen einen Camp -Standort mit einem Zelt.</v>
      </c>
    </row>
    <row r="1489">
      <c r="A1489" s="4" t="s">
        <v>1867</v>
      </c>
      <c r="B1489" s="4" t="s">
        <v>1871</v>
      </c>
      <c r="C1489" s="5" t="str">
        <f>IFERROR(__xludf.DUMMYFUNCTION("GOOGLETRANSLATE(B1489,""en"",""de"")"),"Sie legten ein Tuch in den Eimer.")</f>
        <v>Sie legten ein Tuch in den Eimer.</v>
      </c>
    </row>
    <row r="1490">
      <c r="A1490" s="4" t="s">
        <v>1872</v>
      </c>
      <c r="B1490" s="4" t="s">
        <v>1873</v>
      </c>
      <c r="C1490" s="5" t="str">
        <f>IFERROR(__xludf.DUMMYFUNCTION("GOOGLETRANSLATE(B1490,""en"",""de"")"),"In einem Indoor -Stadion spielen zwei Männer Tischtennis.")</f>
        <v>In einem Indoor -Stadion spielen zwei Männer Tischtennis.</v>
      </c>
    </row>
    <row r="1491">
      <c r="A1491" s="4" t="s">
        <v>1872</v>
      </c>
      <c r="B1491" s="4" t="s">
        <v>1874</v>
      </c>
      <c r="C1491" s="5" t="str">
        <f>IFERROR(__xludf.DUMMYFUNCTION("GOOGLETRANSLATE(B1491,""en"",""de"")"),"Einer der Spieler trägt blau und der andere Spieler befindet sich in einem roten Hemd.")</f>
        <v>Einer der Spieler trägt blau und der andere Spieler befindet sich in einem roten Hemd.</v>
      </c>
    </row>
    <row r="1492">
      <c r="A1492" s="4" t="s">
        <v>1872</v>
      </c>
      <c r="B1492" s="4" t="s">
        <v>1875</v>
      </c>
      <c r="C1492" s="5" t="str">
        <f>IFERROR(__xludf.DUMMYFUNCTION("GOOGLETRANSLATE(B1492,""en"",""de"")"),"Es gibt eine Person in einem schwarzen Hemd, das in der Nähe der Spieler sitzt.")</f>
        <v>Es gibt eine Person in einem schwarzen Hemd, das in der Nähe der Spieler sitzt.</v>
      </c>
    </row>
    <row r="1493">
      <c r="A1493" s="4" t="s">
        <v>1872</v>
      </c>
      <c r="B1493" s="4" t="s">
        <v>1876</v>
      </c>
      <c r="C1493" s="5" t="str">
        <f>IFERROR(__xludf.DUMMYFUNCTION("GOOGLETRANSLATE(B1493,""en"",""de"")"),"Es gibt mehrere Zuschauer im Stadion.")</f>
        <v>Es gibt mehrere Zuschauer im Stadion.</v>
      </c>
    </row>
    <row r="1494">
      <c r="A1494" s="4" t="s">
        <v>1872</v>
      </c>
      <c r="B1494" s="4" t="s">
        <v>1877</v>
      </c>
      <c r="C1494" s="5" t="str">
        <f>IFERROR(__xludf.DUMMYFUNCTION("GOOGLETRANSLATE(B1494,""en"",""de"")"),"Sie spielen einige Zeit weiterhin eine Rallye.")</f>
        <v>Sie spielen einige Zeit weiterhin eine Rallye.</v>
      </c>
    </row>
    <row r="1495">
      <c r="A1495" s="4" t="s">
        <v>1872</v>
      </c>
      <c r="B1495" s="4" t="s">
        <v>1878</v>
      </c>
      <c r="C1495" s="5" t="str">
        <f>IFERROR(__xludf.DUMMYFUNCTION("GOOGLETRANSLATE(B1495,""en"",""de"")"),"Der Spieler im roten Hemd vermisst den Ball und gibt seinem Gegner einen Siegerpunkt.")</f>
        <v>Der Spieler im roten Hemd vermisst den Ball und gibt seinem Gegner einen Siegerpunkt.</v>
      </c>
    </row>
    <row r="1496">
      <c r="A1496" s="4" t="s">
        <v>1872</v>
      </c>
      <c r="B1496" s="4" t="s">
        <v>1879</v>
      </c>
      <c r="C1496" s="5" t="str">
        <f>IFERROR(__xludf.DUMMYFUNCTION("GOOGLETRANSLATE(B1496,""en"",""de"")"),"Der Spieler in Blue jubelt laut nach seinem Siegerpunkt jubelt und bricht in einen Tanz ein.")</f>
        <v>Der Spieler in Blue jubelt laut nach seinem Siegerpunkt jubelt und bricht in einen Tanz ein.</v>
      </c>
    </row>
    <row r="1497">
      <c r="A1497" s="4" t="s">
        <v>1872</v>
      </c>
      <c r="B1497" s="4" t="s">
        <v>1880</v>
      </c>
      <c r="C1497" s="5" t="str">
        <f>IFERROR(__xludf.DUMMYFUNCTION("GOOGLETRANSLATE(B1497,""en"",""de"")"),"Er tanzt weiter und geht zu seinem Gegner, um ihn zu verspotten.")</f>
        <v>Er tanzt weiter und geht zu seinem Gegner, um ihn zu verspotten.</v>
      </c>
    </row>
    <row r="1498">
      <c r="A1498" s="4" t="s">
        <v>1872</v>
      </c>
      <c r="B1498" s="4" t="s">
        <v>1881</v>
      </c>
      <c r="C1498" s="5" t="str">
        <f>IFERROR(__xludf.DUMMYFUNCTION("GOOGLETRANSLATE(B1498,""en"",""de"")"),"Dann kehrt er zum Tischtennis Tisch zurück.")</f>
        <v>Dann kehrt er zum Tischtennis Tisch zurück.</v>
      </c>
    </row>
    <row r="1499">
      <c r="A1499" s="4" t="s">
        <v>1872</v>
      </c>
      <c r="B1499" s="4" t="s">
        <v>1882</v>
      </c>
      <c r="C1499" s="5" t="str">
        <f>IFERROR(__xludf.DUMMYFUNCTION("GOOGLETRANSLATE(B1499,""en"",""de"")"),"Der auf Schwarze gekleidete Mann zeigt die Partitur.")</f>
        <v>Der auf Schwarze gekleidete Mann zeigt die Partitur.</v>
      </c>
    </row>
    <row r="1500">
      <c r="A1500" s="4" t="s">
        <v>1883</v>
      </c>
      <c r="B1500" s="4" t="s">
        <v>1884</v>
      </c>
      <c r="C1500" s="5" t="str">
        <f>IFERROR(__xludf.DUMMYFUNCTION("GOOGLETRANSLATE(B1500,""en"",""de"")"),"Eine Nahaufnahme von Broschüren wird angezeigt, wenn eine Person sie öffnet und liest.")</f>
        <v>Eine Nahaufnahme von Broschüren wird angezeigt, wenn eine Person sie öffnet und liest.</v>
      </c>
    </row>
    <row r="1501">
      <c r="A1501" s="4" t="s">
        <v>1883</v>
      </c>
      <c r="B1501" s="4" t="s">
        <v>1885</v>
      </c>
      <c r="C1501" s="5" t="str">
        <f>IFERROR(__xludf.DUMMYFUNCTION("GOOGLETRANSLATE(B1501,""en"",""de"")"),"Die Frau markiert einen Namen und schält ihn ab, um eine Socke anzuziehen.")</f>
        <v>Die Frau markiert einen Namen und schält ihn ab, um eine Socke anzuziehen.</v>
      </c>
    </row>
    <row r="1502">
      <c r="A1502" s="4" t="s">
        <v>1883</v>
      </c>
      <c r="B1502" s="4" t="s">
        <v>1886</v>
      </c>
      <c r="C1502" s="5" t="str">
        <f>IFERROR(__xludf.DUMMYFUNCTION("GOOGLETRANSLATE(B1502,""en"",""de"")"),"Die Frau legt dann ein Eisen über den Namen und schält das Papier ab, um zu zeigen, wie man ein Geschenk richtig beschriftet.")</f>
        <v>Die Frau legt dann ein Eisen über den Namen und schält das Papier ab, um zu zeigen, wie man ein Geschenk richtig beschriftet.</v>
      </c>
    </row>
    <row r="1503">
      <c r="A1503" s="4" t="s">
        <v>1887</v>
      </c>
      <c r="B1503" s="4" t="s">
        <v>1888</v>
      </c>
      <c r="C1503" s="5" t="str">
        <f>IFERROR(__xludf.DUMMYFUNCTION("GOOGLETRANSLATE(B1503,""en"",""de"")"),"Ein weiblicher Gewichtheber hebt eine Langhantel mit ihren Beinen.")</f>
        <v>Ein weiblicher Gewichtheber hebt eine Langhantel mit ihren Beinen.</v>
      </c>
    </row>
    <row r="1504">
      <c r="A1504" s="4" t="s">
        <v>1887</v>
      </c>
      <c r="B1504" s="4" t="s">
        <v>1889</v>
      </c>
      <c r="C1504" s="5" t="str">
        <f>IFERROR(__xludf.DUMMYFUNCTION("GOOGLETRANSLATE(B1504,""en"",""de"")"),"Sie bringt es in den Bauch und zieht dann.")</f>
        <v>Sie bringt es in den Bauch und zieht dann.</v>
      </c>
    </row>
    <row r="1505">
      <c r="A1505" s="4" t="s">
        <v>1887</v>
      </c>
      <c r="B1505" s="4" t="s">
        <v>1890</v>
      </c>
      <c r="C1505" s="5" t="str">
        <f>IFERROR(__xludf.DUMMYFUNCTION("GOOGLETRANSLATE(B1505,""en"",""de"")"),"Sie geht auf und ab und arbeitet an ihren Bauchmuskeln.")</f>
        <v>Sie geht auf und ab und arbeitet an ihren Bauchmuskeln.</v>
      </c>
    </row>
    <row r="1506">
      <c r="A1506" s="4" t="s">
        <v>1891</v>
      </c>
      <c r="B1506" s="4" t="s">
        <v>1892</v>
      </c>
      <c r="C1506" s="5" t="str">
        <f>IFERROR(__xludf.DUMMYFUNCTION("GOOGLETRANSLATE(B1506,""en"",""de"")"),"Informationen zu Blackjack Site IIS bereitgestellt.")</f>
        <v>Informationen zu Blackjack Site IIS bereitgestellt.</v>
      </c>
    </row>
    <row r="1507">
      <c r="A1507" s="4" t="s">
        <v>1891</v>
      </c>
      <c r="B1507" s="4" t="s">
        <v>1893</v>
      </c>
      <c r="C1507" s="5" t="str">
        <f>IFERROR(__xludf.DUMMYFUNCTION("GOOGLETRANSLATE(B1507,""en"",""de"")"),"Es gibt zwei Leute, die in einem Casino spielen.")</f>
        <v>Es gibt zwei Leute, die in einem Casino spielen.</v>
      </c>
    </row>
    <row r="1508">
      <c r="A1508" s="4" t="s">
        <v>1891</v>
      </c>
      <c r="B1508" s="4" t="s">
        <v>1894</v>
      </c>
      <c r="C1508" s="5" t="str">
        <f>IFERROR(__xludf.DUMMYFUNCTION("GOOGLETRANSLATE(B1508,""en"",""de"")"),"Ein Vertreter von Blackjack zeigt ein Casino -Glücksspielspiel.")</f>
        <v>Ein Vertreter von Blackjack zeigt ein Casino -Glücksspielspiel.</v>
      </c>
    </row>
    <row r="1509">
      <c r="A1509" s="4" t="s">
        <v>1891</v>
      </c>
      <c r="B1509" s="4" t="s">
        <v>1895</v>
      </c>
      <c r="C1509" s="5" t="str">
        <f>IFERROR(__xludf.DUMMYFUNCTION("GOOGLETRANSLATE(B1509,""en"",""de"")"),"Er legt Karten auf dem Tisch gegen Token.")</f>
        <v>Er legt Karten auf dem Tisch gegen Token.</v>
      </c>
    </row>
    <row r="1510">
      <c r="A1510" s="4" t="s">
        <v>1891</v>
      </c>
      <c r="B1510" s="4" t="s">
        <v>1896</v>
      </c>
      <c r="C1510" s="5" t="str">
        <f>IFERROR(__xludf.DUMMYFUNCTION("GOOGLETRANSLATE(B1510,""en"",""de"")"),"Auf dem Tisch stehen mehrere Token.")</f>
        <v>Auf dem Tisch stehen mehrere Token.</v>
      </c>
    </row>
    <row r="1511">
      <c r="A1511" s="4" t="s">
        <v>1891</v>
      </c>
      <c r="B1511" s="4" t="s">
        <v>1897</v>
      </c>
      <c r="C1511" s="5" t="str">
        <f>IFERROR(__xludf.DUMMYFUNCTION("GOOGLETRANSLATE(B1511,""en"",""de"")"),"Er erklärt, wie man das Glücksspielspiel spielt, um das Geld zu maximieren.")</f>
        <v>Er erklärt, wie man das Glücksspielspiel spielt, um das Geld zu maximieren.</v>
      </c>
    </row>
    <row r="1512">
      <c r="A1512" s="4" t="s">
        <v>1891</v>
      </c>
      <c r="B1512" s="4" t="s">
        <v>1898</v>
      </c>
      <c r="C1512" s="5" t="str">
        <f>IFERROR(__xludf.DUMMYFUNCTION("GOOGLETRANSLATE(B1512,""en"",""de"")"),"Er legt mehr Karten auf den Tisch und nimmt eine Hand, um mehr Token zu verdienen.")</f>
        <v>Er legt mehr Karten auf den Tisch und nimmt eine Hand, um mehr Token zu verdienen.</v>
      </c>
    </row>
    <row r="1513">
      <c r="A1513" s="4" t="s">
        <v>1891</v>
      </c>
      <c r="B1513" s="4" t="s">
        <v>1899</v>
      </c>
      <c r="C1513" s="5" t="str">
        <f>IFERROR(__xludf.DUMMYFUNCTION("GOOGLETRANSLATE(B1513,""en"",""de"")"),"Informationen zum Herunterladen der App finden Sie auf dem Bildschirm.")</f>
        <v>Informationen zum Herunterladen der App finden Sie auf dem Bildschirm.</v>
      </c>
    </row>
    <row r="1514">
      <c r="A1514" s="4" t="s">
        <v>1900</v>
      </c>
      <c r="B1514" s="4" t="s">
        <v>1901</v>
      </c>
      <c r="C1514" s="5" t="str">
        <f>IFERROR(__xludf.DUMMYFUNCTION("GOOGLETRANSLATE(B1514,""en"",""de"")"),"Während die Kamera geht, zeigt sie die gut gepflegten Hecken, in der Mitte von zwei Hecken befindet sich ein schmaler Weg, der zu einem breiteren Feld führt, das von mehr Hecken umgeben ist.")</f>
        <v>Während die Kamera geht, zeigt sie die gut gepflegten Hecken, in der Mitte von zwei Hecken befindet sich ein schmaler Weg, der zu einem breiteren Feld führt, das von mehr Hecken umgeben ist.</v>
      </c>
    </row>
    <row r="1515">
      <c r="A1515" s="4" t="s">
        <v>1900</v>
      </c>
      <c r="B1515" s="4" t="s">
        <v>1902</v>
      </c>
      <c r="C1515" s="5" t="str">
        <f>IFERROR(__xludf.DUMMYFUNCTION("GOOGLETRANSLATE(B1515,""en"",""de"")"),"Auf einer Seite der Hecke befindet sich ein Mann im schwarzen Hemd, er steht auf einer Leiter, er schneidet die Hecken.")</f>
        <v>Auf einer Seite der Hecke befindet sich ein Mann im schwarzen Hemd, er steht auf einer Leiter, er schneidet die Hecken.</v>
      </c>
    </row>
    <row r="1516">
      <c r="A1516" s="4" t="s">
        <v>1900</v>
      </c>
      <c r="B1516" s="4" t="s">
        <v>1903</v>
      </c>
      <c r="C1516" s="5" t="str">
        <f>IFERROR(__xludf.DUMMYFUNCTION("GOOGLETRANSLATE(B1516,""en"",""de"")"),"In der Nähe des Mannes befindet sich eine leere Bank, auf der Seite befinden sich besser abgeschnittene Hecken.")</f>
        <v>In der Nähe des Mannes befindet sich eine leere Bank, auf der Seite befinden sich besser abgeschnittene Hecken.</v>
      </c>
    </row>
    <row r="1517">
      <c r="A1517" s="4" t="s">
        <v>1904</v>
      </c>
      <c r="B1517" s="4" t="s">
        <v>1905</v>
      </c>
      <c r="C1517" s="5" t="str">
        <f>IFERROR(__xludf.DUMMYFUNCTION("GOOGLETRANSLATE(B1517,""en"",""de"")"),"Ein Mann spricht mit der Kamera, während er eine Schachtel hält, um ein Instrument im Inneren zu zeigen.")</f>
        <v>Ein Mann spricht mit der Kamera, während er eine Schachtel hält, um ein Instrument im Inneren zu zeigen.</v>
      </c>
    </row>
    <row r="1518">
      <c r="A1518" s="4" t="s">
        <v>1904</v>
      </c>
      <c r="B1518" s="4" t="s">
        <v>1906</v>
      </c>
      <c r="C1518" s="5" t="str">
        <f>IFERROR(__xludf.DUMMYFUNCTION("GOOGLETRANSLATE(B1518,""en"",""de"")"),"Der Mann zieht die Mundharmonika heraus und zeigt sie weiterhin der Kamera.")</f>
        <v>Der Mann zieht die Mundharmonika heraus und zeigt sie weiterhin der Kamera.</v>
      </c>
    </row>
    <row r="1519">
      <c r="A1519" s="4" t="s">
        <v>1904</v>
      </c>
      <c r="B1519" s="4" t="s">
        <v>1907</v>
      </c>
      <c r="C1519" s="5" t="str">
        <f>IFERROR(__xludf.DUMMYFUNCTION("GOOGLETRANSLATE(B1519,""en"",""de"")"),"Der Mann spielt die Mundharmonika und macht eine Pause, um sie bis zum Bildschirm sowie auf ein Bild zu halten.")</f>
        <v>Der Mann spielt die Mundharmonika und macht eine Pause, um sie bis zum Bildschirm sowie auf ein Bild zu halten.</v>
      </c>
    </row>
    <row r="1520">
      <c r="A1520" s="4" t="s">
        <v>1908</v>
      </c>
      <c r="B1520" s="4" t="s">
        <v>1909</v>
      </c>
      <c r="C1520" s="5" t="str">
        <f>IFERROR(__xludf.DUMMYFUNCTION("GOOGLETRANSLATE(B1520,""en"",""de"")"),"Es gibt eine Frau, die Eis aus einer Wanne isst und mit dem Kameramann spricht.")</f>
        <v>Es gibt eine Frau, die Eis aus einer Wanne isst und mit dem Kameramann spricht.</v>
      </c>
    </row>
    <row r="1521">
      <c r="A1521" s="4" t="s">
        <v>1908</v>
      </c>
      <c r="B1521" s="4" t="s">
        <v>1910</v>
      </c>
      <c r="C1521" s="5" t="str">
        <f>IFERROR(__xludf.DUMMYFUNCTION("GOOGLETRANSLATE(B1521,""en"",""de"")"),"Und er versucht in die Wanne zu schauen, aber sie zieht sie weg.")</f>
        <v>Und er versucht in die Wanne zu schauen, aber sie zieht sie weg.</v>
      </c>
    </row>
    <row r="1522">
      <c r="A1522" s="4" t="s">
        <v>1908</v>
      </c>
      <c r="B1522" s="4" t="s">
        <v>1911</v>
      </c>
      <c r="C1522" s="5" t="str">
        <f>IFERROR(__xludf.DUMMYFUNCTION("GOOGLETRANSLATE(B1522,""en"",""de"")"),"Die Kamera -Person setzt sich zusammen, um weiter mit der Frau zu sprechen.")</f>
        <v>Die Kamera -Person setzt sich zusammen, um weiter mit der Frau zu sprechen.</v>
      </c>
    </row>
    <row r="1523">
      <c r="A1523" s="4" t="s">
        <v>1908</v>
      </c>
      <c r="B1523" s="4" t="s">
        <v>1912</v>
      </c>
      <c r="C1523" s="5" t="str">
        <f>IFERROR(__xludf.DUMMYFUNCTION("GOOGLETRANSLATE(B1523,""en"",""de"")"),"Sie steht auf und er folgt ihr durch das Haus, als sie in die Küche geht.")</f>
        <v>Sie steht auf und er folgt ihr durch das Haus, als sie in die Küche geht.</v>
      </c>
    </row>
    <row r="1524">
      <c r="A1524" s="4" t="s">
        <v>1908</v>
      </c>
      <c r="B1524" s="4" t="s">
        <v>1913</v>
      </c>
      <c r="C1524" s="5" t="str">
        <f>IFERROR(__xludf.DUMMYFUNCTION("GOOGLETRANSLATE(B1524,""en"",""de"")"),"Sie steckt den Rest des Eiss in den Gefrierschrank und spült den Löffel.")</f>
        <v>Sie steckt den Rest des Eiss in den Gefrierschrank und spült den Löffel.</v>
      </c>
    </row>
    <row r="1525">
      <c r="A1525" s="4" t="s">
        <v>1914</v>
      </c>
      <c r="B1525" s="4" t="s">
        <v>1915</v>
      </c>
      <c r="C1525" s="5" t="str">
        <f>IFERROR(__xludf.DUMMYFUNCTION("GOOGLETRANSLATE(B1525,""en"",""de"")"),"Ein sportlicher Mann ist zu sehen, der sich in einen Kreis tritt und einen Diskussion in die Ferne bringt.")</f>
        <v>Ein sportlicher Mann ist zu sehen, der sich in einen Kreis tritt und einen Diskussion in die Ferne bringt.</v>
      </c>
    </row>
    <row r="1526">
      <c r="A1526" s="4" t="s">
        <v>1914</v>
      </c>
      <c r="B1526" s="4" t="s">
        <v>1916</v>
      </c>
      <c r="C1526" s="5" t="str">
        <f>IFERROR(__xludf.DUMMYFUNCTION("GOOGLETRANSLATE(B1526,""en"",""de"")"),"Dann läuft er aufgeregt, während Kameras ihm folgen und anderen Athleten zeigte, die die Festplatte drehen.")</f>
        <v>Dann läuft er aufgeregt, während Kameras ihm folgen und anderen Athleten zeigte, die die Festplatte drehen.</v>
      </c>
    </row>
    <row r="1527">
      <c r="A1527" s="4" t="s">
        <v>1914</v>
      </c>
      <c r="B1527" s="4" t="s">
        <v>1917</v>
      </c>
      <c r="C1527" s="5" t="str">
        <f>IFERROR(__xludf.DUMMYFUNCTION("GOOGLETRANSLATE(B1527,""en"",""de"")"),"Weitere Aufnahmen von Menschen, die feiern und der Athlet auf die Tribünen rennt.")</f>
        <v>Weitere Aufnahmen von Menschen, die feiern und der Athlet auf die Tribünen rennt.</v>
      </c>
    </row>
    <row r="1528">
      <c r="A1528" s="4" t="s">
        <v>1918</v>
      </c>
      <c r="B1528" s="4" t="s">
        <v>1919</v>
      </c>
      <c r="C1528" s="5" t="str">
        <f>IFERROR(__xludf.DUMMYFUNCTION("GOOGLETRANSLATE(B1528,""en"",""de"")"),"Eine Frau sitzt an einem Tisch mit einer Shisha, während eine andere Frau alberne Gesichter und Gesten hinter sich macht.")</f>
        <v>Eine Frau sitzt an einem Tisch mit einer Shisha, während eine andere Frau alberne Gesichter und Gesten hinter sich macht.</v>
      </c>
    </row>
    <row r="1529">
      <c r="A1529" s="4" t="s">
        <v>1918</v>
      </c>
      <c r="B1529" s="4" t="s">
        <v>1920</v>
      </c>
      <c r="C1529" s="5" t="str">
        <f>IFERROR(__xludf.DUMMYFUNCTION("GOOGLETRANSLATE(B1529,""en"",""de"")"),"Sie sprechen animiert mit der Person hinter der Kamera.")</f>
        <v>Sie sprechen animiert mit der Person hinter der Kamera.</v>
      </c>
    </row>
    <row r="1530">
      <c r="A1530" s="4" t="s">
        <v>1918</v>
      </c>
      <c r="B1530" s="4" t="s">
        <v>1921</v>
      </c>
      <c r="C1530" s="5" t="str">
        <f>IFERROR(__xludf.DUMMYFUNCTION("GOOGLETRANSLATE(B1530,""en"",""de"")"),"Es gibt eine Nahaufnahme der Gegenstände auf dem Tisch vor ihnen.")</f>
        <v>Es gibt eine Nahaufnahme der Gegenstände auf dem Tisch vor ihnen.</v>
      </c>
    </row>
    <row r="1531">
      <c r="A1531" s="4" t="s">
        <v>1918</v>
      </c>
      <c r="B1531" s="4" t="s">
        <v>1922</v>
      </c>
      <c r="C1531" s="5" t="str">
        <f>IFERROR(__xludf.DUMMYFUNCTION("GOOGLETRANSLATE(B1531,""en"",""de"")"),"Die Frau mit der Kamera dreht sie um sich selbst, bevor sie es den anderen Frauen zurückzeigt.")</f>
        <v>Die Frau mit der Kamera dreht sie um sich selbst, bevor sie es den anderen Frauen zurückzeigt.</v>
      </c>
    </row>
    <row r="1532">
      <c r="A1532" s="4" t="s">
        <v>1918</v>
      </c>
      <c r="B1532" s="4" t="s">
        <v>1923</v>
      </c>
      <c r="C1532" s="5" t="str">
        <f>IFERROR(__xludf.DUMMYFUNCTION("GOOGLETRANSLATE(B1532,""en"",""de"")"),"Eine der Frauen hustet, als eine Rauchwolke sie ins Gesicht trifft.")</f>
        <v>Eine der Frauen hustet, als eine Rauchwolke sie ins Gesicht trifft.</v>
      </c>
    </row>
    <row r="1533">
      <c r="A1533" s="4" t="s">
        <v>1924</v>
      </c>
      <c r="B1533" s="4" t="s">
        <v>1925</v>
      </c>
      <c r="C1533" s="5" t="str">
        <f>IFERROR(__xludf.DUMMYFUNCTION("GOOGLETRANSLATE(B1533,""en"",""de"")"),"Der Mann springt auf einem Bürgersteig mit Stelzen.")</f>
        <v>Der Mann springt auf einem Bürgersteig mit Stelzen.</v>
      </c>
    </row>
    <row r="1534">
      <c r="A1534" s="4" t="s">
        <v>1924</v>
      </c>
      <c r="B1534" s="4" t="s">
        <v>1926</v>
      </c>
      <c r="C1534" s="5" t="str">
        <f>IFERROR(__xludf.DUMMYFUNCTION("GOOGLETRANSLATE(B1534,""en"",""de"")"),"Ein ruhiges grünes Grasfeld befindet sich hinter dem Mann Wearinf Stelzen.")</f>
        <v>Ein ruhiges grünes Grasfeld befindet sich hinter dem Mann Wearinf Stelzen.</v>
      </c>
    </row>
    <row r="1535">
      <c r="A1535" s="4" t="s">
        <v>1924</v>
      </c>
      <c r="B1535" s="4" t="s">
        <v>1927</v>
      </c>
      <c r="C1535" s="5" t="str">
        <f>IFERROR(__xludf.DUMMYFUNCTION("GOOGLETRANSLATE(B1535,""en"",""de"")"),"Der Mann trägt einen weißen Pullover und Stelzen und befindet sich in einem grünen Graspark.")</f>
        <v>Der Mann trägt einen weißen Pullover und Stelzen und befindet sich in einem grünen Graspark.</v>
      </c>
    </row>
    <row r="1536">
      <c r="A1536" s="4" t="s">
        <v>1928</v>
      </c>
      <c r="B1536" s="4" t="s">
        <v>1929</v>
      </c>
      <c r="C1536" s="5" t="str">
        <f>IFERROR(__xludf.DUMMYFUNCTION("GOOGLETRANSLATE(B1536,""en"",""de"")"),"Ein Gastgeber spricht mit der Kamera und führt zu einem Trainer, der mit anderen spricht, die hinter ihr trainieren.")</f>
        <v>Ein Gastgeber spricht mit der Kamera und führt zu einem Trainer, der mit anderen spricht, die hinter ihr trainieren.</v>
      </c>
    </row>
    <row r="1537">
      <c r="A1537" s="4" t="s">
        <v>1928</v>
      </c>
      <c r="B1537" s="4" t="s">
        <v>1930</v>
      </c>
      <c r="C1537" s="5" t="str">
        <f>IFERROR(__xludf.DUMMYFUNCTION("GOOGLETRANSLATE(B1537,""en"",""de"")"),"Weitere Aufnahmen von Menschen, die auf Fahrrädern trainieren, werden gezeigt und endet mit dem Trainer, der durchgeht und spricht.")</f>
        <v>Weitere Aufnahmen von Menschen, die auf Fahrrädern trainieren, werden gezeigt und endet mit dem Trainer, der durchgeht und spricht.</v>
      </c>
    </row>
    <row r="1538">
      <c r="A1538" s="4" t="s">
        <v>1931</v>
      </c>
      <c r="B1538" s="4" t="s">
        <v>1932</v>
      </c>
      <c r="C1538" s="5" t="str">
        <f>IFERROR(__xludf.DUMMYFUNCTION("GOOGLETRANSLATE(B1538,""en"",""de"")"),"Eine Frau steht auf einem Tennisplatz und redet.")</f>
        <v>Eine Frau steht auf einem Tennisplatz und redet.</v>
      </c>
    </row>
    <row r="1539">
      <c r="A1539" s="4" t="s">
        <v>1931</v>
      </c>
      <c r="B1539" s="4" t="s">
        <v>1933</v>
      </c>
      <c r="C1539" s="5" t="str">
        <f>IFERROR(__xludf.DUMMYFUNCTION("GOOGLETRANSLATE(B1539,""en"",""de"")"),"Sie beginnt auf dem Platz Tennis zu spielen.")</f>
        <v>Sie beginnt auf dem Platz Tennis zu spielen.</v>
      </c>
    </row>
    <row r="1540">
      <c r="A1540" s="4" t="s">
        <v>1931</v>
      </c>
      <c r="B1540" s="4" t="s">
        <v>1934</v>
      </c>
      <c r="C1540" s="5" t="str">
        <f>IFERROR(__xludf.DUMMYFUNCTION("GOOGLETRANSLATE(B1540,""en"",""de"")"),"Sie dient mehrmals einen Tennisball über dem Platz.")</f>
        <v>Sie dient mehrmals einen Tennisball über dem Platz.</v>
      </c>
    </row>
    <row r="1541">
      <c r="A1541" s="4" t="s">
        <v>1935</v>
      </c>
      <c r="B1541" s="4" t="s">
        <v>1936</v>
      </c>
      <c r="C1541" s="5" t="str">
        <f>IFERROR(__xludf.DUMMYFUNCTION("GOOGLETRANSLATE(B1541,""en"",""de"")"),"Mehrere Personen sind draußen in einem Skigebiet, der auf den Röhren sitzt.")</f>
        <v>Mehrere Personen sind draußen in einem Skigebiet, der auf den Röhren sitzt.</v>
      </c>
    </row>
    <row r="1542">
      <c r="A1542" s="4" t="s">
        <v>1935</v>
      </c>
      <c r="B1542" s="4" t="s">
        <v>1937</v>
      </c>
      <c r="C1542" s="5" t="str">
        <f>IFERROR(__xludf.DUMMYFUNCTION("GOOGLETRANSLATE(B1542,""en"",""de"")"),"Danach werden die drei Personen vorne den Hang heruntergezogen und beginnen nach unten zu rutschen.")</f>
        <v>Danach werden die drei Personen vorne den Hang heruntergezogen und beginnen nach unten zu rutschen.</v>
      </c>
    </row>
    <row r="1543">
      <c r="A1543" s="4" t="s">
        <v>1935</v>
      </c>
      <c r="B1543" s="4" t="s">
        <v>1938</v>
      </c>
      <c r="C1543" s="5" t="str">
        <f>IFERROR(__xludf.DUMMYFUNCTION("GOOGLETRANSLATE(B1543,""en"",""de"")"),"Sobald sie ausgeschaltet sind, geht der Mann, der ihn nach unten drückte, weg und mehr Menschen beginnen unterzugehen.")</f>
        <v>Sobald sie ausgeschaltet sind, geht der Mann, der ihn nach unten drückte, weg und mehr Menschen beginnen unterzugehen.</v>
      </c>
    </row>
    <row r="1544">
      <c r="A1544" s="4" t="s">
        <v>1939</v>
      </c>
      <c r="B1544" s="4" t="s">
        <v>1940</v>
      </c>
      <c r="C1544" s="5" t="str">
        <f>IFERROR(__xludf.DUMMYFUNCTION("GOOGLETRANSLATE(B1544,""en"",""de"")"),"Ein Mann hält ein Glas, während er mit der Kamera spricht, wenn ein anderer Mann hereinkommt und beginnt, die Wand zu malen.")</f>
        <v>Ein Mann hält ein Glas, während er mit der Kamera spricht, wenn ein anderer Mann hereinkommt und beginnt, die Wand zu malen.</v>
      </c>
    </row>
    <row r="1545">
      <c r="A1545" s="4" t="s">
        <v>1939</v>
      </c>
      <c r="B1545" s="4" t="s">
        <v>1941</v>
      </c>
      <c r="C1545" s="5" t="str">
        <f>IFERROR(__xludf.DUMMYFUNCTION("GOOGLETRANSLATE(B1545,""en"",""de"")"),"Der Mann malt weiter an die Wand, während die Kamera ihn einfängt und der andere Mann weggeht.")</f>
        <v>Der Mann malt weiter an die Wand, während die Kamera ihn einfängt und der andere Mann weggeht.</v>
      </c>
    </row>
    <row r="1546">
      <c r="A1546" s="4" t="s">
        <v>1942</v>
      </c>
      <c r="B1546" s="4" t="s">
        <v>1943</v>
      </c>
      <c r="C1546" s="5" t="str">
        <f>IFERROR(__xludf.DUMMYFUNCTION("GOOGLETRANSLATE(B1546,""en"",""de"")"),"Eine Animation, die die Lichtbogenlänge eines Schweißtyp -Werkzeugs zeigt, die Wärme emittieren.")</f>
        <v>Eine Animation, die die Lichtbogenlänge eines Schweißtyp -Werkzeugs zeigt, die Wärme emittieren.</v>
      </c>
    </row>
    <row r="1547">
      <c r="A1547" s="4" t="s">
        <v>1942</v>
      </c>
      <c r="B1547" s="4" t="s">
        <v>1944</v>
      </c>
      <c r="C1547" s="5" t="str">
        <f>IFERROR(__xludf.DUMMYFUNCTION("GOOGLETRANSLATE(B1547,""en"",""de"")"),"Eine Demonstration des Werkzeugs, das in Echtzeit Wärme ausgibt.")</f>
        <v>Eine Demonstration des Werkzeugs, das in Echtzeit Wärme ausgibt.</v>
      </c>
    </row>
    <row r="1548">
      <c r="A1548" s="4" t="s">
        <v>1942</v>
      </c>
      <c r="B1548" s="4" t="s">
        <v>1945</v>
      </c>
      <c r="C1548" s="5" t="str">
        <f>IFERROR(__xludf.DUMMYFUNCTION("GOOGLETRANSLATE(B1548,""en"",""de"")"),"Ein Diagramm, das den langen Bogen des Werkzeugs veranschaulicht, das Spannung und Strom dokumentiert.")</f>
        <v>Ein Diagramm, das den langen Bogen des Werkzeugs veranschaulicht, das Spannung und Strom dokumentiert.</v>
      </c>
    </row>
    <row r="1549">
      <c r="A1549" s="4" t="s">
        <v>1942</v>
      </c>
      <c r="B1549" s="4" t="s">
        <v>1946</v>
      </c>
      <c r="C1549" s="5" t="str">
        <f>IFERROR(__xludf.DUMMYFUNCTION("GOOGLETRANSLATE(B1549,""en"",""de"")"),"Das Werkzeug wird in Echtzeit gezeigt, die Wärme mit einem Foto eines geschweißten Materials emittieren.")</f>
        <v>Das Werkzeug wird in Echtzeit gezeigt, die Wärme mit einem Foto eines geschweißten Materials emittieren.</v>
      </c>
    </row>
    <row r="1550">
      <c r="A1550" s="4" t="s">
        <v>1942</v>
      </c>
      <c r="B1550" s="4" t="s">
        <v>1947</v>
      </c>
      <c r="C1550" s="5" t="str">
        <f>IFERROR(__xludf.DUMMYFUNCTION("GOOGLETRANSLATE(B1550,""en"",""de"")"),"Ein Diagramm zeigt den kurzen Bogen mit der dokumentierten Spannung und Amperierung.")</f>
        <v>Ein Diagramm zeigt den kurzen Bogen mit der dokumentierten Spannung und Amperierung.</v>
      </c>
    </row>
    <row r="1551">
      <c r="A1551" s="4" t="s">
        <v>1942</v>
      </c>
      <c r="B1551" s="4" t="s">
        <v>1948</v>
      </c>
      <c r="C1551" s="5" t="str">
        <f>IFERROR(__xludf.DUMMYFUNCTION("GOOGLETRANSLATE(B1551,""en"",""de"")"),"Ein Mann in einem blauen Mantel und orangefarbenen Handschuhen verwendet das Bogenwerkzeug.")</f>
        <v>Ein Mann in einem blauen Mantel und orangefarbenen Handschuhen verwendet das Bogenwerkzeug.</v>
      </c>
    </row>
    <row r="1552">
      <c r="A1552" s="4" t="s">
        <v>1949</v>
      </c>
      <c r="B1552" s="4" t="s">
        <v>1950</v>
      </c>
      <c r="C1552" s="5" t="str">
        <f>IFERROR(__xludf.DUMMYFUNCTION("GOOGLETRANSLATE(B1552,""en"",""de"")"),"Ein Mann legt Fliesen auf den Boden.")</f>
        <v>Ein Mann legt Fliesen auf den Boden.</v>
      </c>
    </row>
    <row r="1553">
      <c r="A1553" s="4" t="s">
        <v>1949</v>
      </c>
      <c r="B1553" s="4" t="s">
        <v>1951</v>
      </c>
      <c r="C1553" s="5" t="str">
        <f>IFERROR(__xludf.DUMMYFUNCTION("GOOGLETRANSLATE(B1553,""en"",""de"")"),"Eine Frau erscheint, entzieht Fliesen aus einer Schachtel und spricht über sie.")</f>
        <v>Eine Frau erscheint, entzieht Fliesen aus einer Schachtel und spricht über sie.</v>
      </c>
    </row>
    <row r="1554">
      <c r="A1554" s="4" t="s">
        <v>1949</v>
      </c>
      <c r="B1554" s="4" t="s">
        <v>1952</v>
      </c>
      <c r="C1554" s="5" t="str">
        <f>IFERROR(__xludf.DUMMYFUNCTION("GOOGLETRANSLATE(B1554,""en"",""de"")"),"Die Frau kniet auf den Boden, schneidet und transportiert Fliesen.")</f>
        <v>Die Frau kniet auf den Boden, schneidet und transportiert Fliesen.</v>
      </c>
    </row>
    <row r="1555">
      <c r="A1555" s="4" t="s">
        <v>1949</v>
      </c>
      <c r="B1555" s="4" t="s">
        <v>1953</v>
      </c>
      <c r="C1555" s="5" t="str">
        <f>IFERROR(__xludf.DUMMYFUNCTION("GOOGLETRANSLATE(B1555,""en"",""de"")"),"Ein Mann rollt eine Druckrolle über den fertigen Boden, bevor die Frau zurückkehrt und über das fertige Produkt spricht.")</f>
        <v>Ein Mann rollt eine Druckrolle über den fertigen Boden, bevor die Frau zurückkehrt und über das fertige Produkt spricht.</v>
      </c>
    </row>
    <row r="1556">
      <c r="A1556" s="4" t="s">
        <v>1954</v>
      </c>
      <c r="B1556" s="4" t="s">
        <v>1955</v>
      </c>
      <c r="C1556" s="5" t="str">
        <f>IFERROR(__xludf.DUMMYFUNCTION("GOOGLETRANSLATE(B1556,""en"",""de"")"),"Ein Mädchen gibt einem kleinen Hund ein Bad.")</f>
        <v>Ein Mädchen gibt einem kleinen Hund ein Bad.</v>
      </c>
    </row>
    <row r="1557">
      <c r="A1557" s="4" t="s">
        <v>1954</v>
      </c>
      <c r="B1557" s="4" t="s">
        <v>1956</v>
      </c>
      <c r="C1557" s="5" t="str">
        <f>IFERROR(__xludf.DUMMYFUNCTION("GOOGLETRANSLATE(B1557,""en"",""de"")"),"Sie hat eine orangefarbene Flasche in der Hand.")</f>
        <v>Sie hat eine orangefarbene Flasche in der Hand.</v>
      </c>
    </row>
    <row r="1558">
      <c r="A1558" s="4" t="s">
        <v>1957</v>
      </c>
      <c r="B1558" s="4" t="s">
        <v>1958</v>
      </c>
      <c r="C1558" s="5" t="str">
        <f>IFERROR(__xludf.DUMMYFUNCTION("GOOGLETRANSLATE(B1558,""en"",""de"")"),"Ein weißer Intro -Bildschirm erscheint mit einem roten, weißen und schwarzen Kunstwirbel auf der linken Seite rote und schwarze Wörter auf der rechten Seite, die ""England Squash &amp; Racketball"" und die Website in Schwarz unten sagen.")</f>
        <v>Ein weißer Intro -Bildschirm erscheint mit einem roten, weißen und schwarzen Kunstwirbel auf der linken Seite rote und schwarze Wörter auf der rechten Seite, die "England Squash &amp; Racketball" und die Website in Schwarz unten sagen.</v>
      </c>
    </row>
    <row r="1559">
      <c r="A1559" s="4" t="s">
        <v>1957</v>
      </c>
      <c r="B1559" s="4" t="s">
        <v>1959</v>
      </c>
      <c r="C1559" s="5" t="str">
        <f>IFERROR(__xludf.DUMMYFUNCTION("GOOGLETRANSLATE(B1559,""en"",""de"")"),"Ein Mann erscheint mit einem Schläger und er spricht mit der Kamera, als er einen Schläger trifft, dann spielen verschiedene kleine Clips danach, zu denen er auch den Schläger schlägt, sowie verschiedene andere Leute, die spielen.")</f>
        <v>Ein Mann erscheint mit einem Schläger und er spricht mit der Kamera, als er einen Schläger trifft, dann spielen verschiedene kleine Clips danach, zu denen er auch den Schläger schlägt, sowie verschiedene andere Leute, die spielen.</v>
      </c>
    </row>
    <row r="1560">
      <c r="A1560" s="4" t="s">
        <v>1957</v>
      </c>
      <c r="B1560" s="4" t="s">
        <v>1960</v>
      </c>
      <c r="C1560" s="5" t="str">
        <f>IFERROR(__xludf.DUMMYFUNCTION("GOOGLETRANSLATE(B1560,""en"",""de"")"),"Der Outro -Bildschirm wird angezeigt und genau wie der weiße Intro -Bildschirm.")</f>
        <v>Der Outro -Bildschirm wird angezeigt und genau wie der weiße Intro -Bildschirm.</v>
      </c>
    </row>
    <row r="1561">
      <c r="A1561" s="4" t="s">
        <v>1961</v>
      </c>
      <c r="B1561" s="4" t="s">
        <v>1962</v>
      </c>
      <c r="C1561" s="5" t="str">
        <f>IFERROR(__xludf.DUMMYFUNCTION("GOOGLETRANSLATE(B1561,""en"",""de"")"),"Es gibt Leute, die im Pool Bälle zueinander werfen.")</f>
        <v>Es gibt Leute, die im Pool Bälle zueinander werfen.</v>
      </c>
    </row>
    <row r="1562">
      <c r="A1562" s="4" t="s">
        <v>1961</v>
      </c>
      <c r="B1562" s="4" t="s">
        <v>1963</v>
      </c>
      <c r="C1562" s="5" t="str">
        <f>IFERROR(__xludf.DUMMYFUNCTION("GOOGLETRANSLATE(B1562,""en"",""de"")"),"Es gibt Leute, die auf die andere Seite des Pools schwimmen.")</f>
        <v>Es gibt Leute, die auf die andere Seite des Pools schwimmen.</v>
      </c>
    </row>
    <row r="1563">
      <c r="A1563" s="4" t="s">
        <v>1964</v>
      </c>
      <c r="B1563" s="4" t="s">
        <v>1965</v>
      </c>
      <c r="C1563" s="5" t="str">
        <f>IFERROR(__xludf.DUMMYFUNCTION("GOOGLETRANSLATE(B1563,""en"",""de"")"),"Frau geht mit einem Bikini und es ist schneebedeckt Tag.")</f>
        <v>Frau geht mit einem Bikini und es ist schneebedeckt Tag.</v>
      </c>
    </row>
    <row r="1564">
      <c r="A1564" s="4" t="s">
        <v>1964</v>
      </c>
      <c r="B1564" s="4" t="s">
        <v>1966</v>
      </c>
      <c r="C1564" s="5" t="str">
        <f>IFERROR(__xludf.DUMMYFUNCTION("GOOGLETRANSLATE(B1564,""en"",""de"")"),"Die Leute sind auf dem Bürgersteig und beobachten das Mädchen.")</f>
        <v>Die Leute sind auf dem Bürgersteig und beobachten das Mädchen.</v>
      </c>
    </row>
    <row r="1565">
      <c r="A1565" s="4" t="s">
        <v>1964</v>
      </c>
      <c r="B1565" s="4" t="s">
        <v>1967</v>
      </c>
      <c r="C1565" s="5" t="str">
        <f>IFERROR(__xludf.DUMMYFUNCTION("GOOGLETRANSLATE(B1565,""en"",""de"")"),"Frau ist in einem Restaurant mit einem Bikini und zwei Aiter beobachten sie.")</f>
        <v>Frau ist in einem Restaurant mit einem Bikini und zwei Aiter beobachten sie.</v>
      </c>
    </row>
    <row r="1566">
      <c r="A1566" s="4" t="s">
        <v>1964</v>
      </c>
      <c r="B1566" s="4" t="s">
        <v>1968</v>
      </c>
      <c r="C1566" s="5" t="str">
        <f>IFERROR(__xludf.DUMMYFUNCTION("GOOGLETRANSLATE(B1566,""en"",""de"")"),"Frau geht auf einem Flughafen ein Restaurant.")</f>
        <v>Frau geht auf einem Flughafen ein Restaurant.</v>
      </c>
    </row>
    <row r="1567">
      <c r="A1567" s="4" t="s">
        <v>1969</v>
      </c>
      <c r="B1567" s="4" t="s">
        <v>1970</v>
      </c>
      <c r="C1567" s="5" t="str">
        <f>IFERROR(__xludf.DUMMYFUNCTION("GOOGLETRANSLATE(B1567,""en"",""de"")"),"Ein kleines Mädchen legt Make -up ins Gesicht.")</f>
        <v>Ein kleines Mädchen legt Make -up ins Gesicht.</v>
      </c>
    </row>
    <row r="1568">
      <c r="A1568" s="4" t="s">
        <v>1969</v>
      </c>
      <c r="B1568" s="4" t="s">
        <v>1971</v>
      </c>
      <c r="C1568" s="5" t="str">
        <f>IFERROR(__xludf.DUMMYFUNCTION("GOOGLETRANSLATE(B1568,""en"",""de"")"),"Sie legt Lippenstift auf ihre Lippen.")</f>
        <v>Sie legt Lippenstift auf ihre Lippen.</v>
      </c>
    </row>
    <row r="1569">
      <c r="A1569" s="4" t="s">
        <v>1969</v>
      </c>
      <c r="B1569" s="4" t="s">
        <v>1972</v>
      </c>
      <c r="C1569" s="5" t="str">
        <f>IFERROR(__xludf.DUMMYFUNCTION("GOOGLETRANSLATE(B1569,""en"",""de"")"),"Sie legt Mascara auf ihre Wimpern.")</f>
        <v>Sie legt Mascara auf ihre Wimpern.</v>
      </c>
    </row>
    <row r="1570">
      <c r="A1570" s="4" t="s">
        <v>1969</v>
      </c>
      <c r="B1570" s="4" t="s">
        <v>1973</v>
      </c>
      <c r="C1570" s="5" t="str">
        <f>IFERROR(__xludf.DUMMYFUNCTION("GOOGLETRANSLATE(B1570,""en"",""de"")"),"Sie sprüht Körperspray auf ihr Hemd.")</f>
        <v>Sie sprüht Körperspray auf ihr Hemd.</v>
      </c>
    </row>
    <row r="1571">
      <c r="A1571" s="4" t="s">
        <v>1969</v>
      </c>
      <c r="B1571" s="4" t="s">
        <v>1974</v>
      </c>
      <c r="C1571" s="5" t="str">
        <f>IFERROR(__xludf.DUMMYFUNCTION("GOOGLETRANSLATE(B1571,""en"",""de"")"),"Sie setzt Lidschatten auf ihre Augen.")</f>
        <v>Sie setzt Lidschatten auf ihre Augen.</v>
      </c>
    </row>
    <row r="1572">
      <c r="A1572" s="4" t="s">
        <v>1975</v>
      </c>
      <c r="B1572" s="4" t="s">
        <v>1976</v>
      </c>
      <c r="C1572" s="5" t="str">
        <f>IFERROR(__xludf.DUMMYFUNCTION("GOOGLETRANSLATE(B1572,""en"",""de"")"),"Ein Turner wird vor einem Strahl bereit stehen und dann springt dann eine Routine.")</f>
        <v>Ein Turner wird vor einem Strahl bereit stehen und dann springt dann eine Routine.</v>
      </c>
    </row>
    <row r="1573">
      <c r="A1573" s="4" t="s">
        <v>1975</v>
      </c>
      <c r="B1573" s="4" t="s">
        <v>1977</v>
      </c>
      <c r="C1573" s="5" t="str">
        <f>IFERROR(__xludf.DUMMYFUNCTION("GOOGLETRANSLATE(B1573,""en"",""de"")"),"Das Mädchen führt dann mehrere Flips und Tricks auf dem Strahl durch und endet damit, dass sie mit zusammen von der Seite von den Beinen springt und ihre Arme hochhält.")</f>
        <v>Das Mädchen führt dann mehrere Flips und Tricks auf dem Strahl durch und endet damit, dass sie mit zusammen von der Seite von den Beinen springt und ihre Arme hochhält.</v>
      </c>
    </row>
    <row r="1574">
      <c r="A1574" s="4" t="s">
        <v>1978</v>
      </c>
      <c r="B1574" s="4" t="s">
        <v>1979</v>
      </c>
      <c r="C1574" s="5" t="str">
        <f>IFERROR(__xludf.DUMMYFUNCTION("GOOGLETRANSLATE(B1574,""en"",""de"")"),"Ein Mädchen sitzt vor einem Tisch und spielt einen Akkordeianer.")</f>
        <v>Ein Mädchen sitzt vor einem Tisch und spielt einen Akkordeianer.</v>
      </c>
    </row>
    <row r="1575">
      <c r="A1575" s="4" t="s">
        <v>1978</v>
      </c>
      <c r="B1575" s="4" t="s">
        <v>1980</v>
      </c>
      <c r="C1575" s="5" t="str">
        <f>IFERROR(__xludf.DUMMYFUNCTION("GOOGLETRANSLATE(B1575,""en"",""de"")"),"Sie starrt in die Kamera, als sie die Tastatur spielt und den Akkordeian hinein und auszieht.")</f>
        <v>Sie starrt in die Kamera, als sie die Tastatur spielt und den Akkordeian hinein und auszieht.</v>
      </c>
    </row>
    <row r="1576">
      <c r="A1576" s="4" t="s">
        <v>1981</v>
      </c>
      <c r="B1576" s="4" t="s">
        <v>1982</v>
      </c>
      <c r="C1576" s="5" t="str">
        <f>IFERROR(__xludf.DUMMYFUNCTION("GOOGLETRANSLATE(B1576,""en"",""de"")"),"Eine Dame zieht und repariert ihr Outfit.")</f>
        <v>Eine Dame zieht und repariert ihr Outfit.</v>
      </c>
    </row>
    <row r="1577">
      <c r="A1577" s="4" t="s">
        <v>1981</v>
      </c>
      <c r="B1577" s="4" t="s">
        <v>1983</v>
      </c>
      <c r="C1577" s="5" t="str">
        <f>IFERROR(__xludf.DUMMYFUNCTION("GOOGLETRANSLATE(B1577,""en"",""de"")"),"Die Dame macht mit ihren Haaren.")</f>
        <v>Die Dame macht mit ihren Haaren.</v>
      </c>
    </row>
    <row r="1578">
      <c r="A1578" s="4" t="s">
        <v>1981</v>
      </c>
      <c r="B1578" s="4" t="s">
        <v>1984</v>
      </c>
      <c r="C1578" s="5" t="str">
        <f>IFERROR(__xludf.DUMMYFUNCTION("GOOGLETRANSLATE(B1578,""en"",""de"")"),"Die Dame versucht im Stehen und Sitzen mit Schuhen.")</f>
        <v>Die Dame versucht im Stehen und Sitzen mit Schuhen.</v>
      </c>
    </row>
    <row r="1579">
      <c r="A1579" s="4" t="s">
        <v>1985</v>
      </c>
      <c r="B1579" s="4" t="s">
        <v>1986</v>
      </c>
      <c r="C1579" s="5" t="str">
        <f>IFERROR(__xludf.DUMMYFUNCTION("GOOGLETRANSLATE(B1579,""en"",""de"")"),"Ein Intro wird aus Karten und einem Haus in der Nähe gezeigt.")</f>
        <v>Ein Intro wird aus Karten und einem Haus in der Nähe gezeigt.</v>
      </c>
    </row>
    <row r="1580">
      <c r="A1580" s="4" t="s">
        <v>1985</v>
      </c>
      <c r="B1580" s="4" t="s">
        <v>1987</v>
      </c>
      <c r="C1580" s="5" t="str">
        <f>IFERROR(__xludf.DUMMYFUNCTION("GOOGLETRANSLATE(B1580,""en"",""de"")"),"Danach wird eine Nahaufnahme eines Daches ebenso angezeigt wie Logos.")</f>
        <v>Danach wird eine Nahaufnahme eines Daches ebenso angezeigt wie Logos.</v>
      </c>
    </row>
    <row r="1581">
      <c r="A1581" s="4" t="s">
        <v>1985</v>
      </c>
      <c r="B1581" s="4" t="s">
        <v>1988</v>
      </c>
      <c r="C1581" s="5" t="str">
        <f>IFERROR(__xludf.DUMMYFUNCTION("GOOGLETRANSLATE(B1581,""en"",""de"")"),"Weitere Bilder werden sowohl geparkte LKWs als auch Logos gezeigt.")</f>
        <v>Weitere Bilder werden sowohl geparkte LKWs als auch Logos gezeigt.</v>
      </c>
    </row>
    <row r="1582">
      <c r="A1582" s="4" t="s">
        <v>1989</v>
      </c>
      <c r="B1582" s="4" t="s">
        <v>1990</v>
      </c>
      <c r="C1582" s="5" t="str">
        <f>IFERROR(__xludf.DUMMYFUNCTION("GOOGLETRANSLATE(B1582,""en"",""de"")"),"Stabhochsprunggrößen steht auf dem Bildschirm.")</f>
        <v>Stabhochsprunggrößen steht auf dem Bildschirm.</v>
      </c>
    </row>
    <row r="1583">
      <c r="A1583" s="4" t="s">
        <v>1989</v>
      </c>
      <c r="B1583" s="4" t="s">
        <v>1991</v>
      </c>
      <c r="C1583" s="5" t="str">
        <f>IFERROR(__xludf.DUMMYFUNCTION("GOOGLETRANSLATE(B1583,""en"",""de"")"),"Es gibt mehrere Szenen von Männern und Frauen, die Stabhöhlen erzielen.")</f>
        <v>Es gibt mehrere Szenen von Männern und Frauen, die Stabhöhlen erzielen.</v>
      </c>
    </row>
    <row r="1584">
      <c r="A1584" s="4" t="s">
        <v>1992</v>
      </c>
      <c r="B1584" s="4" t="s">
        <v>1487</v>
      </c>
      <c r="C1584" s="5" t="str">
        <f>IFERROR(__xludf.DUMMYFUNCTION("GOOGLETRANSLATE(B1584,""en"",""de"")"),"Wir sehen einen Öffnungsbildschirm.")</f>
        <v>Wir sehen einen Öffnungsbildschirm.</v>
      </c>
    </row>
    <row r="1585">
      <c r="A1585" s="4" t="s">
        <v>1992</v>
      </c>
      <c r="B1585" s="4" t="s">
        <v>1993</v>
      </c>
      <c r="C1585" s="5" t="str">
        <f>IFERROR(__xludf.DUMMYFUNCTION("GOOGLETRANSLATE(B1585,""en"",""de"")"),"Werkzeuge sitzen auf einem Tisch und wir sehen, wie eine Person ein Fahrrad auspackt und zusammenstellt.")</f>
        <v>Werkzeuge sitzen auf einem Tisch und wir sehen, wie eine Person ein Fahrrad auspackt und zusammenstellt.</v>
      </c>
    </row>
    <row r="1586">
      <c r="A1586" s="4" t="s">
        <v>1992</v>
      </c>
      <c r="B1586" s="4" t="s">
        <v>1994</v>
      </c>
      <c r="C1586" s="5" t="str">
        <f>IFERROR(__xludf.DUMMYFUNCTION("GOOGLETRANSLATE(B1586,""en"",""de"")"),"Wir sehen, dass der Mann einen Reifen auf das Fahrrad legt.")</f>
        <v>Wir sehen, dass der Mann einen Reifen auf das Fahrrad legt.</v>
      </c>
    </row>
    <row r="1587">
      <c r="A1587" s="4" t="s">
        <v>1992</v>
      </c>
      <c r="B1587" s="4" t="s">
        <v>1995</v>
      </c>
      <c r="C1587" s="5" t="str">
        <f>IFERROR(__xludf.DUMMYFUNCTION("GOOGLETRANSLATE(B1587,""en"",""de"")"),"Eine Person zieht die Haltungen am Lenker fest.")</f>
        <v>Eine Person zieht die Haltungen am Lenker fest.</v>
      </c>
    </row>
    <row r="1588">
      <c r="A1588" s="4" t="s">
        <v>1992</v>
      </c>
      <c r="B1588" s="4" t="s">
        <v>1996</v>
      </c>
      <c r="C1588" s="5" t="str">
        <f>IFERROR(__xludf.DUMMYFUNCTION("GOOGLETRANSLATE(B1588,""en"",""de"")"),"Der Mann legt Fett auf die Paddel und installiert sie, bevor sie die Reifen ausstrahlen.")</f>
        <v>Der Mann legt Fett auf die Paddel und installiert sie, bevor sie die Reifen ausstrahlen.</v>
      </c>
    </row>
    <row r="1589">
      <c r="A1589" s="4" t="s">
        <v>1992</v>
      </c>
      <c r="B1589" s="4" t="s">
        <v>1997</v>
      </c>
      <c r="C1589" s="5" t="str">
        <f>IFERROR(__xludf.DUMMYFUNCTION("GOOGLETRANSLATE(B1589,""en"",""de"")"),"Wir sehen dann das fertige Fahrrad.")</f>
        <v>Wir sehen dann das fertige Fahrrad.</v>
      </c>
    </row>
    <row r="1590">
      <c r="A1590" s="4" t="s">
        <v>1992</v>
      </c>
      <c r="B1590" s="4" t="s">
        <v>1998</v>
      </c>
      <c r="C1590" s="5" t="str">
        <f>IFERROR(__xludf.DUMMYFUNCTION("GOOGLETRANSLATE(B1590,""en"",""de"")"),"Der Bildschirm des Endtitels wird angezeigt.")</f>
        <v>Der Bildschirm des Endtitels wird angezeigt.</v>
      </c>
    </row>
    <row r="1591">
      <c r="A1591" s="4" t="s">
        <v>1999</v>
      </c>
      <c r="B1591" s="4" t="s">
        <v>2000</v>
      </c>
      <c r="C1591" s="5" t="str">
        <f>IFERROR(__xludf.DUMMYFUNCTION("GOOGLETRANSLATE(B1591,""en"",""de"")"),"Ein Mann wird gesehen, wie er Schatten von einem Fenster abzieht und die Stangen um die Seiten entfernt.")</f>
        <v>Ein Mann wird gesehen, wie er Schatten von einem Fenster abzieht und die Stangen um die Seiten entfernt.</v>
      </c>
    </row>
    <row r="1592">
      <c r="A1592" s="4" t="s">
        <v>1999</v>
      </c>
      <c r="B1592" s="4" t="s">
        <v>2001</v>
      </c>
      <c r="C1592" s="5" t="str">
        <f>IFERROR(__xludf.DUMMYFUNCTION("GOOGLETRANSLATE(B1592,""en"",""de"")"),"Ein anderer Mann hilft ihm, indem er neuere Bars in das Fenster steckt und die Bretter schneidet, damit sie passen.")</f>
        <v>Ein anderer Mann hilft ihm, indem er neuere Bars in das Fenster steckt und die Bretter schneidet, damit sie passen.</v>
      </c>
    </row>
    <row r="1593">
      <c r="A1593" s="4" t="s">
        <v>1999</v>
      </c>
      <c r="B1593" s="4" t="s">
        <v>2002</v>
      </c>
      <c r="C1593" s="5" t="str">
        <f>IFERROR(__xludf.DUMMYFUNCTION("GOOGLETRANSLATE(B1593,""en"",""de"")"),"Am Ende schwenkt die Kamera um das neue Dach um die großartigen Ergebnisse.")</f>
        <v>Am Ende schwenkt die Kamera um das neue Dach um die großartigen Ergebnisse.</v>
      </c>
    </row>
    <row r="1594">
      <c r="A1594" s="4" t="s">
        <v>2003</v>
      </c>
      <c r="B1594" s="4" t="s">
        <v>2004</v>
      </c>
      <c r="C1594" s="5" t="str">
        <f>IFERROR(__xludf.DUMMYFUNCTION("GOOGLETRANSLATE(B1594,""en"",""de"")"),"Die Leute laufen Motocross auf einer holprigen Straße im Holz.")</f>
        <v>Die Leute laufen Motocross auf einer holprigen Straße im Holz.</v>
      </c>
    </row>
    <row r="1595">
      <c r="A1595" s="4" t="s">
        <v>2003</v>
      </c>
      <c r="B1595" s="4" t="s">
        <v>2005</v>
      </c>
      <c r="C1595" s="5" t="str">
        <f>IFERROR(__xludf.DUMMYFUNCTION("GOOGLETRANSLATE(B1595,""en"",""de"")"),"Eine Person steigt mit einem Motorrad eine Beule.")</f>
        <v>Eine Person steigt mit einem Motorrad eine Beule.</v>
      </c>
    </row>
    <row r="1596">
      <c r="A1596" s="4" t="s">
        <v>2003</v>
      </c>
      <c r="B1596" s="4" t="s">
        <v>2006</v>
      </c>
      <c r="C1596" s="5" t="str">
        <f>IFERROR(__xludf.DUMMYFUNCTION("GOOGLETRANSLATE(B1596,""en"",""de"")"),"Auch Menschen fahren Motorräder auf einer unbefestigten flachen Oberfläche.")</f>
        <v>Auch Menschen fahren Motorräder auf einer unbefestigten flachen Oberfläche.</v>
      </c>
    </row>
    <row r="1597">
      <c r="A1597" s="4" t="s">
        <v>2007</v>
      </c>
      <c r="B1597" s="4" t="s">
        <v>2008</v>
      </c>
      <c r="C1597" s="5" t="str">
        <f>IFERROR(__xludf.DUMMYFUNCTION("GOOGLETRANSLATE(B1597,""en"",""de"")"),"Ein kleines Mädchen steht auf einem Tauchbrett.")</f>
        <v>Ein kleines Mädchen steht auf einem Tauchbrett.</v>
      </c>
    </row>
    <row r="1598">
      <c r="A1598" s="4" t="s">
        <v>2007</v>
      </c>
      <c r="B1598" s="4" t="s">
        <v>2009</v>
      </c>
      <c r="C1598" s="5" t="str">
        <f>IFERROR(__xludf.DUMMYFUNCTION("GOOGLETRANSLATE(B1598,""en"",""de"")"),"Dann springt das kleine Mädchen, dreht und taucht im Schwimmbad ein.")</f>
        <v>Dann springt das kleine Mädchen, dreht und taucht im Schwimmbad ein.</v>
      </c>
    </row>
    <row r="1599">
      <c r="A1599" s="4" t="s">
        <v>2007</v>
      </c>
      <c r="B1599" s="4" t="s">
        <v>2010</v>
      </c>
      <c r="C1599" s="5" t="str">
        <f>IFERROR(__xludf.DUMMYFUNCTION("GOOGLETRANSLATE(B1599,""en"",""de"")"),"Die Leute sind im Schwimmbad.")</f>
        <v>Die Leute sind im Schwimmbad.</v>
      </c>
    </row>
    <row r="1600">
      <c r="A1600" s="4" t="s">
        <v>2011</v>
      </c>
      <c r="B1600" s="4" t="s">
        <v>2012</v>
      </c>
      <c r="C1600" s="5" t="str">
        <f>IFERROR(__xludf.DUMMYFUNCTION("GOOGLETRANSLATE(B1600,""en"",""de"")"),"Kid schwingt auf einem Spielplatz.")</f>
        <v>Kid schwingt auf einem Spielplatz.</v>
      </c>
    </row>
    <row r="1601">
      <c r="A1601" s="4" t="s">
        <v>2011</v>
      </c>
      <c r="B1601" s="4" t="s">
        <v>2013</v>
      </c>
      <c r="C1601" s="5" t="str">
        <f>IFERROR(__xludf.DUMMYFUNCTION("GOOGLETRANSLATE(B1601,""en"",""de"")"),"Frau rennt zu den Schaukeln und sitzt.")</f>
        <v>Frau rennt zu den Schaukeln und sitzt.</v>
      </c>
    </row>
    <row r="1602">
      <c r="A1602" s="4" t="s">
        <v>2011</v>
      </c>
      <c r="B1602" s="4" t="s">
        <v>2014</v>
      </c>
      <c r="C1602" s="5" t="str">
        <f>IFERROR(__xludf.DUMMYFUNCTION("GOOGLETRANSLATE(B1602,""en"",""de"")"),"Frau steht und Fuß hoch.")</f>
        <v>Frau steht und Fuß hoch.</v>
      </c>
    </row>
    <row r="1603">
      <c r="A1603" s="4" t="s">
        <v>2015</v>
      </c>
      <c r="B1603" s="4" t="s">
        <v>2016</v>
      </c>
      <c r="C1603" s="5" t="str">
        <f>IFERROR(__xludf.DUMMYFUNCTION("GOOGLETRANSLATE(B1603,""en"",""de"")"),"Ein Mann sitzt auf der Treppe und spielt eine Mundharmonika.")</f>
        <v>Ein Mann sitzt auf der Treppe und spielt eine Mundharmonika.</v>
      </c>
    </row>
    <row r="1604">
      <c r="A1604" s="4" t="s">
        <v>2015</v>
      </c>
      <c r="B1604" s="4" t="s">
        <v>2017</v>
      </c>
      <c r="C1604" s="5" t="str">
        <f>IFERROR(__xludf.DUMMYFUNCTION("GOOGLETRANSLATE(B1604,""en"",""de"")"),"Er steht auf und spielt weiter.")</f>
        <v>Er steht auf und spielt weiter.</v>
      </c>
    </row>
    <row r="1605">
      <c r="A1605" s="4" t="s">
        <v>2015</v>
      </c>
      <c r="B1605" s="4" t="s">
        <v>2018</v>
      </c>
      <c r="C1605" s="5" t="str">
        <f>IFERROR(__xludf.DUMMYFUNCTION("GOOGLETRANSLATE(B1605,""en"",""de"")"),"Wörter kommen auf dem Bildschirm.")</f>
        <v>Wörter kommen auf dem Bildschirm.</v>
      </c>
    </row>
    <row r="1606">
      <c r="A1606" s="4" t="s">
        <v>2019</v>
      </c>
      <c r="B1606" s="4" t="s">
        <v>2020</v>
      </c>
      <c r="C1606" s="5" t="str">
        <f>IFERROR(__xludf.DUMMYFUNCTION("GOOGLETRANSLATE(B1606,""en"",""de"")"),"Eine Nahaufnahme einer Tüte Zementmischung wird gezeigt.")</f>
        <v>Eine Nahaufnahme einer Tüte Zementmischung wird gezeigt.</v>
      </c>
    </row>
    <row r="1607">
      <c r="A1607" s="4" t="s">
        <v>2019</v>
      </c>
      <c r="B1607" s="4" t="s">
        <v>2021</v>
      </c>
      <c r="C1607" s="5" t="str">
        <f>IFERROR(__xludf.DUMMYFUNCTION("GOOGLETRANSLATE(B1607,""en"",""de"")"),"Ein Mann fügt Wasser in einen Behälter hinzu, während ein anderer zuschaut.")</f>
        <v>Ein Mann fügt Wasser in einen Behälter hinzu, während ein anderer zuschaut.</v>
      </c>
    </row>
    <row r="1608">
      <c r="A1608" s="4" t="s">
        <v>2019</v>
      </c>
      <c r="B1608" s="4" t="s">
        <v>2022</v>
      </c>
      <c r="C1608" s="5" t="str">
        <f>IFERROR(__xludf.DUMMYFUNCTION("GOOGLETRANSLATE(B1608,""en"",""de"")"),"Der erste Mann gießt die Zementmischung in den Behälter.")</f>
        <v>Der erste Mann gießt die Zementmischung in den Behälter.</v>
      </c>
    </row>
    <row r="1609">
      <c r="A1609" s="4" t="s">
        <v>2019</v>
      </c>
      <c r="B1609" s="4" t="s">
        <v>2023</v>
      </c>
      <c r="C1609" s="5" t="str">
        <f>IFERROR(__xludf.DUMMYFUNCTION("GOOGLETRANSLATE(B1609,""en"",""de"")"),"Der zweite Mann verwendet einen Mixer auf dem Behälter.")</f>
        <v>Der zweite Mann verwendet einen Mixer auf dem Behälter.</v>
      </c>
    </row>
    <row r="1610">
      <c r="A1610" s="4" t="s">
        <v>2019</v>
      </c>
      <c r="B1610" s="4" t="s">
        <v>2024</v>
      </c>
      <c r="C1610" s="5" t="str">
        <f>IFERROR(__xludf.DUMMYFUNCTION("GOOGLETRANSLATE(B1610,""en"",""de"")"),"Einer der Männer wendet die Mischung auf eine Wand.")</f>
        <v>Einer der Männer wendet die Mischung auf eine Wand.</v>
      </c>
    </row>
    <row r="1611">
      <c r="A1611" s="4" t="s">
        <v>2025</v>
      </c>
      <c r="B1611" s="4" t="s">
        <v>2026</v>
      </c>
      <c r="C1611" s="5" t="str">
        <f>IFERROR(__xludf.DUMMYFUNCTION("GOOGLETRANSLATE(B1611,""en"",""de"")"),"Öffnen von Credits Zeigen Sie die Beschreibung des Videos an.")</f>
        <v>Öffnen von Credits Zeigen Sie die Beschreibung des Videos an.</v>
      </c>
    </row>
    <row r="1612">
      <c r="A1612" s="4" t="s">
        <v>2025</v>
      </c>
      <c r="B1612" s="4" t="s">
        <v>2027</v>
      </c>
      <c r="C1612" s="5" t="str">
        <f>IFERROR(__xludf.DUMMYFUNCTION("GOOGLETRANSLATE(B1612,""en"",""de"")"),"Eine Frau winkt mit der Hand und erkennt ihre Haare und ihr Gesicht an, während sie weiter spricht.")</f>
        <v>Eine Frau winkt mit der Hand und erkennt ihre Haare und ihr Gesicht an, während sie weiter spricht.</v>
      </c>
    </row>
    <row r="1613">
      <c r="A1613" s="4" t="s">
        <v>2025</v>
      </c>
      <c r="B1613" s="4" t="s">
        <v>2028</v>
      </c>
      <c r="C1613" s="5" t="str">
        <f>IFERROR(__xludf.DUMMYFUNCTION("GOOGLETRANSLATE(B1613,""en"",""de"")"),"Die Frau hat ihre Haare niedergeschlagen und beginnt ihre Haare zu stylen.")</f>
        <v>Die Frau hat ihre Haare niedergeschlagen und beginnt ihre Haare zu stylen.</v>
      </c>
    </row>
    <row r="1614">
      <c r="A1614" s="4" t="s">
        <v>2025</v>
      </c>
      <c r="B1614" s="4" t="s">
        <v>2029</v>
      </c>
      <c r="C1614" s="5" t="str">
        <f>IFERROR(__xludf.DUMMYFUNCTION("GOOGLETRANSLATE(B1614,""en"",""de"")"),"Sie vervollständigt ihre Haare und redet weiter.")</f>
        <v>Sie vervollständigt ihre Haare und redet weiter.</v>
      </c>
    </row>
    <row r="1615">
      <c r="A1615" s="4" t="s">
        <v>2030</v>
      </c>
      <c r="B1615" s="4" t="s">
        <v>2031</v>
      </c>
      <c r="C1615" s="5" t="str">
        <f>IFERROR(__xludf.DUMMYFUNCTION("GOOGLETRANSLATE(B1615,""en"",""de"")"),"Es gibt einen Mann in einem weißen Hemd auf einem offenen Feld, das ein Tutorial für Expertorfs über das Spielen von Lacrosse macht.")</f>
        <v>Es gibt einen Mann in einem weißen Hemd auf einem offenen Feld, das ein Tutorial für Expertorfs über das Spielen von Lacrosse macht.</v>
      </c>
    </row>
    <row r="1616">
      <c r="A1616" s="4" t="s">
        <v>2030</v>
      </c>
      <c r="B1616" s="4" t="s">
        <v>2032</v>
      </c>
      <c r="C1616" s="5" t="str">
        <f>IFERROR(__xludf.DUMMYFUNCTION("GOOGLETRANSLATE(B1616,""en"",""de"")"),"Er hält einen Lacrosse -Stock in seinen Händen, als er die Techniken des Spiels erklärt.")</f>
        <v>Er hält einen Lacrosse -Stock in seinen Händen, als er die Techniken des Spiels erklärt.</v>
      </c>
    </row>
    <row r="1617">
      <c r="A1617" s="4" t="s">
        <v>2030</v>
      </c>
      <c r="B1617" s="4" t="s">
        <v>2033</v>
      </c>
      <c r="C1617" s="5" t="str">
        <f>IFERROR(__xludf.DUMMYFUNCTION("GOOGLETRANSLATE(B1617,""en"",""de"")"),"Er macht Handgesten, um die richtige Methode zum Halten des Lacrosse -Sticks für eine effektive Spieltechnik zu demonstrieren.")</f>
        <v>Er macht Handgesten, um die richtige Methode zum Halten des Lacrosse -Sticks für eine effektive Spieltechnik zu demonstrieren.</v>
      </c>
    </row>
    <row r="1618">
      <c r="A1618" s="4" t="s">
        <v>2034</v>
      </c>
      <c r="B1618" s="4" t="s">
        <v>2035</v>
      </c>
      <c r="C1618" s="5" t="str">
        <f>IFERROR(__xludf.DUMMYFUNCTION("GOOGLETRANSLATE(B1618,""en"",""de"")"),"Eine große Gruppe von Menschen spielt in einem Karneval in ihren eigenen Stoßstangenautos, und einige von ihnen stoßen gegenseitig und kommen zum Stillstand.")</f>
        <v>Eine große Gruppe von Menschen spielt in einem Karneval in ihren eigenen Stoßstangenautos, und einige von ihnen stoßen gegenseitig und kommen zum Stillstand.</v>
      </c>
    </row>
    <row r="1619">
      <c r="A1619" s="4" t="s">
        <v>2034</v>
      </c>
      <c r="B1619" s="4" t="s">
        <v>2036</v>
      </c>
      <c r="C1619" s="5" t="str">
        <f>IFERROR(__xludf.DUMMYFUNCTION("GOOGLETRANSLATE(B1619,""en"",""de"")"),"Sie lachen und fangen an, ihre Stoßfänger Autos voneinander wegzuziehen.")</f>
        <v>Sie lachen und fangen an, ihre Stoßfänger Autos voneinander wegzuziehen.</v>
      </c>
    </row>
    <row r="1620">
      <c r="A1620" s="4" t="s">
        <v>2034</v>
      </c>
      <c r="B1620" s="4" t="s">
        <v>2037</v>
      </c>
      <c r="C1620" s="5" t="str">
        <f>IFERROR(__xludf.DUMMYFUNCTION("GOOGLETRANSLATE(B1620,""en"",""de"")"),"Die Leute fahren wieder herum, wo sie alle weiterhin ineinander stoßen oder einfach herumfahren.")</f>
        <v>Die Leute fahren wieder herum, wo sie alle weiterhin ineinander stoßen oder einfach herumfahren.</v>
      </c>
    </row>
    <row r="1621">
      <c r="A1621" s="4" t="s">
        <v>2034</v>
      </c>
      <c r="B1621" s="4" t="s">
        <v>2038</v>
      </c>
      <c r="C1621" s="5" t="str">
        <f>IFERROR(__xludf.DUMMYFUNCTION("GOOGLETRANSLATE(B1621,""en"",""de"")"),"Schließlich werden alle Stoßstangen -Autos komplett gestoppt und die Fahrt ist vorbei.")</f>
        <v>Schließlich werden alle Stoßstangen -Autos komplett gestoppt und die Fahrt ist vorbei.</v>
      </c>
    </row>
    <row r="1622">
      <c r="A1622" s="4" t="s">
        <v>2039</v>
      </c>
      <c r="B1622" s="4" t="s">
        <v>2040</v>
      </c>
      <c r="C1622" s="5" t="str">
        <f>IFERROR(__xludf.DUMMYFUNCTION("GOOGLETRANSLATE(B1622,""en"",""de"")"),"Zutaten sitzen auf einem Holzblock.")</f>
        <v>Zutaten sitzen auf einem Holzblock.</v>
      </c>
    </row>
    <row r="1623">
      <c r="A1623" s="4" t="s">
        <v>2039</v>
      </c>
      <c r="B1623" s="4" t="s">
        <v>2041</v>
      </c>
      <c r="C1623" s="5" t="str">
        <f>IFERROR(__xludf.DUMMYFUNCTION("GOOGLETRANSLATE(B1623,""en"",""de"")"),"Eine Person beginnt die Zutaten miteinander zu mischen.")</f>
        <v>Eine Person beginnt die Zutaten miteinander zu mischen.</v>
      </c>
    </row>
    <row r="1624">
      <c r="A1624" s="4" t="s">
        <v>2039</v>
      </c>
      <c r="B1624" s="4" t="s">
        <v>2042</v>
      </c>
      <c r="C1624" s="5" t="str">
        <f>IFERROR(__xludf.DUMMYFUNCTION("GOOGLETRANSLATE(B1624,""en"",""de"")"),"Wörter kommen am Ende auf den Bildschirm.")</f>
        <v>Wörter kommen am Ende auf den Bildschirm.</v>
      </c>
    </row>
    <row r="1625">
      <c r="A1625" s="4" t="s">
        <v>2043</v>
      </c>
      <c r="B1625" s="4" t="s">
        <v>2044</v>
      </c>
      <c r="C1625" s="5" t="str">
        <f>IFERROR(__xludf.DUMMYFUNCTION("GOOGLETRANSLATE(B1625,""en"",""de"")"),"Ein Logo mit Motorkolben ist zu sehen und ein Haftungsausschluss wird gezeigt.")</f>
        <v>Ein Logo mit Motorkolben ist zu sehen und ein Haftungsausschluss wird gezeigt.</v>
      </c>
    </row>
    <row r="1626">
      <c r="A1626" s="4" t="s">
        <v>2043</v>
      </c>
      <c r="B1626" s="4" t="s">
        <v>2045</v>
      </c>
      <c r="C1626" s="5" t="str">
        <f>IFERROR(__xludf.DUMMYFUNCTION("GOOGLETRANSLATE(B1626,""en"",""de"")"),"Zwei Frauen im Fitnessstudio -Übungshosen fahren zusammen mit stationären Fahrrädern in einem Fitnessstudio zusammen.")</f>
        <v>Zwei Frauen im Fitnessstudio -Übungshosen fahren zusammen mit stationären Fahrrädern in einem Fitnessstudio zusammen.</v>
      </c>
    </row>
    <row r="1627">
      <c r="A1627" s="4" t="s">
        <v>2046</v>
      </c>
      <c r="B1627" s="4" t="s">
        <v>2047</v>
      </c>
      <c r="C1627" s="5" t="str">
        <f>IFERROR(__xludf.DUMMYFUNCTION("GOOGLETRANSLATE(B1627,""en"",""de"")"),"Eine Frau spricht mit der Kamera und führt in die Nachrichten, die einen Mann interviewen.")</f>
        <v>Eine Frau spricht mit der Kamera und führt in die Nachrichten, die einen Mann interviewen.</v>
      </c>
    </row>
    <row r="1628">
      <c r="A1628" s="4" t="s">
        <v>2046</v>
      </c>
      <c r="B1628" s="4" t="s">
        <v>2048</v>
      </c>
      <c r="C1628" s="5" t="str">
        <f>IFERROR(__xludf.DUMMYFUNCTION("GOOGLETRANSLATE(B1628,""en"",""de"")"),"Anschließend werden zwei Bullen gezeigt, die gegen andere kämpfen, während andere die Kamera beobachten und sprechen.")</f>
        <v>Anschließend werden zwei Bullen gezeigt, die gegen andere kämpfen, während andere die Kamera beobachten und sprechen.</v>
      </c>
    </row>
    <row r="1629">
      <c r="A1629" s="4" t="s">
        <v>2049</v>
      </c>
      <c r="B1629" s="4" t="s">
        <v>2050</v>
      </c>
      <c r="C1629" s="5" t="str">
        <f>IFERROR(__xludf.DUMMYFUNCTION("GOOGLETRANSLATE(B1629,""en"",""de"")"),"Eine Person trägt Pantoffeln und hält einen Stock in ihren Händen.")</f>
        <v>Eine Person trägt Pantoffeln und hält einen Stock in ihren Händen.</v>
      </c>
    </row>
    <row r="1630">
      <c r="A1630" s="4" t="s">
        <v>2049</v>
      </c>
      <c r="B1630" s="4" t="s">
        <v>2051</v>
      </c>
      <c r="C1630" s="5" t="str">
        <f>IFERROR(__xludf.DUMMYFUNCTION("GOOGLETRANSLATE(B1630,""en"",""de"")"),"Die Person geht dann um einen Raum, der den Ball mit dem Stock herumschiebt.")</f>
        <v>Die Person geht dann um einen Raum, der den Ball mit dem Stock herumschiebt.</v>
      </c>
    </row>
    <row r="1631">
      <c r="A1631" s="4" t="s">
        <v>2049</v>
      </c>
      <c r="B1631" s="4" t="s">
        <v>2052</v>
      </c>
      <c r="C1631" s="5" t="str">
        <f>IFERROR(__xludf.DUMMYFUNCTION("GOOGLETRANSLATE(B1631,""en"",""de"")"),"Die Person schlägt weiter auf den Ball, während er durch den Raum geht.")</f>
        <v>Die Person schlägt weiter auf den Ball, während er durch den Raum geht.</v>
      </c>
    </row>
    <row r="1632">
      <c r="A1632" s="4" t="s">
        <v>2053</v>
      </c>
      <c r="B1632" s="4" t="s">
        <v>2054</v>
      </c>
      <c r="C1632" s="5" t="str">
        <f>IFERROR(__xludf.DUMMYFUNCTION("GOOGLETRANSLATE(B1632,""en"",""de"")"),"Ein kleines Kind fährt nach einer Gruppe älterer Jungen mit einem Skateboard eine Straße hinunter.")</f>
        <v>Ein kleines Kind fährt nach einer Gruppe älterer Jungen mit einem Skateboard eine Straße hinunter.</v>
      </c>
    </row>
    <row r="1633">
      <c r="A1633" s="4" t="s">
        <v>2053</v>
      </c>
      <c r="B1633" s="4" t="s">
        <v>2055</v>
      </c>
      <c r="C1633" s="5" t="str">
        <f>IFERROR(__xludf.DUMMYFUNCTION("GOOGLETRANSLATE(B1633,""en"",""de"")"),"Es werden mehrere Schüsse von ihm herumgeführt, ebenso wie er, der versagt und mehr fährt.")</f>
        <v>Es werden mehrere Schüsse von ihm herumgeführt, ebenso wie er, der versagt und mehr fährt.</v>
      </c>
    </row>
    <row r="1634">
      <c r="A1634" s="4" t="s">
        <v>2053</v>
      </c>
      <c r="B1634" s="4" t="s">
        <v>2056</v>
      </c>
      <c r="C1634" s="5" t="str">
        <f>IFERROR(__xludf.DUMMYFUNCTION("GOOGLETRANSLATE(B1634,""en"",""de"")"),"Er faust den Kameramann und es werden weitere Schüsse gezeigt, die herumfährt.")</f>
        <v>Er faust den Kameramann und es werden weitere Schüsse gezeigt, die herumfährt.</v>
      </c>
    </row>
    <row r="1635">
      <c r="A1635" s="4" t="s">
        <v>2057</v>
      </c>
      <c r="B1635" s="4" t="s">
        <v>2058</v>
      </c>
      <c r="C1635" s="5" t="str">
        <f>IFERROR(__xludf.DUMMYFUNCTION("GOOGLETRANSLATE(B1635,""en"",""de"")"),"Ein Mädchen sitzt am Boden der Treppe, während sie versucht, ihre Schuhe anzuziehen.")</f>
        <v>Ein Mädchen sitzt am Boden der Treppe, während sie versucht, ihre Schuhe anzuziehen.</v>
      </c>
    </row>
    <row r="1636">
      <c r="A1636" s="4" t="s">
        <v>2057</v>
      </c>
      <c r="B1636" s="4" t="s">
        <v>2059</v>
      </c>
      <c r="C1636" s="5" t="str">
        <f>IFERROR(__xludf.DUMMYFUNCTION("GOOGLETRANSLATE(B1636,""en"",""de"")"),"Sie schaut in der Ferne in einem angewiderten Herrenhaus ab, gleichzeitig ziemlich abgelenkt.")</f>
        <v>Sie schaut in der Ferne in einem angewiderten Herrenhaus ab, gleichzeitig ziemlich abgelenkt.</v>
      </c>
    </row>
    <row r="1637">
      <c r="A1637" s="4" t="s">
        <v>2057</v>
      </c>
      <c r="B1637" s="4" t="s">
        <v>2060</v>
      </c>
      <c r="C1637" s="5" t="str">
        <f>IFERROR(__xludf.DUMMYFUNCTION("GOOGLETRANSLATE(B1637,""en"",""de"")"),"Sie endet, indem sie ihre Schuhschnürsenkel zusammenbindet und vor sich selbst und der Person lacht, die sie filmt.")</f>
        <v>Sie endet, indem sie ihre Schuhschnürsenkel zusammenbindet und vor sich selbst und der Person lacht, die sie filmt.</v>
      </c>
    </row>
    <row r="1638">
      <c r="A1638" s="4" t="s">
        <v>2061</v>
      </c>
      <c r="B1638" s="4" t="s">
        <v>2062</v>
      </c>
      <c r="C1638" s="5" t="str">
        <f>IFERROR(__xludf.DUMMYFUNCTION("GOOGLETRANSLATE(B1638,""en"",""de"")"),"Eine Frau, die in Fitnesskleidung gekleidet ist, macht ein Tutorial zum Spinnen in einem Fitnessstudio.")</f>
        <v>Eine Frau, die in Fitnesskleidung gekleidet ist, macht ein Tutorial zum Spinnen in einem Fitnessstudio.</v>
      </c>
    </row>
    <row r="1639">
      <c r="A1639" s="4" t="s">
        <v>2061</v>
      </c>
      <c r="B1639" s="4" t="s">
        <v>2063</v>
      </c>
      <c r="C1639" s="5" t="str">
        <f>IFERROR(__xludf.DUMMYFUNCTION("GOOGLETRANSLATE(B1639,""en"",""de"")"),"Sie demonstriert die Hanteln, die sie verwenden wird.")</f>
        <v>Sie demonstriert die Hanteln, die sie verwenden wird.</v>
      </c>
    </row>
    <row r="1640">
      <c r="A1640" s="4" t="s">
        <v>2061</v>
      </c>
      <c r="B1640" s="4" t="s">
        <v>2064</v>
      </c>
      <c r="C1640" s="5" t="str">
        <f>IFERROR(__xludf.DUMMYFUNCTION("GOOGLETRANSLATE(B1640,""en"",""de"")"),"Sie demonstriert dann das Trainingsrad und fährt weiterhin zusammen mit einigen anderen Frauen im Fitnessstudio.")</f>
        <v>Sie demonstriert dann das Trainingsrad und fährt weiterhin zusammen mit einigen anderen Frauen im Fitnessstudio.</v>
      </c>
    </row>
    <row r="1641">
      <c r="A1641" s="4" t="s">
        <v>2061</v>
      </c>
      <c r="B1641" s="4" t="s">
        <v>2065</v>
      </c>
      <c r="C1641" s="5" t="str">
        <f>IFERROR(__xludf.DUMMYFUNCTION("GOOGLETRANSLATE(B1641,""en"",""de"")"),"Sie erklärt, wie man strenge Übungen auf dem Fahrrad macht.")</f>
        <v>Sie erklärt, wie man strenge Übungen auf dem Fahrrad macht.</v>
      </c>
    </row>
    <row r="1642">
      <c r="A1642" s="4" t="s">
        <v>2061</v>
      </c>
      <c r="B1642" s="4" t="s">
        <v>2066</v>
      </c>
      <c r="C1642" s="5" t="str">
        <f>IFERROR(__xludf.DUMMYFUNCTION("GOOGLETRANSLATE(B1642,""en"",""de"")"),"Es gibt mehrere andere Frauen, die auch mit ihr auf dem Übungsrad fahren.")</f>
        <v>Es gibt mehrere andere Frauen, die auch mit ihr auf dem Übungsrad fahren.</v>
      </c>
    </row>
    <row r="1643">
      <c r="A1643" s="4" t="s">
        <v>2067</v>
      </c>
      <c r="B1643" s="4" t="s">
        <v>2068</v>
      </c>
      <c r="C1643" s="5" t="str">
        <f>IFERROR(__xludf.DUMMYFUNCTION("GOOGLETRANSLATE(B1643,""en"",""de"")"),"Wir sehen ein kleines Mädchen mit Wasserski.")</f>
        <v>Wir sehen ein kleines Mädchen mit Wasserski.</v>
      </c>
    </row>
    <row r="1644">
      <c r="A1644" s="4" t="s">
        <v>2067</v>
      </c>
      <c r="B1644" s="4" t="s">
        <v>2069</v>
      </c>
      <c r="C1644" s="5" t="str">
        <f>IFERROR(__xludf.DUMMYFUNCTION("GOOGLETRANSLATE(B1644,""en"",""de"")"),"Wir sehen einen Mann, der ein Kinderwasser Ski hält.")</f>
        <v>Wir sehen einen Mann, der ein Kinderwasser Ski hält.</v>
      </c>
    </row>
    <row r="1645">
      <c r="A1645" s="4" t="s">
        <v>2067</v>
      </c>
      <c r="B1645" s="4" t="s">
        <v>2070</v>
      </c>
      <c r="C1645" s="5" t="str">
        <f>IFERROR(__xludf.DUMMYFUNCTION("GOOGLETRANSLATE(B1645,""en"",""de"")"),"Der Mann lässt los und packt wieder ihre Jacke.")</f>
        <v>Der Mann lässt los und packt wieder ihre Jacke.</v>
      </c>
    </row>
    <row r="1646">
      <c r="A1646" s="4" t="s">
        <v>2067</v>
      </c>
      <c r="B1646" s="4" t="s">
        <v>2071</v>
      </c>
      <c r="C1646" s="5" t="str">
        <f>IFERROR(__xludf.DUMMYFUNCTION("GOOGLETRANSLATE(B1646,""en"",""de"")"),"Der Mann zeigt auf die Skiern.")</f>
        <v>Der Mann zeigt auf die Skiern.</v>
      </c>
    </row>
    <row r="1647">
      <c r="A1647" s="4" t="s">
        <v>2067</v>
      </c>
      <c r="B1647" s="4" t="s">
        <v>2072</v>
      </c>
      <c r="C1647" s="5" t="str">
        <f>IFERROR(__xludf.DUMMYFUNCTION("GOOGLETRANSLATE(B1647,""en"",""de"")"),"Der Mann verlässt und greift wieder die Jacke.")</f>
        <v>Der Mann verlässt und greift wieder die Jacke.</v>
      </c>
    </row>
    <row r="1648">
      <c r="A1648" s="4" t="s">
        <v>2073</v>
      </c>
      <c r="B1648" s="4" t="s">
        <v>2074</v>
      </c>
      <c r="C1648" s="5" t="str">
        <f>IFERROR(__xludf.DUMMYFUNCTION("GOOGLETRANSLATE(B1648,""en"",""de"")"),"Ein Mann lächelt in die Kamera.")</f>
        <v>Ein Mann lächelt in die Kamera.</v>
      </c>
    </row>
    <row r="1649">
      <c r="A1649" s="4" t="s">
        <v>2073</v>
      </c>
      <c r="B1649" s="4" t="s">
        <v>2075</v>
      </c>
      <c r="C1649" s="5" t="str">
        <f>IFERROR(__xludf.DUMMYFUNCTION("GOOGLETRANSLATE(B1649,""en"",""de"")"),"Er bügelt Kleidung auf einem Bügelbrett.")</f>
        <v>Er bügelt Kleidung auf einem Bügelbrett.</v>
      </c>
    </row>
    <row r="1650">
      <c r="A1650" s="4" t="s">
        <v>2073</v>
      </c>
      <c r="B1650" s="4" t="s">
        <v>2076</v>
      </c>
      <c r="C1650" s="5" t="str">
        <f>IFERROR(__xludf.DUMMYFUNCTION("GOOGLETRANSLATE(B1650,""en"",""de"")"),"Er dreht die Kleidung um und beigert sich auf der anderen Seite.")</f>
        <v>Er dreht die Kleidung um und beigert sich auf der anderen Seite.</v>
      </c>
    </row>
    <row r="1651">
      <c r="A1651" s="4" t="s">
        <v>2077</v>
      </c>
      <c r="B1651" s="4" t="s">
        <v>2078</v>
      </c>
      <c r="C1651" s="5" t="str">
        <f>IFERROR(__xludf.DUMMYFUNCTION("GOOGLETRANSLATE(B1651,""en"",""de"")"),"Ein Junge in einem orangefarbenen Hemd steht in einem Raum.")</f>
        <v>Ein Junge in einem orangefarbenen Hemd steht in einem Raum.</v>
      </c>
    </row>
    <row r="1652">
      <c r="A1652" s="4" t="s">
        <v>2077</v>
      </c>
      <c r="B1652" s="4" t="s">
        <v>2079</v>
      </c>
      <c r="C1652" s="5" t="str">
        <f>IFERROR(__xludf.DUMMYFUNCTION("GOOGLETRANSLATE(B1652,""en"",""de"")"),"Er fängt an, einen Boxsack zu schlagen.")</f>
        <v>Er fängt an, einen Boxsack zu schlagen.</v>
      </c>
    </row>
    <row r="1653">
      <c r="A1653" s="4" t="s">
        <v>2077</v>
      </c>
      <c r="B1653" s="4" t="s">
        <v>2080</v>
      </c>
      <c r="C1653" s="5" t="str">
        <f>IFERROR(__xludf.DUMMYFUNCTION("GOOGLETRANSLATE(B1653,""en"",""de"")"),"Der Boxsack bewegt sich in der Luft.")</f>
        <v>Der Boxsack bewegt sich in der Luft.</v>
      </c>
    </row>
    <row r="1654">
      <c r="A1654" s="4" t="s">
        <v>2081</v>
      </c>
      <c r="B1654" s="4" t="s">
        <v>1251</v>
      </c>
      <c r="C1654" s="5" t="str">
        <f>IFERROR(__xludf.DUMMYFUNCTION("GOOGLETRANSLATE(B1654,""en"",""de"")"),"Die Credits des Clips werden angezeigt.")</f>
        <v>Die Credits des Clips werden angezeigt.</v>
      </c>
    </row>
    <row r="1655">
      <c r="A1655" s="4" t="s">
        <v>2081</v>
      </c>
      <c r="B1655" s="4" t="s">
        <v>2082</v>
      </c>
      <c r="C1655" s="5" t="str">
        <f>IFERROR(__xludf.DUMMYFUNCTION("GOOGLETRANSLATE(B1655,""en"",""de"")"),"Ein Junge paddelt ein Boot.")</f>
        <v>Ein Junge paddelt ein Boot.</v>
      </c>
    </row>
    <row r="1656">
      <c r="A1656" s="4" t="s">
        <v>2081</v>
      </c>
      <c r="B1656" s="4" t="s">
        <v>573</v>
      </c>
      <c r="C1656" s="5" t="str">
        <f>IFERROR(__xludf.DUMMYFUNCTION("GOOGLETRANSLATE(B1656,""en"",""de"")"),"Die Credits des Videos werden angezeigt.")</f>
        <v>Die Credits des Videos werden angezeigt.</v>
      </c>
    </row>
    <row r="1657">
      <c r="A1657" s="4" t="s">
        <v>2083</v>
      </c>
      <c r="B1657" s="4" t="s">
        <v>2084</v>
      </c>
      <c r="C1657" s="5" t="str">
        <f>IFERROR(__xludf.DUMMYFUNCTION("GOOGLETRANSLATE(B1657,""en"",""de"")"),"Ein Mann wird draußen gesehen, der zu sich selbst tanzt, während er sich einen Lappen auf das Auto wischt.")</f>
        <v>Ein Mann wird draußen gesehen, der zu sich selbst tanzt, während er sich einen Lappen auf das Auto wischt.</v>
      </c>
    </row>
    <row r="1658">
      <c r="A1658" s="4" t="s">
        <v>2083</v>
      </c>
      <c r="B1658" s="4" t="s">
        <v>2085</v>
      </c>
      <c r="C1658" s="5" t="str">
        <f>IFERROR(__xludf.DUMMYFUNCTION("GOOGLETRANSLATE(B1658,""en"",""de"")"),"Das Wetter strömt Regen und der Mann tanzt weiter um das Auto und hält einen Lappen.")</f>
        <v>Das Wetter strömt Regen und der Mann tanzt weiter um das Auto und hält einen Lappen.</v>
      </c>
    </row>
    <row r="1659">
      <c r="A1659" s="4" t="s">
        <v>2083</v>
      </c>
      <c r="B1659" s="4" t="s">
        <v>2086</v>
      </c>
      <c r="C1659" s="5" t="str">
        <f>IFERROR(__xludf.DUMMYFUNCTION("GOOGLETRANSLATE(B1659,""en"",""de"")"),"Der Mann bewegt sich vor dem Auto, gefolgt von seinem Hemd ab und winkt zur Kamera.")</f>
        <v>Der Mann bewegt sich vor dem Auto, gefolgt von seinem Hemd ab und winkt zur Kamera.</v>
      </c>
    </row>
    <row r="1660">
      <c r="A1660" s="4" t="s">
        <v>2087</v>
      </c>
      <c r="B1660" s="4" t="s">
        <v>2088</v>
      </c>
      <c r="C1660" s="5" t="str">
        <f>IFERROR(__xludf.DUMMYFUNCTION("GOOGLETRANSLATE(B1660,""en"",""de"")"),"Es gibt eine große Menge, die zum Klatschen und zwei Gastgeber zu sehen ist, die am Anfang sprechen.")</f>
        <v>Es gibt eine große Menge, die zum Klatschen und zwei Gastgeber zu sehen ist, die am Anfang sprechen.</v>
      </c>
    </row>
    <row r="1661">
      <c r="A1661" s="4" t="s">
        <v>2087</v>
      </c>
      <c r="B1661" s="4" t="s">
        <v>2089</v>
      </c>
      <c r="C1661" s="5" t="str">
        <f>IFERROR(__xludf.DUMMYFUNCTION("GOOGLETRANSLATE(B1661,""en"",""de"")"),"Eine Linie von Männern wird dann gezeigt, wie sie Sumo -Wrestling -Outfits tragen.")</f>
        <v>Eine Linie von Männern wird dann gezeigt, wie sie Sumo -Wrestling -Outfits tragen.</v>
      </c>
    </row>
    <row r="1662">
      <c r="A1662" s="4" t="s">
        <v>2087</v>
      </c>
      <c r="B1662" s="4" t="s">
        <v>2090</v>
      </c>
      <c r="C1662" s="5" t="str">
        <f>IFERROR(__xludf.DUMMYFUNCTION("GOOGLETRANSLATE(B1662,""en"",""de"")"),"Zwei Menschen kommen in den Ring und beginnen zu kämpfen.")</f>
        <v>Zwei Menschen kommen in den Ring und beginnen zu kämpfen.</v>
      </c>
    </row>
    <row r="1663">
      <c r="A1663" s="4" t="s">
        <v>2087</v>
      </c>
      <c r="B1663" s="4" t="s">
        <v>2091</v>
      </c>
      <c r="C1663" s="5" t="str">
        <f>IFERROR(__xludf.DUMMYFUNCTION("GOOGLETRANSLATE(B1663,""en"",""de"")"),"Die beiden Leute packen sich gegenseitig den Hals und versuchen, ihren Gegner auf den Boden zu schlagen.")</f>
        <v>Die beiden Leute packen sich gegenseitig den Hals und versuchen, ihren Gegner auf den Boden zu schlagen.</v>
      </c>
    </row>
    <row r="1664">
      <c r="A1664" s="4" t="s">
        <v>2092</v>
      </c>
      <c r="B1664" s="4" t="s">
        <v>2093</v>
      </c>
      <c r="C1664" s="5" t="str">
        <f>IFERROR(__xludf.DUMMYFUNCTION("GOOGLETRANSLATE(B1664,""en"",""de"")"),"Die Kamera fängt eine Nahaufnahme einer älteren Frau ein, die Make -up anzieht und die Lippen in die Kamera schlägt.")</f>
        <v>Die Kamera fängt eine Nahaufnahme einer älteren Frau ein, die Make -up anzieht und die Lippen in die Kamera schlägt.</v>
      </c>
    </row>
    <row r="1665">
      <c r="A1665" s="4" t="s">
        <v>2092</v>
      </c>
      <c r="B1665" s="4" t="s">
        <v>2094</v>
      </c>
      <c r="C1665" s="5" t="str">
        <f>IFERROR(__xludf.DUMMYFUNCTION("GOOGLETRANSLATE(B1665,""en"",""de"")"),"Sie legt dann Mascara an und mehr Lippenstift und nickt mit dem Kopf zurück und dem vierten Lächeln.")</f>
        <v>Sie legt dann Mascara an und mehr Lippenstift und nickt mit dem Kopf zurück und dem vierten Lächeln.</v>
      </c>
    </row>
    <row r="1666">
      <c r="A1666" s="4" t="s">
        <v>2095</v>
      </c>
      <c r="B1666" s="4" t="s">
        <v>2096</v>
      </c>
      <c r="C1666" s="5" t="str">
        <f>IFERROR(__xludf.DUMMYFUNCTION("GOOGLETRANSLATE(B1666,""en"",""de"")"),"Ein Mann, der einen weißen Hut trägt, zeigt, wie man ein karibisches Getränk macht.")</f>
        <v>Ein Mann, der einen weißen Hut trägt, zeigt, wie man ein karibisches Getränk macht.</v>
      </c>
    </row>
    <row r="1667">
      <c r="A1667" s="4" t="s">
        <v>2095</v>
      </c>
      <c r="B1667" s="4" t="s">
        <v>2097</v>
      </c>
      <c r="C1667" s="5" t="str">
        <f>IFERROR(__xludf.DUMMYFUNCTION("GOOGLETRANSLATE(B1667,""en"",""de"")"),"Er zeigt eine Schüssel mit Zitrusfrüchten.")</f>
        <v>Er zeigt eine Schüssel mit Zitrusfrüchten.</v>
      </c>
    </row>
    <row r="1668">
      <c r="A1668" s="4" t="s">
        <v>2095</v>
      </c>
      <c r="B1668" s="4" t="s">
        <v>2098</v>
      </c>
      <c r="C1668" s="5" t="str">
        <f>IFERROR(__xludf.DUMMYFUNCTION("GOOGLETRANSLATE(B1668,""en"",""de"")"),"Er nimmt einen Zitronensaft und einige Zitronen, Limetten und Orangen.")</f>
        <v>Er nimmt einen Zitronensaft und einige Zitronen, Limetten und Orangen.</v>
      </c>
    </row>
    <row r="1669">
      <c r="A1669" s="4" t="s">
        <v>2095</v>
      </c>
      <c r="B1669" s="4" t="s">
        <v>2099</v>
      </c>
      <c r="C1669" s="5" t="str">
        <f>IFERROR(__xludf.DUMMYFUNCTION("GOOGLETRANSLATE(B1669,""en"",""de"")"),"Dann sägt er die Orangen und Zitrone auf dem Entsafter.")</f>
        <v>Dann sägt er die Orangen und Zitrone auf dem Entsafter.</v>
      </c>
    </row>
    <row r="1670">
      <c r="A1670" s="4" t="s">
        <v>2095</v>
      </c>
      <c r="B1670" s="4" t="s">
        <v>2100</v>
      </c>
      <c r="C1670" s="5" t="str">
        <f>IFERROR(__xludf.DUMMYFUNCTION("GOOGLETRANSLATE(B1670,""en"",""de"")"),"Dann leert er den Saft eine große Cocktailschale.")</f>
        <v>Dann leert er den Saft eine große Cocktailschale.</v>
      </c>
    </row>
    <row r="1671">
      <c r="A1671" s="4" t="s">
        <v>2095</v>
      </c>
      <c r="B1671" s="4" t="s">
        <v>2101</v>
      </c>
      <c r="C1671" s="5" t="str">
        <f>IFERROR(__xludf.DUMMYFUNCTION("GOOGLETRANSLATE(B1671,""en"",""de"")"),"Er fügt Rum zusammen mit einem Vanilleextrakt zum Saft hinzu.")</f>
        <v>Er fügt Rum zusammen mit einem Vanilleextrakt zum Saft hinzu.</v>
      </c>
    </row>
    <row r="1672">
      <c r="A1672" s="4" t="s">
        <v>2095</v>
      </c>
      <c r="B1672" s="4" t="s">
        <v>2102</v>
      </c>
      <c r="C1672" s="5" t="str">
        <f>IFERROR(__xludf.DUMMYFUNCTION("GOOGLETRANSLATE(B1672,""en"",""de"")"),"Er mischt auch Zucker und Rum und wischt das Getränk.")</f>
        <v>Er mischt auch Zucker und Rum und wischt das Getränk.</v>
      </c>
    </row>
    <row r="1673">
      <c r="A1673" s="4" t="s">
        <v>2095</v>
      </c>
      <c r="B1673" s="4" t="s">
        <v>2103</v>
      </c>
      <c r="C1673" s="5" t="str">
        <f>IFERROR(__xludf.DUMMYFUNCTION("GOOGLETRANSLATE(B1673,""en"",""de"")"),"Er fügt schließlich eine Schüssel mit Wasser hinzu und rührt sie gut.")</f>
        <v>Er fügt schließlich eine Schüssel mit Wasser hinzu und rührt sie gut.</v>
      </c>
    </row>
    <row r="1674">
      <c r="A1674" s="4" t="s">
        <v>2095</v>
      </c>
      <c r="B1674" s="4" t="s">
        <v>2104</v>
      </c>
      <c r="C1674" s="5" t="str">
        <f>IFERROR(__xludf.DUMMYFUNCTION("GOOGLETRANSLATE(B1674,""en"",""de"")"),"Er gießt das Getränk in Cocktailgläser und legt es auf die Küchentheke.")</f>
        <v>Er gießt das Getränk in Cocktailgläser und legt es auf die Küchentheke.</v>
      </c>
    </row>
    <row r="1675">
      <c r="A1675" s="4" t="s">
        <v>2105</v>
      </c>
      <c r="B1675" s="4" t="s">
        <v>2106</v>
      </c>
      <c r="C1675" s="5" t="str">
        <f>IFERROR(__xludf.DUMMYFUNCTION("GOOGLETRANSLATE(B1675,""en"",""de"")"),"Ein großes Boot wird durch das Meerwasser segelt.")</f>
        <v>Ein großes Boot wird durch das Meerwasser segelt.</v>
      </c>
    </row>
    <row r="1676">
      <c r="A1676" s="4" t="s">
        <v>2105</v>
      </c>
      <c r="B1676" s="4" t="s">
        <v>2107</v>
      </c>
      <c r="C1676" s="5" t="str">
        <f>IFERROR(__xludf.DUMMYFUNCTION("GOOGLETRANSLATE(B1676,""en"",""de"")"),"Ein Mann in Tauchgeräten klettert über die Seite.")</f>
        <v>Ein Mann in Tauchgeräten klettert über die Seite.</v>
      </c>
    </row>
    <row r="1677">
      <c r="A1677" s="4" t="s">
        <v>2105</v>
      </c>
      <c r="B1677" s="4" t="s">
        <v>2108</v>
      </c>
      <c r="C1677" s="5" t="str">
        <f>IFERROR(__xludf.DUMMYFUNCTION("GOOGLETRANSLATE(B1677,""en"",""de"")"),"Er arbeitet daran, eine große Tasche in das Boot zu ziehen und versucht, nicht zu kentern.")</f>
        <v>Er arbeitet daran, eine große Tasche in das Boot zu ziehen und versucht, nicht zu kentern.</v>
      </c>
    </row>
    <row r="1678">
      <c r="A1678" s="4" t="s">
        <v>2109</v>
      </c>
      <c r="B1678" s="4" t="s">
        <v>2110</v>
      </c>
      <c r="C1678" s="5" t="str">
        <f>IFERROR(__xludf.DUMMYFUNCTION("GOOGLETRANSLATE(B1678,""en"",""de"")"),"Ein Mann, der in der Schneekleidung gekleidet ist, steht auf einem gefrorenen Körper Wasser und biegt sich über ein Fischloch, in dem sich seine Angelstange befindet.")</f>
        <v>Ein Mann, der in der Schneekleidung gekleidet ist, steht auf einem gefrorenen Körper Wasser und biegt sich über ein Fischloch, in dem sich seine Angelstange befindet.</v>
      </c>
    </row>
    <row r="1679">
      <c r="A1679" s="4" t="s">
        <v>2109</v>
      </c>
      <c r="B1679" s="4" t="s">
        <v>2111</v>
      </c>
      <c r="C1679" s="5" t="str">
        <f>IFERROR(__xludf.DUMMYFUNCTION("GOOGLETRANSLATE(B1679,""en"",""de"")"),"Der Mann zieht seine Fischereistange, geht auf die Knie und zieht weiterhin die Fischereistange hoch und der Kameramann, der die Kamera bereits niedergeschlagen hat, biegt sich ab und schnappt sich den Fisch und legt ihn auf das Eis.")</f>
        <v>Der Mann zieht seine Fischereistange, geht auf die Knie und zieht weiterhin die Fischereistange hoch und der Kameramann, der die Kamera bereits niedergeschlagen hat, biegt sich ab und schnappt sich den Fisch und legt ihn auf das Eis.</v>
      </c>
    </row>
    <row r="1680">
      <c r="A1680" s="4" t="s">
        <v>2109</v>
      </c>
      <c r="B1680" s="4" t="s">
        <v>2112</v>
      </c>
      <c r="C1680" s="5" t="str">
        <f>IFERROR(__xludf.DUMMYFUNCTION("GOOGLETRANSLATE(B1680,""en"",""de"")"),"Der Mann nimmt die Kamera auf und wendet die Kamera auf den Fisch auf dem Eis, und der Mann, der fischt, lächelt, löst den Fisch aus und hält ihn dann in der Luft.")</f>
        <v>Der Mann nimmt die Kamera auf und wendet die Kamera auf den Fisch auf dem Eis, und der Mann, der fischt, lächelt, löst den Fisch aus und hält ihn dann in der Luft.</v>
      </c>
    </row>
    <row r="1681">
      <c r="A1681" s="4" t="s">
        <v>2113</v>
      </c>
      <c r="B1681" s="4" t="s">
        <v>2114</v>
      </c>
      <c r="C1681" s="5" t="str">
        <f>IFERROR(__xludf.DUMMYFUNCTION("GOOGLETRANSLATE(B1681,""en"",""de"")"),"Die Leute verarbeiten Bullen in einem Rodeo -Ring, ein Mann wird von einem Stier in die Luft geworfen.")</f>
        <v>Die Leute verarbeiten Bullen in einem Rodeo -Ring, ein Mann wird von einem Stier in die Luft geworfen.</v>
      </c>
    </row>
    <row r="1682">
      <c r="A1682" s="4" t="s">
        <v>2113</v>
      </c>
      <c r="B1682" s="4" t="s">
        <v>2115</v>
      </c>
      <c r="C1682" s="5" t="str">
        <f>IFERROR(__xludf.DUMMYFUNCTION("GOOGLETRANSLATE(B1682,""en"",""de"")"),"Die Leute werden von Bullen auf den Boden geworfen, während sie mit den Hinterbeinen springen und treten, während die Leute das Rodeo beobachten.")</f>
        <v>Die Leute werden von Bullen auf den Boden geworfen, während sie mit den Hinterbeinen springen und treten, während die Leute das Rodeo beobachten.</v>
      </c>
    </row>
    <row r="1683">
      <c r="A1683" s="4" t="s">
        <v>2113</v>
      </c>
      <c r="B1683" s="4" t="s">
        <v>2116</v>
      </c>
      <c r="C1683" s="5" t="str">
        <f>IFERROR(__xludf.DUMMYFUNCTION("GOOGLETRANSLATE(B1683,""en"",""de"")"),"Mehrere Menschen, die Bullen fahren, werden zu Boden geworfen, während andere Menschen die Bullen ablenken, die springen und treten.")</f>
        <v>Mehrere Menschen, die Bullen fahren, werden zu Boden geworfen, während andere Menschen die Bullen ablenken, die springen und treten.</v>
      </c>
    </row>
    <row r="1684">
      <c r="A1684" s="4" t="s">
        <v>2117</v>
      </c>
      <c r="B1684" s="4" t="s">
        <v>2118</v>
      </c>
      <c r="C1684" s="5" t="str">
        <f>IFERROR(__xludf.DUMMYFUNCTION("GOOGLETRANSLATE(B1684,""en"",""de"")"),"Zwei sehr große Sumos befinden sich in einem erhöhten Kreis, der Beinwärme und hockt, während ein anderer Mann in der Mitte in japanischen Gewandschiedsrichtern gekleidet ist.")</f>
        <v>Zwei sehr große Sumos befinden sich in einem erhöhten Kreis, der Beinwärme und hockt, während ein anderer Mann in der Mitte in japanischen Gewandschiedsrichtern gekleidet ist.</v>
      </c>
    </row>
    <row r="1685">
      <c r="A1685" s="4" t="s">
        <v>2117</v>
      </c>
      <c r="B1685" s="4" t="s">
        <v>2119</v>
      </c>
      <c r="C1685" s="5" t="str">
        <f>IFERROR(__xludf.DUMMYFUNCTION("GOOGLETRANSLATE(B1685,""en"",""de"")"),"Der Schiedsrichter lässt sie wissen, wann sie anfangen sollen und der Sumos ringt, während der Schiedsrichter um den Ring geht und sie überwacht.")</f>
        <v>Der Schiedsrichter lässt sie wissen, wann sie anfangen sollen und der Sumos ringt, während der Schiedsrichter um den Ring geht und sie überwacht.</v>
      </c>
    </row>
    <row r="1686">
      <c r="A1686" s="4" t="s">
        <v>2117</v>
      </c>
      <c r="B1686" s="4" t="s">
        <v>2120</v>
      </c>
      <c r="C1686" s="5" t="str">
        <f>IFERROR(__xludf.DUMMYFUNCTION("GOOGLETRANSLATE(B1686,""en"",""de"")"),"Schließlich kann einer der Männer einen anderen Mann aus dem Ring schieben, sie hören auf zu ringen, der Verlierer geht zu seinem Ende und sie beugen sich voreinander und beide verlassen den Ring.")</f>
        <v>Schließlich kann einer der Männer einen anderen Mann aus dem Ring schieben, sie hören auf zu ringen, der Verlierer geht zu seinem Ende und sie beugen sich voreinander und beide verlassen den Ring.</v>
      </c>
    </row>
    <row r="1687">
      <c r="A1687" s="4" t="s">
        <v>2121</v>
      </c>
      <c r="B1687" s="4" t="s">
        <v>2122</v>
      </c>
      <c r="C1687" s="5" t="str">
        <f>IFERROR(__xludf.DUMMYFUNCTION("GOOGLETRANSLATE(B1687,""en"",""de"")"),"Ein Mädchen gießt etwas in ein Waschbecken.")</f>
        <v>Ein Mädchen gießt etwas in ein Waschbecken.</v>
      </c>
    </row>
    <row r="1688">
      <c r="A1688" s="4" t="s">
        <v>2121</v>
      </c>
      <c r="B1688" s="4" t="s">
        <v>2123</v>
      </c>
      <c r="C1688" s="5" t="str">
        <f>IFERROR(__xludf.DUMMYFUNCTION("GOOGLETRANSLATE(B1688,""en"",""de"")"),"Sie geht weg und wischt sich die Hände an einem Handtuch ab.")</f>
        <v>Sie geht weg und wischt sich die Hände an einem Handtuch ab.</v>
      </c>
    </row>
    <row r="1689">
      <c r="A1689" s="4" t="s">
        <v>2121</v>
      </c>
      <c r="B1689" s="4" t="s">
        <v>2124</v>
      </c>
      <c r="C1689" s="5" t="str">
        <f>IFERROR(__xludf.DUMMYFUNCTION("GOOGLETRANSLATE(B1689,""en"",""de"")"),"Sie gießt die Schüssel in einen Eimer auf dem Boden.")</f>
        <v>Sie gießt die Schüssel in einen Eimer auf dem Boden.</v>
      </c>
    </row>
    <row r="1690">
      <c r="A1690" s="4" t="s">
        <v>2121</v>
      </c>
      <c r="B1690" s="4" t="s">
        <v>2125</v>
      </c>
      <c r="C1690" s="5" t="str">
        <f>IFERROR(__xludf.DUMMYFUNCTION("GOOGLETRANSLATE(B1690,""en"",""de"")"),"Sie beginnt mit einem Handtuch über den Boden zu wischen.")</f>
        <v>Sie beginnt mit einem Handtuch über den Boden zu wischen.</v>
      </c>
    </row>
    <row r="1691">
      <c r="A1691" s="4" t="s">
        <v>2121</v>
      </c>
      <c r="B1691" s="4" t="s">
        <v>2126</v>
      </c>
      <c r="C1691" s="5" t="str">
        <f>IFERROR(__xludf.DUMMYFUNCTION("GOOGLETRANSLATE(B1691,""en"",""de"")"),"Sie bewegt den Eimer nach vorne im Klassenzimmer und lässt ihn aus.")</f>
        <v>Sie bewegt den Eimer nach vorne im Klassenzimmer und lässt ihn aus.</v>
      </c>
    </row>
    <row r="1692">
      <c r="A1692" s="4" t="s">
        <v>2127</v>
      </c>
      <c r="B1692" s="4" t="s">
        <v>2128</v>
      </c>
      <c r="C1692" s="5" t="str">
        <f>IFERROR(__xludf.DUMMYFUNCTION("GOOGLETRANSLATE(B1692,""en"",""de"")"),"Wir sehen den Titelbildschirm für das Video.")</f>
        <v>Wir sehen den Titelbildschirm für das Video.</v>
      </c>
    </row>
    <row r="1693">
      <c r="A1693" s="4" t="s">
        <v>2127</v>
      </c>
      <c r="B1693" s="4" t="s">
        <v>2129</v>
      </c>
      <c r="C1693" s="5" t="str">
        <f>IFERROR(__xludf.DUMMYFUNCTION("GOOGLETRANSLATE(B1693,""en"",""de"")"),"Wir wechseln zu einer Frau, die ihre kalte Wetterkleidung anzieht.")</f>
        <v>Wir wechseln zu einer Frau, die ihre kalte Wetterkleidung anzieht.</v>
      </c>
    </row>
    <row r="1694">
      <c r="A1694" s="4" t="s">
        <v>2127</v>
      </c>
      <c r="B1694" s="4" t="s">
        <v>2130</v>
      </c>
      <c r="C1694" s="5" t="str">
        <f>IFERROR(__xludf.DUMMYFUNCTION("GOOGLETRANSLATE(B1694,""en"",""de"")"),"Sie greift eine Schaufel und geht weg.")</f>
        <v>Sie greift eine Schaufel und geht weg.</v>
      </c>
    </row>
    <row r="1695">
      <c r="A1695" s="4" t="s">
        <v>2127</v>
      </c>
      <c r="B1695" s="4" t="s">
        <v>2131</v>
      </c>
      <c r="C1695" s="5" t="str">
        <f>IFERROR(__xludf.DUMMYFUNCTION("GOOGLETRANSLATE(B1695,""en"",""de"")"),"Wir sehen die Dame sitzen und auf einem Stuhl liegen und lesen.")</f>
        <v>Wir sehen die Dame sitzen und auf einem Stuhl liegen und lesen.</v>
      </c>
    </row>
    <row r="1696">
      <c r="A1696" s="4" t="s">
        <v>2127</v>
      </c>
      <c r="B1696" s="4" t="s">
        <v>2132</v>
      </c>
      <c r="C1696" s="5" t="str">
        <f>IFERROR(__xludf.DUMMYFUNCTION("GOOGLETRANSLATE(B1696,""en"",""de"")"),"Die Dame schaufelt den Schnee und redet.")</f>
        <v>Die Dame schaufelt den Schnee und redet.</v>
      </c>
    </row>
    <row r="1697">
      <c r="A1697" s="4" t="s">
        <v>2127</v>
      </c>
      <c r="B1697" s="4" t="s">
        <v>2133</v>
      </c>
      <c r="C1697" s="5" t="str">
        <f>IFERROR(__xludf.DUMMYFUNCTION("GOOGLETRANSLATE(B1697,""en"",""de"")"),"Wir sehen Artikel online über das Schaufeln.")</f>
        <v>Wir sehen Artikel online über das Schaufeln.</v>
      </c>
    </row>
    <row r="1698">
      <c r="A1698" s="4" t="s">
        <v>2127</v>
      </c>
      <c r="B1698" s="4" t="s">
        <v>2134</v>
      </c>
      <c r="C1698" s="5" t="str">
        <f>IFERROR(__xludf.DUMMYFUNCTION("GOOGLETRANSLATE(B1698,""en"",""de"")"),"Die Dame springt und wärmt sich auf.")</f>
        <v>Die Dame springt und wärmt sich auf.</v>
      </c>
    </row>
    <row r="1699">
      <c r="A1699" s="4" t="s">
        <v>2127</v>
      </c>
      <c r="B1699" s="4" t="s">
        <v>2135</v>
      </c>
      <c r="C1699" s="5" t="str">
        <f>IFERROR(__xludf.DUMMYFUNCTION("GOOGLETRANSLATE(B1699,""en"",""de"")"),"Wir sehen eine schneebedeckte Stadt und dann schaufeln Menschen Schnee.")</f>
        <v>Wir sehen eine schneebedeckte Stadt und dann schaufeln Menschen Schnee.</v>
      </c>
    </row>
    <row r="1700">
      <c r="A1700" s="4" t="s">
        <v>2136</v>
      </c>
      <c r="B1700" s="4" t="s">
        <v>2137</v>
      </c>
      <c r="C1700" s="5" t="str">
        <f>IFERROR(__xludf.DUMMYFUNCTION("GOOGLETRANSLATE(B1700,""en"",""de"")"),"Eine Person steht auf einem Gericht, das einen Tennisschläger hält.")</f>
        <v>Eine Person steht auf einem Gericht, das einen Tennisschläger hält.</v>
      </c>
    </row>
    <row r="1701">
      <c r="A1701" s="4" t="s">
        <v>2136</v>
      </c>
      <c r="B1701" s="4" t="s">
        <v>2138</v>
      </c>
      <c r="C1701" s="5" t="str">
        <f>IFERROR(__xludf.DUMMYFUNCTION("GOOGLETRANSLATE(B1701,""en"",""de"")"),"Der Mann demonstriert dann mehrere Bewegungen mit dem Tennisschläger und schlägt den Ball zu einem anderen.")</f>
        <v>Der Mann demonstriert dann mehrere Bewegungen mit dem Tennisschläger und schlägt den Ball zu einem anderen.</v>
      </c>
    </row>
    <row r="1702">
      <c r="A1702" s="4" t="s">
        <v>2136</v>
      </c>
      <c r="B1702" s="4" t="s">
        <v>2139</v>
      </c>
      <c r="C1702" s="5" t="str">
        <f>IFERROR(__xludf.DUMMYFUNCTION("GOOGLETRANSLATE(B1702,""en"",""de"")"),"Die beiden schlugen den Ball kontinuierlich zurück und den vierten zueinander.")</f>
        <v>Die beiden schlugen den Ball kontinuierlich zurück und den vierten zueinander.</v>
      </c>
    </row>
    <row r="1703">
      <c r="A1703" s="4" t="s">
        <v>2140</v>
      </c>
      <c r="B1703" s="4" t="s">
        <v>2141</v>
      </c>
      <c r="C1703" s="5" t="str">
        <f>IFERROR(__xludf.DUMMYFUNCTION("GOOGLETRANSLATE(B1703,""en"",""de"")"),"Eine Frau sitzt mit grünen Sonnenbrillen zusammen.")</f>
        <v>Eine Frau sitzt mit grünen Sonnenbrillen zusammen.</v>
      </c>
    </row>
    <row r="1704">
      <c r="A1704" s="4" t="s">
        <v>2140</v>
      </c>
      <c r="B1704" s="4" t="s">
        <v>2142</v>
      </c>
      <c r="C1704" s="5" t="str">
        <f>IFERROR(__xludf.DUMMYFUNCTION("GOOGLETRANSLATE(B1704,""en"",""de"")"),"Sie spricht auf dem Handy.")</f>
        <v>Sie spricht auf dem Handy.</v>
      </c>
    </row>
    <row r="1705">
      <c r="A1705" s="4" t="s">
        <v>2140</v>
      </c>
      <c r="B1705" s="4" t="s">
        <v>2143</v>
      </c>
      <c r="C1705" s="5" t="str">
        <f>IFERROR(__xludf.DUMMYFUNCTION("GOOGLETRANSLATE(B1705,""en"",""de"")"),"Sie fährt in einem Auto.")</f>
        <v>Sie fährt in einem Auto.</v>
      </c>
    </row>
    <row r="1706">
      <c r="A1706" s="4" t="s">
        <v>2140</v>
      </c>
      <c r="B1706" s="4" t="s">
        <v>2144</v>
      </c>
      <c r="C1706" s="5" t="str">
        <f>IFERROR(__xludf.DUMMYFUNCTION("GOOGLETRANSLATE(B1706,""en"",""de"")"),"Sie legt sich auf einem Stuhl, der ihren Fuß tätowiert.")</f>
        <v>Sie legt sich auf einem Stuhl, der ihren Fuß tätowiert.</v>
      </c>
    </row>
    <row r="1707">
      <c r="A1707" s="4" t="s">
        <v>2140</v>
      </c>
      <c r="B1707" s="4" t="s">
        <v>2145</v>
      </c>
      <c r="C1707" s="5" t="str">
        <f>IFERROR(__xludf.DUMMYFUNCTION("GOOGLETRANSLATE(B1707,""en"",""de"")"),"Sie zeigt ihr Fuß -Tattoo.")</f>
        <v>Sie zeigt ihr Fuß -Tattoo.</v>
      </c>
    </row>
    <row r="1708">
      <c r="A1708" s="4" t="s">
        <v>2140</v>
      </c>
      <c r="B1708" s="4" t="s">
        <v>2146</v>
      </c>
      <c r="C1708" s="5" t="str">
        <f>IFERROR(__xludf.DUMMYFUNCTION("GOOGLETRANSLATE(B1708,""en"",""de"")"),"Sie sitzt draußen und redet wieder.")</f>
        <v>Sie sitzt draußen und redet wieder.</v>
      </c>
    </row>
    <row r="1709">
      <c r="A1709" s="4" t="s">
        <v>2147</v>
      </c>
      <c r="B1709" s="4" t="s">
        <v>2148</v>
      </c>
      <c r="C1709" s="5" t="str">
        <f>IFERROR(__xludf.DUMMYFUNCTION("GOOGLETRANSLATE(B1709,""en"",""de"")"),"Eine Frau wird gesehen, die Lotion aus einer Flasche auf ihre Haut drückt und sie in ihre Arme rieb.")</f>
        <v>Eine Frau wird gesehen, die Lotion aus einer Flasche auf ihre Haut drückt und sie in ihre Arme rieb.</v>
      </c>
    </row>
    <row r="1710">
      <c r="A1710" s="4" t="s">
        <v>2147</v>
      </c>
      <c r="B1710" s="4" t="s">
        <v>2149</v>
      </c>
      <c r="C1710" s="5" t="str">
        <f>IFERROR(__xludf.DUMMYFUNCTION("GOOGLETRANSLATE(B1710,""en"",""de"")"),"Weitere Bilder werden auf dem Bildschirm von Personen und Lotionen sowie Schritte zum richtigen Einsatz angezeigt.")</f>
        <v>Weitere Bilder werden auf dem Bildschirm von Personen und Lotionen sowie Schritte zum richtigen Einsatz angezeigt.</v>
      </c>
    </row>
    <row r="1711">
      <c r="A1711" s="4" t="s">
        <v>2150</v>
      </c>
      <c r="B1711" s="4" t="s">
        <v>2151</v>
      </c>
      <c r="C1711" s="5" t="str">
        <f>IFERROR(__xludf.DUMMYFUNCTION("GOOGLETRANSLATE(B1711,""en"",""de"")"),"Männer ziehen ein Seil in einem Schlepperspiel.")</f>
        <v>Männer ziehen ein Seil in einem Schlepperspiel.</v>
      </c>
    </row>
    <row r="1712">
      <c r="A1712" s="4" t="s">
        <v>2150</v>
      </c>
      <c r="B1712" s="4" t="s">
        <v>2152</v>
      </c>
      <c r="C1712" s="5" t="str">
        <f>IFERROR(__xludf.DUMMYFUNCTION("GOOGLETRANSLATE(B1712,""en"",""de"")"),"Eine Dame biegt sich zusammen, um ein Foto zu machen, und eine Dame spazieren und filmt das gleiche.")</f>
        <v>Eine Dame biegt sich zusammen, um ein Foto zu machen, und eine Dame spazieren und filmt das gleiche.</v>
      </c>
    </row>
    <row r="1713">
      <c r="A1713" s="4" t="s">
        <v>2150</v>
      </c>
      <c r="B1713" s="4" t="s">
        <v>2153</v>
      </c>
      <c r="C1713" s="5" t="str">
        <f>IFERROR(__xludf.DUMMYFUNCTION("GOOGLETRANSLATE(B1713,""en"",""de"")"),"Wir sehen einen Turm auf dem Feld.")</f>
        <v>Wir sehen einen Turm auf dem Feld.</v>
      </c>
    </row>
    <row r="1714">
      <c r="A1714" s="4" t="s">
        <v>2150</v>
      </c>
      <c r="B1714" s="4" t="s">
        <v>2154</v>
      </c>
      <c r="C1714" s="5" t="str">
        <f>IFERROR(__xludf.DUMMYFUNCTION("GOOGLETRANSLATE(B1714,""en"",""de"")"),"Die Männer ließen das Seil los, ein Mann fällt und klatscht.")</f>
        <v>Die Männer ließen das Seil los, ein Mann fällt und klatscht.</v>
      </c>
    </row>
    <row r="1715">
      <c r="A1715" s="4" t="s">
        <v>2150</v>
      </c>
      <c r="B1715" s="4" t="s">
        <v>2155</v>
      </c>
      <c r="C1715" s="5" t="str">
        <f>IFERROR(__xludf.DUMMYFUNCTION("GOOGLETRANSLATE(B1715,""en"",""de"")"),"Ein Mann lächelt und gibt der Kamera einen Daumen hoch.")</f>
        <v>Ein Mann lächelt und gibt der Kamera einen Daumen hoch.</v>
      </c>
    </row>
    <row r="1716">
      <c r="A1716" s="4" t="s">
        <v>2156</v>
      </c>
      <c r="B1716" s="4" t="s">
        <v>2157</v>
      </c>
      <c r="C1716" s="5" t="str">
        <f>IFERROR(__xludf.DUMMYFUNCTION("GOOGLETRANSLATE(B1716,""en"",""de"")"),"Die Leute spielen ein Spiel auf einem Feld.")</f>
        <v>Die Leute spielen ein Spiel auf einem Feld.</v>
      </c>
    </row>
    <row r="1717">
      <c r="A1717" s="4" t="s">
        <v>2156</v>
      </c>
      <c r="B1717" s="4" t="s">
        <v>2158</v>
      </c>
      <c r="C1717" s="5" t="str">
        <f>IFERROR(__xludf.DUMMYFUNCTION("GOOGLETRANSLATE(B1717,""en"",""de"")"),"Der Mann mit dem Schläger und dem Mann mit dem Red Hat rennen hin und her.")</f>
        <v>Der Mann mit dem Schläger und dem Mann mit dem Red Hat rennen hin und her.</v>
      </c>
    </row>
    <row r="1718">
      <c r="A1718" s="4" t="s">
        <v>2156</v>
      </c>
      <c r="B1718" s="4" t="s">
        <v>2159</v>
      </c>
      <c r="C1718" s="5" t="str">
        <f>IFERROR(__xludf.DUMMYFUNCTION("GOOGLETRANSLATE(B1718,""en"",""de"")"),"Ein Mann mit einem blauen Hemd läuft in Richtung Home -Teller.")</f>
        <v>Ein Mann mit einem blauen Hemd läuft in Richtung Home -Teller.</v>
      </c>
    </row>
    <row r="1719">
      <c r="A1719" s="4" t="s">
        <v>2156</v>
      </c>
      <c r="B1719" s="4" t="s">
        <v>2160</v>
      </c>
      <c r="C1719" s="5" t="str">
        <f>IFERROR(__xludf.DUMMYFUNCTION("GOOGLETRANSLATE(B1719,""en"",""de"")"),"Der Mann mit dem Schläger wird gezeigt, dass er in Zeitlupe getroffen wird.")</f>
        <v>Der Mann mit dem Schläger wird gezeigt, dass er in Zeitlupe getroffen wird.</v>
      </c>
    </row>
    <row r="1720">
      <c r="A1720" s="4" t="s">
        <v>2156</v>
      </c>
      <c r="B1720" s="4" t="s">
        <v>2161</v>
      </c>
      <c r="C1720" s="5" t="str">
        <f>IFERROR(__xludf.DUMMYFUNCTION("GOOGLETRANSLATE(B1720,""en"",""de"")"),"Eine Frau ist der Fledermaus und wird gezeigt, nachdem er einen Treffer bekommen hat.")</f>
        <v>Eine Frau ist der Fledermaus und wird gezeigt, nachdem er einen Treffer bekommen hat.</v>
      </c>
    </row>
    <row r="1721">
      <c r="A1721" s="4" t="s">
        <v>2162</v>
      </c>
      <c r="B1721" s="4" t="s">
        <v>2163</v>
      </c>
      <c r="C1721" s="5" t="str">
        <f>IFERROR(__xludf.DUMMYFUNCTION("GOOGLETRANSLATE(B1721,""en"",""de"")"),"Ein Mann ist auf dem Ozean parasail.")</f>
        <v>Ein Mann ist auf dem Ozean parasail.</v>
      </c>
    </row>
    <row r="1722">
      <c r="A1722" s="4" t="s">
        <v>2162</v>
      </c>
      <c r="B1722" s="4" t="s">
        <v>2164</v>
      </c>
      <c r="C1722" s="5" t="str">
        <f>IFERROR(__xludf.DUMMYFUNCTION("GOOGLETRANSLATE(B1722,""en"",""de"")"),"Andere Menschen beginnen auch im Wasser zu segeln, einige fallen um.")</f>
        <v>Andere Menschen beginnen auch im Wasser zu segeln, einige fallen um.</v>
      </c>
    </row>
    <row r="1723">
      <c r="A1723" s="4" t="s">
        <v>2165</v>
      </c>
      <c r="B1723" s="4" t="s">
        <v>2166</v>
      </c>
      <c r="C1723" s="5" t="str">
        <f>IFERROR(__xludf.DUMMYFUNCTION("GOOGLETRANSLATE(B1723,""en"",""de"")"),"Wir sehen einen Mann, der einen Weihnachtsbaum dekoriert.")</f>
        <v>Wir sehen einen Mann, der einen Weihnachtsbaum dekoriert.</v>
      </c>
    </row>
    <row r="1724">
      <c r="A1724" s="4" t="s">
        <v>2165</v>
      </c>
      <c r="B1724" s="4" t="s">
        <v>2167</v>
      </c>
      <c r="C1724" s="5" t="str">
        <f>IFERROR(__xludf.DUMMYFUNCTION("GOOGLETRANSLATE(B1724,""en"",""de"")"),"Der Mann fügt eine Lichterkette hinzu.")</f>
        <v>Der Mann fügt eine Lichterkette hinzu.</v>
      </c>
    </row>
    <row r="1725">
      <c r="A1725" s="4" t="s">
        <v>2165</v>
      </c>
      <c r="B1725" s="4" t="s">
        <v>2168</v>
      </c>
      <c r="C1725" s="5" t="str">
        <f>IFERROR(__xludf.DUMMYFUNCTION("GOOGLETRANSLATE(B1725,""en"",""de"")"),"Ein kleines Mädchen wirkt mit Glühbirnen zum Baum.")</f>
        <v>Ein kleines Mädchen wirkt mit Glühbirnen zum Baum.</v>
      </c>
    </row>
    <row r="1726">
      <c r="A1726" s="4" t="s">
        <v>2165</v>
      </c>
      <c r="B1726" s="4" t="s">
        <v>2169</v>
      </c>
      <c r="C1726" s="5" t="str">
        <f>IFERROR(__xludf.DUMMYFUNCTION("GOOGLETRANSLATE(B1726,""en"",""de"")"),"Der Mann schaltet die Lichter an.")</f>
        <v>Der Mann schaltet die Lichter an.</v>
      </c>
    </row>
    <row r="1727">
      <c r="A1727" s="4" t="s">
        <v>2165</v>
      </c>
      <c r="B1727" s="4" t="s">
        <v>2170</v>
      </c>
      <c r="C1727" s="5" t="str">
        <f>IFERROR(__xludf.DUMMYFUNCTION("GOOGLETRANSLATE(B1727,""en"",""de"")"),"Der Mann und das Mädchen fügen den Baum Glühbirnen hinzu.")</f>
        <v>Der Mann und das Mädchen fügen den Baum Glühbirnen hinzu.</v>
      </c>
    </row>
    <row r="1728">
      <c r="A1728" s="4" t="s">
        <v>2165</v>
      </c>
      <c r="B1728" s="4" t="s">
        <v>2171</v>
      </c>
      <c r="C1728" s="5" t="str">
        <f>IFERROR(__xludf.DUMMYFUNCTION("GOOGLETRANSLATE(B1728,""en"",""de"")"),"Die Dame geht hoch und besitzt die Treppe.")</f>
        <v>Die Dame geht hoch und besitzt die Treppe.</v>
      </c>
    </row>
    <row r="1729">
      <c r="A1729" s="4" t="s">
        <v>2165</v>
      </c>
      <c r="B1729" s="4" t="s">
        <v>2172</v>
      </c>
      <c r="C1729" s="5" t="str">
        <f>IFERROR(__xludf.DUMMYFUNCTION("GOOGLETRANSLATE(B1729,""en"",""de"")"),"Die Dame fügt dem Baum Ornamente hinzu.")</f>
        <v>Die Dame fügt dem Baum Ornamente hinzu.</v>
      </c>
    </row>
    <row r="1730">
      <c r="A1730" s="4" t="s">
        <v>2165</v>
      </c>
      <c r="B1730" s="4" t="s">
        <v>2173</v>
      </c>
      <c r="C1730" s="5" t="str">
        <f>IFERROR(__xludf.DUMMYFUNCTION("GOOGLETRANSLATE(B1730,""en"",""de"")"),"Der Mann steht auf einer Leiter und fügt Ornamente hinzu.")</f>
        <v>Der Mann steht auf einer Leiter und fügt Ornamente hinzu.</v>
      </c>
    </row>
    <row r="1731">
      <c r="A1731" s="4" t="s">
        <v>2165</v>
      </c>
      <c r="B1731" s="4" t="s">
        <v>2174</v>
      </c>
      <c r="C1731" s="5" t="str">
        <f>IFERROR(__xludf.DUMMYFUNCTION("GOOGLETRANSLATE(B1731,""en"",""de"")"),"Die Dame schaltet das Licht aus und die Familie schaut zusammen den Baum.")</f>
        <v>Die Dame schaltet das Licht aus und die Familie schaut zusammen den Baum.</v>
      </c>
    </row>
    <row r="1732">
      <c r="A1732" s="4" t="s">
        <v>2165</v>
      </c>
      <c r="B1732" s="4" t="s">
        <v>2175</v>
      </c>
      <c r="C1732" s="5" t="str">
        <f>IFERROR(__xludf.DUMMYFUNCTION("GOOGLETRANSLATE(B1732,""en"",""de"")"),"Der Mann und die Frau küssen sich.")</f>
        <v>Der Mann und die Frau küssen sich.</v>
      </c>
    </row>
    <row r="1733">
      <c r="A1733" s="4" t="s">
        <v>2176</v>
      </c>
      <c r="B1733" s="4" t="s">
        <v>2177</v>
      </c>
      <c r="C1733" s="5" t="str">
        <f>IFERROR(__xludf.DUMMYFUNCTION("GOOGLETRANSLATE(B1733,""en"",""de"")"),"Zwei Männer stehen auf einem Feld hinter einer Reihe von Häusern.")</f>
        <v>Zwei Männer stehen auf einem Feld hinter einer Reihe von Häusern.</v>
      </c>
    </row>
    <row r="1734">
      <c r="A1734" s="4" t="s">
        <v>2176</v>
      </c>
      <c r="B1734" s="4" t="s">
        <v>2178</v>
      </c>
      <c r="C1734" s="5" t="str">
        <f>IFERROR(__xludf.DUMMYFUNCTION("GOOGLETRANSLATE(B1734,""en"",""de"")"),"Man schwingt eine Fledermaus und rennt auf das Feld, jagt einen Ball.")</f>
        <v>Man schwingt eine Fledermaus und rennt auf das Feld, jagt einen Ball.</v>
      </c>
    </row>
    <row r="1735">
      <c r="A1735" s="4" t="s">
        <v>2176</v>
      </c>
      <c r="B1735" s="4" t="s">
        <v>2179</v>
      </c>
      <c r="C1735" s="5" t="str">
        <f>IFERROR(__xludf.DUMMYFUNCTION("GOOGLETRANSLATE(B1735,""en"",""de"")"),"Der Ball wird zum Schlag zurückgeworfen und er setzt das Cricketspiel mit seinen Teamkollegen fort.")</f>
        <v>Der Ball wird zum Schlag zurückgeworfen und er setzt das Cricketspiel mit seinen Teamkollegen fort.</v>
      </c>
    </row>
    <row r="1736">
      <c r="A1736" s="4" t="s">
        <v>2180</v>
      </c>
      <c r="B1736" s="4" t="s">
        <v>2181</v>
      </c>
      <c r="C1736" s="5" t="str">
        <f>IFERROR(__xludf.DUMMYFUNCTION("GOOGLETRANSLATE(B1736,""en"",""de"")"),"Ein Mann steht in einem großen Feld und führt in ihn seine Arme und Beine um die Gegend.")</f>
        <v>Ein Mann steht in einem großen Feld und führt in ihn seine Arme und Beine um die Gegend.</v>
      </c>
    </row>
    <row r="1737">
      <c r="A1737" s="4" t="s">
        <v>2180</v>
      </c>
      <c r="B1737" s="4" t="s">
        <v>2182</v>
      </c>
      <c r="C1737" s="5" t="str">
        <f>IFERROR(__xludf.DUMMYFUNCTION("GOOGLETRANSLATE(B1737,""en"",""de"")"),"Der Mann bewegt sich weiter in der Gegend und bewegt seine Hände auf und ab und schaut in die Ferne.")</f>
        <v>Der Mann bewegt sich weiter in der Gegend und bewegt seine Hände auf und ab und schaut in die Ferne.</v>
      </c>
    </row>
    <row r="1738">
      <c r="A1738" s="4" t="s">
        <v>2183</v>
      </c>
      <c r="B1738" s="4" t="s">
        <v>2184</v>
      </c>
      <c r="C1738" s="5" t="str">
        <f>IFERROR(__xludf.DUMMYFUNCTION("GOOGLETRANSLATE(B1738,""en"",""de"")"),"Zwei Leute haben gesehen, wie ein Balletttanz auf der Bühne gefolgt von einer Frau, die einen Tanz macht, während andere nebenbei zuschauen.")</f>
        <v>Zwei Leute haben gesehen, wie ein Balletttanz auf der Bühne gefolgt von einer Frau, die einen Tanz macht, während andere nebenbei zuschauen.</v>
      </c>
    </row>
    <row r="1739">
      <c r="A1739" s="4" t="s">
        <v>2183</v>
      </c>
      <c r="B1739" s="4" t="s">
        <v>2185</v>
      </c>
      <c r="C1739" s="5" t="str">
        <f>IFERROR(__xludf.DUMMYFUNCTION("GOOGLETRANSLATE(B1739,""en"",""de"")"),"Die Frau dreht sich weiter mit dem Mann, der in den Rahmen hinein und aus dem Rahmen geht und endet mit ihrer Verbeugung vor dem Publikum.")</f>
        <v>Die Frau dreht sich weiter mit dem Mann, der in den Rahmen hinein und aus dem Rahmen geht und endet mit ihrer Verbeugung vor dem Publikum.</v>
      </c>
    </row>
    <row r="1740">
      <c r="A1740" s="4" t="s">
        <v>2186</v>
      </c>
      <c r="B1740" s="4" t="s">
        <v>2187</v>
      </c>
      <c r="C1740" s="5" t="str">
        <f>IFERROR(__xludf.DUMMYFUNCTION("GOOGLETRANSLATE(B1740,""en"",""de"")"),"Ein schwarzer Hund geht auf einem Rasen.")</f>
        <v>Ein schwarzer Hund geht auf einem Rasen.</v>
      </c>
    </row>
    <row r="1741">
      <c r="A1741" s="4" t="s">
        <v>2186</v>
      </c>
      <c r="B1741" s="4" t="s">
        <v>2188</v>
      </c>
      <c r="C1741" s="5" t="str">
        <f>IFERROR(__xludf.DUMMYFUNCTION("GOOGLETRANSLATE(B1741,""en"",""de"")"),"Eine Dame rägt vom Rasen auf den Bürgersteig.")</f>
        <v>Eine Dame rägt vom Rasen auf den Bürgersteig.</v>
      </c>
    </row>
    <row r="1742">
      <c r="A1742" s="4" t="s">
        <v>2186</v>
      </c>
      <c r="B1742" s="4" t="s">
        <v>2189</v>
      </c>
      <c r="C1742" s="5" t="str">
        <f>IFERROR(__xludf.DUMMYFUNCTION("GOOGLETRANSLATE(B1742,""en"",""de"")"),"Die Dame hört auf zu karken, dreht sich um und spricht plus Gesten.")</f>
        <v>Die Dame hört auf zu karken, dreht sich um und spricht plus Gesten.</v>
      </c>
    </row>
    <row r="1743">
      <c r="A1743" s="4" t="s">
        <v>2186</v>
      </c>
      <c r="B1743" s="4" t="s">
        <v>2190</v>
      </c>
      <c r="C1743" s="5" t="str">
        <f>IFERROR(__xludf.DUMMYFUNCTION("GOOGLETRANSLATE(B1743,""en"",""de"")"),"Ein weißer Ball rollt zu einem geparkten Auto.")</f>
        <v>Ein weißer Ball rollt zu einem geparkten Auto.</v>
      </c>
    </row>
    <row r="1744">
      <c r="A1744" s="4" t="s">
        <v>2191</v>
      </c>
      <c r="B1744" s="4" t="s">
        <v>2192</v>
      </c>
      <c r="C1744" s="5" t="str">
        <f>IFERROR(__xludf.DUMMYFUNCTION("GOOGLETRANSLATE(B1744,""en"",""de"")"),"Eine Frau wird in einem Rahmen neben einer Terrasse knien.")</f>
        <v>Eine Frau wird in einem Rahmen neben einer Terrasse knien.</v>
      </c>
    </row>
    <row r="1745">
      <c r="A1745" s="4" t="s">
        <v>2191</v>
      </c>
      <c r="B1745" s="4" t="s">
        <v>2193</v>
      </c>
      <c r="C1745" s="5" t="str">
        <f>IFERROR(__xludf.DUMMYFUNCTION("GOOGLETRANSLATE(B1745,""en"",""de"")"),"Sie zeigt dann verschiedene Reinigungswerkzeuge und reibt sie entlang eines Stuhls.")</f>
        <v>Sie zeigt dann verschiedene Reinigungswerkzeuge und reibt sie entlang eines Stuhls.</v>
      </c>
    </row>
    <row r="1746">
      <c r="A1746" s="4" t="s">
        <v>2191</v>
      </c>
      <c r="B1746" s="4" t="s">
        <v>2194</v>
      </c>
      <c r="C1746" s="5" t="str">
        <f>IFERROR(__xludf.DUMMYFUNCTION("GOOGLETRANSLATE(B1746,""en"",""de"")"),"Sie bringt den Stuhl hinein und gießt Farbe in einen Eimer und malt entlang der Seite.")</f>
        <v>Sie bringt den Stuhl hinein und gießt Farbe in einen Eimer und malt entlang der Seite.</v>
      </c>
    </row>
    <row r="1747">
      <c r="A1747" s="4" t="s">
        <v>2191</v>
      </c>
      <c r="B1747" s="4" t="s">
        <v>2195</v>
      </c>
      <c r="C1747" s="5" t="str">
        <f>IFERROR(__xludf.DUMMYFUNCTION("GOOGLETRANSLATE(B1747,""en"",""de"")"),"Sie zeigt den Stuhl draußen wieder draußen, während sie mit der Kamera spricht.")</f>
        <v>Sie zeigt den Stuhl draußen wieder draußen, während sie mit der Kamera spricht.</v>
      </c>
    </row>
    <row r="1748">
      <c r="A1748" s="4" t="s">
        <v>2196</v>
      </c>
      <c r="B1748" s="4" t="s">
        <v>2197</v>
      </c>
      <c r="C1748" s="5" t="str">
        <f>IFERROR(__xludf.DUMMYFUNCTION("GOOGLETRANSLATE(B1748,""en"",""de"")"),"Ein Newscaster mit brünetter Frau trägt ein weißes Hemd und ein königsblaues Blazer darüber und spricht in die Kamera.")</f>
        <v>Ein Newscaster mit brünetter Frau trägt ein weißes Hemd und ein königsblaues Blazer darüber und spricht in die Kamera.</v>
      </c>
    </row>
    <row r="1749">
      <c r="A1749" s="4" t="s">
        <v>2196</v>
      </c>
      <c r="B1749" s="4" t="s">
        <v>2198</v>
      </c>
      <c r="C1749" s="5" t="str">
        <f>IFERROR(__xludf.DUMMYFUNCTION("GOOGLETRANSLATE(B1749,""en"",""de"")"),"Ein Clip beginnt und es zeigt Menschen, die laufend und die Wörter auf dem Bildschirm sind, dass es Anfänger sind, die trainieren, einen Marathon in Tel Aviv, Israel, zu betreiben.")</f>
        <v>Ein Clip beginnt und es zeigt Menschen, die laufend und die Wörter auf dem Bildschirm sind, dass es Anfänger sind, die trainieren, einen Marathon in Tel Aviv, Israel, zu betreiben.</v>
      </c>
    </row>
    <row r="1750">
      <c r="A1750" s="4" t="s">
        <v>2196</v>
      </c>
      <c r="B1750" s="4" t="s">
        <v>2199</v>
      </c>
      <c r="C1750" s="5" t="str">
        <f>IFERROR(__xludf.DUMMYFUNCTION("GOOGLETRANSLATE(B1750,""en"",""de"")"),"Ein Mann scheint sie und verschiedene Marathonläufer im Training zu trainieren, werden abwechselnd interviewt, während sie weiterhin zu allen durch die Ausbildung hin und her wechseln.")</f>
        <v>Ein Mann scheint sie und verschiedene Marathonläufer im Training zu trainieren, werden abwechselnd interviewt, während sie weiterhin zu allen durch die Ausbildung hin und her wechseln.</v>
      </c>
    </row>
    <row r="1751">
      <c r="A1751" s="4" t="s">
        <v>2196</v>
      </c>
      <c r="B1751" s="4" t="s">
        <v>2200</v>
      </c>
      <c r="C1751" s="5" t="str">
        <f>IFERROR(__xludf.DUMMYFUNCTION("GOOGLETRANSLATE(B1751,""en"",""de"")"),"Der letzte Clip ist die Aussicht vom Beginn eines Marathons und Hunderte von Menschen rennen, wenn sie die Startlinie verlassen.")</f>
        <v>Der letzte Clip ist die Aussicht vom Beginn eines Marathons und Hunderte von Menschen rennen, wenn sie die Startlinie verlassen.</v>
      </c>
    </row>
    <row r="1752">
      <c r="A1752" s="4" t="s">
        <v>2201</v>
      </c>
      <c r="B1752" s="4" t="s">
        <v>2202</v>
      </c>
      <c r="C1752" s="5" t="str">
        <f>IFERROR(__xludf.DUMMYFUNCTION("GOOGLETRANSLATE(B1752,""en"",""de"")"),"In ihrem Badezimmer steht ein junges Mädchen, das ein Tutorial über den Lippenstift macht.")</f>
        <v>In ihrem Badezimmer steht ein junges Mädchen, das ein Tutorial über den Lippenstift macht.</v>
      </c>
    </row>
    <row r="1753">
      <c r="A1753" s="4" t="s">
        <v>2201</v>
      </c>
      <c r="B1753" s="4" t="s">
        <v>2203</v>
      </c>
      <c r="C1753" s="5" t="str">
        <f>IFERROR(__xludf.DUMMYFUNCTION("GOOGLETRANSLATE(B1753,""en"",""de"")"),"Sie öffnet ihren Spiegelschrank und nimmt ihren Lippenstift heraus.")</f>
        <v>Sie öffnet ihren Spiegelschrank und nimmt ihren Lippenstift heraus.</v>
      </c>
    </row>
    <row r="1754">
      <c r="A1754" s="4" t="s">
        <v>2201</v>
      </c>
      <c r="B1754" s="4" t="s">
        <v>2204</v>
      </c>
      <c r="C1754" s="5" t="str">
        <f>IFERROR(__xludf.DUMMYFUNCTION("GOOGLETRANSLATE(B1754,""en"",""de"")"),"Sie beginnt den Lippenstift auf ihre Lippen aufzutragen.")</f>
        <v>Sie beginnt den Lippenstift auf ihre Lippen aufzutragen.</v>
      </c>
    </row>
    <row r="1755">
      <c r="A1755" s="4" t="s">
        <v>2201</v>
      </c>
      <c r="B1755" s="4" t="s">
        <v>2205</v>
      </c>
      <c r="C1755" s="5" t="str">
        <f>IFERROR(__xludf.DUMMYFUNCTION("GOOGLETRANSLATE(B1755,""en"",""de"")"),"Dann benutzt sie den gleichen Lippenstift und tupft es auf ihren Wangen.")</f>
        <v>Dann benutzt sie den gleichen Lippenstift und tupft es auf ihren Wangen.</v>
      </c>
    </row>
    <row r="1756">
      <c r="A1756" s="4" t="s">
        <v>2201</v>
      </c>
      <c r="B1756" s="4" t="s">
        <v>2206</v>
      </c>
      <c r="C1756" s="5" t="str">
        <f>IFERROR(__xludf.DUMMYFUNCTION("GOOGLETRANSLATE(B1756,""en"",""de"")"),"Sie benutzt ihre Finger, um den Lippenstift gleichmäßig auf ihren Wangenknochen zu verschmieren.")</f>
        <v>Sie benutzt ihre Finger, um den Lippenstift gleichmäßig auf ihren Wangenknochen zu verschmieren.</v>
      </c>
    </row>
    <row r="1757">
      <c r="A1757" s="4" t="s">
        <v>2201</v>
      </c>
      <c r="B1757" s="4" t="s">
        <v>2207</v>
      </c>
      <c r="C1757" s="5" t="str">
        <f>IFERROR(__xludf.DUMMYFUNCTION("GOOGLETRANSLATE(B1757,""en"",""de"")"),"Dann schmollt sie und lächelt nach der Kamera und schlägt eine Pose.")</f>
        <v>Dann schmollt sie und lächelt nach der Kamera und schlägt eine Pose.</v>
      </c>
    </row>
    <row r="1758">
      <c r="A1758" s="4" t="s">
        <v>2208</v>
      </c>
      <c r="B1758" s="4" t="s">
        <v>2209</v>
      </c>
      <c r="C1758" s="5" t="str">
        <f>IFERROR(__xludf.DUMMYFUNCTION("GOOGLETRANSLATE(B1758,""en"",""de"")"),"Ein Kleinkind hält ein Blattgebläse.")</f>
        <v>Ein Kleinkind hält ein Blattgebläse.</v>
      </c>
    </row>
    <row r="1759">
      <c r="A1759" s="4" t="s">
        <v>2208</v>
      </c>
      <c r="B1759" s="4" t="s">
        <v>2210</v>
      </c>
      <c r="C1759" s="5" t="str">
        <f>IFERROR(__xludf.DUMMYFUNCTION("GOOGLETRANSLATE(B1759,""en"",""de"")"),"Ein Teenager harkt den Rasen.")</f>
        <v>Ein Teenager harkt den Rasen.</v>
      </c>
    </row>
    <row r="1760">
      <c r="A1760" s="4" t="s">
        <v>2208</v>
      </c>
      <c r="B1760" s="4" t="s">
        <v>2211</v>
      </c>
      <c r="C1760" s="5" t="str">
        <f>IFERROR(__xludf.DUMMYFUNCTION("GOOGLETRANSLATE(B1760,""en"",""de"")"),"Ein Teenager wirft einen Rechen voller Blätter auf das Kleinkind.")</f>
        <v>Ein Teenager wirft einen Rechen voller Blätter auf das Kleinkind.</v>
      </c>
    </row>
    <row r="1761">
      <c r="A1761" s="4" t="s">
        <v>2212</v>
      </c>
      <c r="B1761" s="4" t="s">
        <v>2213</v>
      </c>
      <c r="C1761" s="5" t="str">
        <f>IFERROR(__xludf.DUMMYFUNCTION("GOOGLETRANSLATE(B1761,""en"",""de"")"),"Ein stilles Bild eines Mannes erscheint, während viele weiße Wörter von unten nach oben scrollen.")</f>
        <v>Ein stilles Bild eines Mannes erscheint, während viele weiße Wörter von unten nach oben scrollen.</v>
      </c>
    </row>
    <row r="1762">
      <c r="A1762" s="4" t="s">
        <v>2212</v>
      </c>
      <c r="B1762" s="4" t="s">
        <v>2214</v>
      </c>
      <c r="C1762" s="5" t="str">
        <f>IFERROR(__xludf.DUMMYFUNCTION("GOOGLETRANSLATE(B1762,""en"",""de"")"),"Der Mann befindet sich jetzt in einer geschlossenen Anzeige, die kleine Racquetball -Platz in der Lage ist, und er durchläuft die Bewegungen, einen Ball mit seinem Schläger mit den Worten ""nicht empfohlen"" in der oberen linken Ecke zu schlagen.")</f>
        <v>Der Mann befindet sich jetzt in einer geschlossenen Anzeige, die kleine Racquetball -Platz in der Lage ist, und er durchläuft die Bewegungen, einen Ball mit seinem Schläger mit den Worten "nicht empfohlen" in der oberen linken Ecke zu schlagen.</v>
      </c>
    </row>
    <row r="1763">
      <c r="A1763" s="4" t="s">
        <v>2212</v>
      </c>
      <c r="B1763" s="4" t="s">
        <v>2215</v>
      </c>
      <c r="C1763" s="5" t="str">
        <f>IFERROR(__xludf.DUMMYFUNCTION("GOOGLETRANSLATE(B1763,""en"",""de"")"),"Ein Bildschirm wird schnell angezeigt und er hat einen weißen Text mit ""Bitte abonnieren Sie diesen YouTube -Kanal"".")</f>
        <v>Ein Bildschirm wird schnell angezeigt und er hat einen weißen Text mit "Bitte abonnieren Sie diesen YouTube -Kanal".</v>
      </c>
    </row>
    <row r="1764">
      <c r="A1764" s="4" t="s">
        <v>2212</v>
      </c>
      <c r="B1764" s="4" t="s">
        <v>2216</v>
      </c>
      <c r="C1764" s="5" t="str">
        <f>IFERROR(__xludf.DUMMYFUNCTION("GOOGLETRANSLATE(B1764,""en"",""de"")"),"Der Mann wird dann erneut gezeigt, bis der Outro -Bildschirm erscheint und eine Menge weißer Formulierungen enthält, die von unten nach oben scrollen.")</f>
        <v>Der Mann wird dann erneut gezeigt, bis der Outro -Bildschirm erscheint und eine Menge weißer Formulierungen enthält, die von unten nach oben scrollen.</v>
      </c>
    </row>
    <row r="1765">
      <c r="A1765" s="4" t="s">
        <v>2217</v>
      </c>
      <c r="B1765" s="4" t="s">
        <v>2218</v>
      </c>
      <c r="C1765" s="5" t="str">
        <f>IFERROR(__xludf.DUMMYFUNCTION("GOOGLETRANSLATE(B1765,""en"",""de"")"),"Ein paar Kinder stehen auf einer Bühne, gefolgt von den Kindern, die einen Puck über das Eis schieben.")</f>
        <v>Ein paar Kinder stehen auf einer Bühne, gefolgt von den Kindern, die einen Puck über das Eis schieben.</v>
      </c>
    </row>
    <row r="1766">
      <c r="A1766" s="4" t="s">
        <v>2217</v>
      </c>
      <c r="B1766" s="4" t="s">
        <v>2219</v>
      </c>
      <c r="C1766" s="5" t="str">
        <f>IFERROR(__xludf.DUMMYFUNCTION("GOOGLETRANSLATE(B1766,""en"",""de"")"),"Mehrere Leute spielen das Spiel um sie herum und schwenken das Publikum, das reagiert, sowie Menschen, die an den Seiten stehen.")</f>
        <v>Mehrere Leute spielen das Spiel um sie herum und schwenken das Publikum, das reagiert, sowie Menschen, die an den Seiten stehen.</v>
      </c>
    </row>
    <row r="1767">
      <c r="A1767" s="4" t="s">
        <v>2220</v>
      </c>
      <c r="B1767" s="4" t="s">
        <v>2221</v>
      </c>
      <c r="C1767" s="5" t="str">
        <f>IFERROR(__xludf.DUMMYFUNCTION("GOOGLETRANSLATE(B1767,""en"",""de"")"),"Ein Mann kommt aus einem Tor auf einem Pferd.")</f>
        <v>Ein Mann kommt aus einem Tor auf einem Pferd.</v>
      </c>
    </row>
    <row r="1768">
      <c r="A1768" s="4" t="s">
        <v>2220</v>
      </c>
      <c r="B1768" s="4" t="s">
        <v>2222</v>
      </c>
      <c r="C1768" s="5" t="str">
        <f>IFERROR(__xludf.DUMMYFUNCTION("GOOGLETRANSLATE(B1768,""en"",""de"")"),"Er lassos und seilt ein Kalb.")</f>
        <v>Er lassos und seilt ein Kalb.</v>
      </c>
    </row>
    <row r="1769">
      <c r="A1769" s="4" t="s">
        <v>2220</v>
      </c>
      <c r="B1769" s="4" t="s">
        <v>2223</v>
      </c>
      <c r="C1769" s="5" t="str">
        <f>IFERROR(__xludf.DUMMYFUNCTION("GOOGLETRANSLATE(B1769,""en"",""de"")"),"Dann springt er runter und bindet das Kalb.")</f>
        <v>Dann springt er runter und bindet das Kalb.</v>
      </c>
    </row>
    <row r="1770">
      <c r="A1770" s="4" t="s">
        <v>2224</v>
      </c>
      <c r="B1770" s="4" t="s">
        <v>2225</v>
      </c>
      <c r="C1770" s="5" t="str">
        <f>IFERROR(__xludf.DUMMYFUNCTION("GOOGLETRANSLATE(B1770,""en"",""de"")"),"Eine Person spielt vor einer riesigen Menschenmenge eine Geige.")</f>
        <v>Eine Person spielt vor einer riesigen Menschenmenge eine Geige.</v>
      </c>
    </row>
    <row r="1771">
      <c r="A1771" s="4" t="s">
        <v>2224</v>
      </c>
      <c r="B1771" s="4" t="s">
        <v>2226</v>
      </c>
      <c r="C1771" s="5" t="str">
        <f>IFERROR(__xludf.DUMMYFUNCTION("GOOGLETRANSLATE(B1771,""en"",""de"")"),"Die Leute geben ihm am Ende stehende Ovationen.")</f>
        <v>Die Leute geben ihm am Ende stehende Ovationen.</v>
      </c>
    </row>
    <row r="1772">
      <c r="A1772" s="4" t="s">
        <v>2227</v>
      </c>
      <c r="B1772" s="4" t="s">
        <v>2228</v>
      </c>
      <c r="C1772" s="5" t="str">
        <f>IFERROR(__xludf.DUMMYFUNCTION("GOOGLETRANSLATE(B1772,""en"",""de"")"),"Ein Mann auf einem Tauchbrett geht bis zum Ende.")</f>
        <v>Ein Mann auf einem Tauchbrett geht bis zum Ende.</v>
      </c>
    </row>
    <row r="1773">
      <c r="A1773" s="4" t="s">
        <v>2227</v>
      </c>
      <c r="B1773" s="4" t="s">
        <v>2229</v>
      </c>
      <c r="C1773" s="5" t="str">
        <f>IFERROR(__xludf.DUMMYFUNCTION("GOOGLETRANSLATE(B1773,""en"",""de"")"),"Der Mann hüpft zweimal auf dem Brett und taucht dann ins Wasser ein.")</f>
        <v>Der Mann hüpft zweimal auf dem Brett und taucht dann ins Wasser ein.</v>
      </c>
    </row>
    <row r="1774">
      <c r="A1774" s="4" t="s">
        <v>2227</v>
      </c>
      <c r="B1774" s="4" t="s">
        <v>2230</v>
      </c>
      <c r="C1774" s="5" t="str">
        <f>IFERROR(__xludf.DUMMYFUNCTION("GOOGLETRANSLATE(B1774,""en"",""de"")"),"Der Mann taucht auf und schwimmt zur Rand des Pools.")</f>
        <v>Der Mann taucht auf und schwimmt zur Rand des Pools.</v>
      </c>
    </row>
    <row r="1775">
      <c r="A1775" s="4" t="s">
        <v>2231</v>
      </c>
      <c r="B1775" s="4" t="s">
        <v>2232</v>
      </c>
      <c r="C1775" s="5" t="str">
        <f>IFERROR(__xludf.DUMMYFUNCTION("GOOGLETRANSLATE(B1775,""en"",""de"")"),"Eine Frau mit rosa Haaren posiert für die Kamera.")</f>
        <v>Eine Frau mit rosa Haaren posiert für die Kamera.</v>
      </c>
    </row>
    <row r="1776">
      <c r="A1776" s="4" t="s">
        <v>2231</v>
      </c>
      <c r="B1776" s="4" t="s">
        <v>2233</v>
      </c>
      <c r="C1776" s="5" t="str">
        <f>IFERROR(__xludf.DUMMYFUNCTION("GOOGLETRANSLATE(B1776,""en"",""de"")"),"Sie streift ihre Haare mit ihren Händen aus, bevor sie sie in Abschnitte trennen.")</f>
        <v>Sie streift ihre Haare mit ihren Händen aus, bevor sie sie in Abschnitte trennen.</v>
      </c>
    </row>
    <row r="1777">
      <c r="A1777" s="4" t="s">
        <v>2231</v>
      </c>
      <c r="B1777" s="4" t="s">
        <v>2234</v>
      </c>
      <c r="C1777" s="5" t="str">
        <f>IFERROR(__xludf.DUMMYFUNCTION("GOOGLETRANSLATE(B1777,""en"",""de"")"),"Sie flechtet dann die Haare an der Seite ihres Kopfes.")</f>
        <v>Sie flechtet dann die Haare an der Seite ihres Kopfes.</v>
      </c>
    </row>
    <row r="1778">
      <c r="A1778" s="4" t="s">
        <v>2235</v>
      </c>
      <c r="B1778" s="4" t="s">
        <v>2236</v>
      </c>
      <c r="C1778" s="5" t="str">
        <f>IFERROR(__xludf.DUMMYFUNCTION("GOOGLETRANSLATE(B1778,""en"",""de"")"),"Ein kleiner Junge rennt über einen Hopscotch am Boden.")</f>
        <v>Ein kleiner Junge rennt über einen Hopscotch am Boden.</v>
      </c>
    </row>
    <row r="1779">
      <c r="A1779" s="4" t="s">
        <v>2235</v>
      </c>
      <c r="B1779" s="4" t="s">
        <v>2237</v>
      </c>
      <c r="C1779" s="5" t="str">
        <f>IFERROR(__xludf.DUMMYFUNCTION("GOOGLETRANSLATE(B1779,""en"",""de"")"),"Er kehrt zum Anfang zurück und versucht zu springen.")</f>
        <v>Er kehrt zum Anfang zurück und versucht zu springen.</v>
      </c>
    </row>
    <row r="1780">
      <c r="A1780" s="4" t="s">
        <v>2235</v>
      </c>
      <c r="B1780" s="4" t="s">
        <v>2238</v>
      </c>
      <c r="C1780" s="5" t="str">
        <f>IFERROR(__xludf.DUMMYFUNCTION("GOOGLETRANSLATE(B1780,""en"",""de"")"),"Er hüpft bis zum Ende.")</f>
        <v>Er hüpft bis zum Ende.</v>
      </c>
    </row>
    <row r="1781">
      <c r="A1781" s="4" t="s">
        <v>2239</v>
      </c>
      <c r="B1781" s="4" t="s">
        <v>2240</v>
      </c>
      <c r="C1781" s="5" t="str">
        <f>IFERROR(__xludf.DUMMYFUNCTION("GOOGLETRANSLATE(B1781,""en"",""de"")"),"Ein Mann steht in einem großen Feld hinter einem Stück schwerer Maschinen.")</f>
        <v>Ein Mann steht in einem großen Feld hinter einem Stück schwerer Maschinen.</v>
      </c>
    </row>
    <row r="1782">
      <c r="A1782" s="4" t="s">
        <v>2239</v>
      </c>
      <c r="B1782" s="4" t="s">
        <v>2241</v>
      </c>
      <c r="C1782" s="5" t="str">
        <f>IFERROR(__xludf.DUMMYFUNCTION("GOOGLETRANSLATE(B1782,""en"",""de"")"),"Der Mann schiebt die Maschine über ein hohes Gras, während die Kamera seinen Bewegungen folgt.")</f>
        <v>Der Mann schiebt die Maschine über ein hohes Gras, während die Kamera seinen Bewegungen folgt.</v>
      </c>
    </row>
    <row r="1783">
      <c r="A1783" s="4" t="s">
        <v>2239</v>
      </c>
      <c r="B1783" s="4" t="s">
        <v>2242</v>
      </c>
      <c r="C1783" s="5" t="str">
        <f>IFERROR(__xludf.DUMMYFUNCTION("GOOGLETRANSLATE(B1783,""en"",""de"")"),"Der Mann drückt weiter am hohen Gras.")</f>
        <v>Der Mann drückt weiter am hohen Gras.</v>
      </c>
    </row>
    <row r="1784">
      <c r="A1784" s="4" t="s">
        <v>2243</v>
      </c>
      <c r="B1784" s="4" t="s">
        <v>2244</v>
      </c>
      <c r="C1784" s="5" t="str">
        <f>IFERROR(__xludf.DUMMYFUNCTION("GOOGLETRANSLATE(B1784,""en"",""de"")"),"Das weiße Kaninchen befindet sich im Käfig.")</f>
        <v>Das weiße Kaninchen befindet sich im Käfig.</v>
      </c>
    </row>
    <row r="1785">
      <c r="A1785" s="4" t="s">
        <v>2243</v>
      </c>
      <c r="B1785" s="4" t="s">
        <v>2245</v>
      </c>
      <c r="C1785" s="5" t="str">
        <f>IFERROR(__xludf.DUMMYFUNCTION("GOOGLETRANSLATE(B1785,""en"",""de"")"),"Das Kaninchen reinigt seine Hände, indem er es leckt.")</f>
        <v>Das Kaninchen reinigt seine Hände, indem er es leckt.</v>
      </c>
    </row>
    <row r="1786">
      <c r="A1786" s="4" t="s">
        <v>2243</v>
      </c>
      <c r="B1786" s="4" t="s">
        <v>2246</v>
      </c>
      <c r="C1786" s="5" t="str">
        <f>IFERROR(__xludf.DUMMYFUNCTION("GOOGLETRANSLATE(B1786,""en"",""de"")"),"Das Kaninchen säuberte seinen Rücken und wendete dann in den ersten Stock seines Käfigs.")</f>
        <v>Das Kaninchen säuberte seinen Rücken und wendete dann in den ersten Stock seines Käfigs.</v>
      </c>
    </row>
    <row r="1787">
      <c r="A1787" s="4" t="s">
        <v>2247</v>
      </c>
      <c r="B1787" s="4" t="s">
        <v>2248</v>
      </c>
      <c r="C1787" s="5" t="str">
        <f>IFERROR(__xludf.DUMMYFUNCTION("GOOGLETRANSLATE(B1787,""en"",""de"")"),"Zwei Teams spielen Bälle, um einen Gegner zu treffen.")</f>
        <v>Zwei Teams spielen Bälle, um einen Gegner zu treffen.</v>
      </c>
    </row>
    <row r="1788">
      <c r="A1788" s="4" t="s">
        <v>2247</v>
      </c>
      <c r="B1788" s="4" t="s">
        <v>2249</v>
      </c>
      <c r="C1788" s="5" t="str">
        <f>IFERROR(__xludf.DUMMYFUNCTION("GOOGLETRANSLATE(B1788,""en"",""de"")"),"Die Spieler halten zwei Bälle und werfen sich gegenseitig, um zu schlagen, und der Gegner.")</f>
        <v>Die Spieler halten zwei Bälle und werfen sich gegenseitig, um zu schlagen, und der Gegner.</v>
      </c>
    </row>
    <row r="1789">
      <c r="A1789" s="4" t="s">
        <v>2247</v>
      </c>
      <c r="B1789" s="4" t="s">
        <v>2250</v>
      </c>
      <c r="C1789" s="5" t="str">
        <f>IFERROR(__xludf.DUMMYFUNCTION("GOOGLETRANSLATE(B1789,""en"",""de"")"),"Ein Junge, der einen Ball zu einem anderen Spieler hält, und die Gegner wirft ebenfalls Ball.")</f>
        <v>Ein Junge, der einen Ball zu einem anderen Spieler hält, und die Gegner wirft ebenfalls Ball.</v>
      </c>
    </row>
    <row r="1790">
      <c r="A1790" s="4" t="s">
        <v>2251</v>
      </c>
      <c r="B1790" s="4" t="s">
        <v>2252</v>
      </c>
      <c r="C1790" s="5" t="str">
        <f>IFERROR(__xludf.DUMMYFUNCTION("GOOGLETRANSLATE(B1790,""en"",""de"")"),"Eine Frau beginnt mit braunen Stiefeln einen Kopfsteinpflasterstein -Bürgersteig entlang, und dann wird sie gesehen, wie sie einen Hula -Reifen wirbelt.")</f>
        <v>Eine Frau beginnt mit braunen Stiefeln einen Kopfsteinpflasterstein -Bürgersteig entlang, und dann wird sie gesehen, wie sie einen Hula -Reifen wirbelt.</v>
      </c>
    </row>
    <row r="1791">
      <c r="A1791" s="4" t="s">
        <v>2251</v>
      </c>
      <c r="B1791" s="4" t="s">
        <v>2253</v>
      </c>
      <c r="C1791" s="5" t="str">
        <f>IFERROR(__xludf.DUMMYFUNCTION("GOOGLETRANSLATE(B1791,""en"",""de"")"),"Mit dem Hula Hoop beginnt das Mädchen zwischen ihren Beinen zu drehen und zu tanzen.")</f>
        <v>Mit dem Hula Hoop beginnt das Mädchen zwischen ihren Beinen zu drehen und zu tanzen.</v>
      </c>
    </row>
    <row r="1792">
      <c r="A1792" s="4" t="s">
        <v>2251</v>
      </c>
      <c r="B1792" s="4" t="s">
        <v>2254</v>
      </c>
      <c r="C1792" s="5" t="str">
        <f>IFERROR(__xludf.DUMMYFUNCTION("GOOGLETRANSLATE(B1792,""en"",""de"")"),"Sie Fortschritte und fügt eine weitere Hula -Hüfte hinzu und beide gehen gleichzeitig weiter.")</f>
        <v>Sie Fortschritte und fügt eine weitere Hula -Hüfte hinzu und beide gehen gleichzeitig weiter.</v>
      </c>
    </row>
    <row r="1793">
      <c r="A1793" s="4" t="s">
        <v>2251</v>
      </c>
      <c r="B1793" s="4" t="s">
        <v>2255</v>
      </c>
      <c r="C1793" s="5" t="str">
        <f>IFERROR(__xludf.DUMMYFUNCTION("GOOGLETRANSLATE(B1793,""en"",""de"")"),"In ihrer nächsten Umgebung hat sie ungefähr fünf um ihren Körper und tanzt weiter.")</f>
        <v>In ihrer nächsten Umgebung hat sie ungefähr fünf um ihren Körper und tanzt weiter.</v>
      </c>
    </row>
    <row r="1794">
      <c r="A1794" s="4" t="s">
        <v>2251</v>
      </c>
      <c r="B1794" s="4" t="s">
        <v>2256</v>
      </c>
      <c r="C1794" s="5" t="str">
        <f>IFERROR(__xludf.DUMMYFUNCTION("GOOGLETRANSLATE(B1794,""en"",""de"")"),"Sie tut weiterhin dasselbe mit unterschiedlichen Mengen und mit anderen Körperteilen, wenn Menschen kommen und Fotos von ihr machen, das ihr Talent ausgestellt hat.")</f>
        <v>Sie tut weiterhin dasselbe mit unterschiedlichen Mengen und mit anderen Körperteilen, wenn Menschen kommen und Fotos von ihr machen, das ihr Talent ausgestellt hat.</v>
      </c>
    </row>
    <row r="1795">
      <c r="A1795" s="4" t="s">
        <v>2251</v>
      </c>
      <c r="B1795" s="4" t="s">
        <v>2257</v>
      </c>
      <c r="C1795" s="5" t="str">
        <f>IFERROR(__xludf.DUMMYFUNCTION("GOOGLETRANSLATE(B1795,""en"",""de"")"),"Zuletzt wird ein weiteres kleine Videos angezeigt, das Anzeigen für die YouTube -Seite für Jump Rope Sisters zeigt.")</f>
        <v>Zuletzt wird ein weiteres kleine Videos angezeigt, das Anzeigen für die YouTube -Seite für Jump Rope Sisters zeigt.</v>
      </c>
    </row>
    <row r="1796">
      <c r="A1796" s="4" t="s">
        <v>2258</v>
      </c>
      <c r="B1796" s="4" t="s">
        <v>2259</v>
      </c>
      <c r="C1796" s="5" t="str">
        <f>IFERROR(__xludf.DUMMYFUNCTION("GOOGLETRANSLATE(B1796,""en"",""de"")"),"Zwei Teams spielen Fußball in einem Indoor-Fußballplatz, wobei das Team weißes T-Shirt den Wettbewerb gewinnt.")</f>
        <v>Zwei Teams spielen Fußball in einem Indoor-Fußballplatz, wobei das Team weißes T-Shirt den Wettbewerb gewinnt.</v>
      </c>
    </row>
    <row r="1797">
      <c r="A1797" s="4" t="s">
        <v>2258</v>
      </c>
      <c r="B1797" s="4" t="s">
        <v>2260</v>
      </c>
      <c r="C1797" s="5" t="str">
        <f>IFERROR(__xludf.DUMMYFUNCTION("GOOGLETRANSLATE(B1797,""en"",""de"")"),"Der Spieler bewertet und feiert mit einem Teamkollegen.")</f>
        <v>Der Spieler bewertet und feiert mit einem Teamkollegen.</v>
      </c>
    </row>
    <row r="1798">
      <c r="A1798" s="4" t="s">
        <v>2258</v>
      </c>
      <c r="B1798" s="4" t="s">
        <v>2261</v>
      </c>
      <c r="C1798" s="5" t="str">
        <f>IFERROR(__xludf.DUMMYFUNCTION("GOOGLETRANSLATE(B1798,""en"",""de"")"),"Andere Teams spielen Fußball, einen Spieler mit weißer Uniform erhält einen Ball und eine Partitur.")</f>
        <v>Andere Teams spielen Fußball, einen Spieler mit weißer Uniform erhält einen Ball und eine Partitur.</v>
      </c>
    </row>
    <row r="1799">
      <c r="A1799" s="4" t="s">
        <v>2258</v>
      </c>
      <c r="B1799" s="4" t="s">
        <v>2262</v>
      </c>
      <c r="C1799" s="5" t="str">
        <f>IFERROR(__xludf.DUMMYFUNCTION("GOOGLETRANSLATE(B1799,""en"",""de"")"),"Zwei Teams spielen Fußball und der Spieler mit den gelben Uniformwerten.")</f>
        <v>Zwei Teams spielen Fußball und der Spieler mit den gelben Uniformwerten.</v>
      </c>
    </row>
    <row r="1800">
      <c r="A1800" s="4" t="s">
        <v>2258</v>
      </c>
      <c r="B1800" s="4" t="s">
        <v>2263</v>
      </c>
      <c r="C1800" s="5" t="str">
        <f>IFERROR(__xludf.DUMMYFUNCTION("GOOGLETRANSLATE(B1800,""en"",""de"")"),"Zwei Mädchenmannschaften treten an, ein Mädchen mit roten Uniformwerten und das Team gewinnt.")</f>
        <v>Zwei Mädchenmannschaften treten an, ein Mädchen mit roten Uniformwerten und das Team gewinnt.</v>
      </c>
    </row>
    <row r="1801">
      <c r="A1801" s="4" t="s">
        <v>2258</v>
      </c>
      <c r="B1801" s="4" t="s">
        <v>2264</v>
      </c>
      <c r="C1801" s="5" t="str">
        <f>IFERROR(__xludf.DUMMYFUNCTION("GOOGLETRANSLATE(B1801,""en"",""de"")"),"Dann bewertet ein Spieler mit einer weißen Uniform mit einer spektakulären Bewegung.")</f>
        <v>Dann bewertet ein Spieler mit einer weißen Uniform mit einer spektakulären Bewegung.</v>
      </c>
    </row>
    <row r="1802">
      <c r="A1802" s="4" t="s">
        <v>2265</v>
      </c>
      <c r="B1802" s="4" t="s">
        <v>2266</v>
      </c>
      <c r="C1802" s="5" t="str">
        <f>IFERROR(__xludf.DUMMYFUNCTION("GOOGLETRANSLATE(B1802,""en"",""de"")"),"Ein Spezialeffekt -Intro erscheint und ein blaues Wort in der Mitte des Bildschirms und Says ""Howcast"".")</f>
        <v>Ein Spezialeffekt -Intro erscheint und ein blaues Wort in der Mitte des Bildschirms und Says "Howcast".</v>
      </c>
    </row>
    <row r="1803">
      <c r="A1803" s="4" t="s">
        <v>2265</v>
      </c>
      <c r="B1803" s="4" t="s">
        <v>2267</v>
      </c>
      <c r="C1803" s="5" t="str">
        <f>IFERROR(__xludf.DUMMYFUNCTION("GOOGLETRANSLATE(B1803,""en"",""de"")"),"Eine Frau liegt auf einem Bett in einem Geschäft mit einem Mann neben ihr und eine Liste von Dingen, die auf dem Bildschirm unter den Wörtern ""Sie müssen"" auf dem Bildschirm erscheinen.")</f>
        <v>Eine Frau liegt auf einem Bett in einem Geschäft mit einem Mann neben ihr und eine Liste von Dingen, die auf dem Bildschirm unter den Wörtern "Sie müssen" auf dem Bildschirm erscheinen.</v>
      </c>
    </row>
    <row r="1804">
      <c r="A1804" s="4" t="s">
        <v>2265</v>
      </c>
      <c r="B1804" s="4" t="s">
        <v>2268</v>
      </c>
      <c r="C1804" s="5" t="str">
        <f>IFERROR(__xludf.DUMMYFUNCTION("GOOGLETRANSLATE(B1804,""en"",""de"")"),"Die Frau wird gezeigt, wie sie unter jeder Aktion, die sie ausübt, verschiedene Dinge ausführt, wenn Schritte auftauchen, und sogar Tipps erscheinen auf dem Bildschirm, die zu der Frau, die als Mann Tätowierter auf dem Bett liegt.")</f>
        <v>Die Frau wird gezeigt, wie sie unter jeder Aktion, die sie ausübt, verschiedene Dinge ausführt, wenn Schritte auftauchen, und sogar Tipps erscheinen auf dem Bildschirm, die zu der Frau, die als Mann Tätowierter auf dem Bett liegt.</v>
      </c>
    </row>
    <row r="1805">
      <c r="A1805" s="4" t="s">
        <v>2265</v>
      </c>
      <c r="B1805" s="4" t="s">
        <v>2269</v>
      </c>
      <c r="C1805" s="5" t="str">
        <f>IFERROR(__xludf.DUMMYFUNCTION("GOOGLETRANSLATE(B1805,""en"",""de"")"),"Wenn er es gemacht hat, sie zu tätowieren, hält er eine weiße Flasche mit einer grünen Mütze und spricht mit ihr, während er sie zeigt und weiße Worte auf dem Bildschirm erscheinen, indem er eine Warnung gibt, dass ""zu viel topisches Anästhetikum und dan"&amp;"n das Tätowierungen zu Beschlagnahme zubereiten kann"".")</f>
        <v>Wenn er es gemacht hat, sie zu tätowieren, hält er eine weiße Flasche mit einer grünen Mütze und spricht mit ihr, während er sie zeigt und weiße Worte auf dem Bildschirm erscheinen, indem er eine Warnung gibt, dass "zu viel topisches Anästhetikum und dann das Tätowierungen zu Beschlagnahme zubereiten kann".</v>
      </c>
    </row>
    <row r="1806">
      <c r="A1806" s="4" t="s">
        <v>2265</v>
      </c>
      <c r="B1806" s="4" t="s">
        <v>2270</v>
      </c>
      <c r="C1806" s="5" t="str">
        <f>IFERROR(__xludf.DUMMYFUNCTION("GOOGLETRANSLATE(B1806,""en"",""de"")"),"Die Frau steht auf, um ihr Tattoo zu zeigen, und die Frau zeigt kurz Sonnenbaden mit dem Tattoo, vertuscht.")</f>
        <v>Die Frau steht auf, um ihr Tattoo zu zeigen, und die Frau zeigt kurz Sonnenbaden mit dem Tattoo, vertuscht.</v>
      </c>
    </row>
    <row r="1807">
      <c r="A1807" s="4" t="s">
        <v>2265</v>
      </c>
      <c r="B1807" s="4" t="s">
        <v>2271</v>
      </c>
      <c r="C1807" s="5" t="str">
        <f>IFERROR(__xludf.DUMMYFUNCTION("GOOGLETRANSLATE(B1807,""en"",""de"")"),"Es wird eine Nahaufnahme ihres Tattoo gezeigt und darüber erscheinen Worte, dass Says ""Demokraten eher Tätowierungen haben"", dann erscheint ein weißer Bildschirm mit den blauen Wörtern in der Mitte, die ""Howcast"" sagen.")</f>
        <v>Es wird eine Nahaufnahme ihres Tattoo gezeigt und darüber erscheinen Worte, dass Says "Demokraten eher Tätowierungen haben", dann erscheint ein weißer Bildschirm mit den blauen Wörtern in der Mitte, die "Howcast" sagen.</v>
      </c>
    </row>
    <row r="1808">
      <c r="A1808" s="4" t="s">
        <v>2272</v>
      </c>
      <c r="B1808" s="4" t="s">
        <v>2273</v>
      </c>
      <c r="C1808" s="5" t="str">
        <f>IFERROR(__xludf.DUMMYFUNCTION("GOOGLETRANSLATE(B1808,""en"",""de"")"),"Ein Mann sitzt, während jemand seine Schuhe packt.")</f>
        <v>Ein Mann sitzt, während jemand seine Schuhe packt.</v>
      </c>
    </row>
    <row r="1809">
      <c r="A1809" s="4" t="s">
        <v>2272</v>
      </c>
      <c r="B1809" s="4" t="s">
        <v>2274</v>
      </c>
      <c r="C1809" s="5" t="str">
        <f>IFERROR(__xludf.DUMMYFUNCTION("GOOGLETRANSLATE(B1809,""en"",""de"")"),"Die Person benutzt eine Pinsel, um ihre Schuhe Thorougly zu reinigen.")</f>
        <v>Die Person benutzt eine Pinsel, um ihre Schuhe Thorougly zu reinigen.</v>
      </c>
    </row>
    <row r="1810">
      <c r="A1810" s="4" t="s">
        <v>2272</v>
      </c>
      <c r="B1810" s="4" t="s">
        <v>2275</v>
      </c>
      <c r="C1810" s="5" t="str">
        <f>IFERROR(__xludf.DUMMYFUNCTION("GOOGLETRANSLATE(B1810,""en"",""de"")"),"Dann verwenden sie Polnisch, um sie zu leuchten.")</f>
        <v>Dann verwenden sie Polnisch, um sie zu leuchten.</v>
      </c>
    </row>
    <row r="1811">
      <c r="A1811" s="4" t="s">
        <v>2276</v>
      </c>
      <c r="B1811" s="4" t="s">
        <v>2277</v>
      </c>
      <c r="C1811" s="5" t="str">
        <f>IFERROR(__xludf.DUMMYFUNCTION("GOOGLETRANSLATE(B1811,""en"",""de"")"),"Ein junges Mädchen geht mit mehreren anderen Menschen um sie herum bis zum Ende eines Tauchbretts.")</f>
        <v>Ein junges Mädchen geht mit mehreren anderen Menschen um sie herum bis zum Ende eines Tauchbretts.</v>
      </c>
    </row>
    <row r="1812">
      <c r="A1812" s="4" t="s">
        <v>2276</v>
      </c>
      <c r="B1812" s="4" t="s">
        <v>2278</v>
      </c>
      <c r="C1812" s="5" t="str">
        <f>IFERROR(__xludf.DUMMYFUNCTION("GOOGLETRANSLATE(B1812,""en"",""de"")"),"Das Mädchen legt ihre Arme hoch und taucht dann in den Pool ein.")</f>
        <v>Das Mädchen legt ihre Arme hoch und taucht dann in den Pool ein.</v>
      </c>
    </row>
    <row r="1813">
      <c r="A1813" s="4" t="s">
        <v>2276</v>
      </c>
      <c r="B1813" s="4" t="s">
        <v>2279</v>
      </c>
      <c r="C1813" s="5" t="str">
        <f>IFERROR(__xludf.DUMMYFUNCTION("GOOGLETRANSLATE(B1813,""en"",""de"")"),"Sie ist wieder gesehen, wie sie im Pool an die Oberfläche kommt und zum Rand schwimmt.")</f>
        <v>Sie ist wieder gesehen, wie sie im Pool an die Oberfläche kommt und zum Rand schwimmt.</v>
      </c>
    </row>
    <row r="1814">
      <c r="A1814" s="4" t="s">
        <v>2280</v>
      </c>
      <c r="B1814" s="4" t="s">
        <v>2281</v>
      </c>
      <c r="C1814" s="5" t="str">
        <f>IFERROR(__xludf.DUMMYFUNCTION("GOOGLETRANSLATE(B1814,""en"",""de"")"),"Ein weiblicher Turner dreht sich und springt auf ein Paar High Beams, während ihre Trainerin zu sehen ist, um sie zu fangen.")</f>
        <v>Ein weiblicher Turner dreht sich und springt auf ein Paar High Beams, während ihre Trainerin zu sehen ist, um sie zu fangen.</v>
      </c>
    </row>
    <row r="1815">
      <c r="A1815" s="4" t="s">
        <v>2280</v>
      </c>
      <c r="B1815" s="4" t="s">
        <v>2282</v>
      </c>
      <c r="C1815" s="5" t="str">
        <f>IFERROR(__xludf.DUMMYFUNCTION("GOOGLETRANSLATE(B1815,""en"",""de"")"),"Er tritt auf den Strahl, als sie sich in der Luft abmantt.")</f>
        <v>Er tritt auf den Strahl, als sie sich in der Luft abmantt.</v>
      </c>
    </row>
    <row r="1816">
      <c r="A1816" s="4" t="s">
        <v>2283</v>
      </c>
      <c r="B1816" s="4" t="s">
        <v>2284</v>
      </c>
      <c r="C1816" s="5" t="str">
        <f>IFERROR(__xludf.DUMMYFUNCTION("GOOGLETRANSLATE(B1816,""en"",""de"")"),"Zwei Männer manövrieren auf einem Kanu, das das Kanu dreht, das bei den Paddlern hilft.")</f>
        <v>Zwei Männer manövrieren auf einem Kanu, das das Kanu dreht, das bei den Paddlern hilft.</v>
      </c>
    </row>
    <row r="1817">
      <c r="A1817" s="4" t="s">
        <v>2283</v>
      </c>
      <c r="B1817" s="4" t="s">
        <v>2285</v>
      </c>
      <c r="C1817" s="5" t="str">
        <f>IFERROR(__xludf.DUMMYFUNCTION("GOOGLETRANSLATE(B1817,""en"",""de"")"),"Dann drehen die Männer das Kanu von den Bogenpaddlern weg, während sie die Ruder schnell paddeln.")</f>
        <v>Dann drehen die Männer das Kanu von den Bogenpaddlern weg, während sie die Ruder schnell paddeln.</v>
      </c>
    </row>
    <row r="1818">
      <c r="A1818" s="4" t="s">
        <v>2283</v>
      </c>
      <c r="B1818" s="4" t="s">
        <v>2286</v>
      </c>
      <c r="C1818" s="5" t="str">
        <f>IFERROR(__xludf.DUMMYFUNCTION("GOOGLETRANSLATE(B1818,""en"",""de"")"),"Danach schieben die Männer das Kanu mit den Rudern nach vorne, um voranzukommen.")</f>
        <v>Danach schieben die Männer das Kanu mit den Rudern nach vorne, um voranzukommen.</v>
      </c>
    </row>
    <row r="1819">
      <c r="A1819" s="4" t="s">
        <v>2283</v>
      </c>
      <c r="B1819" s="4" t="s">
        <v>2287</v>
      </c>
      <c r="C1819" s="5" t="str">
        <f>IFERROR(__xludf.DUMMYFUNCTION("GOOGLETRANSLATE(B1819,""en"",""de"")"),"Als nächstes segeln die Männer auf dem Fluss, bis zum Ufer des Flusses ankommt.")</f>
        <v>Als nächstes segeln die Männer auf dem Fluss, bis zum Ufer des Flusses ankommt.</v>
      </c>
    </row>
    <row r="1820">
      <c r="A1820" s="4" t="s">
        <v>2288</v>
      </c>
      <c r="B1820" s="4" t="s">
        <v>2289</v>
      </c>
      <c r="C1820" s="5" t="str">
        <f>IFERROR(__xludf.DUMMYFUNCTION("GOOGLETRANSLATE(B1820,""en"",""de"")"),"Wir sehen einen Mann in der BMX Bike Arena reden.")</f>
        <v>Wir sehen einen Mann in der BMX Bike Arena reden.</v>
      </c>
    </row>
    <row r="1821">
      <c r="A1821" s="4" t="s">
        <v>2288</v>
      </c>
      <c r="B1821" s="4" t="s">
        <v>2290</v>
      </c>
      <c r="C1821" s="5" t="str">
        <f>IFERROR(__xludf.DUMMYFUNCTION("GOOGLETRANSLATE(B1821,""en"",""de"")"),"Wir sehen, dass Menschen Fahrräder eine Rampe hochbringen.")</f>
        <v>Wir sehen, dass Menschen Fahrräder eine Rampe hochbringen.</v>
      </c>
    </row>
    <row r="1822">
      <c r="A1822" s="4" t="s">
        <v>2288</v>
      </c>
      <c r="B1822" s="4" t="s">
        <v>2291</v>
      </c>
      <c r="C1822" s="5" t="str">
        <f>IFERROR(__xludf.DUMMYFUNCTION("GOOGLETRANSLATE(B1822,""en"",""de"")"),"Wir sehen, dass die Leute beginnen, wenn sich das Tor öffnet.")</f>
        <v>Wir sehen, dass die Leute beginnen, wenn sich das Tor öffnet.</v>
      </c>
    </row>
    <row r="1823">
      <c r="A1823" s="4" t="s">
        <v>2288</v>
      </c>
      <c r="B1823" s="4" t="s">
        <v>2292</v>
      </c>
      <c r="C1823" s="5" t="str">
        <f>IFERROR(__xludf.DUMMYFUNCTION("GOOGLETRANSLATE(B1823,""en"",""de"")"),"Wir sehen dann Leute, die Fahrräder fahren.")</f>
        <v>Wir sehen dann Leute, die Fahrräder fahren.</v>
      </c>
    </row>
    <row r="1824">
      <c r="A1824" s="4" t="s">
        <v>2288</v>
      </c>
      <c r="B1824" s="4" t="s">
        <v>2293</v>
      </c>
      <c r="C1824" s="5" t="str">
        <f>IFERROR(__xludf.DUMMYFUNCTION("GOOGLETRANSLATE(B1824,""en"",""de"")"),"Wir sehen, wie ein Mann Schmutz von seinen Haaren abwischt und die Kamera ausschaltet.")</f>
        <v>Wir sehen, wie ein Mann Schmutz von seinen Haaren abwischt und die Kamera ausschaltet.</v>
      </c>
    </row>
    <row r="1825">
      <c r="A1825" s="4" t="s">
        <v>2294</v>
      </c>
      <c r="B1825" s="4" t="s">
        <v>2295</v>
      </c>
      <c r="C1825" s="5" t="str">
        <f>IFERROR(__xludf.DUMMYFUNCTION("GOOGLETRANSLATE(B1825,""en"",""de"")"),"Ein Mann hält sich an einer Lackmaschine fest und sprüht sie um alle Möbel.")</f>
        <v>Ein Mann hält sich an einer Lackmaschine fest und sprüht sie um alle Möbel.</v>
      </c>
    </row>
    <row r="1826">
      <c r="A1826" s="4" t="s">
        <v>2294</v>
      </c>
      <c r="B1826" s="4" t="s">
        <v>2296</v>
      </c>
      <c r="C1826" s="5" t="str">
        <f>IFERROR(__xludf.DUMMYFUNCTION("GOOGLETRANSLATE(B1826,""en"",""de"")"),"Er malt weiter in der Gegend, während die Kamera um seine Bewegungen schwenkt.")</f>
        <v>Er malt weiter in der Gegend, während die Kamera um seine Bewegungen schwenkt.</v>
      </c>
    </row>
    <row r="1827">
      <c r="A1827" s="4" t="s">
        <v>2294</v>
      </c>
      <c r="B1827" s="4" t="s">
        <v>2297</v>
      </c>
      <c r="C1827" s="5" t="str">
        <f>IFERROR(__xludf.DUMMYFUNCTION("GOOGLETRANSLATE(B1827,""en"",""de"")"),"Er beendet das Gemälde und die Kamerapfannen um die Möbel.")</f>
        <v>Er beendet das Gemälde und die Kamerapfannen um die Möbel.</v>
      </c>
    </row>
    <row r="1828">
      <c r="A1828" s="4" t="s">
        <v>2298</v>
      </c>
      <c r="B1828" s="4" t="s">
        <v>2299</v>
      </c>
      <c r="C1828" s="5" t="str">
        <f>IFERROR(__xludf.DUMMYFUNCTION("GOOGLETRANSLATE(B1828,""en"",""de"")"),"Eine Frau spricht mit der Kamera, während er auf einem Stuhl sitzt.")</f>
        <v>Eine Frau spricht mit der Kamera, während er auf einem Stuhl sitzt.</v>
      </c>
    </row>
    <row r="1829">
      <c r="A1829" s="4" t="s">
        <v>2298</v>
      </c>
      <c r="B1829" s="4" t="s">
        <v>2300</v>
      </c>
      <c r="C1829" s="5" t="str">
        <f>IFERROR(__xludf.DUMMYFUNCTION("GOOGLETRANSLATE(B1829,""en"",""de"")"),"Sie hält dann eine Kontaktlinse hoch und steckt eine in ihr Auge.")</f>
        <v>Sie hält dann eine Kontaktlinse hoch und steckt eine in ihr Auge.</v>
      </c>
    </row>
    <row r="1830">
      <c r="A1830" s="4" t="s">
        <v>2298</v>
      </c>
      <c r="B1830" s="4" t="s">
        <v>2301</v>
      </c>
      <c r="C1830" s="5" t="str">
        <f>IFERROR(__xludf.DUMMYFUNCTION("GOOGLETRANSLATE(B1830,""en"",""de"")"),"Sie stellt einen weiteren Kontakt in ihr Auge und lächelt zur Kamera.")</f>
        <v>Sie stellt einen weiteren Kontakt in ihr Auge und lächelt zur Kamera.</v>
      </c>
    </row>
    <row r="1831">
      <c r="A1831" s="4" t="s">
        <v>2302</v>
      </c>
      <c r="B1831" s="4" t="s">
        <v>2303</v>
      </c>
      <c r="C1831" s="5" t="str">
        <f>IFERROR(__xludf.DUMMYFUNCTION("GOOGLETRANSLATE(B1831,""en"",""de"")"),"Eine große Gruppe von Menschen spielt in einem Gymnasium, das sich gegenseitig Bälle wirft und herumspringt.")</f>
        <v>Eine große Gruppe von Menschen spielt in einem Gymnasium, das sich gegenseitig Bälle wirft und herumspringt.</v>
      </c>
    </row>
    <row r="1832">
      <c r="A1832" s="4" t="s">
        <v>2302</v>
      </c>
      <c r="B1832" s="4" t="s">
        <v>2304</v>
      </c>
      <c r="C1832" s="5" t="str">
        <f>IFERROR(__xludf.DUMMYFUNCTION("GOOGLETRANSLATE(B1832,""en"",""de"")"),"Die Leute werfen weiterhin Bälle, wenn man die Kamera trifft und ein Gesicht zeigt.")</f>
        <v>Die Leute werfen weiterhin Bälle, wenn man die Kamera trifft und ein Gesicht zeigt.</v>
      </c>
    </row>
    <row r="1833">
      <c r="A1833" s="4" t="s">
        <v>2302</v>
      </c>
      <c r="B1833" s="4" t="s">
        <v>2305</v>
      </c>
      <c r="C1833" s="5" t="str">
        <f>IFERROR(__xludf.DUMMYFUNCTION("GOOGLETRANSLATE(B1833,""en"",""de"")"),"Das Spiel geht weiter mit den Leuten, die Bälle herumwerfen und die Leute an den Seiten beobachten.")</f>
        <v>Das Spiel geht weiter mit den Leuten, die Bälle herumwerfen und die Leute an den Seiten beobachten.</v>
      </c>
    </row>
    <row r="1834">
      <c r="A1834" s="4" t="s">
        <v>2306</v>
      </c>
      <c r="B1834" s="4" t="s">
        <v>2307</v>
      </c>
      <c r="C1834" s="5" t="str">
        <f>IFERROR(__xludf.DUMMYFUNCTION("GOOGLETRANSLATE(B1834,""en"",""de"")"),"Eine Gruppe von Menschen steht unter einer Deckung.")</f>
        <v>Eine Gruppe von Menschen steht unter einer Deckung.</v>
      </c>
    </row>
    <row r="1835">
      <c r="A1835" s="4" t="s">
        <v>2306</v>
      </c>
      <c r="B1835" s="4" t="s">
        <v>2308</v>
      </c>
      <c r="C1835" s="5" t="str">
        <f>IFERROR(__xludf.DUMMYFUNCTION("GOOGLETRANSLATE(B1835,""en"",""de"")"),"Sie fahren in einer Reihe von Stoßfänger -Autos herum.")</f>
        <v>Sie fahren in einer Reihe von Stoßfänger -Autos herum.</v>
      </c>
    </row>
    <row r="1836">
      <c r="A1836" s="4" t="s">
        <v>2306</v>
      </c>
      <c r="B1836" s="4" t="s">
        <v>2309</v>
      </c>
      <c r="C1836" s="5" t="str">
        <f>IFERROR(__xludf.DUMMYFUNCTION("GOOGLETRANSLATE(B1836,""en"",""de"")"),"Die Autos stoßen aufeinander, als sie herumfahren.")</f>
        <v>Die Autos stoßen aufeinander, als sie herumfahren.</v>
      </c>
    </row>
    <row r="1837">
      <c r="A1837" s="4" t="s">
        <v>2310</v>
      </c>
      <c r="B1837" s="4" t="s">
        <v>2311</v>
      </c>
      <c r="C1837" s="5" t="str">
        <f>IFERROR(__xludf.DUMMYFUNCTION("GOOGLETRANSLATE(B1837,""en"",""de"")"),"Auf dem Bildschirm wird eine Tasche mit Spill -Master -Absorbanten angezeigt.")</f>
        <v>Auf dem Bildschirm wird eine Tasche mit Spill -Master -Absorbanten angezeigt.</v>
      </c>
    </row>
    <row r="1838">
      <c r="A1838" s="4" t="s">
        <v>2310</v>
      </c>
      <c r="B1838" s="4" t="s">
        <v>2312</v>
      </c>
      <c r="C1838" s="5" t="str">
        <f>IFERROR(__xludf.DUMMYFUNCTION("GOOGLETRANSLATE(B1838,""en"",""de"")"),"Ein Mann steht in einem Lagerhaus und spricht mit der Kamera und gießt etwas Flüssigkeit auf den Boden.")</f>
        <v>Ein Mann steht in einem Lagerhaus und spricht mit der Kamera und gießt etwas Flüssigkeit auf den Boden.</v>
      </c>
    </row>
    <row r="1839">
      <c r="A1839" s="4" t="s">
        <v>2310</v>
      </c>
      <c r="B1839" s="4" t="s">
        <v>2313</v>
      </c>
      <c r="C1839" s="5" t="str">
        <f>IFERROR(__xludf.DUMMYFUNCTION("GOOGLETRANSLATE(B1839,""en"",""de"")"),"Er nimmt eine Schüssel mit etwas Material und streute sie über die Verschüttungen.")</f>
        <v>Er nimmt eine Schüssel mit etwas Material und streute sie über die Verschüttungen.</v>
      </c>
    </row>
    <row r="1840">
      <c r="A1840" s="4" t="s">
        <v>2310</v>
      </c>
      <c r="B1840" s="4" t="s">
        <v>2314</v>
      </c>
      <c r="C1840" s="5" t="str">
        <f>IFERROR(__xludf.DUMMYFUNCTION("GOOGLETRANSLATE(B1840,""en"",""de"")"),"Dann fegt er das Material mit Besen und Staubpfanne auf.")</f>
        <v>Dann fegt er das Material mit Besen und Staubpfanne auf.</v>
      </c>
    </row>
    <row r="1841">
      <c r="A1841" s="4" t="s">
        <v>2315</v>
      </c>
      <c r="B1841" s="4" t="s">
        <v>2316</v>
      </c>
      <c r="C1841" s="5" t="str">
        <f>IFERROR(__xludf.DUMMYFUNCTION("GOOGLETRANSLATE(B1841,""en"",""de"")"),"Eine Frau ist ein Video, das ein paar Männer in einem Wohnzimmer aufnimmt und Jacken annimmt.")</f>
        <v>Eine Frau ist ein Video, das ein paar Männer in einem Wohnzimmer aufnimmt und Jacken annimmt.</v>
      </c>
    </row>
    <row r="1842">
      <c r="A1842" s="4" t="s">
        <v>2315</v>
      </c>
      <c r="B1842" s="4" t="s">
        <v>2317</v>
      </c>
      <c r="C1842" s="5" t="str">
        <f>IFERROR(__xludf.DUMMYFUNCTION("GOOGLETRANSLATE(B1842,""en"",""de"")"),"Einer der Männer bewegt die Kamera -Person, ihm zu folgen, während er einen Besen schnappt und einen Flur hinuntergeht und eine Tür zu einem schneebedeckten Parkplatz hinausgeht.")</f>
        <v>Einer der Männer bewegt die Kamera -Person, ihm zu folgen, während er einen Besen schnappt und einen Flur hinuntergeht und eine Tür zu einem schneebedeckten Parkplatz hinausgeht.</v>
      </c>
    </row>
    <row r="1843">
      <c r="A1843" s="4" t="s">
        <v>2315</v>
      </c>
      <c r="B1843" s="4" t="s">
        <v>2318</v>
      </c>
      <c r="C1843" s="5" t="str">
        <f>IFERROR(__xludf.DUMMYFUNCTION("GOOGLETRANSLATE(B1843,""en"",""de"")"),"Sie gehen auf den Parkplatz, als ein anderer Mann nach draußen kommt.")</f>
        <v>Sie gehen auf den Parkplatz, als ein anderer Mann nach draußen kommt.</v>
      </c>
    </row>
    <row r="1844">
      <c r="A1844" s="4" t="s">
        <v>2315</v>
      </c>
      <c r="B1844" s="4" t="s">
        <v>2319</v>
      </c>
      <c r="C1844" s="5" t="str">
        <f>IFERROR(__xludf.DUMMYFUNCTION("GOOGLETRANSLATE(B1844,""en"",""de"")"),"Der Mann mit dem Besen streift Schnee von einem SUV wie ein anderer Mann in einem Auto neben ihm.")</f>
        <v>Der Mann mit dem Besen streift Schnee von einem SUV wie ein anderer Mann in einem Auto neben ihm.</v>
      </c>
    </row>
    <row r="1845">
      <c r="A1845" s="4" t="s">
        <v>2320</v>
      </c>
      <c r="B1845" s="4" t="s">
        <v>2321</v>
      </c>
      <c r="C1845" s="5" t="str">
        <f>IFERROR(__xludf.DUMMYFUNCTION("GOOGLETRANSLATE(B1845,""en"",""de"")"),"Ein Mädchen hält eine Bürste hoch und geht zum Pferd.")</f>
        <v>Ein Mädchen hält eine Bürste hoch und geht zum Pferd.</v>
      </c>
    </row>
    <row r="1846">
      <c r="A1846" s="4" t="s">
        <v>2320</v>
      </c>
      <c r="B1846" s="4" t="s">
        <v>2322</v>
      </c>
      <c r="C1846" s="5" t="str">
        <f>IFERROR(__xludf.DUMMYFUNCTION("GOOGLETRANSLATE(B1846,""en"",""de"")"),"Das Mädchen bürstet den Mantel des Pferdes in einem Stall.")</f>
        <v>Das Mädchen bürstet den Mantel des Pferdes in einem Stall.</v>
      </c>
    </row>
    <row r="1847">
      <c r="A1847" s="4" t="s">
        <v>2320</v>
      </c>
      <c r="B1847" s="4" t="s">
        <v>2323</v>
      </c>
      <c r="C1847" s="5" t="str">
        <f>IFERROR(__xludf.DUMMYFUNCTION("GOOGLETRANSLATE(B1847,""en"",""de"")"),"Das Mädchen entfernt die Knöchelspangen vom Pferd.")</f>
        <v>Das Mädchen entfernt die Knöchelspangen vom Pferd.</v>
      </c>
    </row>
    <row r="1848">
      <c r="A1848" s="4" t="s">
        <v>2320</v>
      </c>
      <c r="B1848" s="4" t="s">
        <v>2324</v>
      </c>
      <c r="C1848" s="5" t="str">
        <f>IFERROR(__xludf.DUMMYFUNCTION("GOOGLETRANSLATE(B1848,""en"",""de"")"),"Das Mädchen schließt die Zahnspangen zusammen und bringt sie weg.")</f>
        <v>Das Mädchen schließt die Zahnspangen zusammen und bringt sie weg.</v>
      </c>
    </row>
    <row r="1849">
      <c r="A1849" s="4" t="s">
        <v>2320</v>
      </c>
      <c r="B1849" s="4" t="s">
        <v>2325</v>
      </c>
      <c r="C1849" s="5" t="str">
        <f>IFERROR(__xludf.DUMMYFUNCTION("GOOGLETRANSLATE(B1849,""en"",""de"")"),"Ein Pferd streckt seinen Kopf aus einem Stall und ein Mann sieht zu.")</f>
        <v>Ein Pferd streckt seinen Kopf aus einem Stall und ein Mann sieht zu.</v>
      </c>
    </row>
    <row r="1850">
      <c r="A1850" s="4" t="s">
        <v>2326</v>
      </c>
      <c r="B1850" s="4" t="s">
        <v>2327</v>
      </c>
      <c r="C1850" s="5" t="str">
        <f>IFERROR(__xludf.DUMMYFUNCTION("GOOGLETRANSLATE(B1850,""en"",""de"")"),"Es werden verschiedene Arten von Schuss -Put -Würfen und Terminologie nachgewiesen.")</f>
        <v>Es werden verschiedene Arten von Schuss -Put -Würfen und Terminologie nachgewiesen.</v>
      </c>
    </row>
    <row r="1851">
      <c r="A1851" s="4" t="s">
        <v>2326</v>
      </c>
      <c r="B1851" s="4" t="s">
        <v>2328</v>
      </c>
      <c r="C1851" s="5" t="str">
        <f>IFERROR(__xludf.DUMMYFUNCTION("GOOGLETRANSLATE(B1851,""en"",""de"")"),"Die verschiedenen Würfe zeigen verschiedene Blocktypen.")</f>
        <v>Die verschiedenen Würfe zeigen verschiedene Blocktypen.</v>
      </c>
    </row>
    <row r="1852">
      <c r="A1852" s="4" t="s">
        <v>2326</v>
      </c>
      <c r="B1852" s="4" t="s">
        <v>2329</v>
      </c>
      <c r="C1852" s="5" t="str">
        <f>IFERROR(__xludf.DUMMYFUNCTION("GOOGLETRANSLATE(B1852,""en"",""de"")"),"Diese werden in verschiedenen Schlingertypen verwendet.")</f>
        <v>Diese werden in verschiedenen Schlingertypen verwendet.</v>
      </c>
    </row>
    <row r="1853">
      <c r="A1853" s="4" t="s">
        <v>2326</v>
      </c>
      <c r="B1853" s="4" t="s">
        <v>2330</v>
      </c>
      <c r="C1853" s="5" t="str">
        <f>IFERROR(__xludf.DUMMYFUNCTION("GOOGLETRANSLATE(B1853,""en"",""de"")"),"Einige Namen einiger Würfe sind der Gleitschuss, der Spin -Shot und der Standwurf.")</f>
        <v>Einige Namen einiger Würfe sind der Gleitschuss, der Spin -Shot und der Standwurf.</v>
      </c>
    </row>
    <row r="1854">
      <c r="A1854" s="4" t="s">
        <v>2331</v>
      </c>
      <c r="B1854" s="4" t="s">
        <v>2332</v>
      </c>
      <c r="C1854" s="5" t="str">
        <f>IFERROR(__xludf.DUMMYFUNCTION("GOOGLETRANSLATE(B1854,""en"",""de"")"),"Ein kleiner Hund trägt ein Outfit und geht auf zwei Beinen, während die Leute um ihn herum stehen und zuschauen.")</f>
        <v>Ein kleiner Hund trägt ein Outfit und geht auf zwei Beinen, während die Leute um ihn herum stehen und zuschauen.</v>
      </c>
    </row>
    <row r="1855">
      <c r="A1855" s="4" t="s">
        <v>2331</v>
      </c>
      <c r="B1855" s="4" t="s">
        <v>2333</v>
      </c>
      <c r="C1855" s="5" t="str">
        <f>IFERROR(__xludf.DUMMYFUNCTION("GOOGLETRANSLATE(B1855,""en"",""de"")"),"Der Hund geht weiter herum und sieht sich um, wie die Leute zuschauen.")</f>
        <v>Der Hund geht weiter herum und sieht sich um, wie die Leute zuschauen.</v>
      </c>
    </row>
    <row r="1856">
      <c r="A1856" s="4" t="s">
        <v>2334</v>
      </c>
      <c r="B1856" s="4" t="s">
        <v>2335</v>
      </c>
      <c r="C1856" s="5" t="str">
        <f>IFERROR(__xludf.DUMMYFUNCTION("GOOGLETRANSLATE(B1856,""en"",""de"")"),"Ein Berg voller Schnee erscheint und ein Mann beginnt die Hänge hinunter zu fahren.")</f>
        <v>Ein Berg voller Schnee erscheint und ein Mann beginnt die Hänge hinunter zu fahren.</v>
      </c>
    </row>
    <row r="1857">
      <c r="A1857" s="4" t="s">
        <v>2334</v>
      </c>
      <c r="B1857" s="4" t="s">
        <v>2336</v>
      </c>
      <c r="C1857" s="5" t="str">
        <f>IFERROR(__xludf.DUMMYFUNCTION("GOOGLETRANSLATE(B1857,""en"",""de"")"),"Während er Skiern, mehr Männer erscheinen, bevor er selbst wieder auftaucht.")</f>
        <v>Während er Skiern, mehr Männer erscheinen, bevor er selbst wieder auftaucht.</v>
      </c>
    </row>
    <row r="1858">
      <c r="A1858" s="4" t="s">
        <v>2334</v>
      </c>
      <c r="B1858" s="4" t="s">
        <v>2337</v>
      </c>
      <c r="C1858" s="5" t="str">
        <f>IFERROR(__xludf.DUMMYFUNCTION("GOOGLETRANSLATE(B1858,""en"",""de"")"),"Einmal allein, schusist der Mann schnell die Hänge hinunter und dreht sich und kniet sich beim Skier.")</f>
        <v>Einmal allein, schusist der Mann schnell die Hänge hinunter und dreht sich und kniet sich beim Skier.</v>
      </c>
    </row>
    <row r="1859">
      <c r="A1859" s="4" t="s">
        <v>2334</v>
      </c>
      <c r="B1859" s="4" t="s">
        <v>2338</v>
      </c>
      <c r="C1859" s="5" t="str">
        <f>IFERROR(__xludf.DUMMYFUNCTION("GOOGLETRANSLATE(B1859,""en"",""de"")"),"Schließlich geht er schnell und schleudert in einen Schneehaufen.")</f>
        <v>Schließlich geht er schnell und schleudert in einen Schneehaufen.</v>
      </c>
    </row>
    <row r="1860">
      <c r="A1860" s="4" t="s">
        <v>2339</v>
      </c>
      <c r="B1860" s="4" t="s">
        <v>2340</v>
      </c>
      <c r="C1860" s="5" t="str">
        <f>IFERROR(__xludf.DUMMYFUNCTION("GOOGLETRANSLATE(B1860,""en"",""de"")"),"Ein Mann und eine Frau sitzen in zwei getrennten schwimmenden Donuts, der Mann im Blau, die Frau im Grün, und beide lächeln dann, dann hebt der Mann seinen linken Arm, um zu winken.")</f>
        <v>Ein Mann und eine Frau sitzen in zwei getrennten schwimmenden Donuts, der Mann im Blau, die Frau im Grün, und beide lächeln dann, dann hebt der Mann seinen linken Arm, um zu winken.</v>
      </c>
    </row>
    <row r="1861">
      <c r="A1861" s="4" t="s">
        <v>2339</v>
      </c>
      <c r="B1861" s="4" t="s">
        <v>2341</v>
      </c>
      <c r="C1861" s="5" t="str">
        <f>IFERROR(__xludf.DUMMYFUNCTION("GOOGLETRANSLATE(B1861,""en"",""de"")"),"Eine Gruppe von Menschen befindet sich auch auf verschiedenen farbigen, schwimmenden Donuts, spielt, fällt ins Wasser und hat eine gute Zeit.")</f>
        <v>Eine Gruppe von Menschen befindet sich auch auf verschiedenen farbigen, schwimmenden Donuts, spielt, fällt ins Wasser und hat eine gute Zeit.</v>
      </c>
    </row>
    <row r="1862">
      <c r="A1862" s="4" t="s">
        <v>2339</v>
      </c>
      <c r="B1862" s="4" t="s">
        <v>2342</v>
      </c>
      <c r="C1862" s="5" t="str">
        <f>IFERROR(__xludf.DUMMYFUNCTION("GOOGLETRANSLATE(B1862,""en"",""de"")"),"Eine braunhaarige Frau, die in einem Haufen schwebender Donuts steht See, Menschen mit Spaß und etcetera.")</f>
        <v>Eine braunhaarige Frau, die in einem Haufen schwebender Donuts steht See, Menschen mit Spaß und etcetera.</v>
      </c>
    </row>
    <row r="1863">
      <c r="A1863" s="4" t="s">
        <v>2339</v>
      </c>
      <c r="B1863" s="4" t="s">
        <v>2343</v>
      </c>
      <c r="C1863" s="5" t="str">
        <f>IFERROR(__xludf.DUMMYFUNCTION("GOOGLETRANSLATE(B1863,""en"",""de"")"),"Die Frau sitzt jetzt in einem grünen Donut, der immer noch das Mikrofon hält und immer noch redet.")</f>
        <v>Die Frau sitzt jetzt in einem grünen Donut, der immer noch das Mikrofon hält und immer noch redet.</v>
      </c>
    </row>
    <row r="1864">
      <c r="A1864" s="4" t="s">
        <v>2339</v>
      </c>
      <c r="B1864" s="4" t="s">
        <v>2344</v>
      </c>
      <c r="C1864" s="5" t="str">
        <f>IFERROR(__xludf.DUMMYFUNCTION("GOOGLETRANSLATE(B1864,""en"",""de"")"),"Ein weißer Bildschirm wird mit kastanienbraunem und weißem Logo angezeigt, dann wechselt er zu einem anderen weißen Bildschirm, der eine blaue Website in der Mitte hat.")</f>
        <v>Ein weißer Bildschirm wird mit kastanienbraunem und weißem Logo angezeigt, dann wechselt er zu einem anderen weißen Bildschirm, der eine blaue Website in der Mitte hat.</v>
      </c>
    </row>
    <row r="1865">
      <c r="A1865" s="4" t="s">
        <v>2345</v>
      </c>
      <c r="B1865" s="4" t="s">
        <v>2346</v>
      </c>
      <c r="C1865" s="5" t="str">
        <f>IFERROR(__xludf.DUMMYFUNCTION("GOOGLETRANSLATE(B1865,""en"",""de"")"),"Männer reisen in einem Flugzeug und kommen an die Spitze eines Berges.")</f>
        <v>Männer reisen in einem Flugzeug und kommen an die Spitze eines Berges.</v>
      </c>
    </row>
    <row r="1866">
      <c r="A1866" s="4" t="s">
        <v>2345</v>
      </c>
      <c r="B1866" s="4" t="s">
        <v>2347</v>
      </c>
      <c r="C1866" s="5" t="str">
        <f>IFERROR(__xludf.DUMMYFUNCTION("GOOGLETRANSLATE(B1866,""en"",""de"")"),"Dann steigen Männer das Flugzeug hinunter und fahren den Hügel hinunter.")</f>
        <v>Dann steigen Männer das Flugzeug hinunter und fahren den Hügel hinunter.</v>
      </c>
    </row>
    <row r="1867">
      <c r="A1867" s="4" t="s">
        <v>2345</v>
      </c>
      <c r="B1867" s="4" t="s">
        <v>2348</v>
      </c>
      <c r="C1867" s="5" t="str">
        <f>IFERROR(__xludf.DUMMYFUNCTION("GOOGLETRANSLATE(B1867,""en"",""de"")"),"Eine Person Ski hinter einem Mann den Hang des Berges hinunter.")</f>
        <v>Eine Person Ski hinter einem Mann den Hang des Berges hinunter.</v>
      </c>
    </row>
    <row r="1868">
      <c r="A1868" s="4" t="s">
        <v>2345</v>
      </c>
      <c r="B1868" s="4" t="s">
        <v>2349</v>
      </c>
      <c r="C1868" s="5" t="str">
        <f>IFERROR(__xludf.DUMMYFUNCTION("GOOGLETRANSLATE(B1868,""en"",""de"")"),"Eine Schneeentfernung klärt den Schnee der Straße.")</f>
        <v>Eine Schneeentfernung klärt den Schnee der Straße.</v>
      </c>
    </row>
    <row r="1869">
      <c r="A1869" s="4" t="s">
        <v>2345</v>
      </c>
      <c r="B1869" s="4" t="s">
        <v>2350</v>
      </c>
      <c r="C1869" s="5" t="str">
        <f>IFERROR(__xludf.DUMMYFUNCTION("GOOGLETRANSLATE(B1869,""en"",""de"")"),"Danach fahren die Männer mitten in den Bäumen den Hügel hinunter.")</f>
        <v>Danach fahren die Männer mitten in den Bäumen den Hügel hinunter.</v>
      </c>
    </row>
    <row r="1870">
      <c r="A1870" s="4" t="s">
        <v>2345</v>
      </c>
      <c r="B1870" s="4" t="s">
        <v>2351</v>
      </c>
      <c r="C1870" s="5" t="str">
        <f>IFERROR(__xludf.DUMMYFUNCTION("GOOGLETRANSLATE(B1870,""en"",""de"")"),"Die Männer fahren in einem Holzbereich, der ungleichmäßig ist.")</f>
        <v>Die Männer fahren in einem Holzbereich, der ungleichmäßig ist.</v>
      </c>
    </row>
    <row r="1871">
      <c r="A1871" s="4" t="s">
        <v>2352</v>
      </c>
      <c r="B1871" s="4" t="s">
        <v>2353</v>
      </c>
      <c r="C1871" s="5" t="str">
        <f>IFERROR(__xludf.DUMMYFUNCTION("GOOGLETRANSLATE(B1871,""en"",""de"")"),"Ein Turner, der ein blaues Outfit auf dem A -Balance -Strahl trägt und einen Handstand mit einem Wettbewerb vor einer riesigen amerikanischen Flagge durchführt.")</f>
        <v>Ein Turner, der ein blaues Outfit auf dem A -Balance -Strahl trägt und einen Handstand mit einem Wettbewerb vor einer riesigen amerikanischen Flagge durchführt.</v>
      </c>
    </row>
    <row r="1872">
      <c r="A1872" s="4" t="s">
        <v>2352</v>
      </c>
      <c r="B1872" s="4" t="s">
        <v>2354</v>
      </c>
      <c r="C1872" s="5" t="str">
        <f>IFERROR(__xludf.DUMMYFUNCTION("GOOGLETRANSLATE(B1872,""en"",""de"")"),"Der Turner fährt mit dem Balancestrahl fort und führt einen Front -Salto und dann drei aufeinanderfolgende rückständige Somersaults hintereinander aus.")</f>
        <v>Der Turner fährt mit dem Balancestrahl fort und führt einen Front -Salto und dann drei aufeinanderfolgende rückständige Somersaults hintereinander aus.</v>
      </c>
    </row>
    <row r="1873">
      <c r="A1873" s="4" t="s">
        <v>2352</v>
      </c>
      <c r="B1873" s="4" t="s">
        <v>2355</v>
      </c>
      <c r="C1873" s="5" t="str">
        <f>IFERROR(__xludf.DUMMYFUNCTION("GOOGLETRANSLATE(B1873,""en"",""de"")"),"Der Turner setzt sich mit ihrer Leistung in der parallelen Bar mit Spin -Moves, Sprungbewegungen und Tanzbewegungen fort.")</f>
        <v>Der Turner setzt sich mit ihrer Leistung in der parallelen Bar mit Spin -Moves, Sprungbewegungen und Tanzbewegungen fort.</v>
      </c>
    </row>
    <row r="1874">
      <c r="A1874" s="4" t="s">
        <v>2352</v>
      </c>
      <c r="B1874" s="4" t="s">
        <v>2356</v>
      </c>
      <c r="C1874" s="5" t="str">
        <f>IFERROR(__xludf.DUMMYFUNCTION("GOOGLETRANSLATE(B1874,""en"",""de"")"),"Der Turner bereitet sich auf die Ablastung an einem Ende der parallelen Bar vor, die einen SOPSAULT in der parallelen Bar und einen Teil mit einer Drehung vorbereitet und die Ablastung perfekt landet.")</f>
        <v>Der Turner bereitet sich auf die Ablastung an einem Ende der parallelen Bar vor, die einen SOPSAULT in der parallelen Bar und einen Teil mit einer Drehung vorbereitet und die Ablastung perfekt landet.</v>
      </c>
    </row>
    <row r="1875">
      <c r="A1875" s="4" t="s">
        <v>2357</v>
      </c>
      <c r="B1875" s="4" t="s">
        <v>2358</v>
      </c>
      <c r="C1875" s="5" t="str">
        <f>IFERROR(__xludf.DUMMYFUNCTION("GOOGLETRANSLATE(B1875,""en"",""de"")"),"Eine Gruppe von Männern wird in einem Kreis in einem Raum versammelt.")</f>
        <v>Eine Gruppe von Männern wird in einem Kreis in einem Raum versammelt.</v>
      </c>
    </row>
    <row r="1876">
      <c r="A1876" s="4" t="s">
        <v>2357</v>
      </c>
      <c r="B1876" s="4" t="s">
        <v>2359</v>
      </c>
      <c r="C1876" s="5" t="str">
        <f>IFERROR(__xludf.DUMMYFUNCTION("GOOGLETRANSLATE(B1876,""en"",""de"")"),"Sie schütteln sich gegenseitig die Hände und kämpfen dann im Ring der Menschen.")</f>
        <v>Sie schütteln sich gegenseitig die Hände und kämpfen dann im Ring der Menschen.</v>
      </c>
    </row>
    <row r="1877">
      <c r="A1877" s="4" t="s">
        <v>2357</v>
      </c>
      <c r="B1877" s="4" t="s">
        <v>2360</v>
      </c>
      <c r="C1877" s="5" t="str">
        <f>IFERROR(__xludf.DUMMYFUNCTION("GOOGLETRANSLATE(B1877,""en"",""de"")"),"Sie drehen sich und treten und treten nie tatsächlich gegeneinander.")</f>
        <v>Sie drehen sich und treten und treten nie tatsächlich gegeneinander.</v>
      </c>
    </row>
    <row r="1878">
      <c r="A1878" s="4" t="s">
        <v>2357</v>
      </c>
      <c r="B1878" s="4" t="s">
        <v>2361</v>
      </c>
      <c r="C1878" s="5" t="str">
        <f>IFERROR(__xludf.DUMMYFUNCTION("GOOGLETRANSLATE(B1878,""en"",""de"")"),"Wenn sie die Gruppe beenden, kommt sie zusammen und klatscht als Gruppe.")</f>
        <v>Wenn sie die Gruppe beenden, kommt sie zusammen und klatscht als Gruppe.</v>
      </c>
    </row>
    <row r="1879">
      <c r="A1879" s="4" t="s">
        <v>2362</v>
      </c>
      <c r="B1879" s="4" t="s">
        <v>2363</v>
      </c>
      <c r="C1879" s="5" t="str">
        <f>IFERROR(__xludf.DUMMYFUNCTION("GOOGLETRANSLATE(B1879,""en"",""de"")"),"Eine Person legt Versiegelungsmaterial um Stahlbretter und ein Dach.")</f>
        <v>Eine Person legt Versiegelungsmaterial um Stahlbretter und ein Dach.</v>
      </c>
    </row>
    <row r="1880">
      <c r="A1880" s="4" t="s">
        <v>2362</v>
      </c>
      <c r="B1880" s="4" t="s">
        <v>2364</v>
      </c>
      <c r="C1880" s="5" t="str">
        <f>IFERROR(__xludf.DUMMYFUNCTION("GOOGLETRANSLATE(B1880,""en"",""de"")"),"Dann malt der Mann ein Dach mit schwarzer Farbe.")</f>
        <v>Dann malt der Mann ein Dach mit schwarzer Farbe.</v>
      </c>
    </row>
    <row r="1881">
      <c r="A1881" s="4" t="s">
        <v>2365</v>
      </c>
      <c r="B1881" s="4" t="s">
        <v>2366</v>
      </c>
      <c r="C1881" s="5" t="str">
        <f>IFERROR(__xludf.DUMMYFUNCTION("GOOGLETRANSLATE(B1881,""en"",""de"")"),"Ein Junge steht in einem olympischen Wettbewerb auf einem Pool -Tauchbrett.")</f>
        <v>Ein Junge steht in einem olympischen Wettbewerb auf einem Pool -Tauchbrett.</v>
      </c>
    </row>
    <row r="1882">
      <c r="A1882" s="4" t="s">
        <v>2365</v>
      </c>
      <c r="B1882" s="4" t="s">
        <v>2367</v>
      </c>
      <c r="C1882" s="5" t="str">
        <f>IFERROR(__xludf.DUMMYFUNCTION("GOOGLETRANSLATE(B1882,""en"",""de"")"),"Dann springt der Junge und macht vier Flips in der Luft und fällt ins Wasser.")</f>
        <v>Dann springt der Junge und macht vier Flips in der Luft und fällt ins Wasser.</v>
      </c>
    </row>
    <row r="1883">
      <c r="A1883" s="4" t="s">
        <v>2365</v>
      </c>
      <c r="B1883" s="4" t="s">
        <v>2368</v>
      </c>
      <c r="C1883" s="5" t="str">
        <f>IFERROR(__xludf.DUMMYFUNCTION("GOOGLETRANSLATE(B1883,""en"",""de"")"),"Die Menge begrüßt den Jungen, der britische Flaggen hält.")</f>
        <v>Die Menge begrüßt den Jungen, der britische Flaggen hält.</v>
      </c>
    </row>
    <row r="1884">
      <c r="A1884" s="4" t="s">
        <v>2365</v>
      </c>
      <c r="B1884" s="4" t="s">
        <v>2369</v>
      </c>
      <c r="C1884" s="5" t="str">
        <f>IFERROR(__xludf.DUMMYFUNCTION("GOOGLETRANSLATE(B1884,""en"",""de"")"),"Ein Mann umarmt den Jungen, der glücklich aussieht, und der Junge geht herum.")</f>
        <v>Ein Mann umarmt den Jungen, der glücklich aussieht, und der Junge geht herum.</v>
      </c>
    </row>
    <row r="1885">
      <c r="A1885" s="4" t="s">
        <v>2365</v>
      </c>
      <c r="B1885" s="4" t="s">
        <v>2370</v>
      </c>
      <c r="C1885" s="5" t="str">
        <f>IFERROR(__xludf.DUMMYFUNCTION("GOOGLETRANSLATE(B1885,""en"",""de"")"),"Der Junge springt aus einem Tauchbrett und macht vier Flips in der Luft, bevor sie ins Wasser gelangt.")</f>
        <v>Der Junge springt aus einem Tauchbrett und macht vier Flips in der Luft, bevor sie ins Wasser gelangt.</v>
      </c>
    </row>
    <row r="1886">
      <c r="A1886" s="4" t="s">
        <v>2371</v>
      </c>
      <c r="B1886" s="4" t="s">
        <v>2372</v>
      </c>
      <c r="C1886" s="5" t="str">
        <f>IFERROR(__xludf.DUMMYFUNCTION("GOOGLETRANSLATE(B1886,""en"",""de"")"),"Das Video beginnt mit mehreren Schüssen von Menschen, die in schneller und langsamer Bewegung lange Straßen auf Skateboards reiten.")</f>
        <v>Das Video beginnt mit mehreren Schüssen von Menschen, die in schneller und langsamer Bewegung lange Straßen auf Skateboards reiten.</v>
      </c>
    </row>
    <row r="1887">
      <c r="A1887" s="4" t="s">
        <v>2371</v>
      </c>
      <c r="B1887" s="4" t="s">
        <v>2373</v>
      </c>
      <c r="C1887" s="5" t="str">
        <f>IFERROR(__xludf.DUMMYFUNCTION("GOOGLETRANSLATE(B1887,""en"",""de"")"),"Die Leute führen verschiedene Sprünge und Tricks auf diesen langen und kurvenreichen Straßen aus und zeigen, dass die Boarderin in die Kamera spricht.")</f>
        <v>Die Leute führen verschiedene Sprünge und Tricks auf diesen langen und kurvenreichen Straßen aus und zeigen, dass die Boarderin in die Kamera spricht.</v>
      </c>
    </row>
    <row r="1888">
      <c r="A1888" s="4" t="s">
        <v>2374</v>
      </c>
      <c r="B1888" s="4" t="s">
        <v>2375</v>
      </c>
      <c r="C1888" s="5" t="str">
        <f>IFERROR(__xludf.DUMMYFUNCTION("GOOGLETRANSLATE(B1888,""en"",""de"")"),"Eine Gruppe von Fischen schwimmt im Meeresboden herum.")</f>
        <v>Eine Gruppe von Fischen schwimmt im Meeresboden herum.</v>
      </c>
    </row>
    <row r="1889">
      <c r="A1889" s="4" t="s">
        <v>2374</v>
      </c>
      <c r="B1889" s="4" t="s">
        <v>2376</v>
      </c>
      <c r="C1889" s="5" t="str">
        <f>IFERROR(__xludf.DUMMYFUNCTION("GOOGLETRANSLATE(B1889,""en"",""de"")"),"Ein langer gelber Fisch übergibt die Kamera.")</f>
        <v>Ein langer gelber Fisch übergibt die Kamera.</v>
      </c>
    </row>
    <row r="1890">
      <c r="A1890" s="4" t="s">
        <v>2374</v>
      </c>
      <c r="B1890" s="4" t="s">
        <v>2377</v>
      </c>
      <c r="C1890" s="5" t="str">
        <f>IFERROR(__xludf.DUMMYFUNCTION("GOOGLETRANSLATE(B1890,""en"",""de"")"),"Taucher versammeln sich auf einem Boot, während ein Mann spricht.")</f>
        <v>Taucher versammeln sich auf einem Boot, während ein Mann spricht.</v>
      </c>
    </row>
    <row r="1891">
      <c r="A1891" s="4" t="s">
        <v>2374</v>
      </c>
      <c r="B1891" s="4" t="s">
        <v>2378</v>
      </c>
      <c r="C1891" s="5" t="str">
        <f>IFERROR(__xludf.DUMMYFUNCTION("GOOGLETRANSLATE(B1891,""en"",""de"")"),"Wir sehen mehrere Fische und einen Hai.")</f>
        <v>Wir sehen mehrere Fische und einen Hai.</v>
      </c>
    </row>
    <row r="1892">
      <c r="A1892" s="4" t="s">
        <v>2374</v>
      </c>
      <c r="B1892" s="4" t="s">
        <v>2379</v>
      </c>
      <c r="C1892" s="5" t="str">
        <f>IFERROR(__xludf.DUMMYFUNCTION("GOOGLETRANSLATE(B1892,""en"",""de"")"),"Die Taucher tauchen tauchen, betrachten den Fisch und winken in der Kamera.")</f>
        <v>Die Taucher tauchen tauchen, betrachten den Fisch und winken in der Kamera.</v>
      </c>
    </row>
    <row r="1893">
      <c r="A1893" s="4" t="s">
        <v>2380</v>
      </c>
      <c r="B1893" s="4" t="s">
        <v>2381</v>
      </c>
      <c r="C1893" s="5" t="str">
        <f>IFERROR(__xludf.DUMMYFUNCTION("GOOGLETRANSLATE(B1893,""en"",""de"")"),"Ein Junge machte Reparaturen an einem zerlegten Fahrrad mit einem Lötmittel in einem Hinterhof in der Nähe der hinteren Stufen eines Hauses.")</f>
        <v>Ein Junge machte Reparaturen an einem zerlegten Fahrrad mit einem Lötmittel in einem Hinterhof in der Nähe der hinteren Stufen eines Hauses.</v>
      </c>
    </row>
    <row r="1894">
      <c r="A1894" s="4" t="s">
        <v>2380</v>
      </c>
      <c r="B1894" s="4" t="s">
        <v>2382</v>
      </c>
      <c r="C1894" s="5" t="str">
        <f>IFERROR(__xludf.DUMMYFUNCTION("GOOGLETRANSLATE(B1894,""en"",""de"")"),"Ein Junge betritt die Szene und zieht ein Paar Handschuhe an, während er eine sportliche Schutzmaske trägt, eine blaue Maschine auf den hinteren Stufen einschaltet und ein Lötmittel aufnimmt.")</f>
        <v>Ein Junge betritt die Szene und zieht ein Paar Handschuhe an, während er eine sportliche Schutzmaske trägt, eine blaue Maschine auf den hinteren Stufen einschaltet und ein Lötmittel aufnimmt.</v>
      </c>
    </row>
    <row r="1895">
      <c r="A1895" s="4" t="s">
        <v>2380</v>
      </c>
      <c r="B1895" s="4" t="s">
        <v>2383</v>
      </c>
      <c r="C1895" s="5" t="str">
        <f>IFERROR(__xludf.DUMMYFUNCTION("GOOGLETRANSLATE(B1895,""en"",""de"")"),"Der Junge beginnt dann ein zerlegtes Fahrrad auf dem Boden in einem Garten zu löten.")</f>
        <v>Der Junge beginnt dann ein zerlegtes Fahrrad auf dem Boden in einem Garten zu löten.</v>
      </c>
    </row>
    <row r="1896">
      <c r="A1896" s="4" t="s">
        <v>2380</v>
      </c>
      <c r="B1896" s="4" t="s">
        <v>2384</v>
      </c>
      <c r="C1896" s="5" t="str">
        <f>IFERROR(__xludf.DUMMYFUNCTION("GOOGLETRANSLATE(B1896,""en"",""de"")"),"Der Junge steht dann auf und geht aus der Szene, nachdem er den Deckel auf seiner Maske gehoben hat.")</f>
        <v>Der Junge steht dann auf und geht aus der Szene, nachdem er den Deckel auf seiner Maske gehoben hat.</v>
      </c>
    </row>
    <row r="1897">
      <c r="A1897" s="4" t="s">
        <v>2385</v>
      </c>
      <c r="B1897" s="4" t="s">
        <v>2386</v>
      </c>
      <c r="C1897" s="5" t="str">
        <f>IFERROR(__xludf.DUMMYFUNCTION("GOOGLETRANSLATE(B1897,""en"",""de"")"),"Das Cricket -Team von Sri Lanka spielt gegen ein anderes Land.")</f>
        <v>Das Cricket -Team von Sri Lanka spielt gegen ein anderes Land.</v>
      </c>
    </row>
    <row r="1898">
      <c r="A1898" s="4" t="s">
        <v>2385</v>
      </c>
      <c r="B1898" s="4" t="s">
        <v>2387</v>
      </c>
      <c r="C1898" s="5" t="str">
        <f>IFERROR(__xludf.DUMMYFUNCTION("GOOGLETRANSLATE(B1898,""en"",""de"")"),"Die Cricketspieler spielen ein wettbewerbsfähiges Spiel auf dem Feld.")</f>
        <v>Die Cricketspieler spielen ein wettbewerbsfähiges Spiel auf dem Feld.</v>
      </c>
    </row>
    <row r="1899">
      <c r="A1899" s="4" t="s">
        <v>2385</v>
      </c>
      <c r="B1899" s="4" t="s">
        <v>2388</v>
      </c>
      <c r="C1899" s="5" t="str">
        <f>IFERROR(__xludf.DUMMYFUNCTION("GOOGLETRANSLATE(B1899,""en"",""de"")"),"Das Sri Lanka -Team wird durch die blaue Uniform vertreten.")</f>
        <v>Das Sri Lanka -Team wird durch die blaue Uniform vertreten.</v>
      </c>
    </row>
    <row r="1900">
      <c r="A1900" s="4" t="s">
        <v>2385</v>
      </c>
      <c r="B1900" s="4" t="s">
        <v>2389</v>
      </c>
      <c r="C1900" s="5" t="str">
        <f>IFERROR(__xludf.DUMMYFUNCTION("GOOGLETRANSLATE(B1900,""en"",""de"")"),"Der Schlagmann erzielt vier Runs, als der Bowler einen Überhandball wirft.")</f>
        <v>Der Schlagmann erzielt vier Runs, als der Bowler einen Überhandball wirft.</v>
      </c>
    </row>
    <row r="1901">
      <c r="A1901" s="4" t="s">
        <v>2385</v>
      </c>
      <c r="B1901" s="4" t="s">
        <v>2390</v>
      </c>
      <c r="C1901" s="5" t="str">
        <f>IFERROR(__xludf.DUMMYFUNCTION("GOOGLETRANSLATE(B1901,""en"",""de"")"),"Das Video zeigt verschiedene Cricket -Spiele, in denen Sri Lanka gegen Teams aus verschiedenen Ländern spielt.")</f>
        <v>Das Video zeigt verschiedene Cricket -Spiele, in denen Sri Lanka gegen Teams aus verschiedenen Ländern spielt.</v>
      </c>
    </row>
    <row r="1902">
      <c r="A1902" s="4" t="s">
        <v>2385</v>
      </c>
      <c r="B1902" s="4" t="s">
        <v>2391</v>
      </c>
      <c r="C1902" s="5" t="str">
        <f>IFERROR(__xludf.DUMMYFUNCTION("GOOGLETRANSLATE(B1902,""en"",""de"")"),"Das Stadion ist voller Zuschauer, die nach den Cricketspielern jubeln.")</f>
        <v>Das Stadion ist voller Zuschauer, die nach den Cricketspielern jubeln.</v>
      </c>
    </row>
    <row r="1903">
      <c r="A1903" s="4" t="s">
        <v>2385</v>
      </c>
      <c r="B1903" s="4" t="s">
        <v>2392</v>
      </c>
      <c r="C1903" s="5" t="str">
        <f>IFERROR(__xludf.DUMMYFUNCTION("GOOGLETRANSLATE(B1903,""en"",""de"")"),"Das Match geht auf vollem Swing, als die Schlagmänner vier Läufe erzielen.")</f>
        <v>Das Match geht auf vollem Swing, als die Schlagmänner vier Läufe erzielen.</v>
      </c>
    </row>
    <row r="1904">
      <c r="A1904" s="4" t="s">
        <v>2385</v>
      </c>
      <c r="B1904" s="4" t="s">
        <v>2393</v>
      </c>
      <c r="C1904" s="5" t="str">
        <f>IFERROR(__xludf.DUMMYFUNCTION("GOOGLETRANSLATE(B1904,""en"",""de"")"),"Der Feldspieler rennt, um den Ball zu fangen, nachdem der Schlagmann ihn hoch getroffen hat und fast den Ball fängt, um ihn mutig sauber zu machen.")</f>
        <v>Der Feldspieler rennt, um den Ball zu fangen, nachdem der Schlagmann ihn hoch getroffen hat und fast den Ball fängt, um ihn mutig sauber zu machen.</v>
      </c>
    </row>
    <row r="1905">
      <c r="A1905" s="4" t="s">
        <v>2394</v>
      </c>
      <c r="B1905" s="4" t="s">
        <v>2395</v>
      </c>
      <c r="C1905" s="5" t="str">
        <f>IFERROR(__xludf.DUMMYFUNCTION("GOOGLETRANSLATE(B1905,""en"",""de"")"),"Eine Kamera wird von jemandem unter Wasser gehalten und schwimmen im Meer.")</f>
        <v>Eine Kamera wird von jemandem unter Wasser gehalten und schwimmen im Meer.</v>
      </c>
    </row>
    <row r="1906">
      <c r="A1906" s="4" t="s">
        <v>2394</v>
      </c>
      <c r="B1906" s="4" t="s">
        <v>2396</v>
      </c>
      <c r="C1906" s="5" t="str">
        <f>IFERROR(__xludf.DUMMYFUNCTION("GOOGLETRANSLATE(B1906,""en"",""de"")"),"Es schwenkt zu mehreren Schüssen von Männern, die an einem Strand Fußball spielen und den Ball herumwerfen.")</f>
        <v>Es schwenkt zu mehreren Schüssen von Männern, die an einem Strand Fußball spielen und den Ball herumwerfen.</v>
      </c>
    </row>
    <row r="1907">
      <c r="A1907" s="4" t="s">
        <v>2394</v>
      </c>
      <c r="B1907" s="4" t="s">
        <v>2397</v>
      </c>
      <c r="C1907" s="5" t="str">
        <f>IFERROR(__xludf.DUMMYFUNCTION("GOOGLETRANSLATE(B1907,""en"",""de"")"),"Die Kamera schwenkt über den Ball, gefolgt von mehreren weiteren Schüssen des Mannes, der spielt.")</f>
        <v>Die Kamera schwenkt über den Ball, gefolgt von mehreren weiteren Schüssen des Mannes, der spielt.</v>
      </c>
    </row>
    <row r="1908">
      <c r="A1908" s="4" t="s">
        <v>2398</v>
      </c>
      <c r="B1908" s="4" t="s">
        <v>2399</v>
      </c>
      <c r="C1908" s="5" t="str">
        <f>IFERROR(__xludf.DUMMYFUNCTION("GOOGLETRANSLATE(B1908,""en"",""de"")"),"Ein großer Gestein wird gezeigt, gefolgt von Menschen, die sich um Objekte bewegen und zu einem neuen Segment führen.")</f>
        <v>Ein großer Gestein wird gezeigt, gefolgt von Menschen, die sich um Objekte bewegen und zu einem neuen Segment führen.</v>
      </c>
    </row>
    <row r="1909">
      <c r="A1909" s="4" t="s">
        <v>2398</v>
      </c>
      <c r="B1909" s="4" t="s">
        <v>2400</v>
      </c>
      <c r="C1909" s="5" t="str">
        <f>IFERROR(__xludf.DUMMYFUNCTION("GOOGLETRANSLATE(B1909,""en"",""de"")"),"Ein Mann wird dann gesehen, wie eine Frau spricht und in einen Wetterbericht führt.")</f>
        <v>Ein Mann wird dann gesehen, wie eine Frau spricht und in einen Wetterbericht führt.</v>
      </c>
    </row>
    <row r="1910">
      <c r="A1910" s="4" t="s">
        <v>2398</v>
      </c>
      <c r="B1910" s="4" t="s">
        <v>2401</v>
      </c>
      <c r="C1910" s="5" t="str">
        <f>IFERROR(__xludf.DUMMYFUNCTION("GOOGLETRANSLATE(B1910,""en"",""de"")"),"Der Mann zeigt dann den Kürbis um eine Gruppe von Menschen und Nahaufnahmen.")</f>
        <v>Der Mann zeigt dann den Kürbis um eine Gruppe von Menschen und Nahaufnahmen.</v>
      </c>
    </row>
    <row r="1911">
      <c r="A1911" s="4" t="s">
        <v>2402</v>
      </c>
      <c r="B1911" s="4" t="s">
        <v>2403</v>
      </c>
      <c r="C1911" s="5" t="str">
        <f>IFERROR(__xludf.DUMMYFUNCTION("GOOGLETRANSLATE(B1911,""en"",""de"")"),"Ein männlicher Skateboarder skaniert, er sprang auf das Geländer und rutschte dann auf den Rücken und eine Hand half ihm.")</f>
        <v>Ein männlicher Skateboarder skaniert, er sprang auf das Geländer und rutschte dann auf den Rücken und eine Hand half ihm.</v>
      </c>
    </row>
    <row r="1912">
      <c r="A1912" s="4" t="s">
        <v>2402</v>
      </c>
      <c r="B1912" s="4" t="s">
        <v>2404</v>
      </c>
      <c r="C1912" s="5" t="str">
        <f>IFERROR(__xludf.DUMMYFUNCTION("GOOGLETRANSLATE(B1912,""en"",""de"")"),"Ein Junge sprang mit seinem Skateboard auf eine Plattform und rutschte aus und fiel.")</f>
        <v>Ein Junge sprang mit seinem Skateboard auf eine Plattform und rutschte aus und fiel.</v>
      </c>
    </row>
    <row r="1913">
      <c r="A1913" s="4" t="s">
        <v>2402</v>
      </c>
      <c r="B1913" s="4" t="s">
        <v>2405</v>
      </c>
      <c r="C1913" s="5" t="str">
        <f>IFERROR(__xludf.DUMMYFUNCTION("GOOGLETRANSLATE(B1913,""en"",""de"")"),"Die Skateboarder sprangen auf den Bahnsteig oder die Geländer und rutschten aus und fielen auf den Boden.")</f>
        <v>Die Skateboarder sprangen auf den Bahnsteig oder die Geländer und rutschten aus und fielen auf den Boden.</v>
      </c>
    </row>
    <row r="1914">
      <c r="A1914" s="4" t="s">
        <v>2406</v>
      </c>
      <c r="B1914" s="4" t="s">
        <v>2407</v>
      </c>
      <c r="C1914" s="5" t="str">
        <f>IFERROR(__xludf.DUMMYFUNCTION("GOOGLETRANSLATE(B1914,""en"",""de"")"),"Eine Familie spricht über das Herstellen von gesundem Essen.")</f>
        <v>Eine Familie spricht über das Herstellen von gesundem Essen.</v>
      </c>
    </row>
    <row r="1915">
      <c r="A1915" s="4" t="s">
        <v>2406</v>
      </c>
      <c r="B1915" s="4" t="s">
        <v>2408</v>
      </c>
      <c r="C1915" s="5" t="str">
        <f>IFERROR(__xludf.DUMMYFUNCTION("GOOGLETRANSLATE(B1915,""en"",""de"")"),"Sie beginnen mit Smoothies und lesen Zutaten aus Kokosnusszucker.")</f>
        <v>Sie beginnen mit Smoothies und lesen Zutaten aus Kokosnusszucker.</v>
      </c>
    </row>
    <row r="1916">
      <c r="A1916" s="4" t="s">
        <v>2406</v>
      </c>
      <c r="B1916" s="4" t="s">
        <v>2409</v>
      </c>
      <c r="C1916" s="5" t="str">
        <f>IFERROR(__xludf.DUMMYFUNCTION("GOOGLETRANSLATE(B1916,""en"",""de"")"),"Sie mischen Essen und zubereiten das Essen und mischen dann den Smoothie.")</f>
        <v>Sie mischen Essen und zubereiten das Essen und mischen dann den Smoothie.</v>
      </c>
    </row>
    <row r="1917">
      <c r="A1917" s="4" t="s">
        <v>2410</v>
      </c>
      <c r="B1917" s="4" t="s">
        <v>2411</v>
      </c>
      <c r="C1917" s="5" t="str">
        <f>IFERROR(__xludf.DUMMYFUNCTION("GOOGLETRANSLATE(B1917,""en"",""de"")"),"Ein Mann und eine Frau trinken draußen neben einem Wohnmobil Kaffee.")</f>
        <v>Ein Mann und eine Frau trinken draußen neben einem Wohnmobil Kaffee.</v>
      </c>
    </row>
    <row r="1918">
      <c r="A1918" s="4" t="s">
        <v>2410</v>
      </c>
      <c r="B1918" s="4" t="s">
        <v>2412</v>
      </c>
      <c r="C1918" s="5" t="str">
        <f>IFERROR(__xludf.DUMMYFUNCTION("GOOGLETRANSLATE(B1918,""en"",""de"")"),"Der Mann spielt Gitarre.")</f>
        <v>Der Mann spielt Gitarre.</v>
      </c>
    </row>
    <row r="1919">
      <c r="A1919" s="4" t="s">
        <v>2410</v>
      </c>
      <c r="B1919" s="4" t="s">
        <v>2413</v>
      </c>
      <c r="C1919" s="5" t="str">
        <f>IFERROR(__xludf.DUMMYFUNCTION("GOOGLETRANSLATE(B1919,""en"",""de"")"),"Die Frau geht zur Kamera und zeigt Papierdokumente.")</f>
        <v>Die Frau geht zur Kamera und zeigt Papierdokumente.</v>
      </c>
    </row>
    <row r="1920">
      <c r="A1920" s="4" t="s">
        <v>2410</v>
      </c>
      <c r="B1920" s="4" t="s">
        <v>2414</v>
      </c>
      <c r="C1920" s="5" t="str">
        <f>IFERROR(__xludf.DUMMYFUNCTION("GOOGLETRANSLATE(B1920,""en"",""de"")"),"Sie wirft die Papiere und geht zurück zum Mann.")</f>
        <v>Sie wirft die Papiere und geht zurück zum Mann.</v>
      </c>
    </row>
    <row r="1921">
      <c r="A1921" s="4" t="s">
        <v>2415</v>
      </c>
      <c r="B1921" s="4" t="s">
        <v>2416</v>
      </c>
      <c r="C1921" s="5" t="str">
        <f>IFERROR(__xludf.DUMMYFUNCTION("GOOGLETRANSLATE(B1921,""en"",""de"")"),"Ein Junge in einem Team wirft einen Basketball auf andere Teammitglieder.")</f>
        <v>Ein Junge in einem Team wirft einen Basketball auf andere Teammitglieder.</v>
      </c>
    </row>
    <row r="1922">
      <c r="A1922" s="4" t="s">
        <v>2415</v>
      </c>
      <c r="B1922" s="4" t="s">
        <v>2417</v>
      </c>
      <c r="C1922" s="5" t="str">
        <f>IFERROR(__xludf.DUMMYFUNCTION("GOOGLETRANSLATE(B1922,""en"",""de"")"),"Andere kommen mit, einige fallen, wenn sie mit dem Ball getroffen werden.")</f>
        <v>Andere kommen mit, einige fallen, wenn sie mit dem Ball getroffen werden.</v>
      </c>
    </row>
    <row r="1923">
      <c r="A1923" s="4" t="s">
        <v>2418</v>
      </c>
      <c r="B1923" s="4" t="s">
        <v>2419</v>
      </c>
      <c r="C1923" s="5" t="str">
        <f>IFERROR(__xludf.DUMMYFUNCTION("GOOGLETRANSLATE(B1923,""en"",""de"")"),"Ein Mann kniet neben einem Hund, der seinen Rücken schrubbte, während ein anderer Mann Wasser über den Körper des Hundes gießt.")</f>
        <v>Ein Mann kniet neben einem Hund, der seinen Rücken schrubbte, während ein anderer Mann Wasser über den Körper des Hundes gießt.</v>
      </c>
    </row>
    <row r="1924">
      <c r="A1924" s="4" t="s">
        <v>2418</v>
      </c>
      <c r="B1924" s="4" t="s">
        <v>2420</v>
      </c>
      <c r="C1924" s="5" t="str">
        <f>IFERROR(__xludf.DUMMYFUNCTION("GOOGLETRANSLATE(B1924,""en"",""de"")"),"Der Mann schrubbt weiter, als der andere Wasser gießt und endet, wobei der Hund wegläuft.")</f>
        <v>Der Mann schrubbt weiter, als der andere Wasser gießt und endet, wobei der Hund wegläuft.</v>
      </c>
    </row>
    <row r="1925">
      <c r="A1925" s="4" t="s">
        <v>2421</v>
      </c>
      <c r="B1925" s="4" t="s">
        <v>2422</v>
      </c>
      <c r="C1925" s="5" t="str">
        <f>IFERROR(__xludf.DUMMYFUNCTION("GOOGLETRANSLATE(B1925,""en"",""de"")"),"Eine Frau streift ihr langes Haar zu Hause.")</f>
        <v>Eine Frau streift ihr langes Haar zu Hause.</v>
      </c>
    </row>
    <row r="1926">
      <c r="A1926" s="4" t="s">
        <v>2421</v>
      </c>
      <c r="B1926" s="4" t="s">
        <v>2423</v>
      </c>
      <c r="C1926" s="5" t="str">
        <f>IFERROR(__xludf.DUMMYFUNCTION("GOOGLETRANSLATE(B1926,""en"",""de"")"),"Die Frau setzt sich auf das Sofa.")</f>
        <v>Die Frau setzt sich auf das Sofa.</v>
      </c>
    </row>
    <row r="1927">
      <c r="A1927" s="4" t="s">
        <v>2421</v>
      </c>
      <c r="B1927" s="4" t="s">
        <v>2424</v>
      </c>
      <c r="C1927" s="5" t="str">
        <f>IFERROR(__xludf.DUMMYFUNCTION("GOOGLETRANSLATE(B1927,""en"",""de"")"),"Die Frau steht auf und wendet sich ab.")</f>
        <v>Die Frau steht auf und wendet sich ab.</v>
      </c>
    </row>
    <row r="1928">
      <c r="A1928" s="4" t="s">
        <v>2421</v>
      </c>
      <c r="B1928" s="4" t="s">
        <v>2425</v>
      </c>
      <c r="C1928" s="5" t="str">
        <f>IFERROR(__xludf.DUMMYFUNCTION("GOOGLETRANSLATE(B1928,""en"",""de"")"),"Die Person dreht sich um die Sicht.")</f>
        <v>Die Person dreht sich um die Sicht.</v>
      </c>
    </row>
    <row r="1929">
      <c r="A1929" s="4" t="s">
        <v>2426</v>
      </c>
      <c r="B1929" s="4" t="s">
        <v>2427</v>
      </c>
      <c r="C1929" s="5" t="str">
        <f>IFERROR(__xludf.DUMMYFUNCTION("GOOGLETRANSLATE(B1929,""en"",""de"")"),"Viele Desserts befinden sich in einem Schiebetgürtel in einer Theke.")</f>
        <v>Viele Desserts befinden sich in einem Schiebetgürtel in einer Theke.</v>
      </c>
    </row>
    <row r="1930">
      <c r="A1930" s="4" t="s">
        <v>2426</v>
      </c>
      <c r="B1930" s="4" t="s">
        <v>2428</v>
      </c>
      <c r="C1930" s="5" t="str">
        <f>IFERROR(__xludf.DUMMYFUNCTION("GOOGLETRANSLATE(B1930,""en"",""de"")"),"Ein Sonnenuntergang in einem Strand und in einem See wird gezeigt.")</f>
        <v>Ein Sonnenuntergang in einem Strand und in einem See wird gezeigt.</v>
      </c>
    </row>
    <row r="1931">
      <c r="A1931" s="4" t="s">
        <v>2426</v>
      </c>
      <c r="B1931" s="4" t="s">
        <v>2429</v>
      </c>
      <c r="C1931" s="5" t="str">
        <f>IFERROR(__xludf.DUMMYFUNCTION("GOOGLETRANSLATE(B1931,""en"",""de"")"),"Die Leute machen Kajakfahren in einem See durch den See mit großer Gren -Vegetation.")</f>
        <v>Die Leute machen Kajakfahren in einem See durch den See mit großer Gren -Vegetation.</v>
      </c>
    </row>
    <row r="1932">
      <c r="A1932" s="4" t="s">
        <v>2430</v>
      </c>
      <c r="B1932" s="4" t="s">
        <v>2431</v>
      </c>
      <c r="C1932" s="5" t="str">
        <f>IFERROR(__xludf.DUMMYFUNCTION("GOOGLETRANSLATE(B1932,""en"",""de"")"),"Zwei junge Männer werden gezeigt, wie ein Gericht einen Tennisball erreicht.")</f>
        <v>Zwei junge Männer werden gezeigt, wie ein Gericht einen Tennisball erreicht.</v>
      </c>
    </row>
    <row r="1933">
      <c r="A1933" s="4" t="s">
        <v>2430</v>
      </c>
      <c r="B1933" s="4" t="s">
        <v>2432</v>
      </c>
      <c r="C1933" s="5" t="str">
        <f>IFERROR(__xludf.DUMMYFUNCTION("GOOGLETRANSLATE(B1933,""en"",""de"")"),"Sie schlagen immer wieder den Ball gegen die Wand und jagen den Ball herum.")</f>
        <v>Sie schlagen immer wieder den Ball gegen die Wand und jagen den Ball herum.</v>
      </c>
    </row>
    <row r="1934">
      <c r="A1934" s="4" t="s">
        <v>2430</v>
      </c>
      <c r="B1934" s="4" t="s">
        <v>2433</v>
      </c>
      <c r="C1934" s="5" t="str">
        <f>IFERROR(__xludf.DUMMYFUNCTION("GOOGLETRANSLATE(B1934,""en"",""de"")"),"Man pausiert und schlägt den Ball auf seinen Schläger und wirft ihn erneut für die Jungs zum Spielen.")</f>
        <v>Man pausiert und schlägt den Ball auf seinen Schläger und wirft ihn erneut für die Jungs zum Spielen.</v>
      </c>
    </row>
    <row r="1935">
      <c r="A1935" s="4" t="s">
        <v>2430</v>
      </c>
      <c r="B1935" s="4" t="s">
        <v>2434</v>
      </c>
      <c r="C1935" s="5" t="str">
        <f>IFERROR(__xludf.DUMMYFUNCTION("GOOGLETRANSLATE(B1935,""en"",""de"")"),"Einer fällt gegen Ende auf den Boden und der andere hilft ihm.")</f>
        <v>Einer fällt gegen Ende auf den Boden und der andere hilft ihm.</v>
      </c>
    </row>
    <row r="1936">
      <c r="A1936" s="4" t="s">
        <v>2435</v>
      </c>
      <c r="B1936" s="4" t="s">
        <v>2436</v>
      </c>
      <c r="C1936" s="5" t="str">
        <f>IFERROR(__xludf.DUMMYFUNCTION("GOOGLETRANSLATE(B1936,""en"",""de"")"),"Eine Frau spricht mit der Kamera, während er ein Baby in der Badewanne badet.")</f>
        <v>Eine Frau spricht mit der Kamera, während er ein Baby in der Badewanne badet.</v>
      </c>
    </row>
    <row r="1937">
      <c r="A1937" s="4" t="s">
        <v>2435</v>
      </c>
      <c r="B1937" s="4" t="s">
        <v>2437</v>
      </c>
      <c r="C1937" s="5" t="str">
        <f>IFERROR(__xludf.DUMMYFUNCTION("GOOGLETRANSLATE(B1937,""en"",""de"")"),"Die Frau demonstriert der Kamera ein kleines Schrubbenpad.")</f>
        <v>Die Frau demonstriert der Kamera ein kleines Schrubbenpad.</v>
      </c>
    </row>
    <row r="1938">
      <c r="A1938" s="4" t="s">
        <v>2435</v>
      </c>
      <c r="B1938" s="4" t="s">
        <v>2438</v>
      </c>
      <c r="C1938" s="5" t="str">
        <f>IFERROR(__xludf.DUMMYFUNCTION("GOOGLETRANSLATE(B1938,""en"",""de"")"),"Die Frau benutzt das Pad auf dem Baby.")</f>
        <v>Die Frau benutzt das Pad auf dem Baby.</v>
      </c>
    </row>
    <row r="1939">
      <c r="A1939" s="4" t="s">
        <v>2439</v>
      </c>
      <c r="B1939" s="4" t="s">
        <v>2440</v>
      </c>
      <c r="C1939" s="5" t="str">
        <f>IFERROR(__xludf.DUMMYFUNCTION("GOOGLETRANSLATE(B1939,""en"",""de"")"),"Einige Leute schweben auf dem Ozean auf einem gelben Floß.")</f>
        <v>Einige Leute schweben auf dem Ozean auf einem gelben Floß.</v>
      </c>
    </row>
    <row r="1940">
      <c r="A1940" s="4" t="s">
        <v>2439</v>
      </c>
      <c r="B1940" s="4" t="s">
        <v>2441</v>
      </c>
      <c r="C1940" s="5" t="str">
        <f>IFERROR(__xludf.DUMMYFUNCTION("GOOGLETRANSLATE(B1940,""en"",""de"")"),"Sie schweben mit großen Felsen und Klippen.")</f>
        <v>Sie schweben mit großen Felsen und Klippen.</v>
      </c>
    </row>
    <row r="1941">
      <c r="A1941" s="4" t="s">
        <v>2442</v>
      </c>
      <c r="B1941" s="4" t="s">
        <v>2443</v>
      </c>
      <c r="C1941" s="5" t="str">
        <f>IFERROR(__xludf.DUMMYFUNCTION("GOOGLETRANSLATE(B1941,""en"",""de"")"),"Ein Mann ist auf eine Matte gebeugt.")</f>
        <v>Ein Mann ist auf eine Matte gebeugt.</v>
      </c>
    </row>
    <row r="1942">
      <c r="A1942" s="4" t="s">
        <v>2442</v>
      </c>
      <c r="B1942" s="4" t="s">
        <v>2444</v>
      </c>
      <c r="C1942" s="5" t="str">
        <f>IFERROR(__xludf.DUMMYFUNCTION("GOOGLETRANSLATE(B1942,""en"",""de"")"),"Er nimmt ein großes Gewicht auf und hebt es über seinen Kopf.")</f>
        <v>Er nimmt ein großes Gewicht auf und hebt es über seinen Kopf.</v>
      </c>
    </row>
    <row r="1943">
      <c r="A1943" s="4" t="s">
        <v>2442</v>
      </c>
      <c r="B1943" s="4" t="s">
        <v>2445</v>
      </c>
      <c r="C1943" s="5" t="str">
        <f>IFERROR(__xludf.DUMMYFUNCTION("GOOGLETRANSLATE(B1943,""en"",""de"")"),"Er lässt das Gewicht auf den Boden fallen.")</f>
        <v>Er lässt das Gewicht auf den Boden fallen.</v>
      </c>
    </row>
    <row r="1944">
      <c r="A1944" s="4" t="s">
        <v>2442</v>
      </c>
      <c r="B1944" s="4" t="s">
        <v>2446</v>
      </c>
      <c r="C1944" s="5" t="str">
        <f>IFERROR(__xludf.DUMMYFUNCTION("GOOGLETRANSLATE(B1944,""en"",""de"")"),"Ein Mann in einem blauen Hemd klatscht.")</f>
        <v>Ein Mann in einem blauen Hemd klatscht.</v>
      </c>
    </row>
    <row r="1945">
      <c r="A1945" s="4" t="s">
        <v>2447</v>
      </c>
      <c r="B1945" s="4" t="s">
        <v>2448</v>
      </c>
      <c r="C1945" s="5" t="str">
        <f>IFERROR(__xludf.DUMMYFUNCTION("GOOGLETRANSLATE(B1945,""en"",""de"")"),"Dieses Baby trifft den Ball und fällt nieder.")</f>
        <v>Dieses Baby trifft den Ball und fällt nieder.</v>
      </c>
    </row>
    <row r="1946">
      <c r="A1946" s="4" t="s">
        <v>2447</v>
      </c>
      <c r="B1946" s="4" t="s">
        <v>2449</v>
      </c>
      <c r="C1946" s="5" t="str">
        <f>IFERROR(__xludf.DUMMYFUNCTION("GOOGLETRANSLATE(B1946,""en"",""de"")"),"Dann steigt er wieder auf und schnappt sich den Stock, um zu versuchen, den Ball wieder zu schlagen.")</f>
        <v>Dann steigt er wieder auf und schnappt sich den Stock, um zu versuchen, den Ball wieder zu schlagen.</v>
      </c>
    </row>
    <row r="1947">
      <c r="A1947" s="4" t="s">
        <v>2447</v>
      </c>
      <c r="B1947" s="4" t="s">
        <v>2450</v>
      </c>
      <c r="C1947" s="5" t="str">
        <f>IFERROR(__xludf.DUMMYFUNCTION("GOOGLETRANSLATE(B1947,""en"",""de"")"),"Als nächstes fällt er wieder und steigt wieder auf, während er den Stock hält, und er greift nach dem Ball, der wirklich weit kommt.")</f>
        <v>Als nächstes fällt er wieder und steigt wieder auf, während er den Stock hält, und er greift nach dem Ball, der wirklich weit kommt.</v>
      </c>
    </row>
    <row r="1948">
      <c r="A1948" s="4" t="s">
        <v>2451</v>
      </c>
      <c r="B1948" s="4" t="s">
        <v>2452</v>
      </c>
      <c r="C1948" s="5" t="str">
        <f>IFERROR(__xludf.DUMMYFUNCTION("GOOGLETRANSLATE(B1948,""en"",""de"")"),"Ein Elternteil tätowiert sein sehr kleines Kind, das aussieht, als wäre er ungefähr 3.")</f>
        <v>Ein Elternteil tätowiert sein sehr kleines Kind, das aussieht, als wäre er ungefähr 3.</v>
      </c>
    </row>
    <row r="1949">
      <c r="A1949" s="4" t="s">
        <v>2451</v>
      </c>
      <c r="B1949" s="4" t="s">
        <v>2453</v>
      </c>
      <c r="C1949" s="5" t="str">
        <f>IFERROR(__xludf.DUMMYFUNCTION("GOOGLETRANSLATE(B1949,""en"",""de"")"),"Er weint, weil es weh tut und seine gemeine Mutter ihn festhalten hält, während sie seinen Arm tätowieren.")</f>
        <v>Er weint, weil es weh tut und seine gemeine Mutter ihn festhalten hält, während sie seinen Arm tätowieren.</v>
      </c>
    </row>
    <row r="1950">
      <c r="A1950" s="4" t="s">
        <v>2451</v>
      </c>
      <c r="B1950" s="4" t="s">
        <v>2454</v>
      </c>
      <c r="C1950" s="5" t="str">
        <f>IFERROR(__xludf.DUMMYFUNCTION("GOOGLETRANSLATE(B1950,""en"",""de"")"),"Sie gehen mit dem Tattoo weiter, es ist auf seinem Oberarm, aber Sie können nicht sagen, was sie tätowieren.")</f>
        <v>Sie gehen mit dem Tattoo weiter, es ist auf seinem Oberarm, aber Sie können nicht sagen, was sie tätowieren.</v>
      </c>
    </row>
    <row r="1951">
      <c r="A1951" s="4" t="s">
        <v>2451</v>
      </c>
      <c r="B1951" s="4" t="s">
        <v>2455</v>
      </c>
      <c r="C1951" s="5" t="str">
        <f>IFERROR(__xludf.DUMMYFUNCTION("GOOGLETRANSLATE(B1951,""en"",""de"")"),"Der Künstler schnappt sich etwas Grünes und beginnt es zu schütteln.")</f>
        <v>Der Künstler schnappt sich etwas Grünes und beginnt es zu schütteln.</v>
      </c>
    </row>
    <row r="1952">
      <c r="A1952" s="4" t="s">
        <v>2456</v>
      </c>
      <c r="B1952" s="4" t="s">
        <v>2457</v>
      </c>
      <c r="C1952" s="5" t="str">
        <f>IFERROR(__xludf.DUMMYFUNCTION("GOOGLETRANSLATE(B1952,""en"",""de"")"),"Mehrere Personen in einem Innenpool springen von einem Tauchbrett in das Poolwasser, das unten eine Mischung aus fortschrittlichen Tauchtechniken und Tauchtechnik -Pannen aufweisen.")</f>
        <v>Mehrere Personen in einem Innenpool springen von einem Tauchbrett in das Poolwasser, das unten eine Mischung aus fortschrittlichen Tauchtechniken und Tauchtechnik -Pannen aufweisen.</v>
      </c>
    </row>
    <row r="1953">
      <c r="A1953" s="4" t="s">
        <v>2456</v>
      </c>
      <c r="B1953" s="4" t="s">
        <v>2458</v>
      </c>
      <c r="C1953" s="5" t="str">
        <f>IFERROR(__xludf.DUMMYFUNCTION("GOOGLETRANSLATE(B1953,""en"",""de"")"),"Mehrere Taucher springen vom Tauchbrett in das Wasser, das viele Techniken einschließlich Flips durchführt.")</f>
        <v>Mehrere Taucher springen vom Tauchbrett in das Wasser, das viele Techniken einschließlich Flips durchführt.</v>
      </c>
    </row>
    <row r="1954">
      <c r="A1954" s="4" t="s">
        <v>2456</v>
      </c>
      <c r="B1954" s="4" t="s">
        <v>2459</v>
      </c>
      <c r="C1954" s="5" t="str">
        <f>IFERROR(__xludf.DUMMYFUNCTION("GOOGLETRANSLATE(B1954,""en"",""de"")"),"Mehr, weniger erfolgreiche Tauchgänge werden gegen Ende des Clips gezeigt, bevor die Szene zu schwarz verblasst.")</f>
        <v>Mehr, weniger erfolgreiche Tauchgänge werden gegen Ende des Clips gezeigt, bevor die Szene zu schwarz verblasst.</v>
      </c>
    </row>
    <row r="1955">
      <c r="A1955" s="4" t="s">
        <v>2460</v>
      </c>
      <c r="B1955" s="4" t="s">
        <v>2461</v>
      </c>
      <c r="C1955" s="5" t="str">
        <f>IFERROR(__xludf.DUMMYFUNCTION("GOOGLETRANSLATE(B1955,""en"",""de"")"),"Ein Mann kniet auf einer Matte und demonstriert, wie man eine richtige Übung macht, aber seine Arme und Beine bewegt.")</f>
        <v>Ein Mann kniet auf einer Matte und demonstriert, wie man eine richtige Übung macht, aber seine Arme und Beine bewegt.</v>
      </c>
    </row>
    <row r="1956">
      <c r="A1956" s="4" t="s">
        <v>2460</v>
      </c>
      <c r="B1956" s="4" t="s">
        <v>2462</v>
      </c>
      <c r="C1956" s="5" t="str">
        <f>IFERROR(__xludf.DUMMYFUNCTION("GOOGLETRANSLATE(B1956,""en"",""de"")"),"Der Mann bewegt sich zurück und viertens, während er seine Arme und Beine bewegt und mit der Kamera spricht.")</f>
        <v>Der Mann bewegt sich zurück und viertens, während er seine Arme und Beine bewegt und mit der Kamera spricht.</v>
      </c>
    </row>
    <row r="1957">
      <c r="A1957" s="4" t="s">
        <v>2463</v>
      </c>
      <c r="B1957" s="4" t="s">
        <v>2464</v>
      </c>
      <c r="C1957" s="5" t="str">
        <f>IFERROR(__xludf.DUMMYFUNCTION("GOOGLETRANSLATE(B1957,""en"",""de"")"),"Die Leute fahren Fahrräder um eine Schmutzstrecke.")</f>
        <v>Die Leute fahren Fahrräder um eine Schmutzstrecke.</v>
      </c>
    </row>
    <row r="1958">
      <c r="A1958" s="4" t="s">
        <v>2463</v>
      </c>
      <c r="B1958" s="4" t="s">
        <v>2465</v>
      </c>
      <c r="C1958" s="5" t="str">
        <f>IFERROR(__xludf.DUMMYFUNCTION("GOOGLETRANSLATE(B1958,""en"",""de"")"),"Zwei Männer stürzen ineinander und fallen hin.")</f>
        <v>Zwei Männer stürzen ineinander und fallen hin.</v>
      </c>
    </row>
    <row r="1959">
      <c r="A1959" s="4" t="s">
        <v>2463</v>
      </c>
      <c r="B1959" s="4" t="s">
        <v>2466</v>
      </c>
      <c r="C1959" s="5" t="str">
        <f>IFERROR(__xludf.DUMMYFUNCTION("GOOGLETRANSLATE(B1959,""en"",""de"")"),"Mehrere Personen stürzen ineinander und fallen auf die Strecke.")</f>
        <v>Mehrere Personen stürzen ineinander und fallen auf die Strecke.</v>
      </c>
    </row>
    <row r="1960">
      <c r="A1960" s="4" t="s">
        <v>2467</v>
      </c>
      <c r="B1960" s="4" t="s">
        <v>2468</v>
      </c>
      <c r="C1960" s="5" t="str">
        <f>IFERROR(__xludf.DUMMYFUNCTION("GOOGLETRANSLATE(B1960,""en"",""de"")"),"Menschen interagieren in einem Track -Feld.")</f>
        <v>Menschen interagieren in einem Track -Feld.</v>
      </c>
    </row>
    <row r="1961">
      <c r="A1961" s="4" t="s">
        <v>2467</v>
      </c>
      <c r="B1961" s="4" t="s">
        <v>2469</v>
      </c>
      <c r="C1961" s="5" t="str">
        <f>IFERROR(__xludf.DUMMYFUNCTION("GOOGLETRANSLATE(B1961,""en"",""de"")"),"Die Blaskapelle geht mit ihren Instrumenten einen Track hinunter.")</f>
        <v>Die Blaskapelle geht mit ihren Instrumenten einen Track hinunter.</v>
      </c>
    </row>
    <row r="1962">
      <c r="A1962" s="4" t="s">
        <v>2467</v>
      </c>
      <c r="B1962" s="4" t="s">
        <v>2470</v>
      </c>
      <c r="C1962" s="5" t="str">
        <f>IFERROR(__xludf.DUMMYFUNCTION("GOOGLETRANSLATE(B1962,""en"",""de"")"),"Die Schlagzeuger treten beim Gehen auf.")</f>
        <v>Die Schlagzeuger treten beim Gehen auf.</v>
      </c>
    </row>
    <row r="1963">
      <c r="A1963" s="4" t="s">
        <v>2471</v>
      </c>
      <c r="B1963" s="4" t="s">
        <v>2472</v>
      </c>
      <c r="C1963" s="5" t="str">
        <f>IFERROR(__xludf.DUMMYFUNCTION("GOOGLETRANSLATE(B1963,""en"",""de"")"),"Eine Frau sitzt auf einem Bett in einem Schlafzimmer.")</f>
        <v>Eine Frau sitzt auf einem Bett in einem Schlafzimmer.</v>
      </c>
    </row>
    <row r="1964">
      <c r="A1964" s="4" t="s">
        <v>2471</v>
      </c>
      <c r="B1964" s="4" t="s">
        <v>2473</v>
      </c>
      <c r="C1964" s="5" t="str">
        <f>IFERROR(__xludf.DUMMYFUNCTION("GOOGLETRANSLATE(B1964,""en"",""de"")"),"Sie fährt ihre Hände durch ihre Haare, während sie spricht.")</f>
        <v>Sie fährt ihre Hände durch ihre Haare, während sie spricht.</v>
      </c>
    </row>
    <row r="1965">
      <c r="A1965" s="4" t="s">
        <v>2471</v>
      </c>
      <c r="B1965" s="4" t="s">
        <v>2474</v>
      </c>
      <c r="C1965" s="5" t="str">
        <f>IFERROR(__xludf.DUMMYFUNCTION("GOOGLETRANSLATE(B1965,""en"",""de"")"),"Sie öffnet eine Zigarettenkoffer und raucht eine Zigarette, während sie spricht.")</f>
        <v>Sie öffnet eine Zigarettenkoffer und raucht eine Zigarette, während sie spricht.</v>
      </c>
    </row>
    <row r="1966">
      <c r="A1966" s="4" t="s">
        <v>2475</v>
      </c>
      <c r="B1966" s="4" t="s">
        <v>2476</v>
      </c>
      <c r="C1966" s="5" t="str">
        <f>IFERROR(__xludf.DUMMYFUNCTION("GOOGLETRANSLATE(B1966,""en"",""de"")"),"Frauen in Bikinis spielen am Strand Volleyball.")</f>
        <v>Frauen in Bikinis spielen am Strand Volleyball.</v>
      </c>
    </row>
    <row r="1967">
      <c r="A1967" s="4" t="s">
        <v>2475</v>
      </c>
      <c r="B1967" s="4" t="s">
        <v>2477</v>
      </c>
      <c r="C1967" s="5" t="str">
        <f>IFERROR(__xludf.DUMMYFUNCTION("GOOGLETRANSLATE(B1967,""en"",""de"")"),"Eine der Frauen fällt in den Sand.")</f>
        <v>Eine der Frauen fällt in den Sand.</v>
      </c>
    </row>
    <row r="1968">
      <c r="A1968" s="4" t="s">
        <v>2475</v>
      </c>
      <c r="B1968" s="4" t="s">
        <v>2478</v>
      </c>
      <c r="C1968" s="5" t="str">
        <f>IFERROR(__xludf.DUMMYFUNCTION("GOOGLETRANSLATE(B1968,""en"",""de"")"),"Sie posieren für ein Bild am Strand.")</f>
        <v>Sie posieren für ein Bild am Strand.</v>
      </c>
    </row>
    <row r="1969">
      <c r="A1969" s="4" t="s">
        <v>2479</v>
      </c>
      <c r="B1969" s="4" t="s">
        <v>2480</v>
      </c>
      <c r="C1969" s="5" t="str">
        <f>IFERROR(__xludf.DUMMYFUNCTION("GOOGLETRANSLATE(B1969,""en"",""de"")"),"Wir sehen zwei Eröffnungs -Titelbildschirme.")</f>
        <v>Wir sehen zwei Eröffnungs -Titelbildschirme.</v>
      </c>
    </row>
    <row r="1970">
      <c r="A1970" s="4" t="s">
        <v>2479</v>
      </c>
      <c r="B1970" s="4" t="s">
        <v>2481</v>
      </c>
      <c r="C1970" s="5" t="str">
        <f>IFERROR(__xludf.DUMMYFUNCTION("GOOGLETRANSLATE(B1970,""en"",""de"")"),"Wir sehen einen Mann hinter einer Bar reden.")</f>
        <v>Wir sehen einen Mann hinter einer Bar reden.</v>
      </c>
    </row>
    <row r="1971">
      <c r="A1971" s="4" t="s">
        <v>2479</v>
      </c>
      <c r="B1971" s="4" t="s">
        <v>2482</v>
      </c>
      <c r="C1971" s="5" t="str">
        <f>IFERROR(__xludf.DUMMYFUNCTION("GOOGLETRANSLATE(B1971,""en"",""de"")"),"Der Mann fügt einem Martin -Glas und einem hohen Glas Eis hinzu.")</f>
        <v>Der Mann fügt einem Martin -Glas und einem hohen Glas Eis hinzu.</v>
      </c>
    </row>
    <row r="1972">
      <c r="A1972" s="4" t="s">
        <v>2479</v>
      </c>
      <c r="B1972" s="4" t="s">
        <v>2483</v>
      </c>
      <c r="C1972" s="5" t="str">
        <f>IFERROR(__xludf.DUMMYFUNCTION("GOOGLETRANSLATE(B1972,""en"",""de"")"),"Der Mann fügt dem Glas drei Schüsse hinzu und schüttelt es.")</f>
        <v>Der Mann fügt dem Glas drei Schüsse hinzu und schüttelt es.</v>
      </c>
    </row>
    <row r="1973">
      <c r="A1973" s="4" t="s">
        <v>2479</v>
      </c>
      <c r="B1973" s="4" t="s">
        <v>2484</v>
      </c>
      <c r="C1973" s="5" t="str">
        <f>IFERROR(__xludf.DUMMYFUNCTION("GOOGLETRANSLATE(B1973,""en"",""de"")"),"Der Mann legt ein Sieb auf das Glas und gießt das Eis aus dem Martini -Glas.")</f>
        <v>Der Mann legt ein Sieb auf das Glas und gießt das Eis aus dem Martini -Glas.</v>
      </c>
    </row>
    <row r="1974">
      <c r="A1974" s="4" t="s">
        <v>2479</v>
      </c>
      <c r="B1974" s="4" t="s">
        <v>2485</v>
      </c>
      <c r="C1974" s="5" t="str">
        <f>IFERROR(__xludf.DUMMYFUNCTION("GOOGLETRANSLATE(B1974,""en"",""de"")"),"Der Mann gießt das kellgrüne Getränk in das Martini -Glas und fügt eine Kirsche und einen Stroh hinzu.")</f>
        <v>Der Mann gießt das kellgrüne Getränk in das Martini -Glas und fügt eine Kirsche und einen Stroh hinzu.</v>
      </c>
    </row>
    <row r="1975">
      <c r="A1975" s="4" t="s">
        <v>2479</v>
      </c>
      <c r="B1975" s="4" t="s">
        <v>2486</v>
      </c>
      <c r="C1975" s="5" t="str">
        <f>IFERROR(__xludf.DUMMYFUNCTION("GOOGLETRANSLATE(B1975,""en"",""de"")"),"Wir sehen den Schlussbildschirm.")</f>
        <v>Wir sehen den Schlussbildschirm.</v>
      </c>
    </row>
    <row r="1976">
      <c r="A1976" s="4" t="s">
        <v>2487</v>
      </c>
      <c r="B1976" s="4" t="s">
        <v>2488</v>
      </c>
      <c r="C1976" s="5" t="str">
        <f>IFERROR(__xludf.DUMMYFUNCTION("GOOGLETRANSLATE(B1976,""en"",""de"")"),"Ein älterer Mann stellt seine Kamera auf und geht dann los, um auf seinen Reitmäher zu steigen.")</f>
        <v>Ein älterer Mann stellt seine Kamera auf und geht dann los, um auf seinen Reitmäher zu steigen.</v>
      </c>
    </row>
    <row r="1977">
      <c r="A1977" s="4" t="s">
        <v>2487</v>
      </c>
      <c r="B1977" s="4" t="s">
        <v>2489</v>
      </c>
      <c r="C1977" s="5" t="str">
        <f>IFERROR(__xludf.DUMMYFUNCTION("GOOGLETRANSLATE(B1977,""en"",""de"")"),"Er erscheint auf der linken Seite den Bürgersteig hinunter, bis er seinen Rasen erreicht.")</f>
        <v>Er erscheint auf der linken Seite den Bürgersteig hinunter, bis er seinen Rasen erreicht.</v>
      </c>
    </row>
    <row r="1978">
      <c r="A1978" s="4" t="s">
        <v>2487</v>
      </c>
      <c r="B1978" s="4" t="s">
        <v>2490</v>
      </c>
      <c r="C1978" s="5" t="str">
        <f>IFERROR(__xludf.DUMMYFUNCTION("GOOGLETRANSLATE(B1978,""en"",""de"")"),"Er dreht sich um und beginnt durch das Gras zu arbeiten und geht im Kreis, bis er das Zentrum des Rasens erreicht.")</f>
        <v>Er dreht sich um und beginnt durch das Gras zu arbeiten und geht im Kreis, bis er das Zentrum des Rasens erreicht.</v>
      </c>
    </row>
    <row r="1979">
      <c r="A1979" s="4" t="s">
        <v>2487</v>
      </c>
      <c r="B1979" s="4" t="s">
        <v>2491</v>
      </c>
      <c r="C1979" s="5" t="str">
        <f>IFERROR(__xludf.DUMMYFUNCTION("GOOGLETRANSLATE(B1979,""en"",""de"")"),"Er geht dann zurück und erreicht einen kleinen Grasfleck, den er beim ersten Mal verpasst hat.")</f>
        <v>Er geht dann zurück und erreicht einen kleinen Grasfleck, den er beim ersten Mal verpasst hat.</v>
      </c>
    </row>
    <row r="1980">
      <c r="A1980" s="4" t="s">
        <v>2487</v>
      </c>
      <c r="B1980" s="4" t="s">
        <v>2492</v>
      </c>
      <c r="C1980" s="5" t="str">
        <f>IFERROR(__xludf.DUMMYFUNCTION("GOOGLETRANSLATE(B1980,""en"",""de"")"),"Er geht noch einmal durch und stellt sicher, dass er keine Plätze verpasst hat, und steigt von seinem Rasenmäher aus, um die Kamera auszuschalten.")</f>
        <v>Er geht noch einmal durch und stellt sicher, dass er keine Plätze verpasst hat, und steigt von seinem Rasenmäher aus, um die Kamera auszuschalten.</v>
      </c>
    </row>
    <row r="1981">
      <c r="A1981" s="4" t="s">
        <v>2493</v>
      </c>
      <c r="B1981" s="4" t="s">
        <v>2494</v>
      </c>
      <c r="C1981" s="5" t="str">
        <f>IFERROR(__xludf.DUMMYFUNCTION("GOOGLETRANSLATE(B1981,""en"",""de"")"),"Schneeflocken werden gezeigt, die auf den Bildschirm fallen, bevor wir einen Weihnachtsbaum sehen.")</f>
        <v>Schneeflocken werden gezeigt, die auf den Bildschirm fallen, bevor wir einen Weihnachtsbaum sehen.</v>
      </c>
    </row>
    <row r="1982">
      <c r="A1982" s="4" t="s">
        <v>2493</v>
      </c>
      <c r="B1982" s="4" t="s">
        <v>2495</v>
      </c>
      <c r="C1982" s="5" t="str">
        <f>IFERROR(__xludf.DUMMYFUNCTION("GOOGLETRANSLATE(B1982,""en"",""de"")"),"Eine Frau spricht, bevor sie anfängt, den Baum vorzubereiten und zu dekorieren.")</f>
        <v>Eine Frau spricht, bevor sie anfängt, den Baum vorzubereiten und zu dekorieren.</v>
      </c>
    </row>
    <row r="1983">
      <c r="A1983" s="4" t="s">
        <v>2493</v>
      </c>
      <c r="B1983" s="4" t="s">
        <v>2496</v>
      </c>
      <c r="C1983" s="5" t="str">
        <f>IFERROR(__xludf.DUMMYFUNCTION("GOOGLETRANSLATE(B1983,""en"",""de"")"),"Sie wendet eine Fülle von Ornamenten und Lichtern an, und der Baum wird verschiedene Dekorationszustände gezeigt.")</f>
        <v>Sie wendet eine Fülle von Ornamenten und Lichtern an, und der Baum wird verschiedene Dekorationszustände gezeigt.</v>
      </c>
    </row>
    <row r="1984">
      <c r="A1984" s="4" t="s">
        <v>2497</v>
      </c>
      <c r="B1984" s="4" t="s">
        <v>2498</v>
      </c>
      <c r="C1984" s="5" t="str">
        <f>IFERROR(__xludf.DUMMYFUNCTION("GOOGLETRANSLATE(B1984,""en"",""de"")"),"Zwei Menschen stehen in einem Fitnessstudio, das einen Birdie zueinander schlägt.")</f>
        <v>Zwei Menschen stehen in einem Fitnessstudio, das einen Birdie zueinander schlägt.</v>
      </c>
    </row>
    <row r="1985">
      <c r="A1985" s="4" t="s">
        <v>2497</v>
      </c>
      <c r="B1985" s="4" t="s">
        <v>2499</v>
      </c>
      <c r="C1985" s="5" t="str">
        <f>IFERROR(__xludf.DUMMYFUNCTION("GOOGLETRANSLATE(B1985,""en"",""de"")"),"Die Männer trafen das Objekt zurück und vierten, während andere nebenbei zuschauen.")</f>
        <v>Die Männer trafen das Objekt zurück und vierten, während andere nebenbei zuschauen.</v>
      </c>
    </row>
    <row r="1986">
      <c r="A1986" s="4" t="s">
        <v>2497</v>
      </c>
      <c r="B1986" s="4" t="s">
        <v>2500</v>
      </c>
      <c r="C1986" s="5" t="str">
        <f>IFERROR(__xludf.DUMMYFUNCTION("GOOGLETRANSLATE(B1986,""en"",""de"")"),"Die Leute sehen weiterhin die beiden Spiele und eine von der Seite nimmt sein Hemd aus.")</f>
        <v>Die Leute sehen weiterhin die beiden Spiele und eine von der Seite nimmt sein Hemd aus.</v>
      </c>
    </row>
    <row r="1987">
      <c r="A1987" s="4" t="s">
        <v>2501</v>
      </c>
      <c r="B1987" s="4" t="s">
        <v>2502</v>
      </c>
      <c r="C1987" s="5" t="str">
        <f>IFERROR(__xludf.DUMMYFUNCTION("GOOGLETRANSLATE(B1987,""en"",""de"")"),"Eine Gruppe von Menschen spielt draußen ein Krocketspiel im Hof.")</f>
        <v>Eine Gruppe von Menschen spielt draußen ein Krocketspiel im Hof.</v>
      </c>
    </row>
    <row r="1988">
      <c r="A1988" s="4" t="s">
        <v>2501</v>
      </c>
      <c r="B1988" s="4" t="s">
        <v>2503</v>
      </c>
      <c r="C1988" s="5" t="str">
        <f>IFERROR(__xludf.DUMMYFUNCTION("GOOGLETRANSLATE(B1988,""en"",""de"")"),"Eine der Frauen in einem Kirt hat ihre Hand hinter ihrem Rücken, als sie sie spielen zu sehen.")</f>
        <v>Eine der Frauen in einem Kirt hat ihre Hand hinter ihrem Rücken, als sie sie spielen zu sehen.</v>
      </c>
    </row>
    <row r="1989">
      <c r="A1989" s="4" t="s">
        <v>2501</v>
      </c>
      <c r="B1989" s="4" t="s">
        <v>2504</v>
      </c>
      <c r="C1989" s="5" t="str">
        <f>IFERROR(__xludf.DUMMYFUNCTION("GOOGLETRANSLATE(B1989,""en"",""de"")"),"Die andere Frau ist die einzige Frau, die sie spielt, sie dreht sich an und dann geht es zurück zu den Männern.")</f>
        <v>Die andere Frau ist die einzige Frau, die sie spielt, sie dreht sich an und dann geht es zurück zu den Männern.</v>
      </c>
    </row>
    <row r="1990">
      <c r="A1990" s="4" t="s">
        <v>2501</v>
      </c>
      <c r="B1990" s="4" t="s">
        <v>2505</v>
      </c>
      <c r="C1990" s="5" t="str">
        <f>IFERROR(__xludf.DUMMYFUNCTION("GOOGLETRANSLATE(B1990,""en"",""de"")"),"Der Mann in Sandalen schlug den schwarzen Ball und dann ist es wieder die Frau.")</f>
        <v>Der Mann in Sandalen schlug den schwarzen Ball und dann ist es wieder die Frau.</v>
      </c>
    </row>
    <row r="1991">
      <c r="A1991" s="4" t="s">
        <v>2506</v>
      </c>
      <c r="B1991" s="4" t="s">
        <v>2507</v>
      </c>
      <c r="C1991" s="5" t="str">
        <f>IFERROR(__xludf.DUMMYFUNCTION("GOOGLETRANSLATE(B1991,""en"",""de"")"),"Ein Mann geht auf und nimmt ein Gewicht auf.")</f>
        <v>Ein Mann geht auf und nimmt ein Gewicht auf.</v>
      </c>
    </row>
    <row r="1992">
      <c r="A1992" s="4" t="s">
        <v>2506</v>
      </c>
      <c r="B1992" s="4" t="s">
        <v>2508</v>
      </c>
      <c r="C1992" s="5" t="str">
        <f>IFERROR(__xludf.DUMMYFUNCTION("GOOGLETRANSLATE(B1992,""en"",""de"")"),"Er hebt es bis zu seinen Schultern und dann über den Kopf.")</f>
        <v>Er hebt es bis zu seinen Schultern und dann über den Kopf.</v>
      </c>
    </row>
    <row r="1993">
      <c r="A1993" s="4" t="s">
        <v>2506</v>
      </c>
      <c r="B1993" s="4" t="s">
        <v>2509</v>
      </c>
      <c r="C1993" s="5" t="str">
        <f>IFERROR(__xludf.DUMMYFUNCTION("GOOGLETRANSLATE(B1993,""en"",""de"")"),"Eine Person steht auf und legt seine Faust in die Luft.")</f>
        <v>Eine Person steht auf und legt seine Faust in die Luft.</v>
      </c>
    </row>
    <row r="1994">
      <c r="A1994" s="4" t="s">
        <v>2506</v>
      </c>
      <c r="B1994" s="4" t="s">
        <v>2510</v>
      </c>
      <c r="C1994" s="5" t="str">
        <f>IFERROR(__xludf.DUMMYFUNCTION("GOOGLETRANSLATE(B1994,""en"",""de"")"),"Ein anderer Mann neben ihm nimmt ein Gewicht auf und hebt es über seinen Kopf.")</f>
        <v>Ein anderer Mann neben ihm nimmt ein Gewicht auf und hebt es über seinen Kopf.</v>
      </c>
    </row>
    <row r="1995">
      <c r="A1995" s="4" t="s">
        <v>2506</v>
      </c>
      <c r="B1995" s="4" t="s">
        <v>2511</v>
      </c>
      <c r="C1995" s="5" t="str">
        <f>IFERROR(__xludf.DUMMYFUNCTION("GOOGLETRANSLATE(B1995,""en"",""de"")"),"Die Männer schütteln die Hand, bevor sie weggehen.")</f>
        <v>Die Männer schütteln die Hand, bevor sie weggehen.</v>
      </c>
    </row>
    <row r="1996">
      <c r="A1996" s="4" t="s">
        <v>2512</v>
      </c>
      <c r="B1996" s="4" t="s">
        <v>2513</v>
      </c>
      <c r="C1996" s="5" t="str">
        <f>IFERROR(__xludf.DUMMYFUNCTION("GOOGLETRANSLATE(B1996,""en"",""de"")"),"Ein Mann steht in einer Sandgrube und beginnt sich zu drehen und das Objekt zu werfen.")</f>
        <v>Ein Mann steht in einer Sandgrube und beginnt sich zu drehen und das Objekt zu werfen.</v>
      </c>
    </row>
    <row r="1997">
      <c r="A1997" s="4" t="s">
        <v>2512</v>
      </c>
      <c r="B1997" s="4" t="s">
        <v>2514</v>
      </c>
      <c r="C1997" s="5" t="str">
        <f>IFERROR(__xludf.DUMMYFUNCTION("GOOGLETRANSLATE(B1997,""en"",""de"")"),"Der Mann wird mehrmals herumgedreht und das Objekt in die Ferne werfen.")</f>
        <v>Der Mann wird mehrmals herumgedreht und das Objekt in die Ferne werfen.</v>
      </c>
    </row>
    <row r="1998">
      <c r="A1998" s="4" t="s">
        <v>2515</v>
      </c>
      <c r="B1998" s="4" t="s">
        <v>2516</v>
      </c>
      <c r="C1998" s="5" t="str">
        <f>IFERROR(__xludf.DUMMYFUNCTION("GOOGLETRANSLATE(B1998,""en"",""de"")"),"Eine Fahrradfirma zeigt ihre Fahrräder und wie man sie repariert.")</f>
        <v>Eine Fahrradfirma zeigt ihre Fahrräder und wie man sie repariert.</v>
      </c>
    </row>
    <row r="1999">
      <c r="A1999" s="4" t="s">
        <v>2515</v>
      </c>
      <c r="B1999" s="4" t="s">
        <v>2517</v>
      </c>
      <c r="C1999" s="5" t="str">
        <f>IFERROR(__xludf.DUMMYFUNCTION("GOOGLETRANSLATE(B1999,""en"",""de"")"),"Es gibt ein Intro des Logos des Fahrradunternehmens.")</f>
        <v>Es gibt ein Intro des Logos des Fahrradunternehmens.</v>
      </c>
    </row>
    <row r="2000">
      <c r="A2000" s="4" t="s">
        <v>2515</v>
      </c>
      <c r="B2000" s="4" t="s">
        <v>2518</v>
      </c>
      <c r="C2000" s="5" t="str">
        <f>IFERROR(__xludf.DUMMYFUNCTION("GOOGLETRANSLATE(B2000,""en"",""de"")"),"Dann spricht ein Mann schnell über die Fahrräder.")</f>
        <v>Dann spricht ein Mann schnell über die Fahrräder.</v>
      </c>
    </row>
    <row r="2001">
      <c r="A2001" s="4" t="s">
        <v>2515</v>
      </c>
      <c r="B2001" s="4" t="s">
        <v>2519</v>
      </c>
      <c r="C2001" s="5" t="str">
        <f>IFERROR(__xludf.DUMMYFUNCTION("GOOGLETRANSLATE(B2001,""en"",""de"")"),"Eine Person mit Handschuhen zeigt dann einige Werkzeuge und Paste.")</f>
        <v>Eine Person mit Handschuhen zeigt dann einige Werkzeuge und Paste.</v>
      </c>
    </row>
    <row r="2002">
      <c r="A2002" s="4" t="s">
        <v>2515</v>
      </c>
      <c r="B2002" s="4" t="s">
        <v>2520</v>
      </c>
      <c r="C2002" s="5" t="str">
        <f>IFERROR(__xludf.DUMMYFUNCTION("GOOGLETRANSLATE(B2002,""en"",""de"")"),"Anschließend verwendet er die Werkzeuge und einfügen er, um den Griff des Fahrrads zu reparieren.")</f>
        <v>Anschließend verwendet er die Werkzeuge und einfügen er, um den Griff des Fahrrads zu reparieren.</v>
      </c>
    </row>
    <row r="2003">
      <c r="A2003" s="4" t="s">
        <v>2515</v>
      </c>
      <c r="B2003" s="4" t="s">
        <v>2521</v>
      </c>
      <c r="C2003" s="5" t="str">
        <f>IFERROR(__xludf.DUMMYFUNCTION("GOOGLETRANSLATE(B2003,""en"",""de"")"),"Die Person zeigt dann das fertige Produkt eines voll einstellbaren Griffs.")</f>
        <v>Die Person zeigt dann das fertige Produkt eines voll einstellbaren Griffs.</v>
      </c>
    </row>
    <row r="2004">
      <c r="A2004" s="4" t="s">
        <v>2515</v>
      </c>
      <c r="B2004" s="4" t="s">
        <v>2522</v>
      </c>
      <c r="C2004" s="5" t="str">
        <f>IFERROR(__xludf.DUMMYFUNCTION("GOOGLETRANSLATE(B2004,""en"",""de"")"),"Der Endbildschirm zeigt das Logo des Fahrradunternehmens erneut.")</f>
        <v>Der Endbildschirm zeigt das Logo des Fahrradunternehmens erneut.</v>
      </c>
    </row>
    <row r="2005">
      <c r="A2005" s="4" t="s">
        <v>2523</v>
      </c>
      <c r="B2005" s="4" t="s">
        <v>2524</v>
      </c>
      <c r="C2005" s="5" t="str">
        <f>IFERROR(__xludf.DUMMYFUNCTION("GOOGLETRANSLATE(B2005,""en"",""de"")"),"Eine Person in blauen Hosen stützt sich, um einen Mann in einem rosa Anzug zu fahren.")</f>
        <v>Eine Person in blauen Hosen stützt sich, um einen Mann in einem rosa Anzug zu fahren.</v>
      </c>
    </row>
    <row r="2006">
      <c r="A2006" s="4" t="s">
        <v>2523</v>
      </c>
      <c r="B2006" s="4" t="s">
        <v>2525</v>
      </c>
      <c r="C2006" s="5" t="str">
        <f>IFERROR(__xludf.DUMMYFUNCTION("GOOGLETRANSLATE(B2006,""en"",""de"")"),"Der Typ im rosa Anzug wird sich rächen.")</f>
        <v>Der Typ im rosa Anzug wird sich rächen.</v>
      </c>
    </row>
    <row r="2007">
      <c r="A2007" s="4" t="s">
        <v>2526</v>
      </c>
      <c r="B2007" s="4" t="s">
        <v>2527</v>
      </c>
      <c r="C2007" s="5" t="str">
        <f>IFERROR(__xludf.DUMMYFUNCTION("GOOGLETRANSLATE(B2007,""en"",""de"")"),"Eine große Gruppe von Menschen wird auf den Booten entlang des Wassers reiten.")</f>
        <v>Eine große Gruppe von Menschen wird auf den Booten entlang des Wassers reiten.</v>
      </c>
    </row>
    <row r="2008">
      <c r="A2008" s="4" t="s">
        <v>2526</v>
      </c>
      <c r="B2008" s="4" t="s">
        <v>2528</v>
      </c>
      <c r="C2008" s="5" t="str">
        <f>IFERROR(__xludf.DUMMYFUNCTION("GOOGLETRANSLATE(B2008,""en"",""de"")"),"Eine Person stürzt in eine andere und zeigt eine Person, die mit der Kamera spricht.")</f>
        <v>Eine Person stürzt in eine andere und zeigt eine Person, die mit der Kamera spricht.</v>
      </c>
    </row>
    <row r="2009">
      <c r="A2009" s="4" t="s">
        <v>2526</v>
      </c>
      <c r="B2009" s="4" t="s">
        <v>2529</v>
      </c>
      <c r="C2009" s="5" t="str">
        <f>IFERROR(__xludf.DUMMYFUNCTION("GOOGLETRANSLATE(B2009,""en"",""de"")"),"Weitere Clips werden von den Booten zusammen angezeigt und Logos werden gezeigt.")</f>
        <v>Weitere Clips werden von den Booten zusammen angezeigt und Logos werden gezeigt.</v>
      </c>
    </row>
    <row r="2010">
      <c r="A2010" s="4" t="s">
        <v>2530</v>
      </c>
      <c r="B2010" s="4" t="s">
        <v>2531</v>
      </c>
      <c r="C2010" s="5" t="str">
        <f>IFERROR(__xludf.DUMMYFUNCTION("GOOGLETRANSLATE(B2010,""en"",""de"")"),"Eine große Gruppe von Menschen steht in einer Strecke, die zu mehreren Menschen führt, die die Straße entlang laufen.")</f>
        <v>Eine große Gruppe von Menschen steht in einer Strecke, die zu mehreren Menschen führt, die die Straße entlang laufen.</v>
      </c>
    </row>
    <row r="2011">
      <c r="A2011" s="4" t="s">
        <v>2530</v>
      </c>
      <c r="B2011" s="4" t="s">
        <v>2532</v>
      </c>
      <c r="C2011" s="5" t="str">
        <f>IFERROR(__xludf.DUMMYFUNCTION("GOOGLETRANSLATE(B2011,""en"",""de"")"),"Eine Frau spricht mit der Kamera, während mehrere Menschen laufen und Wasser trinken.")</f>
        <v>Eine Frau spricht mit der Kamera, während mehrere Menschen laufen und Wasser trinken.</v>
      </c>
    </row>
    <row r="2012">
      <c r="A2012" s="4" t="s">
        <v>2530</v>
      </c>
      <c r="B2012" s="4" t="s">
        <v>2533</v>
      </c>
      <c r="C2012" s="5" t="str">
        <f>IFERROR(__xludf.DUMMYFUNCTION("GOOGLETRANSLATE(B2012,""en"",""de"")"),"Mehr Leute sprechen mit der Kamera, während sie zeigen, dass sie an verschiedenen Orten laufen.")</f>
        <v>Mehr Leute sprechen mit der Kamera, während sie zeigen, dass sie an verschiedenen Orten laufen.</v>
      </c>
    </row>
    <row r="2013">
      <c r="A2013" s="4" t="s">
        <v>2534</v>
      </c>
      <c r="B2013" s="4" t="s">
        <v>2535</v>
      </c>
      <c r="C2013" s="5" t="str">
        <f>IFERROR(__xludf.DUMMYFUNCTION("GOOGLETRANSLATE(B2013,""en"",""de"")"),"Es gibt fünf Damen, die Shuffleboard in einem Innenschiffeboard -Platz spielen.")</f>
        <v>Es gibt fünf Damen, die Shuffleboard in einem Innenschiffeboard -Platz spielen.</v>
      </c>
    </row>
    <row r="2014">
      <c r="A2014" s="4" t="s">
        <v>2534</v>
      </c>
      <c r="B2014" s="4" t="s">
        <v>2536</v>
      </c>
      <c r="C2014" s="5" t="str">
        <f>IFERROR(__xludf.DUMMYFUNCTION("GOOGLETRANSLATE(B2014,""en"",""de"")"),"Es gibt drei Frauen in Grün und zwei Frauen in cremefarbenen Hemden, die gegeneinander spielen.")</f>
        <v>Es gibt drei Frauen in Grün und zwei Frauen in cremefarbenen Hemden, die gegeneinander spielen.</v>
      </c>
    </row>
    <row r="2015">
      <c r="A2015" s="4" t="s">
        <v>2534</v>
      </c>
      <c r="B2015" s="4" t="s">
        <v>2537</v>
      </c>
      <c r="C2015" s="5" t="str">
        <f>IFERROR(__xludf.DUMMYFUNCTION("GOOGLETRANSLATE(B2015,""en"",""de"")"),"Eine Dame aus dem grünen Team beginnt, den Stock zu zielen, um den Puck zu schlagen, während ein anderes Teammitglied ihr hilft, die Pucks neu zu ordnen.")</f>
        <v>Eine Dame aus dem grünen Team beginnt, den Stock zu zielen, um den Puck zu schlagen, während ein anderes Teammitglied ihr hilft, die Pucks neu zu ordnen.</v>
      </c>
    </row>
    <row r="2016">
      <c r="A2016" s="4" t="s">
        <v>2534</v>
      </c>
      <c r="B2016" s="4" t="s">
        <v>2538</v>
      </c>
      <c r="C2016" s="5" t="str">
        <f>IFERROR(__xludf.DUMMYFUNCTION("GOOGLETRANSLATE(B2016,""en"",""de"")"),"Dann schießt sie den Puck mit dem Stock und tritt zurück, um ihrem Gegner eine Chance zu geben.")</f>
        <v>Dann schießt sie den Puck mit dem Stock und tritt zurück, um ihrem Gegner eine Chance zu geben.</v>
      </c>
    </row>
    <row r="2017">
      <c r="A2017" s="4" t="s">
        <v>2534</v>
      </c>
      <c r="B2017" s="4" t="s">
        <v>2539</v>
      </c>
      <c r="C2017" s="5" t="str">
        <f>IFERROR(__xludf.DUMMYFUNCTION("GOOGLETRANSLATE(B2017,""en"",""de"")"),"Ein Spieler aus dem Creme -Team schlägt dann mit ihrem Stock den Puck, ist aber nicht sehr erfolgreich.")</f>
        <v>Ein Spieler aus dem Creme -Team schlägt dann mit ihrem Stock den Puck, ist aber nicht sehr erfolgreich.</v>
      </c>
    </row>
    <row r="2018">
      <c r="A2018" s="4" t="s">
        <v>2534</v>
      </c>
      <c r="B2018" s="4" t="s">
        <v>2540</v>
      </c>
      <c r="C2018" s="5" t="str">
        <f>IFERROR(__xludf.DUMMYFUNCTION("GOOGLETRANSLATE(B2018,""en"",""de"")"),"Ein Mann tritt ein und ersetzt den Puck auf dem Shuffleboard.")</f>
        <v>Ein Mann tritt ein und ersetzt den Puck auf dem Shuffleboard.</v>
      </c>
    </row>
    <row r="2019">
      <c r="A2019" s="4" t="s">
        <v>2534</v>
      </c>
      <c r="B2019" s="4" t="s">
        <v>2541</v>
      </c>
      <c r="C2019" s="5" t="str">
        <f>IFERROR(__xludf.DUMMYFUNCTION("GOOGLETRANSLATE(B2019,""en"",""de"")"),"Dann tritt ein anderer Spieler aus dem Green Team ein, um zu spielen.")</f>
        <v>Dann tritt ein anderer Spieler aus dem Green Team ein, um zu spielen.</v>
      </c>
    </row>
    <row r="2020">
      <c r="A2020" s="4" t="s">
        <v>2542</v>
      </c>
      <c r="B2020" s="4" t="s">
        <v>2543</v>
      </c>
      <c r="C2020" s="5" t="str">
        <f>IFERROR(__xludf.DUMMYFUNCTION("GOOGLETRANSLATE(B2020,""en"",""de"")"),"Ein Mann trägt eine Schürze und steht in seiner Küche.")</f>
        <v>Ein Mann trägt eine Schürze und steht in seiner Küche.</v>
      </c>
    </row>
    <row r="2021">
      <c r="A2021" s="4" t="s">
        <v>2542</v>
      </c>
      <c r="B2021" s="4" t="s">
        <v>2544</v>
      </c>
      <c r="C2021" s="5" t="str">
        <f>IFERROR(__xludf.DUMMYFUNCTION("GOOGLETRANSLATE(B2021,""en"",""de"")"),"Es werden mehrere Lebensmittel in Schalen angezeigt.")</f>
        <v>Es werden mehrere Lebensmittel in Schalen angezeigt.</v>
      </c>
    </row>
    <row r="2022">
      <c r="A2022" s="4" t="s">
        <v>2542</v>
      </c>
      <c r="B2022" s="4" t="s">
        <v>2545</v>
      </c>
      <c r="C2022" s="5" t="str">
        <f>IFERROR(__xludf.DUMMYFUNCTION("GOOGLETRANSLATE(B2022,""en"",""de"")"),"Eine weiße Schüssel ist mit Zucker, Eiern und Erdnussbutter gefüllt und dann gemischt.")</f>
        <v>Eine weiße Schüssel ist mit Zucker, Eiern und Erdnussbutter gefüllt und dann gemischt.</v>
      </c>
    </row>
    <row r="2023">
      <c r="A2023" s="4" t="s">
        <v>2542</v>
      </c>
      <c r="B2023" s="4" t="s">
        <v>2546</v>
      </c>
      <c r="C2023" s="5" t="str">
        <f>IFERROR(__xludf.DUMMYFUNCTION("GOOGLETRANSLATE(B2023,""en"",""de"")"),"Er drückt Keksteigbälle auf eine Pfanne und backt sie.")</f>
        <v>Er drückt Keksteigbälle auf eine Pfanne und backt sie.</v>
      </c>
    </row>
    <row r="2024">
      <c r="A2024" s="4" t="s">
        <v>2542</v>
      </c>
      <c r="B2024" s="4" t="s">
        <v>2547</v>
      </c>
      <c r="C2024" s="5" t="str">
        <f>IFERROR(__xludf.DUMMYFUNCTION("GOOGLETRANSLATE(B2024,""en"",""de"")"),"Er isst einen der Kekse für die Kamera, während er darüber spricht.")</f>
        <v>Er isst einen der Kekse für die Kamera, während er darüber spricht.</v>
      </c>
    </row>
    <row r="2025">
      <c r="A2025" s="4" t="s">
        <v>2548</v>
      </c>
      <c r="B2025" s="4" t="s">
        <v>2549</v>
      </c>
      <c r="C2025" s="5" t="str">
        <f>IFERROR(__xludf.DUMMYFUNCTION("GOOGLETRANSLATE(B2025,""en"",""de"")"),"Eine Frau mit kurzen blonden Haaren sitzt auf einem Stuhl und redet.")</f>
        <v>Eine Frau mit kurzen blonden Haaren sitzt auf einem Stuhl und redet.</v>
      </c>
    </row>
    <row r="2026">
      <c r="A2026" s="4" t="s">
        <v>2548</v>
      </c>
      <c r="B2026" s="4" t="s">
        <v>2550</v>
      </c>
      <c r="C2026" s="5" t="str">
        <f>IFERROR(__xludf.DUMMYFUNCTION("GOOGLETRANSLATE(B2026,""en"",""de"")"),"Sie hält einen Haarbummel hoch und steckt ihn in ihre Haare.")</f>
        <v>Sie hält einen Haarbummel hoch und steckt ihn in ihre Haare.</v>
      </c>
    </row>
    <row r="2027">
      <c r="A2027" s="4" t="s">
        <v>2548</v>
      </c>
      <c r="B2027" s="4" t="s">
        <v>2551</v>
      </c>
      <c r="C2027" s="5" t="str">
        <f>IFERROR(__xludf.DUMMYFUNCTION("GOOGLETRANSLATE(B2027,""en"",""de"")"),"Sie nimmt es heraus und redet weiter.")</f>
        <v>Sie nimmt es heraus und redet weiter.</v>
      </c>
    </row>
    <row r="2028">
      <c r="A2028" s="4" t="s">
        <v>2552</v>
      </c>
      <c r="B2028" s="4" t="s">
        <v>2553</v>
      </c>
      <c r="C2028" s="5" t="str">
        <f>IFERROR(__xludf.DUMMYFUNCTION("GOOGLETRANSLATE(B2028,""en"",""de"")"),"Eine Nahaufnahme eines Mannes hält eine Kaffeetasse mit und führt ihn zu einem Schluck.")</f>
        <v>Eine Nahaufnahme eines Mannes hält eine Kaffeetasse mit und führt ihn zu einem Schluck.</v>
      </c>
    </row>
    <row r="2029">
      <c r="A2029" s="4" t="s">
        <v>2552</v>
      </c>
      <c r="B2029" s="4" t="s">
        <v>2554</v>
      </c>
      <c r="C2029" s="5" t="str">
        <f>IFERROR(__xludf.DUMMYFUNCTION("GOOGLETRANSLATE(B2029,""en"",""de"")"),"Er nickt mit dem Kaffee mit dem Kopf mit dem Kopf und trinkt erneut mehr Kaffee neben einer Person.")</f>
        <v>Er nickt mit dem Kaffee mit dem Kopf mit dem Kopf und trinkt erneut mehr Kaffee neben einer Person.</v>
      </c>
    </row>
    <row r="2030">
      <c r="A2030" s="4" t="s">
        <v>2555</v>
      </c>
      <c r="B2030" s="4" t="s">
        <v>2556</v>
      </c>
      <c r="C2030" s="5" t="str">
        <f>IFERROR(__xludf.DUMMYFUNCTION("GOOGLETRANSLATE(B2030,""en"",""de"")"),"Zwei Männer segeln auf dem blauen Wasser mit ihrem weißen Boot mit weißen Flaggen, dann vermieden sie die Bojen auf dem Wasser.")</f>
        <v>Zwei Männer segeln auf dem blauen Wasser mit ihrem weißen Boot mit weißen Flaggen, dann vermieden sie die Bojen auf dem Wasser.</v>
      </c>
    </row>
    <row r="2031">
      <c r="A2031" s="4" t="s">
        <v>2555</v>
      </c>
      <c r="B2031" s="4" t="s">
        <v>2557</v>
      </c>
      <c r="C2031" s="5" t="str">
        <f>IFERROR(__xludf.DUMMYFUNCTION("GOOGLETRANSLATE(B2031,""en"",""de"")"),"Ein Plan, der auf einem weißen Papier mit schwarzem Stift geschrieben wurde, und dann wird der Plan in Aktion gebracht, wenn das weiße Boot auf dem Wasser segelt und sich umdreht.")</f>
        <v>Ein Plan, der auf einem weißen Papier mit schwarzem Stift geschrieben wurde, und dann wird der Plan in Aktion gebracht, wenn das weiße Boot auf dem Wasser segelt und sich umdreht.</v>
      </c>
    </row>
    <row r="2032">
      <c r="A2032" s="4" t="s">
        <v>2558</v>
      </c>
      <c r="B2032" s="4" t="s">
        <v>2559</v>
      </c>
      <c r="C2032" s="5" t="str">
        <f>IFERROR(__xludf.DUMMYFUNCTION("GOOGLETRANSLATE(B2032,""en"",""de"")"),"Ein Mann und ein Junge gehen um ein Holzfeuer um und tragen Corned -Hüte, während eine Menge im Kreis steht.")</f>
        <v>Ein Mann und ein Junge gehen um ein Holzfeuer um und tragen Corned -Hüte, während eine Menge im Kreis steht.</v>
      </c>
    </row>
    <row r="2033">
      <c r="A2033" s="4" t="s">
        <v>2558</v>
      </c>
      <c r="B2033" s="4" t="s">
        <v>2560</v>
      </c>
      <c r="C2033" s="5" t="str">
        <f>IFERROR(__xludf.DUMMYFUNCTION("GOOGLETRANSLATE(B2033,""en"",""de"")"),"Dann steht der Mann und spricht mit Menschen.")</f>
        <v>Dann steht der Mann und spricht mit Menschen.</v>
      </c>
    </row>
    <row r="2034">
      <c r="A2034" s="4" t="s">
        <v>2558</v>
      </c>
      <c r="B2034" s="4" t="s">
        <v>2561</v>
      </c>
      <c r="C2034" s="5" t="str">
        <f>IFERROR(__xludf.DUMMYFUNCTION("GOOGLETRANSLATE(B2034,""en"",""de"")"),"Plötzlich kommen Feuer und Rauch mit Funkeln aus dem Holzfeuer heraus.")</f>
        <v>Plötzlich kommen Feuer und Rauch mit Funkeln aus dem Holzfeuer heraus.</v>
      </c>
    </row>
    <row r="2035">
      <c r="A2035" s="4" t="s">
        <v>2562</v>
      </c>
      <c r="B2035" s="4" t="s">
        <v>2563</v>
      </c>
      <c r="C2035" s="5" t="str">
        <f>IFERROR(__xludf.DUMMYFUNCTION("GOOGLETRANSLATE(B2035,""en"",""de"")"),"Mehrere Personen werden auf einer Party gezeigt, die verschiedene Spiele spielt und Spaß hat.")</f>
        <v>Mehrere Personen werden auf einer Party gezeigt, die verschiedene Spiele spielt und Spaß hat.</v>
      </c>
    </row>
    <row r="2036">
      <c r="A2036" s="4" t="s">
        <v>2562</v>
      </c>
      <c r="B2036" s="4" t="s">
        <v>2564</v>
      </c>
      <c r="C2036" s="5" t="str">
        <f>IFERROR(__xludf.DUMMYFUNCTION("GOOGLETRANSLATE(B2036,""en"",""de"")"),"Ein Mann beginnt mit einer der Frauen zu sprechen, während sie eines der Spiele spielt.")</f>
        <v>Ein Mann beginnt mit einer der Frauen zu sprechen, während sie eines der Spiele spielt.</v>
      </c>
    </row>
    <row r="2037">
      <c r="A2037" s="4" t="s">
        <v>2562</v>
      </c>
      <c r="B2037" s="4" t="s">
        <v>2565</v>
      </c>
      <c r="C2037" s="5" t="str">
        <f>IFERROR(__xludf.DUMMYFUNCTION("GOOGLETRANSLATE(B2037,""en"",""de"")"),"Das Spiel beginnt sich erhitzt, während einige der Frauen lachen und scherzen.")</f>
        <v>Das Spiel beginnt sich erhitzt, während einige der Frauen lachen und scherzen.</v>
      </c>
    </row>
    <row r="2038">
      <c r="A2038" s="4" t="s">
        <v>2562</v>
      </c>
      <c r="B2038" s="4" t="s">
        <v>2566</v>
      </c>
      <c r="C2038" s="5" t="str">
        <f>IFERROR(__xludf.DUMMYFUNCTION("GOOGLETRANSLATE(B2038,""en"",""de"")"),"Eine der Frauen macht ein Foto von den lachenden Frauen, die das Spiel spielen.")</f>
        <v>Eine der Frauen macht ein Foto von den lachenden Frauen, die das Spiel spielen.</v>
      </c>
    </row>
    <row r="2039">
      <c r="A2039" s="4" t="s">
        <v>2562</v>
      </c>
      <c r="B2039" s="4" t="s">
        <v>2567</v>
      </c>
      <c r="C2039" s="5" t="str">
        <f>IFERROR(__xludf.DUMMYFUNCTION("GOOGLETRANSLATE(B2039,""en"",""de"")"),"Ein Mann hilft, wenn die Frauen versuchen, das Spiel zu spielen.")</f>
        <v>Ein Mann hilft, wenn die Frauen versuchen, das Spiel zu spielen.</v>
      </c>
    </row>
    <row r="2040">
      <c r="A2040" s="4" t="s">
        <v>2568</v>
      </c>
      <c r="B2040" s="4" t="s">
        <v>1487</v>
      </c>
      <c r="C2040" s="5" t="str">
        <f>IFERROR(__xludf.DUMMYFUNCTION("GOOGLETRANSLATE(B2040,""en"",""de"")"),"Wir sehen einen Öffnungsbildschirm.")</f>
        <v>Wir sehen einen Öffnungsbildschirm.</v>
      </c>
    </row>
    <row r="2041">
      <c r="A2041" s="4" t="s">
        <v>2568</v>
      </c>
      <c r="B2041" s="4" t="s">
        <v>2569</v>
      </c>
      <c r="C2041" s="5" t="str">
        <f>IFERROR(__xludf.DUMMYFUNCTION("GOOGLETRANSLATE(B2041,""en"",""de"")"),"Wir sehen einen Mann in einem Friseurladen und sehen Bilder des Ladens.")</f>
        <v>Wir sehen einen Mann in einem Friseurladen und sehen Bilder des Ladens.</v>
      </c>
    </row>
    <row r="2042">
      <c r="A2042" s="4" t="s">
        <v>2568</v>
      </c>
      <c r="B2042" s="4" t="s">
        <v>2570</v>
      </c>
      <c r="C2042" s="5" t="str">
        <f>IFERROR(__xludf.DUMMYFUNCTION("GOOGLETRANSLATE(B2042,""en"",""de"")"),"Der Friseur spricht mit Szenen eines Friseurladens geschnitten.")</f>
        <v>Der Friseur spricht mit Szenen eines Friseurladens geschnitten.</v>
      </c>
    </row>
    <row r="2043">
      <c r="A2043" s="4" t="s">
        <v>2568</v>
      </c>
      <c r="B2043" s="4" t="s">
        <v>2571</v>
      </c>
      <c r="C2043" s="5" t="str">
        <f>IFERROR(__xludf.DUMMYFUNCTION("GOOGLETRANSLATE(B2043,""en"",""de"")"),"Wir sehen eine Flagge der Union Jack auf dem Arm eines Stuhls.")</f>
        <v>Wir sehen eine Flagge der Union Jack auf dem Arm eines Stuhls.</v>
      </c>
    </row>
    <row r="2044">
      <c r="A2044" s="4" t="s">
        <v>2568</v>
      </c>
      <c r="B2044" s="4" t="s">
        <v>2572</v>
      </c>
      <c r="C2044" s="5" t="str">
        <f>IFERROR(__xludf.DUMMYFUNCTION("GOOGLETRANSLATE(B2044,""en"",""de"")"),"Ein großer Hund geht durch den Raum.")</f>
        <v>Ein großer Hund geht durch den Raum.</v>
      </c>
    </row>
    <row r="2045">
      <c r="A2045" s="4" t="s">
        <v>2568</v>
      </c>
      <c r="B2045" s="4" t="s">
        <v>2573</v>
      </c>
      <c r="C2045" s="5" t="str">
        <f>IFERROR(__xludf.DUMMYFUNCTION("GOOGLETRANSLATE(B2045,""en"",""de"")"),"Wir sehen den Mann, der einen Mann mit einem geraden Rasiermesser rasiert.")</f>
        <v>Wir sehen den Mann, der einen Mann mit einem geraden Rasiermesser rasiert.</v>
      </c>
    </row>
    <row r="2046">
      <c r="A2046" s="4" t="s">
        <v>2568</v>
      </c>
      <c r="B2046" s="4" t="s">
        <v>777</v>
      </c>
      <c r="C2046" s="5" t="str">
        <f>IFERROR(__xludf.DUMMYFUNCTION("GOOGLETRANSLATE(B2046,""en"",""de"")"),"Wir sehen den End -Titelbildschirm.")</f>
        <v>Wir sehen den End -Titelbildschirm.</v>
      </c>
    </row>
    <row r="2047">
      <c r="A2047" s="4" t="s">
        <v>2574</v>
      </c>
      <c r="B2047" s="4" t="s">
        <v>2575</v>
      </c>
      <c r="C2047" s="5" t="str">
        <f>IFERROR(__xludf.DUMMYFUNCTION("GOOGLETRANSLATE(B2047,""en"",""de"")"),"Ein Mann sitzt vor einer Leinwand.")</f>
        <v>Ein Mann sitzt vor einer Leinwand.</v>
      </c>
    </row>
    <row r="2048">
      <c r="A2048" s="4" t="s">
        <v>2574</v>
      </c>
      <c r="B2048" s="4" t="s">
        <v>2576</v>
      </c>
      <c r="C2048" s="5" t="str">
        <f>IFERROR(__xludf.DUMMYFUNCTION("GOOGLETRANSLATE(B2048,""en"",""de"")"),"Er benutzt eine Palette, um eine Ombre -Szene zu malen.")</f>
        <v>Er benutzt eine Palette, um eine Ombre -Szene zu malen.</v>
      </c>
    </row>
    <row r="2049">
      <c r="A2049" s="4" t="s">
        <v>2574</v>
      </c>
      <c r="B2049" s="4" t="s">
        <v>2577</v>
      </c>
      <c r="C2049" s="5" t="str">
        <f>IFERROR(__xludf.DUMMYFUNCTION("GOOGLETRANSLATE(B2049,""en"",""de"")"),"Dann deckt er den Ombre zu einer Silhouette eines Baumes auf einem Hügel ab.")</f>
        <v>Dann deckt er den Ombre zu einer Silhouette eines Baumes auf einem Hügel ab.</v>
      </c>
    </row>
    <row r="2050">
      <c r="A2050" s="4" t="s">
        <v>2578</v>
      </c>
      <c r="B2050" s="4" t="s">
        <v>2579</v>
      </c>
      <c r="C2050" s="5" t="str">
        <f>IFERROR(__xludf.DUMMYFUNCTION("GOOGLETRANSLATE(B2050,""en"",""de"")"),"Ein schwarzer Bildschirm ist sichtbar und weiße Wörter beginnen zu erscheinen.")</f>
        <v>Ein schwarzer Bildschirm ist sichtbar und weiße Wörter beginnen zu erscheinen.</v>
      </c>
    </row>
    <row r="2051">
      <c r="A2051" s="4" t="s">
        <v>2578</v>
      </c>
      <c r="B2051" s="4" t="s">
        <v>2580</v>
      </c>
      <c r="C2051" s="5" t="str">
        <f>IFERROR(__xludf.DUMMYFUNCTION("GOOGLETRANSLATE(B2051,""en"",""de"")"),"Als nächstes stehen eine Linie von zehn Jungen, die draußen in einem großen Grasfeld zusammen stehen.")</f>
        <v>Als nächstes stehen eine Linie von zehn Jungen, die draußen in einem großen Grasfeld zusammen stehen.</v>
      </c>
    </row>
    <row r="2052">
      <c r="A2052" s="4" t="s">
        <v>2578</v>
      </c>
      <c r="B2052" s="4" t="s">
        <v>2581</v>
      </c>
      <c r="C2052" s="5" t="str">
        <f>IFERROR(__xludf.DUMMYFUNCTION("GOOGLETRANSLATE(B2052,""en"",""de"")"),"Die Jungen bilden einen Kreis und lehnen sich in einer Loungeposition nach links, um zu trainieren.")</f>
        <v>Die Jungen bilden einen Kreis und lehnen sich in einer Loungeposition nach links, um zu trainieren.</v>
      </c>
    </row>
    <row r="2053">
      <c r="A2053" s="4" t="s">
        <v>2578</v>
      </c>
      <c r="B2053" s="4" t="s">
        <v>2582</v>
      </c>
      <c r="C2053" s="5" t="str">
        <f>IFERROR(__xludf.DUMMYFUNCTION("GOOGLETRANSLATE(B2053,""en"",""de"")"),"Wenn sie fertig sind, ziehen sie an, Kriegsschlepper zu ziehen und der Mann auf der linken Seite mit schwarzem Anzug gewinnt.")</f>
        <v>Wenn sie fertig sind, ziehen sie an, Kriegsschlepper zu ziehen und der Mann auf der linken Seite mit schwarzem Anzug gewinnt.</v>
      </c>
    </row>
    <row r="2054">
      <c r="A2054" s="4" t="s">
        <v>2578</v>
      </c>
      <c r="B2054" s="4" t="s">
        <v>2583</v>
      </c>
      <c r="C2054" s="5" t="str">
        <f>IFERROR(__xludf.DUMMYFUNCTION("GOOGLETRANSLATE(B2054,""en"",""de"")"),"Eine andere Gruppe von Jungen wird gezeigt und sich in Anstrengungen abbauen, um das Spiel zu gewinnen.")</f>
        <v>Eine andere Gruppe von Jungen wird gezeigt und sich in Anstrengungen abbauen, um das Spiel zu gewinnen.</v>
      </c>
    </row>
    <row r="2055">
      <c r="A2055" s="4" t="s">
        <v>2584</v>
      </c>
      <c r="B2055" s="4" t="s">
        <v>2585</v>
      </c>
      <c r="C2055" s="5" t="str">
        <f>IFERROR(__xludf.DUMMYFUNCTION("GOOGLETRANSLATE(B2055,""en"",""de"")"),"Wir sehen einen Ausbilder, der eine Aerobic -Klasse leitet.")</f>
        <v>Wir sehen einen Ausbilder, der eine Aerobic -Klasse leitet.</v>
      </c>
    </row>
    <row r="2056">
      <c r="A2056" s="4" t="s">
        <v>2584</v>
      </c>
      <c r="B2056" s="4" t="s">
        <v>2586</v>
      </c>
      <c r="C2056" s="5" t="str">
        <f>IFERROR(__xludf.DUMMYFUNCTION("GOOGLETRANSLATE(B2056,""en"",""de"")"),"Die Leute tanzen knallende Taillen.")</f>
        <v>Die Leute tanzen knallende Taillen.</v>
      </c>
    </row>
    <row r="2057">
      <c r="A2057" s="4" t="s">
        <v>2584</v>
      </c>
      <c r="B2057" s="4" t="s">
        <v>2587</v>
      </c>
      <c r="C2057" s="5" t="str">
        <f>IFERROR(__xludf.DUMMYFUNCTION("GOOGLETRANSLATE(B2057,""en"",""de"")"),"Die Leute gehen hin und her.")</f>
        <v>Die Leute gehen hin und her.</v>
      </c>
    </row>
    <row r="2058">
      <c r="A2058" s="4" t="s">
        <v>2584</v>
      </c>
      <c r="B2058" s="4" t="s">
        <v>2588</v>
      </c>
      <c r="C2058" s="5" t="str">
        <f>IFERROR(__xludf.DUMMYFUNCTION("GOOGLETRANSLATE(B2058,""en"",""de"")"),"Ein Mann geht an der Tür vorbei.")</f>
        <v>Ein Mann geht an der Tür vorbei.</v>
      </c>
    </row>
    <row r="2059">
      <c r="A2059" s="4" t="s">
        <v>2584</v>
      </c>
      <c r="B2059" s="4" t="s">
        <v>2589</v>
      </c>
      <c r="C2059" s="5" t="str">
        <f>IFERROR(__xludf.DUMMYFUNCTION("GOOGLETRANSLATE(B2059,""en"",""de"")"),"Ein Mann in Blau betritt den Raum.")</f>
        <v>Ein Mann in Blau betritt den Raum.</v>
      </c>
    </row>
    <row r="2060">
      <c r="A2060" s="4" t="s">
        <v>2584</v>
      </c>
      <c r="B2060" s="4" t="s">
        <v>2590</v>
      </c>
      <c r="C2060" s="5" t="str">
        <f>IFERROR(__xludf.DUMMYFUNCTION("GOOGLETRANSLATE(B2060,""en"",""de"")"),"Die Menschen heben ihre Beine hoch.")</f>
        <v>Die Menschen heben ihre Beine hoch.</v>
      </c>
    </row>
    <row r="2061">
      <c r="A2061" s="4" t="s">
        <v>2584</v>
      </c>
      <c r="B2061" s="4" t="s">
        <v>2591</v>
      </c>
      <c r="C2061" s="5" t="str">
        <f>IFERROR(__xludf.DUMMYFUNCTION("GOOGLETRANSLATE(B2061,""en"",""de"")"),"Der Ausbilder endet und geht hin und her.")</f>
        <v>Der Ausbilder endet und geht hin und her.</v>
      </c>
    </row>
    <row r="2062">
      <c r="A2062" s="4" t="s">
        <v>2592</v>
      </c>
      <c r="B2062" s="4" t="s">
        <v>2593</v>
      </c>
      <c r="C2062" s="5" t="str">
        <f>IFERROR(__xludf.DUMMYFUNCTION("GOOGLETRANSLATE(B2062,""en"",""de"")"),"Es gibt drei junge Männer in einem Haus.")</f>
        <v>Es gibt drei junge Männer in einem Haus.</v>
      </c>
    </row>
    <row r="2063">
      <c r="A2063" s="4" t="s">
        <v>2592</v>
      </c>
      <c r="B2063" s="4" t="s">
        <v>2594</v>
      </c>
      <c r="C2063" s="5" t="str">
        <f>IFERROR(__xludf.DUMMYFUNCTION("GOOGLETRANSLATE(B2063,""en"",""de"")"),"Eine, die die Männer auf einer Couch im Wohnzimmer sitzen und eine Packung Doritos isst.")</f>
        <v>Eine, die die Männer auf einer Couch im Wohnzimmer sitzen und eine Packung Doritos isst.</v>
      </c>
    </row>
    <row r="2064">
      <c r="A2064" s="4" t="s">
        <v>2592</v>
      </c>
      <c r="B2064" s="4" t="s">
        <v>2595</v>
      </c>
      <c r="C2064" s="5" t="str">
        <f>IFERROR(__xludf.DUMMYFUNCTION("GOOGLETRANSLATE(B2064,""en"",""de"")"),"Und es gibt zwei andere Männer, die ihn anstarren, während er isst.")</f>
        <v>Und es gibt zwei andere Männer, die ihn anstarren, während er isst.</v>
      </c>
    </row>
    <row r="2065">
      <c r="A2065" s="4" t="s">
        <v>2592</v>
      </c>
      <c r="B2065" s="4" t="s">
        <v>2596</v>
      </c>
      <c r="C2065" s="5" t="str">
        <f>IFERROR(__xludf.DUMMYFUNCTION("GOOGLETRANSLATE(B2065,""en"",""de"")"),"Einer der Männer steht auf und wäscht seine Hände.")</f>
        <v>Einer der Männer steht auf und wäscht seine Hände.</v>
      </c>
    </row>
    <row r="2066">
      <c r="A2066" s="4" t="s">
        <v>2592</v>
      </c>
      <c r="B2066" s="4" t="s">
        <v>2597</v>
      </c>
      <c r="C2066" s="5" t="str">
        <f>IFERROR(__xludf.DUMMYFUNCTION("GOOGLETRANSLATE(B2066,""en"",""de"")"),"Dann öffnet er eine Dose Cola und Getränke daraus.")</f>
        <v>Dann öffnet er eine Dose Cola und Getränke daraus.</v>
      </c>
    </row>
    <row r="2067">
      <c r="A2067" s="4" t="s">
        <v>2592</v>
      </c>
      <c r="B2067" s="4" t="s">
        <v>2598</v>
      </c>
      <c r="C2067" s="5" t="str">
        <f>IFERROR(__xludf.DUMMYFUNCTION("GOOGLETRANSLATE(B2067,""en"",""de"")"),"Dann fängt er an, Tomaten und Salat zu hacken, um ein Sandwich zu machen.")</f>
        <v>Dann fängt er an, Tomaten und Salat zu hacken, um ein Sandwich zu machen.</v>
      </c>
    </row>
    <row r="2068">
      <c r="A2068" s="4" t="s">
        <v>2592</v>
      </c>
      <c r="B2068" s="4" t="s">
        <v>2599</v>
      </c>
      <c r="C2068" s="5" t="str">
        <f>IFERROR(__xludf.DUMMYFUNCTION("GOOGLETRANSLATE(B2068,""en"",""de"")"),"Er schneidet etwas Schinken und macht zwei Toasts in einem Toaster.")</f>
        <v>Er schneidet etwas Schinken und macht zwei Toasts in einem Toaster.</v>
      </c>
    </row>
    <row r="2069">
      <c r="A2069" s="4" t="s">
        <v>2592</v>
      </c>
      <c r="B2069" s="4" t="s">
        <v>2600</v>
      </c>
      <c r="C2069" s="5" t="str">
        <f>IFERROR(__xludf.DUMMYFUNCTION("GOOGLETRANSLATE(B2069,""en"",""de"")"),"Dann legt er Mayonnaise auf das Brot und überragt es mit Fleisch, Salat und Tomate.")</f>
        <v>Dann legt er Mayonnaise auf das Brot und überragt es mit Fleisch, Salat und Tomate.</v>
      </c>
    </row>
    <row r="2070">
      <c r="A2070" s="4" t="s">
        <v>2592</v>
      </c>
      <c r="B2070" s="4" t="s">
        <v>2601</v>
      </c>
      <c r="C2070" s="5" t="str">
        <f>IFERROR(__xludf.DUMMYFUNCTION("GOOGLETRANSLATE(B2070,""en"",""de"")"),"Er schneidet das Sandwich in zwei Hälften und serviert es auf einem Teller.")</f>
        <v>Er schneidet das Sandwich in zwei Hälften und serviert es auf einem Teller.</v>
      </c>
    </row>
    <row r="2071">
      <c r="A2071" s="4" t="s">
        <v>2592</v>
      </c>
      <c r="B2071" s="4" t="s">
        <v>2602</v>
      </c>
      <c r="C2071" s="5" t="str">
        <f>IFERROR(__xludf.DUMMYFUNCTION("GOOGLETRANSLATE(B2071,""en"",""de"")"),"Dann bietet er dem Mann, der auf der Couch sitzt, den Sandwichschild an.")</f>
        <v>Dann bietet er dem Mann, der auf der Couch sitzt, den Sandwichschild an.</v>
      </c>
    </row>
    <row r="2072">
      <c r="A2072" s="4" t="s">
        <v>2592</v>
      </c>
      <c r="B2072" s="4" t="s">
        <v>2603</v>
      </c>
      <c r="C2072" s="5" t="str">
        <f>IFERROR(__xludf.DUMMYFUNCTION("GOOGLETRANSLATE(B2072,""en"",""de"")"),"Der Mann nimmt den Teller und nimmt einen Bissen des Sandwichs, als der andere Mann neben ihm steht und zuschaut.")</f>
        <v>Der Mann nimmt den Teller und nimmt einen Bissen des Sandwichs, als der andere Mann neben ihm steht und zuschaut.</v>
      </c>
    </row>
    <row r="2073">
      <c r="A2073" s="4" t="s">
        <v>2604</v>
      </c>
      <c r="B2073" s="4" t="s">
        <v>2605</v>
      </c>
      <c r="C2073" s="5" t="str">
        <f>IFERROR(__xludf.DUMMYFUNCTION("GOOGLETRANSLATE(B2073,""en"",""de"")"),"Eine Person ruft ein Instrument aus einem Schrank ab.")</f>
        <v>Eine Person ruft ein Instrument aus einem Schrank ab.</v>
      </c>
    </row>
    <row r="2074">
      <c r="A2074" s="4" t="s">
        <v>2604</v>
      </c>
      <c r="B2074" s="4" t="s">
        <v>2606</v>
      </c>
      <c r="C2074" s="5" t="str">
        <f>IFERROR(__xludf.DUMMYFUNCTION("GOOGLETRANSLATE(B2074,""en"",""de"")"),"Der Mann untersucht das Instrument in der Hand.")</f>
        <v>Der Mann untersucht das Instrument in der Hand.</v>
      </c>
    </row>
    <row r="2075">
      <c r="A2075" s="4" t="s">
        <v>2604</v>
      </c>
      <c r="B2075" s="4" t="s">
        <v>2607</v>
      </c>
      <c r="C2075" s="5" t="str">
        <f>IFERROR(__xludf.DUMMYFUNCTION("GOOGLETRANSLATE(B2075,""en"",""de"")"),"Die Person hält die Geige an seinem Kinn und macht sich fertig.")</f>
        <v>Die Person hält die Geige an seinem Kinn und macht sich fertig.</v>
      </c>
    </row>
    <row r="2076">
      <c r="A2076" s="4" t="s">
        <v>2604</v>
      </c>
      <c r="B2076" s="4" t="s">
        <v>2608</v>
      </c>
      <c r="C2076" s="5" t="str">
        <f>IFERROR(__xludf.DUMMYFUNCTION("GOOGLETRANSLATE(B2076,""en"",""de"")"),"Die Person spielt ein Lied auf der Geige.")</f>
        <v>Die Person spielt ein Lied auf der Geige.</v>
      </c>
    </row>
    <row r="2077">
      <c r="A2077" s="4" t="s">
        <v>2604</v>
      </c>
      <c r="B2077" s="4" t="s">
        <v>2609</v>
      </c>
      <c r="C2077" s="5" t="str">
        <f>IFERROR(__xludf.DUMMYFUNCTION("GOOGLETRANSLATE(B2077,""en"",""de"")"),"Der Mann beendet das Lied und senkt das Instrument.")</f>
        <v>Der Mann beendet das Lied und senkt das Instrument.</v>
      </c>
    </row>
    <row r="2078">
      <c r="A2078" s="4" t="s">
        <v>2610</v>
      </c>
      <c r="B2078" s="4" t="s">
        <v>2611</v>
      </c>
      <c r="C2078" s="5" t="str">
        <f>IFERROR(__xludf.DUMMYFUNCTION("GOOGLETRANSLATE(B2078,""en"",""de"")"),"Zwei kleine Mädchen nehmen einen Koffer und machen einen Ausflug nach New York City.")</f>
        <v>Zwei kleine Mädchen nehmen einen Koffer und machen einen Ausflug nach New York City.</v>
      </c>
    </row>
    <row r="2079">
      <c r="A2079" s="4" t="s">
        <v>2610</v>
      </c>
      <c r="B2079" s="4" t="s">
        <v>2612</v>
      </c>
      <c r="C2079" s="5" t="str">
        <f>IFERROR(__xludf.DUMMYFUNCTION("GOOGLETRANSLATE(B2079,""en"",""de"")"),"Zwei kleine Mädchen stehen in einem Raum in Kostümen, das sich später in Ballerina -Outfits verwandelt.")</f>
        <v>Zwei kleine Mädchen stehen in einem Raum in Kostümen, das sich später in Ballerina -Outfits verwandelt.</v>
      </c>
    </row>
    <row r="2080">
      <c r="A2080" s="4" t="s">
        <v>2610</v>
      </c>
      <c r="B2080" s="4" t="s">
        <v>2613</v>
      </c>
      <c r="C2080" s="5" t="str">
        <f>IFERROR(__xludf.DUMMYFUNCTION("GOOGLETRANSLATE(B2080,""en"",""de"")"),"Die beiden Mädchen beginnen zusammen zu tanzen, während sie singen oder in die Kamera sprechen.")</f>
        <v>Die beiden Mädchen beginnen zusammen zu tanzen, während sie singen oder in die Kamera sprechen.</v>
      </c>
    </row>
    <row r="2081">
      <c r="A2081" s="4" t="s">
        <v>2610</v>
      </c>
      <c r="B2081" s="4" t="s">
        <v>2614</v>
      </c>
      <c r="C2081" s="5" t="str">
        <f>IFERROR(__xludf.DUMMYFUNCTION("GOOGLETRANSLATE(B2081,""en"",""de"")"),"Der Clip verblasst an die beiden Mädchen, die Kleidung in einem Koffer in einem Schlafzimmer in einem Haus falten und packen Sehenswürdigkeiten.")</f>
        <v>Der Clip verblasst an die beiden Mädchen, die Kleidung in einem Koffer in einem Schlafzimmer in einem Haus falten und packen Sehenswürdigkeiten.</v>
      </c>
    </row>
    <row r="2082">
      <c r="A2082" s="4" t="s">
        <v>2610</v>
      </c>
      <c r="B2082" s="4" t="s">
        <v>2615</v>
      </c>
      <c r="C2082" s="5" t="str">
        <f>IFERROR(__xludf.DUMMYFUNCTION("GOOGLETRANSLATE(B2082,""en"",""de"")"),"Die Reise endet und die beiden Mädchen treten in ein Gebäude und singen dann zusammen am Rand eines Wasserbrunnens, bevor er wegläuft.")</f>
        <v>Die Reise endet und die beiden Mädchen treten in ein Gebäude und singen dann zusammen am Rand eines Wasserbrunnens, bevor er wegläuft.</v>
      </c>
    </row>
    <row r="2083">
      <c r="A2083" s="4" t="s">
        <v>2616</v>
      </c>
      <c r="B2083" s="4" t="s">
        <v>2617</v>
      </c>
      <c r="C2083" s="5" t="str">
        <f>IFERROR(__xludf.DUMMYFUNCTION("GOOGLETRANSLATE(B2083,""en"",""de"")"),"Ein Mann fährt auf ein Skateboard, während die Kamera seinen Bewegungen folgt.")</f>
        <v>Ein Mann fährt auf ein Skateboard, während die Kamera seinen Bewegungen folgt.</v>
      </c>
    </row>
    <row r="2084">
      <c r="A2084" s="4" t="s">
        <v>2616</v>
      </c>
      <c r="B2084" s="4" t="s">
        <v>2618</v>
      </c>
      <c r="C2084" s="5" t="str">
        <f>IFERROR(__xludf.DUMMYFUNCTION("GOOGLETRANSLATE(B2084,""en"",""de"")"),"Der Mann rastet durch die Straße durch Hindernisse und die Straße hinunter.")</f>
        <v>Der Mann rastet durch die Straße durch Hindernisse und die Straße hinunter.</v>
      </c>
    </row>
    <row r="2085">
      <c r="A2085" s="4" t="s">
        <v>2616</v>
      </c>
      <c r="B2085" s="4" t="s">
        <v>2619</v>
      </c>
      <c r="C2085" s="5" t="str">
        <f>IFERROR(__xludf.DUMMYFUNCTION("GOOGLETRANSLATE(B2085,""en"",""de"")"),"Weitere Menschen fahren weiter die Straße hinunter, während die Kamera ihnen folgt.")</f>
        <v>Weitere Menschen fahren weiter die Straße hinunter, während die Kamera ihnen folgt.</v>
      </c>
    </row>
    <row r="2086">
      <c r="A2086" s="4" t="s">
        <v>2620</v>
      </c>
      <c r="B2086" s="4" t="s">
        <v>2621</v>
      </c>
      <c r="C2086" s="5" t="str">
        <f>IFERROR(__xludf.DUMMYFUNCTION("GOOGLETRANSLATE(B2086,""en"",""de"")"),"Eine Bauchtänzerin bewegt sich auf einer Bühne und führt eine Routine durch, während viele zuschauen.")</f>
        <v>Eine Bauchtänzerin bewegt sich auf einer Bühne und führt eine Routine durch, während viele zuschauen.</v>
      </c>
    </row>
    <row r="2087">
      <c r="A2087" s="4" t="s">
        <v>2620</v>
      </c>
      <c r="B2087" s="4" t="s">
        <v>2622</v>
      </c>
      <c r="C2087" s="5" t="str">
        <f>IFERROR(__xludf.DUMMYFUNCTION("GOOGLETRANSLATE(B2087,""en"",""de"")"),"Sie setzt die Routine fort und endet, indem sie ihre Haare herumschüttelt und sich nach hinten beugt, um zu posieren.")</f>
        <v>Sie setzt die Routine fort und endet, indem sie ihre Haare herumschüttelt und sich nach hinten beugt, um zu posieren.</v>
      </c>
    </row>
    <row r="2088">
      <c r="A2088" s="4" t="s">
        <v>2623</v>
      </c>
      <c r="B2088" s="4" t="s">
        <v>2624</v>
      </c>
      <c r="C2088" s="5" t="str">
        <f>IFERROR(__xludf.DUMMYFUNCTION("GOOGLETRANSLATE(B2088,""en"",""de"")"),"Zwei Männer jagen und schießen einen Büffel in einer sandigen, Wüstenumgebung.")</f>
        <v>Zwei Männer jagen und schießen einen Büffel in einer sandigen, Wüstenumgebung.</v>
      </c>
    </row>
    <row r="2089">
      <c r="A2089" s="4" t="s">
        <v>2623</v>
      </c>
      <c r="B2089" s="4" t="s">
        <v>2625</v>
      </c>
      <c r="C2089" s="5" t="str">
        <f>IFERROR(__xludf.DUMMYFUNCTION("GOOGLETRANSLATE(B2089,""en"",""de"")"),"Ein Zimmer mit gefüllten und gejagten Tieren zeigt in einem Raum mit vielen von ihnen an Wänden montiert.")</f>
        <v>Ein Zimmer mit gefüllten und gejagten Tieren zeigt in einem Raum mit vielen von ihnen an Wänden montiert.</v>
      </c>
    </row>
    <row r="2090">
      <c r="A2090" s="4" t="s">
        <v>2623</v>
      </c>
      <c r="B2090" s="4" t="s">
        <v>2626</v>
      </c>
      <c r="C2090" s="5" t="str">
        <f>IFERROR(__xludf.DUMMYFUNCTION("GOOGLETRANSLATE(B2090,""en"",""de"")"),"Zwei braune Büffel stehen bei extrem windigem Wetter nebeneinander auf einem sandigen Boden.")</f>
        <v>Zwei braune Büffel stehen bei extrem windigem Wetter nebeneinander auf einem sandigen Boden.</v>
      </c>
    </row>
    <row r="2091">
      <c r="A2091" s="4" t="s">
        <v>2623</v>
      </c>
      <c r="B2091" s="4" t="s">
        <v>2627</v>
      </c>
      <c r="C2091" s="5" t="str">
        <f>IFERROR(__xludf.DUMMYFUNCTION("GOOGLETRANSLATE(B2091,""en"",""de"")"),"Zwei Männer beobachten die beiden Büffel aus der Ferne mit Waffen, die montiert sind, um zu schießen, als ein Kameramann hinter ihnen steht und den Vorfall filmt.")</f>
        <v>Zwei Männer beobachten die beiden Büffel aus der Ferne mit Waffen, die montiert sind, um zu schießen, als ein Kameramann hinter ihnen steht und den Vorfall filmt.</v>
      </c>
    </row>
    <row r="2092">
      <c r="A2092" s="4" t="s">
        <v>2623</v>
      </c>
      <c r="B2092" s="4" t="s">
        <v>2628</v>
      </c>
      <c r="C2092" s="5" t="str">
        <f>IFERROR(__xludf.DUMMYFUNCTION("GOOGLETRANSLATE(B2092,""en"",""de"")"),"Einer der Büffel wird von einer gelben Waffe mit Spitzenschüsse erschossen, während er weggeht.")</f>
        <v>Einer der Büffel wird von einer gelben Waffe mit Spitzenschüsse erschossen, während er weggeht.</v>
      </c>
    </row>
    <row r="2093">
      <c r="A2093" s="4" t="s">
        <v>2623</v>
      </c>
      <c r="B2093" s="4" t="s">
        <v>2629</v>
      </c>
      <c r="C2093" s="5" t="str">
        <f>IFERROR(__xludf.DUMMYFUNCTION("GOOGLETRANSLATE(B2093,""en"",""de"")"),"Einer der Männer wird dann über dem toten Tier stehen.")</f>
        <v>Einer der Männer wird dann über dem toten Tier stehen.</v>
      </c>
    </row>
    <row r="2094">
      <c r="A2094" s="4" t="s">
        <v>2630</v>
      </c>
      <c r="B2094" s="4" t="s">
        <v>2631</v>
      </c>
      <c r="C2094" s="5" t="str">
        <f>IFERROR(__xludf.DUMMYFUNCTION("GOOGLETRANSLATE(B2094,""en"",""de"")"),"Die Frau sitzt vor anderen in einem Beratungsraum und nimmt die Brille raus und wäscht ihre Hände.")</f>
        <v>Die Frau sitzt vor anderen in einem Beratungsraum und nimmt die Brille raus und wäscht ihre Hände.</v>
      </c>
    </row>
    <row r="2095">
      <c r="A2095" s="4" t="s">
        <v>2630</v>
      </c>
      <c r="B2095" s="4" t="s">
        <v>2632</v>
      </c>
      <c r="C2095" s="5" t="str">
        <f>IFERROR(__xludf.DUMMYFUNCTION("GOOGLETRANSLATE(B2095,""en"",""de"")"),"Frau gibt ihren Kontaktlinsen und seine andere Frau hält sie mit dem Zeigefinger, der etwas Flüssigkeit und in die Augen steckt, und tun Sie das gleiche mit dem anderen Kontakt mit den Objektiven und sprechen Sie mit der anderen Frau.")</f>
        <v>Frau gibt ihren Kontaktlinsen und seine andere Frau hält sie mit dem Zeigefinger, der etwas Flüssigkeit und in die Augen steckt, und tun Sie das gleiche mit dem anderen Kontakt mit den Objektiven und sprechen Sie mit der anderen Frau.</v>
      </c>
    </row>
    <row r="2096">
      <c r="A2096" s="4" t="s">
        <v>2633</v>
      </c>
      <c r="B2096" s="4" t="s">
        <v>2634</v>
      </c>
      <c r="C2096" s="5" t="str">
        <f>IFERROR(__xludf.DUMMYFUNCTION("GOOGLETRANSLATE(B2096,""en"",""de"")"),"Drei Menschen werden auf einem kleinen Floß knien und sich ins Wasser drehen.")</f>
        <v>Drei Menschen werden auf einem kleinen Floß knien und sich ins Wasser drehen.</v>
      </c>
    </row>
    <row r="2097">
      <c r="A2097" s="4" t="s">
        <v>2633</v>
      </c>
      <c r="B2097" s="4" t="s">
        <v>2635</v>
      </c>
      <c r="C2097" s="5" t="str">
        <f>IFERROR(__xludf.DUMMYFUNCTION("GOOGLETRANSLATE(B2097,""en"",""de"")"),"Mehr Menschen werden gesehen, die sich entspannen und zu den Menschen im Wasser übergehen.")</f>
        <v>Mehr Menschen werden gesehen, die sich entspannen und zu den Menschen im Wasser übergehen.</v>
      </c>
    </row>
    <row r="2098">
      <c r="A2098" s="4" t="s">
        <v>2633</v>
      </c>
      <c r="B2098" s="4" t="s">
        <v>2636</v>
      </c>
      <c r="C2098" s="5" t="str">
        <f>IFERROR(__xludf.DUMMYFUNCTION("GOOGLETRANSLATE(B2098,""en"",""de"")"),"Die Menschen im Wasser klettern zurück und setzen sich schließlich in ein Kanu.")</f>
        <v>Die Menschen im Wasser klettern zurück und setzen sich schließlich in ein Kanu.</v>
      </c>
    </row>
    <row r="2099">
      <c r="A2099" s="4" t="s">
        <v>2637</v>
      </c>
      <c r="B2099" s="4" t="s">
        <v>2638</v>
      </c>
      <c r="C2099" s="5" t="str">
        <f>IFERROR(__xludf.DUMMYFUNCTION("GOOGLETRANSLATE(B2099,""en"",""de"")"),"Ein See ist mit Blick auf eine Skyline der Stadt zu sehen.")</f>
        <v>Ein See ist mit Blick auf eine Skyline der Stadt zu sehen.</v>
      </c>
    </row>
    <row r="2100">
      <c r="A2100" s="4" t="s">
        <v>2637</v>
      </c>
      <c r="B2100" s="4" t="s">
        <v>2639</v>
      </c>
      <c r="C2100" s="5" t="str">
        <f>IFERROR(__xludf.DUMMYFUNCTION("GOOGLETRANSLATE(B2100,""en"",""de"")"),"Eine Gruppe von Wanderern geht den Bürgersteig in der Nähe des Sees entlang.")</f>
        <v>Eine Gruppe von Wanderern geht den Bürgersteig in der Nähe des Sees entlang.</v>
      </c>
    </row>
    <row r="2101">
      <c r="A2101" s="4" t="s">
        <v>2637</v>
      </c>
      <c r="B2101" s="4" t="s">
        <v>2640</v>
      </c>
      <c r="C2101" s="5" t="str">
        <f>IFERROR(__xludf.DUMMYFUNCTION("GOOGLETRANSLATE(B2101,""en"",""de"")"),"Ein Mann benutzt ein Schneebläser auf einem Bürgersteig.")</f>
        <v>Ein Mann benutzt ein Schneebläser auf einem Bürgersteig.</v>
      </c>
    </row>
    <row r="2102">
      <c r="A2102" s="4" t="s">
        <v>2637</v>
      </c>
      <c r="B2102" s="4" t="s">
        <v>2641</v>
      </c>
      <c r="C2102" s="5" t="str">
        <f>IFERROR(__xludf.DUMMYFUNCTION("GOOGLETRANSLATE(B2102,""en"",""de"")"),"Menschen benutzen Schneeberken, um den Bürgersteig zu räumen.")</f>
        <v>Menschen benutzen Schneeberken, um den Bürgersteig zu räumen.</v>
      </c>
    </row>
    <row r="2103">
      <c r="A2103" s="4" t="s">
        <v>2637</v>
      </c>
      <c r="B2103" s="4" t="s">
        <v>2642</v>
      </c>
      <c r="C2103" s="5" t="str">
        <f>IFERROR(__xludf.DUMMYFUNCTION("GOOGLETRANSLATE(B2103,""en"",""de"")"),"Ein Spatengartenwerkzeug wird zum Aufbrechen von Eis verwendet.")</f>
        <v>Ein Spatengartenwerkzeug wird zum Aufbrechen von Eis verwendet.</v>
      </c>
    </row>
    <row r="2104">
      <c r="A2104" s="4" t="s">
        <v>2637</v>
      </c>
      <c r="B2104" s="4" t="s">
        <v>2643</v>
      </c>
      <c r="C2104" s="5" t="str">
        <f>IFERROR(__xludf.DUMMYFUNCTION("GOOGLETRANSLATE(B2104,""en"",""de"")"),"Ein Mann wendet Salz auf den geräumten Bürgersteig.")</f>
        <v>Ein Mann wendet Salz auf den geräumten Bürgersteig.</v>
      </c>
    </row>
    <row r="2105">
      <c r="A2105" s="4" t="s">
        <v>2644</v>
      </c>
      <c r="B2105" s="4" t="s">
        <v>2645</v>
      </c>
      <c r="C2105" s="5" t="str">
        <f>IFERROR(__xludf.DUMMYFUNCTION("GOOGLETRANSLATE(B2105,""en"",""de"")"),"Zwei Leute werden gesehen, wie sie einen Ball zurück und vierten in einem Pool vorbeikommen und zu einem der Kamera führen.")</f>
        <v>Zwei Leute werden gesehen, wie sie einen Ball zurück und vierten in einem Pool vorbeikommen und zu einem der Kamera führen.</v>
      </c>
    </row>
    <row r="2106">
      <c r="A2106" s="4" t="s">
        <v>2644</v>
      </c>
      <c r="B2106" s="4" t="s">
        <v>2646</v>
      </c>
      <c r="C2106" s="5" t="str">
        <f>IFERROR(__xludf.DUMMYFUNCTION("GOOGLETRANSLATE(B2106,""en"",""de"")"),"Der Mann zeigt, wie man den Ball richtig mit seinen Händen wirft, während er immer noch mit der Kamera spricht.")</f>
        <v>Der Mann zeigt, wie man den Ball richtig mit seinen Händen wirft, während er immer noch mit der Kamera spricht.</v>
      </c>
    </row>
    <row r="2107">
      <c r="A2107" s="4" t="s">
        <v>2647</v>
      </c>
      <c r="B2107" s="4" t="s">
        <v>2648</v>
      </c>
      <c r="C2107" s="5" t="str">
        <f>IFERROR(__xludf.DUMMYFUNCTION("GOOGLETRANSLATE(B2107,""en"",""de"")"),"Eine junge Frau verwendet Haarprodukte an und trocknet ihr Haar mit einem Trockner mit einem Kamm am Ende.")</f>
        <v>Eine junge Frau verwendet Haarprodukte an und trocknet ihr Haar mit einem Trockner mit einem Kamm am Ende.</v>
      </c>
    </row>
    <row r="2108">
      <c r="A2108" s="4" t="s">
        <v>2647</v>
      </c>
      <c r="B2108" s="4" t="s">
        <v>2649</v>
      </c>
      <c r="C2108" s="5" t="str">
        <f>IFERROR(__xludf.DUMMYFUNCTION("GOOGLETRANSLATE(B2108,""en"",""de"")"),"Die Frau beginnt mit dem Entfernen eines Terry -Tuch -Turban aus ihrem Kopf und enthüllt eine nasses Haarstapel.")</f>
        <v>Die Frau beginnt mit dem Entfernen eines Terry -Tuch -Turban aus ihrem Kopf und enthüllt eine nasses Haarstapel.</v>
      </c>
    </row>
    <row r="2109">
      <c r="A2109" s="4" t="s">
        <v>2647</v>
      </c>
      <c r="B2109" s="4" t="s">
        <v>2650</v>
      </c>
      <c r="C2109" s="5" t="str">
        <f>IFERROR(__xludf.DUMMYFUNCTION("GOOGLETRANSLATE(B2109,""en"",""de"")"),"Die Frau beginnt dann, einen Teil ihres Haares in Twist -Zöpfe zu stecken.")</f>
        <v>Die Frau beginnt dann, einen Teil ihres Haares in Twist -Zöpfe zu stecken.</v>
      </c>
    </row>
    <row r="2110">
      <c r="A2110" s="4" t="s">
        <v>2647</v>
      </c>
      <c r="B2110" s="4" t="s">
        <v>2651</v>
      </c>
      <c r="C2110" s="5" t="str">
        <f>IFERROR(__xludf.DUMMYFUNCTION("GOOGLETRANSLATE(B2110,""en"",""de"")"),"Die Frauen beginnen dann mit einem Kamm, der Föhnstrocken befestigte.")</f>
        <v>Die Frauen beginnen dann mit einem Kamm, der Föhnstrocken befestigte.</v>
      </c>
    </row>
    <row r="2111">
      <c r="A2111" s="4" t="s">
        <v>2647</v>
      </c>
      <c r="B2111" s="4" t="s">
        <v>2652</v>
      </c>
      <c r="C2111" s="5" t="str">
        <f>IFERROR(__xludf.DUMMYFUNCTION("GOOGLETRANSLATE(B2111,""en"",""de"")"),"Die Frau schwingt ihr glattes Haar und lächelt.")</f>
        <v>Die Frau schwingt ihr glattes Haar und lächelt.</v>
      </c>
    </row>
    <row r="2112">
      <c r="A2112" s="4" t="s">
        <v>2653</v>
      </c>
      <c r="B2112" s="4" t="s">
        <v>2654</v>
      </c>
      <c r="C2112" s="5" t="str">
        <f>IFERROR(__xludf.DUMMYFUNCTION("GOOGLETRANSLATE(B2112,""en"",""de"")"),"Es gibt ein Sandwich, das immer noch ganz ist und in zwei Hälften in eine dreieckige Form geschnitten wurde und weiße Worte auf dem Bildschirm auftauchen und feststellen, dass es sich um ein ""Reuben -Sandwich"" handelt.")</f>
        <v>Es gibt ein Sandwich, das immer noch ganz ist und in zwei Hälften in eine dreieckige Form geschnitten wurde und weiße Worte auf dem Bildschirm auftauchen und feststellen, dass es sich um ein "Reuben -Sandwich" handelt.</v>
      </c>
    </row>
    <row r="2113">
      <c r="A2113" s="4" t="s">
        <v>2653</v>
      </c>
      <c r="B2113" s="4" t="s">
        <v>2655</v>
      </c>
      <c r="C2113" s="5" t="str">
        <f>IFERROR(__xludf.DUMMYFUNCTION("GOOGLETRANSLATE(B2113,""en"",""de"")"),"Ein Mann in der Küche erscheint und er steckt Gewürze in eine Pfanne und er beginnt, die Pfanne herumzuschwingen.")</f>
        <v>Ein Mann in der Küche erscheint und er steckt Gewürze in eine Pfanne und er beginnt, die Pfanne herumzuschwingen.</v>
      </c>
    </row>
    <row r="2114">
      <c r="A2114" s="4" t="s">
        <v>2653</v>
      </c>
      <c r="B2114" s="4" t="s">
        <v>2656</v>
      </c>
      <c r="C2114" s="5" t="str">
        <f>IFERROR(__xludf.DUMMYFUNCTION("GOOGLETRANSLATE(B2114,""en"",""de"")"),"Eine Einführung von 6 verschiedenen kleinen Videos von Lebensmitteln erscheinen und es gibt Text unten, in dem Says ""Steve's Cooking"".")</f>
        <v>Eine Einführung von 6 verschiedenen kleinen Videos von Lebensmitteln erscheinen und es gibt Text unten, in dem Says "Steve's Cooking".</v>
      </c>
    </row>
    <row r="2115">
      <c r="A2115" s="4" t="s">
        <v>2653</v>
      </c>
      <c r="B2115" s="4" t="s">
        <v>2657</v>
      </c>
      <c r="C2115" s="5" t="str">
        <f>IFERROR(__xludf.DUMMYFUNCTION("GOOGLETRANSLATE(B2115,""en"",""de"")"),"Ein großes Stück rohes Fleisch erscheint auf einer weißen Platte und das Wort Reuben blinkt ein paar Mal darauf, wie es in verschiedenen Winkeln gezeigt wird.")</f>
        <v>Ein großes Stück rohes Fleisch erscheint auf einer weißen Platte und das Wort Reuben blinkt ein paar Mal darauf, wie es in verschiedenen Winkeln gezeigt wird.</v>
      </c>
    </row>
    <row r="2116">
      <c r="A2116" s="4" t="s">
        <v>2653</v>
      </c>
      <c r="B2116" s="4" t="s">
        <v>2658</v>
      </c>
      <c r="C2116" s="5" t="str">
        <f>IFERROR(__xludf.DUMMYFUNCTION("GOOGLETRANSLATE(B2116,""en"",""de"")"),"Der Mann legt das Fleisch dann in einen großen Topf und gießt Flüssigkeiten darauf, bis es vollständig abgedeckt ist und es mit verschiedenen Gewürzen würzen und gleichzeitig die Namen der Gewürze auf dem Bildschirm erscheinen, wenn alle Gewürze fallen.")</f>
        <v>Der Mann legt das Fleisch dann in einen großen Topf und gießt Flüssigkeiten darauf, bis es vollständig abgedeckt ist und es mit verschiedenen Gewürzen würzen und gleichzeitig die Namen der Gewürze auf dem Bildschirm erscheinen, wenn alle Gewürze fallen.</v>
      </c>
    </row>
    <row r="2117">
      <c r="A2117" s="4" t="s">
        <v>2653</v>
      </c>
      <c r="B2117" s="4" t="s">
        <v>2659</v>
      </c>
      <c r="C2117" s="5" t="str">
        <f>IFERROR(__xludf.DUMMYFUNCTION("GOOGLETRANSLATE(B2117,""en"",""de"")"),"Dann gibt es eine Nahaufnahme eines großen Messers, das ein paar Knoblauchzehen zerkleinert, die auch in den Topf geworfen werden, und die Gewürze und Fleisch werden sanft gerührt und zeigt dann schnell, dass das Wasser jetzt kocht und der Text zeigt, das"&amp;"s es sich um ""über"" über ""über"" Eine Stunde pro Pfund "", und ein Deckel wird auf den Topf gelegt.")</f>
        <v>Dann gibt es eine Nahaufnahme eines großen Messers, das ein paar Knoblauchzehen zerkleinert, die auch in den Topf geworfen werden, und die Gewürze und Fleisch werden sanft gerührt und zeigt dann schnell, dass das Wasser jetzt kocht und der Text zeigt, dass es sich um "über" über "über" Eine Stunde pro Pfund ", und ein Deckel wird auf den Topf gelegt.</v>
      </c>
    </row>
    <row r="2118">
      <c r="A2118" s="4" t="s">
        <v>2653</v>
      </c>
      <c r="B2118" s="4" t="s">
        <v>2660</v>
      </c>
      <c r="C2118" s="5" t="str">
        <f>IFERROR(__xludf.DUMMYFUNCTION("GOOGLETRANSLATE(B2118,""en"",""de"")"),"Ein Paar Zange zieht ein Stück Fleisch aus dem Topf heraus und wird auf eine weiße quadratische Platte gelegt, auf der es auf ein Schneidebrett gelegt wird und mit einem großen gezackten Messer dünn geschnitten wird.")</f>
        <v>Ein Paar Zange zieht ein Stück Fleisch aus dem Topf heraus und wird auf eine weiße quadratische Platte gelegt, auf der es auf ein Schneidebrett gelegt wird und mit einem großen gezackten Messer dünn geschnitten wird.</v>
      </c>
    </row>
    <row r="2119">
      <c r="A2119" s="4" t="s">
        <v>2653</v>
      </c>
      <c r="B2119" s="4" t="s">
        <v>2661</v>
      </c>
      <c r="C2119" s="5" t="str">
        <f>IFERROR(__xludf.DUMMYFUNCTION("GOOGLETRANSLATE(B2119,""en"",""de"")"),"Es wird eine leere große klare Schüssel gezeigt und Mayonnaise, Ketchup, Relish, Worcesterchire -Sauce und heiße Sauce werden in die Schüssel gelöffelt.")</f>
        <v>Es wird eine leere große klare Schüssel gezeigt und Mayonnaise, Ketchup, Relish, Worcesterchire -Sauce und heiße Sauce werden in die Schüssel gelöffelt.</v>
      </c>
    </row>
    <row r="2120">
      <c r="A2120" s="4" t="s">
        <v>2653</v>
      </c>
      <c r="B2120" s="4" t="s">
        <v>2662</v>
      </c>
      <c r="C2120" s="5" t="str">
        <f>IFERROR(__xludf.DUMMYFUNCTION("GOOGLETRANSLATE(B2120,""en"",""de"")"),"Eine lila Zwiebel, Sellerie und Petersilie werden dann einzeln gehackt und jeder einzeln in die Schüssel geworfen, in der sie mit einem Schneebesen gemischt und dann mit Salz und Pfeffer gewürzt und mehr gemischt wird.")</f>
        <v>Eine lila Zwiebel, Sellerie und Petersilie werden dann einzeln gehackt und jeder einzeln in die Schüssel geworfen, in der sie mit einem Schneebesen gemischt und dann mit Salz und Pfeffer gewürzt und mehr gemischt wird.</v>
      </c>
    </row>
    <row r="2121">
      <c r="A2121" s="4" t="s">
        <v>2653</v>
      </c>
      <c r="B2121" s="4" t="s">
        <v>2663</v>
      </c>
      <c r="C2121" s="5" t="str">
        <f>IFERROR(__xludf.DUMMYFUNCTION("GOOGLETRANSLATE(B2121,""en"",""de"")"),"Ein Finger fällt in die Schüssel, um eine Probe herauszuholen, und das Mischen dauert etwas länger.")</f>
        <v>Ein Finger fällt in die Schüssel, um eine Probe herauszuholen, und das Mischen dauert etwas länger.</v>
      </c>
    </row>
    <row r="2122">
      <c r="A2122" s="4" t="s">
        <v>2653</v>
      </c>
      <c r="B2122" s="4" t="s">
        <v>2664</v>
      </c>
      <c r="C2122" s="5" t="str">
        <f>IFERROR(__xludf.DUMMYFUNCTION("GOOGLETRANSLATE(B2122,""en"",""de"")"),"Eine kleine Bürste mit geschmolzener Butter beginnt auf beiden Seiten Brotbrot, der auf einen flachen Grill gelegt und umgedreht wird, bis beide Seiten gegrillt sind.")</f>
        <v>Eine kleine Bürste mit geschmolzener Butter beginnt auf beiden Seiten Brotbrot, der auf einen flachen Grill gelegt und umgedreht wird, bis beide Seiten gegrillt sind.</v>
      </c>
    </row>
    <row r="2123">
      <c r="A2123" s="4" t="s">
        <v>2653</v>
      </c>
      <c r="B2123" s="4" t="s">
        <v>2665</v>
      </c>
      <c r="C2123" s="5" t="str">
        <f>IFERROR(__xludf.DUMMYFUNCTION("GOOGLETRANSLATE(B2123,""en"",""de"")"),"Einige weiße Nahrungsmittel werden auf den Grill geworfen und von einem schwarzen Spatel herumgerührt.")</f>
        <v>Einige weiße Nahrungsmittel werden auf den Grill geworfen und von einem schwarzen Spatel herumgerührt.</v>
      </c>
    </row>
    <row r="2124">
      <c r="A2124" s="4" t="s">
        <v>2653</v>
      </c>
      <c r="B2124" s="4" t="s">
        <v>2666</v>
      </c>
      <c r="C2124" s="5" t="str">
        <f>IFERROR(__xludf.DUMMYFUNCTION("GOOGLETRANSLATE(B2124,""en"",""de"")"),"Neben dem weißen, zerkleinerten Essen erscheinen dünne Fleischscheiben und sie werden mit 3 Scheiben Schweizer Käse gekrönt und mit einer weißen Schüssel bedeckt, bis der Käse schmilzt. Dann wird das weiße, zerkleinertes Essen aufgeschossen und auf das Fl"&amp;"eisch und den Käse gestellt.")</f>
        <v>Neben dem weißen, zerkleinerten Essen erscheinen dünne Fleischscheiben und sie werden mit 3 Scheiben Schweizer Käse gekrönt und mit einer weißen Schüssel bedeckt, bis der Käse schmilzt. Dann wird das weiße, zerkleinertes Essen aufgeschossen und auf das Fleisch und den Käse gestellt.</v>
      </c>
    </row>
    <row r="2125">
      <c r="A2125" s="4" t="s">
        <v>2653</v>
      </c>
      <c r="B2125" s="4" t="s">
        <v>2667</v>
      </c>
      <c r="C2125" s="5" t="str">
        <f>IFERROR(__xludf.DUMMYFUNCTION("GOOGLETRANSLATE(B2125,""en"",""de"")"),"Die gemischte Sauce aus der klaren Schüssel wird dann gezeigt, dass mit einem Löffel auf das Brot verteilt wird, und das Fleisch, Käse und zerkleinertes weißes Essen wird auf das Brot gestellt, mit dem anderen Brot belegt und dann diagonal halbiert geschn"&amp;"itten.")</f>
        <v>Die gemischte Sauce aus der klaren Schüssel wird dann gezeigt, dass mit einem Löffel auf das Brot verteilt wird, und das Fleisch, Käse und zerkleinertes weißes Essen wird auf das Brot gestellt, mit dem anderen Brot belegt und dann diagonal halbiert geschnitten.</v>
      </c>
    </row>
    <row r="2126">
      <c r="A2126" s="4" t="s">
        <v>2653</v>
      </c>
      <c r="B2126" s="4" t="s">
        <v>2668</v>
      </c>
      <c r="C2126" s="5" t="str">
        <f>IFERROR(__xludf.DUMMYFUNCTION("GOOGLETRANSLATE(B2126,""en"",""de"")"),"Das Sandwich wird dann auseinander verteilt und eine Hand nimmt die Hälfte auf, um es in verschiedenen Winkeln zu zeigen. Es wird einige Male gebissen und legt dann wieder auf den Teller, auf dem der Rest des Videos es einfach in unterschiedlichem Winkeln"&amp;" und kurzer vorheriger Clip zeigt von dem Fleisch geschnitten.")</f>
        <v>Das Sandwich wird dann auseinander verteilt und eine Hand nimmt die Hälfte auf, um es in verschiedenen Winkeln zu zeigen. Es wird einige Male gebissen und legt dann wieder auf den Teller, auf dem der Rest des Videos es einfach in unterschiedlichem Winkeln und kurzer vorheriger Clip zeigt von dem Fleisch geschnitten.</v>
      </c>
    </row>
    <row r="2127">
      <c r="A2127" s="4" t="s">
        <v>2669</v>
      </c>
      <c r="B2127" s="4" t="s">
        <v>2670</v>
      </c>
      <c r="C2127" s="5" t="str">
        <f>IFERROR(__xludf.DUMMYFUNCTION("GOOGLETRANSLATE(B2127,""en"",""de"")"),"Ein großer Mann wird vor einem anderen großen Mann stehen und verbeugt, während man seine Hände zwischen den beiden Männern hält.")</f>
        <v>Ein großer Mann wird vor einem anderen großen Mann stehen und verbeugt, während man seine Hände zwischen den beiden Männern hält.</v>
      </c>
    </row>
    <row r="2128">
      <c r="A2128" s="4" t="s">
        <v>2669</v>
      </c>
      <c r="B2128" s="4" t="s">
        <v>2671</v>
      </c>
      <c r="C2128" s="5" t="str">
        <f>IFERROR(__xludf.DUMMYFUNCTION("GOOGLETRANSLATE(B2128,""en"",""de"")"),"Mehrere Menschen sitzen um den Kreis und der Kreis und die Männer ringen sich gegenseitig.")</f>
        <v>Mehrere Menschen sitzen um den Kreis und der Kreis und die Männer ringen sich gegenseitig.</v>
      </c>
    </row>
    <row r="2129">
      <c r="A2129" s="4" t="s">
        <v>2669</v>
      </c>
      <c r="B2129" s="4" t="s">
        <v>2672</v>
      </c>
      <c r="C2129" s="5" t="str">
        <f>IFERROR(__xludf.DUMMYFUNCTION("GOOGLETRANSLATE(B2129,""en"",""de"")"),"Einer drückt den anderen zu Boden und das Publikum jubelt.")</f>
        <v>Einer drückt den anderen zu Boden und das Publikum jubelt.</v>
      </c>
    </row>
    <row r="2130">
      <c r="A2130" s="4" t="s">
        <v>2669</v>
      </c>
      <c r="B2130" s="4" t="s">
        <v>2673</v>
      </c>
      <c r="C2130" s="5" t="str">
        <f>IFERROR(__xludf.DUMMYFUNCTION("GOOGLETRANSLATE(B2130,""en"",""de"")"),"Der Mann drückt einen weiteren aus dem Kreis und das Publikum klatscht erneut.")</f>
        <v>Der Mann drückt einen weiteren aus dem Kreis und das Publikum klatscht erneut.</v>
      </c>
    </row>
    <row r="2131">
      <c r="A2131" s="4" t="s">
        <v>2674</v>
      </c>
      <c r="B2131" s="4" t="s">
        <v>2675</v>
      </c>
      <c r="C2131" s="5" t="str">
        <f>IFERROR(__xludf.DUMMYFUNCTION("GOOGLETRANSLATE(B2131,""en"",""de"")"),"Ein Mann nimmt das Eis über die Fenster eines Autos heraus.")</f>
        <v>Ein Mann nimmt das Eis über die Fenster eines Autos heraus.</v>
      </c>
    </row>
    <row r="2132">
      <c r="A2132" s="4" t="s">
        <v>2674</v>
      </c>
      <c r="B2132" s="4" t="s">
        <v>2676</v>
      </c>
      <c r="C2132" s="5" t="str">
        <f>IFERROR(__xludf.DUMMYFUNCTION("GOOGLETRANSLATE(B2132,""en"",""de"")"),"Eine Person steht und beobachtet, wie ein Mann ein Eis auf einem Auto herausnimmt.")</f>
        <v>Eine Person steht und beobachtet, wie ein Mann ein Eis auf einem Auto herausnimmt.</v>
      </c>
    </row>
    <row r="2133">
      <c r="A2133" s="4" t="s">
        <v>2677</v>
      </c>
      <c r="B2133" s="4" t="s">
        <v>2678</v>
      </c>
      <c r="C2133" s="5" t="str">
        <f>IFERROR(__xludf.DUMMYFUNCTION("GOOGLETRANSLATE(B2133,""en"",""de"")"),"Eine Frau fügt Eis in ein Glas hinzu, während Sie sprechen.")</f>
        <v>Eine Frau fügt Eis in ein Glas hinzu, während Sie sprechen.</v>
      </c>
    </row>
    <row r="2134">
      <c r="A2134" s="4" t="s">
        <v>2677</v>
      </c>
      <c r="B2134" s="4" t="s">
        <v>2679</v>
      </c>
      <c r="C2134" s="5" t="str">
        <f>IFERROR(__xludf.DUMMYFUNCTION("GOOGLETRANSLATE(B2134,""en"",""de"")"),"Dann fügt die Frau mit einer Messbecher Sirup im Glas hinzu.")</f>
        <v>Dann fügt die Frau mit einer Messbecher Sirup im Glas hinzu.</v>
      </c>
    </row>
    <row r="2135">
      <c r="A2135" s="4" t="s">
        <v>2677</v>
      </c>
      <c r="B2135" s="4" t="s">
        <v>2680</v>
      </c>
      <c r="C2135" s="5" t="str">
        <f>IFERROR(__xludf.DUMMYFUNCTION("GOOGLETRANSLATE(B2135,""en"",""de"")"),"Danach fügt die Frau Flüssigkeit in das Glas hinzu und gießt dann das in eine schwarze Tasse.")</f>
        <v>Danach fügt die Frau Flüssigkeit in das Glas hinzu und gießt dann das in eine schwarze Tasse.</v>
      </c>
    </row>
    <row r="2136">
      <c r="A2136" s="4" t="s">
        <v>2677</v>
      </c>
      <c r="B2136" s="4" t="s">
        <v>2681</v>
      </c>
      <c r="C2136" s="5" t="str">
        <f>IFERROR(__xludf.DUMMYFUNCTION("GOOGLETRANSLATE(B2136,""en"",""de"")"),"Danach serviert die Frau die Mischung in einem anderen Glas.")</f>
        <v>Danach serviert die Frau die Mischung in einem anderen Glas.</v>
      </c>
    </row>
    <row r="2137">
      <c r="A2137" s="4" t="s">
        <v>2682</v>
      </c>
      <c r="B2137" s="4" t="s">
        <v>2683</v>
      </c>
      <c r="C2137" s="5" t="str">
        <f>IFERROR(__xludf.DUMMYFUNCTION("GOOGLETRANSLATE(B2137,""en"",""de"")"),"Zwei Männer machen Kampfkünste mit anderen um sie herum und beobachten.")</f>
        <v>Zwei Männer machen Kampfkünste mit anderen um sie herum und beobachten.</v>
      </c>
    </row>
    <row r="2138">
      <c r="A2138" s="4" t="s">
        <v>2682</v>
      </c>
      <c r="B2138" s="4" t="s">
        <v>2684</v>
      </c>
      <c r="C2138" s="5" t="str">
        <f>IFERROR(__xludf.DUMMYFUNCTION("GOOGLETRANSLATE(B2138,""en"",""de"")"),"Viele andere Männer werden gezeigt, dass mehrere Flips und Tricks umeinander umgehen.")</f>
        <v>Viele andere Männer werden gezeigt, dass mehrere Flips und Tricks umeinander umgehen.</v>
      </c>
    </row>
    <row r="2139">
      <c r="A2139" s="4" t="s">
        <v>2682</v>
      </c>
      <c r="B2139" s="4" t="s">
        <v>2685</v>
      </c>
      <c r="C2139" s="5" t="str">
        <f>IFERROR(__xludf.DUMMYFUNCTION("GOOGLETRANSLATE(B2139,""en"",""de"")"),"Zwei Männer drehen sich zueinander, während andere um sie herum zuschauen.")</f>
        <v>Zwei Männer drehen sich zueinander, während andere um sie herum zuschauen.</v>
      </c>
    </row>
    <row r="2140">
      <c r="A2140" s="4" t="s">
        <v>2686</v>
      </c>
      <c r="B2140" s="4" t="s">
        <v>2687</v>
      </c>
      <c r="C2140" s="5" t="str">
        <f>IFERROR(__xludf.DUMMYFUNCTION("GOOGLETRANSLATE(B2140,""en"",""de"")"),"Ein Mann glättet eine Substanz auf einem Dach mit einer Kelle.")</f>
        <v>Ein Mann glättet eine Substanz auf einem Dach mit einer Kelle.</v>
      </c>
    </row>
    <row r="2141">
      <c r="A2141" s="4" t="s">
        <v>2686</v>
      </c>
      <c r="B2141" s="4" t="s">
        <v>2688</v>
      </c>
      <c r="C2141" s="5" t="str">
        <f>IFERROR(__xludf.DUMMYFUNCTION("GOOGLETRANSLATE(B2141,""en"",""de"")"),"Er bewegt sich schnell, um Dellen zu glätten.")</f>
        <v>Er bewegt sich schnell, um Dellen zu glätten.</v>
      </c>
    </row>
    <row r="2142">
      <c r="A2142" s="4" t="s">
        <v>2686</v>
      </c>
      <c r="B2142" s="4" t="s">
        <v>2689</v>
      </c>
      <c r="C2142" s="5" t="str">
        <f>IFERROR(__xludf.DUMMYFUNCTION("GOOGLETRANSLATE(B2142,""en"",""de"")"),"Der Mann bewegt sich nach unten und glättet wieder die Oberseite.")</f>
        <v>Der Mann bewegt sich nach unten und glättet wieder die Oberseite.</v>
      </c>
    </row>
    <row r="2143">
      <c r="A2143" s="4" t="s">
        <v>2686</v>
      </c>
      <c r="B2143" s="4" t="s">
        <v>2690</v>
      </c>
      <c r="C2143" s="5" t="str">
        <f>IFERROR(__xludf.DUMMYFUNCTION("GOOGLETRANSLATE(B2143,""en"",""de"")"),"Er endet und geht weg.")</f>
        <v>Er endet und geht weg.</v>
      </c>
    </row>
    <row r="2144">
      <c r="A2144" s="4" t="s">
        <v>2691</v>
      </c>
      <c r="B2144" s="4" t="s">
        <v>2692</v>
      </c>
      <c r="C2144" s="5" t="str">
        <f>IFERROR(__xludf.DUMMYFUNCTION("GOOGLETRANSLATE(B2144,""en"",""de"")"),"Eine blonde Frau steht an einer Brücke, die schreiend schreibt.")</f>
        <v>Eine blonde Frau steht an einer Brücke, die schreiend schreibt.</v>
      </c>
    </row>
    <row r="2145">
      <c r="A2145" s="4" t="s">
        <v>2691</v>
      </c>
      <c r="B2145" s="4" t="s">
        <v>2693</v>
      </c>
      <c r="C2145" s="5" t="str">
        <f>IFERROR(__xludf.DUMMYFUNCTION("GOOGLETRANSLATE(B2145,""en"",""de"")"),"Eine Brünette erstreckt sich lila und rotes Garn an die Frau.")</f>
        <v>Eine Brünette erstreckt sich lila und rotes Garn an die Frau.</v>
      </c>
    </row>
    <row r="2146">
      <c r="A2146" s="4" t="s">
        <v>2691</v>
      </c>
      <c r="B2146" s="4" t="s">
        <v>2694</v>
      </c>
      <c r="C2146" s="5" t="str">
        <f>IFERROR(__xludf.DUMMYFUNCTION("GOOGLETRANSLATE(B2146,""en"",""de"")"),"Die Frau halluziniert dies und führt dann ein Interview.")</f>
        <v>Die Frau halluziniert dies und führt dann ein Interview.</v>
      </c>
    </row>
    <row r="2147">
      <c r="A2147" s="4" t="s">
        <v>2691</v>
      </c>
      <c r="B2147" s="4" t="s">
        <v>2695</v>
      </c>
      <c r="C2147" s="5" t="str">
        <f>IFERROR(__xludf.DUMMYFUNCTION("GOOGLETRANSLATE(B2147,""en"",""de"")"),"Eine Gruppe von Menschen in einem Klassenzimmer strickte fröhlich weg und spielt mit Garn.")</f>
        <v>Eine Gruppe von Menschen in einem Klassenzimmer strickte fröhlich weg und spielt mit Garn.</v>
      </c>
    </row>
    <row r="2148">
      <c r="A2148" s="4" t="s">
        <v>2691</v>
      </c>
      <c r="B2148" s="4" t="s">
        <v>2696</v>
      </c>
      <c r="C2148" s="5" t="str">
        <f>IFERROR(__xludf.DUMMYFUNCTION("GOOGLETRANSLATE(B2148,""en"",""de"")"),"Die blonde Frau halluziniert die Frau, die ihr das Garn gab und hysterisch lacht.")</f>
        <v>Die blonde Frau halluziniert die Frau, die ihr das Garn gab und hysterisch lacht.</v>
      </c>
    </row>
    <row r="2149">
      <c r="A2149" s="4" t="s">
        <v>2691</v>
      </c>
      <c r="B2149" s="4" t="s">
        <v>2697</v>
      </c>
      <c r="C2149" s="5" t="str">
        <f>IFERROR(__xludf.DUMMYFUNCTION("GOOGLETRANSLATE(B2149,""en"",""de"")"),"Die Gruppe zeigt ihr Garn fröhlich.")</f>
        <v>Die Gruppe zeigt ihr Garn fröhlich.</v>
      </c>
    </row>
    <row r="2150">
      <c r="A2150" s="4" t="s">
        <v>2698</v>
      </c>
      <c r="B2150" s="4" t="s">
        <v>2699</v>
      </c>
      <c r="C2150" s="5" t="str">
        <f>IFERROR(__xludf.DUMMYFUNCTION("GOOGLETRANSLATE(B2150,""en"",""de"")"),"Eine Menge sieht eine Gymnastikshow.")</f>
        <v>Eine Menge sieht eine Gymnastikshow.</v>
      </c>
    </row>
    <row r="2151">
      <c r="A2151" s="4" t="s">
        <v>2698</v>
      </c>
      <c r="B2151" s="4" t="s">
        <v>2700</v>
      </c>
      <c r="C2151" s="5" t="str">
        <f>IFERROR(__xludf.DUMMYFUNCTION("GOOGLETRANSLATE(B2151,""en"",""de"")"),"Ein Turner läuft bis zu einer hohen Bar und wechselt zwischen der hohen und niedrigen Balken, wobei verschiedene Gymnastikbewegungen und Flips durchgeführt werden.")</f>
        <v>Ein Turner läuft bis zu einer hohen Bar und wechselt zwischen der hohen und niedrigen Balken, wobei verschiedene Gymnastikbewegungen und Flips durchgeführt werden.</v>
      </c>
    </row>
    <row r="2152">
      <c r="A2152" s="4" t="s">
        <v>2698</v>
      </c>
      <c r="B2152" s="4" t="s">
        <v>2701</v>
      </c>
      <c r="C2152" s="5" t="str">
        <f>IFERROR(__xludf.DUMMYFUNCTION("GOOGLETRANSLATE(B2152,""en"",""de"")"),"Sie fließt von der Bar ab und landet auf ihren Füßen.")</f>
        <v>Sie fließt von der Bar ab und landet auf ihren Füßen.</v>
      </c>
    </row>
    <row r="2153">
      <c r="A2153" s="4" t="s">
        <v>2698</v>
      </c>
      <c r="B2153" s="4" t="s">
        <v>2702</v>
      </c>
      <c r="C2153" s="5" t="str">
        <f>IFERROR(__xludf.DUMMYFUNCTION("GOOGLETRANSLATE(B2153,""en"",""de"")"),"Ihre Mitgymnasten laufen vor Aufregung auf sie zu.")</f>
        <v>Ihre Mitgymnasten laufen vor Aufregung auf sie zu.</v>
      </c>
    </row>
    <row r="2154">
      <c r="A2154" s="4" t="s">
        <v>2703</v>
      </c>
      <c r="B2154" s="4" t="s">
        <v>2704</v>
      </c>
      <c r="C2154" s="5" t="str">
        <f>IFERROR(__xludf.DUMMYFUNCTION("GOOGLETRANSLATE(B2154,""en"",""de"")"),"Ein Mann in einem blauen Outfit legt Kreide in die Hände.")</f>
        <v>Ein Mann in einem blauen Outfit legt Kreide in die Hände.</v>
      </c>
    </row>
    <row r="2155">
      <c r="A2155" s="4" t="s">
        <v>2703</v>
      </c>
      <c r="B2155" s="4" t="s">
        <v>2705</v>
      </c>
      <c r="C2155" s="5" t="str">
        <f>IFERROR(__xludf.DUMMYFUNCTION("GOOGLETRANSLATE(B2155,""en"",""de"")"),"Ein Mann in einem gelben Hemd beobachtet.")</f>
        <v>Ein Mann in einem gelben Hemd beobachtet.</v>
      </c>
    </row>
    <row r="2156">
      <c r="A2156" s="4" t="s">
        <v>2703</v>
      </c>
      <c r="B2156" s="4" t="s">
        <v>2706</v>
      </c>
      <c r="C2156" s="5" t="str">
        <f>IFERROR(__xludf.DUMMYFUNCTION("GOOGLETRANSLATE(B2156,""en"",""de"")"),"Der Mann im blauen Outfit nimmt ein großes Gewicht auf und hebt es über seinen Kopf.")</f>
        <v>Der Mann im blauen Outfit nimmt ein großes Gewicht auf und hebt es über seinen Kopf.</v>
      </c>
    </row>
    <row r="2157">
      <c r="A2157" s="4" t="s">
        <v>2703</v>
      </c>
      <c r="B2157" s="4" t="s">
        <v>2707</v>
      </c>
      <c r="C2157" s="5" t="str">
        <f>IFERROR(__xludf.DUMMYFUNCTION("GOOGLETRANSLATE(B2157,""en"",""de"")"),"Die Menge jubelt ihn an.")</f>
        <v>Die Menge jubelt ihn an.</v>
      </c>
    </row>
    <row r="2158">
      <c r="A2158" s="4" t="s">
        <v>2703</v>
      </c>
      <c r="B2158" s="4" t="s">
        <v>2708</v>
      </c>
      <c r="C2158" s="5" t="str">
        <f>IFERROR(__xludf.DUMMYFUNCTION("GOOGLETRANSLATE(B2158,""en"",""de"")"),"Er umarmt einen Mann in einem Anzug.")</f>
        <v>Er umarmt einen Mann in einem Anzug.</v>
      </c>
    </row>
    <row r="2159">
      <c r="A2159" s="4" t="s">
        <v>2709</v>
      </c>
      <c r="B2159" s="4" t="s">
        <v>2710</v>
      </c>
      <c r="C2159" s="5" t="str">
        <f>IFERROR(__xludf.DUMMYFUNCTION("GOOGLETRANSLATE(B2159,""en"",""de"")"),"Drei Männer, die Snowboards tragen, holen einen Ski -Lift und ein Mann binden seinen Schuh.")</f>
        <v>Drei Männer, die Snowboards tragen, holen einen Ski -Lift und ein Mann binden seinen Schuh.</v>
      </c>
    </row>
    <row r="2160">
      <c r="A2160" s="4" t="s">
        <v>2709</v>
      </c>
      <c r="B2160" s="4" t="s">
        <v>2711</v>
      </c>
      <c r="C2160" s="5" t="str">
        <f>IFERROR(__xludf.DUMMYFUNCTION("GOOGLETRANSLATE(B2160,""en"",""de"")"),"Dann fahren die Männer einen mit Schnee bedeckten Hügel hinunter.")</f>
        <v>Dann fahren die Männer einen mit Schnee bedeckten Hügel hinunter.</v>
      </c>
    </row>
    <row r="2161">
      <c r="A2161" s="4" t="s">
        <v>2709</v>
      </c>
      <c r="B2161" s="4" t="s">
        <v>2712</v>
      </c>
      <c r="C2161" s="5" t="str">
        <f>IFERROR(__xludf.DUMMYFUNCTION("GOOGLETRANSLATE(B2161,""en"",""de"")"),"Ein Mann biegt seine Beine auf den Schnee und fährt dann mit anderen Männern weiter.")</f>
        <v>Ein Mann biegt seine Beine auf den Schnee und fährt dann mit anderen Männern weiter.</v>
      </c>
    </row>
    <row r="2162">
      <c r="A2162" s="4" t="s">
        <v>2713</v>
      </c>
      <c r="B2162" s="4" t="s">
        <v>2714</v>
      </c>
      <c r="C2162" s="5" t="str">
        <f>IFERROR(__xludf.DUMMYFUNCTION("GOOGLETRANSLATE(B2162,""en"",""de"")"),"Ein Mann, der einen Schuss hält, steht auf einer Basis.")</f>
        <v>Ein Mann, der einen Schuss hält, steht auf einer Basis.</v>
      </c>
    </row>
    <row r="2163">
      <c r="A2163" s="4" t="s">
        <v>2713</v>
      </c>
      <c r="B2163" s="4" t="s">
        <v>2715</v>
      </c>
      <c r="C2163" s="5" t="str">
        <f>IFERROR(__xludf.DUMMYFUNCTION("GOOGLETRANSLATE(B2163,""en"",""de"")"),"Der Mann dreht den Rücken in die Kamera und bereitet sich auf das Werfen vor.")</f>
        <v>Der Mann dreht den Rücken in die Kamera und bereitet sich auf das Werfen vor.</v>
      </c>
    </row>
    <row r="2164">
      <c r="A2164" s="4" t="s">
        <v>2713</v>
      </c>
      <c r="B2164" s="4" t="s">
        <v>2716</v>
      </c>
      <c r="C2164" s="5" t="str">
        <f>IFERROR(__xludf.DUMMYFUNCTION("GOOGLETRANSLATE(B2164,""en"",""de"")"),"Der Mann wirft den Ball und dreht sich herum.")</f>
        <v>Der Mann wirft den Ball und dreht sich herum.</v>
      </c>
    </row>
    <row r="2165">
      <c r="A2165" s="4" t="s">
        <v>2717</v>
      </c>
      <c r="B2165" s="4" t="s">
        <v>2718</v>
      </c>
      <c r="C2165" s="5" t="str">
        <f>IFERROR(__xludf.DUMMYFUNCTION("GOOGLETRANSLATE(B2165,""en"",""de"")"),"Eine Frau ist auf Händen und Knien, die mit einiger Schere Gras schneiden.")</f>
        <v>Eine Frau ist auf Händen und Knien, die mit einiger Schere Gras schneiden.</v>
      </c>
    </row>
    <row r="2166">
      <c r="A2166" s="4" t="s">
        <v>2717</v>
      </c>
      <c r="B2166" s="4" t="s">
        <v>2719</v>
      </c>
      <c r="C2166" s="5" t="str">
        <f>IFERROR(__xludf.DUMMYFUNCTION("GOOGLETRANSLATE(B2166,""en"",""de"")"),"Die Kamera sperrt einen vollen Blick auf sie, um das Gras zu schneiden.")</f>
        <v>Die Kamera sperrt einen vollen Blick auf sie, um das Gras zu schneiden.</v>
      </c>
    </row>
    <row r="2167">
      <c r="A2167" s="4" t="s">
        <v>2717</v>
      </c>
      <c r="B2167" s="4" t="s">
        <v>2720</v>
      </c>
      <c r="C2167" s="5" t="str">
        <f>IFERROR(__xludf.DUMMYFUNCTION("GOOGLETRANSLATE(B2167,""en"",""de"")"),"Sie macht einen Witz über das Gras, das sich geteilte Enden und schlechte Wurzeln hat.")</f>
        <v>Sie macht einen Witz über das Gras, das sich geteilte Enden und schlechte Wurzeln hat.</v>
      </c>
    </row>
    <row r="2168">
      <c r="A2168" s="4" t="s">
        <v>2717</v>
      </c>
      <c r="B2168" s="4" t="s">
        <v>2721</v>
      </c>
      <c r="C2168" s="5" t="str">
        <f>IFERROR(__xludf.DUMMYFUNCTION("GOOGLETRANSLATE(B2168,""en"",""de"")"),"Die Kamera kehrt auf eine Nahaufnahme des Gras zurück und das Video endet.")</f>
        <v>Die Kamera kehrt auf eine Nahaufnahme des Gras zurück und das Video endet.</v>
      </c>
    </row>
    <row r="2169">
      <c r="A2169" s="4" t="s">
        <v>2722</v>
      </c>
      <c r="B2169" s="4" t="s">
        <v>2723</v>
      </c>
      <c r="C2169" s="5" t="str">
        <f>IFERROR(__xludf.DUMMYFUNCTION("GOOGLETRANSLATE(B2169,""en"",""de"")"),"Eine Kamera schwenkt um mehrere bewaldete Bereiche und führt zu einem Jungen, der ein Blattgebläse hält und zur Kamera lächelt.")</f>
        <v>Eine Kamera schwenkt um mehrere bewaldete Bereiche und führt zu einem Jungen, der ein Blattgebläse hält und zur Kamera lächelt.</v>
      </c>
    </row>
    <row r="2170">
      <c r="A2170" s="4" t="s">
        <v>2722</v>
      </c>
      <c r="B2170" s="4" t="s">
        <v>2724</v>
      </c>
      <c r="C2170" s="5" t="str">
        <f>IFERROR(__xludf.DUMMYFUNCTION("GOOGLETRANSLATE(B2170,""en"",""de"")"),"Die Kamera schwenkt zu einem älteren Mann und dann zurück zu den Jungen, die Blätter blasen.")</f>
        <v>Die Kamera schwenkt zu einem älteren Mann und dann zurück zu den Jungen, die Blätter blasen.</v>
      </c>
    </row>
    <row r="2171">
      <c r="A2171" s="4" t="s">
        <v>2725</v>
      </c>
      <c r="B2171" s="4" t="s">
        <v>2726</v>
      </c>
      <c r="C2171" s="5" t="str">
        <f>IFERROR(__xludf.DUMMYFUNCTION("GOOGLETRANSLATE(B2171,""en"",""de"")"),"Ein Mann in grünen Stämmen wirft einen Mann in rote Stämme in einen Wrestling -Ring.")</f>
        <v>Ein Mann in grünen Stämmen wirft einen Mann in rote Stämme in einen Wrestling -Ring.</v>
      </c>
    </row>
    <row r="2172">
      <c r="A2172" s="4" t="s">
        <v>2725</v>
      </c>
      <c r="B2172" s="4" t="s">
        <v>2727</v>
      </c>
      <c r="C2172" s="5" t="str">
        <f>IFERROR(__xludf.DUMMYFUNCTION("GOOGLETRANSLATE(B2172,""en"",""de"")"),"Der Mann in grünen Stämmen rollt aus dem Ring.")</f>
        <v>Der Mann in grünen Stämmen rollt aus dem Ring.</v>
      </c>
    </row>
    <row r="2173">
      <c r="A2173" s="4" t="s">
        <v>2725</v>
      </c>
      <c r="B2173" s="4" t="s">
        <v>2728</v>
      </c>
      <c r="C2173" s="5" t="str">
        <f>IFERROR(__xludf.DUMMYFUNCTION("GOOGLETRANSLATE(B2173,""en"",""de"")"),"Der Mann in Green Trunks spears den anderen Mann.")</f>
        <v>Der Mann in Green Trunks spears den anderen Mann.</v>
      </c>
    </row>
    <row r="2174">
      <c r="A2174" s="4" t="s">
        <v>2725</v>
      </c>
      <c r="B2174" s="4" t="s">
        <v>2729</v>
      </c>
      <c r="C2174" s="5" t="str">
        <f>IFERROR(__xludf.DUMMYFUNCTION("GOOGLETRANSLATE(B2174,""en"",""de"")"),"Der Mann in Green Trunks Power bomben der andere Mann.")</f>
        <v>Der Mann in Green Trunks Power bomben der andere Mann.</v>
      </c>
    </row>
    <row r="2175">
      <c r="A2175" s="4" t="s">
        <v>2725</v>
      </c>
      <c r="B2175" s="4" t="s">
        <v>2730</v>
      </c>
      <c r="C2175" s="5" t="str">
        <f>IFERROR(__xludf.DUMMYFUNCTION("GOOGLETRANSLATE(B2175,""en"",""de"")"),"Der Mann in Green Trunks steckt den anderen Mann an und gewinnt das Match.")</f>
        <v>Der Mann in Green Trunks steckt den anderen Mann an und gewinnt das Match.</v>
      </c>
    </row>
    <row r="2176">
      <c r="A2176" s="4" t="s">
        <v>2731</v>
      </c>
      <c r="B2176" s="4" t="s">
        <v>2732</v>
      </c>
      <c r="C2176" s="5" t="str">
        <f>IFERROR(__xludf.DUMMYFUNCTION("GOOGLETRANSLATE(B2176,""en"",""de"")"),"Es schneit sich außerhalb eines Hauses mit einem grau geparkten Van und der Mann hält Werkzeuge, legt die Kamera ab und beginnt dann, den Schnee vom Van zu reinigen.")</f>
        <v>Es schneit sich außerhalb eines Hauses mit einem grau geparkten Van und der Mann hält Werkzeuge, legt die Kamera ab und beginnt dann, den Schnee vom Van zu reinigen.</v>
      </c>
    </row>
    <row r="2177">
      <c r="A2177" s="4" t="s">
        <v>2731</v>
      </c>
      <c r="B2177" s="4" t="s">
        <v>2733</v>
      </c>
      <c r="C2177" s="5" t="str">
        <f>IFERROR(__xludf.DUMMYFUNCTION("GOOGLETRANSLATE(B2177,""en"",""de"")"),"Der Mann bewegt die Kamera und passt die Position an und geht dann zum Van zurück und beginnt den Schnee von der gesamten Oberseite des Van zu reinigen.")</f>
        <v>Der Mann bewegt die Kamera und passt die Position an und geht dann zum Van zurück und beginnt den Schnee von der gesamten Oberseite des Van zu reinigen.</v>
      </c>
    </row>
    <row r="2178">
      <c r="A2178" s="4" t="s">
        <v>2731</v>
      </c>
      <c r="B2178" s="4" t="s">
        <v>2734</v>
      </c>
      <c r="C2178" s="5" t="str">
        <f>IFERROR(__xludf.DUMMYFUNCTION("GOOGLETRANSLATE(B2178,""en"",""de"")"),"Der Mann geht zurück in die Kamera und bewegt sie erneut, um eine andere Aussicht zu erfassen, und er wischt den Schnee weiterhin von der Seite und dem Oberteil des Vans ab.")</f>
        <v>Der Mann geht zurück in die Kamera und bewegt sie erneut, um eine andere Aussicht zu erfassen, und er wischt den Schnee weiterhin von der Seite und dem Oberteil des Vans ab.</v>
      </c>
    </row>
    <row r="2179">
      <c r="A2179" s="4" t="s">
        <v>2731</v>
      </c>
      <c r="B2179" s="4" t="s">
        <v>2735</v>
      </c>
      <c r="C2179" s="5" t="str">
        <f>IFERROR(__xludf.DUMMYFUNCTION("GOOGLETRANSLATE(B2179,""en"",""de"")"),"Das Stück des Werkzeugs bricht ab und der Mann greift es und zeigt es der Kamera und redet weiter, geht von der Kamera ab und zeigt dann die Kamera, die er repariert hat, und bewegt dann die Kamera erneut.")</f>
        <v>Das Stück des Werkzeugs bricht ab und der Mann greift es und zeigt es der Kamera und redet weiter, geht von der Kamera ab und zeigt dann die Kamera, die er repariert hat, und bewegt dann die Kamera erneut.</v>
      </c>
    </row>
    <row r="2180">
      <c r="A2180" s="4" t="s">
        <v>2731</v>
      </c>
      <c r="B2180" s="4" t="s">
        <v>2736</v>
      </c>
      <c r="C2180" s="5" t="str">
        <f>IFERROR(__xludf.DUMMYFUNCTION("GOOGLETRANSLATE(B2180,""en"",""de"")"),"Eine Frau taucht auf und sie berührt den Van mit den Händen und beginnt, den Schnee mit nur ihren Händen abzuwischen.")</f>
        <v>Eine Frau taucht auf und sie berührt den Van mit den Händen und beginnt, den Schnee mit nur ihren Händen abzuwischen.</v>
      </c>
    </row>
    <row r="2181">
      <c r="A2181" s="4" t="s">
        <v>2737</v>
      </c>
      <c r="B2181" s="4" t="s">
        <v>2738</v>
      </c>
      <c r="C2181" s="5" t="str">
        <f>IFERROR(__xludf.DUMMYFUNCTION("GOOGLETRANSLATE(B2181,""en"",""de"")"),"Zuerst wird ein Bildschirm gezeigt, der zeigt, welcher Song der Mann mit der Gitarre spielen wird.")</f>
        <v>Zuerst wird ein Bildschirm gezeigt, der zeigt, welcher Song der Mann mit der Gitarre spielen wird.</v>
      </c>
    </row>
    <row r="2182">
      <c r="A2182" s="4" t="s">
        <v>2737</v>
      </c>
      <c r="B2182" s="4" t="s">
        <v>2739</v>
      </c>
      <c r="C2182" s="5" t="str">
        <f>IFERROR(__xludf.DUMMYFUNCTION("GOOGLETRANSLATE(B2182,""en"",""de"")"),"Dann wird der Mann gezeigt, der sich hinsetzt und Gitarre spielt und er nie in die Kamera aufblickt.")</f>
        <v>Dann wird der Mann gezeigt, der sich hinsetzt und Gitarre spielt und er nie in die Kamera aufblickt.</v>
      </c>
    </row>
    <row r="2183">
      <c r="A2183" s="4" t="s">
        <v>2737</v>
      </c>
      <c r="B2183" s="4" t="s">
        <v>2740</v>
      </c>
      <c r="C2183" s="5" t="str">
        <f>IFERROR(__xludf.DUMMYFUNCTION("GOOGLETRANSLATE(B2183,""en"",""de"")"),"Schließlich endet das Video und das einzige, was gesehen wird, ist die Dunkelheit.")</f>
        <v>Schließlich endet das Video und das einzige, was gesehen wird, ist die Dunkelheit.</v>
      </c>
    </row>
    <row r="2184">
      <c r="A2184" s="4" t="s">
        <v>2741</v>
      </c>
      <c r="B2184" s="4" t="s">
        <v>2742</v>
      </c>
      <c r="C2184" s="5" t="str">
        <f>IFERROR(__xludf.DUMMYFUNCTION("GOOGLETRANSLATE(B2184,""en"",""de"")"),"Eine Frau steht auf einem Tauchbrett bereit und führt in sie, die ihre Arme ausstreckt und einen beeindruckenden Tauchgang durchführt.")</f>
        <v>Eine Frau steht auf einem Tauchbrett bereit und führt in sie, die ihre Arme ausstreckt und einen beeindruckenden Tauchgang durchführt.</v>
      </c>
    </row>
    <row r="2185">
      <c r="A2185" s="4" t="s">
        <v>2741</v>
      </c>
      <c r="B2185" s="4" t="s">
        <v>2743</v>
      </c>
      <c r="C2185" s="5" t="str">
        <f>IFERROR(__xludf.DUMMYFUNCTION("GOOGLETRANSLATE(B2185,""en"",""de"")"),"Die Frau wird noch mehrmals in den Pool tauchen und an die Oberfläche kommen.")</f>
        <v>Die Frau wird noch mehrmals in den Pool tauchen und an die Oberfläche kommen.</v>
      </c>
    </row>
    <row r="2186">
      <c r="A2186" s="4" t="s">
        <v>2744</v>
      </c>
      <c r="B2186" s="4" t="s">
        <v>2745</v>
      </c>
      <c r="C2186" s="5" t="str">
        <f>IFERROR(__xludf.DUMMYFUNCTION("GOOGLETRANSLATE(B2186,""en"",""de"")"),"Ein Mann spricht in einem Büro mit einer Mundharmonika.")</f>
        <v>Ein Mann spricht in einem Büro mit einer Mundharmonika.</v>
      </c>
    </row>
    <row r="2187">
      <c r="A2187" s="4" t="s">
        <v>2744</v>
      </c>
      <c r="B2187" s="4" t="s">
        <v>2746</v>
      </c>
      <c r="C2187" s="5" t="str">
        <f>IFERROR(__xludf.DUMMYFUNCTION("GOOGLETRANSLATE(B2187,""en"",""de"")"),"Dann öffnet der Mann einen Stand und schaltet das Radio ein.")</f>
        <v>Dann öffnet der Mann einen Stand und schaltet das Radio ein.</v>
      </c>
    </row>
    <row r="2188">
      <c r="A2188" s="4" t="s">
        <v>2744</v>
      </c>
      <c r="B2188" s="4" t="s">
        <v>2747</v>
      </c>
      <c r="C2188" s="5" t="str">
        <f>IFERROR(__xludf.DUMMYFUNCTION("GOOGLETRANSLATE(B2188,""en"",""de"")"),"Danach plyas der Mann die Mundharmonika.")</f>
        <v>Danach plyas der Mann die Mundharmonika.</v>
      </c>
    </row>
    <row r="2189">
      <c r="A2189" s="4" t="s">
        <v>2748</v>
      </c>
      <c r="B2189" s="4" t="s">
        <v>2749</v>
      </c>
      <c r="C2189" s="5" t="str">
        <f>IFERROR(__xludf.DUMMYFUNCTION("GOOGLETRANSLATE(B2189,""en"",""de"")"),"Eine große Gruppe von Armee Solider hält ein großes Seil auf der einen Seite voneinander, während andere Soldaten zuschauen.")</f>
        <v>Eine große Gruppe von Armee Solider hält ein großes Seil auf der einen Seite voneinander, während andere Soldaten zuschauen.</v>
      </c>
    </row>
    <row r="2190">
      <c r="A2190" s="4" t="s">
        <v>2748</v>
      </c>
      <c r="B2190" s="4" t="s">
        <v>2750</v>
      </c>
      <c r="C2190" s="5" t="str">
        <f>IFERROR(__xludf.DUMMYFUNCTION("GOOGLETRANSLATE(B2190,""en"",""de"")"),"Ein Mann steht in der Mitte und die Menschen beginnen das Seil voneinander zu ziehen.")</f>
        <v>Ein Mann steht in der Mitte und die Menschen beginnen das Seil voneinander zu ziehen.</v>
      </c>
    </row>
    <row r="2191">
      <c r="A2191" s="4" t="s">
        <v>2748</v>
      </c>
      <c r="B2191" s="4" t="s">
        <v>2751</v>
      </c>
      <c r="C2191" s="5" t="str">
        <f>IFERROR(__xludf.DUMMYFUNCTION("GOOGLETRANSLATE(B2191,""en"",""de"")"),"Eine Seite zieht die anderen nach unten und der Rest des Teams jubelt, während die Kamera herumnält.")</f>
        <v>Eine Seite zieht die anderen nach unten und der Rest des Teams jubelt, während die Kamera herumnält.</v>
      </c>
    </row>
    <row r="2192">
      <c r="A2192" s="4" t="s">
        <v>2752</v>
      </c>
      <c r="B2192" s="4" t="s">
        <v>2753</v>
      </c>
      <c r="C2192" s="5" t="str">
        <f>IFERROR(__xludf.DUMMYFUNCTION("GOOGLETRANSLATE(B2192,""en"",""de"")"),"Das Video zeigt zwei Länder, die von blauen und grünen Uniformen vertreten werden, die professionell das Cricketspiel spielen.")</f>
        <v>Das Video zeigt zwei Länder, die von blauen und grünen Uniformen vertreten werden, die professionell das Cricketspiel spielen.</v>
      </c>
    </row>
    <row r="2193">
      <c r="A2193" s="4" t="s">
        <v>2752</v>
      </c>
      <c r="B2193" s="4" t="s">
        <v>2754</v>
      </c>
      <c r="C2193" s="5" t="str">
        <f>IFERROR(__xludf.DUMMYFUNCTION("GOOGLETRANSLATE(B2193,""en"",""de"")"),"Die Schlagmänner schlagen, während der Bowler einen Überhandwurf macht.")</f>
        <v>Die Schlagmänner schlagen, während der Bowler einen Überhandwurf macht.</v>
      </c>
    </row>
    <row r="2194">
      <c r="A2194" s="4" t="s">
        <v>2752</v>
      </c>
      <c r="B2194" s="4" t="s">
        <v>2755</v>
      </c>
      <c r="C2194" s="5" t="str">
        <f>IFERROR(__xludf.DUMMYFUNCTION("GOOGLETRANSLATE(B2194,""en"",""de"")"),"Die nächste Szene zeigt ein Team von Cricketspieler, die weiße Uniformen tragen, die sich zum Spielen vorbereiten, während sie sich mit ihrem Kapitän im Kreis versammeln.")</f>
        <v>Die nächste Szene zeigt ein Team von Cricketspieler, die weiße Uniformen tragen, die sich zum Spielen vorbereiten, während sie sich mit ihrem Kapitän im Kreis versammeln.</v>
      </c>
    </row>
    <row r="2195">
      <c r="A2195" s="4" t="s">
        <v>2756</v>
      </c>
      <c r="B2195" s="4" t="s">
        <v>2757</v>
      </c>
      <c r="C2195" s="5" t="str">
        <f>IFERROR(__xludf.DUMMYFUNCTION("GOOGLETRANSLATE(B2195,""en"",""de"")"),"Ein Mädchen geht mit einem Hula -Reifen in die Mitte eines Raumes.")</f>
        <v>Ein Mädchen geht mit einem Hula -Reifen in die Mitte eines Raumes.</v>
      </c>
    </row>
    <row r="2196">
      <c r="A2196" s="4" t="s">
        <v>2756</v>
      </c>
      <c r="B2196" s="4" t="s">
        <v>2758</v>
      </c>
      <c r="C2196" s="5" t="str">
        <f>IFERROR(__xludf.DUMMYFUNCTION("GOOGLETRANSLATE(B2196,""en"",""de"")"),"Sie macht mehrere Acts und Stunts mit dem Reifen und bringt ihren Kopf und ihre Arme hinein und aus.")</f>
        <v>Sie macht mehrere Acts und Stunts mit dem Reifen und bringt ihren Kopf und ihre Arme hinein und aus.</v>
      </c>
    </row>
    <row r="2197">
      <c r="A2197" s="4" t="s">
        <v>2759</v>
      </c>
      <c r="B2197" s="4" t="s">
        <v>2760</v>
      </c>
      <c r="C2197" s="5" t="str">
        <f>IFERROR(__xludf.DUMMYFUNCTION("GOOGLETRANSLATE(B2197,""en"",""de"")"),"Eine Person steht neben einem Baum, während er winkt und mit der Kamera spricht.")</f>
        <v>Eine Person steht neben einem Baum, während er winkt und mit der Kamera spricht.</v>
      </c>
    </row>
    <row r="2198">
      <c r="A2198" s="4" t="s">
        <v>2759</v>
      </c>
      <c r="B2198" s="4" t="s">
        <v>2761</v>
      </c>
      <c r="C2198" s="5" t="str">
        <f>IFERROR(__xludf.DUMMYFUNCTION("GOOGLETRANSLATE(B2198,""en"",""de"")"),"Die Person hält dann Dreck hoch und führt in mehrere Klammern ihres Harkens um einen Baum und zeigt darauf.")</f>
        <v>Die Person hält dann Dreck hoch und führt in mehrere Klammern ihres Harkens um einen Baum und zeigt darauf.</v>
      </c>
    </row>
    <row r="2199">
      <c r="A2199" s="4" t="s">
        <v>2762</v>
      </c>
      <c r="B2199" s="4" t="s">
        <v>2763</v>
      </c>
      <c r="C2199" s="5" t="str">
        <f>IFERROR(__xludf.DUMMYFUNCTION("GOOGLETRANSLATE(B2199,""en"",""de"")"),"Ein Intro -Wolkenbildschirm erscheinen und die blauen Wörter darüber ""Shisha Trick Montage HD"".")</f>
        <v>Ein Intro -Wolkenbildschirm erscheinen und die blauen Wörter darüber "Shisha Trick Montage HD".</v>
      </c>
    </row>
    <row r="2200">
      <c r="A2200" s="4" t="s">
        <v>2762</v>
      </c>
      <c r="B2200" s="4" t="s">
        <v>2764</v>
      </c>
      <c r="C2200" s="5" t="str">
        <f>IFERROR(__xludf.DUMMYFUNCTION("GOOGLETRANSLATE(B2200,""en"",""de"")"),"Zwischen vielen verschiedenen Clips vieler verschiedener Menschen tauchen verschiedene Wörter auf, die Rauch aus ihrem Mund blasen und viele verschiedene Tricks machen. Und wenn die Worte zusammengestellt werden, sagen sie ""Es ist Zeit, es richtig zu mac"&amp;"hen"".")</f>
        <v>Zwischen vielen verschiedenen Clips vieler verschiedener Menschen tauchen verschiedene Wörter auf, die Rauch aus ihrem Mund blasen und viele verschiedene Tricks machen. Und wenn die Worte zusammengestellt werden, sagen sie "Es ist Zeit, es richtig zu machen".</v>
      </c>
    </row>
    <row r="2201">
      <c r="A2201" s="4" t="s">
        <v>2762</v>
      </c>
      <c r="B2201" s="4" t="s">
        <v>2765</v>
      </c>
      <c r="C2201" s="5" t="str">
        <f>IFERROR(__xludf.DUMMYFUNCTION("GOOGLETRANSLATE(B2201,""en"",""de"")"),"Wenn die Clips erledigt sind, erscheint ein schwarzer Bildschirm und es werden blaue Buchstaben angezeigt und es heißt ""Danke fürs Anschauen"".")</f>
        <v>Wenn die Clips erledigt sind, erscheint ein schwarzer Bildschirm und es werden blaue Buchstaben angezeigt und es heißt "Danke fürs Anschauen".</v>
      </c>
    </row>
    <row r="2202">
      <c r="A2202" s="4" t="s">
        <v>2766</v>
      </c>
      <c r="B2202" s="4" t="s">
        <v>2767</v>
      </c>
      <c r="C2202" s="5" t="str">
        <f>IFERROR(__xludf.DUMMYFUNCTION("GOOGLETRANSLATE(B2202,""en"",""de"")"),"Ein Junge ist in einem Stoßfänger Auto und dreht sich alleine herum.")</f>
        <v>Ein Junge ist in einem Stoßfänger Auto und dreht sich alleine herum.</v>
      </c>
    </row>
    <row r="2203">
      <c r="A2203" s="4" t="s">
        <v>2766</v>
      </c>
      <c r="B2203" s="4" t="s">
        <v>2768</v>
      </c>
      <c r="C2203" s="5" t="str">
        <f>IFERROR(__xludf.DUMMYFUNCTION("GOOGLETRANSLATE(B2203,""en"",""de"")"),"Er bewegt sich in seinem Auto zurück und vorwärts.")</f>
        <v>Er bewegt sich in seinem Auto zurück und vorwärts.</v>
      </c>
    </row>
    <row r="2204">
      <c r="A2204" s="4" t="s">
        <v>2766</v>
      </c>
      <c r="B2204" s="4" t="s">
        <v>2769</v>
      </c>
      <c r="C2204" s="5" t="str">
        <f>IFERROR(__xludf.DUMMYFUNCTION("GOOGLETRANSLATE(B2204,""en"",""de"")"),"Er sieht einsam aus, als er endlich zum Stillstand kommt.")</f>
        <v>Er sieht einsam aus, als er endlich zum Stillstand kommt.</v>
      </c>
    </row>
    <row r="2205">
      <c r="A2205" s="4" t="s">
        <v>2770</v>
      </c>
      <c r="B2205" s="4" t="s">
        <v>2771</v>
      </c>
      <c r="C2205" s="5" t="str">
        <f>IFERROR(__xludf.DUMMYFUNCTION("GOOGLETRANSLATE(B2205,""en"",""de"")"),"Menschen interagieren in einer kreisenden Eisarena.")</f>
        <v>Menschen interagieren in einer kreisenden Eisarena.</v>
      </c>
    </row>
    <row r="2206">
      <c r="A2206" s="4" t="s">
        <v>2770</v>
      </c>
      <c r="B2206" s="4" t="s">
        <v>2772</v>
      </c>
      <c r="C2206" s="5" t="str">
        <f>IFERROR(__xludf.DUMMYFUNCTION("GOOGLETRANSLATE(B2206,""en"",""de"")"),"Eine Dame spricht mit einer Gruppe von Männern.")</f>
        <v>Eine Dame spricht mit einer Gruppe von Männern.</v>
      </c>
    </row>
    <row r="2207">
      <c r="A2207" s="4" t="s">
        <v>2770</v>
      </c>
      <c r="B2207" s="4" t="s">
        <v>2773</v>
      </c>
      <c r="C2207" s="5" t="str">
        <f>IFERROR(__xludf.DUMMYFUNCTION("GOOGLETRANSLATE(B2207,""en"",""de"")"),"Ein Mann rutscht aus, fällt auf die Eisarena und lacht.")</f>
        <v>Ein Mann rutscht aus, fällt auf die Eisarena und lacht.</v>
      </c>
    </row>
    <row r="2208">
      <c r="A2208" s="4" t="s">
        <v>2770</v>
      </c>
      <c r="B2208" s="4" t="s">
        <v>2774</v>
      </c>
      <c r="C2208" s="5" t="str">
        <f>IFERROR(__xludf.DUMMYFUNCTION("GOOGLETRANSLATE(B2208,""en"",""de"")"),"Ein Mann öffnet seinen Mund sehr breit, um seine Aufregung zu zeigen.")</f>
        <v>Ein Mann öffnet seinen Mund sehr breit, um seine Aufregung zu zeigen.</v>
      </c>
    </row>
    <row r="2209">
      <c r="A2209" s="4" t="s">
        <v>2770</v>
      </c>
      <c r="B2209" s="4" t="s">
        <v>2775</v>
      </c>
      <c r="C2209" s="5" t="str">
        <f>IFERROR(__xludf.DUMMYFUNCTION("GOOGLETRANSLATE(B2209,""en"",""de"")"),"Eine Dame stoppt den kreisenden Stein mit einem Besen.")</f>
        <v>Eine Dame stoppt den kreisenden Stein mit einem Besen.</v>
      </c>
    </row>
    <row r="2210">
      <c r="A2210" s="4" t="s">
        <v>2770</v>
      </c>
      <c r="B2210" s="4" t="s">
        <v>2776</v>
      </c>
      <c r="C2210" s="5" t="str">
        <f>IFERROR(__xludf.DUMMYFUNCTION("GOOGLETRANSLATE(B2210,""en"",""de"")"),"Die Credits mit zwei Mini -Clips werden angezeigt.")</f>
        <v>Die Credits mit zwei Mini -Clips werden angezeigt.</v>
      </c>
    </row>
    <row r="2211">
      <c r="A2211" s="4" t="s">
        <v>2777</v>
      </c>
      <c r="B2211" s="4" t="s">
        <v>2778</v>
      </c>
      <c r="C2211" s="5" t="str">
        <f>IFERROR(__xludf.DUMMYFUNCTION("GOOGLETRANSLATE(B2211,""en"",""de"")"),"Ein älterer und ein jüngerer Junge befinden sich auf einem Racquetballplatz.")</f>
        <v>Ein älterer und ein jüngerer Junge befinden sich auf einem Racquetballplatz.</v>
      </c>
    </row>
    <row r="2212">
      <c r="A2212" s="4" t="s">
        <v>2777</v>
      </c>
      <c r="B2212" s="4" t="s">
        <v>2779</v>
      </c>
      <c r="C2212" s="5" t="str">
        <f>IFERROR(__xludf.DUMMYFUNCTION("GOOGLETRANSLATE(B2212,""en"",""de"")"),"Sie schlugen den Ball gegen die Wand hin und her.")</f>
        <v>Sie schlugen den Ball gegen die Wand hin und her.</v>
      </c>
    </row>
    <row r="2213">
      <c r="A2213" s="4" t="s">
        <v>2777</v>
      </c>
      <c r="B2213" s="4" t="s">
        <v>2780</v>
      </c>
      <c r="C2213" s="5" t="str">
        <f>IFERROR(__xludf.DUMMYFUNCTION("GOOGLETRANSLATE(B2213,""en"",""de"")"),"Sie kämpfen weiter über den Ball und versuchen, sich im Spiel gegenseitig zu schlagen.")</f>
        <v>Sie kämpfen weiter über den Ball und versuchen, sich im Spiel gegenseitig zu schlagen.</v>
      </c>
    </row>
    <row r="2214">
      <c r="A2214" s="4" t="s">
        <v>2781</v>
      </c>
      <c r="B2214" s="4" t="s">
        <v>2782</v>
      </c>
      <c r="C2214" s="5" t="str">
        <f>IFERROR(__xludf.DUMMYFUNCTION("GOOGLETRANSLATE(B2214,""en"",""de"")"),"Wir sehen den Titel auf einem schwarzen Bildschirm.")</f>
        <v>Wir sehen den Titel auf einem schwarzen Bildschirm.</v>
      </c>
    </row>
    <row r="2215">
      <c r="A2215" s="4" t="s">
        <v>2781</v>
      </c>
      <c r="B2215" s="4" t="s">
        <v>2783</v>
      </c>
      <c r="C2215" s="5" t="str">
        <f>IFERROR(__xludf.DUMMYFUNCTION("GOOGLETRANSLATE(B2215,""en"",""de"")"),"Die Leute stehen an einem Skihang.")</f>
        <v>Die Leute stehen an einem Skihang.</v>
      </c>
    </row>
    <row r="2216">
      <c r="A2216" s="4" t="s">
        <v>2781</v>
      </c>
      <c r="B2216" s="4" t="s">
        <v>2784</v>
      </c>
      <c r="C2216" s="5" t="str">
        <f>IFERROR(__xludf.DUMMYFUNCTION("GOOGLETRANSLATE(B2216,""en"",""de"")"),"Wir sehen, dass Menschen in Flößen einen Hügel hinauf gezogen werden und Leute den Hang hinunter fahren.")</f>
        <v>Wir sehen, dass Menschen in Flößen einen Hügel hinauf gezogen werden und Leute den Hang hinunter fahren.</v>
      </c>
    </row>
    <row r="2217">
      <c r="A2217" s="4" t="s">
        <v>2781</v>
      </c>
      <c r="B2217" s="4" t="s">
        <v>2785</v>
      </c>
      <c r="C2217" s="5" t="str">
        <f>IFERROR(__xludf.DUMMYFUNCTION("GOOGLETRANSLATE(B2217,""en"",""de"")"),"Wir sehen einen Mann oben auf dem Berg.")</f>
        <v>Wir sehen einen Mann oben auf dem Berg.</v>
      </c>
    </row>
    <row r="2218">
      <c r="A2218" s="4" t="s">
        <v>2781</v>
      </c>
      <c r="B2218" s="4" t="s">
        <v>2786</v>
      </c>
      <c r="C2218" s="5" t="str">
        <f>IFERROR(__xludf.DUMMYFUNCTION("GOOGLETRANSLATE(B2218,""en"",""de"")"),"Wir sehen, dass das Schreiben angibt, dass die Kamera fallen gelassen wurde.")</f>
        <v>Wir sehen, dass das Schreiben angibt, dass die Kamera fallen gelassen wurde.</v>
      </c>
    </row>
    <row r="2219">
      <c r="A2219" s="4" t="s">
        <v>2781</v>
      </c>
      <c r="B2219" s="4" t="s">
        <v>2787</v>
      </c>
      <c r="C2219" s="5" t="str">
        <f>IFERROR(__xludf.DUMMYFUNCTION("GOOGLETRANSLATE(B2219,""en"",""de"")"),"Der Mann filmt sein Gesicht, als er den Hügel hinunter gleitet.")</f>
        <v>Der Mann filmt sein Gesicht, als er den Hügel hinunter gleitet.</v>
      </c>
    </row>
    <row r="2220">
      <c r="A2220" s="4" t="s">
        <v>2781</v>
      </c>
      <c r="B2220" s="4" t="s">
        <v>2788</v>
      </c>
      <c r="C2220" s="5" t="str">
        <f>IFERROR(__xludf.DUMMYFUNCTION("GOOGLETRANSLATE(B2220,""en"",""de"")"),"Wir sehen das Gesicht eines jungen Mannes, als er den Hügel hinunter reitet.")</f>
        <v>Wir sehen das Gesicht eines jungen Mannes, als er den Hügel hinunter reitet.</v>
      </c>
    </row>
    <row r="2221">
      <c r="A2221" s="4" t="s">
        <v>2781</v>
      </c>
      <c r="B2221" s="4" t="s">
        <v>2789</v>
      </c>
      <c r="C2221" s="5" t="str">
        <f>IFERROR(__xludf.DUMMYFUNCTION("GOOGLETRANSLATE(B2221,""en"",""de"")"),"Wir sehen Leute, die auf dem Parkplatz zu ihren Autos gehen.")</f>
        <v>Wir sehen Leute, die auf dem Parkplatz zu ihren Autos gehen.</v>
      </c>
    </row>
    <row r="2222">
      <c r="A2222" s="4" t="s">
        <v>2781</v>
      </c>
      <c r="B2222" s="4" t="s">
        <v>2790</v>
      </c>
      <c r="C2222" s="5" t="str">
        <f>IFERROR(__xludf.DUMMYFUNCTION("GOOGLETRANSLATE(B2222,""en"",""de"")"),"Am Ende sehen wir ein Kind, das auf einem Floß liegt.")</f>
        <v>Am Ende sehen wir ein Kind, das auf einem Floß liegt.</v>
      </c>
    </row>
    <row r="2223">
      <c r="A2223" s="4" t="s">
        <v>2791</v>
      </c>
      <c r="B2223" s="4" t="s">
        <v>2792</v>
      </c>
      <c r="C2223" s="5" t="str">
        <f>IFERROR(__xludf.DUMMYFUNCTION("GOOGLETRANSLATE(B2223,""en"",""de"")"),"Ein Countdown wird gezeigt, gefolgt von einer Frau, die Bälle auf sie geworfen hat.")</f>
        <v>Ein Countdown wird gezeigt, gefolgt von einer Frau, die Bälle auf sie geworfen hat.</v>
      </c>
    </row>
    <row r="2224">
      <c r="A2224" s="4" t="s">
        <v>2791</v>
      </c>
      <c r="B2224" s="4" t="s">
        <v>2793</v>
      </c>
      <c r="C2224" s="5" t="str">
        <f>IFERROR(__xludf.DUMMYFUNCTION("GOOGLETRANSLATE(B2224,""en"",""de"")"),"Die Zahl zählt mehr und zeigt mehr Clips von Frauen, die Dodgeball spielen.")</f>
        <v>Die Zahl zählt mehr und zeigt mehr Clips von Frauen, die Dodgeball spielen.</v>
      </c>
    </row>
    <row r="2225">
      <c r="A2225" s="4" t="s">
        <v>2791</v>
      </c>
      <c r="B2225" s="4" t="s">
        <v>2794</v>
      </c>
      <c r="C2225" s="5" t="str">
        <f>IFERROR(__xludf.DUMMYFUNCTION("GOOGLETRANSLATE(B2225,""en"",""de"")"),"Es werden mehrere weitere Zahlen und Clips gezeigt, die mit Menschen enden, die beeindruckende Würfe durchführen.")</f>
        <v>Es werden mehrere weitere Zahlen und Clips gezeigt, die mit Menschen enden, die beeindruckende Würfe durchführen.</v>
      </c>
    </row>
    <row r="2226">
      <c r="A2226" s="4" t="s">
        <v>2795</v>
      </c>
      <c r="B2226" s="4" t="s">
        <v>2796</v>
      </c>
      <c r="C2226" s="5" t="str">
        <f>IFERROR(__xludf.DUMMYFUNCTION("GOOGLETRANSLATE(B2226,""en"",""de"")"),"Ein Junge hackt Holz in einem Wald.")</f>
        <v>Ein Junge hackt Holz in einem Wald.</v>
      </c>
    </row>
    <row r="2227">
      <c r="A2227" s="4" t="s">
        <v>2795</v>
      </c>
      <c r="B2227" s="4" t="s">
        <v>2797</v>
      </c>
      <c r="C2227" s="5" t="str">
        <f>IFERROR(__xludf.DUMMYFUNCTION("GOOGLETRANSLATE(B2227,""en"",""de"")"),"Der Junge lässt fast die Axt fallen.")</f>
        <v>Der Junge lässt fast die Axt fallen.</v>
      </c>
    </row>
    <row r="2228">
      <c r="A2228" s="4" t="s">
        <v>2795</v>
      </c>
      <c r="B2228" s="4" t="s">
        <v>2798</v>
      </c>
      <c r="C2228" s="5" t="str">
        <f>IFERROR(__xludf.DUMMYFUNCTION("GOOGLETRANSLATE(B2228,""en"",""de"")"),"Der Junge schaut in die Kamera.")</f>
        <v>Der Junge schaut in die Kamera.</v>
      </c>
    </row>
    <row r="2229">
      <c r="A2229" s="4" t="s">
        <v>2799</v>
      </c>
      <c r="B2229" s="4" t="s">
        <v>2800</v>
      </c>
      <c r="C2229" s="5" t="str">
        <f>IFERROR(__xludf.DUMMYFUNCTION("GOOGLETRANSLATE(B2229,""en"",""de"")"),"Eine Person ist gesehen, wie sie bis zum Ende ihres Autos zurückgeht und ihre Hände auf ihre Hüften legt.")</f>
        <v>Eine Person ist gesehen, wie sie bis zum Ende ihres Autos zurückgeht und ihre Hände auf ihre Hüften legt.</v>
      </c>
    </row>
    <row r="2230">
      <c r="A2230" s="4" t="s">
        <v>2799</v>
      </c>
      <c r="B2230" s="4" t="s">
        <v>2801</v>
      </c>
      <c r="C2230" s="5" t="str">
        <f>IFERROR(__xludf.DUMMYFUNCTION("GOOGLETRANSLATE(B2230,""en"",""de"")"),"Sie erkennen, dass sie einen platten Reifen haben und einen Jack herausziehen, der versucht, ihn abzuholen.")</f>
        <v>Sie erkennen, dass sie einen platten Reifen haben und einen Jack herausziehen, der versucht, ihn abzuholen.</v>
      </c>
    </row>
    <row r="2231">
      <c r="A2231" s="4" t="s">
        <v>2799</v>
      </c>
      <c r="B2231" s="4" t="s">
        <v>2802</v>
      </c>
      <c r="C2231" s="5" t="str">
        <f>IFERROR(__xludf.DUMMYFUNCTION("GOOGLETRANSLATE(B2231,""en"",""de"")"),"Die Frau fällt und versagt rückwärts von einer Brücke und landet auf einem Lastwagen.")</f>
        <v>Die Frau fällt und versagt rückwärts von einer Brücke und landet auf einem Lastwagen.</v>
      </c>
    </row>
    <row r="2232">
      <c r="A2232" s="4" t="s">
        <v>2803</v>
      </c>
      <c r="B2232" s="4" t="s">
        <v>2804</v>
      </c>
      <c r="C2232" s="5" t="str">
        <f>IFERROR(__xludf.DUMMYFUNCTION("GOOGLETRANSLATE(B2232,""en"",""de"")"),"Ein Mann in einem blauen Polo spricht mit der Kamera.")</f>
        <v>Ein Mann in einem blauen Polo spricht mit der Kamera.</v>
      </c>
    </row>
    <row r="2233">
      <c r="A2233" s="4" t="s">
        <v>2803</v>
      </c>
      <c r="B2233" s="4" t="s">
        <v>2805</v>
      </c>
      <c r="C2233" s="5" t="str">
        <f>IFERROR(__xludf.DUMMYFUNCTION("GOOGLETRANSLATE(B2233,""en"",""de"")"),"In einer anderen Umgebung unterrichtet der Mann eine blonde Frau, wie man Sit -Ups durchführt.")</f>
        <v>In einer anderen Umgebung unterrichtet der Mann eine blonde Frau, wie man Sit -Ups durchführt.</v>
      </c>
    </row>
    <row r="2234">
      <c r="A2234" s="4" t="s">
        <v>2803</v>
      </c>
      <c r="B2234" s="4" t="s">
        <v>2806</v>
      </c>
      <c r="C2234" s="5" t="str">
        <f>IFERROR(__xludf.DUMMYFUNCTION("GOOGLETRANSLATE(B2234,""en"",""de"")"),"Die Frau sitzt ups.")</f>
        <v>Die Frau sitzt ups.</v>
      </c>
    </row>
    <row r="2235">
      <c r="A2235" s="4" t="s">
        <v>2803</v>
      </c>
      <c r="B2235" s="4" t="s">
        <v>2807</v>
      </c>
      <c r="C2235" s="5" t="str">
        <f>IFERROR(__xludf.DUMMYFUNCTION("GOOGLETRANSLATE(B2235,""en"",""de"")"),"Der Mann kehrt zurück, um mit der Kamera zu sprechen.")</f>
        <v>Der Mann kehrt zurück, um mit der Kamera zu sprechen.</v>
      </c>
    </row>
    <row r="2236">
      <c r="A2236" s="4" t="s">
        <v>2808</v>
      </c>
      <c r="B2236" s="4" t="s">
        <v>2809</v>
      </c>
      <c r="C2236" s="5" t="str">
        <f>IFERROR(__xludf.DUMMYFUNCTION("GOOGLETRANSLATE(B2236,""en"",""de"")"),"Ein Video wird gezeigt, wie man einen Ersatzreifen ändert.")</f>
        <v>Ein Video wird gezeigt, wie man einen Ersatzreifen ändert.</v>
      </c>
    </row>
    <row r="2237">
      <c r="A2237" s="4" t="s">
        <v>2808</v>
      </c>
      <c r="B2237" s="4" t="s">
        <v>2810</v>
      </c>
      <c r="C2237" s="5" t="str">
        <f>IFERROR(__xludf.DUMMYFUNCTION("GOOGLETRANSLATE(B2237,""en"",""de"")"),"Der erste Reifen wird abgenommen und ersetzt, aber nichts anderes wird getan.")</f>
        <v>Der erste Reifen wird abgenommen und ersetzt, aber nichts anderes wird getan.</v>
      </c>
    </row>
    <row r="2238">
      <c r="A2238" s="4" t="s">
        <v>2811</v>
      </c>
      <c r="B2238" s="4" t="s">
        <v>2812</v>
      </c>
      <c r="C2238" s="5" t="str">
        <f>IFERROR(__xludf.DUMMYFUNCTION("GOOGLETRANSLATE(B2238,""en"",""de"")"),"Wir sehen ein Pfeilbrett an einer Wand.")</f>
        <v>Wir sehen ein Pfeilbrett an einer Wand.</v>
      </c>
    </row>
    <row r="2239">
      <c r="A2239" s="4" t="s">
        <v>2811</v>
      </c>
      <c r="B2239" s="4" t="s">
        <v>2813</v>
      </c>
      <c r="C2239" s="5" t="str">
        <f>IFERROR(__xludf.DUMMYFUNCTION("GOOGLETRANSLATE(B2239,""en"",""de"")"),"Zwei Männer spielen ein Dartspiel.")</f>
        <v>Zwei Männer spielen ein Dartspiel.</v>
      </c>
    </row>
    <row r="2240">
      <c r="A2240" s="4" t="s">
        <v>2811</v>
      </c>
      <c r="B2240" s="4" t="s">
        <v>2814</v>
      </c>
      <c r="C2240" s="5" t="str">
        <f>IFERROR(__xludf.DUMMYFUNCTION("GOOGLETRANSLATE(B2240,""en"",""de"")"),"Wir sehen den Kamerator.")</f>
        <v>Wir sehen den Kamerator.</v>
      </c>
    </row>
    <row r="2241">
      <c r="A2241" s="4" t="s">
        <v>2811</v>
      </c>
      <c r="B2241" s="4" t="s">
        <v>2815</v>
      </c>
      <c r="C2241" s="5" t="str">
        <f>IFERROR(__xludf.DUMMYFUNCTION("GOOGLETRANSLATE(B2241,""en"",""de"")"),"Wir sehen einen Mann aus der Kamera aus der Kamera.")</f>
        <v>Wir sehen einen Mann aus der Kamera aus der Kamera.</v>
      </c>
    </row>
    <row r="2242">
      <c r="A2242" s="4" t="s">
        <v>2811</v>
      </c>
      <c r="B2242" s="4" t="s">
        <v>2816</v>
      </c>
      <c r="C2242" s="5" t="str">
        <f>IFERROR(__xludf.DUMMYFUNCTION("GOOGLETRANSLATE(B2242,""en"",""de"")"),"Wir sehen einen Mann aus der Nähe.")</f>
        <v>Wir sehen einen Mann aus der Nähe.</v>
      </c>
    </row>
    <row r="2243">
      <c r="A2243" s="4" t="s">
        <v>2811</v>
      </c>
      <c r="B2243" s="4" t="s">
        <v>2817</v>
      </c>
      <c r="C2243" s="5" t="str">
        <f>IFERROR(__xludf.DUMMYFUNCTION("GOOGLETRANSLATE(B2243,""en"",""de"")"),"Wir sehen ein Mans -Socken und einen Mann in der Nähe der Kamera.")</f>
        <v>Wir sehen ein Mans -Socken und einen Mann in der Nähe der Kamera.</v>
      </c>
    </row>
    <row r="2244">
      <c r="A2244" s="4" t="s">
        <v>2818</v>
      </c>
      <c r="B2244" s="4" t="s">
        <v>2819</v>
      </c>
      <c r="C2244" s="5" t="str">
        <f>IFERROR(__xludf.DUMMYFUNCTION("GOOGLETRANSLATE(B2244,""en"",""de"")"),"Ein Mann spricht mit der Kamera und kniet auf einem Dach herunter.")</f>
        <v>Ein Mann spricht mit der Kamera und kniet auf einem Dach herunter.</v>
      </c>
    </row>
    <row r="2245">
      <c r="A2245" s="4" t="s">
        <v>2818</v>
      </c>
      <c r="B2245" s="4" t="s">
        <v>2820</v>
      </c>
      <c r="C2245" s="5" t="str">
        <f>IFERROR(__xludf.DUMMYFUNCTION("GOOGLETRANSLATE(B2245,""en"",""de"")"),"Der Mann benutzt dann ein Werkzeug, um Fliesen auf dem Dach sowie ein weiteres Werkzeug abzukratzen, um sie wieder nach unten zu setzen.")</f>
        <v>Der Mann benutzt dann ein Werkzeug, um Fliesen auf dem Dach sowie ein weiteres Werkzeug abzukratzen, um sie wieder nach unten zu setzen.</v>
      </c>
    </row>
    <row r="2246">
      <c r="A2246" s="4" t="s">
        <v>2818</v>
      </c>
      <c r="B2246" s="4" t="s">
        <v>2821</v>
      </c>
      <c r="C2246" s="5" t="str">
        <f>IFERROR(__xludf.DUMMYFUNCTION("GOOGLETRANSLATE(B2246,""en"",""de"")"),"Der Mann nimmt weiterhin Fliesen auf dem Dach ab und klebt andere nach unten und endet, indem sie zur Kamera lächelt.")</f>
        <v>Der Mann nimmt weiterhin Fliesen auf dem Dach ab und klebt andere nach unten und endet, indem sie zur Kamera lächelt.</v>
      </c>
    </row>
    <row r="2247">
      <c r="A2247" s="4" t="s">
        <v>2822</v>
      </c>
      <c r="B2247" s="4" t="s">
        <v>2823</v>
      </c>
      <c r="C2247" s="5" t="str">
        <f>IFERROR(__xludf.DUMMYFUNCTION("GOOGLETRANSLATE(B2247,""en"",""de"")"),"Eine Person startet einen Tubing -Teilnehmer, um die Schneerutsche hinunter zu fahren.")</f>
        <v>Eine Person startet einen Tubing -Teilnehmer, um die Schneerutsche hinunter zu fahren.</v>
      </c>
    </row>
    <row r="2248">
      <c r="A2248" s="4" t="s">
        <v>2822</v>
      </c>
      <c r="B2248" s="4" t="s">
        <v>2824</v>
      </c>
      <c r="C2248" s="5" t="str">
        <f>IFERROR(__xludf.DUMMYFUNCTION("GOOGLETRANSLATE(B2248,""en"",""de"")"),"Die Kamera schwenkt zu zwei Knollen, die darauf warten, sich selbst zu gehen.")</f>
        <v>Die Kamera schwenkt zu zwei Knollen, die darauf warten, sich selbst zu gehen.</v>
      </c>
    </row>
    <row r="2249">
      <c r="A2249" s="4" t="s">
        <v>2822</v>
      </c>
      <c r="B2249" s="4" t="s">
        <v>2825</v>
      </c>
      <c r="C2249" s="5" t="str">
        <f>IFERROR(__xludf.DUMMYFUNCTION("GOOGLETRANSLATE(B2249,""en"",""de"")"),"Die nächsten beiden Leute fahren die Rutsche hinunter.")</f>
        <v>Die nächsten beiden Leute fahren die Rutsche hinunter.</v>
      </c>
    </row>
    <row r="2250">
      <c r="A2250" s="4" t="s">
        <v>2822</v>
      </c>
      <c r="B2250" s="4" t="s">
        <v>2826</v>
      </c>
      <c r="C2250" s="5" t="str">
        <f>IFERROR(__xludf.DUMMYFUNCTION("GOOGLETRANSLATE(B2250,""en"",""de"")"),"Schließlich nimmt der Kameramann die Fahrt und wir können stellvertretend durch sie leben.")</f>
        <v>Schließlich nimmt der Kameramann die Fahrt und wir können stellvertretend durch sie leben.</v>
      </c>
    </row>
    <row r="2251">
      <c r="A2251" s="4" t="s">
        <v>2827</v>
      </c>
      <c r="B2251" s="4" t="s">
        <v>2828</v>
      </c>
      <c r="C2251" s="5" t="str">
        <f>IFERROR(__xludf.DUMMYFUNCTION("GOOGLETRANSLATE(B2251,""en"",""de"")"),"Es wird zu sehen, wie ein Gewicht auf eine Stange gelegt wird und führt zu einem Mann, der nach unten kniete.")</f>
        <v>Es wird zu sehen, wie ein Gewicht auf eine Stange gelegt wird und führt zu einem Mann, der nach unten kniete.</v>
      </c>
    </row>
    <row r="2252">
      <c r="A2252" s="4" t="s">
        <v>2827</v>
      </c>
      <c r="B2252" s="4" t="s">
        <v>2829</v>
      </c>
      <c r="C2252" s="5" t="str">
        <f>IFERROR(__xludf.DUMMYFUNCTION("GOOGLETRANSLATE(B2252,""en"",""de"")"),"Der Mann schnappt sich eine Reihe von Gewichten und beginnt, ihn über seinen Kopf zu heben.")</f>
        <v>Der Mann schnappt sich eine Reihe von Gewichten und beginnt, ihn über seinen Kopf zu heben.</v>
      </c>
    </row>
    <row r="2253">
      <c r="A2253" s="4" t="s">
        <v>2827</v>
      </c>
      <c r="B2253" s="4" t="s">
        <v>2830</v>
      </c>
      <c r="C2253" s="5" t="str">
        <f>IFERROR(__xludf.DUMMYFUNCTION("GOOGLETRANSLATE(B2253,""en"",""de"")"),"Er wirft das Gewicht nach oben und dann wieder auf den Boden.")</f>
        <v>Er wirft das Gewicht nach oben und dann wieder auf den Boden.</v>
      </c>
    </row>
    <row r="2254">
      <c r="A2254" s="4" t="s">
        <v>2831</v>
      </c>
      <c r="B2254" s="4" t="s">
        <v>2832</v>
      </c>
      <c r="C2254" s="5" t="str">
        <f>IFERROR(__xludf.DUMMYFUNCTION("GOOGLETRANSLATE(B2254,""en"",""de"")"),"Ein Junge, der in einem Burgunder Polo gekleidet ist, befindet sich in einer Kegelbahn und wirft den Ball hoch in die Luft und kommt zurück auf die andere Fahrspur.")</f>
        <v>Ein Junge, der in einem Burgunder Polo gekleidet ist, befindet sich in einer Kegelbahn und wirft den Ball hoch in die Luft und kommt zurück auf die andere Fahrspur.</v>
      </c>
    </row>
    <row r="2255">
      <c r="A2255" s="4" t="s">
        <v>2831</v>
      </c>
      <c r="B2255" s="4" t="s">
        <v>2833</v>
      </c>
      <c r="C2255" s="5" t="str">
        <f>IFERROR(__xludf.DUMMYFUNCTION("GOOGLETRANSLATE(B2255,""en"",""de"")"),"Es werden mehr Bowler gezeigt und fangen als der Versuch, den Ball zu werfen, auf die Gassen.")</f>
        <v>Es werden mehr Bowler gezeigt und fangen als der Versuch, den Ball zu werfen, auf die Gassen.</v>
      </c>
    </row>
    <row r="2256">
      <c r="A2256" s="4" t="s">
        <v>2831</v>
      </c>
      <c r="B2256" s="4" t="s">
        <v>2834</v>
      </c>
      <c r="C2256" s="5" t="str">
        <f>IFERROR(__xludf.DUMMYFUNCTION("GOOGLETRANSLATE(B2256,""en"",""de"")"),"Ein Mann kommt dann vorbei und dreht sich auf dem Kopf und schlägt am Ende mit den Bällen die Stifte.")</f>
        <v>Ein Mann kommt dann vorbei und dreht sich auf dem Kopf und schlägt am Ende mit den Bällen die Stifte.</v>
      </c>
    </row>
    <row r="2257">
      <c r="A2257" s="4" t="s">
        <v>2831</v>
      </c>
      <c r="B2257" s="4" t="s">
        <v>2835</v>
      </c>
      <c r="C2257" s="5" t="str">
        <f>IFERROR(__xludf.DUMMYFUNCTION("GOOGLETRANSLATE(B2257,""en"",""de"")"),"Schließlich wird ein Ball richtig geworfen und der Mann gratuliert ihm.")</f>
        <v>Schließlich wird ein Ball richtig geworfen und der Mann gratuliert ihm.</v>
      </c>
    </row>
    <row r="2258">
      <c r="A2258" s="4" t="s">
        <v>2836</v>
      </c>
      <c r="B2258" s="4" t="s">
        <v>2837</v>
      </c>
      <c r="C2258" s="5" t="str">
        <f>IFERROR(__xludf.DUMMYFUNCTION("GOOGLETRANSLATE(B2258,""en"",""de"")"),"Die Leute trainieren in einem Raum.")</f>
        <v>Die Leute trainieren in einem Raum.</v>
      </c>
    </row>
    <row r="2259">
      <c r="A2259" s="4" t="s">
        <v>2836</v>
      </c>
      <c r="B2259" s="4" t="s">
        <v>2838</v>
      </c>
      <c r="C2259" s="5" t="str">
        <f>IFERROR(__xludf.DUMMYFUNCTION("GOOGLETRANSLATE(B2259,""en"",""de"")"),"Sie treten auf eine blaue Matte auf und ab.")</f>
        <v>Sie treten auf eine blaue Matte auf und ab.</v>
      </c>
    </row>
    <row r="2260">
      <c r="A2260" s="4" t="s">
        <v>2836</v>
      </c>
      <c r="B2260" s="4" t="s">
        <v>2839</v>
      </c>
      <c r="C2260" s="5" t="str">
        <f>IFERROR(__xludf.DUMMYFUNCTION("GOOGLETRANSLATE(B2260,""en"",""de"")"),"Sie heben ihre Hände in der Luft.")</f>
        <v>Sie heben ihre Hände in der Luft.</v>
      </c>
    </row>
    <row r="2261">
      <c r="A2261" s="4" t="s">
        <v>2840</v>
      </c>
      <c r="B2261" s="4" t="s">
        <v>2841</v>
      </c>
      <c r="C2261" s="5" t="str">
        <f>IFERROR(__xludf.DUMMYFUNCTION("GOOGLETRANSLATE(B2261,""en"",""de"")"),"Ein Mann steht in einem Hof ​​mit einem Drachen.")</f>
        <v>Ein Mann steht in einem Hof ​​mit einem Drachen.</v>
      </c>
    </row>
    <row r="2262">
      <c r="A2262" s="4" t="s">
        <v>2840</v>
      </c>
      <c r="B2262" s="4" t="s">
        <v>2842</v>
      </c>
      <c r="C2262" s="5" t="str">
        <f>IFERROR(__xludf.DUMMYFUNCTION("GOOGLETRANSLATE(B2262,""en"",""de"")"),"Eine Frau steht vor ihm und fliegt den Drachen danach.")</f>
        <v>Eine Frau steht vor ihm und fliegt den Drachen danach.</v>
      </c>
    </row>
    <row r="2263">
      <c r="A2263" s="4" t="s">
        <v>2840</v>
      </c>
      <c r="B2263" s="4" t="s">
        <v>2843</v>
      </c>
      <c r="C2263" s="5" t="str">
        <f>IFERROR(__xludf.DUMMYFUNCTION("GOOGLETRANSLATE(B2263,""en"",""de"")"),"Der Drachen wird am Himmel gezeigt.")</f>
        <v>Der Drachen wird am Himmel gezeigt.</v>
      </c>
    </row>
    <row r="2264">
      <c r="A2264" s="4" t="s">
        <v>2840</v>
      </c>
      <c r="B2264" s="4" t="s">
        <v>2844</v>
      </c>
      <c r="C2264" s="5" t="str">
        <f>IFERROR(__xludf.DUMMYFUNCTION("GOOGLETRANSLATE(B2264,""en"",""de"")"),"Eine andere Frau fängt an, den Drachen draußen zu fliegen.")</f>
        <v>Eine andere Frau fängt an, den Drachen draußen zu fliegen.</v>
      </c>
    </row>
    <row r="2265">
      <c r="A2265" s="4" t="s">
        <v>2845</v>
      </c>
      <c r="B2265" s="4" t="s">
        <v>2846</v>
      </c>
      <c r="C2265" s="5" t="str">
        <f>IFERROR(__xludf.DUMMYFUNCTION("GOOGLETRANSLATE(B2265,""en"",""de"")"),"Eine Athletin setzt ihre Haltung ein, um während eines Leichtathletik -Events eine Disc zu werfen.")</f>
        <v>Eine Athletin setzt ihre Haltung ein, um während eines Leichtathletik -Events eine Disc zu werfen.</v>
      </c>
    </row>
    <row r="2266">
      <c r="A2266" s="4" t="s">
        <v>2845</v>
      </c>
      <c r="B2266" s="4" t="s">
        <v>2847</v>
      </c>
      <c r="C2266" s="5" t="str">
        <f>IFERROR(__xludf.DUMMYFUNCTION("GOOGLETRANSLATE(B2266,""en"",""de"")"),"Die Frau wirft die Scheibe weit über das Feld.")</f>
        <v>Die Frau wirft die Scheibe weit über das Feld.</v>
      </c>
    </row>
    <row r="2267">
      <c r="A2267" s="4" t="s">
        <v>2845</v>
      </c>
      <c r="B2267" s="4" t="s">
        <v>2848</v>
      </c>
      <c r="C2267" s="5" t="str">
        <f>IFERROR(__xludf.DUMMYFUNCTION("GOOGLETRANSLATE(B2267,""en"",""de"")"),"Der Athlet feiert den Wurf und die Menge jubelt.")</f>
        <v>Der Athlet feiert den Wurf und die Menge jubelt.</v>
      </c>
    </row>
    <row r="2268">
      <c r="A2268" s="4" t="s">
        <v>2845</v>
      </c>
      <c r="B2268" s="4" t="s">
        <v>2849</v>
      </c>
      <c r="C2268" s="5" t="str">
        <f>IFERROR(__xludf.DUMMYFUNCTION("GOOGLETRANSLATE(B2268,""en"",""de"")"),"Eine Wiederholung ist von dem Wurf der Frau zu sehen.")</f>
        <v>Eine Wiederholung ist von dem Wurf der Frau zu sehen.</v>
      </c>
    </row>
    <row r="2269">
      <c r="A2269" s="4" t="s">
        <v>2850</v>
      </c>
      <c r="B2269" s="4" t="s">
        <v>2851</v>
      </c>
      <c r="C2269" s="5" t="str">
        <f>IFERROR(__xludf.DUMMYFUNCTION("GOOGLETRANSLATE(B2269,""en"",""de"")"),"Ein Mann erklärt, während er auf einem eingezäunten Gericht steht.")</f>
        <v>Ein Mann erklärt, während er auf einem eingezäunten Gericht steht.</v>
      </c>
    </row>
    <row r="2270">
      <c r="A2270" s="4" t="s">
        <v>2850</v>
      </c>
      <c r="B2270" s="4" t="s">
        <v>2852</v>
      </c>
      <c r="C2270" s="5" t="str">
        <f>IFERROR(__xludf.DUMMYFUNCTION("GOOGLETRANSLATE(B2270,""en"",""de"")"),"Dann, der Mann tanzt Hip Hop und erklären dann Hip -Hop -Demonstrationen.")</f>
        <v>Dann, der Mann tanzt Hip Hop und erklären dann Hip -Hop -Demonstrationen.</v>
      </c>
    </row>
    <row r="2271">
      <c r="A2271" s="4" t="s">
        <v>2850</v>
      </c>
      <c r="B2271" s="4" t="s">
        <v>2853</v>
      </c>
      <c r="C2271" s="5" t="str">
        <f>IFERROR(__xludf.DUMMYFUNCTION("GOOGLETRANSLATE(B2271,""en"",""de"")"),"Danach sitzt der Mann auf dem Boden und hebt seinen Körper mit den Händen, die Beine drehen, um Hip -Hopfen -Bewegungen zu machen.")</f>
        <v>Danach sitzt der Mann auf dem Boden und hebt seinen Körper mit den Händen, die Beine drehen, um Hip -Hopfen -Bewegungen zu machen.</v>
      </c>
    </row>
    <row r="2272">
      <c r="A2272" s="4" t="s">
        <v>2854</v>
      </c>
      <c r="B2272" s="4" t="s">
        <v>2855</v>
      </c>
      <c r="C2272" s="5" t="str">
        <f>IFERROR(__xludf.DUMMYFUNCTION("GOOGLETRANSLATE(B2272,""en"",""de"")"),"Ein Mann ist in einem Feld mit Frisbees in der Hand und wirft ihn zu seinem schwarzen und weißen Husky -Hund.")</f>
        <v>Ein Mann ist in einem Feld mit Frisbees in der Hand und wirft ihn zu seinem schwarzen und weißen Husky -Hund.</v>
      </c>
    </row>
    <row r="2273">
      <c r="A2273" s="4" t="s">
        <v>2854</v>
      </c>
      <c r="B2273" s="4" t="s">
        <v>2856</v>
      </c>
      <c r="C2273" s="5" t="str">
        <f>IFERROR(__xludf.DUMMYFUNCTION("GOOGLETRANSLATE(B2273,""en"",""de"")"),"Die beiden machen weiterhin Tricks und der Hund springt auf das Mann zurück.")</f>
        <v>Die beiden machen weiterhin Tricks und der Hund springt auf das Mann zurück.</v>
      </c>
    </row>
    <row r="2274">
      <c r="A2274" s="4" t="s">
        <v>2854</v>
      </c>
      <c r="B2274" s="4" t="s">
        <v>2857</v>
      </c>
      <c r="C2274" s="5" t="str">
        <f>IFERROR(__xludf.DUMMYFUNCTION("GOOGLETRANSLATE(B2274,""en"",""de"")"),"Mehr Frisbee werden geworfen und der Hund fängt den Frisbee und der Mann umarmt den Hund.")</f>
        <v>Mehr Frisbee werden geworfen und der Hund fängt den Frisbee und der Mann umarmt den Hund.</v>
      </c>
    </row>
    <row r="2275">
      <c r="A2275" s="4" t="s">
        <v>2858</v>
      </c>
      <c r="B2275" s="4" t="s">
        <v>2859</v>
      </c>
      <c r="C2275" s="5" t="str">
        <f>IFERROR(__xludf.DUMMYFUNCTION("GOOGLETRANSLATE(B2275,""en"",""de"")"),"Die Menschen bewegen die Möbel aus dem Wohnzimmer, sogar dem Teppich und allem.")</f>
        <v>Die Menschen bewegen die Möbel aus dem Wohnzimmer, sogar dem Teppich und allem.</v>
      </c>
    </row>
    <row r="2276">
      <c r="A2276" s="4" t="s">
        <v>2858</v>
      </c>
      <c r="B2276" s="4" t="s">
        <v>2860</v>
      </c>
      <c r="C2276" s="5" t="str">
        <f>IFERROR(__xludf.DUMMYFUNCTION("GOOGLETRANSLATE(B2276,""en"",""de"")"),"Sie kommen herein und fegen den Boden und fangen dann an, etwas Plan und Holz abzulegen.")</f>
        <v>Sie kommen herein und fegen den Boden und fangen dann an, etwas Plan und Holz abzulegen.</v>
      </c>
    </row>
    <row r="2277">
      <c r="A2277" s="4" t="s">
        <v>2858</v>
      </c>
      <c r="B2277" s="4" t="s">
        <v>2861</v>
      </c>
      <c r="C2277" s="5" t="str">
        <f>IFERROR(__xludf.DUMMYFUNCTION("GOOGLETRANSLATE(B2277,""en"",""de"")"),"Sie umgestalten den Boden vom Teppich zu Holzböden.")</f>
        <v>Sie umgestalten den Boden vom Teppich zu Holzböden.</v>
      </c>
    </row>
    <row r="2278">
      <c r="A2278" s="4" t="s">
        <v>2858</v>
      </c>
      <c r="B2278" s="4" t="s">
        <v>2862</v>
      </c>
      <c r="C2278" s="5" t="str">
        <f>IFERROR(__xludf.DUMMYFUNCTION("GOOGLETRANSLATE(B2278,""en"",""de"")"),"Sobald der Boden fertig ist, bringen sie alle Möbel zurück.")</f>
        <v>Sobald der Boden fertig ist, bringen sie alle Möbel zurück.</v>
      </c>
    </row>
    <row r="2279">
      <c r="A2279" s="4" t="s">
        <v>2863</v>
      </c>
      <c r="B2279" s="4" t="s">
        <v>2864</v>
      </c>
      <c r="C2279" s="5" t="str">
        <f>IFERROR(__xludf.DUMMYFUNCTION("GOOGLETRANSLATE(B2279,""en"",""de"")"),"Eine Frau spricht mit der Kamera und führt in ihr die Haare einer Person.")</f>
        <v>Eine Frau spricht mit der Kamera und führt in ihr die Haare einer Person.</v>
      </c>
    </row>
    <row r="2280">
      <c r="A2280" s="4" t="s">
        <v>2863</v>
      </c>
      <c r="B2280" s="4" t="s">
        <v>2865</v>
      </c>
      <c r="C2280" s="5" t="str">
        <f>IFERROR(__xludf.DUMMYFUNCTION("GOOGLETRANSLATE(B2280,""en"",""de"")"),"Sie schneidet und stylen das Haar weiter, während der Mann in die Ferne schaut.")</f>
        <v>Sie schneidet und stylen das Haar weiter, während der Mann in die Ferne schaut.</v>
      </c>
    </row>
    <row r="2281">
      <c r="A2281" s="4" t="s">
        <v>2866</v>
      </c>
      <c r="B2281" s="4" t="s">
        <v>2867</v>
      </c>
      <c r="C2281" s="5" t="str">
        <f>IFERROR(__xludf.DUMMYFUNCTION("GOOGLETRANSLATE(B2281,""en"",""de"")"),"Es gibt eine Gruppe von Sparren, die gelbe Westen tragen, die ein Abenteuer machen.")</f>
        <v>Es gibt eine Gruppe von Sparren, die gelbe Westen tragen, die ein Abenteuer machen.</v>
      </c>
    </row>
    <row r="2282">
      <c r="A2282" s="4" t="s">
        <v>2866</v>
      </c>
      <c r="B2282" s="4" t="s">
        <v>2868</v>
      </c>
      <c r="C2282" s="5" t="str">
        <f>IFERROR(__xludf.DUMMYFUNCTION("GOOGLETRANSLATE(B2282,""en"",""de"")"),"Sie rudern das Floß durch den Fluss, als die turbulenten Wellen zu ihrem Floß zugießen.")</f>
        <v>Sie rudern das Floß durch den Fluss, als die turbulenten Wellen zu ihrem Floß zugießen.</v>
      </c>
    </row>
    <row r="2283">
      <c r="A2283" s="4" t="s">
        <v>2866</v>
      </c>
      <c r="B2283" s="4" t="s">
        <v>2869</v>
      </c>
      <c r="C2283" s="5" t="str">
        <f>IFERROR(__xludf.DUMMYFUNCTION("GOOGLETRANSLATE(B2283,""en"",""de"")"),"Sie raften weiter durch den Fluss, während sie gegen die heftigen Wellen am Leben bleiben.")</f>
        <v>Sie raften weiter durch den Fluss, während sie gegen die heftigen Wellen am Leben bleiben.</v>
      </c>
    </row>
    <row r="2284">
      <c r="A2284" s="4" t="s">
        <v>2866</v>
      </c>
      <c r="B2284" s="4" t="s">
        <v>2870</v>
      </c>
      <c r="C2284" s="5" t="str">
        <f>IFERROR(__xludf.DUMMYFUNCTION("GOOGLETRANSLATE(B2284,""en"",""de"")"),"Die Sparren bleiben trotz der turbulenten und aufgeregten Wellen des Flusses über Wasser.")</f>
        <v>Die Sparren bleiben trotz der turbulenten und aufgeregten Wellen des Flusses über Wasser.</v>
      </c>
    </row>
    <row r="2285">
      <c r="A2285" s="4" t="s">
        <v>2866</v>
      </c>
      <c r="B2285" s="4" t="s">
        <v>2871</v>
      </c>
      <c r="C2285" s="5" t="str">
        <f>IFERROR(__xludf.DUMMYFUNCTION("GOOGLETRANSLATE(B2285,""en"",""de"")"),"Einige der Sparren befinden sich auf einem Hügel und einer der Sparren taucht ins Wasser.")</f>
        <v>Einige der Sparren befinden sich auf einem Hügel und einer der Sparren taucht ins Wasser.</v>
      </c>
    </row>
    <row r="2286">
      <c r="A2286" s="4" t="s">
        <v>2866</v>
      </c>
      <c r="B2286" s="4" t="s">
        <v>2872</v>
      </c>
      <c r="C2286" s="5" t="str">
        <f>IFERROR(__xludf.DUMMYFUNCTION("GOOGLETRANSLATE(B2286,""en"",""de"")"),"Die Sparren setzen ihre Reise durch die turbulenten Gewässer des Flusses fort.")</f>
        <v>Die Sparren setzen ihre Reise durch die turbulenten Gewässer des Flusses fort.</v>
      </c>
    </row>
    <row r="2287">
      <c r="A2287" s="4" t="s">
        <v>2866</v>
      </c>
      <c r="B2287" s="4" t="s">
        <v>2873</v>
      </c>
      <c r="C2287" s="5" t="str">
        <f>IFERROR(__xludf.DUMMYFUNCTION("GOOGLETRANSLATE(B2287,""en"",""de"")"),"Es gibt eine Person, die Bungee von einem erhöhten Kran in den Fluss springt.")</f>
        <v>Es gibt eine Person, die Bungee von einem erhöhten Kran in den Fluss springt.</v>
      </c>
    </row>
    <row r="2288">
      <c r="A2288" s="4" t="s">
        <v>2874</v>
      </c>
      <c r="B2288" s="4" t="s">
        <v>2875</v>
      </c>
      <c r="C2288" s="5" t="str">
        <f>IFERROR(__xludf.DUMMYFUNCTION("GOOGLETRANSLATE(B2288,""en"",""de"")"),"Eine Frau steht in einer unordentlichen Küche vor dem Waschbecken und bereitet sich darauf vor, etwas zu schneiden.")</f>
        <v>Eine Frau steht in einer unordentlichen Küche vor dem Waschbecken und bereitet sich darauf vor, etwas zu schneiden.</v>
      </c>
    </row>
    <row r="2289">
      <c r="A2289" s="4" t="s">
        <v>2874</v>
      </c>
      <c r="B2289" s="4" t="s">
        <v>2876</v>
      </c>
      <c r="C2289" s="5" t="str">
        <f>IFERROR(__xludf.DUMMYFUNCTION("GOOGLETRANSLATE(B2289,""en"",""de"")"),"Sie schnappt sich eine Kartoffel und einen Schäler und nimmt die Ränder ab.")</f>
        <v>Sie schnappt sich eine Kartoffel und einen Schäler und nimmt die Ränder ab.</v>
      </c>
    </row>
    <row r="2290">
      <c r="A2290" s="4" t="s">
        <v>2874</v>
      </c>
      <c r="B2290" s="4" t="s">
        <v>2877</v>
      </c>
      <c r="C2290" s="5" t="str">
        <f>IFERROR(__xludf.DUMMYFUNCTION("GOOGLETRANSLATE(B2290,""en"",""de"")"),"Während sie weiter schneidet, gehen zwei junge Mädchen in der Küche und beginnen sie zu beobachten und Geschirr zu greifen.")</f>
        <v>Während sie weiter schneidet, gehen zwei junge Mädchen in der Küche und beginnen sie zu beobachten und Geschirr zu greifen.</v>
      </c>
    </row>
    <row r="2291">
      <c r="A2291" s="4" t="s">
        <v>2878</v>
      </c>
      <c r="B2291" s="4" t="s">
        <v>2879</v>
      </c>
      <c r="C2291" s="5" t="str">
        <f>IFERROR(__xludf.DUMMYFUNCTION("GOOGLETRANSLATE(B2291,""en"",""de"")"),"Wrestler ist in einem Ring und macht ein Kopfschloss und ein Mann springt aus dem Ring und schiebt die Männer.")</f>
        <v>Wrestler ist in einem Ring und macht ein Kopfschloss und ein Mann springt aus dem Ring und schiebt die Männer.</v>
      </c>
    </row>
    <row r="2292">
      <c r="A2292" s="4" t="s">
        <v>2878</v>
      </c>
      <c r="B2292" s="4" t="s">
        <v>2880</v>
      </c>
      <c r="C2292" s="5" t="str">
        <f>IFERROR(__xludf.DUMMYFUNCTION("GOOGLETRANSLATE(B2292,""en"",""de"")"),"Schiedsrichter befindet sich im Ring und zählt die Sekunden der Wresler auf dem Boden.")</f>
        <v>Schiedsrichter befindet sich im Ring und zählt die Sekunden der Wresler auf dem Boden.</v>
      </c>
    </row>
    <row r="2293">
      <c r="A2293" s="4" t="s">
        <v>2881</v>
      </c>
      <c r="B2293" s="4" t="s">
        <v>2882</v>
      </c>
      <c r="C2293" s="5" t="str">
        <f>IFERROR(__xludf.DUMMYFUNCTION("GOOGLETRANSLATE(B2293,""en"",""de"")"),"Es wird einer Frau gezeigt, die ein Nachrichtensegment veranstaltet, wenn die Kamera nach Sonnenschutznachrichten schwenkt.")</f>
        <v>Es wird einer Frau gezeigt, die ein Nachrichtensegment veranstaltet, wenn die Kamera nach Sonnenschutznachrichten schwenkt.</v>
      </c>
    </row>
    <row r="2294">
      <c r="A2294" s="4" t="s">
        <v>2881</v>
      </c>
      <c r="B2294" s="4" t="s">
        <v>2883</v>
      </c>
      <c r="C2294" s="5" t="str">
        <f>IFERROR(__xludf.DUMMYFUNCTION("GOOGLETRANSLATE(B2294,""en"",""de"")"),"Mehrere Personen werden an einem Strand gezeigt und von einem Reporter auf Sonnenschutzmitteln interviewt.")</f>
        <v>Mehrere Personen werden an einem Strand gezeigt und von einem Reporter auf Sonnenschutzmitteln interviewt.</v>
      </c>
    </row>
    <row r="2295">
      <c r="A2295" s="4" t="s">
        <v>2881</v>
      </c>
      <c r="B2295" s="4" t="s">
        <v>2884</v>
      </c>
      <c r="C2295" s="5" t="str">
        <f>IFERROR(__xludf.DUMMYFUNCTION("GOOGLETRANSLATE(B2295,""en"",""de"")"),"Flaschen werden mit Sonnenschutzmitteln und Personen gezeigt, die es anziehen.")</f>
        <v>Flaschen werden mit Sonnenschutzmitteln und Personen gezeigt, die es anziehen.</v>
      </c>
    </row>
    <row r="2296">
      <c r="A2296" s="4" t="s">
        <v>2881</v>
      </c>
      <c r="B2296" s="4" t="s">
        <v>2885</v>
      </c>
      <c r="C2296" s="5" t="str">
        <f>IFERROR(__xludf.DUMMYFUNCTION("GOOGLETRANSLATE(B2296,""en"",""de"")"),"Der Reporter spricht mit Menschen und Pfannen zurück zu Hemden, die für Sonnenschutzmittel und Menschen, die um die Welt reisen, verwendet.")</f>
        <v>Der Reporter spricht mit Menschen und Pfannen zurück zu Hemden, die für Sonnenschutzmittel und Menschen, die um die Welt reisen, verwendet.</v>
      </c>
    </row>
    <row r="2297">
      <c r="A2297" s="4" t="s">
        <v>2886</v>
      </c>
      <c r="B2297" s="4" t="s">
        <v>1487</v>
      </c>
      <c r="C2297" s="5" t="str">
        <f>IFERROR(__xludf.DUMMYFUNCTION("GOOGLETRANSLATE(B2297,""en"",""de"")"),"Wir sehen einen Öffnungsbildschirm.")</f>
        <v>Wir sehen einen Öffnungsbildschirm.</v>
      </c>
    </row>
    <row r="2298">
      <c r="A2298" s="4" t="s">
        <v>2886</v>
      </c>
      <c r="B2298" s="4" t="s">
        <v>2887</v>
      </c>
      <c r="C2298" s="5" t="str">
        <f>IFERROR(__xludf.DUMMYFUNCTION("GOOGLETRANSLATE(B2298,""en"",""de"")"),"Ein Mann hält einen Badminton -Schläger in einem Fitnessstudio und spricht.")</f>
        <v>Ein Mann hält einen Badminton -Schläger in einem Fitnessstudio und spricht.</v>
      </c>
    </row>
    <row r="2299">
      <c r="A2299" s="4" t="s">
        <v>2886</v>
      </c>
      <c r="B2299" s="4" t="s">
        <v>2888</v>
      </c>
      <c r="C2299" s="5" t="str">
        <f>IFERROR(__xludf.DUMMYFUNCTION("GOOGLETRANSLATE(B2299,""en"",""de"")"),"Der Mann lehnt sich nach links und hält den Schläger aus.")</f>
        <v>Der Mann lehnt sich nach links und hält den Schläger aus.</v>
      </c>
    </row>
    <row r="2300">
      <c r="A2300" s="4" t="s">
        <v>2886</v>
      </c>
      <c r="B2300" s="4" t="s">
        <v>2889</v>
      </c>
      <c r="C2300" s="5" t="str">
        <f>IFERROR(__xludf.DUMMYFUNCTION("GOOGLETRANSLATE(B2300,""en"",""de"")"),"Der Mann dreht sich nach rechts und zeigt seinen Rücken zur Kamera.")</f>
        <v>Der Mann dreht sich nach rechts und zeigt seinen Rücken zur Kamera.</v>
      </c>
    </row>
    <row r="2301">
      <c r="A2301" s="4" t="s">
        <v>2886</v>
      </c>
      <c r="B2301" s="4" t="s">
        <v>2890</v>
      </c>
      <c r="C2301" s="5" t="str">
        <f>IFERROR(__xludf.DUMMYFUNCTION("GOOGLETRANSLATE(B2301,""en"",""de"")"),"Der Mann spricht mit der Kamera und der Mann springt über den Bildschirm hin und her.")</f>
        <v>Der Mann spricht mit der Kamera und der Mann springt über den Bildschirm hin und her.</v>
      </c>
    </row>
    <row r="2302">
      <c r="A2302" s="4" t="s">
        <v>2886</v>
      </c>
      <c r="B2302" s="4" t="s">
        <v>2891</v>
      </c>
      <c r="C2302" s="5" t="str">
        <f>IFERROR(__xludf.DUMMYFUNCTION("GOOGLETRANSLATE(B2302,""en"",""de"")"),"Der Mann spricht mit der Kamera und der Mann lehnt sich noch einmal nach.")</f>
        <v>Der Mann spricht mit der Kamera und der Mann lehnt sich noch einmal nach.</v>
      </c>
    </row>
    <row r="2303">
      <c r="A2303" s="4" t="s">
        <v>2886</v>
      </c>
      <c r="B2303" s="4" t="s">
        <v>2892</v>
      </c>
      <c r="C2303" s="5" t="str">
        <f>IFERROR(__xludf.DUMMYFUNCTION("GOOGLETRANSLATE(B2303,""en"",""de"")"),"Wir sehen den Schluss -Titelbildschirm.")</f>
        <v>Wir sehen den Schluss -Titelbildschirm.</v>
      </c>
    </row>
    <row r="2304">
      <c r="A2304" s="4" t="s">
        <v>2893</v>
      </c>
      <c r="B2304" s="4" t="s">
        <v>2894</v>
      </c>
      <c r="C2304" s="5" t="str">
        <f>IFERROR(__xludf.DUMMYFUNCTION("GOOGLETRANSLATE(B2304,""en"",""de"")"),"Ein Mann kämmt seinen Bart vor einem Spiegel in seinem Badezimmer.")</f>
        <v>Ein Mann kämmt seinen Bart vor einem Spiegel in seinem Badezimmer.</v>
      </c>
    </row>
    <row r="2305">
      <c r="A2305" s="4" t="s">
        <v>2893</v>
      </c>
      <c r="B2305" s="4" t="s">
        <v>2895</v>
      </c>
      <c r="C2305" s="5" t="str">
        <f>IFERROR(__xludf.DUMMYFUNCTION("GOOGLETRANSLATE(B2305,""en"",""de"")"),"Der Mann greift nach unten, um Sizzoren abzuholen und dann seinen Schnurrbart zu schneiden.")</f>
        <v>Der Mann greift nach unten, um Sizzoren abzuholen und dann seinen Schnurrbart zu schneiden.</v>
      </c>
    </row>
    <row r="2306">
      <c r="A2306" s="4" t="s">
        <v>2893</v>
      </c>
      <c r="B2306" s="4" t="s">
        <v>2896</v>
      </c>
      <c r="C2306" s="5" t="str">
        <f>IFERROR(__xludf.DUMMYFUNCTION("GOOGLETRANSLATE(B2306,""en"",""de"")"),"Der Mann nimmt Lotion auf, die er auf seinen Hals anwendet.")</f>
        <v>Der Mann nimmt Lotion auf, die er auf seinen Hals anwendet.</v>
      </c>
    </row>
    <row r="2307">
      <c r="A2307" s="4" t="s">
        <v>2893</v>
      </c>
      <c r="B2307" s="4" t="s">
        <v>2897</v>
      </c>
      <c r="C2307" s="5" t="str">
        <f>IFERROR(__xludf.DUMMYFUNCTION("GOOGLETRANSLATE(B2307,""en"",""de"")"),"Der Mann nimmt ein Paket Rasierer auf und montiert sie in sein Stahlrasierer.")</f>
        <v>Der Mann nimmt ein Paket Rasierer auf und montiert sie in sein Stahlrasierer.</v>
      </c>
    </row>
    <row r="2308">
      <c r="A2308" s="4" t="s">
        <v>2893</v>
      </c>
      <c r="B2308" s="4" t="s">
        <v>2898</v>
      </c>
      <c r="C2308" s="5" t="str">
        <f>IFERROR(__xludf.DUMMYFUNCTION("GOOGLETRANSLATE(B2308,""en"",""de"")"),"Der Mann benutzt seinen Rasierer, um sein Gesicht und Bart zu schneiden.")</f>
        <v>Der Mann benutzt seinen Rasierer, um sein Gesicht und Bart zu schneiden.</v>
      </c>
    </row>
    <row r="2309">
      <c r="A2309" s="4" t="s">
        <v>2893</v>
      </c>
      <c r="B2309" s="4" t="s">
        <v>2899</v>
      </c>
      <c r="C2309" s="5" t="str">
        <f>IFERROR(__xludf.DUMMYFUNCTION("GOOGLETRANSLATE(B2309,""en"",""de"")"),"Der Mann nimmt ein Paket auf und wendet ein Produkt auf sein Gesicht.")</f>
        <v>Der Mann nimmt ein Paket auf und wendet ein Produkt auf sein Gesicht.</v>
      </c>
    </row>
    <row r="2310">
      <c r="A2310" s="4" t="s">
        <v>2893</v>
      </c>
      <c r="B2310" s="4" t="s">
        <v>2900</v>
      </c>
      <c r="C2310" s="5" t="str">
        <f>IFERROR(__xludf.DUMMYFUNCTION("GOOGLETRANSLATE(B2310,""en"",""de"")"),"Der Mann benutzt ein Handtuch, um sein Gesicht abzuwischen.")</f>
        <v>Der Mann benutzt ein Handtuch, um sein Gesicht abzuwischen.</v>
      </c>
    </row>
    <row r="2311">
      <c r="A2311" s="4" t="s">
        <v>2893</v>
      </c>
      <c r="B2311" s="4" t="s">
        <v>2901</v>
      </c>
      <c r="C2311" s="5" t="str">
        <f>IFERROR(__xludf.DUMMYFUNCTION("GOOGLETRANSLATE(B2311,""en"",""de"")"),"Der Mann nimmt eine Flasche Öl von der Theke und legt sie auf seinen Bart auf.")</f>
        <v>Der Mann nimmt eine Flasche Öl von der Theke und legt sie auf seinen Bart auf.</v>
      </c>
    </row>
    <row r="2312">
      <c r="A2312" s="4" t="s">
        <v>2902</v>
      </c>
      <c r="B2312" s="4" t="s">
        <v>2903</v>
      </c>
      <c r="C2312" s="5" t="str">
        <f>IFERROR(__xludf.DUMMYFUNCTION("GOOGLETRANSLATE(B2312,""en"",""de"")"),"Eine Nahaufnahme eines Fanglochs wird mit einer Person gezeigt, die Objekte zum Fischen verwendet, und ein anderer steht in der Ferne ab.")</f>
        <v>Eine Nahaufnahme eines Fanglochs wird mit einer Person gezeigt, die Objekte zum Fischen verwendet, und ein anderer steht in der Ferne ab.</v>
      </c>
    </row>
    <row r="2313">
      <c r="A2313" s="4" t="s">
        <v>2902</v>
      </c>
      <c r="B2313" s="4" t="s">
        <v>2904</v>
      </c>
      <c r="C2313" s="5" t="str">
        <f>IFERROR(__xludf.DUMMYFUNCTION("GOOGLETRANSLATE(B2313,""en"",""de"")"),"Der Mann benutzt die Objekte, um einen Fisch zu fangen und zoomen auf einem Loch.")</f>
        <v>Der Mann benutzt die Objekte, um einen Fisch zu fangen und zoomen auf einem Loch.</v>
      </c>
    </row>
    <row r="2314">
      <c r="A2314" s="4" t="s">
        <v>2902</v>
      </c>
      <c r="B2314" s="4" t="s">
        <v>2905</v>
      </c>
      <c r="C2314" s="5" t="str">
        <f>IFERROR(__xludf.DUMMYFUNCTION("GOOGLETRANSLATE(B2314,""en"",""de"")"),"Sie packen endlich ein Zelt und tragen es mit ihnen, während sie weiterfahren.")</f>
        <v>Sie packen endlich ein Zelt und tragen es mit ihnen, während sie weiterfahren.</v>
      </c>
    </row>
    <row r="2315">
      <c r="A2315" s="4" t="s">
        <v>2906</v>
      </c>
      <c r="B2315" s="4" t="s">
        <v>2907</v>
      </c>
      <c r="C2315" s="5" t="str">
        <f>IFERROR(__xludf.DUMMYFUNCTION("GOOGLETRANSLATE(B2315,""en"",""de"")"),"Ein Mann in einem roten Hemd steht neben einer Übungsmaschine.")</f>
        <v>Ein Mann in einem roten Hemd steht neben einer Übungsmaschine.</v>
      </c>
    </row>
    <row r="2316">
      <c r="A2316" s="4" t="s">
        <v>2906</v>
      </c>
      <c r="B2316" s="4" t="s">
        <v>2908</v>
      </c>
      <c r="C2316" s="5" t="str">
        <f>IFERROR(__xludf.DUMMYFUNCTION("GOOGLETRANSLATE(B2316,""en"",""de"")"),"Er steigt auf die Maschine und beginnt zu trainieren.")</f>
        <v>Er steigt auf die Maschine und beginnt zu trainieren.</v>
      </c>
    </row>
    <row r="2317">
      <c r="A2317" s="4" t="s">
        <v>2906</v>
      </c>
      <c r="B2317" s="4" t="s">
        <v>1599</v>
      </c>
      <c r="C2317" s="5" t="str">
        <f>IFERROR(__xludf.DUMMYFUNCTION("GOOGLETRANSLATE(B2317,""en"",""de"")"),"Wörter werden auf dem Bildschirm angezeigt.")</f>
        <v>Wörter werden auf dem Bildschirm angezeigt.</v>
      </c>
    </row>
    <row r="2318">
      <c r="A2318" s="4" t="s">
        <v>2909</v>
      </c>
      <c r="B2318" s="4" t="s">
        <v>2910</v>
      </c>
      <c r="C2318" s="5" t="str">
        <f>IFERROR(__xludf.DUMMYFUNCTION("GOOGLETRANSLATE(B2318,""en"",""de"")"),"Eine Frau wird mit einem Pinsel und einem Haartrockner die Haare einer jungen Frau herrscht.")</f>
        <v>Eine Frau wird mit einem Pinsel und einem Haartrockner die Haare einer jungen Frau herrscht.</v>
      </c>
    </row>
    <row r="2319">
      <c r="A2319" s="4" t="s">
        <v>2909</v>
      </c>
      <c r="B2319" s="4" t="s">
        <v>2911</v>
      </c>
      <c r="C2319" s="5" t="str">
        <f>IFERROR(__xludf.DUMMYFUNCTION("GOOGLETRANSLATE(B2319,""en"",""de"")"),"Die Frau hält einen Teil des Haares hoch, dann krümmt sie das Haar und Haareisen.")</f>
        <v>Die Frau hält einen Teil des Haares hoch, dann krümmt sie das Haar und Haareisen.</v>
      </c>
    </row>
    <row r="2320">
      <c r="A2320" s="4" t="s">
        <v>2912</v>
      </c>
      <c r="B2320" s="4" t="s">
        <v>2913</v>
      </c>
      <c r="C2320" s="5" t="str">
        <f>IFERROR(__xludf.DUMMYFUNCTION("GOOGLETRANSLATE(B2320,""en"",""de"")"),"Eine große Gruppe von Menschen steht auf einem Parkplatz, der einen Ball hält.")</f>
        <v>Eine große Gruppe von Menschen steht auf einem Parkplatz, der einen Ball hält.</v>
      </c>
    </row>
    <row r="2321">
      <c r="A2321" s="4" t="s">
        <v>2912</v>
      </c>
      <c r="B2321" s="4" t="s">
        <v>2914</v>
      </c>
      <c r="C2321" s="5" t="str">
        <f>IFERROR(__xludf.DUMMYFUNCTION("GOOGLETRANSLATE(B2321,""en"",""de"")"),"Die Gruppe spielt dann ein Kickballspiel, während sie sich durch die Gegend bewegt und Bälle aufeinander wirft.")</f>
        <v>Die Gruppe spielt dann ein Kickballspiel, während sie sich durch die Gegend bewegt und Bälle aufeinander wirft.</v>
      </c>
    </row>
    <row r="2322">
      <c r="A2322" s="4" t="s">
        <v>2912</v>
      </c>
      <c r="B2322" s="4" t="s">
        <v>2915</v>
      </c>
      <c r="C2322" s="5" t="str">
        <f>IFERROR(__xludf.DUMMYFUNCTION("GOOGLETRANSLATE(B2322,""en"",""de"")"),"Die Leute gehen weiter herum, während sie zueinander schauen und den Ball werfen.")</f>
        <v>Die Leute gehen weiter herum, während sie zueinander schauen und den Ball werfen.</v>
      </c>
    </row>
    <row r="2323">
      <c r="A2323" s="4" t="s">
        <v>2916</v>
      </c>
      <c r="B2323" s="4" t="s">
        <v>2917</v>
      </c>
      <c r="C2323" s="5" t="str">
        <f>IFERROR(__xludf.DUMMYFUNCTION("GOOGLETRANSLATE(B2323,""en"",""de"")"),"Eine große Gruppe von Menschen ist gesehen, wie sie in einem Disney -Resort herumläuft, während sie zur Kamera winkt und mehrere Aufnahmen des Königreichs gezeigt werden.")</f>
        <v>Eine große Gruppe von Menschen ist gesehen, wie sie in einem Disney -Resort herumläuft, während sie zur Kamera winkt und mehrere Aufnahmen des Königreichs gezeigt werden.</v>
      </c>
    </row>
    <row r="2324">
      <c r="A2324" s="4" t="s">
        <v>2916</v>
      </c>
      <c r="B2324" s="4" t="s">
        <v>2918</v>
      </c>
      <c r="C2324" s="5" t="str">
        <f>IFERROR(__xludf.DUMMYFUNCTION("GOOGLETRANSLATE(B2324,""en"",""de"")"),"Viele Charaktere winken den Läufern und mehr Aufnahmen von Menschen, die an Charakteren vorbeilaufen und durch die Ziellinie gehen und feiern.")</f>
        <v>Viele Charaktere winken den Läufern und mehr Aufnahmen von Menschen, die an Charakteren vorbeilaufen und durch die Ziellinie gehen und feiern.</v>
      </c>
    </row>
    <row r="2325">
      <c r="A2325" s="4" t="s">
        <v>2919</v>
      </c>
      <c r="B2325" s="4" t="s">
        <v>2920</v>
      </c>
      <c r="C2325" s="5" t="str">
        <f>IFERROR(__xludf.DUMMYFUNCTION("GOOGLETRANSLATE(B2325,""en"",""de"")"),"Die Person mit schwarzem Schürze sprüht einen weißen Schaum auf die Schuhe.")</f>
        <v>Die Person mit schwarzem Schürze sprüht einen weißen Schaum auf die Schuhe.</v>
      </c>
    </row>
    <row r="2326">
      <c r="A2326" s="4" t="s">
        <v>2919</v>
      </c>
      <c r="B2326" s="4" t="s">
        <v>2921</v>
      </c>
      <c r="C2326" s="5" t="str">
        <f>IFERROR(__xludf.DUMMYFUNCTION("GOOGLETRANSLATE(B2326,""en"",""de"")"),"Die Person streift die Schuhe mit weißem Schaum darauf.")</f>
        <v>Die Person streift die Schuhe mit weißem Schaum darauf.</v>
      </c>
    </row>
    <row r="2327">
      <c r="A2327" s="4" t="s">
        <v>2919</v>
      </c>
      <c r="B2327" s="4" t="s">
        <v>2922</v>
      </c>
      <c r="C2327" s="5" t="str">
        <f>IFERROR(__xludf.DUMMYFUNCTION("GOOGLETRANSLATE(B2327,""en"",""de"")"),"Die Person bürstete die Schuhe, nachdem der Schaum weg war, und begann eine Chemikalie darin zu sprühen und polierte den Metallteil der Schuhe.")</f>
        <v>Die Person bürstete die Schuhe, nachdem der Schaum weg war, und begann eine Chemikalie darin zu sprühen und polierte den Metallteil der Schuhe.</v>
      </c>
    </row>
    <row r="2328">
      <c r="A2328" s="4" t="s">
        <v>2923</v>
      </c>
      <c r="B2328" s="4" t="s">
        <v>2924</v>
      </c>
      <c r="C2328" s="5" t="str">
        <f>IFERROR(__xludf.DUMMYFUNCTION("GOOGLETRANSLATE(B2328,""en"",""de"")"),"Es werden verschiedene Aufnahmen von einem großen Boot gezeigt, das entlang eines harten Sturms fährt.")</f>
        <v>Es werden verschiedene Aufnahmen von einem großen Boot gezeigt, das entlang eines harten Sturms fährt.</v>
      </c>
    </row>
    <row r="2329">
      <c r="A2329" s="4" t="s">
        <v>2923</v>
      </c>
      <c r="B2329" s="4" t="s">
        <v>2925</v>
      </c>
      <c r="C2329" s="5" t="str">
        <f>IFERROR(__xludf.DUMMYFUNCTION("GOOGLETRANSLATE(B2329,""en"",""de"")"),"Ein Mann lenkt das Boot durch den Sturm und spricht mit einer Kamera, wobei das Video mehr Schüsse des Bootes endet.")</f>
        <v>Ein Mann lenkt das Boot durch den Sturm und spricht mit einer Kamera, wobei das Video mehr Schüsse des Bootes endet.</v>
      </c>
    </row>
    <row r="2330">
      <c r="A2330" s="4" t="s">
        <v>2926</v>
      </c>
      <c r="B2330" s="4" t="s">
        <v>2927</v>
      </c>
      <c r="C2330" s="5" t="str">
        <f>IFERROR(__xludf.DUMMYFUNCTION("GOOGLETRANSLATE(B2330,""en"",""de"")"),"Ein junger Mann steht in einem Pool, gefolgt von mehreren Klammern des Jungen, der in den Pool springt und herum schwimmt.")</f>
        <v>Ein junger Mann steht in einem Pool, gefolgt von mehreren Klammern des Jungen, der in den Pool springt und herum schwimmt.</v>
      </c>
    </row>
    <row r="2331">
      <c r="A2331" s="4" t="s">
        <v>2926</v>
      </c>
      <c r="B2331" s="4" t="s">
        <v>2928</v>
      </c>
      <c r="C2331" s="5" t="str">
        <f>IFERROR(__xludf.DUMMYFUNCTION("GOOGLETRANSLATE(B2331,""en"",""de"")"),"Der Junge schwimmt weiterhin um den Pool, ein Mann, der hinter ihm schwimmt, und der Junge, der zur Kamera lächelt.")</f>
        <v>Der Junge schwimmt weiterhin um den Pool, ein Mann, der hinter ihm schwimmt, und der Junge, der zur Kamera lächelt.</v>
      </c>
    </row>
    <row r="2332">
      <c r="A2332" s="4" t="s">
        <v>2929</v>
      </c>
      <c r="B2332" s="4" t="s">
        <v>2930</v>
      </c>
      <c r="C2332" s="5" t="str">
        <f>IFERROR(__xludf.DUMMYFUNCTION("GOOGLETRANSLATE(B2332,""en"",""de"")"),"Drei Kinder machen ein Sandburg am Strand.")</f>
        <v>Drei Kinder machen ein Sandburg am Strand.</v>
      </c>
    </row>
    <row r="2333">
      <c r="A2333" s="4" t="s">
        <v>2929</v>
      </c>
      <c r="B2333" s="4" t="s">
        <v>2931</v>
      </c>
      <c r="C2333" s="5" t="str">
        <f>IFERROR(__xludf.DUMMYFUNCTION("GOOGLETRANSLATE(B2333,""en"",""de"")"),"Ein Mann liegt neben ihnen auf einem Handtuch.")</f>
        <v>Ein Mann liegt neben ihnen auf einem Handtuch.</v>
      </c>
    </row>
    <row r="2334">
      <c r="A2334" s="4" t="s">
        <v>2932</v>
      </c>
      <c r="B2334" s="4" t="s">
        <v>2933</v>
      </c>
      <c r="C2334" s="5" t="str">
        <f>IFERROR(__xludf.DUMMYFUNCTION("GOOGLETRANSLATE(B2334,""en"",""de"")"),"Nachdem eine Tissot -Anzeige erscheint, werden eine Reihe von Fencern angezeigt.")</f>
        <v>Nachdem eine Tissot -Anzeige erscheint, werden eine Reihe von Fencern angezeigt.</v>
      </c>
    </row>
    <row r="2335">
      <c r="A2335" s="4" t="s">
        <v>2932</v>
      </c>
      <c r="B2335" s="4" t="s">
        <v>2934</v>
      </c>
      <c r="C2335" s="5" t="str">
        <f>IFERROR(__xludf.DUMMYFUNCTION("GOOGLETRANSLATE(B2335,""en"",""de"")"),"Sie hohen fünf und werden in mehreren Clips angezeigt, die dann zurück in die Reihe des Stehens auf der Bühne stehen.")</f>
        <v>Sie hohen fünf und werden in mehreren Clips angezeigt, die dann zurück in die Reihe des Stehens auf der Bühne stehen.</v>
      </c>
    </row>
    <row r="2336">
      <c r="A2336" s="4" t="s">
        <v>2932</v>
      </c>
      <c r="B2336" s="4" t="s">
        <v>2935</v>
      </c>
      <c r="C2336" s="5" t="str">
        <f>IFERROR(__xludf.DUMMYFUNCTION("GOOGLETRANSLATE(B2336,""en"",""de"")"),"Einer wird verletzt und weggetragen.")</f>
        <v>Einer wird verletzt und weggetragen.</v>
      </c>
    </row>
    <row r="2337">
      <c r="A2337" s="4" t="s">
        <v>2936</v>
      </c>
      <c r="B2337" s="4" t="s">
        <v>1487</v>
      </c>
      <c r="C2337" s="5" t="str">
        <f>IFERROR(__xludf.DUMMYFUNCTION("GOOGLETRANSLATE(B2337,""en"",""de"")"),"Wir sehen einen Öffnungsbildschirm.")</f>
        <v>Wir sehen einen Öffnungsbildschirm.</v>
      </c>
    </row>
    <row r="2338">
      <c r="A2338" s="4" t="s">
        <v>2936</v>
      </c>
      <c r="B2338" s="4" t="s">
        <v>2937</v>
      </c>
      <c r="C2338" s="5" t="str">
        <f>IFERROR(__xludf.DUMMYFUNCTION("GOOGLETRANSLATE(B2338,""en"",""de"")"),"Ein lächelnder Mann in Sonnenbrillen öffnet Mundwasser und gurgelt.")</f>
        <v>Ein lächelnder Mann in Sonnenbrillen öffnet Mundwasser und gurgelt.</v>
      </c>
    </row>
    <row r="2339">
      <c r="A2339" s="4" t="s">
        <v>2936</v>
      </c>
      <c r="B2339" s="4" t="s">
        <v>2938</v>
      </c>
      <c r="C2339" s="5" t="str">
        <f>IFERROR(__xludf.DUMMYFUNCTION("GOOGLETRANSLATE(B2339,""en"",""de"")"),"Der Mann spuckt in eine Tasse.")</f>
        <v>Der Mann spuckt in eine Tasse.</v>
      </c>
    </row>
    <row r="2340">
      <c r="A2340" s="4" t="s">
        <v>2936</v>
      </c>
      <c r="B2340" s="4" t="s">
        <v>2939</v>
      </c>
      <c r="C2340" s="5" t="str">
        <f>IFERROR(__xludf.DUMMYFUNCTION("GOOGLETRANSLATE(B2340,""en"",""de"")"),"Eine Dame entfernt eine Plakette aus der Wand.")</f>
        <v>Eine Dame entfernt eine Plakette aus der Wand.</v>
      </c>
    </row>
    <row r="2341">
      <c r="A2341" s="4" t="s">
        <v>2936</v>
      </c>
      <c r="B2341" s="4" t="s">
        <v>2940</v>
      </c>
      <c r="C2341" s="5" t="str">
        <f>IFERROR(__xludf.DUMMYFUNCTION("GOOGLETRANSLATE(B2341,""en"",""de"")"),"Wir sehen einen Schlussbildschirm.")</f>
        <v>Wir sehen einen Schlussbildschirm.</v>
      </c>
    </row>
    <row r="2342">
      <c r="A2342" s="4" t="s">
        <v>2941</v>
      </c>
      <c r="B2342" s="4" t="s">
        <v>1487</v>
      </c>
      <c r="C2342" s="5" t="str">
        <f>IFERROR(__xludf.DUMMYFUNCTION("GOOGLETRANSLATE(B2342,""en"",""de"")"),"Wir sehen einen Öffnungsbildschirm.")</f>
        <v>Wir sehen einen Öffnungsbildschirm.</v>
      </c>
    </row>
    <row r="2343">
      <c r="A2343" s="4" t="s">
        <v>2941</v>
      </c>
      <c r="B2343" s="4" t="s">
        <v>2942</v>
      </c>
      <c r="C2343" s="5" t="str">
        <f>IFERROR(__xludf.DUMMYFUNCTION("GOOGLETRANSLATE(B2343,""en"",""de"")"),"Der Mann legt dann Gips auf eine Basis und wendet es an Stelzen an die Decke.")</f>
        <v>Der Mann legt dann Gips auf eine Basis und wendet es an Stelzen an die Decke.</v>
      </c>
    </row>
    <row r="2344">
      <c r="A2344" s="4" t="s">
        <v>2941</v>
      </c>
      <c r="B2344" s="4" t="s">
        <v>2943</v>
      </c>
      <c r="C2344" s="5" t="str">
        <f>IFERROR(__xludf.DUMMYFUNCTION("GOOGLETRANSLATE(B2344,""en"",""de"")"),"Der Mann geht hin und her und glättet den aufgetragenen Gips.")</f>
        <v>Der Mann geht hin und her und glättet den aufgetragenen Gips.</v>
      </c>
    </row>
    <row r="2345">
      <c r="A2345" s="4" t="s">
        <v>2941</v>
      </c>
      <c r="B2345" s="4" t="s">
        <v>2944</v>
      </c>
      <c r="C2345" s="5" t="str">
        <f>IFERROR(__xludf.DUMMYFUNCTION("GOOGLETRANSLATE(B2345,""en"",""de"")"),"Der Mann geht zu und schaltet die Kamera aus.")</f>
        <v>Der Mann geht zu und schaltet die Kamera aus.</v>
      </c>
    </row>
    <row r="2346">
      <c r="A2346" s="4" t="s">
        <v>2941</v>
      </c>
      <c r="B2346" s="4" t="s">
        <v>777</v>
      </c>
      <c r="C2346" s="5" t="str">
        <f>IFERROR(__xludf.DUMMYFUNCTION("GOOGLETRANSLATE(B2346,""en"",""de"")"),"Wir sehen den End -Titelbildschirm.")</f>
        <v>Wir sehen den End -Titelbildschirm.</v>
      </c>
    </row>
    <row r="2347">
      <c r="A2347" s="4" t="s">
        <v>2945</v>
      </c>
      <c r="B2347" s="4" t="s">
        <v>1251</v>
      </c>
      <c r="C2347" s="5" t="str">
        <f>IFERROR(__xludf.DUMMYFUNCTION("GOOGLETRANSLATE(B2347,""en"",""de"")"),"Die Credits des Clips werden angezeigt.")</f>
        <v>Die Credits des Clips werden angezeigt.</v>
      </c>
    </row>
    <row r="2348">
      <c r="A2348" s="4" t="s">
        <v>2945</v>
      </c>
      <c r="B2348" s="4" t="s">
        <v>2946</v>
      </c>
      <c r="C2348" s="5" t="str">
        <f>IFERROR(__xludf.DUMMYFUNCTION("GOOGLETRANSLATE(B2348,""en"",""de"")"),"Ein Mann nimmt einen braunen Stiefel und streift ihn.")</f>
        <v>Ein Mann nimmt einen braunen Stiefel und streift ihn.</v>
      </c>
    </row>
    <row r="2349">
      <c r="A2349" s="4" t="s">
        <v>2945</v>
      </c>
      <c r="B2349" s="4" t="s">
        <v>2947</v>
      </c>
      <c r="C2349" s="5" t="str">
        <f>IFERROR(__xludf.DUMMYFUNCTION("GOOGLETRANSLATE(B2349,""en"",""de"")"),"Ein Mann öffnet eine Aerosoldose und sprüht den Kofferraum.")</f>
        <v>Ein Mann öffnet eine Aerosoldose und sprüht den Kofferraum.</v>
      </c>
    </row>
    <row r="2350">
      <c r="A2350" s="4" t="s">
        <v>2945</v>
      </c>
      <c r="B2350" s="4" t="s">
        <v>2948</v>
      </c>
      <c r="C2350" s="5" t="str">
        <f>IFERROR(__xludf.DUMMYFUNCTION("GOOGLETRANSLATE(B2350,""en"",""de"")"),"Ein Mann reibt die Produkte eines schwarzen Röhrchens an der alleinigen Kante des Koffers.")</f>
        <v>Ein Mann reibt die Produkte eines schwarzen Röhrchens an der alleinigen Kante des Koffers.</v>
      </c>
    </row>
    <row r="2351">
      <c r="A2351" s="4" t="s">
        <v>2945</v>
      </c>
      <c r="B2351" s="4" t="s">
        <v>573</v>
      </c>
      <c r="C2351" s="5" t="str">
        <f>IFERROR(__xludf.DUMMYFUNCTION("GOOGLETRANSLATE(B2351,""en"",""de"")"),"Die Credits des Videos werden angezeigt.")</f>
        <v>Die Credits des Videos werden angezeigt.</v>
      </c>
    </row>
    <row r="2352">
      <c r="A2352" s="4" t="s">
        <v>2949</v>
      </c>
      <c r="B2352" s="4" t="s">
        <v>2950</v>
      </c>
      <c r="C2352" s="5" t="str">
        <f>IFERROR(__xludf.DUMMYFUNCTION("GOOGLETRANSLATE(B2352,""en"",""de"")"),"Ein Mann in einem schwarzen Hemd steht draußen und redet.")</f>
        <v>Ein Mann in einem schwarzen Hemd steht draußen und redet.</v>
      </c>
    </row>
    <row r="2353">
      <c r="A2353" s="4" t="s">
        <v>2949</v>
      </c>
      <c r="B2353" s="4" t="s">
        <v>2951</v>
      </c>
      <c r="C2353" s="5" t="str">
        <f>IFERROR(__xludf.DUMMYFUNCTION("GOOGLETRANSLATE(B2353,""en"",""de"")"),"Er ist dann in einem Schwimmbad.")</f>
        <v>Er ist dann in einem Schwimmbad.</v>
      </c>
    </row>
    <row r="2354">
      <c r="A2354" s="4" t="s">
        <v>2949</v>
      </c>
      <c r="B2354" s="4" t="s">
        <v>2952</v>
      </c>
      <c r="C2354" s="5" t="str">
        <f>IFERROR(__xludf.DUMMYFUNCTION("GOOGLETRANSLATE(B2354,""en"",""de"")"),"Er ist wieder draußen und spricht mit der Kamera.")</f>
        <v>Er ist wieder draußen und spricht mit der Kamera.</v>
      </c>
    </row>
    <row r="2355">
      <c r="A2355" s="4" t="s">
        <v>2953</v>
      </c>
      <c r="B2355" s="4" t="s">
        <v>2954</v>
      </c>
      <c r="C2355" s="5" t="str">
        <f>IFERROR(__xludf.DUMMYFUNCTION("GOOGLETRANSLATE(B2355,""en"",""de"")"),"In der Kegelbahn gibt es viele Leute.")</f>
        <v>In der Kegelbahn gibt es viele Leute.</v>
      </c>
    </row>
    <row r="2356">
      <c r="A2356" s="4" t="s">
        <v>2953</v>
      </c>
      <c r="B2356" s="4" t="s">
        <v>2955</v>
      </c>
      <c r="C2356" s="5" t="str">
        <f>IFERROR(__xludf.DUMMYFUNCTION("GOOGLETRANSLATE(B2356,""en"",""de"")"),"Der kleine Junge rollt um seine Reihe und er schlägt.")</f>
        <v>Der kleine Junge rollt um seine Reihe und er schlägt.</v>
      </c>
    </row>
    <row r="2357">
      <c r="A2357" s="4" t="s">
        <v>2953</v>
      </c>
      <c r="B2357" s="4" t="s">
        <v>2956</v>
      </c>
      <c r="C2357" s="5" t="str">
        <f>IFERROR(__xludf.DUMMYFUNCTION("GOOGLETRANSLATE(B2357,""en"",""de"")"),"Er wartet darauf, dass sein Ball zurückkommt und bereitet sich darauf vor, seine nächste Runde zu nehmen, es ist ein weiterer Streik.")</f>
        <v>Er wartet darauf, dass sein Ball zurückkommt und bereitet sich darauf vor, seine nächste Runde zu nehmen, es ist ein weiterer Streik.</v>
      </c>
    </row>
    <row r="2358">
      <c r="A2358" s="4" t="s">
        <v>2953</v>
      </c>
      <c r="B2358" s="4" t="s">
        <v>2957</v>
      </c>
      <c r="C2358" s="5" t="str">
        <f>IFERROR(__xludf.DUMMYFUNCTION("GOOGLETRANSLATE(B2358,""en"",""de"")"),"Er nimmt eine andere Wendung und macht einen weiteren Streik, jeder gratuliert und umarmt ihm.")</f>
        <v>Er nimmt eine andere Wendung und macht einen weiteren Streik, jeder gratuliert und umarmt ihm.</v>
      </c>
    </row>
    <row r="2359">
      <c r="A2359" s="4" t="s">
        <v>2958</v>
      </c>
      <c r="B2359" s="4" t="s">
        <v>2959</v>
      </c>
      <c r="C2359" s="5" t="str">
        <f>IFERROR(__xludf.DUMMYFUNCTION("GOOGLETRANSLATE(B2359,""en"",""de"")"),"Eine Person bewegt sich entlang eines Pools, während die Kamera von hinten zuschaut.")</f>
        <v>Eine Person bewegt sich entlang eines Pools, während die Kamera von hinten zuschaut.</v>
      </c>
    </row>
    <row r="2360">
      <c r="A2360" s="4" t="s">
        <v>2958</v>
      </c>
      <c r="B2360" s="4" t="s">
        <v>2960</v>
      </c>
      <c r="C2360" s="5" t="str">
        <f>IFERROR(__xludf.DUMMYFUNCTION("GOOGLETRANSLATE(B2360,""en"",""de"")"),"Ein Mann wird dann gesehen, wie er mit der Kamera spricht und seine Arme herum bewegt.")</f>
        <v>Ein Mann wird dann gesehen, wie er mit der Kamera spricht und seine Arme herum bewegt.</v>
      </c>
    </row>
    <row r="2361">
      <c r="A2361" s="4" t="s">
        <v>2958</v>
      </c>
      <c r="B2361" s="4" t="s">
        <v>2961</v>
      </c>
      <c r="C2361" s="5" t="str">
        <f>IFERROR(__xludf.DUMMYFUNCTION("GOOGLETRANSLATE(B2361,""en"",""de"")"),"Weitere Clips werden von der Person gezeigt, die entlang des Wassers schwimmt.")</f>
        <v>Weitere Clips werden von der Person gezeigt, die entlang des Wassers schwimmt.</v>
      </c>
    </row>
    <row r="2362">
      <c r="A2362" s="4" t="s">
        <v>2962</v>
      </c>
      <c r="B2362" s="4" t="s">
        <v>2963</v>
      </c>
      <c r="C2362" s="5" t="str">
        <f>IFERROR(__xludf.DUMMYFUNCTION("GOOGLETRANSLATE(B2362,""en"",""de"")"),"Ein Anchorman in einem Anzug befindet sich mit einem Laptop auf seinem klaren Schreibtisch.")</f>
        <v>Ein Anchorman in einem Anzug befindet sich mit einem Laptop auf seinem klaren Schreibtisch.</v>
      </c>
    </row>
    <row r="2363">
      <c r="A2363" s="4" t="s">
        <v>2962</v>
      </c>
      <c r="B2363" s="4" t="s">
        <v>2964</v>
      </c>
      <c r="C2363" s="5" t="str">
        <f>IFERROR(__xludf.DUMMYFUNCTION("GOOGLETRANSLATE(B2363,""en"",""de"")"),"Ein Mann wird von einem Stier angegriffen.")</f>
        <v>Ein Mann wird von einem Stier angegriffen.</v>
      </c>
    </row>
    <row r="2364">
      <c r="A2364" s="4" t="s">
        <v>2962</v>
      </c>
      <c r="B2364" s="4" t="s">
        <v>2965</v>
      </c>
      <c r="C2364" s="5" t="str">
        <f>IFERROR(__xludf.DUMMYFUNCTION("GOOGLETRANSLATE(B2364,""en"",""de"")"),"Der Mann steht auf und sein Mund ist blutig.")</f>
        <v>Der Mann steht auf und sein Mund ist blutig.</v>
      </c>
    </row>
    <row r="2365">
      <c r="A2365" s="4" t="s">
        <v>2962</v>
      </c>
      <c r="B2365" s="4" t="s">
        <v>2966</v>
      </c>
      <c r="C2365" s="5" t="str">
        <f>IFERROR(__xludf.DUMMYFUNCTION("GOOGLETRANSLATE(B2365,""en"",""de"")"),"Die Leute helfen dem Mann aus dem Rodeo Dirt -Bereich.")</f>
        <v>Die Leute helfen dem Mann aus dem Rodeo Dirt -Bereich.</v>
      </c>
    </row>
    <row r="2366">
      <c r="A2366" s="4" t="s">
        <v>2967</v>
      </c>
      <c r="B2366" s="4" t="s">
        <v>2968</v>
      </c>
      <c r="C2366" s="5" t="str">
        <f>IFERROR(__xludf.DUMMYFUNCTION("GOOGLETRANSLATE(B2366,""en"",""de"")"),"Ein junger Mann steht auf der Bühne und schließlich tragen einige andere Jungen mit Kilts.")</f>
        <v>Ein junger Mann steht auf der Bühne und schließlich tragen einige andere Jungen mit Kilts.</v>
      </c>
    </row>
    <row r="2367">
      <c r="A2367" s="4" t="s">
        <v>2967</v>
      </c>
      <c r="B2367" s="4" t="s">
        <v>2969</v>
      </c>
      <c r="C2367" s="5" t="str">
        <f>IFERROR(__xludf.DUMMYFUNCTION("GOOGLETRANSLATE(B2367,""en"",""de"")"),"Sie stehen vor einer Trommel und führen eine Routine mit nur Schlagzeug durch.")</f>
        <v>Sie stehen vor einer Trommel und führen eine Routine mit nur Schlagzeug durch.</v>
      </c>
    </row>
    <row r="2368">
      <c r="A2368" s="4" t="s">
        <v>2967</v>
      </c>
      <c r="B2368" s="4" t="s">
        <v>2970</v>
      </c>
      <c r="C2368" s="5" t="str">
        <f>IFERROR(__xludf.DUMMYFUNCTION("GOOGLETRANSLATE(B2368,""en"",""de"")"),"Die Jungen drehen sich und drehen ihre Stöcke ständig und führen ihre Trommelroutine weiter aus.")</f>
        <v>Die Jungen drehen sich und drehen ihre Stöcke ständig und führen ihre Trommelroutine weiter aus.</v>
      </c>
    </row>
    <row r="2369">
      <c r="A2369" s="4" t="s">
        <v>2967</v>
      </c>
      <c r="B2369" s="4" t="s">
        <v>2971</v>
      </c>
      <c r="C2369" s="5" t="str">
        <f>IFERROR(__xludf.DUMMYFUNCTION("GOOGLETRANSLATE(B2369,""en"",""de"")"),"Man steht auf und sang ein Lied, während die anderen mitmachen.")</f>
        <v>Man steht auf und sang ein Lied, während die anderen mitmachen.</v>
      </c>
    </row>
    <row r="2370">
      <c r="A2370" s="4" t="s">
        <v>2967</v>
      </c>
      <c r="B2370" s="4" t="s">
        <v>2972</v>
      </c>
      <c r="C2370" s="5" t="str">
        <f>IFERROR(__xludf.DUMMYFUNCTION("GOOGLETRANSLATE(B2370,""en"",""de"")"),"Sie Jungs gehen zurück zum Schlagzeug und beenden schließlich, indem sie sich gegenseitig Schlagzeug spielen und schneller als andere.")</f>
        <v>Sie Jungs gehen zurück zum Schlagzeug und beenden schließlich, indem sie sich gegenseitig Schlagzeug spielen und schneller als andere.</v>
      </c>
    </row>
    <row r="2371">
      <c r="A2371" s="4" t="s">
        <v>2973</v>
      </c>
      <c r="B2371" s="4" t="s">
        <v>2974</v>
      </c>
      <c r="C2371" s="5" t="str">
        <f>IFERROR(__xludf.DUMMYFUNCTION("GOOGLETRANSLATE(B2371,""en"",""de"")"),"Zwei Katzen liegen auf einem Bett, der sich gegenseitig gegenüberliegt.")</f>
        <v>Zwei Katzen liegen auf einem Bett, der sich gegenseitig gegenüberliegt.</v>
      </c>
    </row>
    <row r="2372">
      <c r="A2372" s="4" t="s">
        <v>2973</v>
      </c>
      <c r="B2372" s="4" t="s">
        <v>2975</v>
      </c>
      <c r="C2372" s="5" t="str">
        <f>IFERROR(__xludf.DUMMYFUNCTION("GOOGLETRANSLATE(B2372,""en"",""de"")"),"Eine Katze beginnt dann die andere zu lecken.")</f>
        <v>Eine Katze beginnt dann die andere zu lecken.</v>
      </c>
    </row>
    <row r="2373">
      <c r="A2373" s="4" t="s">
        <v>2973</v>
      </c>
      <c r="B2373" s="4" t="s">
        <v>2976</v>
      </c>
      <c r="C2373" s="5" t="str">
        <f>IFERROR(__xludf.DUMMYFUNCTION("GOOGLETRANSLATE(B2373,""en"",""de"")"),"Die erste Katze stoppt dann und die anderen leckt danach.")</f>
        <v>Die erste Katze stoppt dann und die anderen leckt danach.</v>
      </c>
    </row>
    <row r="2374">
      <c r="A2374" s="4" t="s">
        <v>2977</v>
      </c>
      <c r="B2374" s="4" t="s">
        <v>2978</v>
      </c>
      <c r="C2374" s="5" t="str">
        <f>IFERROR(__xludf.DUMMYFUNCTION("GOOGLETRANSLATE(B2374,""en"",""de"")"),"Eine Montage von Athleten, die unglaubliche Stunts und Rennen absolvieren, werden ebenso gezeigt, wie Hunderte von Menschen im Publikum zuschauen.")</f>
        <v>Eine Montage von Athleten, die unglaubliche Stunts und Rennen absolvieren, werden ebenso gezeigt, wie Hunderte von Menschen im Publikum zuschauen.</v>
      </c>
    </row>
    <row r="2375">
      <c r="A2375" s="4" t="s">
        <v>2977</v>
      </c>
      <c r="B2375" s="4" t="s">
        <v>2979</v>
      </c>
      <c r="C2375" s="5" t="str">
        <f>IFERROR(__xludf.DUMMYFUNCTION("GOOGLETRANSLATE(B2375,""en"",""de"")"),"Die Schüsse führen in mehrere weitere Athleten, die über eine Stange springen, während sie in der Mitte hielt und mit dem Schuss in Zeitlupe wieder gezeigt wird.")</f>
        <v>Die Schüsse führen in mehrere weitere Athleten, die über eine Stange springen, während sie in der Mitte hielt und mit dem Schuss in Zeitlupe wieder gezeigt wird.</v>
      </c>
    </row>
    <row r="2376">
      <c r="A2376" s="4" t="s">
        <v>2977</v>
      </c>
      <c r="B2376" s="4" t="s">
        <v>2980</v>
      </c>
      <c r="C2376" s="5" t="str">
        <f>IFERROR(__xludf.DUMMYFUNCTION("GOOGLETRANSLATE(B2376,""en"",""de"")"),"Die letzte Turnerwellen wellen zur Kamera und gehen weg.")</f>
        <v>Die letzte Turnerwellen wellen zur Kamera und gehen weg.</v>
      </c>
    </row>
    <row r="2377">
      <c r="A2377" s="4" t="s">
        <v>2981</v>
      </c>
      <c r="B2377" s="4" t="s">
        <v>2982</v>
      </c>
      <c r="C2377" s="5" t="str">
        <f>IFERROR(__xludf.DUMMYFUNCTION("GOOGLETRANSLATE(B2377,""en"",""de"")"),"Ein Tauchen ist zu sehen, wie er mit den Armen zur Seite fertig ist.")</f>
        <v>Ein Tauchen ist zu sehen, wie er mit den Armen zur Seite fertig ist.</v>
      </c>
    </row>
    <row r="2378">
      <c r="A2378" s="4" t="s">
        <v>2981</v>
      </c>
      <c r="B2378" s="4" t="s">
        <v>2983</v>
      </c>
      <c r="C2378" s="5" t="str">
        <f>IFERROR(__xludf.DUMMYFUNCTION("GOOGLETRANSLATE(B2378,""en"",""de"")"),"Der Mann führt dann einen beeindruckenden Tauchgang durch und folgt von mehreren Clips anderer Menschen, die tauchen.")</f>
        <v>Der Mann führt dann einen beeindruckenden Tauchgang durch und folgt von mehreren Clips anderer Menschen, die tauchen.</v>
      </c>
    </row>
    <row r="2379">
      <c r="A2379" s="4" t="s">
        <v>2984</v>
      </c>
      <c r="B2379" s="4" t="s">
        <v>2985</v>
      </c>
      <c r="C2379" s="5" t="str">
        <f>IFERROR(__xludf.DUMMYFUNCTION("GOOGLETRANSLATE(B2379,""en"",""de"")"),"Ein Teenager steht auf einer Strecke, dann rennt er und springt lange in eine Sandkiste, nachdem der Teenager steht und spazieren geht.")</f>
        <v>Ein Teenager steht auf einer Strecke, dann rennt er und springt lange in eine Sandkiste, nachdem der Teenager steht und spazieren geht.</v>
      </c>
    </row>
    <row r="2380">
      <c r="A2380" s="4" t="s">
        <v>2984</v>
      </c>
      <c r="B2380" s="4" t="s">
        <v>2986</v>
      </c>
      <c r="C2380" s="5" t="str">
        <f>IFERROR(__xludf.DUMMYFUNCTION("GOOGLETRANSLATE(B2380,""en"",""de"")"),"Eine Person ist hinter dem Teenager vorbei.")</f>
        <v>Eine Person ist hinter dem Teenager vorbei.</v>
      </c>
    </row>
    <row r="2381">
      <c r="A2381" s="4" t="s">
        <v>2984</v>
      </c>
      <c r="B2381" s="4" t="s">
        <v>2987</v>
      </c>
      <c r="C2381" s="5" t="str">
        <f>IFERROR(__xludf.DUMMYFUNCTION("GOOGLETRANSLATE(B2381,""en"",""de"")"),"Ein Athlet führt einen Weitsprung in der Sandkiste durch.")</f>
        <v>Ein Athlet führt einen Weitsprung in der Sandkiste durch.</v>
      </c>
    </row>
    <row r="2382">
      <c r="A2382" s="4" t="s">
        <v>2984</v>
      </c>
      <c r="B2382" s="4" t="s">
        <v>2988</v>
      </c>
      <c r="C2382" s="5" t="str">
        <f>IFERROR(__xludf.DUMMYFUNCTION("GOOGLETRANSLATE(B2382,""en"",""de"")"),"Ein anderer Athlet rennt und springt lange über die Sandkiste.")</f>
        <v>Ein anderer Athlet rennt und springt lange über die Sandkiste.</v>
      </c>
    </row>
    <row r="2383">
      <c r="A2383" s="4" t="s">
        <v>2989</v>
      </c>
      <c r="B2383" s="4" t="s">
        <v>2990</v>
      </c>
      <c r="C2383" s="5" t="str">
        <f>IFERROR(__xludf.DUMMYFUNCTION("GOOGLETRANSLATE(B2383,""en"",""de"")"),"Dort haben Männer Stühle und sitzen in der U -Bahn, die Musik machen.")</f>
        <v>Dort haben Männer Stühle und sitzen in der U -Bahn, die Musik machen.</v>
      </c>
    </row>
    <row r="2384">
      <c r="A2384" s="4" t="s">
        <v>2989</v>
      </c>
      <c r="B2384" s="4" t="s">
        <v>2991</v>
      </c>
      <c r="C2384" s="5" t="str">
        <f>IFERROR(__xludf.DUMMYFUNCTION("GOOGLETRANSLATE(B2384,""en"",""de"")"),"Einer von ihnen spielt Gitarre und zwei von ihnen spielen Geige.")</f>
        <v>Einer von ihnen spielt Gitarre und zwei von ihnen spielen Geige.</v>
      </c>
    </row>
    <row r="2385">
      <c r="A2385" s="4" t="s">
        <v>2989</v>
      </c>
      <c r="B2385" s="4" t="s">
        <v>2992</v>
      </c>
      <c r="C2385" s="5" t="str">
        <f>IFERROR(__xludf.DUMMYFUNCTION("GOOGLETRANSLATE(B2385,""en"",""de"")"),"Die Leute gehen an ihnen vorbei und ein Kind, das einen Kinderwagen schiebt und einige andere Kinder kommen und halten sie ein wenig an.")</f>
        <v>Die Leute gehen an ihnen vorbei und ein Kind, das einen Kinderwagen schiebt und einige andere Kinder kommen und halten sie ein wenig an.</v>
      </c>
    </row>
    <row r="2386">
      <c r="A2386" s="4" t="s">
        <v>2989</v>
      </c>
      <c r="B2386" s="4" t="s">
        <v>2993</v>
      </c>
      <c r="C2386" s="5" t="str">
        <f>IFERROR(__xludf.DUMMYFUNCTION("GOOGLETRANSLATE(B2386,""en"",""de"")"),"Es gibt eine Menge, die tatsächlich aufgehört hat, ihnen zuzusehen, wie sie spielen, klatschen und eine von ihnen in ihrem Fall Geld hinterlassen.")</f>
        <v>Es gibt eine Menge, die tatsächlich aufgehört hat, ihnen zuzusehen, wie sie spielen, klatschen und eine von ihnen in ihrem Fall Geld hinterlassen.</v>
      </c>
    </row>
    <row r="2387">
      <c r="A2387" s="4" t="s">
        <v>2994</v>
      </c>
      <c r="B2387" s="4" t="s">
        <v>2995</v>
      </c>
      <c r="C2387" s="5" t="str">
        <f>IFERROR(__xludf.DUMMYFUNCTION("GOOGLETRANSLATE(B2387,""en"",""de"")"),"Ein Mann springt auf zwei Balken.")</f>
        <v>Ein Mann springt auf zwei Balken.</v>
      </c>
    </row>
    <row r="2388">
      <c r="A2388" s="4" t="s">
        <v>2994</v>
      </c>
      <c r="B2388" s="4" t="s">
        <v>2996</v>
      </c>
      <c r="C2388" s="5" t="str">
        <f>IFERROR(__xludf.DUMMYFUNCTION("GOOGLETRANSLATE(B2388,""en"",""de"")"),"Er macht eine Gymnastikroutine an den Bars.")</f>
        <v>Er macht eine Gymnastikroutine an den Bars.</v>
      </c>
    </row>
    <row r="2389">
      <c r="A2389" s="4" t="s">
        <v>2994</v>
      </c>
      <c r="B2389" s="4" t="s">
        <v>2997</v>
      </c>
      <c r="C2389" s="5" t="str">
        <f>IFERROR(__xludf.DUMMYFUNCTION("GOOGLETRANSLATE(B2389,""en"",""de"")"),"Ein Mann in einer weißen Jacke sieht ihn auf.")</f>
        <v>Ein Mann in einer weißen Jacke sieht ihn auf.</v>
      </c>
    </row>
    <row r="2390">
      <c r="A2390" s="4" t="s">
        <v>2994</v>
      </c>
      <c r="B2390" s="4" t="s">
        <v>2998</v>
      </c>
      <c r="C2390" s="5" t="str">
        <f>IFERROR(__xludf.DUMMYFUNCTION("GOOGLETRANSLATE(B2390,""en"",""de"")"),"Er macht einen Flip und landet auf der Matte.")</f>
        <v>Er macht einen Flip und landet auf der Matte.</v>
      </c>
    </row>
    <row r="2391">
      <c r="A2391" s="4" t="s">
        <v>2994</v>
      </c>
      <c r="B2391" s="4" t="s">
        <v>2999</v>
      </c>
      <c r="C2391" s="5" t="str">
        <f>IFERROR(__xludf.DUMMYFUNCTION("GOOGLETRANSLATE(B2391,""en"",""de"")"),"Die Menge begrüßt ihn, nachdem er landet.")</f>
        <v>Die Menge begrüßt ihn, nachdem er landet.</v>
      </c>
    </row>
    <row r="2392">
      <c r="A2392" s="4" t="s">
        <v>3000</v>
      </c>
      <c r="B2392" s="4" t="s">
        <v>3001</v>
      </c>
      <c r="C2392" s="5" t="str">
        <f>IFERROR(__xludf.DUMMYFUNCTION("GOOGLETRANSLATE(B2392,""en"",""de"")"),"Zwei Männer sprechen mit der Kamera, gefolgt von mehreren Clips von Leuten, die einen Ball schlagen.")</f>
        <v>Zwei Männer sprechen mit der Kamera, gefolgt von mehreren Clips von Leuten, die einen Ball schlagen.</v>
      </c>
    </row>
    <row r="2393">
      <c r="A2393" s="4" t="s">
        <v>3000</v>
      </c>
      <c r="B2393" s="4" t="s">
        <v>3002</v>
      </c>
      <c r="C2393" s="5" t="str">
        <f>IFERROR(__xludf.DUMMYFUNCTION("GOOGLETRANSLATE(B2393,""en"",""de"")"),"Weitere Schüsse werden von Menschen gezeigt, die Stöcke hochhalten und einen Ball mit einem anderen Trainer treffen, der in der Nähe hilft und mit der Kamera spricht.")</f>
        <v>Weitere Schüsse werden von Menschen gezeigt, die Stöcke hochhalten und einen Ball mit einem anderen Trainer treffen, der in der Nähe hilft und mit der Kamera spricht.</v>
      </c>
    </row>
    <row r="2394">
      <c r="A2394" s="4" t="s">
        <v>3003</v>
      </c>
      <c r="B2394" s="4" t="s">
        <v>3004</v>
      </c>
      <c r="C2394" s="5" t="str">
        <f>IFERROR(__xludf.DUMMYFUNCTION("GOOGLETRANSLATE(B2394,""en"",""de"")"),"Eine Person sitzt auf einem Hocker und setzt mehrere Teile eines Fahrrads zusammen.")</f>
        <v>Eine Person sitzt auf einem Hocker und setzt mehrere Teile eines Fahrrads zusammen.</v>
      </c>
    </row>
    <row r="2395">
      <c r="A2395" s="4" t="s">
        <v>3003</v>
      </c>
      <c r="B2395" s="4" t="s">
        <v>3005</v>
      </c>
      <c r="C2395" s="5" t="str">
        <f>IFERROR(__xludf.DUMMYFUNCTION("GOOGLETRANSLATE(B2395,""en"",""de"")"),"Die Person setzt das Fahrrad weiter zusammen und schwenkt am Ende um das fertige Produkt.")</f>
        <v>Die Person setzt das Fahrrad weiter zusammen und schwenkt am Ende um das fertige Produkt.</v>
      </c>
    </row>
    <row r="2396">
      <c r="A2396" s="4" t="s">
        <v>3006</v>
      </c>
      <c r="B2396" s="4" t="s">
        <v>3007</v>
      </c>
      <c r="C2396" s="5" t="str">
        <f>IFERROR(__xludf.DUMMYFUNCTION("GOOGLETRANSLATE(B2396,""en"",""de"")"),"Ein grünes Boot mit schwarzen und weißen Akzenten gleitet auf dem Wasser.")</f>
        <v>Ein grünes Boot mit schwarzen und weißen Akzenten gleitet auf dem Wasser.</v>
      </c>
    </row>
    <row r="2397">
      <c r="A2397" s="4" t="s">
        <v>3006</v>
      </c>
      <c r="B2397" s="4" t="s">
        <v>3008</v>
      </c>
      <c r="C2397" s="5" t="str">
        <f>IFERROR(__xludf.DUMMYFUNCTION("GOOGLETRANSLATE(B2397,""en"",""de"")"),"Ein Paar blaue und schwarze Schuhe befindet sich auf einem Deck, während ein Fuß auf der rechten Seite platziert wird.")</f>
        <v>Ein Paar blaue und schwarze Schuhe befindet sich auf einem Deck, während ein Fuß auf der rechten Seite platziert wird.</v>
      </c>
    </row>
    <row r="2398">
      <c r="A2398" s="4" t="s">
        <v>3006</v>
      </c>
      <c r="B2398" s="4" t="s">
        <v>3009</v>
      </c>
      <c r="C2398" s="5" t="str">
        <f>IFERROR(__xludf.DUMMYFUNCTION("GOOGLETRANSLATE(B2398,""en"",""de"")"),"Ein Mann steht jetzt auf einer Waterboard, an der die blauen Schuhe befestigt sind, und er hält ein blaues Seil, das an einem dreieckigen Griff befestigt ist.")</f>
        <v>Ein Mann steht jetzt auf einer Waterboard, an der die blauen Schuhe befestigt sind, und er hält ein blaues Seil, das an einem dreieckigen Griff befestigt ist.</v>
      </c>
    </row>
    <row r="2399">
      <c r="A2399" s="4" t="s">
        <v>3006</v>
      </c>
      <c r="B2399" s="4" t="s">
        <v>3010</v>
      </c>
      <c r="C2399" s="5" t="str">
        <f>IFERROR(__xludf.DUMMYFUNCTION("GOOGLETRANSLATE(B2399,""en"",""de"")"),"Weiße Wörter auf einem schwarzen Bildschirm zeigen und lesen Zucky Wakeboarding 2015 im Sommer und verblassen dann.")</f>
        <v>Weiße Wörter auf einem schwarzen Bildschirm zeigen und lesen Zucky Wakeboarding 2015 im Sommer und verblassen dann.</v>
      </c>
    </row>
    <row r="2400">
      <c r="A2400" s="4" t="s">
        <v>3006</v>
      </c>
      <c r="B2400" s="4" t="s">
        <v>3011</v>
      </c>
      <c r="C2400" s="5" t="str">
        <f>IFERROR(__xludf.DUMMYFUNCTION("GOOGLETRANSLATE(B2400,""en"",""de"")"),"Der Mann wird wieder gezeigt und jetzt ist er in Bewegung, als er am Griff festhält, das mit dem Seil verbunden ist und verschiedene Tricks von einer Seite zur anderen durchführen, gelegentlich springen, sich drehen und manchmal alles auf einmal machen.")</f>
        <v>Der Mann wird wieder gezeigt und jetzt ist er in Bewegung, als er am Griff festhält, das mit dem Seil verbunden ist und verschiedene Tricks von einer Seite zur anderen durchführen, gelegentlich springen, sich drehen und manchmal alles auf einmal machen.</v>
      </c>
    </row>
    <row r="2401">
      <c r="A2401" s="4" t="s">
        <v>3006</v>
      </c>
      <c r="B2401" s="4" t="s">
        <v>3012</v>
      </c>
      <c r="C2401" s="5" t="str">
        <f>IFERROR(__xludf.DUMMYFUNCTION("GOOGLETRANSLATE(B2401,""en"",""de"")"),"Das Video endet mit weißen Wörtern und Zahlen auf einem schwarzen Bildschirm mit dem Lesen -end -Editor: 05.")</f>
        <v>Das Video endet mit weißen Wörtern und Zahlen auf einem schwarzen Bildschirm mit dem Lesen -end -Editor: 05.</v>
      </c>
    </row>
    <row r="2402">
      <c r="A2402" s="4" t="s">
        <v>3013</v>
      </c>
      <c r="B2402" s="4" t="s">
        <v>3014</v>
      </c>
      <c r="C2402" s="5" t="str">
        <f>IFERROR(__xludf.DUMMYFUNCTION("GOOGLETRANSLATE(B2402,""en"",""de"")"),"Ein Mann sitzt auf einem revolvierenden Stuhl mit einem Bein über den anderen.")</f>
        <v>Ein Mann sitzt auf einem revolvierenden Stuhl mit einem Bein über den anderen.</v>
      </c>
    </row>
    <row r="2403">
      <c r="A2403" s="4" t="s">
        <v>3013</v>
      </c>
      <c r="B2403" s="4" t="s">
        <v>3015</v>
      </c>
      <c r="C2403" s="5" t="str">
        <f>IFERROR(__xludf.DUMMYFUNCTION("GOOGLETRANSLATE(B2403,""en"",""de"")"),"Ein anderer Mann nimmt ein Tuch und beginnt seine schwarzen Lederschuhe mit einem Tuch zu reinigen, um es glänzend zu machen.")</f>
        <v>Ein anderer Mann nimmt ein Tuch und beginnt seine schwarzen Lederschuhe mit einem Tuch zu reinigen, um es glänzend zu machen.</v>
      </c>
    </row>
    <row r="2404">
      <c r="A2404" s="4" t="s">
        <v>3013</v>
      </c>
      <c r="B2404" s="4" t="s">
        <v>3016</v>
      </c>
      <c r="C2404" s="5" t="str">
        <f>IFERROR(__xludf.DUMMYFUNCTION("GOOGLETRANSLATE(B2404,""en"",""de"")"),"Er reinigt den Schuh mit einer Hin- und Herbewegung.")</f>
        <v>Er reinigt den Schuh mit einer Hin- und Herbewegung.</v>
      </c>
    </row>
    <row r="2405">
      <c r="A2405" s="4" t="s">
        <v>3017</v>
      </c>
      <c r="B2405" s="4" t="s">
        <v>3018</v>
      </c>
      <c r="C2405" s="5" t="str">
        <f>IFERROR(__xludf.DUMMYFUNCTION("GOOGLETRANSLATE(B2405,""en"",""de"")"),"Eine Frau mit blonden Haaren erklärt, wie man Rosmarin -Wodka -Limonade macht.")</f>
        <v>Eine Frau mit blonden Haaren erklärt, wie man Rosmarin -Wodka -Limonade macht.</v>
      </c>
    </row>
    <row r="2406">
      <c r="A2406" s="4" t="s">
        <v>3017</v>
      </c>
      <c r="B2406" s="4" t="s">
        <v>3019</v>
      </c>
      <c r="C2406" s="5" t="str">
        <f>IFERROR(__xludf.DUMMYFUNCTION("GOOGLETRANSLATE(B2406,""en"",""de"")"),"Es erscheinen zwei Flüssigkeitsgläser.")</f>
        <v>Es erscheinen zwei Flüssigkeitsgläser.</v>
      </c>
    </row>
    <row r="2407">
      <c r="A2407" s="4" t="s">
        <v>3017</v>
      </c>
      <c r="B2407" s="4" t="s">
        <v>3020</v>
      </c>
      <c r="C2407" s="5" t="str">
        <f>IFERROR(__xludf.DUMMYFUNCTION("GOOGLETRANSLATE(B2407,""en"",""de"")"),"Die Frau nimmt einen Schluck der Flüssigkeit.")</f>
        <v>Die Frau nimmt einen Schluck der Flüssigkeit.</v>
      </c>
    </row>
    <row r="2408">
      <c r="A2408" s="4" t="s">
        <v>3017</v>
      </c>
      <c r="B2408" s="4" t="s">
        <v>3021</v>
      </c>
      <c r="C2408" s="5" t="str">
        <f>IFERROR(__xludf.DUMMYFUNCTION("GOOGLETRANSLATE(B2408,""en"",""de"")"),"Die Frau bereitet die Flüssigkeit mit Kräutern und Zucker in einer Schüssel vor.")</f>
        <v>Die Frau bereitet die Flüssigkeit mit Kräutern und Zucker in einer Schüssel vor.</v>
      </c>
    </row>
    <row r="2409">
      <c r="A2409" s="4" t="s">
        <v>3017</v>
      </c>
      <c r="B2409" s="4" t="s">
        <v>3022</v>
      </c>
      <c r="C2409" s="5" t="str">
        <f>IFERROR(__xludf.DUMMYFUNCTION("GOOGLETRANSLATE(B2409,""en"",""de"")"),"Die Frau gießt die Flüssigkeit in ein Glas.")</f>
        <v>Die Frau gießt die Flüssigkeit in ein Glas.</v>
      </c>
    </row>
    <row r="2410">
      <c r="A2410" s="4" t="s">
        <v>3017</v>
      </c>
      <c r="B2410" s="4" t="s">
        <v>3023</v>
      </c>
      <c r="C2410" s="5" t="str">
        <f>IFERROR(__xludf.DUMMYFUNCTION("GOOGLETRANSLATE(B2410,""en"",""de"")"),"Die Frau gießt die Flüssigkeit mit Eis in Gläser.")</f>
        <v>Die Frau gießt die Flüssigkeit mit Eis in Gläser.</v>
      </c>
    </row>
    <row r="2411">
      <c r="A2411" s="4" t="s">
        <v>3017</v>
      </c>
      <c r="B2411" s="4" t="s">
        <v>3024</v>
      </c>
      <c r="C2411" s="5" t="str">
        <f>IFERROR(__xludf.DUMMYFUNCTION("GOOGLETRANSLATE(B2411,""en"",""de"")"),"Die Frau mischt die Zubereitung.")</f>
        <v>Die Frau mischt die Zubereitung.</v>
      </c>
    </row>
    <row r="2412">
      <c r="A2412" s="4" t="s">
        <v>3017</v>
      </c>
      <c r="B2412" s="4" t="s">
        <v>3025</v>
      </c>
      <c r="C2412" s="5" t="str">
        <f>IFERROR(__xludf.DUMMYFUNCTION("GOOGLETRANSLATE(B2412,""en"",""de"")"),"Die Frau trinkt die Flüssigkeit in einem Glas.")</f>
        <v>Die Frau trinkt die Flüssigkeit in einem Glas.</v>
      </c>
    </row>
    <row r="2413">
      <c r="A2413" s="4" t="s">
        <v>3017</v>
      </c>
      <c r="B2413" s="4" t="s">
        <v>3026</v>
      </c>
      <c r="C2413" s="5" t="str">
        <f>IFERROR(__xludf.DUMMYFUNCTION("GOOGLETRANSLATE(B2413,""en"",""de"")"),"Das Video endet mit einem Blick auf die Gläser mit Flüssigkeit.")</f>
        <v>Das Video endet mit einem Blick auf die Gläser mit Flüssigkeit.</v>
      </c>
    </row>
    <row r="2414">
      <c r="A2414" s="4" t="s">
        <v>3027</v>
      </c>
      <c r="B2414" s="4" t="s">
        <v>3028</v>
      </c>
      <c r="C2414" s="5" t="str">
        <f>IFERROR(__xludf.DUMMYFUNCTION("GOOGLETRANSLATE(B2414,""en"",""de"")"),"Eine Frau wird gezeigt, die mit der Kamera spricht und verschiedene Aufnahmen von Kindern zeigt, die auf einem Stuhl sitzen und im Fernsehen auftreten.")</f>
        <v>Eine Frau wird gezeigt, die mit der Kamera spricht und verschiedene Aufnahmen von Kindern zeigt, die auf einem Stuhl sitzen und im Fernsehen auftreten.</v>
      </c>
    </row>
    <row r="2415">
      <c r="A2415" s="4" t="s">
        <v>3027</v>
      </c>
      <c r="B2415" s="4" t="s">
        <v>3029</v>
      </c>
      <c r="C2415" s="5" t="str">
        <f>IFERROR(__xludf.DUMMYFUNCTION("GOOGLETRANSLATE(B2415,""en"",""de"")"),"Die Frau spricht mehr mit der Kamera und stellt einen Kontakt in das Auge des Mädchens.")</f>
        <v>Die Frau spricht mehr mit der Kamera und stellt einen Kontakt in das Auge des Mädchens.</v>
      </c>
    </row>
    <row r="2416">
      <c r="A2416" s="4" t="s">
        <v>3027</v>
      </c>
      <c r="B2416" s="4" t="s">
        <v>3030</v>
      </c>
      <c r="C2416" s="5" t="str">
        <f>IFERROR(__xludf.DUMMYFUNCTION("GOOGLETRANSLATE(B2416,""en"",""de"")"),"Das Mädchen lächelt in einen Spiegel und zeigt, wie sie die Kontakte und eine Erinnerung an Ihrem Telefon herausnimmt.")</f>
        <v>Das Mädchen lächelt in einen Spiegel und zeigt, wie sie die Kontakte und eine Erinnerung an Ihrem Telefon herausnimmt.</v>
      </c>
    </row>
    <row r="2417">
      <c r="A2417" s="4" t="s">
        <v>3027</v>
      </c>
      <c r="B2417" s="4" t="s">
        <v>3031</v>
      </c>
      <c r="C2417" s="5" t="str">
        <f>IFERROR(__xludf.DUMMYFUNCTION("GOOGLETRANSLATE(B2417,""en"",""de"")"),"Eine letzte Frau spricht mit der Kamera und das Mädchen jubelt und lächelt erneut.")</f>
        <v>Eine letzte Frau spricht mit der Kamera und das Mädchen jubelt und lächelt erneut.</v>
      </c>
    </row>
    <row r="2418">
      <c r="A2418" s="4" t="s">
        <v>3032</v>
      </c>
      <c r="B2418" s="4" t="s">
        <v>3033</v>
      </c>
      <c r="C2418" s="5" t="str">
        <f>IFERROR(__xludf.DUMMYFUNCTION("GOOGLETRANSLATE(B2418,""en"",""de"")"),"Ein Junge sitzt vor einem Timer auf einem Computermonitor.")</f>
        <v>Ein Junge sitzt vor einem Timer auf einem Computermonitor.</v>
      </c>
    </row>
    <row r="2419">
      <c r="A2419" s="4" t="s">
        <v>3032</v>
      </c>
      <c r="B2419" s="4" t="s">
        <v>3034</v>
      </c>
      <c r="C2419" s="5" t="str">
        <f>IFERROR(__xludf.DUMMYFUNCTION("GOOGLETRANSLATE(B2419,""en"",""de"")"),"Er hat mehrere Rubiks Würfel hintereinander.")</f>
        <v>Er hat mehrere Rubiks Würfel hintereinander.</v>
      </c>
    </row>
    <row r="2420">
      <c r="A2420" s="4" t="s">
        <v>3032</v>
      </c>
      <c r="B2420" s="4" t="s">
        <v>3035</v>
      </c>
      <c r="C2420" s="5" t="str">
        <f>IFERROR(__xludf.DUMMYFUNCTION("GOOGLETRANSLATE(B2420,""en"",""de"")"),"Er zeitlich selbst, während er versucht, den Würfel zu lösen.")</f>
        <v>Er zeitlich selbst, während er versucht, den Würfel zu lösen.</v>
      </c>
    </row>
    <row r="2421">
      <c r="A2421" s="4" t="s">
        <v>3032</v>
      </c>
      <c r="B2421" s="4" t="s">
        <v>3036</v>
      </c>
      <c r="C2421" s="5" t="str">
        <f>IFERROR(__xludf.DUMMYFUNCTION("GOOGLETRANSLATE(B2421,""en"",""de"")"),"Er bewegt sich schnell und löst sie in kurzer Zeit.")</f>
        <v>Er bewegt sich schnell und löst sie in kurzer Zeit.</v>
      </c>
    </row>
    <row r="2422">
      <c r="A2422" s="4" t="s">
        <v>3032</v>
      </c>
      <c r="B2422" s="4" t="s">
        <v>3037</v>
      </c>
      <c r="C2422" s="5" t="str">
        <f>IFERROR(__xludf.DUMMYFUNCTION("GOOGLETRANSLATE(B2422,""en"",""de"")"),"Er ballt seine Fäuste vor Freude.")</f>
        <v>Er ballt seine Fäuste vor Freude.</v>
      </c>
    </row>
    <row r="2423">
      <c r="A2423" s="4" t="s">
        <v>3038</v>
      </c>
      <c r="B2423" s="4" t="s">
        <v>3039</v>
      </c>
      <c r="C2423" s="5" t="str">
        <f>IFERROR(__xludf.DUMMYFUNCTION("GOOGLETRANSLATE(B2423,""en"",""de"")"),"Die Leute werden gezeigt, wie sie mit hölzernen Drumsticks Schlagzeug spielen.")</f>
        <v>Die Leute werden gezeigt, wie sie mit hölzernen Drumsticks Schlagzeug spielen.</v>
      </c>
    </row>
    <row r="2424">
      <c r="A2424" s="4" t="s">
        <v>3038</v>
      </c>
      <c r="B2424" s="4" t="s">
        <v>3040</v>
      </c>
      <c r="C2424" s="5" t="str">
        <f>IFERROR(__xludf.DUMMYFUNCTION("GOOGLETRANSLATE(B2424,""en"",""de"")"),"Es gibt auch Leute hinter ihnen, die goldene Becken spielen.")</f>
        <v>Es gibt auch Leute hinter ihnen, die goldene Becken spielen.</v>
      </c>
    </row>
    <row r="2425">
      <c r="A2425" s="4" t="s">
        <v>3038</v>
      </c>
      <c r="B2425" s="4" t="s">
        <v>3041</v>
      </c>
      <c r="C2425" s="5" t="str">
        <f>IFERROR(__xludf.DUMMYFUNCTION("GOOGLETRANSLATE(B2425,""en"",""de"")"),"Nach einer Weile hören sie alle auf zu spielen und stehen still.")</f>
        <v>Nach einer Weile hören sie alle auf zu spielen und stehen still.</v>
      </c>
    </row>
    <row r="2426">
      <c r="A2426" s="4" t="s">
        <v>3042</v>
      </c>
      <c r="B2426" s="4" t="s">
        <v>3043</v>
      </c>
      <c r="C2426" s="5" t="str">
        <f>IFERROR(__xludf.DUMMYFUNCTION("GOOGLETRANSLATE(B2426,""en"",""de"")"),"Eine Frau steht in einem roten Kleid.")</f>
        <v>Eine Frau steht in einem roten Kleid.</v>
      </c>
    </row>
    <row r="2427">
      <c r="A2427" s="4" t="s">
        <v>3042</v>
      </c>
      <c r="B2427" s="4" t="s">
        <v>3044</v>
      </c>
      <c r="C2427" s="5" t="str">
        <f>IFERROR(__xludf.DUMMYFUNCTION("GOOGLETRANSLATE(B2427,""en"",""de"")"),"Sie wirft Darts auf ein Brett.")</f>
        <v>Sie wirft Darts auf ein Brett.</v>
      </c>
    </row>
    <row r="2428">
      <c r="A2428" s="4" t="s">
        <v>3042</v>
      </c>
      <c r="B2428" s="4" t="s">
        <v>3045</v>
      </c>
      <c r="C2428" s="5" t="str">
        <f>IFERROR(__xludf.DUMMYFUNCTION("GOOGLETRANSLATE(B2428,""en"",""de"")"),"Sie wirft mehrere Darts auf das Brett.")</f>
        <v>Sie wirft mehrere Darts auf das Brett.</v>
      </c>
    </row>
    <row r="2429">
      <c r="A2429" s="4" t="s">
        <v>3042</v>
      </c>
      <c r="B2429" s="4" t="s">
        <v>3046</v>
      </c>
      <c r="C2429" s="5" t="str">
        <f>IFERROR(__xludf.DUMMYFUNCTION("GOOGLETRANSLATE(B2429,""en"",""de"")"),"Sie wirft Darts in Zeitlupe.")</f>
        <v>Sie wirft Darts in Zeitlupe.</v>
      </c>
    </row>
    <row r="2430">
      <c r="A2430" s="4" t="s">
        <v>3047</v>
      </c>
      <c r="B2430" s="4" t="s">
        <v>3048</v>
      </c>
      <c r="C2430" s="5" t="str">
        <f>IFERROR(__xludf.DUMMYFUNCTION("GOOGLETRANSLATE(B2430,""en"",""de"")"),"Eine Frau absolviert eine Routine bei den Olympischen Spielen am Balancestrahl.")</f>
        <v>Eine Frau absolviert eine Routine bei den Olympischen Spielen am Balancestrahl.</v>
      </c>
    </row>
    <row r="2431">
      <c r="A2431" s="4" t="s">
        <v>3047</v>
      </c>
      <c r="B2431" s="4" t="s">
        <v>3049</v>
      </c>
      <c r="C2431" s="5" t="str">
        <f>IFERROR(__xludf.DUMMYFUNCTION("GOOGLETRANSLATE(B2431,""en"",""de"")"),"Sie springt anmutig auf und ab und verliebt sich dann ein bisschen Punktabzug.")</f>
        <v>Sie springt anmutig auf und ab und verliebt sich dann ein bisschen Punktabzug.</v>
      </c>
    </row>
    <row r="2432">
      <c r="A2432" s="4" t="s">
        <v>3047</v>
      </c>
      <c r="B2432" s="4" t="s">
        <v>3050</v>
      </c>
      <c r="C2432" s="5" t="str">
        <f>IFERROR(__xludf.DUMMYFUNCTION("GOOGLETRANSLATE(B2432,""en"",""de"")"),"Sie beendet ihre Routine und umarmt sich von ihrem Trainer.")</f>
        <v>Sie beendet ihre Routine und umarmt sich von ihrem Trainer.</v>
      </c>
    </row>
    <row r="2433">
      <c r="A2433" s="4" t="s">
        <v>3051</v>
      </c>
      <c r="B2433" s="4" t="s">
        <v>3052</v>
      </c>
      <c r="C2433" s="5" t="str">
        <f>IFERROR(__xludf.DUMMYFUNCTION("GOOGLETRANSLATE(B2433,""en"",""de"")"),"Eine Auswahl von Teams, die männlich und weiblich außerhalb eines Gebäudes aufgestellt sind, dann werden sie hereingelassen.")</f>
        <v>Eine Auswahl von Teams, die männlich und weiblich außerhalb eines Gebäudes aufgestellt sind, dann werden sie hereingelassen.</v>
      </c>
    </row>
    <row r="2434">
      <c r="A2434" s="4" t="s">
        <v>3051</v>
      </c>
      <c r="B2434" s="4" t="s">
        <v>3053</v>
      </c>
      <c r="C2434" s="5" t="str">
        <f>IFERROR(__xludf.DUMMYFUNCTION("GOOGLETRANSLATE(B2434,""en"",""de"")"),"Im Gebäude gibt es mehrere Pooltische und ein Mann beginnt sie zu unterweisen, was zu tun ist.")</f>
        <v>Im Gebäude gibt es mehrere Pooltische und ein Mann beginnt sie zu unterweisen, was zu tun ist.</v>
      </c>
    </row>
    <row r="2435">
      <c r="A2435" s="4" t="s">
        <v>3051</v>
      </c>
      <c r="B2435" s="4" t="s">
        <v>3054</v>
      </c>
      <c r="C2435" s="5" t="str">
        <f>IFERROR(__xludf.DUMMYFUNCTION("GOOGLETRANSLATE(B2435,""en"",""de"")"),"Unterschiedliche Menschen schlagen die Bälle und der Ausbilder geht hinüber, um ihnen zu helfen.")</f>
        <v>Unterschiedliche Menschen schlagen die Bälle und der Ausbilder geht hinüber, um ihnen zu helfen.</v>
      </c>
    </row>
    <row r="2436">
      <c r="A2436" s="4" t="s">
        <v>3055</v>
      </c>
      <c r="B2436" s="4" t="s">
        <v>3056</v>
      </c>
      <c r="C2436" s="5" t="str">
        <f>IFERROR(__xludf.DUMMYFUNCTION("GOOGLETRANSLATE(B2436,""en"",""de"")"),"Eine Gruppe von Menschen hat sich auf einer Bühne versammelt.")</f>
        <v>Eine Gruppe von Menschen hat sich auf einer Bühne versammelt.</v>
      </c>
    </row>
    <row r="2437">
      <c r="A2437" s="4" t="s">
        <v>3055</v>
      </c>
      <c r="B2437" s="4" t="s">
        <v>3057</v>
      </c>
      <c r="C2437" s="5" t="str">
        <f>IFERROR(__xludf.DUMMYFUNCTION("GOOGLETRANSLATE(B2437,""en"",""de"")"),"Das Publikum klatscht für die Darsteller.")</f>
        <v>Das Publikum klatscht für die Darsteller.</v>
      </c>
    </row>
    <row r="2438">
      <c r="A2438" s="4" t="s">
        <v>3055</v>
      </c>
      <c r="B2438" s="4" t="s">
        <v>3058</v>
      </c>
      <c r="C2438" s="5" t="str">
        <f>IFERROR(__xludf.DUMMYFUNCTION("GOOGLETRANSLATE(B2438,""en"",""de"")"),"Sie schütteln die Hand und umarmen sich, als der Credits rollen.")</f>
        <v>Sie schütteln die Hand und umarmen sich, als der Credits rollen.</v>
      </c>
    </row>
    <row r="2439">
      <c r="A2439" s="4" t="s">
        <v>3059</v>
      </c>
      <c r="B2439" s="4" t="s">
        <v>3060</v>
      </c>
      <c r="C2439" s="5" t="str">
        <f>IFERROR(__xludf.DUMMYFUNCTION("GOOGLETRANSLATE(B2439,""en"",""de"")"),"Eine Frau ist in einer Küche und redet.")</f>
        <v>Eine Frau ist in einer Küche und redet.</v>
      </c>
    </row>
    <row r="2440">
      <c r="A2440" s="4" t="s">
        <v>3059</v>
      </c>
      <c r="B2440" s="4" t="s">
        <v>3061</v>
      </c>
      <c r="C2440" s="5" t="str">
        <f>IFERROR(__xludf.DUMMYFUNCTION("GOOGLETRANSLATE(B2440,""en"",""de"")"),"Sie zeigt eine Reihe von Sandwich -Toppings.")</f>
        <v>Sie zeigt eine Reihe von Sandwich -Toppings.</v>
      </c>
    </row>
    <row r="2441">
      <c r="A2441" s="4" t="s">
        <v>3059</v>
      </c>
      <c r="B2441" s="4" t="s">
        <v>3062</v>
      </c>
      <c r="C2441" s="5" t="str">
        <f>IFERROR(__xludf.DUMMYFUNCTION("GOOGLETRANSLATE(B2441,""en"",""de"")"),"Sie legt Fleisch und Käse auf Brot und schließt dann das Sandwich.")</f>
        <v>Sie legt Fleisch und Käse auf Brot und schließt dann das Sandwich.</v>
      </c>
    </row>
    <row r="2442">
      <c r="A2442" s="4" t="s">
        <v>3063</v>
      </c>
      <c r="B2442" s="4" t="s">
        <v>3064</v>
      </c>
      <c r="C2442" s="5" t="str">
        <f>IFERROR(__xludf.DUMMYFUNCTION("GOOGLETRANSLATE(B2442,""en"",""de"")"),"Viele Frauen, einige in blauen Hemden und einige in weißen Hemden, laufen auf einem Feld herum und spielen ein Spiel.")</f>
        <v>Viele Frauen, einige in blauen Hemden und einige in weißen Hemden, laufen auf einem Feld herum und spielen ein Spiel.</v>
      </c>
    </row>
    <row r="2443">
      <c r="A2443" s="4" t="s">
        <v>3063</v>
      </c>
      <c r="B2443" s="4" t="s">
        <v>3065</v>
      </c>
      <c r="C2443" s="5" t="str">
        <f>IFERROR(__xludf.DUMMYFUNCTION("GOOGLETRANSLATE(B2443,""en"",""de"")"),"Ein paar Leute beobachten von den Tribünen im Hintergrund.")</f>
        <v>Ein paar Leute beobachten von den Tribünen im Hintergrund.</v>
      </c>
    </row>
    <row r="2444">
      <c r="A2444" s="4" t="s">
        <v>3063</v>
      </c>
      <c r="B2444" s="4" t="s">
        <v>3066</v>
      </c>
      <c r="C2444" s="5" t="str">
        <f>IFERROR(__xludf.DUMMYFUNCTION("GOOGLETRANSLATE(B2444,""en"",""de"")"),"Zwei Schiedsrichter rennen mit den Spielern um das Feld.")</f>
        <v>Zwei Schiedsrichter rennen mit den Spielern um das Feld.</v>
      </c>
    </row>
    <row r="2445">
      <c r="A2445" s="4" t="s">
        <v>3063</v>
      </c>
      <c r="B2445" s="4" t="s">
        <v>3067</v>
      </c>
      <c r="C2445" s="5" t="str">
        <f>IFERROR(__xludf.DUMMYFUNCTION("GOOGLETRANSLATE(B2445,""en"",""de"")"),"Andere Spieler beobachten von der Seitenlinie in der Nähe eines Zauns.")</f>
        <v>Andere Spieler beobachten von der Seitenlinie in der Nähe eines Zauns.</v>
      </c>
    </row>
    <row r="2446">
      <c r="A2446" s="4" t="s">
        <v>3063</v>
      </c>
      <c r="B2446" s="4" t="s">
        <v>3068</v>
      </c>
      <c r="C2446" s="5" t="str">
        <f>IFERROR(__xludf.DUMMYFUNCTION("GOOGLETRANSLATE(B2446,""en"",""de"")"),"Eine Gruppe von Personen, die Punkte halten, sitzt an einem Tisch an der Seitenlinie.")</f>
        <v>Eine Gruppe von Personen, die Punkte halten, sitzt an einem Tisch an der Seitenlinie.</v>
      </c>
    </row>
    <row r="2447">
      <c r="A2447" s="4" t="s">
        <v>3063</v>
      </c>
      <c r="B2447" s="4" t="s">
        <v>3069</v>
      </c>
      <c r="C2447" s="5" t="str">
        <f>IFERROR(__xludf.DUMMYFUNCTION("GOOGLETRANSLATE(B2447,""en"",""de"")"),"Einige der Leute, die von den Tribünen zuschauen, stehen jetzt.")</f>
        <v>Einige der Leute, die von den Tribünen zuschauen, stehen jetzt.</v>
      </c>
    </row>
    <row r="2448">
      <c r="A2448" s="4" t="s">
        <v>3063</v>
      </c>
      <c r="B2448" s="4" t="s">
        <v>3070</v>
      </c>
      <c r="C2448" s="5" t="str">
        <f>IFERROR(__xludf.DUMMYFUNCTION("GOOGLETRANSLATE(B2448,""en"",""de"")"),"Ein Mann in einem blauen Sweatshirt geht an der Seitenlinie.")</f>
        <v>Ein Mann in einem blauen Sweatshirt geht an der Seitenlinie.</v>
      </c>
    </row>
    <row r="2449">
      <c r="A2449" s="4" t="s">
        <v>3071</v>
      </c>
      <c r="B2449" s="4" t="s">
        <v>3072</v>
      </c>
      <c r="C2449" s="5" t="str">
        <f>IFERROR(__xludf.DUMMYFUNCTION("GOOGLETRANSLATE(B2449,""en"",""de"")"),"Draußen auf dem Hof ​​gibt es eine Dame, die wie ein Cupcake gekleidet ist und sie spielt ein Cricketspiel.")</f>
        <v>Draußen auf dem Hof ​​gibt es eine Dame, die wie ein Cupcake gekleidet ist und sie spielt ein Cricketspiel.</v>
      </c>
    </row>
    <row r="2450">
      <c r="A2450" s="4" t="s">
        <v>3071</v>
      </c>
      <c r="B2450" s="4" t="s">
        <v>3073</v>
      </c>
      <c r="C2450" s="5" t="str">
        <f>IFERROR(__xludf.DUMMYFUNCTION("GOOGLETRANSLATE(B2450,""en"",""de"")"),"Sie trifft den gelben Ball, aber er bewegt sich überhaupt nicht sehr weit.")</f>
        <v>Sie trifft den gelben Ball, aber er bewegt sich überhaupt nicht sehr weit.</v>
      </c>
    </row>
    <row r="2451">
      <c r="A2451" s="4" t="s">
        <v>3071</v>
      </c>
      <c r="B2451" s="4" t="s">
        <v>3074</v>
      </c>
      <c r="C2451" s="5" t="str">
        <f>IFERROR(__xludf.DUMMYFUNCTION("GOOGLETRANSLATE(B2451,""en"",""de"")"),"Sie hat ein bisschen Probleme, eine gute Position zu bekommen, um den Ball wieder zu schlagen.")</f>
        <v>Sie hat ein bisschen Probleme, eine gute Position zu bekommen, um den Ball wieder zu schlagen.</v>
      </c>
    </row>
    <row r="2452">
      <c r="A2452" s="4" t="s">
        <v>3071</v>
      </c>
      <c r="B2452" s="4" t="s">
        <v>3075</v>
      </c>
      <c r="C2452" s="5" t="str">
        <f>IFERROR(__xludf.DUMMYFUNCTION("GOOGLETRANSLATE(B2452,""en"",""de"")"),"Als sie es schließlich wieder trifft, geht es nicht durch den Kurs, wie sie es erwartet hatte, so dass sie enttäuscht ist.")</f>
        <v>Als sie es schließlich wieder trifft, geht es nicht durch den Kurs, wie sie es erwartet hatte, so dass sie enttäuscht ist.</v>
      </c>
    </row>
    <row r="2453">
      <c r="A2453" s="4" t="s">
        <v>3076</v>
      </c>
      <c r="B2453" s="4" t="s">
        <v>3077</v>
      </c>
      <c r="C2453" s="5" t="str">
        <f>IFERROR(__xludf.DUMMYFUNCTION("GOOGLETRANSLATE(B2453,""en"",""de"")"),"Es gibt ein Indoor -Fitnessstudio, in dem zwei Teilnehmer miteinander fechten.")</f>
        <v>Es gibt ein Indoor -Fitnessstudio, in dem zwei Teilnehmer miteinander fechten.</v>
      </c>
    </row>
    <row r="2454">
      <c r="A2454" s="4" t="s">
        <v>3076</v>
      </c>
      <c r="B2454" s="4" t="s">
        <v>3078</v>
      </c>
      <c r="C2454" s="5" t="str">
        <f>IFERROR(__xludf.DUMMYFUNCTION("GOOGLETRANSLATE(B2454,""en"",""de"")"),"Es gibt eine Person in Schwarz, die ihr Schiedsrichter ist.")</f>
        <v>Es gibt eine Person in Schwarz, die ihr Schiedsrichter ist.</v>
      </c>
    </row>
    <row r="2455">
      <c r="A2455" s="4" t="s">
        <v>3076</v>
      </c>
      <c r="B2455" s="4" t="s">
        <v>3079</v>
      </c>
      <c r="C2455" s="5" t="str">
        <f>IFERROR(__xludf.DUMMYFUNCTION("GOOGLETRANSLATE(B2455,""en"",""de"")"),"Ein weiteres Paar Teilnehmer ist ebenfalls bei derselben Veranstaltung einzäunen.")</f>
        <v>Ein weiteres Paar Teilnehmer ist ebenfalls bei derselben Veranstaltung einzäunen.</v>
      </c>
    </row>
    <row r="2456">
      <c r="A2456" s="4" t="s">
        <v>3076</v>
      </c>
      <c r="B2456" s="4" t="s">
        <v>3080</v>
      </c>
      <c r="C2456" s="5" t="str">
        <f>IFERROR(__xludf.DUMMYFUNCTION("GOOGLETRANSLATE(B2456,""en"",""de"")"),"Zwei Männer, die in Zaunausrüstung gekleidet sind, zäfen weiter im Fitnessstudio.")</f>
        <v>Zwei Männer, die in Zaunausrüstung gekleidet sind, zäfen weiter im Fitnessstudio.</v>
      </c>
    </row>
    <row r="2457">
      <c r="A2457" s="4" t="s">
        <v>3081</v>
      </c>
      <c r="B2457" s="4" t="s">
        <v>3082</v>
      </c>
      <c r="C2457" s="5" t="str">
        <f>IFERROR(__xludf.DUMMYFUNCTION("GOOGLETRANSLATE(B2457,""en"",""de"")"),"Eine Frau reitet ein Kamel, das mit ihrer rechten Hand ein Fahrt hält, während ein Mann das Kamel zieht.")</f>
        <v>Eine Frau reitet ein Kamel, das mit ihrer rechten Hand ein Fahrt hält, während ein Mann das Kamel zieht.</v>
      </c>
    </row>
    <row r="2458">
      <c r="A2458" s="4" t="s">
        <v>3081</v>
      </c>
      <c r="B2458" s="4" t="s">
        <v>3083</v>
      </c>
      <c r="C2458" s="5" t="str">
        <f>IFERROR(__xludf.DUMMYFUNCTION("GOOGLETRANSLATE(B2458,""en"",""de"")"),"Dann hört das Kamel auf und die Frau kommt vom Kamel hin.")</f>
        <v>Dann hört das Kamel auf und die Frau kommt vom Kamel hin.</v>
      </c>
    </row>
    <row r="2459">
      <c r="A2459" s="4" t="s">
        <v>3084</v>
      </c>
      <c r="B2459" s="4" t="s">
        <v>3085</v>
      </c>
      <c r="C2459" s="5" t="str">
        <f>IFERROR(__xludf.DUMMYFUNCTION("GOOGLETRANSLATE(B2459,""en"",""de"")"),"Zwei Männer lachen und verbeugen dort die Köpfe, wie Arbeit erledigt wird.")</f>
        <v>Zwei Männer lachen und verbeugen dort die Köpfe, wie Arbeit erledigt wird.</v>
      </c>
    </row>
    <row r="2460">
      <c r="A2460" s="4" t="s">
        <v>3084</v>
      </c>
      <c r="B2460" s="4" t="s">
        <v>3086</v>
      </c>
      <c r="C2460" s="5" t="str">
        <f>IFERROR(__xludf.DUMMYFUNCTION("GOOGLETRANSLATE(B2460,""en"",""de"")"),"Die Person malt ihre Freunde Nägel.")</f>
        <v>Die Person malt ihre Freunde Nägel.</v>
      </c>
    </row>
    <row r="2461">
      <c r="A2461" s="4" t="s">
        <v>3084</v>
      </c>
      <c r="B2461" s="4" t="s">
        <v>3087</v>
      </c>
      <c r="C2461" s="5" t="str">
        <f>IFERROR(__xludf.DUMMYFUNCTION("GOOGLETRANSLATE(B2461,""en"",""de"")"),"Der Mann entfernt seine Freunde Hand und arbeitet weiter.")</f>
        <v>Der Mann entfernt seine Freunde Hand und arbeitet weiter.</v>
      </c>
    </row>
    <row r="2462">
      <c r="A2462" s="4" t="s">
        <v>3088</v>
      </c>
      <c r="B2462" s="4" t="s">
        <v>3089</v>
      </c>
      <c r="C2462" s="5" t="str">
        <f>IFERROR(__xludf.DUMMYFUNCTION("GOOGLETRANSLATE(B2462,""en"",""de"")"),"Ein junges Mädchen läuft durch das Wohnzimmer und lässt Blumen und Schmutz herum fallen.")</f>
        <v>Ein junges Mädchen läuft durch das Wohnzimmer und lässt Blumen und Schmutz herum fallen.</v>
      </c>
    </row>
    <row r="2463">
      <c r="A2463" s="4" t="s">
        <v>3088</v>
      </c>
      <c r="B2463" s="4" t="s">
        <v>3090</v>
      </c>
      <c r="C2463" s="5" t="str">
        <f>IFERROR(__xludf.DUMMYFUNCTION("GOOGLETRANSLATE(B2463,""en"",""de"")"),"Eine Frau schnappt sich ein Vakuum und saugt den Boden.")</f>
        <v>Eine Frau schnappt sich ein Vakuum und saugt den Boden.</v>
      </c>
    </row>
    <row r="2464">
      <c r="A2464" s="4" t="s">
        <v>3088</v>
      </c>
      <c r="B2464" s="4" t="s">
        <v>3091</v>
      </c>
      <c r="C2464" s="5" t="str">
        <f>IFERROR(__xludf.DUMMYFUNCTION("GOOGLETRANSLATE(B2464,""en"",""de"")"),"Sie fügt ein Werkzeug in das Vakuum ein und saugt entlang der Fußleisten.")</f>
        <v>Sie fügt ein Werkzeug in das Vakuum ein und saugt entlang der Fußleisten.</v>
      </c>
    </row>
    <row r="2465">
      <c r="A2465" s="4" t="s">
        <v>3088</v>
      </c>
      <c r="B2465" s="4" t="s">
        <v>3092</v>
      </c>
      <c r="C2465" s="5" t="str">
        <f>IFERROR(__xludf.DUMMYFUNCTION("GOOGLETRANSLATE(B2465,""en"",""de"")"),"Sie verwendet ein spezielles Werkzeug des Vakuums, um um das Sofa und den Treppenteppich zu saugen.")</f>
        <v>Sie verwendet ein spezielles Werkzeug des Vakuums, um um das Sofa und den Treppenteppich zu saugen.</v>
      </c>
    </row>
    <row r="2466">
      <c r="A2466" s="4" t="s">
        <v>3088</v>
      </c>
      <c r="B2466" s="4" t="s">
        <v>3093</v>
      </c>
      <c r="C2466" s="5" t="str">
        <f>IFERROR(__xludf.DUMMYFUNCTION("GOOGLETRANSLATE(B2466,""en"",""de"")"),"Sie verwendet ein weiteres Werkzeug des Vakuums, um um Fenster zu vakuumieren.")</f>
        <v>Sie verwendet ein weiteres Werkzeug des Vakuums, um um Fenster zu vakuumieren.</v>
      </c>
    </row>
    <row r="2467">
      <c r="A2467" s="4" t="s">
        <v>3088</v>
      </c>
      <c r="B2467" s="4" t="s">
        <v>3094</v>
      </c>
      <c r="C2467" s="5" t="str">
        <f>IFERROR(__xludf.DUMMYFUNCTION("GOOGLETRANSLATE(B2467,""en"",""de"")"),"Sie zieht ein Tablett aus dem Vakuum.")</f>
        <v>Sie zieht ein Tablett aus dem Vakuum.</v>
      </c>
    </row>
    <row r="2468">
      <c r="A2468" s="4" t="s">
        <v>3095</v>
      </c>
      <c r="B2468" s="4" t="s">
        <v>3096</v>
      </c>
      <c r="C2468" s="5" t="str">
        <f>IFERROR(__xludf.DUMMYFUNCTION("GOOGLETRANSLATE(B2468,""en"",""de"")"),"Eine Gruppe von Kindern spielt Hockey auf einem Feld mit Trainern, die beim Spielen trainieren.")</f>
        <v>Eine Gruppe von Kindern spielt Hockey auf einem Feld mit Trainern, die beim Spielen trainieren.</v>
      </c>
    </row>
    <row r="2469">
      <c r="A2469" s="4" t="s">
        <v>3095</v>
      </c>
      <c r="B2469" s="4" t="s">
        <v>3097</v>
      </c>
      <c r="C2469" s="5" t="str">
        <f>IFERROR(__xludf.DUMMYFUNCTION("GOOGLETRANSLATE(B2469,""en"",""de"")"),"Ein Trainer demonstriert, wie man ein Tor in einem Innenausstattungssenturnier vor einer Gruppe junger Menschen blockiert.")</f>
        <v>Ein Trainer demonstriert, wie man ein Tor in einem Innenausstattungssenturnier vor einer Gruppe junger Menschen blockiert.</v>
      </c>
    </row>
    <row r="2470">
      <c r="A2470" s="4" t="s">
        <v>3095</v>
      </c>
      <c r="B2470" s="4" t="s">
        <v>3098</v>
      </c>
      <c r="C2470" s="5" t="str">
        <f>IFERROR(__xludf.DUMMYFUNCTION("GOOGLETRANSLATE(B2470,""en"",""de"")"),"Die Kinder emulieren dann das Training, während die Kamera den Trainer unterteilt, der mit der Kamera spricht.")</f>
        <v>Die Kinder emulieren dann das Training, während die Kamera den Trainer unterteilt, der mit der Kamera spricht.</v>
      </c>
    </row>
    <row r="2471">
      <c r="A2471" s="4" t="s">
        <v>3095</v>
      </c>
      <c r="B2471" s="4" t="s">
        <v>3099</v>
      </c>
      <c r="C2471" s="5" t="str">
        <f>IFERROR(__xludf.DUMMYFUNCTION("GOOGLETRANSLATE(B2471,""en"",""de"")"),"Die Kinder spielen weiterhin Hockey, bis der Bildschirm verblasst.")</f>
        <v>Die Kinder spielen weiterhin Hockey, bis der Bildschirm verblasst.</v>
      </c>
    </row>
    <row r="2472">
      <c r="A2472" s="4" t="s">
        <v>3100</v>
      </c>
      <c r="B2472" s="4" t="s">
        <v>3101</v>
      </c>
      <c r="C2472" s="5" t="str">
        <f>IFERROR(__xludf.DUMMYFUNCTION("GOOGLETRANSLATE(B2472,""en"",""de"")"),"Eine Nahaufnahme wird aus einem Mini -Billardtisch mit Hinweisen und Bällen angezeigt.")</f>
        <v>Eine Nahaufnahme wird aus einem Mini -Billardtisch mit Hinweisen und Bällen angezeigt.</v>
      </c>
    </row>
    <row r="2473">
      <c r="A2473" s="4" t="s">
        <v>3100</v>
      </c>
      <c r="B2473" s="4" t="s">
        <v>3102</v>
      </c>
      <c r="C2473" s="5" t="str">
        <f>IFERROR(__xludf.DUMMYFUNCTION("GOOGLETRANSLATE(B2473,""en"",""de"")"),"Ein Mann benutzt das Stichwort, um die Kugeln in die Taschen zu schießen.")</f>
        <v>Ein Mann benutzt das Stichwort, um die Kugeln in die Taschen zu schießen.</v>
      </c>
    </row>
    <row r="2474">
      <c r="A2474" s="4" t="s">
        <v>3100</v>
      </c>
      <c r="B2474" s="4" t="s">
        <v>3103</v>
      </c>
      <c r="C2474" s="5" t="str">
        <f>IFERROR(__xludf.DUMMYFUNCTION("GOOGLETRANSLATE(B2474,""en"",""de"")"),"Er sitzt eine Puppe auf den Tisch, um die Größe zu zeigen.")</f>
        <v>Er sitzt eine Puppe auf den Tisch, um die Größe zu zeigen.</v>
      </c>
    </row>
    <row r="2475">
      <c r="A2475" s="4" t="s">
        <v>3100</v>
      </c>
      <c r="B2475" s="4" t="s">
        <v>3104</v>
      </c>
      <c r="C2475" s="5" t="str">
        <f>IFERROR(__xludf.DUMMYFUNCTION("GOOGLETRANSLATE(B2475,""en"",""de"")"),"Er schießt auch einen Wiffle -Ball auf den Tisch und einen Marmor.")</f>
        <v>Er schießt auch einen Wiffle -Ball auf den Tisch und einen Marmor.</v>
      </c>
    </row>
    <row r="2476">
      <c r="A2476" s="4" t="s">
        <v>3105</v>
      </c>
      <c r="B2476" s="4" t="s">
        <v>3106</v>
      </c>
      <c r="C2476" s="5" t="str">
        <f>IFERROR(__xludf.DUMMYFUNCTION("GOOGLETRANSLATE(B2476,""en"",""de"")"),"Zwei Männer kämpfen in einem Wrestling -Ring.")</f>
        <v>Zwei Männer kämpfen in einem Wrestling -Ring.</v>
      </c>
    </row>
    <row r="2477">
      <c r="A2477" s="4" t="s">
        <v>3105</v>
      </c>
      <c r="B2477" s="4" t="s">
        <v>3107</v>
      </c>
      <c r="C2477" s="5" t="str">
        <f>IFERROR(__xludf.DUMMYFUNCTION("GOOGLETRANSLATE(B2477,""en"",""de"")"),"Sie drehen und stürzen übereinander.")</f>
        <v>Sie drehen und stürzen übereinander.</v>
      </c>
    </row>
    <row r="2478">
      <c r="A2478" s="4" t="s">
        <v>3105</v>
      </c>
      <c r="B2478" s="4" t="s">
        <v>3108</v>
      </c>
      <c r="C2478" s="5" t="str">
        <f>IFERROR(__xludf.DUMMYFUNCTION("GOOGLETRANSLATE(B2478,""en"",""de"")"),"Einer der Wrestler steckt den anderen an, und der Graf geht auf drei.")</f>
        <v>Einer der Wrestler steckt den anderen an, und der Graf geht auf drei.</v>
      </c>
    </row>
    <row r="2479">
      <c r="A2479" s="4" t="s">
        <v>3109</v>
      </c>
      <c r="B2479" s="4" t="s">
        <v>3110</v>
      </c>
      <c r="C2479" s="5" t="str">
        <f>IFERROR(__xludf.DUMMYFUNCTION("GOOGLETRANSLATE(B2479,""en"",""de"")"),"Zwei Personen, die Tauchausrüstung tragen, sitzen am Rand eines Bootes mit dem Rücken zum Wasser.")</f>
        <v>Zwei Personen, die Tauchausrüstung tragen, sitzen am Rand eines Bootes mit dem Rücken zum Wasser.</v>
      </c>
    </row>
    <row r="2480">
      <c r="A2480" s="4" t="s">
        <v>3109</v>
      </c>
      <c r="B2480" s="4" t="s">
        <v>3111</v>
      </c>
      <c r="C2480" s="5" t="str">
        <f>IFERROR(__xludf.DUMMYFUNCTION("GOOGLETRANSLATE(B2480,""en"",""de"")"),"Die Person auf der rechten Seite neigt sich ganz zurück und spritzt ins Wasser.")</f>
        <v>Die Person auf der rechten Seite neigt sich ganz zurück und spritzt ins Wasser.</v>
      </c>
    </row>
    <row r="2481">
      <c r="A2481" s="4" t="s">
        <v>3109</v>
      </c>
      <c r="B2481" s="4" t="s">
        <v>3112</v>
      </c>
      <c r="C2481" s="5" t="str">
        <f>IFERROR(__xludf.DUMMYFUNCTION("GOOGLETRANSLATE(B2481,""en"",""de"")"),"Die nächste Person lehnt sich auch zurück, kann aber nicht vollständig ins Wasser fallen, weil sie an etwas auf dem Boot festhalten, sodass ihre Beine umwirken.")</f>
        <v>Die nächste Person lehnt sich auch zurück, kann aber nicht vollständig ins Wasser fallen, weil sie an etwas auf dem Boot festhalten, sodass ihre Beine umwirken.</v>
      </c>
    </row>
    <row r="2482">
      <c r="A2482" s="4" t="s">
        <v>3113</v>
      </c>
      <c r="B2482" s="4" t="s">
        <v>3114</v>
      </c>
      <c r="C2482" s="5" t="str">
        <f>IFERROR(__xludf.DUMMYFUNCTION("GOOGLETRANSLATE(B2482,""en"",""de"")"),"Ein Mann in einer roten Lebensweste zeigt, wie man in einem Kanu durch Gesten und durch das Sprechen mit der Kamera aus einem Kanu in einem Gewässer spricht.")</f>
        <v>Ein Mann in einer roten Lebensweste zeigt, wie man in einem Kanu durch Gesten und durch das Sprechen mit der Kamera aus einem Kanu in einem Gewässer spricht.</v>
      </c>
    </row>
    <row r="2483">
      <c r="A2483" s="4" t="s">
        <v>3113</v>
      </c>
      <c r="B2483" s="4" t="s">
        <v>3115</v>
      </c>
      <c r="C2483" s="5" t="str">
        <f>IFERROR(__xludf.DUMMYFUNCTION("GOOGLETRANSLATE(B2483,""en"",""de"")"),"Ein Mann in einem roten Kanu paddelt mit einem Ruder in einem kleinen Gewässer, während er mit der Kamera spricht.")</f>
        <v>Ein Mann in einem roten Kanu paddelt mit einem Ruder in einem kleinen Gewässer, während er mit der Kamera spricht.</v>
      </c>
    </row>
    <row r="2484">
      <c r="A2484" s="4" t="s">
        <v>3113</v>
      </c>
      <c r="B2484" s="4" t="s">
        <v>3116</v>
      </c>
      <c r="C2484" s="5" t="str">
        <f>IFERROR(__xludf.DUMMYFUNCTION("GOOGLETRANSLATE(B2484,""en"",""de"")"),"Der Mann driftet leicht zur Seite, während der Paddel als Anker im Wasser spricht und anscheinend zeigt, wie man mit dem Paddel und den Handgesten paddelt, um zu erklären, wie das Paddel und das Kanu im Wasser bewegt werden.")</f>
        <v>Der Mann driftet leicht zur Seite, während der Paddel als Anker im Wasser spricht und anscheinend zeigt, wie man mit dem Paddel und den Handgesten paddelt, um zu erklären, wie das Paddel und das Kanu im Wasser bewegt werden.</v>
      </c>
    </row>
    <row r="2485">
      <c r="A2485" s="4" t="s">
        <v>3113</v>
      </c>
      <c r="B2485" s="4" t="s">
        <v>3117</v>
      </c>
      <c r="C2485" s="5" t="str">
        <f>IFERROR(__xludf.DUMMYFUNCTION("GOOGLETRANSLATE(B2485,""en"",""de"")"),"Der Mann schiebt sich dann mit dem Paddel von der Kamera weg und driftet ins Wasser aus, bevor er wieder zur Kamera zurückpaddelt.")</f>
        <v>Der Mann schiebt sich dann mit dem Paddel von der Kamera weg und driftet ins Wasser aus, bevor er wieder zur Kamera zurückpaddelt.</v>
      </c>
    </row>
    <row r="2486">
      <c r="A2486" s="4" t="s">
        <v>3118</v>
      </c>
      <c r="B2486" s="4" t="s">
        <v>3119</v>
      </c>
      <c r="C2486" s="5" t="str">
        <f>IFERROR(__xludf.DUMMYFUNCTION("GOOGLETRANSLATE(B2486,""en"",""de"")"),"Ein junges Kind raucht eine Zigarette.")</f>
        <v>Ein junges Kind raucht eine Zigarette.</v>
      </c>
    </row>
    <row r="2487">
      <c r="A2487" s="4" t="s">
        <v>3118</v>
      </c>
      <c r="B2487" s="4" t="s">
        <v>3120</v>
      </c>
      <c r="C2487" s="5" t="str">
        <f>IFERROR(__xludf.DUMMYFUNCTION("GOOGLETRANSLATE(B2487,""en"",""de"")"),"Das Kind drehte die Zigarette um und versuchte, das andere Ende der Zigarette in den Mund zu legen.")</f>
        <v>Das Kind drehte die Zigarette um und versuchte, das andere Ende der Zigarette in den Mund zu legen.</v>
      </c>
    </row>
    <row r="2488">
      <c r="A2488" s="4" t="s">
        <v>3118</v>
      </c>
      <c r="B2488" s="4" t="s">
        <v>3121</v>
      </c>
      <c r="C2488" s="5" t="str">
        <f>IFERROR(__xludf.DUMMYFUNCTION("GOOGLETRANSLATE(B2488,""en"",""de"")"),"Das junge Kind raucht weiter, er macht Gesichter und rauchte dann.")</f>
        <v>Das junge Kind raucht weiter, er macht Gesichter und rauchte dann.</v>
      </c>
    </row>
    <row r="2489">
      <c r="A2489" s="4" t="s">
        <v>3122</v>
      </c>
      <c r="B2489" s="4" t="s">
        <v>3123</v>
      </c>
      <c r="C2489" s="5" t="str">
        <f>IFERROR(__xludf.DUMMYFUNCTION("GOOGLETRANSLATE(B2489,""en"",""de"")"),"Ein kleines Kind spricht mit der Kamera, während er ein Glas hochhält und zu einem Schrank geht.")</f>
        <v>Ein kleines Kind spricht mit der Kamera, während er ein Glas hochhält und zu einem Schrank geht.</v>
      </c>
    </row>
    <row r="2490">
      <c r="A2490" s="4" t="s">
        <v>3122</v>
      </c>
      <c r="B2490" s="4" t="s">
        <v>3124</v>
      </c>
      <c r="C2490" s="5" t="str">
        <f>IFERROR(__xludf.DUMMYFUNCTION("GOOGLETRANSLATE(B2490,""en"",""de"")"),"Sie füllt das Glas und schält Zitronen ins Wasser.")</f>
        <v>Sie füllt das Glas und schält Zitronen ins Wasser.</v>
      </c>
    </row>
    <row r="2491">
      <c r="A2491" s="4" t="s">
        <v>3122</v>
      </c>
      <c r="B2491" s="4" t="s">
        <v>3125</v>
      </c>
      <c r="C2491" s="5" t="str">
        <f>IFERROR(__xludf.DUMMYFUNCTION("GOOGLETRANSLATE(B2491,""en"",""de"")"),"Sie benutzt dann einen Löffel, um das Wasser sowie einen Strohhalm zu trinken und mit dem Kopf zu winken.")</f>
        <v>Sie benutzt dann einen Löffel, um das Wasser sowie einen Strohhalm zu trinken und mit dem Kopf zu winken.</v>
      </c>
    </row>
    <row r="2492">
      <c r="A2492" s="4" t="s">
        <v>3126</v>
      </c>
      <c r="B2492" s="4" t="s">
        <v>3127</v>
      </c>
      <c r="C2492" s="5" t="str">
        <f>IFERROR(__xludf.DUMMYFUNCTION("GOOGLETRANSLATE(B2492,""en"",""de"")"),"Ein Mann spricht in einem Fitnessstudio.")</f>
        <v>Ein Mann spricht in einem Fitnessstudio.</v>
      </c>
    </row>
    <row r="2493">
      <c r="A2493" s="4" t="s">
        <v>3126</v>
      </c>
      <c r="B2493" s="4" t="s">
        <v>3128</v>
      </c>
      <c r="C2493" s="5" t="str">
        <f>IFERROR(__xludf.DUMMYFUNCTION("GOOGLETRANSLATE(B2493,""en"",""de"")"),"Eine Gruppe weiblicher Turner bildet einen Cluster und hebt dann ein Mädchen über den Kopf.")</f>
        <v>Eine Gruppe weiblicher Turner bildet einen Cluster und hebt dann ein Mädchen über den Kopf.</v>
      </c>
    </row>
    <row r="2494">
      <c r="A2494" s="4" t="s">
        <v>3126</v>
      </c>
      <c r="B2494" s="4" t="s">
        <v>3129</v>
      </c>
      <c r="C2494" s="5" t="str">
        <f>IFERROR(__xludf.DUMMYFUNCTION("GOOGLETRANSLATE(B2494,""en"",""de"")"),"Sie halten sie an einem Bein hoch, bevor sie sie wieder hinunterwirbeln und sie in ihren Armen fangen.")</f>
        <v>Sie halten sie an einem Bein hoch, bevor sie sie wieder hinunterwirbeln und sie in ihren Armen fangen.</v>
      </c>
    </row>
    <row r="2495">
      <c r="A2495" s="4" t="s">
        <v>3130</v>
      </c>
      <c r="B2495" s="4" t="s">
        <v>3131</v>
      </c>
      <c r="C2495" s="5" t="str">
        <f>IFERROR(__xludf.DUMMYFUNCTION("GOOGLETRANSLATE(B2495,""en"",""de"")"),"Mädchen spielen mit nur einem Ball Dodge Ball draußen.")</f>
        <v>Mädchen spielen mit nur einem Ball Dodge Ball draußen.</v>
      </c>
    </row>
    <row r="2496">
      <c r="A2496" s="4" t="s">
        <v>3130</v>
      </c>
      <c r="B2496" s="4" t="s">
        <v>3132</v>
      </c>
      <c r="C2496" s="5" t="str">
        <f>IFERROR(__xludf.DUMMYFUNCTION("GOOGLETRANSLATE(B2496,""en"",""de"")"),"Ein Mädchen wird mit dem Ball getroffen.")</f>
        <v>Ein Mädchen wird mit dem Ball getroffen.</v>
      </c>
    </row>
    <row r="2497">
      <c r="A2497" s="4" t="s">
        <v>3130</v>
      </c>
      <c r="B2497" s="4" t="s">
        <v>3133</v>
      </c>
      <c r="C2497" s="5" t="str">
        <f>IFERROR(__xludf.DUMMYFUNCTION("GOOGLETRANSLATE(B2497,""en"",""de"")"),"Das Mädchen steigt aus dem Spiel und geht und hält sich an der Kleidungslinie fest.")</f>
        <v>Das Mädchen steigt aus dem Spiel und geht und hält sich an der Kleidungslinie fest.</v>
      </c>
    </row>
    <row r="2498">
      <c r="A2498" s="4" t="s">
        <v>3134</v>
      </c>
      <c r="B2498" s="4" t="s">
        <v>3135</v>
      </c>
      <c r="C2498" s="5" t="str">
        <f>IFERROR(__xludf.DUMMYFUNCTION("GOOGLETRANSLATE(B2498,""en"",""de"")"),"Ein Turner wird in der Ferne abgeschaut und ihre Hände aneinander reiben.")</f>
        <v>Ein Turner wird in der Ferne abgeschaut und ihre Hände aneinander reiben.</v>
      </c>
    </row>
    <row r="2499">
      <c r="A2499" s="4" t="s">
        <v>3134</v>
      </c>
      <c r="B2499" s="4" t="s">
        <v>3136</v>
      </c>
      <c r="C2499" s="5" t="str">
        <f>IFERROR(__xludf.DUMMYFUNCTION("GOOGLETRANSLATE(B2499,""en"",""de"")"),"Sie legt ihre Hände hoch und spielt eine Gymnastikroutine auf einem Strahl.")</f>
        <v>Sie legt ihre Hände hoch und spielt eine Gymnastikroutine auf einem Strahl.</v>
      </c>
    </row>
    <row r="2500">
      <c r="A2500" s="4" t="s">
        <v>3134</v>
      </c>
      <c r="B2500" s="4" t="s">
        <v>3137</v>
      </c>
      <c r="C2500" s="5" t="str">
        <f>IFERROR(__xludf.DUMMYFUNCTION("GOOGLETRANSLATE(B2500,""en"",""de"")"),"Sie bewegt sich entlang des Strahls und endet, indem sie nach unten springt und andere applaudieren.")</f>
        <v>Sie bewegt sich entlang des Strahls und endet, indem sie nach unten springt und andere applaudieren.</v>
      </c>
    </row>
    <row r="2501">
      <c r="A2501" s="4" t="s">
        <v>3138</v>
      </c>
      <c r="B2501" s="4" t="s">
        <v>3139</v>
      </c>
      <c r="C2501" s="5" t="str">
        <f>IFERROR(__xludf.DUMMYFUNCTION("GOOGLETRANSLATE(B2501,""en"",""de"")"),"Zwei alte Dudelsackspieler spielen gegeneinander.")</f>
        <v>Zwei alte Dudelsackspieler spielen gegeneinander.</v>
      </c>
    </row>
    <row r="2502">
      <c r="A2502" s="4" t="s">
        <v>3138</v>
      </c>
      <c r="B2502" s="4" t="s">
        <v>3140</v>
      </c>
      <c r="C2502" s="5" t="str">
        <f>IFERROR(__xludf.DUMMYFUNCTION("GOOGLETRANSLATE(B2502,""en"",""de"")"),"Ein Dudelsackspieler dreht sich.")</f>
        <v>Ein Dudelsackspieler dreht sich.</v>
      </c>
    </row>
    <row r="2503">
      <c r="A2503" s="4" t="s">
        <v>3138</v>
      </c>
      <c r="B2503" s="4" t="s">
        <v>3141</v>
      </c>
      <c r="C2503" s="5" t="str">
        <f>IFERROR(__xludf.DUMMYFUNCTION("GOOGLETRANSLATE(B2503,""en"",""de"")"),"Die Dudelsackspieler spielen das Spielen.")</f>
        <v>Die Dudelsackspieler spielen das Spielen.</v>
      </c>
    </row>
    <row r="2504">
      <c r="A2504" s="4" t="s">
        <v>3138</v>
      </c>
      <c r="B2504" s="4" t="s">
        <v>3142</v>
      </c>
      <c r="C2504" s="5" t="str">
        <f>IFERROR(__xludf.DUMMYFUNCTION("GOOGLETRANSLATE(B2504,""en"",""de"")"),"Die Menge klatscht für die Spieler.")</f>
        <v>Die Menge klatscht für die Spieler.</v>
      </c>
    </row>
    <row r="2505">
      <c r="A2505" s="4" t="s">
        <v>3143</v>
      </c>
      <c r="B2505" s="4" t="s">
        <v>3144</v>
      </c>
      <c r="C2505" s="5" t="str">
        <f>IFERROR(__xludf.DUMMYFUNCTION("GOOGLETRANSLATE(B2505,""en"",""de"")"),"Ein Mann sitzt auf einem Stuhl mit einer Handtrommel, als ein anderer Mann hinter ihm Bongos spielt.")</f>
        <v>Ein Mann sitzt auf einem Stuhl mit einer Handtrommel, als ein anderer Mann hinter ihm Bongos spielt.</v>
      </c>
    </row>
    <row r="2506">
      <c r="A2506" s="4" t="s">
        <v>3143</v>
      </c>
      <c r="B2506" s="4" t="s">
        <v>3145</v>
      </c>
      <c r="C2506" s="5" t="str">
        <f>IFERROR(__xludf.DUMMYFUNCTION("GOOGLETRANSLATE(B2506,""en"",""de"")"),"Sie spielen längere Zeit zusammen.")</f>
        <v>Sie spielen längere Zeit zusammen.</v>
      </c>
    </row>
    <row r="2507">
      <c r="A2507" s="4" t="s">
        <v>3146</v>
      </c>
      <c r="B2507" s="4" t="s">
        <v>3147</v>
      </c>
      <c r="C2507" s="5" t="str">
        <f>IFERROR(__xludf.DUMMYFUNCTION("GOOGLETRANSLATE(B2507,""en"",""de"")"),"Wir sehen die Titelkarte für das Produkt.")</f>
        <v>Wir sehen die Titelkarte für das Produkt.</v>
      </c>
    </row>
    <row r="2508">
      <c r="A2508" s="4" t="s">
        <v>3146</v>
      </c>
      <c r="B2508" s="4" t="s">
        <v>3148</v>
      </c>
      <c r="C2508" s="5" t="str">
        <f>IFERROR(__xludf.DUMMYFUNCTION("GOOGLETRANSLATE(B2508,""en"",""de"")"),"Wir sehen eine Dame, die ihren Boden reinigt.")</f>
        <v>Wir sehen eine Dame, die ihren Boden reinigt.</v>
      </c>
    </row>
    <row r="2509">
      <c r="A2509" s="4" t="s">
        <v>3146</v>
      </c>
      <c r="B2509" s="4" t="s">
        <v>3149</v>
      </c>
      <c r="C2509" s="5" t="str">
        <f>IFERROR(__xludf.DUMMYFUNCTION("GOOGLETRANSLATE(B2509,""en"",""de"")"),"Wir sehen das Vakuum -Anhangsprodukt und sehen das Produkt in Aktion.")</f>
        <v>Wir sehen das Vakuum -Anhangsprodukt und sehen das Produkt in Aktion.</v>
      </c>
    </row>
    <row r="2510">
      <c r="A2510" s="4" t="s">
        <v>3146</v>
      </c>
      <c r="B2510" s="4" t="s">
        <v>3150</v>
      </c>
      <c r="C2510" s="5" t="str">
        <f>IFERROR(__xludf.DUMMYFUNCTION("GOOGLETRANSLATE(B2510,""en"",""de"")"),"Die Dame zeigt jede Seite und wir sehen, dass sie das Produkt anhält.")</f>
        <v>Die Dame zeigt jede Seite und wir sehen, dass sie das Produkt anhält.</v>
      </c>
    </row>
    <row r="2511">
      <c r="A2511" s="4" t="s">
        <v>3146</v>
      </c>
      <c r="B2511" s="4" t="s">
        <v>3151</v>
      </c>
      <c r="C2511" s="5" t="str">
        <f>IFERROR(__xludf.DUMMYFUNCTION("GOOGLETRANSLATE(B2511,""en"",""de"")"),"Wir sehen die Dame wischen.")</f>
        <v>Wir sehen die Dame wischen.</v>
      </c>
    </row>
    <row r="2512">
      <c r="A2512" s="4" t="s">
        <v>3146</v>
      </c>
      <c r="B2512" s="4" t="s">
        <v>3152</v>
      </c>
      <c r="C2512" s="5" t="str">
        <f>IFERROR(__xludf.DUMMYFUNCTION("GOOGLETRANSLATE(B2512,""en"",""de"")"),"Dann sehen wir die einfache Verwendung des Anhangs.")</f>
        <v>Dann sehen wir die einfache Verwendung des Anhangs.</v>
      </c>
    </row>
    <row r="2513">
      <c r="A2513" s="4" t="s">
        <v>3146</v>
      </c>
      <c r="B2513" s="4" t="s">
        <v>3153</v>
      </c>
      <c r="C2513" s="5" t="str">
        <f>IFERROR(__xludf.DUMMYFUNCTION("GOOGLETRANSLATE(B2513,""en"",""de"")"),"Wir sehen die Dame, die sich nach dem Reinigen entspannt.")</f>
        <v>Wir sehen die Dame, die sich nach dem Reinigen entspannt.</v>
      </c>
    </row>
    <row r="2514">
      <c r="A2514" s="4" t="s">
        <v>3146</v>
      </c>
      <c r="B2514" s="4" t="s">
        <v>3154</v>
      </c>
      <c r="C2514" s="5" t="str">
        <f>IFERROR(__xludf.DUMMYFUNCTION("GOOGLETRANSLATE(B2514,""en"",""de"")"),"Wir sehen das Anhangsprodukt wieder.")</f>
        <v>Wir sehen das Anhangsprodukt wieder.</v>
      </c>
    </row>
    <row r="2515">
      <c r="A2515" s="4" t="s">
        <v>3146</v>
      </c>
      <c r="B2515" s="4" t="s">
        <v>3155</v>
      </c>
      <c r="C2515" s="5" t="str">
        <f>IFERROR(__xludf.DUMMYFUNCTION("GOOGLETRANSLATE(B2515,""en"",""de"")"),"Wir sehen die Dame, die einen Daumen hoch gibt.")</f>
        <v>Wir sehen die Dame, die einen Daumen hoch gibt.</v>
      </c>
    </row>
    <row r="2516">
      <c r="A2516" s="4" t="s">
        <v>3146</v>
      </c>
      <c r="B2516" s="4" t="s">
        <v>3156</v>
      </c>
      <c r="C2516" s="5" t="str">
        <f>IFERROR(__xludf.DUMMYFUNCTION("GOOGLETRANSLATE(B2516,""en"",""de"")"),"Der Titelbildschirm kehrt zurück, um das Video zu beenden.")</f>
        <v>Der Titelbildschirm kehrt zurück, um das Video zu beenden.</v>
      </c>
    </row>
    <row r="2517">
      <c r="A2517" s="4" t="s">
        <v>3157</v>
      </c>
      <c r="B2517" s="4" t="s">
        <v>3158</v>
      </c>
      <c r="C2517" s="5" t="str">
        <f>IFERROR(__xludf.DUMMYFUNCTION("GOOGLETRANSLATE(B2517,""en"",""de"")"),"Eine Person zeichnet mehrere Linien auf ein Stück Papier, das in mehrere schnelle Bewegungsklammern schneebedeckter Bereiche führt.")</f>
        <v>Eine Person zeichnet mehrere Linien auf ein Stück Papier, das in mehrere schnelle Bewegungsklammern schneebedeckter Bereiche führt.</v>
      </c>
    </row>
    <row r="2518">
      <c r="A2518" s="4" t="s">
        <v>3157</v>
      </c>
      <c r="B2518" s="4" t="s">
        <v>3159</v>
      </c>
      <c r="C2518" s="5" t="str">
        <f>IFERROR(__xludf.DUMMYFUNCTION("GOOGLETRANSLATE(B2518,""en"",""de"")"),"Weitere Nahaufnahmen werden gefolgt von einer Person gezeigt, die den Berg hinunterfährt.")</f>
        <v>Weitere Nahaufnahmen werden gefolgt von einer Person gezeigt, die den Berg hinunterfährt.</v>
      </c>
    </row>
    <row r="2519">
      <c r="A2519" s="4" t="s">
        <v>3157</v>
      </c>
      <c r="B2519" s="4" t="s">
        <v>3160</v>
      </c>
      <c r="C2519" s="5" t="str">
        <f>IFERROR(__xludf.DUMMYFUNCTION("GOOGLETRANSLATE(B2519,""en"",""de"")"),"Es werden mehr Menschen gezeigt und führt zu mehreren Schüssen von Menschen, die Ski und Snowboardentricks einen Berg hinunterführen.")</f>
        <v>Es werden mehr Menschen gezeigt und führt zu mehreren Schüssen von Menschen, die Ski und Snowboardentricks einen Berg hinunterführen.</v>
      </c>
    </row>
    <row r="2520">
      <c r="A2520" s="4" t="s">
        <v>3161</v>
      </c>
      <c r="B2520" s="4" t="s">
        <v>3162</v>
      </c>
      <c r="C2520" s="5" t="str">
        <f>IFERROR(__xludf.DUMMYFUNCTION("GOOGLETRANSLATE(B2520,""en"",""de"")"),"Eine Anzeige ist zuerst auf dem Bildschirm.")</f>
        <v>Eine Anzeige ist zuerst auf dem Bildschirm.</v>
      </c>
    </row>
    <row r="2521">
      <c r="A2521" s="4" t="s">
        <v>3161</v>
      </c>
      <c r="B2521" s="4" t="s">
        <v>3163</v>
      </c>
      <c r="C2521" s="5" t="str">
        <f>IFERROR(__xludf.DUMMYFUNCTION("GOOGLETRANSLATE(B2521,""en"",""de"")"),"Ein Mädchen springt Seil, während die Leute zuschauen.")</f>
        <v>Ein Mädchen springt Seil, während die Leute zuschauen.</v>
      </c>
    </row>
    <row r="2522">
      <c r="A2522" s="4" t="s">
        <v>3161</v>
      </c>
      <c r="B2522" s="4" t="s">
        <v>3164</v>
      </c>
      <c r="C2522" s="5" t="str">
        <f>IFERROR(__xludf.DUMMYFUNCTION("GOOGLETRANSLATE(B2522,""en"",""de"")"),"Sie macht Tricks und Flips, während sie springt.")</f>
        <v>Sie macht Tricks und Flips, während sie springt.</v>
      </c>
    </row>
    <row r="2523">
      <c r="A2523" s="4" t="s">
        <v>3161</v>
      </c>
      <c r="B2523" s="4" t="s">
        <v>3165</v>
      </c>
      <c r="C2523" s="5" t="str">
        <f>IFERROR(__xludf.DUMMYFUNCTION("GOOGLETRANSLATE(B2523,""en"",""de"")"),"Das Video endet mit Credits derjenigen, die das Video zusammenstellen.")</f>
        <v>Das Video endet mit Credits derjenigen, die das Video zusammenstellen.</v>
      </c>
    </row>
    <row r="2524">
      <c r="A2524" s="4" t="s">
        <v>3166</v>
      </c>
      <c r="B2524" s="4" t="s">
        <v>3167</v>
      </c>
      <c r="C2524" s="5" t="str">
        <f>IFERROR(__xludf.DUMMYFUNCTION("GOOGLETRANSLATE(B2524,""en"",""de"")"),"Ein junges Mädchen sitzt vor einem Klavier und spielt das Instrument mit ihren Fingerspitzen.")</f>
        <v>Ein junges Mädchen sitzt vor einem Klavier und spielt das Instrument mit ihren Fingerspitzen.</v>
      </c>
    </row>
    <row r="2525">
      <c r="A2525" s="4" t="s">
        <v>3166</v>
      </c>
      <c r="B2525" s="4" t="s">
        <v>3168</v>
      </c>
      <c r="C2525" s="5" t="str">
        <f>IFERROR(__xludf.DUMMYFUNCTION("GOOGLETRANSLATE(B2525,""en"",""de"")"),"Sie spielt weiter, während die Kamera sie aus der Ferne einfängt.")</f>
        <v>Sie spielt weiter, während die Kamera sie aus der Ferne einfängt.</v>
      </c>
    </row>
    <row r="2526">
      <c r="A2526" s="4" t="s">
        <v>3169</v>
      </c>
      <c r="B2526" s="4" t="s">
        <v>3170</v>
      </c>
      <c r="C2526" s="5" t="str">
        <f>IFERROR(__xludf.DUMMYFUNCTION("GOOGLETRANSLATE(B2526,""en"",""de"")"),"Eine Person wird gesehen, wie sie eine Zigarette raucht und Rauch aus ihrem Mund bläst.")</f>
        <v>Eine Person wird gesehen, wie sie eine Zigarette raucht und Rauch aus ihrem Mund bläst.</v>
      </c>
    </row>
    <row r="2527">
      <c r="A2527" s="4" t="s">
        <v>3169</v>
      </c>
      <c r="B2527" s="4" t="s">
        <v>3171</v>
      </c>
      <c r="C2527" s="5" t="str">
        <f>IFERROR(__xludf.DUMMYFUNCTION("GOOGLETRANSLATE(B2527,""en"",""de"")"),"Die Person spricht weiter, während sie die Zigarette raucht und schrittweise Rauch bläst, während sie spricht.")</f>
        <v>Die Person spricht weiter, während sie die Zigarette raucht und schrittweise Rauch bläst, während sie spricht.</v>
      </c>
    </row>
    <row r="2528">
      <c r="A2528" s="4" t="s">
        <v>3172</v>
      </c>
      <c r="B2528" s="4" t="s">
        <v>3173</v>
      </c>
      <c r="C2528" s="5" t="str">
        <f>IFERROR(__xludf.DUMMYFUNCTION("GOOGLETRANSLATE(B2528,""en"",""de"")"),"Drei Mann stehen in einem Fitnessstudio miteinander.")</f>
        <v>Drei Mann stehen in einem Fitnessstudio miteinander.</v>
      </c>
    </row>
    <row r="2529">
      <c r="A2529" s="4" t="s">
        <v>3172</v>
      </c>
      <c r="B2529" s="4" t="s">
        <v>3174</v>
      </c>
      <c r="C2529" s="5" t="str">
        <f>IFERROR(__xludf.DUMMYFUNCTION("GOOGLETRANSLATE(B2529,""en"",""de"")"),"Männer öffnen die Holztür und treten in das Fitnessstudio ein und beobachten die ersten Männer, und sie geraten in Panik.")</f>
        <v>Männer öffnen die Holztür und treten in das Fitnessstudio ein und beobachten die ersten Männer, und sie geraten in Panik.</v>
      </c>
    </row>
    <row r="2530">
      <c r="A2530" s="4" t="s">
        <v>3172</v>
      </c>
      <c r="B2530" s="4" t="s">
        <v>3175</v>
      </c>
      <c r="C2530" s="5" t="str">
        <f>IFERROR(__xludf.DUMMYFUNCTION("GOOGLETRANSLATE(B2530,""en"",""de"")"),"Männer rennen vor Platz und versuchen, einen rosa Ball zu holen und Dodgeball zu spielen.")</f>
        <v>Männer rennen vor Platz und versuchen, einen rosa Ball zu holen und Dodgeball zu spielen.</v>
      </c>
    </row>
    <row r="2531">
      <c r="A2531" s="4" t="s">
        <v>3172</v>
      </c>
      <c r="B2531" s="4" t="s">
        <v>3176</v>
      </c>
      <c r="C2531" s="5" t="str">
        <f>IFERROR(__xludf.DUMMYFUNCTION("GOOGLETRANSLATE(B2531,""en"",""de"")"),"Der Mensch spricht mit der Kamera in der Schriftart einer gemauerten Wand.")</f>
        <v>Der Mensch spricht mit der Kamera in der Schriftart einer gemauerten Wand.</v>
      </c>
    </row>
    <row r="2532">
      <c r="A2532" s="4" t="s">
        <v>3177</v>
      </c>
      <c r="B2532" s="4" t="s">
        <v>3178</v>
      </c>
      <c r="C2532" s="5" t="str">
        <f>IFERROR(__xludf.DUMMYFUNCTION("GOOGLETRANSLATE(B2532,""en"",""de"")"),"Eine Frau spricht mit der Kamera und führt in Clips ihrer führenden Übungsklasse sowie auf Aufnahmen des Studios.")</f>
        <v>Eine Frau spricht mit der Kamera und führt in Clips ihrer führenden Übungsklasse sowie auf Aufnahmen des Studios.</v>
      </c>
    </row>
    <row r="2533">
      <c r="A2533" s="4" t="s">
        <v>3177</v>
      </c>
      <c r="B2533" s="4" t="s">
        <v>3179</v>
      </c>
      <c r="C2533" s="5" t="str">
        <f>IFERROR(__xludf.DUMMYFUNCTION("GOOGLETRANSLATE(B2533,""en"",""de"")"),"Die Frau fährt weiter auf dem Trainingsrad, während die Klasse unterrichtet und weiter mit der Kamera spricht.")</f>
        <v>Die Frau fährt weiter auf dem Trainingsrad, während die Klasse unterrichtet und weiter mit der Kamera spricht.</v>
      </c>
    </row>
    <row r="2534">
      <c r="A2534" s="4" t="s">
        <v>3180</v>
      </c>
      <c r="B2534" s="4" t="s">
        <v>3181</v>
      </c>
      <c r="C2534" s="5" t="str">
        <f>IFERROR(__xludf.DUMMYFUNCTION("GOOGLETRANSLATE(B2534,""en"",""de"")"),"Eine Person bewegt Pokerkarten und Token in einem Casino auf den Frontleuten auf den Tisch.")</f>
        <v>Eine Person bewegt Pokerkarten und Token in einem Casino auf den Frontleuten auf den Tisch.</v>
      </c>
    </row>
    <row r="2535">
      <c r="A2535" s="4" t="s">
        <v>3180</v>
      </c>
      <c r="B2535" s="4" t="s">
        <v>3182</v>
      </c>
      <c r="C2535" s="5" t="str">
        <f>IFERROR(__xludf.DUMMYFUNCTION("GOOGLETRANSLATE(B2535,""en"",""de"")"),"Ein Client tippt mit dem Finger in einem Quadrat.")</f>
        <v>Ein Client tippt mit dem Finger in einem Quadrat.</v>
      </c>
    </row>
    <row r="2536">
      <c r="A2536" s="4" t="s">
        <v>3180</v>
      </c>
      <c r="B2536" s="4" t="s">
        <v>3183</v>
      </c>
      <c r="C2536" s="5" t="str">
        <f>IFERROR(__xludf.DUMMYFUNCTION("GOOGLETRANSLATE(B2536,""en"",""de"")"),"Dann stapelt die Person alle Karten und legt die Token in die Quadrate.")</f>
        <v>Dann stapelt die Person alle Karten und legt die Token in die Quadrate.</v>
      </c>
    </row>
    <row r="2537">
      <c r="A2537" s="4" t="s">
        <v>3180</v>
      </c>
      <c r="B2537" s="4" t="s">
        <v>3184</v>
      </c>
      <c r="C2537" s="5" t="str">
        <f>IFERROR(__xludf.DUMMYFUNCTION("GOOGLETRANSLATE(B2537,""en"",""de"")"),"Dann beginnen die Leute zu spielen, während die Frau die Karten vertreibt und Token abholt.")</f>
        <v>Dann beginnen die Leute zu spielen, während die Frau die Karten vertreibt und Token abholt.</v>
      </c>
    </row>
    <row r="2538">
      <c r="A2538" s="4" t="s">
        <v>3180</v>
      </c>
      <c r="B2538" s="4" t="s">
        <v>3185</v>
      </c>
      <c r="C2538" s="5" t="str">
        <f>IFERROR(__xludf.DUMMYFUNCTION("GOOGLETRANSLATE(B2538,""en"",""de"")"),"Danach zeigt der Kunde mit der Hand, dann macht die Person Gesten mit der Hand, die den Tisch zeigt.")</f>
        <v>Danach zeigt der Kunde mit der Hand, dann macht die Person Gesten mit der Hand, die den Tisch zeigt.</v>
      </c>
    </row>
    <row r="2539">
      <c r="A2539" s="4" t="s">
        <v>3180</v>
      </c>
      <c r="B2539" s="4" t="s">
        <v>3186</v>
      </c>
      <c r="C2539" s="5" t="str">
        <f>IFERROR(__xludf.DUMMYFUNCTION("GOOGLETRANSLATE(B2539,""en"",""de"")"),"Als nächstes nimmt die Frau die Karten auf.")</f>
        <v>Als nächstes nimmt die Frau die Karten auf.</v>
      </c>
    </row>
    <row r="2540">
      <c r="A2540" s="4" t="s">
        <v>3187</v>
      </c>
      <c r="B2540" s="4" t="s">
        <v>3188</v>
      </c>
      <c r="C2540" s="5" t="str">
        <f>IFERROR(__xludf.DUMMYFUNCTION("GOOGLETRANSLATE(B2540,""en"",""de"")"),"Ein Rodeo wird als Mann aus dem Tor angezeigt, um das Seil um ein Babykalb zu werfen.")</f>
        <v>Ein Rodeo wird als Mann aus dem Tor angezeigt, um das Seil um ein Babykalb zu werfen.</v>
      </c>
    </row>
    <row r="2541">
      <c r="A2541" s="4" t="s">
        <v>3187</v>
      </c>
      <c r="B2541" s="4" t="s">
        <v>3189</v>
      </c>
      <c r="C2541" s="5" t="str">
        <f>IFERROR(__xludf.DUMMYFUNCTION("GOOGLETRANSLATE(B2541,""en"",""de"")"),"Er ist sofort erfolgreich und hüpft auf sein Pferd zurück.")</f>
        <v>Er ist sofort erfolgreich und hüpft auf sein Pferd zurück.</v>
      </c>
    </row>
    <row r="2542">
      <c r="A2542" s="4" t="s">
        <v>3190</v>
      </c>
      <c r="B2542" s="4" t="s">
        <v>3191</v>
      </c>
      <c r="C2542" s="5" t="str">
        <f>IFERROR(__xludf.DUMMYFUNCTION("GOOGLETRANSLATE(B2542,""en"",""de"")"),"Ein Mann befindet sich in einer Bar, die zeigt, wie man Getränke macht.")</f>
        <v>Ein Mann befindet sich in einer Bar, die zeigt, wie man Getränke macht.</v>
      </c>
    </row>
    <row r="2543">
      <c r="A2543" s="4" t="s">
        <v>3190</v>
      </c>
      <c r="B2543" s="4" t="s">
        <v>3192</v>
      </c>
      <c r="C2543" s="5" t="str">
        <f>IFERROR(__xludf.DUMMYFUNCTION("GOOGLETRANSLATE(B2543,""en"",""de"")"),"Er füllt ein Glas mit Eis.")</f>
        <v>Er füllt ein Glas mit Eis.</v>
      </c>
    </row>
    <row r="2544">
      <c r="A2544" s="4" t="s">
        <v>3190</v>
      </c>
      <c r="B2544" s="4" t="s">
        <v>3193</v>
      </c>
      <c r="C2544" s="5" t="str">
        <f>IFERROR(__xludf.DUMMYFUNCTION("GOOGLETRANSLATE(B2544,""en"",""de"")"),"Dann misst er verschiedene Flüssigkeiten in eine Tasse und gießt sie dann in das Glas.")</f>
        <v>Dann misst er verschiedene Flüssigkeiten in eine Tasse und gießt sie dann in das Glas.</v>
      </c>
    </row>
    <row r="2545">
      <c r="A2545" s="4" t="s">
        <v>3190</v>
      </c>
      <c r="B2545" s="4" t="s">
        <v>3194</v>
      </c>
      <c r="C2545" s="5" t="str">
        <f>IFERROR(__xludf.DUMMYFUNCTION("GOOGLETRANSLATE(B2545,""en"",""de"")"),"Er schüttelt das Getränk zusammen und gießt dann die Mischung in eine Schnapsgläser.")</f>
        <v>Er schüttelt das Getränk zusammen und gießt dann die Mischung in eine Schnapsgläser.</v>
      </c>
    </row>
    <row r="2546">
      <c r="A2546" s="4" t="s">
        <v>3190</v>
      </c>
      <c r="B2546" s="4" t="s">
        <v>3195</v>
      </c>
      <c r="C2546" s="5" t="str">
        <f>IFERROR(__xludf.DUMMYFUNCTION("GOOGLETRANSLATE(B2546,""en"",""de"")"),"Schließlich steckt er einen weiteren Alkohol in die Brille.")</f>
        <v>Schließlich steckt er einen weiteren Alkohol in die Brille.</v>
      </c>
    </row>
    <row r="2547">
      <c r="A2547" s="4" t="s">
        <v>3190</v>
      </c>
      <c r="B2547" s="4" t="s">
        <v>3196</v>
      </c>
      <c r="C2547" s="5" t="str">
        <f>IFERROR(__xludf.DUMMYFUNCTION("GOOGLETRANSLATE(B2547,""en"",""de"")"),"Das Video endet mit dem Mann, der beide Brillen hoch hält.")</f>
        <v>Das Video endet mit dem Mann, der beide Brillen hoch hält.</v>
      </c>
    </row>
    <row r="2548">
      <c r="A2548" s="4" t="s">
        <v>3197</v>
      </c>
      <c r="B2548" s="4" t="s">
        <v>3198</v>
      </c>
      <c r="C2548" s="5" t="str">
        <f>IFERROR(__xludf.DUMMYFUNCTION("GOOGLETRANSLATE(B2548,""en"",""de"")"),"Es werden mehrere Aufnahmen von Sportläufern gezeigt, gefolgt von Zeitlupe von einem Athleten, der einen Weitsprung führt und feiert.")</f>
        <v>Es werden mehrere Aufnahmen von Sportläufern gezeigt, gefolgt von Zeitlupe von einem Athleten, der einen Weitsprung führt und feiert.</v>
      </c>
    </row>
    <row r="2549">
      <c r="A2549" s="4" t="s">
        <v>3197</v>
      </c>
      <c r="B2549" s="4" t="s">
        <v>3199</v>
      </c>
      <c r="C2549" s="5" t="str">
        <f>IFERROR(__xludf.DUMMYFUNCTION("GOOGLETRANSLATE(B2549,""en"",""de"")"),"Die Kamera schwenkt in Szenen von Männern, die sich strecken und beobachten, gefolgt von einem, gefolgt von einem Weitsprung und dem Jubel der Menge.")</f>
        <v>Die Kamera schwenkt in Szenen von Männern, die sich strecken und beobachten, gefolgt von einem, gefolgt von einem Weitsprung und dem Jubel der Menge.</v>
      </c>
    </row>
    <row r="2550">
      <c r="A2550" s="4" t="s">
        <v>3197</v>
      </c>
      <c r="B2550" s="4" t="s">
        <v>3200</v>
      </c>
      <c r="C2550" s="5" t="str">
        <f>IFERROR(__xludf.DUMMYFUNCTION("GOOGLETRANSLATE(B2550,""en"",""de"")"),"Sein Sprung wird mehrmals gezeigt, gefolgt von dem Sprung anderer, der ihren Sprung vor der großen Menge führt.")</f>
        <v>Sein Sprung wird mehrmals gezeigt, gefolgt von dem Sprung anderer, der ihren Sprung vor der großen Menge führt.</v>
      </c>
    </row>
    <row r="2551">
      <c r="A2551" s="4" t="s">
        <v>3201</v>
      </c>
      <c r="B2551" s="4" t="s">
        <v>3202</v>
      </c>
      <c r="C2551" s="5" t="str">
        <f>IFERROR(__xludf.DUMMYFUNCTION("GOOGLETRANSLATE(B2551,""en"",""de"")"),"Die Hände eines Mannes sind an einem Tisch angezeigt.")</f>
        <v>Die Hände eines Mannes sind an einem Tisch angezeigt.</v>
      </c>
    </row>
    <row r="2552">
      <c r="A2552" s="4" t="s">
        <v>3201</v>
      </c>
      <c r="B2552" s="4" t="s">
        <v>3203</v>
      </c>
      <c r="C2552" s="5" t="str">
        <f>IFERROR(__xludf.DUMMYFUNCTION("GOOGLETRANSLATE(B2552,""en"",""de"")"),"Er legt einen Karton über ein Packpapier.")</f>
        <v>Er legt einen Karton über ein Packpapier.</v>
      </c>
    </row>
    <row r="2553">
      <c r="A2553" s="4" t="s">
        <v>3201</v>
      </c>
      <c r="B2553" s="4" t="s">
        <v>3204</v>
      </c>
      <c r="C2553" s="5" t="str">
        <f>IFERROR(__xludf.DUMMYFUNCTION("GOOGLETRANSLATE(B2553,""en"",""de"")"),"Er beginnt, die Box zu wickeln und zu demonstrieren, wie man ein Geschenk richtig einpackt.")</f>
        <v>Er beginnt, die Box zu wickeln und zu demonstrieren, wie man ein Geschenk richtig einpackt.</v>
      </c>
    </row>
    <row r="2554">
      <c r="A2554" s="4" t="s">
        <v>3201</v>
      </c>
      <c r="B2554" s="4" t="s">
        <v>3205</v>
      </c>
      <c r="C2554" s="5" t="str">
        <f>IFERROR(__xludf.DUMMYFUNCTION("GOOGLETRANSLATE(B2554,""en"",""de"")"),"Er klebt das Verpackungspapier um die Schachtel.")</f>
        <v>Er klebt das Verpackungspapier um die Schachtel.</v>
      </c>
    </row>
    <row r="2555">
      <c r="A2555" s="4" t="s">
        <v>3201</v>
      </c>
      <c r="B2555" s="4" t="s">
        <v>3206</v>
      </c>
      <c r="C2555" s="5" t="str">
        <f>IFERROR(__xludf.DUMMYFUNCTION("GOOGLETRANSLATE(B2555,""en"",""de"")"),"Der Mann verbindet sich um die Schachtel, während die Kamera die Bewegung verlangsamt.")</f>
        <v>Der Mann verbindet sich um die Schachtel, während die Kamera die Bewegung verlangsamt.</v>
      </c>
    </row>
    <row r="2556">
      <c r="A2556" s="4" t="s">
        <v>3201</v>
      </c>
      <c r="B2556" s="4" t="s">
        <v>3207</v>
      </c>
      <c r="C2556" s="5" t="str">
        <f>IFERROR(__xludf.DUMMYFUNCTION("GOOGLETRANSLATE(B2556,""en"",""de"")"),"Er schneidet den überschüssigen Bogen weg und wir sehen einen Aufkleber mit dem Gesicht einer Frau.")</f>
        <v>Er schneidet den überschüssigen Bogen weg und wir sehen einen Aufkleber mit dem Gesicht einer Frau.</v>
      </c>
    </row>
    <row r="2557">
      <c r="A2557" s="4" t="s">
        <v>3208</v>
      </c>
      <c r="B2557" s="4" t="s">
        <v>3209</v>
      </c>
      <c r="C2557" s="5" t="str">
        <f>IFERROR(__xludf.DUMMYFUNCTION("GOOGLETRANSLATE(B2557,""en"",""de"")"),"Eine Frau, die eine Schweißausrüstung trägt und versuchte, ein Licht mit einem Feuerzeug zu bekommen.")</f>
        <v>Eine Frau, die eine Schweißausrüstung trägt und versuchte, ein Licht mit einem Feuerzeug zu bekommen.</v>
      </c>
    </row>
    <row r="2558">
      <c r="A2558" s="4" t="s">
        <v>3208</v>
      </c>
      <c r="B2558" s="4" t="s">
        <v>3210</v>
      </c>
      <c r="C2558" s="5" t="str">
        <f>IFERROR(__xludf.DUMMYFUNCTION("GOOGLETRANSLATE(B2558,""en"",""de"")"),"Sie tut dies nicht und geht in Richtung Kamera.")</f>
        <v>Sie tut dies nicht und geht in Richtung Kamera.</v>
      </c>
    </row>
    <row r="2559">
      <c r="A2559" s="4" t="s">
        <v>3211</v>
      </c>
      <c r="B2559" s="4" t="s">
        <v>3212</v>
      </c>
      <c r="C2559" s="5" t="str">
        <f>IFERROR(__xludf.DUMMYFUNCTION("GOOGLETRANSLATE(B2559,""en"",""de"")"),"Es werden mehrere Schüsse von Nahaufnahmen von Cheerleadern gezeigt, die zu Clips von ihnen führen, die Tricks und Flips miteinander ausführen.")</f>
        <v>Es werden mehrere Schüsse von Nahaufnahmen von Cheerleadern gezeigt, die zu Clips von ihnen führen, die Tricks und Flips miteinander ausführen.</v>
      </c>
    </row>
    <row r="2560">
      <c r="A2560" s="4" t="s">
        <v>3211</v>
      </c>
      <c r="B2560" s="4" t="s">
        <v>3213</v>
      </c>
      <c r="C2560" s="5" t="str">
        <f>IFERROR(__xludf.DUMMYFUNCTION("GOOGLETRANSLATE(B2560,""en"",""de"")"),"Das Video setzt sich mit vielen Aufnahmen der Cheerleader fort, die zusammen in Zeitlupe auftreten und Tricks miteinander machen.")</f>
        <v>Das Video setzt sich mit vielen Aufnahmen der Cheerleader fort, die zusammen in Zeitlupe auftreten und Tricks miteinander machen.</v>
      </c>
    </row>
    <row r="2561">
      <c r="A2561" s="4" t="s">
        <v>3214</v>
      </c>
      <c r="B2561" s="4" t="s">
        <v>3215</v>
      </c>
      <c r="C2561" s="5" t="str">
        <f>IFERROR(__xludf.DUMMYFUNCTION("GOOGLETRANSLATE(B2561,""en"",""de"")"),"Eine blonde Frau in einem grünen Pullover spricht.")</f>
        <v>Eine blonde Frau in einem grünen Pullover spricht.</v>
      </c>
    </row>
    <row r="2562">
      <c r="A2562" s="4" t="s">
        <v>3214</v>
      </c>
      <c r="B2562" s="4" t="s">
        <v>3216</v>
      </c>
      <c r="C2562" s="5" t="str">
        <f>IFERROR(__xludf.DUMMYFUNCTION("GOOGLETRANSLATE(B2562,""en"",""de"")"),"Sie zeigt einen Teller mit Nudelsalat und Gemüse.")</f>
        <v>Sie zeigt einen Teller mit Nudelsalat und Gemüse.</v>
      </c>
    </row>
    <row r="2563">
      <c r="A2563" s="4" t="s">
        <v>3214</v>
      </c>
      <c r="B2563" s="4" t="s">
        <v>3217</v>
      </c>
      <c r="C2563" s="5" t="str">
        <f>IFERROR(__xludf.DUMMYFUNCTION("GOOGLETRANSLATE(B2563,""en"",""de"")"),"Sie zeigt, wie sie die Pesto -Sauce in einem Mixer gemacht hat, bevor sie Mini -Tomaten mit den Pasta mischte.")</f>
        <v>Sie zeigt, wie sie die Pesto -Sauce in einem Mixer gemacht hat, bevor sie Mini -Tomaten mit den Pasta mischte.</v>
      </c>
    </row>
    <row r="2564">
      <c r="A2564" s="4" t="s">
        <v>3214</v>
      </c>
      <c r="B2564" s="4" t="s">
        <v>3218</v>
      </c>
      <c r="C2564" s="5" t="str">
        <f>IFERROR(__xludf.DUMMYFUNCTION("GOOGLETRANSLATE(B2564,""en"",""de"")"),"Sie kehrt zur Kamera zurück und spricht weiter, bevor wir eine letzte Szene der Pasta sehen.")</f>
        <v>Sie kehrt zur Kamera zurück und spricht weiter, bevor wir eine letzte Szene der Pasta sehen.</v>
      </c>
    </row>
    <row r="2565">
      <c r="A2565" s="4" t="s">
        <v>3219</v>
      </c>
      <c r="B2565" s="4" t="s">
        <v>3220</v>
      </c>
      <c r="C2565" s="5" t="str">
        <f>IFERROR(__xludf.DUMMYFUNCTION("GOOGLETRANSLATE(B2565,""en"",""de"")"),"Mehrere Männer sind draußen in ihren Kajakuniformen abgebildet, um mit dem Rafting zu beginnen.")</f>
        <v>Mehrere Männer sind draußen in ihren Kajakuniformen abgebildet, um mit dem Rafting zu beginnen.</v>
      </c>
    </row>
    <row r="2566">
      <c r="A2566" s="4" t="s">
        <v>3219</v>
      </c>
      <c r="B2566" s="4" t="s">
        <v>3221</v>
      </c>
      <c r="C2566" s="5" t="str">
        <f>IFERROR(__xludf.DUMMYFUNCTION("GOOGLETRANSLATE(B2566,""en"",""de"")"),"Mehrere Menschen beginnen mit dem Rafting und werden in Bars und Bussen gezeigt.")</f>
        <v>Mehrere Menschen beginnen mit dem Rafting und werden in Bars und Bussen gezeigt.</v>
      </c>
    </row>
    <row r="2567">
      <c r="A2567" s="4" t="s">
        <v>3219</v>
      </c>
      <c r="B2567" s="4" t="s">
        <v>3222</v>
      </c>
      <c r="C2567" s="5" t="str">
        <f>IFERROR(__xludf.DUMMYFUNCTION("GOOGLETRANSLATE(B2567,""en"",""de"")"),"Während sie weiter rafting, wird auf jedem Floß ein klarer Eimer mit einem schwarzen Kreis mit mehreren Linien gezeigt, und die Menschen gehen, indem sie Zigaretten darauf ausstellen.")</f>
        <v>Während sie weiter rafting, wird auf jedem Floß ein klarer Eimer mit einem schwarzen Kreis mit mehreren Linien gezeigt, und die Menschen gehen, indem sie Zigaretten darauf ausstellen.</v>
      </c>
    </row>
    <row r="2568">
      <c r="A2568" s="4" t="s">
        <v>3219</v>
      </c>
      <c r="B2568" s="4" t="s">
        <v>3223</v>
      </c>
      <c r="C2568" s="5" t="str">
        <f>IFERROR(__xludf.DUMMYFUNCTION("GOOGLETRANSLATE(B2568,""en"",""de"")"),"Weitere Leute begannen mit dem Kajak und drehten die Flöße um, bis ein Mann kommt und anfängt zu reden.")</f>
        <v>Weitere Leute begannen mit dem Kajak und drehten die Flöße um, bis ein Mann kommt und anfängt zu reden.</v>
      </c>
    </row>
    <row r="2569">
      <c r="A2569" s="4" t="s">
        <v>3224</v>
      </c>
      <c r="B2569" s="4" t="s">
        <v>3225</v>
      </c>
      <c r="C2569" s="5" t="str">
        <f>IFERROR(__xludf.DUMMYFUNCTION("GOOGLETRANSLATE(B2569,""en"",""de"")"),"Menschen, die Helme tragen, paddeln ein aufgeblasenes Boot über ein felsiges Gewässer.")</f>
        <v>Menschen, die Helme tragen, paddeln ein aufgeblasenes Boot über ein felsiges Gewässer.</v>
      </c>
    </row>
    <row r="2570">
      <c r="A2570" s="4" t="s">
        <v>3224</v>
      </c>
      <c r="B2570" s="4" t="s">
        <v>3226</v>
      </c>
      <c r="C2570" s="5" t="str">
        <f>IFERROR(__xludf.DUMMYFUNCTION("GOOGLETRANSLATE(B2570,""en"",""de"")"),"Wasser spritzt in das aufgeblähte Boot.")</f>
        <v>Wasser spritzt in das aufgeblähte Boot.</v>
      </c>
    </row>
    <row r="2571">
      <c r="A2571" s="4" t="s">
        <v>3224</v>
      </c>
      <c r="B2571" s="4" t="s">
        <v>3227</v>
      </c>
      <c r="C2571" s="5" t="str">
        <f>IFERROR(__xludf.DUMMYFUNCTION("GOOGLETRANSLATE(B2571,""en"",""de"")"),"Die Leute hören auf zu paddeln, und das Boot ist immer noch.")</f>
        <v>Die Leute hören auf zu paddeln, und das Boot ist immer noch.</v>
      </c>
    </row>
    <row r="2572">
      <c r="A2572" s="4" t="s">
        <v>3228</v>
      </c>
      <c r="B2572" s="4" t="s">
        <v>3229</v>
      </c>
      <c r="C2572" s="5" t="str">
        <f>IFERROR(__xludf.DUMMYFUNCTION("GOOGLETRANSLATE(B2572,""en"",""de"")"),"Ein Kind verwendet einen Mopp, um den Boden eines Hauses zu waschen.")</f>
        <v>Ein Kind verwendet einen Mopp, um den Boden eines Hauses zu waschen.</v>
      </c>
    </row>
    <row r="2573">
      <c r="A2573" s="4" t="s">
        <v>3228</v>
      </c>
      <c r="B2573" s="4" t="s">
        <v>3230</v>
      </c>
      <c r="C2573" s="5" t="str">
        <f>IFERROR(__xludf.DUMMYFUNCTION("GOOGLETRANSLATE(B2573,""en"",""de"")"),"Das Kind dreht den Mopp, um ihn umzudrehen.")</f>
        <v>Das Kind dreht den Mopp, um ihn umzudrehen.</v>
      </c>
    </row>
    <row r="2574">
      <c r="A2574" s="4" t="s">
        <v>3231</v>
      </c>
      <c r="B2574" s="4" t="s">
        <v>3232</v>
      </c>
      <c r="C2574" s="5" t="str">
        <f>IFERROR(__xludf.DUMMYFUNCTION("GOOGLETRANSLATE(B2574,""en"",""de"")"),"Ein kleines Mädchen geht in ein Fitnessstudio, während ihr Name auf dem Bildschirm blitzt.")</f>
        <v>Ein kleines Mädchen geht in ein Fitnessstudio, während ihr Name auf dem Bildschirm blitzt.</v>
      </c>
    </row>
    <row r="2575">
      <c r="A2575" s="4" t="s">
        <v>3231</v>
      </c>
      <c r="B2575" s="4" t="s">
        <v>3233</v>
      </c>
      <c r="C2575" s="5" t="str">
        <f>IFERROR(__xludf.DUMMYFUNCTION("GOOGLETRANSLATE(B2575,""en"",""de"")"),"Das kleine Mädchen führt eine Routine mit einem Schlagstock aus.")</f>
        <v>Das kleine Mädchen führt eine Routine mit einem Schlagstock aus.</v>
      </c>
    </row>
    <row r="2576">
      <c r="A2576" s="4" t="s">
        <v>3231</v>
      </c>
      <c r="B2576" s="4" t="s">
        <v>3234</v>
      </c>
      <c r="C2576" s="5" t="str">
        <f>IFERROR(__xludf.DUMMYFUNCTION("GOOGLETRANSLATE(B2576,""en"",""de"")"),"Das Mädchen macht einen Flip, wirft ihren Schlagstock und fängt ihn auf dem Boden.")</f>
        <v>Das Mädchen macht einen Flip, wirft ihren Schlagstock und fängt ihn auf dem Boden.</v>
      </c>
    </row>
    <row r="2577">
      <c r="A2577" s="4" t="s">
        <v>3231</v>
      </c>
      <c r="B2577" s="4" t="s">
        <v>3235</v>
      </c>
      <c r="C2577" s="5" t="str">
        <f>IFERROR(__xludf.DUMMYFUNCTION("GOOGLETRANSLATE(B2577,""en"",""de"")"),"Das Mädchen pausiert und zählt.")</f>
        <v>Das Mädchen pausiert und zählt.</v>
      </c>
    </row>
    <row r="2578">
      <c r="A2578" s="4" t="s">
        <v>3231</v>
      </c>
      <c r="B2578" s="4" t="s">
        <v>3236</v>
      </c>
      <c r="C2578" s="5" t="str">
        <f>IFERROR(__xludf.DUMMYFUNCTION("GOOGLETRANSLATE(B2578,""en"",""de"")"),"Das Mädchen spaltet sich und legt ihren Staffelstab auf den Boden.")</f>
        <v>Das Mädchen spaltet sich und legt ihren Staffelstab auf den Boden.</v>
      </c>
    </row>
    <row r="2579">
      <c r="A2579" s="4" t="s">
        <v>3237</v>
      </c>
      <c r="B2579" s="4" t="s">
        <v>3238</v>
      </c>
      <c r="C2579" s="5" t="str">
        <f>IFERROR(__xludf.DUMMYFUNCTION("GOOGLETRANSLATE(B2579,""en"",""de"")"),"Ein Mann spricht mit der Kamera, die eine Fensterscheibe hält, und beginnt die Fenster nass zu machen.")</f>
        <v>Ein Mann spricht mit der Kamera, die eine Fensterscheibe hält, und beginnt die Fenster nass zu machen.</v>
      </c>
    </row>
    <row r="2580">
      <c r="A2580" s="4" t="s">
        <v>3237</v>
      </c>
      <c r="B2580" s="4" t="s">
        <v>3239</v>
      </c>
      <c r="C2580" s="5" t="str">
        <f>IFERROR(__xludf.DUMMYFUNCTION("GOOGLETRANSLATE(B2580,""en"",""de"")"),"Dann verweist er auf das Fenster, während er es immer wieder mit verschiedenen Werkzeugen abweist.")</f>
        <v>Dann verweist er auf das Fenster, während er es immer wieder mit verschiedenen Werkzeugen abweist.</v>
      </c>
    </row>
    <row r="2581">
      <c r="A2581" s="4" t="s">
        <v>3240</v>
      </c>
      <c r="B2581" s="4" t="s">
        <v>3241</v>
      </c>
      <c r="C2581" s="5" t="str">
        <f>IFERROR(__xludf.DUMMYFUNCTION("GOOGLETRANSLATE(B2581,""en"",""de"")"),"Ein Turner steht am Ende bereit und dreht sich dann auf einen Strahl.")</f>
        <v>Ein Turner steht am Ende bereit und dreht sich dann auf einen Strahl.</v>
      </c>
    </row>
    <row r="2582">
      <c r="A2582" s="4" t="s">
        <v>3240</v>
      </c>
      <c r="B2582" s="4" t="s">
        <v>3242</v>
      </c>
      <c r="C2582" s="5" t="str">
        <f>IFERROR(__xludf.DUMMYFUNCTION("GOOGLETRANSLATE(B2582,""en"",""de"")"),"Sie führt eine Gymnastikroutine durch, während mehrere Personen an den Seiten sie beobachten.")</f>
        <v>Sie führt eine Gymnastikroutine durch, während mehrere Personen an den Seiten sie beobachten.</v>
      </c>
    </row>
    <row r="2583">
      <c r="A2583" s="4" t="s">
        <v>3240</v>
      </c>
      <c r="B2583" s="4" t="s">
        <v>3243</v>
      </c>
      <c r="C2583" s="5" t="str">
        <f>IFERROR(__xludf.DUMMYFUNCTION("GOOGLETRANSLATE(B2583,""en"",""de"")"),"Sie dreht weiter um den Strahl und macht verschiedene akrobatische Tricks.")</f>
        <v>Sie dreht weiter um den Strahl und macht verschiedene akrobatische Tricks.</v>
      </c>
    </row>
    <row r="2584">
      <c r="A2584" s="4" t="s">
        <v>3240</v>
      </c>
      <c r="B2584" s="4" t="s">
        <v>3244</v>
      </c>
      <c r="C2584" s="5" t="str">
        <f>IFERROR(__xludf.DUMMYFUNCTION("GOOGLETRANSLATE(B2584,""en"",""de"")"),"Sie springt runter und umarmt ihr Trainer, während die Kamera ihre Bewegungen in Zeitlupe zeigt und sie spricht mit einer Frau.")</f>
        <v>Sie springt runter und umarmt ihr Trainer, während die Kamera ihre Bewegungen in Zeitlupe zeigt und sie spricht mit einer Frau.</v>
      </c>
    </row>
    <row r="2585">
      <c r="A2585" s="4" t="s">
        <v>3245</v>
      </c>
      <c r="B2585" s="4" t="s">
        <v>3246</v>
      </c>
      <c r="C2585" s="5" t="str">
        <f>IFERROR(__xludf.DUMMYFUNCTION("GOOGLETRANSLATE(B2585,""en"",""de"")"),"Zwei Leute spielen beim Singen und schauen in die Kamera eine Reihe von Bongo -Schlagzeug.")</f>
        <v>Zwei Leute spielen beim Singen und schauen in die Kamera eine Reihe von Bongo -Schlagzeug.</v>
      </c>
    </row>
    <row r="2586">
      <c r="A2586" s="4" t="s">
        <v>3245</v>
      </c>
      <c r="B2586" s="4" t="s">
        <v>3247</v>
      </c>
      <c r="C2586" s="5" t="str">
        <f>IFERROR(__xludf.DUMMYFUNCTION("GOOGLETRANSLATE(B2586,""en"",""de"")"),"Die Männer spielen und enden kontinuierlich, indem sie stehen und lächeln an.")</f>
        <v>Die Männer spielen und enden kontinuierlich, indem sie stehen und lächeln an.</v>
      </c>
    </row>
    <row r="2587">
      <c r="A2587" s="4" t="s">
        <v>3248</v>
      </c>
      <c r="B2587" s="4" t="s">
        <v>3249</v>
      </c>
      <c r="C2587" s="5" t="str">
        <f>IFERROR(__xludf.DUMMYFUNCTION("GOOGLETRANSLATE(B2587,""en"",""de"")"),"In einem Sped -Up -Spezialeffekt gibt es 3 Personen, die eine Einfahrt schaufeln und Schnee von einem Auto auf der rechten Seite ihrer Einfahrt entfernt, während sich auch Nachbarn und andere Schneepflüge hinter sich bewegen.")</f>
        <v>In einem Sped -Up -Spezialeffekt gibt es 3 Personen, die eine Einfahrt schaufeln und Schnee von einem Auto auf der rechten Seite ihrer Einfahrt entfernt, während sich auch Nachbarn und andere Schneepflüge hinter sich bewegen.</v>
      </c>
    </row>
    <row r="2588">
      <c r="A2588" s="4" t="s">
        <v>3248</v>
      </c>
      <c r="B2588" s="4" t="s">
        <v>3250</v>
      </c>
      <c r="C2588" s="5" t="str">
        <f>IFERROR(__xludf.DUMMYFUNCTION("GOOGLETRANSLATE(B2588,""en"",""de"")"),"Eine Person lässt ihre Schaufel in die Einfahrt fallen, rennt dann bis zum Ende der Einfahrt, um im Schnee zu spielen. Dann geht es zurück und nimmt die Schaufel wieder, um wieder Schaufel zu schaufeln.")</f>
        <v>Eine Person lässt ihre Schaufel in die Einfahrt fallen, rennt dann bis zum Ende der Einfahrt, um im Schnee zu spielen. Dann geht es zurück und nimmt die Schaufel wieder, um wieder Schaufel zu schaufeln.</v>
      </c>
    </row>
    <row r="2589">
      <c r="A2589" s="4" t="s">
        <v>3248</v>
      </c>
      <c r="B2589" s="4" t="s">
        <v>3251</v>
      </c>
      <c r="C2589" s="5" t="str">
        <f>IFERROR(__xludf.DUMMYFUNCTION("GOOGLETRANSLATE(B2589,""en"",""de"")"),"Ein schwarzes Auto zieht die neu geschaufelte Auffahrt und die Menschen schaufeln weiterhin Schnee auf die Straße außerhalb ihrer Auffahrt.")</f>
        <v>Ein schwarzes Auto zieht die neu geschaufelte Auffahrt und die Menschen schaufeln weiterhin Schnee auf die Straße außerhalb ihrer Auffahrt.</v>
      </c>
    </row>
    <row r="2590">
      <c r="A2590" s="4" t="s">
        <v>3252</v>
      </c>
      <c r="B2590" s="4" t="s">
        <v>3253</v>
      </c>
      <c r="C2590" s="5" t="str">
        <f>IFERROR(__xludf.DUMMYFUNCTION("GOOGLETRANSLATE(B2590,""en"",""de"")"),"Es gibt eine Frau mit kurzen braunen Haaren, die Make -up -Tutorial machen.")</f>
        <v>Es gibt eine Frau mit kurzen braunen Haaren, die Make -up -Tutorial machen.</v>
      </c>
    </row>
    <row r="2591">
      <c r="A2591" s="4" t="s">
        <v>3252</v>
      </c>
      <c r="B2591" s="4" t="s">
        <v>3254</v>
      </c>
      <c r="C2591" s="5" t="str">
        <f>IFERROR(__xludf.DUMMYFUNCTION("GOOGLETRANSLATE(B2591,""en"",""de"")"),"Sie beginnt mit einem Stirnband, um ihre Haare aus ihrem Gesicht zu halten.")</f>
        <v>Sie beginnt mit einem Stirnband, um ihre Haare aus ihrem Gesicht zu halten.</v>
      </c>
    </row>
    <row r="2592">
      <c r="A2592" s="4" t="s">
        <v>3252</v>
      </c>
      <c r="B2592" s="4" t="s">
        <v>3255</v>
      </c>
      <c r="C2592" s="5" t="str">
        <f>IFERROR(__xludf.DUMMYFUNCTION("GOOGLETRANSLATE(B2592,""en"",""de"")"),"Dann beginnt sie, ein Fundament im ganzen Gesicht aufzutragen und mischt es ein.")</f>
        <v>Dann beginnt sie, ein Fundament im ganzen Gesicht aufzutragen und mischt es ein.</v>
      </c>
    </row>
    <row r="2593">
      <c r="A2593" s="4" t="s">
        <v>3252</v>
      </c>
      <c r="B2593" s="4" t="s">
        <v>3256</v>
      </c>
      <c r="C2593" s="5" t="str">
        <f>IFERROR(__xludf.DUMMYFUNCTION("GOOGLETRANSLATE(B2593,""en"",""de"")"),"Dann nimmt sie einen Eyeliner und trägt ihn mit einem Pinsel unter ihren Augen und auf ihren Augenlider.")</f>
        <v>Dann nimmt sie einen Eyeliner und trägt ihn mit einem Pinsel unter ihren Augen und auf ihren Augenlider.</v>
      </c>
    </row>
    <row r="2594">
      <c r="A2594" s="4" t="s">
        <v>3252</v>
      </c>
      <c r="B2594" s="4" t="s">
        <v>3257</v>
      </c>
      <c r="C2594" s="5" t="str">
        <f>IFERROR(__xludf.DUMMYFUNCTION("GOOGLETRANSLATE(B2594,""en"",""de"")"),"Sie nimmt dann etwas Pulver kompakt und tätschelt es auf ihr Gesicht und verbreitet es gleichmäßig.")</f>
        <v>Sie nimmt dann etwas Pulver kompakt und tätschelt es auf ihr Gesicht und verbreitet es gleichmäßig.</v>
      </c>
    </row>
    <row r="2595">
      <c r="A2595" s="4" t="s">
        <v>3252</v>
      </c>
      <c r="B2595" s="4" t="s">
        <v>3258</v>
      </c>
      <c r="C2595" s="5" t="str">
        <f>IFERROR(__xludf.DUMMYFUNCTION("GOOGLETRANSLATE(B2595,""en"",""de"")"),"Dann trägt sie mit einer Bürste einen Eyeliner auf ihre Augenlider, gefolgt von einem Eyeliner -Bleistift, den sie auf ihren Augenlider und unter ihren Augen verwendet.")</f>
        <v>Dann trägt sie mit einer Bürste einen Eyeliner auf ihre Augenlider, gefolgt von einem Eyeliner -Bleistift, den sie auf ihren Augenlider und unter ihren Augen verwendet.</v>
      </c>
    </row>
    <row r="2596">
      <c r="A2596" s="4" t="s">
        <v>3252</v>
      </c>
      <c r="B2596" s="4" t="s">
        <v>3259</v>
      </c>
      <c r="C2596" s="5" t="str">
        <f>IFERROR(__xludf.DUMMYFUNCTION("GOOGLETRANSLATE(B2596,""en"",""de"")"),"Sie nimmt ein Paar Wimpernburler und kräuselt ihre Wimpern und trägt dann etwas Wimperntusche mit einem Pinsel auf.")</f>
        <v>Sie nimmt ein Paar Wimpernburler und kräuselt ihre Wimpern und trägt dann etwas Wimperntusche mit einem Pinsel auf.</v>
      </c>
    </row>
    <row r="2597">
      <c r="A2597" s="4" t="s">
        <v>3252</v>
      </c>
      <c r="B2597" s="4" t="s">
        <v>3260</v>
      </c>
      <c r="C2597" s="5" t="str">
        <f>IFERROR(__xludf.DUMMYFUNCTION("GOOGLETRANSLATE(B2597,""en"",""de"")"),"Sie beendet das Make -up mit einem Lippenstift, den sie auf ihre oberen und unteren Lippen legt.")</f>
        <v>Sie beendet das Make -up mit einem Lippenstift, den sie auf ihre oberen und unteren Lippen legt.</v>
      </c>
    </row>
    <row r="2598">
      <c r="A2598" s="4" t="s">
        <v>3252</v>
      </c>
      <c r="B2598" s="4" t="s">
        <v>3261</v>
      </c>
      <c r="C2598" s="5" t="str">
        <f>IFERROR(__xludf.DUMMYFUNCTION("GOOGLETRANSLATE(B2598,""en"",""de"")"),"Dann entfernt sie ihr Stirnband und glättet ihre Haare, um ihren Look zu beenden.")</f>
        <v>Dann entfernt sie ihr Stirnband und glättet ihre Haare, um ihren Look zu beenden.</v>
      </c>
    </row>
    <row r="2599">
      <c r="A2599" s="4" t="s">
        <v>3252</v>
      </c>
      <c r="B2599" s="4" t="s">
        <v>3262</v>
      </c>
      <c r="C2599" s="5" t="str">
        <f>IFERROR(__xludf.DUMMYFUNCTION("GOOGLETRANSLATE(B2599,""en"",""de"")"),"Sie zeigt das vor Make -up und nach Make -up -Bildern, um den Unterschied zu zeigen.")</f>
        <v>Sie zeigt das vor Make -up und nach Make -up -Bildern, um den Unterschied zu zeigen.</v>
      </c>
    </row>
    <row r="2600">
      <c r="A2600" s="4" t="s">
        <v>3263</v>
      </c>
      <c r="B2600" s="4" t="s">
        <v>3264</v>
      </c>
      <c r="C2600" s="5" t="str">
        <f>IFERROR(__xludf.DUMMYFUNCTION("GOOGLETRANSLATE(B2600,""en"",""de"")"),"Ein Mann steht auf einem Paar Skier.")</f>
        <v>Ein Mann steht auf einem Paar Skier.</v>
      </c>
    </row>
    <row r="2601">
      <c r="A2601" s="4" t="s">
        <v>3263</v>
      </c>
      <c r="B2601" s="4" t="s">
        <v>3265</v>
      </c>
      <c r="C2601" s="5" t="str">
        <f>IFERROR(__xludf.DUMMYFUNCTION("GOOGLETRANSLATE(B2601,""en"",""de"")"),"Dann feuchte er schnell einen schneebedeckten Damm, traf versehentlich einen Skifahrer auf seinem Weg und schickte sie nach rechts.")</f>
        <v>Dann feuchte er schnell einen schneebedeckten Damm, traf versehentlich einen Skifahrer auf seinem Weg und schickte sie nach rechts.</v>
      </c>
    </row>
    <row r="2602">
      <c r="A2602" s="4" t="s">
        <v>3263</v>
      </c>
      <c r="B2602" s="4" t="s">
        <v>3266</v>
      </c>
      <c r="C2602" s="5" t="str">
        <f>IFERROR(__xludf.DUMMYFUNCTION("GOOGLETRANSLATE(B2602,""en"",""de"")"),"Sie halten an und reden und überprüfen, ob es ihr gut geht.")</f>
        <v>Sie halten an und reden und überprüfen, ob es ihr gut geht.</v>
      </c>
    </row>
    <row r="2603">
      <c r="A2603" s="4" t="s">
        <v>3267</v>
      </c>
      <c r="B2603" s="4" t="s">
        <v>3268</v>
      </c>
      <c r="C2603" s="5" t="str">
        <f>IFERROR(__xludf.DUMMYFUNCTION("GOOGLETRANSLATE(B2603,""en"",""de"")"),"Ein Mann hält ein kleines Kind, während er zur Kamera schaut und lächelt.")</f>
        <v>Ein Mann hält ein kleines Kind, während er zur Kamera schaut und lächelt.</v>
      </c>
    </row>
    <row r="2604">
      <c r="A2604" s="4" t="s">
        <v>3267</v>
      </c>
      <c r="B2604" s="4" t="s">
        <v>3269</v>
      </c>
      <c r="C2604" s="5" t="str">
        <f>IFERROR(__xludf.DUMMYFUNCTION("GOOGLETRANSLATE(B2604,""en"",""de"")"),"Die beiden klettern dann auf ein Kamel und fahren herum, während sie zur Kamera winken.")</f>
        <v>Die beiden klettern dann auf ein Kamel und fahren herum, während sie zur Kamera winken.</v>
      </c>
    </row>
    <row r="2605">
      <c r="A2605" s="4" t="s">
        <v>3267</v>
      </c>
      <c r="B2605" s="4" t="s">
        <v>3270</v>
      </c>
      <c r="C2605" s="5" t="str">
        <f>IFERROR(__xludf.DUMMYFUNCTION("GOOGLETRANSLATE(B2605,""en"",""de"")"),"Die beiden reiten zusammen mit der Frau, die sie vorne führt.")</f>
        <v>Die beiden reiten zusammen mit der Frau, die sie vorne führt.</v>
      </c>
    </row>
    <row r="2606">
      <c r="A2606" s="4" t="s">
        <v>3271</v>
      </c>
      <c r="B2606" s="4" t="s">
        <v>3272</v>
      </c>
      <c r="C2606" s="5" t="str">
        <f>IFERROR(__xludf.DUMMYFUNCTION("GOOGLETRANSLATE(B2606,""en"",""de"")"),"Olympische dreifache Sprünge werden in einem Stadion gezeigt.")</f>
        <v>Olympische dreifache Sprünge werden in einem Stadion gezeigt.</v>
      </c>
    </row>
    <row r="2607">
      <c r="A2607" s="4" t="s">
        <v>3271</v>
      </c>
      <c r="B2607" s="4" t="s">
        <v>3273</v>
      </c>
      <c r="C2607" s="5" t="str">
        <f>IFERROR(__xludf.DUMMYFUNCTION("GOOGLETRANSLATE(B2607,""en"",""de"")"),"Die erste Person in Gelb geht über 17 Meter.")</f>
        <v>Die erste Person in Gelb geht über 17 Meter.</v>
      </c>
    </row>
    <row r="2608">
      <c r="A2608" s="4" t="s">
        <v>3271</v>
      </c>
      <c r="B2608" s="4" t="s">
        <v>3274</v>
      </c>
      <c r="C2608" s="5" t="str">
        <f>IFERROR(__xludf.DUMMYFUNCTION("GOOGLETRANSLATE(B2608,""en"",""de"")"),"Die zweite Person tut ungefähr dasselbe wie die dritte Person.")</f>
        <v>Die zweite Person tut ungefähr dasselbe wie die dritte Person.</v>
      </c>
    </row>
    <row r="2609">
      <c r="A2609" s="4" t="s">
        <v>3275</v>
      </c>
      <c r="B2609" s="4" t="s">
        <v>3276</v>
      </c>
      <c r="C2609" s="5" t="str">
        <f>IFERROR(__xludf.DUMMYFUNCTION("GOOGLETRANSLATE(B2609,""en"",""de"")"),"Es werden mehrere Schüsse von der Innenseite eines Ladens gezeigt, gefolgt von einer Person, die ein Fahrrad entbasst.")</f>
        <v>Es werden mehrere Schüsse von der Innenseite eines Ladens gezeigt, gefolgt von einer Person, die ein Fahrrad entbasst.</v>
      </c>
    </row>
    <row r="2610">
      <c r="A2610" s="4" t="s">
        <v>3275</v>
      </c>
      <c r="B2610" s="4" t="s">
        <v>3277</v>
      </c>
      <c r="C2610" s="5" t="str">
        <f>IFERROR(__xludf.DUMMYFUNCTION("GOOGLETRANSLATE(B2610,""en"",""de"")"),"Der Mann holt dann Werkzeuge heraus und zieht sie entlang des Fahrrads fest und zeigt das Fahrrad mit den Händen und zeigt das fertige Fahrrad.")</f>
        <v>Der Mann holt dann Werkzeuge heraus und zieht sie entlang des Fahrrads fest und zeigt das Fahrrad mit den Händen und zeigt das fertige Fahrrad.</v>
      </c>
    </row>
    <row r="2611">
      <c r="A2611" s="4" t="s">
        <v>3278</v>
      </c>
      <c r="B2611" s="4" t="s">
        <v>3279</v>
      </c>
      <c r="C2611" s="5" t="str">
        <f>IFERROR(__xludf.DUMMYFUNCTION("GOOGLETRANSLATE(B2611,""en"",""de"")"),"Ein Mädchen befindet sich auf einem Abschwung und bereitet sich auf das Flip vor.")</f>
        <v>Ein Mädchen befindet sich auf einem Abschwung und bereitet sich auf das Flip vor.</v>
      </c>
    </row>
    <row r="2612">
      <c r="A2612" s="4" t="s">
        <v>3278</v>
      </c>
      <c r="B2612" s="4" t="s">
        <v>3280</v>
      </c>
      <c r="C2612" s="5" t="str">
        <f>IFERROR(__xludf.DUMMYFUNCTION("GOOGLETRANSLATE(B2612,""en"",""de"")"),"Sie dreht sich nach vorne und dreht sich dann mit ausgestreckten Armen nach hinten.")</f>
        <v>Sie dreht sich nach vorne und dreht sich dann mit ausgestreckten Armen nach hinten.</v>
      </c>
    </row>
    <row r="2613">
      <c r="A2613" s="4" t="s">
        <v>3281</v>
      </c>
      <c r="B2613" s="4" t="s">
        <v>3282</v>
      </c>
      <c r="C2613" s="5" t="str">
        <f>IFERROR(__xludf.DUMMYFUNCTION("GOOGLETRANSLATE(B2613,""en"",""de"")"),"Ein Junge spaziert in den Raum von der linken Tür und hält ein rot gefülltes Tier am Tisch und legte Tier weg.")</f>
        <v>Ein Junge spaziert in den Raum von der linken Tür und hält ein rot gefülltes Tier am Tisch und legte Tier weg.</v>
      </c>
    </row>
    <row r="2614">
      <c r="A2614" s="4" t="s">
        <v>3281</v>
      </c>
      <c r="B2614" s="4" t="s">
        <v>3283</v>
      </c>
      <c r="C2614" s="5" t="str">
        <f>IFERROR(__xludf.DUMMYFUNCTION("GOOGLETRANSLATE(B2614,""en"",""de"")"),"Ein Mädchen geht in den Raum vor der rechten Tür und setzt sich an den Tisch.")</f>
        <v>Ein Mädchen geht in den Raum vor der rechten Tür und setzt sich an den Tisch.</v>
      </c>
    </row>
    <row r="2615">
      <c r="A2615" s="4" t="s">
        <v>3281</v>
      </c>
      <c r="B2615" s="4" t="s">
        <v>3284</v>
      </c>
      <c r="C2615" s="5" t="str">
        <f>IFERROR(__xludf.DUMMYFUNCTION("GOOGLETRANSLATE(B2615,""en"",""de"")"),"Sie beginnen mit dem Arm zu ringen und das Mädchen gewinnt.")</f>
        <v>Sie beginnen mit dem Arm zu ringen und das Mädchen gewinnt.</v>
      </c>
    </row>
    <row r="2616">
      <c r="A2616" s="4" t="s">
        <v>3281</v>
      </c>
      <c r="B2616" s="4" t="s">
        <v>3285</v>
      </c>
      <c r="C2616" s="5" t="str">
        <f>IFERROR(__xludf.DUMMYFUNCTION("GOOGLETRANSLATE(B2616,""en"",""de"")"),"Das Mädchen lächelt in die Kamera und sieht ihren Sieg und sie steigen beide, um Raum von denselben Seiten zu verlassen, von denen sie betraten.")</f>
        <v>Das Mädchen lächelt in die Kamera und sieht ihren Sieg und sie steigen beide, um Raum von denselben Seiten zu verlassen, von denen sie betraten.</v>
      </c>
    </row>
    <row r="2617">
      <c r="A2617" s="4" t="s">
        <v>3286</v>
      </c>
      <c r="B2617" s="4" t="s">
        <v>3287</v>
      </c>
      <c r="C2617" s="5" t="str">
        <f>IFERROR(__xludf.DUMMYFUNCTION("GOOGLETRANSLATE(B2617,""en"",""de"")"),"Der Bildschirm zeigt Firmensponsoren für eine Winterclub -Veranstaltung.")</f>
        <v>Der Bildschirm zeigt Firmensponsoren für eine Winterclub -Veranstaltung.</v>
      </c>
    </row>
    <row r="2618">
      <c r="A2618" s="4" t="s">
        <v>3286</v>
      </c>
      <c r="B2618" s="4" t="s">
        <v>3288</v>
      </c>
      <c r="C2618" s="5" t="str">
        <f>IFERROR(__xludf.DUMMYFUNCTION("GOOGLETRANSLATE(B2618,""en"",""de"")"),"Ein blaues Cabrio fährt am North Shore Winter Club vorbei.")</f>
        <v>Ein blaues Cabrio fährt am North Shore Winter Club vorbei.</v>
      </c>
    </row>
    <row r="2619">
      <c r="A2619" s="4" t="s">
        <v>3286</v>
      </c>
      <c r="B2619" s="4" t="s">
        <v>3289</v>
      </c>
      <c r="C2619" s="5" t="str">
        <f>IFERROR(__xludf.DUMMYFUNCTION("GOOGLETRANSLATE(B2619,""en"",""de"")"),"Ein Paar betritt den Club, während ein silberner Mini -Van draußen geparkt ist.")</f>
        <v>Ein Paar betritt den Club, während ein silberner Mini -Van draußen geparkt ist.</v>
      </c>
    </row>
    <row r="2620">
      <c r="A2620" s="4" t="s">
        <v>3286</v>
      </c>
      <c r="B2620" s="4" t="s">
        <v>3290</v>
      </c>
      <c r="C2620" s="5" t="str">
        <f>IFERROR(__xludf.DUMMYFUNCTION("GOOGLETRANSLATE(B2620,""en"",""de"")"),"Mehrere Menschen betreten den Lockenraum im Club.")</f>
        <v>Mehrere Menschen betreten den Lockenraum im Club.</v>
      </c>
    </row>
    <row r="2621">
      <c r="A2621" s="4" t="s">
        <v>3286</v>
      </c>
      <c r="B2621" s="4" t="s">
        <v>3291</v>
      </c>
      <c r="C2621" s="5" t="str">
        <f>IFERROR(__xludf.DUMMYFUNCTION("GOOGLETRANSLATE(B2621,""en"",""de"")"),"Der Trainer, der das Brasil -Team vertritt und ein grünes Trikot trägt, gibt den Spielern Anweisungen.")</f>
        <v>Der Trainer, der das Brasil -Team vertritt und ein grünes Trikot trägt, gibt den Spielern Anweisungen.</v>
      </c>
    </row>
    <row r="2622">
      <c r="A2622" s="4" t="s">
        <v>3286</v>
      </c>
      <c r="B2622" s="4" t="s">
        <v>3292</v>
      </c>
      <c r="C2622" s="5" t="str">
        <f>IFERROR(__xludf.DUMMYFUNCTION("GOOGLETRANSLATE(B2622,""en"",""de"")"),"Der Trainer spricht mit den Spielern, während sie sich vorbereiten.")</f>
        <v>Der Trainer spricht mit den Spielern, während sie sich vorbereiten.</v>
      </c>
    </row>
    <row r="2623">
      <c r="A2623" s="4" t="s">
        <v>3286</v>
      </c>
      <c r="B2623" s="4" t="s">
        <v>3293</v>
      </c>
      <c r="C2623" s="5" t="str">
        <f>IFERROR(__xludf.DUMMYFUNCTION("GOOGLETRANSLATE(B2623,""en"",""de"")"),"Die Spieler spielen mit ihren Stöcken, während sie die Felsen durch den Boden schieben, mehrere andere Spieler üben sich auf dem Boden, während sie durch die rutschige Oberfläche gleiten.")</f>
        <v>Die Spieler spielen mit ihren Stöcken, während sie die Felsen durch den Boden schieben, mehrere andere Spieler üben sich auf dem Boden, während sie durch die rutschige Oberfläche gleiten.</v>
      </c>
    </row>
    <row r="2624">
      <c r="A2624" s="4" t="s">
        <v>3286</v>
      </c>
      <c r="B2624" s="4" t="s">
        <v>3294</v>
      </c>
      <c r="C2624" s="5" t="str">
        <f>IFERROR(__xludf.DUMMYFUNCTION("GOOGLETRANSLATE(B2624,""en"",""de"")"),"Die Spieler spielen weiter und tauschen hohe Fünfer aus, während sie üben.")</f>
        <v>Die Spieler spielen weiter und tauschen hohe Fünfer aus, während sie üben.</v>
      </c>
    </row>
    <row r="2625">
      <c r="A2625" s="4" t="s">
        <v>3286</v>
      </c>
      <c r="B2625" s="4" t="s">
        <v>3295</v>
      </c>
      <c r="C2625" s="5" t="str">
        <f>IFERROR(__xludf.DUMMYFUNCTION("GOOGLETRANSLATE(B2625,""en"",""de"")"),"Ungefähr neun der Teilnehmer erhalten vom Richter Medaillen des Sieges.")</f>
        <v>Ungefähr neun der Teilnehmer erhalten vom Richter Medaillen des Sieges.</v>
      </c>
    </row>
    <row r="2626">
      <c r="A2626" s="4" t="s">
        <v>3286</v>
      </c>
      <c r="B2626" s="4" t="s">
        <v>3296</v>
      </c>
      <c r="C2626" s="5" t="str">
        <f>IFERROR(__xludf.DUMMYFUNCTION("GOOGLETRANSLATE(B2626,""en"",""de"")"),"Sie begrüßen sich und einander hohe Fünfer, um ihren Sieg auszudrücken.")</f>
        <v>Sie begrüßen sich und einander hohe Fünfer, um ihren Sieg auszudrücken.</v>
      </c>
    </row>
    <row r="2627">
      <c r="A2627" s="4" t="s">
        <v>3286</v>
      </c>
      <c r="B2627" s="4" t="s">
        <v>3297</v>
      </c>
      <c r="C2627" s="5" t="str">
        <f>IFERROR(__xludf.DUMMYFUNCTION("GOOGLETRANSLATE(B2627,""en"",""de"")"),"Das Video endet mit Details zu allen für die Veranstaltung verantwortlichen Sponsoren.")</f>
        <v>Das Video endet mit Details zu allen für die Veranstaltung verantwortlichen Sponsoren.</v>
      </c>
    </row>
    <row r="2628">
      <c r="A2628" s="4" t="s">
        <v>3298</v>
      </c>
      <c r="B2628" s="4" t="s">
        <v>3299</v>
      </c>
      <c r="C2628" s="5" t="str">
        <f>IFERROR(__xludf.DUMMYFUNCTION("GOOGLETRANSLATE(B2628,""en"",""de"")"),"Es gibt einen kleinen Jungen, der ein rotes Elmo -Hemd trägt, das mit seiner Großmutter auf einem Stiefstuhl in der Küche steht.")</f>
        <v>Es gibt einen kleinen Jungen, der ein rotes Elmo -Hemd trägt, das mit seiner Großmutter auf einem Stiefstuhl in der Küche steht.</v>
      </c>
    </row>
    <row r="2629">
      <c r="A2629" s="4" t="s">
        <v>3298</v>
      </c>
      <c r="B2629" s="4" t="s">
        <v>3300</v>
      </c>
      <c r="C2629" s="5" t="str">
        <f>IFERROR(__xludf.DUMMYFUNCTION("GOOGLETRANSLATE(B2629,""en"",""de"")"),"Sie entsorgen eine Zitrone auf einem elektrischen Entsafter, der auf der Küchentheke in der Nähe des Waschbeckens gelegt wird.")</f>
        <v>Sie entsorgen eine Zitrone auf einem elektrischen Entsafter, der auf der Küchentheke in der Nähe des Waschbeckens gelegt wird.</v>
      </c>
    </row>
    <row r="2630">
      <c r="A2630" s="4" t="s">
        <v>3298</v>
      </c>
      <c r="B2630" s="4" t="s">
        <v>3301</v>
      </c>
      <c r="C2630" s="5" t="str">
        <f>IFERROR(__xludf.DUMMYFUNCTION("GOOGLETRANSLATE(B2630,""en"",""de"")"),"Der Junge scheint aufgeregt zu sein, seiner Großmutter zu helfen, die Zitrone zu saft.")</f>
        <v>Der Junge scheint aufgeregt zu sein, seiner Großmutter zu helfen, die Zitrone zu saft.</v>
      </c>
    </row>
    <row r="2631">
      <c r="A2631" s="4" t="s">
        <v>3298</v>
      </c>
      <c r="B2631" s="4" t="s">
        <v>3302</v>
      </c>
      <c r="C2631" s="5" t="str">
        <f>IFERROR(__xludf.DUMMYFUNCTION("GOOGLETRANSLATE(B2631,""en"",""de"")"),"Er legt seine Hand über ihre Hand, während sie die Zitrone entsafelt.")</f>
        <v>Er legt seine Hand über ihre Hand, während sie die Zitrone entsafelt.</v>
      </c>
    </row>
    <row r="2632">
      <c r="A2632" s="4" t="s">
        <v>3303</v>
      </c>
      <c r="B2632" s="4" t="s">
        <v>3304</v>
      </c>
      <c r="C2632" s="5" t="str">
        <f>IFERROR(__xludf.DUMMYFUNCTION("GOOGLETRANSLATE(B2632,""en"",""de"")"),"Wir sehen einen Rasenmäher und eine Person Hand.")</f>
        <v>Wir sehen einen Rasenmäher und eine Person Hand.</v>
      </c>
    </row>
    <row r="2633">
      <c r="A2633" s="4" t="s">
        <v>3303</v>
      </c>
      <c r="B2633" s="4" t="s">
        <v>3305</v>
      </c>
      <c r="C2633" s="5" t="str">
        <f>IFERROR(__xludf.DUMMYFUNCTION("GOOGLETRANSLATE(B2633,""en"",""de"")"),"Eine Person beginnt den Mäher und es raucht.")</f>
        <v>Eine Person beginnt den Mäher und es raucht.</v>
      </c>
    </row>
    <row r="2634">
      <c r="A2634" s="4" t="s">
        <v>3303</v>
      </c>
      <c r="B2634" s="4" t="s">
        <v>3306</v>
      </c>
      <c r="C2634" s="5" t="str">
        <f>IFERROR(__xludf.DUMMYFUNCTION("GOOGLETRANSLATE(B2634,""en"",""de"")"),"Wir sehen den Mann, der den Rasen mit einem Rauchermäher mähen.")</f>
        <v>Wir sehen den Mann, der den Rasen mit einem Rauchermäher mähen.</v>
      </c>
    </row>
    <row r="2635">
      <c r="A2635" s="4" t="s">
        <v>3303</v>
      </c>
      <c r="B2635" s="4" t="s">
        <v>3307</v>
      </c>
      <c r="C2635" s="5" t="str">
        <f>IFERROR(__xludf.DUMMYFUNCTION("GOOGLETRANSLATE(B2635,""en"",""de"")"),"Wir sehen den Mäher aus der Sicht des Mähers.")</f>
        <v>Wir sehen den Mäher aus der Sicht des Mähers.</v>
      </c>
    </row>
    <row r="2636">
      <c r="A2636" s="4" t="s">
        <v>3303</v>
      </c>
      <c r="B2636" s="4" t="s">
        <v>3308</v>
      </c>
      <c r="C2636" s="5" t="str">
        <f>IFERROR(__xludf.DUMMYFUNCTION("GOOGLETRANSLATE(B2636,""en"",""de"")"),"Wir sehen, wie der Junge den Rasenmäher wieder beginnt.")</f>
        <v>Wir sehen, wie der Junge den Rasenmäher wieder beginnt.</v>
      </c>
    </row>
    <row r="2637">
      <c r="A2637" s="4" t="s">
        <v>3303</v>
      </c>
      <c r="B2637" s="4" t="s">
        <v>3309</v>
      </c>
      <c r="C2637" s="5" t="str">
        <f>IFERROR(__xludf.DUMMYFUNCTION("GOOGLETRANSLATE(B2637,""en"",""de"")"),"Der Junge mäht den Rasen.")</f>
        <v>Der Junge mäht den Rasen.</v>
      </c>
    </row>
    <row r="2638">
      <c r="A2638" s="4" t="s">
        <v>3303</v>
      </c>
      <c r="B2638" s="4" t="s">
        <v>3310</v>
      </c>
      <c r="C2638" s="5" t="str">
        <f>IFERROR(__xludf.DUMMYFUNCTION("GOOGLETRANSLATE(B2638,""en"",""de"")"),"Wir sehen dann den Jungen mit dem Mäher laufen.")</f>
        <v>Wir sehen dann den Jungen mit dem Mäher laufen.</v>
      </c>
    </row>
    <row r="2639">
      <c r="A2639" s="4" t="s">
        <v>3311</v>
      </c>
      <c r="B2639" s="4" t="s">
        <v>3312</v>
      </c>
      <c r="C2639" s="5" t="str">
        <f>IFERROR(__xludf.DUMMYFUNCTION("GOOGLETRANSLATE(B2639,""en"",""de"")"),"Ein Intro führt zu mehreren Clips von Menschen, die Rubix -Würfel lösen, während ein Timer seine Geschwindigkeit nebenbei erfasst.")</f>
        <v>Ein Intro führt zu mehreren Clips von Menschen, die Rubix -Würfel lösen, während ein Timer seine Geschwindigkeit nebenbei erfasst.</v>
      </c>
    </row>
    <row r="2640">
      <c r="A2640" s="4" t="s">
        <v>3311</v>
      </c>
      <c r="B2640" s="4" t="s">
        <v>3313</v>
      </c>
      <c r="C2640" s="5" t="str">
        <f>IFERROR(__xludf.DUMMYFUNCTION("GOOGLETRANSLATE(B2640,""en"",""de"")"),"Weitere Menschen lösen das Rätsel weiter, während die Kamera sie von vielen Seiten erfasst.")</f>
        <v>Weitere Menschen lösen das Rätsel weiter, während die Kamera sie von vielen Seiten erfasst.</v>
      </c>
    </row>
    <row r="2641">
      <c r="A2641" s="4" t="s">
        <v>3314</v>
      </c>
      <c r="B2641" s="4" t="s">
        <v>3315</v>
      </c>
      <c r="C2641" s="5" t="str">
        <f>IFERROR(__xludf.DUMMYFUNCTION("GOOGLETRANSLATE(B2641,""en"",""de"")"),"Ein vierköpfiges Percussion- und Streichband spielen auf einer Bühne, wobei der Schwerpunkt ein Mann auf den Bongos in der Mitte der Bühne ist und Sonnenschirme in Innenräumen trägt.")</f>
        <v>Ein vierköpfiges Percussion- und Streichband spielen auf einer Bühne, wobei der Schwerpunkt ein Mann auf den Bongos in der Mitte der Bühne ist und Sonnenschirme in Innenräumen trägt.</v>
      </c>
    </row>
    <row r="2642">
      <c r="A2642" s="4" t="s">
        <v>3314</v>
      </c>
      <c r="B2642" s="4" t="s">
        <v>3316</v>
      </c>
      <c r="C2642" s="5" t="str">
        <f>IFERROR(__xludf.DUMMYFUNCTION("GOOGLETRANSLATE(B2642,""en"",""de"")"),"Ein Mann spielt Bongos auf animierte Weise, während eine Frau neben ihm die Keyboard spielt und ein Mann hinter ihm Gitarre spielt.")</f>
        <v>Ein Mann spielt Bongos auf animierte Weise, während eine Frau neben ihm die Keyboard spielt und ein Mann hinter ihm Gitarre spielt.</v>
      </c>
    </row>
    <row r="2643">
      <c r="A2643" s="4" t="s">
        <v>3314</v>
      </c>
      <c r="B2643" s="4" t="s">
        <v>3317</v>
      </c>
      <c r="C2643" s="5" t="str">
        <f>IFERROR(__xludf.DUMMYFUNCTION("GOOGLETRANSLATE(B2643,""en"",""de"")"),"Ein Mann neben ihm beginnt einen Stock gegen ein metallisches Percussion -Instrument zu schlagen.")</f>
        <v>Ein Mann neben ihm beginnt einen Stock gegen ein metallisches Percussion -Instrument zu schlagen.</v>
      </c>
    </row>
    <row r="2644">
      <c r="A2644" s="4" t="s">
        <v>3314</v>
      </c>
      <c r="B2644" s="4" t="s">
        <v>3318</v>
      </c>
      <c r="C2644" s="5" t="str">
        <f>IFERROR(__xludf.DUMMYFUNCTION("GOOGLETRANSLATE(B2644,""en"",""de"")"),"Der Mann, der den Bongos spielt, schlägt einen von ihnen an, an diesem Punkt, an dem der Mann neben ihm den Bongo wieder aufrecht stellt.")</f>
        <v>Der Mann, der den Bongos spielt, schlägt einen von ihnen an, an diesem Punkt, an dem der Mann neben ihm den Bongo wieder aufrecht stellt.</v>
      </c>
    </row>
    <row r="2645">
      <c r="A2645" s="4" t="s">
        <v>3319</v>
      </c>
      <c r="B2645" s="4" t="s">
        <v>3320</v>
      </c>
      <c r="C2645" s="5" t="str">
        <f>IFERROR(__xludf.DUMMYFUNCTION("GOOGLETRANSLATE(B2645,""en"",""de"")"),"Al beginnt seine Skispitzen mit einem Eisen und einem Schwamm.")</f>
        <v>Al beginnt seine Skispitzen mit einem Eisen und einem Schwamm.</v>
      </c>
    </row>
    <row r="2646">
      <c r="A2646" s="4" t="s">
        <v>3319</v>
      </c>
      <c r="B2646" s="4" t="s">
        <v>3321</v>
      </c>
      <c r="C2646" s="5" t="str">
        <f>IFERROR(__xludf.DUMMYFUNCTION("GOOGLETRANSLATE(B2646,""en"",""de"")"),"Demonstrieren, was und wie Sie es auf den Skis verwenden würden.")</f>
        <v>Demonstrieren, was und wie Sie es auf den Skis verwenden würden.</v>
      </c>
    </row>
    <row r="2647">
      <c r="A2647" s="4" t="s">
        <v>3319</v>
      </c>
      <c r="B2647" s="4" t="s">
        <v>3322</v>
      </c>
      <c r="C2647" s="5" t="str">
        <f>IFERROR(__xludf.DUMMYFUNCTION("GOOGLETRANSLATE(B2647,""en"",""de"")"),"Er zeigt dich auf dem Ski, wie man es anzieht.")</f>
        <v>Er zeigt dich auf dem Ski, wie man es anzieht.</v>
      </c>
    </row>
    <row r="2648">
      <c r="A2648" s="4" t="s">
        <v>3319</v>
      </c>
      <c r="B2648" s="4" t="s">
        <v>3323</v>
      </c>
      <c r="C2648" s="5" t="str">
        <f>IFERROR(__xludf.DUMMYFUNCTION("GOOGLETRANSLATE(B2648,""en"",""de"")"),"Dann erklärt er etwas mehr über den Prozess.")</f>
        <v>Dann erklärt er etwas mehr über den Prozess.</v>
      </c>
    </row>
    <row r="2649">
      <c r="A2649" s="4" t="s">
        <v>3324</v>
      </c>
      <c r="B2649" s="4" t="s">
        <v>3325</v>
      </c>
      <c r="C2649" s="5" t="str">
        <f>IFERROR(__xludf.DUMMYFUNCTION("GOOGLETRANSLATE(B2649,""en"",""de"")"),"Eine Person steht vor einer großen Strecke, die eine Stange hält.")</f>
        <v>Eine Person steht vor einer großen Strecke, die eine Stange hält.</v>
      </c>
    </row>
    <row r="2650">
      <c r="A2650" s="4" t="s">
        <v>3324</v>
      </c>
      <c r="B2650" s="4" t="s">
        <v>3326</v>
      </c>
      <c r="C2650" s="5" t="str">
        <f>IFERROR(__xludf.DUMMYFUNCTION("GOOGLETRANSLATE(B2650,""en"",""de"")"),"Die Person beginnt die Strecke hinunter zu rennen, während die Stange noch hält.")</f>
        <v>Die Person beginnt die Strecke hinunter zu rennen, während die Stange noch hält.</v>
      </c>
    </row>
    <row r="2651">
      <c r="A2651" s="4" t="s">
        <v>3324</v>
      </c>
      <c r="B2651" s="4" t="s">
        <v>3327</v>
      </c>
      <c r="C2651" s="5" t="str">
        <f>IFERROR(__xludf.DUMMYFUNCTION("GOOGLETRANSLATE(B2651,""en"",""de"")"),"Der Mann springt dann über einen Strahl auf eine Matte.")</f>
        <v>Der Mann springt dann über einen Strahl auf eine Matte.</v>
      </c>
    </row>
    <row r="2652">
      <c r="A2652" s="4" t="s">
        <v>3328</v>
      </c>
      <c r="B2652" s="4" t="s">
        <v>3329</v>
      </c>
      <c r="C2652" s="5" t="str">
        <f>IFERROR(__xludf.DUMMYFUNCTION("GOOGLETRANSLATE(B2652,""en"",""de"")"),"Eine Frau hinter einer Bar, die erklärt, wie man etwas trinken kann.")</f>
        <v>Eine Frau hinter einer Bar, die erklärt, wie man etwas trinken kann.</v>
      </c>
    </row>
    <row r="2653">
      <c r="A2653" s="4" t="s">
        <v>3328</v>
      </c>
      <c r="B2653" s="4" t="s">
        <v>3330</v>
      </c>
      <c r="C2653" s="5" t="str">
        <f>IFERROR(__xludf.DUMMYFUNCTION("GOOGLETRANSLATE(B2653,""en"",""de"")"),"Sie gießt mehrere Zutaten in einen Shaker und schüttelt ihn.")</f>
        <v>Sie gießt mehrere Zutaten in einen Shaker und schüttelt ihn.</v>
      </c>
    </row>
    <row r="2654">
      <c r="A2654" s="4" t="s">
        <v>3328</v>
      </c>
      <c r="B2654" s="4" t="s">
        <v>3331</v>
      </c>
      <c r="C2654" s="5" t="str">
        <f>IFERROR(__xludf.DUMMYFUNCTION("GOOGLETRANSLATE(B2654,""en"",""de"")"),"Dann gießt sie das Getränk aus dem Shaker in ein Schnapsglas und hält es hoch.")</f>
        <v>Dann gießt sie das Getränk aus dem Shaker in ein Schnapsglas und hält es hoch.</v>
      </c>
    </row>
    <row r="2655">
      <c r="A2655" s="4" t="s">
        <v>3332</v>
      </c>
      <c r="B2655" s="4" t="s">
        <v>3333</v>
      </c>
      <c r="C2655" s="5" t="str">
        <f>IFERROR(__xludf.DUMMYFUNCTION("GOOGLETRANSLATE(B2655,""en"",""de"")"),"Ein Hund wird in eine Badewanne gestellt.")</f>
        <v>Ein Hund wird in eine Badewanne gestellt.</v>
      </c>
    </row>
    <row r="2656">
      <c r="A2656" s="4" t="s">
        <v>3332</v>
      </c>
      <c r="B2656" s="4" t="s">
        <v>3334</v>
      </c>
      <c r="C2656" s="5" t="str">
        <f>IFERROR(__xludf.DUMMYFUNCTION("GOOGLETRANSLATE(B2656,""en"",""de"")"),"Ein Mädchen gießt Wasser aus einer Tasse auf den Hund.")</f>
        <v>Ein Mädchen gießt Wasser aus einer Tasse auf den Hund.</v>
      </c>
    </row>
    <row r="2657">
      <c r="A2657" s="4" t="s">
        <v>3332</v>
      </c>
      <c r="B2657" s="4" t="s">
        <v>3335</v>
      </c>
      <c r="C2657" s="5" t="str">
        <f>IFERROR(__xludf.DUMMYFUNCTION("GOOGLETRANSLATE(B2657,""en"",""de"")"),"Sie reibt Shampoo an das Hundefell.")</f>
        <v>Sie reibt Shampoo an das Hundefell.</v>
      </c>
    </row>
    <row r="2658">
      <c r="A2658" s="4" t="s">
        <v>3332</v>
      </c>
      <c r="B2658" s="4" t="s">
        <v>3336</v>
      </c>
      <c r="C2658" s="5" t="str">
        <f>IFERROR(__xludf.DUMMYFUNCTION("GOOGLETRANSLATE(B2658,""en"",""de"")"),"Sie trocknet den Hund mit einem Handtuch ab.")</f>
        <v>Sie trocknet den Hund mit einem Handtuch ab.</v>
      </c>
    </row>
    <row r="2659">
      <c r="A2659" s="4" t="s">
        <v>3337</v>
      </c>
      <c r="B2659" s="4" t="s">
        <v>3338</v>
      </c>
      <c r="C2659" s="5" t="str">
        <f>IFERROR(__xludf.DUMMYFUNCTION("GOOGLETRANSLATE(B2659,""en"",""de"")"),"Drei Kinder schlagen einen Ball mit einem Schläger.")</f>
        <v>Drei Kinder schlagen einen Ball mit einem Schläger.</v>
      </c>
    </row>
    <row r="2660">
      <c r="A2660" s="4" t="s">
        <v>3337</v>
      </c>
      <c r="B2660" s="4" t="s">
        <v>3339</v>
      </c>
      <c r="C2660" s="5" t="str">
        <f>IFERROR(__xludf.DUMMYFUNCTION("GOOGLETRANSLATE(B2660,""en"",""de"")"),"Sie ducken, so dass es sie nicht in ihren Köpfen trifft.")</f>
        <v>Sie ducken, so dass es sie nicht in ihren Köpfen trifft.</v>
      </c>
    </row>
    <row r="2661">
      <c r="A2661" s="4" t="s">
        <v>3337</v>
      </c>
      <c r="B2661" s="4" t="s">
        <v>3340</v>
      </c>
      <c r="C2661" s="5" t="str">
        <f>IFERROR(__xludf.DUMMYFUNCTION("GOOGLETRANSLATE(B2661,""en"",""de"")"),"Sie wechseln jeweils abwechselnd auf den Ball.")</f>
        <v>Sie wechseln jeweils abwechselnd auf den Ball.</v>
      </c>
    </row>
    <row r="2662">
      <c r="A2662" s="4" t="s">
        <v>3337</v>
      </c>
      <c r="B2662" s="4" t="s">
        <v>3341</v>
      </c>
      <c r="C2662" s="5" t="str">
        <f>IFERROR(__xludf.DUMMYFUNCTION("GOOGLETRANSLATE(B2662,""en"",""de"")"),"Bewegen Sie sich über den ganzen Platz herum, um es zu fangen.")</f>
        <v>Bewegen Sie sich über den ganzen Platz herum, um es zu fangen.</v>
      </c>
    </row>
    <row r="2663">
      <c r="A2663" s="4" t="s">
        <v>3342</v>
      </c>
      <c r="B2663" s="4" t="s">
        <v>3343</v>
      </c>
      <c r="C2663" s="5" t="str">
        <f>IFERROR(__xludf.DUMMYFUNCTION("GOOGLETRANSLATE(B2663,""en"",""de"")"),"Eine Frau, die Pyjamas trägt, redet und steht auf einer stern dekorierten Bühne.")</f>
        <v>Eine Frau, die Pyjamas trägt, redet und steht auf einer stern dekorierten Bühne.</v>
      </c>
    </row>
    <row r="2664">
      <c r="A2664" s="4" t="s">
        <v>3342</v>
      </c>
      <c r="B2664" s="4" t="s">
        <v>3344</v>
      </c>
      <c r="C2664" s="5" t="str">
        <f>IFERROR(__xludf.DUMMYFUNCTION("GOOGLETRANSLATE(B2664,""en"",""de"")"),"Sie demonstriert mehrere Tanzschritte, während sie spricht.")</f>
        <v>Sie demonstriert mehrere Tanzschritte, während sie spricht.</v>
      </c>
    </row>
    <row r="2665">
      <c r="A2665" s="4" t="s">
        <v>3342</v>
      </c>
      <c r="B2665" s="4" t="s">
        <v>3345</v>
      </c>
      <c r="C2665" s="5" t="str">
        <f>IFERROR(__xludf.DUMMYFUNCTION("GOOGLETRANSLATE(B2665,""en"",""de"")"),"Sie tritt hin und her, dreht sich um und schüttelt ihre Hüften wie eine Bauchtänzerin.")</f>
        <v>Sie tritt hin und her, dreht sich um und schüttelt ihre Hüften wie eine Bauchtänzerin.</v>
      </c>
    </row>
    <row r="2666">
      <c r="A2666" s="4" t="s">
        <v>3346</v>
      </c>
      <c r="B2666" s="4" t="s">
        <v>3347</v>
      </c>
      <c r="C2666" s="5" t="str">
        <f>IFERROR(__xludf.DUMMYFUNCTION("GOOGLETRANSLATE(B2666,""en"",""de"")"),"Es gibt eine Mannschaft von Jungen, die in blauen Uniformen gekleidet sind, die Fußball gegen eine andere Mannschaft von Jungen spielen, die in blau gestreiften Uniformen in einem Indoor -Fitnessstudio gekleidet sind.")</f>
        <v>Es gibt eine Mannschaft von Jungen, die in blauen Uniformen gekleidet sind, die Fußball gegen eine andere Mannschaft von Jungen spielen, die in blau gestreiften Uniformen in einem Indoor -Fitnessstudio gekleidet sind.</v>
      </c>
    </row>
    <row r="2667">
      <c r="A2667" s="4" t="s">
        <v>3346</v>
      </c>
      <c r="B2667" s="4" t="s">
        <v>3348</v>
      </c>
      <c r="C2667" s="5" t="str">
        <f>IFERROR(__xludf.DUMMYFUNCTION("GOOGLETRANSLATE(B2667,""en"",""de"")"),"Es gibt mehrere Zuschauer, die auf der Seite sitzen und die Spieler beim Fußball spielen.")</f>
        <v>Es gibt mehrere Zuschauer, die auf der Seite sitzen und die Spieler beim Fußball spielen.</v>
      </c>
    </row>
    <row r="2668">
      <c r="A2668" s="4" t="s">
        <v>3346</v>
      </c>
      <c r="B2668" s="4" t="s">
        <v>3349</v>
      </c>
      <c r="C2668" s="5" t="str">
        <f>IFERROR(__xludf.DUMMYFUNCTION("GOOGLETRANSLATE(B2668,""en"",""de"")"),"Der in Gelb gekleidete Torwart versucht, den Ball des Gegners zu stoppen.")</f>
        <v>Der in Gelb gekleidete Torwart versucht, den Ball des Gegners zu stoppen.</v>
      </c>
    </row>
    <row r="2669">
      <c r="A2669" s="4" t="s">
        <v>3346</v>
      </c>
      <c r="B2669" s="4" t="s">
        <v>3350</v>
      </c>
      <c r="C2669" s="5" t="str">
        <f>IFERROR(__xludf.DUMMYFUNCTION("GOOGLETRANSLATE(B2669,""en"",""de"")"),"Es gibt auch ein weiteres Fußballspiel zwischen einem rot gekleideten Team und einem Mann gekleidetes Inn Blue.")</f>
        <v>Es gibt auch ein weiteres Fußballspiel zwischen einem rot gekleideten Team und einem Mann gekleidetes Inn Blue.</v>
      </c>
    </row>
    <row r="2670">
      <c r="A2670" s="4" t="s">
        <v>3346</v>
      </c>
      <c r="B2670" s="4" t="s">
        <v>3351</v>
      </c>
      <c r="C2670" s="5" t="str">
        <f>IFERROR(__xludf.DUMMYFUNCTION("GOOGLETRANSLATE(B2670,""en"",""de"")"),"Die erste Mannschaftsgruppe spielen das Spiel weiter, da das Solid Blue Team ein Tor erzielt.")</f>
        <v>Die erste Mannschaftsgruppe spielen das Spiel weiter, da das Solid Blue Team ein Tor erzielt.</v>
      </c>
    </row>
    <row r="2671">
      <c r="A2671" s="4" t="s">
        <v>3352</v>
      </c>
      <c r="B2671" s="4" t="s">
        <v>3353</v>
      </c>
      <c r="C2671" s="5" t="str">
        <f>IFERROR(__xludf.DUMMYFUNCTION("GOOGLETRANSLATE(B2671,""en"",""de"")"),"Eine Gruppe von Menschen beginnt, eine Struktur in der Nähe des Ufers zu graben.")</f>
        <v>Eine Gruppe von Menschen beginnt, eine Struktur in der Nähe des Ufers zu graben.</v>
      </c>
    </row>
    <row r="2672">
      <c r="A2672" s="4" t="s">
        <v>3352</v>
      </c>
      <c r="B2672" s="4" t="s">
        <v>3354</v>
      </c>
      <c r="C2672" s="5" t="str">
        <f>IFERROR(__xludf.DUMMYFUNCTION("GOOGLETRANSLATE(B2672,""en"",""de"")"),"Da das Graben weitergeht, schließen sich mehr Menschen mit einem Muster mit dem Graben an.")</f>
        <v>Da das Graben weitergeht, schließen sich mehr Menschen mit einem Muster mit dem Graben an.</v>
      </c>
    </row>
    <row r="2673">
      <c r="A2673" s="4" t="s">
        <v>3352</v>
      </c>
      <c r="B2673" s="4" t="s">
        <v>3355</v>
      </c>
      <c r="C2673" s="5" t="str">
        <f>IFERROR(__xludf.DUMMYFUNCTION("GOOGLETRANSLATE(B2673,""en"",""de"")"),"Das Graben geht weiter und die Leute fangen an, steine ​​Felsen linear um das Rig zu hindern und neben den Felsen zu graben und schließlich die Felsen mit Sand zu bedecken.")</f>
        <v>Das Graben geht weiter und die Leute fangen an, steine ​​Felsen linear um das Rig zu hindern und neben den Felsen zu graben und schließlich die Felsen mit Sand zu bedecken.</v>
      </c>
    </row>
    <row r="2674">
      <c r="A2674" s="4" t="s">
        <v>3352</v>
      </c>
      <c r="B2674" s="4" t="s">
        <v>3356</v>
      </c>
      <c r="C2674" s="5" t="str">
        <f>IFERROR(__xludf.DUMMYFUNCTION("GOOGLETRANSLATE(B2674,""en"",""de"")"),"Schließlich bewegt sich in der Flut nach oben und beginnt, die geschaffene Struktur zu zerstören.")</f>
        <v>Schließlich bewegt sich in der Flut nach oben und beginnt, die geschaffene Struktur zu zerstören.</v>
      </c>
    </row>
    <row r="2675">
      <c r="A2675" s="4" t="s">
        <v>3352</v>
      </c>
      <c r="B2675" s="4" t="s">
        <v>3357</v>
      </c>
      <c r="C2675" s="5" t="str">
        <f>IFERROR(__xludf.DUMMYFUNCTION("GOOGLETRANSLATE(B2675,""en"",""de"")"),"Am Ende beobachten die Menschen die scheiternde Struktur und gehen, während ein Mädchen in der Mitte steht, während sich das Wasser aufgreift und sie vollständig zerstört.")</f>
        <v>Am Ende beobachten die Menschen die scheiternde Struktur und gehen, während ein Mädchen in der Mitte steht, während sich das Wasser aufgreift und sie vollständig zerstört.</v>
      </c>
    </row>
    <row r="2676">
      <c r="A2676" s="4" t="s">
        <v>3358</v>
      </c>
      <c r="B2676" s="4" t="s">
        <v>3359</v>
      </c>
      <c r="C2676" s="5" t="str">
        <f>IFERROR(__xludf.DUMMYFUNCTION("GOOGLETRANSLATE(B2676,""en"",""de"")"),"Zwei Menschen reiten um Pferde und führen zu mehr Menschen, die Pferde reiten und herumlaufen.")</f>
        <v>Zwei Menschen reiten um Pferde und führen zu mehr Menschen, die Pferde reiten und herumlaufen.</v>
      </c>
    </row>
    <row r="2677">
      <c r="A2677" s="4" t="s">
        <v>3358</v>
      </c>
      <c r="B2677" s="4" t="s">
        <v>3360</v>
      </c>
      <c r="C2677" s="5" t="str">
        <f>IFERROR(__xludf.DUMMYFUNCTION("GOOGLETRANSLATE(B2677,""en"",""de"")"),"Ein Mann führt ein anderes mit einem Pferd um ein Feld, während ein Hund hinter ihm herumläuft.")</f>
        <v>Ein Mann führt ein anderes mit einem Pferd um ein Feld, während ein Hund hinter ihm herumläuft.</v>
      </c>
    </row>
    <row r="2678">
      <c r="A2678" s="4" t="s">
        <v>3358</v>
      </c>
      <c r="B2678" s="4" t="s">
        <v>3361</v>
      </c>
      <c r="C2678" s="5" t="str">
        <f>IFERROR(__xludf.DUMMYFUNCTION("GOOGLETRANSLATE(B2678,""en"",""de"")"),"Die Kamera interviewt einen Mann, der mit anderen spricht, während er die Pferde hält.")</f>
        <v>Die Kamera interviewt einen Mann, der mit anderen spricht, während er die Pferde hält.</v>
      </c>
    </row>
    <row r="2679">
      <c r="A2679" s="4" t="s">
        <v>3362</v>
      </c>
      <c r="B2679" s="4" t="s">
        <v>3363</v>
      </c>
      <c r="C2679" s="5" t="str">
        <f>IFERROR(__xludf.DUMMYFUNCTION("GOOGLETRANSLATE(B2679,""en"",""de"")"),"Ein Mann spricht mit der Kamera, während er an verschiedenen Orten an einer Leine festhält.")</f>
        <v>Ein Mann spricht mit der Kamera, während er an verschiedenen Orten an einer Leine festhält.</v>
      </c>
    </row>
    <row r="2680">
      <c r="A2680" s="4" t="s">
        <v>3362</v>
      </c>
      <c r="B2680" s="4" t="s">
        <v>3364</v>
      </c>
      <c r="C2680" s="5" t="str">
        <f>IFERROR(__xludf.DUMMYFUNCTION("GOOGLETRANSLATE(B2680,""en"",""de"")"),"Der Mann wird dann gesehen, wie er um einen Hund herumläuft und führt wieder in ihn hinein und spricht immer noch mit der Kamera.")</f>
        <v>Der Mann wird dann gesehen, wie er um einen Hund herumläuft und führt wieder in ihn hinein und spricht immer noch mit der Kamera.</v>
      </c>
    </row>
    <row r="2681">
      <c r="A2681" s="4" t="s">
        <v>3362</v>
      </c>
      <c r="B2681" s="4" t="s">
        <v>3365</v>
      </c>
      <c r="C2681" s="5" t="str">
        <f>IFERROR(__xludf.DUMMYFUNCTION("GOOGLETRANSLATE(B2681,""en"",""de"")"),"Er spricht weiterhin mehr, während er sich am Seil festhält und mit dem Hund herumläuft.")</f>
        <v>Er spricht weiterhin mehr, während er sich am Seil festhält und mit dem Hund herumläuft.</v>
      </c>
    </row>
    <row r="2682">
      <c r="A2682" s="4" t="s">
        <v>3366</v>
      </c>
      <c r="B2682" s="4" t="s">
        <v>3367</v>
      </c>
      <c r="C2682" s="5" t="str">
        <f>IFERROR(__xludf.DUMMYFUNCTION("GOOGLETRANSLATE(B2682,""en"",""de"")"),"Ein Mann spricht mit der Kamera und führt zu einem sportlichen Mädchen, das auf ungleichmäßigen Bars herumschwingt.")</f>
        <v>Ein Mann spricht mit der Kamera und führt zu einem sportlichen Mädchen, das auf ungleichmäßigen Bars herumschwingt.</v>
      </c>
    </row>
    <row r="2683">
      <c r="A2683" s="4" t="s">
        <v>3366</v>
      </c>
      <c r="B2683" s="4" t="s">
        <v>3368</v>
      </c>
      <c r="C2683" s="5" t="str">
        <f>IFERROR(__xludf.DUMMYFUNCTION("GOOGLETRANSLATE(B2683,""en"",""de"")"),"Sie hüpft runter, während der Mann wieder spricht und sich zurückschaltet und vierten zu ihm spricht und ihre Leistung.")</f>
        <v>Sie hüpft runter, während der Mann wieder spricht und sich zurückschaltet und vierten zu ihm spricht und ihre Leistung.</v>
      </c>
    </row>
    <row r="2684">
      <c r="A2684" s="4" t="s">
        <v>3366</v>
      </c>
      <c r="B2684" s="4" t="s">
        <v>3369</v>
      </c>
      <c r="C2684" s="5" t="str">
        <f>IFERROR(__xludf.DUMMYFUNCTION("GOOGLETRANSLATE(B2684,""en"",""de"")"),"Sie legt Kreide auf ihre Hände und flippt weiter auf den Bars und der Mann endet mit dem Sprechen.")</f>
        <v>Sie legt Kreide auf ihre Hände und flippt weiter auf den Bars und der Mann endet mit dem Sprechen.</v>
      </c>
    </row>
    <row r="2685">
      <c r="A2685" s="4" t="s">
        <v>3370</v>
      </c>
      <c r="B2685" s="4" t="s">
        <v>3371</v>
      </c>
      <c r="C2685" s="5" t="str">
        <f>IFERROR(__xludf.DUMMYFUNCTION("GOOGLETRANSLATE(B2685,""en"",""de"")"),"Eine Kamera schwenkt über mehrere Landschaften in der Wüste sowie den Nachthimmel.")</f>
        <v>Eine Kamera schwenkt über mehrere Landschaften in der Wüste sowie den Nachthimmel.</v>
      </c>
    </row>
    <row r="2686">
      <c r="A2686" s="4" t="s">
        <v>3370</v>
      </c>
      <c r="B2686" s="4" t="s">
        <v>3372</v>
      </c>
      <c r="C2686" s="5" t="str">
        <f>IFERROR(__xludf.DUMMYFUNCTION("GOOGLETRANSLATE(B2686,""en"",""de"")"),"Die Sonne steigt und es werden mehr Landschaften wie Tiere in der Gegend gezeigt.")</f>
        <v>Die Sonne steigt und es werden mehr Landschaften wie Tiere in der Gegend gezeigt.</v>
      </c>
    </row>
    <row r="2687">
      <c r="A2687" s="4" t="s">
        <v>3370</v>
      </c>
      <c r="B2687" s="4" t="s">
        <v>3373</v>
      </c>
      <c r="C2687" s="5" t="str">
        <f>IFERROR(__xludf.DUMMYFUNCTION("GOOGLETRANSLATE(B2687,""en"",""de"")"),"Die Leute werden dann auf einem Boot durch einen harten Fluss herumfahren und mit einem Flugzeug über die Gegend enden.")</f>
        <v>Die Leute werden dann auf einem Boot durch einen harten Fluss herumfahren und mit einem Flugzeug über die Gegend enden.</v>
      </c>
    </row>
    <row r="2688">
      <c r="A2688" s="4" t="s">
        <v>3374</v>
      </c>
      <c r="B2688" s="4" t="s">
        <v>3375</v>
      </c>
      <c r="C2688" s="5" t="str">
        <f>IFERROR(__xludf.DUMMYFUNCTION("GOOGLETRANSLATE(B2688,""en"",""de"")"),"Das Gesicht eines Mannes ist in der Nähe zu spricht und führt zu ihm, um eine Zigarette zu rauchen.")</f>
        <v>Das Gesicht eines Mannes ist in der Nähe zu spricht und führt zu ihm, um eine Zigarette zu rauchen.</v>
      </c>
    </row>
    <row r="2689">
      <c r="A2689" s="4" t="s">
        <v>3374</v>
      </c>
      <c r="B2689" s="4" t="s">
        <v>3376</v>
      </c>
      <c r="C2689" s="5" t="str">
        <f>IFERROR(__xludf.DUMMYFUNCTION("GOOGLETRANSLATE(B2689,""en"",""de"")"),"Der Mann nimmt weiterhin die Zigarette heraus, während er Rauch in die Ferne bläst.")</f>
        <v>Der Mann nimmt weiterhin die Zigarette heraus, während er Rauch in die Ferne bläst.</v>
      </c>
    </row>
    <row r="2690">
      <c r="A2690" s="4" t="s">
        <v>3374</v>
      </c>
      <c r="B2690" s="4" t="s">
        <v>3377</v>
      </c>
      <c r="C2690" s="5" t="str">
        <f>IFERROR(__xludf.DUMMYFUNCTION("GOOGLETRANSLATE(B2690,""en"",""de"")"),"Er bewegt seine Hand auf und ab, um zu rauchen und den Rauch auszublasen.")</f>
        <v>Er bewegt seine Hand auf und ab, um zu rauchen und den Rauch auszublasen.</v>
      </c>
    </row>
    <row r="2691">
      <c r="A2691" s="4" t="s">
        <v>3378</v>
      </c>
      <c r="B2691" s="4" t="s">
        <v>3379</v>
      </c>
      <c r="C2691" s="5" t="str">
        <f>IFERROR(__xludf.DUMMYFUNCTION("GOOGLETRANSLATE(B2691,""en"",""de"")"),"Ein Mann spricht mit der Kamera, während er ein Messer in den Händen hält, und beginnt das Messer entlang eines Bretts zu schärfen.")</f>
        <v>Ein Mann spricht mit der Kamera, während er ein Messer in den Händen hält, und beginnt das Messer entlang eines Bretts zu schärfen.</v>
      </c>
    </row>
    <row r="2692">
      <c r="A2692" s="4" t="s">
        <v>3378</v>
      </c>
      <c r="B2692" s="4" t="s">
        <v>3380</v>
      </c>
      <c r="C2692" s="5" t="str">
        <f>IFERROR(__xludf.DUMMYFUNCTION("GOOGLETRANSLATE(B2692,""en"",""de"")"),"Der Mann schärft die Klinge weiter und verwendet dann andere Bretter, um das Messer zu schärfen.")</f>
        <v>Der Mann schärft die Klinge weiter und verwendet dann andere Bretter, um das Messer zu schärfen.</v>
      </c>
    </row>
    <row r="2693">
      <c r="A2693" s="4" t="s">
        <v>3381</v>
      </c>
      <c r="B2693" s="4" t="s">
        <v>3382</v>
      </c>
      <c r="C2693" s="5" t="str">
        <f>IFERROR(__xludf.DUMMYFUNCTION("GOOGLETRANSLATE(B2693,""en"",""de"")"),"Die Frau wird gezeigt, dass sie ihre Füße in ihre Schuhe steckt, während sie gebunden sind.")</f>
        <v>Die Frau wird gezeigt, dass sie ihre Füße in ihre Schuhe steckt, während sie gebunden sind.</v>
      </c>
    </row>
    <row r="2694">
      <c r="A2694" s="4" t="s">
        <v>3381</v>
      </c>
      <c r="B2694" s="4" t="s">
        <v>3383</v>
      </c>
      <c r="C2694" s="5" t="str">
        <f>IFERROR(__xludf.DUMMYFUNCTION("GOOGLETRANSLATE(B2694,""en"",""de"")"),"Aber nach ein paar Minuten, in dem sie ihre Füße vom Boden hebt, nimmt sie sie ab, ohne ihre Hände zu benutzen.")</f>
        <v>Aber nach ein paar Minuten, in dem sie ihre Füße vom Boden hebt, nimmt sie sie ab, ohne ihre Hände zu benutzen.</v>
      </c>
    </row>
    <row r="2695">
      <c r="A2695" s="4" t="s">
        <v>3381</v>
      </c>
      <c r="B2695" s="4" t="s">
        <v>3384</v>
      </c>
      <c r="C2695" s="5" t="str">
        <f>IFERROR(__xludf.DUMMYFUNCTION("GOOGLETRANSLATE(B2695,""en"",""de"")"),"Dann biegt sie sich nieder, um die Kamera auszuschalten.")</f>
        <v>Dann biegt sie sich nieder, um die Kamera auszuschalten.</v>
      </c>
    </row>
    <row r="2696">
      <c r="A2696" s="4" t="s">
        <v>3385</v>
      </c>
      <c r="B2696" s="4" t="s">
        <v>3386</v>
      </c>
      <c r="C2696" s="5" t="str">
        <f>IFERROR(__xludf.DUMMYFUNCTION("GOOGLETRANSLATE(B2696,""en"",""de"")"),"Mehrere junge Männer zeigen Rollerblading -Stunts, die viele verschiedene Fußgängerumgebungen verwenden, um die Stunts zu präsentieren, darunter Gehwege, Treppenhäuser, Treppengeländer, Wände und Parkplätze.")</f>
        <v>Mehrere junge Männer zeigen Rollerblading -Stunts, die viele verschiedene Fußgängerumgebungen verwenden, um die Stunts zu präsentieren, darunter Gehwege, Treppenhäuser, Treppengeländer, Wände und Parkplätze.</v>
      </c>
    </row>
    <row r="2697">
      <c r="A2697" s="4" t="s">
        <v>3385</v>
      </c>
      <c r="B2697" s="4" t="s">
        <v>3387</v>
      </c>
      <c r="C2697" s="5" t="str">
        <f>IFERROR(__xludf.DUMMYFUNCTION("GOOGLETRANSLATE(B2697,""en"",""de"")"),"Eine Kamera nimmt mehrere offene Umgebungsaufnahmen auf, die Palmenlinien aufnehmen, und ein riesiges Stadtbild voller Gebäude und etwas Laub.")</f>
        <v>Eine Kamera nimmt mehrere offene Umgebungsaufnahmen auf, die Palmenlinien aufnehmen, und ein riesiges Stadtbild voller Gebäude und etwas Laub.</v>
      </c>
    </row>
    <row r="2698">
      <c r="A2698" s="4" t="s">
        <v>3385</v>
      </c>
      <c r="B2698" s="4" t="s">
        <v>3388</v>
      </c>
      <c r="C2698" s="5" t="str">
        <f>IFERROR(__xludf.DUMMYFUNCTION("GOOGLETRANSLATE(B2698,""en"",""de"")"),"Eine Gruppe junger Männer wird nacheinander mit einer Vorlage auf dem Bildschirm, Rollerblading -Stunts auf Treppen und Treppengeländern, in die Luft, auf Schienen und Landung gesprungen.")</f>
        <v>Eine Gruppe junger Männer wird nacheinander mit einer Vorlage auf dem Bildschirm, Rollerblading -Stunts auf Treppen und Treppengeländern, in die Luft, auf Schienen und Landung gesprungen.</v>
      </c>
    </row>
    <row r="2699">
      <c r="A2699" s="4" t="s">
        <v>3385</v>
      </c>
      <c r="B2699" s="4" t="s">
        <v>3389</v>
      </c>
      <c r="C2699" s="5" t="str">
        <f>IFERROR(__xludf.DUMMYFUNCTION("GOOGLETRANSLATE(B2699,""en"",""de"")"),"Die Männer zeigen einige Pannen, in denen sie nach dem Stunt fallen, aber dann erfolgreich mehr Stunts durchführen.")</f>
        <v>Die Männer zeigen einige Pannen, in denen sie nach dem Stunt fallen, aber dann erfolgreich mehr Stunts durchführen.</v>
      </c>
    </row>
    <row r="2700">
      <c r="A2700" s="4" t="s">
        <v>3390</v>
      </c>
      <c r="B2700" s="4" t="s">
        <v>3391</v>
      </c>
      <c r="C2700" s="5" t="str">
        <f>IFERROR(__xludf.DUMMYFUNCTION("GOOGLETRANSLATE(B2700,""en"",""de"")"),"Ein Turner wird gesehen, wie es in die Ferne schaut und führt in ihre Arme in ihre Arme.")</f>
        <v>Ein Turner wird gesehen, wie es in die Ferne schaut und führt in ihre Arme in ihre Arme.</v>
      </c>
    </row>
    <row r="2701">
      <c r="A2701" s="4" t="s">
        <v>3390</v>
      </c>
      <c r="B2701" s="4" t="s">
        <v>3392</v>
      </c>
      <c r="C2701" s="5" t="str">
        <f>IFERROR(__xludf.DUMMYFUNCTION("GOOGLETRANSLATE(B2701,""en"",""de"")"),"Sie springt auf einen Balken und beginnt verschiedene Flips und Tricks auszuführen.")</f>
        <v>Sie springt auf einen Balken und beginnt verschiedene Flips und Tricks auszuführen.</v>
      </c>
    </row>
    <row r="2702">
      <c r="A2702" s="4" t="s">
        <v>3390</v>
      </c>
      <c r="B2702" s="4" t="s">
        <v>3393</v>
      </c>
      <c r="C2702" s="5" t="str">
        <f>IFERROR(__xludf.DUMMYFUNCTION("GOOGLETRANSLATE(B2702,""en"",""de"")"),"Das Mädchen springt rund um den Balken und endet, indem sie herunterspringt und ihre Arme hochzieht und zur Kamera lächelt.")</f>
        <v>Das Mädchen springt rund um den Balken und endet, indem sie herunterspringt und ihre Arme hochzieht und zur Kamera lächelt.</v>
      </c>
    </row>
    <row r="2703">
      <c r="A2703" s="4" t="s">
        <v>3394</v>
      </c>
      <c r="B2703" s="4" t="s">
        <v>3395</v>
      </c>
      <c r="C2703" s="5" t="str">
        <f>IFERROR(__xludf.DUMMYFUNCTION("GOOGLETRANSLATE(B2703,""en"",""de"")"),"Eine Frau macht mit Zitronen, Wasser, Sirup und roten Pfeffer eine Menge Master Cleanse -Getränk an der Theke in der Küche.")</f>
        <v>Eine Frau macht mit Zitronen, Wasser, Sirup und roten Pfeffer eine Menge Master Cleanse -Getränk an der Theke in der Küche.</v>
      </c>
    </row>
    <row r="2704">
      <c r="A2704" s="4" t="s">
        <v>3394</v>
      </c>
      <c r="B2704" s="4" t="s">
        <v>3396</v>
      </c>
      <c r="C2704" s="5" t="str">
        <f>IFERROR(__xludf.DUMMYFUNCTION("GOOGLETRANSLATE(B2704,""en"",""de"")"),"Eine Frau betritt eine Küche, spricht mit der Kamera und beginnt Zitronen zu schneiden und zu Saft.")</f>
        <v>Eine Frau betritt eine Küche, spricht mit der Kamera und beginnt Zitronen zu schneiden und zu Saft.</v>
      </c>
    </row>
    <row r="2705">
      <c r="A2705" s="4" t="s">
        <v>3394</v>
      </c>
      <c r="B2705" s="4" t="s">
        <v>3397</v>
      </c>
      <c r="C2705" s="5" t="str">
        <f>IFERROR(__xludf.DUMMYFUNCTION("GOOGLETRANSLATE(B2705,""en"",""de"")"),"Die Frau gießt dann den Zitronensaft in eine Flasche Wasser.")</f>
        <v>Die Frau gießt dann den Zitronensaft in eine Flasche Wasser.</v>
      </c>
    </row>
    <row r="2706">
      <c r="A2706" s="4" t="s">
        <v>3394</v>
      </c>
      <c r="B2706" s="4" t="s">
        <v>3398</v>
      </c>
      <c r="C2706" s="5" t="str">
        <f>IFERROR(__xludf.DUMMYFUNCTION("GOOGLETRANSLATE(B2706,""en"",""de"")"),"Die Frau fügt der Mischung mit blauem Messlöffel und einem Messglas Sirup und roter Pfeffer hinzu, wonach sie sich an die Theke stützt und mit der Kamera noch mehr spricht.")</f>
        <v>Die Frau fügt der Mischung mit blauem Messlöffel und einem Messglas Sirup und roter Pfeffer hinzu, wonach sie sich an die Theke stützt und mit der Kamera noch mehr spricht.</v>
      </c>
    </row>
    <row r="2707">
      <c r="A2707" s="4" t="s">
        <v>3399</v>
      </c>
      <c r="B2707" s="4" t="s">
        <v>3400</v>
      </c>
      <c r="C2707" s="5" t="str">
        <f>IFERROR(__xludf.DUMMYFUNCTION("GOOGLETRANSLATE(B2707,""en"",""de"")"),"Ein Mann sitzt auf einem Übungsgerät, der sich zurück und vierte bewegt.")</f>
        <v>Ein Mann sitzt auf einem Übungsgerät, der sich zurück und vierte bewegt.</v>
      </c>
    </row>
    <row r="2708">
      <c r="A2708" s="4" t="s">
        <v>3399</v>
      </c>
      <c r="B2708" s="4" t="s">
        <v>3401</v>
      </c>
      <c r="C2708" s="5" t="str">
        <f>IFERROR(__xludf.DUMMYFUNCTION("GOOGLETRANSLATE(B2708,""en"",""de"")"),"Ein Hund geht um den Mann herum und endet mit der Kamera vor dem Boden.")</f>
        <v>Ein Hund geht um den Mann herum und endet mit der Kamera vor dem Boden.</v>
      </c>
    </row>
    <row r="2709">
      <c r="A2709" s="4" t="s">
        <v>3402</v>
      </c>
      <c r="B2709" s="4" t="s">
        <v>3403</v>
      </c>
      <c r="C2709" s="5" t="str">
        <f>IFERROR(__xludf.DUMMYFUNCTION("GOOGLETRANSLATE(B2709,""en"",""de"")"),"Dort spielen zwei Mannschaften von Männern in einem Fitnessstudio das Tug of War -Krieg.")</f>
        <v>Dort spielen zwei Mannschaften von Männern in einem Fitnessstudio das Tug of War -Krieg.</v>
      </c>
    </row>
    <row r="2710">
      <c r="A2710" s="4" t="s">
        <v>3402</v>
      </c>
      <c r="B2710" s="4" t="s">
        <v>3404</v>
      </c>
      <c r="C2710" s="5" t="str">
        <f>IFERROR(__xludf.DUMMYFUNCTION("GOOGLETRANSLATE(B2710,""en"",""de"")"),"Im Fitnessstudio sitzen mehrere Leute und sehen sie beim Spielen des Spiels.")</f>
        <v>Im Fitnessstudio sitzen mehrere Leute und sehen sie beim Spielen des Spiels.</v>
      </c>
    </row>
    <row r="2711">
      <c r="A2711" s="4" t="s">
        <v>3402</v>
      </c>
      <c r="B2711" s="4" t="s">
        <v>3405</v>
      </c>
      <c r="C2711" s="5" t="str">
        <f>IFERROR(__xludf.DUMMYFUNCTION("GOOGLETRANSLATE(B2711,""en"",""de"")"),"Der Schiedsrichter steht neben den Teilnehmern, als sie das Seil weiter härter ziehen.")</f>
        <v>Der Schiedsrichter steht neben den Teilnehmern, als sie das Seil weiter härter ziehen.</v>
      </c>
    </row>
    <row r="2712">
      <c r="A2712" s="4" t="s">
        <v>3402</v>
      </c>
      <c r="B2712" s="4" t="s">
        <v>3406</v>
      </c>
      <c r="C2712" s="5" t="str">
        <f>IFERROR(__xludf.DUMMYFUNCTION("GOOGLETRANSLATE(B2712,""en"",""de"")"),"Das gegnerische Team zieht sich schwerer und das Team im Weiß fällt hin und verliert.")</f>
        <v>Das gegnerische Team zieht sich schwerer und das Team im Weiß fällt hin und verliert.</v>
      </c>
    </row>
    <row r="2713">
      <c r="A2713" s="4" t="s">
        <v>3407</v>
      </c>
      <c r="B2713" s="4" t="s">
        <v>3408</v>
      </c>
      <c r="C2713" s="5" t="str">
        <f>IFERROR(__xludf.DUMMYFUNCTION("GOOGLETRANSLATE(B2713,""en"",""de"")"),"Ein Mann sitzt auf dem Boden und repariert das Fahrrad eines Kindes.")</f>
        <v>Ein Mann sitzt auf dem Boden und repariert das Fahrrad eines Kindes.</v>
      </c>
    </row>
    <row r="2714">
      <c r="A2714" s="4" t="s">
        <v>3407</v>
      </c>
      <c r="B2714" s="4" t="s">
        <v>3409</v>
      </c>
      <c r="C2714" s="5" t="str">
        <f>IFERROR(__xludf.DUMMYFUNCTION("GOOGLETRANSLATE(B2714,""en"",""de"")"),"Ein Kind in einem gelben Hemd steht neben ihm und beobachtet.")</f>
        <v>Ein Kind in einem gelben Hemd steht neben ihm und beobachtet.</v>
      </c>
    </row>
    <row r="2715">
      <c r="A2715" s="4" t="s">
        <v>3407</v>
      </c>
      <c r="B2715" s="4" t="s">
        <v>3410</v>
      </c>
      <c r="C2715" s="5" t="str">
        <f>IFERROR(__xludf.DUMMYFUNCTION("GOOGLETRANSLATE(B2715,""en"",""de"")"),"Ein Junge in einem blauen Hemd schiebt ein weiteres Fahrrad hinter sich.")</f>
        <v>Ein Junge in einem blauen Hemd schiebt ein weiteres Fahrrad hinter sich.</v>
      </c>
    </row>
    <row r="2716">
      <c r="A2716" s="4" t="s">
        <v>3411</v>
      </c>
      <c r="B2716" s="4" t="s">
        <v>3412</v>
      </c>
      <c r="C2716" s="5" t="str">
        <f>IFERROR(__xludf.DUMMYFUNCTION("GOOGLETRANSLATE(B2716,""en"",""de"")"),"Eine Person serviert ein Eis mit einem Mann an einem Mann, der Kegel fällt auf den Boden.")</f>
        <v>Eine Person serviert ein Eis mit einem Mann an einem Mann, der Kegel fällt auf den Boden.</v>
      </c>
    </row>
    <row r="2717">
      <c r="A2717" s="4" t="s">
        <v>3411</v>
      </c>
      <c r="B2717" s="4" t="s">
        <v>3413</v>
      </c>
      <c r="C2717" s="5" t="str">
        <f>IFERROR(__xludf.DUMMYFUNCTION("GOOGLETRANSLATE(B2717,""en"",""de"")"),"Der Mann gibt einen anderen Kegel, dann nimmt der Mann den Kegel und gibt dem Mann zurück.")</f>
        <v>Der Mann gibt einen anderen Kegel, dann nimmt der Mann den Kegel und gibt dem Mann zurück.</v>
      </c>
    </row>
    <row r="2718">
      <c r="A2718" s="4" t="s">
        <v>3411</v>
      </c>
      <c r="B2718" s="4" t="s">
        <v>3414</v>
      </c>
      <c r="C2718" s="5" t="str">
        <f>IFERROR(__xludf.DUMMYFUNCTION("GOOGLETRANSLATE(B2718,""en"",""de"")"),"Danach gibt der Mann den Kegel mit einer Serviette, aber er nimmt den Kegel erneut, nachdem er das Eis in seinem Mund gegeben hat.")</f>
        <v>Danach gibt der Mann den Kegel mit einer Serviette, aber er nimmt den Kegel erneut, nachdem er das Eis in seinem Mund gegeben hat.</v>
      </c>
    </row>
    <row r="2719">
      <c r="A2719" s="4" t="s">
        <v>3411</v>
      </c>
      <c r="B2719" s="4" t="s">
        <v>3415</v>
      </c>
      <c r="C2719" s="5" t="str">
        <f>IFERROR(__xludf.DUMMYFUNCTION("GOOGLETRANSLATE(B2719,""en"",""de"")"),"Schließlich gibt der Mann dem Mann den Kegel, während eine Menschenmenge beobachtet.")</f>
        <v>Schließlich gibt der Mann dem Mann den Kegel, während eine Menschenmenge beobachtet.</v>
      </c>
    </row>
    <row r="2720">
      <c r="A2720" s="4" t="s">
        <v>3416</v>
      </c>
      <c r="B2720" s="4" t="s">
        <v>1251</v>
      </c>
      <c r="C2720" s="5" t="str">
        <f>IFERROR(__xludf.DUMMYFUNCTION("GOOGLETRANSLATE(B2720,""en"",""de"")"),"Die Credits des Clips werden angezeigt.")</f>
        <v>Die Credits des Clips werden angezeigt.</v>
      </c>
    </row>
    <row r="2721">
      <c r="A2721" s="4" t="s">
        <v>3416</v>
      </c>
      <c r="B2721" s="4" t="s">
        <v>3417</v>
      </c>
      <c r="C2721" s="5" t="str">
        <f>IFERROR(__xludf.DUMMYFUNCTION("GOOGLETRANSLATE(B2721,""en"",""de"")"),"Ein Mann arbeitet auf einem Dach.")</f>
        <v>Ein Mann arbeitet auf einem Dach.</v>
      </c>
    </row>
    <row r="2722">
      <c r="A2722" s="4" t="s">
        <v>3416</v>
      </c>
      <c r="B2722" s="4" t="s">
        <v>3418</v>
      </c>
      <c r="C2722" s="5" t="str">
        <f>IFERROR(__xludf.DUMMYFUNCTION("GOOGLETRANSLATE(B2722,""en"",""de"")"),"Ein Mann entfernt Nägel und Dachstücke.")</f>
        <v>Ein Mann entfernt Nägel und Dachstücke.</v>
      </c>
    </row>
    <row r="2723">
      <c r="A2723" s="4" t="s">
        <v>3416</v>
      </c>
      <c r="B2723" s="4" t="s">
        <v>3419</v>
      </c>
      <c r="C2723" s="5" t="str">
        <f>IFERROR(__xludf.DUMMYFUNCTION("GOOGLETRANSLATE(B2723,""en"",""de"")"),"Ein Mann entfernt Schmutz und Zweige aus der Dachecke.")</f>
        <v>Ein Mann entfernt Schmutz und Zweige aus der Dachecke.</v>
      </c>
    </row>
    <row r="2724">
      <c r="A2724" s="4" t="s">
        <v>3416</v>
      </c>
      <c r="B2724" s="4" t="s">
        <v>3420</v>
      </c>
      <c r="C2724" s="5" t="str">
        <f>IFERROR(__xludf.DUMMYFUNCTION("GOOGLETRANSLATE(B2724,""en"",""de"")"),"Ein Mann misst und schneidet Teile für das Dach.")</f>
        <v>Ein Mann misst und schneidet Teile für das Dach.</v>
      </c>
    </row>
    <row r="2725">
      <c r="A2725" s="4" t="s">
        <v>3416</v>
      </c>
      <c r="B2725" s="4" t="s">
        <v>573</v>
      </c>
      <c r="C2725" s="5" t="str">
        <f>IFERROR(__xludf.DUMMYFUNCTION("GOOGLETRANSLATE(B2725,""en"",""de"")"),"Die Credits des Videos werden angezeigt.")</f>
        <v>Die Credits des Videos werden angezeigt.</v>
      </c>
    </row>
    <row r="2726">
      <c r="A2726" s="4" t="s">
        <v>3421</v>
      </c>
      <c r="B2726" s="4" t="s">
        <v>3422</v>
      </c>
      <c r="C2726" s="5" t="str">
        <f>IFERROR(__xludf.DUMMYFUNCTION("GOOGLETRANSLATE(B2726,""en"",""de"")"),"Eine Pfanne befindet sich auf einem Herd mit Zutaten auf der Theke daneben.")</f>
        <v>Eine Pfanne befindet sich auf einem Herd mit Zutaten auf der Theke daneben.</v>
      </c>
    </row>
    <row r="2727">
      <c r="A2727" s="4" t="s">
        <v>3421</v>
      </c>
      <c r="B2727" s="4" t="s">
        <v>3423</v>
      </c>
      <c r="C2727" s="5" t="str">
        <f>IFERROR(__xludf.DUMMYFUNCTION("GOOGLETRANSLATE(B2727,""en"",""de"")"),"Jemand steckt Zwiebeln in die Pfanne und schlägt Eier und andere Zutaten in eine Schüssel, bevor sie sie auch zur Pfanne hinzufügen.")</f>
        <v>Jemand steckt Zwiebeln in die Pfanne und schlägt Eier und andere Zutaten in eine Schüssel, bevor sie sie auch zur Pfanne hinzufügen.</v>
      </c>
    </row>
    <row r="2728">
      <c r="A2728" s="4" t="s">
        <v>3421</v>
      </c>
      <c r="B2728" s="4" t="s">
        <v>3424</v>
      </c>
      <c r="C2728" s="5" t="str">
        <f>IFERROR(__xludf.DUMMYFUNCTION("GOOGLETRANSLATE(B2728,""en"",""de"")"),"Er dreht die Eier und macht ein Omelett.")</f>
        <v>Er dreht die Eier und macht ein Omelett.</v>
      </c>
    </row>
    <row r="2729">
      <c r="A2729" s="4" t="s">
        <v>3421</v>
      </c>
      <c r="B2729" s="4" t="s">
        <v>3425</v>
      </c>
      <c r="C2729" s="5" t="str">
        <f>IFERROR(__xludf.DUMMYFUNCTION("GOOGLETRANSLATE(B2729,""en"",""de"")"),"Er dreht das Omelett sanft auf einen Teller zum Servieren.")</f>
        <v>Er dreht das Omelett sanft auf einen Teller zum Servieren.</v>
      </c>
    </row>
    <row r="2730">
      <c r="A2730" s="4" t="s">
        <v>3426</v>
      </c>
      <c r="B2730" s="4" t="s">
        <v>3427</v>
      </c>
      <c r="C2730" s="5" t="str">
        <f>IFERROR(__xludf.DUMMYFUNCTION("GOOGLETRANSLATE(B2730,""en"",""de"")"),"Eine weiße Katze schläft auf Terrakottafliesen.")</f>
        <v>Eine weiße Katze schläft auf Terrakottafliesen.</v>
      </c>
    </row>
    <row r="2731">
      <c r="A2731" s="4" t="s">
        <v>3426</v>
      </c>
      <c r="B2731" s="4" t="s">
        <v>3428</v>
      </c>
      <c r="C2731" s="5" t="str">
        <f>IFERROR(__xludf.DUMMYFUNCTION("GOOGLETRANSLATE(B2731,""en"",""de"")"),"Weißer Text erklärt, wie man die Nägel der Katze schneidet.")</f>
        <v>Weißer Text erklärt, wie man die Nägel der Katze schneidet.</v>
      </c>
    </row>
    <row r="2732">
      <c r="A2732" s="4" t="s">
        <v>3426</v>
      </c>
      <c r="B2732" s="4" t="s">
        <v>3429</v>
      </c>
      <c r="C2732" s="5" t="str">
        <f>IFERROR(__xludf.DUMMYFUNCTION("GOOGLETRANSLATE(B2732,""en"",""de"")"),"Eine Frau nimmt die Katzenpfoten mit und schneidet sie sanft mit einem Clipper aus, bis sie fertig sind.")</f>
        <v>Eine Frau nimmt die Katzenpfoten mit und schneidet sie sanft mit einem Clipper aus, bis sie fertig sind.</v>
      </c>
    </row>
    <row r="2733">
      <c r="A2733" s="4" t="s">
        <v>3430</v>
      </c>
      <c r="B2733" s="4" t="s">
        <v>3431</v>
      </c>
      <c r="C2733" s="5" t="str">
        <f>IFERROR(__xludf.DUMMYFUNCTION("GOOGLETRANSLATE(B2733,""en"",""de"")"),"Eine große Gruppe von Menschen steht auf einem Feld, das ein Volleyballspiel miteinander spielt.")</f>
        <v>Eine große Gruppe von Menschen steht auf einem Feld, das ein Volleyballspiel miteinander spielt.</v>
      </c>
    </row>
    <row r="2734">
      <c r="A2734" s="4" t="s">
        <v>3430</v>
      </c>
      <c r="B2734" s="4" t="s">
        <v>3432</v>
      </c>
      <c r="C2734" s="5" t="str">
        <f>IFERROR(__xludf.DUMMYFUNCTION("GOOGLETRANSLATE(B2734,""en"",""de"")"),"Die Kamera schwenkt am Strand und zurück zu den Leuten, die miteinander spielen, die den Ball herumgab.")</f>
        <v>Die Kamera schwenkt am Strand und zurück zu den Leuten, die miteinander spielen, die den Ball herumgab.</v>
      </c>
    </row>
    <row r="2735">
      <c r="A2735" s="4" t="s">
        <v>3433</v>
      </c>
      <c r="B2735" s="4" t="s">
        <v>3434</v>
      </c>
      <c r="C2735" s="5" t="str">
        <f>IFERROR(__xludf.DUMMYFUNCTION("GOOGLETRANSLATE(B2735,""en"",""de"")"),"Ein Intro für ein laufendes Video, das besagt, dass das Ausführen auf dem Bildschirm angezeigt wird.")</f>
        <v>Ein Intro für ein laufendes Video, das besagt, dass das Ausführen auf dem Bildschirm angezeigt wird.</v>
      </c>
    </row>
    <row r="2736">
      <c r="A2736" s="4" t="s">
        <v>3433</v>
      </c>
      <c r="B2736" s="4" t="s">
        <v>3435</v>
      </c>
      <c r="C2736" s="5" t="str">
        <f>IFERROR(__xludf.DUMMYFUNCTION("GOOGLETRANSLATE(B2736,""en"",""de"")"),"Eine Dame kommentiert ein Video einer großen Summe von Menschen, die einen Marathon in New York City absolvieren.")</f>
        <v>Eine Dame kommentiert ein Video einer großen Summe von Menschen, die einen Marathon in New York City absolvieren.</v>
      </c>
    </row>
    <row r="2737">
      <c r="A2737" s="4" t="s">
        <v>3433</v>
      </c>
      <c r="B2737" s="4" t="s">
        <v>3436</v>
      </c>
      <c r="C2737" s="5" t="str">
        <f>IFERROR(__xludf.DUMMYFUNCTION("GOOGLETRANSLATE(B2737,""en"",""de"")"),"Das Video zeigt die Top 5 Events in der Marathons -Geschichte. Die Dame kommentiert jedes Ereignis, da das Video von 5 bis 1 zählt, während die Ereignisse auftreten, erklärt sie jedes Ereignis im Detail.")</f>
        <v>Das Video zeigt die Top 5 Events in der Marathons -Geschichte. Die Dame kommentiert jedes Ereignis, da das Video von 5 bis 1 zählt, während die Ereignisse auftreten, erklärt sie jedes Ereignis im Detail.</v>
      </c>
    </row>
    <row r="2738">
      <c r="A2738" s="4" t="s">
        <v>3433</v>
      </c>
      <c r="B2738" s="4" t="s">
        <v>3437</v>
      </c>
      <c r="C2738" s="5" t="str">
        <f>IFERROR(__xludf.DUMMYFUNCTION("GOOGLETRANSLATE(B2738,""en"",""de"")"),"Das Video endet mit einem Outro -Bild.")</f>
        <v>Das Video endet mit einem Outro -Bild.</v>
      </c>
    </row>
    <row r="2739">
      <c r="A2739" s="4" t="s">
        <v>3438</v>
      </c>
      <c r="B2739" s="4" t="s">
        <v>3439</v>
      </c>
      <c r="C2739" s="5" t="str">
        <f>IFERROR(__xludf.DUMMYFUNCTION("GOOGLETRANSLATE(B2739,""en"",""de"")"),"Ein Mann kniet sich auf eine blaue Matte und hebt eine Stange über seinem Kopf.")</f>
        <v>Ein Mann kniet sich auf eine blaue Matte und hebt eine Stange über seinem Kopf.</v>
      </c>
    </row>
    <row r="2740">
      <c r="A2740" s="4" t="s">
        <v>3438</v>
      </c>
      <c r="B2740" s="4" t="s">
        <v>3440</v>
      </c>
      <c r="C2740" s="5" t="str">
        <f>IFERROR(__xludf.DUMMYFUNCTION("GOOGLETRANSLATE(B2740,""en"",""de"")"),"Er steht auf und geht weg.")</f>
        <v>Er steht auf und geht weg.</v>
      </c>
    </row>
    <row r="2741">
      <c r="A2741" s="4" t="s">
        <v>3441</v>
      </c>
      <c r="B2741" s="4" t="s">
        <v>3442</v>
      </c>
      <c r="C2741" s="5" t="str">
        <f>IFERROR(__xludf.DUMMYFUNCTION("GOOGLETRANSLATE(B2741,""en"",""de"")"),"Eine Frau sitzt auf einem Stuhl.")</f>
        <v>Eine Frau sitzt auf einem Stuhl.</v>
      </c>
    </row>
    <row r="2742">
      <c r="A2742" s="4" t="s">
        <v>3441</v>
      </c>
      <c r="B2742" s="4" t="s">
        <v>3443</v>
      </c>
      <c r="C2742" s="5" t="str">
        <f>IFERROR(__xludf.DUMMYFUNCTION("GOOGLETRANSLATE(B2742,""en"",""de"")"),"Eine Person malt etwas auf ihren Finger.")</f>
        <v>Eine Person malt etwas auf ihren Finger.</v>
      </c>
    </row>
    <row r="2743">
      <c r="A2743" s="4" t="s">
        <v>3441</v>
      </c>
      <c r="B2743" s="4" t="s">
        <v>3444</v>
      </c>
      <c r="C2743" s="5" t="str">
        <f>IFERROR(__xludf.DUMMYFUNCTION("GOOGLETRANSLATE(B2743,""en"",""de"")"),"Die Frau schaut zur Kamera auf.")</f>
        <v>Die Frau schaut zur Kamera auf.</v>
      </c>
    </row>
    <row r="2744">
      <c r="A2744" s="4" t="s">
        <v>3445</v>
      </c>
      <c r="B2744" s="4" t="s">
        <v>3446</v>
      </c>
      <c r="C2744" s="5" t="str">
        <f>IFERROR(__xludf.DUMMYFUNCTION("GOOGLETRANSLATE(B2744,""en"",""de"")"),"Regen fällt auf ein großes Auditorium.")</f>
        <v>Regen fällt auf ein großes Auditorium.</v>
      </c>
    </row>
    <row r="2745">
      <c r="A2745" s="4" t="s">
        <v>3445</v>
      </c>
      <c r="B2745" s="4" t="s">
        <v>3447</v>
      </c>
      <c r="C2745" s="5" t="str">
        <f>IFERROR(__xludf.DUMMYFUNCTION("GOOGLETRANSLATE(B2745,""en"",""de"")"),"Viele Menschen sind auf der Tribüne.")</f>
        <v>Viele Menschen sind auf der Tribüne.</v>
      </c>
    </row>
    <row r="2746">
      <c r="A2746" s="4" t="s">
        <v>3445</v>
      </c>
      <c r="B2746" s="4" t="s">
        <v>3448</v>
      </c>
      <c r="C2746" s="5" t="str">
        <f>IFERROR(__xludf.DUMMYFUNCTION("GOOGLETRANSLATE(B2746,""en"",""de"")"),"Mehrere Athleten stehen in der Arena.")</f>
        <v>Mehrere Athleten stehen in der Arena.</v>
      </c>
    </row>
    <row r="2747">
      <c r="A2747" s="4" t="s">
        <v>3445</v>
      </c>
      <c r="B2747" s="4" t="s">
        <v>3449</v>
      </c>
      <c r="C2747" s="5" t="str">
        <f>IFERROR(__xludf.DUMMYFUNCTION("GOOGLETRANSLATE(B2747,""en"",""de"")"),"Die Athleten werfen Discs auf das Feld.")</f>
        <v>Die Athleten werfen Discs auf das Feld.</v>
      </c>
    </row>
    <row r="2748">
      <c r="A2748" s="4" t="s">
        <v>3450</v>
      </c>
      <c r="B2748" s="4" t="s">
        <v>3451</v>
      </c>
      <c r="C2748" s="5" t="str">
        <f>IFERROR(__xludf.DUMMYFUNCTION("GOOGLETRANSLATE(B2748,""en"",""de"")"),"Ein Junge im Jungen fährt einen kleinen Rasenmäher durch den Hof eines Hauses, das sich um Hindernisse manövriert.")</f>
        <v>Ein Junge im Jungen fährt einen kleinen Rasenmäher durch den Hof eines Hauses, das sich um Hindernisse manövriert.</v>
      </c>
    </row>
    <row r="2749">
      <c r="A2749" s="4" t="s">
        <v>3450</v>
      </c>
      <c r="B2749" s="4" t="s">
        <v>3452</v>
      </c>
      <c r="C2749" s="5" t="str">
        <f>IFERROR(__xludf.DUMMYFUNCTION("GOOGLETRANSLATE(B2749,""en"",""de"")"),"Der Junge mäht einige kleine Blumen im Gras.")</f>
        <v>Der Junge mäht einige kleine Blumen im Gras.</v>
      </c>
    </row>
    <row r="2750">
      <c r="A2750" s="4" t="s">
        <v>3453</v>
      </c>
      <c r="B2750" s="4" t="s">
        <v>3454</v>
      </c>
      <c r="C2750" s="5" t="str">
        <f>IFERROR(__xludf.DUMMYFUNCTION("GOOGLETRANSLATE(B2750,""en"",""de"")"),"Eine Frau mit lockigem Haar und sehr Dingen, die Augenbrauen an einer Shisha saugen.")</f>
        <v>Eine Frau mit lockigem Haar und sehr Dingen, die Augenbrauen an einer Shisha saugen.</v>
      </c>
    </row>
    <row r="2751">
      <c r="A2751" s="4" t="s">
        <v>3453</v>
      </c>
      <c r="B2751" s="4" t="s">
        <v>3455</v>
      </c>
      <c r="C2751" s="5" t="str">
        <f>IFERROR(__xludf.DUMMYFUNCTION("GOOGLETRANSLATE(B2751,""en"",""de"")"),"Sie bläst den ganzen Rauch aus, den sie eingeatmet hat, sie liegt alleine im Bett, entspannend.")</f>
        <v>Sie bläst den ganzen Rauch aus, den sie eingeatmet hat, sie liegt alleine im Bett, entspannend.</v>
      </c>
    </row>
    <row r="2752">
      <c r="A2752" s="4" t="s">
        <v>3453</v>
      </c>
      <c r="B2752" s="4" t="s">
        <v>3456</v>
      </c>
      <c r="C2752" s="5" t="str">
        <f>IFERROR(__xludf.DUMMYFUNCTION("GOOGLETRANSLATE(B2752,""en"",""de"")"),"Sie scheint sehr gelangweilt zu sein, nur Rauch zu blasen, der sich selbst aufnimmt.")</f>
        <v>Sie scheint sehr gelangweilt zu sein, nur Rauch zu blasen, der sich selbst aufnimmt.</v>
      </c>
    </row>
    <row r="2753">
      <c r="A2753" s="4" t="s">
        <v>3453</v>
      </c>
      <c r="B2753" s="4" t="s">
        <v>3457</v>
      </c>
      <c r="C2753" s="5" t="str">
        <f>IFERROR(__xludf.DUMMYFUNCTION("GOOGLETRANSLATE(B2753,""en"",""de"")"),"Es stellt sich heraus, dass es eine andere Person im Raum gibt, in der sie sie füttert, sie lächelt wirklich groß und atmet weiter aus, um Rauch auszuatmen.")</f>
        <v>Es stellt sich heraus, dass es eine andere Person im Raum gibt, in der sie sie füttert, sie lächelt wirklich groß und atmet weiter aus, um Rauch auszuatmen.</v>
      </c>
    </row>
    <row r="2754">
      <c r="A2754" s="4" t="s">
        <v>3458</v>
      </c>
      <c r="B2754" s="4" t="s">
        <v>3459</v>
      </c>
      <c r="C2754" s="5" t="str">
        <f>IFERROR(__xludf.DUMMYFUNCTION("GOOGLETRANSLATE(B2754,""en"",""de"")"),"Ein Läufer läuft vor einer Menge von Menschen auf einer Strecke.")</f>
        <v>Ein Läufer läuft vor einer Menge von Menschen auf einer Strecke.</v>
      </c>
    </row>
    <row r="2755">
      <c r="A2755" s="4" t="s">
        <v>3458</v>
      </c>
      <c r="B2755" s="4" t="s">
        <v>3460</v>
      </c>
      <c r="C2755" s="5" t="str">
        <f>IFERROR(__xludf.DUMMYFUNCTION("GOOGLETRANSLATE(B2755,""en"",""de"")"),"Ein Mann spricht mit der Kamera.")</f>
        <v>Ein Mann spricht mit der Kamera.</v>
      </c>
    </row>
    <row r="2756">
      <c r="A2756" s="4" t="s">
        <v>3458</v>
      </c>
      <c r="B2756" s="4" t="s">
        <v>3461</v>
      </c>
      <c r="C2756" s="5" t="str">
        <f>IFERROR(__xludf.DUMMYFUNCTION("GOOGLETRANSLATE(B2756,""en"",""de"")"),"Die Läufer rennen eine Strecke mit Menschenmengen auf beiden Seiten und einer der Läufer stolpert.")</f>
        <v>Die Läufer rennen eine Strecke mit Menschenmengen auf beiden Seiten und einer der Läufer stolpert.</v>
      </c>
    </row>
    <row r="2757">
      <c r="A2757" s="4" t="s">
        <v>3458</v>
      </c>
      <c r="B2757" s="4" t="s">
        <v>3462</v>
      </c>
      <c r="C2757" s="5" t="str">
        <f>IFERROR(__xludf.DUMMYFUNCTION("GOOGLETRANSLATE(B2757,""en"",""de"")"),"Ein anderer Läufer wird gezeigt und ein Mann wird gezeigt, der mit der Kamera spricht.")</f>
        <v>Ein anderer Läufer wird gezeigt und ein Mann wird gezeigt, der mit der Kamera spricht.</v>
      </c>
    </row>
    <row r="2758">
      <c r="A2758" s="4" t="s">
        <v>3458</v>
      </c>
      <c r="B2758" s="4" t="s">
        <v>3463</v>
      </c>
      <c r="C2758" s="5" t="str">
        <f>IFERROR(__xludf.DUMMYFUNCTION("GOOGLETRANSLATE(B2758,""en"",""de"")"),"Ein Läufer kriecht über eine Ziellinie, während andere Läufer die Ziellinie durchlaufen.")</f>
        <v>Ein Läufer kriecht über eine Ziellinie, während andere Läufer die Ziellinie durchlaufen.</v>
      </c>
    </row>
    <row r="2759">
      <c r="A2759" s="4" t="s">
        <v>3458</v>
      </c>
      <c r="B2759" s="4" t="s">
        <v>3464</v>
      </c>
      <c r="C2759" s="5" t="str">
        <f>IFERROR(__xludf.DUMMYFUNCTION("GOOGLETRANSLATE(B2759,""en"",""de"")"),"Der notleidende Läufer wird weggetragen.")</f>
        <v>Der notleidende Läufer wird weggetragen.</v>
      </c>
    </row>
    <row r="2760">
      <c r="A2760" s="4" t="s">
        <v>3458</v>
      </c>
      <c r="B2760" s="4" t="s">
        <v>3465</v>
      </c>
      <c r="C2760" s="5" t="str">
        <f>IFERROR(__xludf.DUMMYFUNCTION("GOOGLETRANSLATE(B2760,""en"",""de"")"),"Läufer in Not werden gezeigt.")</f>
        <v>Läufer in Not werden gezeigt.</v>
      </c>
    </row>
    <row r="2761">
      <c r="A2761" s="4" t="s">
        <v>3458</v>
      </c>
      <c r="B2761" s="4" t="s">
        <v>539</v>
      </c>
      <c r="C2761" s="5" t="str">
        <f>IFERROR(__xludf.DUMMYFUNCTION("GOOGLETRANSLATE(B2761,""en"",""de"")"),"Ein Mann spricht mit der Kamera.")</f>
        <v>Ein Mann spricht mit der Kamera.</v>
      </c>
    </row>
    <row r="2762">
      <c r="A2762" s="4" t="s">
        <v>3458</v>
      </c>
      <c r="B2762" s="4" t="s">
        <v>3466</v>
      </c>
      <c r="C2762" s="5" t="str">
        <f>IFERROR(__xludf.DUMMYFUNCTION("GOOGLETRANSLATE(B2762,""en"",""de"")"),"Verschiedene Läufer sind in Not und sprechen mit der Kamera.")</f>
        <v>Verschiedene Läufer sind in Not und sprechen mit der Kamera.</v>
      </c>
    </row>
    <row r="2763">
      <c r="A2763" s="4" t="s">
        <v>3458</v>
      </c>
      <c r="B2763" s="4" t="s">
        <v>3467</v>
      </c>
      <c r="C2763" s="5" t="str">
        <f>IFERROR(__xludf.DUMMYFUNCTION("GOOGLETRANSLATE(B2763,""en"",""de"")"),"Weitere notleidende Läufer werden gezeigt.")</f>
        <v>Weitere notleidende Läufer werden gezeigt.</v>
      </c>
    </row>
    <row r="2764">
      <c r="A2764" s="4" t="s">
        <v>3468</v>
      </c>
      <c r="B2764" s="4" t="s">
        <v>3469</v>
      </c>
      <c r="C2764" s="5" t="str">
        <f>IFERROR(__xludf.DUMMYFUNCTION("GOOGLETRANSLATE(B2764,""en"",""de"")"),"Eine Person versucht Hochbrechungen.")</f>
        <v>Eine Person versucht Hochbrechungen.</v>
      </c>
    </row>
    <row r="2765">
      <c r="A2765" s="4" t="s">
        <v>3468</v>
      </c>
      <c r="B2765" s="4" t="s">
        <v>3470</v>
      </c>
      <c r="C2765" s="5" t="str">
        <f>IFERROR(__xludf.DUMMYFUNCTION("GOOGLETRANSLATE(B2765,""en"",""de"")"),"Die ersten Versuche sind gut.")</f>
        <v>Die ersten Versuche sind gut.</v>
      </c>
    </row>
    <row r="2766">
      <c r="A2766" s="4" t="s">
        <v>3468</v>
      </c>
      <c r="B2766" s="4" t="s">
        <v>3471</v>
      </c>
      <c r="C2766" s="5" t="str">
        <f>IFERROR(__xludf.DUMMYFUNCTION("GOOGLETRANSLATE(B2766,""en"",""de"")"),"Der letzte Versuch wird nie erreicht.")</f>
        <v>Der letzte Versuch wird nie erreicht.</v>
      </c>
    </row>
    <row r="2767">
      <c r="A2767" s="4" t="s">
        <v>3472</v>
      </c>
      <c r="B2767" s="4" t="s">
        <v>3473</v>
      </c>
      <c r="C2767" s="5" t="str">
        <f>IFERROR(__xludf.DUMMYFUNCTION("GOOGLETRANSLATE(B2767,""en"",""de"")"),"Zwei Männer werden gezeigt, dass sie ein Arm -Wrestling -Match durchführen, und viele beobachten am Rande und einen Schiedsrichter, der mit dem Gewinner bezeichnet wird.")</f>
        <v>Zwei Männer werden gezeigt, dass sie ein Arm -Wrestling -Match durchführen, und viele beobachten am Rande und einen Schiedsrichter, der mit dem Gewinner bezeichnet wird.</v>
      </c>
    </row>
    <row r="2768">
      <c r="A2768" s="4" t="s">
        <v>3472</v>
      </c>
      <c r="B2768" s="4" t="s">
        <v>3474</v>
      </c>
      <c r="C2768" s="5" t="str">
        <f>IFERROR(__xludf.DUMMYFUNCTION("GOOGLETRANSLATE(B2768,""en"",""de"")"),"Einige weitere Männer kämpfen zurück und vierten miteinander und mehr Menschen treten in und aus dem Rahmen aus, um sie zu beobachten.")</f>
        <v>Einige weitere Männer kämpfen zurück und vierten miteinander und mehr Menschen treten in und aus dem Rahmen aus, um sie zu beobachten.</v>
      </c>
    </row>
    <row r="2769">
      <c r="A2769" s="4" t="s">
        <v>3475</v>
      </c>
      <c r="B2769" s="4" t="s">
        <v>3476</v>
      </c>
      <c r="C2769" s="5" t="str">
        <f>IFERROR(__xludf.DUMMYFUNCTION("GOOGLETRANSLATE(B2769,""en"",""de"")"),"Die Menschen spielen Kunstunternehmen, stehen auf dem Kopf und drehen sich.")</f>
        <v>Die Menschen spielen Kunstunternehmen, stehen auf dem Kopf und drehen sich.</v>
      </c>
    </row>
    <row r="2770">
      <c r="A2770" s="4" t="s">
        <v>3475</v>
      </c>
      <c r="B2770" s="4" t="s">
        <v>3477</v>
      </c>
      <c r="C2770" s="5" t="str">
        <f>IFERROR(__xludf.DUMMYFUNCTION("GOOGLETRANSLATE(B2770,""en"",""de"")"),"Dann springt ein Mann und ein Junge über, dann stehen Kinder auf dem Kopf und drehen sich herum.")</f>
        <v>Dann springt ein Mann und ein Junge über, dann stehen Kinder auf dem Kopf und drehen sich herum.</v>
      </c>
    </row>
    <row r="2771">
      <c r="A2771" s="4" t="s">
        <v>3475</v>
      </c>
      <c r="B2771" s="4" t="s">
        <v>3478</v>
      </c>
      <c r="C2771" s="5" t="str">
        <f>IFERROR(__xludf.DUMMYFUNCTION("GOOGLETRANSLATE(B2771,""en"",""de"")"),"Jungen beugen seinen Körper nach hinten, bis die Füße den Boden erreichen.")</f>
        <v>Jungen beugen seinen Körper nach hinten, bis die Füße den Boden erreichen.</v>
      </c>
    </row>
    <row r="2772">
      <c r="A2772" s="4" t="s">
        <v>3475</v>
      </c>
      <c r="B2772" s="4" t="s">
        <v>3479</v>
      </c>
      <c r="C2772" s="5" t="str">
        <f>IFERROR(__xludf.DUMMYFUNCTION("GOOGLETRANSLATE(B2772,""en"",""de"")"),"Jugendliche verdrehen ihre Körper und beugen sich bis zum anderen Ende.")</f>
        <v>Jugendliche verdrehen ihre Körper und beugen sich bis zum anderen Ende.</v>
      </c>
    </row>
    <row r="2773">
      <c r="A2773" s="4" t="s">
        <v>3480</v>
      </c>
      <c r="B2773" s="4" t="s">
        <v>3481</v>
      </c>
      <c r="C2773" s="5" t="str">
        <f>IFERROR(__xludf.DUMMYFUNCTION("GOOGLETRANSLATE(B2773,""en"",""de"")"),"Eine Frau bräuelt einen wütenden Pudel, der an einer Stange an einem schwarzen Pflegetisch gebunden ist.")</f>
        <v>Eine Frau bräuelt einen wütenden Pudel, der an einer Stange an einem schwarzen Pflegetisch gebunden ist.</v>
      </c>
    </row>
    <row r="2774">
      <c r="A2774" s="4" t="s">
        <v>3480</v>
      </c>
      <c r="B2774" s="4" t="s">
        <v>3482</v>
      </c>
      <c r="C2774" s="5" t="str">
        <f>IFERROR(__xludf.DUMMYFUNCTION("GOOGLETRANSLATE(B2774,""en"",""de"")"),"Ein brauner Pudel wird von einer Frau in einem gelben Raum auf einem schwarzen Pflegetisch gekämmt.")</f>
        <v>Ein brauner Pudel wird von einer Frau in einem gelben Raum auf einem schwarzen Pflegetisch gekämmt.</v>
      </c>
    </row>
    <row r="2775">
      <c r="A2775" s="4" t="s">
        <v>3480</v>
      </c>
      <c r="B2775" s="4" t="s">
        <v>3483</v>
      </c>
      <c r="C2775" s="5" t="str">
        <f>IFERROR(__xludf.DUMMYFUNCTION("GOOGLETRANSLATE(B2775,""en"",""de"")"),"Die Frau hält ein rosa Plastikspielzeug, das der Hund anfängt zu beißen, zu schnappen und zu greifen, während die Frau das Pudelfell kämmt.")</f>
        <v>Die Frau hält ein rosa Plastikspielzeug, das der Hund anfängt zu beißen, zu schnappen und zu greifen, während die Frau das Pudelfell kämmt.</v>
      </c>
    </row>
    <row r="2776">
      <c r="A2776" s="4" t="s">
        <v>3480</v>
      </c>
      <c r="B2776" s="4" t="s">
        <v>3484</v>
      </c>
      <c r="C2776" s="5" t="str">
        <f>IFERROR(__xludf.DUMMYFUNCTION("GOOGLETRANSLATE(B2776,""en"",""de"")"),"Der Pudel schnappt sich weiter auf das rosa Spielzeug und auch die Hand und den Kamm der Frau.")</f>
        <v>Der Pudel schnappt sich weiter auf das rosa Spielzeug und auch die Hand und den Kamm der Frau.</v>
      </c>
    </row>
    <row r="2777">
      <c r="A2777" s="4" t="s">
        <v>3485</v>
      </c>
      <c r="B2777" s="4" t="s">
        <v>3486</v>
      </c>
      <c r="C2777" s="5" t="str">
        <f>IFERROR(__xludf.DUMMYFUNCTION("GOOGLETRANSLATE(B2777,""en"",""de"")"),"Ein Turner steigt in einem Fitnessstudio einen Abschwung.")</f>
        <v>Ein Turner steigt in einem Fitnessstudio einen Abschwung.</v>
      </c>
    </row>
    <row r="2778">
      <c r="A2778" s="4" t="s">
        <v>3485</v>
      </c>
      <c r="B2778" s="4" t="s">
        <v>3487</v>
      </c>
      <c r="C2778" s="5" t="str">
        <f>IFERROR(__xludf.DUMMYFUNCTION("GOOGLETRANSLATE(B2778,""en"",""de"")"),"Sie tritt auf dem Strahl auf und macht Handsprings und Flips.")</f>
        <v>Sie tritt auf dem Strahl auf und macht Handsprings und Flips.</v>
      </c>
    </row>
    <row r="2779">
      <c r="A2779" s="4" t="s">
        <v>3485</v>
      </c>
      <c r="B2779" s="4" t="s">
        <v>3488</v>
      </c>
      <c r="C2779" s="5" t="str">
        <f>IFERROR(__xludf.DUMMYFUNCTION("GOOGLETRANSLATE(B2779,""en"",""de"")"),"Sie steigt dann mit ihren Händen in der Luft ab.")</f>
        <v>Sie steigt dann mit ihren Händen in der Luft ab.</v>
      </c>
    </row>
    <row r="2780">
      <c r="A2780" s="4" t="s">
        <v>3489</v>
      </c>
      <c r="B2780" s="4" t="s">
        <v>3490</v>
      </c>
      <c r="C2780" s="5" t="str">
        <f>IFERROR(__xludf.DUMMYFUNCTION("GOOGLETRANSLATE(B2780,""en"",""de"")"),"Eine Frau steht an einer Badezimmertür und redet.")</f>
        <v>Eine Frau steht an einer Badezimmertür und redet.</v>
      </c>
    </row>
    <row r="2781">
      <c r="A2781" s="4" t="s">
        <v>3489</v>
      </c>
      <c r="B2781" s="4" t="s">
        <v>3491</v>
      </c>
      <c r="C2781" s="5" t="str">
        <f>IFERROR(__xludf.DUMMYFUNCTION("GOOGLETRANSLATE(B2781,""en"",""de"")"),"Dieselbe Frau ist jetzt auf einem stationären Fahrrad zu sehen, das eine Spinklasse unterrichtet.")</f>
        <v>Dieselbe Frau ist jetzt auf einem stationären Fahrrad zu sehen, das eine Spinklasse unterrichtet.</v>
      </c>
    </row>
    <row r="2782">
      <c r="A2782" s="4" t="s">
        <v>3489</v>
      </c>
      <c r="B2782" s="4" t="s">
        <v>3492</v>
      </c>
      <c r="C2782" s="5" t="str">
        <f>IFERROR(__xludf.DUMMYFUNCTION("GOOGLETRANSLATE(B2782,""en"",""de"")"),"Mehrere andere Personen in der Klasse sind auf stationären Fahrrädern im Spiegel hinter dem Ausbilder zu sehen.")</f>
        <v>Mehrere andere Personen in der Klasse sind auf stationären Fahrrädern im Spiegel hinter dem Ausbilder zu sehen.</v>
      </c>
    </row>
    <row r="2783">
      <c r="A2783" s="4" t="s">
        <v>3489</v>
      </c>
      <c r="B2783" s="4" t="s">
        <v>3493</v>
      </c>
      <c r="C2783" s="5" t="str">
        <f>IFERROR(__xludf.DUMMYFUNCTION("GOOGLETRANSLATE(B2783,""en"",""de"")"),"Die Frau wird dann auf dem Boden gezeigt, der eine Übung demonstriert.")</f>
        <v>Die Frau wird dann auf dem Boden gezeigt, der eine Übung demonstriert.</v>
      </c>
    </row>
    <row r="2784">
      <c r="A2784" s="4" t="s">
        <v>3489</v>
      </c>
      <c r="B2784" s="4" t="s">
        <v>3494</v>
      </c>
      <c r="C2784" s="5" t="str">
        <f>IFERROR(__xludf.DUMMYFUNCTION("GOOGLETRANSLATE(B2784,""en"",""de"")"),"Die Spinklasse wird noch einmal in Arbeit gezeigt.")</f>
        <v>Die Spinklasse wird noch einmal in Arbeit gezeigt.</v>
      </c>
    </row>
    <row r="2785">
      <c r="A2785" s="4" t="s">
        <v>3489</v>
      </c>
      <c r="B2785" s="4" t="s">
        <v>3495</v>
      </c>
      <c r="C2785" s="5" t="str">
        <f>IFERROR(__xludf.DUMMYFUNCTION("GOOGLETRANSLATE(B2785,""en"",""de"")"),"Der Ausbilder macht dann wieder Bodenübungen, wobei die Klasse folgt.")</f>
        <v>Der Ausbilder macht dann wieder Bodenübungen, wobei die Klasse folgt.</v>
      </c>
    </row>
    <row r="2786">
      <c r="A2786" s="4" t="s">
        <v>3489</v>
      </c>
      <c r="B2786" s="4" t="s">
        <v>3496</v>
      </c>
      <c r="C2786" s="5" t="str">
        <f>IFERROR(__xludf.DUMMYFUNCTION("GOOGLETRANSLATE(B2786,""en"",""de"")"),"Der Ausbilder und die Klasse beenden die Fahrräder wieder.")</f>
        <v>Der Ausbilder und die Klasse beenden die Fahrräder wieder.</v>
      </c>
    </row>
    <row r="2787">
      <c r="A2787" s="4" t="s">
        <v>3497</v>
      </c>
      <c r="B2787" s="4" t="s">
        <v>3498</v>
      </c>
      <c r="C2787" s="5" t="str">
        <f>IFERROR(__xludf.DUMMYFUNCTION("GOOGLETRANSLATE(B2787,""en"",""de"")"),"Eine Dame steht und spricht in einem Fitnessstudio.")</f>
        <v>Eine Dame steht und spricht in einem Fitnessstudio.</v>
      </c>
    </row>
    <row r="2788">
      <c r="A2788" s="4" t="s">
        <v>3497</v>
      </c>
      <c r="B2788" s="4" t="s">
        <v>3499</v>
      </c>
      <c r="C2788" s="5" t="str">
        <f>IFERROR(__xludf.DUMMYFUNCTION("GOOGLETRANSLATE(B2788,""en"",""de"")"),"Sie zeigt auf ihren Bauch und legt dann auf eine Bank.")</f>
        <v>Sie zeigt auf ihren Bauch und legt dann auf eine Bank.</v>
      </c>
    </row>
    <row r="2789">
      <c r="A2789" s="4" t="s">
        <v>3497</v>
      </c>
      <c r="B2789" s="4" t="s">
        <v>3500</v>
      </c>
      <c r="C2789" s="5" t="str">
        <f>IFERROR(__xludf.DUMMYFUNCTION("GOOGLETRANSLATE(B2789,""en"",""de"")"),"Die Dame hält die Bank und hebt ihren Bauch und ihre Beine.")</f>
        <v>Die Dame hält die Bank und hebt ihren Bauch und ihre Beine.</v>
      </c>
    </row>
    <row r="2790">
      <c r="A2790" s="4" t="s">
        <v>3497</v>
      </c>
      <c r="B2790" s="4" t="s">
        <v>3501</v>
      </c>
      <c r="C2790" s="5" t="str">
        <f>IFERROR(__xludf.DUMMYFUNCTION("GOOGLETRANSLATE(B2790,""en"",""de"")"),"Die Dame setzt sich auf und rockt an den Rand.")</f>
        <v>Die Dame setzt sich auf und rockt an den Rand.</v>
      </c>
    </row>
    <row r="2791">
      <c r="A2791" s="4" t="s">
        <v>3497</v>
      </c>
      <c r="B2791" s="4" t="s">
        <v>3502</v>
      </c>
      <c r="C2791" s="5" t="str">
        <f>IFERROR(__xludf.DUMMYFUNCTION("GOOGLETRANSLATE(B2791,""en"",""de"")"),"Die Dame führt die gleiche Übung mit ihrem Hintern durch, der von der Bank hängt.")</f>
        <v>Die Dame führt die gleiche Übung mit ihrem Hintern durch, der von der Bank hängt.</v>
      </c>
    </row>
    <row r="2792">
      <c r="A2792" s="4" t="s">
        <v>3497</v>
      </c>
      <c r="B2792" s="4" t="s">
        <v>3503</v>
      </c>
      <c r="C2792" s="5" t="str">
        <f>IFERROR(__xludf.DUMMYFUNCTION("GOOGLETRANSLATE(B2792,""en"",""de"")"),"Die Dame endet, sitzt aufrecht und spricht.")</f>
        <v>Die Dame endet, sitzt aufrecht und spricht.</v>
      </c>
    </row>
    <row r="2793">
      <c r="A2793" s="4" t="s">
        <v>3504</v>
      </c>
      <c r="B2793" s="4" t="s">
        <v>3505</v>
      </c>
      <c r="C2793" s="5" t="str">
        <f>IFERROR(__xludf.DUMMYFUNCTION("GOOGLETRANSLATE(B2793,""en"",""de"")"),"Eine Frau veranstaltet ein Nachrichtensegment, das in Feuerwehrleiter einen Block hinunterläuft und Gegenstände über ihren Köpfen trägt.")</f>
        <v>Eine Frau veranstaltet ein Nachrichtensegment, das in Feuerwehrleiter einen Block hinunterläuft und Gegenstände über ihren Köpfen trägt.</v>
      </c>
    </row>
    <row r="2794">
      <c r="A2794" s="4" t="s">
        <v>3504</v>
      </c>
      <c r="B2794" s="4" t="s">
        <v>3506</v>
      </c>
      <c r="C2794" s="5" t="str">
        <f>IFERROR(__xludf.DUMMYFUNCTION("GOOGLETRANSLATE(B2794,""en"",""de"")"),"Weitere Leute sprechen mit der Kamera, während sie weiter herumlaufen und Frauen mit der Kamera sprechen.")</f>
        <v>Weitere Leute sprechen mit der Kamera, während sie weiter herumlaufen und Frauen mit der Kamera sprechen.</v>
      </c>
    </row>
    <row r="2795">
      <c r="A2795" s="4" t="s">
        <v>3507</v>
      </c>
      <c r="B2795" s="4" t="s">
        <v>3508</v>
      </c>
      <c r="C2795" s="5" t="str">
        <f>IFERROR(__xludf.DUMMYFUNCTION("GOOGLETRANSLATE(B2795,""en"",""de"")"),"Ein einzelner Schaufelschaufel, aber nur die Unterbeine und die Schaufel sind vor der Kamera sichtbar.")</f>
        <v>Ein einzelner Schaufelschaufel, aber nur die Unterbeine und die Schaufel sind vor der Kamera sichtbar.</v>
      </c>
    </row>
    <row r="2796">
      <c r="A2796" s="4" t="s">
        <v>3507</v>
      </c>
      <c r="B2796" s="4" t="s">
        <v>3509</v>
      </c>
      <c r="C2796" s="5" t="str">
        <f>IFERROR(__xludf.DUMMYFUNCTION("GOOGLETRANSLATE(B2796,""en"",""de"")"),"Die Person legt die Schaufel beiseite und geht in Richtung Kamera.")</f>
        <v>Die Person legt die Schaufel beiseite und geht in Richtung Kamera.</v>
      </c>
    </row>
    <row r="2797">
      <c r="A2797" s="4" t="s">
        <v>3507</v>
      </c>
      <c r="B2797" s="4" t="s">
        <v>3510</v>
      </c>
      <c r="C2797" s="5" t="str">
        <f>IFERROR(__xludf.DUMMYFUNCTION("GOOGLETRANSLATE(B2797,""en"",""de"")"),"Die Kamera zeigt erneut die individuelle Schaufel.")</f>
        <v>Die Kamera zeigt erneut die individuelle Schaufel.</v>
      </c>
    </row>
    <row r="2798">
      <c r="A2798" s="4" t="s">
        <v>3511</v>
      </c>
      <c r="B2798" s="4" t="s">
        <v>3512</v>
      </c>
      <c r="C2798" s="5" t="str">
        <f>IFERROR(__xludf.DUMMYFUNCTION("GOOGLETRANSLATE(B2798,""en"",""de"")"),"Ein Mann in einem grauen Aufwärmanzugspraktiken, der hinter ein Netz geschossen wurde.")</f>
        <v>Ein Mann in einem grauen Aufwärmanzugspraktiken, der hinter ein Netz geschossen wurde.</v>
      </c>
    </row>
    <row r="2799">
      <c r="A2799" s="4" t="s">
        <v>3511</v>
      </c>
      <c r="B2799" s="4" t="s">
        <v>3513</v>
      </c>
      <c r="C2799" s="5" t="str">
        <f>IFERROR(__xludf.DUMMYFUNCTION("GOOGLETRANSLATE(B2799,""en"",""de"")"),"Ein anderer Mann in einem grünen Sweatshirt übt einen Schuss ein, das ein Feld hinter einem Netz -Tor geworfen hat.")</f>
        <v>Ein anderer Mann in einem grünen Sweatshirt übt einen Schuss ein, das ein Feld hinter einem Netz -Tor geworfen hat.</v>
      </c>
    </row>
    <row r="2800">
      <c r="A2800" s="4" t="s">
        <v>3511</v>
      </c>
      <c r="B2800" s="4" t="s">
        <v>3514</v>
      </c>
      <c r="C2800" s="5" t="str">
        <f>IFERROR(__xludf.DUMMYFUNCTION("GOOGLETRANSLATE(B2800,""en"",""de"")"),"Es werden immer noch Fotos zwischen mehreren Männern gezeigt, die ihren Schuss Put Throw üben.")</f>
        <v>Es werden immer noch Fotos zwischen mehreren Männern gezeigt, die ihren Schuss Put Throw üben.</v>
      </c>
    </row>
    <row r="2801">
      <c r="A2801" s="4" t="s">
        <v>3511</v>
      </c>
      <c r="B2801" s="4" t="s">
        <v>3515</v>
      </c>
      <c r="C2801" s="5" t="str">
        <f>IFERROR(__xludf.DUMMYFUNCTION("GOOGLETRANSLATE(B2801,""en"",""de"")"),"Eine Reihe von Schuss -Put -Würfen wird in aufeinanderfolgenden Würfen vorgestellt.")</f>
        <v>Eine Reihe von Schuss -Put -Würfen wird in aufeinanderfolgenden Würfen vorgestellt.</v>
      </c>
    </row>
    <row r="2802">
      <c r="A2802" s="4" t="s">
        <v>3516</v>
      </c>
      <c r="B2802" s="4" t="s">
        <v>3517</v>
      </c>
      <c r="C2802" s="5" t="str">
        <f>IFERROR(__xludf.DUMMYFUNCTION("GOOGLETRANSLATE(B2802,""en"",""de"")"),"Ein Mann wird gesehen, wie er einen Kuchen mit verbundenen Augen dekoriert, während eine kleine Gruppe von Menschen zuschauen.")</f>
        <v>Ein Mann wird gesehen, wie er einen Kuchen mit verbundenen Augen dekoriert, während eine kleine Gruppe von Menschen zuschauen.</v>
      </c>
    </row>
    <row r="2803">
      <c r="A2803" s="4" t="s">
        <v>3516</v>
      </c>
      <c r="B2803" s="4" t="s">
        <v>3518</v>
      </c>
      <c r="C2803" s="5" t="str">
        <f>IFERROR(__xludf.DUMMYFUNCTION("GOOGLETRANSLATE(B2803,""en"",""de"")"),"Der Mann verleiht dem Kuchen Zuckerguss, während andere weiterhin so gut wie andere Zutaten beobachten.")</f>
        <v>Der Mann verleiht dem Kuchen Zuckerguss, während andere weiterhin so gut wie andere Zutaten beobachten.</v>
      </c>
    </row>
    <row r="2804">
      <c r="A2804" s="4" t="s">
        <v>3516</v>
      </c>
      <c r="B2804" s="4" t="s">
        <v>3519</v>
      </c>
      <c r="C2804" s="5" t="str">
        <f>IFERROR(__xludf.DUMMYFUNCTION("GOOGLETRANSLATE(B2804,""en"",""de"")"),"Er nimmt die Augenbinde ab und jubelt sowie Hawaii -Outfits auf alle und tanzte herum.")</f>
        <v>Er nimmt die Augenbinde ab und jubelt sowie Hawaii -Outfits auf alle und tanzte herum.</v>
      </c>
    </row>
    <row r="2805">
      <c r="A2805" s="4" t="s">
        <v>3520</v>
      </c>
      <c r="B2805" s="4" t="s">
        <v>3521</v>
      </c>
      <c r="C2805" s="5" t="str">
        <f>IFERROR(__xludf.DUMMYFUNCTION("GOOGLETRANSLATE(B2805,""en"",""de"")"),"Ein Mann ist draußen auf dem Dach seines Schuppens mit einem Blattgebläse, der bereit ist, die Blätter vom Dach zu reinigen.")</f>
        <v>Ein Mann ist draußen auf dem Dach seines Schuppens mit einem Blattgebläse, der bereit ist, die Blätter vom Dach zu reinigen.</v>
      </c>
    </row>
    <row r="2806">
      <c r="A2806" s="4" t="s">
        <v>3520</v>
      </c>
      <c r="B2806" s="4" t="s">
        <v>3522</v>
      </c>
      <c r="C2806" s="5" t="str">
        <f>IFERROR(__xludf.DUMMYFUNCTION("GOOGLETRANSLATE(B2806,""en"",""de"")"),"Er zeigt eine Nahaufnahme des Blattgebläses und erklärt die Besonderheiten, primet die Maschine, stellt die Kamera ab und startet.")</f>
        <v>Er zeigt eine Nahaufnahme des Blattgebläses und erklärt die Besonderheiten, primet die Maschine, stellt die Kamera ab und startet.</v>
      </c>
    </row>
    <row r="2807">
      <c r="A2807" s="4" t="s">
        <v>3520</v>
      </c>
      <c r="B2807" s="4" t="s">
        <v>3523</v>
      </c>
      <c r="C2807" s="5" t="str">
        <f>IFERROR(__xludf.DUMMYFUNCTION("GOOGLETRANSLATE(B2807,""en"",""de"")"),"Er nimmt die Kamera auf und nimmt das Blattgebläse wieder auf.")</f>
        <v>Er nimmt die Kamera auf und nimmt das Blattgebläse wieder auf.</v>
      </c>
    </row>
    <row r="2808">
      <c r="A2808" s="4" t="s">
        <v>3520</v>
      </c>
      <c r="B2808" s="4" t="s">
        <v>3524</v>
      </c>
      <c r="C2808" s="5" t="str">
        <f>IFERROR(__xludf.DUMMYFUNCTION("GOOGLETRANSLATE(B2808,""en"",""de"")"),"Er bläst jetzt die Blätter vom Dach seines Schuppens.")</f>
        <v>Er bläst jetzt die Blätter vom Dach seines Schuppens.</v>
      </c>
    </row>
    <row r="2809">
      <c r="A2809" s="4" t="s">
        <v>3525</v>
      </c>
      <c r="B2809" s="4" t="s">
        <v>3526</v>
      </c>
      <c r="C2809" s="5" t="str">
        <f>IFERROR(__xludf.DUMMYFUNCTION("GOOGLETRANSLATE(B2809,""en"",""de"")"),"Ein Mann wird im fallenden Schnee zum Skifahren angezogen.")</f>
        <v>Ein Mann wird im fallenden Schnee zum Skifahren angezogen.</v>
      </c>
    </row>
    <row r="2810">
      <c r="A2810" s="4" t="s">
        <v>3525</v>
      </c>
      <c r="B2810" s="4" t="s">
        <v>3527</v>
      </c>
      <c r="C2810" s="5" t="str">
        <f>IFERROR(__xludf.DUMMYFUNCTION("GOOGLETRANSLATE(B2810,""en"",""de"")"),"Er spricht mit der Kamera über Skifahren.")</f>
        <v>Er spricht mit der Kamera über Skifahren.</v>
      </c>
    </row>
    <row r="2811">
      <c r="A2811" s="4" t="s">
        <v>3525</v>
      </c>
      <c r="B2811" s="4" t="s">
        <v>3528</v>
      </c>
      <c r="C2811" s="5" t="str">
        <f>IFERROR(__xludf.DUMMYFUNCTION("GOOGLETRANSLATE(B2811,""en"",""de"")"),"Er wird dann gesehen, wie er durch die Luft geht und steile Hänge während des Skiern.")</f>
        <v>Er wird dann gesehen, wie er durch die Luft geht und steile Hänge während des Skiern.</v>
      </c>
    </row>
    <row r="2812">
      <c r="A2812" s="4" t="s">
        <v>3529</v>
      </c>
      <c r="B2812" s="4" t="s">
        <v>3530</v>
      </c>
      <c r="C2812" s="5" t="str">
        <f>IFERROR(__xludf.DUMMYFUNCTION("GOOGLETRANSLATE(B2812,""en"",""de"")"),"Ein Mann wird gesehen, wie er mit der Kamera spricht, während er auf einem Stuhl sitzt und ab und zu seine Arme hochlegt.")</f>
        <v>Ein Mann wird gesehen, wie er mit der Kamera spricht, während er auf einem Stuhl sitzt und ab und zu seine Arme hochlegt.</v>
      </c>
    </row>
    <row r="2813">
      <c r="A2813" s="4" t="s">
        <v>3529</v>
      </c>
      <c r="B2813" s="4" t="s">
        <v>3531</v>
      </c>
      <c r="C2813" s="5" t="str">
        <f>IFERROR(__xludf.DUMMYFUNCTION("GOOGLETRANSLATE(B2813,""en"",""de"")"),"Dann spielt er eine Mundharmonika und bewegt seine Hände herum, während er eine Pause einbringt, um mit der Kamera zu sprechen, und spricht und zeigt.")</f>
        <v>Dann spielt er eine Mundharmonika und bewegt seine Hände herum, während er eine Pause einbringt, um mit der Kamera zu sprechen, und spricht und zeigt.</v>
      </c>
    </row>
    <row r="2814">
      <c r="A2814" s="4" t="s">
        <v>3532</v>
      </c>
      <c r="B2814" s="4" t="s">
        <v>3533</v>
      </c>
      <c r="C2814" s="5" t="str">
        <f>IFERROR(__xludf.DUMMYFUNCTION("GOOGLETRANSLATE(B2814,""en"",""de"")"),"Ein Mann steht neben einem Bullen und hält eine rote Fahne hoch.")</f>
        <v>Ein Mann steht neben einem Bullen und hält eine rote Fahne hoch.</v>
      </c>
    </row>
    <row r="2815">
      <c r="A2815" s="4" t="s">
        <v>3532</v>
      </c>
      <c r="B2815" s="4" t="s">
        <v>3534</v>
      </c>
      <c r="C2815" s="5" t="str">
        <f>IFERROR(__xludf.DUMMYFUNCTION("GOOGLETRANSLATE(B2815,""en"",""de"")"),"Dem Stier wird dann gezeigt, dass er in vielen Clips mehrere Männer angreift.")</f>
        <v>Dem Stier wird dann gezeigt, dass er in vielen Clips mehrere Männer angreift.</v>
      </c>
    </row>
    <row r="2816">
      <c r="A2816" s="4" t="s">
        <v>3532</v>
      </c>
      <c r="B2816" s="4" t="s">
        <v>3535</v>
      </c>
      <c r="C2816" s="5" t="str">
        <f>IFERROR(__xludf.DUMMYFUNCTION("GOOGLETRANSLATE(B2816,""en"",""de"")"),"Es werden mehr Menschen gezeigt, wie sie Bullen jagen, damit sie nachjagen.")</f>
        <v>Es werden mehr Menschen gezeigt, wie sie Bullen jagen, damit sie nachjagen.</v>
      </c>
    </row>
    <row r="2817">
      <c r="A2817" s="4" t="s">
        <v>3536</v>
      </c>
      <c r="B2817" s="4" t="s">
        <v>3537</v>
      </c>
      <c r="C2817" s="5" t="str">
        <f>IFERROR(__xludf.DUMMYFUNCTION("GOOGLETRANSLATE(B2817,""en"",""de"")"),"Eine Frau sitzt und redet vor einem Laptop.")</f>
        <v>Eine Frau sitzt und redet vor einem Laptop.</v>
      </c>
    </row>
    <row r="2818">
      <c r="A2818" s="4" t="s">
        <v>3536</v>
      </c>
      <c r="B2818" s="4" t="s">
        <v>3538</v>
      </c>
      <c r="C2818" s="5" t="str">
        <f>IFERROR(__xludf.DUMMYFUNCTION("GOOGLETRANSLATE(B2818,""en"",""de"")"),"Sie steht vor einem Raum von Familienmitgliedern auf.")</f>
        <v>Sie steht vor einem Raum von Familienmitgliedern auf.</v>
      </c>
    </row>
    <row r="2819">
      <c r="A2819" s="4" t="s">
        <v>3536</v>
      </c>
      <c r="B2819" s="4" t="s">
        <v>3539</v>
      </c>
      <c r="C2819" s="5" t="str">
        <f>IFERROR(__xludf.DUMMYFUNCTION("GOOGLETRANSLATE(B2819,""en"",""de"")"),"Sie tanzt und zeigt mehrere Züge zu den Menschen, als sie durch den Raum schimmert.")</f>
        <v>Sie tanzt und zeigt mehrere Züge zu den Menschen, als sie durch den Raum schimmert.</v>
      </c>
    </row>
    <row r="2820">
      <c r="A2820" s="4" t="s">
        <v>3540</v>
      </c>
      <c r="B2820" s="4" t="s">
        <v>3541</v>
      </c>
      <c r="C2820" s="5" t="str">
        <f>IFERROR(__xludf.DUMMYFUNCTION("GOOGLETRANSLATE(B2820,""en"",""de"")"),"Ein Mann steht in seiner Uniform in einer Wüste wie Gegend.")</f>
        <v>Ein Mann steht in seiner Uniform in einer Wüste wie Gegend.</v>
      </c>
    </row>
    <row r="2821">
      <c r="A2821" s="4" t="s">
        <v>3540</v>
      </c>
      <c r="B2821" s="4" t="s">
        <v>3542</v>
      </c>
      <c r="C2821" s="5" t="str">
        <f>IFERROR(__xludf.DUMMYFUNCTION("GOOGLETRANSLATE(B2821,""en"",""de"")"),"Während er spricht, werden mehrere Videos von ihm außerhalb der Straße gezeigt, die über den Strecke rennen, um über Buckel zu springen.")</f>
        <v>Während er spricht, werden mehrere Videos von ihm außerhalb der Straße gezeigt, die über den Strecke rennen, um über Buckel zu springen.</v>
      </c>
    </row>
    <row r="2822">
      <c r="A2822" s="4" t="s">
        <v>3540</v>
      </c>
      <c r="B2822" s="4" t="s">
        <v>3543</v>
      </c>
      <c r="C2822" s="5" t="str">
        <f>IFERROR(__xludf.DUMMYFUNCTION("GOOGLETRANSLATE(B2822,""en"",""de"")"),"Während der Segmente kommt er jedoch zurück, um zu zeigen, wie er Techniken in bestimmten Sprüngen einsetzt und auf welche Art, um dies zu tun.")</f>
        <v>Während der Segmente kommt er jedoch zurück, um zu zeigen, wie er Techniken in bestimmten Sprüngen einsetzt und auf welche Art, um dies zu tun.</v>
      </c>
    </row>
    <row r="2823">
      <c r="A2823" s="4" t="s">
        <v>3544</v>
      </c>
      <c r="B2823" s="4" t="s">
        <v>3545</v>
      </c>
      <c r="C2823" s="5" t="str">
        <f>IFERROR(__xludf.DUMMYFUNCTION("GOOGLETRANSLATE(B2823,""en"",""de"")"),"Ein kleines Mädchen steht vor einem Hopscotch -Spiel in ihrem Wohnzimmer.")</f>
        <v>Ein kleines Mädchen steht vor einem Hopscotch -Spiel in ihrem Wohnzimmer.</v>
      </c>
    </row>
    <row r="2824">
      <c r="A2824" s="4" t="s">
        <v>3544</v>
      </c>
      <c r="B2824" s="4" t="s">
        <v>3546</v>
      </c>
      <c r="C2824" s="5" t="str">
        <f>IFERROR(__xludf.DUMMYFUNCTION("GOOGLETRANSLATE(B2824,""en"",""de"")"),"Sie springt auf jedem Platz vorwärts, dreht sich dann um und geht in die andere Richtung.")</f>
        <v>Sie springt auf jedem Platz vorwärts, dreht sich dann um und geht in die andere Richtung.</v>
      </c>
    </row>
    <row r="2825">
      <c r="A2825" s="4" t="s">
        <v>3544</v>
      </c>
      <c r="B2825" s="4" t="s">
        <v>3547</v>
      </c>
      <c r="C2825" s="5" t="str">
        <f>IFERROR(__xludf.DUMMYFUNCTION("GOOGLETRANSLATE(B2825,""en"",""de"")"),"Sie lächelt und bogt sich nach der Kamera.")</f>
        <v>Sie lächelt und bogt sich nach der Kamera.</v>
      </c>
    </row>
    <row r="2826">
      <c r="A2826" s="4" t="s">
        <v>3548</v>
      </c>
      <c r="B2826" s="4" t="s">
        <v>3549</v>
      </c>
      <c r="C2826" s="5" t="str">
        <f>IFERROR(__xludf.DUMMYFUNCTION("GOOGLETRANSLATE(B2826,""en"",""de"")"),"Ein Mann befestigt seine Beine auf einem Stangen eines Segelboots, der sich am Rücken an der Grenze des Bootes auf den Rücken legte.")</f>
        <v>Ein Mann befestigt seine Beine auf einem Stangen eines Segelboots, der sich am Rücken an der Grenze des Bootes auf den Rücken legte.</v>
      </c>
    </row>
    <row r="2827">
      <c r="A2827" s="4" t="s">
        <v>3548</v>
      </c>
      <c r="B2827" s="4" t="s">
        <v>3550</v>
      </c>
      <c r="C2827" s="5" t="str">
        <f>IFERROR(__xludf.DUMMYFUNCTION("GOOGLETRANSLATE(B2827,""en"",""de"")"),"Dann segelt der Mann das Boot und legte sich an der Grenze des Bootes.")</f>
        <v>Dann segelt der Mann das Boot und legte sich an der Grenze des Bootes.</v>
      </c>
    </row>
    <row r="2828">
      <c r="A2828" s="4" t="s">
        <v>3548</v>
      </c>
      <c r="B2828" s="4" t="s">
        <v>3551</v>
      </c>
      <c r="C2828" s="5" t="str">
        <f>IFERROR(__xludf.DUMMYFUNCTION("GOOGLETRANSLATE(B2828,""en"",""de"")"),"Der Mann fällt ins Wasser, dann steigt er im Boot auf und segelt weiter auf dem Rücken.")</f>
        <v>Der Mann fällt ins Wasser, dann steigt er im Boot auf und segelt weiter auf dem Rücken.</v>
      </c>
    </row>
    <row r="2829">
      <c r="A2829" s="4" t="s">
        <v>3548</v>
      </c>
      <c r="B2829" s="4" t="s">
        <v>3552</v>
      </c>
      <c r="C2829" s="5" t="str">
        <f>IFERROR(__xludf.DUMMYFUNCTION("GOOGLETRANSLATE(B2829,""en"",""de"")"),"Ein Segelbrettpass neben dem Boot.")</f>
        <v>Ein Segelbrettpass neben dem Boot.</v>
      </c>
    </row>
    <row r="2830">
      <c r="A2830" s="4" t="s">
        <v>3553</v>
      </c>
      <c r="B2830" s="4" t="s">
        <v>3554</v>
      </c>
      <c r="C2830" s="5" t="str">
        <f>IFERROR(__xludf.DUMMYFUNCTION("GOOGLETRANSLATE(B2830,""en"",""de"")"),"Ein Mann scheint Wasser zu treten, als er darauf wartet, aus dem Wasser zu kommen und eine Treppe hinauf zu gehen.")</f>
        <v>Ein Mann scheint Wasser zu treten, als er darauf wartet, aus dem Wasser zu kommen und eine Treppe hinauf zu gehen.</v>
      </c>
    </row>
    <row r="2831">
      <c r="A2831" s="4" t="s">
        <v>3553</v>
      </c>
      <c r="B2831" s="4" t="s">
        <v>3555</v>
      </c>
      <c r="C2831" s="5" t="str">
        <f>IFERROR(__xludf.DUMMYFUNCTION("GOOGLETRANSLATE(B2831,""en"",""de"")"),"Er steigt schließlich von der Treppe und schließt sich den anderen an, die auf dem Holz -Tauchbrett sind.")</f>
        <v>Er steigt schließlich von der Treppe und schließt sich den anderen an, die auf dem Holz -Tauchbrett sind.</v>
      </c>
    </row>
    <row r="2832">
      <c r="A2832" s="4" t="s">
        <v>3553</v>
      </c>
      <c r="B2832" s="4" t="s">
        <v>3556</v>
      </c>
      <c r="C2832" s="5" t="str">
        <f>IFERROR(__xludf.DUMMYFUNCTION("GOOGLETRANSLATE(B2832,""en"",""de"")"),"Erstens springen ein Satz drei Mädchen ab, bevor er es tut, und schafft eine große Aufregung von Wellen.")</f>
        <v>Erstens springen ein Satz drei Mädchen ab, bevor er es tut, und schafft eine große Aufregung von Wellen.</v>
      </c>
    </row>
    <row r="2833">
      <c r="A2833" s="4" t="s">
        <v>3557</v>
      </c>
      <c r="B2833" s="4" t="s">
        <v>3558</v>
      </c>
      <c r="C2833" s="5" t="str">
        <f>IFERROR(__xludf.DUMMYFUNCTION("GOOGLETRANSLATE(B2833,""en"",""de"")"),"Ein Bild einer Kaffeetasse wird ebenso wie ein Löffel für die entspannende Musik gezeigt.")</f>
        <v>Ein Bild einer Kaffeetasse wird ebenso wie ein Löffel für die entspannende Musik gezeigt.</v>
      </c>
    </row>
    <row r="2834">
      <c r="A2834" s="4" t="s">
        <v>3557</v>
      </c>
      <c r="B2834" s="4" t="s">
        <v>3559</v>
      </c>
      <c r="C2834" s="5" t="str">
        <f>IFERROR(__xludf.DUMMYFUNCTION("GOOGLETRANSLATE(B2834,""en"",""de"")"),"Es werden verschiedene Titelbildschirme gezeigt und schließlich das gleiche Bild der Kaffeetasse erscheint, während weiche Musik im Hintergrund spielt.")</f>
        <v>Es werden verschiedene Titelbildschirme gezeigt und schließlich das gleiche Bild der Kaffeetasse erscheint, während weiche Musik im Hintergrund spielt.</v>
      </c>
    </row>
    <row r="2835">
      <c r="A2835" s="4" t="s">
        <v>3560</v>
      </c>
      <c r="B2835" s="4" t="s">
        <v>3561</v>
      </c>
      <c r="C2835" s="5" t="str">
        <f>IFERROR(__xludf.DUMMYFUNCTION("GOOGLETRANSLATE(B2835,""en"",""de"")"),"Die Credits eines Clips werden angezeigt.")</f>
        <v>Die Credits eines Clips werden angezeigt.</v>
      </c>
    </row>
    <row r="2836">
      <c r="A2836" s="4" t="s">
        <v>3560</v>
      </c>
      <c r="B2836" s="4" t="s">
        <v>3562</v>
      </c>
      <c r="C2836" s="5" t="str">
        <f>IFERROR(__xludf.DUMMYFUNCTION("GOOGLETRANSLATE(B2836,""en"",""de"")"),"Eine Person ist Wasser auf einem Gewässer.")</f>
        <v>Eine Person ist Wasser auf einem Gewässer.</v>
      </c>
    </row>
    <row r="2837">
      <c r="A2837" s="4" t="s">
        <v>3560</v>
      </c>
      <c r="B2837" s="4" t="s">
        <v>3563</v>
      </c>
      <c r="C2837" s="5" t="str">
        <f>IFERROR(__xludf.DUMMYFUNCTION("GOOGLETRANSLATE(B2837,""en"",""de"")"),"Die Leute reiten ein Boot und interagieren.")</f>
        <v>Die Leute reiten ein Boot und interagieren.</v>
      </c>
    </row>
    <row r="2838">
      <c r="A2838" s="4" t="s">
        <v>3560</v>
      </c>
      <c r="B2838" s="4" t="s">
        <v>3564</v>
      </c>
      <c r="C2838" s="5" t="str">
        <f>IFERROR(__xludf.DUMMYFUNCTION("GOOGLETRANSLATE(B2838,""en"",""de"")"),"Eine Lady Hula rifft Musik an.")</f>
        <v>Eine Lady Hula rifft Musik an.</v>
      </c>
    </row>
    <row r="2839">
      <c r="A2839" s="4" t="s">
        <v>3560</v>
      </c>
      <c r="B2839" s="4" t="s">
        <v>3565</v>
      </c>
      <c r="C2839" s="5" t="str">
        <f>IFERROR(__xludf.DUMMYFUNCTION("GOOGLETRANSLATE(B2839,""en"",""de"")"),"Ein männlicher Sprung von den Felsen in das Wasser.")</f>
        <v>Ein männlicher Sprung von den Felsen in das Wasser.</v>
      </c>
    </row>
    <row r="2840">
      <c r="A2840" s="4" t="s">
        <v>3560</v>
      </c>
      <c r="B2840" s="4" t="s">
        <v>3566</v>
      </c>
      <c r="C2840" s="5" t="str">
        <f>IFERROR(__xludf.DUMMYFUNCTION("GOOGLETRANSLATE(B2840,""en"",""de"")"),"Die Leute sind am Ufer und einige sind auf dem Boot.")</f>
        <v>Die Leute sind am Ufer und einige sind auf dem Boot.</v>
      </c>
    </row>
    <row r="2841">
      <c r="A2841" s="4" t="s">
        <v>3560</v>
      </c>
      <c r="B2841" s="4" t="s">
        <v>3567</v>
      </c>
      <c r="C2841" s="5" t="str">
        <f>IFERROR(__xludf.DUMMYFUNCTION("GOOGLETRANSLATE(B2841,""en"",""de"")"),"Ein Mann springt mit seiner Waterboard von einem Boot.")</f>
        <v>Ein Mann springt mit seiner Waterboard von einem Boot.</v>
      </c>
    </row>
    <row r="2842">
      <c r="A2842" s="4" t="s">
        <v>3560</v>
      </c>
      <c r="B2842" s="4" t="s">
        <v>3568</v>
      </c>
      <c r="C2842" s="5" t="str">
        <f>IFERROR(__xludf.DUMMYFUNCTION("GOOGLETRANSLATE(B2842,""en"",""de"")"),"Ein Mann benutzt einen Hula -Hoop als Sprungseil.")</f>
        <v>Ein Mann benutzt einen Hula -Hoop als Sprungseil.</v>
      </c>
    </row>
    <row r="2843">
      <c r="A2843" s="4" t="s">
        <v>3560</v>
      </c>
      <c r="B2843" s="4" t="s">
        <v>3569</v>
      </c>
      <c r="C2843" s="5" t="str">
        <f>IFERROR(__xludf.DUMMYFUNCTION("GOOGLETRANSLATE(B2843,""en"",""de"")"),"Frauen tanzen in einer sozialen Funktion zu Musik.")</f>
        <v>Frauen tanzen in einer sozialen Funktion zu Musik.</v>
      </c>
    </row>
    <row r="2844">
      <c r="A2844" s="4" t="s">
        <v>3560</v>
      </c>
      <c r="B2844" s="4" t="s">
        <v>3570</v>
      </c>
      <c r="C2844" s="5" t="str">
        <f>IFERROR(__xludf.DUMMYFUNCTION("GOOGLETRANSLATE(B2844,""en"",""de"")"),"Das Individuum befindet sich im Gewässer.")</f>
        <v>Das Individuum befindet sich im Gewässer.</v>
      </c>
    </row>
    <row r="2845">
      <c r="A2845" s="4" t="s">
        <v>3560</v>
      </c>
      <c r="B2845" s="4" t="s">
        <v>3571</v>
      </c>
      <c r="C2845" s="5" t="str">
        <f>IFERROR(__xludf.DUMMYFUNCTION("GOOGLETRANSLATE(B2845,""en"",""de"")"),"Zwei Erwachsene laufen in einem hölzernen, hohlen Zylinder.")</f>
        <v>Zwei Erwachsene laufen in einem hölzernen, hohlen Zylinder.</v>
      </c>
    </row>
    <row r="2846">
      <c r="A2846" s="4" t="s">
        <v>3560</v>
      </c>
      <c r="B2846" s="4" t="s">
        <v>3572</v>
      </c>
      <c r="C2846" s="5" t="str">
        <f>IFERROR(__xludf.DUMMYFUNCTION("GOOGLETRANSLATE(B2846,""en"",""de"")"),"Ein individueller Rücken fließt von einem Boot ab.")</f>
        <v>Ein individueller Rücken fließt von einem Boot ab.</v>
      </c>
    </row>
    <row r="2847">
      <c r="A2847" s="4" t="s">
        <v>3560</v>
      </c>
      <c r="B2847" s="4" t="s">
        <v>3573</v>
      </c>
      <c r="C2847" s="5" t="str">
        <f>IFERROR(__xludf.DUMMYFUNCTION("GOOGLETRANSLATE(B2847,""en"",""de"")"),"Eine Frau steht auf Waterboard, das sich auf Gras befindet.")</f>
        <v>Eine Frau steht auf Waterboard, das sich auf Gras befindet.</v>
      </c>
    </row>
    <row r="2848">
      <c r="A2848" s="4" t="s">
        <v>3560</v>
      </c>
      <c r="B2848" s="4" t="s">
        <v>3574</v>
      </c>
      <c r="C2848" s="5" t="str">
        <f>IFERROR(__xludf.DUMMYFUNCTION("GOOGLETRANSLATE(B2848,""en"",""de"")"),"Die Leute springen von einem aufgeblasenen Boot.")</f>
        <v>Die Leute springen von einem aufgeblasenen Boot.</v>
      </c>
    </row>
    <row r="2849">
      <c r="A2849" s="4" t="s">
        <v>3560</v>
      </c>
      <c r="B2849" s="4" t="s">
        <v>3575</v>
      </c>
      <c r="C2849" s="5" t="str">
        <f>IFERROR(__xludf.DUMMYFUNCTION("GOOGLETRANSLATE(B2849,""en"",""de"")"),"Die Credits eines Videos werden mit Clips angezeigt.")</f>
        <v>Die Credits eines Videos werden mit Clips angezeigt.</v>
      </c>
    </row>
    <row r="2850">
      <c r="A2850" s="4" t="s">
        <v>3576</v>
      </c>
      <c r="B2850" s="4" t="s">
        <v>3577</v>
      </c>
      <c r="C2850" s="5" t="str">
        <f>IFERROR(__xludf.DUMMYFUNCTION("GOOGLETRANSLATE(B2850,""en"",""de"")"),"Ein Jugendlicher spricht in einem Haus, dann kommt er außerhalb des Hauses.")</f>
        <v>Ein Jugendlicher spricht in einem Haus, dann kommt er außerhalb des Hauses.</v>
      </c>
    </row>
    <row r="2851">
      <c r="A2851" s="4" t="s">
        <v>3576</v>
      </c>
      <c r="B2851" s="4" t="s">
        <v>3578</v>
      </c>
      <c r="C2851" s="5" t="str">
        <f>IFERROR(__xludf.DUMMYFUNCTION("GOOGLETRANSLATE(B2851,""en"",""de"")"),"Ein Mann und ein Teenager stehen auf einem Swimmingpool, der spricht, und eine Person legte sich auf einen Stuhl.")</f>
        <v>Ein Mann und ein Teenager stehen auf einem Swimmingpool, der spricht, und eine Person legte sich auf einen Stuhl.</v>
      </c>
    </row>
    <row r="2852">
      <c r="A2852" s="4" t="s">
        <v>3576</v>
      </c>
      <c r="B2852" s="4" t="s">
        <v>3579</v>
      </c>
      <c r="C2852" s="5" t="str">
        <f>IFERROR(__xludf.DUMMYFUNCTION("GOOGLETRANSLATE(B2852,""en"",""de"")"),"Dann schiebt der Mann den Teenager zum Wasser, das Schwierigkeiten hat zu schwimmen.")</f>
        <v>Dann schiebt der Mann den Teenager zum Wasser, das Schwierigkeiten hat zu schwimmen.</v>
      </c>
    </row>
    <row r="2853">
      <c r="A2853" s="4" t="s">
        <v>3576</v>
      </c>
      <c r="B2853" s="4" t="s">
        <v>3580</v>
      </c>
      <c r="C2853" s="5" t="str">
        <f>IFERROR(__xludf.DUMMYFUNCTION("GOOGLETRANSLATE(B2853,""en"",""de"")"),"Danach kommt der Mann ins Wasser und dreht den Teenager um.")</f>
        <v>Danach kommt der Mann ins Wasser und dreht den Teenager um.</v>
      </c>
    </row>
    <row r="2854">
      <c r="A2854" s="4" t="s">
        <v>3576</v>
      </c>
      <c r="B2854" s="4" t="s">
        <v>3581</v>
      </c>
      <c r="C2854" s="5" t="str">
        <f>IFERROR(__xludf.DUMMYFUNCTION("GOOGLETRANSLATE(B2854,""en"",""de"")"),"Der Teenager holt den Schwimmbad heraus und wirft den Stuhl zum Mann.")</f>
        <v>Der Teenager holt den Schwimmbad heraus und wirft den Stuhl zum Mann.</v>
      </c>
    </row>
    <row r="2855">
      <c r="A2855" s="4" t="s">
        <v>3576</v>
      </c>
      <c r="B2855" s="4" t="s">
        <v>3582</v>
      </c>
      <c r="C2855" s="5" t="str">
        <f>IFERROR(__xludf.DUMMYFUNCTION("GOOGLETRANSLATE(B2855,""en"",""de"")"),"Als nächstes geht der Teenager wütend weg und die Männer und die Frau nehmen die Stühle aus dem Pool.")</f>
        <v>Als nächstes geht der Teenager wütend weg und die Männer und die Frau nehmen die Stühle aus dem Pool.</v>
      </c>
    </row>
    <row r="2856">
      <c r="A2856" s="4" t="s">
        <v>3583</v>
      </c>
      <c r="B2856" s="4" t="s">
        <v>3584</v>
      </c>
      <c r="C2856" s="5" t="str">
        <f>IFERROR(__xludf.DUMMYFUNCTION("GOOGLETRANSLATE(B2856,""en"",""de"")"),"Mehrere Personen sind in einem Skate -Teil -Rollerblading miteinander.")</f>
        <v>Mehrere Personen sind in einem Skate -Teil -Rollerblading miteinander.</v>
      </c>
    </row>
    <row r="2857">
      <c r="A2857" s="4" t="s">
        <v>3583</v>
      </c>
      <c r="B2857" s="4" t="s">
        <v>3585</v>
      </c>
      <c r="C2857" s="5" t="str">
        <f>IFERROR(__xludf.DUMMYFUNCTION("GOOGLETRANSLATE(B2857,""en"",""de"")"),"Die Menschen ziehen dann zu malerischen Orten aus und beginnt in der ganzen Stadt zu rollen.")</f>
        <v>Die Menschen ziehen dann zu malerischen Orten aus und beginnt in der ganzen Stadt zu rollen.</v>
      </c>
    </row>
    <row r="2858">
      <c r="A2858" s="4" t="s">
        <v>3583</v>
      </c>
      <c r="B2858" s="4" t="s">
        <v>3586</v>
      </c>
      <c r="C2858" s="5" t="str">
        <f>IFERROR(__xludf.DUMMYFUNCTION("GOOGLETRANSLATE(B2858,""en"",""de"")"),"Weitere Leute beginnen zu skaten und machen Rampen auf Gassenstraße und machen Tricks in einem Skatepark.")</f>
        <v>Weitere Leute beginnen zu skaten und machen Rampen auf Gassenstraße und machen Tricks in einem Skatepark.</v>
      </c>
    </row>
    <row r="2859">
      <c r="A2859" s="4" t="s">
        <v>3587</v>
      </c>
      <c r="B2859" s="4" t="s">
        <v>3588</v>
      </c>
      <c r="C2859" s="5" t="str">
        <f>IFERROR(__xludf.DUMMYFUNCTION("GOOGLETRANSLATE(B2859,""en"",""de"")"),"Verschiedene Strände werden gezeigt, gefolgt von der Kamera, die über mehrere Wellenschüsse schwenkt.")</f>
        <v>Verschiedene Strände werden gezeigt, gefolgt von der Kamera, die über mehrere Wellenschüsse schwenkt.</v>
      </c>
    </row>
    <row r="2860">
      <c r="A2860" s="4" t="s">
        <v>3587</v>
      </c>
      <c r="B2860" s="4" t="s">
        <v>3589</v>
      </c>
      <c r="C2860" s="5" t="str">
        <f>IFERROR(__xludf.DUMMYFUNCTION("GOOGLETRANSLATE(B2860,""en"",""de"")"),"Anschließend fährt eine Person mit einem Surfbrett durch verschiedene Aufnahmen in der Kamera.")</f>
        <v>Anschließend fährt eine Person mit einem Surfbrett durch verschiedene Aufnahmen in der Kamera.</v>
      </c>
    </row>
    <row r="2861">
      <c r="A2861" s="4" t="s">
        <v>3587</v>
      </c>
      <c r="B2861" s="4" t="s">
        <v>3590</v>
      </c>
      <c r="C2861" s="5" t="str">
        <f>IFERROR(__xludf.DUMMYFUNCTION("GOOGLETRANSLATE(B2861,""en"",""de"")"),"Die Leute sprechen mit der Kamera, wenn eine andere Person mehrmals auf ihr Board stürzt.")</f>
        <v>Die Leute sprechen mit der Kamera, wenn eine andere Person mehrmals auf ihr Board stürzt.</v>
      </c>
    </row>
    <row r="2862">
      <c r="A2862" s="4" t="s">
        <v>3587</v>
      </c>
      <c r="B2862" s="4" t="s">
        <v>3591</v>
      </c>
      <c r="C2862" s="5" t="str">
        <f>IFERROR(__xludf.DUMMYFUNCTION("GOOGLETRANSLATE(B2862,""en"",""de"")"),"Weitere Menschen gehen nach unten, als immer mehr Surfer mit den Wellen fahren.")</f>
        <v>Weitere Menschen gehen nach unten, als immer mehr Surfer mit den Wellen fahren.</v>
      </c>
    </row>
    <row r="2863">
      <c r="A2863" s="4" t="s">
        <v>3592</v>
      </c>
      <c r="B2863" s="4" t="s">
        <v>3593</v>
      </c>
      <c r="C2863" s="5" t="str">
        <f>IFERROR(__xludf.DUMMYFUNCTION("GOOGLETRANSLATE(B2863,""en"",""de"")"),"Eine Frau hält ein Baby in ihrem Schoß, da eine Frau neben ihr einen Plastikkamm verwendet, um sich die Haare zu bürsten.")</f>
        <v>Eine Frau hält ein Baby in ihrem Schoß, da eine Frau neben ihr einen Plastikkamm verwendet, um sich die Haare zu bürsten.</v>
      </c>
    </row>
    <row r="2864">
      <c r="A2864" s="4" t="s">
        <v>3592</v>
      </c>
      <c r="B2864" s="4" t="s">
        <v>3594</v>
      </c>
      <c r="C2864" s="5" t="str">
        <f>IFERROR(__xludf.DUMMYFUNCTION("GOOGLETRANSLATE(B2864,""en"",""de"")"),"Sie spricht mit dem Baby, während sie bürstet, und das Baby beobachtet sie aufmerksam.")</f>
        <v>Sie spricht mit dem Baby, während sie bürstet, und das Baby beobachtet sie aufmerksam.</v>
      </c>
    </row>
    <row r="2865">
      <c r="A2865" s="4" t="s">
        <v>3595</v>
      </c>
      <c r="B2865" s="4" t="s">
        <v>3596</v>
      </c>
      <c r="C2865" s="5" t="str">
        <f>IFERROR(__xludf.DUMMYFUNCTION("GOOGLETRANSLATE(B2865,""en"",""de"")"),"Ein Mann hebt ein Mädchen über seinen Kopf und dann über die Schulter.")</f>
        <v>Ein Mann hebt ein Mädchen über seinen Kopf und dann über die Schulter.</v>
      </c>
    </row>
    <row r="2866">
      <c r="A2866" s="4" t="s">
        <v>3595</v>
      </c>
      <c r="B2866" s="4" t="s">
        <v>3597</v>
      </c>
      <c r="C2866" s="5" t="str">
        <f>IFERROR(__xludf.DUMMYFUNCTION("GOOGLETRANSLATE(B2866,""en"",""de"")"),"Er steht sie in den Händen und balanciert sie in der Luft wie andere Uhr.")</f>
        <v>Er steht sie in den Händen und balanciert sie in der Luft wie andere Uhr.</v>
      </c>
    </row>
    <row r="2867">
      <c r="A2867" s="4" t="s">
        <v>3595</v>
      </c>
      <c r="B2867" s="4" t="s">
        <v>3598</v>
      </c>
      <c r="C2867" s="5" t="str">
        <f>IFERROR(__xludf.DUMMYFUNCTION("GOOGLETRANSLATE(B2867,""en"",""de"")"),"Er fällt und hebt sie dann wieder.")</f>
        <v>Er fällt und hebt sie dann wieder.</v>
      </c>
    </row>
    <row r="2868">
      <c r="A2868" s="4" t="s">
        <v>3599</v>
      </c>
      <c r="B2868" s="4" t="s">
        <v>3600</v>
      </c>
      <c r="C2868" s="5" t="str">
        <f>IFERROR(__xludf.DUMMYFUNCTION("GOOGLETRANSLATE(B2868,""en"",""de"")"),"Ein kniegender Mann betreibt einen kleinen Grasschneider über die Oberfläche des Rasens.")</f>
        <v>Ein kniegender Mann betreibt einen kleinen Grasschneider über die Oberfläche des Rasens.</v>
      </c>
    </row>
    <row r="2869">
      <c r="A2869" s="4" t="s">
        <v>3599</v>
      </c>
      <c r="B2869" s="4" t="s">
        <v>3601</v>
      </c>
      <c r="C2869" s="5" t="str">
        <f>IFERROR(__xludf.DUMMYFUNCTION("GOOGLETRANSLATE(B2869,""en"",""de"")"),"Der Mann mäht das schattierte grüne Gras.")</f>
        <v>Der Mann mäht das schattierte grüne Gras.</v>
      </c>
    </row>
    <row r="2870">
      <c r="A2870" s="4" t="s">
        <v>3599</v>
      </c>
      <c r="B2870" s="4" t="s">
        <v>3602</v>
      </c>
      <c r="C2870" s="5" t="str">
        <f>IFERROR(__xludf.DUMMYFUNCTION("GOOGLETRANSLATE(B2870,""en"",""de"")"),"Der Mann mäht die Sonne das Gras.")</f>
        <v>Der Mann mäht die Sonne das Gras.</v>
      </c>
    </row>
    <row r="2871">
      <c r="A2871" s="4" t="s">
        <v>3603</v>
      </c>
      <c r="B2871" s="4" t="s">
        <v>3604</v>
      </c>
      <c r="C2871" s="5" t="str">
        <f>IFERROR(__xludf.DUMMYFUNCTION("GOOGLETRANSLATE(B2871,""en"",""de"")"),"Wir sehen die Titelbildschirme auf.")</f>
        <v>Wir sehen die Titelbildschirme auf.</v>
      </c>
    </row>
    <row r="2872">
      <c r="A2872" s="4" t="s">
        <v>3603</v>
      </c>
      <c r="B2872" s="4" t="s">
        <v>3605</v>
      </c>
      <c r="C2872" s="5" t="str">
        <f>IFERROR(__xludf.DUMMYFUNCTION("GOOGLETRANSLATE(B2872,""en"",""de"")"),"Ein Stier läuft auf dem Feld.")</f>
        <v>Ein Stier läuft auf dem Feld.</v>
      </c>
    </row>
    <row r="2873">
      <c r="A2873" s="4" t="s">
        <v>3603</v>
      </c>
      <c r="B2873" s="4" t="s">
        <v>3606</v>
      </c>
      <c r="C2873" s="5" t="str">
        <f>IFERROR(__xludf.DUMMYFUNCTION("GOOGLETRANSLATE(B2873,""en"",""de"")"),"Ein Bulle randet eine Wand, an der der Matador steht.")</f>
        <v>Ein Bulle randet eine Wand, an der der Matador steht.</v>
      </c>
    </row>
    <row r="2874">
      <c r="A2874" s="4" t="s">
        <v>3603</v>
      </c>
      <c r="B2874" s="4" t="s">
        <v>3607</v>
      </c>
      <c r="C2874" s="5" t="str">
        <f>IFERROR(__xludf.DUMMYFUNCTION("GOOGLETRANSLATE(B2874,""en"",""de"")"),"Der Matador neckt den Stier mit einem roten Tuch.")</f>
        <v>Der Matador neckt den Stier mit einem roten Tuch.</v>
      </c>
    </row>
    <row r="2875">
      <c r="A2875" s="4" t="s">
        <v>3603</v>
      </c>
      <c r="B2875" s="4" t="s">
        <v>3608</v>
      </c>
      <c r="C2875" s="5" t="str">
        <f>IFERROR(__xludf.DUMMYFUNCTION("GOOGLETRANSLATE(B2875,""en"",""de"")"),"Wir sehen den Endbildschirm.")</f>
        <v>Wir sehen den Endbildschirm.</v>
      </c>
    </row>
    <row r="2876">
      <c r="A2876" s="4" t="s">
        <v>3609</v>
      </c>
      <c r="B2876" s="4" t="s">
        <v>3610</v>
      </c>
      <c r="C2876" s="5" t="str">
        <f>IFERROR(__xludf.DUMMYFUNCTION("GOOGLETRANSLATE(B2876,""en"",""de"")"),"Eine Person wird gesehen, wie sie sich entlang eines großen Gerichts bewegt, gefolgt von anderen Menschen, die sich neben ihm bewegen.")</f>
        <v>Eine Person wird gesehen, wie sie sich entlang eines großen Gerichts bewegt, gefolgt von anderen Menschen, die sich neben ihm bewegen.</v>
      </c>
    </row>
    <row r="2877">
      <c r="A2877" s="4" t="s">
        <v>3609</v>
      </c>
      <c r="B2877" s="4" t="s">
        <v>3611</v>
      </c>
      <c r="C2877" s="5" t="str">
        <f>IFERROR(__xludf.DUMMYFUNCTION("GOOGLETRANSLATE(B2877,""en"",""de"")"),"Mehrere Personen rennen auf und ab, andere auf der Seite.")</f>
        <v>Mehrere Personen rennen auf und ab, andere auf der Seite.</v>
      </c>
    </row>
    <row r="2878">
      <c r="A2878" s="4" t="s">
        <v>3609</v>
      </c>
      <c r="B2878" s="4" t="s">
        <v>3612</v>
      </c>
      <c r="C2878" s="5" t="str">
        <f>IFERROR(__xludf.DUMMYFUNCTION("GOOGLETRANSLATE(B2878,""en"",""de"")"),"Die Menschen bewegen sich weiter, während andere ihnen zusehen, wie sie Übungen durchführen.")</f>
        <v>Die Menschen bewegen sich weiter, während andere ihnen zusehen, wie sie Übungen durchführen.</v>
      </c>
    </row>
    <row r="2879">
      <c r="A2879" s="4" t="s">
        <v>3613</v>
      </c>
      <c r="B2879" s="4" t="s">
        <v>3614</v>
      </c>
      <c r="C2879" s="5" t="str">
        <f>IFERROR(__xludf.DUMMYFUNCTION("GOOGLETRANSLATE(B2879,""en"",""de"")"),"Eine Person steckt Salat in eine klare Schüssel.")</f>
        <v>Eine Person steckt Salat in eine klare Schüssel.</v>
      </c>
    </row>
    <row r="2880">
      <c r="A2880" s="4" t="s">
        <v>3613</v>
      </c>
      <c r="B2880" s="4" t="s">
        <v>3615</v>
      </c>
      <c r="C2880" s="5" t="str">
        <f>IFERROR(__xludf.DUMMYFUNCTION("GOOGLETRANSLATE(B2880,""en"",""de"")"),"Sie schnappen sich einen orangefarbenen Pfeffer von einem Stapel.")</f>
        <v>Sie schnappen sich einen orangefarbenen Pfeffer von einem Stapel.</v>
      </c>
    </row>
    <row r="2881">
      <c r="A2881" s="4" t="s">
        <v>3613</v>
      </c>
      <c r="B2881" s="4" t="s">
        <v>3616</v>
      </c>
      <c r="C2881" s="5" t="str">
        <f>IFERROR(__xludf.DUMMYFUNCTION("GOOGLETRANSLATE(B2881,""en"",""de"")"),"Sie hacken den Pfeffer in zwei Hälften.")</f>
        <v>Sie hacken den Pfeffer in zwei Hälften.</v>
      </c>
    </row>
    <row r="2882">
      <c r="A2882" s="4" t="s">
        <v>3617</v>
      </c>
      <c r="B2882" s="4" t="s">
        <v>3618</v>
      </c>
      <c r="C2882" s="5" t="str">
        <f>IFERROR(__xludf.DUMMYFUNCTION("GOOGLETRANSLATE(B2882,""en"",""de"")"),"Eine Frau spricht mit der Kamera und zeigt in die Ferne.")</f>
        <v>Eine Frau spricht mit der Kamera und zeigt in die Ferne.</v>
      </c>
    </row>
    <row r="2883">
      <c r="A2883" s="4" t="s">
        <v>3617</v>
      </c>
      <c r="B2883" s="4" t="s">
        <v>3619</v>
      </c>
      <c r="C2883" s="5" t="str">
        <f>IFERROR(__xludf.DUMMYFUNCTION("GOOGLETRANSLATE(B2883,""en"",""de"")"),"Die Kamera schwenkt in einen anderen Mann, der auf dem Platz steht und zwei Basketbälle gezeigt.")</f>
        <v>Die Kamera schwenkt in einen anderen Mann, der auf dem Platz steht und zwei Basketbälle gezeigt.</v>
      </c>
    </row>
    <row r="2884">
      <c r="A2884" s="4" t="s">
        <v>3617</v>
      </c>
      <c r="B2884" s="4" t="s">
        <v>3620</v>
      </c>
      <c r="C2884" s="5" t="str">
        <f>IFERROR(__xludf.DUMMYFUNCTION("GOOGLETRANSLATE(B2884,""en"",""de"")"),"Der Mann und die Frau schießen dann Reifen mit den Bällen und passieren sich gegenseitig und viertes.")</f>
        <v>Der Mann und die Frau schießen dann Reifen mit den Bällen und passieren sich gegenseitig und viertes.</v>
      </c>
    </row>
    <row r="2885">
      <c r="A2885" s="4" t="s">
        <v>3621</v>
      </c>
      <c r="B2885" s="4" t="s">
        <v>3622</v>
      </c>
      <c r="C2885" s="5" t="str">
        <f>IFERROR(__xludf.DUMMYFUNCTION("GOOGLETRANSLATE(B2885,""en"",""de"")"),"Eine Frau sitzt auf ihrer kleinen Couch und denkt an Kekse.")</f>
        <v>Eine Frau sitzt auf ihrer kleinen Couch und denkt an Kekse.</v>
      </c>
    </row>
    <row r="2886">
      <c r="A2886" s="4" t="s">
        <v>3621</v>
      </c>
      <c r="B2886" s="4" t="s">
        <v>3623</v>
      </c>
      <c r="C2886" s="5" t="str">
        <f>IFERROR(__xludf.DUMMYFUNCTION("GOOGLETRANSLATE(B2886,""en"",""de"")"),"Sie werden über alle Zutaten informiert, die erforderlich sind, um eine Menge köstlicher Kekse und die Ausrüstung zu erstellen, die erforderlich sind, um sie herzustellen.")</f>
        <v>Sie werden über alle Zutaten informiert, die erforderlich sind, um eine Menge köstlicher Kekse und die Ausrüstung zu erstellen, die erforderlich sind, um sie herzustellen.</v>
      </c>
    </row>
    <row r="2887">
      <c r="A2887" s="4" t="s">
        <v>3621</v>
      </c>
      <c r="B2887" s="4" t="s">
        <v>3624</v>
      </c>
      <c r="C2887" s="5" t="str">
        <f>IFERROR(__xludf.DUMMYFUNCTION("GOOGLETRANSLATE(B2887,""en"",""de"")"),"Sie geht in die Küche und schaltet den Ofen ein und mischt Zutaten in einem KitchenAid.")</f>
        <v>Sie geht in die Küche und schaltet den Ofen ein und mischt Zutaten in einem KitchenAid.</v>
      </c>
    </row>
    <row r="2888">
      <c r="A2888" s="4" t="s">
        <v>3621</v>
      </c>
      <c r="B2888" s="4" t="s">
        <v>3625</v>
      </c>
      <c r="C2888" s="5" t="str">
        <f>IFERROR(__xludf.DUMMYFUNCTION("GOOGLETRANSLATE(B2888,""en"",""de"")"),"Einmal gut gemischt, legt sie den Keks in den Ofen und als sie es getan haben, kehrt sie mit ihrem Teddybär zu ihrer Couch zurück und kastet aus.")</f>
        <v>Einmal gut gemischt, legt sie den Keks in den Ofen und als sie es getan haben, kehrt sie mit ihrem Teddybär zu ihrer Couch zurück und kastet aus.</v>
      </c>
    </row>
    <row r="2889">
      <c r="A2889" s="4" t="s">
        <v>3626</v>
      </c>
      <c r="B2889" s="4" t="s">
        <v>3627</v>
      </c>
      <c r="C2889" s="5" t="str">
        <f>IFERROR(__xludf.DUMMYFUNCTION("GOOGLETRANSLATE(B2889,""en"",""de"")"),"Eine Ansicht von einem riesigen Pool.")</f>
        <v>Eine Ansicht von einem riesigen Pool.</v>
      </c>
    </row>
    <row r="2890">
      <c r="A2890" s="4" t="s">
        <v>3626</v>
      </c>
      <c r="B2890" s="4" t="s">
        <v>3628</v>
      </c>
      <c r="C2890" s="5" t="str">
        <f>IFERROR(__xludf.DUMMYFUNCTION("GOOGLETRANSLATE(B2890,""en"",""de"")"),"Es erstreckt sich sehr lange Strecken, wobei Menschen Boote und Flöße im Wasser verwenden.")</f>
        <v>Es erstreckt sich sehr lange Strecken, wobei Menschen Boote und Flöße im Wasser verwenden.</v>
      </c>
    </row>
    <row r="2891">
      <c r="A2891" s="4" t="s">
        <v>3626</v>
      </c>
      <c r="B2891" s="4" t="s">
        <v>3629</v>
      </c>
      <c r="C2891" s="5" t="str">
        <f>IFERROR(__xludf.DUMMYFUNCTION("GOOGLETRANSLATE(B2891,""en"",""de"")"),"Es ist ein ausgedehnter Wasserpark in Indonesien.")</f>
        <v>Es ist ein ausgedehnter Wasserpark in Indonesien.</v>
      </c>
    </row>
    <row r="2892">
      <c r="A2892" s="4" t="s">
        <v>3626</v>
      </c>
      <c r="B2892" s="4" t="s">
        <v>3630</v>
      </c>
      <c r="C2892" s="5" t="str">
        <f>IFERROR(__xludf.DUMMYFUNCTION("GOOGLETRANSLATE(B2892,""en"",""de"")"),"Menschen werden in den klaren blauen Gewässern Wasser Skifahren gezeigt.")</f>
        <v>Menschen werden in den klaren blauen Gewässern Wasser Skifahren gezeigt.</v>
      </c>
    </row>
    <row r="2893">
      <c r="A2893" s="4" t="s">
        <v>3631</v>
      </c>
      <c r="B2893" s="4" t="s">
        <v>3632</v>
      </c>
      <c r="C2893" s="5" t="str">
        <f>IFERROR(__xludf.DUMMYFUNCTION("GOOGLETRANSLATE(B2893,""en"",""de"")"),"Ein Intro führt zu mehreren älteren Clips olympischer Künstler, die unglaubliche Acts durchführen.")</f>
        <v>Ein Intro führt zu mehreren älteren Clips olympischer Künstler, die unglaubliche Acts durchführen.</v>
      </c>
    </row>
    <row r="2894">
      <c r="A2894" s="4" t="s">
        <v>3631</v>
      </c>
      <c r="B2894" s="4" t="s">
        <v>3633</v>
      </c>
      <c r="C2894" s="5" t="str">
        <f>IFERROR(__xludf.DUMMYFUNCTION("GOOGLETRANSLATE(B2894,""en"",""de"")"),"Eine Gruppe von Menschen wird schwimmen gesehen, während Hunderte von Menschen jubeln und viele Menschen in die Kamera schauen und lächeln.")</f>
        <v>Eine Gruppe von Menschen wird schwimmen gesehen, während Hunderte von Menschen jubeln und viele Menschen in die Kamera schauen und lächeln.</v>
      </c>
    </row>
    <row r="2895">
      <c r="A2895" s="4" t="s">
        <v>3631</v>
      </c>
      <c r="B2895" s="4" t="s">
        <v>3634</v>
      </c>
      <c r="C2895" s="5" t="str">
        <f>IFERROR(__xludf.DUMMYFUNCTION("GOOGLETRANSLATE(B2895,""en"",""de"")"),"Ein anderer Mann schüttelt die Hand eines Athleten und er winkt, während er die Hände anderer und die Leute schüttelt.")</f>
        <v>Ein anderer Mann schüttelt die Hand eines Athleten und er winkt, während er die Hände anderer und die Leute schüttelt.</v>
      </c>
    </row>
    <row r="2896">
      <c r="A2896" s="4" t="s">
        <v>3635</v>
      </c>
      <c r="B2896" s="4" t="s">
        <v>3636</v>
      </c>
      <c r="C2896" s="5" t="str">
        <f>IFERROR(__xludf.DUMMYFUNCTION("GOOGLETRANSLATE(B2896,""en"",""de"")"),"Eine Frau sitzt auf einer Couch und schlägt die vorderen und hinteren Pfoten einer Orange und einer schwarzen und weißen Katze, während sie in ihrem Schoß sitzen.")</f>
        <v>Eine Frau sitzt auf einer Couch und schlägt die vorderen und hinteren Pfoten einer Orange und einer schwarzen und weißen Katze, während sie in ihrem Schoß sitzen.</v>
      </c>
    </row>
    <row r="2897">
      <c r="A2897" s="4" t="s">
        <v>3635</v>
      </c>
      <c r="B2897" s="4" t="s">
        <v>3637</v>
      </c>
      <c r="C2897" s="5" t="str">
        <f>IFERROR(__xludf.DUMMYFUNCTION("GOOGLETRANSLATE(B2897,""en"",""de"")"),"Eine orangefarbene Katze steht auf einer Couch und schnüffelt an den Kissen.")</f>
        <v>Eine orangefarbene Katze steht auf einer Couch und schnüffelt an den Kissen.</v>
      </c>
    </row>
    <row r="2898">
      <c r="A2898" s="4" t="s">
        <v>3635</v>
      </c>
      <c r="B2898" s="4" t="s">
        <v>3638</v>
      </c>
      <c r="C2898" s="5" t="str">
        <f>IFERROR(__xludf.DUMMYFUNCTION("GOOGLETRANSLATE(B2898,""en"",""de"")"),"Eine Frau setzt sich auf die Couch und steckt die orangefarbene Katze in ihren Schoß und beginnt, die vorderen und hinteren Pfoten der Katze zu schneiden.")</f>
        <v>Eine Frau setzt sich auf die Couch und steckt die orangefarbene Katze in ihren Schoß und beginnt, die vorderen und hinteren Pfoten der Katze zu schneiden.</v>
      </c>
    </row>
    <row r="2899">
      <c r="A2899" s="4" t="s">
        <v>3635</v>
      </c>
      <c r="B2899" s="4" t="s">
        <v>3639</v>
      </c>
      <c r="C2899" s="5" t="str">
        <f>IFERROR(__xludf.DUMMYFUNCTION("GOOGLETRANSLATE(B2899,""en"",""de"")"),"Die Frau legt die orangefarbene Katze ab und nimmt eine schwarz -weiße Katze auf, mit der sie den gleichen Ausschnitt aus vorderen und schwarzen Pfoten macht. Danach rennt die Schwarz -Weiß -Katze von der Couch weg.")</f>
        <v>Die Frau legt die orangefarbene Katze ab und nimmt eine schwarz -weiße Katze auf, mit der sie den gleichen Ausschnitt aus vorderen und schwarzen Pfoten macht. Danach rennt die Schwarz -Weiß -Katze von der Couch weg.</v>
      </c>
    </row>
    <row r="2900">
      <c r="A2900" s="4" t="s">
        <v>3640</v>
      </c>
      <c r="B2900" s="4" t="s">
        <v>3641</v>
      </c>
      <c r="C2900" s="5" t="str">
        <f>IFERROR(__xludf.DUMMYFUNCTION("GOOGLETRANSLATE(B2900,""en"",""de"")"),"Es werden verschiedene Bilder von Menschen gezeigt, die sich in einem Gebiet schließen, sowie Menschen, die auf einem Kamel herumfahren.")</f>
        <v>Es werden verschiedene Bilder von Menschen gezeigt, die sich in einem Gebiet schließen, sowie Menschen, die auf einem Kamel herumfahren.</v>
      </c>
    </row>
    <row r="2901">
      <c r="A2901" s="4" t="s">
        <v>3640</v>
      </c>
      <c r="B2901" s="4" t="s">
        <v>3642</v>
      </c>
      <c r="C2901" s="5" t="str">
        <f>IFERROR(__xludf.DUMMYFUNCTION("GOOGLETRANSLATE(B2901,""en"",""de"")"),"Die Leute reiten weiter auf den Kamele, wobei ein Mann sie vorne führt und die Kamera mehrere weitere Menschen einfängt.")</f>
        <v>Die Leute reiten weiter auf den Kamele, wobei ein Mann sie vorne führt und die Kamera mehrere weitere Menschen einfängt.</v>
      </c>
    </row>
    <row r="2902">
      <c r="A2902" s="4" t="s">
        <v>3640</v>
      </c>
      <c r="B2902" s="4" t="s">
        <v>3643</v>
      </c>
      <c r="C2902" s="5" t="str">
        <f>IFERROR(__xludf.DUMMYFUNCTION("GOOGLETRANSLATE(B2902,""en"",""de"")"),"Am Ende werden die Kamele gesehen, die sich umeinander herumwandern und ein Bild von allen, die zusammen stehen.")</f>
        <v>Am Ende werden die Kamele gesehen, die sich umeinander herumwandern und ein Bild von allen, die zusammen stehen.</v>
      </c>
    </row>
    <row r="2903">
      <c r="A2903" s="4" t="s">
        <v>3644</v>
      </c>
      <c r="B2903" s="4" t="s">
        <v>3645</v>
      </c>
      <c r="C2903" s="5" t="str">
        <f>IFERROR(__xludf.DUMMYFUNCTION("GOOGLETRANSLATE(B2903,""en"",""de"")"),"Ein Mann spricht mit der Kamera und zeigt auf einen Tisch und legt Karten aus.")</f>
        <v>Ein Mann spricht mit der Kamera und zeigt auf einen Tisch und legt Karten aus.</v>
      </c>
    </row>
    <row r="2904">
      <c r="A2904" s="4" t="s">
        <v>3644</v>
      </c>
      <c r="B2904" s="4" t="s">
        <v>3646</v>
      </c>
      <c r="C2904" s="5" t="str">
        <f>IFERROR(__xludf.DUMMYFUNCTION("GOOGLETRANSLATE(B2904,""en"",""de"")"),"Anschließend spielt er ein Spiel mit schwarzem Jack, während er die Karten bewegt und mit Würfel herumgespräche und gleichzeitig mit der Kamera spricht.")</f>
        <v>Anschließend spielt er ein Spiel mit schwarzem Jack, während er die Karten bewegt und mit Würfel herumgespräche und gleichzeitig mit der Kamera spricht.</v>
      </c>
    </row>
    <row r="2905">
      <c r="A2905" s="4" t="s">
        <v>3647</v>
      </c>
      <c r="B2905" s="4" t="s">
        <v>3648</v>
      </c>
      <c r="C2905" s="5" t="str">
        <f>IFERROR(__xludf.DUMMYFUNCTION("GOOGLETRANSLATE(B2905,""en"",""de"")"),"Eine Frau zeigt, wie man ein Hemd mit einer Dampfmaschine während des Redens reinigt.")</f>
        <v>Eine Frau zeigt, wie man ein Hemd mit einer Dampfmaschine während des Redens reinigt.</v>
      </c>
    </row>
    <row r="2906">
      <c r="A2906" s="4" t="s">
        <v>3647</v>
      </c>
      <c r="B2906" s="4" t="s">
        <v>3649</v>
      </c>
      <c r="C2906" s="5" t="str">
        <f>IFERROR(__xludf.DUMMYFUNCTION("GOOGLETRANSLATE(B2906,""en"",""de"")"),"Die Frau putzt das Hemd ab und nimmt es von einem Kleiderbügel aus und legt auf das Eisenbrett.")</f>
        <v>Die Frau putzt das Hemd ab und nimmt es von einem Kleiderbügel aus und legt auf das Eisenbrett.</v>
      </c>
    </row>
    <row r="2907">
      <c r="A2907" s="4" t="s">
        <v>3647</v>
      </c>
      <c r="B2907" s="4" t="s">
        <v>3650</v>
      </c>
      <c r="C2907" s="5" t="str">
        <f>IFERROR(__xludf.DUMMYFUNCTION("GOOGLETRANSLATE(B2907,""en"",""de"")"),"Danach zeigt die Frau einen Behälter, schenkt dann die Dampfmaschine und zeigt sich beim Reden.")</f>
        <v>Danach zeigt die Frau einen Behälter, schenkt dann die Dampfmaschine und zeigt sich beim Reden.</v>
      </c>
    </row>
    <row r="2908">
      <c r="A2908" s="4" t="s">
        <v>3651</v>
      </c>
      <c r="B2908" s="4" t="s">
        <v>3652</v>
      </c>
      <c r="C2908" s="5" t="str">
        <f>IFERROR(__xludf.DUMMYFUNCTION("GOOGLETRANSLATE(B2908,""en"",""de"")"),"Eine Person ist Sprühmalereistangen, die verschiedene Farben zusammengeklebt haben.")</f>
        <v>Eine Person ist Sprühmalereistangen, die verschiedene Farben zusammengeklebt haben.</v>
      </c>
    </row>
    <row r="2909">
      <c r="A2909" s="4" t="s">
        <v>3651</v>
      </c>
      <c r="B2909" s="4" t="s">
        <v>3653</v>
      </c>
      <c r="C2909" s="5" t="str">
        <f>IFERROR(__xludf.DUMMYFUNCTION("GOOGLETRANSLATE(B2909,""en"",""de"")"),"Sie legten einen Wörteraufkleber auf die Balken.")</f>
        <v>Sie legten einen Wörteraufkleber auf die Balken.</v>
      </c>
    </row>
    <row r="2910">
      <c r="A2910" s="4" t="s">
        <v>3654</v>
      </c>
      <c r="B2910" s="4" t="s">
        <v>3655</v>
      </c>
      <c r="C2910" s="5" t="str">
        <f>IFERROR(__xludf.DUMMYFUNCTION("GOOGLETRANSLATE(B2910,""en"",""de"")"),"Ein Mann redet, als er ein Fahrrad ansieht.")</f>
        <v>Ein Mann redet, als er ein Fahrrad ansieht.</v>
      </c>
    </row>
    <row r="2911">
      <c r="A2911" s="4" t="s">
        <v>3654</v>
      </c>
      <c r="B2911" s="4" t="s">
        <v>3656</v>
      </c>
      <c r="C2911" s="5" t="str">
        <f>IFERROR(__xludf.DUMMYFUNCTION("GOOGLETRANSLATE(B2911,""en"",""de"")"),"Er legt ein Geschwindigkeitskontrollwerkzeug auf den Lenker des Fahrrads.")</f>
        <v>Er legt ein Geschwindigkeitskontrollwerkzeug auf den Lenker des Fahrrads.</v>
      </c>
    </row>
    <row r="2912">
      <c r="A2912" s="4" t="s">
        <v>3654</v>
      </c>
      <c r="B2912" s="4" t="s">
        <v>3657</v>
      </c>
      <c r="C2912" s="5" t="str">
        <f>IFERROR(__xludf.DUMMYFUNCTION("GOOGLETRANSLATE(B2912,""en"",""de"")"),"Er redet weiter, bis er die Bar an Ort und Stelle hat.")</f>
        <v>Er redet weiter, bis er die Bar an Ort und Stelle hat.</v>
      </c>
    </row>
    <row r="2913">
      <c r="A2913" s="4" t="s">
        <v>3658</v>
      </c>
      <c r="B2913" s="4" t="s">
        <v>3659</v>
      </c>
      <c r="C2913" s="5" t="str">
        <f>IFERROR(__xludf.DUMMYFUNCTION("GOOGLETRANSLATE(B2913,""en"",""de"")"),"Ein Mann sitzt auf einem Hocker, während er eine Gitarre in seine Hände legt.")</f>
        <v>Ein Mann sitzt auf einem Hocker, während er eine Gitarre in seine Hände legt.</v>
      </c>
    </row>
    <row r="2914">
      <c r="A2914" s="4" t="s">
        <v>3658</v>
      </c>
      <c r="B2914" s="4" t="s">
        <v>3660</v>
      </c>
      <c r="C2914" s="5" t="str">
        <f>IFERROR(__xludf.DUMMYFUNCTION("GOOGLETRANSLATE(B2914,""en"",""de"")"),"Die Kamera schwenkt eng um die Gitarre, während der Mann weiter spricht.")</f>
        <v>Die Kamera schwenkt eng um die Gitarre, während der Mann weiter spricht.</v>
      </c>
    </row>
    <row r="2915">
      <c r="A2915" s="4" t="s">
        <v>3658</v>
      </c>
      <c r="B2915" s="4" t="s">
        <v>3661</v>
      </c>
      <c r="C2915" s="5" t="str">
        <f>IFERROR(__xludf.DUMMYFUNCTION("GOOGLETRANSLATE(B2915,""en"",""de"")"),"Der Mann spielt dann ein bisschen Gitarre und bewegt seine Hände den Hals hoch und runter.")</f>
        <v>Der Mann spielt dann ein bisschen Gitarre und bewegt seine Hände den Hals hoch und runter.</v>
      </c>
    </row>
    <row r="2916">
      <c r="A2916" s="4" t="s">
        <v>3662</v>
      </c>
      <c r="B2916" s="4" t="s">
        <v>3663</v>
      </c>
      <c r="C2916" s="5" t="str">
        <f>IFERROR(__xludf.DUMMYFUNCTION("GOOGLETRANSLATE(B2916,""en"",""de"")"),"Eine Person wird gesehen, wie sie in Zeitlupe auf einem Pferd überspringt, während andere zuschauen.")</f>
        <v>Eine Person wird gesehen, wie sie in Zeitlupe auf einem Pferd überspringt, während andere zuschauen.</v>
      </c>
    </row>
    <row r="2917">
      <c r="A2917" s="4" t="s">
        <v>3662</v>
      </c>
      <c r="B2917" s="4" t="s">
        <v>3664</v>
      </c>
      <c r="C2917" s="5" t="str">
        <f>IFERROR(__xludf.DUMMYFUNCTION("GOOGLETRANSLATE(B2917,""en"",""de"")"),"Das Video bewegt sich schneller, wenn mehr Menschen über Hindernisse springen und mit der Kamera sprechen.")</f>
        <v>Das Video bewegt sich schneller, wenn mehr Menschen über Hindernisse springen und mit der Kamera sprechen.</v>
      </c>
    </row>
    <row r="2918">
      <c r="A2918" s="4" t="s">
        <v>3662</v>
      </c>
      <c r="B2918" s="4" t="s">
        <v>3665</v>
      </c>
      <c r="C2918" s="5" t="str">
        <f>IFERROR(__xludf.DUMMYFUNCTION("GOOGLETRANSLATE(B2918,""en"",""de"")"),"Es werden einige weitere Clips von Menschen gezeigt, die sowohl auf Pferden als auch auf Bildern zwischen und mehr Nahaufnahmen von Pferden herumlaufen.")</f>
        <v>Es werden einige weitere Clips von Menschen gezeigt, die sowohl auf Pferden als auch auf Bildern zwischen und mehr Nahaufnahmen von Pferden herumlaufen.</v>
      </c>
    </row>
    <row r="2919">
      <c r="A2919" s="4" t="s">
        <v>3666</v>
      </c>
      <c r="B2919" s="4" t="s">
        <v>3667</v>
      </c>
      <c r="C2919" s="5" t="str">
        <f>IFERROR(__xludf.DUMMYFUNCTION("GOOGLETRANSLATE(B2919,""en"",""de"")"),"Eine Lady Bents über leicht in einem Platz im Freien.")</f>
        <v>Eine Lady Bents über leicht in einem Platz im Freien.</v>
      </c>
    </row>
    <row r="2920">
      <c r="A2920" s="4" t="s">
        <v>3666</v>
      </c>
      <c r="B2920" s="4" t="s">
        <v>3668</v>
      </c>
      <c r="C2920" s="5" t="str">
        <f>IFERROR(__xludf.DUMMYFUNCTION("GOOGLETRANSLATE(B2920,""en"",""de"")"),"Die Dame steigt und dreht sich.")</f>
        <v>Die Dame steigt und dreht sich.</v>
      </c>
    </row>
    <row r="2921">
      <c r="A2921" s="4" t="s">
        <v>3666</v>
      </c>
      <c r="B2921" s="4" t="s">
        <v>3669</v>
      </c>
      <c r="C2921" s="5" t="str">
        <f>IFERROR(__xludf.DUMMYFUNCTION("GOOGLETRANSLATE(B2921,""en"",""de"")"),"Die Dame löst ihre Hand aus ihrem Hals frei.")</f>
        <v>Die Dame löst ihre Hand aus ihrem Hals frei.</v>
      </c>
    </row>
    <row r="2922">
      <c r="A2922" s="4" t="s">
        <v>3670</v>
      </c>
      <c r="B2922" s="4" t="s">
        <v>3671</v>
      </c>
      <c r="C2922" s="5" t="str">
        <f>IFERROR(__xludf.DUMMYFUNCTION("GOOGLETRANSLATE(B2922,""en"",""de"")"),"Ein Mann wird in einem Pool schwimmen sehen, während er einen Ball zu einem Hund zurück und viertes übergibt.")</f>
        <v>Ein Mann wird in einem Pool schwimmen sehen, während er einen Ball zu einem Hund zurück und viertes übergibt.</v>
      </c>
    </row>
    <row r="2923">
      <c r="A2923" s="4" t="s">
        <v>3670</v>
      </c>
      <c r="B2923" s="4" t="s">
        <v>3672</v>
      </c>
      <c r="C2923" s="5" t="str">
        <f>IFERROR(__xludf.DUMMYFUNCTION("GOOGLETRANSLATE(B2923,""en"",""de"")"),"Der Mann geht weiter an den Ball, während der Hund ihn gleich zurückschlägt.")</f>
        <v>Der Mann geht weiter an den Ball, während der Hund ihn gleich zurückschlägt.</v>
      </c>
    </row>
    <row r="2924">
      <c r="A2924" s="4" t="s">
        <v>3673</v>
      </c>
      <c r="B2924" s="4" t="s">
        <v>3674</v>
      </c>
      <c r="C2924" s="5" t="str">
        <f>IFERROR(__xludf.DUMMYFUNCTION("GOOGLETRANSLATE(B2924,""en"",""de"")"),"Es werden verschiedene Standbilder des Haares eines Mannes gezeigt.")</f>
        <v>Es werden verschiedene Standbilder des Haares eines Mannes gezeigt.</v>
      </c>
    </row>
    <row r="2925">
      <c r="A2925" s="4" t="s">
        <v>3673</v>
      </c>
      <c r="B2925" s="4" t="s">
        <v>3675</v>
      </c>
      <c r="C2925" s="5" t="str">
        <f>IFERROR(__xludf.DUMMYFUNCTION("GOOGLETRANSLATE(B2925,""en"",""de"")"),"Ein Mann wird gezeigt, der in der Zeit einen Haarschnitt und einen Styling erhält.")</f>
        <v>Ein Mann wird gezeigt, der in der Zeit einen Haarschnitt und einen Styling erhält.</v>
      </c>
    </row>
    <row r="2926">
      <c r="A2926" s="4" t="s">
        <v>3673</v>
      </c>
      <c r="B2926" s="4" t="s">
        <v>3676</v>
      </c>
      <c r="C2926" s="5" t="str">
        <f>IFERROR(__xludf.DUMMYFUNCTION("GOOGLETRANSLATE(B2926,""en"",""de"")"),"Stillbilder der Haare des Mannes nach dem Styling werden gezeigt.")</f>
        <v>Stillbilder der Haare des Mannes nach dem Styling werden gezeigt.</v>
      </c>
    </row>
    <row r="2927">
      <c r="A2927" s="4" t="s">
        <v>3677</v>
      </c>
      <c r="B2927" s="4" t="s">
        <v>3678</v>
      </c>
      <c r="C2927" s="5" t="str">
        <f>IFERROR(__xludf.DUMMYFUNCTION("GOOGLETRANSLATE(B2927,""en"",""de"")"),"Ein Mann steht auf einem Gericht.")</f>
        <v>Ein Mann steht auf einem Gericht.</v>
      </c>
    </row>
    <row r="2928">
      <c r="A2928" s="4" t="s">
        <v>3677</v>
      </c>
      <c r="B2928" s="4" t="s">
        <v>3679</v>
      </c>
      <c r="C2928" s="5" t="str">
        <f>IFERROR(__xludf.DUMMYFUNCTION("GOOGLETRANSLATE(B2928,""en"",""de"")"),"Er trifft einen Ball mit einem Schläger.")</f>
        <v>Er trifft einen Ball mit einem Schläger.</v>
      </c>
    </row>
    <row r="2929">
      <c r="A2929" s="4" t="s">
        <v>3677</v>
      </c>
      <c r="B2929" s="4" t="s">
        <v>3680</v>
      </c>
      <c r="C2929" s="5" t="str">
        <f>IFERROR(__xludf.DUMMYFUNCTION("GOOGLETRANSLATE(B2929,""en"",""de"")"),"Es werden verschiedene Athleten gezeigt, die Bälle schlagen.")</f>
        <v>Es werden verschiedene Athleten gezeigt, die Bälle schlagen.</v>
      </c>
    </row>
    <row r="2930">
      <c r="A2930" s="4" t="s">
        <v>3677</v>
      </c>
      <c r="B2930" s="4" t="s">
        <v>3681</v>
      </c>
      <c r="C2930" s="5" t="str">
        <f>IFERROR(__xludf.DUMMYFUNCTION("GOOGLETRANSLATE(B2930,""en"",""de"")"),"Einige von ihnen jubeln am Ende.")</f>
        <v>Einige von ihnen jubeln am Ende.</v>
      </c>
    </row>
    <row r="2931">
      <c r="A2931" s="4" t="s">
        <v>3682</v>
      </c>
      <c r="B2931" s="4" t="s">
        <v>3683</v>
      </c>
      <c r="C2931" s="5" t="str">
        <f>IFERROR(__xludf.DUMMYFUNCTION("GOOGLETRANSLATE(B2931,""en"",""de"")"),"Ein Mann schneidet eine Zwiebel mit einem Messer auf einem Schneidebrett.")</f>
        <v>Ein Mann schneidet eine Zwiebel mit einem Messer auf einem Schneidebrett.</v>
      </c>
    </row>
    <row r="2932">
      <c r="A2932" s="4" t="s">
        <v>3682</v>
      </c>
      <c r="B2932" s="4" t="s">
        <v>3684</v>
      </c>
      <c r="C2932" s="5" t="str">
        <f>IFERROR(__xludf.DUMMYFUNCTION("GOOGLETRANSLATE(B2932,""en"",""de"")"),"Eine Frau liest eine Zeitung in der Nähe, während er mit ihr spricht und ihr etwas in seiner Hand zeigt.")</f>
        <v>Eine Frau liest eine Zeitung in der Nähe, während er mit ihr spricht und ihr etwas in seiner Hand zeigt.</v>
      </c>
    </row>
    <row r="2933">
      <c r="A2933" s="4" t="s">
        <v>3682</v>
      </c>
      <c r="B2933" s="4" t="s">
        <v>3685</v>
      </c>
      <c r="C2933" s="5" t="str">
        <f>IFERROR(__xludf.DUMMYFUNCTION("GOOGLETRANSLATE(B2933,""en"",""de"")"),"Der Mann schärft seine Messer mit einem elektrischen Werkzeug.")</f>
        <v>Der Mann schärft seine Messer mit einem elektrischen Werkzeug.</v>
      </c>
    </row>
    <row r="2934">
      <c r="A2934" s="4" t="s">
        <v>3682</v>
      </c>
      <c r="B2934" s="4" t="s">
        <v>3686</v>
      </c>
      <c r="C2934" s="5" t="str">
        <f>IFERROR(__xludf.DUMMYFUNCTION("GOOGLETRANSLATE(B2934,""en"",""de"")"),"Dann schneidet er seine Zwiebel weiter.")</f>
        <v>Dann schneidet er seine Zwiebel weiter.</v>
      </c>
    </row>
    <row r="2935">
      <c r="A2935" s="4" t="s">
        <v>3687</v>
      </c>
      <c r="B2935" s="4" t="s">
        <v>3688</v>
      </c>
      <c r="C2935" s="5" t="str">
        <f>IFERROR(__xludf.DUMMYFUNCTION("GOOGLETRANSLATE(B2935,""en"",""de"")"),"Eine Frau steht auf einem Tauchbrett.")</f>
        <v>Eine Frau steht auf einem Tauchbrett.</v>
      </c>
    </row>
    <row r="2936">
      <c r="A2936" s="4" t="s">
        <v>3687</v>
      </c>
      <c r="B2936" s="4" t="s">
        <v>3689</v>
      </c>
      <c r="C2936" s="5" t="str">
        <f>IFERROR(__xludf.DUMMYFUNCTION("GOOGLETRANSLATE(B2936,""en"",""de"")"),"Sie springt ins Wasser.")</f>
        <v>Sie springt ins Wasser.</v>
      </c>
    </row>
    <row r="2937">
      <c r="A2937" s="4" t="s">
        <v>3687</v>
      </c>
      <c r="B2937" s="4" t="s">
        <v>3690</v>
      </c>
      <c r="C2937" s="5" t="str">
        <f>IFERROR(__xludf.DUMMYFUNCTION("GOOGLETRANSLATE(B2937,""en"",""de"")"),"Die Menschen stehen unter dem Tauchbrett.")</f>
        <v>Die Menschen stehen unter dem Tauchbrett.</v>
      </c>
    </row>
    <row r="2938">
      <c r="A2938" s="4" t="s">
        <v>3691</v>
      </c>
      <c r="B2938" s="4" t="s">
        <v>3692</v>
      </c>
      <c r="C2938" s="5" t="str">
        <f>IFERROR(__xludf.DUMMYFUNCTION("GOOGLETRANSLATE(B2938,""en"",""de"")"),"Ein Radfahrwettbewerb beginnt und die Menge ist fertig.")</f>
        <v>Ein Radfahrwettbewerb beginnt und die Menge ist fertig.</v>
      </c>
    </row>
    <row r="2939">
      <c r="A2939" s="4" t="s">
        <v>3691</v>
      </c>
      <c r="B2939" s="4" t="s">
        <v>3693</v>
      </c>
      <c r="C2939" s="5" t="str">
        <f>IFERROR(__xludf.DUMMYFUNCTION("GOOGLETRANSLATE(B2939,""en"",""de"")"),"Die Fahrer beginnen und viele fallen während des ersten großen Sprungs bereits.")</f>
        <v>Die Fahrer beginnen und viele fallen während des ersten großen Sprungs bereits.</v>
      </c>
    </row>
    <row r="2940">
      <c r="A2940" s="4" t="s">
        <v>3691</v>
      </c>
      <c r="B2940" s="4" t="s">
        <v>3694</v>
      </c>
      <c r="C2940" s="5" t="str">
        <f>IFERROR(__xludf.DUMMYFUNCTION("GOOGLETRANSLATE(B2940,""en"",""de"")"),"Es werden verschiedene Highlights von den Fahrern gezeigt, die die großen Sprünge versuchen.")</f>
        <v>Es werden verschiedene Highlights von den Fahrern gezeigt, die die großen Sprünge versuchen.</v>
      </c>
    </row>
    <row r="2941">
      <c r="A2941" s="4" t="s">
        <v>3691</v>
      </c>
      <c r="B2941" s="4" t="s">
        <v>3695</v>
      </c>
      <c r="C2941" s="5" t="str">
        <f>IFERROR(__xludf.DUMMYFUNCTION("GOOGLETRANSLATE(B2941,""en"",""de"")"),"Drei Gewinner werden am Ende in einer Zeremonie gekrönt.")</f>
        <v>Drei Gewinner werden am Ende in einer Zeremonie gekrönt.</v>
      </c>
    </row>
    <row r="2942">
      <c r="A2942" s="4" t="s">
        <v>3696</v>
      </c>
      <c r="B2942" s="4" t="s">
        <v>3697</v>
      </c>
      <c r="C2942" s="5" t="str">
        <f>IFERROR(__xludf.DUMMYFUNCTION("GOOGLETRANSLATE(B2942,""en"",""de"")"),"Ein Mann hält eine Flagge, während andere um ihn herum stehen und ein Läufer in den Rahmen kommt.")</f>
        <v>Ein Mann hält eine Flagge, während andere um ihn herum stehen und ein Läufer in den Rahmen kommt.</v>
      </c>
    </row>
    <row r="2943">
      <c r="A2943" s="4" t="s">
        <v>3696</v>
      </c>
      <c r="B2943" s="4" t="s">
        <v>3698</v>
      </c>
      <c r="C2943" s="5" t="str">
        <f>IFERROR(__xludf.DUMMYFUNCTION("GOOGLETRANSLATE(B2943,""en"",""de"")"),"Der Läufer nimmt mehrere Sprünge und Land in eine Grube in Zeitlupe.")</f>
        <v>Der Läufer nimmt mehrere Sprünge und Land in eine Grube in Zeitlupe.</v>
      </c>
    </row>
    <row r="2944">
      <c r="A2944" s="4" t="s">
        <v>3699</v>
      </c>
      <c r="B2944" s="4" t="s">
        <v>3700</v>
      </c>
      <c r="C2944" s="5" t="str">
        <f>IFERROR(__xludf.DUMMYFUNCTION("GOOGLETRANSLATE(B2944,""en"",""de"")"),"Eine Person verwendet eine Vakuumbefestigung zum Vakuum des Holzbodens.")</f>
        <v>Eine Person verwendet eine Vakuumbefestigung zum Vakuum des Holzbodens.</v>
      </c>
    </row>
    <row r="2945">
      <c r="A2945" s="4" t="s">
        <v>3699</v>
      </c>
      <c r="B2945" s="4" t="s">
        <v>3701</v>
      </c>
      <c r="C2945" s="5" t="str">
        <f>IFERROR(__xludf.DUMMYFUNCTION("GOOGLETRANSLATE(B2945,""en"",""de"")"),"Die Person sehnt dann einen Teppich auf dem Boden.")</f>
        <v>Die Person sehnt dann einen Teppich auf dem Boden.</v>
      </c>
    </row>
    <row r="2946">
      <c r="A2946" s="4" t="s">
        <v>3699</v>
      </c>
      <c r="B2946" s="4" t="s">
        <v>3702</v>
      </c>
      <c r="C2946" s="5" t="str">
        <f>IFERROR(__xludf.DUMMYFUNCTION("GOOGLETRANSLATE(B2946,""en"",""de"")"),"Die Person sehnt die Rückseite einer Katze, die sich in der Nähe befindet.")</f>
        <v>Die Person sehnt die Rückseite einer Katze, die sich in der Nähe befindet.</v>
      </c>
    </row>
    <row r="2947">
      <c r="A2947" s="4" t="s">
        <v>3699</v>
      </c>
      <c r="B2947" s="4" t="s">
        <v>3703</v>
      </c>
      <c r="C2947" s="5" t="str">
        <f>IFERROR(__xludf.DUMMYFUNCTION("GOOGLETRANSLATE(B2947,""en"",""de"")"),"Die Person kehrt zurück, um den Holzboden zu saugen.")</f>
        <v>Die Person kehrt zurück, um den Holzboden zu saugen.</v>
      </c>
    </row>
    <row r="2948">
      <c r="A2948" s="4" t="s">
        <v>3704</v>
      </c>
      <c r="B2948" s="4" t="s">
        <v>3705</v>
      </c>
      <c r="C2948" s="5" t="str">
        <f>IFERROR(__xludf.DUMMYFUNCTION("GOOGLETRANSLATE(B2948,""en"",""de"")"),"Eine Frau und ihre 2 Kinder fahren auf einem Kamel auf einer Messe oder einer Veranstaltung herum.")</f>
        <v>Eine Frau und ihre 2 Kinder fahren auf einem Kamel auf einer Messe oder einer Veranstaltung herum.</v>
      </c>
    </row>
    <row r="2949">
      <c r="A2949" s="4" t="s">
        <v>3704</v>
      </c>
      <c r="B2949" s="4" t="s">
        <v>3706</v>
      </c>
      <c r="C2949" s="5" t="str">
        <f>IFERROR(__xludf.DUMMYFUNCTION("GOOGLETRANSLATE(B2949,""en"",""de"")"),"Es gibt einen Arbeiter, der im Kreis mit ihnen mit einem Seil mit einem Seil spazieren geht.")</f>
        <v>Es gibt einen Arbeiter, der im Kreis mit ihnen mit einem Seil mit einem Seil spazieren geht.</v>
      </c>
    </row>
    <row r="2950">
      <c r="A2950" s="4" t="s">
        <v>3704</v>
      </c>
      <c r="B2950" s="4" t="s">
        <v>3707</v>
      </c>
      <c r="C2950" s="5" t="str">
        <f>IFERROR(__xludf.DUMMYFUNCTION("GOOGLETRANSLATE(B2950,""en"",""de"")"),"Sie gehen einige Male immer wieder in einem Kreis um einen kleinen geschlossenen Bereich.")</f>
        <v>Sie gehen einige Male immer wieder in einem Kreis um einen kleinen geschlossenen Bereich.</v>
      </c>
    </row>
    <row r="2951">
      <c r="A2951" s="4" t="s">
        <v>3704</v>
      </c>
      <c r="B2951" s="4" t="s">
        <v>3708</v>
      </c>
      <c r="C2951" s="5" t="str">
        <f>IFERROR(__xludf.DUMMYFUNCTION("GOOGLETRANSLATE(B2951,""en"",""de"")"),"Wenn sie fertig sind, halten sie an einem roten Geländer an, der Arbeiter klopft auf das Kamel ins Gesicht, während der Fahrer aussteigt.")</f>
        <v>Wenn sie fertig sind, halten sie an einem roten Geländer an, der Arbeiter klopft auf das Kamel ins Gesicht, während der Fahrer aussteigt.</v>
      </c>
    </row>
    <row r="2952">
      <c r="A2952" s="4" t="s">
        <v>3709</v>
      </c>
      <c r="B2952" s="4" t="s">
        <v>3710</v>
      </c>
      <c r="C2952" s="5" t="str">
        <f>IFERROR(__xludf.DUMMYFUNCTION("GOOGLETRANSLATE(B2952,""en"",""de"")"),"Eine Frau steht auf einem Klavier.")</f>
        <v>Eine Frau steht auf einem Klavier.</v>
      </c>
    </row>
    <row r="2953">
      <c r="A2953" s="4" t="s">
        <v>3709</v>
      </c>
      <c r="B2953" s="4" t="s">
        <v>3711</v>
      </c>
      <c r="C2953" s="5" t="str">
        <f>IFERROR(__xludf.DUMMYFUNCTION("GOOGLETRANSLATE(B2953,""en"",""de"")"),"Eine Person spielt Klavier.")</f>
        <v>Eine Person spielt Klavier.</v>
      </c>
    </row>
    <row r="2954">
      <c r="A2954" s="4" t="s">
        <v>3709</v>
      </c>
      <c r="B2954" s="4" t="s">
        <v>3712</v>
      </c>
      <c r="C2954" s="5" t="str">
        <f>IFERROR(__xludf.DUMMYFUNCTION("GOOGLETRANSLATE(B2954,""en"",""de"")"),"Das Klavier dreht sich und eine Frau steht dahinter.")</f>
        <v>Das Klavier dreht sich und eine Frau steht dahinter.</v>
      </c>
    </row>
    <row r="2955">
      <c r="A2955" s="4" t="s">
        <v>3713</v>
      </c>
      <c r="B2955" s="4" t="s">
        <v>3714</v>
      </c>
      <c r="C2955" s="5" t="str">
        <f>IFERROR(__xludf.DUMMYFUNCTION("GOOGLETRANSLATE(B2955,""en"",""de"")"),"Wir sehen einen dunklen Öffnungsbildschirm.")</f>
        <v>Wir sehen einen dunklen Öffnungsbildschirm.</v>
      </c>
    </row>
    <row r="2956">
      <c r="A2956" s="4" t="s">
        <v>3713</v>
      </c>
      <c r="B2956" s="4" t="s">
        <v>3715</v>
      </c>
      <c r="C2956" s="5" t="str">
        <f>IFERROR(__xludf.DUMMYFUNCTION("GOOGLETRANSLATE(B2956,""en"",""de"")"),"Wir sehen dann Leute, die Hip -Hop -Tänze durchführen.")</f>
        <v>Wir sehen dann Leute, die Hip -Hop -Tänze durchführen.</v>
      </c>
    </row>
    <row r="2957">
      <c r="A2957" s="4" t="s">
        <v>3713</v>
      </c>
      <c r="B2957" s="4" t="s">
        <v>3716</v>
      </c>
      <c r="C2957" s="5" t="str">
        <f>IFERROR(__xludf.DUMMYFUNCTION("GOOGLETRANSLATE(B2957,""en"",""de"")"),"Wir sehen ein Zeichen für die Veranstaltung 2004.")</f>
        <v>Wir sehen ein Zeichen für die Veranstaltung 2004.</v>
      </c>
    </row>
    <row r="2958">
      <c r="A2958" s="4" t="s">
        <v>3713</v>
      </c>
      <c r="B2958" s="4" t="s">
        <v>3717</v>
      </c>
      <c r="C2958" s="5" t="str">
        <f>IFERROR(__xludf.DUMMYFUNCTION("GOOGLETRANSLATE(B2958,""en"",""de"")"),"Wir sehen Leute vor dem Publikum tanzen.")</f>
        <v>Wir sehen Leute vor dem Publikum tanzen.</v>
      </c>
    </row>
    <row r="2959">
      <c r="A2959" s="4" t="s">
        <v>3713</v>
      </c>
      <c r="B2959" s="4" t="s">
        <v>3718</v>
      </c>
      <c r="C2959" s="5" t="str">
        <f>IFERROR(__xludf.DUMMYFUNCTION("GOOGLETRANSLATE(B2959,""en"",""de"")"),"Wir sehen, dass ein Mann die Menge dreht, für die sich die Menge Clips befindet.")</f>
        <v>Wir sehen, dass ein Mann die Menge dreht, für die sich die Menge Clips befindet.</v>
      </c>
    </row>
    <row r="2960">
      <c r="A2960" s="4" t="s">
        <v>3713</v>
      </c>
      <c r="B2960" s="4" t="s">
        <v>3719</v>
      </c>
      <c r="C2960" s="5" t="str">
        <f>IFERROR(__xludf.DUMMYFUNCTION("GOOGLETRANSLATE(B2960,""en"",""de"")"),"Wir sehen ein Zeichen für die Veranstaltung 2005.")</f>
        <v>Wir sehen ein Zeichen für die Veranstaltung 2005.</v>
      </c>
    </row>
    <row r="2961">
      <c r="A2961" s="4" t="s">
        <v>3713</v>
      </c>
      <c r="B2961" s="4" t="s">
        <v>3720</v>
      </c>
      <c r="C2961" s="5" t="str">
        <f>IFERROR(__xludf.DUMMYFUNCTION("GOOGLETRANSLATE(B2961,""en"",""de"")"),"Zwei Männer nehmen einen Verbeugeren.")</f>
        <v>Zwei Männer nehmen einen Verbeugeren.</v>
      </c>
    </row>
    <row r="2962">
      <c r="A2962" s="4" t="s">
        <v>3713</v>
      </c>
      <c r="B2962" s="4" t="s">
        <v>3721</v>
      </c>
      <c r="C2962" s="5" t="str">
        <f>IFERROR(__xludf.DUMMYFUNCTION("GOOGLETRANSLATE(B2962,""en"",""de"")"),"Wir sehen einen Bildschirm für die Veranstaltung 2006.")</f>
        <v>Wir sehen einen Bildschirm für die Veranstaltung 2006.</v>
      </c>
    </row>
    <row r="2963">
      <c r="A2963" s="4" t="s">
        <v>3713</v>
      </c>
      <c r="B2963" s="4" t="s">
        <v>3722</v>
      </c>
      <c r="C2963" s="5" t="str">
        <f>IFERROR(__xludf.DUMMYFUNCTION("GOOGLETRANSLATE(B2963,""en"",""de"")"),"Ein Mann in Red macht ein paar Bewegungen.")</f>
        <v>Ein Mann in Red macht ein paar Bewegungen.</v>
      </c>
    </row>
    <row r="2964">
      <c r="A2964" s="4" t="s">
        <v>3713</v>
      </c>
      <c r="B2964" s="4" t="s">
        <v>3723</v>
      </c>
      <c r="C2964" s="5" t="str">
        <f>IFERROR(__xludf.DUMMYFUNCTION("GOOGLETRANSLATE(B2964,""en"",""de"")"),"Wir sehen Schilder für die Veranstaltung 2007.")</f>
        <v>Wir sehen Schilder für die Veranstaltung 2007.</v>
      </c>
    </row>
    <row r="2965">
      <c r="A2965" s="4" t="s">
        <v>3724</v>
      </c>
      <c r="B2965" s="4" t="s">
        <v>3725</v>
      </c>
      <c r="C2965" s="5" t="str">
        <f>IFERROR(__xludf.DUMMYFUNCTION("GOOGLETRANSLATE(B2965,""en"",""de"")"),"Eine Nahaufnahme einer blauen Shisha wird unten nach oben gezeigt.")</f>
        <v>Eine Nahaufnahme einer blauen Shisha wird unten nach oben gezeigt.</v>
      </c>
    </row>
    <row r="2966">
      <c r="A2966" s="4" t="s">
        <v>3724</v>
      </c>
      <c r="B2966" s="4" t="s">
        <v>3726</v>
      </c>
      <c r="C2966" s="5" t="str">
        <f>IFERROR(__xludf.DUMMYFUNCTION("GOOGLETRANSLATE(B2966,""en"",""de"")"),"Die Schüssel wird gezeigt, dann wird die Shisha mit Wasser durch Handschuhe gefüllt.")</f>
        <v>Die Schüssel wird gezeigt, dann wird die Shisha mit Wasser durch Handschuhe gefüllt.</v>
      </c>
    </row>
    <row r="2967">
      <c r="A2967" s="4" t="s">
        <v>3724</v>
      </c>
      <c r="B2967" s="4" t="s">
        <v>3727</v>
      </c>
      <c r="C2967" s="5" t="str">
        <f>IFERROR(__xludf.DUMMYFUNCTION("GOOGLETRANSLATE(B2967,""en"",""de"")"),"Der Schlauch ist an der Shisha befestigt.")</f>
        <v>Der Schlauch ist an der Shisha befestigt.</v>
      </c>
    </row>
    <row r="2968">
      <c r="A2968" s="4" t="s">
        <v>3724</v>
      </c>
      <c r="B2968" s="4" t="s">
        <v>3728</v>
      </c>
      <c r="C2968" s="5" t="str">
        <f>IFERROR(__xludf.DUMMYFUNCTION("GOOGLETRANSLATE(B2968,""en"",""de"")"),"Tabak ist in die Schüssel gepackt, dann mit Blechfolie bedeckt und mit einem Zahnstocher durchbohrt.")</f>
        <v>Tabak ist in die Schüssel gepackt, dann mit Blechfolie bedeckt und mit einem Zahnstocher durchbohrt.</v>
      </c>
    </row>
    <row r="2969">
      <c r="A2969" s="4" t="s">
        <v>3724</v>
      </c>
      <c r="B2969" s="4" t="s">
        <v>3729</v>
      </c>
      <c r="C2969" s="5" t="str">
        <f>IFERROR(__xludf.DUMMYFUNCTION("GOOGLETRANSLATE(B2969,""en"",""de"")"),"Ein Stück Kohle wird beleuchtet, dann raucht die unsichtbare Person die Shisha, während sie ein Buch liest.")</f>
        <v>Ein Stück Kohle wird beleuchtet, dann raucht die unsichtbare Person die Shisha, während sie ein Buch liest.</v>
      </c>
    </row>
    <row r="2970">
      <c r="A2970" s="4" t="s">
        <v>3730</v>
      </c>
      <c r="B2970" s="4" t="s">
        <v>3731</v>
      </c>
      <c r="C2970" s="5" t="str">
        <f>IFERROR(__xludf.DUMMYFUNCTION("GOOGLETRANSLATE(B2970,""en"",""de"")"),"Wir sehen einen Mann an einem Tisch auf einem Feld, der eine Frucht entsafelt, um einen Saft zu machen.")</f>
        <v>Wir sehen einen Mann an einem Tisch auf einem Feld, der eine Frucht entsafelt, um einen Saft zu machen.</v>
      </c>
    </row>
    <row r="2971">
      <c r="A2971" s="4" t="s">
        <v>3730</v>
      </c>
      <c r="B2971" s="4" t="s">
        <v>3732</v>
      </c>
      <c r="C2971" s="5" t="str">
        <f>IFERROR(__xludf.DUMMYFUNCTION("GOOGLETRANSLATE(B2971,""en"",""de"")"),"Der Mann sägt 2 Früchte dann in zwei Gläser in zwei Gläser.")</f>
        <v>Der Mann sägt 2 Früchte dann in zwei Gläser in zwei Gläser.</v>
      </c>
    </row>
    <row r="2972">
      <c r="A2972" s="4" t="s">
        <v>3730</v>
      </c>
      <c r="B2972" s="4" t="s">
        <v>3733</v>
      </c>
      <c r="C2972" s="5" t="str">
        <f>IFERROR(__xludf.DUMMYFUNCTION("GOOGLETRANSLATE(B2972,""en"",""de"")"),"Der Mann schneidet dann vier weitere Früchte.")</f>
        <v>Der Mann schneidet dann vier weitere Früchte.</v>
      </c>
    </row>
    <row r="2973">
      <c r="A2973" s="4" t="s">
        <v>3730</v>
      </c>
      <c r="B2973" s="4" t="s">
        <v>3734</v>
      </c>
      <c r="C2973" s="5" t="str">
        <f>IFERROR(__xludf.DUMMYFUNCTION("GOOGLETRANSLATE(B2973,""en"",""de"")"),"Der Mann verleiht den Gläern und Eiswasser aus dem Eimer unter der Früchte mehr Zucker.")</f>
        <v>Der Mann verleiht den Gläern und Eiswasser aus dem Eimer unter der Früchte mehr Zucker.</v>
      </c>
    </row>
    <row r="2974">
      <c r="A2974" s="4" t="s">
        <v>3735</v>
      </c>
      <c r="B2974" s="4" t="s">
        <v>3736</v>
      </c>
      <c r="C2974" s="5" t="str">
        <f>IFERROR(__xludf.DUMMYFUNCTION("GOOGLETRANSLATE(B2974,""en"",""de"")"),"Mehrere Fotos von Haushalten und Objekten werden von einem Mann gezeigt, der Flüssigkeiten in einen Eimer gießt.")</f>
        <v>Mehrere Fotos von Haushalten und Objekten werden von einem Mann gezeigt, der Flüssigkeiten in einen Eimer gießt.</v>
      </c>
    </row>
    <row r="2975">
      <c r="A2975" s="4" t="s">
        <v>3735</v>
      </c>
      <c r="B2975" s="4" t="s">
        <v>3737</v>
      </c>
      <c r="C2975" s="5" t="str">
        <f>IFERROR(__xludf.DUMMYFUNCTION("GOOGLETRANSLATE(B2975,""en"",""de"")"),"Er gießt mehr Objekte in den Eimer, während ein anderer Mann ihn herumwirbelt.")</f>
        <v>Er gießt mehr Objekte in den Eimer, während ein anderer Mann ihn herumwirbelt.</v>
      </c>
    </row>
    <row r="2976">
      <c r="A2976" s="4" t="s">
        <v>3735</v>
      </c>
      <c r="B2976" s="4" t="s">
        <v>3738</v>
      </c>
      <c r="C2976" s="5" t="str">
        <f>IFERROR(__xludf.DUMMYFUNCTION("GOOGLETRANSLATE(B2976,""en"",""de"")"),"Der Mann öffnet eine Schachtel voller Stein und legt etwas Gips an eine Wand.")</f>
        <v>Der Mann öffnet eine Schachtel voller Stein und legt etwas Gips an eine Wand.</v>
      </c>
    </row>
    <row r="2977">
      <c r="A2977" s="4" t="s">
        <v>3735</v>
      </c>
      <c r="B2977" s="4" t="s">
        <v>3739</v>
      </c>
      <c r="C2977" s="5" t="str">
        <f>IFERROR(__xludf.DUMMYFUNCTION("GOOGLETRANSLATE(B2977,""en"",""de"")"),"Er schiebt den Stein immer wieder in die Wand, um eine Steinmauer für ein Zuhause zu erzeugen.")</f>
        <v>Er schiebt den Stein immer wieder in die Wand, um eine Steinmauer für ein Zuhause zu erzeugen.</v>
      </c>
    </row>
    <row r="2978">
      <c r="A2978" s="4" t="s">
        <v>3740</v>
      </c>
      <c r="B2978" s="4" t="s">
        <v>3741</v>
      </c>
      <c r="C2978" s="5" t="str">
        <f>IFERROR(__xludf.DUMMYFUNCTION("GOOGLETRANSLATE(B2978,""en"",""de"")"),"Ein Junge sitzt in einem Salonstuhl und redet.")</f>
        <v>Ein Junge sitzt in einem Salonstuhl und redet.</v>
      </c>
    </row>
    <row r="2979">
      <c r="A2979" s="4" t="s">
        <v>3740</v>
      </c>
      <c r="B2979" s="4" t="s">
        <v>3742</v>
      </c>
      <c r="C2979" s="5" t="str">
        <f>IFERROR(__xludf.DUMMYFUNCTION("GOOGLETRANSLATE(B2979,""en"",""de"")"),"Ein Stylist schneidet seine Haare in einen neuen Stil.")</f>
        <v>Ein Stylist schneidet seine Haare in einen neuen Stil.</v>
      </c>
    </row>
    <row r="2980">
      <c r="A2980" s="4" t="s">
        <v>3740</v>
      </c>
      <c r="B2980" s="4" t="s">
        <v>3743</v>
      </c>
      <c r="C2980" s="5" t="str">
        <f>IFERROR(__xludf.DUMMYFUNCTION("GOOGLETRANSLATE(B2980,""en"",""de"")"),"Er trocknet und sprüht das Haar in einen spikey -Look.")</f>
        <v>Er trocknet und sprüht das Haar in einen spikey -Look.</v>
      </c>
    </row>
    <row r="2981">
      <c r="A2981" s="4" t="s">
        <v>3744</v>
      </c>
      <c r="B2981" s="4" t="s">
        <v>3745</v>
      </c>
      <c r="C2981" s="5" t="str">
        <f>IFERROR(__xludf.DUMMYFUNCTION("GOOGLETRANSLATE(B2981,""en"",""de"")"),"Wir sehen Leute in Stoßstangenautos in einem Karneval.")</f>
        <v>Wir sehen Leute in Stoßstangenautos in einem Karneval.</v>
      </c>
    </row>
    <row r="2982">
      <c r="A2982" s="4" t="s">
        <v>3744</v>
      </c>
      <c r="B2982" s="4" t="s">
        <v>3746</v>
      </c>
      <c r="C2982" s="5" t="str">
        <f>IFERROR(__xludf.DUMMYFUNCTION("GOOGLETRANSLATE(B2982,""en"",""de"")"),"Die Kamerapfannen ließen und wir sehen den treibenden Gericht.")</f>
        <v>Die Kamerapfannen ließen und wir sehen den treibenden Gericht.</v>
      </c>
    </row>
    <row r="2983">
      <c r="A2983" s="4" t="s">
        <v>3744</v>
      </c>
      <c r="B2983" s="4" t="s">
        <v>3747</v>
      </c>
      <c r="C2983" s="5" t="str">
        <f>IFERROR(__xludf.DUMMYFUNCTION("GOOGLETRANSLATE(B2983,""en"",""de"")"),"Eine Person in lila fährt an der Kamera vorbei.")</f>
        <v>Eine Person in lila fährt an der Kamera vorbei.</v>
      </c>
    </row>
    <row r="2984">
      <c r="A2984" s="4" t="s">
        <v>3744</v>
      </c>
      <c r="B2984" s="4" t="s">
        <v>3748</v>
      </c>
      <c r="C2984" s="5" t="str">
        <f>IFERROR(__xludf.DUMMYFUNCTION("GOOGLETRANSLATE(B2984,""en"",""de"")"),"Ein Mädchen lächelt in die Kamera, als sie vorbei fährt.")</f>
        <v>Ein Mädchen lächelt in die Kamera, als sie vorbei fährt.</v>
      </c>
    </row>
    <row r="2985">
      <c r="A2985" s="4" t="s">
        <v>3749</v>
      </c>
      <c r="B2985" s="4" t="s">
        <v>3750</v>
      </c>
      <c r="C2985" s="5" t="str">
        <f>IFERROR(__xludf.DUMMYFUNCTION("GOOGLETRANSLATE(B2985,""en"",""de"")"),"Ein Mädchen spielt mit Sand am Strand.")</f>
        <v>Ein Mädchen spielt mit Sand am Strand.</v>
      </c>
    </row>
    <row r="2986">
      <c r="A2986" s="4" t="s">
        <v>3749</v>
      </c>
      <c r="B2986" s="4" t="s">
        <v>3751</v>
      </c>
      <c r="C2986" s="5" t="str">
        <f>IFERROR(__xludf.DUMMYFUNCTION("GOOGLETRANSLATE(B2986,""en"",""de"")"),"Sie steht dann auf und sieht sich andere Menschen an.")</f>
        <v>Sie steht dann auf und sieht sich andere Menschen an.</v>
      </c>
    </row>
    <row r="2987">
      <c r="A2987" s="4" t="s">
        <v>3752</v>
      </c>
      <c r="B2987" s="4" t="s">
        <v>3753</v>
      </c>
      <c r="C2987" s="5" t="str">
        <f>IFERROR(__xludf.DUMMYFUNCTION("GOOGLETRANSLATE(B2987,""en"",""de"")"),"Die Leute stehen neben einem Tischtenpong -Tisch.")</f>
        <v>Die Leute stehen neben einem Tischtenpong -Tisch.</v>
      </c>
    </row>
    <row r="2988">
      <c r="A2988" s="4" t="s">
        <v>3752</v>
      </c>
      <c r="B2988" s="4" t="s">
        <v>3754</v>
      </c>
      <c r="C2988" s="5" t="str">
        <f>IFERROR(__xludf.DUMMYFUNCTION("GOOGLETRANSLATE(B2988,""en"",""de"")"),"Ein Mann zeigt, wie man ohne Paddel spielt.")</f>
        <v>Ein Mann zeigt, wie man ohne Paddel spielt.</v>
      </c>
    </row>
    <row r="2989">
      <c r="A2989" s="4" t="s">
        <v>3752</v>
      </c>
      <c r="B2989" s="4" t="s">
        <v>3755</v>
      </c>
      <c r="C2989" s="5" t="str">
        <f>IFERROR(__xludf.DUMMYFUNCTION("GOOGLETRANSLATE(B2989,""en"",""de"")"),"Zwei Leute spielen ein Spiel Ping Pong.")</f>
        <v>Zwei Leute spielen ein Spiel Ping Pong.</v>
      </c>
    </row>
    <row r="2990">
      <c r="A2990" s="4" t="s">
        <v>3756</v>
      </c>
      <c r="B2990" s="4" t="s">
        <v>3757</v>
      </c>
      <c r="C2990" s="5" t="str">
        <f>IFERROR(__xludf.DUMMYFUNCTION("GOOGLETRANSLATE(B2990,""en"",""de"")"),"Zwei Männer sitzen auf runden Tischen, die in Mikrofonen sprechen.")</f>
        <v>Zwei Männer sitzen auf runden Tischen, die in Mikrofonen sprechen.</v>
      </c>
    </row>
    <row r="2991">
      <c r="A2991" s="4" t="s">
        <v>3756</v>
      </c>
      <c r="B2991" s="4" t="s">
        <v>3758</v>
      </c>
      <c r="C2991" s="5" t="str">
        <f>IFERROR(__xludf.DUMMYFUNCTION("GOOGLETRANSLATE(B2991,""en"",""de"")"),"Männer werden in einem großen Fußballfeld interviewt.")</f>
        <v>Männer werden in einem großen Fußballfeld interviewt.</v>
      </c>
    </row>
    <row r="2992">
      <c r="A2992" s="4" t="s">
        <v>3756</v>
      </c>
      <c r="B2992" s="4" t="s">
        <v>3759</v>
      </c>
      <c r="C2992" s="5" t="str">
        <f>IFERROR(__xludf.DUMMYFUNCTION("GOOGLETRANSLATE(B2992,""en"",""de"")"),"Männer spielen Ping -Pong in der Themen Stadion, während sich viele Menschen versammeln.")</f>
        <v>Männer spielen Ping -Pong in der Themen Stadion, während sich viele Menschen versammeln.</v>
      </c>
    </row>
    <row r="2993">
      <c r="A2993" s="4" t="s">
        <v>3760</v>
      </c>
      <c r="B2993" s="4" t="s">
        <v>3761</v>
      </c>
      <c r="C2993" s="5" t="str">
        <f>IFERROR(__xludf.DUMMYFUNCTION("GOOGLETRANSLATE(B2993,""en"",""de"")"),"Wir sehen einen sich schnell bewegenden Weißwasserstrom.")</f>
        <v>Wir sehen einen sich schnell bewegenden Weißwasserstrom.</v>
      </c>
    </row>
    <row r="2994">
      <c r="A2994" s="4" t="s">
        <v>3760</v>
      </c>
      <c r="B2994" s="4" t="s">
        <v>3762</v>
      </c>
      <c r="C2994" s="5" t="str">
        <f>IFERROR(__xludf.DUMMYFUNCTION("GOOGLETRANSLATE(B2994,""en"",""de"")"),"Ein Mann in Blue Rafting -Geräten und ein Helm beobachten aus einem Steinebett.")</f>
        <v>Ein Mann in Blue Rafting -Geräten und ein Helm beobachten aus einem Steinebett.</v>
      </c>
    </row>
    <row r="2995">
      <c r="A2995" s="4" t="s">
        <v>3760</v>
      </c>
      <c r="B2995" s="4" t="s">
        <v>3763</v>
      </c>
      <c r="C2995" s="5" t="str">
        <f>IFERROR(__xludf.DUMMYFUNCTION("GOOGLETRANSLATE(B2995,""en"",""de"")"),"Wir bemerken einen Mann in einem Kajak und einen gelben Helm von links.")</f>
        <v>Wir bemerken einen Mann in einem Kajak und einen gelben Helm von links.</v>
      </c>
    </row>
    <row r="2996">
      <c r="A2996" s="4" t="s">
        <v>3760</v>
      </c>
      <c r="B2996" s="4" t="s">
        <v>3764</v>
      </c>
      <c r="C2996" s="5" t="str">
        <f>IFERROR(__xludf.DUMMYFUNCTION("GOOGLETRANSLATE(B2996,""en"",""de"")"),"Als er sich nähert, dreht sein Kajak auf den Kopf.")</f>
        <v>Als er sich nähert, dreht sein Kajak auf den Kopf.</v>
      </c>
    </row>
    <row r="2997">
      <c r="A2997" s="4" t="s">
        <v>3760</v>
      </c>
      <c r="B2997" s="4" t="s">
        <v>3765</v>
      </c>
      <c r="C2997" s="5" t="str">
        <f>IFERROR(__xludf.DUMMYFUNCTION("GOOGLETRANSLATE(B2997,""en"",""de"")"),"Als die Aussicht ihm folgt, bemerken wir einen anderen Mann, der auf den Felsen rechts in Rot mit einem weißen Helm sitzt.")</f>
        <v>Als die Aussicht ihm folgt, bemerken wir einen anderen Mann, der auf den Felsen rechts in Rot mit einem weißen Helm sitzt.</v>
      </c>
    </row>
    <row r="2998">
      <c r="A2998" s="4" t="s">
        <v>3766</v>
      </c>
      <c r="B2998" s="4" t="s">
        <v>3767</v>
      </c>
      <c r="C2998" s="5" t="str">
        <f>IFERROR(__xludf.DUMMYFUNCTION("GOOGLETRANSLATE(B2998,""en"",""de"")"),"Eine Frau flechtet ihre Haare in mehreren Zöpfen.")</f>
        <v>Eine Frau flechtet ihre Haare in mehreren Zöpfen.</v>
      </c>
    </row>
    <row r="2999">
      <c r="A2999" s="4" t="s">
        <v>3766</v>
      </c>
      <c r="B2999" s="4" t="s">
        <v>3768</v>
      </c>
      <c r="C2999" s="5" t="str">
        <f>IFERROR(__xludf.DUMMYFUNCTION("GOOGLETRANSLATE(B2999,""en"",""de"")"),"Sie bindet sie hinter ihren Kopf.")</f>
        <v>Sie bindet sie hinter ihren Kopf.</v>
      </c>
    </row>
    <row r="3000">
      <c r="A3000" s="4" t="s">
        <v>3769</v>
      </c>
      <c r="B3000" s="4" t="s">
        <v>3770</v>
      </c>
      <c r="C3000" s="5" t="str">
        <f>IFERROR(__xludf.DUMMYFUNCTION("GOOGLETRANSLATE(B3000,""en"",""de"")"),"Ein Turner führt eine ungleiche Routine durch, während die Leute zuschauen.")</f>
        <v>Ein Turner führt eine ungleiche Routine durch, während die Leute zuschauen.</v>
      </c>
    </row>
    <row r="3001">
      <c r="A3001" s="4" t="s">
        <v>3769</v>
      </c>
      <c r="B3001" s="4" t="s">
        <v>3771</v>
      </c>
      <c r="C3001" s="5" t="str">
        <f>IFERROR(__xludf.DUMMYFUNCTION("GOOGLETRANSLATE(B3001,""en"",""de"")"),"Der Richter überwacht die Routine des Turners.")</f>
        <v>Der Richter überwacht die Routine des Turners.</v>
      </c>
    </row>
    <row r="3002">
      <c r="A3002" s="4" t="s">
        <v>3769</v>
      </c>
      <c r="B3002" s="4" t="s">
        <v>3772</v>
      </c>
      <c r="C3002" s="5" t="str">
        <f>IFERROR(__xludf.DUMMYFUNCTION("GOOGLETRANSLATE(B3002,""en"",""de"")"),"Dann dreht sich der Turner die höhere Bar und die Sprünge auf der Matte.")</f>
        <v>Dann dreht sich der Turner die höhere Bar und die Sprünge auf der Matte.</v>
      </c>
    </row>
    <row r="3003">
      <c r="A3003" s="4" t="s">
        <v>3773</v>
      </c>
      <c r="B3003" s="4" t="s">
        <v>3774</v>
      </c>
      <c r="C3003" s="5" t="str">
        <f>IFERROR(__xludf.DUMMYFUNCTION("GOOGLETRANSLATE(B3003,""en"",""de"")"),"Zwei Männer stehen in einem großen Raum und schlagen mit Tennisschlägern einen Tennisball herum.")</f>
        <v>Zwei Männer stehen in einem großen Raum und schlagen mit Tennisschlägern einen Tennisball herum.</v>
      </c>
    </row>
    <row r="3004">
      <c r="A3004" s="4" t="s">
        <v>3773</v>
      </c>
      <c r="B3004" s="4" t="s">
        <v>3775</v>
      </c>
      <c r="C3004" s="5" t="str">
        <f>IFERROR(__xludf.DUMMYFUNCTION("GOOGLETRANSLATE(B3004,""en"",""de"")"),"Die Männer schlugen den Ball zurück und den vierten zueinander und rennen gleichzeitig durch den Raum.")</f>
        <v>Die Männer schlugen den Ball zurück und den vierten zueinander und rennen gleichzeitig durch den Raum.</v>
      </c>
    </row>
    <row r="3005">
      <c r="A3005" s="4" t="s">
        <v>3776</v>
      </c>
      <c r="B3005" s="4" t="s">
        <v>3777</v>
      </c>
      <c r="C3005" s="5" t="str">
        <f>IFERROR(__xludf.DUMMYFUNCTION("GOOGLETRANSLATE(B3005,""en"",""de"")"),"Wir sehen zwei Öffnungsbildschirme für Poker in einem Casino.")</f>
        <v>Wir sehen zwei Öffnungsbildschirme für Poker in einem Casino.</v>
      </c>
    </row>
    <row r="3006">
      <c r="A3006" s="4" t="s">
        <v>3776</v>
      </c>
      <c r="B3006" s="4" t="s">
        <v>3778</v>
      </c>
      <c r="C3006" s="5" t="str">
        <f>IFERROR(__xludf.DUMMYFUNCTION("GOOGLETRANSLATE(B3006,""en"",""de"")"),"Wir sehen, wie der Händler Karten spricht und handelt.")</f>
        <v>Wir sehen, wie der Händler Karten spricht und handelt.</v>
      </c>
    </row>
    <row r="3007">
      <c r="A3007" s="4" t="s">
        <v>3776</v>
      </c>
      <c r="B3007" s="4" t="s">
        <v>3779</v>
      </c>
      <c r="C3007" s="5" t="str">
        <f>IFERROR(__xludf.DUMMYFUNCTION("GOOGLETRANSLATE(B3007,""en"",""de"")"),"Wir sehen ein großes Jackpot -Zeichen.")</f>
        <v>Wir sehen ein großes Jackpot -Zeichen.</v>
      </c>
    </row>
    <row r="3008">
      <c r="A3008" s="4" t="s">
        <v>3776</v>
      </c>
      <c r="B3008" s="4" t="s">
        <v>3780</v>
      </c>
      <c r="C3008" s="5" t="str">
        <f>IFERROR(__xludf.DUMMYFUNCTION("GOOGLETRANSLATE(B3008,""en"",""de"")"),"Wir sehen, wie der Händler die Karten mischt.")</f>
        <v>Wir sehen, wie der Händler die Karten mischt.</v>
      </c>
    </row>
    <row r="3009">
      <c r="A3009" s="4" t="s">
        <v>3776</v>
      </c>
      <c r="B3009" s="4" t="s">
        <v>3781</v>
      </c>
      <c r="C3009" s="5" t="str">
        <f>IFERROR(__xludf.DUMMYFUNCTION("GOOGLETRANSLATE(B3009,""en"",""de"")"),"Wir sehen den Mann auf seine Karten.")</f>
        <v>Wir sehen den Mann auf seine Karten.</v>
      </c>
    </row>
    <row r="3010">
      <c r="A3010" s="4" t="s">
        <v>3776</v>
      </c>
      <c r="B3010" s="4" t="s">
        <v>3782</v>
      </c>
      <c r="C3010" s="5" t="str">
        <f>IFERROR(__xludf.DUMMYFUNCTION("GOOGLETRANSLATE(B3010,""en"",""de"")"),"Der Mann schaut wieder auf seine Karten.")</f>
        <v>Der Mann schaut wieder auf seine Karten.</v>
      </c>
    </row>
    <row r="3011">
      <c r="A3011" s="4" t="s">
        <v>3776</v>
      </c>
      <c r="B3011" s="4" t="s">
        <v>3783</v>
      </c>
      <c r="C3011" s="5" t="str">
        <f>IFERROR(__xludf.DUMMYFUNCTION("GOOGLETRANSLATE(B3011,""en"",""de"")"),"Der Händler dreht die Spielerkarten um.")</f>
        <v>Der Händler dreht die Spielerkarten um.</v>
      </c>
    </row>
    <row r="3012">
      <c r="A3012" s="4" t="s">
        <v>3776</v>
      </c>
      <c r="B3012" s="4" t="s">
        <v>3784</v>
      </c>
      <c r="C3012" s="5" t="str">
        <f>IFERROR(__xludf.DUMMYFUNCTION("GOOGLETRANSLATE(B3012,""en"",""de"")"),"Wir sehen den Schlussbildschirm für das Casino.")</f>
        <v>Wir sehen den Schlussbildschirm für das Casino.</v>
      </c>
    </row>
    <row r="3013">
      <c r="A3013" s="4" t="s">
        <v>3785</v>
      </c>
      <c r="B3013" s="4" t="s">
        <v>3786</v>
      </c>
      <c r="C3013" s="5" t="str">
        <f>IFERROR(__xludf.DUMMYFUNCTION("GOOGLETRANSLATE(B3013,""en"",""de"")"),"Ein Mann in einem blauen Hemd und Shorts hebt ein großes Gewicht über seinem Kopf.")</f>
        <v>Ein Mann in einem blauen Hemd und Shorts hebt ein großes Gewicht über seinem Kopf.</v>
      </c>
    </row>
    <row r="3014">
      <c r="A3014" s="4" t="s">
        <v>3785</v>
      </c>
      <c r="B3014" s="4" t="s">
        <v>3787</v>
      </c>
      <c r="C3014" s="5" t="str">
        <f>IFERROR(__xludf.DUMMYFUNCTION("GOOGLETRANSLATE(B3014,""en"",""de"")"),"Ein anderer Mann filmt es.")</f>
        <v>Ein anderer Mann filmt es.</v>
      </c>
    </row>
    <row r="3015">
      <c r="A3015" s="4" t="s">
        <v>3785</v>
      </c>
      <c r="B3015" s="4" t="s">
        <v>3788</v>
      </c>
      <c r="C3015" s="5" t="str">
        <f>IFERROR(__xludf.DUMMYFUNCTION("GOOGLETRANSLATE(B3015,""en"",""de"")"),"Der gleiche Mann kommt zurück und hebt das Gewicht wieder über seinem Kopf.")</f>
        <v>Der gleiche Mann kommt zurück und hebt das Gewicht wieder über seinem Kopf.</v>
      </c>
    </row>
    <row r="3016">
      <c r="A3016" s="4" t="s">
        <v>3785</v>
      </c>
      <c r="B3016" s="4" t="s">
        <v>3789</v>
      </c>
      <c r="C3016" s="5" t="str">
        <f>IFERROR(__xludf.DUMMYFUNCTION("GOOGLETRANSLATE(B3016,""en"",""de"")"),"Er lässt es auf den Boden fallen und geht weg.")</f>
        <v>Er lässt es auf den Boden fallen und geht weg.</v>
      </c>
    </row>
    <row r="3017">
      <c r="A3017" s="4" t="s">
        <v>3790</v>
      </c>
      <c r="B3017" s="4" t="s">
        <v>3791</v>
      </c>
      <c r="C3017" s="5" t="str">
        <f>IFERROR(__xludf.DUMMYFUNCTION("GOOGLETRANSLATE(B3017,""en"",""de"")"),"In diesem Glasgeschäft wird ein Tutorial zum Wickeln von unangenehme Geschenken verfolgt.")</f>
        <v>In diesem Glasgeschäft wird ein Tutorial zum Wickeln von unangenehme Geschenken verfolgt.</v>
      </c>
    </row>
    <row r="3018">
      <c r="A3018" s="4" t="s">
        <v>3790</v>
      </c>
      <c r="B3018" s="4" t="s">
        <v>3792</v>
      </c>
      <c r="C3018" s="5" t="str">
        <f>IFERROR(__xludf.DUMMYFUNCTION("GOOGLETRANSLATE(B3018,""en"",""de"")"),"Sie platzieren das Objekt auf das Verpackungspapier, um zu beginnen.")</f>
        <v>Sie platzieren das Objekt auf das Verpackungspapier, um zu beginnen.</v>
      </c>
    </row>
    <row r="3019">
      <c r="A3019" s="4" t="s">
        <v>3790</v>
      </c>
      <c r="B3019" s="4" t="s">
        <v>3793</v>
      </c>
      <c r="C3019" s="5" t="str">
        <f>IFERROR(__xludf.DUMMYFUNCTION("GOOGLETRANSLATE(B3019,""en"",""de"")"),"Danach falten Sie die Spitze des Papiers, schnappen Sie die Schere und schneiden Streifen.")</f>
        <v>Danach falten Sie die Spitze des Papiers, schnappen Sie die Schere und schneiden Streifen.</v>
      </c>
    </row>
    <row r="3020">
      <c r="A3020" s="4" t="s">
        <v>3790</v>
      </c>
      <c r="B3020" s="4" t="s">
        <v>3794</v>
      </c>
      <c r="C3020" s="5" t="str">
        <f>IFERROR(__xludf.DUMMYFUNCTION("GOOGLETRANSLATE(B3020,""en"",""de"")"),"Dann benutzen Sie Band, um es niederzuhalten und mit einem Bogen abzurunden.")</f>
        <v>Dann benutzen Sie Band, um es niederzuhalten und mit einem Bogen abzurunden.</v>
      </c>
    </row>
    <row r="3021">
      <c r="A3021" s="4" t="s">
        <v>3795</v>
      </c>
      <c r="B3021" s="4" t="s">
        <v>3796</v>
      </c>
      <c r="C3021" s="5" t="str">
        <f>IFERROR(__xludf.DUMMYFUNCTION("GOOGLETRANSLATE(B3021,""en"",""de"")"),"Das Video beginnt mit einem Titelbildschirm.")</f>
        <v>Das Video beginnt mit einem Titelbildschirm.</v>
      </c>
    </row>
    <row r="3022">
      <c r="A3022" s="4" t="s">
        <v>3795</v>
      </c>
      <c r="B3022" s="4" t="s">
        <v>3797</v>
      </c>
      <c r="C3022" s="5" t="str">
        <f>IFERROR(__xludf.DUMMYFUNCTION("GOOGLETRANSLATE(B3022,""en"",""de"")"),"Ein älterer Mann wird in einem Fitnessstudio gesehen, das mit der Kamera spricht, während Männer im Hintergrund Volleyball spielen.")</f>
        <v>Ein älterer Mann wird in einem Fitnessstudio gesehen, das mit der Kamera spricht, während Männer im Hintergrund Volleyball spielen.</v>
      </c>
    </row>
    <row r="3023">
      <c r="A3023" s="4" t="s">
        <v>3795</v>
      </c>
      <c r="B3023" s="4" t="s">
        <v>3798</v>
      </c>
      <c r="C3023" s="5" t="str">
        <f>IFERROR(__xludf.DUMMYFUNCTION("GOOGLETRANSLATE(B3023,""en"",""de"")"),"Ein simulierter Bildschirm, der einen Volleyballplatz zeigt, zeigt, während er spricht.")</f>
        <v>Ein simulierter Bildschirm, der einen Volleyballplatz zeigt, zeigt, während er spricht.</v>
      </c>
    </row>
    <row r="3024">
      <c r="A3024" s="4" t="s">
        <v>3795</v>
      </c>
      <c r="B3024" s="4" t="s">
        <v>3799</v>
      </c>
      <c r="C3024" s="5" t="str">
        <f>IFERROR(__xludf.DUMMYFUNCTION("GOOGLETRANSLATE(B3024,""en"",""de"")"),"Das Video kommt dann zu dem älteren Mann zurück, der die Spieler leitet.")</f>
        <v>Das Video kommt dann zu dem älteren Mann zurück, der die Spieler leitet.</v>
      </c>
    </row>
    <row r="3025">
      <c r="A3025" s="4" t="s">
        <v>3795</v>
      </c>
      <c r="B3025" s="4" t="s">
        <v>3800</v>
      </c>
      <c r="C3025" s="5" t="str">
        <f>IFERROR(__xludf.DUMMYFUNCTION("GOOGLETRANSLATE(B3025,""en"",""de"")"),"Die Männer werfen einen Volleyball hin und her.")</f>
        <v>Die Männer werfen einen Volleyball hin und her.</v>
      </c>
    </row>
    <row r="3026">
      <c r="A3026" s="4" t="s">
        <v>3795</v>
      </c>
      <c r="B3026" s="4" t="s">
        <v>3801</v>
      </c>
      <c r="C3026" s="5" t="str">
        <f>IFERROR(__xludf.DUMMYFUNCTION("GOOGLETRANSLATE(B3026,""en"",""de"")"),"Das Video endet mit einem endgültigen Titelbildschirm.")</f>
        <v>Das Video endet mit einem endgültigen Titelbildschirm.</v>
      </c>
    </row>
    <row r="3027">
      <c r="A3027" s="4" t="s">
        <v>3802</v>
      </c>
      <c r="B3027" s="4" t="s">
        <v>3803</v>
      </c>
      <c r="C3027" s="5" t="str">
        <f>IFERROR(__xludf.DUMMYFUNCTION("GOOGLETRANSLATE(B3027,""en"",""de"")"),"Ein asiatisches Mädchen, das an einem Schreibtisch sitzt, beschreibt Armringen.")</f>
        <v>Ein asiatisches Mädchen, das an einem Schreibtisch sitzt, beschreibt Armringen.</v>
      </c>
    </row>
    <row r="3028">
      <c r="A3028" s="4" t="s">
        <v>3802</v>
      </c>
      <c r="B3028" s="4" t="s">
        <v>3804</v>
      </c>
      <c r="C3028" s="5" t="str">
        <f>IFERROR(__xludf.DUMMYFUNCTION("GOOGLETRANSLATE(B3028,""en"",""de"")"),"Das Mädchen stellt einen asiatischen Jungen vor, der dem asiatischen Mädchen gegenüber sitzt.")</f>
        <v>Das Mädchen stellt einen asiatischen Jungen vor, der dem asiatischen Mädchen gegenüber sitzt.</v>
      </c>
    </row>
    <row r="3029">
      <c r="A3029" s="4" t="s">
        <v>3802</v>
      </c>
      <c r="B3029" s="4" t="s">
        <v>3805</v>
      </c>
      <c r="C3029" s="5" t="str">
        <f>IFERROR(__xludf.DUMMYFUNCTION("GOOGLETRANSLATE(B3029,""en"",""de"")"),"Das Mädchen und der Junge bereiten sich darauf vor, Arm zu ringen, während ein Schiedsrichter über dem Mädchen Arm Wrestler verwendet und in die falsche Richtung drückt.")</f>
        <v>Das Mädchen und der Junge bereiten sich darauf vor, Arm zu ringen, während ein Schiedsrichter über dem Mädchen Arm Wrestler verwendet und in die falsche Richtung drückt.</v>
      </c>
    </row>
    <row r="3030">
      <c r="A3030" s="4" t="s">
        <v>3802</v>
      </c>
      <c r="B3030" s="4" t="s">
        <v>3806</v>
      </c>
      <c r="C3030" s="5" t="str">
        <f>IFERROR(__xludf.DUMMYFUNCTION("GOOGLETRANSLATE(B3030,""en"",""de"")"),"Die Wrestler von Mädchen und Jungen sind wieder in Position, wobei der Schiedsrichter sie einstellt, das sie ringen.")</f>
        <v>Die Wrestler von Mädchen und Jungen sind wieder in Position, wobei der Schiedsrichter sie einstellt, das sie ringen.</v>
      </c>
    </row>
    <row r="3031">
      <c r="A3031" s="4" t="s">
        <v>3802</v>
      </c>
      <c r="B3031" s="4" t="s">
        <v>3807</v>
      </c>
      <c r="C3031" s="5" t="str">
        <f>IFERROR(__xludf.DUMMYFUNCTION("GOOGLETRANSLATE(B3031,""en"",""de"")"),"Das Mädchen Wrestler versucht mit beiden Armen und ihrem Körper zu ringen, fällt aber auf den Boden.")</f>
        <v>Das Mädchen Wrestler versucht mit beiden Armen und ihrem Körper zu ringen, fällt aber auf den Boden.</v>
      </c>
    </row>
    <row r="3032">
      <c r="A3032" s="4" t="s">
        <v>3808</v>
      </c>
      <c r="B3032" s="4" t="s">
        <v>3809</v>
      </c>
      <c r="C3032" s="5" t="str">
        <f>IFERROR(__xludf.DUMMYFUNCTION("GOOGLETRANSLATE(B3032,""en"",""de"")"),"Drei Männer sitzen hinter einer Reihe von Bongo -Drums, die schnell spielen, während mehrere Kamera -Blitze angezeigt werden.")</f>
        <v>Drei Männer sitzen hinter einer Reihe von Bongo -Drums, die schnell spielen, während mehrere Kamera -Blitze angezeigt werden.</v>
      </c>
    </row>
    <row r="3033">
      <c r="A3033" s="4" t="s">
        <v>3808</v>
      </c>
      <c r="B3033" s="4" t="s">
        <v>3810</v>
      </c>
      <c r="C3033" s="5" t="str">
        <f>IFERROR(__xludf.DUMMYFUNCTION("GOOGLETRANSLATE(B3033,""en"",""de"")"),"Die Männer spielen immer wieder, während sie sich gegenseitig lachen und lächeln.")</f>
        <v>Die Männer spielen immer wieder, während sie sich gegenseitig lachen und lächeln.</v>
      </c>
    </row>
    <row r="3034">
      <c r="A3034" s="4" t="s">
        <v>3811</v>
      </c>
      <c r="B3034" s="4" t="s">
        <v>3812</v>
      </c>
      <c r="C3034" s="5" t="str">
        <f>IFERROR(__xludf.DUMMYFUNCTION("GOOGLETRANSLATE(B3034,""en"",""de"")"),"Ein jugendlicher Junge springt auf ein Skateboard und skaniert über eine Straße und eine Einfahrt hinauf, bevor sie wieder auf die Straße geht.")</f>
        <v>Ein jugendlicher Junge springt auf ein Skateboard und skaniert über eine Straße und eine Einfahrt hinauf, bevor sie wieder auf die Straße geht.</v>
      </c>
    </row>
    <row r="3035">
      <c r="A3035" s="4" t="s">
        <v>3811</v>
      </c>
      <c r="B3035" s="4" t="s">
        <v>3813</v>
      </c>
      <c r="C3035" s="5" t="str">
        <f>IFERROR(__xludf.DUMMYFUNCTION("GOOGLETRANSLATE(B3035,""en"",""de"")"),"Er steigt ab und redet, als er das Brett tritt.")</f>
        <v>Er steigt ab und redet, als er das Brett tritt.</v>
      </c>
    </row>
    <row r="3036">
      <c r="A3036" s="4" t="s">
        <v>3811</v>
      </c>
      <c r="B3036" s="4" t="s">
        <v>3814</v>
      </c>
      <c r="C3036" s="5" t="str">
        <f>IFERROR(__xludf.DUMMYFUNCTION("GOOGLETRANSLATE(B3036,""en"",""de"")"),"Er lächelt in die Kamera und trägt Sonnenbrille.")</f>
        <v>Er lächelt in die Kamera und trägt Sonnenbrille.</v>
      </c>
    </row>
    <row r="3037">
      <c r="A3037" s="4" t="s">
        <v>3815</v>
      </c>
      <c r="B3037" s="4" t="s">
        <v>3816</v>
      </c>
      <c r="C3037" s="5" t="str">
        <f>IFERROR(__xludf.DUMMYFUNCTION("GOOGLETRANSLATE(B3037,""en"",""de"")"),"Ein Teenager spielt Geige in einem Raum.")</f>
        <v>Ein Teenager spielt Geige in einem Raum.</v>
      </c>
    </row>
    <row r="3038">
      <c r="A3038" s="4" t="s">
        <v>3815</v>
      </c>
      <c r="B3038" s="4" t="s">
        <v>3817</v>
      </c>
      <c r="C3038" s="5" t="str">
        <f>IFERROR(__xludf.DUMMYFUNCTION("GOOGLETRANSLATE(B3038,""en"",""de"")"),"Der Teenager hält die Geige, wobei die linke Hand die Finger bewegt und mit dem Bogen spielt.")</f>
        <v>Der Teenager hält die Geige, wobei die linke Hand die Finger bewegt und mit dem Bogen spielt.</v>
      </c>
    </row>
    <row r="3039">
      <c r="A3039" s="4" t="s">
        <v>3815</v>
      </c>
      <c r="B3039" s="4" t="s">
        <v>3818</v>
      </c>
      <c r="C3039" s="5" t="str">
        <f>IFERROR(__xludf.DUMMYFUNCTION("GOOGLETRANSLATE(B3039,""en"",""de"")"),"Dann spielt das Teenager die Geige.")</f>
        <v>Dann spielt das Teenager die Geige.</v>
      </c>
    </row>
    <row r="3040">
      <c r="A3040" s="4" t="s">
        <v>3819</v>
      </c>
      <c r="B3040" s="4" t="s">
        <v>3820</v>
      </c>
      <c r="C3040" s="5" t="str">
        <f>IFERROR(__xludf.DUMMYFUNCTION("GOOGLETRANSLATE(B3040,""en"",""de"")"),"Ein Mann ist mit einem Fahrrad am Strand.")</f>
        <v>Ein Mann ist mit einem Fahrrad am Strand.</v>
      </c>
    </row>
    <row r="3041">
      <c r="A3041" s="4" t="s">
        <v>3819</v>
      </c>
      <c r="B3041" s="4" t="s">
        <v>3821</v>
      </c>
      <c r="C3041" s="5" t="str">
        <f>IFERROR(__xludf.DUMMYFUNCTION("GOOGLETRANSLATE(B3041,""en"",""de"")"),"Er schleift sein Surfbrett hinunter.")</f>
        <v>Er schleift sein Surfbrett hinunter.</v>
      </c>
    </row>
    <row r="3042">
      <c r="A3042" s="4" t="s">
        <v>3819</v>
      </c>
      <c r="B3042" s="4" t="s">
        <v>3822</v>
      </c>
      <c r="C3042" s="5" t="str">
        <f>IFERROR(__xludf.DUMMYFUNCTION("GOOGLETRANSLATE(B3042,""en"",""de"")"),"Er surft im Wasser.")</f>
        <v>Er surft im Wasser.</v>
      </c>
    </row>
    <row r="3043">
      <c r="A3043" s="4" t="s">
        <v>3823</v>
      </c>
      <c r="B3043" s="4" t="s">
        <v>3824</v>
      </c>
      <c r="C3043" s="5" t="str">
        <f>IFERROR(__xludf.DUMMYFUNCTION("GOOGLETRANSLATE(B3043,""en"",""de"")"),"Die Leute spielen ein Volleyballspiel im Sand am Strand.")</f>
        <v>Die Leute spielen ein Volleyballspiel im Sand am Strand.</v>
      </c>
    </row>
    <row r="3044">
      <c r="A3044" s="4" t="s">
        <v>3823</v>
      </c>
      <c r="B3044" s="4" t="s">
        <v>3825</v>
      </c>
      <c r="C3044" s="5" t="str">
        <f>IFERROR(__xludf.DUMMYFUNCTION("GOOGLETRANSLATE(B3044,""en"",""de"")"),"Die Leute spielen am Strand Schlagzeug.")</f>
        <v>Die Leute spielen am Strand Schlagzeug.</v>
      </c>
    </row>
    <row r="3045">
      <c r="A3045" s="4" t="s">
        <v>3823</v>
      </c>
      <c r="B3045" s="4" t="s">
        <v>3826</v>
      </c>
      <c r="C3045" s="5" t="str">
        <f>IFERROR(__xludf.DUMMYFUNCTION("GOOGLETRANSLATE(B3045,""en"",""de"")"),"Eine Frau in einem gelben Outfit tanzt.")</f>
        <v>Eine Frau in einem gelben Outfit tanzt.</v>
      </c>
    </row>
    <row r="3046">
      <c r="A3046" s="4" t="s">
        <v>3823</v>
      </c>
      <c r="B3046" s="4" t="s">
        <v>3827</v>
      </c>
      <c r="C3046" s="5" t="str">
        <f>IFERROR(__xludf.DUMMYFUNCTION("GOOGLETRANSLATE(B3046,""en"",""de"")"),"Das Team posiert ein Bild hinter einem Banner.")</f>
        <v>Das Team posiert ein Bild hinter einem Banner.</v>
      </c>
    </row>
    <row r="3047">
      <c r="A3047" s="4" t="s">
        <v>3828</v>
      </c>
      <c r="B3047" s="4" t="s">
        <v>3829</v>
      </c>
      <c r="C3047" s="5" t="str">
        <f>IFERROR(__xludf.DUMMYFUNCTION("GOOGLETRANSLATE(B3047,""en"",""de"")"),"Ein Mann in einem Anzug zeigt sich auf dem Bildschirm.")</f>
        <v>Ein Mann in einem Anzug zeigt sich auf dem Bildschirm.</v>
      </c>
    </row>
    <row r="3048">
      <c r="A3048" s="4" t="s">
        <v>3828</v>
      </c>
      <c r="B3048" s="4" t="s">
        <v>3830</v>
      </c>
      <c r="C3048" s="5" t="str">
        <f>IFERROR(__xludf.DUMMYFUNCTION("GOOGLETRANSLATE(B3048,""en"",""de"")"),"Der Mann beginnt mit einem anderen Mann zu kämpfen.")</f>
        <v>Der Mann beginnt mit einem anderen Mann zu kämpfen.</v>
      </c>
    </row>
    <row r="3049">
      <c r="A3049" s="4" t="s">
        <v>3828</v>
      </c>
      <c r="B3049" s="4" t="s">
        <v>3831</v>
      </c>
      <c r="C3049" s="5" t="str">
        <f>IFERROR(__xludf.DUMMYFUNCTION("GOOGLETRANSLATE(B3049,""en"",""de"")"),"Der Mann im Anzug setzt seine Haltung zurück.")</f>
        <v>Der Mann im Anzug setzt seine Haltung zurück.</v>
      </c>
    </row>
    <row r="3050">
      <c r="A3050" s="4" t="s">
        <v>3828</v>
      </c>
      <c r="B3050" s="4" t="s">
        <v>3832</v>
      </c>
      <c r="C3050" s="5" t="str">
        <f>IFERROR(__xludf.DUMMYFUNCTION("GOOGLETRANSLATE(B3050,""en"",""de"")"),"Nachdem der Mann im Anzug mehr gekämpft hat, setzt seine Haltung wieder zurück.")</f>
        <v>Nachdem der Mann im Anzug mehr gekämpft hat, setzt seine Haltung wieder zurück.</v>
      </c>
    </row>
    <row r="3051">
      <c r="A3051" s="4" t="s">
        <v>3828</v>
      </c>
      <c r="B3051" s="4" t="s">
        <v>3833</v>
      </c>
      <c r="C3051" s="5" t="str">
        <f>IFERROR(__xludf.DUMMYFUNCTION("GOOGLETRANSLATE(B3051,""en"",""de"")"),"Nachdem die Kämpfe fortgesetzt werden, taucht ein anderer Mann im Raum auf und begleitet den Mann im Anzug.")</f>
        <v>Nachdem die Kämpfe fortgesetzt werden, taucht ein anderer Mann im Raum auf und begleitet den Mann im Anzug.</v>
      </c>
    </row>
    <row r="3052">
      <c r="A3052" s="4" t="s">
        <v>3834</v>
      </c>
      <c r="B3052" s="4" t="s">
        <v>3835</v>
      </c>
      <c r="C3052" s="5" t="str">
        <f>IFERROR(__xludf.DUMMYFUNCTION("GOOGLETRANSLATE(B3052,""en"",""de"")"),"Ein Mann wird gesehen, wie er mit der Kamera spricht und sie zurück zu einem Klavier schwenkt.")</f>
        <v>Ein Mann wird gesehen, wie er mit der Kamera spricht und sie zurück zu einem Klavier schwenkt.</v>
      </c>
    </row>
    <row r="3053">
      <c r="A3053" s="4" t="s">
        <v>3834</v>
      </c>
      <c r="B3053" s="4" t="s">
        <v>3836</v>
      </c>
      <c r="C3053" s="5" t="str">
        <f>IFERROR(__xludf.DUMMYFUNCTION("GOOGLETRANSLATE(B3053,""en"",""de"")"),"Der Mann beginnt dann Klavier zu spielen, während die Kamera seine Bewegungen einfängt.")</f>
        <v>Der Mann beginnt dann Klavier zu spielen, während die Kamera seine Bewegungen einfängt.</v>
      </c>
    </row>
    <row r="3054">
      <c r="A3054" s="4" t="s">
        <v>3834</v>
      </c>
      <c r="B3054" s="4" t="s">
        <v>3837</v>
      </c>
      <c r="C3054" s="5" t="str">
        <f>IFERROR(__xludf.DUMMYFUNCTION("GOOGLETRANSLATE(B3054,""en"",""de"")"),"Er spielt weiter und endet, indem er die Kamera ausschaltet und in die Ferne schaut.")</f>
        <v>Er spielt weiter und endet, indem er die Kamera ausschaltet und in die Ferne schaut.</v>
      </c>
    </row>
    <row r="3055">
      <c r="A3055" s="4" t="s">
        <v>3838</v>
      </c>
      <c r="B3055" s="4" t="s">
        <v>3839</v>
      </c>
      <c r="C3055" s="5" t="str">
        <f>IFERROR(__xludf.DUMMYFUNCTION("GOOGLETRANSLATE(B3055,""en"",""de"")"),"Eine Frau hält eine Katze auf einen Tisch.")</f>
        <v>Eine Frau hält eine Katze auf einen Tisch.</v>
      </c>
    </row>
    <row r="3056">
      <c r="A3056" s="4" t="s">
        <v>3838</v>
      </c>
      <c r="B3056" s="4" t="s">
        <v>3840</v>
      </c>
      <c r="C3056" s="5" t="str">
        <f>IFERROR(__xludf.DUMMYFUNCTION("GOOGLETRANSLATE(B3056,""en"",""de"")"),"Sie beginnt mit einem Werkzeug die Katzennägel zu schneiden.")</f>
        <v>Sie beginnt mit einem Werkzeug die Katzennägel zu schneiden.</v>
      </c>
    </row>
    <row r="3057">
      <c r="A3057" s="4" t="s">
        <v>3838</v>
      </c>
      <c r="B3057" s="4" t="s">
        <v>3841</v>
      </c>
      <c r="C3057" s="5" t="str">
        <f>IFERROR(__xludf.DUMMYFUNCTION("GOOGLETRANSLATE(B3057,""en"",""de"")"),"Sie beendet und streichelt die Katze.")</f>
        <v>Sie beendet und streichelt die Katze.</v>
      </c>
    </row>
    <row r="3058">
      <c r="A3058" s="4" t="s">
        <v>3842</v>
      </c>
      <c r="B3058" s="4" t="s">
        <v>3843</v>
      </c>
      <c r="C3058" s="5" t="str">
        <f>IFERROR(__xludf.DUMMYFUNCTION("GOOGLETRANSLATE(B3058,""en"",""de"")"),"Ein Mann und ein Junge machen eine Sandburg am Strand.")</f>
        <v>Ein Mann und ein Junge machen eine Sandburg am Strand.</v>
      </c>
    </row>
    <row r="3059">
      <c r="A3059" s="4" t="s">
        <v>3842</v>
      </c>
      <c r="B3059" s="4" t="s">
        <v>3844</v>
      </c>
      <c r="C3059" s="5" t="str">
        <f>IFERROR(__xludf.DUMMYFUNCTION("GOOGLETRANSLATE(B3059,""en"",""de"")"),"Die Leute nähern sich, um das Schloss zu beobachten und als nächstes ein kleines Haus zur Sandburg zu machen.")</f>
        <v>Die Leute nähern sich, um das Schloss zu beobachten und als nächstes ein kleines Haus zur Sandburg zu machen.</v>
      </c>
    </row>
    <row r="3060">
      <c r="A3060" s="4" t="s">
        <v>3842</v>
      </c>
      <c r="B3060" s="4" t="s">
        <v>3845</v>
      </c>
      <c r="C3060" s="5" t="str">
        <f>IFERROR(__xludf.DUMMYFUNCTION("GOOGLETRANSLATE(B3060,""en"",""de"")"),"Ein kleines Mädchen macht neben der Burg mehr Häuser.")</f>
        <v>Ein kleines Mädchen macht neben der Burg mehr Häuser.</v>
      </c>
    </row>
    <row r="3061">
      <c r="A3061" s="4" t="s">
        <v>3842</v>
      </c>
      <c r="B3061" s="4" t="s">
        <v>3846</v>
      </c>
      <c r="C3061" s="5" t="str">
        <f>IFERROR(__xludf.DUMMYFUNCTION("GOOGLETRANSLATE(B3061,""en"",""de"")"),"Der Mann gräbt ein Loch in der Mitte, während der Junge hilft, das Schloss auszudehnen.")</f>
        <v>Der Mann gräbt ein Loch in der Mitte, während der Junge hilft, das Schloss auszudehnen.</v>
      </c>
    </row>
    <row r="3062">
      <c r="A3062" s="4" t="s">
        <v>3847</v>
      </c>
      <c r="B3062" s="4" t="s">
        <v>3848</v>
      </c>
      <c r="C3062" s="5" t="str">
        <f>IFERROR(__xludf.DUMMYFUNCTION("GOOGLETRANSLATE(B3062,""en"",""de"")"),"Eine Frau geht auf der Straße mit einer Mütze.")</f>
        <v>Eine Frau geht auf der Straße mit einer Mütze.</v>
      </c>
    </row>
    <row r="3063">
      <c r="A3063" s="4" t="s">
        <v>3847</v>
      </c>
      <c r="B3063" s="4" t="s">
        <v>3849</v>
      </c>
      <c r="C3063" s="5" t="str">
        <f>IFERROR(__xludf.DUMMYFUNCTION("GOOGLETRANSLATE(B3063,""en"",""de"")"),"Eine Stadt wird in einer Karte zoomen, dann führt ein Mädchen einen Wasserhimmel in einem Fluss durch, der von einem Boot gezogen wird, während er in die Luft flippt.")</f>
        <v>Eine Stadt wird in einer Karte zoomen, dann führt ein Mädchen einen Wasserhimmel in einem Fluss durch, der von einem Boot gezogen wird, während er in die Luft flippt.</v>
      </c>
    </row>
    <row r="3064">
      <c r="A3064" s="4" t="s">
        <v>3847</v>
      </c>
      <c r="B3064" s="4" t="s">
        <v>3850</v>
      </c>
      <c r="C3064" s="5" t="str">
        <f>IFERROR(__xludf.DUMMYFUNCTION("GOOGLETRANSLATE(B3064,""en"",""de"")"),"Eine Straße führt zu einer Wasserski -Station, dann gleitet eine Frau auf Rampen im Wasser mit einem Wasserski -Seil.")</f>
        <v>Eine Straße führt zu einer Wasserski -Station, dann gleitet eine Frau auf Rampen im Wasser mit einem Wasserski -Seil.</v>
      </c>
    </row>
    <row r="3065">
      <c r="A3065" s="4" t="s">
        <v>3847</v>
      </c>
      <c r="B3065" s="4" t="s">
        <v>3851</v>
      </c>
      <c r="C3065" s="5" t="str">
        <f>IFERROR(__xludf.DUMMYFUNCTION("GOOGLETRANSLATE(B3065,""en"",""de"")"),"Ein Mann fotografiert dem Mädchen.")</f>
        <v>Ein Mann fotografiert dem Mädchen.</v>
      </c>
    </row>
    <row r="3066">
      <c r="A3066" s="4" t="s">
        <v>3847</v>
      </c>
      <c r="B3066" s="4" t="s">
        <v>3852</v>
      </c>
      <c r="C3066" s="5" t="str">
        <f>IFERROR(__xludf.DUMMYFUNCTION("GOOGLETRANSLATE(B3066,""en"",""de"")"),"Dann wechselt das Mädchen Kleidung und steht auf einem Lastwagen mit Preisen.")</f>
        <v>Dann wechselt das Mädchen Kleidung und steht auf einem Lastwagen mit Preisen.</v>
      </c>
    </row>
    <row r="3067">
      <c r="A3067" s="4" t="s">
        <v>3853</v>
      </c>
      <c r="B3067" s="4" t="s">
        <v>3854</v>
      </c>
      <c r="C3067" s="5" t="str">
        <f>IFERROR(__xludf.DUMMYFUNCTION("GOOGLETRANSLATE(B3067,""en"",""de"")"),"Frau steht in einer Rennstrecke und rennt an, um einen Weitsprung zu machen.")</f>
        <v>Frau steht in einer Rennstrecke und rennt an, um einen Weitsprung zu machen.</v>
      </c>
    </row>
    <row r="3068">
      <c r="A3068" s="4" t="s">
        <v>3853</v>
      </c>
      <c r="B3068" s="4" t="s">
        <v>3855</v>
      </c>
      <c r="C3068" s="5" t="str">
        <f>IFERROR(__xludf.DUMMYFUNCTION("GOOGLETRANSLATE(B3068,""en"",""de"")"),"Der Mann steht und markiert den Raum, in dem die Frau gesprungen ist.")</f>
        <v>Der Mann steht und markiert den Raum, in dem die Frau gesprungen ist.</v>
      </c>
    </row>
    <row r="3069">
      <c r="A3069" s="4" t="s">
        <v>3853</v>
      </c>
      <c r="B3069" s="4" t="s">
        <v>3856</v>
      </c>
      <c r="C3069" s="5" t="str">
        <f>IFERROR(__xludf.DUMMYFUNCTION("GOOGLETRANSLATE(B3069,""en"",""de"")"),"Der Weitsprung wird wiederholt und eine neue Frau läuft in der Rennstrecke, um den Weitsprung auch zu machen, und ein Mann sitzt auf Steigung einer Whie -Flagge.")</f>
        <v>Der Weitsprung wird wiederholt und eine neue Frau läuft in der Rennstrecke, um den Weitsprung auch zu machen, und ein Mann sitzt auf Steigung einer Whie -Flagge.</v>
      </c>
    </row>
    <row r="3070">
      <c r="A3070" s="4" t="s">
        <v>3853</v>
      </c>
      <c r="B3070" s="4" t="s">
        <v>3857</v>
      </c>
      <c r="C3070" s="5" t="str">
        <f>IFERROR(__xludf.DUMMYFUNCTION("GOOGLETRANSLATE(B3070,""en"",""de"")"),"Frau ist in Race Trakc, während andere Männer im Hintergrund sind und die Frau den Weitsprung in der Konkurrenz macht, und dann wird eine Wiederholung entlang der Ergebnisse gezeigt.")</f>
        <v>Frau ist in Race Trakc, während andere Männer im Hintergrund sind und die Frau den Weitsprung in der Konkurrenz macht, und dann wird eine Wiederholung entlang der Ergebnisse gezeigt.</v>
      </c>
    </row>
    <row r="3071">
      <c r="A3071" s="4" t="s">
        <v>3858</v>
      </c>
      <c r="B3071" s="4" t="s">
        <v>3859</v>
      </c>
      <c r="C3071" s="5" t="str">
        <f>IFERROR(__xludf.DUMMYFUNCTION("GOOGLETRANSLATE(B3071,""en"",""de"")"),"Wir sehen einen Öffnungsbildschirm.")</f>
        <v>Wir sehen einen Öffnungsbildschirm.</v>
      </c>
    </row>
    <row r="3072">
      <c r="A3072" s="4" t="s">
        <v>3858</v>
      </c>
      <c r="B3072" s="4" t="s">
        <v>3860</v>
      </c>
      <c r="C3072" s="5" t="str">
        <f>IFERROR(__xludf.DUMMYFUNCTION("GOOGLETRANSLATE(B3072,""en"",""de"")"),"Wir sehen einen Mann, der ein Vakuum hält und das Vakuum benutzt, um zwei Bowlingkugeln zu halten.")</f>
        <v>Wir sehen einen Mann, der ein Vakuum hält und das Vakuum benutzt, um zwei Bowlingkugeln zu halten.</v>
      </c>
    </row>
    <row r="3073">
      <c r="A3073" s="4" t="s">
        <v>3858</v>
      </c>
      <c r="B3073" s="4" t="s">
        <v>3861</v>
      </c>
      <c r="C3073" s="5" t="str">
        <f>IFERROR(__xludf.DUMMYFUNCTION("GOOGLETRANSLATE(B3073,""en"",""de"")"),"Der Mann sehnt Treppen und ein Auto -Interieur.")</f>
        <v>Der Mann sehnt Treppen und ein Auto -Interieur.</v>
      </c>
    </row>
    <row r="3074">
      <c r="A3074" s="4" t="s">
        <v>3858</v>
      </c>
      <c r="B3074" s="4" t="s">
        <v>3862</v>
      </c>
      <c r="C3074" s="5" t="str">
        <f>IFERROR(__xludf.DUMMYFUNCTION("GOOGLETRANSLATE(B3074,""en"",""de"")"),"Wir sehen das Vakuum und den Mann, der die Decke, die Couch, die Jalousien und andere sauert.")</f>
        <v>Wir sehen das Vakuum und den Mann, der die Decke, die Couch, die Jalousien und andere sauert.</v>
      </c>
    </row>
    <row r="3075">
      <c r="A3075" s="4" t="s">
        <v>3858</v>
      </c>
      <c r="B3075" s="4" t="s">
        <v>3863</v>
      </c>
      <c r="C3075" s="5" t="str">
        <f>IFERROR(__xludf.DUMMYFUNCTION("GOOGLETRANSLATE(B3075,""en"",""de"")"),"Wir sehen, dass der Mann den Kanister leeren und das Vakuum in einen Schrank legen.")</f>
        <v>Wir sehen, dass der Mann den Kanister leeren und das Vakuum in einen Schrank legen.</v>
      </c>
    </row>
    <row r="3076">
      <c r="A3076" s="4" t="s">
        <v>3864</v>
      </c>
      <c r="B3076" s="4" t="s">
        <v>3865</v>
      </c>
      <c r="C3076" s="5" t="str">
        <f>IFERROR(__xludf.DUMMYFUNCTION("GOOGLETRANSLATE(B3076,""en"",""de"")"),"Es gibt zwei junge Jungen, die in einem roten Hemd und das andere in einem gestreiften Hemd in einer Kegelbahn gekleidet sind.")</f>
        <v>Es gibt zwei junge Jungen, die in einem roten Hemd und das andere in einem gestreiften Hemd in einer Kegelbahn gekleidet sind.</v>
      </c>
    </row>
    <row r="3077">
      <c r="A3077" s="4" t="s">
        <v>3864</v>
      </c>
      <c r="B3077" s="4" t="s">
        <v>3866</v>
      </c>
      <c r="C3077" s="5" t="str">
        <f>IFERROR(__xludf.DUMMYFUNCTION("GOOGLETRANSLATE(B3077,""en"",""de"")"),"Der Junge in den roten Hemdschalen mit einem großen grünen Ball und schlägt einen Streik.")</f>
        <v>Der Junge in den roten Hemdschalen mit einem großen grünen Ball und schlägt einen Streik.</v>
      </c>
    </row>
    <row r="3078">
      <c r="A3078" s="4" t="s">
        <v>3864</v>
      </c>
      <c r="B3078" s="4" t="s">
        <v>3867</v>
      </c>
      <c r="C3078" s="5" t="str">
        <f>IFERROR(__xludf.DUMMYFUNCTION("GOOGLETRANSLATE(B3078,""en"",""de"")"),"Er ist begeistert nach seinem Sieg und beginnt vor Freude zu springen.")</f>
        <v>Er ist begeistert nach seinem Sieg und beginnt vor Freude zu springen.</v>
      </c>
    </row>
    <row r="3079">
      <c r="A3079" s="4" t="s">
        <v>3868</v>
      </c>
      <c r="B3079" s="4" t="s">
        <v>3869</v>
      </c>
      <c r="C3079" s="5" t="str">
        <f>IFERROR(__xludf.DUMMYFUNCTION("GOOGLETRANSLATE(B3079,""en"",""de"")"),"Eine Frau tanzt auf einer Bühne.")</f>
        <v>Eine Frau tanzt auf einer Bühne.</v>
      </c>
    </row>
    <row r="3080">
      <c r="A3080" s="4" t="s">
        <v>3868</v>
      </c>
      <c r="B3080" s="4" t="s">
        <v>3870</v>
      </c>
      <c r="C3080" s="5" t="str">
        <f>IFERROR(__xludf.DUMMYFUNCTION("GOOGLETRANSLATE(B3080,""en"",""de"")"),"Sie nimmt ein Mikrofon auf und beginnt zu singen.")</f>
        <v>Sie nimmt ein Mikrofon auf und beginnt zu singen.</v>
      </c>
    </row>
    <row r="3081">
      <c r="A3081" s="4" t="s">
        <v>3868</v>
      </c>
      <c r="B3081" s="4" t="s">
        <v>3871</v>
      </c>
      <c r="C3081" s="5" t="str">
        <f>IFERROR(__xludf.DUMMYFUNCTION("GOOGLETRANSLATE(B3081,""en"",""de"")"),"Sie beginnt eine Trommel zu spielen, die vor ihr spielt.")</f>
        <v>Sie beginnt eine Trommel zu spielen, die vor ihr spielt.</v>
      </c>
    </row>
    <row r="3082">
      <c r="A3082" s="4" t="s">
        <v>3872</v>
      </c>
      <c r="B3082" s="4" t="s">
        <v>3873</v>
      </c>
      <c r="C3082" s="5" t="str">
        <f>IFERROR(__xludf.DUMMYFUNCTION("GOOGLETRANSLATE(B3082,""en"",""de"")"),"Junge Menschen tragen aufblasbare Boote und steigen ins Wasser.")</f>
        <v>Junge Menschen tragen aufblasbare Boote und steigen ins Wasser.</v>
      </c>
    </row>
    <row r="3083">
      <c r="A3083" s="4" t="s">
        <v>3872</v>
      </c>
      <c r="B3083" s="4" t="s">
        <v>3874</v>
      </c>
      <c r="C3083" s="5" t="str">
        <f>IFERROR(__xludf.DUMMYFUNCTION("GOOGLETRANSLATE(B3083,""en"",""de"")"),"Dann liegen die jungen Leute mit dem Gesicht nach unten auf die Boote und segeln im Fluss.")</f>
        <v>Dann liegen die jungen Leute mit dem Gesicht nach unten auf die Boote und segeln im Fluss.</v>
      </c>
    </row>
    <row r="3084">
      <c r="A3084" s="4" t="s">
        <v>3872</v>
      </c>
      <c r="B3084" s="4" t="s">
        <v>3875</v>
      </c>
      <c r="C3084" s="5" t="str">
        <f>IFERROR(__xludf.DUMMYFUNCTION("GOOGLETRANSLATE(B3084,""en"",""de"")"),"Danach gehen die Männer im Wasser vor die Hand, um voranzukommen.")</f>
        <v>Danach gehen die Männer im Wasser vor die Hand, um voranzukommen.</v>
      </c>
    </row>
    <row r="3085">
      <c r="A3085" s="4" t="s">
        <v>3876</v>
      </c>
      <c r="B3085" s="4" t="s">
        <v>3877</v>
      </c>
      <c r="C3085" s="5" t="str">
        <f>IFERROR(__xludf.DUMMYFUNCTION("GOOGLETRANSLATE(B3085,""en"",""de"")"),"Eine Frau steht in ihrer Küche vor einer Theke.")</f>
        <v>Eine Frau steht in ihrer Küche vor einer Theke.</v>
      </c>
    </row>
    <row r="3086">
      <c r="A3086" s="4" t="s">
        <v>3876</v>
      </c>
      <c r="B3086" s="4" t="s">
        <v>3878</v>
      </c>
      <c r="C3086" s="5" t="str">
        <f>IFERROR(__xludf.DUMMYFUNCTION("GOOGLETRANSLATE(B3086,""en"",""de"")"),"Sie zeigt einen Teller mit Lebensmitteln und mehrere Zutaten.")</f>
        <v>Sie zeigt einen Teller mit Lebensmitteln und mehrere Zutaten.</v>
      </c>
    </row>
    <row r="3087">
      <c r="A3087" s="4" t="s">
        <v>3876</v>
      </c>
      <c r="B3087" s="4" t="s">
        <v>3879</v>
      </c>
      <c r="C3087" s="5" t="str">
        <f>IFERROR(__xludf.DUMMYFUNCTION("GOOGLETRANSLATE(B3087,""en"",""de"")"),"Sie kocht Nudeln in einem Topf und entleert es.")</f>
        <v>Sie kocht Nudeln in einem Topf und entleert es.</v>
      </c>
    </row>
    <row r="3088">
      <c r="A3088" s="4" t="s">
        <v>3876</v>
      </c>
      <c r="B3088" s="4" t="s">
        <v>3880</v>
      </c>
      <c r="C3088" s="5" t="str">
        <f>IFERROR(__xludf.DUMMYFUNCTION("GOOGLETRANSLATE(B3088,""en"",""de"")"),"Sie mischt dann Käse, Orzo und Gemüse und kreiert einen Orzo -Pasta -Salat.")</f>
        <v>Sie mischt dann Käse, Orzo und Gemüse und kreiert einen Orzo -Pasta -Salat.</v>
      </c>
    </row>
    <row r="3089">
      <c r="A3089" s="4" t="s">
        <v>3876</v>
      </c>
      <c r="B3089" s="4" t="s">
        <v>3881</v>
      </c>
      <c r="C3089" s="5" t="str">
        <f>IFERROR(__xludf.DUMMYFUNCTION("GOOGLETRANSLATE(B3089,""en"",""de"")"),"Sie nimmt einen Bissen des Essens.")</f>
        <v>Sie nimmt einen Bissen des Essens.</v>
      </c>
    </row>
    <row r="3090">
      <c r="A3090" s="4" t="s">
        <v>3882</v>
      </c>
      <c r="B3090" s="4" t="s">
        <v>3883</v>
      </c>
      <c r="C3090" s="5" t="str">
        <f>IFERROR(__xludf.DUMMYFUNCTION("GOOGLETRANSLATE(B3090,""en"",""de"")"),"Eine Frau und ein Kind waschen Geschirr im Dreck.")</f>
        <v>Eine Frau und ein Kind waschen Geschirr im Dreck.</v>
      </c>
    </row>
    <row r="3091">
      <c r="A3091" s="4" t="s">
        <v>3882</v>
      </c>
      <c r="B3091" s="4" t="s">
        <v>3884</v>
      </c>
      <c r="C3091" s="5" t="str">
        <f>IFERROR(__xludf.DUMMYFUNCTION("GOOGLETRANSLATE(B3091,""en"",""de"")"),"Das kleine Mädchen geht weg.")</f>
        <v>Das kleine Mädchen geht weg.</v>
      </c>
    </row>
    <row r="3092">
      <c r="A3092" s="4" t="s">
        <v>3882</v>
      </c>
      <c r="B3092" s="4" t="s">
        <v>3885</v>
      </c>
      <c r="C3092" s="5" t="str">
        <f>IFERROR(__xludf.DUMMYFUNCTION("GOOGLETRANSLATE(B3092,""en"",""de"")"),"Die Dame spült ihr Gerichte und setzt sie in ein Regal.")</f>
        <v>Die Dame spült ihr Gerichte und setzt sie in ein Regal.</v>
      </c>
    </row>
    <row r="3093">
      <c r="A3093" s="4" t="s">
        <v>3882</v>
      </c>
      <c r="B3093" s="4" t="s">
        <v>3886</v>
      </c>
      <c r="C3093" s="5" t="str">
        <f>IFERROR(__xludf.DUMMYFUNCTION("GOOGLETRANSLATE(B3093,""en"",""de"")"),"Wir sehen die Jungen hinter der Dame stehen.")</f>
        <v>Wir sehen die Jungen hinter der Dame stehen.</v>
      </c>
    </row>
    <row r="3094">
      <c r="A3094" s="4" t="s">
        <v>3882</v>
      </c>
      <c r="B3094" s="4" t="s">
        <v>3887</v>
      </c>
      <c r="C3094" s="5" t="str">
        <f>IFERROR(__xludf.DUMMYFUNCTION("GOOGLETRANSLATE(B3094,""en"",""de"")"),"Wir sehen das Regal und das Geschirr.")</f>
        <v>Wir sehen das Regal und das Geschirr.</v>
      </c>
    </row>
    <row r="3095">
      <c r="A3095" s="4" t="s">
        <v>3882</v>
      </c>
      <c r="B3095" s="4" t="s">
        <v>3888</v>
      </c>
      <c r="C3095" s="5" t="str">
        <f>IFERROR(__xludf.DUMMYFUNCTION("GOOGLETRANSLATE(B3095,""en"",""de"")"),"Wir sehen dann den Bildschirm ""Abschlusskredite"".")</f>
        <v>Wir sehen dann den Bildschirm "Abschlusskredite".</v>
      </c>
    </row>
    <row r="3096">
      <c r="A3096" s="4" t="s">
        <v>3889</v>
      </c>
      <c r="B3096" s="4" t="s">
        <v>3890</v>
      </c>
      <c r="C3096" s="5" t="str">
        <f>IFERROR(__xludf.DUMMYFUNCTION("GOOGLETRANSLATE(B3096,""en"",""de"")"),"Eine Gruppe von Menschen steht hinter einem Meister -Yogi.")</f>
        <v>Eine Gruppe von Menschen steht hinter einem Meister -Yogi.</v>
      </c>
    </row>
    <row r="3097">
      <c r="A3097" s="4" t="s">
        <v>3889</v>
      </c>
      <c r="B3097" s="4" t="s">
        <v>3891</v>
      </c>
      <c r="C3097" s="5" t="str">
        <f>IFERROR(__xludf.DUMMYFUNCTION("GOOGLETRANSLATE(B3097,""en"",""de"")"),"Er weist sie in Position an, bevor er sie in Yoga führt.")</f>
        <v>Er weist sie in Position an, bevor er sie in Yoga führt.</v>
      </c>
    </row>
    <row r="3098">
      <c r="A3098" s="4" t="s">
        <v>3889</v>
      </c>
      <c r="B3098" s="4" t="s">
        <v>3892</v>
      </c>
      <c r="C3098" s="5" t="str">
        <f>IFERROR(__xludf.DUMMYFUNCTION("GOOGLETRANSLATE(B3098,""en"",""de"")"),"Sie führen langsam und anmutig mehrere Bewegungen durch.")</f>
        <v>Sie führen langsam und anmutig mehrere Bewegungen durch.</v>
      </c>
    </row>
    <row r="3099">
      <c r="A3099" s="4" t="s">
        <v>3893</v>
      </c>
      <c r="B3099" s="4" t="s">
        <v>3894</v>
      </c>
      <c r="C3099" s="5" t="str">
        <f>IFERROR(__xludf.DUMMYFUNCTION("GOOGLETRANSLATE(B3099,""en"",""de"")"),"Ein Mann sitzt im Wasser in einem Kajak, der mit der Kamera spricht.")</f>
        <v>Ein Mann sitzt im Wasser in einem Kajak, der mit der Kamera spricht.</v>
      </c>
    </row>
    <row r="3100">
      <c r="A3100" s="4" t="s">
        <v>3893</v>
      </c>
      <c r="B3100" s="4" t="s">
        <v>3895</v>
      </c>
      <c r="C3100" s="5" t="str">
        <f>IFERROR(__xludf.DUMMYFUNCTION("GOOGLETRANSLATE(B3100,""en"",""de"")"),"Der Mann spricht weiter, während er ein Paddel in seinen Händen hält.")</f>
        <v>Der Mann spricht weiter, während er ein Paddel in seinen Händen hält.</v>
      </c>
    </row>
    <row r="3101">
      <c r="A3101" s="4" t="s">
        <v>3893</v>
      </c>
      <c r="B3101" s="4" t="s">
        <v>3896</v>
      </c>
      <c r="C3101" s="5" t="str">
        <f>IFERROR(__xludf.DUMMYFUNCTION("GOOGLETRANSLATE(B3101,""en"",""de"")"),"Er bewegt sich ein wenig im Wasser und führt in ihn und paddelt am Wasser.")</f>
        <v>Er bewegt sich ein wenig im Wasser und führt in ihn und paddelt am Wasser.</v>
      </c>
    </row>
    <row r="3102">
      <c r="A3102" s="4" t="s">
        <v>3897</v>
      </c>
      <c r="B3102" s="4" t="s">
        <v>3898</v>
      </c>
      <c r="C3102" s="5" t="str">
        <f>IFERROR(__xludf.DUMMYFUNCTION("GOOGLETRANSLATE(B3102,""en"",""de"")"),"Eine Frau erklärt, wie man einen Kuchen in einer Küche macht, dann steckt sie vier Eier und Zucker in eine Schüssel und schlägt mit einem Elektromixer und fügt weitere Zutaten hinzu, um eine nasse Mischung zu bilden.")</f>
        <v>Eine Frau erklärt, wie man einen Kuchen in einer Küche macht, dann steckt sie vier Eier und Zucker in eine Schüssel und schlägt mit einem Elektromixer und fügt weitere Zutaten hinzu, um eine nasse Mischung zu bilden.</v>
      </c>
    </row>
    <row r="3103">
      <c r="A3103" s="4" t="s">
        <v>3897</v>
      </c>
      <c r="B3103" s="4" t="s">
        <v>3899</v>
      </c>
      <c r="C3103" s="5" t="str">
        <f>IFERROR(__xludf.DUMMYFUNCTION("GOOGLETRANSLATE(B3103,""en"",""de"")"),"Die Frau legt Feststoffe in eine große Schüssel und fügt dann die nasse Mischung, Öl und Milch hinzu und mischt dann mit einem Spatel.")</f>
        <v>Die Frau legt Feststoffe in eine große Schüssel und fügt dann die nasse Mischung, Öl und Milch hinzu und mischt dann mit einem Spatel.</v>
      </c>
    </row>
    <row r="3104">
      <c r="A3104" s="4" t="s">
        <v>3897</v>
      </c>
      <c r="B3104" s="4" t="s">
        <v>3900</v>
      </c>
      <c r="C3104" s="5" t="str">
        <f>IFERROR(__xludf.DUMMYFUNCTION("GOOGLETRANSLATE(B3104,""en"",""de"")"),"Danach steckt die Frau die Mischung in eine gefettete Backform und macht einen Sirup mit Orangensaft in einen Topf.")</f>
        <v>Danach steckt die Frau die Mischung in eine gefettete Backform und macht einen Sirup mit Orangensaft in einen Topf.</v>
      </c>
    </row>
    <row r="3105">
      <c r="A3105" s="4" t="s">
        <v>3897</v>
      </c>
      <c r="B3105" s="4" t="s">
        <v>3901</v>
      </c>
      <c r="C3105" s="5" t="str">
        <f>IFERROR(__xludf.DUMMYFUNCTION("GOOGLETRANSLATE(B3105,""en"",""de"")"),"Als nächstes legte sie den Backkuchen auf ein Gericht und legte Sirup darauf.")</f>
        <v>Als nächstes legte sie den Backkuchen auf ein Gericht und legte Sirup darauf.</v>
      </c>
    </row>
    <row r="3106">
      <c r="A3106" s="4" t="s">
        <v>3902</v>
      </c>
      <c r="B3106" s="4" t="s">
        <v>3903</v>
      </c>
      <c r="C3106" s="5" t="str">
        <f>IFERROR(__xludf.DUMMYFUNCTION("GOOGLETRANSLATE(B3106,""en"",""de"")"),"Ein älterer Mann steht in einem kleinen Raum und putzt eine Decke, an der er in der Mitte des Raumes beginnt.")</f>
        <v>Ein älterer Mann steht in einem kleinen Raum und putzt eine Decke, an der er in der Mitte des Raumes beginnt.</v>
      </c>
    </row>
    <row r="3107">
      <c r="A3107" s="4" t="s">
        <v>3902</v>
      </c>
      <c r="B3107" s="4" t="s">
        <v>3904</v>
      </c>
      <c r="C3107" s="5" t="str">
        <f>IFERROR(__xludf.DUMMYFUNCTION("GOOGLETRANSLATE(B3107,""en"",""de"")"),"Dann bewegt er sich nach links und beginnt in der Ecke der Decke zu putzen.")</f>
        <v>Dann bewegt er sich nach links und beginnt in der Ecke der Decke zu putzen.</v>
      </c>
    </row>
    <row r="3108">
      <c r="A3108" s="4" t="s">
        <v>3902</v>
      </c>
      <c r="B3108" s="4" t="s">
        <v>3905</v>
      </c>
      <c r="C3108" s="5" t="str">
        <f>IFERROR(__xludf.DUMMYFUNCTION("GOOGLETRANSLATE(B3108,""en"",""de"")"),"Der Mann hört dann auf, zu pflanzen, und während er immer noch spricht, tritt er in Richtung der Kamera.")</f>
        <v>Der Mann hört dann auf, zu pflanzen, und während er immer noch spricht, tritt er in Richtung der Kamera.</v>
      </c>
    </row>
    <row r="3109">
      <c r="A3109" s="4" t="s">
        <v>3906</v>
      </c>
      <c r="B3109" s="4" t="s">
        <v>3907</v>
      </c>
      <c r="C3109" s="5" t="str">
        <f>IFERROR(__xludf.DUMMYFUNCTION("GOOGLETRANSLATE(B3109,""en"",""de"")"),"Ein Mann mit einem orangefarbenen Hemd und einem schwarzen Hut mit Brille steht draußen vor einem grünen Baum.")</f>
        <v>Ein Mann mit einem orangefarbenen Hemd und einem schwarzen Hut mit Brille steht draußen vor einem grünen Baum.</v>
      </c>
    </row>
    <row r="3110">
      <c r="A3110" s="4" t="s">
        <v>3906</v>
      </c>
      <c r="B3110" s="4" t="s">
        <v>3908</v>
      </c>
      <c r="C3110" s="5" t="str">
        <f>IFERROR(__xludf.DUMMYFUNCTION("GOOGLETRANSLATE(B3110,""en"",""de"")"),"Ein Rasen wird gezeigt und dann beginnt der Mann, seinen Rasen zu mähen.")</f>
        <v>Ein Rasen wird gezeigt und dann beginnt der Mann, seinen Rasen zu mähen.</v>
      </c>
    </row>
    <row r="3111">
      <c r="A3111" s="4" t="s">
        <v>3906</v>
      </c>
      <c r="B3111" s="4" t="s">
        <v>3909</v>
      </c>
      <c r="C3111" s="5" t="str">
        <f>IFERROR(__xludf.DUMMYFUNCTION("GOOGLETRANSLATE(B3111,""en"",""de"")"),"Sobald der Mann fertig ist, kommt er zur Kamera zurück und beginnt zu reden.")</f>
        <v>Sobald der Mann fertig ist, kommt er zur Kamera zurück und beginnt zu reden.</v>
      </c>
    </row>
    <row r="3112">
      <c r="A3112" s="4" t="s">
        <v>3910</v>
      </c>
      <c r="B3112" s="4" t="s">
        <v>3911</v>
      </c>
      <c r="C3112" s="5" t="str">
        <f>IFERROR(__xludf.DUMMYFUNCTION("GOOGLETRANSLATE(B3112,""en"",""de"")"),"Ein Mann, der mit Gemüse hinter einem Hackbrett steht oder sitzt.")</f>
        <v>Ein Mann, der mit Gemüse hinter einem Hackbrett steht oder sitzt.</v>
      </c>
    </row>
    <row r="3113">
      <c r="A3113" s="4" t="s">
        <v>3910</v>
      </c>
      <c r="B3113" s="4" t="s">
        <v>3912</v>
      </c>
      <c r="C3113" s="5" t="str">
        <f>IFERROR(__xludf.DUMMYFUNCTION("GOOGLETRANSLATE(B3113,""en"",""de"")"),"Der Mann spricht mit der Kamera und zeigt das Messer auf die Kamera.")</f>
        <v>Der Mann spricht mit der Kamera und zeigt das Messer auf die Kamera.</v>
      </c>
    </row>
    <row r="3114">
      <c r="A3114" s="4" t="s">
        <v>3910</v>
      </c>
      <c r="B3114" s="4" t="s">
        <v>3913</v>
      </c>
      <c r="C3114" s="5" t="str">
        <f>IFERROR(__xludf.DUMMYFUNCTION("GOOGLETRANSLATE(B3114,""en"",""de"")"),"Der Mann schüttelt verschiedene Arten von Gegenständen auf dem Hackkarton mit dem Messer in Sped -Up -Video.")</f>
        <v>Der Mann schüttelt verschiedene Arten von Gegenständen auf dem Hackkarton mit dem Messer in Sped -Up -Video.</v>
      </c>
    </row>
    <row r="3115">
      <c r="A3115" s="4" t="s">
        <v>3910</v>
      </c>
      <c r="B3115" s="4" t="s">
        <v>3914</v>
      </c>
      <c r="C3115" s="5" t="str">
        <f>IFERROR(__xludf.DUMMYFUNCTION("GOOGLETRANSLATE(B3115,""en"",""de"")"),"Der Mann entfernt das Messer und manipuliert die Behälter der Zutaten um ihn herum.")</f>
        <v>Der Mann entfernt das Messer und manipuliert die Behälter der Zutaten um ihn herum.</v>
      </c>
    </row>
    <row r="3116">
      <c r="A3116" s="4" t="s">
        <v>3910</v>
      </c>
      <c r="B3116" s="4" t="s">
        <v>3915</v>
      </c>
      <c r="C3116" s="5" t="str">
        <f>IFERROR(__xludf.DUMMYFUNCTION("GOOGLETRANSLATE(B3116,""en"",""de"")"),"Der Mann spricht das Messer erneut aus und nimmt das Hacken wieder auf.")</f>
        <v>Der Mann spricht das Messer erneut aus und nimmt das Hacken wieder auf.</v>
      </c>
    </row>
    <row r="3117">
      <c r="A3117" s="4" t="s">
        <v>3910</v>
      </c>
      <c r="B3117" s="4" t="s">
        <v>3916</v>
      </c>
      <c r="C3117" s="5" t="str">
        <f>IFERROR(__xludf.DUMMYFUNCTION("GOOGLETRANSLATE(B3117,""en"",""de"")"),"Der Mann entfernt das Messer und manipuliert die Zutaten um ihn herum wieder.")</f>
        <v>Der Mann entfernt das Messer und manipuliert die Zutaten um ihn herum wieder.</v>
      </c>
    </row>
    <row r="3118">
      <c r="A3118" s="4" t="s">
        <v>3910</v>
      </c>
      <c r="B3118" s="4" t="s">
        <v>3917</v>
      </c>
      <c r="C3118" s="5" t="str">
        <f>IFERROR(__xludf.DUMMYFUNCTION("GOOGLETRANSLATE(B3118,""en"",""de"")"),"Der Mann spricht das Messer erneut aus und nimmt wieder das Hacken wieder auf.")</f>
        <v>Der Mann spricht das Messer erneut aus und nimmt wieder das Hacken wieder auf.</v>
      </c>
    </row>
    <row r="3119">
      <c r="A3119" s="4" t="s">
        <v>3910</v>
      </c>
      <c r="B3119" s="4" t="s">
        <v>3918</v>
      </c>
      <c r="C3119" s="5" t="str">
        <f>IFERROR(__xludf.DUMMYFUNCTION("GOOGLETRANSLATE(B3119,""en"",""de"")"),"Der Mann entfernt das Messer und räumt seinen Arbeitsbereich auf.")</f>
        <v>Der Mann entfernt das Messer und räumt seinen Arbeitsbereich auf.</v>
      </c>
    </row>
    <row r="3120">
      <c r="A3120" s="4" t="s">
        <v>3919</v>
      </c>
      <c r="B3120" s="4" t="s">
        <v>3920</v>
      </c>
      <c r="C3120" s="5" t="str">
        <f>IFERROR(__xludf.DUMMYFUNCTION("GOOGLETRANSLATE(B3120,""en"",""de"")"),"Eine Frau macht sich zu Bungee -Sprung aus einem Seilbahn.")</f>
        <v>Eine Frau macht sich zu Bungee -Sprung aus einem Seilbahn.</v>
      </c>
    </row>
    <row r="3121">
      <c r="A3121" s="4" t="s">
        <v>3919</v>
      </c>
      <c r="B3121" s="4" t="s">
        <v>3921</v>
      </c>
      <c r="C3121" s="5" t="str">
        <f>IFERROR(__xludf.DUMMYFUNCTION("GOOGLETRANSLATE(B3121,""en"",""de"")"),"Sie ist von zwei Männern in gelben Hemden umgeben.")</f>
        <v>Sie ist von zwei Männern in gelben Hemden umgeben.</v>
      </c>
    </row>
    <row r="3122">
      <c r="A3122" s="4" t="s">
        <v>3919</v>
      </c>
      <c r="B3122" s="4" t="s">
        <v>3922</v>
      </c>
      <c r="C3122" s="5" t="str">
        <f>IFERROR(__xludf.DUMMYFUNCTION("GOOGLETRANSLATE(B3122,""en"",""de"")"),"Eine der Männer hält eine Telefonkamera in der Hand, um sie auf Video aufzunehmen, während sie springt.")</f>
        <v>Eine der Männer hält eine Telefonkamera in der Hand, um sie auf Video aufzunehmen, während sie springt.</v>
      </c>
    </row>
    <row r="3123">
      <c r="A3123" s="4" t="s">
        <v>3919</v>
      </c>
      <c r="B3123" s="4" t="s">
        <v>3923</v>
      </c>
      <c r="C3123" s="5" t="str">
        <f>IFERROR(__xludf.DUMMYFUNCTION("GOOGLETRANSLATE(B3123,""en"",""de"")"),"Die Männer beginnen zu singen, um zu jubeln und sie zu springen.")</f>
        <v>Die Männer beginnen zu singen, um zu jubeln und sie zu springen.</v>
      </c>
    </row>
    <row r="3124">
      <c r="A3124" s="4" t="s">
        <v>3919</v>
      </c>
      <c r="B3124" s="4" t="s">
        <v>3924</v>
      </c>
      <c r="C3124" s="5" t="str">
        <f>IFERROR(__xludf.DUMMYFUNCTION("GOOGLETRANSLATE(B3124,""en"",""de"")"),"Nach viel zu zögern springt die Frau schließlich und hängt vom Seil.")</f>
        <v>Nach viel zu zögern springt die Frau schließlich und hängt vom Seil.</v>
      </c>
    </row>
    <row r="3125">
      <c r="A3125" s="4" t="s">
        <v>3919</v>
      </c>
      <c r="B3125" s="4" t="s">
        <v>3925</v>
      </c>
      <c r="C3125" s="5" t="str">
        <f>IFERROR(__xludf.DUMMYFUNCTION("GOOGLETRANSLATE(B3125,""en"",""de"")"),"Es gibt eine andere Frau im Seilbahn, die sich darauf vorbereitet, nach unten zu springen.")</f>
        <v>Es gibt eine andere Frau im Seilbahn, die sich darauf vorbereitet, nach unten zu springen.</v>
      </c>
    </row>
    <row r="3126">
      <c r="A3126" s="4" t="s">
        <v>3919</v>
      </c>
      <c r="B3126" s="4" t="s">
        <v>3926</v>
      </c>
      <c r="C3126" s="5" t="str">
        <f>IFERROR(__xludf.DUMMYFUNCTION("GOOGLETRANSLATE(B3126,""en"",""de"")"),"Auf der Brücke steht eine riesige Menge und schaut zum Seilbahn.")</f>
        <v>Auf der Brücke steht eine riesige Menge und schaut zum Seilbahn.</v>
      </c>
    </row>
    <row r="3127">
      <c r="A3127" s="4" t="s">
        <v>3927</v>
      </c>
      <c r="B3127" s="4" t="s">
        <v>3928</v>
      </c>
      <c r="C3127" s="5" t="str">
        <f>IFERROR(__xludf.DUMMYFUNCTION("GOOGLETRANSLATE(B3127,""en"",""de"")"),"Ein Junge sitzt auf einem Felsen, bevor er an einer Küste entlang geht.")</f>
        <v>Ein Junge sitzt auf einem Felsen, bevor er an einer Küste entlang geht.</v>
      </c>
    </row>
    <row r="3128">
      <c r="A3128" s="4" t="s">
        <v>3927</v>
      </c>
      <c r="B3128" s="4" t="s">
        <v>3929</v>
      </c>
      <c r="C3128" s="5" t="str">
        <f>IFERROR(__xludf.DUMMYFUNCTION("GOOGLETRANSLATE(B3128,""en"",""de"")"),"Der junge Mann reitet sein Skateboard hinunter Hügel um eine Strandstadt.")</f>
        <v>Der junge Mann reitet sein Skateboard hinunter Hügel um eine Strandstadt.</v>
      </c>
    </row>
    <row r="3129">
      <c r="A3129" s="4" t="s">
        <v>3927</v>
      </c>
      <c r="B3129" s="4" t="s">
        <v>3930</v>
      </c>
      <c r="C3129" s="5" t="str">
        <f>IFERROR(__xludf.DUMMYFUNCTION("GOOGLETRANSLATE(B3129,""en"",""de"")"),"Die Jungen gehen in ein lokales Restaurant, um zu essen.")</f>
        <v>Die Jungen gehen in ein lokales Restaurant, um zu essen.</v>
      </c>
    </row>
    <row r="3130">
      <c r="A3130" s="4" t="s">
        <v>3927</v>
      </c>
      <c r="B3130" s="4" t="s">
        <v>3931</v>
      </c>
      <c r="C3130" s="5" t="str">
        <f>IFERROR(__xludf.DUMMYFUNCTION("GOOGLETRANSLATE(B3130,""en"",""de"")"),"Der Hafen ist zu sehen und der junge Mann geht bei Sonnenuntergang eine Bahngleise hinunter.")</f>
        <v>Der Hafen ist zu sehen und der junge Mann geht bei Sonnenuntergang eine Bahngleise hinunter.</v>
      </c>
    </row>
    <row r="3131">
      <c r="A3131" s="4" t="s">
        <v>3932</v>
      </c>
      <c r="B3131" s="4" t="s">
        <v>3933</v>
      </c>
      <c r="C3131" s="5" t="str">
        <f>IFERROR(__xludf.DUMMYFUNCTION("GOOGLETRANSLATE(B3131,""en"",""de"")"),"Eine Gruppe von Menschen schwimmt in einem großen Innenpool.")</f>
        <v>Eine Gruppe von Menschen schwimmt in einem großen Innenpool.</v>
      </c>
    </row>
    <row r="3132">
      <c r="A3132" s="4" t="s">
        <v>3932</v>
      </c>
      <c r="B3132" s="4" t="s">
        <v>3934</v>
      </c>
      <c r="C3132" s="5" t="str">
        <f>IFERROR(__xludf.DUMMYFUNCTION("GOOGLETRANSLATE(B3132,""en"",""de"")"),"Sie schwimmen Runden hin und her, während sie gehen.")</f>
        <v>Sie schwimmen Runden hin und her, während sie gehen.</v>
      </c>
    </row>
    <row r="3133">
      <c r="A3133" s="4" t="s">
        <v>3932</v>
      </c>
      <c r="B3133" s="4" t="s">
        <v>3935</v>
      </c>
      <c r="C3133" s="5" t="str">
        <f>IFERROR(__xludf.DUMMYFUNCTION("GOOGLETRANSLATE(B3133,""en"",""de"")"),"Sie versuchen, am schnellsten auf die andere Seite zu kommen.")</f>
        <v>Sie versuchen, am schnellsten auf die andere Seite zu kommen.</v>
      </c>
    </row>
    <row r="3134">
      <c r="A3134" s="4" t="s">
        <v>3936</v>
      </c>
      <c r="B3134" s="4" t="s">
        <v>3937</v>
      </c>
      <c r="C3134" s="5" t="str">
        <f>IFERROR(__xludf.DUMMYFUNCTION("GOOGLETRANSLATE(B3134,""en"",""de"")"),"Ein Individuum verwendet einen Schlauch und ein dünnes Instrument, um einen Schuh zu reinigen.")</f>
        <v>Ein Individuum verwendet einen Schlauch und ein dünnes Instrument, um einen Schuh zu reinigen.</v>
      </c>
    </row>
    <row r="3135">
      <c r="A3135" s="4" t="s">
        <v>3936</v>
      </c>
      <c r="B3135" s="4" t="s">
        <v>3938</v>
      </c>
      <c r="C3135" s="5" t="str">
        <f>IFERROR(__xludf.DUMMYFUNCTION("GOOGLETRANSLATE(B3135,""en"",""de"")"),"Die Einzelperson setzt den Schuh beiseite und dreht den anderen Schuh über.")</f>
        <v>Die Einzelperson setzt den Schuh beiseite und dreht den anderen Schuh über.</v>
      </c>
    </row>
    <row r="3136">
      <c r="A3136" s="4" t="s">
        <v>3936</v>
      </c>
      <c r="B3136" s="4" t="s">
        <v>3939</v>
      </c>
      <c r="C3136" s="5" t="str">
        <f>IFERROR(__xludf.DUMMYFUNCTION("GOOGLETRANSLATE(B3136,""en"",""de"")"),"Das Individuum verwendet das dünne Gerät, um zwischen den Mustern des Schuhbodens zu graben.")</f>
        <v>Das Individuum verwendet das dünne Gerät, um zwischen den Mustern des Schuhbodens zu graben.</v>
      </c>
    </row>
    <row r="3137">
      <c r="A3137" s="4" t="s">
        <v>3940</v>
      </c>
      <c r="B3137" s="4" t="s">
        <v>3941</v>
      </c>
      <c r="C3137" s="5" t="str">
        <f>IFERROR(__xludf.DUMMYFUNCTION("GOOGLETRANSLATE(B3137,""en"",""de"")"),"Ein Mann sitzt auf einer Couch und trinkt ein Bier.")</f>
        <v>Ein Mann sitzt auf einer Couch und trinkt ein Bier.</v>
      </c>
    </row>
    <row r="3138">
      <c r="A3138" s="4" t="s">
        <v>3940</v>
      </c>
      <c r="B3138" s="4" t="s">
        <v>3942</v>
      </c>
      <c r="C3138" s="5" t="str">
        <f>IFERROR(__xludf.DUMMYFUNCTION("GOOGLETRANSLATE(B3138,""en"",""de"")"),"Er steht auf und geht aus der Tür.")</f>
        <v>Er steht auf und geht aus der Tür.</v>
      </c>
    </row>
    <row r="3139">
      <c r="A3139" s="4" t="s">
        <v>3940</v>
      </c>
      <c r="B3139" s="4" t="s">
        <v>3943</v>
      </c>
      <c r="C3139" s="5" t="str">
        <f>IFERROR(__xludf.DUMMYFUNCTION("GOOGLETRANSLATE(B3139,""en"",""de"")"),"Jemand geht in eine Küche.")</f>
        <v>Jemand geht in eine Küche.</v>
      </c>
    </row>
    <row r="3140">
      <c r="A3140" s="4" t="s">
        <v>3940</v>
      </c>
      <c r="B3140" s="4" t="s">
        <v>3944</v>
      </c>
      <c r="C3140" s="5" t="str">
        <f>IFERROR(__xludf.DUMMYFUNCTION("GOOGLETRANSLATE(B3140,""en"",""de"")"),"Sie öffnen den Kühlschrank und bekommen ein Bier.")</f>
        <v>Sie öffnen den Kühlschrank und bekommen ein Bier.</v>
      </c>
    </row>
    <row r="3141">
      <c r="A3141" s="4" t="s">
        <v>3940</v>
      </c>
      <c r="B3141" s="4" t="s">
        <v>3945</v>
      </c>
      <c r="C3141" s="5" t="str">
        <f>IFERROR(__xludf.DUMMYFUNCTION("GOOGLETRANSLATE(B3141,""en"",""de"")"),"Sie bringen es zu dem Mann im Bett.")</f>
        <v>Sie bringen es zu dem Mann im Bett.</v>
      </c>
    </row>
    <row r="3142">
      <c r="A3142" s="4" t="s">
        <v>3940</v>
      </c>
      <c r="B3142" s="4" t="s">
        <v>3946</v>
      </c>
      <c r="C3142" s="5" t="str">
        <f>IFERROR(__xludf.DUMMYFUNCTION("GOOGLETRANSLATE(B3142,""en"",""de"")"),"Er setzt sich und beginnt das Bier zu trinken.")</f>
        <v>Er setzt sich und beginnt das Bier zu trinken.</v>
      </c>
    </row>
    <row r="3143">
      <c r="A3143" s="4" t="s">
        <v>3940</v>
      </c>
      <c r="B3143" s="4" t="s">
        <v>3947</v>
      </c>
      <c r="C3143" s="5" t="str">
        <f>IFERROR(__xludf.DUMMYFUNCTION("GOOGLETRANSLATE(B3143,""en"",""de"")"),"Eine Person nimmt ein Handy auf einem Bett auf.")</f>
        <v>Eine Person nimmt ein Handy auf einem Bett auf.</v>
      </c>
    </row>
    <row r="3144">
      <c r="A3144" s="4" t="s">
        <v>3948</v>
      </c>
      <c r="B3144" s="4" t="s">
        <v>3949</v>
      </c>
      <c r="C3144" s="5" t="str">
        <f>IFERROR(__xludf.DUMMYFUNCTION("GOOGLETRANSLATE(B3144,""en"",""de"")"),"Verschiedene Aufnahmen einer Nahaufnahme eines Fahrrads und einer Person, die an verschiedenen Stellen auf das Fahrrad zeigt.")</f>
        <v>Verschiedene Aufnahmen einer Nahaufnahme eines Fahrrads und einer Person, die an verschiedenen Stellen auf das Fahrrad zeigt.</v>
      </c>
    </row>
    <row r="3145">
      <c r="A3145" s="4" t="s">
        <v>3948</v>
      </c>
      <c r="B3145" s="4" t="s">
        <v>3950</v>
      </c>
      <c r="C3145" s="5" t="str">
        <f>IFERROR(__xludf.DUMMYFUNCTION("GOOGLETRANSLATE(B3145,""en"",""de"")"),"Die Person passt das Fahrrad kontinuierlich an und schwenkt die Kamera am Ende um sie herum.")</f>
        <v>Die Person passt das Fahrrad kontinuierlich an und schwenkt die Kamera am Ende um sie herum.</v>
      </c>
    </row>
    <row r="3146">
      <c r="A3146" s="4" t="s">
        <v>3951</v>
      </c>
      <c r="B3146" s="4" t="s">
        <v>3952</v>
      </c>
      <c r="C3146" s="5" t="str">
        <f>IFERROR(__xludf.DUMMYFUNCTION("GOOGLETRANSLATE(B3146,""en"",""de"")"),"Ein Junge ist in seinem Schlafzimmer gebeugt.")</f>
        <v>Ein Junge ist in seinem Schlafzimmer gebeugt.</v>
      </c>
    </row>
    <row r="3147">
      <c r="A3147" s="4" t="s">
        <v>3951</v>
      </c>
      <c r="B3147" s="4" t="s">
        <v>3953</v>
      </c>
      <c r="C3147" s="5" t="str">
        <f>IFERROR(__xludf.DUMMYFUNCTION("GOOGLETRANSLATE(B3147,""en"",""de"")"),"Er versucht einen Schuh anzuziehen.")</f>
        <v>Er versucht einen Schuh anzuziehen.</v>
      </c>
    </row>
    <row r="3148">
      <c r="A3148" s="4" t="s">
        <v>3951</v>
      </c>
      <c r="B3148" s="4" t="s">
        <v>3954</v>
      </c>
      <c r="C3148" s="5" t="str">
        <f>IFERROR(__xludf.DUMMYFUNCTION("GOOGLETRANSLATE(B3148,""en"",""de"")"),"Er setzt sich hin und spielt mit einer kaputten Spitze.")</f>
        <v>Er setzt sich hin und spielt mit einer kaputten Spitze.</v>
      </c>
    </row>
    <row r="3149">
      <c r="A3149" s="4" t="s">
        <v>3951</v>
      </c>
      <c r="B3149" s="4" t="s">
        <v>3955</v>
      </c>
      <c r="C3149" s="5" t="str">
        <f>IFERROR(__xludf.DUMMYFUNCTION("GOOGLETRANSLATE(B3149,""en"",""de"")"),"Er arbeitet weiter mit der Schuhspitze, bis er sie binden kann.")</f>
        <v>Er arbeitet weiter mit der Schuhspitze, bis er sie binden kann.</v>
      </c>
    </row>
    <row r="3150">
      <c r="A3150" s="4" t="s">
        <v>3956</v>
      </c>
      <c r="B3150" s="4" t="s">
        <v>3957</v>
      </c>
      <c r="C3150" s="5" t="str">
        <f>IFERROR(__xludf.DUMMYFUNCTION("GOOGLETRANSLATE(B3150,""en"",""de"")"),"Ein Mann hält ein Paar Stiefel, während er redet und schmutzige Teile zeigt.")</f>
        <v>Ein Mann hält ein Paar Stiefel, während er redet und schmutzige Teile zeigt.</v>
      </c>
    </row>
    <row r="3151">
      <c r="A3151" s="4" t="s">
        <v>3956</v>
      </c>
      <c r="B3151" s="4" t="s">
        <v>3958</v>
      </c>
      <c r="C3151" s="5" t="str">
        <f>IFERROR(__xludf.DUMMYFUNCTION("GOOGLETRANSLATE(B3151,""en"",""de"")"),"Dann legte der Mann eine Kleidung in den Stiefel und bürste die Schacht des Stiefels gründlich.")</f>
        <v>Dann legte der Mann eine Kleidung in den Stiefel und bürste die Schacht des Stiefels gründlich.</v>
      </c>
    </row>
    <row r="3152">
      <c r="A3152" s="4" t="s">
        <v>3959</v>
      </c>
      <c r="B3152" s="4" t="s">
        <v>3960</v>
      </c>
      <c r="C3152" s="5" t="str">
        <f>IFERROR(__xludf.DUMMYFUNCTION("GOOGLETRANSLATE(B3152,""en"",""de"")"),"Ein Mann kniet auf einem Dach und spricht mit der Kamera.")</f>
        <v>Ein Mann kniet auf einem Dach und spricht mit der Kamera.</v>
      </c>
    </row>
    <row r="3153">
      <c r="A3153" s="4" t="s">
        <v>3959</v>
      </c>
      <c r="B3153" s="4" t="s">
        <v>3961</v>
      </c>
      <c r="C3153" s="5" t="str">
        <f>IFERROR(__xludf.DUMMYFUNCTION("GOOGLETRANSLATE(B3153,""en"",""de"")"),"Die Kamera schwenkt rund um das Dach, während der Mann sitzt und immer noch spricht.")</f>
        <v>Die Kamera schwenkt rund um das Dach, während der Mann sitzt und immer noch spricht.</v>
      </c>
    </row>
    <row r="3154">
      <c r="A3154" s="4" t="s">
        <v>3959</v>
      </c>
      <c r="B3154" s="4" t="s">
        <v>3962</v>
      </c>
      <c r="C3154" s="5" t="str">
        <f>IFERROR(__xludf.DUMMYFUNCTION("GOOGLETRANSLATE(B3154,""en"",""de"")"),"Die Kamera schwenkt rund um das Dach und zeigt den Mann, der immer noch sitzt.")</f>
        <v>Die Kamera schwenkt rund um das Dach und zeigt den Mann, der immer noch sitzt.</v>
      </c>
    </row>
    <row r="3155">
      <c r="A3155" s="4" t="s">
        <v>3963</v>
      </c>
      <c r="B3155" s="4" t="s">
        <v>3964</v>
      </c>
      <c r="C3155" s="5" t="str">
        <f>IFERROR(__xludf.DUMMYFUNCTION("GOOGLETRANSLATE(B3155,""en"",""de"")"),"Eine Frau geht und läuft dann mit einem Speer.")</f>
        <v>Eine Frau geht und läuft dann mit einem Speer.</v>
      </c>
    </row>
    <row r="3156">
      <c r="A3156" s="4" t="s">
        <v>3963</v>
      </c>
      <c r="B3156" s="4" t="s">
        <v>3965</v>
      </c>
      <c r="C3156" s="5" t="str">
        <f>IFERROR(__xludf.DUMMYFUNCTION("GOOGLETRANSLATE(B3156,""en"",""de"")"),"Sie wirft es über das Feld und landet in der Nähe ihres Ziels.")</f>
        <v>Sie wirft es über das Feld und landet in der Nähe ihres Ziels.</v>
      </c>
    </row>
    <row r="3157">
      <c r="A3157" s="4" t="s">
        <v>3963</v>
      </c>
      <c r="B3157" s="4" t="s">
        <v>3966</v>
      </c>
      <c r="C3157" s="5" t="str">
        <f>IFERROR(__xludf.DUMMYFUNCTION("GOOGLETRANSLATE(B3157,""en"",""de"")"),"Ein paar andere Teamkollegen führen auch die ACT durch, dann sehen wir das Endergebnis.")</f>
        <v>Ein paar andere Teamkollegen führen auch die ACT durch, dann sehen wir das Endergebnis.</v>
      </c>
    </row>
    <row r="3158">
      <c r="A3158" s="4" t="s">
        <v>3967</v>
      </c>
      <c r="B3158" s="4" t="s">
        <v>3968</v>
      </c>
      <c r="C3158" s="5" t="str">
        <f>IFERROR(__xludf.DUMMYFUNCTION("GOOGLETRANSLATE(B3158,""en"",""de"")"),"Ein Mann spricht vor einem Busch auf der Vorderseite, während andere Person auf seiner rechten Seite steht.")</f>
        <v>Ein Mann spricht vor einem Busch auf der Vorderseite, während andere Person auf seiner rechten Seite steht.</v>
      </c>
    </row>
    <row r="3159">
      <c r="A3159" s="4" t="s">
        <v>3967</v>
      </c>
      <c r="B3159" s="4" t="s">
        <v>3969</v>
      </c>
      <c r="C3159" s="5" t="str">
        <f>IFERROR(__xludf.DUMMYFUNCTION("GOOGLETRANSLATE(B3159,""en"",""de"")"),"Dann schneidet der Mann die toten Blüten des Busches, während er redet.")</f>
        <v>Dann schneidet der Mann die toten Blüten des Busches, während er redet.</v>
      </c>
    </row>
    <row r="3160">
      <c r="A3160" s="4" t="s">
        <v>3967</v>
      </c>
      <c r="B3160" s="4" t="s">
        <v>3970</v>
      </c>
      <c r="C3160" s="5" t="str">
        <f>IFERROR(__xludf.DUMMYFUNCTION("GOOGLETRANSLATE(B3160,""en"",""de"")"),"Auch die Person schneidet die toten Blüten des Busches.")</f>
        <v>Auch die Person schneidet die toten Blüten des Busches.</v>
      </c>
    </row>
    <row r="3161">
      <c r="A3161" s="4" t="s">
        <v>3971</v>
      </c>
      <c r="B3161" s="4" t="s">
        <v>3972</v>
      </c>
      <c r="C3161" s="5" t="str">
        <f>IFERROR(__xludf.DUMMYFUNCTION("GOOGLETRANSLATE(B3161,""en"",""de"")"),"Diese junge Frau tanzt mit dem Staffelstab in ihren Händen.")</f>
        <v>Diese junge Frau tanzt mit dem Staffelstab in ihren Händen.</v>
      </c>
    </row>
    <row r="3162">
      <c r="A3162" s="4" t="s">
        <v>3971</v>
      </c>
      <c r="B3162" s="4" t="s">
        <v>3973</v>
      </c>
      <c r="C3162" s="5" t="str">
        <f>IFERROR(__xludf.DUMMYFUNCTION("GOOGLETRANSLATE(B3162,""en"",""de"")"),"Sie befindet sich mitten auf der Straße mit einem roten Tanktop, Shorts und Flip -Flops.")</f>
        <v>Sie befindet sich mitten auf der Straße mit einem roten Tanktop, Shorts und Flip -Flops.</v>
      </c>
    </row>
    <row r="3163">
      <c r="A3163" s="4" t="s">
        <v>3971</v>
      </c>
      <c r="B3163" s="4" t="s">
        <v>3974</v>
      </c>
      <c r="C3163" s="5" t="str">
        <f>IFERROR(__xludf.DUMMYFUNCTION("GOOGLETRANSLATE(B3163,""en"",""de"")"),"Es gibt viele Leute, die sie beobachten, während sie die Schlagstöcke draußen macht.")</f>
        <v>Es gibt viele Leute, die sie beobachten, während sie die Schlagstöcke draußen macht.</v>
      </c>
    </row>
    <row r="3164">
      <c r="A3164" s="4" t="s">
        <v>3971</v>
      </c>
      <c r="B3164" s="4" t="s">
        <v>3975</v>
      </c>
      <c r="C3164" s="5" t="str">
        <f>IFERROR(__xludf.DUMMYFUNCTION("GOOGLETRANSLATE(B3164,""en"",""de"")"),"Wenn sie fertig ist, hört die Musik auf zu spielen und ein paar Leute klatschen für ihre Leistung.")</f>
        <v>Wenn sie fertig ist, hört die Musik auf zu spielen und ein paar Leute klatschen für ihre Leistung.</v>
      </c>
    </row>
    <row r="3165">
      <c r="A3165" s="4" t="s">
        <v>3976</v>
      </c>
      <c r="B3165" s="4" t="s">
        <v>3977</v>
      </c>
      <c r="C3165" s="5" t="str">
        <f>IFERROR(__xludf.DUMMYFUNCTION("GOOGLETRANSLATE(B3165,""en"",""de"")"),"Die kleinen Kinder springen auf dem großen Trampolin.")</f>
        <v>Die kleinen Kinder springen auf dem großen Trampolin.</v>
      </c>
    </row>
    <row r="3166">
      <c r="A3166" s="4" t="s">
        <v>3976</v>
      </c>
      <c r="B3166" s="4" t="s">
        <v>3978</v>
      </c>
      <c r="C3166" s="5" t="str">
        <f>IFERROR(__xludf.DUMMYFUNCTION("GOOGLETRANSLATE(B3166,""en"",""de"")"),"Der Junge fiel auf den Rücken, als er den Ball vermied.")</f>
        <v>Der Junge fiel auf den Rücken, als er den Ball vermied.</v>
      </c>
    </row>
    <row r="3167">
      <c r="A3167" s="4" t="s">
        <v>3976</v>
      </c>
      <c r="B3167" s="4" t="s">
        <v>3979</v>
      </c>
      <c r="C3167" s="5" t="str">
        <f>IFERROR(__xludf.DUMMYFUNCTION("GOOGLETRANSLATE(B3167,""en"",""de"")"),"Die Kinder tragen Helm, als sie den Ball und andere Seite der Kinder geworfen haben.")</f>
        <v>Die Kinder tragen Helm, als sie den Ball und andere Seite der Kinder geworfen haben.</v>
      </c>
    </row>
    <row r="3168">
      <c r="A3168" s="4" t="s">
        <v>3976</v>
      </c>
      <c r="B3168" s="4" t="s">
        <v>3980</v>
      </c>
      <c r="C3168" s="5" t="str">
        <f>IFERROR(__xludf.DUMMYFUNCTION("GOOGLETRANSLATE(B3168,""en"",""de"")"),"Zwei erwachsene Menschen gingen zum Trampolin, um die Kinder zu beobachten.")</f>
        <v>Zwei erwachsene Menschen gingen zum Trampolin, um die Kinder zu beobachten.</v>
      </c>
    </row>
    <row r="3169">
      <c r="A3169" s="4" t="s">
        <v>3981</v>
      </c>
      <c r="B3169" s="4" t="s">
        <v>3982</v>
      </c>
      <c r="C3169" s="5" t="str">
        <f>IFERROR(__xludf.DUMMYFUNCTION("GOOGLETRANSLATE(B3169,""en"",""de"")"),"Ein paar kleine Kinder spielen auf einem Parkspielplatz.")</f>
        <v>Ein paar kleine Kinder spielen auf einem Parkspielplatz.</v>
      </c>
    </row>
    <row r="3170">
      <c r="A3170" s="4" t="s">
        <v>3981</v>
      </c>
      <c r="B3170" s="4" t="s">
        <v>3983</v>
      </c>
      <c r="C3170" s="5" t="str">
        <f>IFERROR(__xludf.DUMMYFUNCTION("GOOGLETRANSLATE(B3170,""en"",""de"")"),"Ein kleiner Junge klettert auf den Affenbars hin und her.")</f>
        <v>Ein kleiner Junge klettert auf den Affenbars hin und her.</v>
      </c>
    </row>
    <row r="3171">
      <c r="A3171" s="4" t="s">
        <v>3981</v>
      </c>
      <c r="B3171" s="4" t="s">
        <v>3984</v>
      </c>
      <c r="C3171" s="5" t="str">
        <f>IFERROR(__xludf.DUMMYFUNCTION("GOOGLETRANSLATE(B3171,""en"",""de"")"),"Ein anderes Kind schließt sich ihm dann auch an den Bars an.")</f>
        <v>Ein anderes Kind schließt sich ihm dann auch an den Bars an.</v>
      </c>
    </row>
    <row r="3172">
      <c r="A3172" s="4" t="s">
        <v>3985</v>
      </c>
      <c r="B3172" s="4" t="s">
        <v>3986</v>
      </c>
      <c r="C3172" s="5" t="str">
        <f>IFERROR(__xludf.DUMMYFUNCTION("GOOGLETRANSLATE(B3172,""en"",""de"")"),"Ein Mann in einer gelben Lebensweste sitzt in einem Kanu.")</f>
        <v>Ein Mann in einer gelben Lebensweste sitzt in einem Kanu.</v>
      </c>
    </row>
    <row r="3173">
      <c r="A3173" s="4" t="s">
        <v>3985</v>
      </c>
      <c r="B3173" s="4" t="s">
        <v>3987</v>
      </c>
      <c r="C3173" s="5" t="str">
        <f>IFERROR(__xludf.DUMMYFUNCTION("GOOGLETRANSLATE(B3173,""en"",""de"")"),"Er paddelt von einer Seite zur anderen.")</f>
        <v>Er paddelt von einer Seite zur anderen.</v>
      </c>
    </row>
    <row r="3174">
      <c r="A3174" s="4" t="s">
        <v>3985</v>
      </c>
      <c r="B3174" s="4" t="s">
        <v>3988</v>
      </c>
      <c r="C3174" s="5" t="str">
        <f>IFERROR(__xludf.DUMMYFUNCTION("GOOGLETRANSLATE(B3174,""en"",""de"")"),"Die Kamera geht unter Wasser neben dem Kanu.")</f>
        <v>Die Kamera geht unter Wasser neben dem Kanu.</v>
      </c>
    </row>
    <row r="3175">
      <c r="A3175" s="4" t="s">
        <v>3989</v>
      </c>
      <c r="B3175" s="4" t="s">
        <v>3990</v>
      </c>
      <c r="C3175" s="5" t="str">
        <f>IFERROR(__xludf.DUMMYFUNCTION("GOOGLETRANSLATE(B3175,""en"",""de"")"),"Sandwiches werden in einer Diashow angezeigt.")</f>
        <v>Sandwiches werden in einer Diashow angezeigt.</v>
      </c>
    </row>
    <row r="3176">
      <c r="A3176" s="4" t="s">
        <v>3989</v>
      </c>
      <c r="B3176" s="4" t="s">
        <v>3991</v>
      </c>
      <c r="C3176" s="5" t="str">
        <f>IFERROR(__xludf.DUMMYFUNCTION("GOOGLETRANSLATE(B3176,""en"",""de"")"),"Eine Person verbreitet Senfsauce auf Brotscheiben, dann legt die Person auf Schweizer Käse, Marmelade, Sauerkraut und ein Stück Brot.")</f>
        <v>Eine Person verbreitet Senfsauce auf Brotscheiben, dann legt die Person auf Schweizer Käse, Marmelade, Sauerkraut und ein Stück Brot.</v>
      </c>
    </row>
    <row r="3177">
      <c r="A3177" s="4" t="s">
        <v>3989</v>
      </c>
      <c r="B3177" s="4" t="s">
        <v>3992</v>
      </c>
      <c r="C3177" s="5" t="str">
        <f>IFERROR(__xludf.DUMMYFUNCTION("GOOGLETRANSLATE(B3177,""en"",""de"")"),"Danach verbreitet die Person Butter auf den Sandwiches und legt sie auf eine heiße Oberfläche, dann schneidet die Person die Sandwiches in zwei Hälften.")</f>
        <v>Danach verbreitet die Person Butter auf den Sandwiches und legt sie auf eine heiße Oberfläche, dann schneidet die Person die Sandwiches in zwei Hälften.</v>
      </c>
    </row>
    <row r="3178">
      <c r="A3178" s="4" t="s">
        <v>3993</v>
      </c>
      <c r="B3178" s="4" t="s">
        <v>3994</v>
      </c>
      <c r="C3178" s="5" t="str">
        <f>IFERROR(__xludf.DUMMYFUNCTION("GOOGLETRANSLATE(B3178,""en"",""de"")"),"Ein weißer Mann mittleren Alters steht in einer Menschenmenge von Menschen, die ein Saxophon spielen.")</f>
        <v>Ein weißer Mann mittleren Alters steht in einer Menschenmenge von Menschen, die ein Saxophon spielen.</v>
      </c>
    </row>
    <row r="3179">
      <c r="A3179" s="4" t="s">
        <v>3993</v>
      </c>
      <c r="B3179" s="4" t="s">
        <v>3995</v>
      </c>
      <c r="C3179" s="5" t="str">
        <f>IFERROR(__xludf.DUMMYFUNCTION("GOOGLETRANSLATE(B3179,""en"",""de"")"),"Während er weitergeht, spielt das Video aus und einige andere Leute spielen mit ihm das Saxophon und es wird offenbart, dass jemand anderes die Knöpfe für den Mann drückt, während er in das Instrument bläst.")</f>
        <v>Während er weitergeht, spielt das Video aus und einige andere Leute spielen mit ihm das Saxophon und es wird offenbart, dass jemand anderes die Knöpfe für den Mann drückt, während er in das Instrument bläst.</v>
      </c>
    </row>
    <row r="3180">
      <c r="A3180" s="4" t="s">
        <v>3993</v>
      </c>
      <c r="B3180" s="4" t="s">
        <v>3996</v>
      </c>
      <c r="C3180" s="5" t="str">
        <f>IFERROR(__xludf.DUMMYFUNCTION("GOOGLETRANSLATE(B3180,""en"",""de"")"),"Dann schwenkt die Kamera zurück und die Menge beginnt für das Publikum zu klatschen.")</f>
        <v>Dann schwenkt die Kamera zurück und die Menge beginnt für das Publikum zu klatschen.</v>
      </c>
    </row>
    <row r="3181">
      <c r="A3181" s="4" t="s">
        <v>3997</v>
      </c>
      <c r="B3181" s="4" t="s">
        <v>3998</v>
      </c>
      <c r="C3181" s="5" t="str">
        <f>IFERROR(__xludf.DUMMYFUNCTION("GOOGLETRANSLATE(B3181,""en"",""de"")"),"Es gibt eine Frau in einem weißen Hemd in einem Tennisplatz, das Bälle über den Platz schlägt.")</f>
        <v>Es gibt eine Frau in einem weißen Hemd in einem Tennisplatz, das Bälle über den Platz schlägt.</v>
      </c>
    </row>
    <row r="3182">
      <c r="A3182" s="4" t="s">
        <v>3997</v>
      </c>
      <c r="B3182" s="4" t="s">
        <v>3999</v>
      </c>
      <c r="C3182" s="5" t="str">
        <f>IFERROR(__xludf.DUMMYFUNCTION("GOOGLETRANSLATE(B3182,""en"",""de"")"),"Sie springt den Ball auf den Boden und serviert dann den Ball über das Netz.")</f>
        <v>Sie springt den Ball auf den Boden und serviert dann den Ball über das Netz.</v>
      </c>
    </row>
    <row r="3183">
      <c r="A3183" s="4" t="s">
        <v>4000</v>
      </c>
      <c r="B3183" s="4" t="s">
        <v>4001</v>
      </c>
      <c r="C3183" s="5" t="str">
        <f>IFERROR(__xludf.DUMMYFUNCTION("GOOGLETRANSLATE(B3183,""en"",""de"")"),"Ein Mann geht über einen Schnee, der eine große Schneeschaufel trägt.")</f>
        <v>Ein Mann geht über einen Schnee, der eine große Schneeschaufel trägt.</v>
      </c>
    </row>
    <row r="3184">
      <c r="A3184" s="4" t="s">
        <v>4000</v>
      </c>
      <c r="B3184" s="4" t="s">
        <v>4002</v>
      </c>
      <c r="C3184" s="5" t="str">
        <f>IFERROR(__xludf.DUMMYFUNCTION("GOOGLETRANSLATE(B3184,""en"",""de"")"),"Der Mann schaufelt einen langen Schneeweg.")</f>
        <v>Der Mann schaufelt einen langen Schneeweg.</v>
      </c>
    </row>
    <row r="3185">
      <c r="A3185" s="4" t="s">
        <v>4000</v>
      </c>
      <c r="B3185" s="4" t="s">
        <v>4003</v>
      </c>
      <c r="C3185" s="5" t="str">
        <f>IFERROR(__xludf.DUMMYFUNCTION("GOOGLETRANSLATE(B3185,""en"",""de"")"),"Der Mann dreht sich um und schaufelt wieder einen langen Schneeweg.")</f>
        <v>Der Mann dreht sich um und schaufelt wieder einen langen Schneeweg.</v>
      </c>
    </row>
    <row r="3186">
      <c r="A3186" s="4" t="s">
        <v>4000</v>
      </c>
      <c r="B3186" s="4" t="s">
        <v>4004</v>
      </c>
      <c r="C3186" s="5" t="str">
        <f>IFERROR(__xludf.DUMMYFUNCTION("GOOGLETRANSLATE(B3186,""en"",""de"")"),"Der Mann schaufelt zum dritten Mal.")</f>
        <v>Der Mann schaufelt zum dritten Mal.</v>
      </c>
    </row>
    <row r="3187">
      <c r="A3187" s="4" t="s">
        <v>4000</v>
      </c>
      <c r="B3187" s="4" t="s">
        <v>4005</v>
      </c>
      <c r="C3187" s="5" t="str">
        <f>IFERROR(__xludf.DUMMYFUNCTION("GOOGLETRANSLATE(B3187,""en"",""de"")"),"Der Mann schaufelt einen wirklich langen Schneefaden an einem anderen Ort.")</f>
        <v>Der Mann schaufelt einen wirklich langen Schneefaden an einem anderen Ort.</v>
      </c>
    </row>
    <row r="3188">
      <c r="A3188" s="4" t="s">
        <v>4000</v>
      </c>
      <c r="B3188" s="4" t="s">
        <v>4006</v>
      </c>
      <c r="C3188" s="5" t="str">
        <f>IFERROR(__xludf.DUMMYFUNCTION("GOOGLETRANSLATE(B3188,""en"",""de"")"),"Der Mann dreht sich um und schaufelt einen zweiten Schneefaden, direkt neben dem kürzlich geschaufelten Schneefaden.")</f>
        <v>Der Mann dreht sich um und schaufelt einen zweiten Schneefaden, direkt neben dem kürzlich geschaufelten Schneefaden.</v>
      </c>
    </row>
    <row r="3189">
      <c r="A3189" s="4" t="s">
        <v>4007</v>
      </c>
      <c r="B3189" s="4" t="s">
        <v>4008</v>
      </c>
      <c r="C3189" s="5" t="str">
        <f>IFERROR(__xludf.DUMMYFUNCTION("GOOGLETRANSLATE(B3189,""en"",""de"")"),"Eine Frau zeigt ein Gericht mit Gemüse und zeigt die Kalorien, die Zutaten und die Zubereitung eines Gerichts.")</f>
        <v>Eine Frau zeigt ein Gericht mit Gemüse und zeigt die Kalorien, die Zutaten und die Zubereitung eines Gerichts.</v>
      </c>
    </row>
    <row r="3190">
      <c r="A3190" s="4" t="s">
        <v>4007</v>
      </c>
      <c r="B3190" s="4" t="s">
        <v>4009</v>
      </c>
      <c r="C3190" s="5" t="str">
        <f>IFERROR(__xludf.DUMMYFUNCTION("GOOGLETRANSLATE(B3190,""en"",""de"")"),"Dann legt die Frau Gemüse in eine Schüssel, dann brat sie einen Urlaub und legt es in die Schüssel.")</f>
        <v>Dann legt die Frau Gemüse in eine Schüssel, dann brat sie einen Urlaub und legt es in die Schüssel.</v>
      </c>
    </row>
    <row r="3191">
      <c r="A3191" s="4" t="s">
        <v>4007</v>
      </c>
      <c r="B3191" s="4" t="s">
        <v>4010</v>
      </c>
      <c r="C3191" s="5" t="str">
        <f>IFERROR(__xludf.DUMMYFUNCTION("GOOGLETRANSLATE(B3191,""en"",""de"")"),"Dann mischt die Frau das Gemüse und serviert es auf einem Gericht.")</f>
        <v>Dann mischt die Frau das Gemüse und serviert es auf einem Gericht.</v>
      </c>
    </row>
    <row r="3192">
      <c r="A3192" s="4" t="s">
        <v>4011</v>
      </c>
      <c r="B3192" s="4" t="s">
        <v>4012</v>
      </c>
      <c r="C3192" s="5" t="str">
        <f>IFERROR(__xludf.DUMMYFUNCTION("GOOGLETRANSLATE(B3192,""en"",""de"")"),"Zwei Frauen versuchen zwei Hunde zu waschen.")</f>
        <v>Zwei Frauen versuchen zwei Hunde zu waschen.</v>
      </c>
    </row>
    <row r="3193">
      <c r="A3193" s="4" t="s">
        <v>4011</v>
      </c>
      <c r="B3193" s="4" t="s">
        <v>4013</v>
      </c>
      <c r="C3193" s="5" t="str">
        <f>IFERROR(__xludf.DUMMYFUNCTION("GOOGLETRANSLATE(B3193,""en"",""de"")"),"Sie steigen mit den Hunden in die Wanne und shampoo, Seife und dann die Hunde ausspülen.")</f>
        <v>Sie steigen mit den Hunden in die Wanne und shampoo, Seife und dann die Hunde ausspülen.</v>
      </c>
    </row>
    <row r="3194">
      <c r="A3194" s="4" t="s">
        <v>4011</v>
      </c>
      <c r="B3194" s="4" t="s">
        <v>4014</v>
      </c>
      <c r="C3194" s="5" t="str">
        <f>IFERROR(__xludf.DUMMYFUNCTION("GOOGLETRANSLATE(B3194,""en"",""de"")"),"Sie trocknen die Hunde und die Hunde sind viel glücklicher.")</f>
        <v>Sie trocknen die Hunde und die Hunde sind viel glücklicher.</v>
      </c>
    </row>
    <row r="3195">
      <c r="A3195" s="4" t="s">
        <v>4015</v>
      </c>
      <c r="B3195" s="4" t="s">
        <v>4016</v>
      </c>
      <c r="C3195" s="5" t="str">
        <f>IFERROR(__xludf.DUMMYFUNCTION("GOOGLETRANSLATE(B3195,""en"",""de"")"),"Ein Mann steht auf einer Brückenleitung mit einem Gurt, während ein anderer Mann ihn festhält.")</f>
        <v>Ein Mann steht auf einer Brückenleitung mit einem Gurt, während ein anderer Mann ihn festhält.</v>
      </c>
    </row>
    <row r="3196">
      <c r="A3196" s="4" t="s">
        <v>4015</v>
      </c>
      <c r="B3196" s="4" t="s">
        <v>4017</v>
      </c>
      <c r="C3196" s="5" t="str">
        <f>IFERROR(__xludf.DUMMYFUNCTION("GOOGLETRANSLATE(B3196,""en"",""de"")"),"Der Mann springt von der Brücke zum Fluss unten.")</f>
        <v>Der Mann springt von der Brücke zum Fluss unten.</v>
      </c>
    </row>
    <row r="3197">
      <c r="A3197" s="4" t="s">
        <v>4015</v>
      </c>
      <c r="B3197" s="4" t="s">
        <v>4018</v>
      </c>
      <c r="C3197" s="5" t="str">
        <f>IFERROR(__xludf.DUMMYFUNCTION("GOOGLETRANSLATE(B3197,""en"",""de"")"),"Der Mann schwingt hin und her über die Stromschnellen.")</f>
        <v>Der Mann schwingt hin und her über die Stromschnellen.</v>
      </c>
    </row>
    <row r="3198">
      <c r="A3198" s="4" t="s">
        <v>4019</v>
      </c>
      <c r="B3198" s="4" t="s">
        <v>4020</v>
      </c>
      <c r="C3198" s="5" t="str">
        <f>IFERROR(__xludf.DUMMYFUNCTION("GOOGLETRANSLATE(B3198,""en"",""de"")"),"Eine Frau, die grün mit rotem Haar trägt, schrubbt ein paar Kleidung.")</f>
        <v>Eine Frau, die grün mit rotem Haar trägt, schrubbt ein paar Kleidung.</v>
      </c>
    </row>
    <row r="3199">
      <c r="A3199" s="4" t="s">
        <v>4019</v>
      </c>
      <c r="B3199" s="4" t="s">
        <v>4021</v>
      </c>
      <c r="C3199" s="5" t="str">
        <f>IFERROR(__xludf.DUMMYFUNCTION("GOOGLETRANSLATE(B3199,""en"",""de"")"),"Das Wasser und die Seife spritzen es an der Wand ab/ Sie nimmt das Stück Stoff auf und schlägt es gegen den Ständer.")</f>
        <v>Das Wasser und die Seife spritzen es an der Wand ab/ Sie nimmt das Stück Stoff auf und schlägt es gegen den Ständer.</v>
      </c>
    </row>
    <row r="3200">
      <c r="A3200" s="4" t="s">
        <v>4019</v>
      </c>
      <c r="B3200" s="4" t="s">
        <v>4022</v>
      </c>
      <c r="C3200" s="5" t="str">
        <f>IFERROR(__xludf.DUMMYFUNCTION("GOOGLETRANSLATE(B3200,""en"",""de"")"),"Dann bekommt sie etwas Wasser von einem Eimer und gießt es um.")</f>
        <v>Dann bekommt sie etwas Wasser von einem Eimer und gießt es um.</v>
      </c>
    </row>
    <row r="3201">
      <c r="A3201" s="4" t="s">
        <v>4019</v>
      </c>
      <c r="B3201" s="4" t="s">
        <v>4023</v>
      </c>
      <c r="C3201" s="5" t="str">
        <f>IFERROR(__xludf.DUMMYFUNCTION("GOOGLETRANSLATE(B3201,""en"",""de"")"),"Sie drückt es heraus und steckt dann das Tuch in einen Eimer Seifenwasser.")</f>
        <v>Sie drückt es heraus und steckt dann das Tuch in einen Eimer Seifenwasser.</v>
      </c>
    </row>
    <row r="3202">
      <c r="A3202" s="4" t="s">
        <v>4024</v>
      </c>
      <c r="B3202" s="4" t="s">
        <v>4025</v>
      </c>
      <c r="C3202" s="5" t="str">
        <f>IFERROR(__xludf.DUMMYFUNCTION("GOOGLETRANSLATE(B3202,""en"",""de"")"),"Es gibt eine offene Landfläche mit Grün und Grasfläche.")</f>
        <v>Es gibt eine offene Landfläche mit Grün und Grasfläche.</v>
      </c>
    </row>
    <row r="3203">
      <c r="A3203" s="4" t="s">
        <v>4024</v>
      </c>
      <c r="B3203" s="4" t="s">
        <v>4026</v>
      </c>
      <c r="C3203" s="5" t="str">
        <f>IFERROR(__xludf.DUMMYFUNCTION("GOOGLETRANSLATE(B3203,""en"",""de"")"),"Auf dem Boden liegt in der Nähe einiger über erwachsener Grasflecken ein Rasenwagen.")</f>
        <v>Auf dem Boden liegt in der Nähe einiger über erwachsener Grasflecken ein Rasenwagen.</v>
      </c>
    </row>
    <row r="3204">
      <c r="A3204" s="4" t="s">
        <v>4024</v>
      </c>
      <c r="B3204" s="4" t="s">
        <v>4027</v>
      </c>
      <c r="C3204" s="5" t="str">
        <f>IFERROR(__xludf.DUMMYFUNCTION("GOOGLETRANSLATE(B3204,""en"",""de"")"),"Eine Person, die graue Hosen und Handschuhe mit einem Rasenschneider trägt, um die Grasflecken zu schneiden.")</f>
        <v>Eine Person, die graue Hosen und Handschuhe mit einem Rasenschneider trägt, um die Grasflecken zu schneiden.</v>
      </c>
    </row>
    <row r="3205">
      <c r="A3205" s="4" t="s">
        <v>4024</v>
      </c>
      <c r="B3205" s="4" t="s">
        <v>4028</v>
      </c>
      <c r="C3205" s="5" t="str">
        <f>IFERROR(__xludf.DUMMYFUNCTION("GOOGLETRANSLATE(B3205,""en"",""de"")"),"Er schneidet den Rasen in einer Hin- und Herbewegung und bewegt den Trimmer horizontal über das Gras.")</f>
        <v>Er schneidet den Rasen in einer Hin- und Herbewegung und bewegt den Trimmer horizontal über das Gras.</v>
      </c>
    </row>
    <row r="3206">
      <c r="A3206" s="4" t="s">
        <v>4029</v>
      </c>
      <c r="B3206" s="4" t="s">
        <v>4030</v>
      </c>
      <c r="C3206" s="5" t="str">
        <f>IFERROR(__xludf.DUMMYFUNCTION("GOOGLETRANSLATE(B3206,""en"",""de"")"),"Eine Nahaufnahme zeigt eine gerissene Asphaltstraße.")</f>
        <v>Eine Nahaufnahme zeigt eine gerissene Asphaltstraße.</v>
      </c>
    </row>
    <row r="3207">
      <c r="A3207" s="4" t="s">
        <v>4029</v>
      </c>
      <c r="B3207" s="4" t="s">
        <v>4031</v>
      </c>
      <c r="C3207" s="5" t="str">
        <f>IFERROR(__xludf.DUMMYFUNCTION("GOOGLETRANSLATE(B3207,""en"",""de"")"),"Dann sehen wir einen Mann laufen und ein Paar Inline -Skates tragen.")</f>
        <v>Dann sehen wir einen Mann laufen und ein Paar Inline -Skates tragen.</v>
      </c>
    </row>
    <row r="3208">
      <c r="A3208" s="4" t="s">
        <v>4029</v>
      </c>
      <c r="B3208" s="4" t="s">
        <v>4032</v>
      </c>
      <c r="C3208" s="5" t="str">
        <f>IFERROR(__xludf.DUMMYFUNCTION("GOOGLETRANSLATE(B3208,""en"",""de"")"),"Der Mann führt Stunts durch, geht Treppen hinunter und reitet Mediane, macht Flips und reitet rückwärts.")</f>
        <v>Der Mann führt Stunts durch, geht Treppen hinunter und reitet Mediane, macht Flips und reitet rückwärts.</v>
      </c>
    </row>
    <row r="3209">
      <c r="A3209" s="4" t="s">
        <v>4029</v>
      </c>
      <c r="B3209" s="4" t="s">
        <v>4033</v>
      </c>
      <c r="C3209" s="5" t="str">
        <f>IFERROR(__xludf.DUMMYFUNCTION("GOOGLETRANSLATE(B3209,""en"",""de"")"),"Wenn er fertig ist, reitet er weg.")</f>
        <v>Wenn er fertig ist, reitet er weg.</v>
      </c>
    </row>
    <row r="3210">
      <c r="A3210" s="4" t="s">
        <v>4034</v>
      </c>
      <c r="B3210" s="4" t="s">
        <v>4035</v>
      </c>
      <c r="C3210" s="5" t="str">
        <f>IFERROR(__xludf.DUMMYFUNCTION("GOOGLETRANSLATE(B3210,""en"",""de"")"),"Ein Kind spielt Tennis in einem Hof, das Bälle zurückkehrt, während ein Junge neben ihr steht.")</f>
        <v>Ein Kind spielt Tennis in einem Hof, das Bälle zurückkehrt, während ein Junge neben ihr steht.</v>
      </c>
    </row>
    <row r="3211">
      <c r="A3211" s="4" t="s">
        <v>4034</v>
      </c>
      <c r="B3211" s="4" t="s">
        <v>4036</v>
      </c>
      <c r="C3211" s="5" t="str">
        <f>IFERROR(__xludf.DUMMYFUNCTION("GOOGLETRANSLATE(B3211,""en"",""de"")"),"Der Junge verließ das Gericht, während das Kind weiterhin Bälle zurückkehrt, dann kehrt der Junge zurück.")</f>
        <v>Der Junge verließ das Gericht, während das Kind weiterhin Bälle zurückkehrt, dann kehrt der Junge zurück.</v>
      </c>
    </row>
    <row r="3212">
      <c r="A3212" s="4" t="s">
        <v>4034</v>
      </c>
      <c r="B3212" s="4" t="s">
        <v>4037</v>
      </c>
      <c r="C3212" s="5" t="str">
        <f>IFERROR(__xludf.DUMMYFUNCTION("GOOGLETRANSLATE(B3212,""en"",""de"")"),"Dann verließ der Junge wieder den Hof und dann kehrt er mit einem Schläger und einem Ball zurück.")</f>
        <v>Dann verließ der Junge wieder den Hof und dann kehrt er mit einem Schläger und einem Ball zurück.</v>
      </c>
    </row>
    <row r="3213">
      <c r="A3213" s="4" t="s">
        <v>4034</v>
      </c>
      <c r="B3213" s="4" t="s">
        <v>4038</v>
      </c>
      <c r="C3213" s="5" t="str">
        <f>IFERROR(__xludf.DUMMYFUNCTION("GOOGLETRANSLATE(B3213,""en"",""de"")"),"Das Kind dient dem Ball und der Junge hilft, als nächstes zu beobachten.")</f>
        <v>Das Kind dient dem Ball und der Junge hilft, als nächstes zu beobachten.</v>
      </c>
    </row>
    <row r="3214">
      <c r="A3214" s="4" t="s">
        <v>4039</v>
      </c>
      <c r="B3214" s="4" t="s">
        <v>4040</v>
      </c>
      <c r="C3214" s="5" t="str">
        <f>IFERROR(__xludf.DUMMYFUNCTION("GOOGLETRANSLATE(B3214,""en"",""de"")"),"Ein Mann spricht mit der Kamera und führt zu mehreren Schüssen von Menschen, die sprechen und Absätze tragen.")</f>
        <v>Ein Mann spricht mit der Kamera und führt zu mehreren Schüssen von Menschen, die sprechen und Absätze tragen.</v>
      </c>
    </row>
    <row r="3215">
      <c r="A3215" s="4" t="s">
        <v>4039</v>
      </c>
      <c r="B3215" s="4" t="s">
        <v>4041</v>
      </c>
      <c r="C3215" s="5" t="str">
        <f>IFERROR(__xludf.DUMMYFUNCTION("GOOGLETRANSLATE(B3215,""en"",""de"")"),"Die Frauen gehen auf dem Boden eine Straße hinunter, während viele beobachten und dann alle in Absätzen die Straße entlang rennen.")</f>
        <v>Die Frauen gehen auf dem Boden eine Straße hinunter, während viele beobachten und dann alle in Absätzen die Straße entlang rennen.</v>
      </c>
    </row>
    <row r="3216">
      <c r="A3216" s="4" t="s">
        <v>4042</v>
      </c>
      <c r="B3216" s="4" t="s">
        <v>4043</v>
      </c>
      <c r="C3216" s="5" t="str">
        <f>IFERROR(__xludf.DUMMYFUNCTION("GOOGLETRANSLATE(B3216,""en"",""de"")"),"Eine sportliche Frau steht vor einer Strecke und rennt die Seite hinunter.")</f>
        <v>Eine sportliche Frau steht vor einer Strecke und rennt die Seite hinunter.</v>
      </c>
    </row>
    <row r="3217">
      <c r="A3217" s="4" t="s">
        <v>4042</v>
      </c>
      <c r="B3217" s="4" t="s">
        <v>4044</v>
      </c>
      <c r="C3217" s="5" t="str">
        <f>IFERROR(__xludf.DUMMYFUNCTION("GOOGLETRANSLATE(B3217,""en"",""de"")"),"Sie rennt und springt in eine Sandgrube, während ein Mann ihre Punktzahl aufzeichnet.")</f>
        <v>Sie rennt und springt in eine Sandgrube, während ein Mann ihre Punktzahl aufzeichnet.</v>
      </c>
    </row>
    <row r="3218">
      <c r="A3218" s="4" t="s">
        <v>4042</v>
      </c>
      <c r="B3218" s="4" t="s">
        <v>4045</v>
      </c>
      <c r="C3218" s="5" t="str">
        <f>IFERROR(__xludf.DUMMYFUNCTION("GOOGLETRANSLATE(B3218,""en"",""de"")"),"Einige weitere Clips werden von Frauen gezeigt, die über die Strecke rennen und in die Grube springen.")</f>
        <v>Einige weitere Clips werden von Frauen gezeigt, die über die Strecke rennen und in die Grube springen.</v>
      </c>
    </row>
    <row r="3219">
      <c r="A3219" s="4" t="s">
        <v>4046</v>
      </c>
      <c r="B3219" s="4" t="s">
        <v>4047</v>
      </c>
      <c r="C3219" s="5" t="str">
        <f>IFERROR(__xludf.DUMMYFUNCTION("GOOGLETRANSLATE(B3219,""en"",""de"")"),"Mehrere Leute sind gesehen, wie sie zusammen ein Spiel herumlaufen und zusammen ein Spiel spielen.")</f>
        <v>Mehrere Leute sind gesehen, wie sie zusammen ein Spiel herumlaufen und zusammen ein Spiel spielen.</v>
      </c>
    </row>
    <row r="3220">
      <c r="A3220" s="4" t="s">
        <v>4046</v>
      </c>
      <c r="B3220" s="4" t="s">
        <v>4048</v>
      </c>
      <c r="C3220" s="5" t="str">
        <f>IFERROR(__xludf.DUMMYFUNCTION("GOOGLETRANSLATE(B3220,""en"",""de"")"),"Die Spieler jubeln und sprechen miteinander und zeigen mehr Highlights des Spiels.")</f>
        <v>Die Spieler jubeln und sprechen miteinander und zeigen mehr Highlights des Spiels.</v>
      </c>
    </row>
    <row r="3221">
      <c r="A3221" s="4" t="s">
        <v>4046</v>
      </c>
      <c r="B3221" s="4" t="s">
        <v>4049</v>
      </c>
      <c r="C3221" s="5" t="str">
        <f>IFERROR(__xludf.DUMMYFUNCTION("GOOGLETRANSLATE(B3221,""en"",""de"")"),"Weitere Clips werden von Leuten gezeigt, die weggehen und das Spiel spielen.")</f>
        <v>Weitere Clips werden von Leuten gezeigt, die weggehen und das Spiel spielen.</v>
      </c>
    </row>
    <row r="3222">
      <c r="A3222" s="4" t="s">
        <v>4050</v>
      </c>
      <c r="B3222" s="4" t="s">
        <v>1251</v>
      </c>
      <c r="C3222" s="5" t="str">
        <f>IFERROR(__xludf.DUMMYFUNCTION("GOOGLETRANSLATE(B3222,""en"",""de"")"),"Die Credits des Clips werden angezeigt.")</f>
        <v>Die Credits des Clips werden angezeigt.</v>
      </c>
    </row>
    <row r="3223">
      <c r="A3223" s="4" t="s">
        <v>4050</v>
      </c>
      <c r="B3223" s="4" t="s">
        <v>4051</v>
      </c>
      <c r="C3223" s="5" t="str">
        <f>IFERROR(__xludf.DUMMYFUNCTION("GOOGLETRANSLATE(B3223,""en"",""de"")"),"Eine Person fährt mit Hilfe einer Struktur mit Hilfe eines Dirtrads über einen Hügel oder einen Schmutzhaufen.")</f>
        <v>Eine Person fährt mit Hilfe einer Struktur mit Hilfe eines Dirtrads über einen Hügel oder einen Schmutzhaufen.</v>
      </c>
    </row>
    <row r="3224">
      <c r="A3224" s="4" t="s">
        <v>4050</v>
      </c>
      <c r="B3224" s="4" t="s">
        <v>4052</v>
      </c>
      <c r="C3224" s="5" t="str">
        <f>IFERROR(__xludf.DUMMYFUNCTION("GOOGLETRANSLATE(B3224,""en"",""de"")"),"Eine Person steht, schüttelt den Kopf und hinterlässt auf einem Dirtrad.")</f>
        <v>Eine Person steht, schüttelt den Kopf und hinterlässt auf einem Dirtrad.</v>
      </c>
    </row>
    <row r="3225">
      <c r="A3225" s="4" t="s">
        <v>4050</v>
      </c>
      <c r="B3225" s="4" t="s">
        <v>4053</v>
      </c>
      <c r="C3225" s="5" t="str">
        <f>IFERROR(__xludf.DUMMYFUNCTION("GOOGLETRANSLATE(B3225,""en"",""de"")"),"Zwei Jungs sitzen auf ihrem Dirt -Fahrrad und diskutieren.")</f>
        <v>Zwei Jungs sitzen auf ihrem Dirt -Fahrrad und diskutieren.</v>
      </c>
    </row>
    <row r="3226">
      <c r="A3226" s="4" t="s">
        <v>4050</v>
      </c>
      <c r="B3226" s="4" t="s">
        <v>4054</v>
      </c>
      <c r="C3226" s="5" t="str">
        <f>IFERROR(__xludf.DUMMYFUNCTION("GOOGLETRANSLATE(B3226,""en"",""de"")"),"Ein Mann benutzt seinen hinteren Reifen, um Schmutz zu sprühen.")</f>
        <v>Ein Mann benutzt seinen hinteren Reifen, um Schmutz zu sprühen.</v>
      </c>
    </row>
    <row r="3227">
      <c r="A3227" s="4" t="s">
        <v>4050</v>
      </c>
      <c r="B3227" s="4" t="s">
        <v>573</v>
      </c>
      <c r="C3227" s="5" t="str">
        <f>IFERROR(__xludf.DUMMYFUNCTION("GOOGLETRANSLATE(B3227,""en"",""de"")"),"Die Credits des Videos werden angezeigt.")</f>
        <v>Die Credits des Videos werden angezeigt.</v>
      </c>
    </row>
    <row r="3228">
      <c r="A3228" s="4" t="s">
        <v>4055</v>
      </c>
      <c r="B3228" s="4" t="s">
        <v>4056</v>
      </c>
      <c r="C3228" s="5" t="str">
        <f>IFERROR(__xludf.DUMMYFUNCTION("GOOGLETRANSLATE(B3228,""en"",""de"")"),"Ein schwarzes Buch namens Windmills befindet sich auf dem Bildschirm.")</f>
        <v>Ein schwarzes Buch namens Windmills befindet sich auf dem Bildschirm.</v>
      </c>
    </row>
    <row r="3229">
      <c r="A3229" s="4" t="s">
        <v>4055</v>
      </c>
      <c r="B3229" s="4" t="s">
        <v>4057</v>
      </c>
      <c r="C3229" s="5" t="str">
        <f>IFERROR(__xludf.DUMMYFUNCTION("GOOGLETRANSLATE(B3229,""en"",""de"")"),"Die Kamera zoomt zu einem Tänzer.")</f>
        <v>Die Kamera zoomt zu einem Tänzer.</v>
      </c>
    </row>
    <row r="3230">
      <c r="A3230" s="4" t="s">
        <v>4055</v>
      </c>
      <c r="B3230" s="4" t="s">
        <v>4058</v>
      </c>
      <c r="C3230" s="5" t="str">
        <f>IFERROR(__xludf.DUMMYFUNCTION("GOOGLETRANSLATE(B3230,""en"",""de"")"),"Vincanitv taucht auf den Bildschirm auf.")</f>
        <v>Vincanitv taucht auf den Bildschirm auf.</v>
      </c>
    </row>
    <row r="3231">
      <c r="A3231" s="4" t="s">
        <v>4055</v>
      </c>
      <c r="B3231" s="4" t="s">
        <v>4059</v>
      </c>
      <c r="C3231" s="5" t="str">
        <f>IFERROR(__xludf.DUMMYFUNCTION("GOOGLETRANSLATE(B3231,""en"",""de"")"),"Der Ausbilder spricht.")</f>
        <v>Der Ausbilder spricht.</v>
      </c>
    </row>
    <row r="3232">
      <c r="A3232" s="4" t="s">
        <v>4055</v>
      </c>
      <c r="B3232" s="4" t="s">
        <v>4060</v>
      </c>
      <c r="C3232" s="5" t="str">
        <f>IFERROR(__xludf.DUMMYFUNCTION("GOOGLETRANSLATE(B3232,""en"",""de"")"),"Der Ausbilder sitzt auf dem Boden und führt den Umzug vor.")</f>
        <v>Der Ausbilder sitzt auf dem Boden und führt den Umzug vor.</v>
      </c>
    </row>
    <row r="3233">
      <c r="A3233" s="4" t="s">
        <v>4055</v>
      </c>
      <c r="B3233" s="4" t="s">
        <v>4061</v>
      </c>
      <c r="C3233" s="5" t="str">
        <f>IFERROR(__xludf.DUMMYFUNCTION("GOOGLETRANSLATE(B3233,""en"",""de"")"),"Eine Aufnahme des Umzugs wird gezeigt, dann zeigt der Ausbilder, wie es geht.")</f>
        <v>Eine Aufnahme des Umzugs wird gezeigt, dann zeigt der Ausbilder, wie es geht.</v>
      </c>
    </row>
    <row r="3234">
      <c r="A3234" s="4" t="s">
        <v>4055</v>
      </c>
      <c r="B3234" s="4" t="s">
        <v>4062</v>
      </c>
      <c r="C3234" s="5" t="str">
        <f>IFERROR(__xludf.DUMMYFUNCTION("GOOGLETRANSLATE(B3234,""en"",""de"")"),"Er schiebt sich auf seine Hand und bewegt sich noch einmal.")</f>
        <v>Er schiebt sich auf seine Hand und bewegt sich noch einmal.</v>
      </c>
    </row>
    <row r="3235">
      <c r="A3235" s="4" t="s">
        <v>4055</v>
      </c>
      <c r="B3235" s="4" t="s">
        <v>4063</v>
      </c>
      <c r="C3235" s="5" t="str">
        <f>IFERROR(__xludf.DUMMYFUNCTION("GOOGLETRANSLATE(B3235,""en"",""de"")"),"Er ist auf einem Knie, um eine weitere Bewegung zu zeigen.")</f>
        <v>Er ist auf einem Knie, um eine weitere Bewegung zu zeigen.</v>
      </c>
    </row>
    <row r="3236">
      <c r="A3236" s="4" t="s">
        <v>4055</v>
      </c>
      <c r="B3236" s="4" t="s">
        <v>4064</v>
      </c>
      <c r="C3236" s="5" t="str">
        <f>IFERROR(__xludf.DUMMYFUNCTION("GOOGLETRANSLATE(B3236,""en"",""de"")"),"Der Bildschirm geht zu einer weiteren Aufnahme derselben Bewegung, diesmal, aber schneller.")</f>
        <v>Der Bildschirm geht zu einer weiteren Aufnahme derselben Bewegung, diesmal, aber schneller.</v>
      </c>
    </row>
    <row r="3237">
      <c r="A3237" s="4" t="s">
        <v>4055</v>
      </c>
      <c r="B3237" s="4" t="s">
        <v>4065</v>
      </c>
      <c r="C3237" s="5" t="str">
        <f>IFERROR(__xludf.DUMMYFUNCTION("GOOGLETRANSLATE(B3237,""en"",""de"")"),"Der Ausbilder steht und redet.")</f>
        <v>Der Ausbilder steht und redet.</v>
      </c>
    </row>
    <row r="3238">
      <c r="A3238" s="4" t="s">
        <v>4055</v>
      </c>
      <c r="B3238" s="4" t="s">
        <v>4066</v>
      </c>
      <c r="C3238" s="5" t="str">
        <f>IFERROR(__xludf.DUMMYFUNCTION("GOOGLETRANSLATE(B3238,""en"",""de"")"),"Der Bildschirm endet mit einer Vincanitv -Promo.")</f>
        <v>Der Bildschirm endet mit einer Vincanitv -Promo.</v>
      </c>
    </row>
    <row r="3239">
      <c r="A3239" s="4" t="s">
        <v>4067</v>
      </c>
      <c r="B3239" s="4" t="s">
        <v>4068</v>
      </c>
      <c r="C3239" s="5" t="str">
        <f>IFERROR(__xludf.DUMMYFUNCTION("GOOGLETRANSLATE(B3239,""en"",""de"")"),"Eine Frau steht auf einem Camp -Standort.")</f>
        <v>Eine Frau steht auf einem Camp -Standort.</v>
      </c>
    </row>
    <row r="3240">
      <c r="A3240" s="4" t="s">
        <v>4067</v>
      </c>
      <c r="B3240" s="4" t="s">
        <v>4069</v>
      </c>
      <c r="C3240" s="5" t="str">
        <f>IFERROR(__xludf.DUMMYFUNCTION("GOOGLETRANSLATE(B3240,""en"",""de"")"),"Sie leuchtet mit und wirft sie in einen Holzstapel.")</f>
        <v>Sie leuchtet mit und wirft sie in einen Holzstapel.</v>
      </c>
    </row>
    <row r="3241">
      <c r="A3241" s="4" t="s">
        <v>4070</v>
      </c>
      <c r="B3241" s="4" t="s">
        <v>4071</v>
      </c>
      <c r="C3241" s="5" t="str">
        <f>IFERROR(__xludf.DUMMYFUNCTION("GOOGLETRANSLATE(B3241,""en"",""de"")"),"Eine große Gruppe von Menschen spielt miteinander ein Volleyballspiel, während sie sich am Strand bewegt.")</f>
        <v>Eine große Gruppe von Menschen spielt miteinander ein Volleyballspiel, während sie sich am Strand bewegt.</v>
      </c>
    </row>
    <row r="3242">
      <c r="A3242" s="4" t="s">
        <v>4070</v>
      </c>
      <c r="B3242" s="4" t="s">
        <v>4072</v>
      </c>
      <c r="C3242" s="5" t="str">
        <f>IFERROR(__xludf.DUMMYFUNCTION("GOOGLETRANSLATE(B3242,""en"",""de"")"),"Es werden mehrere Schüsse gezeigt, von denen die Leute umeinander herumwandern, die das Spiel zurück und den viertens über das Netz spielen und sich gegenseitig helfen.")</f>
        <v>Es werden mehrere Schüsse gezeigt, von denen die Leute umeinander herumwandern, die das Spiel zurück und den viertens über das Netz spielen und sich gegenseitig helfen.</v>
      </c>
    </row>
    <row r="3243">
      <c r="A3243" s="4" t="s">
        <v>4073</v>
      </c>
      <c r="B3243" s="4" t="s">
        <v>4074</v>
      </c>
      <c r="C3243" s="5" t="str">
        <f>IFERROR(__xludf.DUMMYFUNCTION("GOOGLETRANSLATE(B3243,""en"",""de"")"),"Eine Anzeige für Howcast wird gezeigt.")</f>
        <v>Eine Anzeige für Howcast wird gezeigt.</v>
      </c>
    </row>
    <row r="3244">
      <c r="A3244" s="4" t="s">
        <v>4073</v>
      </c>
      <c r="B3244" s="4" t="s">
        <v>4075</v>
      </c>
      <c r="C3244" s="5" t="str">
        <f>IFERROR(__xludf.DUMMYFUNCTION("GOOGLETRANSLATE(B3244,""en"",""de"")"),"Es folgt eine Frau auf einem Stuhl, die für die Kamera lächelt, und eine Frau mit geflochtenen Haaren, die spricht.")</f>
        <v>Es folgt eine Frau auf einem Stuhl, die für die Kamera lächelt, und eine Frau mit geflochtenen Haaren, die spricht.</v>
      </c>
    </row>
    <row r="3245">
      <c r="A3245" s="4" t="s">
        <v>4073</v>
      </c>
      <c r="B3245" s="4" t="s">
        <v>4076</v>
      </c>
      <c r="C3245" s="5" t="str">
        <f>IFERROR(__xludf.DUMMYFUNCTION("GOOGLETRANSLATE(B3245,""en"",""de"")"),"Die Frau in Rot wendet die sitzende Frau auf verschiedene Make -ups an und erklärt den Prozess, wie sie geht.")</f>
        <v>Die Frau in Rot wendet die sitzende Frau auf verschiedene Make -ups an und erklärt den Prozess, wie sie geht.</v>
      </c>
    </row>
    <row r="3246">
      <c r="A3246" s="4" t="s">
        <v>4073</v>
      </c>
      <c r="B3246" s="4" t="s">
        <v>4077</v>
      </c>
      <c r="C3246" s="5" t="str">
        <f>IFERROR(__xludf.DUMMYFUNCTION("GOOGLETRANSLATE(B3246,""en"",""de"")"),"Wenn sie fertig ist, spricht sie erneut mit der Kamera.")</f>
        <v>Wenn sie fertig ist, spricht sie erneut mit der Kamera.</v>
      </c>
    </row>
    <row r="3247">
      <c r="A3247" s="4" t="s">
        <v>4078</v>
      </c>
      <c r="B3247" s="4" t="s">
        <v>4079</v>
      </c>
      <c r="C3247" s="5" t="str">
        <f>IFERROR(__xludf.DUMMYFUNCTION("GOOGLETRANSLATE(B3247,""en"",""de"")"),"Ein Mann trinkt Kaffee und spielt dann Gitarre innen.")</f>
        <v>Ein Mann trinkt Kaffee und spielt dann Gitarre innen.</v>
      </c>
    </row>
    <row r="3248">
      <c r="A3248" s="4" t="s">
        <v>4078</v>
      </c>
      <c r="B3248" s="4" t="s">
        <v>4080</v>
      </c>
      <c r="C3248" s="5" t="str">
        <f>IFERROR(__xludf.DUMMYFUNCTION("GOOGLETRANSLATE(B3248,""en"",""de"")"),"Der Mann macht eine Pause und nimmt seinen Kaffee.")</f>
        <v>Der Mann macht eine Pause und nimmt seinen Kaffee.</v>
      </c>
    </row>
    <row r="3249">
      <c r="A3249" s="4" t="s">
        <v>4078</v>
      </c>
      <c r="B3249" s="4" t="s">
        <v>4081</v>
      </c>
      <c r="C3249" s="5" t="str">
        <f>IFERROR(__xludf.DUMMYFUNCTION("GOOGLETRANSLATE(B3249,""en"",""de"")"),"Dann schlägt der Mann eine Tasse Kaffee und eine Gitarre auf der Straße.")</f>
        <v>Dann schlägt der Mann eine Tasse Kaffee und eine Gitarre auf der Straße.</v>
      </c>
    </row>
    <row r="3250">
      <c r="A3250" s="4" t="s">
        <v>4078</v>
      </c>
      <c r="B3250" s="4" t="s">
        <v>4082</v>
      </c>
      <c r="C3250" s="5" t="str">
        <f>IFERROR(__xludf.DUMMYFUNCTION("GOOGLETRANSLATE(B3250,""en"",""de"")"),"Danach spielt der Mann vor einem Publikum Gitarre innen.")</f>
        <v>Danach spielt der Mann vor einem Publikum Gitarre innen.</v>
      </c>
    </row>
    <row r="3251">
      <c r="A3251" s="4" t="s">
        <v>4078</v>
      </c>
      <c r="B3251" s="4" t="s">
        <v>4083</v>
      </c>
      <c r="C3251" s="5" t="str">
        <f>IFERROR(__xludf.DUMMYFUNCTION("GOOGLETRANSLATE(B3251,""en"",""de"")"),"Als nächstes spielt der Mann gleichzeitig Mundharmonika und Gitarre.")</f>
        <v>Als nächstes spielt der Mann gleichzeitig Mundharmonika und Gitarre.</v>
      </c>
    </row>
    <row r="3252">
      <c r="A3252" s="4" t="s">
        <v>4084</v>
      </c>
      <c r="B3252" s="4" t="s">
        <v>4085</v>
      </c>
      <c r="C3252" s="5" t="str">
        <f>IFERROR(__xludf.DUMMYFUNCTION("GOOGLETRANSLATE(B3252,""en"",""de"")"),"Ein Junge spricht mit der Kamera zwei Basketbälle und führt ihn in ihn und hält sie an sein Gesicht.")</f>
        <v>Ein Junge spricht mit der Kamera zwei Basketbälle und führt ihn in ihn und hält sie an sein Gesicht.</v>
      </c>
    </row>
    <row r="3253">
      <c r="A3253" s="4" t="s">
        <v>4084</v>
      </c>
      <c r="B3253" s="4" t="s">
        <v>4086</v>
      </c>
      <c r="C3253" s="5" t="str">
        <f>IFERROR(__xludf.DUMMYFUNCTION("GOOGLETRANSLATE(B3253,""en"",""de"")"),"Der Junge bewegt sich dann auf und ab dem Platz auf und ab, während er die Bälle dribiert und am Ende einen Korb abfährt.")</f>
        <v>Der Junge bewegt sich dann auf und ab dem Platz auf und ab, während er die Bälle dribiert und am Ende einen Korb abfährt.</v>
      </c>
    </row>
    <row r="3254">
      <c r="A3254" s="4" t="s">
        <v>4087</v>
      </c>
      <c r="B3254" s="4" t="s">
        <v>4088</v>
      </c>
      <c r="C3254" s="5" t="str">
        <f>IFERROR(__xludf.DUMMYFUNCTION("GOOGLETRANSLATE(B3254,""en"",""de"")"),"Ein Intro führt in mehrere Klammern von Menschen, die im Kreis stehen und ein Objekt in die Entfernung abwerfen und endet, indem sie weggehen.")</f>
        <v>Ein Intro führt in mehrere Klammern von Menschen, die im Kreis stehen und ein Objekt in die Entfernung abwerfen und endet, indem sie weggehen.</v>
      </c>
    </row>
    <row r="3255">
      <c r="A3255" s="4" t="s">
        <v>4087</v>
      </c>
      <c r="B3255" s="4" t="s">
        <v>4089</v>
      </c>
      <c r="C3255" s="5" t="str">
        <f>IFERROR(__xludf.DUMMYFUNCTION("GOOGLETRANSLATE(B3255,""en"",""de"")"),"Mehrere weitere Menschen werden gesehen, wie sie sich in den Kreis eintauchen und Objekte in die Ferne werfen und miteinander jubeln.")</f>
        <v>Mehrere weitere Menschen werden gesehen, wie sie sich in den Kreis eintauchen und Objekte in die Ferne werfen und miteinander jubeln.</v>
      </c>
    </row>
    <row r="3256">
      <c r="A3256" s="4" t="s">
        <v>4090</v>
      </c>
      <c r="B3256" s="4" t="s">
        <v>4091</v>
      </c>
      <c r="C3256" s="5" t="str">
        <f>IFERROR(__xludf.DUMMYFUNCTION("GOOGLETRANSLATE(B3256,""en"",""de"")"),"Ein Mann hält sich an einem Seil fest und spricht mit der Kamera.")</f>
        <v>Ein Mann hält sich an einem Seil fest und spricht mit der Kamera.</v>
      </c>
    </row>
    <row r="3257">
      <c r="A3257" s="4" t="s">
        <v>4090</v>
      </c>
      <c r="B3257" s="4" t="s">
        <v>4092</v>
      </c>
      <c r="C3257" s="5" t="str">
        <f>IFERROR(__xludf.DUMMYFUNCTION("GOOGLETRANSLATE(B3257,""en"",""de"")"),"Er hält seinen Gürtel hoch, während er mit der Kamera spricht und beginnt die Wand hinauf.")</f>
        <v>Er hält seinen Gürtel hoch, während er mit der Kamera spricht und beginnt die Wand hinauf.</v>
      </c>
    </row>
    <row r="3258">
      <c r="A3258" s="4" t="s">
        <v>4090</v>
      </c>
      <c r="B3258" s="4" t="s">
        <v>4093</v>
      </c>
      <c r="C3258" s="5" t="str">
        <f>IFERROR(__xludf.DUMMYFUNCTION("GOOGLETRANSLATE(B3258,""en"",""de"")"),"Der Mann steigt ganz die Wand hinauf und endet, indem er von der Kamera wegblickt.")</f>
        <v>Der Mann steigt ganz die Wand hinauf und endet, indem er von der Kamera wegblickt.</v>
      </c>
    </row>
    <row r="3259">
      <c r="A3259" s="4" t="s">
        <v>4094</v>
      </c>
      <c r="B3259" s="4" t="s">
        <v>4095</v>
      </c>
      <c r="C3259" s="5" t="str">
        <f>IFERROR(__xludf.DUMMYFUNCTION("GOOGLETRANSLATE(B3259,""en"",""de"")"),"Wir sehen einen blauen Öffnungsbildschirm mit einem Getränk.")</f>
        <v>Wir sehen einen blauen Öffnungsbildschirm mit einem Getränk.</v>
      </c>
    </row>
    <row r="3260">
      <c r="A3260" s="4" t="s">
        <v>4094</v>
      </c>
      <c r="B3260" s="4" t="s">
        <v>4096</v>
      </c>
      <c r="C3260" s="5" t="str">
        <f>IFERROR(__xludf.DUMMYFUNCTION("GOOGLETRANSLATE(B3260,""en"",""de"")"),"Wir sehen eine Dame, die Getränke hinter einer Bar mischt.")</f>
        <v>Wir sehen eine Dame, die Getränke hinter einer Bar mischt.</v>
      </c>
    </row>
    <row r="3261">
      <c r="A3261" s="4" t="s">
        <v>4094</v>
      </c>
      <c r="B3261" s="4" t="s">
        <v>4097</v>
      </c>
      <c r="C3261" s="5" t="str">
        <f>IFERROR(__xludf.DUMMYFUNCTION("GOOGLETRANSLATE(B3261,""en"",""de"")"),"Die Dame fügt Eis und drei Schüsse zu einem Glas hinzu.")</f>
        <v>Die Dame fügt Eis und drei Schüsse zu einem Glas hinzu.</v>
      </c>
    </row>
    <row r="3262">
      <c r="A3262" s="4" t="s">
        <v>4094</v>
      </c>
      <c r="B3262" s="4" t="s">
        <v>4098</v>
      </c>
      <c r="C3262" s="5" t="str">
        <f>IFERROR(__xludf.DUMMYFUNCTION("GOOGLETRANSLATE(B3262,""en"",""de"")"),"Die Dame gießt etwas Rotes in das Glas.")</f>
        <v>Die Dame gießt etwas Rotes in das Glas.</v>
      </c>
    </row>
    <row r="3263">
      <c r="A3263" s="4" t="s">
        <v>4094</v>
      </c>
      <c r="B3263" s="4" t="s">
        <v>4099</v>
      </c>
      <c r="C3263" s="5" t="str">
        <f>IFERROR(__xludf.DUMMYFUNCTION("GOOGLETRANSLATE(B3263,""en"",""de"")"),"Die Dame fügt etwas aus dem Spender und eine Dose hinzu.")</f>
        <v>Die Dame fügt etwas aus dem Spender und eine Dose hinzu.</v>
      </c>
    </row>
    <row r="3264">
      <c r="A3264" s="4" t="s">
        <v>4094</v>
      </c>
      <c r="B3264" s="4" t="s">
        <v>4100</v>
      </c>
      <c r="C3264" s="5" t="str">
        <f>IFERROR(__xludf.DUMMYFUNCTION("GOOGLETRANSLATE(B3264,""en"",""de"")"),"Die Dame rührt sich dann das Getränk nach vorne.")</f>
        <v>Die Dame rührt sich dann das Getränk nach vorne.</v>
      </c>
    </row>
    <row r="3265">
      <c r="A3265" s="4" t="s">
        <v>4094</v>
      </c>
      <c r="B3265" s="4" t="s">
        <v>4101</v>
      </c>
      <c r="C3265" s="5" t="str">
        <f>IFERROR(__xludf.DUMMYFUNCTION("GOOGLETRANSLATE(B3265,""en"",""de"")"),"Wir sehen einen roten Abschlussbildschirm und einen langen schwarzen Bildschirm.")</f>
        <v>Wir sehen einen roten Abschlussbildschirm und einen langen schwarzen Bildschirm.</v>
      </c>
    </row>
    <row r="3266">
      <c r="A3266" s="4" t="s">
        <v>4102</v>
      </c>
      <c r="B3266" s="4" t="s">
        <v>4103</v>
      </c>
      <c r="C3266" s="5" t="str">
        <f>IFERROR(__xludf.DUMMYFUNCTION("GOOGLETRANSLATE(B3266,""en"",""de"")"),"Verschiedene Trophäenaufnahmen werden gezeigt, wenn Mädchen die Kamera interviewen und Gymnastikbewegungen durchführen.")</f>
        <v>Verschiedene Trophäenaufnahmen werden gezeigt, wenn Mädchen die Kamera interviewen und Gymnastikbewegungen durchführen.</v>
      </c>
    </row>
    <row r="3267">
      <c r="A3267" s="4" t="s">
        <v>4102</v>
      </c>
      <c r="B3267" s="4" t="s">
        <v>4104</v>
      </c>
      <c r="C3267" s="5" t="str">
        <f>IFERROR(__xludf.DUMMYFUNCTION("GOOGLETRANSLATE(B3267,""en"",""de"")"),"Ein Ausbilder zeigt dann den Mädchen, wie man einen Stunt richtig ausführt, und hat ein weiteres Mädchen auf ihre Hände.")</f>
        <v>Ein Ausbilder zeigt dann den Mädchen, wie man einen Stunt richtig ausführt, und hat ein weiteres Mädchen auf ihre Hände.</v>
      </c>
    </row>
    <row r="3268">
      <c r="A3268" s="4" t="s">
        <v>4102</v>
      </c>
      <c r="B3268" s="4" t="s">
        <v>4105</v>
      </c>
      <c r="C3268" s="5" t="str">
        <f>IFERROR(__xludf.DUMMYFUNCTION("GOOGLETRANSLATE(B3268,""en"",""de"")"),"Das Mädchen führt kontinuierlich Stunts mit den Ausbildern mit Hilfe durch und ein anderes Mädchen wird gezeigt, wie sie mit der Kamera spricht.")</f>
        <v>Das Mädchen führt kontinuierlich Stunts mit den Ausbildern mit Hilfe durch und ein anderes Mädchen wird gezeigt, wie sie mit der Kamera spricht.</v>
      </c>
    </row>
    <row r="3269">
      <c r="A3269" s="4" t="s">
        <v>4106</v>
      </c>
      <c r="B3269" s="4" t="s">
        <v>4107</v>
      </c>
      <c r="C3269" s="5" t="str">
        <f>IFERROR(__xludf.DUMMYFUNCTION("GOOGLETRANSLATE(B3269,""en"",""de"")"),"Es gibt einen Nachrichtenreporter mit einem rosa Blumenkleid und einer weißen Jacke, die ein Update zu Sportnachrichten gibt.")</f>
        <v>Es gibt einen Nachrichtenreporter mit einem rosa Blumenkleid und einer weißen Jacke, die ein Update zu Sportnachrichten gibt.</v>
      </c>
    </row>
    <row r="3270">
      <c r="A3270" s="4" t="s">
        <v>4106</v>
      </c>
      <c r="B3270" s="4" t="s">
        <v>4108</v>
      </c>
      <c r="C3270" s="5" t="str">
        <f>IFERROR(__xludf.DUMMYFUNCTION("GOOGLETRANSLATE(B3270,""en"",""de"")"),"Sie zeigt Ereignisse der London Paralympics.")</f>
        <v>Sie zeigt Ereignisse der London Paralympics.</v>
      </c>
    </row>
    <row r="3271">
      <c r="A3271" s="4" t="s">
        <v>4106</v>
      </c>
      <c r="B3271" s="4" t="s">
        <v>4109</v>
      </c>
      <c r="C3271" s="5" t="str">
        <f>IFERROR(__xludf.DUMMYFUNCTION("GOOGLETRANSLATE(B3271,""en"",""de"")"),"Sie zeigt den Zuschauern die verschiedenen Ereignisse wie Shooting Put, Schwimmen und Laufen und die Goldmedaillen, die bei diesen Events gewonnen wurden.")</f>
        <v>Sie zeigt den Zuschauern die verschiedenen Ereignisse wie Shooting Put, Schwimmen und Laufen und die Goldmedaillen, die bei diesen Events gewonnen wurden.</v>
      </c>
    </row>
    <row r="3272">
      <c r="A3272" s="4" t="s">
        <v>4106</v>
      </c>
      <c r="B3272" s="4" t="s">
        <v>4110</v>
      </c>
      <c r="C3272" s="5" t="str">
        <f>IFERROR(__xludf.DUMMYFUNCTION("GOOGLETRANSLATE(B3272,""en"",""de"")"),"Während die Nachrichten über die aktuellen Ereignisse informiert sind.")</f>
        <v>Während die Nachrichten über die aktuellen Ereignisse informiert sind.</v>
      </c>
    </row>
    <row r="3273">
      <c r="A3273" s="4" t="s">
        <v>4106</v>
      </c>
      <c r="B3273" s="4" t="s">
        <v>4111</v>
      </c>
      <c r="C3273" s="5" t="str">
        <f>IFERROR(__xludf.DUMMYFUNCTION("GOOGLETRANSLATE(B3273,""en"",""de"")"),"Sie zeigt auch den Zuschauern alle Medaillen, die von allen Ländern gewonnen werden, die an den Paralympics teilgenommen haben.")</f>
        <v>Sie zeigt auch den Zuschauern alle Medaillen, die von allen Ländern gewonnen werden, die an den Paralympics teilgenommen haben.</v>
      </c>
    </row>
    <row r="3274">
      <c r="A3274" s="4" t="s">
        <v>4112</v>
      </c>
      <c r="B3274" s="4" t="s">
        <v>4113</v>
      </c>
      <c r="C3274" s="5" t="str">
        <f>IFERROR(__xludf.DUMMYFUNCTION("GOOGLETRANSLATE(B3274,""en"",""de"")"),"Eine Frau rennt einen Schmutzweg hinunter.")</f>
        <v>Eine Frau rennt einen Schmutzweg hinunter.</v>
      </c>
    </row>
    <row r="3275">
      <c r="A3275" s="4" t="s">
        <v>4112</v>
      </c>
      <c r="B3275" s="4" t="s">
        <v>4114</v>
      </c>
      <c r="C3275" s="5" t="str">
        <f>IFERROR(__xludf.DUMMYFUNCTION("GOOGLETRANSLATE(B3275,""en"",""de"")"),"Sie benutzt eine Pole, um über einen Hochstrahl abzuwehren.")</f>
        <v>Sie benutzt eine Pole, um über einen Hochstrahl abzuwehren.</v>
      </c>
    </row>
    <row r="3276">
      <c r="A3276" s="4" t="s">
        <v>4115</v>
      </c>
      <c r="B3276" s="4" t="s">
        <v>4116</v>
      </c>
      <c r="C3276" s="5" t="str">
        <f>IFERROR(__xludf.DUMMYFUNCTION("GOOGLETRANSLATE(B3276,""en"",""de"")"),"Eine Person wird in schneller Bewegung in einem Hinterhof über einen Zaun über einen Zaun sprüht.")</f>
        <v>Eine Person wird in schneller Bewegung in einem Hinterhof über einen Zaun über einen Zaun sprüht.</v>
      </c>
    </row>
    <row r="3277">
      <c r="A3277" s="4" t="s">
        <v>4115</v>
      </c>
      <c r="B3277" s="4" t="s">
        <v>4117</v>
      </c>
      <c r="C3277" s="5" t="str">
        <f>IFERROR(__xludf.DUMMYFUNCTION("GOOGLETRANSLATE(B3277,""en"",""de"")"),"Die Person sprüht weiter und endet damit, dass die Kamera schwarz verblasst.")</f>
        <v>Die Person sprüht weiter und endet damit, dass die Kamera schwarz verblasst.</v>
      </c>
    </row>
    <row r="3278">
      <c r="A3278" s="4" t="s">
        <v>4118</v>
      </c>
      <c r="B3278" s="4" t="s">
        <v>4119</v>
      </c>
      <c r="C3278" s="5" t="str">
        <f>IFERROR(__xludf.DUMMYFUNCTION("GOOGLETRANSLATE(B3278,""en"",""de"")"),"Das Video beginnt mit einer Titel Folie.")</f>
        <v>Das Video beginnt mit einer Titel Folie.</v>
      </c>
    </row>
    <row r="3279">
      <c r="A3279" s="4" t="s">
        <v>4118</v>
      </c>
      <c r="B3279" s="4" t="s">
        <v>4120</v>
      </c>
      <c r="C3279" s="5" t="str">
        <f>IFERROR(__xludf.DUMMYFUNCTION("GOOGLETRANSLATE(B3279,""en"",""de"")"),"Eine Frau und ein Kind sind in einem Park mit einem Sprungseil.")</f>
        <v>Eine Frau und ein Kind sind in einem Park mit einem Sprungseil.</v>
      </c>
    </row>
    <row r="3280">
      <c r="A3280" s="4" t="s">
        <v>4118</v>
      </c>
      <c r="B3280" s="4" t="s">
        <v>4121</v>
      </c>
      <c r="C3280" s="5" t="str">
        <f>IFERROR(__xludf.DUMMYFUNCTION("GOOGLETRANSLATE(B3280,""en"",""de"")"),"Die Frau beginnt zu demonstrieren, wie man das Sprungseil benutzt, während das Kind versucht, sie zu kopieren.")</f>
        <v>Die Frau beginnt zu demonstrieren, wie man das Sprungseil benutzt, während das Kind versucht, sie zu kopieren.</v>
      </c>
    </row>
    <row r="3281">
      <c r="A3281" s="4" t="s">
        <v>4118</v>
      </c>
      <c r="B3281" s="4" t="s">
        <v>4122</v>
      </c>
      <c r="C3281" s="5" t="str">
        <f>IFERROR(__xludf.DUMMYFUNCTION("GOOGLETRANSLATE(B3281,""en"",""de"")"),"Irgendwann läuft eine andere Frau im Hintergrund über den Bildschirm, während sie das Springen seilt.")</f>
        <v>Irgendwann läuft eine andere Frau im Hintergrund über den Bildschirm, während sie das Springen seilt.</v>
      </c>
    </row>
    <row r="3282">
      <c r="A3282" s="4" t="s">
        <v>4118</v>
      </c>
      <c r="B3282" s="4" t="s">
        <v>4123</v>
      </c>
      <c r="C3282" s="5" t="str">
        <f>IFERROR(__xludf.DUMMYFUNCTION("GOOGLETRANSLATE(B3282,""en"",""de"")"),"Das Video endet mit beiden Frauen, die mit der Kamera sprechen und eine endgültige Titelsequenz.")</f>
        <v>Das Video endet mit beiden Frauen, die mit der Kamera sprechen und eine endgültige Titelsequenz.</v>
      </c>
    </row>
    <row r="3283">
      <c r="A3283" s="4" t="s">
        <v>4124</v>
      </c>
      <c r="B3283" s="4" t="s">
        <v>4125</v>
      </c>
      <c r="C3283" s="5" t="str">
        <f>IFERROR(__xludf.DUMMYFUNCTION("GOOGLETRANSLATE(B3283,""en"",""de"")"),"Ein Baby sitzt in einer Schaukel.")</f>
        <v>Ein Baby sitzt in einer Schaukel.</v>
      </c>
    </row>
    <row r="3284">
      <c r="A3284" s="4" t="s">
        <v>4124</v>
      </c>
      <c r="B3284" s="4" t="s">
        <v>4126</v>
      </c>
      <c r="C3284" s="5" t="str">
        <f>IFERROR(__xludf.DUMMYFUNCTION("GOOGLETRANSLATE(B3284,""en"",""de"")"),"Das Baby lacht und schüttelt seine Füße.")</f>
        <v>Das Baby lacht und schüttelt seine Füße.</v>
      </c>
    </row>
    <row r="3285">
      <c r="A3285" s="4" t="s">
        <v>4124</v>
      </c>
      <c r="B3285" s="4" t="s">
        <v>4127</v>
      </c>
      <c r="C3285" s="5" t="str">
        <f>IFERROR(__xludf.DUMMYFUNCTION("GOOGLETRANSLATE(B3285,""en"",""de"")"),"Das Baby dreht sich zur Seite der Schwung.")</f>
        <v>Das Baby dreht sich zur Seite der Schwung.</v>
      </c>
    </row>
    <row r="3286">
      <c r="A3286" s="4" t="s">
        <v>4128</v>
      </c>
      <c r="B3286" s="4" t="s">
        <v>4129</v>
      </c>
      <c r="C3286" s="5" t="str">
        <f>IFERROR(__xludf.DUMMYFUNCTION("GOOGLETRANSLATE(B3286,""en"",""de"")"),"Mehrere Schwimmer gehen aneinander vorbei und schütteln die Hand.")</f>
        <v>Mehrere Schwimmer gehen aneinander vorbei und schütteln die Hand.</v>
      </c>
    </row>
    <row r="3287">
      <c r="A3287" s="4" t="s">
        <v>4128</v>
      </c>
      <c r="B3287" s="4" t="s">
        <v>4130</v>
      </c>
      <c r="C3287" s="5" t="str">
        <f>IFERROR(__xludf.DUMMYFUNCTION("GOOGLETRANSLATE(B3287,""en"",""de"")"),"Sie versammeln sich im Pool und beteiligen sich dann in ein Spiel mit Wasserball.")</f>
        <v>Sie versammeln sich im Pool und beteiligen sich dann in ein Spiel mit Wasserball.</v>
      </c>
    </row>
    <row r="3288">
      <c r="A3288" s="4" t="s">
        <v>4128</v>
      </c>
      <c r="B3288" s="4" t="s">
        <v>4131</v>
      </c>
      <c r="C3288" s="5" t="str">
        <f>IFERROR(__xludf.DUMMYFUNCTION("GOOGLETRANSLATE(B3288,""en"",""de"")"),"Sie schlugen den Ball hin und her und versuchten, ihn ins Netz zu bringen.")</f>
        <v>Sie schlugen den Ball hin und her und versuchten, ihn ins Netz zu bringen.</v>
      </c>
    </row>
    <row r="3289">
      <c r="A3289" s="4" t="s">
        <v>4132</v>
      </c>
      <c r="B3289" s="4" t="s">
        <v>4133</v>
      </c>
      <c r="C3289" s="5" t="str">
        <f>IFERROR(__xludf.DUMMYFUNCTION("GOOGLETRANSLATE(B3289,""en"",""de"")"),"Ein Mann in einem roten Hemd spricht mit der Kamera.")</f>
        <v>Ein Mann in einem roten Hemd spricht mit der Kamera.</v>
      </c>
    </row>
    <row r="3290">
      <c r="A3290" s="4" t="s">
        <v>4132</v>
      </c>
      <c r="B3290" s="4" t="s">
        <v>4134</v>
      </c>
      <c r="C3290" s="5" t="str">
        <f>IFERROR(__xludf.DUMMYFUNCTION("GOOGLETRANSLATE(B3290,""en"",""de"")"),"Er beginnt einen Ball gegen eine Wand vor ihm zu schlagen.")</f>
        <v>Er beginnt einen Ball gegen eine Wand vor ihm zu schlagen.</v>
      </c>
    </row>
    <row r="3291">
      <c r="A3291" s="4" t="s">
        <v>4132</v>
      </c>
      <c r="B3291" s="4" t="s">
        <v>4135</v>
      </c>
      <c r="C3291" s="5" t="str">
        <f>IFERROR(__xludf.DUMMYFUNCTION("GOOGLETRANSLATE(B3291,""en"",""de"")"),"Er hält an und geht zur Kamera.")</f>
        <v>Er hält an und geht zur Kamera.</v>
      </c>
    </row>
    <row r="3292">
      <c r="A3292" s="4" t="s">
        <v>4136</v>
      </c>
      <c r="B3292" s="4" t="s">
        <v>4137</v>
      </c>
      <c r="C3292" s="5" t="str">
        <f>IFERROR(__xludf.DUMMYFUNCTION("GOOGLETRANSLATE(B3292,""en"",""de"")"),"Eine Nahaufnahme eines Schilds wird von einer Person angezeigt, die lackiert.")</f>
        <v>Eine Nahaufnahme eines Schilds wird von einer Person angezeigt, die lackiert.</v>
      </c>
    </row>
    <row r="3293">
      <c r="A3293" s="4" t="s">
        <v>4136</v>
      </c>
      <c r="B3293" s="4" t="s">
        <v>4138</v>
      </c>
      <c r="C3293" s="5" t="str">
        <f>IFERROR(__xludf.DUMMYFUNCTION("GOOGLETRANSLATE(B3293,""en"",""de"")"),"Die Person wird dann im rund um den Bereich Farbe verteilt, während ein weiterer lächelt zur Kamera.")</f>
        <v>Die Person wird dann im rund um den Bereich Farbe verteilt, während ein weiterer lächelt zur Kamera.</v>
      </c>
    </row>
    <row r="3294">
      <c r="A3294" s="4" t="s">
        <v>4136</v>
      </c>
      <c r="B3294" s="4" t="s">
        <v>4139</v>
      </c>
      <c r="C3294" s="5" t="str">
        <f>IFERROR(__xludf.DUMMYFUNCTION("GOOGLETRANSLATE(B3294,""en"",""de"")"),"Die Männer legen weiterhin Gips auf die Wände.")</f>
        <v>Die Männer legen weiterhin Gips auf die Wände.</v>
      </c>
    </row>
    <row r="3295">
      <c r="A3295" s="4" t="s">
        <v>4140</v>
      </c>
      <c r="B3295" s="4" t="s">
        <v>4141</v>
      </c>
      <c r="C3295" s="5" t="str">
        <f>IFERROR(__xludf.DUMMYFUNCTION("GOOGLETRANSLATE(B3295,""en"",""de"")"),"Ein Mann reinigt Schnee, der auf sein Auto gefallen ist.")</f>
        <v>Ein Mann reinigt Schnee, der auf sein Auto gefallen ist.</v>
      </c>
    </row>
    <row r="3296">
      <c r="A3296" s="4" t="s">
        <v>4140</v>
      </c>
      <c r="B3296" s="4" t="s">
        <v>4142</v>
      </c>
      <c r="C3296" s="5" t="str">
        <f>IFERROR(__xludf.DUMMYFUNCTION("GOOGLETRANSLATE(B3296,""en"",""de"")"),"Er steht auf der Straße, auf der sein Auto geparkt ist.")</f>
        <v>Er steht auf der Straße, auf der sein Auto geparkt ist.</v>
      </c>
    </row>
    <row r="3297">
      <c r="A3297" s="4" t="s">
        <v>4140</v>
      </c>
      <c r="B3297" s="4" t="s">
        <v>4143</v>
      </c>
      <c r="C3297" s="5" t="str">
        <f>IFERROR(__xludf.DUMMYFUNCTION("GOOGLETRANSLATE(B3297,""en"",""de"")"),"Er räumt Schnee von der Spitze seines Autos ab, indem er ihn kratzt.")</f>
        <v>Er räumt Schnee von der Spitze seines Autos ab, indem er ihn kratzt.</v>
      </c>
    </row>
    <row r="3298">
      <c r="A3298" s="4" t="s">
        <v>4140</v>
      </c>
      <c r="B3298" s="4" t="s">
        <v>4144</v>
      </c>
      <c r="C3298" s="5" t="str">
        <f>IFERROR(__xludf.DUMMYFUNCTION("GOOGLETRANSLATE(B3298,""en"",""de"")"),"Dann reinigt er die Seiten seines Autos.")</f>
        <v>Dann reinigt er die Seiten seines Autos.</v>
      </c>
    </row>
    <row r="3299">
      <c r="A3299" s="4" t="s">
        <v>4140</v>
      </c>
      <c r="B3299" s="4" t="s">
        <v>4145</v>
      </c>
      <c r="C3299" s="5" t="str">
        <f>IFERROR(__xludf.DUMMYFUNCTION("GOOGLETRANSLATE(B3299,""en"",""de"")"),"Er gibt jemandem einen Daumen hoch, als er das Auto reinigt.")</f>
        <v>Er gibt jemandem einen Daumen hoch, als er das Auto reinigt.</v>
      </c>
    </row>
    <row r="3300">
      <c r="A3300" s="4" t="s">
        <v>4140</v>
      </c>
      <c r="B3300" s="4" t="s">
        <v>4146</v>
      </c>
      <c r="C3300" s="5" t="str">
        <f>IFERROR(__xludf.DUMMYFUNCTION("GOOGLETRANSLATE(B3300,""en"",""de"")"),"Dann bewegt er sich zur Vorderseite des Autos, um die Windschutzscheibe zu reinigen.")</f>
        <v>Dann bewegt er sich zur Vorderseite des Autos, um die Windschutzscheibe zu reinigen.</v>
      </c>
    </row>
    <row r="3301">
      <c r="A3301" s="4" t="s">
        <v>4147</v>
      </c>
      <c r="B3301" s="4" t="s">
        <v>4148</v>
      </c>
      <c r="C3301" s="5" t="str">
        <f>IFERROR(__xludf.DUMMYFUNCTION("GOOGLETRANSLATE(B3301,""en"",""de"")"),"Eine Nahaufnahme einer Shisha ist zu sehen, die zu einem anderen Mann führt.")</f>
        <v>Eine Nahaufnahme einer Shisha ist zu sehen, die zu einem anderen Mann führt.</v>
      </c>
    </row>
    <row r="3302">
      <c r="A3302" s="4" t="s">
        <v>4147</v>
      </c>
      <c r="B3302" s="4" t="s">
        <v>4149</v>
      </c>
      <c r="C3302" s="5" t="str">
        <f>IFERROR(__xludf.DUMMYFUNCTION("GOOGLETRANSLATE(B3302,""en"",""de"")"),"Der Mann packt den Schlauch und nimmt einen Treffer von der Shisha.")</f>
        <v>Der Mann packt den Schlauch und nimmt einen Treffer von der Shisha.</v>
      </c>
    </row>
    <row r="3303">
      <c r="A3303" s="4" t="s">
        <v>4147</v>
      </c>
      <c r="B3303" s="4" t="s">
        <v>4150</v>
      </c>
      <c r="C3303" s="5" t="str">
        <f>IFERROR(__xludf.DUMMYFUNCTION("GOOGLETRANSLATE(B3303,""en"",""de"")"),"Der Mann bläst dann Rauch in das Kameraobjektiv.")</f>
        <v>Der Mann bläst dann Rauch in das Kameraobjektiv.</v>
      </c>
    </row>
    <row r="3304">
      <c r="A3304" s="4" t="s">
        <v>4151</v>
      </c>
      <c r="B3304" s="4" t="s">
        <v>4152</v>
      </c>
      <c r="C3304" s="5" t="str">
        <f>IFERROR(__xludf.DUMMYFUNCTION("GOOGLETRANSLATE(B3304,""en"",""de"")"),"Der Mann springt den Ball und schlägt ihn mit seinem Schläger.")</f>
        <v>Der Mann springt den Ball und schlägt ihn mit seinem Schläger.</v>
      </c>
    </row>
    <row r="3305">
      <c r="A3305" s="4" t="s">
        <v>4151</v>
      </c>
      <c r="B3305" s="4" t="s">
        <v>4153</v>
      </c>
      <c r="C3305" s="5" t="str">
        <f>IFERROR(__xludf.DUMMYFUNCTION("GOOGLETRANSLATE(B3305,""en"",""de"")"),"Der Mann springt den Ball und schlägt ihn über den Platz.")</f>
        <v>Der Mann springt den Ball und schlägt ihn über den Platz.</v>
      </c>
    </row>
    <row r="3306">
      <c r="A3306" s="4" t="s">
        <v>4151</v>
      </c>
      <c r="B3306" s="4" t="s">
        <v>4154</v>
      </c>
      <c r="C3306" s="5" t="str">
        <f>IFERROR(__xludf.DUMMYFUNCTION("GOOGLETRANSLATE(B3306,""en"",""de"")"),"Der Mann springt dann und trifft einen weiteren Ball.")</f>
        <v>Der Mann springt dann und trifft einen weiteren Ball.</v>
      </c>
    </row>
    <row r="3307">
      <c r="A3307" s="4" t="s">
        <v>4155</v>
      </c>
      <c r="B3307" s="4" t="s">
        <v>4156</v>
      </c>
      <c r="C3307" s="5" t="str">
        <f>IFERROR(__xludf.DUMMYFUNCTION("GOOGLETRANSLATE(B3307,""en"",""de"")"),"Ein sportlicher Mann läuft in Zeitlupe durch eine Straße, während sich die Kamera um seinen Körper bewegt.")</f>
        <v>Ein sportlicher Mann läuft in Zeitlupe durch eine Straße, während sich die Kamera um seinen Körper bewegt.</v>
      </c>
    </row>
    <row r="3308">
      <c r="A3308" s="4" t="s">
        <v>4155</v>
      </c>
      <c r="B3308" s="4" t="s">
        <v>4157</v>
      </c>
      <c r="C3308" s="5" t="str">
        <f>IFERROR(__xludf.DUMMYFUNCTION("GOOGLETRANSLATE(B3308,""en"",""de"")"),"Das Video friert dann auf den Füßen ein, um Text zu zeigen, und endet damit, dass er seine Arme in die Luft hält.")</f>
        <v>Das Video friert dann auf den Füßen ein, um Text zu zeigen, und endet damit, dass er seine Arme in die Luft hält.</v>
      </c>
    </row>
    <row r="3309">
      <c r="A3309" s="4" t="s">
        <v>4158</v>
      </c>
      <c r="B3309" s="4" t="s">
        <v>4159</v>
      </c>
      <c r="C3309" s="5" t="str">
        <f>IFERROR(__xludf.DUMMYFUNCTION("GOOGLETRANSLATE(B3309,""en"",""de"")"),"Eine Frau spricht mit der Kamera, während sie eine Schachtel und Zeitung hochhält.")</f>
        <v>Eine Frau spricht mit der Kamera, während sie eine Schachtel und Zeitung hochhält.</v>
      </c>
    </row>
    <row r="3310">
      <c r="A3310" s="4" t="s">
        <v>4158</v>
      </c>
      <c r="B3310" s="4" t="s">
        <v>4160</v>
      </c>
      <c r="C3310" s="5" t="str">
        <f>IFERROR(__xludf.DUMMYFUNCTION("GOOGLETRANSLATE(B3310,""en"",""de"")"),"Die Frau fängt dann an, die Nachrichtenpapier zu schneiden und die Schachtel in die Mitte zu legen.")</f>
        <v>Die Frau fängt dann an, die Nachrichtenpapier zu schneiden und die Schachtel in die Mitte zu legen.</v>
      </c>
    </row>
    <row r="3311">
      <c r="A3311" s="4" t="s">
        <v>4158</v>
      </c>
      <c r="B3311" s="4" t="s">
        <v>4161</v>
      </c>
      <c r="C3311" s="5" t="str">
        <f>IFERROR(__xludf.DUMMYFUNCTION("GOOGLETRANSLATE(B3311,""en"",""de"")"),"Die Frauen schließen die Schachtel mit dem Nachrichtenpapier ab und klappen sie an den Seiten.")</f>
        <v>Die Frauen schließen die Schachtel mit dem Nachrichtenpapier ab und klappen sie an den Seiten.</v>
      </c>
    </row>
    <row r="3312">
      <c r="A3312" s="4" t="s">
        <v>4162</v>
      </c>
      <c r="B3312" s="4" t="s">
        <v>4163</v>
      </c>
      <c r="C3312" s="5" t="str">
        <f>IFERROR(__xludf.DUMMYFUNCTION("GOOGLETRANSLATE(B3312,""en"",""de"")"),"Ein Mann spricht mit der Kamera und rasiert von seinen Gesichtshaaren.")</f>
        <v>Ein Mann spricht mit der Kamera und rasiert von seinen Gesichtshaaren.</v>
      </c>
    </row>
    <row r="3313">
      <c r="A3313" s="4" t="s">
        <v>4162</v>
      </c>
      <c r="B3313" s="4" t="s">
        <v>4164</v>
      </c>
      <c r="C3313" s="5" t="str">
        <f>IFERROR(__xludf.DUMMYFUNCTION("GOOGLETRANSLATE(B3313,""en"",""de"")"),"Der Mann rasiert weiter und zeigt seine Vor- und Nachher -Bilder.")</f>
        <v>Der Mann rasiert weiter und zeigt seine Vor- und Nachher -Bilder.</v>
      </c>
    </row>
    <row r="3314">
      <c r="A3314" s="4" t="s">
        <v>4165</v>
      </c>
      <c r="B3314" s="4" t="s">
        <v>4166</v>
      </c>
      <c r="C3314" s="5" t="str">
        <f>IFERROR(__xludf.DUMMYFUNCTION("GOOGLETRANSLATE(B3314,""en"",""de"")"),"Eine Frau spricht mit der Kamera und zeigt der Kamera verschiedene Werkzeuge.")</f>
        <v>Eine Frau spricht mit der Kamera und zeigt der Kamera verschiedene Werkzeuge.</v>
      </c>
    </row>
    <row r="3315">
      <c r="A3315" s="4" t="s">
        <v>4165</v>
      </c>
      <c r="B3315" s="4" t="s">
        <v>4167</v>
      </c>
      <c r="C3315" s="5" t="str">
        <f>IFERROR(__xludf.DUMMYFUNCTION("GOOGLETRANSLATE(B3315,""en"",""de"")"),"Sie erklärt, wie jedes Werkzeug zum Reinigen eines Pferdes funktioniert und endet, indem sie zur Kamera lächelt.")</f>
        <v>Sie erklärt, wie jedes Werkzeug zum Reinigen eines Pferdes funktioniert und endet, indem sie zur Kamera lächelt.</v>
      </c>
    </row>
    <row r="3316">
      <c r="A3316" s="4" t="s">
        <v>4168</v>
      </c>
      <c r="B3316" s="4" t="s">
        <v>4169</v>
      </c>
      <c r="C3316" s="5" t="str">
        <f>IFERROR(__xludf.DUMMYFUNCTION("GOOGLETRANSLATE(B3316,""en"",""de"")"),"Eine Texteinführung, die das Ereignis beschreibt, wird angezeigt.")</f>
        <v>Eine Texteinführung, die das Ereignis beschreibt, wird angezeigt.</v>
      </c>
    </row>
    <row r="3317">
      <c r="A3317" s="4" t="s">
        <v>4168</v>
      </c>
      <c r="B3317" s="4" t="s">
        <v>4170</v>
      </c>
      <c r="C3317" s="5" t="str">
        <f>IFERROR(__xludf.DUMMYFUNCTION("GOOGLETRANSLATE(B3317,""en"",""de"")"),"Eine Frau führt Gymnastik in ungleichmäßigen Bars durch, während eine Reihe von Zuschauern zuschauen.")</f>
        <v>Eine Frau führt Gymnastik in ungleichmäßigen Bars durch, während eine Reihe von Zuschauern zuschauen.</v>
      </c>
    </row>
    <row r="3318">
      <c r="A3318" s="4" t="s">
        <v>4168</v>
      </c>
      <c r="B3318" s="4" t="s">
        <v>4171</v>
      </c>
      <c r="C3318" s="5" t="str">
        <f>IFERROR(__xludf.DUMMYFUNCTION("GOOGLETRANSLATE(B3318,""en"",""de"")"),"Die Frau steigt von den Bars ab.")</f>
        <v>Die Frau steigt von den Bars ab.</v>
      </c>
    </row>
    <row r="3319">
      <c r="A3319" s="4" t="s">
        <v>4172</v>
      </c>
      <c r="B3319" s="4" t="s">
        <v>4173</v>
      </c>
      <c r="C3319" s="5" t="str">
        <f>IFERROR(__xludf.DUMMYFUNCTION("GOOGLETRANSLATE(B3319,""en"",""de"")"),"Es gibt einen jungen Mann in einem roten Hemd und einem blauen Beanie -Hut, der die Mundharmonika spielt.")</f>
        <v>Es gibt einen jungen Mann in einem roten Hemd und einem blauen Beanie -Hut, der die Mundharmonika spielt.</v>
      </c>
    </row>
    <row r="3320">
      <c r="A3320" s="4" t="s">
        <v>4172</v>
      </c>
      <c r="B3320" s="4" t="s">
        <v>4174</v>
      </c>
      <c r="C3320" s="5" t="str">
        <f>IFERROR(__xludf.DUMMYFUNCTION("GOOGLETRANSLATE(B3320,""en"",""de"")"),"Er spielt rhythmisch, als er die Mundharmonika schnell durch seinen Mund bewegt, um eine schnelle Melodie zu spielen.")</f>
        <v>Er spielt rhythmisch, als er die Mundharmonika schnell durch seinen Mund bewegt, um eine schnelle Melodie zu spielen.</v>
      </c>
    </row>
    <row r="3321">
      <c r="A3321" s="4" t="s">
        <v>4172</v>
      </c>
      <c r="B3321" s="4" t="s">
        <v>4175</v>
      </c>
      <c r="C3321" s="5" t="str">
        <f>IFERROR(__xludf.DUMMYFUNCTION("GOOGLETRANSLATE(B3321,""en"",""de"")"),"Er spielt weiterhin die Melodie, als er in tiefem Konzentration seine Augen schließt.")</f>
        <v>Er spielt weiterhin die Melodie, als er in tiefem Konzentration seine Augen schließt.</v>
      </c>
    </row>
    <row r="3322">
      <c r="A3322" s="4" t="s">
        <v>4172</v>
      </c>
      <c r="B3322" s="4" t="s">
        <v>4176</v>
      </c>
      <c r="C3322" s="5" t="str">
        <f>IFERROR(__xludf.DUMMYFUNCTION("GOOGLETRANSLATE(B3322,""en"",""de"")"),"Er bewegt die Mundharmonika -Seite, während er weiter spielt, bis er zu Ende geht.")</f>
        <v>Er bewegt die Mundharmonika -Seite, während er weiter spielt, bis er zu Ende geht.</v>
      </c>
    </row>
    <row r="3323">
      <c r="A3323" s="4" t="s">
        <v>4177</v>
      </c>
      <c r="B3323" s="4" t="s">
        <v>4178</v>
      </c>
      <c r="C3323" s="5" t="str">
        <f>IFERROR(__xludf.DUMMYFUNCTION("GOOGLETRANSLATE(B3323,""en"",""de"")"),"Eine Gruppe älterer Männer betritt eine Eisbahn.")</f>
        <v>Eine Gruppe älterer Männer betritt eine Eisbahn.</v>
      </c>
    </row>
    <row r="3324">
      <c r="A3324" s="4" t="s">
        <v>4177</v>
      </c>
      <c r="B3324" s="4" t="s">
        <v>4179</v>
      </c>
      <c r="C3324" s="5" t="str">
        <f>IFERROR(__xludf.DUMMYFUNCTION("GOOGLETRANSLATE(B3324,""en"",""de"")"),"Die Gruppe der Männer versammelt sich und macht sich bereit, Curling zu spielen.")</f>
        <v>Die Gruppe der Männer versammelt sich und macht sich bereit, Curling zu spielen.</v>
      </c>
    </row>
    <row r="3325">
      <c r="A3325" s="4" t="s">
        <v>4177</v>
      </c>
      <c r="B3325" s="4" t="s">
        <v>4180</v>
      </c>
      <c r="C3325" s="5" t="str">
        <f>IFERROR(__xludf.DUMMYFUNCTION("GOOGLETRANSLATE(B3325,""en"",""de"")"),"Ein jüngerer Mann und ein älterer Mann arbeiten als Team, um die Locken zu bewegen.")</f>
        <v>Ein jüngerer Mann und ein älterer Mann arbeiten als Team, um die Locken zu bewegen.</v>
      </c>
    </row>
    <row r="3326">
      <c r="A3326" s="4" t="s">
        <v>4177</v>
      </c>
      <c r="B3326" s="4" t="s">
        <v>4181</v>
      </c>
      <c r="C3326" s="5" t="str">
        <f>IFERROR(__xludf.DUMMYFUNCTION("GOOGLETRANSLATE(B3326,""en"",""de"")"),"Ein älterer Herr lächelt in die Kamera, während er seinen Lockenstab über seinem Kopf hält.")</f>
        <v>Ein älterer Herr lächelt in die Kamera, während er seinen Lockenstab über seinem Kopf hält.</v>
      </c>
    </row>
    <row r="3327">
      <c r="A3327" s="4" t="s">
        <v>4177</v>
      </c>
      <c r="B3327" s="4" t="s">
        <v>4182</v>
      </c>
      <c r="C3327" s="5" t="str">
        <f>IFERROR(__xludf.DUMMYFUNCTION("GOOGLETRANSLATE(B3327,""en"",""de"")"),"Die Gruppe von Männern zeigt dann die Nummer an und lacht.")</f>
        <v>Die Gruppe von Männern zeigt dann die Nummer an und lacht.</v>
      </c>
    </row>
    <row r="3328">
      <c r="A3328" s="4" t="s">
        <v>4183</v>
      </c>
      <c r="B3328" s="4" t="s">
        <v>4184</v>
      </c>
      <c r="C3328" s="5" t="str">
        <f>IFERROR(__xludf.DUMMYFUNCTION("GOOGLETRANSLATE(B3328,""en"",""de"")"),"Die Leute spielen Lacrosse auf einem Feld.")</f>
        <v>Die Leute spielen Lacrosse auf einem Feld.</v>
      </c>
    </row>
    <row r="3329">
      <c r="A3329" s="4" t="s">
        <v>4183</v>
      </c>
      <c r="B3329" s="4" t="s">
        <v>4185</v>
      </c>
      <c r="C3329" s="5" t="str">
        <f>IFERROR(__xludf.DUMMYFUNCTION("GOOGLETRANSLATE(B3329,""en"",""de"")"),"Sie erzielen einen Punkt ins Netz.")</f>
        <v>Sie erzielen einen Punkt ins Netz.</v>
      </c>
    </row>
    <row r="3330">
      <c r="A3330" s="4" t="s">
        <v>4183</v>
      </c>
      <c r="B3330" s="4" t="s">
        <v>4186</v>
      </c>
      <c r="C3330" s="5" t="str">
        <f>IFERROR(__xludf.DUMMYFUNCTION("GOOGLETRANSLATE(B3330,""en"",""de"")"),"Zwei Männer hoch fünf auf dem Feld.")</f>
        <v>Zwei Männer hoch fünf auf dem Feld.</v>
      </c>
    </row>
    <row r="3331">
      <c r="A3331" s="4" t="s">
        <v>4187</v>
      </c>
      <c r="B3331" s="4" t="s">
        <v>4188</v>
      </c>
      <c r="C3331" s="5" t="str">
        <f>IFERROR(__xludf.DUMMYFUNCTION("GOOGLETRANSLATE(B3331,""en"",""de"")"),"Eine Nahaufnahme von Wasserströmen wird gezeigt, gefolgt von einer Gruppe von Menschen, die versuchen, in einem Floß zu paddeln.")</f>
        <v>Eine Nahaufnahme von Wasserströmen wird gezeigt, gefolgt von einer Gruppe von Menschen, die versuchen, in einem Floß zu paddeln.</v>
      </c>
    </row>
    <row r="3332">
      <c r="A3332" s="4" t="s">
        <v>4187</v>
      </c>
      <c r="B3332" s="4" t="s">
        <v>4189</v>
      </c>
      <c r="C3332" s="5" t="str">
        <f>IFERROR(__xludf.DUMMYFUNCTION("GOOGLETRANSLATE(B3332,""en"",""de"")"),"Die Leute reiten ganz den Fluss hinunter und steckten ihr Paddel an einem Punkt zusammen.")</f>
        <v>Die Leute reiten ganz den Fluss hinunter und steckten ihr Paddel an einem Punkt zusammen.</v>
      </c>
    </row>
    <row r="3333">
      <c r="A3333" s="4" t="s">
        <v>4190</v>
      </c>
      <c r="B3333" s="4" t="s">
        <v>4191</v>
      </c>
      <c r="C3333" s="5" t="str">
        <f>IFERROR(__xludf.DUMMYFUNCTION("GOOGLETRANSLATE(B3333,""en"",""de"")"),"Es gibt ungefähr zehn oder mehr Menschen, die sportlich gekleidet sind, eine synchronisierte Form der Bewegung.")</f>
        <v>Es gibt ungefähr zehn oder mehr Menschen, die sportlich gekleidet sind, eine synchronisierte Form der Bewegung.</v>
      </c>
    </row>
    <row r="3334">
      <c r="A3334" s="4" t="s">
        <v>4190</v>
      </c>
      <c r="B3334" s="4" t="s">
        <v>4192</v>
      </c>
      <c r="C3334" s="5" t="str">
        <f>IFERROR(__xludf.DUMMYFUNCTION("GOOGLETRANSLATE(B3334,""en"",""de"")"),"Sie machen die Schritte rhythmisch bis zu den Beats eines Songs, das im Fitnesscenter gespielt wird.")</f>
        <v>Sie machen die Schritte rhythmisch bis zu den Beats eines Songs, das im Fitnesscenter gespielt wird.</v>
      </c>
    </row>
    <row r="3335">
      <c r="A3335" s="4" t="s">
        <v>4190</v>
      </c>
      <c r="B3335" s="4" t="s">
        <v>4193</v>
      </c>
      <c r="C3335" s="5" t="str">
        <f>IFERROR(__xludf.DUMMYFUNCTION("GOOGLETRANSLATE(B3335,""en"",""de"")"),"Im Fitnesscenter blinken Disco -Leuchten.")</f>
        <v>Im Fitnesscenter blinken Disco -Leuchten.</v>
      </c>
    </row>
    <row r="3336">
      <c r="A3336" s="4" t="s">
        <v>4190</v>
      </c>
      <c r="B3336" s="4" t="s">
        <v>4194</v>
      </c>
      <c r="C3336" s="5" t="str">
        <f>IFERROR(__xludf.DUMMYFUNCTION("GOOGLETRANSLATE(B3336,""en"",""de"")"),"Sie machen weiterhin die Schritte, während sie in die Hände zwischen die Stufen klatschen.")</f>
        <v>Sie machen weiterhin die Schritte, während sie in die Hände zwischen die Stufen klatschen.</v>
      </c>
    </row>
    <row r="3337">
      <c r="A3337" s="4" t="s">
        <v>4190</v>
      </c>
      <c r="B3337" s="4" t="s">
        <v>4195</v>
      </c>
      <c r="C3337" s="5" t="str">
        <f>IFERROR(__xludf.DUMMYFUNCTION("GOOGLETRANSLATE(B3337,""en"",""de"")"),"Sie treten auch auf einen Stufenhocker ein und steigen aus, während sie ihre Schritte fortsetzen.")</f>
        <v>Sie treten auch auf einen Stufenhocker ein und steigen aus, während sie ihre Schritte fortsetzen.</v>
      </c>
    </row>
    <row r="3338">
      <c r="A3338" s="4" t="s">
        <v>4196</v>
      </c>
      <c r="B3338" s="4" t="s">
        <v>4197</v>
      </c>
      <c r="C3338" s="5" t="str">
        <f>IFERROR(__xludf.DUMMYFUNCTION("GOOGLETRANSLATE(B3338,""en"",""de"")"),"Eine Person wird gesehen, wie er sich über einen mit Wasser gefüllten Eimer und Waschen im Eimer beugt.")</f>
        <v>Eine Person wird gesehen, wie er sich über einen mit Wasser gefüllten Eimer und Waschen im Eimer beugt.</v>
      </c>
    </row>
    <row r="3339">
      <c r="A3339" s="4" t="s">
        <v>4196</v>
      </c>
      <c r="B3339" s="4" t="s">
        <v>4198</v>
      </c>
      <c r="C3339" s="5" t="str">
        <f>IFERROR(__xludf.DUMMYFUNCTION("GOOGLETRANSLATE(B3339,""en"",""de"")"),"Der Junge wäscht weiter, wenn eine andere Person eintritt, um die Kleidung zu waschen und mit der Kamera zu sprechen.")</f>
        <v>Der Junge wäscht weiter, wenn eine andere Person eintritt, um die Kleidung zu waschen und mit der Kamera zu sprechen.</v>
      </c>
    </row>
    <row r="3340">
      <c r="A3340" s="4" t="s">
        <v>4199</v>
      </c>
      <c r="B3340" s="4" t="s">
        <v>4200</v>
      </c>
      <c r="C3340" s="5" t="str">
        <f>IFERROR(__xludf.DUMMYFUNCTION("GOOGLETRANSLATE(B3340,""en"",""de"")"),"Ein Mann in einem braunen Pullover setzt sich und redet.")</f>
        <v>Ein Mann in einem braunen Pullover setzt sich und redet.</v>
      </c>
    </row>
    <row r="3341">
      <c r="A3341" s="4" t="s">
        <v>4199</v>
      </c>
      <c r="B3341" s="4" t="s">
        <v>4201</v>
      </c>
      <c r="C3341" s="5" t="str">
        <f>IFERROR(__xludf.DUMMYFUNCTION("GOOGLETRANSLATE(B3341,""en"",""de"")"),"Eine Frau in einem schwarzen und weißen Pullover sitzt hinter ihm.")</f>
        <v>Eine Frau in einem schwarzen und weißen Pullover sitzt hinter ihm.</v>
      </c>
    </row>
    <row r="3342">
      <c r="A3342" s="4" t="s">
        <v>4199</v>
      </c>
      <c r="B3342" s="4" t="s">
        <v>4202</v>
      </c>
      <c r="C3342" s="5" t="str">
        <f>IFERROR(__xludf.DUMMYFUNCTION("GOOGLETRANSLATE(B3342,""en"",""de"")"),"Sie zieht ihren Pullover aus und legt ihn auf den Stuhl hinter sich.")</f>
        <v>Sie zieht ihren Pullover aus und legt ihn auf den Stuhl hinter sich.</v>
      </c>
    </row>
    <row r="3343">
      <c r="A3343" s="4" t="s">
        <v>4199</v>
      </c>
      <c r="B3343" s="4" t="s">
        <v>4203</v>
      </c>
      <c r="C3343" s="5" t="str">
        <f>IFERROR(__xludf.DUMMYFUNCTION("GOOGLETRANSLATE(B3343,""en"",""de"")"),"Ein Junge in einem blauen Hemd schlägt hinter ihm.")</f>
        <v>Ein Junge in einem blauen Hemd schlägt hinter ihm.</v>
      </c>
    </row>
    <row r="3344">
      <c r="A3344" s="4" t="s">
        <v>4204</v>
      </c>
      <c r="B3344" s="4" t="s">
        <v>4205</v>
      </c>
      <c r="C3344" s="5" t="str">
        <f>IFERROR(__xludf.DUMMYFUNCTION("GOOGLETRANSLATE(B3344,""en"",""de"")"),"Eine Frau spricht mit der Kamera und führt in Klammern ihres Laufens.")</f>
        <v>Eine Frau spricht mit der Kamera und führt in Klammern ihres Laufens.</v>
      </c>
    </row>
    <row r="3345">
      <c r="A3345" s="4" t="s">
        <v>4204</v>
      </c>
      <c r="B3345" s="4" t="s">
        <v>4206</v>
      </c>
      <c r="C3345" s="5" t="str">
        <f>IFERROR(__xludf.DUMMYFUNCTION("GOOGLETRANSLATE(B3345,""en"",""de"")"),"Nahaufnahmen ihrer Füße werden ebenso gezeigt wie mehr Clips ihres Sprechens und Laufens.")</f>
        <v>Nahaufnahmen ihrer Füße werden ebenso gezeigt wie mehr Clips ihres Sprechens und Laufens.</v>
      </c>
    </row>
    <row r="3346">
      <c r="A3346" s="4" t="s">
        <v>4204</v>
      </c>
      <c r="B3346" s="4" t="s">
        <v>4207</v>
      </c>
      <c r="C3346" s="5" t="str">
        <f>IFERROR(__xludf.DUMMYFUNCTION("GOOGLETRANSLATE(B3346,""en"",""de"")"),"Sie hat gezeigt, dass sie ein Auto zusammenpackt und ihre Werkzeuge sowie ihre Ausrüstung zeigt, während sie noch auf der Straße laufen.")</f>
        <v>Sie hat gezeigt, dass sie ein Auto zusammenpackt und ihre Werkzeuge sowie ihre Ausrüstung zeigt, während sie noch auf der Straße laufen.</v>
      </c>
    </row>
    <row r="3347">
      <c r="A3347" s="4" t="s">
        <v>4208</v>
      </c>
      <c r="B3347" s="4" t="s">
        <v>4209</v>
      </c>
      <c r="C3347" s="5" t="str">
        <f>IFERROR(__xludf.DUMMYFUNCTION("GOOGLETRANSLATE(B3347,""en"",""de"")"),"Eine Frau sitzt auf einem Hocker, der eine Zigarette raucht und in die Ferne schaut.")</f>
        <v>Eine Frau sitzt auf einem Hocker, der eine Zigarette raucht und in die Ferne schaut.</v>
      </c>
    </row>
    <row r="3348">
      <c r="A3348" s="4" t="s">
        <v>4208</v>
      </c>
      <c r="B3348" s="4" t="s">
        <v>4210</v>
      </c>
      <c r="C3348" s="5" t="str">
        <f>IFERROR(__xludf.DUMMYFUNCTION("GOOGLETRANSLATE(B3348,""en"",""de"")"),"Die Frau bläst Rauch in die Luft, während die Kamera sie aus mehreren Winkeln ein fängt, das ständig raucht.")</f>
        <v>Die Frau bläst Rauch in die Luft, während die Kamera sie aus mehreren Winkeln ein fängt, das ständig raucht.</v>
      </c>
    </row>
    <row r="3349">
      <c r="A3349" s="4" t="s">
        <v>4211</v>
      </c>
      <c r="B3349" s="4" t="s">
        <v>4212</v>
      </c>
      <c r="C3349" s="5" t="str">
        <f>IFERROR(__xludf.DUMMYFUNCTION("GOOGLETRANSLATE(B3349,""en"",""de"")"),"Ein Intro von Titeln führt schließlich dazu, dass ein Athlet eine große Menge an Gewichten über dem Kopf hält.")</f>
        <v>Ein Intro von Titeln führt schließlich dazu, dass ein Athlet eine große Menge an Gewichten über dem Kopf hält.</v>
      </c>
    </row>
    <row r="3350">
      <c r="A3350" s="4" t="s">
        <v>4211</v>
      </c>
      <c r="B3350" s="4" t="s">
        <v>4213</v>
      </c>
      <c r="C3350" s="5" t="str">
        <f>IFERROR(__xludf.DUMMYFUNCTION("GOOGLETRANSLATE(B3350,""en"",""de"")"),"Der gleiche Mann hat einen anderen mit seinen Gewichten angezündet, während ein anderer Mann im Hintergrund beobachtet.")</f>
        <v>Der gleiche Mann hat einen anderen mit seinen Gewichten angezündet, während ein anderer Mann im Hintergrund beobachtet.</v>
      </c>
    </row>
    <row r="3351">
      <c r="A3351" s="4" t="s">
        <v>4211</v>
      </c>
      <c r="B3351" s="4" t="s">
        <v>4214</v>
      </c>
      <c r="C3351" s="5" t="str">
        <f>IFERROR(__xludf.DUMMYFUNCTION("GOOGLETRANSLATE(B3351,""en"",""de"")"),"Er wirft die Gewichte hin und wirft seine Arme in die Luft, um zu feiern.")</f>
        <v>Er wirft die Gewichte hin und wirft seine Arme in die Luft, um zu feiern.</v>
      </c>
    </row>
    <row r="3352">
      <c r="A3352" s="4" t="s">
        <v>4215</v>
      </c>
      <c r="B3352" s="4" t="s">
        <v>4216</v>
      </c>
      <c r="C3352" s="5" t="str">
        <f>IFERROR(__xludf.DUMMYFUNCTION("GOOGLETRANSLATE(B3352,""en"",""de"")"),"Eine Frau mit kurzen Haaren und einem weißen Tanktop sitzt in ihrem Badezimmer und spricht über einen Radfahrer, der seine Beine rasieren wird.")</f>
        <v>Eine Frau mit kurzen Haaren und einem weißen Tanktop sitzt in ihrem Badezimmer und spricht über einen Radfahrer, der seine Beine rasieren wird.</v>
      </c>
    </row>
    <row r="3353">
      <c r="A3353" s="4" t="s">
        <v>4215</v>
      </c>
      <c r="B3353" s="4" t="s">
        <v>4217</v>
      </c>
      <c r="C3353" s="5" t="str">
        <f>IFERROR(__xludf.DUMMYFUNCTION("GOOGLETRANSLATE(B3353,""en"",""de"")"),"Sie steht auf und zeigt das Radsportteam, das auf ihrem Tanktop gedruckt ist.")</f>
        <v>Sie steht auf und zeigt das Radsportteam, das auf ihrem Tanktop gedruckt ist.</v>
      </c>
    </row>
    <row r="3354">
      <c r="A3354" s="4" t="s">
        <v>4215</v>
      </c>
      <c r="B3354" s="4" t="s">
        <v>4218</v>
      </c>
      <c r="C3354" s="5" t="str">
        <f>IFERROR(__xludf.DUMMYFUNCTION("GOOGLETRANSLATE(B3354,""en"",""de"")"),"Sie zeigt den Zuschauern die Art von Rasiermesser, die sie verwenden wird.")</f>
        <v>Sie zeigt den Zuschauern die Art von Rasiermesser, die sie verwenden wird.</v>
      </c>
    </row>
    <row r="3355">
      <c r="A3355" s="4" t="s">
        <v>4215</v>
      </c>
      <c r="B3355" s="4" t="s">
        <v>4219</v>
      </c>
      <c r="C3355" s="5" t="str">
        <f>IFERROR(__xludf.DUMMYFUNCTION("GOOGLETRANSLATE(B3355,""en"",""de"")"),"Auf der Badewanne sitzt ein junger Mann zusammen mit der Frau.")</f>
        <v>Auf der Badewanne sitzt ein junger Mann zusammen mit der Frau.</v>
      </c>
    </row>
    <row r="3356">
      <c r="A3356" s="4" t="s">
        <v>4215</v>
      </c>
      <c r="B3356" s="4" t="s">
        <v>4220</v>
      </c>
      <c r="C3356" s="5" t="str">
        <f>IFERROR(__xludf.DUMMYFUNCTION("GOOGLETRANSLATE(B3356,""en"",""de"")"),"Er wäscht seine Beine mit Babyseife und Wasser und beginnt sich die Beine zu rasieren.")</f>
        <v>Er wäscht seine Beine mit Babyseife und Wasser und beginnt sich die Beine zu rasieren.</v>
      </c>
    </row>
    <row r="3357">
      <c r="A3357" s="4" t="s">
        <v>4215</v>
      </c>
      <c r="B3357" s="4" t="s">
        <v>4221</v>
      </c>
      <c r="C3357" s="5" t="str">
        <f>IFERROR(__xludf.DUMMYFUNCTION("GOOGLETRANSLATE(B3357,""en"",""de"")"),"Dann nimmt die Frau den Rasierer und hilft ihrem Ehemann, seine Beine zu rasieren.")</f>
        <v>Dann nimmt die Frau den Rasierer und hilft ihrem Ehemann, seine Beine zu rasieren.</v>
      </c>
    </row>
    <row r="3358">
      <c r="A3358" s="4" t="s">
        <v>4222</v>
      </c>
      <c r="B3358" s="4" t="s">
        <v>4223</v>
      </c>
      <c r="C3358" s="5" t="str">
        <f>IFERROR(__xludf.DUMMYFUNCTION("GOOGLETRANSLATE(B3358,""en"",""de"")"),"Viele Jungs in allen Schwarzen stehen auf einem Grasbereich mit Musikinstrumenten und machen vor anderen Leuten, die auf dem Gras sitzen, eine Synchronisierungsleistung.")</f>
        <v>Viele Jungs in allen Schwarzen stehen auf einem Grasbereich mit Musikinstrumenten und machen vor anderen Leuten, die auf dem Gras sitzen, eine Synchronisierungsleistung.</v>
      </c>
    </row>
    <row r="3359">
      <c r="A3359" s="4" t="s">
        <v>4222</v>
      </c>
      <c r="B3359" s="4" t="s">
        <v>4224</v>
      </c>
      <c r="C3359" s="5" t="str">
        <f>IFERROR(__xludf.DUMMYFUNCTION("GOOGLETRANSLATE(B3359,""en"",""de"")"),"Die Jungs spielen Schlagzeug und machen Bewegungen hin und her, während sie das Schlagzeug spielen, das mit dem Körper verbunden ist.")</f>
        <v>Die Jungs spielen Schlagzeug und machen Bewegungen hin und her, während sie das Schlagzeug spielen, das mit dem Körper verbunden ist.</v>
      </c>
    </row>
    <row r="3360">
      <c r="A3360" s="4" t="s">
        <v>4222</v>
      </c>
      <c r="B3360" s="4" t="s">
        <v>4225</v>
      </c>
      <c r="C3360" s="5" t="str">
        <f>IFERROR(__xludf.DUMMYFUNCTION("GOOGLETRANSLATE(B3360,""en"",""de"")"),"Die Jungs machen Handbewegungen und stampfen dort leicht Füße als Teil der Aufführung.")</f>
        <v>Die Jungs machen Handbewegungen und stampfen dort leicht Füße als Teil der Aufführung.</v>
      </c>
    </row>
    <row r="3361">
      <c r="A3361" s="4" t="s">
        <v>4226</v>
      </c>
      <c r="B3361" s="4" t="s">
        <v>4227</v>
      </c>
      <c r="C3361" s="5" t="str">
        <f>IFERROR(__xludf.DUMMYFUNCTION("GOOGLETRANSLATE(B3361,""en"",""de"")"),"Windsurfer dreht sein Segel in einer 360 um.")</f>
        <v>Windsurfer dreht sein Segel in einer 360 um.</v>
      </c>
    </row>
    <row r="3362">
      <c r="A3362" s="4" t="s">
        <v>4226</v>
      </c>
      <c r="B3362" s="4" t="s">
        <v>4228</v>
      </c>
      <c r="C3362" s="5" t="str">
        <f>IFERROR(__xludf.DUMMYFUNCTION("GOOGLETRANSLATE(B3362,""en"",""de"")"),"Windsurfer reitet die Wellen langsam nach vorne.")</f>
        <v>Windsurfer reitet die Wellen langsam nach vorne.</v>
      </c>
    </row>
    <row r="3363">
      <c r="A3363" s="4" t="s">
        <v>4226</v>
      </c>
      <c r="B3363" s="4" t="s">
        <v>4229</v>
      </c>
      <c r="C3363" s="5" t="str">
        <f>IFERROR(__xludf.DUMMYFUNCTION("GOOGLETRANSLATE(B3363,""en"",""de"")"),"Der Mann geht vor der Kamera.")</f>
        <v>Der Mann geht vor der Kamera.</v>
      </c>
    </row>
    <row r="3364">
      <c r="A3364" s="4" t="s">
        <v>4226</v>
      </c>
      <c r="B3364" s="4" t="s">
        <v>4230</v>
      </c>
      <c r="C3364" s="5" t="str">
        <f>IFERROR(__xludf.DUMMYFUNCTION("GOOGLETRANSLATE(B3364,""en"",""de"")"),"Windsurfer dreht sich schnell mit dem Segel.")</f>
        <v>Windsurfer dreht sich schnell mit dem Segel.</v>
      </c>
    </row>
    <row r="3365">
      <c r="A3365" s="4" t="s">
        <v>4226</v>
      </c>
      <c r="B3365" s="4" t="s">
        <v>4231</v>
      </c>
      <c r="C3365" s="5" t="str">
        <f>IFERROR(__xludf.DUMMYFUNCTION("GOOGLETRANSLATE(B3365,""en"",""de"")"),"Windsurfer fällt in den Ozean.")</f>
        <v>Windsurfer fällt in den Ozean.</v>
      </c>
    </row>
    <row r="3366">
      <c r="A3366" s="4" t="s">
        <v>4232</v>
      </c>
      <c r="B3366" s="4" t="s">
        <v>4233</v>
      </c>
      <c r="C3366" s="5" t="str">
        <f>IFERROR(__xludf.DUMMYFUNCTION("GOOGLETRANSLATE(B3366,""en"",""de"")"),"Die Menschen fahren sehr langsam und anmutig einen schneebedeckten Hang hinunter.")</f>
        <v>Die Menschen fahren sehr langsam und anmutig einen schneebedeckten Hang hinunter.</v>
      </c>
    </row>
    <row r="3367">
      <c r="A3367" s="4" t="s">
        <v>4232</v>
      </c>
      <c r="B3367" s="4" t="s">
        <v>4234</v>
      </c>
      <c r="C3367" s="5" t="str">
        <f>IFERROR(__xludf.DUMMYFUNCTION("GOOGLETRANSLATE(B3367,""en"",""de"")"),"Ein kleiner Junge beugt sich hin, um mehr Geschwindigkeit zu erreichen, er ist ziemlich gut im Skifahren.")</f>
        <v>Ein kleiner Junge beugt sich hin, um mehr Geschwindigkeit zu erreichen, er ist ziemlich gut im Skifahren.</v>
      </c>
    </row>
    <row r="3368">
      <c r="A3368" s="4" t="s">
        <v>4232</v>
      </c>
      <c r="B3368" s="4" t="s">
        <v>4235</v>
      </c>
      <c r="C3368" s="5" t="str">
        <f>IFERROR(__xludf.DUMMYFUNCTION("GOOGLETRANSLATE(B3368,""en"",""de"")"),"Sie nehmen sich sehr langsam Zeit und genießen die Erfahrung.")</f>
        <v>Sie nehmen sich sehr langsam Zeit und genießen die Erfahrung.</v>
      </c>
    </row>
    <row r="3369">
      <c r="A3369" s="4" t="s">
        <v>4232</v>
      </c>
      <c r="B3369" s="4" t="s">
        <v>4236</v>
      </c>
      <c r="C3369" s="5" t="str">
        <f>IFERROR(__xludf.DUMMYFUNCTION("GOOGLETRANSLATE(B3369,""en"",""de"")"),"Sie beginnen sich fast zu verlangsamen, aber dann bauen sie wieder auf und fahren weiter.")</f>
        <v>Sie beginnen sich fast zu verlangsamen, aber dann bauen sie wieder auf und fahren weiter.</v>
      </c>
    </row>
    <row r="3370">
      <c r="A3370" s="4" t="s">
        <v>4237</v>
      </c>
      <c r="B3370" s="4" t="s">
        <v>4238</v>
      </c>
      <c r="C3370" s="5" t="str">
        <f>IFERROR(__xludf.DUMMYFUNCTION("GOOGLETRANSLATE(B3370,""en"",""de"")"),"Ein Mann ist drinnen und legt schnell Holzfliesen auf einen Boden, während die Kamera extrem schnell spielt.")</f>
        <v>Ein Mann ist drinnen und legt schnell Holzfliesen auf einen Boden, während die Kamera extrem schnell spielt.</v>
      </c>
    </row>
    <row r="3371">
      <c r="A3371" s="4" t="s">
        <v>4237</v>
      </c>
      <c r="B3371" s="4" t="s">
        <v>4239</v>
      </c>
      <c r="C3371" s="5" t="str">
        <f>IFERROR(__xludf.DUMMYFUNCTION("GOOGLETRANSLATE(B3371,""en"",""de"")"),"Er benutzt einen Leveler und einen Cutter und vervollständigt den Raum mit Mörtel, bevor er rausgeht.")</f>
        <v>Er benutzt einen Leveler und einen Cutter und vervollständigt den Raum mit Mörtel, bevor er rausgeht.</v>
      </c>
    </row>
    <row r="3372">
      <c r="A3372" s="4" t="s">
        <v>4240</v>
      </c>
      <c r="B3372" s="4" t="s">
        <v>4241</v>
      </c>
      <c r="C3372" s="5" t="str">
        <f>IFERROR(__xludf.DUMMYFUNCTION("GOOGLETRANSLATE(B3372,""en"",""de"")"),"Autos fahren mit einem Schild an der Straße.")</f>
        <v>Autos fahren mit einem Schild an der Straße.</v>
      </c>
    </row>
    <row r="3373">
      <c r="A3373" s="4" t="s">
        <v>4240</v>
      </c>
      <c r="B3373" s="4" t="s">
        <v>4242</v>
      </c>
      <c r="C3373" s="5" t="str">
        <f>IFERROR(__xludf.DUMMYFUNCTION("GOOGLETRANSLATE(B3373,""en"",""de"")"),"Mehrere Frauen werden an einem Tisch gezeigt, der sich auf das Stricken vorbereitet.")</f>
        <v>Mehrere Frauen werden an einem Tisch gezeigt, der sich auf das Stricken vorbereitet.</v>
      </c>
    </row>
    <row r="3374">
      <c r="A3374" s="4" t="s">
        <v>4240</v>
      </c>
      <c r="B3374" s="4" t="s">
        <v>4243</v>
      </c>
      <c r="C3374" s="5" t="str">
        <f>IFERROR(__xludf.DUMMYFUNCTION("GOOGLETRANSLATE(B3374,""en"",""de"")"),"Eine Frau spricht in einem Interviewstil mit der Kamera.")</f>
        <v>Eine Frau spricht in einem Interviewstil mit der Kamera.</v>
      </c>
    </row>
    <row r="3375">
      <c r="A3375" s="4" t="s">
        <v>4240</v>
      </c>
      <c r="B3375" s="4" t="s">
        <v>4244</v>
      </c>
      <c r="C3375" s="5" t="str">
        <f>IFERROR(__xludf.DUMMYFUNCTION("GOOGLETRANSLATE(B3375,""en"",""de"")"),"Die Frauen um den Tisch betreiben Aktivitäten im Zusammenhang mit Stricks.")</f>
        <v>Die Frauen um den Tisch betreiben Aktivitäten im Zusammenhang mit Stricks.</v>
      </c>
    </row>
    <row r="3376">
      <c r="A3376" s="4" t="s">
        <v>4240</v>
      </c>
      <c r="B3376" s="4" t="s">
        <v>4245</v>
      </c>
      <c r="C3376" s="5" t="str">
        <f>IFERROR(__xludf.DUMMYFUNCTION("GOOGLETRANSLATE(B3376,""en"",""de"")"),"Vor dem Gebäude wird ein Bus geparkt.")</f>
        <v>Vor dem Gebäude wird ein Bus geparkt.</v>
      </c>
    </row>
    <row r="3377">
      <c r="A3377" s="4" t="s">
        <v>4240</v>
      </c>
      <c r="B3377" s="4" t="s">
        <v>4246</v>
      </c>
      <c r="C3377" s="5" t="str">
        <f>IFERROR(__xludf.DUMMYFUNCTION("GOOGLETRANSLATE(B3377,""en"",""de"")"),"Die Frau aus der Interviewszene spricht erneut mit der Kamera.")</f>
        <v>Die Frau aus der Interviewszene spricht erneut mit der Kamera.</v>
      </c>
    </row>
    <row r="3378">
      <c r="A3378" s="4" t="s">
        <v>4240</v>
      </c>
      <c r="B3378" s="4" t="s">
        <v>4247</v>
      </c>
      <c r="C3378" s="5" t="str">
        <f>IFERROR(__xludf.DUMMYFUNCTION("GOOGLETRANSLATE(B3378,""en"",""de"")"),"Die Frauen am Tisch werden gestrickt.")</f>
        <v>Die Frauen am Tisch werden gestrickt.</v>
      </c>
    </row>
    <row r="3379">
      <c r="A3379" s="4" t="s">
        <v>4240</v>
      </c>
      <c r="B3379" s="4" t="s">
        <v>4248</v>
      </c>
      <c r="C3379" s="5" t="str">
        <f>IFERROR(__xludf.DUMMYFUNCTION("GOOGLETRANSLATE(B3379,""en"",""de"")"),"Es werden mehrere Außenaufnahmen des Gebäudesschemas angezeigt.")</f>
        <v>Es werden mehrere Außenaufnahmen des Gebäudesschemas angezeigt.</v>
      </c>
    </row>
    <row r="3380">
      <c r="A3380" s="4" t="s">
        <v>4240</v>
      </c>
      <c r="B3380" s="4" t="s">
        <v>4249</v>
      </c>
      <c r="C3380" s="5" t="str">
        <f>IFERROR(__xludf.DUMMYFUNCTION("GOOGLETRANSLATE(B3380,""en"",""de"")"),"Die Frauen am Tisch werden erneut gestrickt.")</f>
        <v>Die Frauen am Tisch werden erneut gestrickt.</v>
      </c>
    </row>
    <row r="3381">
      <c r="A3381" s="4" t="s">
        <v>4250</v>
      </c>
      <c r="B3381" s="4" t="s">
        <v>4251</v>
      </c>
      <c r="C3381" s="5" t="str">
        <f>IFERROR(__xludf.DUMMYFUNCTION("GOOGLETRANSLATE(B3381,""en"",""de"")"),"Eine Person wird gesehen, wie sie das Gesicht eines Babys mit einem Lappen abweist, während das Baby die Zunge ausstreckt.")</f>
        <v>Eine Person wird gesehen, wie sie das Gesicht eines Babys mit einem Lappen abweist, während das Baby die Zunge ausstreckt.</v>
      </c>
    </row>
    <row r="3382">
      <c r="A3382" s="4" t="s">
        <v>4250</v>
      </c>
      <c r="B3382" s="4" t="s">
        <v>4252</v>
      </c>
      <c r="C3382" s="5" t="str">
        <f>IFERROR(__xludf.DUMMYFUNCTION("GOOGLETRANSLATE(B3382,""en"",""de"")"),"Die Frau reinigt das Baby weiter und lächelt zur Kamera und winkt.")</f>
        <v>Die Frau reinigt das Baby weiter und lächelt zur Kamera und winkt.</v>
      </c>
    </row>
    <row r="3383">
      <c r="A3383" s="4" t="s">
        <v>4253</v>
      </c>
      <c r="B3383" s="4" t="s">
        <v>4254</v>
      </c>
      <c r="C3383" s="5" t="str">
        <f>IFERROR(__xludf.DUMMYFUNCTION("GOOGLETRANSLATE(B3383,""en"",""de"")"),"Zwei Männer spielen miteinander Rockpapierschere und schlagen die Person, die verliert.")</f>
        <v>Zwei Männer spielen miteinander Rockpapierschere und schlagen die Person, die verliert.</v>
      </c>
    </row>
    <row r="3384">
      <c r="A3384" s="4" t="s">
        <v>4253</v>
      </c>
      <c r="B3384" s="4" t="s">
        <v>4255</v>
      </c>
      <c r="C3384" s="5" t="str">
        <f>IFERROR(__xludf.DUMMYFUNCTION("GOOGLETRANSLATE(B3384,""en"",""de"")"),"Die Männer spielen dieses Spiel weiter und vierten und reiben sich gegenseitig die Köpfe, während andere zuschauen.")</f>
        <v>Die Männer spielen dieses Spiel weiter und vierten und reiben sich gegenseitig die Köpfe, während andere zuschauen.</v>
      </c>
    </row>
    <row r="3385">
      <c r="A3385" s="4" t="s">
        <v>4256</v>
      </c>
      <c r="B3385" s="4" t="s">
        <v>4257</v>
      </c>
      <c r="C3385" s="5" t="str">
        <f>IFERROR(__xludf.DUMMYFUNCTION("GOOGLETRANSLATE(B3385,""en"",""de"")"),"Ein Athlet führt einen Hammerwurf mit einem schweren Ball mit seinem Körper durch.")</f>
        <v>Ein Athlet führt einen Hammerwurf mit einem schweren Ball mit seinem Körper durch.</v>
      </c>
    </row>
    <row r="3386">
      <c r="A3386" s="4" t="s">
        <v>4256</v>
      </c>
      <c r="B3386" s="4" t="s">
        <v>4258</v>
      </c>
      <c r="C3386" s="5" t="str">
        <f>IFERROR(__xludf.DUMMYFUNCTION("GOOGLETRANSLATE(B3386,""en"",""de"")"),"Dann wirft der Athlet den Ball auf das Feld.")</f>
        <v>Dann wirft der Athlet den Ball auf das Feld.</v>
      </c>
    </row>
    <row r="3387">
      <c r="A3387" s="4" t="s">
        <v>4259</v>
      </c>
      <c r="B3387" s="4" t="s">
        <v>4260</v>
      </c>
      <c r="C3387" s="5" t="str">
        <f>IFERROR(__xludf.DUMMYFUNCTION("GOOGLETRANSLATE(B3387,""en"",""de"")"),"Eine Frau sitzt auf einem Stuhl und redet.")</f>
        <v>Eine Frau sitzt auf einem Stuhl und redet.</v>
      </c>
    </row>
    <row r="3388">
      <c r="A3388" s="4" t="s">
        <v>4259</v>
      </c>
      <c r="B3388" s="4" t="s">
        <v>4261</v>
      </c>
      <c r="C3388" s="5" t="str">
        <f>IFERROR(__xludf.DUMMYFUNCTION("GOOGLETRANSLATE(B3388,""en"",""de"")"),"Eine Person Hand spielt mit einem Roboter Rockpapierschere.")</f>
        <v>Eine Person Hand spielt mit einem Roboter Rockpapierschere.</v>
      </c>
    </row>
    <row r="3389">
      <c r="A3389" s="4" t="s">
        <v>4259</v>
      </c>
      <c r="B3389" s="4" t="s">
        <v>4262</v>
      </c>
      <c r="C3389" s="5" t="str">
        <f>IFERROR(__xludf.DUMMYFUNCTION("GOOGLETRANSLATE(B3389,""en"",""de"")"),"Ein Mann in einem weißen Hemd spricht mit der Frau.")</f>
        <v>Ein Mann in einem weißen Hemd spricht mit der Frau.</v>
      </c>
    </row>
    <row r="3390">
      <c r="A3390" s="4" t="s">
        <v>4263</v>
      </c>
      <c r="B3390" s="4" t="s">
        <v>4264</v>
      </c>
      <c r="C3390" s="5" t="str">
        <f>IFERROR(__xludf.DUMMYFUNCTION("GOOGLETRANSLATE(B3390,""en"",""de"")"),"Eine Gruppe von Menschen ist in Skiausrüstung gekleidet und fährt mit einem Aufzug.")</f>
        <v>Eine Gruppe von Menschen ist in Skiausrüstung gekleidet und fährt mit einem Aufzug.</v>
      </c>
    </row>
    <row r="3391">
      <c r="A3391" s="4" t="s">
        <v>4263</v>
      </c>
      <c r="B3391" s="4" t="s">
        <v>4265</v>
      </c>
      <c r="C3391" s="5" t="str">
        <f>IFERROR(__xludf.DUMMYFUNCTION("GOOGLETRANSLATE(B3391,""en"",""de"")"),"Sie werden gesehen, wie sie Hügel hinuntergehen, Skifahren und Schnee in die Luft werfen.")</f>
        <v>Sie werden gesehen, wie sie Hügel hinuntergehen, Skifahren und Schnee in die Luft werfen.</v>
      </c>
    </row>
    <row r="3392">
      <c r="A3392" s="4" t="s">
        <v>4266</v>
      </c>
      <c r="B3392" s="4" t="s">
        <v>4267</v>
      </c>
      <c r="C3392" s="5" t="str">
        <f>IFERROR(__xludf.DUMMYFUNCTION("GOOGLETRANSLATE(B3392,""en"",""de"")"),"Ein Tanzwettbewerb von 2011 in Israel wird mit einer Frau im goldenen Bauchtanz -Solo mit Neonlichtern hinter sich gezeigt.")</f>
        <v>Ein Tanzwettbewerb von 2011 in Israel wird mit einer Frau im goldenen Bauchtanz -Solo mit Neonlichtern hinter sich gezeigt.</v>
      </c>
    </row>
    <row r="3393">
      <c r="A3393" s="4" t="s">
        <v>4266</v>
      </c>
      <c r="B3393" s="4" t="s">
        <v>4268</v>
      </c>
      <c r="C3393" s="5" t="str">
        <f>IFERROR(__xludf.DUMMYFUNCTION("GOOGLETRANSLATE(B3393,""en"",""de"")"),"Sie dreht sie dem Publikum zurück, um verschiedene Winkel ihrer Bewegungen zu zeigen.")</f>
        <v>Sie dreht sie dem Publikum zurück, um verschiedene Winkel ihrer Bewegungen zu zeigen.</v>
      </c>
    </row>
    <row r="3394">
      <c r="A3394" s="4" t="s">
        <v>4266</v>
      </c>
      <c r="B3394" s="4" t="s">
        <v>4269</v>
      </c>
      <c r="C3394" s="5" t="str">
        <f>IFERROR(__xludf.DUMMYFUNCTION("GOOGLETRANSLATE(B3394,""en"",""de"")"),"Schließlich bricht sie kunstvoll auf dem Boden zusammen, wenn das Lied endet.")</f>
        <v>Schließlich bricht sie kunstvoll auf dem Boden zusammen, wenn das Lied endet.</v>
      </c>
    </row>
    <row r="3395">
      <c r="A3395" s="4" t="s">
        <v>4270</v>
      </c>
      <c r="B3395" s="4" t="s">
        <v>4271</v>
      </c>
      <c r="C3395" s="5" t="str">
        <f>IFERROR(__xludf.DUMMYFUNCTION("GOOGLETRANSLATE(B3395,""en"",""de"")"),"Ein Junge steht hinter einer Theke.")</f>
        <v>Ein Junge steht hinter einer Theke.</v>
      </c>
    </row>
    <row r="3396">
      <c r="A3396" s="4" t="s">
        <v>4270</v>
      </c>
      <c r="B3396" s="4" t="s">
        <v>4272</v>
      </c>
      <c r="C3396" s="5" t="str">
        <f>IFERROR(__xludf.DUMMYFUNCTION("GOOGLETRANSLATE(B3396,""en"",""de"")"),"Er wirft Darts an eine Wand.")</f>
        <v>Er wirft Darts an eine Wand.</v>
      </c>
    </row>
    <row r="3397">
      <c r="A3397" s="4" t="s">
        <v>4270</v>
      </c>
      <c r="B3397" s="4" t="s">
        <v>4273</v>
      </c>
      <c r="C3397" s="5" t="str">
        <f>IFERROR(__xludf.DUMMYFUNCTION("GOOGLETRANSLATE(B3397,""en"",""de"")"),"Eine Frau steht neben ihm.")</f>
        <v>Eine Frau steht neben ihm.</v>
      </c>
    </row>
    <row r="3398">
      <c r="A3398" s="4" t="s">
        <v>4274</v>
      </c>
      <c r="B3398" s="4" t="s">
        <v>4275</v>
      </c>
      <c r="C3398" s="5" t="str">
        <f>IFERROR(__xludf.DUMMYFUNCTION("GOOGLETRANSLATE(B3398,""en"",""de"")"),"Das kleine Mädchen, das einen Regenbogenpullover trägt, sitzt im Sand und macht einen riesigen Sandhügel.")</f>
        <v>Das kleine Mädchen, das einen Regenbogenpullover trägt, sitzt im Sand und macht einen riesigen Sandhügel.</v>
      </c>
    </row>
    <row r="3399">
      <c r="A3399" s="4" t="s">
        <v>4274</v>
      </c>
      <c r="B3399" s="4" t="s">
        <v>4276</v>
      </c>
      <c r="C3399" s="5" t="str">
        <f>IFERROR(__xludf.DUMMYFUNCTION("GOOGLETRANSLATE(B3399,""en"",""de"")"),"Als nächstes schaut sie auf und sagt etwas.")</f>
        <v>Als nächstes schaut sie auf und sagt etwas.</v>
      </c>
    </row>
    <row r="3400">
      <c r="A3400" s="4" t="s">
        <v>4274</v>
      </c>
      <c r="B3400" s="4" t="s">
        <v>4277</v>
      </c>
      <c r="C3400" s="5" t="str">
        <f>IFERROR(__xludf.DUMMYFUNCTION("GOOGLETRANSLATE(B3400,""en"",""de"")"),"Sie fügt dann den Hügel weiter hinzu.")</f>
        <v>Sie fügt dann den Hügel weiter hinzu.</v>
      </c>
    </row>
    <row r="3401">
      <c r="A3401" s="4" t="s">
        <v>4274</v>
      </c>
      <c r="B3401" s="4" t="s">
        <v>4278</v>
      </c>
      <c r="C3401" s="5" t="str">
        <f>IFERROR(__xludf.DUMMYFUNCTION("GOOGLETRANSLATE(B3401,""en"",""de"")"),"Dann schließt sich ein kleiner Junge zu ihr und berührt einfach den Hügel, geht aber weg.")</f>
        <v>Dann schließt sich ein kleiner Junge zu ihr und berührt einfach den Hügel, geht aber weg.</v>
      </c>
    </row>
    <row r="3402">
      <c r="A3402" s="4" t="s">
        <v>4274</v>
      </c>
      <c r="B3402" s="4" t="s">
        <v>4279</v>
      </c>
      <c r="C3402" s="5" t="str">
        <f>IFERROR(__xludf.DUMMYFUNCTION("GOOGLETRANSLATE(B3402,""en"",""de"")"),"Dann kommt er wieder zurück, um auf den Hügel zu zeigen.")</f>
        <v>Dann kommt er wieder zurück, um auf den Hügel zu zeigen.</v>
      </c>
    </row>
    <row r="3403">
      <c r="A3403" s="4" t="s">
        <v>4280</v>
      </c>
      <c r="B3403" s="4" t="s">
        <v>4281</v>
      </c>
      <c r="C3403" s="5" t="str">
        <f>IFERROR(__xludf.DUMMYFUNCTION("GOOGLETRANSLATE(B3403,""en"",""de"")"),"Eine Frau spricht mit der Kamera, während sie in Schüsse ihrer Pflege eines Hundes übergeht.")</f>
        <v>Eine Frau spricht mit der Kamera, während sie in Schüsse ihrer Pflege eines Hundes übergeht.</v>
      </c>
    </row>
    <row r="3404">
      <c r="A3404" s="4" t="s">
        <v>4280</v>
      </c>
      <c r="B3404" s="4" t="s">
        <v>4282</v>
      </c>
      <c r="C3404" s="5" t="str">
        <f>IFERROR(__xludf.DUMMYFUNCTION("GOOGLETRANSLATE(B3404,""en"",""de"")"),"Das Mädchen wird gesehen, wie sie die Hunde waschen und sie trocknen und ihr Fell abschneiden.")</f>
        <v>Das Mädchen wird gesehen, wie sie die Hunde waschen und sie trocknen und ihr Fell abschneiden.</v>
      </c>
    </row>
    <row r="3405">
      <c r="A3405" s="4" t="s">
        <v>4280</v>
      </c>
      <c r="B3405" s="4" t="s">
        <v>4283</v>
      </c>
      <c r="C3405" s="5" t="str">
        <f>IFERROR(__xludf.DUMMYFUNCTION("GOOGLETRANSLATE(B3405,""en"",""de"")"),"Sie spricht weiter, während sie ihre sauberen Hunde und andere zeigt, die nebenbei gingen.")</f>
        <v>Sie spricht weiter, während sie ihre sauberen Hunde und andere zeigt, die nebenbei gingen.</v>
      </c>
    </row>
    <row r="3406">
      <c r="A3406" s="4" t="s">
        <v>4284</v>
      </c>
      <c r="B3406" s="4" t="s">
        <v>4285</v>
      </c>
      <c r="C3406" s="5" t="str">
        <f>IFERROR(__xludf.DUMMYFUNCTION("GOOGLETRANSLATE(B3406,""en"",""de"")"),"Ein Mann Skifahren hinter einem Boot auf einem See.")</f>
        <v>Ein Mann Skifahren hinter einem Boot auf einem See.</v>
      </c>
    </row>
    <row r="3407">
      <c r="A3407" s="4" t="s">
        <v>4284</v>
      </c>
      <c r="B3407" s="4" t="s">
        <v>4286</v>
      </c>
      <c r="C3407" s="5" t="str">
        <f>IFERROR(__xludf.DUMMYFUNCTION("GOOGLETRANSLATE(B3407,""en"",""de"")"),"Einige Leute tauchen auf dem Bildschirm auf, die sich ansehen und aufnehmen.")</f>
        <v>Einige Leute tauchen auf dem Bildschirm auf, die sich ansehen und aufnehmen.</v>
      </c>
    </row>
    <row r="3408">
      <c r="A3408" s="4" t="s">
        <v>4284</v>
      </c>
      <c r="B3408" s="4" t="s">
        <v>4287</v>
      </c>
      <c r="C3408" s="5" t="str">
        <f>IFERROR(__xludf.DUMMYFUNCTION("GOOGLETRANSLATE(B3408,""en"",""de"")"),"Der Wasserfahrer versucht, einen Flip zu machen, und läuft gegen das Wasser.")</f>
        <v>Der Wasserfahrer versucht, einen Flip zu machen, und läuft gegen das Wasser.</v>
      </c>
    </row>
    <row r="3409">
      <c r="A3409" s="4" t="s">
        <v>4288</v>
      </c>
      <c r="B3409" s="4" t="s">
        <v>4289</v>
      </c>
      <c r="C3409" s="5" t="str">
        <f>IFERROR(__xludf.DUMMYFUNCTION("GOOGLETRANSLATE(B3409,""en"",""de"")"),"Eine blaue Seite mit weißem Schreiben erklärt, dass es in dem Video darum geht, ein Geschenk zu wickeln.")</f>
        <v>Eine blaue Seite mit weißem Schreiben erklärt, dass es in dem Video darum geht, ein Geschenk zu wickeln.</v>
      </c>
    </row>
    <row r="3410">
      <c r="A3410" s="4" t="s">
        <v>4288</v>
      </c>
      <c r="B3410" s="4" t="s">
        <v>4290</v>
      </c>
      <c r="C3410" s="5" t="str">
        <f>IFERROR(__xludf.DUMMYFUNCTION("GOOGLETRANSLATE(B3410,""en"",""de"")"),"Scheren und verschiedene Klebebandtypen werden sowie eine Wickelpapierrolle angezeigt.")</f>
        <v>Scheren und verschiedene Klebebandtypen werden sowie eine Wickelpapierrolle angezeigt.</v>
      </c>
    </row>
    <row r="3411">
      <c r="A3411" s="4" t="s">
        <v>4288</v>
      </c>
      <c r="B3411" s="4" t="s">
        <v>4291</v>
      </c>
      <c r="C3411" s="5" t="str">
        <f>IFERROR(__xludf.DUMMYFUNCTION("GOOGLETRANSLATE(B3411,""en"",""de"")"),"Eine Frau ist mit einer Schachtel auf dem Boden.")</f>
        <v>Eine Frau ist mit einer Schachtel auf dem Boden.</v>
      </c>
    </row>
    <row r="3412">
      <c r="A3412" s="4" t="s">
        <v>4288</v>
      </c>
      <c r="B3412" s="4" t="s">
        <v>4292</v>
      </c>
      <c r="C3412" s="5" t="str">
        <f>IFERROR(__xludf.DUMMYFUNCTION("GOOGLETRANSLATE(B3412,""en"",""de"")"),"Sie zeigt, wie man das Papier um die Gegenwart schneidet und faltet.")</f>
        <v>Sie zeigt, wie man das Papier um die Gegenwart schneidet und faltet.</v>
      </c>
    </row>
    <row r="3413">
      <c r="A3413" s="4" t="s">
        <v>4288</v>
      </c>
      <c r="B3413" s="4" t="s">
        <v>4293</v>
      </c>
      <c r="C3413" s="5" t="str">
        <f>IFERROR(__xludf.DUMMYFUNCTION("GOOGLETRANSLATE(B3413,""en"",""de"")"),"Sie klebt die Gegenwart.")</f>
        <v>Sie klebt die Gegenwart.</v>
      </c>
    </row>
    <row r="3414">
      <c r="A3414" s="4" t="s">
        <v>4288</v>
      </c>
      <c r="B3414" s="4" t="s">
        <v>4294</v>
      </c>
      <c r="C3414" s="5" t="str">
        <f>IFERROR(__xludf.DUMMYFUNCTION("GOOGLETRANSLATE(B3414,""en"",""de"")"),"Sie platziert dann einen durchscheinenden Bogen auf das Geschenk.")</f>
        <v>Sie platziert dann einen durchscheinenden Bogen auf das Geschenk.</v>
      </c>
    </row>
    <row r="3415">
      <c r="A3415" s="4" t="s">
        <v>4295</v>
      </c>
      <c r="B3415" s="4" t="s">
        <v>4296</v>
      </c>
      <c r="C3415" s="5" t="str">
        <f>IFERROR(__xludf.DUMMYFUNCTION("GOOGLETRANSLATE(B3415,""en"",""de"")"),"Männer verhalten sich albern in einem Badezimmer.")</f>
        <v>Männer verhalten sich albern in einem Badezimmer.</v>
      </c>
    </row>
    <row r="3416">
      <c r="A3416" s="4" t="s">
        <v>4295</v>
      </c>
      <c r="B3416" s="4" t="s">
        <v>4297</v>
      </c>
      <c r="C3416" s="5" t="str">
        <f>IFERROR(__xludf.DUMMYFUNCTION("GOOGLETRANSLATE(B3416,""en"",""de"")"),"Ein Mann zeigt die Kamera seine Beine.")</f>
        <v>Ein Mann zeigt die Kamera seine Beine.</v>
      </c>
    </row>
    <row r="3417">
      <c r="A3417" s="4" t="s">
        <v>4295</v>
      </c>
      <c r="B3417" s="4" t="s">
        <v>4298</v>
      </c>
      <c r="C3417" s="5" t="str">
        <f>IFERROR(__xludf.DUMMYFUNCTION("GOOGLETRANSLATE(B3417,""en"",""de"")"),"Zwei Männer tanzen und rasieren ihre Beine in der Nähe des Waschbeckens.")</f>
        <v>Zwei Männer tanzen und rasieren ihre Beine in der Nähe des Waschbeckens.</v>
      </c>
    </row>
    <row r="3418">
      <c r="A3418" s="4" t="s">
        <v>4295</v>
      </c>
      <c r="B3418" s="4" t="s">
        <v>4299</v>
      </c>
      <c r="C3418" s="5" t="str">
        <f>IFERROR(__xludf.DUMMYFUNCTION("GOOGLETRANSLATE(B3418,""en"",""de"")"),"Ein anderer Mann schließt sich den Männern in der Nähe des Waschbeckens an, um beim Rasur zu helfen.")</f>
        <v>Ein anderer Mann schließt sich den Männern in der Nähe des Waschbeckens an, um beim Rasur zu helfen.</v>
      </c>
    </row>
    <row r="3419">
      <c r="A3419" s="4" t="s">
        <v>4300</v>
      </c>
      <c r="B3419" s="4" t="s">
        <v>4301</v>
      </c>
      <c r="C3419" s="5" t="str">
        <f>IFERROR(__xludf.DUMMYFUNCTION("GOOGLETRANSLATE(B3419,""en"",""de"")"),"Ein Mann geht auf ein Feld vor seinem Hund.")</f>
        <v>Ein Mann geht auf ein Feld vor seinem Hund.</v>
      </c>
    </row>
    <row r="3420">
      <c r="A3420" s="4" t="s">
        <v>4300</v>
      </c>
      <c r="B3420" s="4" t="s">
        <v>4302</v>
      </c>
      <c r="C3420" s="5" t="str">
        <f>IFERROR(__xludf.DUMMYFUNCTION("GOOGLETRANSLATE(B3420,""en"",""de"")"),"Er wirft eine Frisbee und der Hund fängt ihn auf.")</f>
        <v>Er wirft eine Frisbee und der Hund fängt ihn auf.</v>
      </c>
    </row>
    <row r="3421">
      <c r="A3421" s="4" t="s">
        <v>4300</v>
      </c>
      <c r="B3421" s="4" t="s">
        <v>4303</v>
      </c>
      <c r="C3421" s="5" t="str">
        <f>IFERROR(__xludf.DUMMYFUNCTION("GOOGLETRANSLATE(B3421,""en"",""de"")"),"Er macht mehrere Tricks mit den Frisbees und dem Hund.")</f>
        <v>Er macht mehrere Tricks mit den Frisbees und dem Hund.</v>
      </c>
    </row>
    <row r="3422">
      <c r="A3422" s="4" t="s">
        <v>4304</v>
      </c>
      <c r="B3422" s="4" t="s">
        <v>4305</v>
      </c>
      <c r="C3422" s="5" t="str">
        <f>IFERROR(__xludf.DUMMYFUNCTION("GOOGLETRANSLATE(B3422,""en"",""de"")"),"Eine Frau schwingt eine Axt auf einen Baumstamm, während ein anderer Mann nebenbei beobachtet.")</f>
        <v>Eine Frau schwingt eine Axt auf einen Baumstamm, während ein anderer Mann nebenbei beobachtet.</v>
      </c>
    </row>
    <row r="3423">
      <c r="A3423" s="4" t="s">
        <v>4304</v>
      </c>
      <c r="B3423" s="4" t="s">
        <v>4306</v>
      </c>
      <c r="C3423" s="5" t="str">
        <f>IFERROR(__xludf.DUMMYFUNCTION("GOOGLETRANSLATE(B3423,""en"",""de"")"),"Eine andere Frau nimmt das Protokoll ab und das Mädchen bereitet sich auf das Schwingen vor.")</f>
        <v>Eine andere Frau nimmt das Protokoll ab und das Mädchen bereitet sich auf das Schwingen vor.</v>
      </c>
    </row>
    <row r="3424">
      <c r="A3424" s="4" t="s">
        <v>4304</v>
      </c>
      <c r="B3424" s="4" t="s">
        <v>4307</v>
      </c>
      <c r="C3424" s="5" t="str">
        <f>IFERROR(__xludf.DUMMYFUNCTION("GOOGLETRANSLATE(B3424,""en"",""de"")"),"Sie schwingt die Axt erneut und schaut zurück zur Kamera.")</f>
        <v>Sie schwingt die Axt erneut und schaut zurück zur Kamera.</v>
      </c>
    </row>
    <row r="3425">
      <c r="A3425" s="4" t="s">
        <v>4308</v>
      </c>
      <c r="B3425" s="4" t="s">
        <v>4309</v>
      </c>
      <c r="C3425" s="5" t="str">
        <f>IFERROR(__xludf.DUMMYFUNCTION("GOOGLETRANSLATE(B3425,""en"",""de"")"),"Eine Person steht hinter einer Theke, die Essen auf ein Tablett legt.")</f>
        <v>Eine Person steht hinter einer Theke, die Essen auf ein Tablett legt.</v>
      </c>
    </row>
    <row r="3426">
      <c r="A3426" s="4" t="s">
        <v>4308</v>
      </c>
      <c r="B3426" s="4" t="s">
        <v>4310</v>
      </c>
      <c r="C3426" s="5" t="str">
        <f>IFERROR(__xludf.DUMMYFUNCTION("GOOGLETRANSLATE(B3426,""en"",""de"")"),"Sie steckten das Tablett in einen Ofen.")</f>
        <v>Sie steckten das Tablett in einen Ofen.</v>
      </c>
    </row>
    <row r="3427">
      <c r="A3427" s="4" t="s">
        <v>4308</v>
      </c>
      <c r="B3427" s="4" t="s">
        <v>4311</v>
      </c>
      <c r="C3427" s="5" t="str">
        <f>IFERROR(__xludf.DUMMYFUNCTION("GOOGLETRANSLATE(B3427,""en"",""de"")"),"Sie nehmen das Tablett aus dem Ofen und heben Kekse auf einen Teller.")</f>
        <v>Sie nehmen das Tablett aus dem Ofen und heben Kekse auf einen Teller.</v>
      </c>
    </row>
    <row r="3428">
      <c r="A3428" s="4" t="s">
        <v>4308</v>
      </c>
      <c r="B3428" s="4" t="s">
        <v>4312</v>
      </c>
      <c r="C3428" s="5" t="str">
        <f>IFERROR(__xludf.DUMMYFUNCTION("GOOGLETRANSLATE(B3428,""en"",""de"")"),"Sie waschen die Matte in der Spüle ab.")</f>
        <v>Sie waschen die Matte in der Spüle ab.</v>
      </c>
    </row>
    <row r="3429">
      <c r="A3429" s="4" t="s">
        <v>4313</v>
      </c>
      <c r="B3429" s="4" t="s">
        <v>4314</v>
      </c>
      <c r="C3429" s="5" t="str">
        <f>IFERROR(__xludf.DUMMYFUNCTION("GOOGLETRANSLATE(B3429,""en"",""de"")"),"Wir sehen eine Damenhand in einer Zeitschrift.")</f>
        <v>Wir sehen eine Damenhand in einer Zeitschrift.</v>
      </c>
    </row>
    <row r="3430">
      <c r="A3430" s="4" t="s">
        <v>4313</v>
      </c>
      <c r="B3430" s="4" t="s">
        <v>4315</v>
      </c>
      <c r="C3430" s="5" t="str">
        <f>IFERROR(__xludf.DUMMYFUNCTION("GOOGLETRANSLATE(B3430,""en"",""de"")"),"Die Dame schneidet Scheiben eines Artikels.")</f>
        <v>Die Dame schneidet Scheiben eines Artikels.</v>
      </c>
    </row>
    <row r="3431">
      <c r="A3431" s="4" t="s">
        <v>4313</v>
      </c>
      <c r="B3431" s="4" t="s">
        <v>4316</v>
      </c>
      <c r="C3431" s="5" t="str">
        <f>IFERROR(__xludf.DUMMYFUNCTION("GOOGLETRANSLATE(B3431,""en"",""de"")"),"Sie legt das Papier in Wasser und legt dann auf ihre weißen Nägel, sie schält das Papier ab und die Buchstaben kleben.")</f>
        <v>Sie legt das Papier in Wasser und legt dann auf ihre weißen Nägel, sie schält das Papier ab und die Buchstaben kleben.</v>
      </c>
    </row>
    <row r="3432">
      <c r="A3432" s="4" t="s">
        <v>4313</v>
      </c>
      <c r="B3432" s="4" t="s">
        <v>4317</v>
      </c>
      <c r="C3432" s="5" t="str">
        <f>IFERROR(__xludf.DUMMYFUNCTION("GOOGLETRANSLATE(B3432,""en"",""de"")"),"Die Dame legt einen klaren Politur über die Nägel.")</f>
        <v>Die Dame legt einen klaren Politur über die Nägel.</v>
      </c>
    </row>
    <row r="3433">
      <c r="A3433" s="4" t="s">
        <v>4313</v>
      </c>
      <c r="B3433" s="4" t="s">
        <v>4318</v>
      </c>
      <c r="C3433" s="5" t="str">
        <f>IFERROR(__xludf.DUMMYFUNCTION("GOOGLETRANSLATE(B3433,""en"",""de"")"),"Die Dame steckt Strasssteine ​​an ihren Nägeln.")</f>
        <v>Die Dame steckt Strasssteine ​​an ihren Nägeln.</v>
      </c>
    </row>
    <row r="3434">
      <c r="A3434" s="4" t="s">
        <v>4313</v>
      </c>
      <c r="B3434" s="4" t="s">
        <v>4319</v>
      </c>
      <c r="C3434" s="5" t="str">
        <f>IFERROR(__xludf.DUMMYFUNCTION("GOOGLETRANSLATE(B3434,""en"",""de"")"),"Die Dame legt einen klaren Politur über die dekorierten Nägel.")</f>
        <v>Die Dame legt einen klaren Politur über die dekorierten Nägel.</v>
      </c>
    </row>
    <row r="3435">
      <c r="A3435" s="4" t="s">
        <v>4313</v>
      </c>
      <c r="B3435" s="4" t="s">
        <v>4320</v>
      </c>
      <c r="C3435" s="5" t="str">
        <f>IFERROR(__xludf.DUMMYFUNCTION("GOOGLETRANSLATE(B3435,""en"",""de"")"),"Wir sehen, wie die Dame die Seiten in der Zeitschrift dreht.")</f>
        <v>Wir sehen, wie die Dame die Seiten in der Zeitschrift dreht.</v>
      </c>
    </row>
    <row r="3436">
      <c r="A3436" s="4" t="s">
        <v>4313</v>
      </c>
      <c r="B3436" s="4" t="s">
        <v>4321</v>
      </c>
      <c r="C3436" s="5" t="str">
        <f>IFERROR(__xludf.DUMMYFUNCTION("GOOGLETRANSLATE(B3436,""en"",""de"")"),"Wir sehen den weißen Endbildschirm.")</f>
        <v>Wir sehen den weißen Endbildschirm.</v>
      </c>
    </row>
    <row r="3437">
      <c r="A3437" s="4" t="s">
        <v>4322</v>
      </c>
      <c r="B3437" s="4" t="s">
        <v>4323</v>
      </c>
      <c r="C3437" s="5" t="str">
        <f>IFERROR(__xludf.DUMMYFUNCTION("GOOGLETRANSLATE(B3437,""en"",""de"")"),"Die Leute rutschen über das Eis.")</f>
        <v>Die Leute rutschen über das Eis.</v>
      </c>
    </row>
    <row r="3438">
      <c r="A3438" s="4" t="s">
        <v>4322</v>
      </c>
      <c r="B3438" s="4" t="s">
        <v>4324</v>
      </c>
      <c r="C3438" s="5" t="str">
        <f>IFERROR(__xludf.DUMMYFUNCTION("GOOGLETRANSLATE(B3438,""en"",""de"")"),"Sie halten einen Lockenstab und einen Ball.")</f>
        <v>Sie halten einen Lockenstab und einen Ball.</v>
      </c>
    </row>
    <row r="3439">
      <c r="A3439" s="4" t="s">
        <v>4322</v>
      </c>
      <c r="B3439" s="4" t="s">
        <v>4325</v>
      </c>
      <c r="C3439" s="5" t="str">
        <f>IFERROR(__xludf.DUMMYFUNCTION("GOOGLETRANSLATE(B3439,""en"",""de"")"),"Zwei Männer in weißen Hemden laufen neben der Person, die rutscht.")</f>
        <v>Zwei Männer in weißen Hemden laufen neben der Person, die rutscht.</v>
      </c>
    </row>
    <row r="3440">
      <c r="A3440" s="4" t="s">
        <v>4326</v>
      </c>
      <c r="B3440" s="4" t="s">
        <v>4327</v>
      </c>
      <c r="C3440" s="5" t="str">
        <f>IFERROR(__xludf.DUMMYFUNCTION("GOOGLETRANSLATE(B3440,""en"",""de"")"),"Ein Mann wird gesehen, wie er mit der Kamera spricht, gefolgt von ihm, wie er mehrere Zutaten herauslegt und sie in etwas Wasser kochte.")</f>
        <v>Ein Mann wird gesehen, wie er mit der Kamera spricht, gefolgt von ihm, wie er mehrere Zutaten herauslegt und sie in etwas Wasser kochte.</v>
      </c>
    </row>
    <row r="3441">
      <c r="A3441" s="4" t="s">
        <v>4326</v>
      </c>
      <c r="B3441" s="4" t="s">
        <v>4328</v>
      </c>
      <c r="C3441" s="5" t="str">
        <f>IFERROR(__xludf.DUMMYFUNCTION("GOOGLETRANSLATE(B3441,""en"",""de"")"),"Dann gießt er mehr Lebensmittel unter Wasser und in einen mit Wasser gefüllten Topf.")</f>
        <v>Dann gießt er mehr Lebensmittel unter Wasser und in einen mit Wasser gefüllten Topf.</v>
      </c>
    </row>
    <row r="3442">
      <c r="A3442" s="4" t="s">
        <v>4329</v>
      </c>
      <c r="B3442" s="4" t="s">
        <v>4330</v>
      </c>
      <c r="C3442" s="5" t="str">
        <f>IFERROR(__xludf.DUMMYFUNCTION("GOOGLETRANSLATE(B3442,""en"",""de"")"),"Eine große Gruppe von Menschen steht auf einer Matte und führt eine Routine miteinander aus.")</f>
        <v>Eine große Gruppe von Menschen steht auf einer Matte und führt eine Routine miteinander aus.</v>
      </c>
    </row>
    <row r="3443">
      <c r="A3443" s="4" t="s">
        <v>4329</v>
      </c>
      <c r="B3443" s="4" t="s">
        <v>4331</v>
      </c>
      <c r="C3443" s="5" t="str">
        <f>IFERROR(__xludf.DUMMYFUNCTION("GOOGLETRANSLATE(B3443,""en"",""de"")"),"Die Leute machen verschiedene Flips und Tricks um die Matte und enden mit einer Pose und winken dem Publikum.")</f>
        <v>Die Leute machen verschiedene Flips und Tricks um die Matte und enden mit einer Pose und winken dem Publikum.</v>
      </c>
    </row>
    <row r="3444">
      <c r="A3444" s="4" t="s">
        <v>4332</v>
      </c>
      <c r="B3444" s="4" t="s">
        <v>4333</v>
      </c>
      <c r="C3444" s="5" t="str">
        <f>IFERROR(__xludf.DUMMYFUNCTION("GOOGLETRANSLATE(B3444,""en"",""de"")"),"Es wird eine Nahaufnahme eines Blattgebläses gezeigt, gefolgt von der Kamera, die sich in der Gegend umsieht.")</f>
        <v>Es wird eine Nahaufnahme eines Blattgebläses gezeigt, gefolgt von der Kamera, die sich in der Gegend umsieht.</v>
      </c>
    </row>
    <row r="3445">
      <c r="A3445" s="4" t="s">
        <v>4332</v>
      </c>
      <c r="B3445" s="4" t="s">
        <v>4334</v>
      </c>
      <c r="C3445" s="5" t="str">
        <f>IFERROR(__xludf.DUMMYFUNCTION("GOOGLETRANSLATE(B3445,""en"",""de"")"),"Eine Hand wird dann gesehen, wie die Maschine startet und die Maschine um den Hof drückt.")</f>
        <v>Eine Hand wird dann gesehen, wie die Maschine startet und die Maschine um den Hof drückt.</v>
      </c>
    </row>
    <row r="3446">
      <c r="A3446" s="4" t="s">
        <v>4332</v>
      </c>
      <c r="B3446" s="4" t="s">
        <v>4335</v>
      </c>
      <c r="C3446" s="5" t="str">
        <f>IFERROR(__xludf.DUMMYFUNCTION("GOOGLETRANSLATE(B3446,""en"",""de"")"),"Der Mann schaltet die Maschine aus und sieht sich vorne um, während er auf die Oberseite der Maschine zeigt.")</f>
        <v>Der Mann schaltet die Maschine aus und sieht sich vorne um, während er auf die Oberseite der Maschine zeigt.</v>
      </c>
    </row>
    <row r="3447">
      <c r="A3447" s="4" t="s">
        <v>4332</v>
      </c>
      <c r="B3447" s="4" t="s">
        <v>4336</v>
      </c>
      <c r="C3447" s="5" t="str">
        <f>IFERROR(__xludf.DUMMYFUNCTION("GOOGLETRANSLATE(B3447,""en"",""de"")"),"Die Kamera schwenkt um die Maschine und der Mann zeigt einen Daumen hoch.")</f>
        <v>Die Kamera schwenkt um die Maschine und der Mann zeigt einen Daumen hoch.</v>
      </c>
    </row>
    <row r="3448">
      <c r="A3448" s="4" t="s">
        <v>4337</v>
      </c>
      <c r="B3448" s="4" t="s">
        <v>4338</v>
      </c>
      <c r="C3448" s="5" t="str">
        <f>IFERROR(__xludf.DUMMYFUNCTION("GOOGLETRANSLATE(B3448,""en"",""de"")"),"Eine Dame sitzt auf einer Couch und diskutiert.")</f>
        <v>Eine Dame sitzt auf einer Couch und diskutiert.</v>
      </c>
    </row>
    <row r="3449">
      <c r="A3449" s="4" t="s">
        <v>4337</v>
      </c>
      <c r="B3449" s="4" t="s">
        <v>4339</v>
      </c>
      <c r="C3449" s="5" t="str">
        <f>IFERROR(__xludf.DUMMYFUNCTION("GOOGLETRANSLATE(B3449,""en"",""de"")"),"Die Dame segelt ein Boot.")</f>
        <v>Die Dame segelt ein Boot.</v>
      </c>
    </row>
    <row r="3450">
      <c r="A3450" s="4" t="s">
        <v>4337</v>
      </c>
      <c r="B3450" s="4" t="s">
        <v>4340</v>
      </c>
      <c r="C3450" s="5" t="str">
        <f>IFERROR(__xludf.DUMMYFUNCTION("GOOGLETRANSLATE(B3450,""en"",""de"")"),"Die Dame geht Wasser.")</f>
        <v>Die Dame geht Wasser.</v>
      </c>
    </row>
    <row r="3451">
      <c r="A3451" s="4" t="s">
        <v>4341</v>
      </c>
      <c r="B3451" s="4" t="s">
        <v>4342</v>
      </c>
      <c r="C3451" s="5" t="str">
        <f>IFERROR(__xludf.DUMMYFUNCTION("GOOGLETRANSLATE(B3451,""en"",""de"")"),"Menschen reiten Pferde auf einer unbefestigten Straße, die nach den Wäldern und auf dem Ozean fährt.")</f>
        <v>Menschen reiten Pferde auf einer unbefestigten Straße, die nach den Wäldern und auf dem Ozean fährt.</v>
      </c>
    </row>
    <row r="3452">
      <c r="A3452" s="4" t="s">
        <v>4341</v>
      </c>
      <c r="B3452" s="4" t="s">
        <v>4343</v>
      </c>
      <c r="C3452" s="5" t="str">
        <f>IFERROR(__xludf.DUMMYFUNCTION("GOOGLETRANSLATE(B3452,""en"",""de"")"),"Die Menschen kommen an einem Ort an und steigen vom Pferd und reiten dann weiterhin an Wäldern, Fluss, dem Meer und den wunderschönen Landschaften.")</f>
        <v>Die Menschen kommen an einem Ort an und steigen vom Pferd und reiten dann weiterhin an Wäldern, Fluss, dem Meer und den wunderschönen Landschaften.</v>
      </c>
    </row>
    <row r="3453">
      <c r="A3453" s="4" t="s">
        <v>4341</v>
      </c>
      <c r="B3453" s="4" t="s">
        <v>4344</v>
      </c>
      <c r="C3453" s="5" t="str">
        <f>IFERROR(__xludf.DUMMYFUNCTION("GOOGLETRANSLATE(B3453,""en"",""de"")"),"Dann kommen die Leute zu einem Campingplatz, dann rennen sie auf dem Ozean.")</f>
        <v>Dann kommen die Leute zu einem Campingplatz, dann rennen sie auf dem Ozean.</v>
      </c>
    </row>
    <row r="3454">
      <c r="A3454" s="4" t="s">
        <v>4345</v>
      </c>
      <c r="B3454" s="4" t="s">
        <v>4346</v>
      </c>
      <c r="C3454" s="5" t="str">
        <f>IFERROR(__xludf.DUMMYFUNCTION("GOOGLETRANSLATE(B3454,""en"",""de"")"),"Einige Jungen spielen in den Pools mit Volleyballs.")</f>
        <v>Einige Jungen spielen in den Pools mit Volleyballs.</v>
      </c>
    </row>
    <row r="3455">
      <c r="A3455" s="4" t="s">
        <v>4345</v>
      </c>
      <c r="B3455" s="4" t="s">
        <v>4347</v>
      </c>
      <c r="C3455" s="5" t="str">
        <f>IFERROR(__xludf.DUMMYFUNCTION("GOOGLETRANSLATE(B3455,""en"",""de"")"),"Es gibt ein großes Schwimmteam, das schwimmt und den Ball zu ihren Teamkollegen herumwirft und erzielt.")</f>
        <v>Es gibt ein großes Schwimmteam, das schwimmt und den Ball zu ihren Teamkollegen herumwirft und erzielt.</v>
      </c>
    </row>
    <row r="3456">
      <c r="A3456" s="4" t="s">
        <v>4345</v>
      </c>
      <c r="B3456" s="4" t="s">
        <v>4348</v>
      </c>
      <c r="C3456" s="5" t="str">
        <f>IFERROR(__xludf.DUMMYFUNCTION("GOOGLETRANSLATE(B3456,""en"",""de"")"),"Dann gibt es eine Mannschaft auf dem eingereichten Flag -Fußball.")</f>
        <v>Dann gibt es eine Mannschaft auf dem eingereichten Flag -Fußball.</v>
      </c>
    </row>
    <row r="3457">
      <c r="A3457" s="4" t="s">
        <v>4345</v>
      </c>
      <c r="B3457" s="4" t="s">
        <v>4349</v>
      </c>
      <c r="C3457" s="5" t="str">
        <f>IFERROR(__xludf.DUMMYFUNCTION("GOOGLETRANSLATE(B3457,""en"",""de"")"),"Sie rennen herum und versuchen, für ihr Team zu punkten.")</f>
        <v>Sie rennen herum und versuchen, für ihr Team zu punkten.</v>
      </c>
    </row>
    <row r="3458">
      <c r="A3458" s="4" t="s">
        <v>4350</v>
      </c>
      <c r="B3458" s="4" t="s">
        <v>4351</v>
      </c>
      <c r="C3458" s="5" t="str">
        <f>IFERROR(__xludf.DUMMYFUNCTION("GOOGLETRANSLATE(B3458,""en"",""de"")"),"Eine silberne Spüle wird gezeigt und ein schwarzer Schlauch mit einem Schrubben auf dem Boden beginnt das Waschbecken mit Dampf zu reinigen.")</f>
        <v>Eine silberne Spüle wird gezeigt und ein schwarzer Schlauch mit einem Schrubben auf dem Boden beginnt das Waschbecken mit Dampf zu reinigen.</v>
      </c>
    </row>
    <row r="3459">
      <c r="A3459" s="4" t="s">
        <v>4350</v>
      </c>
      <c r="B3459" s="4" t="s">
        <v>4352</v>
      </c>
      <c r="C3459" s="5" t="str">
        <f>IFERROR(__xludf.DUMMYFUNCTION("GOOGLETRANSLATE(B3459,""en"",""de"")"),"Nach Abschluss nimmt die Person einen weißen Lappen und geht in die Spüle und wäscht die Feuchtigkeit vom Dampf weg.")</f>
        <v>Nach Abschluss nimmt die Person einen weißen Lappen und geht in die Spüle und wäscht die Feuchtigkeit vom Dampf weg.</v>
      </c>
    </row>
    <row r="3460">
      <c r="A3460" s="4" t="s">
        <v>4353</v>
      </c>
      <c r="B3460" s="4" t="s">
        <v>4354</v>
      </c>
      <c r="C3460" s="5" t="str">
        <f>IFERROR(__xludf.DUMMYFUNCTION("GOOGLETRANSLATE(B3460,""en"",""de"")"),"Ein Mann reist nach Japan, um zu untersuchen, wie man ein Sumo -Wrestler ist.")</f>
        <v>Ein Mann reist nach Japan, um zu untersuchen, wie man ein Sumo -Wrestler ist.</v>
      </c>
    </row>
    <row r="3461">
      <c r="A3461" s="4" t="s">
        <v>4353</v>
      </c>
      <c r="B3461" s="4" t="s">
        <v>4355</v>
      </c>
      <c r="C3461" s="5" t="str">
        <f>IFERROR(__xludf.DUMMYFUNCTION("GOOGLETRANSLATE(B3461,""en"",""de"")"),"Der Mann bekommt Training und lernt die Techniken von Sumo.")</f>
        <v>Der Mann bekommt Training und lernt die Techniken von Sumo.</v>
      </c>
    </row>
    <row r="3462">
      <c r="A3462" s="4" t="s">
        <v>4356</v>
      </c>
      <c r="B3462" s="4" t="s">
        <v>4357</v>
      </c>
      <c r="C3462" s="5" t="str">
        <f>IFERROR(__xludf.DUMMYFUNCTION("GOOGLETRANSLATE(B3462,""en"",""de"")"),"Es gibt mehrere Athleten, die einen Diskus in einen Ring im Freien werfen.")</f>
        <v>Es gibt mehrere Athleten, die einen Diskus in einen Ring im Freien werfen.</v>
      </c>
    </row>
    <row r="3463">
      <c r="A3463" s="4" t="s">
        <v>4356</v>
      </c>
      <c r="B3463" s="4" t="s">
        <v>4358</v>
      </c>
      <c r="C3463" s="5" t="str">
        <f>IFERROR(__xludf.DUMMYFUNCTION("GOOGLETRANSLATE(B3463,""en"",""de"")"),"Der erste Athlet, der in einem roten und weißen Hemd gekleidet ist, beginnt den Diskuswurf mit einem eineinhalb Kilogramm Diskus.")</f>
        <v>Der erste Athlet, der in einem roten und weißen Hemd gekleidet ist, beginnt den Diskuswurf mit einem eineinhalb Kilogramm Diskus.</v>
      </c>
    </row>
    <row r="3464">
      <c r="A3464" s="4" t="s">
        <v>4356</v>
      </c>
      <c r="B3464" s="4" t="s">
        <v>4359</v>
      </c>
      <c r="C3464" s="5" t="str">
        <f>IFERROR(__xludf.DUMMYFUNCTION("GOOGLETRANSLATE(B3464,""en"",""de"")"),"Er dreht sich und dreht sich auf der Stelle und wirft den Diskus.")</f>
        <v>Er dreht sich und dreht sich auf der Stelle und wirft den Diskus.</v>
      </c>
    </row>
    <row r="3465">
      <c r="A3465" s="4" t="s">
        <v>4356</v>
      </c>
      <c r="B3465" s="4" t="s">
        <v>4360</v>
      </c>
      <c r="C3465" s="5" t="str">
        <f>IFERROR(__xludf.DUMMYFUNCTION("GOOGLETRANSLATE(B3465,""en"",""de"")"),"Dann wirft ein anderer Athlet den Diskus, aber erfolglos.")</f>
        <v>Dann wirft ein anderer Athlet den Diskus, aber erfolglos.</v>
      </c>
    </row>
    <row r="3466">
      <c r="A3466" s="4" t="s">
        <v>4356</v>
      </c>
      <c r="B3466" s="4" t="s">
        <v>4361</v>
      </c>
      <c r="C3466" s="5" t="str">
        <f>IFERROR(__xludf.DUMMYFUNCTION("GOOGLETRANSLATE(B3466,""en"",""de"")"),"Der Athlet in Blue macht dann seinen Versuch, den Diskus zu werfen, während er schwingt und dreht, um die Scheibe zu werfen.")</f>
        <v>Der Athlet in Blue macht dann seinen Versuch, den Diskus zu werfen, während er schwingt und dreht, um die Scheibe zu werfen.</v>
      </c>
    </row>
    <row r="3467">
      <c r="A3467" s="4" t="s">
        <v>4356</v>
      </c>
      <c r="B3467" s="4" t="s">
        <v>4362</v>
      </c>
      <c r="C3467" s="5" t="str">
        <f>IFERROR(__xludf.DUMMYFUNCTION("GOOGLETRANSLATE(B3467,""en"",""de"")"),"Dann wirft ein anderer Athlet, der den dritten Platz gewonnen hat, den Diskus erfolgreich.")</f>
        <v>Dann wirft ein anderer Athlet, der den dritten Platz gewonnen hat, den Diskus erfolgreich.</v>
      </c>
    </row>
    <row r="3468">
      <c r="A3468" s="4" t="s">
        <v>4356</v>
      </c>
      <c r="B3468" s="4" t="s">
        <v>4363</v>
      </c>
      <c r="C3468" s="5" t="str">
        <f>IFERROR(__xludf.DUMMYFUNCTION("GOOGLETRANSLATE(B3468,""en"",""de"")"),"Einige weitere Athleten kommen zum Ring und werfen den Diskus.")</f>
        <v>Einige weitere Athleten kommen zum Ring und werfen den Diskus.</v>
      </c>
    </row>
    <row r="3469">
      <c r="A3469" s="4" t="s">
        <v>4356</v>
      </c>
      <c r="B3469" s="4" t="s">
        <v>4364</v>
      </c>
      <c r="C3469" s="5" t="str">
        <f>IFERROR(__xludf.DUMMYFUNCTION("GOOGLETRANSLATE(B3469,""en"",""de"")"),"Die Stadiontipper sind aus Sicherheitsgründen nicht mit ausreichenden Zuschauern gefüllt.")</f>
        <v>Die Stadiontipper sind aus Sicherheitsgründen nicht mit ausreichenden Zuschauern gefüllt.</v>
      </c>
    </row>
    <row r="3470">
      <c r="A3470" s="4" t="s">
        <v>4365</v>
      </c>
      <c r="B3470" s="4" t="s">
        <v>4366</v>
      </c>
      <c r="C3470" s="5" t="str">
        <f>IFERROR(__xludf.DUMMYFUNCTION("GOOGLETRANSLATE(B3470,""en"",""de"")"),"Die Credits des Clips werden angezeigt.")</f>
        <v>Die Credits des Clips werden angezeigt.</v>
      </c>
    </row>
    <row r="3471">
      <c r="A3471" s="4" t="s">
        <v>4365</v>
      </c>
      <c r="B3471" s="4" t="s">
        <v>4367</v>
      </c>
      <c r="C3471" s="5" t="str">
        <f>IFERROR(__xludf.DUMMYFUNCTION("GOOGLETRANSLATE(B3471,""en"",""de"")"),"Eine Person knackt ihre Hände.")</f>
        <v>Eine Person knackt ihre Hände.</v>
      </c>
    </row>
    <row r="3472">
      <c r="A3472" s="4" t="s">
        <v>4365</v>
      </c>
      <c r="B3472" s="4" t="s">
        <v>4368</v>
      </c>
      <c r="C3472" s="5" t="str">
        <f>IFERROR(__xludf.DUMMYFUNCTION("GOOGLETRANSLATE(B3472,""en"",""de"")"),"Vögel strömen den Himmel über der Schmutzspur.")</f>
        <v>Vögel strömen den Himmel über der Schmutzspur.</v>
      </c>
    </row>
    <row r="3473">
      <c r="A3473" s="4" t="s">
        <v>4365</v>
      </c>
      <c r="B3473" s="4" t="s">
        <v>4369</v>
      </c>
      <c r="C3473" s="5" t="str">
        <f>IFERROR(__xludf.DUMMYFUNCTION("GOOGLETRANSLATE(B3473,""en"",""de"")"),"Der Schatten einer Person bewegt sich über die Oberfläche eines weißen Anhängers.")</f>
        <v>Der Schatten einer Person bewegt sich über die Oberfläche eines weißen Anhängers.</v>
      </c>
    </row>
    <row r="3474">
      <c r="A3474" s="4" t="s">
        <v>4365</v>
      </c>
      <c r="B3474" s="4" t="s">
        <v>4370</v>
      </c>
      <c r="C3474" s="5" t="str">
        <f>IFERROR(__xludf.DUMMYFUNCTION("GOOGLETRANSLATE(B3474,""en"",""de"")"),"Eine Person fährt ein Dirtrad.")</f>
        <v>Eine Person fährt ein Dirtrad.</v>
      </c>
    </row>
    <row r="3475">
      <c r="A3475" s="4" t="s">
        <v>4365</v>
      </c>
      <c r="B3475" s="4" t="s">
        <v>4371</v>
      </c>
      <c r="C3475" s="5" t="str">
        <f>IFERROR(__xludf.DUMMYFUNCTION("GOOGLETRANSLATE(B3475,""en"",""de"")"),"Eine Person schaufelt Schmutz.")</f>
        <v>Eine Person schaufelt Schmutz.</v>
      </c>
    </row>
    <row r="3476">
      <c r="A3476" s="4" t="s">
        <v>4365</v>
      </c>
      <c r="B3476" s="4" t="s">
        <v>4372</v>
      </c>
      <c r="C3476" s="5" t="str">
        <f>IFERROR(__xludf.DUMMYFUNCTION("GOOGLETRANSLATE(B3476,""en"",""de"")"),"Eine Person steht am Ende der Dirt -Rennstrecke mit Schild.")</f>
        <v>Eine Person steht am Ende der Dirt -Rennstrecke mit Schild.</v>
      </c>
    </row>
    <row r="3477">
      <c r="A3477" s="4" t="s">
        <v>4365</v>
      </c>
      <c r="B3477" s="4" t="s">
        <v>4373</v>
      </c>
      <c r="C3477" s="5" t="str">
        <f>IFERROR(__xludf.DUMMYFUNCTION("GOOGLETRANSLATE(B3477,""en"",""de"")"),"Eine Person hebt ein Dirtrad und legt sich auf einen Hocker.")</f>
        <v>Eine Person hebt ein Dirtrad und legt sich auf einen Hocker.</v>
      </c>
    </row>
    <row r="3478">
      <c r="A3478" s="4" t="s">
        <v>4365</v>
      </c>
      <c r="B3478" s="4" t="s">
        <v>4374</v>
      </c>
      <c r="C3478" s="5" t="str">
        <f>IFERROR(__xludf.DUMMYFUNCTION("GOOGLETRANSLATE(B3478,""en"",""de"")"),"Ein männliches Kind rennt und lächelt.")</f>
        <v>Ein männliches Kind rennt und lächelt.</v>
      </c>
    </row>
    <row r="3479">
      <c r="A3479" s="4" t="s">
        <v>4365</v>
      </c>
      <c r="B3479" s="4" t="s">
        <v>4375</v>
      </c>
      <c r="C3479" s="5" t="str">
        <f>IFERROR(__xludf.DUMMYFUNCTION("GOOGLETRANSLATE(B3479,""en"",""de"")"),"Ein Hubschrauber schwebt über der Rennstrecke.")</f>
        <v>Ein Hubschrauber schwebt über der Rennstrecke.</v>
      </c>
    </row>
    <row r="3480">
      <c r="A3480" s="4" t="s">
        <v>4365</v>
      </c>
      <c r="B3480" s="4" t="s">
        <v>4376</v>
      </c>
      <c r="C3480" s="5" t="str">
        <f>IFERROR(__xludf.DUMMYFUNCTION("GOOGLETRANSLATE(B3480,""en"",""de"")"),"Eine Dame zieht den Helm eines Fahrers an.")</f>
        <v>Eine Dame zieht den Helm eines Fahrers an.</v>
      </c>
    </row>
    <row r="3481">
      <c r="A3481" s="4" t="s">
        <v>4365</v>
      </c>
      <c r="B3481" s="4" t="s">
        <v>573</v>
      </c>
      <c r="C3481" s="5" t="str">
        <f>IFERROR(__xludf.DUMMYFUNCTION("GOOGLETRANSLATE(B3481,""en"",""de"")"),"Die Credits des Videos werden angezeigt.")</f>
        <v>Die Credits des Videos werden angezeigt.</v>
      </c>
    </row>
    <row r="3482">
      <c r="A3482" s="4" t="s">
        <v>4377</v>
      </c>
      <c r="B3482" s="4" t="s">
        <v>4378</v>
      </c>
      <c r="C3482" s="5" t="str">
        <f>IFERROR(__xludf.DUMMYFUNCTION("GOOGLETRANSLATE(B3482,""en"",""de"")"),"Ein Mann wird gezeigt, der in die Ferne starrt, während ein anderer einen Ball an einem Bier -Pong -Tisch hält.")</f>
        <v>Ein Mann wird gezeigt, der in die Ferne starrt, während ein anderer einen Ball an einem Bier -Pong -Tisch hält.</v>
      </c>
    </row>
    <row r="3483">
      <c r="A3483" s="4" t="s">
        <v>4377</v>
      </c>
      <c r="B3483" s="4" t="s">
        <v>4379</v>
      </c>
      <c r="C3483" s="5" t="str">
        <f>IFERROR(__xludf.DUMMYFUNCTION("GOOGLETRANSLATE(B3483,""en"",""de"")"),"Die Kamera zeigt den Ball, der auf den Tisch trifft und auf der anderen Seite in den Becher landet.")</f>
        <v>Die Kamera zeigt den Ball, der auf den Tisch trifft und auf der anderen Seite in den Becher landet.</v>
      </c>
    </row>
    <row r="3484">
      <c r="A3484" s="4" t="s">
        <v>4377</v>
      </c>
      <c r="B3484" s="4" t="s">
        <v>4380</v>
      </c>
      <c r="C3484" s="5" t="str">
        <f>IFERROR(__xludf.DUMMYFUNCTION("GOOGLETRANSLATE(B3484,""en"",""de"")"),"Der erste Mann schaut auf die Tasse hinunter und macht zu dem, was er sieht.")</f>
        <v>Der erste Mann schaut auf die Tasse hinunter und macht zu dem, was er sieht.</v>
      </c>
    </row>
    <row r="3485">
      <c r="A3485" s="4" t="s">
        <v>4381</v>
      </c>
      <c r="B3485" s="4" t="s">
        <v>4382</v>
      </c>
      <c r="C3485" s="5" t="str">
        <f>IFERROR(__xludf.DUMMYFUNCTION("GOOGLETRANSLATE(B3485,""en"",""de"")"),"Es gibt einen Mann, der einen schwarzen sportlichen Anzug in einem Schuss -Field -Übungs -Schuss trägt.")</f>
        <v>Es gibt einen Mann, der einen schwarzen sportlichen Anzug in einem Schuss -Field -Übungs -Schuss trägt.</v>
      </c>
    </row>
    <row r="3486">
      <c r="A3486" s="4" t="s">
        <v>4381</v>
      </c>
      <c r="B3486" s="4" t="s">
        <v>4383</v>
      </c>
      <c r="C3486" s="5" t="str">
        <f>IFERROR(__xludf.DUMMYFUNCTION("GOOGLETRANSLATE(B3486,""en"",""de"")"),"Er beginnt damit, den Ball in die Hand zu nehmen und ihn gegen seinen Hals zu halten.")</f>
        <v>Er beginnt damit, den Ball in die Hand zu nehmen und ihn gegen seinen Hals zu halten.</v>
      </c>
    </row>
    <row r="3487">
      <c r="A3487" s="4" t="s">
        <v>4381</v>
      </c>
      <c r="B3487" s="4" t="s">
        <v>4384</v>
      </c>
      <c r="C3487" s="5" t="str">
        <f>IFERROR(__xludf.DUMMYFUNCTION("GOOGLETRANSLATE(B3487,""en"",""de"")"),"Dann dreht er sich herum und wirft den Ball weit nach vorne.")</f>
        <v>Dann dreht er sich herum und wirft den Ball weit nach vorne.</v>
      </c>
    </row>
    <row r="3488">
      <c r="A3488" s="4" t="s">
        <v>4385</v>
      </c>
      <c r="B3488" s="4" t="s">
        <v>4386</v>
      </c>
      <c r="C3488" s="5" t="str">
        <f>IFERROR(__xludf.DUMMYFUNCTION("GOOGLETRANSLATE(B3488,""en"",""de"")"),"Wir sehen einen Mann, der einen Rasen mähen.")</f>
        <v>Wir sehen einen Mann, der einen Rasen mähen.</v>
      </c>
    </row>
    <row r="3489">
      <c r="A3489" s="4" t="s">
        <v>4385</v>
      </c>
      <c r="B3489" s="4" t="s">
        <v>4387</v>
      </c>
      <c r="C3489" s="5" t="str">
        <f>IFERROR(__xludf.DUMMYFUNCTION("GOOGLETRANSLATE(B3489,""en"",""de"")"),"Er steht auf der Treppe, um zu mähen.")</f>
        <v>Er steht auf der Treppe, um zu mähen.</v>
      </c>
    </row>
    <row r="3490">
      <c r="A3490" s="4" t="s">
        <v>4385</v>
      </c>
      <c r="B3490" s="4" t="s">
        <v>4388</v>
      </c>
      <c r="C3490" s="5" t="str">
        <f>IFERROR(__xludf.DUMMYFUNCTION("GOOGLETRANSLATE(B3490,""en"",""de"")"),"Es wechselt zu einer Frau, die mäht.")</f>
        <v>Es wechselt zu einer Frau, die mäht.</v>
      </c>
    </row>
    <row r="3491">
      <c r="A3491" s="4" t="s">
        <v>4385</v>
      </c>
      <c r="B3491" s="4" t="s">
        <v>4389</v>
      </c>
      <c r="C3491" s="5" t="str">
        <f>IFERROR(__xludf.DUMMYFUNCTION("GOOGLETRANSLATE(B3491,""en"",""de"")"),"Es geht zurück auf den Mann, der mäht.")</f>
        <v>Es geht zurück auf den Mann, der mäht.</v>
      </c>
    </row>
    <row r="3492">
      <c r="A3492" s="4" t="s">
        <v>4385</v>
      </c>
      <c r="B3492" s="4" t="s">
        <v>4390</v>
      </c>
      <c r="C3492" s="5" t="str">
        <f>IFERROR(__xludf.DUMMYFUNCTION("GOOGLETRANSLATE(B3492,""en"",""de"")"),"Der Mann steckt den Mäher in den Schuppen und geht ins Haus.")</f>
        <v>Der Mann steckt den Mäher in den Schuppen und geht ins Haus.</v>
      </c>
    </row>
    <row r="3493">
      <c r="A3493" s="4" t="s">
        <v>4391</v>
      </c>
      <c r="B3493" s="4" t="s">
        <v>4392</v>
      </c>
      <c r="C3493" s="5" t="str">
        <f>IFERROR(__xludf.DUMMYFUNCTION("GOOGLETRANSLATE(B3493,""en"",""de"")"),"Ein Intro kommt auf den Bildschirm für ein Video über das Entfernen von Mulch.")</f>
        <v>Ein Intro kommt auf den Bildschirm für ein Video über das Entfernen von Mulch.</v>
      </c>
    </row>
    <row r="3494">
      <c r="A3494" s="4" t="s">
        <v>4391</v>
      </c>
      <c r="B3494" s="4" t="s">
        <v>4393</v>
      </c>
      <c r="C3494" s="5" t="str">
        <f>IFERROR(__xludf.DUMMYFUNCTION("GOOGLETRANSLATE(B3494,""en"",""de"")"),"Ein Mann gräbt seine Ferse in die Basis eines Baumes, um den Mulch wegzuschieben.")</f>
        <v>Ein Mann gräbt seine Ferse in die Basis eines Baumes, um den Mulch wegzuschieben.</v>
      </c>
    </row>
    <row r="3495">
      <c r="A3495" s="4" t="s">
        <v>4391</v>
      </c>
      <c r="B3495" s="4" t="s">
        <v>4394</v>
      </c>
      <c r="C3495" s="5" t="str">
        <f>IFERROR(__xludf.DUMMYFUNCTION("GOOGLETRANSLATE(B3495,""en"",""de"")"),"Er steigt auf die Knie und beginnt, den Mulch von Hand zu entfernen, indem er ihn weiter vom Baumbasis drückt.")</f>
        <v>Er steigt auf die Knie und beginnt, den Mulch von Hand zu entfernen, indem er ihn weiter vom Baumbasis drückt.</v>
      </c>
    </row>
    <row r="3496">
      <c r="A3496" s="4" t="s">
        <v>4391</v>
      </c>
      <c r="B3496" s="4" t="s">
        <v>4395</v>
      </c>
      <c r="C3496" s="5" t="str">
        <f>IFERROR(__xludf.DUMMYFUNCTION("GOOGLETRANSLATE(B3496,""en"",""de"")"),"Er nimmt einige Clippers heraus und klammert einige der Wurzeln.")</f>
        <v>Er nimmt einige Clippers heraus und klammert einige der Wurzeln.</v>
      </c>
    </row>
    <row r="3497">
      <c r="A3497" s="4" t="s">
        <v>4391</v>
      </c>
      <c r="B3497" s="4" t="s">
        <v>4396</v>
      </c>
      <c r="C3497" s="5" t="str">
        <f>IFERROR(__xludf.DUMMYFUNCTION("GOOGLETRANSLATE(B3497,""en"",""de"")"),"Zuletzt endet das Video mit den Schließungsunterschriften.")</f>
        <v>Zuletzt endet das Video mit den Schließungsunterschriften.</v>
      </c>
    </row>
    <row r="3498">
      <c r="A3498" s="4" t="s">
        <v>4397</v>
      </c>
      <c r="B3498" s="4" t="s">
        <v>4398</v>
      </c>
      <c r="C3498" s="5" t="str">
        <f>IFERROR(__xludf.DUMMYFUNCTION("GOOGLETRANSLATE(B3498,""en"",""de"")"),"Eine Frau strickt einen scheinbar Schal, während er vor einer Computertastatur sitzt.")</f>
        <v>Eine Frau strickt einen scheinbar Schal, während er vor einer Computertastatur sitzt.</v>
      </c>
    </row>
    <row r="3499">
      <c r="A3499" s="4" t="s">
        <v>4397</v>
      </c>
      <c r="B3499" s="4" t="s">
        <v>4399</v>
      </c>
      <c r="C3499" s="5" t="str">
        <f>IFERROR(__xludf.DUMMYFUNCTION("GOOGLETRANSLATE(B3499,""en"",""de"")"),"Sie benutzt die Nadeln, um den Schal zu machen.")</f>
        <v>Sie benutzt die Nadeln, um den Schal zu machen.</v>
      </c>
    </row>
    <row r="3500">
      <c r="A3500" s="4" t="s">
        <v>4397</v>
      </c>
      <c r="B3500" s="4" t="s">
        <v>4400</v>
      </c>
      <c r="C3500" s="5" t="str">
        <f>IFERROR(__xludf.DUMMYFUNCTION("GOOGLETRANSLATE(B3500,""en"",""de"")"),"Sie zieht das Garn mehrmals mit der Schleife durch.")</f>
        <v>Sie zieht das Garn mehrmals mit der Schleife durch.</v>
      </c>
    </row>
    <row r="3501">
      <c r="A3501" s="4" t="s">
        <v>4401</v>
      </c>
      <c r="B3501" s="4" t="s">
        <v>4402</v>
      </c>
      <c r="C3501" s="5" t="str">
        <f>IFERROR(__xludf.DUMMYFUNCTION("GOOGLETRANSLATE(B3501,""en"",""de"")"),"Die Hand einer Person wirft mehrere Pfeile auf ein Brett auf der anderen Seite des Raumes.")</f>
        <v>Die Hand einer Person wirft mehrere Pfeile auf ein Brett auf der anderen Seite des Raumes.</v>
      </c>
    </row>
    <row r="3502">
      <c r="A3502" s="4" t="s">
        <v>4401</v>
      </c>
      <c r="B3502" s="4" t="s">
        <v>4403</v>
      </c>
      <c r="C3502" s="5" t="str">
        <f>IFERROR(__xludf.DUMMYFUNCTION("GOOGLETRANSLATE(B3502,""en"",""de"")"),"Die Kamera nähert sich dann näher an das Brett und zoomt an der Stelle, an der die Pfeile geworfen werden.")</f>
        <v>Die Kamera nähert sich dann näher an das Brett und zoomt an der Stelle, an der die Pfeile geworfen werden.</v>
      </c>
    </row>
    <row r="3503">
      <c r="A3503" s="4" t="s">
        <v>4404</v>
      </c>
      <c r="B3503" s="4" t="s">
        <v>4405</v>
      </c>
      <c r="C3503" s="5" t="str">
        <f>IFERROR(__xludf.DUMMYFUNCTION("GOOGLETRANSLATE(B3503,""en"",""de"")"),"Eine Gruppe von Menschen wird auf einem Tennisplatz mit 4 Männern gesehen, die zusammen spielen.")</f>
        <v>Eine Gruppe von Menschen wird auf einem Tennisplatz mit 4 Männern gesehen, die zusammen spielen.</v>
      </c>
    </row>
    <row r="3504">
      <c r="A3504" s="4" t="s">
        <v>4404</v>
      </c>
      <c r="B3504" s="4" t="s">
        <v>4406</v>
      </c>
      <c r="C3504" s="5" t="str">
        <f>IFERROR(__xludf.DUMMYFUNCTION("GOOGLETRANSLATE(B3504,""en"",""de"")"),"Sie spielen das Spiel weiter und viertes miteinander, während andere im Hintergrund spielen.")</f>
        <v>Sie spielen das Spiel weiter und viertes miteinander, während andere im Hintergrund spielen.</v>
      </c>
    </row>
    <row r="3505">
      <c r="A3505" s="4" t="s">
        <v>4407</v>
      </c>
      <c r="B3505" s="4" t="s">
        <v>4408</v>
      </c>
      <c r="C3505" s="5" t="str">
        <f>IFERROR(__xludf.DUMMYFUNCTION("GOOGLETRANSLATE(B3505,""en"",""de"")"),"Zwei Männer halten sich gegenseitig die Hände und bewegen sich einen zum anderen Seitenarm.")</f>
        <v>Zwei Männer halten sich gegenseitig die Hände und bewegen sich einen zum anderen Seitenarm.</v>
      </c>
    </row>
    <row r="3506">
      <c r="A3506" s="4" t="s">
        <v>4407</v>
      </c>
      <c r="B3506" s="4" t="s">
        <v>4409</v>
      </c>
      <c r="C3506" s="5" t="str">
        <f>IFERROR(__xludf.DUMMYFUNCTION("GOOGLETRANSLATE(B3506,""en"",""de"")"),"Die Männer kämpfen ein bisschen und endet damit, dass einer den anderen nach unten schlägt.")</f>
        <v>Die Männer kämpfen ein bisschen und endet damit, dass einer den anderen nach unten schlägt.</v>
      </c>
    </row>
    <row r="3507">
      <c r="A3507" s="4" t="s">
        <v>4410</v>
      </c>
      <c r="B3507" s="4" t="s">
        <v>4411</v>
      </c>
      <c r="C3507" s="5" t="str">
        <f>IFERROR(__xludf.DUMMYFUNCTION("GOOGLETRANSLATE(B3507,""en"",""de"")"),"Ein junger Mann spielt Geige, während er Headsets trägt.")</f>
        <v>Ein junger Mann spielt Geige, während er Headsets trägt.</v>
      </c>
    </row>
    <row r="3508">
      <c r="A3508" s="4" t="s">
        <v>4410</v>
      </c>
      <c r="B3508" s="4" t="s">
        <v>4412</v>
      </c>
      <c r="C3508" s="5" t="str">
        <f>IFERROR(__xludf.DUMMYFUNCTION("GOOGLETRANSLATE(B3508,""en"",""de"")"),"Dann spielt der junge Mann und zieht die Headsets ab.")</f>
        <v>Dann spielt der junge Mann und zieht die Headsets ab.</v>
      </c>
    </row>
    <row r="3509">
      <c r="A3509" s="4" t="s">
        <v>4413</v>
      </c>
      <c r="B3509" s="4" t="s">
        <v>4414</v>
      </c>
      <c r="C3509" s="5" t="str">
        <f>IFERROR(__xludf.DUMMYFUNCTION("GOOGLETRANSLATE(B3509,""en"",""de"")"),"Mehrere Dirtbiker stehen unter einer Garage hinter einem Stand, das sich auf das Rennen vorbereitet.")</f>
        <v>Mehrere Dirtbiker stehen unter einer Garage hinter einem Stand, das sich auf das Rennen vorbereitet.</v>
      </c>
    </row>
    <row r="3510">
      <c r="A3510" s="4" t="s">
        <v>4413</v>
      </c>
      <c r="B3510" s="4" t="s">
        <v>4415</v>
      </c>
      <c r="C3510" s="5" t="str">
        <f>IFERROR(__xludf.DUMMYFUNCTION("GOOGLETRANSLATE(B3510,""en"",""de"")"),"Jemand ruft eine Marke an und sie alle stehen auf ihren Pedalen auf, die sich auf die Veröffentlichung vorbereiten.")</f>
        <v>Jemand ruft eine Marke an und sie alle stehen auf ihren Pedalen auf, die sich auf die Veröffentlichung vorbereiten.</v>
      </c>
    </row>
    <row r="3511">
      <c r="A3511" s="4" t="s">
        <v>4413</v>
      </c>
      <c r="B3511" s="4" t="s">
        <v>4416</v>
      </c>
      <c r="C3511" s="5" t="str">
        <f>IFERROR(__xludf.DUMMYFUNCTION("GOOGLETRANSLATE(B3511,""en"",""de"")"),"Die Bar ist endlich im Stich und die Jungen beginnen durch die mit Hügeln bedeckte Strecke zu rennen, während die Menschen durch die Menschen stehen, um sie zu beobachten.")</f>
        <v>Die Bar ist endlich im Stich und die Jungen beginnen durch die mit Hügeln bedeckte Strecke zu rennen, während die Menschen durch die Menschen stehen, um sie zu beobachten.</v>
      </c>
    </row>
    <row r="3512">
      <c r="A3512" s="4" t="s">
        <v>4417</v>
      </c>
      <c r="B3512" s="4" t="s">
        <v>4418</v>
      </c>
      <c r="C3512" s="5" t="str">
        <f>IFERROR(__xludf.DUMMYFUNCTION("GOOGLETRANSLATE(B3512,""en"",""de"")"),"Ein Mann versucht, sich auf einem Seil auszubalancieren, er geht darauf und dreht sich ab.")</f>
        <v>Ein Mann versucht, sich auf einem Seil auszubalancieren, er geht darauf und dreht sich ab.</v>
      </c>
    </row>
    <row r="3513">
      <c r="A3513" s="4" t="s">
        <v>4417</v>
      </c>
      <c r="B3513" s="4" t="s">
        <v>4419</v>
      </c>
      <c r="C3513" s="5" t="str">
        <f>IFERROR(__xludf.DUMMYFUNCTION("GOOGLETRANSLATE(B3513,""en"",""de"")"),"Er steigt wieder am Seil und macht einen weiteren Rücken ab.")</f>
        <v>Er steigt wieder am Seil und macht einen weiteren Rücken ab.</v>
      </c>
    </row>
    <row r="3514">
      <c r="A3514" s="4" t="s">
        <v>4417</v>
      </c>
      <c r="B3514" s="4" t="s">
        <v>4420</v>
      </c>
      <c r="C3514" s="5" t="str">
        <f>IFERROR(__xludf.DUMMYFUNCTION("GOOGLETRANSLATE(B3514,""en"",""de"")"),"Er greift das Seil mit seinen Füßen super fest, während er hinübergeht.")</f>
        <v>Er greift das Seil mit seinen Füßen super fest, während er hinübergeht.</v>
      </c>
    </row>
    <row r="3515">
      <c r="A3515" s="4" t="s">
        <v>4417</v>
      </c>
      <c r="B3515" s="4" t="s">
        <v>4421</v>
      </c>
      <c r="C3515" s="5" t="str">
        <f>IFERROR(__xludf.DUMMYFUNCTION("GOOGLETRANSLATE(B3515,""en"",""de"")"),"Er hat Probleme, sich darauf auszubalancieren, beginnt rückwärts zu gehen.")</f>
        <v>Er hat Probleme, sich darauf auszubalancieren, beginnt rückwärts zu gehen.</v>
      </c>
    </row>
    <row r="3516">
      <c r="A3516" s="4" t="s">
        <v>4422</v>
      </c>
      <c r="B3516" s="4" t="s">
        <v>4423</v>
      </c>
      <c r="C3516" s="5" t="str">
        <f>IFERROR(__xludf.DUMMYFUNCTION("GOOGLETRANSLATE(B3516,""en"",""de"")"),"Die Menschen snowboarden einen Schneehügel hinunter.")</f>
        <v>Die Menschen snowboarden einen Schneehügel hinunter.</v>
      </c>
    </row>
    <row r="3517">
      <c r="A3517" s="4" t="s">
        <v>4422</v>
      </c>
      <c r="B3517" s="4" t="s">
        <v>4424</v>
      </c>
      <c r="C3517" s="5" t="str">
        <f>IFERROR(__xludf.DUMMYFUNCTION("GOOGLETRANSLATE(B3517,""en"",""de"")"),"Ein Mann in roter Schutzbrillen steht im Schnee.")</f>
        <v>Ein Mann in roter Schutzbrillen steht im Schnee.</v>
      </c>
    </row>
    <row r="3518">
      <c r="A3518" s="4" t="s">
        <v>4422</v>
      </c>
      <c r="B3518" s="4" t="s">
        <v>4425</v>
      </c>
      <c r="C3518" s="5" t="str">
        <f>IFERROR(__xludf.DUMMYFUNCTION("GOOGLETRANSLATE(B3518,""en"",""de"")"),"Die Leute fahren mit einem Skiaufzug den Berg hinauf.")</f>
        <v>Die Leute fahren mit einem Skiaufzug den Berg hinauf.</v>
      </c>
    </row>
    <row r="3519">
      <c r="A3519" s="4" t="s">
        <v>4426</v>
      </c>
      <c r="B3519" s="4" t="s">
        <v>4427</v>
      </c>
      <c r="C3519" s="5" t="str">
        <f>IFERROR(__xludf.DUMMYFUNCTION("GOOGLETRANSLATE(B3519,""en"",""de"")"),"Es gibt einen Mann in einer formellen Kleidung mit Hemd und Krawatte, die demonstriert, wie man einen Cocktail namens Pimms herstellt.")</f>
        <v>Es gibt einen Mann in einer formellen Kleidung mit Hemd und Krawatte, die demonstriert, wie man einen Cocktail namens Pimms herstellt.</v>
      </c>
    </row>
    <row r="3520">
      <c r="A3520" s="4" t="s">
        <v>4426</v>
      </c>
      <c r="B3520" s="4" t="s">
        <v>4428</v>
      </c>
      <c r="C3520" s="5" t="str">
        <f>IFERROR(__xludf.DUMMYFUNCTION("GOOGLETRANSLATE(B3520,""en"",""de"")"),"Er steckt ein paar Eiswürfel in ein hohes Glas und fügt dann einige Pimms hinzu.")</f>
        <v>Er steckt ein paar Eiswürfel in ein hohes Glas und fügt dann einige Pimms hinzu.</v>
      </c>
    </row>
    <row r="3521">
      <c r="A3521" s="4" t="s">
        <v>4426</v>
      </c>
      <c r="B3521" s="4" t="s">
        <v>4429</v>
      </c>
      <c r="C3521" s="5" t="str">
        <f>IFERROR(__xludf.DUMMYFUNCTION("GOOGLETRANSLATE(B3521,""en"",""de"")"),"Er schneidet einige Zitronen und setzt die Zitronen zusammen mit einer Kirsche auf einen Zahnstocher.")</f>
        <v>Er schneidet einige Zitronen und setzt die Zitronen zusammen mit einer Kirsche auf einen Zahnstocher.</v>
      </c>
    </row>
    <row r="3522">
      <c r="A3522" s="4" t="s">
        <v>4426</v>
      </c>
      <c r="B3522" s="4" t="s">
        <v>4430</v>
      </c>
      <c r="C3522" s="5" t="str">
        <f>IFERROR(__xludf.DUMMYFUNCTION("GOOGLETRANSLATE(B3522,""en"",""de"")"),"Dann legt er eine Scheibe Gurken, die in Längsrichtung in den Cocktail geschnitten wird.")</f>
        <v>Dann legt er eine Scheibe Gurken, die in Längsrichtung in den Cocktail geschnitten wird.</v>
      </c>
    </row>
    <row r="3523">
      <c r="A3523" s="4" t="s">
        <v>4431</v>
      </c>
      <c r="B3523" s="4" t="s">
        <v>4432</v>
      </c>
      <c r="C3523" s="5" t="str">
        <f>IFERROR(__xludf.DUMMYFUNCTION("GOOGLETRANSLATE(B3523,""en"",""de"")"),"Zwei Teams sind ineinander am Ende des Seils, während die Leute zuschauen und zwei Personen fotografieren.")</f>
        <v>Zwei Teams sind ineinander am Ende des Seils, während die Leute zuschauen und zwei Personen fotografieren.</v>
      </c>
    </row>
    <row r="3524">
      <c r="A3524" s="4" t="s">
        <v>4431</v>
      </c>
      <c r="B3524" s="4" t="s">
        <v>4433</v>
      </c>
      <c r="C3524" s="5" t="str">
        <f>IFERROR(__xludf.DUMMYFUNCTION("GOOGLETRANSLATE(B3524,""en"",""de"")"),"Die beiden Teams begannen das Seil zu ziehen.")</f>
        <v>Die beiden Teams begannen das Seil zu ziehen.</v>
      </c>
    </row>
    <row r="3525">
      <c r="A3525" s="4" t="s">
        <v>4431</v>
      </c>
      <c r="B3525" s="4" t="s">
        <v>4434</v>
      </c>
      <c r="C3525" s="5" t="str">
        <f>IFERROR(__xludf.DUMMYFUNCTION("GOOGLETRANSLATE(B3525,""en"",""de"")"),"Das Team in gelbem Hemd gewann und dann schütteln zwei Teams die Hand und umarmten sich und schlug dann.")</f>
        <v>Das Team in gelbem Hemd gewann und dann schütteln zwei Teams die Hand und umarmten sich und schlug dann.</v>
      </c>
    </row>
    <row r="3526">
      <c r="A3526" s="4" t="s">
        <v>4435</v>
      </c>
      <c r="B3526" s="4" t="s">
        <v>4436</v>
      </c>
      <c r="C3526" s="5" t="str">
        <f>IFERROR(__xludf.DUMMYFUNCTION("GOOGLETRANSLATE(B3526,""en"",""de"")"),"Eine Frau spricht in einer Küche, dann zeigt sie einen Pinsel.")</f>
        <v>Eine Frau spricht in einer Küche, dann zeigt sie einen Pinsel.</v>
      </c>
    </row>
    <row r="3527">
      <c r="A3527" s="4" t="s">
        <v>4435</v>
      </c>
      <c r="B3527" s="4" t="s">
        <v>4437</v>
      </c>
      <c r="C3527" s="5" t="str">
        <f>IFERROR(__xludf.DUMMYFUNCTION("GOOGLETRANSLATE(B3527,""en"",""de"")"),"Die Frau öffnet den Wasserhahn und wäscht ein Gericht mit der Bürste, dann streift sie ihre Hand, während sie erklärt.")</f>
        <v>Die Frau öffnet den Wasserhahn und wäscht ein Gericht mit der Bürste, dann streift sie ihre Hand, während sie erklärt.</v>
      </c>
    </row>
    <row r="3528">
      <c r="A3528" s="4" t="s">
        <v>4435</v>
      </c>
      <c r="B3528" s="4" t="s">
        <v>4438</v>
      </c>
      <c r="C3528" s="5" t="str">
        <f>IFERROR(__xludf.DUMMYFUNCTION("GOOGLETRANSLATE(B3528,""en"",""de"")"),"Dann wäscht sie ein Gericht mit der Bürste und erklärt dann die Pinsel.")</f>
        <v>Dann wäscht sie ein Gericht mit der Bürste und erklärt dann die Pinsel.</v>
      </c>
    </row>
    <row r="3529">
      <c r="A3529" s="4" t="s">
        <v>4439</v>
      </c>
      <c r="B3529" s="4" t="s">
        <v>4440</v>
      </c>
      <c r="C3529" s="5" t="str">
        <f>IFERROR(__xludf.DUMMYFUNCTION("GOOGLETRANSLATE(B3529,""en"",""de"")"),"Eine Tänzerin positioniert sich, um ihren Tanz zu beginnen.")</f>
        <v>Eine Tänzerin positioniert sich, um ihren Tanz zu beginnen.</v>
      </c>
    </row>
    <row r="3530">
      <c r="A3530" s="4" t="s">
        <v>4439</v>
      </c>
      <c r="B3530" s="4" t="s">
        <v>4441</v>
      </c>
      <c r="C3530" s="5" t="str">
        <f>IFERROR(__xludf.DUMMYFUNCTION("GOOGLETRANSLATE(B3530,""en"",""de"")"),"Die Tänzerin spielt ihre Tanzroutine mit einem Zauberstab.")</f>
        <v>Die Tänzerin spielt ihre Tanzroutine mit einem Zauberstab.</v>
      </c>
    </row>
    <row r="3531">
      <c r="A3531" s="4" t="s">
        <v>4439</v>
      </c>
      <c r="B3531" s="4" t="s">
        <v>4442</v>
      </c>
      <c r="C3531" s="5" t="str">
        <f>IFERROR(__xludf.DUMMYFUNCTION("GOOGLETRANSLATE(B3531,""en"",""de"")"),"Die Frau wirft ihren Zauberstab im Rahmen ihres Tanzes und rennt, um ihn zu greifen, und nimmt ihre Leistung wieder auf.")</f>
        <v>Die Frau wirft ihren Zauberstab im Rahmen ihres Tanzes und rennt, um ihn zu greifen, und nimmt ihre Leistung wieder auf.</v>
      </c>
    </row>
    <row r="3532">
      <c r="A3532" s="4" t="s">
        <v>4439</v>
      </c>
      <c r="B3532" s="4" t="s">
        <v>4443</v>
      </c>
      <c r="C3532" s="5" t="str">
        <f>IFERROR(__xludf.DUMMYFUNCTION("GOOGLETRANSLATE(B3532,""en"",""de"")"),"Die Frau nimmt sich an und beendet ihren Tanz.")</f>
        <v>Die Frau nimmt sich an und beendet ihren Tanz.</v>
      </c>
    </row>
    <row r="3533">
      <c r="A3533" s="4" t="s">
        <v>4444</v>
      </c>
      <c r="B3533" s="4" t="s">
        <v>4445</v>
      </c>
      <c r="C3533" s="5" t="str">
        <f>IFERROR(__xludf.DUMMYFUNCTION("GOOGLETRANSLATE(B3533,""en"",""de"")"),"Ein Mann in weißem Hemd und weißer Shorts hält einen Krocketschläger, er biegt sich um und schwingt den Schläger langsam in die Luft, bevor er den blauen Ball schlägt.")</f>
        <v>Ein Mann in weißem Hemd und weißer Shorts hält einen Krocketschläger, er biegt sich um und schwingt den Schläger langsam in die Luft, bevor er den blauen Ball schlägt.</v>
      </c>
    </row>
    <row r="3534">
      <c r="A3534" s="4" t="s">
        <v>4444</v>
      </c>
      <c r="B3534" s="4" t="s">
        <v>4446</v>
      </c>
      <c r="C3534" s="5" t="str">
        <f>IFERROR(__xludf.DUMMYFUNCTION("GOOGLETRANSLATE(B3534,""en"",""de"")"),"Der Ball ging in einen kleinen rechteckigen Löcher vorbei und schlug auf den Boden.")</f>
        <v>Der Ball ging in einen kleinen rechteckigen Löcher vorbei und schlug auf den Boden.</v>
      </c>
    </row>
    <row r="3535">
      <c r="A3535" s="4" t="s">
        <v>4447</v>
      </c>
      <c r="B3535" s="4" t="s">
        <v>4448</v>
      </c>
      <c r="C3535" s="5" t="str">
        <f>IFERROR(__xludf.DUMMYFUNCTION("GOOGLETRANSLATE(B3535,""en"",""de"")"),"Wir sehen den Öffnungsbildschirm.")</f>
        <v>Wir sehen den Öffnungsbildschirm.</v>
      </c>
    </row>
    <row r="3536">
      <c r="A3536" s="4" t="s">
        <v>4447</v>
      </c>
      <c r="B3536" s="4" t="s">
        <v>4449</v>
      </c>
      <c r="C3536" s="5" t="str">
        <f>IFERROR(__xludf.DUMMYFUNCTION("GOOGLETRANSLATE(B3536,""en"",""de"")"),"Wir sehen Stills des Bodens.")</f>
        <v>Wir sehen Stills des Bodens.</v>
      </c>
    </row>
    <row r="3537">
      <c r="A3537" s="4" t="s">
        <v>4447</v>
      </c>
      <c r="B3537" s="4" t="s">
        <v>4450</v>
      </c>
      <c r="C3537" s="5" t="str">
        <f>IFERROR(__xludf.DUMMYFUNCTION("GOOGLETRANSLATE(B3537,""en"",""de"")"),"Ein Mann schneidet und legt den Superflor auf den Boden.")</f>
        <v>Ein Mann schneidet und legt den Superflor auf den Boden.</v>
      </c>
    </row>
    <row r="3538">
      <c r="A3538" s="4" t="s">
        <v>4447</v>
      </c>
      <c r="B3538" s="4" t="s">
        <v>4451</v>
      </c>
      <c r="C3538" s="5" t="str">
        <f>IFERROR(__xludf.DUMMYFUNCTION("GOOGLETRANSLATE(B3538,""en"",""de"")"),"Der Mann rollt dann Teppich über den Superboden aus.")</f>
        <v>Der Mann rollt dann Teppich über den Superboden aus.</v>
      </c>
    </row>
    <row r="3539">
      <c r="A3539" s="4" t="s">
        <v>4447</v>
      </c>
      <c r="B3539" s="4" t="s">
        <v>4452</v>
      </c>
      <c r="C3539" s="5" t="str">
        <f>IFERROR(__xludf.DUMMYFUNCTION("GOOGLETRANSLATE(B3539,""en"",""de"")"),"Wir sehen dann den Endbildschirm.")</f>
        <v>Wir sehen dann den Endbildschirm.</v>
      </c>
    </row>
    <row r="3540">
      <c r="A3540" s="4" t="s">
        <v>4453</v>
      </c>
      <c r="B3540" s="4" t="s">
        <v>4454</v>
      </c>
      <c r="C3540" s="5" t="str">
        <f>IFERROR(__xludf.DUMMYFUNCTION("GOOGLETRANSLATE(B3540,""en"",""de"")"),"Eine Frau hält einen Hund und nimmt auf die Toilette, um in einer Badewanne ein Bad zu nehmen, während er den Körper mit Seife reist.")</f>
        <v>Eine Frau hält einen Hund und nimmt auf die Toilette, um in einer Badewanne ein Bad zu nehmen, während er den Körper mit Seife reist.</v>
      </c>
    </row>
    <row r="3541">
      <c r="A3541" s="4" t="s">
        <v>4453</v>
      </c>
      <c r="B3541" s="4" t="s">
        <v>4455</v>
      </c>
      <c r="C3541" s="5" t="str">
        <f>IFERROR(__xludf.DUMMYFUNCTION("GOOGLETRANSLATE(B3541,""en"",""de"")"),"Der Hund wartet, bis die Frau ein Handtuch schnappt, um den Körper des Hundes zu trocknen.")</f>
        <v>Der Hund wartet, bis die Frau ein Handtuch schnappt, um den Körper des Hundes zu trocknen.</v>
      </c>
    </row>
    <row r="3542">
      <c r="A3542" s="4" t="s">
        <v>4453</v>
      </c>
      <c r="B3542" s="4" t="s">
        <v>4456</v>
      </c>
      <c r="C3542" s="5" t="str">
        <f>IFERROR(__xludf.DUMMYFUNCTION("GOOGLETRANSLATE(B3542,""en"",""de"")"),"Der Hund sieht wütend aus und zeigt seine Zähne.")</f>
        <v>Der Hund sieht wütend aus und zeigt seine Zähne.</v>
      </c>
    </row>
    <row r="3543">
      <c r="A3543" s="4" t="s">
        <v>4453</v>
      </c>
      <c r="B3543" s="4" t="s">
        <v>4457</v>
      </c>
      <c r="C3543" s="5" t="str">
        <f>IFERROR(__xludf.DUMMYFUNCTION("GOOGLETRANSLATE(B3543,""en"",""de"")"),"Dann gibt Frau dann einen Kuss an den Hund.")</f>
        <v>Dann gibt Frau dann einen Kuss an den Hund.</v>
      </c>
    </row>
    <row r="3544">
      <c r="A3544" s="4" t="s">
        <v>4458</v>
      </c>
      <c r="B3544" s="4" t="s">
        <v>4459</v>
      </c>
      <c r="C3544" s="5" t="str">
        <f>IFERROR(__xludf.DUMMYFUNCTION("GOOGLETRANSLATE(B3544,""en"",""de"")"),"Ein paar Männer und eine Frau sind drinnen, die Badminton spielen, sie sind sehr darauf eingesetzt und konkurrieren stark.")</f>
        <v>Ein paar Männer und eine Frau sind drinnen, die Badminton spielen, sie sind sehr darauf eingesetzt und konkurrieren stark.</v>
      </c>
    </row>
    <row r="3545">
      <c r="A3545" s="4" t="s">
        <v>4458</v>
      </c>
      <c r="B3545" s="4" t="s">
        <v>4460</v>
      </c>
      <c r="C3545" s="5" t="str">
        <f>IFERROR(__xludf.DUMMYFUNCTION("GOOGLETRANSLATE(B3545,""en"",""de"")"),"Die Männer gehen hin und her, um zu punkten und sind sehr konzentriert.")</f>
        <v>Die Männer gehen hin und her, um zu punkten und sind sehr konzentriert.</v>
      </c>
    </row>
    <row r="3546">
      <c r="A3546" s="4" t="s">
        <v>4458</v>
      </c>
      <c r="B3546" s="4" t="s">
        <v>4461</v>
      </c>
      <c r="C3546" s="5" t="str">
        <f>IFERROR(__xludf.DUMMYFUNCTION("GOOGLETRANSLATE(B3546,""en"",""de"")"),"Verschiedene Schüsse in der schnellen Bewegung und in Zeitlupe werden von der Wirkung gezeigt.")</f>
        <v>Verschiedene Schüsse in der schnellen Bewegung und in Zeitlupe werden von der Wirkung gezeigt.</v>
      </c>
    </row>
    <row r="3547">
      <c r="A3547" s="4" t="s">
        <v>4462</v>
      </c>
      <c r="B3547" s="4" t="s">
        <v>4463</v>
      </c>
      <c r="C3547" s="5" t="str">
        <f>IFERROR(__xludf.DUMMYFUNCTION("GOOGLETRANSLATE(B3547,""en"",""de"")"),"Ein Mann in blauem Hemd und Jeans trägt schwarze Handschuhe und schneidet die Hecke mit einer orangefarbenen Trimmmaschine, die zuerst die Seite und dann die andere Seite macht.")</f>
        <v>Ein Mann in blauem Hemd und Jeans trägt schwarze Handschuhe und schneidet die Hecke mit einer orangefarbenen Trimmmaschine, die zuerst die Seite und dann die andere Seite macht.</v>
      </c>
    </row>
    <row r="3548">
      <c r="A3548" s="4" t="s">
        <v>4462</v>
      </c>
      <c r="B3548" s="4" t="s">
        <v>4464</v>
      </c>
      <c r="C3548" s="5" t="str">
        <f>IFERROR(__xludf.DUMMYFUNCTION("GOOGLETRANSLATE(B3548,""en"",""de"")"),"Er kletterte die blaugrüne Leiter, um die Oberseite der Hecke zu schneiden, und bewegte die Leiter, um die mittlere Oberseite der Hecke zu machen.")</f>
        <v>Er kletterte die blaugrüne Leiter, um die Oberseite der Hecke zu schneiden, und bewegte die Leiter, um die mittlere Oberseite der Hecke zu machen.</v>
      </c>
    </row>
    <row r="3549">
      <c r="A3549" s="4" t="s">
        <v>4462</v>
      </c>
      <c r="B3549" s="4" t="s">
        <v>4465</v>
      </c>
      <c r="C3549" s="5" t="str">
        <f>IFERROR(__xludf.DUMMYFUNCTION("GOOGLETRANSLATE(B3549,""en"",""de"")"),"Der Mann beschnitten den runden niedrigen Busch, benutzte die Leiter, um die Oberseite der runden Hecke zu schneiden.")</f>
        <v>Der Mann beschnitten den runden niedrigen Busch, benutzte die Leiter, um die Oberseite der runden Hecke zu schneiden.</v>
      </c>
    </row>
    <row r="3550">
      <c r="A3550" s="4" t="s">
        <v>4466</v>
      </c>
      <c r="B3550" s="4" t="s">
        <v>4467</v>
      </c>
      <c r="C3550" s="5" t="str">
        <f>IFERROR(__xludf.DUMMYFUNCTION("GOOGLETRANSLATE(B3550,""en"",""de"")"),"Im Hintergrund werden mehrere Küchen gezeigt, als ein Logo von House Menards in der Mitte des Bildschirms.")</f>
        <v>Im Hintergrund werden mehrere Küchen gezeigt, als ein Logo von House Menards in der Mitte des Bildschirms.</v>
      </c>
    </row>
    <row r="3551">
      <c r="A3551" s="4" t="s">
        <v>4466</v>
      </c>
      <c r="B3551" s="4" t="s">
        <v>4468</v>
      </c>
      <c r="C3551" s="5" t="str">
        <f>IFERROR(__xludf.DUMMYFUNCTION("GOOGLETRANSLATE(B3551,""en"",""de"")"),"Danach wird ein Mann im blauen Polo gezeigt, der Fliesen auf der Rückseite der Küchenwände einfügt, um das Haus zu renovieren.")</f>
        <v>Danach wird ein Mann im blauen Polo gezeigt, der Fliesen auf der Rückseite der Küchenwände einfügt, um das Haus zu renovieren.</v>
      </c>
    </row>
    <row r="3552">
      <c r="A3552" s="4" t="s">
        <v>4466</v>
      </c>
      <c r="B3552" s="4" t="s">
        <v>4469</v>
      </c>
      <c r="C3552" s="5" t="str">
        <f>IFERROR(__xludf.DUMMYFUNCTION("GOOGLETRANSLATE(B3552,""en"",""de"")"),"Ein anderer Mann wird gezeigt, der die Wand schleifen und malt und ein anderes Zuhause renoviert.")</f>
        <v>Ein anderer Mann wird gezeigt, der die Wand schleifen und malt und ein anderes Zuhause renoviert.</v>
      </c>
    </row>
    <row r="3553">
      <c r="A3553" s="4" t="s">
        <v>4466</v>
      </c>
      <c r="B3553" s="4" t="s">
        <v>4470</v>
      </c>
      <c r="C3553" s="5" t="str">
        <f>IFERROR(__xludf.DUMMYFUNCTION("GOOGLETRANSLATE(B3553,""en"",""de"")"),"Ein Fliesenblock wird wieder angezeigt, aber er wird umgedreht, um das Netz auf der Rückseite zu sehen.")</f>
        <v>Ein Fliesenblock wird wieder angezeigt, aber er wird umgedreht, um das Netz auf der Rückseite zu sehen.</v>
      </c>
    </row>
    <row r="3554">
      <c r="A3554" s="4" t="s">
        <v>4466</v>
      </c>
      <c r="B3554" s="4" t="s">
        <v>4471</v>
      </c>
      <c r="C3554" s="5" t="str">
        <f>IFERROR(__xludf.DUMMYFUNCTION("GOOGLETRANSLATE(B3554,""en"",""de"")"),"Die Männer renovieren weiterhin das Haus, messen die Wand, reparieren die Lichter und das Fliesen an der Wand.")</f>
        <v>Die Männer renovieren weiterhin das Haus, messen die Wand, reparieren die Lichter und das Fliesen an der Wand.</v>
      </c>
    </row>
    <row r="3555">
      <c r="A3555" s="4" t="s">
        <v>4466</v>
      </c>
      <c r="B3555" s="4" t="s">
        <v>4472</v>
      </c>
      <c r="C3555" s="5" t="str">
        <f>IFERROR(__xludf.DUMMYFUNCTION("GOOGLETRANSLATE(B3555,""en"",""de"")"),"Schließlich wird das fertige Produkt der Wand gezeigt.")</f>
        <v>Schließlich wird das fertige Produkt der Wand gezeigt.</v>
      </c>
    </row>
    <row r="3556">
      <c r="A3556" s="4" t="s">
        <v>4473</v>
      </c>
      <c r="B3556" s="4" t="s">
        <v>4474</v>
      </c>
      <c r="C3556" s="5" t="str">
        <f>IFERROR(__xludf.DUMMYFUNCTION("GOOGLETRANSLATE(B3556,""en"",""de"")"),"Ein Bild eines Mannes, der ein Auto wäscht, wird gezeigt und führt zu mehreren Männern, die dasselbe Auto waschen.")</f>
        <v>Ein Bild eines Mannes, der ein Auto wäscht, wird gezeigt und führt zu mehreren Männern, die dasselbe Auto waschen.</v>
      </c>
    </row>
    <row r="3557">
      <c r="A3557" s="4" t="s">
        <v>4473</v>
      </c>
      <c r="B3557" s="4" t="s">
        <v>4475</v>
      </c>
      <c r="C3557" s="5" t="str">
        <f>IFERROR(__xludf.DUMMYFUNCTION("GOOGLETRANSLATE(B3557,""en"",""de"")"),"Die Männer saugen das Innere und reinigen das Armaturenbrett und das gesamte Innenraum und Äußere.")</f>
        <v>Die Männer saugen das Innere und reinigen das Armaturenbrett und das gesamte Innenraum und Äußere.</v>
      </c>
    </row>
    <row r="3558">
      <c r="A3558" s="4" t="s">
        <v>4473</v>
      </c>
      <c r="B3558" s="4" t="s">
        <v>4476</v>
      </c>
      <c r="C3558" s="5" t="str">
        <f>IFERROR(__xludf.DUMMYFUNCTION("GOOGLETRANSLATE(B3558,""en"",""de"")"),"Das Auto wird am Ende am Ende wieder sauber angezeigt.")</f>
        <v>Das Auto wird am Ende am Ende wieder sauber angezeigt.</v>
      </c>
    </row>
    <row r="3559">
      <c r="A3559" s="4" t="s">
        <v>4477</v>
      </c>
      <c r="B3559" s="4" t="s">
        <v>4478</v>
      </c>
      <c r="C3559" s="5" t="str">
        <f>IFERROR(__xludf.DUMMYFUNCTION("GOOGLETRANSLATE(B3559,""en"",""de"")"),"Ein Mann stehst auf, das Dudelsack spielt.")</f>
        <v>Ein Mann stehst auf, das Dudelsack spielt.</v>
      </c>
    </row>
    <row r="3560">
      <c r="A3560" s="4" t="s">
        <v>4477</v>
      </c>
      <c r="B3560" s="4" t="s">
        <v>4479</v>
      </c>
      <c r="C3560" s="5" t="str">
        <f>IFERROR(__xludf.DUMMYFUNCTION("GOOGLETRANSLATE(B3560,""en"",""de"")"),"Die Leute sitzen auf einer Couch und lachen über ihn.")</f>
        <v>Die Leute sitzen auf einer Couch und lachen über ihn.</v>
      </c>
    </row>
    <row r="3561">
      <c r="A3561" s="4" t="s">
        <v>4480</v>
      </c>
      <c r="B3561" s="4" t="s">
        <v>4481</v>
      </c>
      <c r="C3561" s="5" t="str">
        <f>IFERROR(__xludf.DUMMYFUNCTION("GOOGLETRANSLATE(B3561,""en"",""de"")"),"Wir sehen zwei Personen in einem Studio.")</f>
        <v>Wir sehen zwei Personen in einem Studio.</v>
      </c>
    </row>
    <row r="3562">
      <c r="A3562" s="4" t="s">
        <v>4480</v>
      </c>
      <c r="B3562" s="4" t="s">
        <v>4482</v>
      </c>
      <c r="C3562" s="5" t="str">
        <f>IFERROR(__xludf.DUMMYFUNCTION("GOOGLETRANSLATE(B3562,""en"",""de"")"),"Wir sehen dann einen Mann in einer Kegelbahn mit einem Mann in einem Bowling Pin -Kostüm mit der Kamera.")</f>
        <v>Wir sehen dann einen Mann in einer Kegelbahn mit einem Mann in einem Bowling Pin -Kostüm mit der Kamera.</v>
      </c>
    </row>
    <row r="3563">
      <c r="A3563" s="4" t="s">
        <v>4480</v>
      </c>
      <c r="B3563" s="4" t="s">
        <v>4483</v>
      </c>
      <c r="C3563" s="5" t="str">
        <f>IFERROR(__xludf.DUMMYFUNCTION("GOOGLETRANSLATE(B3563,""en"",""de"")"),"Der Mann interviewt dann einen Mann in einer schwarzen Jacke.")</f>
        <v>Der Mann interviewt dann einen Mann in einer schwarzen Jacke.</v>
      </c>
    </row>
    <row r="3564">
      <c r="A3564" s="4" t="s">
        <v>4480</v>
      </c>
      <c r="B3564" s="4" t="s">
        <v>4484</v>
      </c>
      <c r="C3564" s="5" t="str">
        <f>IFERROR(__xludf.DUMMYFUNCTION("GOOGLETRANSLATE(B3564,""en"",""de"")"),"Wir sehen, wie der Bowling Pin eine grüne Bowlingkugel wirft.")</f>
        <v>Wir sehen, wie der Bowling Pin eine grüne Bowlingkugel wirft.</v>
      </c>
    </row>
    <row r="3565">
      <c r="A3565" s="4" t="s">
        <v>4480</v>
      </c>
      <c r="B3565" s="4" t="s">
        <v>4485</v>
      </c>
      <c r="C3565" s="5" t="str">
        <f>IFERROR(__xludf.DUMMYFUNCTION("GOOGLETRANSLATE(B3565,""en"",""de"")"),"Der Newscaster wirft dann einen blauen Ball auf die Fahrspur und einen weiteren Ball auf das Bowling Pin -Maskottchen, der umfällt.")</f>
        <v>Der Newscaster wirft dann einen blauen Ball auf die Fahrspur und einen weiteren Ball auf das Bowling Pin -Maskottchen, der umfällt.</v>
      </c>
    </row>
    <row r="3566">
      <c r="A3566" s="4" t="s">
        <v>4480</v>
      </c>
      <c r="B3566" s="4" t="s">
        <v>4486</v>
      </c>
      <c r="C3566" s="5" t="str">
        <f>IFERROR(__xludf.DUMMYFUNCTION("GOOGLETRANSLATE(B3566,""en"",""de"")"),"Anschließend sehen wir einen geteilten Bildschirm mit dem Pin hinter dem Nachrichtensprecher und den Personen im Studio in der oberen linken Ecke.")</f>
        <v>Anschließend sehen wir einen geteilten Bildschirm mit dem Pin hinter dem Nachrichtensprecher und den Personen im Studio in der oberen linken Ecke.</v>
      </c>
    </row>
    <row r="3567">
      <c r="A3567" s="4" t="s">
        <v>4480</v>
      </c>
      <c r="B3567" s="4" t="s">
        <v>4487</v>
      </c>
      <c r="C3567" s="5" t="str">
        <f>IFERROR(__xludf.DUMMYFUNCTION("GOOGLETRANSLATE(B3567,""en"",""de"")"),"Der Pin wirft einen Ball auf den Nachrichtensender und wir kehren ins Studio zurück.")</f>
        <v>Der Pin wirft einen Ball auf den Nachrichtensender und wir kehren ins Studio zurück.</v>
      </c>
    </row>
    <row r="3568">
      <c r="A3568" s="4" t="s">
        <v>4488</v>
      </c>
      <c r="B3568" s="4" t="s">
        <v>4489</v>
      </c>
      <c r="C3568" s="5" t="str">
        <f>IFERROR(__xludf.DUMMYFUNCTION("GOOGLETRANSLATE(B3568,""en"",""de"")"),"Ein sprechender und lächelnder Mann steht in einem Innenbereich und bewegt dann zu seiner Rechten und eine Frau geht auf ihn zu und sie beginnt mit ihm zu reden und zu lächeln.")</f>
        <v>Ein sprechender und lächelnder Mann steht in einem Innenbereich und bewegt dann zu seiner Rechten und eine Frau geht auf ihn zu und sie beginnt mit ihm zu reden und zu lächeln.</v>
      </c>
    </row>
    <row r="3569">
      <c r="A3569" s="4" t="s">
        <v>4488</v>
      </c>
      <c r="B3569" s="4" t="s">
        <v>4490</v>
      </c>
      <c r="C3569" s="5" t="str">
        <f>IFERROR(__xludf.DUMMYFUNCTION("GOOGLETRANSLATE(B3569,""en"",""de"")"),"Die Frau springt jetzt alleine auf ein Trampolin und steht dann auf einem Sprungbrett und simuliert einen Sprung von einem Tauchbrett und geht direkt in einen Pool hinunter, aber stattdessen landet sie auf einer großen, weichen, schwarzen Landungsmatte.")</f>
        <v>Die Frau springt jetzt alleine auf ein Trampolin und steht dann auf einem Sprungbrett und simuliert einen Sprung von einem Tauchbrett und geht direkt in einen Pool hinunter, aber stattdessen landet sie auf einer großen, weichen, schwarzen Landungsmatte.</v>
      </c>
    </row>
    <row r="3570">
      <c r="A3570" s="4" t="s">
        <v>4488</v>
      </c>
      <c r="B3570" s="4" t="s">
        <v>4491</v>
      </c>
      <c r="C3570" s="5" t="str">
        <f>IFERROR(__xludf.DUMMYFUNCTION("GOOGLETRANSLATE(B3570,""en"",""de"")"),"Der Mann springt jetzt auf das Trampolin und er macht genau das Gleiche wie die Frau.")</f>
        <v>Der Mann springt jetzt auf das Trampolin und er macht genau das Gleiche wie die Frau.</v>
      </c>
    </row>
    <row r="3571">
      <c r="A3571" s="4" t="s">
        <v>4488</v>
      </c>
      <c r="B3571" s="4" t="s">
        <v>4492</v>
      </c>
      <c r="C3571" s="5" t="str">
        <f>IFERROR(__xludf.DUMMYFUNCTION("GOOGLETRANSLATE(B3571,""en"",""de"")"),"Jetzt steht die Frau in einem Outdoor -Pool und spricht zuerst vom Tauchbrett, macht ein paar Flips und landet dann im Wasser.")</f>
        <v>Jetzt steht die Frau in einem Outdoor -Pool und spricht zuerst vom Tauchbrett, macht ein paar Flips und landet dann im Wasser.</v>
      </c>
    </row>
    <row r="3572">
      <c r="A3572" s="4" t="s">
        <v>4488</v>
      </c>
      <c r="B3572" s="4" t="s">
        <v>4493</v>
      </c>
      <c r="C3572" s="5" t="str">
        <f>IFERROR(__xludf.DUMMYFUNCTION("GOOGLETRANSLATE(B3572,""en"",""de"")"),"Der Mann erscheint vor der Kamera und hält einen kleinen Speedo hoch, er schüttelt den Kopf gegen die Speedos, wirft ihn auf die Kamera und sie zeigen, dass er Beinwärme mit einem langen Paar Schwimmshorts macht.")</f>
        <v>Der Mann erscheint vor der Kamera und hält einen kleinen Speedo hoch, er schüttelt den Kopf gegen die Speedos, wirft ihn auf die Kamera und sie zeigen, dass er Beinwärme mit einem langen Paar Schwimmshorts macht.</v>
      </c>
    </row>
    <row r="3573">
      <c r="A3573" s="4" t="s">
        <v>4488</v>
      </c>
      <c r="B3573" s="4" t="s">
        <v>4494</v>
      </c>
      <c r="C3573" s="5" t="str">
        <f>IFERROR(__xludf.DUMMYFUNCTION("GOOGLETRANSLATE(B3573,""en"",""de"")"),"Dann geht der Mensch auf das Tauchbrett, reibt die Hände zusammen, springt dann 4 Mal vom Tauchbrett und macht verschiedene Flips, bevor er im Wasser landet.")</f>
        <v>Dann geht der Mensch auf das Tauchbrett, reibt die Hände zusammen, springt dann 4 Mal vom Tauchbrett und macht verschiedene Flips, bevor er im Wasser landet.</v>
      </c>
    </row>
    <row r="3574">
      <c r="A3574" s="4" t="s">
        <v>4488</v>
      </c>
      <c r="B3574" s="4" t="s">
        <v>4495</v>
      </c>
      <c r="C3574" s="5" t="str">
        <f>IFERROR(__xludf.DUMMYFUNCTION("GOOGLETRANSLATE(B3574,""en"",""de"")"),"Der Mann und die Frau sind jetzt auf dem Boden und sie wenden sich um, um sich das höchste Tauchbrett anzusehen der Pool und redet.")</f>
        <v>Der Mann und die Frau sind jetzt auf dem Boden und sie wenden sich um, um sich das höchste Tauchbrett anzusehen der Pool und redet.</v>
      </c>
    </row>
    <row r="3575">
      <c r="A3575" s="4" t="s">
        <v>4496</v>
      </c>
      <c r="B3575" s="4" t="s">
        <v>4497</v>
      </c>
      <c r="C3575" s="5" t="str">
        <f>IFERROR(__xludf.DUMMYFUNCTION("GOOGLETRANSLATE(B3575,""en"",""de"")"),"Eine Nahaufnahme eines Stiers wird sowohl gesehen als auch ein weiterer Platz auf dem Boden.")</f>
        <v>Eine Nahaufnahme eines Stiers wird sowohl gesehen als auch ein weiterer Platz auf dem Boden.</v>
      </c>
    </row>
    <row r="3576">
      <c r="A3576" s="4" t="s">
        <v>4496</v>
      </c>
      <c r="B3576" s="4" t="s">
        <v>4498</v>
      </c>
      <c r="C3576" s="5" t="str">
        <f>IFERROR(__xludf.DUMMYFUNCTION("GOOGLETRANSLATE(B3576,""en"",""de"")"),"Ein weiterer Stier läuft in die Ferne ab und jagt eine Person.")</f>
        <v>Ein weiterer Stier läuft in die Ferne ab und jagt eine Person.</v>
      </c>
    </row>
    <row r="3577">
      <c r="A3577" s="4" t="s">
        <v>4496</v>
      </c>
      <c r="B3577" s="4" t="s">
        <v>4499</v>
      </c>
      <c r="C3577" s="5" t="str">
        <f>IFERROR(__xludf.DUMMYFUNCTION("GOOGLETRANSLATE(B3577,""en"",""de"")"),"Mehrere Menschen rennen in vielen Schüssen vor einem Stier weg, während sie sie nach unten jagen.")</f>
        <v>Mehrere Menschen rennen in vielen Schüssen vor einem Stier weg, während sie sie nach unten jagen.</v>
      </c>
    </row>
    <row r="3578">
      <c r="A3578" s="4" t="s">
        <v>4500</v>
      </c>
      <c r="B3578" s="4" t="s">
        <v>4501</v>
      </c>
      <c r="C3578" s="5" t="str">
        <f>IFERROR(__xludf.DUMMYFUNCTION("GOOGLETRANSLATE(B3578,""en"",""de"")"),"Ein Mann kniet auf Eis.")</f>
        <v>Ein Mann kniet auf Eis.</v>
      </c>
    </row>
    <row r="3579">
      <c r="A3579" s="4" t="s">
        <v>4500</v>
      </c>
      <c r="B3579" s="4" t="s">
        <v>4502</v>
      </c>
      <c r="C3579" s="5" t="str">
        <f>IFERROR(__xludf.DUMMYFUNCTION("GOOGLETRANSLATE(B3579,""en"",""de"")"),"Er beginnt ein Lockenspiel zu spielen.")</f>
        <v>Er beginnt ein Lockenspiel zu spielen.</v>
      </c>
    </row>
    <row r="3580">
      <c r="A3580" s="4" t="s">
        <v>4500</v>
      </c>
      <c r="B3580" s="4" t="s">
        <v>4503</v>
      </c>
      <c r="C3580" s="5" t="str">
        <f>IFERROR(__xludf.DUMMYFUNCTION("GOOGLETRANSLATE(B3580,""en"",""de"")"),"Zwei Leute schrubben das Eis vor dem Lockenball.")</f>
        <v>Zwei Leute schrubben das Eis vor dem Lockenball.</v>
      </c>
    </row>
    <row r="3581">
      <c r="A3581" s="4" t="s">
        <v>4504</v>
      </c>
      <c r="B3581" s="4" t="s">
        <v>4505</v>
      </c>
      <c r="C3581" s="5" t="str">
        <f>IFERROR(__xludf.DUMMYFUNCTION("GOOGLETRANSLATE(B3581,""en"",""de"")"),"Ein Mann ist gesehen, wie er auf ein Kamel klettert und beginnt mit einem Mann vor sich herumzugehen.")</f>
        <v>Ein Mann ist gesehen, wie er auf ein Kamel klettert und beginnt mit einem Mann vor sich herumzugehen.</v>
      </c>
    </row>
    <row r="3582">
      <c r="A3582" s="4" t="s">
        <v>4504</v>
      </c>
      <c r="B3582" s="4" t="s">
        <v>4506</v>
      </c>
      <c r="C3582" s="5" t="str">
        <f>IFERROR(__xludf.DUMMYFUNCTION("GOOGLETRANSLATE(B3582,""en"",""de"")"),"Der Mann spricht mit einem oben und gibt dem Kamel einen Schlag, während er zurückblickt, um mit der Kamera zu sprechen.")</f>
        <v>Der Mann spricht mit einem oben und gibt dem Kamel einen Schlag, während er zurückblickt, um mit der Kamera zu sprechen.</v>
      </c>
    </row>
    <row r="3583">
      <c r="A3583" s="4" t="s">
        <v>4507</v>
      </c>
      <c r="B3583" s="4" t="s">
        <v>1487</v>
      </c>
      <c r="C3583" s="5" t="str">
        <f>IFERROR(__xludf.DUMMYFUNCTION("GOOGLETRANSLATE(B3583,""en"",""de"")"),"Wir sehen einen Öffnungsbildschirm.")</f>
        <v>Wir sehen einen Öffnungsbildschirm.</v>
      </c>
    </row>
    <row r="3584">
      <c r="A3584" s="4" t="s">
        <v>4507</v>
      </c>
      <c r="B3584" s="4" t="s">
        <v>4508</v>
      </c>
      <c r="C3584" s="5" t="str">
        <f>IFERROR(__xludf.DUMMYFUNCTION("GOOGLETRANSLATE(B3584,""en"",""de"")"),"Wir sehen schneebedeckte Skigeiung und einen Titelbildschirm.")</f>
        <v>Wir sehen schneebedeckte Skigeiung und einen Titelbildschirm.</v>
      </c>
    </row>
    <row r="3585">
      <c r="A3585" s="4" t="s">
        <v>4507</v>
      </c>
      <c r="B3585" s="4" t="s">
        <v>4509</v>
      </c>
      <c r="C3585" s="5" t="str">
        <f>IFERROR(__xludf.DUMMYFUNCTION("GOOGLETRANSLATE(B3585,""en"",""de"")"),"Wir sehen Leute, die den Hügel hinunter Skifahren und Snowboarden entlangseiten sehen.")</f>
        <v>Wir sehen Leute, die den Hügel hinunter Skifahren und Snowboarden entlangseiten sehen.</v>
      </c>
    </row>
    <row r="3586">
      <c r="A3586" s="4" t="s">
        <v>4507</v>
      </c>
      <c r="B3586" s="4" t="s">
        <v>4510</v>
      </c>
      <c r="C3586" s="5" t="str">
        <f>IFERROR(__xludf.DUMMYFUNCTION("GOOGLETRANSLATE(B3586,""en"",""de"")"),"Die Namen werden in einer blauen Balken oben angezeigt.")</f>
        <v>Die Namen werden in einer blauen Balken oben angezeigt.</v>
      </c>
    </row>
    <row r="3587">
      <c r="A3587" s="4" t="s">
        <v>4507</v>
      </c>
      <c r="B3587" s="4" t="s">
        <v>4511</v>
      </c>
      <c r="C3587" s="5" t="str">
        <f>IFERROR(__xludf.DUMMYFUNCTION("GOOGLETRANSLATE(B3587,""en"",""de"")"),"Wir sehen einen Mann, der einen Selfie -Stock hält, als er den Hügel hinunterstößt.")</f>
        <v>Wir sehen einen Mann, der einen Selfie -Stock hält, als er den Hügel hinunterstößt.</v>
      </c>
    </row>
    <row r="3588">
      <c r="A3588" s="4" t="s">
        <v>4507</v>
      </c>
      <c r="B3588" s="4" t="s">
        <v>4512</v>
      </c>
      <c r="C3588" s="5" t="str">
        <f>IFERROR(__xludf.DUMMYFUNCTION("GOOGLETRANSLATE(B3588,""en"",""de"")"),"Wir sehen eine Person in dichten Wäldern, die ein Snowboard reiten.")</f>
        <v>Wir sehen eine Person in dichten Wäldern, die ein Snowboard reiten.</v>
      </c>
    </row>
    <row r="3589">
      <c r="A3589" s="4" t="s">
        <v>4507</v>
      </c>
      <c r="B3589" s="4" t="s">
        <v>4513</v>
      </c>
      <c r="C3589" s="5" t="str">
        <f>IFERROR(__xludf.DUMMYFUNCTION("GOOGLETRANSLATE(B3589,""en"",""de"")"),"Wir sehen die Endgutschrift.")</f>
        <v>Wir sehen die Endgutschrift.</v>
      </c>
    </row>
    <row r="3590">
      <c r="A3590" s="4" t="s">
        <v>4514</v>
      </c>
      <c r="B3590" s="4" t="s">
        <v>4515</v>
      </c>
      <c r="C3590" s="5" t="str">
        <f>IFERROR(__xludf.DUMMYFUNCTION("GOOGLETRANSLATE(B3590,""en"",""de"")"),"Zwei Asiaten, ein Mann und eine Frau, sitzen an einem Tisch, bevor sie zum Inneren eines Fitnessstudio gehen.")</f>
        <v>Zwei Asiaten, ein Mann und eine Frau, sitzen an einem Tisch, bevor sie zum Inneren eines Fitnessstudio gehen.</v>
      </c>
    </row>
    <row r="3591">
      <c r="A3591" s="4" t="s">
        <v>4514</v>
      </c>
      <c r="B3591" s="4" t="s">
        <v>4516</v>
      </c>
      <c r="C3591" s="5" t="str">
        <f>IFERROR(__xludf.DUMMYFUNCTION("GOOGLETRANSLATE(B3591,""en"",""de"")"),"Im Fitnessstudio beginnen mehrere junge Mädchen, Gymnastik zu machen und aufzutreten, bevor sie zurückkommen und ein Interview mit dem Reporter machen.")</f>
        <v>Im Fitnessstudio beginnen mehrere junge Mädchen, Gymnastik zu machen und aufzutreten, bevor sie zurückkommen und ein Interview mit dem Reporter machen.</v>
      </c>
    </row>
    <row r="3592">
      <c r="A3592" s="4" t="s">
        <v>4514</v>
      </c>
      <c r="B3592" s="4" t="s">
        <v>4517</v>
      </c>
      <c r="C3592" s="5" t="str">
        <f>IFERROR(__xludf.DUMMYFUNCTION("GOOGLETRANSLATE(B3592,""en"",""de"")"),"Als nächstes nähert sich ein junger Mann an die Bars, macht seine Routine und kehrt dann zu seinem Interview zurück.")</f>
        <v>Als nächstes nähert sich ein junger Mann an die Bars, macht seine Routine und kehrt dann zu seinem Interview zurück.</v>
      </c>
    </row>
    <row r="3593">
      <c r="A3593" s="4" t="s">
        <v>4518</v>
      </c>
      <c r="B3593" s="4" t="s">
        <v>4519</v>
      </c>
      <c r="C3593" s="5" t="str">
        <f>IFERROR(__xludf.DUMMYFUNCTION("GOOGLETRANSLATE(B3593,""en"",""de"")"),"Ein kaukasischer Mann, der einen roten Helm trägt, sitzt in einem Boot im Wasser und spricht mit Wasser.")</f>
        <v>Ein kaukasischer Mann, der einen roten Helm trägt, sitzt in einem Boot im Wasser und spricht mit Wasser.</v>
      </c>
    </row>
    <row r="3594">
      <c r="A3594" s="4" t="s">
        <v>4518</v>
      </c>
      <c r="B3594" s="4" t="s">
        <v>4520</v>
      </c>
      <c r="C3594" s="5" t="str">
        <f>IFERROR(__xludf.DUMMYFUNCTION("GOOGLETRANSLATE(B3594,""en"",""de"")"),"Das felsige Wasser wird gezeigt und dann kommt der Mann Kajakfahren durch das weiße Wasser.")</f>
        <v>Das felsige Wasser wird gezeigt und dann kommt der Mann Kajakfahren durch das weiße Wasser.</v>
      </c>
    </row>
    <row r="3595">
      <c r="A3595" s="4" t="s">
        <v>4518</v>
      </c>
      <c r="B3595" s="4" t="s">
        <v>4521</v>
      </c>
      <c r="C3595" s="5" t="str">
        <f>IFERROR(__xludf.DUMMYFUNCTION("GOOGLETRANSLATE(B3595,""en"",""de"")"),"Ein Blitz freier Wasser wird gezeigt, dann wird eine Gruppe von zehn Menschen zusammen über den Felsen und Wasser abgebildet und schließlich durch die große Welle aus dem Kajak herausgedrückt.")</f>
        <v>Ein Blitz freier Wasser wird gezeigt, dann wird eine Gruppe von zehn Menschen zusammen über den Felsen und Wasser abgebildet und schließlich durch die große Welle aus dem Kajak herausgedrückt.</v>
      </c>
    </row>
    <row r="3596">
      <c r="A3596" s="4" t="s">
        <v>4518</v>
      </c>
      <c r="B3596" s="4" t="s">
        <v>4522</v>
      </c>
      <c r="C3596" s="5" t="str">
        <f>IFERROR(__xludf.DUMMYFUNCTION("GOOGLETRANSLATE(B3596,""en"",""de"")"),"Die Gruppe von Menschen schwimmt weiter durch das Wasser und versucht, Land zu finden.")</f>
        <v>Die Gruppe von Menschen schwimmt weiter durch das Wasser und versucht, Land zu finden.</v>
      </c>
    </row>
    <row r="3597">
      <c r="A3597" s="4" t="s">
        <v>4518</v>
      </c>
      <c r="B3597" s="4" t="s">
        <v>4523</v>
      </c>
      <c r="C3597" s="5" t="str">
        <f>IFERROR(__xludf.DUMMYFUNCTION("GOOGLETRANSLATE(B3597,""en"",""de"")"),"Sie kommen schließlich raus und jede Person beginnt über die Kamera darüber zu sprechen, was sie gerade erlebt haben.")</f>
        <v>Sie kommen schließlich raus und jede Person beginnt über die Kamera darüber zu sprechen, was sie gerade erlebt haben.</v>
      </c>
    </row>
    <row r="3598">
      <c r="A3598" s="4" t="s">
        <v>4524</v>
      </c>
      <c r="B3598" s="4" t="s">
        <v>4525</v>
      </c>
      <c r="C3598" s="5" t="str">
        <f>IFERROR(__xludf.DUMMYFUNCTION("GOOGLETRANSLATE(B3598,""en"",""de"")"),"Die Spieler laufen mit ihren Fledermäusen auf dem Feld.")</f>
        <v>Die Spieler laufen mit ihren Fledermäusen auf dem Feld.</v>
      </c>
    </row>
    <row r="3599">
      <c r="A3599" s="4" t="s">
        <v>4524</v>
      </c>
      <c r="B3599" s="4" t="s">
        <v>4526</v>
      </c>
      <c r="C3599" s="5" t="str">
        <f>IFERROR(__xludf.DUMMYFUNCTION("GOOGLETRANSLATE(B3599,""en"",""de"")"),"Der Player im Hemd läuft mit Spielern in rotem Hemd.")</f>
        <v>Der Player im Hemd läuft mit Spielern in rotem Hemd.</v>
      </c>
    </row>
    <row r="3600">
      <c r="A3600" s="4" t="s">
        <v>4524</v>
      </c>
      <c r="B3600" s="4" t="s">
        <v>4527</v>
      </c>
      <c r="C3600" s="5" t="str">
        <f>IFERROR(__xludf.DUMMYFUNCTION("GOOGLETRANSLATE(B3600,""en"",""de"")"),"Die beiden Spieler begannen zu laufen.")</f>
        <v>Die beiden Spieler begannen zu laufen.</v>
      </c>
    </row>
    <row r="3601">
      <c r="A3601" s="4" t="s">
        <v>4528</v>
      </c>
      <c r="B3601" s="4" t="s">
        <v>4529</v>
      </c>
      <c r="C3601" s="5" t="str">
        <f>IFERROR(__xludf.DUMMYFUNCTION("GOOGLETRANSLATE(B3601,""en"",""de"")"),"Ein weißer Bildschirm erscheint und Spezialeinflüsse enthüllen die Wörter ""Howcast Original"".")</f>
        <v>Ein weißer Bildschirm erscheint und Spezialeinflüsse enthüllen die Wörter "Howcast Original".</v>
      </c>
    </row>
    <row r="3602">
      <c r="A3602" s="4" t="s">
        <v>4528</v>
      </c>
      <c r="B3602" s="4" t="s">
        <v>4530</v>
      </c>
      <c r="C3602" s="5" t="str">
        <f>IFERROR(__xludf.DUMMYFUNCTION("GOOGLETRANSLATE(B3602,""en"",""de"")"),"Ein Mann spricht, während verschiedene Clips von People Rollerblading -Spiel und ein Bildschirm auftauchen, was darauf hinweist, dass er Tipps zu ""Rollerblading -Grundlagen: Wie man die Geschwindigkeit bei Rollerblades steuert"", und er nimmt ein Paar Ro"&amp;"llerblades auf und zeigt auf die Räder, dann mehr Clips von ihm Rollerblading und zeigen Beispiele.")</f>
        <v>Ein Mann spricht, während verschiedene Clips von People Rollerblading -Spiel und ein Bildschirm auftauchen, was darauf hinweist, dass er Tipps zu "Rollerblading -Grundlagen: Wie man die Geschwindigkeit bei Rollerblades steuert", und er nimmt ein Paar Rollerblades auf und zeigt auf die Räder, dann mehr Clips von ihm Rollerblading und zeigen Beispiele.</v>
      </c>
    </row>
    <row r="3603">
      <c r="A3603" s="4" t="s">
        <v>4528</v>
      </c>
      <c r="B3603" s="4" t="s">
        <v>4531</v>
      </c>
      <c r="C3603" s="5" t="str">
        <f>IFERROR(__xludf.DUMMYFUNCTION("GOOGLETRANSLATE(B3603,""en"",""de"")"),"Das Outro erscheint und es ist der weiße Bildschirm im Intro, der die Wörter ""Howcast Original"" enthält.")</f>
        <v>Das Outro erscheint und es ist der weiße Bildschirm im Intro, der die Wörter "Howcast Original" enthält.</v>
      </c>
    </row>
    <row r="3604">
      <c r="A3604" s="4" t="s">
        <v>4532</v>
      </c>
      <c r="B3604" s="4" t="s">
        <v>4533</v>
      </c>
      <c r="C3604" s="5" t="str">
        <f>IFERROR(__xludf.DUMMYFUNCTION("GOOGLETRANSLATE(B3604,""en"",""de"")"),"Mitglieder einer Belly Dance Academy machen eine choreografierte Routine in einer Anzeige für die Schule.")</f>
        <v>Mitglieder einer Belly Dance Academy machen eine choreografierte Routine in einer Anzeige für die Schule.</v>
      </c>
    </row>
    <row r="3605">
      <c r="A3605" s="4" t="s">
        <v>4532</v>
      </c>
      <c r="B3605" s="4" t="s">
        <v>4534</v>
      </c>
      <c r="C3605" s="5" t="str">
        <f>IFERROR(__xludf.DUMMYFUNCTION("GOOGLETRANSLATE(B3605,""en"",""de"")"),"Sie bewegen sich auf der Bühne und zeigen dann ihre Bäuche.")</f>
        <v>Sie bewegen sich auf der Bühne und zeigen dann ihre Bäuche.</v>
      </c>
    </row>
    <row r="3606">
      <c r="A3606" s="4" t="s">
        <v>4535</v>
      </c>
      <c r="B3606" s="4" t="s">
        <v>4536</v>
      </c>
      <c r="C3606" s="5" t="str">
        <f>IFERROR(__xludf.DUMMYFUNCTION("GOOGLETRANSLATE(B3606,""en"",""de"")"),"Die Leute gehen auf Schlitten einen Schneehügel hinunter.")</f>
        <v>Die Leute gehen auf Schlitten einen Schneehügel hinunter.</v>
      </c>
    </row>
    <row r="3607">
      <c r="A3607" s="4" t="s">
        <v>4535</v>
      </c>
      <c r="B3607" s="4" t="s">
        <v>4537</v>
      </c>
      <c r="C3607" s="5" t="str">
        <f>IFERROR(__xludf.DUMMYFUNCTION("GOOGLETRANSLATE(B3607,""en"",""de"")"),"Die Menschen stehen auf der Seite des Hügels und beobachten sie.")</f>
        <v>Die Menschen stehen auf der Seite des Hügels und beobachten sie.</v>
      </c>
    </row>
    <row r="3608">
      <c r="A3608" s="4" t="s">
        <v>4535</v>
      </c>
      <c r="B3608" s="4" t="s">
        <v>4538</v>
      </c>
      <c r="C3608" s="5" t="str">
        <f>IFERROR(__xludf.DUMMYFUNCTION("GOOGLETRANSLATE(B3608,""en"",""de"")"),"Die Leute machen einen Schneemann im Schnee.")</f>
        <v>Die Leute machen einen Schneemann im Schnee.</v>
      </c>
    </row>
    <row r="3609">
      <c r="A3609" s="4" t="s">
        <v>4539</v>
      </c>
      <c r="B3609" s="4" t="s">
        <v>4540</v>
      </c>
      <c r="C3609" s="5" t="str">
        <f>IFERROR(__xludf.DUMMYFUNCTION("GOOGLETRANSLATE(B3609,""en"",""de"")"),"Eine Kamera schwenkt um eine Dusche und zoomt an einer Person, die ihre Beine rasiert.")</f>
        <v>Eine Kamera schwenkt um eine Dusche und zoomt an einer Person, die ihre Beine rasiert.</v>
      </c>
    </row>
    <row r="3610">
      <c r="A3610" s="4" t="s">
        <v>4539</v>
      </c>
      <c r="B3610" s="4" t="s">
        <v>4541</v>
      </c>
      <c r="C3610" s="5" t="str">
        <f>IFERROR(__xludf.DUMMYFUNCTION("GOOGLETRANSLATE(B3610,""en"",""de"")"),"Die Kamera beobachtet, wie sie ihre Arme rund um ihre Beine bewegt, während das Wasser den Abfluss hinunter verläuft.")</f>
        <v>Die Kamera beobachtet, wie sie ihre Arme rund um ihre Beine bewegt, während das Wasser den Abfluss hinunter verläuft.</v>
      </c>
    </row>
    <row r="3611">
      <c r="A3611" s="4" t="s">
        <v>4542</v>
      </c>
      <c r="B3611" s="4" t="s">
        <v>4543</v>
      </c>
      <c r="C3611" s="5" t="str">
        <f>IFERROR(__xludf.DUMMYFUNCTION("GOOGLETRANSLATE(B3611,""en"",""de"")"),"Ein Koch spricht, als sie an einem Tisch voller Kochzutaten steht.")</f>
        <v>Ein Koch spricht, als sie an einem Tisch voller Kochzutaten steht.</v>
      </c>
    </row>
    <row r="3612">
      <c r="A3612" s="4" t="s">
        <v>4542</v>
      </c>
      <c r="B3612" s="4" t="s">
        <v>4544</v>
      </c>
      <c r="C3612" s="5" t="str">
        <f>IFERROR(__xludf.DUMMYFUNCTION("GOOGLETRANSLATE(B3612,""en"",""de"")"),"Sie schnappt sich Öl und Salz und gießt es in eine Rührschüssel.")</f>
        <v>Sie schnappt sich Öl und Salz und gießt es in eine Rührschüssel.</v>
      </c>
    </row>
    <row r="3613">
      <c r="A3613" s="4" t="s">
        <v>4542</v>
      </c>
      <c r="B3613" s="4" t="s">
        <v>4545</v>
      </c>
      <c r="C3613" s="5" t="str">
        <f>IFERROR(__xludf.DUMMYFUNCTION("GOOGLETRANSLATE(B3613,""en"",""de"")"),"Sie rührt die Zutaten mit einiger Zange.")</f>
        <v>Sie rührt die Zutaten mit einiger Zange.</v>
      </c>
    </row>
    <row r="3614">
      <c r="A3614" s="4" t="s">
        <v>4542</v>
      </c>
      <c r="B3614" s="4" t="s">
        <v>4546</v>
      </c>
      <c r="C3614" s="5" t="str">
        <f>IFERROR(__xludf.DUMMYFUNCTION("GOOGLETRANSLATE(B3614,""en"",""de"")"),"Sie gießt ein paar Tomaten, Zucchini und rote Zwiebeln in die Mischschüssel.")</f>
        <v>Sie gießt ein paar Tomaten, Zucchini und rote Zwiebeln in die Mischschüssel.</v>
      </c>
    </row>
    <row r="3615">
      <c r="A3615" s="4" t="s">
        <v>4542</v>
      </c>
      <c r="B3615" s="4" t="s">
        <v>4547</v>
      </c>
      <c r="C3615" s="5" t="str">
        <f>IFERROR(__xludf.DUMMYFUNCTION("GOOGLETRANSLATE(B3615,""en"",""de"")"),"Sie schneidet etwas Koriander aus.")</f>
        <v>Sie schneidet etwas Koriander aus.</v>
      </c>
    </row>
    <row r="3616">
      <c r="A3616" s="4" t="s">
        <v>4542</v>
      </c>
      <c r="B3616" s="4" t="s">
        <v>4548</v>
      </c>
      <c r="C3616" s="5" t="str">
        <f>IFERROR(__xludf.DUMMYFUNCTION("GOOGLETRANSLATE(B3616,""en"",""de"")"),"Sie wirft den Koriander in die Mischschale.")</f>
        <v>Sie wirft den Koriander in die Mischschale.</v>
      </c>
    </row>
    <row r="3617">
      <c r="A3617" s="4" t="s">
        <v>4542</v>
      </c>
      <c r="B3617" s="4" t="s">
        <v>4549</v>
      </c>
      <c r="C3617" s="5" t="str">
        <f>IFERROR(__xludf.DUMMYFUNCTION("GOOGLETRANSLATE(B3617,""en"",""de"")"),"Sie mischt das Gemüse in der Mischschüssel mit der Zange.")</f>
        <v>Sie mischt das Gemüse in der Mischschüssel mit der Zange.</v>
      </c>
    </row>
    <row r="3618">
      <c r="A3618" s="4" t="s">
        <v>4542</v>
      </c>
      <c r="B3618" s="4" t="s">
        <v>4550</v>
      </c>
      <c r="C3618" s="5" t="str">
        <f>IFERROR(__xludf.DUMMYFUNCTION("GOOGLETRANSLATE(B3618,""en"",""de"")"),"Sie legt das Gemüse auf einen Rucola auf einen Teller.")</f>
        <v>Sie legt das Gemüse auf einen Rucola auf einen Teller.</v>
      </c>
    </row>
    <row r="3619">
      <c r="A3619" s="4" t="s">
        <v>4542</v>
      </c>
      <c r="B3619" s="4" t="s">
        <v>4551</v>
      </c>
      <c r="C3619" s="5" t="str">
        <f>IFERROR(__xludf.DUMMYFUNCTION("GOOGLETRANSLATE(B3619,""en"",""de"")"),"Sie zeigt den Salat.")</f>
        <v>Sie zeigt den Salat.</v>
      </c>
    </row>
    <row r="3620">
      <c r="A3620" s="4" t="s">
        <v>4552</v>
      </c>
      <c r="B3620" s="4" t="s">
        <v>4553</v>
      </c>
      <c r="C3620" s="5" t="str">
        <f>IFERROR(__xludf.DUMMYFUNCTION("GOOGLETRANSLATE(B3620,""en"",""de"")"),"Eine Person in der roten Jacke steht an der Seite der Fahrspur.")</f>
        <v>Eine Person in der roten Jacke steht an der Seite der Fahrspur.</v>
      </c>
    </row>
    <row r="3621">
      <c r="A3621" s="4" t="s">
        <v>4552</v>
      </c>
      <c r="B3621" s="4" t="s">
        <v>4554</v>
      </c>
      <c r="C3621" s="5" t="str">
        <f>IFERROR(__xludf.DUMMYFUNCTION("GOOGLETRANSLATE(B3621,""en"",""de"")"),"Zwei Menschen rutschen mit Schnee über die Fahrspur.")</f>
        <v>Zwei Menschen rutschen mit Schnee über die Fahrspur.</v>
      </c>
    </row>
    <row r="3622">
      <c r="A3622" s="4" t="s">
        <v>4552</v>
      </c>
      <c r="B3622" s="4" t="s">
        <v>4555</v>
      </c>
      <c r="C3622" s="5" t="str">
        <f>IFERROR(__xludf.DUMMYFUNCTION("GOOGLETRANSLATE(B3622,""en"",""de"")"),"Die Frau in der Röhre geht weiter die Fahrspur hinunter, als sie mit den Armen winkte.")</f>
        <v>Die Frau in der Röhre geht weiter die Fahrspur hinunter, als sie mit den Armen winkte.</v>
      </c>
    </row>
    <row r="3623">
      <c r="A3623" s="4" t="s">
        <v>4556</v>
      </c>
      <c r="B3623" s="4" t="s">
        <v>4557</v>
      </c>
      <c r="C3623" s="5" t="str">
        <f>IFERROR(__xludf.DUMMYFUNCTION("GOOGLETRANSLATE(B3623,""en"",""de"")"),"Eine Frau steht neben einem Kamel, der die Leine hält.")</f>
        <v>Eine Frau steht neben einem Kamel, der die Leine hält.</v>
      </c>
    </row>
    <row r="3624">
      <c r="A3624" s="4" t="s">
        <v>4556</v>
      </c>
      <c r="B3624" s="4" t="s">
        <v>4558</v>
      </c>
      <c r="C3624" s="5" t="str">
        <f>IFERROR(__xludf.DUMMYFUNCTION("GOOGLETRANSLATE(B3624,""en"",""de"")"),"Die Frau kletterte auf das Kamel und das Kamel stand auf.")</f>
        <v>Die Frau kletterte auf das Kamel und das Kamel stand auf.</v>
      </c>
    </row>
    <row r="3625">
      <c r="A3625" s="4" t="s">
        <v>4556</v>
      </c>
      <c r="B3625" s="4" t="s">
        <v>4559</v>
      </c>
      <c r="C3625" s="5" t="str">
        <f>IFERROR(__xludf.DUMMYFUNCTION("GOOGLETRANSLATE(B3625,""en"",""de"")"),"Das Kamel ging herum und blieb stehen, als die Frau die Leine zog und das Kamel sich setzte und die Frau vom Kamel stieg.")</f>
        <v>Das Kamel ging herum und blieb stehen, als die Frau die Leine zog und das Kamel sich setzte und die Frau vom Kamel stieg.</v>
      </c>
    </row>
    <row r="3626">
      <c r="A3626" s="4" t="s">
        <v>4560</v>
      </c>
      <c r="B3626" s="4" t="s">
        <v>4561</v>
      </c>
      <c r="C3626" s="5" t="str">
        <f>IFERROR(__xludf.DUMMYFUNCTION("GOOGLETRANSLATE(B3626,""en"",""de"")"),"Das Video zeigt eine Baldachin, die das Eastern Mountain Sports -Event darstellt.")</f>
        <v>Das Video zeigt eine Baldachin, die das Eastern Mountain Sports -Event darstellt.</v>
      </c>
    </row>
    <row r="3627">
      <c r="A3627" s="4" t="s">
        <v>4560</v>
      </c>
      <c r="B3627" s="4" t="s">
        <v>4562</v>
      </c>
      <c r="C3627" s="5" t="str">
        <f>IFERROR(__xludf.DUMMYFUNCTION("GOOGLETRANSLATE(B3627,""en"",""de"")"),"Mehrere Spieler bereiten sich in einem hellen, sonnigen Tag auf das Sportereignis in einer Outdoor -Umgebung vor.")</f>
        <v>Mehrere Spieler bereiten sich in einem hellen, sonnigen Tag auf das Sportereignis in einer Outdoor -Umgebung vor.</v>
      </c>
    </row>
    <row r="3628">
      <c r="A3628" s="4" t="s">
        <v>4560</v>
      </c>
      <c r="B3628" s="4" t="s">
        <v>4563</v>
      </c>
      <c r="C3628" s="5" t="str">
        <f>IFERROR(__xludf.DUMMYFUNCTION("GOOGLETRANSLATE(B3628,""en"",""de"")"),"Es gibt einen Jungen, der auf einem engen Seil balanciert.")</f>
        <v>Es gibt einen Jungen, der auf einem engen Seil balanciert.</v>
      </c>
    </row>
    <row r="3629">
      <c r="A3629" s="4" t="s">
        <v>4560</v>
      </c>
      <c r="B3629" s="4" t="s">
        <v>4564</v>
      </c>
      <c r="C3629" s="5" t="str">
        <f>IFERROR(__xludf.DUMMYFUNCTION("GOOGLETRANSLATE(B3629,""en"",""de"")"),"Es gibt mehrere andere Teilnehmer, die auf dem engen Seil laufen.")</f>
        <v>Es gibt mehrere andere Teilnehmer, die auf dem engen Seil laufen.</v>
      </c>
    </row>
    <row r="3630">
      <c r="A3630" s="4" t="s">
        <v>4560</v>
      </c>
      <c r="B3630" s="4" t="s">
        <v>4565</v>
      </c>
      <c r="C3630" s="5" t="str">
        <f>IFERROR(__xludf.DUMMYFUNCTION("GOOGLETRANSLATE(B3630,""en"",""de"")"),"Mehrere Leute sehen die Teilnehmer auf.")</f>
        <v>Mehrere Leute sehen die Teilnehmer auf.</v>
      </c>
    </row>
    <row r="3631">
      <c r="A3631" s="4" t="s">
        <v>4560</v>
      </c>
      <c r="B3631" s="4" t="s">
        <v>4566</v>
      </c>
      <c r="C3631" s="5" t="str">
        <f>IFERROR(__xludf.DUMMYFUNCTION("GOOGLETRANSLATE(B3631,""en"",""de"")"),"Zwei Leute spielen mit einem Frisbee, während eine Person auf dem Seil geht.")</f>
        <v>Zwei Leute spielen mit einem Frisbee, während eine Person auf dem Seil geht.</v>
      </c>
    </row>
    <row r="3632">
      <c r="A3632" s="4" t="s">
        <v>4560</v>
      </c>
      <c r="B3632" s="4" t="s">
        <v>4567</v>
      </c>
      <c r="C3632" s="5" t="str">
        <f>IFERROR(__xludf.DUMMYFUNCTION("GOOGLETRANSLATE(B3632,""en"",""de"")"),"Ein Mädchen und ein Junge probieren das enge Seil zusammen.")</f>
        <v>Ein Mädchen und ein Junge probieren das enge Seil zusammen.</v>
      </c>
    </row>
    <row r="3633">
      <c r="A3633" s="4" t="s">
        <v>4560</v>
      </c>
      <c r="B3633" s="4" t="s">
        <v>4568</v>
      </c>
      <c r="C3633" s="5" t="str">
        <f>IFERROR(__xludf.DUMMYFUNCTION("GOOGLETRANSLATE(B3633,""en"",""de"")"),"Es gibt Menschen, die sich auf einer Hängematte amüsieren.")</f>
        <v>Es gibt Menschen, die sich auf einer Hängematte amüsieren.</v>
      </c>
    </row>
    <row r="3634">
      <c r="A3634" s="4" t="s">
        <v>4560</v>
      </c>
      <c r="B3634" s="4" t="s">
        <v>4569</v>
      </c>
      <c r="C3634" s="5" t="str">
        <f>IFERROR(__xludf.DUMMYFUNCTION("GOOGLETRANSLATE(B3634,""en"",""de"")"),"Der Endgut dankt den Menschen und Organisatoren der Veranstaltung.")</f>
        <v>Der Endgut dankt den Menschen und Organisatoren der Veranstaltung.</v>
      </c>
    </row>
    <row r="3635">
      <c r="A3635" s="4" t="s">
        <v>4570</v>
      </c>
      <c r="B3635" s="4" t="s">
        <v>4571</v>
      </c>
      <c r="C3635" s="5" t="str">
        <f>IFERROR(__xludf.DUMMYFUNCTION("GOOGLETRANSLATE(B3635,""en"",""de"")"),"Ein graues Auto ist auf einer Einfahrt geparkt, dann wäscht eine Person die Felgen des Autos.")</f>
        <v>Ein graues Auto ist auf einer Einfahrt geparkt, dann wäscht eine Person die Felgen des Autos.</v>
      </c>
    </row>
    <row r="3636">
      <c r="A3636" s="4" t="s">
        <v>4570</v>
      </c>
      <c r="B3636" s="4" t="s">
        <v>4572</v>
      </c>
      <c r="C3636" s="5" t="str">
        <f>IFERROR(__xludf.DUMMYFUNCTION("GOOGLETRANSLATE(B3636,""en"",""de"")"),"Danach verbreitet die Person die Seife auf dem Auto mit einer Flaschenverbindung an einen Schlauch, nachdem sie das vordere Licht des Autos geputzt hat.")</f>
        <v>Danach verbreitet die Person die Seife auf dem Auto mit einer Flaschenverbindung an einen Schlauch, nachdem sie das vordere Licht des Autos geputzt hat.</v>
      </c>
    </row>
    <row r="3637">
      <c r="A3637" s="4" t="s">
        <v>4570</v>
      </c>
      <c r="B3637" s="4" t="s">
        <v>4573</v>
      </c>
      <c r="C3637" s="5" t="str">
        <f>IFERROR(__xludf.DUMMYFUNCTION("GOOGLETRANSLATE(B3637,""en"",""de"")"),"Dann reinigt die Person die Motorhaube mit einem Tuch.")</f>
        <v>Dann reinigt die Person die Motorhaube mit einem Tuch.</v>
      </c>
    </row>
    <row r="3638">
      <c r="A3638" s="4" t="s">
        <v>4570</v>
      </c>
      <c r="B3638" s="4" t="s">
        <v>4574</v>
      </c>
      <c r="C3638" s="5" t="str">
        <f>IFERROR(__xludf.DUMMYFUNCTION("GOOGLETRANSLATE(B3638,""en"",""de"")"),"Als nächstes spült und trocknet die Person das Auto.")</f>
        <v>Als nächstes spült und trocknet die Person das Auto.</v>
      </c>
    </row>
    <row r="3639">
      <c r="A3639" s="4" t="s">
        <v>4575</v>
      </c>
      <c r="B3639" s="4" t="s">
        <v>4576</v>
      </c>
      <c r="C3639" s="5" t="str">
        <f>IFERROR(__xludf.DUMMYFUNCTION("GOOGLETRANSLATE(B3639,""en"",""de"")"),"Eine Person hält einen Tennisschläger auf einem Feld und trifft den Ball über das Feld.")</f>
        <v>Eine Person hält einen Tennisschläger auf einem Feld und trifft den Ball über das Feld.</v>
      </c>
    </row>
    <row r="3640">
      <c r="A3640" s="4" t="s">
        <v>4575</v>
      </c>
      <c r="B3640" s="4" t="s">
        <v>4577</v>
      </c>
      <c r="C3640" s="5" t="str">
        <f>IFERROR(__xludf.DUMMYFUNCTION("GOOGLETRANSLATE(B3640,""en"",""de"")"),"Dann lächelt er und geht zur Kamera, während er in die Entfernung zeigt und faust stößt.")</f>
        <v>Dann lächelt er und geht zur Kamera, während er in die Entfernung zeigt und faust stößt.</v>
      </c>
    </row>
    <row r="3641">
      <c r="A3641" s="4" t="s">
        <v>4578</v>
      </c>
      <c r="B3641" s="4" t="s">
        <v>4579</v>
      </c>
      <c r="C3641" s="5" t="str">
        <f>IFERROR(__xludf.DUMMYFUNCTION("GOOGLETRANSLATE(B3641,""en"",""de"")"),"Eine Gruppe von Fencern posiert mit einem Ausbilder.")</f>
        <v>Eine Gruppe von Fencern posiert mit einem Ausbilder.</v>
      </c>
    </row>
    <row r="3642">
      <c r="A3642" s="4" t="s">
        <v>4578</v>
      </c>
      <c r="B3642" s="4" t="s">
        <v>4580</v>
      </c>
      <c r="C3642" s="5" t="str">
        <f>IFERROR(__xludf.DUMMYFUNCTION("GOOGLETRANSLATE(B3642,""en"",""de"")"),"Die Fechter werden in einem Fitnessstudio gezeigt und üben.")</f>
        <v>Die Fechter werden in einem Fitnessstudio gezeigt und üben.</v>
      </c>
    </row>
    <row r="3643">
      <c r="A3643" s="4" t="s">
        <v>4578</v>
      </c>
      <c r="B3643" s="4" t="s">
        <v>4581</v>
      </c>
      <c r="C3643" s="5" t="str">
        <f>IFERROR(__xludf.DUMMYFUNCTION("GOOGLETRANSLATE(B3643,""en"",""de"")"),"Sie stoßen und machen während des Spiels verschiedene Bewegungen miteinander.")</f>
        <v>Sie stoßen und machen während des Spiels verschiedene Bewegungen miteinander.</v>
      </c>
    </row>
    <row r="3644">
      <c r="A3644" s="4" t="s">
        <v>4582</v>
      </c>
      <c r="B3644" s="4" t="s">
        <v>4583</v>
      </c>
      <c r="C3644" s="5" t="str">
        <f>IFERROR(__xludf.DUMMYFUNCTION("GOOGLETRANSLATE(B3644,""en"",""de"")"),"Eine Person sitzt in einer Rutsche und fängt an, die Rutsche hinunter zu reiten.")</f>
        <v>Eine Person sitzt in einer Rutsche und fängt an, die Rutsche hinunter zu reiten.</v>
      </c>
    </row>
    <row r="3645">
      <c r="A3645" s="4" t="s">
        <v>4582</v>
      </c>
      <c r="B3645" s="4" t="s">
        <v>4584</v>
      </c>
      <c r="C3645" s="5" t="str">
        <f>IFERROR(__xludf.DUMMYFUNCTION("GOOGLETRANSLATE(B3645,""en"",""de"")"),"Sie trifft eine andere Person unten, während sie über die Kamera und eine andere Person lacht.")</f>
        <v>Sie trifft eine andere Person unten, während sie über die Kamera und eine andere Person lacht.</v>
      </c>
    </row>
    <row r="3646">
      <c r="A3646" s="4" t="s">
        <v>4585</v>
      </c>
      <c r="B3646" s="4" t="s">
        <v>4586</v>
      </c>
      <c r="C3646" s="5" t="str">
        <f>IFERROR(__xludf.DUMMYFUNCTION("GOOGLETRANSLATE(B3646,""en"",""de"")"),"Eine Person steht auf einem Tauchbrett.")</f>
        <v>Eine Person steht auf einem Tauchbrett.</v>
      </c>
    </row>
    <row r="3647">
      <c r="A3647" s="4" t="s">
        <v>4585</v>
      </c>
      <c r="B3647" s="4" t="s">
        <v>4587</v>
      </c>
      <c r="C3647" s="5" t="str">
        <f>IFERROR(__xludf.DUMMYFUNCTION("GOOGLETRANSLATE(B3647,""en"",""de"")"),"Sie springen vom Tauchbrett in den Pool.")</f>
        <v>Sie springen vom Tauchbrett in den Pool.</v>
      </c>
    </row>
    <row r="3648">
      <c r="A3648" s="4" t="s">
        <v>4585</v>
      </c>
      <c r="B3648" s="4" t="s">
        <v>4588</v>
      </c>
      <c r="C3648" s="5" t="str">
        <f>IFERROR(__xludf.DUMMYFUNCTION("GOOGLETRANSLATE(B3648,""en"",""de"")"),"Er fällt rückwärts ins Wasser.")</f>
        <v>Er fällt rückwärts ins Wasser.</v>
      </c>
    </row>
    <row r="3649">
      <c r="A3649" s="4" t="s">
        <v>4585</v>
      </c>
      <c r="B3649" s="4" t="s">
        <v>4589</v>
      </c>
      <c r="C3649" s="5" t="str">
        <f>IFERROR(__xludf.DUMMYFUNCTION("GOOGLETRANSLATE(B3649,""en"",""de"")"),"Jemand springt vom Tauchbrett ins Wasser.")</f>
        <v>Jemand springt vom Tauchbrett ins Wasser.</v>
      </c>
    </row>
    <row r="3650">
      <c r="A3650" s="4" t="s">
        <v>4585</v>
      </c>
      <c r="B3650" s="4" t="s">
        <v>4590</v>
      </c>
      <c r="C3650" s="5" t="str">
        <f>IFERROR(__xludf.DUMMYFUNCTION("GOOGLETRANSLATE(B3650,""en"",""de"")"),"Eine Person springt und geht unter das Wasser.")</f>
        <v>Eine Person springt und geht unter das Wasser.</v>
      </c>
    </row>
    <row r="3651">
      <c r="A3651" s="4" t="s">
        <v>4585</v>
      </c>
      <c r="B3651" s="4" t="s">
        <v>4591</v>
      </c>
      <c r="C3651" s="5" t="str">
        <f>IFERROR(__xludf.DUMMYFUNCTION("GOOGLETRANSLATE(B3651,""en"",""de"")"),"Ein Mann springt hoch und dreht sich aus dem Tauchbrett ins Wasser.")</f>
        <v>Ein Mann springt hoch und dreht sich aus dem Tauchbrett ins Wasser.</v>
      </c>
    </row>
    <row r="3652">
      <c r="A3652" s="4" t="s">
        <v>4585</v>
      </c>
      <c r="B3652" s="4" t="s">
        <v>4592</v>
      </c>
      <c r="C3652" s="5" t="str">
        <f>IFERROR(__xludf.DUMMYFUNCTION("GOOGLETRANSLATE(B3652,""en"",""de"")"),"Eine Person macht einen schwarzen Flip ins Wasser vor dem Tauchbrett.")</f>
        <v>Eine Person macht einen schwarzen Flip ins Wasser vor dem Tauchbrett.</v>
      </c>
    </row>
    <row r="3653">
      <c r="A3653" s="4" t="s">
        <v>4593</v>
      </c>
      <c r="B3653" s="4" t="s">
        <v>4594</v>
      </c>
      <c r="C3653" s="5" t="str">
        <f>IFERROR(__xludf.DUMMYFUNCTION("GOOGLETRANSLATE(B3653,""en"",""de"")"),"Ein kleiner Grund von Menschen steht auf einem Baseballfeld, das sich zueinander umsieht.")</f>
        <v>Ein kleiner Grund von Menschen steht auf einem Baseballfeld, das sich zueinander umsieht.</v>
      </c>
    </row>
    <row r="3654">
      <c r="A3654" s="4" t="s">
        <v>4593</v>
      </c>
      <c r="B3654" s="4" t="s">
        <v>4595</v>
      </c>
      <c r="C3654" s="5" t="str">
        <f>IFERROR(__xludf.DUMMYFUNCTION("GOOGLETRANSLATE(B3654,""en"",""de"")"),"Plötzlich fangen einige an, herum zu tanzen und einer hält den Ball in der Mitte.")</f>
        <v>Plötzlich fangen einige an, herum zu tanzen und einer hält den Ball in der Mitte.</v>
      </c>
    </row>
    <row r="3655">
      <c r="A3655" s="4" t="s">
        <v>4596</v>
      </c>
      <c r="B3655" s="4" t="s">
        <v>4597</v>
      </c>
      <c r="C3655" s="5" t="str">
        <f>IFERROR(__xludf.DUMMYFUNCTION("GOOGLETRANSLATE(B3655,""en"",""de"")"),"Little Kid steht vor einer Theke mit Gläsern und Zeichnern vor sich.")</f>
        <v>Little Kid steht vor einer Theke mit Gläsern und Zeichnern vor sich.</v>
      </c>
    </row>
    <row r="3656">
      <c r="A3656" s="4" t="s">
        <v>4596</v>
      </c>
      <c r="B3656" s="4" t="s">
        <v>4598</v>
      </c>
      <c r="C3656" s="5" t="str">
        <f>IFERROR(__xludf.DUMMYFUNCTION("GOOGLETRANSLATE(B3656,""en"",""de"")"),"Frau steckt Zucker in eine Pfanne mit Wasser und erhitzt es, legt Wasser und Zitronensaft und mischt alle Zutaten in ein Glas.")</f>
        <v>Frau steckt Zucker in eine Pfanne mit Wasser und erhitzt es, legt Wasser und Zitronensaft und mischt alle Zutaten in ein Glas.</v>
      </c>
    </row>
    <row r="3657">
      <c r="A3657" s="4" t="s">
        <v>4599</v>
      </c>
      <c r="B3657" s="4" t="s">
        <v>4600</v>
      </c>
      <c r="C3657" s="5" t="str">
        <f>IFERROR(__xludf.DUMMYFUNCTION("GOOGLETRANSLATE(B3657,""en"",""de"")"),"Ein Junge spielt mit einem Ball.")</f>
        <v>Ein Junge spielt mit einem Ball.</v>
      </c>
    </row>
    <row r="3658">
      <c r="A3658" s="4" t="s">
        <v>4599</v>
      </c>
      <c r="B3658" s="4" t="s">
        <v>4601</v>
      </c>
      <c r="C3658" s="5" t="str">
        <f>IFERROR(__xludf.DUMMYFUNCTION("GOOGLETRANSLATE(B3658,""en"",""de"")"),"Kinder üben Lacrosse auf einem Grasfeld.")</f>
        <v>Kinder üben Lacrosse auf einem Grasfeld.</v>
      </c>
    </row>
    <row r="3659">
      <c r="A3659" s="4" t="s">
        <v>4599</v>
      </c>
      <c r="B3659" s="4" t="s">
        <v>4602</v>
      </c>
      <c r="C3659" s="5" t="str">
        <f>IFERROR(__xludf.DUMMYFUNCTION("GOOGLETRANSLATE(B3659,""en"",""de"")"),"Ein Mann in einer schwarzen Jacke beobachtet sie spielen.")</f>
        <v>Ein Mann in einer schwarzen Jacke beobachtet sie spielen.</v>
      </c>
    </row>
    <row r="3660">
      <c r="A3660" s="4" t="s">
        <v>4603</v>
      </c>
      <c r="B3660" s="4" t="s">
        <v>4604</v>
      </c>
      <c r="C3660" s="5" t="str">
        <f>IFERROR(__xludf.DUMMYFUNCTION("GOOGLETRANSLATE(B3660,""en"",""de"")"),"Es stehen viele Leute im Freien, die nur herumlaufen und reden.")</f>
        <v>Es stehen viele Leute im Freien, die nur herumlaufen und reden.</v>
      </c>
    </row>
    <row r="3661">
      <c r="A3661" s="4" t="s">
        <v>4603</v>
      </c>
      <c r="B3661" s="4" t="s">
        <v>4605</v>
      </c>
      <c r="C3661" s="5" t="str">
        <f>IFERROR(__xludf.DUMMYFUNCTION("GOOGLETRANSLATE(B3661,""en"",""de"")"),"Ein kleiner Junge geht hinter eine Leiter und andere Leute gehen weiter herum.")</f>
        <v>Ein kleiner Junge geht hinter eine Leiter und andere Leute gehen weiter herum.</v>
      </c>
    </row>
    <row r="3662">
      <c r="A3662" s="4" t="s">
        <v>4603</v>
      </c>
      <c r="B3662" s="4" t="s">
        <v>4606</v>
      </c>
      <c r="C3662" s="5" t="str">
        <f>IFERROR(__xludf.DUMMYFUNCTION("GOOGLETRANSLATE(B3662,""en"",""de"")"),"Ein Pinata fällt von oben und er trifft mit einem Stock auf die Pinata, und dann kommt jemand heraus und hält eine mit Beuteln gefüllte Schüssel.")</f>
        <v>Ein Pinata fällt von oben und er trifft mit einem Stock auf die Pinata, und dann kommt jemand heraus und hält eine mit Beuteln gefüllte Schüssel.</v>
      </c>
    </row>
    <row r="3663">
      <c r="A3663" s="4" t="s">
        <v>4607</v>
      </c>
      <c r="B3663" s="4" t="s">
        <v>4608</v>
      </c>
      <c r="C3663" s="5" t="str">
        <f>IFERROR(__xludf.DUMMYFUNCTION("GOOGLETRANSLATE(B3663,""en"",""de"")"),"Es gibt eine Reihe von Kamele, die im Outback -Gebiet Australiens auf dem Boden sitzen.")</f>
        <v>Es gibt eine Reihe von Kamele, die im Outback -Gebiet Australiens auf dem Boden sitzen.</v>
      </c>
    </row>
    <row r="3664">
      <c r="A3664" s="4" t="s">
        <v>4607</v>
      </c>
      <c r="B3664" s="4" t="s">
        <v>4609</v>
      </c>
      <c r="C3664" s="5" t="str">
        <f>IFERROR(__xludf.DUMMYFUNCTION("GOOGLETRANSLATE(B3664,""en"",""de"")"),"Es gibt Touristen, die darauf warten, auf die Kamele zu gelangen, um eine Kamelrückfahrt zu genießen.")</f>
        <v>Es gibt Touristen, die darauf warten, auf die Kamele zu gelangen, um eine Kamelrückfahrt zu genießen.</v>
      </c>
    </row>
    <row r="3665">
      <c r="A3665" s="4" t="s">
        <v>4607</v>
      </c>
      <c r="B3665" s="4" t="s">
        <v>4610</v>
      </c>
      <c r="C3665" s="5" t="str">
        <f>IFERROR(__xludf.DUMMYFUNCTION("GOOGLETRANSLATE(B3665,""en"",""de"")"),"Männer in roten Hemden und Cowboyhüte helfen den Touristen, auf den Rücken der Kamele zu gelangen.")</f>
        <v>Männer in roten Hemden und Cowboyhüte helfen den Touristen, auf den Rücken der Kamele zu gelangen.</v>
      </c>
    </row>
    <row r="3666">
      <c r="A3666" s="4" t="s">
        <v>4607</v>
      </c>
      <c r="B3666" s="4" t="s">
        <v>4611</v>
      </c>
      <c r="C3666" s="5" t="str">
        <f>IFERROR(__xludf.DUMMYFUNCTION("GOOGLETRANSLATE(B3666,""en"",""de"")"),"Die Kamele heben sich langsam auf und gehen mit den Touristen auf dem Rücken herum.")</f>
        <v>Die Kamele heben sich langsam auf und gehen mit den Touristen auf dem Rücken herum.</v>
      </c>
    </row>
    <row r="3667">
      <c r="A3667" s="4" t="s">
        <v>4607</v>
      </c>
      <c r="B3667" s="4" t="s">
        <v>4612</v>
      </c>
      <c r="C3667" s="5" t="str">
        <f>IFERROR(__xludf.DUMMYFUNCTION("GOOGLETRANSLATE(B3667,""en"",""de"")"),"Die Touristen sind glücklich, als sie die Kamera winken, während sie die Kamelfahrt genießen.")</f>
        <v>Die Touristen sind glücklich, als sie die Kamera winken, während sie die Kamelfahrt genießen.</v>
      </c>
    </row>
    <row r="3668">
      <c r="A3668" s="4" t="s">
        <v>4607</v>
      </c>
      <c r="B3668" s="4" t="s">
        <v>4613</v>
      </c>
      <c r="C3668" s="5" t="str">
        <f>IFERROR(__xludf.DUMMYFUNCTION("GOOGLETRANSLATE(B3668,""en"",""de"")"),"Die Kamele gehen langsam durch das trockene und schlammige Grasland.")</f>
        <v>Die Kamele gehen langsam durch das trockene und schlammige Grasland.</v>
      </c>
    </row>
    <row r="3669">
      <c r="A3669" s="4" t="s">
        <v>4607</v>
      </c>
      <c r="B3669" s="4" t="s">
        <v>4614</v>
      </c>
      <c r="C3669" s="5" t="str">
        <f>IFERROR(__xludf.DUMMYFUNCTION("GOOGLETRANSLATE(B3669,""en"",""de"")"),"Dann steigen die Touristen von den Kamele und gehen in Richtung eines Essbereichs im Freien, wo mehrere Tische mit weißen Tischdecken und Geschirr angeordnet sind.")</f>
        <v>Dann steigen die Touristen von den Kamele und gehen in Richtung eines Essbereichs im Freien, wo mehrere Tische mit weißen Tischdecken und Geschirr angeordnet sind.</v>
      </c>
    </row>
    <row r="3670">
      <c r="A3670" s="4" t="s">
        <v>4615</v>
      </c>
      <c r="B3670" s="4" t="s">
        <v>4616</v>
      </c>
      <c r="C3670" s="5" t="str">
        <f>IFERROR(__xludf.DUMMYFUNCTION("GOOGLETRANSLATE(B3670,""en"",""de"")"),"Ein Martini -Glas wird mit Wodka gefüllt.")</f>
        <v>Ein Martini -Glas wird mit Wodka gefüllt.</v>
      </c>
    </row>
    <row r="3671">
      <c r="A3671" s="4" t="s">
        <v>4615</v>
      </c>
      <c r="B3671" s="4" t="s">
        <v>4617</v>
      </c>
      <c r="C3671" s="5" t="str">
        <f>IFERROR(__xludf.DUMMYFUNCTION("GOOGLETRANSLATE(B3671,""en"",""de"")"),"Eine Frau wird hinter einer Bar mit verschiedenen Alkoholflaschen gezeigt.")</f>
        <v>Eine Frau wird hinter einer Bar mit verschiedenen Alkoholflaschen gezeigt.</v>
      </c>
    </row>
    <row r="3672">
      <c r="A3672" s="4" t="s">
        <v>4615</v>
      </c>
      <c r="B3672" s="4" t="s">
        <v>4618</v>
      </c>
      <c r="C3672" s="5" t="str">
        <f>IFERROR(__xludf.DUMMYFUNCTION("GOOGLETRANSLATE(B3672,""en"",""de"")"),"Sie mischt sie zusammen und dekoriert dann das letzte Getränk.")</f>
        <v>Sie mischt sie zusammen und dekoriert dann das letzte Getränk.</v>
      </c>
    </row>
    <row r="3673">
      <c r="A3673" s="4" t="s">
        <v>4619</v>
      </c>
      <c r="B3673" s="4" t="s">
        <v>4620</v>
      </c>
      <c r="C3673" s="5" t="str">
        <f>IFERROR(__xludf.DUMMYFUNCTION("GOOGLETRANSLATE(B3673,""en"",""de"")"),"Eine Person zeigt, wie man große Fenster reinigt.")</f>
        <v>Eine Person zeigt, wie man große Fenster reinigt.</v>
      </c>
    </row>
    <row r="3674">
      <c r="A3674" s="4" t="s">
        <v>4619</v>
      </c>
      <c r="B3674" s="4" t="s">
        <v>4621</v>
      </c>
      <c r="C3674" s="5" t="str">
        <f>IFERROR(__xludf.DUMMYFUNCTION("GOOGLETRANSLATE(B3674,""en"",""de"")"),"Zuerst wird die Seife aufgetragen, dann wird sie abgeschafft.")</f>
        <v>Zuerst wird die Seife aufgetragen, dann wird sie abgeschafft.</v>
      </c>
    </row>
    <row r="3675">
      <c r="A3675" s="4" t="s">
        <v>4619</v>
      </c>
      <c r="B3675" s="4" t="s">
        <v>4622</v>
      </c>
      <c r="C3675" s="5" t="str">
        <f>IFERROR(__xludf.DUMMYFUNCTION("GOOGLETRANSLATE(B3675,""en"",""de"")"),"Der Vorgang wird wiederholt und fertig.")</f>
        <v>Der Vorgang wird wiederholt und fertig.</v>
      </c>
    </row>
    <row r="3676">
      <c r="A3676" s="4" t="s">
        <v>4623</v>
      </c>
      <c r="B3676" s="4" t="s">
        <v>4624</v>
      </c>
      <c r="C3676" s="5" t="str">
        <f>IFERROR(__xludf.DUMMYFUNCTION("GOOGLETRANSLATE(B3676,""en"",""de"")"),"Ein Mann wird gesehen, der einen Stick um einen Topf herumwirbelt, während ein kleiner Junge auf der Seite ihn arbeitet.")</f>
        <v>Ein Mann wird gesehen, der einen Stick um einen Topf herumwirbelt, während ein kleiner Junge auf der Seite ihn arbeitet.</v>
      </c>
    </row>
    <row r="3677">
      <c r="A3677" s="4" t="s">
        <v>4623</v>
      </c>
      <c r="B3677" s="4" t="s">
        <v>4625</v>
      </c>
      <c r="C3677" s="5" t="str">
        <f>IFERROR(__xludf.DUMMYFUNCTION("GOOGLETRANSLATE(B3677,""en"",""de"")"),"Der Mann neckt den Jungen mit einem Kegel und lässt den Jungen es haben, nur um wieder weggenommen zu werden.")</f>
        <v>Der Mann neckt den Jungen mit einem Kegel und lässt den Jungen es haben, nur um wieder weggenommen zu werden.</v>
      </c>
    </row>
    <row r="3678">
      <c r="A3678" s="4" t="s">
        <v>4623</v>
      </c>
      <c r="B3678" s="4" t="s">
        <v>4626</v>
      </c>
      <c r="C3678" s="5" t="str">
        <f>IFERROR(__xludf.DUMMYFUNCTION("GOOGLETRANSLATE(B3678,""en"",""de"")"),"Der Mann legt dann Eis auf den Kegel und lächelt den Jungen an, während er weggeht und die Uhr anderer Uhr.")</f>
        <v>Der Mann legt dann Eis auf den Kegel und lächelt den Jungen an, während er weggeht und die Uhr anderer Uhr.</v>
      </c>
    </row>
    <row r="3679">
      <c r="A3679" s="4" t="s">
        <v>4627</v>
      </c>
      <c r="B3679" s="4" t="s">
        <v>4628</v>
      </c>
      <c r="C3679" s="5" t="str">
        <f>IFERROR(__xludf.DUMMYFUNCTION("GOOGLETRANSLATE(B3679,""en"",""de"")"),"Ein Basketballspieler springt unter einem Basketballball -Netz und schießt kontinuierlich im Netz einen Ball.")</f>
        <v>Ein Basketballspieler springt unter einem Basketballball -Netz und schießt kontinuierlich im Netz einen Ball.</v>
      </c>
    </row>
    <row r="3680">
      <c r="A3680" s="4" t="s">
        <v>4627</v>
      </c>
      <c r="B3680" s="4" t="s">
        <v>4629</v>
      </c>
      <c r="C3680" s="5" t="str">
        <f>IFERROR(__xludf.DUMMYFUNCTION("GOOGLETRANSLATE(B3680,""en"",""de"")"),"Sie fotografiert weiter und das Video endet mit verschiedenen Text über den Bildschirm.")</f>
        <v>Sie fotografiert weiter und das Video endet mit verschiedenen Text über den Bildschirm.</v>
      </c>
    </row>
    <row r="3681">
      <c r="A3681" s="4" t="s">
        <v>4630</v>
      </c>
      <c r="B3681" s="4" t="s">
        <v>4631</v>
      </c>
      <c r="C3681" s="5" t="str">
        <f>IFERROR(__xludf.DUMMYFUNCTION("GOOGLETRANSLATE(B3681,""en"",""de"")"),"Eine Person hält Reinigungsprodukt und eine Sprühflasche mit der Mischung über einem Spülbecken aus.")</f>
        <v>Eine Person hält Reinigungsprodukt und eine Sprühflasche mit der Mischung über einem Spülbecken aus.</v>
      </c>
    </row>
    <row r="3682">
      <c r="A3682" s="4" t="s">
        <v>4630</v>
      </c>
      <c r="B3682" s="4" t="s">
        <v>4632</v>
      </c>
      <c r="C3682" s="5" t="str">
        <f>IFERROR(__xludf.DUMMYFUNCTION("GOOGLETRANSLATE(B3682,""en"",""de"")"),"Die Person sprüht das Edelstahlsachen mit Waschmittel in einer Sprühflasche hinunter.")</f>
        <v>Die Person sprüht das Edelstahlsachen mit Waschmittel in einer Sprühflasche hinunter.</v>
      </c>
    </row>
    <row r="3683">
      <c r="A3683" s="4" t="s">
        <v>4630</v>
      </c>
      <c r="B3683" s="4" t="s">
        <v>4633</v>
      </c>
      <c r="C3683" s="5" t="str">
        <f>IFERROR(__xludf.DUMMYFUNCTION("GOOGLETRANSLATE(B3683,""en"",""de"")"),"Ein Schwamm wird verwendet, um das Singen mit der Reinigungslösung zu schrubben.")</f>
        <v>Ein Schwamm wird verwendet, um das Singen mit der Reinigungslösung zu schrubben.</v>
      </c>
    </row>
    <row r="3684">
      <c r="A3684" s="4" t="s">
        <v>4630</v>
      </c>
      <c r="B3684" s="4" t="s">
        <v>4634</v>
      </c>
      <c r="C3684" s="5" t="str">
        <f>IFERROR(__xludf.DUMMYFUNCTION("GOOGLETRANSLATE(B3684,""en"",""de"")"),"Der Wasserhahn ist eingeschaltet und wird verwendet, um die Spüle auszuspülen.")</f>
        <v>Der Wasserhahn ist eingeschaltet und wird verwendet, um die Spüle auszuspülen.</v>
      </c>
    </row>
    <row r="3685">
      <c r="A3685" s="4" t="s">
        <v>4635</v>
      </c>
      <c r="B3685" s="4" t="s">
        <v>4636</v>
      </c>
      <c r="C3685" s="5" t="str">
        <f>IFERROR(__xludf.DUMMYFUNCTION("GOOGLETRANSLATE(B3685,""en"",""de"")"),"Ein Baby in einem Bildschirm wird angezeigt und jemand trifft mit einem Hammer auf den Bildschirm.")</f>
        <v>Ein Baby in einem Bildschirm wird angezeigt und jemand trifft mit einem Hammer auf den Bildschirm.</v>
      </c>
    </row>
    <row r="3686">
      <c r="A3686" s="4" t="s">
        <v>4635</v>
      </c>
      <c r="B3686" s="4" t="s">
        <v>4637</v>
      </c>
      <c r="C3686" s="5" t="str">
        <f>IFERROR(__xludf.DUMMYFUNCTION("GOOGLETRANSLATE(B3686,""en"",""de"")"),"Der Mensch macht Skateboard und fügt das Board an verschiedenen Orten.")</f>
        <v>Der Mensch macht Skateboard und fügt das Board an verschiedenen Orten.</v>
      </c>
    </row>
    <row r="3687">
      <c r="A3687" s="4" t="s">
        <v>4635</v>
      </c>
      <c r="B3687" s="4" t="s">
        <v>4638</v>
      </c>
      <c r="C3687" s="5" t="str">
        <f>IFERROR(__xludf.DUMMYFUNCTION("GOOGLETRANSLATE(B3687,""en"",""de"")"),"Der Mann geht eine große Treppe und Fells hinunter.")</f>
        <v>Der Mann geht eine große Treppe und Fells hinunter.</v>
      </c>
    </row>
    <row r="3688">
      <c r="A3688" s="4" t="s">
        <v>4635</v>
      </c>
      <c r="B3688" s="4" t="s">
        <v>4639</v>
      </c>
      <c r="C3688" s="5" t="str">
        <f>IFERROR(__xludf.DUMMYFUNCTION("GOOGLETRANSLATE(B3688,""en"",""de"")"),"Der Mensch skateboard eine Zementschiene in Treppen.")</f>
        <v>Der Mensch skateboard eine Zementschiene in Treppen.</v>
      </c>
    </row>
    <row r="3689">
      <c r="A3689" s="4" t="s">
        <v>4640</v>
      </c>
      <c r="B3689" s="4" t="s">
        <v>4641</v>
      </c>
      <c r="C3689" s="5" t="str">
        <f>IFERROR(__xludf.DUMMYFUNCTION("GOOGLETRANSLATE(B3689,""en"",""de"")"),"Ein Reporter interviewt zwei Jungen und ein kleiner Junge.")</f>
        <v>Ein Reporter interviewt zwei Jungen und ein kleiner Junge.</v>
      </c>
    </row>
    <row r="3690">
      <c r="A3690" s="4" t="s">
        <v>4640</v>
      </c>
      <c r="B3690" s="4" t="s">
        <v>4642</v>
      </c>
      <c r="C3690" s="5" t="str">
        <f>IFERROR(__xludf.DUMMYFUNCTION("GOOGLETRANSLATE(B3690,""en"",""de"")"),"Dann spielen die großen Jungen und die kleinen Jungen Fußballtisch, während der Reporter das Interview fortsetzt.")</f>
        <v>Dann spielen die großen Jungen und die kleinen Jungen Fußballtisch, während der Reporter das Interview fortsetzt.</v>
      </c>
    </row>
    <row r="3691">
      <c r="A3691" s="4" t="s">
        <v>4643</v>
      </c>
      <c r="B3691" s="4" t="s">
        <v>4644</v>
      </c>
      <c r="C3691" s="5" t="str">
        <f>IFERROR(__xludf.DUMMYFUNCTION("GOOGLETRANSLATE(B3691,""en"",""de"")"),"Die jungen weiblichen Spieler rennen den Platz und wirften uns gegenseitig.")</f>
        <v>Die jungen weiblichen Spieler rennen den Platz und wirften uns gegenseitig.</v>
      </c>
    </row>
    <row r="3692">
      <c r="A3692" s="4" t="s">
        <v>4643</v>
      </c>
      <c r="B3692" s="4" t="s">
        <v>4645</v>
      </c>
      <c r="C3692" s="5" t="str">
        <f>IFERROR(__xludf.DUMMYFUNCTION("GOOGLETRANSLATE(B3692,""en"",""de"")"),"Einige der Spieler meiden den Ball, also rennen sie weiter herum.")</f>
        <v>Einige der Spieler meiden den Ball, also rennen sie weiter herum.</v>
      </c>
    </row>
    <row r="3693">
      <c r="A3693" s="4" t="s">
        <v>4643</v>
      </c>
      <c r="B3693" s="4" t="s">
        <v>4646</v>
      </c>
      <c r="C3693" s="5" t="str">
        <f>IFERROR(__xludf.DUMMYFUNCTION("GOOGLETRANSLATE(B3693,""en"",""de"")"),"Die Spielerinnen gingen, als sie den Ball von einer Seite zur nächsten traten.")</f>
        <v>Die Spielerinnen gingen, als sie den Ball von einer Seite zur nächsten traten.</v>
      </c>
    </row>
    <row r="3694">
      <c r="A3694" s="4" t="s">
        <v>4643</v>
      </c>
      <c r="B3694" s="4" t="s">
        <v>4647</v>
      </c>
      <c r="C3694" s="5" t="str">
        <f>IFERROR(__xludf.DUMMYFUNCTION("GOOGLETRANSLATE(B3694,""en"",""de"")"),"Die Spieler traten den Ball auf die nächste Person auf der gegenüberliegenden Seite des Platzes.")</f>
        <v>Die Spieler traten den Ball auf die nächste Person auf der gegenüberliegenden Seite des Platzes.</v>
      </c>
    </row>
    <row r="3695">
      <c r="A3695" s="4" t="s">
        <v>4648</v>
      </c>
      <c r="B3695" s="4" t="s">
        <v>4649</v>
      </c>
      <c r="C3695" s="5" t="str">
        <f>IFERROR(__xludf.DUMMYFUNCTION("GOOGLETRANSLATE(B3695,""en"",""de"")"),"Eine kleine Gruppe von Menschen ist gesehen, wie Fahrräder mit Fahrrädern nebeneinander fahren, während eine Frau in der Mitte steht und sie motiviert.")</f>
        <v>Eine kleine Gruppe von Menschen ist gesehen, wie Fahrräder mit Fahrrädern nebeneinander fahren, während eine Frau in der Mitte steht und sie motiviert.</v>
      </c>
    </row>
    <row r="3696">
      <c r="A3696" s="4" t="s">
        <v>4648</v>
      </c>
      <c r="B3696" s="4" t="s">
        <v>4650</v>
      </c>
      <c r="C3696" s="5" t="str">
        <f>IFERROR(__xludf.DUMMYFUNCTION("GOOGLETRANSLATE(B3696,""en"",""de"")"),"Die Menschen drehen sich weiterhin auf den Fahrrädern mit einigen Kämpfen und anderen, die weiter peddeln.")</f>
        <v>Die Menschen drehen sich weiterhin auf den Fahrrädern mit einigen Kämpfen und anderen, die weiter peddeln.</v>
      </c>
    </row>
    <row r="3697">
      <c r="A3697" s="4" t="s">
        <v>4651</v>
      </c>
      <c r="B3697" s="4" t="s">
        <v>4652</v>
      </c>
      <c r="C3697" s="5" t="str">
        <f>IFERROR(__xludf.DUMMYFUNCTION("GOOGLETRANSLATE(B3697,""en"",""de"")"),"Eine Frau wird gesehen, wie er reichlich Haarmengen vom Körper eines Hundes streift und das Fell in der Hand sammelt.")</f>
        <v>Eine Frau wird gesehen, wie er reichlich Haarmengen vom Körper eines Hundes streift und das Fell in der Hand sammelt.</v>
      </c>
    </row>
    <row r="3698">
      <c r="A3698" s="4" t="s">
        <v>4651</v>
      </c>
      <c r="B3698" s="4" t="s">
        <v>4653</v>
      </c>
      <c r="C3698" s="5" t="str">
        <f>IFERROR(__xludf.DUMMYFUNCTION("GOOGLETRANSLATE(B3698,""en"",""de"")"),"Der Hund bewegt sein Bein ein wenig, während die Frau weiter bürstet und zurückblickt, um ihre Bürste zu beobachten.")</f>
        <v>Der Hund bewegt sein Bein ein wenig, während die Frau weiter bürstet und zurückblickt, um ihre Bürste zu beobachten.</v>
      </c>
    </row>
    <row r="3699">
      <c r="A3699" s="4" t="s">
        <v>4654</v>
      </c>
      <c r="B3699" s="4" t="s">
        <v>4655</v>
      </c>
      <c r="C3699" s="5" t="str">
        <f>IFERROR(__xludf.DUMMYFUNCTION("GOOGLETRANSLATE(B3699,""en"",""de"")"),"Eine Person rennt eine Strecke hinunter und wirft einen Speer.")</f>
        <v>Eine Person rennt eine Strecke hinunter und wirft einen Speer.</v>
      </c>
    </row>
    <row r="3700">
      <c r="A3700" s="4" t="s">
        <v>4654</v>
      </c>
      <c r="B3700" s="4" t="s">
        <v>4656</v>
      </c>
      <c r="C3700" s="5" t="str">
        <f>IFERROR(__xludf.DUMMYFUNCTION("GOOGLETRANSLATE(B3700,""en"",""de"")"),"Eine andere Person rennt die Strecke hinunter und wirft einen Speer.")</f>
        <v>Eine andere Person rennt die Strecke hinunter und wirft einen Speer.</v>
      </c>
    </row>
    <row r="3701">
      <c r="A3701" s="4" t="s">
        <v>4657</v>
      </c>
      <c r="B3701" s="4" t="s">
        <v>1251</v>
      </c>
      <c r="C3701" s="5" t="str">
        <f>IFERROR(__xludf.DUMMYFUNCTION("GOOGLETRANSLATE(B3701,""en"",""de"")"),"Die Credits des Clips werden angezeigt.")</f>
        <v>Die Credits des Clips werden angezeigt.</v>
      </c>
    </row>
    <row r="3702">
      <c r="A3702" s="4" t="s">
        <v>4657</v>
      </c>
      <c r="B3702" s="4" t="s">
        <v>4658</v>
      </c>
      <c r="C3702" s="5" t="str">
        <f>IFERROR(__xludf.DUMMYFUNCTION("GOOGLETRANSLATE(B3702,""en"",""de"")"),"Die Dame peitscht ihre Haare von Seite zur anderen.")</f>
        <v>Die Dame peitscht ihre Haare von Seite zur anderen.</v>
      </c>
    </row>
    <row r="3703">
      <c r="A3703" s="4" t="s">
        <v>4657</v>
      </c>
      <c r="B3703" s="4" t="s">
        <v>4659</v>
      </c>
      <c r="C3703" s="5" t="str">
        <f>IFERROR(__xludf.DUMMYFUNCTION("GOOGLETRANSLATE(B3703,""en"",""de"")"),"Die Dame teilt ihre Haare.")</f>
        <v>Die Dame teilt ihre Haare.</v>
      </c>
    </row>
    <row r="3704">
      <c r="A3704" s="4" t="s">
        <v>4657</v>
      </c>
      <c r="B3704" s="4" t="s">
        <v>4660</v>
      </c>
      <c r="C3704" s="5" t="str">
        <f>IFERROR(__xludf.DUMMYFUNCTION("GOOGLETRANSLATE(B3704,""en"",""de"")"),"Die Dame streift sich die Haare, legt Gel auf ihre getrennten Haare und beginnt sich mit ihren Haaren zu flechten.")</f>
        <v>Die Dame streift sich die Haare, legt Gel auf ihre getrennten Haare und beginnt sich mit ihren Haaren zu flechten.</v>
      </c>
    </row>
    <row r="3705">
      <c r="A3705" s="4" t="s">
        <v>4657</v>
      </c>
      <c r="B3705" s="4" t="s">
        <v>4661</v>
      </c>
      <c r="C3705" s="5" t="str">
        <f>IFERROR(__xludf.DUMMYFUNCTION("GOOGLETRANSLATE(B3705,""en"",""de"")"),"Die Dame legt eine Haarbindung um die beiden Zöpfe.")</f>
        <v>Die Dame legt eine Haarbindung um die beiden Zöpfe.</v>
      </c>
    </row>
    <row r="3706">
      <c r="A3706" s="4" t="s">
        <v>4657</v>
      </c>
      <c r="B3706" s="4" t="s">
        <v>4662</v>
      </c>
      <c r="C3706" s="5" t="str">
        <f>IFERROR(__xludf.DUMMYFUNCTION("GOOGLETRANSLATE(B3706,""en"",""de"")"),"Die Dame legt einen Hut auf ihren Kopf.")</f>
        <v>Die Dame legt einen Hut auf ihren Kopf.</v>
      </c>
    </row>
    <row r="3707">
      <c r="A3707" s="4" t="s">
        <v>4657</v>
      </c>
      <c r="B3707" s="4" t="s">
        <v>4663</v>
      </c>
      <c r="C3707" s="5" t="str">
        <f>IFERROR(__xludf.DUMMYFUNCTION("GOOGLETRANSLATE(B3707,""en"",""de"")"),"Die Dame gibt ein Friedenszeichen und Wellen.")</f>
        <v>Die Dame gibt ein Friedenszeichen und Wellen.</v>
      </c>
    </row>
    <row r="3708">
      <c r="A3708" s="4" t="s">
        <v>4657</v>
      </c>
      <c r="B3708" s="4" t="s">
        <v>573</v>
      </c>
      <c r="C3708" s="5" t="str">
        <f>IFERROR(__xludf.DUMMYFUNCTION("GOOGLETRANSLATE(B3708,""en"",""de"")"),"Die Credits des Videos werden angezeigt.")</f>
        <v>Die Credits des Videos werden angezeigt.</v>
      </c>
    </row>
    <row r="3709">
      <c r="A3709" s="4" t="s">
        <v>4664</v>
      </c>
      <c r="B3709" s="4" t="s">
        <v>4665</v>
      </c>
      <c r="C3709" s="5" t="str">
        <f>IFERROR(__xludf.DUMMYFUNCTION("GOOGLETRANSLATE(B3709,""en"",""de"")"),"Die Menschen tanzen und choreografieren eine Routine.")</f>
        <v>Die Menschen tanzen und choreografieren eine Routine.</v>
      </c>
    </row>
    <row r="3710">
      <c r="A3710" s="4" t="s">
        <v>4664</v>
      </c>
      <c r="B3710" s="4" t="s">
        <v>4666</v>
      </c>
      <c r="C3710" s="5" t="str">
        <f>IFERROR(__xludf.DUMMYFUNCTION("GOOGLETRANSLATE(B3710,""en"",""de"")"),"Sie springen herum und klatschen am Ende.")</f>
        <v>Sie springen herum und klatschen am Ende.</v>
      </c>
    </row>
    <row r="3711">
      <c r="A3711" s="4" t="s">
        <v>4667</v>
      </c>
      <c r="B3711" s="4" t="s">
        <v>4668</v>
      </c>
      <c r="C3711" s="5" t="str">
        <f>IFERROR(__xludf.DUMMYFUNCTION("GOOGLETRANSLATE(B3711,""en"",""de"")"),"Ein Mann kniet in einem großen Feld um kleine Bäume und hält einen Stock.")</f>
        <v>Ein Mann kniet in einem großen Feld um kleine Bäume und hält einen Stock.</v>
      </c>
    </row>
    <row r="3712">
      <c r="A3712" s="4" t="s">
        <v>4667</v>
      </c>
      <c r="B3712" s="4" t="s">
        <v>4669</v>
      </c>
      <c r="C3712" s="5" t="str">
        <f>IFERROR(__xludf.DUMMYFUNCTION("GOOGLETRANSLATE(B3712,""en"",""de"")"),"Der Mann verschlagt dann den Stock am Gras und bewegt seine Arme zurück und den vierten Platz.")</f>
        <v>Der Mann verschlagt dann den Stock am Gras und bewegt seine Arme zurück und den vierten Platz.</v>
      </c>
    </row>
    <row r="3713">
      <c r="A3713" s="4" t="s">
        <v>4670</v>
      </c>
      <c r="B3713" s="4" t="s">
        <v>4671</v>
      </c>
      <c r="C3713" s="5" t="str">
        <f>IFERROR(__xludf.DUMMYFUNCTION("GOOGLETRANSLATE(B3713,""en"",""de"")"),"Eine Person, die in einem Kanu sitzt, strömt langsam einen Fluss hinunter.")</f>
        <v>Eine Person, die in einem Kanu sitzt, strömt langsam einen Fluss hinunter.</v>
      </c>
    </row>
    <row r="3714">
      <c r="A3714" s="4" t="s">
        <v>4670</v>
      </c>
      <c r="B3714" s="4" t="s">
        <v>4672</v>
      </c>
      <c r="C3714" s="5" t="str">
        <f>IFERROR(__xludf.DUMMYFUNCTION("GOOGLETRANSLATE(B3714,""en"",""de"")"),"Ein Schuss eines Vogels ist in der Ferne sowie in einem anderen Vogel zu sehen.")</f>
        <v>Ein Schuss eines Vogels ist in der Ferne sowie in einem anderen Vogel zu sehen.</v>
      </c>
    </row>
    <row r="3715">
      <c r="A3715" s="4" t="s">
        <v>4670</v>
      </c>
      <c r="B3715" s="4" t="s">
        <v>4673</v>
      </c>
      <c r="C3715" s="5" t="str">
        <f>IFERROR(__xludf.DUMMYFUNCTION("GOOGLETRANSLATE(B3715,""en"",""de"")"),"Das Kanu schwimmt weiter, während verschiedene Vogel im Wasser und in den Bäumen sitzen.")</f>
        <v>Das Kanu schwimmt weiter, während verschiedene Vogel im Wasser und in den Bäumen sitzen.</v>
      </c>
    </row>
    <row r="3716">
      <c r="A3716" s="4" t="s">
        <v>4674</v>
      </c>
      <c r="B3716" s="4" t="s">
        <v>4675</v>
      </c>
      <c r="C3716" s="5" t="str">
        <f>IFERROR(__xludf.DUMMYFUNCTION("GOOGLETRANSLATE(B3716,""en"",""de"")"),"Ein junger Mann sitzt in einem Raum, der mit drei anderen Leuten spricht, die als Nachrichtenanker dienen.")</f>
        <v>Ein junger Mann sitzt in einem Raum, der mit drei anderen Leuten spricht, die als Nachrichtenanker dienen.</v>
      </c>
    </row>
    <row r="3717">
      <c r="A3717" s="4" t="s">
        <v>4674</v>
      </c>
      <c r="B3717" s="4" t="s">
        <v>4676</v>
      </c>
      <c r="C3717" s="5" t="str">
        <f>IFERROR(__xludf.DUMMYFUNCTION("GOOGLETRANSLATE(B3717,""en"",""de"")"),"Das Video dreht sich dann in eine Bar und zeigt Obama, das ein Poolspiel spielt.")</f>
        <v>Das Video dreht sich dann in eine Bar und zeigt Obama, das ein Poolspiel spielt.</v>
      </c>
    </row>
    <row r="3718">
      <c r="A3718" s="4" t="s">
        <v>4674</v>
      </c>
      <c r="B3718" s="4" t="s">
        <v>4677</v>
      </c>
      <c r="C3718" s="5" t="str">
        <f>IFERROR(__xludf.DUMMYFUNCTION("GOOGLETRANSLATE(B3718,""en"",""de"")"),"Danach sprechen die vier Leute erneut über den ehemaligen Präsidenten und seine Kleidung.")</f>
        <v>Danach sprechen die vier Leute erneut über den ehemaligen Präsidenten und seine Kleidung.</v>
      </c>
    </row>
    <row r="3719">
      <c r="A3719" s="4" t="s">
        <v>4678</v>
      </c>
      <c r="B3719" s="4" t="s">
        <v>4679</v>
      </c>
      <c r="C3719" s="5" t="str">
        <f>IFERROR(__xludf.DUMMYFUNCTION("GOOGLETRANSLATE(B3719,""en"",""de"")"),"Ein Hinterhof erscheint mit mehreren Personen draußen.")</f>
        <v>Ein Hinterhof erscheint mit mehreren Personen draußen.</v>
      </c>
    </row>
    <row r="3720">
      <c r="A3720" s="4" t="s">
        <v>4678</v>
      </c>
      <c r="B3720" s="4" t="s">
        <v>4680</v>
      </c>
      <c r="C3720" s="5" t="str">
        <f>IFERROR(__xludf.DUMMYFUNCTION("GOOGLETRANSLATE(B3720,""en"",""de"")"),"Die Leute spielen ein Krokettenspiel, wechseln sich mit dem Fledermaus ab und schlägt die Bälle.")</f>
        <v>Die Leute spielen ein Krokettenspiel, wechseln sich mit dem Fledermaus ab und schlägt die Bälle.</v>
      </c>
    </row>
    <row r="3721">
      <c r="A3721" s="4" t="s">
        <v>4681</v>
      </c>
      <c r="B3721" s="4" t="s">
        <v>4682</v>
      </c>
      <c r="C3721" s="5" t="str">
        <f>IFERROR(__xludf.DUMMYFUNCTION("GOOGLETRANSLATE(B3721,""en"",""de"")"),"Die Leute tauchen in einen Schwimmbad ein.")</f>
        <v>Die Leute tauchen in einen Schwimmbad ein.</v>
      </c>
    </row>
    <row r="3722">
      <c r="A3722" s="4" t="s">
        <v>4681</v>
      </c>
      <c r="B3722" s="4" t="s">
        <v>4683</v>
      </c>
      <c r="C3722" s="5" t="str">
        <f>IFERROR(__xludf.DUMMYFUNCTION("GOOGLETRANSLATE(B3722,""en"",""de"")"),"Die Menschen stehen in einem Schwimmbad.")</f>
        <v>Die Menschen stehen in einem Schwimmbad.</v>
      </c>
    </row>
    <row r="3723">
      <c r="A3723" s="4" t="s">
        <v>4681</v>
      </c>
      <c r="B3723" s="4" t="s">
        <v>4684</v>
      </c>
      <c r="C3723" s="5" t="str">
        <f>IFERROR(__xludf.DUMMYFUNCTION("GOOGLETRANSLATE(B3723,""en"",""de"")"),"Mädchen tanzen auf dem Rasen in Schwimmanzügen.")</f>
        <v>Mädchen tanzen auf dem Rasen in Schwimmanzügen.</v>
      </c>
    </row>
    <row r="3724">
      <c r="A3724" s="4" t="s">
        <v>4681</v>
      </c>
      <c r="B3724" s="4" t="s">
        <v>4685</v>
      </c>
      <c r="C3724" s="5" t="str">
        <f>IFERROR(__xludf.DUMMYFUNCTION("GOOGLETRANSLATE(B3724,""en"",""de"")"),"Die Leute springen mit den Armen umeinander in einem Schwimmbad auf und ab.")</f>
        <v>Die Leute springen mit den Armen umeinander in einem Schwimmbad auf und ab.</v>
      </c>
    </row>
    <row r="3725">
      <c r="A3725" s="4" t="s">
        <v>4681</v>
      </c>
      <c r="B3725" s="4" t="s">
        <v>4686</v>
      </c>
      <c r="C3725" s="5" t="str">
        <f>IFERROR(__xludf.DUMMYFUNCTION("GOOGLETRANSLATE(B3725,""en"",""de"")"),"Die Leute beginnen im Schwimmbad Wasserball zu spielen.")</f>
        <v>Die Leute beginnen im Schwimmbad Wasserball zu spielen.</v>
      </c>
    </row>
    <row r="3726">
      <c r="A3726" s="4" t="s">
        <v>4687</v>
      </c>
      <c r="B3726" s="4" t="s">
        <v>4688</v>
      </c>
      <c r="C3726" s="5" t="str">
        <f>IFERROR(__xludf.DUMMYFUNCTION("GOOGLETRANSLATE(B3726,""en"",""de"")"),"Eine Zitrone sitzt auf einem Schneidebrett.")</f>
        <v>Eine Zitrone sitzt auf einem Schneidebrett.</v>
      </c>
    </row>
    <row r="3727">
      <c r="A3727" s="4" t="s">
        <v>4687</v>
      </c>
      <c r="B3727" s="4" t="s">
        <v>4689</v>
      </c>
      <c r="C3727" s="5" t="str">
        <f>IFERROR(__xludf.DUMMYFUNCTION("GOOGLETRANSLATE(B3727,""en"",""de"")"),"Jemand hackt die Zitrone und drückt sie in ein Glas.")</f>
        <v>Jemand hackt die Zitrone und drückt sie in ein Glas.</v>
      </c>
    </row>
    <row r="3728">
      <c r="A3728" s="4" t="s">
        <v>4687</v>
      </c>
      <c r="B3728" s="4" t="s">
        <v>4690</v>
      </c>
      <c r="C3728" s="5" t="str">
        <f>IFERROR(__xludf.DUMMYFUNCTION("GOOGLETRANSLATE(B3728,""en"",""de"")"),"Die andere Hälfte wird eingedrungen.")</f>
        <v>Die andere Hälfte wird eingedrungen.</v>
      </c>
    </row>
    <row r="3729">
      <c r="A3729" s="4" t="s">
        <v>4687</v>
      </c>
      <c r="B3729" s="4" t="s">
        <v>4691</v>
      </c>
      <c r="C3729" s="5" t="str">
        <f>IFERROR(__xludf.DUMMYFUNCTION("GOOGLETRANSLATE(B3729,""en"",""de"")"),"Sie fügen dann Zucker zur Mischung hinzu.")</f>
        <v>Sie fügen dann Zucker zur Mischung hinzu.</v>
      </c>
    </row>
    <row r="3730">
      <c r="A3730" s="4" t="s">
        <v>4692</v>
      </c>
      <c r="B3730" s="4" t="s">
        <v>4693</v>
      </c>
      <c r="C3730" s="5" t="str">
        <f>IFERROR(__xludf.DUMMYFUNCTION("GOOGLETRANSLATE(B3730,""en"",""de"")"),"Ein großer Kran sitzt auf dem Boden und führt zu einem Mann, der Werkzeuge an einer Wand verwendet.")</f>
        <v>Ein großer Kran sitzt auf dem Boden und führt zu einem Mann, der Werkzeuge an einer Wand verwendet.</v>
      </c>
    </row>
    <row r="3731">
      <c r="A3731" s="4" t="s">
        <v>4692</v>
      </c>
      <c r="B3731" s="4" t="s">
        <v>4694</v>
      </c>
      <c r="C3731" s="5" t="str">
        <f>IFERROR(__xludf.DUMMYFUNCTION("GOOGLETRANSLATE(B3731,""en"",""de"")"),"Die Kamera beobachtet weiterhin die Person, die arbeitet, während sie das Werkzeug verwendet, um Funken an der Wand zu erstellen.")</f>
        <v>Die Kamera beobachtet weiterhin die Person, die arbeitet, während sie das Werkzeug verwendet, um Funken an der Wand zu erstellen.</v>
      </c>
    </row>
    <row r="3732">
      <c r="A3732" s="4" t="s">
        <v>4695</v>
      </c>
      <c r="B3732" s="4" t="s">
        <v>4696</v>
      </c>
      <c r="C3732" s="5" t="str">
        <f>IFERROR(__xludf.DUMMYFUNCTION("GOOGLETRANSLATE(B3732,""en"",""de"")"),"Frauen rutschen in Gummi einen schneebedeckten Hügel hinunter.")</f>
        <v>Frauen rutschen in Gummi einen schneebedeckten Hügel hinunter.</v>
      </c>
    </row>
    <row r="3733">
      <c r="A3733" s="4" t="s">
        <v>4695</v>
      </c>
      <c r="B3733" s="4" t="s">
        <v>4697</v>
      </c>
      <c r="C3733" s="5" t="str">
        <f>IFERROR(__xludf.DUMMYFUNCTION("GOOGLETRANSLATE(B3733,""en"",""de"")"),"Frauen stehen und lachen und spazieren.")</f>
        <v>Frauen stehen und lachen und spazieren.</v>
      </c>
    </row>
    <row r="3734">
      <c r="A3734" s="4" t="s">
        <v>4698</v>
      </c>
      <c r="B3734" s="4" t="s">
        <v>4699</v>
      </c>
      <c r="C3734" s="5" t="str">
        <f>IFERROR(__xludf.DUMMYFUNCTION("GOOGLETRANSLATE(B3734,""en"",""de"")"),"Ein Babykalb läuft um eine Sandgrube herum, als ein Mann mit einem Pferd reitet und ein Seil schwingt, um ihn zu jagen.")</f>
        <v>Ein Babykalb läuft um eine Sandgrube herum, als ein Mann mit einem Pferd reitet und ein Seil schwingt, um ihn zu jagen.</v>
      </c>
    </row>
    <row r="3735">
      <c r="A3735" s="4" t="s">
        <v>4698</v>
      </c>
      <c r="B3735" s="4" t="s">
        <v>4700</v>
      </c>
      <c r="C3735" s="5" t="str">
        <f>IFERROR(__xludf.DUMMYFUNCTION("GOOGLETRANSLATE(B3735,""en"",""de"")"),"Der Mann verbindet das Kalb und fährt weg, während das Video zu Schüssen eines Pferdes führt, das einen Fahrer von seiner Rückenlehne tritt.")</f>
        <v>Der Mann verbindet das Kalb und fährt weg, während das Video zu Schüssen eines Pferdes führt, das einen Fahrer von seiner Rückenlehne tritt.</v>
      </c>
    </row>
    <row r="3736">
      <c r="A3736" s="4" t="s">
        <v>4698</v>
      </c>
      <c r="B3736" s="4" t="s">
        <v>4701</v>
      </c>
      <c r="C3736" s="5" t="str">
        <f>IFERROR(__xludf.DUMMYFUNCTION("GOOGLETRANSLATE(B3736,""en"",""de"")"),"Weitere Schüsse werden von Pferden gezeigt, die die Fahrer abgeben, während die Leute am Ende das Pferd greifen.")</f>
        <v>Weitere Schüsse werden von Pferden gezeigt, die die Fahrer abgeben, während die Leute am Ende das Pferd greifen.</v>
      </c>
    </row>
    <row r="3737">
      <c r="A3737" s="4" t="s">
        <v>4702</v>
      </c>
      <c r="B3737" s="4" t="s">
        <v>4703</v>
      </c>
      <c r="C3737" s="5" t="str">
        <f>IFERROR(__xludf.DUMMYFUNCTION("GOOGLETRANSLATE(B3737,""en"",""de"")"),"Die Leute laufen herum und spielen Dodge Ball.")</f>
        <v>Die Leute laufen herum und spielen Dodge Ball.</v>
      </c>
    </row>
    <row r="3738">
      <c r="A3738" s="4" t="s">
        <v>4702</v>
      </c>
      <c r="B3738" s="4" t="s">
        <v>4704</v>
      </c>
      <c r="C3738" s="5" t="str">
        <f>IFERROR(__xludf.DUMMYFUNCTION("GOOGLETRANSLATE(B3738,""en"",""de"")"),"Eine Frau hält eine Kamera, die ein Foto macht.")</f>
        <v>Eine Frau hält eine Kamera, die ein Foto macht.</v>
      </c>
    </row>
    <row r="3739">
      <c r="A3739" s="4" t="s">
        <v>4702</v>
      </c>
      <c r="B3739" s="4" t="s">
        <v>4705</v>
      </c>
      <c r="C3739" s="5" t="str">
        <f>IFERROR(__xludf.DUMMYFUNCTION("GOOGLETRANSLATE(B3739,""en"",""de"")"),"Eine Frau in einem blauen Hemd posiert mit einem Mann für ein Bild.")</f>
        <v>Eine Frau in einem blauen Hemd posiert mit einem Mann für ein Bild.</v>
      </c>
    </row>
    <row r="3740">
      <c r="A3740" s="4" t="s">
        <v>4706</v>
      </c>
      <c r="B3740" s="4" t="s">
        <v>4707</v>
      </c>
      <c r="C3740" s="5" t="str">
        <f>IFERROR(__xludf.DUMMYFUNCTION("GOOGLETRANSLATE(B3740,""en"",""de"")"),"Ein Mann steht auf einem Hügel.")</f>
        <v>Ein Mann steht auf einem Hügel.</v>
      </c>
    </row>
    <row r="3741">
      <c r="A3741" s="4" t="s">
        <v>4706</v>
      </c>
      <c r="B3741" s="4" t="s">
        <v>4708</v>
      </c>
      <c r="C3741" s="5" t="str">
        <f>IFERROR(__xludf.DUMMYFUNCTION("GOOGLETRANSLATE(B3741,""en"",""de"")"),"Eine Frau sitzt auf einem Schlitten.")</f>
        <v>Eine Frau sitzt auf einem Schlitten.</v>
      </c>
    </row>
    <row r="3742">
      <c r="A3742" s="4" t="s">
        <v>4706</v>
      </c>
      <c r="B3742" s="4" t="s">
        <v>4709</v>
      </c>
      <c r="C3742" s="5" t="str">
        <f>IFERROR(__xludf.DUMMYFUNCTION("GOOGLETRANSLATE(B3742,""en"",""de"")"),"Sie wird dann den Hügel hinunter freigesetzt und bewegt sich schnell.")</f>
        <v>Sie wird dann den Hügel hinunter freigesetzt und bewegt sich schnell.</v>
      </c>
    </row>
    <row r="3743">
      <c r="A3743" s="4" t="s">
        <v>4710</v>
      </c>
      <c r="B3743" s="4" t="s">
        <v>4711</v>
      </c>
      <c r="C3743" s="5" t="str">
        <f>IFERROR(__xludf.DUMMYFUNCTION("GOOGLETRANSLATE(B3743,""en"",""de"")"),"Mehrere Leute beobachten einen Mann in einem weißen Hut auf einem Tennisplatz.")</f>
        <v>Mehrere Leute beobachten einen Mann in einem weißen Hut auf einem Tennisplatz.</v>
      </c>
    </row>
    <row r="3744">
      <c r="A3744" s="4" t="s">
        <v>4710</v>
      </c>
      <c r="B3744" s="4" t="s">
        <v>4712</v>
      </c>
      <c r="C3744" s="5" t="str">
        <f>IFERROR(__xludf.DUMMYFUNCTION("GOOGLETRANSLATE(B3744,""en"",""de"")"),"Der Mann im weißen Hut hält seine Hand hoch.")</f>
        <v>Der Mann im weißen Hut hält seine Hand hoch.</v>
      </c>
    </row>
    <row r="3745">
      <c r="A3745" s="4" t="s">
        <v>4710</v>
      </c>
      <c r="B3745" s="4" t="s">
        <v>4713</v>
      </c>
      <c r="C3745" s="5" t="str">
        <f>IFERROR(__xludf.DUMMYFUNCTION("GOOGLETRANSLATE(B3745,""en"",""de"")"),"Der Ball wird bedient und er geht außerhalb des Platzes.")</f>
        <v>Der Ball wird bedient und er geht außerhalb des Platzes.</v>
      </c>
    </row>
    <row r="3746">
      <c r="A3746" s="4" t="s">
        <v>4710</v>
      </c>
      <c r="B3746" s="4" t="s">
        <v>4714</v>
      </c>
      <c r="C3746" s="5" t="str">
        <f>IFERROR(__xludf.DUMMYFUNCTION("GOOGLETRANSLATE(B3746,""en"",""de"")"),"Der Ball wird dem Mann im weißen Hut geworfen.")</f>
        <v>Der Ball wird dem Mann im weißen Hut geworfen.</v>
      </c>
    </row>
    <row r="3747">
      <c r="A3747" s="4" t="s">
        <v>4710</v>
      </c>
      <c r="B3747" s="4" t="s">
        <v>4715</v>
      </c>
      <c r="C3747" s="5" t="str">
        <f>IFERROR(__xludf.DUMMYFUNCTION("GOOGLETRANSLATE(B3747,""en"",""de"")"),"Der Mann im weißen Hut bereitet sich darauf vor, den Ball zu servieren.")</f>
        <v>Der Mann im weißen Hut bereitet sich darauf vor, den Ball zu servieren.</v>
      </c>
    </row>
    <row r="3748">
      <c r="A3748" s="4" t="s">
        <v>4716</v>
      </c>
      <c r="B3748" s="4" t="s">
        <v>4717</v>
      </c>
      <c r="C3748" s="5" t="str">
        <f>IFERROR(__xludf.DUMMYFUNCTION("GOOGLETRANSLATE(B3748,""en"",""de"")"),"Ein Mann raucht draußen mit seinem Freund eine Zigarette.")</f>
        <v>Ein Mann raucht draußen mit seinem Freund eine Zigarette.</v>
      </c>
    </row>
    <row r="3749">
      <c r="A3749" s="4" t="s">
        <v>4716</v>
      </c>
      <c r="B3749" s="4" t="s">
        <v>4718</v>
      </c>
      <c r="C3749" s="5" t="str">
        <f>IFERROR(__xludf.DUMMYFUNCTION("GOOGLETRANSLATE(B3749,""en"",""de"")"),"Sie sitzen nur entspannend rauchend.")</f>
        <v>Sie sitzen nur entspannend rauchend.</v>
      </c>
    </row>
    <row r="3750">
      <c r="A3750" s="4" t="s">
        <v>4716</v>
      </c>
      <c r="B3750" s="4" t="s">
        <v>4719</v>
      </c>
      <c r="C3750" s="5" t="str">
        <f>IFERROR(__xludf.DUMMYFUNCTION("GOOGLETRANSLATE(B3750,""en"",""de"")"),"Ein anderer Mann mit einer Kamera geht vorbei, während sie plaudern.")</f>
        <v>Ein anderer Mann mit einer Kamera geht vorbei, während sie plaudern.</v>
      </c>
    </row>
    <row r="3751">
      <c r="A3751" s="4" t="s">
        <v>4716</v>
      </c>
      <c r="B3751" s="4" t="s">
        <v>4720</v>
      </c>
      <c r="C3751" s="5" t="str">
        <f>IFERROR(__xludf.DUMMYFUNCTION("GOOGLETRANSLATE(B3751,""en"",""de"")"),"Es ist ein schöner Tag, um sich einfach zu entspannen und draußen mit Freunden rauchen.")</f>
        <v>Es ist ein schöner Tag, um sich einfach zu entspannen und draußen mit Freunden rauchen.</v>
      </c>
    </row>
    <row r="3752">
      <c r="A3752" s="4" t="s">
        <v>4721</v>
      </c>
      <c r="B3752" s="4" t="s">
        <v>4722</v>
      </c>
      <c r="C3752" s="5" t="str">
        <f>IFERROR(__xludf.DUMMYFUNCTION("GOOGLETRANSLATE(B3752,""en"",""de"")"),"Zwei Männer laufen auf dem Baseballfeld.")</f>
        <v>Zwei Männer laufen auf dem Baseballfeld.</v>
      </c>
    </row>
    <row r="3753">
      <c r="A3753" s="4" t="s">
        <v>4721</v>
      </c>
      <c r="B3753" s="4" t="s">
        <v>4723</v>
      </c>
      <c r="C3753" s="5" t="str">
        <f>IFERROR(__xludf.DUMMYFUNCTION("GOOGLETRANSLATE(B3753,""en"",""de"")"),"Ein Ball erscheint und fällt zu Home Teller zu Boden und ein Mann tritt ihn.")</f>
        <v>Ein Ball erscheint und fällt zu Home Teller zu Boden und ein Mann tritt ihn.</v>
      </c>
    </row>
    <row r="3754">
      <c r="A3754" s="4" t="s">
        <v>4721</v>
      </c>
      <c r="B3754" s="4" t="s">
        <v>4724</v>
      </c>
      <c r="C3754" s="5" t="str">
        <f>IFERROR(__xludf.DUMMYFUNCTION("GOOGLETRANSLATE(B3754,""en"",""de"")"),"Ein anderer Mann auf dem Feld fängt den Ball.")</f>
        <v>Ein anderer Mann auf dem Feld fängt den Ball.</v>
      </c>
    </row>
    <row r="3755">
      <c r="A3755" s="4" t="s">
        <v>4721</v>
      </c>
      <c r="B3755" s="4" t="s">
        <v>4725</v>
      </c>
      <c r="C3755" s="5" t="str">
        <f>IFERROR(__xludf.DUMMYFUNCTION("GOOGLETRANSLATE(B3755,""en"",""de"")"),"Der Mann mit dem Team des Balls rennt zu ihm.")</f>
        <v>Der Mann mit dem Team des Balls rennt zu ihm.</v>
      </c>
    </row>
    <row r="3756">
      <c r="A3756" s="4" t="s">
        <v>4721</v>
      </c>
      <c r="B3756" s="4" t="s">
        <v>4726</v>
      </c>
      <c r="C3756" s="5" t="str">
        <f>IFERROR(__xludf.DUMMYFUNCTION("GOOGLETRANSLATE(B3756,""en"",""de"")"),"Wir sehen das Spiel wieder Zeitlupe.")</f>
        <v>Wir sehen das Spiel wieder Zeitlupe.</v>
      </c>
    </row>
    <row r="3757">
      <c r="A3757" s="4" t="s">
        <v>4727</v>
      </c>
      <c r="B3757" s="4" t="s">
        <v>4728</v>
      </c>
      <c r="C3757" s="5" t="str">
        <f>IFERROR(__xludf.DUMMYFUNCTION("GOOGLETRANSLATE(B3757,""en"",""de"")"),"Wir sehen ein Mädchen mit einem Geflecht und schütteln dann lose Locken in ihren Haaren.")</f>
        <v>Wir sehen ein Mädchen mit einem Geflecht und schütteln dann lose Locken in ihren Haaren.</v>
      </c>
    </row>
    <row r="3758">
      <c r="A3758" s="4" t="s">
        <v>4727</v>
      </c>
      <c r="B3758" s="4" t="s">
        <v>4729</v>
      </c>
      <c r="C3758" s="5" t="str">
        <f>IFERROR(__xludf.DUMMYFUNCTION("GOOGLETRANSLATE(B3758,""en"",""de"")"),"Wir beobachten das Mädchen, wie sie sich zusammenrollt und ihre Haare flechtet.")</f>
        <v>Wir beobachten das Mädchen, wie sie sich zusammenrollt und ihre Haare flechtet.</v>
      </c>
    </row>
    <row r="3759">
      <c r="A3759" s="4" t="s">
        <v>4727</v>
      </c>
      <c r="B3759" s="4" t="s">
        <v>4730</v>
      </c>
      <c r="C3759" s="5" t="str">
        <f>IFERROR(__xludf.DUMMYFUNCTION("GOOGLETRANSLATE(B3759,""en"",""de"")"),"Das Mädchen, das ein Lockenstab benutzt und ihr Haar kräuselt.")</f>
        <v>Das Mädchen, das ein Lockenstab benutzt und ihr Haar kräuselt.</v>
      </c>
    </row>
    <row r="3760">
      <c r="A3760" s="4" t="s">
        <v>4727</v>
      </c>
      <c r="B3760" s="4" t="s">
        <v>4731</v>
      </c>
      <c r="C3760" s="5" t="str">
        <f>IFERROR(__xludf.DUMMYFUNCTION("GOOGLETRANSLATE(B3760,""en"",""de"")"),"Sie zögert dann und dreht ihr Haar in ein Seitengeflecht.")</f>
        <v>Sie zögert dann und dreht ihr Haar in ein Seitengeflecht.</v>
      </c>
    </row>
    <row r="3761">
      <c r="A3761" s="4" t="s">
        <v>4727</v>
      </c>
      <c r="B3761" s="4" t="s">
        <v>4732</v>
      </c>
      <c r="C3761" s="5" t="str">
        <f>IFERROR(__xludf.DUMMYFUNCTION("GOOGLETRANSLATE(B3761,""en"",""de"")"),"Das Mädchen zeigt uns den Hintergrund und rollt dann den Boden mit einem Lockenstab.")</f>
        <v>Das Mädchen zeigt uns den Hintergrund und rollt dann den Boden mit einem Lockenstab.</v>
      </c>
    </row>
    <row r="3762">
      <c r="A3762" s="4" t="s">
        <v>4727</v>
      </c>
      <c r="B3762" s="4" t="s">
        <v>4733</v>
      </c>
      <c r="C3762" s="5" t="str">
        <f>IFERROR(__xludf.DUMMYFUNCTION("GOOGLETRANSLATE(B3762,""en"",""de"")"),"Das Mädchen macht Gesichter und der Endbildschirm wird dann geladen.")</f>
        <v>Das Mädchen macht Gesichter und der Endbildschirm wird dann geladen.</v>
      </c>
    </row>
    <row r="3763">
      <c r="A3763" s="4" t="s">
        <v>4734</v>
      </c>
      <c r="B3763" s="4" t="s">
        <v>4735</v>
      </c>
      <c r="C3763" s="5" t="str">
        <f>IFERROR(__xludf.DUMMYFUNCTION("GOOGLETRANSLATE(B3763,""en"",""de"")"),"Die Kamera schwenkt den Hof einer Residenz.")</f>
        <v>Die Kamera schwenkt den Hof einer Residenz.</v>
      </c>
    </row>
    <row r="3764">
      <c r="A3764" s="4" t="s">
        <v>4734</v>
      </c>
      <c r="B3764" s="4" t="s">
        <v>4736</v>
      </c>
      <c r="C3764" s="5" t="str">
        <f>IFERROR(__xludf.DUMMYFUNCTION("GOOGLETRANSLATE(B3764,""en"",""de"")"),"Ein Mann, der einen weißen Hoodie und schwarzen Aufwärmen mit weißen Streifen trägt, mäht den Hof mit einem Push -Rasenmäher.")</f>
        <v>Ein Mann, der einen weißen Hoodie und schwarzen Aufwärmen mit weißen Streifen trägt, mäht den Hof mit einem Push -Rasenmäher.</v>
      </c>
    </row>
    <row r="3765">
      <c r="A3765" s="4" t="s">
        <v>4734</v>
      </c>
      <c r="B3765" s="4" t="s">
        <v>4737</v>
      </c>
      <c r="C3765" s="5" t="str">
        <f>IFERROR(__xludf.DUMMYFUNCTION("GOOGLETRANSLATE(B3765,""en"",""de"")"),"Die Kamera fängt einen Regensturm ein, der über den Hof beginnt und regnet, während der Mann den Hof weiter mähen.")</f>
        <v>Die Kamera fängt einen Regensturm ein, der über den Hof beginnt und regnet, während der Mann den Hof weiter mähen.</v>
      </c>
    </row>
    <row r="3766">
      <c r="A3766" s="4" t="s">
        <v>4738</v>
      </c>
      <c r="B3766" s="4" t="s">
        <v>4739</v>
      </c>
      <c r="C3766" s="5" t="str">
        <f>IFERROR(__xludf.DUMMYFUNCTION("GOOGLETRANSLATE(B3766,""en"",""de"")"),"Eine Frau flechtet ihre Haare.")</f>
        <v>Eine Frau flechtet ihre Haare.</v>
      </c>
    </row>
    <row r="3767">
      <c r="A3767" s="4" t="s">
        <v>4738</v>
      </c>
      <c r="B3767" s="4" t="s">
        <v>4740</v>
      </c>
      <c r="C3767" s="5" t="str">
        <f>IFERROR(__xludf.DUMMYFUNCTION("GOOGLETRANSLATE(B3767,""en"",""de"")"),"Sie überquert die Stränge.")</f>
        <v>Sie überquert die Stränge.</v>
      </c>
    </row>
    <row r="3768">
      <c r="A3768" s="4" t="s">
        <v>4738</v>
      </c>
      <c r="B3768" s="4" t="s">
        <v>4741</v>
      </c>
      <c r="C3768" s="5" t="str">
        <f>IFERROR(__xludf.DUMMYFUNCTION("GOOGLETRANSLATE(B3768,""en"",""de"")"),"Ihr Geflecht ist auf einer Seite fertig und sie fährt am nächsten fort.")</f>
        <v>Ihr Geflecht ist auf einer Seite fertig und sie fährt am nächsten fort.</v>
      </c>
    </row>
    <row r="3769">
      <c r="A3769" s="4" t="s">
        <v>4738</v>
      </c>
      <c r="B3769" s="4" t="s">
        <v>4742</v>
      </c>
      <c r="C3769" s="5" t="str">
        <f>IFERROR(__xludf.DUMMYFUNCTION("GOOGLETRANSLATE(B3769,""en"",""de"")"),"Überqueren und Hinzufügen von Haaren zum Geflecht.")</f>
        <v>Überqueren und Hinzufügen von Haaren zum Geflecht.</v>
      </c>
    </row>
    <row r="3770">
      <c r="A3770" s="4" t="s">
        <v>4738</v>
      </c>
      <c r="B3770" s="4" t="s">
        <v>4743</v>
      </c>
      <c r="C3770" s="5" t="str">
        <f>IFERROR(__xludf.DUMMYFUNCTION("GOOGLETRANSLATE(B3770,""en"",""de"")"),"Sie endet und dreht sich um und bringt den Rücken in einen Pferdeschwanz.")</f>
        <v>Sie endet und dreht sich um und bringt den Rücken in einen Pferdeschwanz.</v>
      </c>
    </row>
    <row r="3771">
      <c r="A3771" s="4" t="s">
        <v>4744</v>
      </c>
      <c r="B3771" s="4" t="s">
        <v>4745</v>
      </c>
      <c r="C3771" s="5" t="str">
        <f>IFERROR(__xludf.DUMMYFUNCTION("GOOGLETRANSLATE(B3771,""en"",""de"")"),"Ein Mann und eine Frau sitzen hinter einem Tisch.")</f>
        <v>Ein Mann und eine Frau sitzen hinter einem Tisch.</v>
      </c>
    </row>
    <row r="3772">
      <c r="A3772" s="4" t="s">
        <v>4744</v>
      </c>
      <c r="B3772" s="4" t="s">
        <v>4746</v>
      </c>
      <c r="C3772" s="5" t="str">
        <f>IFERROR(__xludf.DUMMYFUNCTION("GOOGLETRANSLATE(B3772,""en"",""de"")"),"Der Mann gießt ein Getränk in mehrere Gläser auf dem Tisch.")</f>
        <v>Der Mann gießt ein Getränk in mehrere Gläser auf dem Tisch.</v>
      </c>
    </row>
    <row r="3773">
      <c r="A3773" s="4" t="s">
        <v>4744</v>
      </c>
      <c r="B3773" s="4" t="s">
        <v>4747</v>
      </c>
      <c r="C3773" s="5" t="str">
        <f>IFERROR(__xludf.DUMMYFUNCTION("GOOGLETRANSLATE(B3773,""en"",""de"")"),"Eine Frau macht einen Drink auf dem Tisch.")</f>
        <v>Eine Frau macht einen Drink auf dem Tisch.</v>
      </c>
    </row>
    <row r="3774">
      <c r="A3774" s="4" t="s">
        <v>4744</v>
      </c>
      <c r="B3774" s="4" t="s">
        <v>4748</v>
      </c>
      <c r="C3774" s="5" t="str">
        <f>IFERROR(__xludf.DUMMYFUNCTION("GOOGLETRANSLATE(B3774,""en"",""de"")"),"Sie gießt eine blaue Flasche in das Getränk.")</f>
        <v>Sie gießt eine blaue Flasche in das Getränk.</v>
      </c>
    </row>
    <row r="3775">
      <c r="A3775" s="4" t="s">
        <v>4744</v>
      </c>
      <c r="B3775" s="4" t="s">
        <v>4749</v>
      </c>
      <c r="C3775" s="5" t="str">
        <f>IFERROR(__xludf.DUMMYFUNCTION("GOOGLETRANSLATE(B3775,""en"",""de"")"),"Sie gießt das Getränk in kleinere Gläser auf dem Tisch.")</f>
        <v>Sie gießt das Getränk in kleinere Gläser auf dem Tisch.</v>
      </c>
    </row>
    <row r="3776">
      <c r="A3776" s="4" t="s">
        <v>4750</v>
      </c>
      <c r="B3776" s="4" t="s">
        <v>4751</v>
      </c>
      <c r="C3776" s="5" t="str">
        <f>IFERROR(__xludf.DUMMYFUNCTION("GOOGLETRANSLATE(B3776,""en"",""de"")"),"Der Mann, der eine schwarze Weste trägt, ist allein auf einem Ring mit einem anderen Mann, der auf dem Boden kniet.")</f>
        <v>Der Mann, der eine schwarze Weste trägt, ist allein auf einem Ring mit einem anderen Mann, der auf dem Boden kniet.</v>
      </c>
    </row>
    <row r="3777">
      <c r="A3777" s="4" t="s">
        <v>4750</v>
      </c>
      <c r="B3777" s="4" t="s">
        <v>4752</v>
      </c>
      <c r="C3777" s="5" t="str">
        <f>IFERROR(__xludf.DUMMYFUNCTION("GOOGLETRANSLATE(B3777,""en"",""de"")"),"Zwei andere Männer steigen in den Ring und ringen den Mann in der Mitte.")</f>
        <v>Zwei andere Männer steigen in den Ring und ringen den Mann in der Mitte.</v>
      </c>
    </row>
    <row r="3778">
      <c r="A3778" s="4" t="s">
        <v>4750</v>
      </c>
      <c r="B3778" s="4" t="s">
        <v>4753</v>
      </c>
      <c r="C3778" s="5" t="str">
        <f>IFERROR(__xludf.DUMMYFUNCTION("GOOGLETRANSLATE(B3778,""en"",""de"")"),"Die Leute sind am Ring mit dem Wrest.")</f>
        <v>Die Leute sind am Ring mit dem Wrest.</v>
      </c>
    </row>
    <row r="3779">
      <c r="A3779" s="4" t="s">
        <v>4750</v>
      </c>
      <c r="B3779" s="4" t="s">
        <v>4754</v>
      </c>
      <c r="C3779" s="5" t="str">
        <f>IFERROR(__xludf.DUMMYFUNCTION("GOOGLETRANSLATE(B3779,""en"",""de"")"),"Drei Journalisten tragen Anzüge und beobachten die Männer im Ring.")</f>
        <v>Drei Journalisten tragen Anzüge und beobachten die Männer im Ring.</v>
      </c>
    </row>
    <row r="3780">
      <c r="A3780" s="4" t="s">
        <v>4755</v>
      </c>
      <c r="B3780" s="4" t="s">
        <v>4756</v>
      </c>
      <c r="C3780" s="5" t="str">
        <f>IFERROR(__xludf.DUMMYFUNCTION("GOOGLETRANSLATE(B3780,""en"",""de"")"),"Eine Einführung kommt auf den Bildschirm für ein Video über das Wickeln von Geschenken.")</f>
        <v>Eine Einführung kommt auf den Bildschirm für ein Video über das Wickeln von Geschenken.</v>
      </c>
    </row>
    <row r="3781">
      <c r="A3781" s="4" t="s">
        <v>4755</v>
      </c>
      <c r="B3781" s="4" t="s">
        <v>4757</v>
      </c>
      <c r="C3781" s="5" t="str">
        <f>IFERROR(__xludf.DUMMYFUNCTION("GOOGLETRANSLATE(B3781,""en"",""de"")"),"Mehrere Nahaufnahmen sind Shows von Wickelgeschenken und Geschenkverpackungsvorräten.")</f>
        <v>Mehrere Nahaufnahmen sind Shows von Wickelgeschenken und Geschenkverpackungsvorräten.</v>
      </c>
    </row>
    <row r="3782">
      <c r="A3782" s="4" t="s">
        <v>4755</v>
      </c>
      <c r="B3782" s="4" t="s">
        <v>4758</v>
      </c>
      <c r="C3782" s="5" t="str">
        <f>IFERROR(__xludf.DUMMYFUNCTION("GOOGLETRANSLATE(B3782,""en"",""de"")"),"Eine Person kommt auf den Bildschirm und beginnt, ein Geschenk zu wickeln.")</f>
        <v>Eine Person kommt auf den Bildschirm und beginnt, ein Geschenk zu wickeln.</v>
      </c>
    </row>
    <row r="3783">
      <c r="A3783" s="4" t="s">
        <v>4755</v>
      </c>
      <c r="B3783" s="4" t="s">
        <v>4759</v>
      </c>
      <c r="C3783" s="5" t="str">
        <f>IFERROR(__xludf.DUMMYFUNCTION("GOOGLETRANSLATE(B3783,""en"",""de"")"),"Sie dekoriert das Geschenk mit Bändern und Anhängen, um es zu verschönern.")</f>
        <v>Sie dekoriert das Geschenk mit Bändern und Anhängen, um es zu verschönern.</v>
      </c>
    </row>
    <row r="3784">
      <c r="A3784" s="4" t="s">
        <v>4755</v>
      </c>
      <c r="B3784" s="4" t="s">
        <v>4760</v>
      </c>
      <c r="C3784" s="5" t="str">
        <f>IFERROR(__xludf.DUMMYFUNCTION("GOOGLETRANSLATE(B3784,""en"",""de"")"),"Anschließend werden einige andere Geschenkideen für Geschenkverpackungen nacheinander angezeigt.")</f>
        <v>Anschließend werden einige andere Geschenkideen für Geschenkverpackungen nacheinander angezeigt.</v>
      </c>
    </row>
    <row r="3785">
      <c r="A3785" s="4" t="s">
        <v>4755</v>
      </c>
      <c r="B3785" s="4" t="s">
        <v>4761</v>
      </c>
      <c r="C3785" s="5" t="str">
        <f>IFERROR(__xludf.DUMMYFUNCTION("GOOGLETRANSLATE(B3785,""en"",""de"")"),"Das Video endet mit den auf dem Bildschirm angezeigten Schließkrediten.")</f>
        <v>Das Video endet mit den auf dem Bildschirm angezeigten Schließkrediten.</v>
      </c>
    </row>
    <row r="3786">
      <c r="A3786" s="4" t="s">
        <v>4762</v>
      </c>
      <c r="B3786" s="4" t="s">
        <v>4763</v>
      </c>
      <c r="C3786" s="5" t="str">
        <f>IFERROR(__xludf.DUMMYFUNCTION("GOOGLETRANSLATE(B3786,""en"",""de"")"),"Eine Kamera schwenkt auf eine lange Liste und führt zu einer Gruppe von Männern und einer, die mit allen spricht.")</f>
        <v>Eine Kamera schwenkt auf eine lange Liste und führt zu einer Gruppe von Männern und einer, die mit allen spricht.</v>
      </c>
    </row>
    <row r="3787">
      <c r="A3787" s="4" t="s">
        <v>4762</v>
      </c>
      <c r="B3787" s="4" t="s">
        <v>4764</v>
      </c>
      <c r="C3787" s="5" t="str">
        <f>IFERROR(__xludf.DUMMYFUNCTION("GOOGLETRANSLATE(B3787,""en"",""de"")"),"Zwei Männer schütteln die Hand und beginnen Farbe entlang eines langen Papiers zu rollen.")</f>
        <v>Zwei Männer schütteln die Hand und beginnen Farbe entlang eines langen Papiers zu rollen.</v>
      </c>
    </row>
    <row r="3788">
      <c r="A3788" s="4" t="s">
        <v>4762</v>
      </c>
      <c r="B3788" s="4" t="s">
        <v>4765</v>
      </c>
      <c r="C3788" s="5" t="str">
        <f>IFERROR(__xludf.DUMMYFUNCTION("GOOGLETRANSLATE(B3788,""en"",""de"")"),"Sie rennen das Papier an einer langen Wand und Fotos von Männern, die die Mauer messen.")</f>
        <v>Sie rennen das Papier an einer langen Wand und Fotos von Männern, die die Mauer messen.</v>
      </c>
    </row>
    <row r="3789">
      <c r="A3789" s="4" t="s">
        <v>4762</v>
      </c>
      <c r="B3789" s="4" t="s">
        <v>4766</v>
      </c>
      <c r="C3789" s="5" t="str">
        <f>IFERROR(__xludf.DUMMYFUNCTION("GOOGLETRANSLATE(B3789,""en"",""de"")"),"Die Männer stoßen einen anderen und schütteln die Hand, während die Männer weiterhin Notizen und Bilder mit hohen Punktzahlen aufschreiben.")</f>
        <v>Die Männer stoßen einen anderen und schütteln die Hand, während die Männer weiterhin Notizen und Bilder mit hohen Punktzahlen aufschreiben.</v>
      </c>
    </row>
    <row r="3790">
      <c r="A3790" s="4" t="s">
        <v>4767</v>
      </c>
      <c r="B3790" s="4" t="s">
        <v>4768</v>
      </c>
      <c r="C3790" s="5" t="str">
        <f>IFERROR(__xludf.DUMMYFUNCTION("GOOGLETRANSLATE(B3790,""en"",""de"")"),"Eine Frau sitzt vor ihrem Haus und wäscht ihre Kleidung in einer Wanne mit Wasser und Seife.")</f>
        <v>Eine Frau sitzt vor ihrem Haus und wäscht ihre Kleidung in einer Wanne mit Wasser und Seife.</v>
      </c>
    </row>
    <row r="3791">
      <c r="A3791" s="4" t="s">
        <v>4767</v>
      </c>
      <c r="B3791" s="4" t="s">
        <v>4769</v>
      </c>
      <c r="C3791" s="5" t="str">
        <f>IFERROR(__xludf.DUMMYFUNCTION("GOOGLETRANSLATE(B3791,""en"",""de"")"),"Sie entfernt die Kleidung aus der Wanne und nimmt sie dann in eine andere mit Wasser gefüllte Wanne.")</f>
        <v>Sie entfernt die Kleidung aus der Wanne und nimmt sie dann in eine andere mit Wasser gefüllte Wanne.</v>
      </c>
    </row>
    <row r="3792">
      <c r="A3792" s="4" t="s">
        <v>4767</v>
      </c>
      <c r="B3792" s="4" t="s">
        <v>4770</v>
      </c>
      <c r="C3792" s="5" t="str">
        <f>IFERROR(__xludf.DUMMYFUNCTION("GOOGLETRANSLATE(B3792,""en"",""de"")"),"Sie steckt den Wasserschlauch in die Wasserwanne.")</f>
        <v>Sie steckt den Wasserschlauch in die Wasserwanne.</v>
      </c>
    </row>
    <row r="3793">
      <c r="A3793" s="4" t="s">
        <v>4767</v>
      </c>
      <c r="B3793" s="4" t="s">
        <v>4771</v>
      </c>
      <c r="C3793" s="5" t="str">
        <f>IFERROR(__xludf.DUMMYFUNCTION("GOOGLETRANSLATE(B3793,""en"",""de"")"),"Sie fügt mehr Kleidung im Seifenwasser hinzu und wäscht die Kleidung weiter.")</f>
        <v>Sie fügt mehr Kleidung im Seifenwasser hinzu und wäscht die Kleidung weiter.</v>
      </c>
    </row>
    <row r="3794">
      <c r="A3794" s="4" t="s">
        <v>4772</v>
      </c>
      <c r="B3794" s="4" t="s">
        <v>4773</v>
      </c>
      <c r="C3794" s="5" t="str">
        <f>IFERROR(__xludf.DUMMYFUNCTION("GOOGLETRANSLATE(B3794,""en"",""de"")"),"Der alte Mann steht vor einem jungen Mann, der mit ihm spricht.")</f>
        <v>Der alte Mann steht vor einem jungen Mann, der mit ihm spricht.</v>
      </c>
    </row>
    <row r="3795">
      <c r="A3795" s="4" t="s">
        <v>4772</v>
      </c>
      <c r="B3795" s="4" t="s">
        <v>4774</v>
      </c>
      <c r="C3795" s="5" t="str">
        <f>IFERROR(__xludf.DUMMYFUNCTION("GOOGLETRANSLATE(B3795,""en"",""de"")"),"Der junge Mann befindet sich mitten auf der Bühne und seine sich ausbreitende weiße Cram an den Händen und Spaziergängen, die tiefe Beraths machen.")</f>
        <v>Der junge Mann befindet sich mitten auf der Bühne und seine sich ausbreitende weiße Cram an den Händen und Spaziergängen, die tiefe Beraths machen.</v>
      </c>
    </row>
    <row r="3796">
      <c r="A3796" s="4" t="s">
        <v>4772</v>
      </c>
      <c r="B3796" s="4" t="s">
        <v>4775</v>
      </c>
      <c r="C3796" s="5" t="str">
        <f>IFERROR(__xludf.DUMMYFUNCTION("GOOGLETRANSLATE(B3796,""en"",""de"")"),"Der Mensch ist bereit, das Gewicht mitten in einer weißen Bühne zu heben, und die Menschen hinter Jim klatschen.")</f>
        <v>Der Mensch ist bereit, das Gewicht mitten in einer weißen Bühne zu heben, und die Menschen hinter Jim klatschen.</v>
      </c>
    </row>
    <row r="3797">
      <c r="A3797" s="4" t="s">
        <v>4776</v>
      </c>
      <c r="B3797" s="4" t="s">
        <v>4777</v>
      </c>
      <c r="C3797" s="5" t="str">
        <f>IFERROR(__xludf.DUMMYFUNCTION("GOOGLETRANSLATE(B3797,""en"",""de"")"),"Eine Frau in einem lila Bodysuit und trägt ein Lätzchen auf ihrem Rücken nähert sich einem Holzbalkenstrahl vor einem großen Publikum, das sie anfeuert.")</f>
        <v>Eine Frau in einem lila Bodysuit und trägt ein Lätzchen auf ihrem Rücken nähert sich einem Holzbalkenstrahl vor einem großen Publikum, das sie anfeuert.</v>
      </c>
    </row>
    <row r="3798">
      <c r="A3798" s="4" t="s">
        <v>4776</v>
      </c>
      <c r="B3798" s="4" t="s">
        <v>4778</v>
      </c>
      <c r="C3798" s="5" t="str">
        <f>IFERROR(__xludf.DUMMYFUNCTION("GOOGLETRANSLATE(B3798,""en"",""de"")"),"Die Frau springt auf den Balancestrahl und ein Mann greift schnell nach der Rampe, mit der sie auf den Balancestrahl gesprungen ist, und entfernt sie aus der Gegend.")</f>
        <v>Die Frau springt auf den Balancestrahl und ein Mann greift schnell nach der Rampe, mit der sie auf den Balancestrahl gesprungen ist, und entfernt sie aus der Gegend.</v>
      </c>
    </row>
    <row r="3799">
      <c r="A3799" s="4" t="s">
        <v>4776</v>
      </c>
      <c r="B3799" s="4" t="s">
        <v>4779</v>
      </c>
      <c r="C3799" s="5" t="str">
        <f>IFERROR(__xludf.DUMMYFUNCTION("GOOGLETRANSLATE(B3799,""en"",""de"")"),"Die Frau beginnt ihre Routine, die Sprünge, Flips und kleine Tanzbewegungen umfasst.")</f>
        <v>Die Frau beginnt ihre Routine, die Sprünge, Flips und kleine Tanzbewegungen umfasst.</v>
      </c>
    </row>
    <row r="3800">
      <c r="A3800" s="4" t="s">
        <v>4776</v>
      </c>
      <c r="B3800" s="4" t="s">
        <v>4780</v>
      </c>
      <c r="C3800" s="5" t="str">
        <f>IFERROR(__xludf.DUMMYFUNCTION("GOOGLETRANSLATE(B3800,""en"",""de"")"),"Während der Routine flieht die Frau und verliert leicht ihr Gleichgewicht, erholt sich jedoch schnell und bleibt auf dem Balancestrahl.")</f>
        <v>Während der Routine flieht die Frau und verliert leicht ihr Gleichgewicht, erholt sich jedoch schnell und bleibt auf dem Balancestrahl.</v>
      </c>
    </row>
    <row r="3801">
      <c r="A3801" s="4" t="s">
        <v>4776</v>
      </c>
      <c r="B3801" s="4" t="s">
        <v>4781</v>
      </c>
      <c r="C3801" s="5" t="str">
        <f>IFERROR(__xludf.DUMMYFUNCTION("GOOGLETRANSLATE(B3801,""en"",""de"")"),"Die Frau geht am weitesten Ende des Balancestrahls, hat einen sehr konzentrierten Ausdruck auf ihrem Gesicht und sie macht schnell eine Reihe von Flips aus dem Balancestrahl, landet auf den Füßen, wirft ihre beiden Arme in die Luft und Wellen zum Wellen z"&amp;"ur Publikum, das wild jubelt.")</f>
        <v>Die Frau geht am weitesten Ende des Balancestrahls, hat einen sehr konzentrierten Ausdruck auf ihrem Gesicht und sie macht schnell eine Reihe von Flips aus dem Balancestrahl, landet auf den Füßen, wirft ihre beiden Arme in die Luft und Wellen zum Wellen zur Publikum, das wild jubelt.</v>
      </c>
    </row>
    <row r="3802">
      <c r="A3802" s="4" t="s">
        <v>4782</v>
      </c>
      <c r="B3802" s="4" t="s">
        <v>4783</v>
      </c>
      <c r="C3802" s="5" t="str">
        <f>IFERROR(__xludf.DUMMYFUNCTION("GOOGLETRANSLATE(B3802,""en"",""de"")"),"Die Leute spielen Baseball auf einem Grasfeld.")</f>
        <v>Die Leute spielen Baseball auf einem Grasfeld.</v>
      </c>
    </row>
    <row r="3803">
      <c r="A3803" s="4" t="s">
        <v>4782</v>
      </c>
      <c r="B3803" s="4" t="s">
        <v>4784</v>
      </c>
      <c r="C3803" s="5" t="str">
        <f>IFERROR(__xludf.DUMMYFUNCTION("GOOGLETRANSLATE(B3803,""en"",""de"")"),"Eine Person in einem blauen Hemd fällt runter und wirft den Baseball.")</f>
        <v>Eine Person in einem blauen Hemd fällt runter und wirft den Baseball.</v>
      </c>
    </row>
    <row r="3804">
      <c r="A3804" s="4" t="s">
        <v>4782</v>
      </c>
      <c r="B3804" s="4" t="s">
        <v>4785</v>
      </c>
      <c r="C3804" s="5" t="str">
        <f>IFERROR(__xludf.DUMMYFUNCTION("GOOGLETRANSLATE(B3804,""en"",""de"")"),"Das Publikum tanzt auf der Seite des Feldes.")</f>
        <v>Das Publikum tanzt auf der Seite des Feldes.</v>
      </c>
    </row>
    <row r="3805">
      <c r="A3805" s="4" t="s">
        <v>4786</v>
      </c>
      <c r="B3805" s="4" t="s">
        <v>4787</v>
      </c>
      <c r="C3805" s="5" t="str">
        <f>IFERROR(__xludf.DUMMYFUNCTION("GOOGLETRANSLATE(B3805,""en"",""de"")"),"Eine Person steht am Strand mit einem Fußball -Ball vor sich und einer Person, die in einem Tor steht.")</f>
        <v>Eine Person steht am Strand mit einem Fußball -Ball vor sich und einer Person, die in einem Tor steht.</v>
      </c>
    </row>
    <row r="3806">
      <c r="A3806" s="4" t="s">
        <v>4786</v>
      </c>
      <c r="B3806" s="4" t="s">
        <v>4788</v>
      </c>
      <c r="C3806" s="5" t="str">
        <f>IFERROR(__xludf.DUMMYFUNCTION("GOOGLETRANSLATE(B3806,""en"",""de"")"),"Die Person tritt dann mehrmals den Ball zum Torwart.")</f>
        <v>Die Person tritt dann mehrmals den Ball zum Torwart.</v>
      </c>
    </row>
    <row r="3807">
      <c r="A3807" s="4" t="s">
        <v>4786</v>
      </c>
      <c r="B3807" s="4" t="s">
        <v>4789</v>
      </c>
      <c r="C3807" s="5" t="str">
        <f>IFERROR(__xludf.DUMMYFUNCTION("GOOGLETRANSLATE(B3807,""en"",""de"")"),"Der Torwart versucht, die Schüsse zu blockieren, die auf das Netz abzielen.")</f>
        <v>Der Torwart versucht, die Schüsse zu blockieren, die auf das Netz abzielen.</v>
      </c>
    </row>
    <row r="3808">
      <c r="A3808" s="4" t="s">
        <v>4790</v>
      </c>
      <c r="B3808" s="4" t="s">
        <v>4791</v>
      </c>
      <c r="C3808" s="5" t="str">
        <f>IFERROR(__xludf.DUMMYFUNCTION("GOOGLETRANSLATE(B3808,""en"",""de"")"),"Ein Mann liegt im Bett und wacht auf.")</f>
        <v>Ein Mann liegt im Bett und wacht auf.</v>
      </c>
    </row>
    <row r="3809">
      <c r="A3809" s="4" t="s">
        <v>4790</v>
      </c>
      <c r="B3809" s="4" t="s">
        <v>4792</v>
      </c>
      <c r="C3809" s="5" t="str">
        <f>IFERROR(__xludf.DUMMYFUNCTION("GOOGLETRANSLATE(B3809,""en"",""de"")"),"Der Mann macht und trinkt eine Tasse Kaffee.")</f>
        <v>Der Mann macht und trinkt eine Tasse Kaffee.</v>
      </c>
    </row>
    <row r="3810">
      <c r="A3810" s="4" t="s">
        <v>4790</v>
      </c>
      <c r="B3810" s="4" t="s">
        <v>4793</v>
      </c>
      <c r="C3810" s="5" t="str">
        <f>IFERROR(__xludf.DUMMYFUNCTION("GOOGLETRANSLATE(B3810,""en"",""de"")"),"Der Mann trinkt aus der Tasse und wenn er den Tasse senkt, kleidet sich der Mann als Captain America an.")</f>
        <v>Der Mann trinkt aus der Tasse und wenn er den Tasse senkt, kleidet sich der Mann als Captain America an.</v>
      </c>
    </row>
    <row r="3811">
      <c r="A3811" s="4" t="s">
        <v>4794</v>
      </c>
      <c r="B3811" s="4" t="s">
        <v>4795</v>
      </c>
      <c r="C3811" s="5" t="str">
        <f>IFERROR(__xludf.DUMMYFUNCTION("GOOGLETRANSLATE(B3811,""en"",""de"")"),"Ein junges Mädchen wird vor einer großen Gruppe von Menschen eine Routine für Bauchtanz durchführen.")</f>
        <v>Ein junges Mädchen wird vor einer großen Gruppe von Menschen eine Routine für Bauchtanz durchführen.</v>
      </c>
    </row>
    <row r="3812">
      <c r="A3812" s="4" t="s">
        <v>4794</v>
      </c>
      <c r="B3812" s="4" t="s">
        <v>4796</v>
      </c>
      <c r="C3812" s="5" t="str">
        <f>IFERROR(__xludf.DUMMYFUNCTION("GOOGLETRANSLATE(B3812,""en"",""de"")"),"Das Mädchen schwingt weiterhin ihre Arme und Beine vor dem Publikum herum und endet, indem sie sich verbeugt und einen Kuss bläst.")</f>
        <v>Das Mädchen schwingt weiterhin ihre Arme und Beine vor dem Publikum herum und endet, indem sie sich verbeugt und einen Kuss bläst.</v>
      </c>
    </row>
    <row r="3813">
      <c r="A3813" s="4" t="s">
        <v>4797</v>
      </c>
      <c r="B3813" s="4" t="s">
        <v>4798</v>
      </c>
      <c r="C3813" s="5" t="str">
        <f>IFERROR(__xludf.DUMMYFUNCTION("GOOGLETRANSLATE(B3813,""en"",""de"")"),"Eine Frau, die hinter einem Bügelbrett steht, schnappt sich eine Hose.")</f>
        <v>Eine Frau, die hinter einem Bügelbrett steht, schnappt sich eine Hose.</v>
      </c>
    </row>
    <row r="3814">
      <c r="A3814" s="4" t="s">
        <v>4797</v>
      </c>
      <c r="B3814" s="4" t="s">
        <v>4799</v>
      </c>
      <c r="C3814" s="5" t="str">
        <f>IFERROR(__xludf.DUMMYFUNCTION("GOOGLETRANSLATE(B3814,""en"",""de"")"),"Sie fängt an, die Hose von innen nach außen zu bügeln.")</f>
        <v>Sie fängt an, die Hose von innen nach außen zu bügeln.</v>
      </c>
    </row>
    <row r="3815">
      <c r="A3815" s="4" t="s">
        <v>4797</v>
      </c>
      <c r="B3815" s="4" t="s">
        <v>4800</v>
      </c>
      <c r="C3815" s="5" t="str">
        <f>IFERROR(__xludf.DUMMYFUNCTION("GOOGLETRANSLATE(B3815,""en"",""de"")"),"Sie dreht die Hose richtig zurück und bügelt sie weiter.")</f>
        <v>Sie dreht die Hose richtig zurück und bügelt sie weiter.</v>
      </c>
    </row>
    <row r="3816">
      <c r="A3816" s="4" t="s">
        <v>4801</v>
      </c>
      <c r="B3816" s="4" t="s">
        <v>4802</v>
      </c>
      <c r="C3816" s="5" t="str">
        <f>IFERROR(__xludf.DUMMYFUNCTION("GOOGLETRANSLATE(B3816,""en"",""de"")"),"Ein Mann befindet sich auf einem Kanu mit einem Paddel in einem Schwimmbad.")</f>
        <v>Ein Mann befindet sich auf einem Kanu mit einem Paddel in einem Schwimmbad.</v>
      </c>
    </row>
    <row r="3817">
      <c r="A3817" s="4" t="s">
        <v>4801</v>
      </c>
      <c r="B3817" s="4" t="s">
        <v>4803</v>
      </c>
      <c r="C3817" s="5" t="str">
        <f>IFERROR(__xludf.DUMMYFUNCTION("GOOGLETRANSLATE(B3817,""en"",""de"")"),"Ein Mann schwenkt ein Kanu, das mit einem Ruder hilft.")</f>
        <v>Ein Mann schwenkt ein Kanu, das mit einem Ruder hilft.</v>
      </c>
    </row>
    <row r="3818">
      <c r="A3818" s="4" t="s">
        <v>4804</v>
      </c>
      <c r="B3818" s="4" t="s">
        <v>4805</v>
      </c>
      <c r="C3818" s="5" t="str">
        <f>IFERROR(__xludf.DUMMYFUNCTION("GOOGLETRANSLATE(B3818,""en"",""de"")"),"Ein Hund, der eine Tasse im Mund hält, springt auf einer Couch hoch.")</f>
        <v>Ein Hund, der eine Tasse im Mund hält, springt auf einer Couch hoch.</v>
      </c>
    </row>
    <row r="3819">
      <c r="A3819" s="4" t="s">
        <v>4804</v>
      </c>
      <c r="B3819" s="4" t="s">
        <v>4806</v>
      </c>
      <c r="C3819" s="5" t="str">
        <f>IFERROR(__xludf.DUMMYFUNCTION("GOOGLETRANSLATE(B3819,""en"",""de"")"),"Der Hund frisst etwas in der Tasse.")</f>
        <v>Der Hund frisst etwas in der Tasse.</v>
      </c>
    </row>
    <row r="3820">
      <c r="A3820" s="4" t="s">
        <v>4807</v>
      </c>
      <c r="B3820" s="4" t="s">
        <v>4808</v>
      </c>
      <c r="C3820" s="5" t="str">
        <f>IFERROR(__xludf.DUMMYFUNCTION("GOOGLETRANSLATE(B3820,""en"",""de"")"),"Die Leute sitzen in Stoßfänger.")</f>
        <v>Die Leute sitzen in Stoßfänger.</v>
      </c>
    </row>
    <row r="3821">
      <c r="A3821" s="4" t="s">
        <v>4807</v>
      </c>
      <c r="B3821" s="4" t="s">
        <v>4809</v>
      </c>
      <c r="C3821" s="5" t="str">
        <f>IFERROR(__xludf.DUMMYFUNCTION("GOOGLETRANSLATE(B3821,""en"",""de"")"),"Ein Mann an der Seite hält sich an der Seite eines der Autos.")</f>
        <v>Ein Mann an der Seite hält sich an der Seite eines der Autos.</v>
      </c>
    </row>
    <row r="3822">
      <c r="A3822" s="4" t="s">
        <v>4807</v>
      </c>
      <c r="B3822" s="4" t="s">
        <v>4810</v>
      </c>
      <c r="C3822" s="5" t="str">
        <f>IFERROR(__xludf.DUMMYFUNCTION("GOOGLETRANSLATE(B3822,""en"",""de"")"),"Er springt auf die Seite.")</f>
        <v>Er springt auf die Seite.</v>
      </c>
    </row>
    <row r="3823">
      <c r="A3823" s="4" t="s">
        <v>4811</v>
      </c>
      <c r="B3823" s="4" t="s">
        <v>4812</v>
      </c>
      <c r="C3823" s="5" t="str">
        <f>IFERROR(__xludf.DUMMYFUNCTION("GOOGLETRANSLATE(B3823,""en"",""de"")"),"Eine Person beginnt, Schnee von einer Windschutzscheibe auf einem Auto zu räumen.")</f>
        <v>Eine Person beginnt, Schnee von einer Windschutzscheibe auf einem Auto zu räumen.</v>
      </c>
    </row>
    <row r="3824">
      <c r="A3824" s="4" t="s">
        <v>4811</v>
      </c>
      <c r="B3824" s="4" t="s">
        <v>4813</v>
      </c>
      <c r="C3824" s="5" t="str">
        <f>IFERROR(__xludf.DUMMYFUNCTION("GOOGLETRANSLATE(B3824,""en"",""de"")"),"Sie putzen dann den Schnee von den Türen des Autos.")</f>
        <v>Sie putzen dann den Schnee von den Türen des Autos.</v>
      </c>
    </row>
    <row r="3825">
      <c r="A3825" s="4" t="s">
        <v>4811</v>
      </c>
      <c r="B3825" s="4" t="s">
        <v>4814</v>
      </c>
      <c r="C3825" s="5" t="str">
        <f>IFERROR(__xludf.DUMMYFUNCTION("GOOGLETRANSLATE(B3825,""en"",""de"")"),"Sie reinigen dann das hintere Fenster von einem Auto.")</f>
        <v>Sie reinigen dann das hintere Fenster von einem Auto.</v>
      </c>
    </row>
    <row r="3826">
      <c r="A3826" s="4" t="s">
        <v>4815</v>
      </c>
      <c r="B3826" s="4" t="s">
        <v>4816</v>
      </c>
      <c r="C3826" s="5" t="str">
        <f>IFERROR(__xludf.DUMMYFUNCTION("GOOGLETRANSLATE(B3826,""en"",""de"")"),"Ein Mann in einem roten Hemd spielt ein Drum -Set.")</f>
        <v>Ein Mann in einem roten Hemd spielt ein Drum -Set.</v>
      </c>
    </row>
    <row r="3827">
      <c r="A3827" s="4" t="s">
        <v>4815</v>
      </c>
      <c r="B3827" s="4" t="s">
        <v>4817</v>
      </c>
      <c r="C3827" s="5" t="str">
        <f>IFERROR(__xludf.DUMMYFUNCTION("GOOGLETRANSLATE(B3827,""en"",""de"")"),"Ein Mann in einem blauen Hemd setzt sich zusammen und redet.")</f>
        <v>Ein Mann in einem blauen Hemd setzt sich zusammen und redet.</v>
      </c>
    </row>
    <row r="3828">
      <c r="A3828" s="4" t="s">
        <v>4818</v>
      </c>
      <c r="B3828" s="4" t="s">
        <v>940</v>
      </c>
      <c r="C3828" s="5" t="str">
        <f>IFERROR(__xludf.DUMMYFUNCTION("GOOGLETRANSLATE(B3828,""en"",""de"")"),"Eine Frau spricht mit der Kamera.")</f>
        <v>Eine Frau spricht mit der Kamera.</v>
      </c>
    </row>
    <row r="3829">
      <c r="A3829" s="4" t="s">
        <v>4818</v>
      </c>
      <c r="B3829" s="4" t="s">
        <v>4819</v>
      </c>
      <c r="C3829" s="5" t="str">
        <f>IFERROR(__xludf.DUMMYFUNCTION("GOOGLETRANSLATE(B3829,""en"",""de"")"),"Die Frau beigert ein Kleidungsstück auf einem Bügelbrett.")</f>
        <v>Die Frau beigert ein Kleidungsstück auf einem Bügelbrett.</v>
      </c>
    </row>
    <row r="3830">
      <c r="A3830" s="4" t="s">
        <v>4818</v>
      </c>
      <c r="B3830" s="4" t="s">
        <v>4820</v>
      </c>
      <c r="C3830" s="5" t="str">
        <f>IFERROR(__xludf.DUMMYFUNCTION("GOOGLETRANSLATE(B3830,""en"",""de"")"),"Die Frau dreht das Kleidungsstück um.")</f>
        <v>Die Frau dreht das Kleidungsstück um.</v>
      </c>
    </row>
    <row r="3831">
      <c r="A3831" s="4" t="s">
        <v>4818</v>
      </c>
      <c r="B3831" s="4" t="s">
        <v>4821</v>
      </c>
      <c r="C3831" s="5" t="str">
        <f>IFERROR(__xludf.DUMMYFUNCTION("GOOGLETRANSLATE(B3831,""en"",""de"")"),"Die Frau bügelt weiterhin das Kleidungsstück.")</f>
        <v>Die Frau bügelt weiterhin das Kleidungsstück.</v>
      </c>
    </row>
    <row r="3832">
      <c r="A3832" s="4" t="s">
        <v>4822</v>
      </c>
      <c r="B3832" s="4" t="s">
        <v>4823</v>
      </c>
      <c r="C3832" s="5" t="str">
        <f>IFERROR(__xludf.DUMMYFUNCTION("GOOGLETRANSLATE(B3832,""en"",""de"")"),"Ein männlicher Athlet ist draußen in einem von Menschen umgebenen Feld und beginnt sich zu drehen und wirft einen Schuss.")</f>
        <v>Ein männlicher Athlet ist draußen in einem von Menschen umgebenen Feld und beginnt sich zu drehen und wirft einen Schuss.</v>
      </c>
    </row>
    <row r="3833">
      <c r="A3833" s="4" t="s">
        <v>4822</v>
      </c>
      <c r="B3833" s="4" t="s">
        <v>4824</v>
      </c>
      <c r="C3833" s="5" t="str">
        <f>IFERROR(__xludf.DUMMYFUNCTION("GOOGLETRANSLATE(B3833,""en"",""de"")"),"Die Menge beginnt zu jubeln und der Mann wirft seine Hände in Glück.")</f>
        <v>Die Menge beginnt zu jubeln und der Mann wirft seine Hände in Glück.</v>
      </c>
    </row>
    <row r="3834">
      <c r="A3834" s="4" t="s">
        <v>4825</v>
      </c>
      <c r="B3834" s="4" t="s">
        <v>4826</v>
      </c>
      <c r="C3834" s="5" t="str">
        <f>IFERROR(__xludf.DUMMYFUNCTION("GOOGLETRANSLATE(B3834,""en"",""de"")"),"Eine Dame steht in einem Badezimmer und redet.")</f>
        <v>Eine Dame steht in einem Badezimmer und redet.</v>
      </c>
    </row>
    <row r="3835">
      <c r="A3835" s="4" t="s">
        <v>4825</v>
      </c>
      <c r="B3835" s="4" t="s">
        <v>4827</v>
      </c>
      <c r="C3835" s="5" t="str">
        <f>IFERROR(__xludf.DUMMYFUNCTION("GOOGLETRANSLATE(B3835,""en"",""de"")"),"Die Dame zeigt der Kamera ihren Pinsel und Föhn.")</f>
        <v>Die Dame zeigt der Kamera ihren Pinsel und Föhn.</v>
      </c>
    </row>
    <row r="3836">
      <c r="A3836" s="4" t="s">
        <v>4825</v>
      </c>
      <c r="B3836" s="4" t="s">
        <v>4828</v>
      </c>
      <c r="C3836" s="5" t="str">
        <f>IFERROR(__xludf.DUMMYFUNCTION("GOOGLETRANSLATE(B3836,""en"",""de"")"),"Die Dame streift ihre Haare.")</f>
        <v>Die Dame streift ihre Haare.</v>
      </c>
    </row>
    <row r="3837">
      <c r="A3837" s="4" t="s">
        <v>4825</v>
      </c>
      <c r="B3837" s="4" t="s">
        <v>4829</v>
      </c>
      <c r="C3837" s="5" t="str">
        <f>IFERROR(__xludf.DUMMYFUNCTION("GOOGLETRANSLATE(B3837,""en"",""de"")"),"Die Dame bläst ihre Haare, während sie ihre Haare auf eine Bürste dreht.")</f>
        <v>Die Dame bläst ihre Haare, während sie ihre Haare auf eine Bürste dreht.</v>
      </c>
    </row>
    <row r="3838">
      <c r="A3838" s="4" t="s">
        <v>4825</v>
      </c>
      <c r="B3838" s="4" t="s">
        <v>4830</v>
      </c>
      <c r="C3838" s="5" t="str">
        <f>IFERROR(__xludf.DUMMYFUNCTION("GOOGLETRANSLATE(B3838,""en"",""de"")"),"Die Dame schaltet den Föhn aus und spricht mit der Kamera, während sie ihr Haar anpasst.")</f>
        <v>Die Dame schaltet den Föhn aus und spricht mit der Kamera, während sie ihr Haar anpasst.</v>
      </c>
    </row>
    <row r="3839">
      <c r="A3839" s="4" t="s">
        <v>4825</v>
      </c>
      <c r="B3839" s="4" t="s">
        <v>4831</v>
      </c>
      <c r="C3839" s="5" t="str">
        <f>IFERROR(__xludf.DUMMYFUNCTION("GOOGLETRANSLATE(B3839,""en"",""de"")"),"Die Dame legt ihren Pinsel fest und spricht mit der Kamera.")</f>
        <v>Die Dame legt ihren Pinsel fest und spricht mit der Kamera.</v>
      </c>
    </row>
    <row r="3840">
      <c r="A3840" s="4" t="s">
        <v>4832</v>
      </c>
      <c r="B3840" s="4" t="s">
        <v>4833</v>
      </c>
      <c r="C3840" s="5" t="str">
        <f>IFERROR(__xludf.DUMMYFUNCTION("GOOGLETRANSLATE(B3840,""en"",""de"")"),"Die Menschen sind auf Tribünen in einem Fitnessstudio versammelt.")</f>
        <v>Die Menschen sind auf Tribünen in einem Fitnessstudio versammelt.</v>
      </c>
    </row>
    <row r="3841">
      <c r="A3841" s="4" t="s">
        <v>4832</v>
      </c>
      <c r="B3841" s="4" t="s">
        <v>4834</v>
      </c>
      <c r="C3841" s="5" t="str">
        <f>IFERROR(__xludf.DUMMYFUNCTION("GOOGLETRANSLATE(B3841,""en"",""de"")"),"Teamkollegen winken mit einer weißen Flagge.")</f>
        <v>Teamkollegen winken mit einer weißen Flagge.</v>
      </c>
    </row>
    <row r="3842">
      <c r="A3842" s="4" t="s">
        <v>4832</v>
      </c>
      <c r="B3842" s="4" t="s">
        <v>4835</v>
      </c>
      <c r="C3842" s="5" t="str">
        <f>IFERROR(__xludf.DUMMYFUNCTION("GOOGLETRANSLATE(B3842,""en"",""de"")"),"Ein Basketballspiel beginnt mit dem Versuch, Körbe zu machen.")</f>
        <v>Ein Basketballspiel beginnt mit dem Versuch, Körbe zu machen.</v>
      </c>
    </row>
    <row r="3843">
      <c r="A3843" s="4" t="s">
        <v>4836</v>
      </c>
      <c r="B3843" s="4" t="s">
        <v>4837</v>
      </c>
      <c r="C3843" s="5" t="str">
        <f>IFERROR(__xludf.DUMMYFUNCTION("GOOGLETRANSLATE(B3843,""en"",""de"")"),"Ein Mann in einem Rodeo, der schuldet, führt einen Stunt aus.")</f>
        <v>Ein Mann in einem Rodeo, der schuldet, führt einen Stunt aus.</v>
      </c>
    </row>
    <row r="3844">
      <c r="A3844" s="4" t="s">
        <v>4836</v>
      </c>
      <c r="B3844" s="4" t="s">
        <v>4838</v>
      </c>
      <c r="C3844" s="5" t="str">
        <f>IFERROR(__xludf.DUMMYFUNCTION("GOOGLETRANSLATE(B3844,""en"",""de"")"),"Ein Mann fährt mit einem Pferd in einem Rodeo -Ring.")</f>
        <v>Ein Mann fährt mit einem Pferd in einem Rodeo -Ring.</v>
      </c>
    </row>
    <row r="3845">
      <c r="A3845" s="4" t="s">
        <v>4836</v>
      </c>
      <c r="B3845" s="4" t="s">
        <v>4839</v>
      </c>
      <c r="C3845" s="5" t="str">
        <f>IFERROR(__xludf.DUMMYFUNCTION("GOOGLETRANSLATE(B3845,""en"",""de"")"),"Der Mann lassos eine Kuh und wirft sie zu Boden.")</f>
        <v>Der Mann lassos eine Kuh und wirft sie zu Boden.</v>
      </c>
    </row>
    <row r="3846">
      <c r="A3846" s="4" t="s">
        <v>4836</v>
      </c>
      <c r="B3846" s="4" t="s">
        <v>4840</v>
      </c>
      <c r="C3846" s="5" t="str">
        <f>IFERROR(__xludf.DUMMYFUNCTION("GOOGLETRANSLATE(B3846,""en"",""de"")"),"Der Mann bindet dann die Kuh.")</f>
        <v>Der Mann bindet dann die Kuh.</v>
      </c>
    </row>
    <row r="3847">
      <c r="A3847" s="4" t="s">
        <v>4836</v>
      </c>
      <c r="B3847" s="4" t="s">
        <v>4841</v>
      </c>
      <c r="C3847" s="5" t="str">
        <f>IFERROR(__xludf.DUMMYFUNCTION("GOOGLETRANSLATE(B3847,""en"",""de"")"),"Der Mann steigt wieder auf sein Pferd und wir schwenken und sehen die Anzeigetafel.")</f>
        <v>Der Mann steigt wieder auf sein Pferd und wir schwenken und sehen die Anzeigetafel.</v>
      </c>
    </row>
    <row r="3848">
      <c r="A3848" s="4" t="s">
        <v>4842</v>
      </c>
      <c r="B3848" s="4" t="s">
        <v>4843</v>
      </c>
      <c r="C3848" s="5" t="str">
        <f>IFERROR(__xludf.DUMMYFUNCTION("GOOGLETRANSLATE(B3848,""en"",""de"")"),"Zwei kleine Kinder essen in McDonalds eine Eiskegel.")</f>
        <v>Zwei kleine Kinder essen in McDonalds eine Eiskegel.</v>
      </c>
    </row>
    <row r="3849">
      <c r="A3849" s="4" t="s">
        <v>4842</v>
      </c>
      <c r="B3849" s="4" t="s">
        <v>4844</v>
      </c>
      <c r="C3849" s="5" t="str">
        <f>IFERROR(__xludf.DUMMYFUNCTION("GOOGLETRANSLATE(B3849,""en"",""de"")"),"Sie lecken und glücklich, Eis zu haben.")</f>
        <v>Sie lecken und glücklich, Eis zu haben.</v>
      </c>
    </row>
    <row r="3850">
      <c r="A3850" s="4" t="s">
        <v>4842</v>
      </c>
      <c r="B3850" s="4" t="s">
        <v>4845</v>
      </c>
      <c r="C3850" s="5" t="str">
        <f>IFERROR(__xludf.DUMMYFUNCTION("GOOGLETRANSLATE(B3850,""en"",""de"")"),"Das kleine Mädchen spielt mit jemandem einen Boo und beide Gesichter haben Eis.")</f>
        <v>Das kleine Mädchen spielt mit jemandem einen Boo und beide Gesichter haben Eis.</v>
      </c>
    </row>
    <row r="3851">
      <c r="A3851" s="4" t="s">
        <v>4842</v>
      </c>
      <c r="B3851" s="4" t="s">
        <v>4846</v>
      </c>
      <c r="C3851" s="5" t="str">
        <f>IFERROR(__xludf.DUMMYFUNCTION("GOOGLETRANSLATE(B3851,""en"",""de"")"),"Sie genießen das Eis nur sehr.")</f>
        <v>Sie genießen das Eis nur sehr.</v>
      </c>
    </row>
    <row r="3852">
      <c r="A3852" s="4" t="s">
        <v>4847</v>
      </c>
      <c r="B3852" s="4" t="s">
        <v>4848</v>
      </c>
      <c r="C3852" s="5" t="str">
        <f>IFERROR(__xludf.DUMMYFUNCTION("GOOGLETRANSLATE(B3852,""en"",""de"")"),"Ein Turner wird gezeigt, wie ein Turner auf ungleichmäßige Bars zurück und Vierten schwingt.")</f>
        <v>Ein Turner wird gezeigt, wie ein Turner auf ungleichmäßige Bars zurück und Vierten schwingt.</v>
      </c>
    </row>
    <row r="3853">
      <c r="A3853" s="4" t="s">
        <v>4847</v>
      </c>
      <c r="B3853" s="4" t="s">
        <v>4849</v>
      </c>
      <c r="C3853" s="5" t="str">
        <f>IFERROR(__xludf.DUMMYFUNCTION("GOOGLETRANSLATE(B3853,""en"",""de"")"),"Er führt eine Routine durch, die herumschwingt, während Hunderte von Menschen zuschauen.")</f>
        <v>Er führt eine Routine durch, die herumschwingt, während Hunderte von Menschen zuschauen.</v>
      </c>
    </row>
    <row r="3854">
      <c r="A3854" s="4" t="s">
        <v>4847</v>
      </c>
      <c r="B3854" s="4" t="s">
        <v>4850</v>
      </c>
      <c r="C3854" s="5" t="str">
        <f>IFERROR(__xludf.DUMMYFUNCTION("GOOGLETRANSLATE(B3854,""en"",""de"")"),"Er endet, indem er seine Arme in die Luft steckt und sich vor dem Publikum verbeugt.")</f>
        <v>Er endet, indem er seine Arme in die Luft steckt und sich vor dem Publikum verbeugt.</v>
      </c>
    </row>
    <row r="3855">
      <c r="A3855" s="4" t="s">
        <v>4851</v>
      </c>
      <c r="B3855" s="4" t="s">
        <v>4852</v>
      </c>
      <c r="C3855" s="5" t="str">
        <f>IFERROR(__xludf.DUMMYFUNCTION("GOOGLETRANSLATE(B3855,""en"",""de"")"),"Zwei Männer rollen auf einem Bürgersteig einer ruhigen Straße.")</f>
        <v>Zwei Männer rollen auf einem Bürgersteig einer ruhigen Straße.</v>
      </c>
    </row>
    <row r="3856">
      <c r="A3856" s="4" t="s">
        <v>4851</v>
      </c>
      <c r="B3856" s="4" t="s">
        <v>4853</v>
      </c>
      <c r="C3856" s="5" t="str">
        <f>IFERROR(__xludf.DUMMYFUNCTION("GOOGLETRANSLATE(B3856,""en"",""de"")"),"Auf einer Straße mit vielen Bäumen gibt es vier junge Männer und Frauen -Rollerbladungen.")</f>
        <v>Auf einer Straße mit vielen Bäumen gibt es vier junge Männer und Frauen -Rollerbladungen.</v>
      </c>
    </row>
    <row r="3857">
      <c r="A3857" s="4" t="s">
        <v>4851</v>
      </c>
      <c r="B3857" s="4" t="s">
        <v>4854</v>
      </c>
      <c r="C3857" s="5" t="str">
        <f>IFERROR(__xludf.DUMMYFUNCTION("GOOGLETRANSLATE(B3857,""en"",""de"")"),"In einem Stadion und auf einem Bürgersteig von einem Brunnen gibt es einige Profis.")</f>
        <v>In einem Stadion und auf einem Bürgersteig von einem Brunnen gibt es einige Profis.</v>
      </c>
    </row>
    <row r="3858">
      <c r="A3858" s="4" t="s">
        <v>4851</v>
      </c>
      <c r="B3858" s="4" t="s">
        <v>4855</v>
      </c>
      <c r="C3858" s="5" t="str">
        <f>IFERROR(__xludf.DUMMYFUNCTION("GOOGLETRANSLATE(B3858,""en"",""de"")"),"Ein Mann springt über einen geketteten Bürgersteig, während er Rollerblading.")</f>
        <v>Ein Mann springt über einen geketteten Bürgersteig, während er Rollerblading.</v>
      </c>
    </row>
    <row r="3859">
      <c r="A3859" s="4" t="s">
        <v>4851</v>
      </c>
      <c r="B3859" s="4" t="s">
        <v>4856</v>
      </c>
      <c r="C3859" s="5" t="str">
        <f>IFERROR(__xludf.DUMMYFUNCTION("GOOGLETRANSLATE(B3859,""en"",""de"")"),"Ein paar Rollerbladungen auf einem Bürgersteig und ein anderer Mann springt über eine Barrikade auf einen Bürgersteig.")</f>
        <v>Ein paar Rollerbladungen auf einem Bürgersteig und ein anderer Mann springt über eine Barrikade auf einen Bürgersteig.</v>
      </c>
    </row>
    <row r="3860">
      <c r="A3860" s="4" t="s">
        <v>4851</v>
      </c>
      <c r="B3860" s="4" t="s">
        <v>4857</v>
      </c>
      <c r="C3860" s="5" t="str">
        <f>IFERROR(__xludf.DUMMYFUNCTION("GOOGLETRANSLATE(B3860,""en"",""de"")"),"Mehrere Personen rollen auf dem Bürgersteig.")</f>
        <v>Mehrere Personen rollen auf dem Bürgersteig.</v>
      </c>
    </row>
    <row r="3861">
      <c r="A3861" s="4" t="s">
        <v>4851</v>
      </c>
      <c r="B3861" s="4" t="s">
        <v>4858</v>
      </c>
      <c r="C3861" s="5" t="str">
        <f>IFERROR(__xludf.DUMMYFUNCTION("GOOGLETRANSLATE(B3861,""en"",""de"")"),"Es gibt einige Leute, die an einem Rollerblading -Wettbewerb teilnehmen.")</f>
        <v>Es gibt einige Leute, die an einem Rollerblading -Wettbewerb teilnehmen.</v>
      </c>
    </row>
    <row r="3862">
      <c r="A3862" s="4" t="s">
        <v>4851</v>
      </c>
      <c r="B3862" s="4" t="s">
        <v>4859</v>
      </c>
      <c r="C3862" s="5" t="str">
        <f>IFERROR(__xludf.DUMMYFUNCTION("GOOGLETRANSLATE(B3862,""en"",""de"")"),"Es gibt einige Männer, die mit sehr hoher Geschwindigkeit durch Straßen rollen.")</f>
        <v>Es gibt einige Männer, die mit sehr hoher Geschwindigkeit durch Straßen rollen.</v>
      </c>
    </row>
    <row r="3863">
      <c r="A3863" s="4" t="s">
        <v>4851</v>
      </c>
      <c r="B3863" s="4" t="s">
        <v>4860</v>
      </c>
      <c r="C3863" s="5" t="str">
        <f>IFERROR(__xludf.DUMMYFUNCTION("GOOGLETRANSLATE(B3863,""en"",""de"")"),"Einige von ihnen steigen mit ihren Rollschaufeln Treppen.")</f>
        <v>Einige von ihnen steigen mit ihren Rollschaufeln Treppen.</v>
      </c>
    </row>
    <row r="3864">
      <c r="A3864" s="4" t="s">
        <v>4851</v>
      </c>
      <c r="B3864" s="4" t="s">
        <v>4861</v>
      </c>
      <c r="C3864" s="5" t="str">
        <f>IFERROR(__xludf.DUMMYFUNCTION("GOOGLETRANSLATE(B3864,""en"",""de"")"),"Einige Männer rollen durch eine geschäftige Stadt und Brücken.")</f>
        <v>Einige Männer rollen durch eine geschäftige Stadt und Brücken.</v>
      </c>
    </row>
    <row r="3865">
      <c r="A3865" s="4" t="s">
        <v>4851</v>
      </c>
      <c r="B3865" s="4" t="s">
        <v>4862</v>
      </c>
      <c r="C3865" s="5" t="str">
        <f>IFERROR(__xludf.DUMMYFUNCTION("GOOGLETRANSLATE(B3865,""en"",""de"")"),"Es gibt eine Gruppe von kleinen Kindern zusammen.")</f>
        <v>Es gibt eine Gruppe von kleinen Kindern zusammen.</v>
      </c>
    </row>
    <row r="3866">
      <c r="A3866" s="4" t="s">
        <v>4851</v>
      </c>
      <c r="B3866" s="4" t="s">
        <v>4863</v>
      </c>
      <c r="C3866" s="5" t="str">
        <f>IFERROR(__xludf.DUMMYFUNCTION("GOOGLETRANSLATE(B3866,""en"",""de"")"),"Ein Mann springt über eine Wand, während er Rollerblading.")</f>
        <v>Ein Mann springt über eine Wand, während er Rollerblading.</v>
      </c>
    </row>
    <row r="3867">
      <c r="A3867" s="4" t="s">
        <v>4851</v>
      </c>
      <c r="B3867" s="4" t="s">
        <v>4864</v>
      </c>
      <c r="C3867" s="5" t="str">
        <f>IFERROR(__xludf.DUMMYFUNCTION("GOOGLETRANSLATE(B3867,""en"",""de"")"),"Eine Person taucht direkt in Wasser ein, als er mit hoher Geschwindigkeit zur Rollerbladung kommt.")</f>
        <v>Eine Person taucht direkt in Wasser ein, als er mit hoher Geschwindigkeit zur Rollerbladung kommt.</v>
      </c>
    </row>
    <row r="3868">
      <c r="A3868" s="4" t="s">
        <v>4851</v>
      </c>
      <c r="B3868" s="4" t="s">
        <v>4865</v>
      </c>
      <c r="C3868" s="5" t="str">
        <f>IFERROR(__xludf.DUMMYFUNCTION("GOOGLETRANSLATE(B3868,""en"",""de"")"),"Die Leute rollen durch die Stadt und gehen die Treppe hinunter und sogar auf Gehwegen.")</f>
        <v>Die Leute rollen durch die Stadt und gehen die Treppe hinunter und sogar auf Gehwegen.</v>
      </c>
    </row>
    <row r="3869">
      <c r="A3869" s="4" t="s">
        <v>4851</v>
      </c>
      <c r="B3869" s="4" t="s">
        <v>4866</v>
      </c>
      <c r="C3869" s="5" t="str">
        <f>IFERROR(__xludf.DUMMYFUNCTION("GOOGLETRANSLATE(B3869,""en"",""de"")"),"Zwei Jungen springen in eine S -geformte Struktur, während sie Rollerblading.")</f>
        <v>Zwei Jungen springen in eine S -geformte Struktur, während sie Rollerblading.</v>
      </c>
    </row>
    <row r="3870">
      <c r="A3870" s="4" t="s">
        <v>4851</v>
      </c>
      <c r="B3870" s="4" t="s">
        <v>4867</v>
      </c>
      <c r="C3870" s="5" t="str">
        <f>IFERROR(__xludf.DUMMYFUNCTION("GOOGLETRANSLATE(B3870,""en"",""de"")"),"Zwei Personen machen Achter an einer Brücke, während sie eine Rollenklinge rollen.")</f>
        <v>Zwei Personen machen Achter an einer Brücke, während sie eine Rollenklinge rollen.</v>
      </c>
    </row>
    <row r="3871">
      <c r="A3871" s="4" t="s">
        <v>4851</v>
      </c>
      <c r="B3871" s="4" t="s">
        <v>4868</v>
      </c>
      <c r="C3871" s="5" t="str">
        <f>IFERROR(__xludf.DUMMYFUNCTION("GOOGLETRANSLATE(B3871,""en"",""de"")"),"Eine Person geht stetig beim Rollerblading.")</f>
        <v>Eine Person geht stetig beim Rollerblading.</v>
      </c>
    </row>
    <row r="3872">
      <c r="A3872" s="4" t="s">
        <v>4869</v>
      </c>
      <c r="B3872" s="4" t="s">
        <v>4870</v>
      </c>
      <c r="C3872" s="5" t="str">
        <f>IFERROR(__xludf.DUMMYFUNCTION("GOOGLETRANSLATE(B3872,""en"",""de"")"),"Zuerst zeigt uns die Frau, wie sie mit ihrem Afro aussieht, bevor sie ein Bug -Brötchen macht.")</f>
        <v>Zuerst zeigt uns die Frau, wie sie mit ihrem Afro aussieht, bevor sie ein Bug -Brötchen macht.</v>
      </c>
    </row>
    <row r="3873">
      <c r="A3873" s="4" t="s">
        <v>4869</v>
      </c>
      <c r="B3873" s="4" t="s">
        <v>4871</v>
      </c>
      <c r="C3873" s="5" t="str">
        <f>IFERROR(__xludf.DUMMYFUNCTION("GOOGLETRANSLATE(B3873,""en"",""de"")"),"Zuerst springt sie ihr Haar mit Wasser aus einer Sprühflasche.")</f>
        <v>Zuerst springt sie ihr Haar mit Wasser aus einer Sprühflasche.</v>
      </c>
    </row>
    <row r="3874">
      <c r="A3874" s="4" t="s">
        <v>4869</v>
      </c>
      <c r="B3874" s="4" t="s">
        <v>4872</v>
      </c>
      <c r="C3874" s="5" t="str">
        <f>IFERROR(__xludf.DUMMYFUNCTION("GOOGLETRANSLATE(B3874,""en"",""de"")"),"Dann fügt sie ihren Haaren Feuchtigkeitscreme hinzu und bindet einen Pferdeschwanzhalter auf ihre Haare.")</f>
        <v>Dann fügt sie ihren Haaren Feuchtigkeitscreme hinzu und bindet einen Pferdeschwanzhalter auf ihre Haare.</v>
      </c>
    </row>
    <row r="3875">
      <c r="A3875" s="4" t="s">
        <v>4869</v>
      </c>
      <c r="B3875" s="4" t="s">
        <v>4873</v>
      </c>
      <c r="C3875" s="5" t="str">
        <f>IFERROR(__xludf.DUMMYFUNCTION("GOOGLETRANSLATE(B3875,""en"",""de"")"),"Dann dreht sie die Enden ihres Haares, um ein kleines Brötchen zu machen, und sie wickelt es um, um es sicher zu machen.")</f>
        <v>Dann dreht sie die Enden ihres Haares, um ein kleines Brötchen zu machen, und sie wickelt es um, um es sicher zu machen.</v>
      </c>
    </row>
    <row r="3876">
      <c r="A3876" s="4" t="s">
        <v>4869</v>
      </c>
      <c r="B3876" s="4" t="s">
        <v>4874</v>
      </c>
      <c r="C3876" s="5" t="str">
        <f>IFERROR(__xludf.DUMMYFUNCTION("GOOGLETRANSLATE(B3876,""en"",""de"")"),"Dann dreht sie leicht das Flechten und benutzt so viele Bobby -Stifte, wie sie es braucht.")</f>
        <v>Dann dreht sie leicht das Flechten und benutzt so viele Bobby -Stifte, wie sie es braucht.</v>
      </c>
    </row>
    <row r="3877">
      <c r="A3877" s="4" t="s">
        <v>4869</v>
      </c>
      <c r="B3877" s="4" t="s">
        <v>4875</v>
      </c>
      <c r="C3877" s="5" t="str">
        <f>IFERROR(__xludf.DUMMYFUNCTION("GOOGLETRANSLATE(B3877,""en"",""de"")"),"Schließlich legt sie Gel an ihre Ränder, um sie niederzulegen, und sie legt ein Kopftuch an ihre Ränder.")</f>
        <v>Schließlich legt sie Gel an ihre Ränder, um sie niederzulegen, und sie legt ein Kopftuch an ihre Ränder.</v>
      </c>
    </row>
    <row r="3878">
      <c r="A3878" s="4" t="s">
        <v>4869</v>
      </c>
      <c r="B3878" s="4" t="s">
        <v>4876</v>
      </c>
      <c r="C3878" s="5" t="str">
        <f>IFERROR(__xludf.DUMMYFUNCTION("GOOGLETRANSLATE(B3878,""en"",""de"")"),"Dann nimmt sie es ab und es ist alles fertig.")</f>
        <v>Dann nimmt sie es ab und es ist alles fertig.</v>
      </c>
    </row>
    <row r="3879">
      <c r="A3879" s="4" t="s">
        <v>4877</v>
      </c>
      <c r="B3879" s="4" t="s">
        <v>4878</v>
      </c>
      <c r="C3879" s="5" t="str">
        <f>IFERROR(__xludf.DUMMYFUNCTION("GOOGLETRANSLATE(B3879,""en"",""de"")"),"Eine Person läuft mitten in einem großen Publikum um eine Strecke.")</f>
        <v>Eine Person läuft mitten in einem großen Publikum um eine Strecke.</v>
      </c>
    </row>
    <row r="3880">
      <c r="A3880" s="4" t="s">
        <v>4877</v>
      </c>
      <c r="B3880" s="4" t="s">
        <v>4879</v>
      </c>
      <c r="C3880" s="5" t="str">
        <f>IFERROR(__xludf.DUMMYFUNCTION("GOOGLETRANSLATE(B3880,""en"",""de"")"),"Der Athlet setzt sich dann hin, während ein anderer neben ihm steht und sich vorbereitet.")</f>
        <v>Der Athlet setzt sich dann hin, während ein anderer neben ihm steht und sich vorbereitet.</v>
      </c>
    </row>
    <row r="3881">
      <c r="A3881" s="4" t="s">
        <v>4877</v>
      </c>
      <c r="B3881" s="4" t="s">
        <v>4880</v>
      </c>
      <c r="C3881" s="5" t="str">
        <f>IFERROR(__xludf.DUMMYFUNCTION("GOOGLETRANSLATE(B3881,""en"",""de"")"),"Der Mann ist dann zu sehen, wie er über eine Bar springt, gefolgt von derselben Aufnahme, die wieder gezeigt wird.")</f>
        <v>Der Mann ist dann zu sehen, wie er über eine Bar springt, gefolgt von derselben Aufnahme, die wieder gezeigt wird.</v>
      </c>
    </row>
    <row r="3882">
      <c r="A3882" s="4" t="s">
        <v>4881</v>
      </c>
      <c r="B3882" s="4" t="s">
        <v>4882</v>
      </c>
      <c r="C3882" s="5" t="str">
        <f>IFERROR(__xludf.DUMMYFUNCTION("GOOGLETRANSLATE(B3882,""en"",""de"")"),"Ein Paar rudert auf Kajaks einen faulen Flussstrom.")</f>
        <v>Ein Paar rudert auf Kajaks einen faulen Flussstrom.</v>
      </c>
    </row>
    <row r="3883">
      <c r="A3883" s="4" t="s">
        <v>4881</v>
      </c>
      <c r="B3883" s="4" t="s">
        <v>4883</v>
      </c>
      <c r="C3883" s="5" t="str">
        <f>IFERROR(__xludf.DUMMYFUNCTION("GOOGLETRANSLATE(B3883,""en"",""de"")"),"Sie verwenden Paddel, um ihre Kajaks entlang des Wassers zu bewegen.")</f>
        <v>Sie verwenden Paddel, um ihre Kajaks entlang des Wassers zu bewegen.</v>
      </c>
    </row>
    <row r="3884">
      <c r="A3884" s="4" t="s">
        <v>4881</v>
      </c>
      <c r="B3884" s="4" t="s">
        <v>4884</v>
      </c>
      <c r="C3884" s="5" t="str">
        <f>IFERROR(__xludf.DUMMYFUNCTION("GOOGLETRANSLATE(B3884,""en"",""de"")"),"Das Paar schaut aufeinander zu, als ob sie sprechen würde.")</f>
        <v>Das Paar schaut aufeinander zu, als ob sie sprechen würde.</v>
      </c>
    </row>
    <row r="3885">
      <c r="A3885" s="4" t="s">
        <v>4885</v>
      </c>
      <c r="B3885" s="4" t="s">
        <v>4886</v>
      </c>
      <c r="C3885" s="5" t="str">
        <f>IFERROR(__xludf.DUMMYFUNCTION("GOOGLETRANSLATE(B3885,""en"",""de"")"),"Es wird ein Schuss eines Glass gezeigt und führt zu einer Frau, die zur Kamera spricht.")</f>
        <v>Es wird ein Schuss eines Glass gezeigt und führt zu einer Frau, die zur Kamera spricht.</v>
      </c>
    </row>
    <row r="3886">
      <c r="A3886" s="4" t="s">
        <v>4885</v>
      </c>
      <c r="B3886" s="4" t="s">
        <v>4887</v>
      </c>
      <c r="C3886" s="5" t="str">
        <f>IFERROR(__xludf.DUMMYFUNCTION("GOOGLETRANSLATE(B3886,""en"",""de"")"),"Die Frau hält ein Glas und mischt verschiedene Flüssigkeiten in das Glas.")</f>
        <v>Die Frau hält ein Glas und mischt verschiedene Flüssigkeiten in das Glas.</v>
      </c>
    </row>
    <row r="3887">
      <c r="A3887" s="4" t="s">
        <v>4885</v>
      </c>
      <c r="B3887" s="4" t="s">
        <v>4888</v>
      </c>
      <c r="C3887" s="5" t="str">
        <f>IFERROR(__xludf.DUMMYFUNCTION("GOOGLETRANSLATE(B3887,""en"",""de"")"),"Das toppt es mit einer Zitrone und gleitet das Getränk näher und spricht immer noch.")</f>
        <v>Das toppt es mit einer Zitrone und gleitet das Getränk näher und spricht immer noch.</v>
      </c>
    </row>
    <row r="3888">
      <c r="A3888" s="4" t="s">
        <v>4889</v>
      </c>
      <c r="B3888" s="4" t="s">
        <v>4890</v>
      </c>
      <c r="C3888" s="5" t="str">
        <f>IFERROR(__xludf.DUMMYFUNCTION("GOOGLETRANSLATE(B3888,""en"",""de"")"),"Eine Frau steht vor einer Kamera und beginnt, Lotion auf ihre Hände zu legen und sie um ihr Gesicht zu reiben.")</f>
        <v>Eine Frau steht vor einer Kamera und beginnt, Lotion auf ihre Hände zu legen und sie um ihr Gesicht zu reiben.</v>
      </c>
    </row>
    <row r="3889">
      <c r="A3889" s="4" t="s">
        <v>4889</v>
      </c>
      <c r="B3889" s="4" t="s">
        <v>4891</v>
      </c>
      <c r="C3889" s="5" t="str">
        <f>IFERROR(__xludf.DUMMYFUNCTION("GOOGLETRANSLATE(B3889,""en"",""de"")"),"Die Frau reibt Lotion kontinuierlich in ihr Gesicht und endet, indem sie in die Kamera schaut.")</f>
        <v>Die Frau reibt Lotion kontinuierlich in ihr Gesicht und endet, indem sie in die Kamera schaut.</v>
      </c>
    </row>
    <row r="3890">
      <c r="A3890" s="4" t="s">
        <v>4892</v>
      </c>
      <c r="B3890" s="4" t="s">
        <v>4893</v>
      </c>
      <c r="C3890" s="5" t="str">
        <f>IFERROR(__xludf.DUMMYFUNCTION("GOOGLETRANSLATE(B3890,""en"",""de"")"),"Dieser Mann wird gezeigt, wie ein großer Windhund hinter sich mäht.")</f>
        <v>Dieser Mann wird gezeigt, wie ein großer Windhund hinter sich mäht.</v>
      </c>
    </row>
    <row r="3891">
      <c r="A3891" s="4" t="s">
        <v>4892</v>
      </c>
      <c r="B3891" s="4" t="s">
        <v>4894</v>
      </c>
      <c r="C3891" s="5" t="str">
        <f>IFERROR(__xludf.DUMMYFUNCTION("GOOGLETRANSLATE(B3891,""en"",""de"")"),"Es gibt auch einen weiteren kleinen Hund im Hof, der sich gerade an einer Stelle hinsetzt.")</f>
        <v>Es gibt auch einen weiteren kleinen Hund im Hof, der sich gerade an einer Stelle hinsetzt.</v>
      </c>
    </row>
    <row r="3892">
      <c r="A3892" s="4" t="s">
        <v>4895</v>
      </c>
      <c r="B3892" s="4" t="s">
        <v>4896</v>
      </c>
      <c r="C3892" s="5" t="str">
        <f>IFERROR(__xludf.DUMMYFUNCTION("GOOGLETRANSLATE(B3892,""en"",""de"")"),"Mit diesem Video können die Zuschauer das Zeugnis eines Kunden hören, der den Pro -Daching -Service verwendet hat.")</f>
        <v>Mit diesem Video können die Zuschauer das Zeugnis eines Kunden hören, der den Pro -Daching -Service verwendet hat.</v>
      </c>
    </row>
    <row r="3893">
      <c r="A3893" s="4" t="s">
        <v>4895</v>
      </c>
      <c r="B3893" s="4" t="s">
        <v>4897</v>
      </c>
      <c r="C3893" s="5" t="str">
        <f>IFERROR(__xludf.DUMMYFUNCTION("GOOGLETRANSLATE(B3893,""en"",""de"")"),"Zuerst erzählt der Mann, wie er vom Service gehört hat und wie großartig es ist.")</f>
        <v>Zuerst erzählt der Mann, wie er vom Service gehört hat und wie großartig es ist.</v>
      </c>
    </row>
    <row r="3894">
      <c r="A3894" s="4" t="s">
        <v>4895</v>
      </c>
      <c r="B3894" s="4" t="s">
        <v>4898</v>
      </c>
      <c r="C3894" s="5" t="str">
        <f>IFERROR(__xludf.DUMMYFUNCTION("GOOGLETRANSLATE(B3894,""en"",""de"")"),"Er sagt auch, dass er sich für Pro -Dachaussagen entschieden hat, weil die Nachbarn es ausgewählt und ihn überredet haben, wie großartig der Service ist.")</f>
        <v>Er sagt auch, dass er sich für Pro -Dachaussagen entschieden hat, weil die Nachbarn es ausgewählt und ihn überredet haben, wie großartig der Service ist.</v>
      </c>
    </row>
    <row r="3895">
      <c r="A3895" s="4" t="s">
        <v>4899</v>
      </c>
      <c r="B3895" s="4" t="s">
        <v>4900</v>
      </c>
      <c r="C3895" s="5" t="str">
        <f>IFERROR(__xludf.DUMMYFUNCTION("GOOGLETRANSLATE(B3895,""en"",""de"")"),"Das Weißwater Polo -Team hackt zusammen.")</f>
        <v>Das Weißwater Polo -Team hackt zusammen.</v>
      </c>
    </row>
    <row r="3896">
      <c r="A3896" s="4" t="s">
        <v>4899</v>
      </c>
      <c r="B3896" s="4" t="s">
        <v>4901</v>
      </c>
      <c r="C3896" s="5" t="str">
        <f>IFERROR(__xludf.DUMMYFUNCTION("GOOGLETRANSLATE(B3896,""en"",""de"")"),"Das Spiel beginnt und blaue zahlt sich in der Tiefe in der weißen Verteidigung, um das Spiel zu binden.")</f>
        <v>Das Spiel beginnt und blaue zahlt sich in der Tiefe in der weißen Verteidigung, um das Spiel zu binden.</v>
      </c>
    </row>
    <row r="3897">
      <c r="A3897" s="4" t="s">
        <v>4899</v>
      </c>
      <c r="B3897" s="4" t="s">
        <v>4902</v>
      </c>
      <c r="C3897" s="5" t="str">
        <f>IFERROR(__xludf.DUMMYFUNCTION("GOOGLETRANSLATE(B3897,""en"",""de"")"),"White antwortet mit einem starken Ziel, den Vorsprung zurückzuholen.")</f>
        <v>White antwortet mit einem starken Ziel, den Vorsprung zurückzuholen.</v>
      </c>
    </row>
    <row r="3898">
      <c r="A3898" s="4" t="s">
        <v>4899</v>
      </c>
      <c r="B3898" s="4" t="s">
        <v>4903</v>
      </c>
      <c r="C3898" s="5" t="str">
        <f>IFERROR(__xludf.DUMMYFUNCTION("GOOGLETRANSLATE(B3898,""en"",""de"")"),"Blue bewegt sich ein und nach ein paar Pässen verbindet das Spiel wieder.")</f>
        <v>Blue bewegt sich ein und nach ein paar Pässen verbindet das Spiel wieder.</v>
      </c>
    </row>
    <row r="3899">
      <c r="A3899" s="4" t="s">
        <v>4899</v>
      </c>
      <c r="B3899" s="4" t="s">
        <v>4904</v>
      </c>
      <c r="C3899" s="5" t="str">
        <f>IFERROR(__xludf.DUMMYFUNCTION("GOOGLETRANSLATE(B3899,""en"",""de"")"),"Weiße Punkte, um die Führung zu übernehmen, und Blue kommt wieder zurück, um wieder zu binden.")</f>
        <v>Weiße Punkte, um die Führung zu übernehmen, und Blue kommt wieder zurück, um wieder zu binden.</v>
      </c>
    </row>
    <row r="3900">
      <c r="A3900" s="4" t="s">
        <v>4899</v>
      </c>
      <c r="B3900" s="4" t="s">
        <v>4905</v>
      </c>
      <c r="C3900" s="5" t="str">
        <f>IFERROR(__xludf.DUMMYFUNCTION("GOOGLETRANSLATE(B3900,""en"",""de"")"),"Ein Scramble für den Ball führt dazu, dass Weiß einen 2-gegen-1-Vorteil und ein Tor erzielt.")</f>
        <v>Ein Scramble für den Ball führt dazu, dass Weiß einen 2-gegen-1-Vorteil und ein Tor erzielt.</v>
      </c>
    </row>
    <row r="3901">
      <c r="A3901" s="4" t="s">
        <v>4899</v>
      </c>
      <c r="B3901" s="4" t="s">
        <v>4906</v>
      </c>
      <c r="C3901" s="5" t="str">
        <f>IFERROR(__xludf.DUMMYFUNCTION("GOOGLETRANSLATE(B3901,""en"",""de"")"),"Sie drängen ihre Führung weiter zu spät und bringen das Spiel außer Reichweite und gewannen 14-10.")</f>
        <v>Sie drängen ihre Führung weiter zu spät und bringen das Spiel außer Reichweite und gewannen 14-10.</v>
      </c>
    </row>
    <row r="3902">
      <c r="A3902" s="4" t="s">
        <v>4899</v>
      </c>
      <c r="B3902" s="4" t="s">
        <v>4907</v>
      </c>
      <c r="C3902" s="5" t="str">
        <f>IFERROR(__xludf.DUMMYFUNCTION("GOOGLETRANSLATE(B3902,""en"",""de"")"),"Das Team feiert zusammen im Wasser.")</f>
        <v>Das Team feiert zusammen im Wasser.</v>
      </c>
    </row>
    <row r="3903">
      <c r="A3903" s="4" t="s">
        <v>4899</v>
      </c>
      <c r="B3903" s="4" t="s">
        <v>4908</v>
      </c>
      <c r="C3903" s="5" t="str">
        <f>IFERROR(__xludf.DUMMYFUNCTION("GOOGLETRANSLATE(B3903,""en"",""de"")"),"Das Team feiert sein Goldmetall auf dem Podium.")</f>
        <v>Das Team feiert sein Goldmetall auf dem Podium.</v>
      </c>
    </row>
    <row r="3904">
      <c r="A3904" s="4" t="s">
        <v>4909</v>
      </c>
      <c r="B3904" s="4" t="s">
        <v>4910</v>
      </c>
      <c r="C3904" s="5" t="str">
        <f>IFERROR(__xludf.DUMMYFUNCTION("GOOGLETRANSLATE(B3904,""en"",""de"")"),"Ein Mädchen und ein Hund sind auf dem Feld.")</f>
        <v>Ein Mädchen und ein Hund sind auf dem Feld.</v>
      </c>
    </row>
    <row r="3905">
      <c r="A3905" s="4" t="s">
        <v>4909</v>
      </c>
      <c r="B3905" s="4" t="s">
        <v>4911</v>
      </c>
      <c r="C3905" s="5" t="str">
        <f>IFERROR(__xludf.DUMMYFUNCTION("GOOGLETRANSLATE(B3905,""en"",""de"")"),"Das Mädchen hält zwei Frisbee, dann ging sie und drehte sich Seite an Seite und der Hund rollte vor sich, der Hund berührte die Knie des Mädchen hoch.")</f>
        <v>Das Mädchen hält zwei Frisbee, dann ging sie und drehte sich Seite an Seite und der Hund rollte vor sich, der Hund berührte die Knie des Mädchen hoch.</v>
      </c>
    </row>
    <row r="3906">
      <c r="A3906" s="4" t="s">
        <v>4909</v>
      </c>
      <c r="B3906" s="4" t="s">
        <v>4912</v>
      </c>
      <c r="C3906" s="5" t="str">
        <f>IFERROR(__xludf.DUMMYFUNCTION("GOOGLETRANSLATE(B3906,""en"",""de"")"),"Das Mädchen warf die Frisbee und den Hund nach und legte sie auf den Boden.")</f>
        <v>Das Mädchen warf die Frisbee und den Hund nach und legte sie auf den Boden.</v>
      </c>
    </row>
    <row r="3907">
      <c r="A3907" s="4" t="s">
        <v>4913</v>
      </c>
      <c r="B3907" s="4" t="s">
        <v>4914</v>
      </c>
      <c r="C3907" s="5" t="str">
        <f>IFERROR(__xludf.DUMMYFUNCTION("GOOGLETRANSLATE(B3907,""en"",""de"")"),"Frauen spielen ein Lockenspiel.")</f>
        <v>Frauen spielen ein Lockenspiel.</v>
      </c>
    </row>
    <row r="3908">
      <c r="A3908" s="4" t="s">
        <v>4913</v>
      </c>
      <c r="B3908" s="4" t="s">
        <v>4915</v>
      </c>
      <c r="C3908" s="5" t="str">
        <f>IFERROR(__xludf.DUMMYFUNCTION("GOOGLETRANSLATE(B3908,""en"",""de"")"),"Das Publikum beobachtet sie jubelt und applaudiert.")</f>
        <v>Das Publikum beobachtet sie jubelt und applaudiert.</v>
      </c>
    </row>
    <row r="3909">
      <c r="A3909" s="4" t="s">
        <v>4916</v>
      </c>
      <c r="B3909" s="4" t="s">
        <v>4917</v>
      </c>
      <c r="C3909" s="5" t="str">
        <f>IFERROR(__xludf.DUMMYFUNCTION("GOOGLETRANSLATE(B3909,""en"",""de"")"),"Ein Mann schnappt sich einen Reifen von der Rückseite des Auto Laschen, Rand und Reifen und wirft sie auf das Gras.")</f>
        <v>Ein Mann schnappt sich einen Reifen von der Rückseite des Auto Laschen, Rand und Reifen und wirft sie auf das Gras.</v>
      </c>
    </row>
    <row r="3910">
      <c r="A3910" s="4" t="s">
        <v>4916</v>
      </c>
      <c r="B3910" s="4" t="s">
        <v>4918</v>
      </c>
      <c r="C3910" s="5" t="str">
        <f>IFERROR(__xludf.DUMMYFUNCTION("GOOGLETRANSLATE(B3910,""en"",""de"")"),"Der Mann greift dann nach dem Reifen, den er aus der Rückseite des Autos herausgezogen hat, legt ihn auf das Auto, legt den Felgen darauf und zieht sich mit seiner Hand auf sie an und nimmt dann das Werkzeug auf und zieht die Lugs damit fest.")</f>
        <v>Der Mann greift dann nach dem Reifen, den er aus der Rückseite des Autos herausgezogen hat, legt ihn auf das Auto, legt den Felgen darauf und zieht sich mit seiner Hand auf sie an und nimmt dann das Werkzeug auf und zieht die Lugs damit fest.</v>
      </c>
    </row>
    <row r="3911">
      <c r="A3911" s="4" t="s">
        <v>4916</v>
      </c>
      <c r="B3911" s="4" t="s">
        <v>4919</v>
      </c>
      <c r="C3911" s="5" t="str">
        <f>IFERROR(__xludf.DUMMYFUNCTION("GOOGLETRANSLATE(B3911,""en"",""de"")"),"Der Mann entfernt dann die Buchse unter dem Auto aus und zieht die Laschen wieder mit dem Werkzeug fest. Er steht außer Atem und lächelt.")</f>
        <v>Der Mann entfernt dann die Buchse unter dem Auto aus und zieht die Laschen wieder mit dem Werkzeug fest. Er steht außer Atem und lächelt.</v>
      </c>
    </row>
    <row r="3912">
      <c r="A3912" s="4" t="s">
        <v>4920</v>
      </c>
      <c r="B3912" s="4" t="s">
        <v>4921</v>
      </c>
      <c r="C3912" s="5" t="str">
        <f>IFERROR(__xludf.DUMMYFUNCTION("GOOGLETRANSLATE(B3912,""en"",""de"")"),"Ein Handwerker steht vor einer Veranda und redet.")</f>
        <v>Ein Handwerker steht vor einer Veranda und redet.</v>
      </c>
    </row>
    <row r="3913">
      <c r="A3913" s="4" t="s">
        <v>4920</v>
      </c>
      <c r="B3913" s="4" t="s">
        <v>4922</v>
      </c>
      <c r="C3913" s="5" t="str">
        <f>IFERROR(__xludf.DUMMYFUNCTION("GOOGLETRANSLATE(B3913,""en"",""de"")"),"Der Mann verwendet zwei Rakel, um zwei Fenster gleichzeitig zu reinigen.")</f>
        <v>Der Mann verwendet zwei Rakel, um zwei Fenster gleichzeitig zu reinigen.</v>
      </c>
    </row>
    <row r="3914">
      <c r="A3914" s="4" t="s">
        <v>4920</v>
      </c>
      <c r="B3914" s="4" t="s">
        <v>4923</v>
      </c>
      <c r="C3914" s="5" t="str">
        <f>IFERROR(__xludf.DUMMYFUNCTION("GOOGLETRANSLATE(B3914,""en"",""de"")"),"Der Mann beendet und steckt seine Werkzeuge in seinen Werkzeuggürtel.")</f>
        <v>Der Mann beendet und steckt seine Werkzeuge in seinen Werkzeuggürtel.</v>
      </c>
    </row>
    <row r="3915">
      <c r="A3915" s="4" t="s">
        <v>4920</v>
      </c>
      <c r="B3915" s="4" t="s">
        <v>4924</v>
      </c>
      <c r="C3915" s="5" t="str">
        <f>IFERROR(__xludf.DUMMYFUNCTION("GOOGLETRANSLATE(B3915,""en"",""de"")"),"Er lächelt und geht weg.")</f>
        <v>Er lächelt und geht weg.</v>
      </c>
    </row>
    <row r="3916">
      <c r="A3916" s="4" t="s">
        <v>4925</v>
      </c>
      <c r="B3916" s="4" t="s">
        <v>4926</v>
      </c>
      <c r="C3916" s="5" t="str">
        <f>IFERROR(__xludf.DUMMYFUNCTION("GOOGLETRANSLATE(B3916,""en"",""de"")"),"Eine Kamera tritt näher an einem Spielplatz und zeigt eine Frau, die eine Rutsche hinuntergeht.")</f>
        <v>Eine Kamera tritt näher an einem Spielplatz und zeigt eine Frau, die eine Rutsche hinuntergeht.</v>
      </c>
    </row>
    <row r="3917">
      <c r="A3917" s="4" t="s">
        <v>4925</v>
      </c>
      <c r="B3917" s="4" t="s">
        <v>4927</v>
      </c>
      <c r="C3917" s="5" t="str">
        <f>IFERROR(__xludf.DUMMYFUNCTION("GOOGLETRANSLATE(B3917,""en"",""de"")"),"Ein Hund reitet mit ihr und ein anderer Hund geht um die Gegend.")</f>
        <v>Ein Hund reitet mit ihr und ein anderer Hund geht um die Gegend.</v>
      </c>
    </row>
    <row r="3918">
      <c r="A3918" s="4" t="s">
        <v>4925</v>
      </c>
      <c r="B3918" s="4" t="s">
        <v>4928</v>
      </c>
      <c r="C3918" s="5" t="str">
        <f>IFERROR(__xludf.DUMMYFUNCTION("GOOGLETRANSLATE(B3918,""en"",""de"")"),"Die Frau reitet noch mehrmals mit dem kleinen Hund neben ihr runter.")</f>
        <v>Die Frau reitet noch mehrmals mit dem kleinen Hund neben ihr runter.</v>
      </c>
    </row>
    <row r="3919">
      <c r="A3919" s="4" t="s">
        <v>4929</v>
      </c>
      <c r="B3919" s="4" t="s">
        <v>4930</v>
      </c>
      <c r="C3919" s="5" t="str">
        <f>IFERROR(__xludf.DUMMYFUNCTION("GOOGLETRANSLATE(B3919,""en"",""de"")"),"Zwei Personen sprechen mit der Kamera und führen in sie, die einen Ball aufeinander anstrecken.")</f>
        <v>Zwei Personen sprechen mit der Kamera und führen in sie, die einen Ball aufeinander anstrecken.</v>
      </c>
    </row>
    <row r="3920">
      <c r="A3920" s="4" t="s">
        <v>4929</v>
      </c>
      <c r="B3920" s="4" t="s">
        <v>4931</v>
      </c>
      <c r="C3920" s="5" t="str">
        <f>IFERROR(__xludf.DUMMYFUNCTION("GOOGLETRANSLATE(B3920,""en"",""de"")"),"Die Frau spricht mehrmals mit der Kamera und zeigt mehr Clips der beiden, die den Ball schlagen.")</f>
        <v>Die Frau spricht mehrmals mit der Kamera und zeigt mehr Clips der beiden, die den Ball schlagen.</v>
      </c>
    </row>
    <row r="3921">
      <c r="A3921" s="4" t="s">
        <v>4932</v>
      </c>
      <c r="B3921" s="4" t="s">
        <v>4933</v>
      </c>
      <c r="C3921" s="5" t="str">
        <f>IFERROR(__xludf.DUMMYFUNCTION("GOOGLETRANSLATE(B3921,""en"",""de"")"),"Eine Gruppe von Menschen spielt Wasservolleyball in einem Indoor -Pool mit ein paar Zuschauern am Rande.")</f>
        <v>Eine Gruppe von Menschen spielt Wasservolleyball in einem Indoor -Pool mit ein paar Zuschauern am Rande.</v>
      </c>
    </row>
    <row r="3922">
      <c r="A3922" s="4" t="s">
        <v>4932</v>
      </c>
      <c r="B3922" s="4" t="s">
        <v>4934</v>
      </c>
      <c r="C3922" s="5" t="str">
        <f>IFERROR(__xludf.DUMMYFUNCTION("GOOGLETRANSLATE(B3922,""en"",""de"")"),"Ein gelber Volleyball wird zwischen Menschen in einem Pool geworfen.")</f>
        <v>Ein gelber Volleyball wird zwischen Menschen in einem Pool geworfen.</v>
      </c>
    </row>
    <row r="3923">
      <c r="A3923" s="4" t="s">
        <v>4932</v>
      </c>
      <c r="B3923" s="4" t="s">
        <v>4935</v>
      </c>
      <c r="C3923" s="5" t="str">
        <f>IFERROR(__xludf.DUMMYFUNCTION("GOOGLETRANSLATE(B3923,""en"",""de"")"),"Eine Person macht ein Ziel mit dem gelben Volleyball in einem weißen Netz.")</f>
        <v>Eine Person macht ein Ziel mit dem gelben Volleyball in einem weißen Netz.</v>
      </c>
    </row>
    <row r="3924">
      <c r="A3924" s="4" t="s">
        <v>4932</v>
      </c>
      <c r="B3924" s="4" t="s">
        <v>4936</v>
      </c>
      <c r="C3924" s="5" t="str">
        <f>IFERROR(__xludf.DUMMYFUNCTION("GOOGLETRANSLATE(B3924,""en"",""de"")"),"Der Ball wird auf die andere Seite des Pools geworfen, wo ein weiteres Tor in einem weißen Netz auf der gegenüberliegenden Seite des Pools erreicht wird.")</f>
        <v>Der Ball wird auf die andere Seite des Pools geworfen, wo ein weiteres Tor in einem weißen Netz auf der gegenüberliegenden Seite des Pools erreicht wird.</v>
      </c>
    </row>
    <row r="3925">
      <c r="A3925" s="4" t="s">
        <v>4937</v>
      </c>
      <c r="B3925" s="4" t="s">
        <v>4938</v>
      </c>
      <c r="C3925" s="5" t="str">
        <f>IFERROR(__xludf.DUMMYFUNCTION("GOOGLETRANSLATE(B3925,""en"",""de"")"),"Es gibt eine Person, die rosa Handschuhe trägt, die ein Tutorial über das Reinigen eines weißen Spülbeckens durchführen.")</f>
        <v>Es gibt eine Person, die rosa Handschuhe trägt, die ein Tutorial über das Reinigen eines weißen Spülbeckens durchführen.</v>
      </c>
    </row>
    <row r="3926">
      <c r="A3926" s="4" t="s">
        <v>4937</v>
      </c>
      <c r="B3926" s="4" t="s">
        <v>4939</v>
      </c>
      <c r="C3926" s="5" t="str">
        <f>IFERROR(__xludf.DUMMYFUNCTION("GOOGLETRANSLATE(B3926,""en"",""de"")"),"Die Person sprüht ein weißes Reinigungspulver in die Spüle und sprüht dann ein Clorox -Bleichmittel darauf.")</f>
        <v>Die Person sprüht ein weißes Reinigungspulver in die Spüle und sprüht dann ein Clorox -Bleichmittel darauf.</v>
      </c>
    </row>
    <row r="3927">
      <c r="A3927" s="4" t="s">
        <v>4937</v>
      </c>
      <c r="B3927" s="4" t="s">
        <v>4940</v>
      </c>
      <c r="C3927" s="5" t="str">
        <f>IFERROR(__xludf.DUMMYFUNCTION("GOOGLETRANSLATE(B3927,""en"",""de"")"),"Dann nimmt ein rosa Peeling und beginnt das Waschbecken in die Hin- und Herbewegung zu schrubben.")</f>
        <v>Dann nimmt ein rosa Peeling und beginnt das Waschbecken in die Hin- und Herbewegung zu schrubben.</v>
      </c>
    </row>
    <row r="3928">
      <c r="A3928" s="4" t="s">
        <v>4937</v>
      </c>
      <c r="B3928" s="4" t="s">
        <v>4941</v>
      </c>
      <c r="C3928" s="5" t="str">
        <f>IFERROR(__xludf.DUMMYFUNCTION("GOOGLETRANSLATE(B3928,""en"",""de"")"),"Die Person stellt sicher, dass alle Seiten der Spüle gereinigt werden, einschließlich des Abflusses.")</f>
        <v>Die Person stellt sicher, dass alle Seiten der Spüle gereinigt werden, einschließlich des Abflusses.</v>
      </c>
    </row>
    <row r="3929">
      <c r="A3929" s="4" t="s">
        <v>4937</v>
      </c>
      <c r="B3929" s="4" t="s">
        <v>4942</v>
      </c>
      <c r="C3929" s="5" t="str">
        <f>IFERROR(__xludf.DUMMYFUNCTION("GOOGLETRANSLATE(B3929,""en"",""de"")"),"Dann beginnt sie den Wasserhahn, um das Pulver und das Bleichmittel abzuwaschen.")</f>
        <v>Dann beginnt sie den Wasserhahn, um das Pulver und das Bleichmittel abzuwaschen.</v>
      </c>
    </row>
    <row r="3930">
      <c r="A3930" s="4" t="s">
        <v>4937</v>
      </c>
      <c r="B3930" s="4" t="s">
        <v>4943</v>
      </c>
      <c r="C3930" s="5" t="str">
        <f>IFERROR(__xludf.DUMMYFUNCTION("GOOGLETRANSLATE(B3930,""en"",""de"")"),"Sie verwendet dann ein Papiertuch, um das Wasser abzuwischen und jedes Restpulver vom Waschbecken abzuräumen.")</f>
        <v>Sie verwendet dann ein Papiertuch, um das Wasser abzuwischen und jedes Restpulver vom Waschbecken abzuräumen.</v>
      </c>
    </row>
    <row r="3931">
      <c r="A3931" s="4" t="s">
        <v>4944</v>
      </c>
      <c r="B3931" s="4" t="s">
        <v>4945</v>
      </c>
      <c r="C3931" s="5" t="str">
        <f>IFERROR(__xludf.DUMMYFUNCTION("GOOGLETRANSLATE(B3931,""en"",""de"")"),"Ein Mann spricht mit der Kamera neben einem Zaun.")</f>
        <v>Ein Mann spricht mit der Kamera neben einem Zaun.</v>
      </c>
    </row>
    <row r="3932">
      <c r="A3932" s="4" t="s">
        <v>4944</v>
      </c>
      <c r="B3932" s="4" t="s">
        <v>4946</v>
      </c>
      <c r="C3932" s="5" t="str">
        <f>IFERROR(__xludf.DUMMYFUNCTION("GOOGLETRANSLATE(B3932,""en"",""de"")"),"Der Mann hält einen Pinsel.")</f>
        <v>Der Mann hält einen Pinsel.</v>
      </c>
    </row>
    <row r="3933">
      <c r="A3933" s="4" t="s">
        <v>4944</v>
      </c>
      <c r="B3933" s="4" t="s">
        <v>4947</v>
      </c>
      <c r="C3933" s="5" t="str">
        <f>IFERROR(__xludf.DUMMYFUNCTION("GOOGLETRANSLATE(B3933,""en"",""de"")"),"Der Mann taucht den Pinsel in einen Schale Farbe und malt den Zaun.")</f>
        <v>Der Mann taucht den Pinsel in einen Schale Farbe und malt den Zaun.</v>
      </c>
    </row>
    <row r="3934">
      <c r="A3934" s="4" t="s">
        <v>4944</v>
      </c>
      <c r="B3934" s="4" t="s">
        <v>4948</v>
      </c>
      <c r="C3934" s="5" t="str">
        <f>IFERROR(__xludf.DUMMYFUNCTION("GOOGLETRANSLATE(B3934,""en"",""de"")"),"Der Mann bewegt sich entlang des Zauns, der es malt.")</f>
        <v>Der Mann bewegt sich entlang des Zauns, der es malt.</v>
      </c>
    </row>
    <row r="3935">
      <c r="A3935" s="4" t="s">
        <v>4944</v>
      </c>
      <c r="B3935" s="4" t="s">
        <v>4949</v>
      </c>
      <c r="C3935" s="5" t="str">
        <f>IFERROR(__xludf.DUMMYFUNCTION("GOOGLETRANSLATE(B3935,""en"",""de"")"),"Der Mann beendet das Malerei und tritt vom Zaun weg.")</f>
        <v>Der Mann beendet das Malerei und tritt vom Zaun weg.</v>
      </c>
    </row>
    <row r="3936">
      <c r="A3936" s="4" t="s">
        <v>4950</v>
      </c>
      <c r="B3936" s="4" t="s">
        <v>4951</v>
      </c>
      <c r="C3936" s="5" t="str">
        <f>IFERROR(__xludf.DUMMYFUNCTION("GOOGLETRANSLATE(B3936,""en"",""de"")"),"Eine Frau, die vor dem weißen Gesang stand, drehte den Wasserhahn an, bekam eine flüssige Seife und wasche ihre Hand.")</f>
        <v>Eine Frau, die vor dem weißen Gesang stand, drehte den Wasserhahn an, bekam eine flüssige Seife und wasche ihre Hand.</v>
      </c>
    </row>
    <row r="3937">
      <c r="A3937" s="4" t="s">
        <v>4950</v>
      </c>
      <c r="B3937" s="4" t="s">
        <v>4952</v>
      </c>
      <c r="C3937" s="5" t="str">
        <f>IFERROR(__xludf.DUMMYFUNCTION("GOOGLETRANSLATE(B3937,""en"",""de"")"),"Sie drehte sich um und holte einige Handservietten aus der Wand, wischte sich die Hände und warf das Papier in den Müllkorb.")</f>
        <v>Sie drehte sich um und holte einige Handservietten aus der Wand, wischte sich die Hände und warf das Papier in den Müllkorb.</v>
      </c>
    </row>
    <row r="3938">
      <c r="A3938" s="4" t="s">
        <v>4953</v>
      </c>
      <c r="B3938" s="4" t="s">
        <v>4954</v>
      </c>
      <c r="C3938" s="5" t="str">
        <f>IFERROR(__xludf.DUMMYFUNCTION("GOOGLETRANSLATE(B3938,""en"",""de"")"),"Eine Frau kommt auf die Leinwand, die ankündigt, dass sie ein Video zum Erstellen eines Keksdesserts machen wird.")</f>
        <v>Eine Frau kommt auf die Leinwand, die ankündigt, dass sie ein Video zum Erstellen eines Keksdesserts machen wird.</v>
      </c>
    </row>
    <row r="3939">
      <c r="A3939" s="4" t="s">
        <v>4953</v>
      </c>
      <c r="B3939" s="4" t="s">
        <v>4955</v>
      </c>
      <c r="C3939" s="5" t="str">
        <f>IFERROR(__xludf.DUMMYFUNCTION("GOOGLETRANSLATE(B3939,""en"",""de"")"),"Sie beginnt mit all den Zutaten, die sie für die Kekse benötigt, und kombiniert die trockenen Zutaten.")</f>
        <v>Sie beginnt mit all den Zutaten, die sie für die Kekse benötigt, und kombiniert die trockenen Zutaten.</v>
      </c>
    </row>
    <row r="3940">
      <c r="A3940" s="4" t="s">
        <v>4953</v>
      </c>
      <c r="B3940" s="4" t="s">
        <v>4956</v>
      </c>
      <c r="C3940" s="5" t="str">
        <f>IFERROR(__xludf.DUMMYFUNCTION("GOOGLETRANSLATE(B3940,""en"",""de"")"),"Sie mischt dann die nassen Zutaten in einer Glasschale.")</f>
        <v>Sie mischt dann die nassen Zutaten in einer Glasschale.</v>
      </c>
    </row>
    <row r="3941">
      <c r="A3941" s="4" t="s">
        <v>4953</v>
      </c>
      <c r="B3941" s="4" t="s">
        <v>4957</v>
      </c>
      <c r="C3941" s="5" t="str">
        <f>IFERROR(__xludf.DUMMYFUNCTION("GOOGLETRANSLATE(B3941,""en"",""de"")"),"Nachdem sie alle Zutaten zusammen mischt, beginnt sie, den Teig in Kugeln zu rollen und sie auf ein Keksblatt zu legen, und legt sie in den Ofen.")</f>
        <v>Nachdem sie alle Zutaten zusammen mischt, beginnt sie, den Teig in Kugeln zu rollen und sie auf ein Keksblatt zu legen, und legt sie in den Ofen.</v>
      </c>
    </row>
    <row r="3942">
      <c r="A3942" s="4" t="s">
        <v>4953</v>
      </c>
      <c r="B3942" s="4" t="s">
        <v>4958</v>
      </c>
      <c r="C3942" s="5" t="str">
        <f>IFERROR(__xludf.DUMMYFUNCTION("GOOGLETRANSLATE(B3942,""en"",""de"")"),"Sie nimmt sie aus dem Ofen und beginnt, sie in einzelne Sets zu wickeln.")</f>
        <v>Sie nimmt sie aus dem Ofen und beginnt, sie in einzelne Sets zu wickeln.</v>
      </c>
    </row>
    <row r="3943">
      <c r="A3943" s="4" t="s">
        <v>4953</v>
      </c>
      <c r="B3943" s="4" t="s">
        <v>4959</v>
      </c>
      <c r="C3943" s="5" t="str">
        <f>IFERROR(__xludf.DUMMYFUNCTION("GOOGLETRANSLATE(B3943,""en"",""de"")"),"Das Video endet mit den Schlussguthaben.")</f>
        <v>Das Video endet mit den Schlussguthaben.</v>
      </c>
    </row>
    <row r="3944">
      <c r="A3944" s="4" t="s">
        <v>4960</v>
      </c>
      <c r="B3944" s="4" t="s">
        <v>4961</v>
      </c>
      <c r="C3944" s="5" t="str">
        <f>IFERROR(__xludf.DUMMYFUNCTION("GOOGLETRANSLATE(B3944,""en"",""de"")"),"Ein kleines Kind sitzt auf einer Schwung, die an der Kamera lächelt.")</f>
        <v>Ein kleines Kind sitzt auf einer Schwung, die an der Kamera lächelt.</v>
      </c>
    </row>
    <row r="3945">
      <c r="A3945" s="4" t="s">
        <v>4960</v>
      </c>
      <c r="B3945" s="4" t="s">
        <v>4962</v>
      </c>
      <c r="C3945" s="5" t="str">
        <f>IFERROR(__xludf.DUMMYFUNCTION("GOOGLETRANSLATE(B3945,""en"",""de"")"),"Der Junge bewegt sich zurück und viertens auf der Schaukel, während ein anderer Junge neben ihm schwingt.")</f>
        <v>Der Junge bewegt sich zurück und viertens auf der Schaukel, während ein anderer Junge neben ihm schwingt.</v>
      </c>
    </row>
    <row r="3946">
      <c r="A3946" s="4" t="s">
        <v>4960</v>
      </c>
      <c r="B3946" s="4" t="s">
        <v>4963</v>
      </c>
      <c r="C3946" s="5" t="str">
        <f>IFERROR(__xludf.DUMMYFUNCTION("GOOGLETRANSLATE(B3946,""en"",""de"")"),"Die beiden schwingen weiter und viertes, während die Kamera sie aus verschiedenen Winkeln erfasst.")</f>
        <v>Die beiden schwingen weiter und viertes, während die Kamera sie aus verschiedenen Winkeln erfasst.</v>
      </c>
    </row>
    <row r="3947">
      <c r="A3947" s="4" t="s">
        <v>4964</v>
      </c>
      <c r="B3947" s="4" t="s">
        <v>4965</v>
      </c>
      <c r="C3947" s="5" t="str">
        <f>IFERROR(__xludf.DUMMYFUNCTION("GOOGLETRANSLATE(B3947,""en"",""de"")"),"Es werden mehrere Clips gezeigt, von denen Roboter gegeneinander sowie das Innere und außerhalb eines Gebäudes kämpfen.")</f>
        <v>Es werden mehrere Clips gezeigt, von denen Roboter gegeneinander sowie das Innere und außerhalb eines Gebäudes kämpfen.</v>
      </c>
    </row>
    <row r="3948">
      <c r="A3948" s="4" t="s">
        <v>4964</v>
      </c>
      <c r="B3948" s="4" t="s">
        <v>4966</v>
      </c>
      <c r="C3948" s="5" t="str">
        <f>IFERROR(__xludf.DUMMYFUNCTION("GOOGLETRANSLATE(B3948,""en"",""de"")"),"Weitere Roboter werden sowohl in der Nähe als auch Menschen gezeigt, die die Roboter anpassen und sie zum Kampf niederlegen.")</f>
        <v>Weitere Roboter werden sowohl in der Nähe als auch Menschen gezeigt, die die Roboter anpassen und sie zum Kampf niederlegen.</v>
      </c>
    </row>
    <row r="3949">
      <c r="A3949" s="4" t="s">
        <v>4964</v>
      </c>
      <c r="B3949" s="4" t="s">
        <v>4967</v>
      </c>
      <c r="C3949" s="5" t="str">
        <f>IFERROR(__xludf.DUMMYFUNCTION("GOOGLETRANSLATE(B3949,""en"",""de"")"),"Die Leute benutzen die Roboter weiter und enden, indem sie die Hände schütteln und sich mit einem anderen Mann verbeugen.")</f>
        <v>Die Leute benutzen die Roboter weiter und enden, indem sie die Hände schütteln und sich mit einem anderen Mann verbeugen.</v>
      </c>
    </row>
    <row r="3950">
      <c r="A3950" s="4" t="s">
        <v>4968</v>
      </c>
      <c r="B3950" s="4" t="s">
        <v>4969</v>
      </c>
      <c r="C3950" s="5" t="str">
        <f>IFERROR(__xludf.DUMMYFUNCTION("GOOGLETRANSLATE(B3950,""en"",""de"")"),"Eine Blattgebläsemaschine bläst einen großen Haufen Blätter um einen Parkplatz.")</f>
        <v>Eine Blattgebläsemaschine bläst einen großen Haufen Blätter um einen Parkplatz.</v>
      </c>
    </row>
    <row r="3951">
      <c r="A3951" s="4" t="s">
        <v>4968</v>
      </c>
      <c r="B3951" s="4" t="s">
        <v>4970</v>
      </c>
      <c r="C3951" s="5" t="str">
        <f>IFERROR(__xludf.DUMMYFUNCTION("GOOGLETRANSLATE(B3951,""en"",""de"")"),"Die Maschine bewegt sich weiter durch das Grundstück und fließt die Blätter in einen großen Stapel.")</f>
        <v>Die Maschine bewegt sich weiter durch das Grundstück und fließt die Blätter in einen großen Stapel.</v>
      </c>
    </row>
    <row r="3952">
      <c r="A3952" s="4" t="s">
        <v>4971</v>
      </c>
      <c r="B3952" s="4" t="s">
        <v>4972</v>
      </c>
      <c r="C3952" s="5" t="str">
        <f>IFERROR(__xludf.DUMMYFUNCTION("GOOGLETRANSLATE(B3952,""en"",""de"")"),"Wir sehen eine Dame in den Wäldern, die Holzstämme hacken.")</f>
        <v>Wir sehen eine Dame in den Wäldern, die Holzstämme hacken.</v>
      </c>
    </row>
    <row r="3953">
      <c r="A3953" s="4" t="s">
        <v>4971</v>
      </c>
      <c r="B3953" s="4" t="s">
        <v>4973</v>
      </c>
      <c r="C3953" s="5" t="str">
        <f>IFERROR(__xludf.DUMMYFUNCTION("GOOGLETRANSLATE(B3953,""en"",""de"")"),"Die Dame legt ein Protokoll auf einer Plattform.")</f>
        <v>Die Dame legt ein Protokoll auf einer Plattform.</v>
      </c>
    </row>
    <row r="3954">
      <c r="A3954" s="4" t="s">
        <v>4971</v>
      </c>
      <c r="B3954" s="4" t="s">
        <v>4974</v>
      </c>
      <c r="C3954" s="5" t="str">
        <f>IFERROR(__xludf.DUMMYFUNCTION("GOOGLETRANSLATE(B3954,""en"",""de"")"),"Wir sehen Hühner, die im Hintergrund herumlaufen.")</f>
        <v>Wir sehen Hühner, die im Hintergrund herumlaufen.</v>
      </c>
    </row>
    <row r="3955">
      <c r="A3955" s="4" t="s">
        <v>4971</v>
      </c>
      <c r="B3955" s="4" t="s">
        <v>4975</v>
      </c>
      <c r="C3955" s="5" t="str">
        <f>IFERROR(__xludf.DUMMYFUNCTION("GOOGLETRANSLATE(B3955,""en"",""de"")"),"Die Dame lacht, als sie ein Stück Holz aufnimmt.")</f>
        <v>Die Dame lacht, als sie ein Stück Holz aufnimmt.</v>
      </c>
    </row>
    <row r="3956">
      <c r="A3956" s="4" t="s">
        <v>4971</v>
      </c>
      <c r="B3956" s="4" t="s">
        <v>4976</v>
      </c>
      <c r="C3956" s="5" t="str">
        <f>IFERROR(__xludf.DUMMYFUNCTION("GOOGLETRANSLATE(B3956,""en"",""de"")"),"Wir sehen, wie ein Hühnchen flattern, es sind Flügel im Hintergrund.")</f>
        <v>Wir sehen, wie ein Hühnchen flattern, es sind Flügel im Hintergrund.</v>
      </c>
    </row>
    <row r="3957">
      <c r="A3957" s="4" t="s">
        <v>4971</v>
      </c>
      <c r="B3957" s="4" t="s">
        <v>4977</v>
      </c>
      <c r="C3957" s="5" t="str">
        <f>IFERROR(__xludf.DUMMYFUNCTION("GOOGLETRANSLATE(B3957,""en"",""de"")"),"Die Dame endet und wirft ihre Hände in die Luft.")</f>
        <v>Die Dame endet und wirft ihre Hände in die Luft.</v>
      </c>
    </row>
    <row r="3958">
      <c r="A3958" s="4" t="s">
        <v>4978</v>
      </c>
      <c r="B3958" s="4" t="s">
        <v>4979</v>
      </c>
      <c r="C3958" s="5" t="str">
        <f>IFERROR(__xludf.DUMMYFUNCTION("GOOGLETRANSLATE(B3958,""en"",""de"")"),"Mädchen sprechen mit der Kamera.")</f>
        <v>Mädchen sprechen mit der Kamera.</v>
      </c>
    </row>
    <row r="3959">
      <c r="A3959" s="4" t="s">
        <v>4978</v>
      </c>
      <c r="B3959" s="4" t="s">
        <v>4980</v>
      </c>
      <c r="C3959" s="5" t="str">
        <f>IFERROR(__xludf.DUMMYFUNCTION("GOOGLETRANSLATE(B3959,""en"",""de"")"),"Sie machen Handbewegungen, während sie sprechen.")</f>
        <v>Sie machen Handbewegungen, während sie sprechen.</v>
      </c>
    </row>
    <row r="3960">
      <c r="A3960" s="4" t="s">
        <v>4978</v>
      </c>
      <c r="B3960" s="4" t="s">
        <v>4981</v>
      </c>
      <c r="C3960" s="5" t="str">
        <f>IFERROR(__xludf.DUMMYFUNCTION("GOOGLETRANSLATE(B3960,""en"",""de"")"),"Sie spielen Rock, Papierschere.")</f>
        <v>Sie spielen Rock, Papierschere.</v>
      </c>
    </row>
    <row r="3961">
      <c r="A3961" s="4" t="s">
        <v>4978</v>
      </c>
      <c r="B3961" s="4" t="s">
        <v>4982</v>
      </c>
      <c r="C3961" s="5" t="str">
        <f>IFERROR(__xludf.DUMMYFUNCTION("GOOGLETRANSLATE(B3961,""en"",""de"")"),"Ein Mädchen legt sich auf den GED, als ein anderes Mädchen ihren Hintern in ihr Gesicht steckt.")</f>
        <v>Ein Mädchen legt sich auf den GED, als ein anderes Mädchen ihren Hintern in ihr Gesicht steckt.</v>
      </c>
    </row>
    <row r="3962">
      <c r="A3962" s="4" t="s">
        <v>4978</v>
      </c>
      <c r="B3962" s="4" t="s">
        <v>4983</v>
      </c>
      <c r="C3962" s="5" t="str">
        <f>IFERROR(__xludf.DUMMYFUNCTION("GOOGLETRANSLATE(B3962,""en"",""de"")"),"Das Mädchen spricht wieder mit der Kamera.")</f>
        <v>Das Mädchen spricht wieder mit der Kamera.</v>
      </c>
    </row>
    <row r="3963">
      <c r="A3963" s="4" t="s">
        <v>4984</v>
      </c>
      <c r="B3963" s="4" t="s">
        <v>4985</v>
      </c>
      <c r="C3963" s="5" t="str">
        <f>IFERROR(__xludf.DUMMYFUNCTION("GOOGLETRANSLATE(B3963,""en"",""de"")"),"Eine Person nimmt eine Katze von einem Stuhl ab.")</f>
        <v>Eine Person nimmt eine Katze von einem Stuhl ab.</v>
      </c>
    </row>
    <row r="3964">
      <c r="A3964" s="4" t="s">
        <v>4984</v>
      </c>
      <c r="B3964" s="4" t="s">
        <v>4986</v>
      </c>
      <c r="C3964" s="5" t="str">
        <f>IFERROR(__xludf.DUMMYFUNCTION("GOOGLETRANSLATE(B3964,""en"",""de"")"),"Sie legen die Katze auf ihren Schoß.")</f>
        <v>Sie legen die Katze auf ihren Schoß.</v>
      </c>
    </row>
    <row r="3965">
      <c r="A3965" s="4" t="s">
        <v>4984</v>
      </c>
      <c r="B3965" s="4" t="s">
        <v>4987</v>
      </c>
      <c r="C3965" s="5" t="str">
        <f>IFERROR(__xludf.DUMMYFUNCTION("GOOGLETRANSLATE(B3965,""en"",""de"")"),"Sie beginnen, die Nägel der Katze zu schneiden.")</f>
        <v>Sie beginnen, die Nägel der Katze zu schneiden.</v>
      </c>
    </row>
    <row r="3966">
      <c r="A3966" s="4" t="s">
        <v>4984</v>
      </c>
      <c r="B3966" s="4" t="s">
        <v>4988</v>
      </c>
      <c r="C3966" s="5" t="str">
        <f>IFERROR(__xludf.DUMMYFUNCTION("GOOGLETRANSLATE(B3966,""en"",""de"")"),"Eine Person sitzt neben ihnen auf einem Laptop.")</f>
        <v>Eine Person sitzt neben ihnen auf einem Laptop.</v>
      </c>
    </row>
    <row r="3967">
      <c r="A3967" s="4" t="s">
        <v>4984</v>
      </c>
      <c r="B3967" s="4" t="s">
        <v>4989</v>
      </c>
      <c r="C3967" s="5" t="str">
        <f>IFERROR(__xludf.DUMMYFUNCTION("GOOGLETRANSLATE(B3967,""en"",""de"")"),"Die Person streichelt den Bauch der Katze.")</f>
        <v>Die Person streichelt den Bauch der Katze.</v>
      </c>
    </row>
    <row r="3968">
      <c r="A3968" s="4" t="s">
        <v>4984</v>
      </c>
      <c r="B3968" s="4" t="s">
        <v>4990</v>
      </c>
      <c r="C3968" s="5" t="str">
        <f>IFERROR(__xludf.DUMMYFUNCTION("GOOGLETRANSLATE(B3968,""en"",""de"")"),"Sie nehmen die Katze zurück und setzen sie auf einen Stuhl.")</f>
        <v>Sie nehmen die Katze zurück und setzen sie auf einen Stuhl.</v>
      </c>
    </row>
    <row r="3969">
      <c r="A3969" s="4" t="s">
        <v>4991</v>
      </c>
      <c r="B3969" s="4" t="s">
        <v>4992</v>
      </c>
      <c r="C3969" s="5" t="str">
        <f>IFERROR(__xludf.DUMMYFUNCTION("GOOGLETRANSLATE(B3969,""en"",""de"")"),"Ein männlicher Athlet bereitet sich darauf vor, eine Strecke herunterzulaufen.")</f>
        <v>Ein männlicher Athlet bereitet sich darauf vor, eine Strecke herunterzulaufen.</v>
      </c>
    </row>
    <row r="3970">
      <c r="A3970" s="4" t="s">
        <v>4991</v>
      </c>
      <c r="B3970" s="4" t="s">
        <v>4993</v>
      </c>
      <c r="C3970" s="5" t="str">
        <f>IFERROR(__xludf.DUMMYFUNCTION("GOOGLETRANSLATE(B3970,""en"",""de"")"),"Er rennt ab und spreizt sich über eine Bar auf eine Matte.")</f>
        <v>Er rennt ab und spreizt sich über eine Bar auf eine Matte.</v>
      </c>
    </row>
    <row r="3971">
      <c r="A3971" s="4" t="s">
        <v>4991</v>
      </c>
      <c r="B3971" s="4" t="s">
        <v>4994</v>
      </c>
      <c r="C3971" s="5" t="str">
        <f>IFERROR(__xludf.DUMMYFUNCTION("GOOGLETRANSLATE(B3971,""en"",""de"")"),"Er springt überflüssig und feiert, als die Menge jubelt.")</f>
        <v>Er springt überflüssig und feiert, als die Menge jubelt.</v>
      </c>
    </row>
    <row r="3972">
      <c r="A3972" s="4" t="s">
        <v>4995</v>
      </c>
      <c r="B3972" s="4" t="s">
        <v>4996</v>
      </c>
      <c r="C3972" s="5" t="str">
        <f>IFERROR(__xludf.DUMMYFUNCTION("GOOGLETRANSLATE(B3972,""en"",""de"")"),"Ein Mann serviert einen Tennisball mit einem Schläger, während er spricht.")</f>
        <v>Ein Mann serviert einen Tennisball mit einem Schläger, während er spricht.</v>
      </c>
    </row>
    <row r="3973">
      <c r="A3973" s="4" t="s">
        <v>4995</v>
      </c>
      <c r="B3973" s="4" t="s">
        <v>4997</v>
      </c>
      <c r="C3973" s="5" t="str">
        <f>IFERROR(__xludf.DUMMYFUNCTION("GOOGLETRANSLATE(B3973,""en"",""de"")"),"Der Mann springt einen Ball und zeigt, wie man den Körper bewegt, dann serviert er einen Ball.")</f>
        <v>Der Mann springt einen Ball und zeigt, wie man den Körper bewegt, dann serviert er einen Ball.</v>
      </c>
    </row>
    <row r="3974">
      <c r="A3974" s="4" t="s">
        <v>4995</v>
      </c>
      <c r="B3974" s="4" t="s">
        <v>4998</v>
      </c>
      <c r="C3974" s="5" t="str">
        <f>IFERROR(__xludf.DUMMYFUNCTION("GOOGLETRANSLATE(B3974,""en"",""de"")"),"Der Mann spricht weiter im Tennisplatz.")</f>
        <v>Der Mann spricht weiter im Tennisplatz.</v>
      </c>
    </row>
    <row r="3975">
      <c r="A3975" s="4" t="s">
        <v>4999</v>
      </c>
      <c r="B3975" s="4" t="s">
        <v>5000</v>
      </c>
      <c r="C3975" s="5" t="str">
        <f>IFERROR(__xludf.DUMMYFUNCTION("GOOGLETRANSLATE(B3975,""en"",""de"")"),"Eine Sportlerin steht auf einem Feld und rennt ab und springt in die Grube.")</f>
        <v>Eine Sportlerin steht auf einem Feld und rennt ab und springt in die Grube.</v>
      </c>
    </row>
    <row r="3976">
      <c r="A3976" s="4" t="s">
        <v>4999</v>
      </c>
      <c r="B3976" s="4" t="s">
        <v>5001</v>
      </c>
      <c r="C3976" s="5" t="str">
        <f>IFERROR(__xludf.DUMMYFUNCTION("GOOGLETRANSLATE(B3976,""en"",""de"")"),"Danach geht sie weg und ihr Sprung ist Maßnahmen, als sie ihre Wiederholung zeigen.")</f>
        <v>Danach geht sie weg und ihr Sprung ist Maßnahmen, als sie ihre Wiederholung zeigen.</v>
      </c>
    </row>
    <row r="3977">
      <c r="A3977" s="4" t="s">
        <v>4999</v>
      </c>
      <c r="B3977" s="4" t="s">
        <v>5002</v>
      </c>
      <c r="C3977" s="5" t="str">
        <f>IFERROR(__xludf.DUMMYFUNCTION("GOOGLETRANSLATE(B3977,""en"",""de"")"),"Danach beginnen mehr Mädchen zu springen und ihr Team zu repräsentieren, und ihre Sprünge werden ebenfalls gemessen.")</f>
        <v>Danach beginnen mehr Mädchen zu springen und ihr Team zu repräsentieren, und ihre Sprünge werden ebenfalls gemessen.</v>
      </c>
    </row>
    <row r="3978">
      <c r="A3978" s="4" t="s">
        <v>4999</v>
      </c>
      <c r="B3978" s="4" t="s">
        <v>5003</v>
      </c>
      <c r="C3978" s="5" t="str">
        <f>IFERROR(__xludf.DUMMYFUNCTION("GOOGLETRANSLATE(B3978,""en"",""de"")"),"Für den letzten Sprung wird jedoch eine Nahaufnahme des Boards gezeigt, weil ihr Fuß ihn kaum berührt und sie ihr Anerkennung für diese Zentimeter geben möchte.")</f>
        <v>Für den letzten Sprung wird jedoch eine Nahaufnahme des Boards gezeigt, weil ihr Fuß ihn kaum berührt und sie ihr Anerkennung für diese Zentimeter geben möchte.</v>
      </c>
    </row>
    <row r="3979">
      <c r="A3979" s="4" t="s">
        <v>5004</v>
      </c>
      <c r="B3979" s="4" t="s">
        <v>5005</v>
      </c>
      <c r="C3979" s="5" t="str">
        <f>IFERROR(__xludf.DUMMYFUNCTION("GOOGLETRANSLATE(B3979,""en"",""de"")"),"Wir sehen zwei Mannschaften von Männern, die im Inneren Fußball spielen.")</f>
        <v>Wir sehen zwei Mannschaften von Männern, die im Inneren Fußball spielen.</v>
      </c>
    </row>
    <row r="3980">
      <c r="A3980" s="4" t="s">
        <v>5004</v>
      </c>
      <c r="B3980" s="4" t="s">
        <v>5006</v>
      </c>
      <c r="C3980" s="5" t="str">
        <f>IFERROR(__xludf.DUMMYFUNCTION("GOOGLETRANSLATE(B3980,""en"",""de"")"),"Zwei Männer kollidieren und fallen zu Boden.")</f>
        <v>Zwei Männer kollidieren und fallen zu Boden.</v>
      </c>
    </row>
    <row r="3981">
      <c r="A3981" s="4" t="s">
        <v>5004</v>
      </c>
      <c r="B3981" s="4" t="s">
        <v>5007</v>
      </c>
      <c r="C3981" s="5" t="str">
        <f>IFERROR(__xludf.DUMMYFUNCTION("GOOGLETRANSLATE(B3981,""en"",""de"")"),"Drei Männer hoch fünf und umarmen sich.")</f>
        <v>Drei Männer hoch fünf und umarmen sich.</v>
      </c>
    </row>
    <row r="3982">
      <c r="A3982" s="4" t="s">
        <v>5004</v>
      </c>
      <c r="B3982" s="4" t="s">
        <v>5008</v>
      </c>
      <c r="C3982" s="5" t="str">
        <f>IFERROR(__xludf.DUMMYFUNCTION("GOOGLETRANSLATE(B3982,""en"",""de"")"),"Ein Mann wirft den Ball klar durch den Raum zum anderen Tor.")</f>
        <v>Ein Mann wirft den Ball klar durch den Raum zum anderen Tor.</v>
      </c>
    </row>
    <row r="3983">
      <c r="A3983" s="4" t="s">
        <v>5004</v>
      </c>
      <c r="B3983" s="4" t="s">
        <v>5009</v>
      </c>
      <c r="C3983" s="5" t="str">
        <f>IFERROR(__xludf.DUMMYFUNCTION("GOOGLETRANSLATE(B3983,""en"",""de"")"),"Zwei Leute von Menschen und die Menge werden interviewt.")</f>
        <v>Zwei Leute von Menschen und die Menge werden interviewt.</v>
      </c>
    </row>
    <row r="3984">
      <c r="A3984" s="4" t="s">
        <v>5004</v>
      </c>
      <c r="B3984" s="4" t="s">
        <v>5010</v>
      </c>
      <c r="C3984" s="5" t="str">
        <f>IFERROR(__xludf.DUMMYFUNCTION("GOOGLETRANSLATE(B3984,""en"",""de"")"),"Wir sehen die Menge und ein Mann interviewt und sehen einige Toraufnahmen.")</f>
        <v>Wir sehen die Menge und ein Mann interviewt und sehen einige Toraufnahmen.</v>
      </c>
    </row>
    <row r="3985">
      <c r="A3985" s="4" t="s">
        <v>5004</v>
      </c>
      <c r="B3985" s="4" t="s">
        <v>5011</v>
      </c>
      <c r="C3985" s="5" t="str">
        <f>IFERROR(__xludf.DUMMYFUNCTION("GOOGLETRANSLATE(B3985,""en"",""de"")"),"Wir sehen, wie drei Männer stehen und für ein Foto posieren, und ein Mann wird interviewt, bevor wir zum Spiel zurückkehren.")</f>
        <v>Wir sehen, wie drei Männer stehen und für ein Foto posieren, und ein Mann wird interviewt, bevor wir zum Spiel zurückkehren.</v>
      </c>
    </row>
    <row r="3986">
      <c r="A3986" s="4" t="s">
        <v>5012</v>
      </c>
      <c r="B3986" s="4" t="s">
        <v>5013</v>
      </c>
      <c r="C3986" s="5" t="str">
        <f>IFERROR(__xludf.DUMMYFUNCTION("GOOGLETRANSLATE(B3986,""en"",""de"")"),"Ein Mann und eine Frau sitzen auf einer Couch.")</f>
        <v>Ein Mann und eine Frau sitzen auf einer Couch.</v>
      </c>
    </row>
    <row r="3987">
      <c r="A3987" s="4" t="s">
        <v>5012</v>
      </c>
      <c r="B3987" s="4" t="s">
        <v>5014</v>
      </c>
      <c r="C3987" s="5" t="str">
        <f>IFERROR(__xludf.DUMMYFUNCTION("GOOGLETRANSLATE(B3987,""en"",""de"")"),"Sie fahren in einem Auto eine Straße hinunter.")</f>
        <v>Sie fahren in einem Auto eine Straße hinunter.</v>
      </c>
    </row>
    <row r="3988">
      <c r="A3988" s="4" t="s">
        <v>5012</v>
      </c>
      <c r="B3988" s="4" t="s">
        <v>5015</v>
      </c>
      <c r="C3988" s="5" t="str">
        <f>IFERROR(__xludf.DUMMYFUNCTION("GOOGLETRANSLATE(B3988,""en"",""de"")"),"Sie rollen einen Bürgersteig hinunter.")</f>
        <v>Sie rollen einen Bürgersteig hinunter.</v>
      </c>
    </row>
    <row r="3989">
      <c r="A3989" s="4" t="s">
        <v>5016</v>
      </c>
      <c r="B3989" s="4" t="s">
        <v>5017</v>
      </c>
      <c r="C3989" s="5" t="str">
        <f>IFERROR(__xludf.DUMMYFUNCTION("GOOGLETRANSLATE(B3989,""en"",""de"")"),"Es gibt einen Mann in einem weißen Hemd, das im 60 -minütigen Programm des Moderators der Show interviewt wird.")</f>
        <v>Es gibt einen Mann in einem weißen Hemd, das im 60 -minütigen Programm des Moderators der Show interviewt wird.</v>
      </c>
    </row>
    <row r="3990">
      <c r="A3990" s="4" t="s">
        <v>5016</v>
      </c>
      <c r="B3990" s="4" t="s">
        <v>5018</v>
      </c>
      <c r="C3990" s="5" t="str">
        <f>IFERROR(__xludf.DUMMYFUNCTION("GOOGLETRANSLATE(B3990,""en"",""de"")"),"Er spricht über seine Teilnahme als Matador an einem Bullenkampf -Ereignis, bei dem es mehrere Zuschauer gibt, die ihn beobachten.")</f>
        <v>Er spricht über seine Teilnahme als Matador an einem Bullenkampf -Ereignis, bei dem es mehrere Zuschauer gibt, die ihn beobachten.</v>
      </c>
    </row>
    <row r="3991">
      <c r="A3991" s="4" t="s">
        <v>5016</v>
      </c>
      <c r="B3991" s="4" t="s">
        <v>5019</v>
      </c>
      <c r="C3991" s="5" t="str">
        <f>IFERROR(__xludf.DUMMYFUNCTION("GOOGLETRANSLATE(B3991,""en"",""de"")"),"Während der Veranstaltung wird er verletzt und von den Sanitätern zur Erste -Hilfe -Behandlung auf einer Trage aufgenommen.")</f>
        <v>Während der Veranstaltung wird er verletzt und von den Sanitätern zur Erste -Hilfe -Behandlung auf einer Trage aufgenommen.</v>
      </c>
    </row>
    <row r="3992">
      <c r="A3992" s="4" t="s">
        <v>5020</v>
      </c>
      <c r="B3992" s="4" t="s">
        <v>5021</v>
      </c>
      <c r="C3992" s="5" t="str">
        <f>IFERROR(__xludf.DUMMYFUNCTION("GOOGLETRANSLATE(B3992,""en"",""de"")"),"Ein Mann spricht mit der Kamera und führt in mehrere Schüsse eines Bootes auf Wasser sowie Menschen, die eine Kamera und ein Weckbord haben.")</f>
        <v>Ein Mann spricht mit der Kamera und führt in mehrere Schüsse eines Bootes auf Wasser sowie Menschen, die eine Kamera und ein Weckbord haben.</v>
      </c>
    </row>
    <row r="3993">
      <c r="A3993" s="4" t="s">
        <v>5020</v>
      </c>
      <c r="B3993" s="4" t="s">
        <v>5022</v>
      </c>
      <c r="C3993" s="5" t="str">
        <f>IFERROR(__xludf.DUMMYFUNCTION("GOOGLETRANSLATE(B3993,""en"",""de"")"),"Die Menschen werden dann auf einem Felsen klettern und durch einen Wald herumlaufen, indem sie im Wasser springen.")</f>
        <v>Die Menschen werden dann auf einem Felsen klettern und durch einen Wald herumlaufen, indem sie im Wasser springen.</v>
      </c>
    </row>
    <row r="3994">
      <c r="A3994" s="4" t="s">
        <v>5020</v>
      </c>
      <c r="B3994" s="4" t="s">
        <v>5023</v>
      </c>
      <c r="C3994" s="5" t="str">
        <f>IFERROR(__xludf.DUMMYFUNCTION("GOOGLETRANSLATE(B3994,""en"",""de"")"),"Weitere Clips werden aus dem Wakeboarden angezeigt und im Boot fahren und ins Wasser springen.")</f>
        <v>Weitere Clips werden aus dem Wakeboarden angezeigt und im Boot fahren und ins Wasser springen.</v>
      </c>
    </row>
    <row r="3995">
      <c r="A3995" s="4" t="s">
        <v>5024</v>
      </c>
      <c r="B3995" s="4" t="s">
        <v>5025</v>
      </c>
      <c r="C3995" s="5" t="str">
        <f>IFERROR(__xludf.DUMMYFUNCTION("GOOGLETRANSLATE(B3995,""en"",""de"")"),"Frauen befinden sich im Hintergrund eines Fitnessstudios.")</f>
        <v>Frauen befinden sich im Hintergrund eines Fitnessstudios.</v>
      </c>
    </row>
    <row r="3996">
      <c r="A3996" s="4" t="s">
        <v>5024</v>
      </c>
      <c r="B3996" s="4" t="s">
        <v>5026</v>
      </c>
      <c r="C3996" s="5" t="str">
        <f>IFERROR(__xludf.DUMMYFUNCTION("GOOGLETRANSLATE(B3996,""en"",""de"")"),"Der Mensch bereitet sich darauf vor, das Gewicht zu heben und steht vor Gewicht.")</f>
        <v>Der Mensch bereitet sich darauf vor, das Gewicht zu heben und steht vor Gewicht.</v>
      </c>
    </row>
    <row r="3997">
      <c r="A3997" s="4" t="s">
        <v>5027</v>
      </c>
      <c r="B3997" s="4" t="s">
        <v>5028</v>
      </c>
      <c r="C3997" s="5" t="str">
        <f>IFERROR(__xludf.DUMMYFUNCTION("GOOGLETRANSLATE(B3997,""en"",""de"")"),"Stacy klatscht und wird gepumpt und bereit zur Durchführung.")</f>
        <v>Stacy klatscht und wird gepumpt und bereit zur Durchführung.</v>
      </c>
    </row>
    <row r="3998">
      <c r="A3998" s="4" t="s">
        <v>5027</v>
      </c>
      <c r="B3998" s="4" t="s">
        <v>5029</v>
      </c>
      <c r="C3998" s="5" t="str">
        <f>IFERROR(__xludf.DUMMYFUNCTION("GOOGLETRANSLATE(B3998,""en"",""de"")"),"Sie bekommt ihre Stange und beginnt damit zu rennen und springt auf das Kissen.")</f>
        <v>Sie bekommt ihre Stange und beginnt damit zu rennen und springt auf das Kissen.</v>
      </c>
    </row>
    <row r="3999">
      <c r="A3999" s="4" t="s">
        <v>5027</v>
      </c>
      <c r="B3999" s="4" t="s">
        <v>5030</v>
      </c>
      <c r="C3999" s="5" t="str">
        <f>IFERROR(__xludf.DUMMYFUNCTION("GOOGLETRANSLATE(B3999,""en"",""de"")"),"Dann folgen andere Frauen nach, nachdem sie anders erzielt wurde.")</f>
        <v>Dann folgen andere Frauen nach, nachdem sie anders erzielt wurde.</v>
      </c>
    </row>
    <row r="4000">
      <c r="A4000" s="4" t="s">
        <v>5027</v>
      </c>
      <c r="B4000" s="4" t="s">
        <v>5031</v>
      </c>
      <c r="C4000" s="5" t="str">
        <f>IFERROR(__xludf.DUMMYFUNCTION("GOOGLETRANSLATE(B4000,""en"",""de"")"),"Als nächstes kommt die Männer an der Reihe, um sich nacheinander zu drehen, folgte den Frauen.")</f>
        <v>Als nächstes kommt die Männer an der Reihe, um sich nacheinander zu drehen, folgte den Frauen.</v>
      </c>
    </row>
    <row r="4001">
      <c r="A4001" s="4" t="s">
        <v>5032</v>
      </c>
      <c r="B4001" s="4" t="s">
        <v>5033</v>
      </c>
      <c r="C4001" s="5" t="str">
        <f>IFERROR(__xludf.DUMMYFUNCTION("GOOGLETRANSLATE(B4001,""en"",""de"")"),"Eine Katze wird in der Nähe des Hands einer Person gezeigt, die die Nägel an der Katze schneidet.")</f>
        <v>Eine Katze wird in der Nähe des Hands einer Person gezeigt, die die Nägel an der Katze schneidet.</v>
      </c>
    </row>
    <row r="4002">
      <c r="A4002" s="4" t="s">
        <v>5032</v>
      </c>
      <c r="B4002" s="4" t="s">
        <v>5034</v>
      </c>
      <c r="C4002" s="5" t="str">
        <f>IFERROR(__xludf.DUMMYFUNCTION("GOOGLETRANSLATE(B4002,""en"",""de"")"),"Die Person schneidet die Krallen weiter, während die Katze mehrmals versucht, aufzustehen.")</f>
        <v>Die Person schneidet die Krallen weiter, während die Katze mehrmals versucht, aufzustehen.</v>
      </c>
    </row>
    <row r="4003">
      <c r="A4003" s="4" t="s">
        <v>5035</v>
      </c>
      <c r="B4003" s="4" t="s">
        <v>5036</v>
      </c>
      <c r="C4003" s="5" t="str">
        <f>IFERROR(__xludf.DUMMYFUNCTION("GOOGLETRANSLATE(B4003,""en"",""de"")"),"Ein kleines Zitat tritt auf den Bildschirm auf und die Titelseiten folgen.")</f>
        <v>Ein kleines Zitat tritt auf den Bildschirm auf und die Titelseiten folgen.</v>
      </c>
    </row>
    <row r="4004">
      <c r="A4004" s="4" t="s">
        <v>5035</v>
      </c>
      <c r="B4004" s="4" t="s">
        <v>5037</v>
      </c>
      <c r="C4004" s="5" t="str">
        <f>IFERROR(__xludf.DUMMYFUNCTION("GOOGLETRANSLATE(B4004,""en"",""de"")"),"Danach sind mehrere Personen draußen in einem Feld abgebildet, der ihre Pferde pflegt.")</f>
        <v>Danach sind mehrere Personen draußen in einem Feld abgebildet, der ihre Pferde pflegt.</v>
      </c>
    </row>
    <row r="4005">
      <c r="A4005" s="4" t="s">
        <v>5035</v>
      </c>
      <c r="B4005" s="4" t="s">
        <v>5038</v>
      </c>
      <c r="C4005" s="5" t="str">
        <f>IFERROR(__xludf.DUMMYFUNCTION("GOOGLETRANSLATE(B4005,""en"",""de"")"),"Schließlich steigen die Leute dann auf ihre Pferde und alle beginnen miteinander zu konkurrieren, um ein Polospiel zu spielen.")</f>
        <v>Schließlich steigen die Leute dann auf ihre Pferde und alle beginnen miteinander zu konkurrieren, um ein Polospiel zu spielen.</v>
      </c>
    </row>
    <row r="4006">
      <c r="A4006" s="4" t="s">
        <v>5035</v>
      </c>
      <c r="B4006" s="4" t="s">
        <v>5039</v>
      </c>
      <c r="C4006" s="5" t="str">
        <f>IFERROR(__xludf.DUMMYFUNCTION("GOOGLETRANSLATE(B4006,""en"",""de"")"),"Während des Spiels wird eine Frau auf der Seite des Feldes angezeigt und ein kleines Logo für die Fotografie -Shows am Ende des Bildschirms.")</f>
        <v>Während des Spiels wird eine Frau auf der Seite des Feldes angezeigt und ein kleines Logo für die Fotografie -Shows am Ende des Bildschirms.</v>
      </c>
    </row>
    <row r="4007">
      <c r="A4007" s="4" t="s">
        <v>5040</v>
      </c>
      <c r="B4007" s="4" t="s">
        <v>5041</v>
      </c>
      <c r="C4007" s="5" t="str">
        <f>IFERROR(__xludf.DUMMYFUNCTION("GOOGLETRANSLATE(B4007,""en"",""de"")"),"Diese Person hat getrocknete Körner und bringt sie jetzt in einen kleinen Mixer.")</f>
        <v>Diese Person hat getrocknete Körner und bringt sie jetzt in einen kleinen Mixer.</v>
      </c>
    </row>
    <row r="4008">
      <c r="A4008" s="4" t="s">
        <v>5040</v>
      </c>
      <c r="B4008" s="4" t="s">
        <v>5042</v>
      </c>
      <c r="C4008" s="5" t="str">
        <f>IFERROR(__xludf.DUMMYFUNCTION("GOOGLETRANSLATE(B4008,""en"",""de"")"),"Dann fügt er ein Ei und Salz zu den Körnern sowie anderen Zutaten hinzu.")</f>
        <v>Dann fügt er ein Ei und Salz zu den Körnern sowie anderen Zutaten hinzu.</v>
      </c>
    </row>
    <row r="4009">
      <c r="A4009" s="4" t="s">
        <v>5040</v>
      </c>
      <c r="B4009" s="4" t="s">
        <v>5043</v>
      </c>
      <c r="C4009" s="5" t="str">
        <f>IFERROR(__xludf.DUMMYFUNCTION("GOOGLETRANSLATE(B4009,""en"",""de"")"),"Als nächstes macht er einen Ball aus dem Getreide und flacht ihn dann aus. Dann legt er eine Tasse darauf, um kleine runde Kekse zu machen.")</f>
        <v>Als nächstes macht er einen Ball aus dem Getreide und flacht ihn dann aus. Dann legt er eine Tasse darauf, um kleine runde Kekse zu machen.</v>
      </c>
    </row>
    <row r="4010">
      <c r="A4010" s="4" t="s">
        <v>5040</v>
      </c>
      <c r="B4010" s="4" t="s">
        <v>5044</v>
      </c>
      <c r="C4010" s="5" t="str">
        <f>IFERROR(__xludf.DUMMYFUNCTION("GOOGLETRANSLATE(B4010,""en"",""de"")"),"Er legt sie in eine Pfanne und in einen Ofen, nachdem sie fertig sind, isst er sie zusammen mit etwas Bier.")</f>
        <v>Er legt sie in eine Pfanne und in einen Ofen, nachdem sie fertig sind, isst er sie zusammen mit etwas Bier.</v>
      </c>
    </row>
    <row r="4011">
      <c r="A4011" s="4" t="s">
        <v>5045</v>
      </c>
      <c r="B4011" s="4" t="s">
        <v>5046</v>
      </c>
      <c r="C4011" s="5" t="str">
        <f>IFERROR(__xludf.DUMMYFUNCTION("GOOGLETRANSLATE(B4011,""en"",""de"")"),"Ein Mann wirft einen Ball auf ein Feld.")</f>
        <v>Ein Mann wirft einen Ball auf ein Feld.</v>
      </c>
    </row>
    <row r="4012">
      <c r="A4012" s="4" t="s">
        <v>5045</v>
      </c>
      <c r="B4012" s="4" t="s">
        <v>5047</v>
      </c>
      <c r="C4012" s="5" t="str">
        <f>IFERROR(__xludf.DUMMYFUNCTION("GOOGLETRANSLATE(B4012,""en"",""de"")"),"Menschen stehen herum und messen die Entfernung.")</f>
        <v>Menschen stehen herum und messen die Entfernung.</v>
      </c>
    </row>
    <row r="4013">
      <c r="A4013" s="4" t="s">
        <v>5045</v>
      </c>
      <c r="B4013" s="4" t="s">
        <v>5048</v>
      </c>
      <c r="C4013" s="5" t="str">
        <f>IFERROR(__xludf.DUMMYFUNCTION("GOOGLETRANSLATE(B4013,""en"",""de"")"),"Die Leute beobachten sie von der Seitenlinie aus.")</f>
        <v>Die Leute beobachten sie von der Seitenlinie aus.</v>
      </c>
    </row>
    <row r="4014">
      <c r="A4014" s="4" t="s">
        <v>5049</v>
      </c>
      <c r="B4014" s="4" t="s">
        <v>5050</v>
      </c>
      <c r="C4014" s="5" t="str">
        <f>IFERROR(__xludf.DUMMYFUNCTION("GOOGLETRANSLATE(B4014,""en"",""de"")"),"Ein Mann steht in einem Wohnzimmer.")</f>
        <v>Ein Mann steht in einem Wohnzimmer.</v>
      </c>
    </row>
    <row r="4015">
      <c r="A4015" s="4" t="s">
        <v>5049</v>
      </c>
      <c r="B4015" s="4" t="s">
        <v>5051</v>
      </c>
      <c r="C4015" s="5" t="str">
        <f>IFERROR(__xludf.DUMMYFUNCTION("GOOGLETRANSLATE(B4015,""en"",""de"")"),"Er benutzt seine Hände, um ein Set Trommeln zu schlagen.")</f>
        <v>Er benutzt seine Hände, um ein Set Trommeln zu schlagen.</v>
      </c>
    </row>
    <row r="4016">
      <c r="A4016" s="4" t="s">
        <v>5049</v>
      </c>
      <c r="B4016" s="4" t="s">
        <v>5052</v>
      </c>
      <c r="C4016" s="5" t="str">
        <f>IFERROR(__xludf.DUMMYFUNCTION("GOOGLETRANSLATE(B4016,""en"",""de"")"),"Er spielt weiterhin für den Rest des Videos.")</f>
        <v>Er spielt weiterhin für den Rest des Videos.</v>
      </c>
    </row>
    <row r="4017">
      <c r="A4017" s="4" t="s">
        <v>5053</v>
      </c>
      <c r="B4017" s="4" t="s">
        <v>5054</v>
      </c>
      <c r="C4017" s="5" t="str">
        <f>IFERROR(__xludf.DUMMYFUNCTION("GOOGLETRANSLATE(B4017,""en"",""de"")"),"Mehrere Menschen in Donut -inblasbaren Flößen schweben einen schmalen Bach entlang, der von Menschen geleitet wird, die ihnen im Wasser helfen, und beobachteten von einer kleinen Gruppe von Menschen auf dem nahe gelegenen Land.")</f>
        <v>Mehrere Menschen in Donut -inblasbaren Flößen schweben einen schmalen Bach entlang, der von Menschen geleitet wird, die ihnen im Wasser helfen, und beobachteten von einer kleinen Gruppe von Menschen auf dem nahe gelegenen Land.</v>
      </c>
    </row>
    <row r="4018">
      <c r="A4018" s="4" t="s">
        <v>5053</v>
      </c>
      <c r="B4018" s="4" t="s">
        <v>5055</v>
      </c>
      <c r="C4018" s="5" t="str">
        <f>IFERROR(__xludf.DUMMYFUNCTION("GOOGLETRANSLATE(B4018,""en"",""de"")"),"Eine Gruppe von Menschen, die in einer Linie schweben, einen schmalen Wasserstrom in Donut -förmigen, schwarzen aufblasbaren Flößen hinunter.")</f>
        <v>Eine Gruppe von Menschen, die in einer Linie schweben, einen schmalen Wasserstrom in Donut -förmigen, schwarzen aufblasbaren Flößen hinunter.</v>
      </c>
    </row>
    <row r="4019">
      <c r="A4019" s="4" t="s">
        <v>5053</v>
      </c>
      <c r="B4019" s="4" t="s">
        <v>5056</v>
      </c>
      <c r="C4019" s="5" t="str">
        <f>IFERROR(__xludf.DUMMYFUNCTION("GOOGLETRANSLATE(B4019,""en"",""de"")"),"Eine Frau steckt im Floß auf einem Felsen und schießt sich los.")</f>
        <v>Eine Frau steckt im Floß auf einem Felsen und schießt sich los.</v>
      </c>
    </row>
    <row r="4020">
      <c r="A4020" s="4" t="s">
        <v>5053</v>
      </c>
      <c r="B4020" s="4" t="s">
        <v>5057</v>
      </c>
      <c r="C4020" s="5" t="str">
        <f>IFERROR(__xludf.DUMMYFUNCTION("GOOGLETRANSLATE(B4020,""en"",""de"")"),"Die Menschen erreichen das Ende des engen Stroms, in dem eine Gruppe von Menschen ihnen von den Flößen hilft und eine andere kleine Gruppe von Menschen sie aus dem nahe gelegenen Land beobachtet.")</f>
        <v>Die Menschen erreichen das Ende des engen Stroms, in dem eine Gruppe von Menschen ihnen von den Flößen hilft und eine andere kleine Gruppe von Menschen sie aus dem nahe gelegenen Land beobachtet.</v>
      </c>
    </row>
    <row r="4021">
      <c r="A4021" s="4" t="s">
        <v>5058</v>
      </c>
      <c r="B4021" s="4" t="s">
        <v>5059</v>
      </c>
      <c r="C4021" s="5" t="str">
        <f>IFERROR(__xludf.DUMMYFUNCTION("GOOGLETRANSLATE(B4021,""en"",""de"")"),"Der Mann hält einen Aufprallbohrer und zieht ein Autorad heraus.")</f>
        <v>Der Mann hält einen Aufprallbohrer und zieht ein Autorad heraus.</v>
      </c>
    </row>
    <row r="4022">
      <c r="A4022" s="4" t="s">
        <v>5058</v>
      </c>
      <c r="B4022" s="4" t="s">
        <v>5060</v>
      </c>
      <c r="C4022" s="5" t="str">
        <f>IFERROR(__xludf.DUMMYFUNCTION("GOOGLETRANSLATE(B4022,""en"",""de"")"),"Der Mensch hält das Rad in einem Tisch und nimmt den Gummi vom Rand heraus und er ändert es für einen anderen.")</f>
        <v>Der Mensch hält das Rad in einem Tisch und nimmt den Gummi vom Rand heraus und er ändert es für einen anderen.</v>
      </c>
    </row>
    <row r="4023">
      <c r="A4023" s="4" t="s">
        <v>5058</v>
      </c>
      <c r="B4023" s="4" t="s">
        <v>5061</v>
      </c>
      <c r="C4023" s="5" t="str">
        <f>IFERROR(__xludf.DUMMYFUNCTION("GOOGLETRANSLATE(B4023,""en"",""de"")"),"Das Auto befindet sich in der Straße neben einem Berg.")</f>
        <v>Das Auto befindet sich in der Straße neben einem Berg.</v>
      </c>
    </row>
    <row r="4024">
      <c r="A4024" s="4" t="s">
        <v>5062</v>
      </c>
      <c r="B4024" s="4" t="s">
        <v>5063</v>
      </c>
      <c r="C4024" s="5" t="str">
        <f>IFERROR(__xludf.DUMMYFUNCTION("GOOGLETRANSLATE(B4024,""en"",""de"")"),"Eine Dame steht in einem Tanzstudio.")</f>
        <v>Eine Dame steht in einem Tanzstudio.</v>
      </c>
    </row>
    <row r="4025">
      <c r="A4025" s="4" t="s">
        <v>5062</v>
      </c>
      <c r="B4025" s="4" t="s">
        <v>5064</v>
      </c>
      <c r="C4025" s="5" t="str">
        <f>IFERROR(__xludf.DUMMYFUNCTION("GOOGLETRANSLATE(B4025,""en"",""de"")"),"Die Dame spielt einen Balletttanz.")</f>
        <v>Die Dame spielt einen Balletttanz.</v>
      </c>
    </row>
    <row r="4026">
      <c r="A4026" s="4" t="s">
        <v>5062</v>
      </c>
      <c r="B4026" s="4" t="s">
        <v>5065</v>
      </c>
      <c r="C4026" s="5" t="str">
        <f>IFERROR(__xludf.DUMMYFUNCTION("GOOGLETRANSLATE(B4026,""en"",""de"")"),"Die Dame hebt ihr Bein hinter sich und bewegt es nach vorne und ruht es auf ihrem Bein.")</f>
        <v>Die Dame hebt ihr Bein hinter sich und bewegt es nach vorne und ruht es auf ihrem Bein.</v>
      </c>
    </row>
    <row r="4027">
      <c r="A4027" s="4" t="s">
        <v>5062</v>
      </c>
      <c r="B4027" s="4" t="s">
        <v>5066</v>
      </c>
      <c r="C4027" s="5" t="str">
        <f>IFERROR(__xludf.DUMMYFUNCTION("GOOGLETRANSLATE(B4027,""en"",""de"")"),"Die Dame steht vor der Kamera gegenüber dem Spiegel.")</f>
        <v>Die Dame steht vor der Kamera gegenüber dem Spiegel.</v>
      </c>
    </row>
    <row r="4028">
      <c r="A4028" s="4" t="s">
        <v>5062</v>
      </c>
      <c r="B4028" s="4" t="s">
        <v>5067</v>
      </c>
      <c r="C4028" s="5" t="str">
        <f>IFERROR(__xludf.DUMMYFUNCTION("GOOGLETRANSLATE(B4028,""en"",""de"")"),"Wir sehen eine Person auf der linken Seite des Raumes.")</f>
        <v>Wir sehen eine Person auf der linken Seite des Raumes.</v>
      </c>
    </row>
    <row r="4029">
      <c r="A4029" s="4" t="s">
        <v>5068</v>
      </c>
      <c r="B4029" s="4" t="s">
        <v>5069</v>
      </c>
      <c r="C4029" s="5" t="str">
        <f>IFERROR(__xludf.DUMMYFUNCTION("GOOGLETRANSLATE(B4029,""en"",""de"")"),"Ein Spielzeughund geht auf dem Boden.")</f>
        <v>Ein Spielzeughund geht auf dem Boden.</v>
      </c>
    </row>
    <row r="4030">
      <c r="A4030" s="4" t="s">
        <v>5068</v>
      </c>
      <c r="B4030" s="4" t="s">
        <v>5070</v>
      </c>
      <c r="C4030" s="5" t="str">
        <f>IFERROR(__xludf.DUMMYFUNCTION("GOOGLETRANSLATE(B4030,""en"",""de"")"),"Es hört auf, sich hin und her zu sehen.")</f>
        <v>Es hört auf, sich hin und her zu sehen.</v>
      </c>
    </row>
    <row r="4031">
      <c r="A4031" s="4" t="s">
        <v>5068</v>
      </c>
      <c r="B4031" s="4" t="s">
        <v>5071</v>
      </c>
      <c r="C4031" s="5" t="str">
        <f>IFERROR(__xludf.DUMMYFUNCTION("GOOGLETRANSLATE(B4031,""en"",""de"")"),"Jemand nimmt den Hund auf und legt ihn wieder ab.")</f>
        <v>Jemand nimmt den Hund auf und legt ihn wieder ab.</v>
      </c>
    </row>
    <row r="4032">
      <c r="A4032" s="4" t="s">
        <v>5072</v>
      </c>
      <c r="B4032" s="4" t="s">
        <v>5073</v>
      </c>
      <c r="C4032" s="5" t="str">
        <f>IFERROR(__xludf.DUMMYFUNCTION("GOOGLETRANSLATE(B4032,""en"",""de"")"),"Ein Mann bei einem professionellen Sportereignis führt einen Weitsprung über eine Sandgrube vor einem mit Menschen gefüllten Stadion durch.")</f>
        <v>Ein Mann bei einem professionellen Sportereignis führt einen Weitsprung über eine Sandgrube vor einem mit Menschen gefüllten Stadion durch.</v>
      </c>
    </row>
    <row r="4033">
      <c r="A4033" s="4" t="s">
        <v>5072</v>
      </c>
      <c r="B4033" s="4" t="s">
        <v>5074</v>
      </c>
      <c r="C4033" s="5" t="str">
        <f>IFERROR(__xludf.DUMMYFUNCTION("GOOGLETRANSLATE(B4033,""en"",""de"")"),"Der Mann beginnt damit, das Publikum zu klatschen, indem er seine Hände auf die Menge wirft und auf Applaus gestikuliert wird.")</f>
        <v>Der Mann beginnt damit, das Publikum zu klatschen, indem er seine Hände auf die Menge wirft und auf Applaus gestikuliert wird.</v>
      </c>
    </row>
    <row r="4034">
      <c r="A4034" s="4" t="s">
        <v>5072</v>
      </c>
      <c r="B4034" s="4" t="s">
        <v>5075</v>
      </c>
      <c r="C4034" s="5" t="str">
        <f>IFERROR(__xludf.DUMMYFUNCTION("GOOGLETRANSLATE(B4034,""en"",""de"")"),"Der Mann kniet sich leicht an, um sich auf den Lauf vorzubereiten, und beginnt eine schmale Spur hinunter, bevor er die Luft über dem Sandkasten katapultiert.")</f>
        <v>Der Mann kniet sich leicht an, um sich auf den Lauf vorzubereiten, und beginnt eine schmale Spur hinunter, bevor er die Luft über dem Sandkasten katapultiert.</v>
      </c>
    </row>
    <row r="4035">
      <c r="A4035" s="4" t="s">
        <v>5072</v>
      </c>
      <c r="B4035" s="4" t="s">
        <v>5076</v>
      </c>
      <c r="C4035" s="5" t="str">
        <f>IFERROR(__xludf.DUMMYFUNCTION("GOOGLETRANSLATE(B4035,""en"",""de"")"),"Der Mann landet auf der anderen Seite der Grube und wird erneut auf den Applaus auf das Publikum gesten, während Männer Sand mit langen und breiten Pinselbesen glätten.")</f>
        <v>Der Mann landet auf der anderen Seite der Grube und wird erneut auf den Applaus auf das Publikum gesten, während Männer Sand mit langen und breiten Pinselbesen glätten.</v>
      </c>
    </row>
    <row r="4036">
      <c r="A4036" s="4" t="s">
        <v>5077</v>
      </c>
      <c r="B4036" s="4" t="s">
        <v>5078</v>
      </c>
      <c r="C4036" s="5" t="str">
        <f>IFERROR(__xludf.DUMMYFUNCTION("GOOGLETRANSLATE(B4036,""en"",""de"")"),"Wörter fallen über einen Bild über den Bildschirm.")</f>
        <v>Wörter fallen über einen Bild über den Bildschirm.</v>
      </c>
    </row>
    <row r="4037">
      <c r="A4037" s="4" t="s">
        <v>5077</v>
      </c>
      <c r="B4037" s="4" t="s">
        <v>5079</v>
      </c>
      <c r="C4037" s="5" t="str">
        <f>IFERROR(__xludf.DUMMYFUNCTION("GOOGLETRANSLATE(B4037,""en"",""de"")"),"Wir sehen Damen, die Karten mit lila Tischen in einem Casino ohne Kunden handeln.")</f>
        <v>Wir sehen Damen, die Karten mit lila Tischen in einem Casino ohne Kunden handeln.</v>
      </c>
    </row>
    <row r="4038">
      <c r="A4038" s="4" t="s">
        <v>5077</v>
      </c>
      <c r="B4038" s="4" t="s">
        <v>5080</v>
      </c>
      <c r="C4038" s="5" t="str">
        <f>IFERROR(__xludf.DUMMYFUNCTION("GOOGLETRANSLATE(B4038,""en"",""de"")"),"Der Händler lächelt und gibt Karten und zeigt auf sie.")</f>
        <v>Der Händler lächelt und gibt Karten und zeigt auf sie.</v>
      </c>
    </row>
    <row r="4039">
      <c r="A4039" s="4" t="s">
        <v>5077</v>
      </c>
      <c r="B4039" s="4" t="s">
        <v>5081</v>
      </c>
      <c r="C4039" s="5" t="str">
        <f>IFERROR(__xludf.DUMMYFUNCTION("GOOGLETRANSLATE(B4039,""en"",""de"")"),"Der Händler beendet und winkt ihre Arme über den Tisch, als Wörter auf dem Bildschirm erscheinen.")</f>
        <v>Der Händler beendet und winkt ihre Arme über den Tisch, als Wörter auf dem Bildschirm erscheinen.</v>
      </c>
    </row>
    <row r="4040">
      <c r="A4040" s="4" t="s">
        <v>5082</v>
      </c>
      <c r="B4040" s="4" t="s">
        <v>5083</v>
      </c>
      <c r="C4040" s="5" t="str">
        <f>IFERROR(__xludf.DUMMYFUNCTION("GOOGLETRANSLATE(B4040,""en"",""de"")"),"Ein Mann wird gesehen, wie er mit der Kamera spricht, während er durch eine Küche herumgeht und Essen überprüft.")</f>
        <v>Ein Mann wird gesehen, wie er mit der Kamera spricht, während er durch eine Küche herumgeht und Essen überprüft.</v>
      </c>
    </row>
    <row r="4041">
      <c r="A4041" s="4" t="s">
        <v>5082</v>
      </c>
      <c r="B4041" s="4" t="s">
        <v>5084</v>
      </c>
      <c r="C4041" s="5" t="str">
        <f>IFERROR(__xludf.DUMMYFUNCTION("GOOGLETRANSLATE(B4041,""en"",""de"")"),"Auf Tischen sowie Racks werden mehrere Lebensmittelaufnahmen angezeigt, und der Küchenchef spricht weiterhin mit dem Personal dahinter.")</f>
        <v>Auf Tischen sowie Racks werden mehrere Lebensmittelaufnahmen angezeigt, und der Küchenchef spricht weiterhin mit dem Personal dahinter.</v>
      </c>
    </row>
    <row r="4042">
      <c r="A4042" s="4" t="s">
        <v>5082</v>
      </c>
      <c r="B4042" s="4" t="s">
        <v>5085</v>
      </c>
      <c r="C4042" s="5" t="str">
        <f>IFERROR(__xludf.DUMMYFUNCTION("GOOGLETRANSLATE(B4042,""en"",""de"")"),"Der Mann geht nach vorne und spricht mit den Kunden, die hereinkommen und mit der Kamera sprechen.")</f>
        <v>Der Mann geht nach vorne und spricht mit den Kunden, die hereinkommen und mit der Kamera sprechen.</v>
      </c>
    </row>
    <row r="4043">
      <c r="A4043" s="4" t="s">
        <v>5086</v>
      </c>
      <c r="B4043" s="4" t="s">
        <v>5087</v>
      </c>
      <c r="C4043" s="5" t="str">
        <f>IFERROR(__xludf.DUMMYFUNCTION("GOOGLETRANSLATE(B4043,""en"",""de"")"),"Eine Frau streift die Haare eines Mädchens, während sie auf einem Bett sitzen.")</f>
        <v>Eine Frau streift die Haare eines Mädchens, während sie auf einem Bett sitzen.</v>
      </c>
    </row>
    <row r="4044">
      <c r="A4044" s="4" t="s">
        <v>5086</v>
      </c>
      <c r="B4044" s="4" t="s">
        <v>5088</v>
      </c>
      <c r="C4044" s="5" t="str">
        <f>IFERROR(__xludf.DUMMYFUNCTION("GOOGLETRANSLATE(B4044,""en"",""de"")"),"Dann knien die Frau auf dem Bett und berührt die Schultern des Mädchens.")</f>
        <v>Dann knien die Frau auf dem Bett und berührt die Schultern des Mädchens.</v>
      </c>
    </row>
    <row r="4045">
      <c r="A4045" s="4" t="s">
        <v>5089</v>
      </c>
      <c r="B4045" s="4" t="s">
        <v>5090</v>
      </c>
      <c r="C4045" s="5" t="str">
        <f>IFERROR(__xludf.DUMMYFUNCTION("GOOGLETRANSLATE(B4045,""en"",""de"")"),"Eine große Menge sitzt vor einer Bühne und führt zu einer jungen Frau, die Schlagzeug im Kreis schlägt und sich auf der Bühne bewegt.")</f>
        <v>Eine große Menge sitzt vor einer Bühne und führt zu einer jungen Frau, die Schlagzeug im Kreis schlägt und sich auf der Bühne bewegt.</v>
      </c>
    </row>
    <row r="4046">
      <c r="A4046" s="4" t="s">
        <v>5089</v>
      </c>
      <c r="B4046" s="4" t="s">
        <v>5091</v>
      </c>
      <c r="C4046" s="5" t="str">
        <f>IFERROR(__xludf.DUMMYFUNCTION("GOOGLETRANSLATE(B4046,""en"",""de"")"),"Die Frau schlägt weiter auf die Trommeln, während die Menge beobachtet und endet, wenn Text über den Bildschirm scrollt.")</f>
        <v>Die Frau schlägt weiter auf die Trommeln, während die Menge beobachtet und endet, wenn Text über den Bildschirm scrollt.</v>
      </c>
    </row>
    <row r="4047">
      <c r="A4047" s="4" t="s">
        <v>5092</v>
      </c>
      <c r="B4047" s="4" t="s">
        <v>5093</v>
      </c>
      <c r="C4047" s="5" t="str">
        <f>IFERROR(__xludf.DUMMYFUNCTION("GOOGLETRANSLATE(B4047,""en"",""de"")"),"Männer spielen Volleyball im Sand.")</f>
        <v>Männer spielen Volleyball im Sand.</v>
      </c>
    </row>
    <row r="4048">
      <c r="A4048" s="4" t="s">
        <v>5092</v>
      </c>
      <c r="B4048" s="4" t="s">
        <v>5094</v>
      </c>
      <c r="C4048" s="5" t="str">
        <f>IFERROR(__xludf.DUMMYFUNCTION("GOOGLETRANSLATE(B4048,""en"",""de"")"),"Cheerleader stehen neben ihnen und beobachten.")</f>
        <v>Cheerleader stehen neben ihnen und beobachten.</v>
      </c>
    </row>
    <row r="4049">
      <c r="A4049" s="4" t="s">
        <v>5092</v>
      </c>
      <c r="B4049" s="4" t="s">
        <v>5095</v>
      </c>
      <c r="C4049" s="5" t="str">
        <f>IFERROR(__xludf.DUMMYFUNCTION("GOOGLETRANSLATE(B4049,""en"",""de"")"),"Eine Frau spielt an einem Strand Fußball.")</f>
        <v>Eine Frau spielt an einem Strand Fußball.</v>
      </c>
    </row>
    <row r="4050">
      <c r="A4050" s="4" t="s">
        <v>5092</v>
      </c>
      <c r="B4050" s="4" t="s">
        <v>4133</v>
      </c>
      <c r="C4050" s="5" t="str">
        <f>IFERROR(__xludf.DUMMYFUNCTION("GOOGLETRANSLATE(B4050,""en"",""de"")"),"Ein Mann in einem roten Hemd spricht mit der Kamera.")</f>
        <v>Ein Mann in einem roten Hemd spricht mit der Kamera.</v>
      </c>
    </row>
    <row r="4051">
      <c r="A4051" s="4" t="s">
        <v>5096</v>
      </c>
      <c r="B4051" s="4" t="s">
        <v>5097</v>
      </c>
      <c r="C4051" s="5" t="str">
        <f>IFERROR(__xludf.DUMMYFUNCTION("GOOGLETRANSLATE(B4051,""en"",""de"")"),"Zwei Männer Skateboard in einem Höhlen -Skatepark nebeneinander.")</f>
        <v>Zwei Männer Skateboard in einem Höhlen -Skatepark nebeneinander.</v>
      </c>
    </row>
    <row r="4052">
      <c r="A4052" s="4" t="s">
        <v>5096</v>
      </c>
      <c r="B4052" s="4" t="s">
        <v>5098</v>
      </c>
      <c r="C4052" s="5" t="str">
        <f>IFERROR(__xludf.DUMMYFUNCTION("GOOGLETRANSLATE(B4052,""en"",""de"")"),"Sie halten an und geben anderen Zeigern und versuchen zu perfektionieren, wie man auf die Schiene springt.")</f>
        <v>Sie halten an und geben anderen Zeigern und versuchen zu perfektionieren, wie man auf die Schiene springt.</v>
      </c>
    </row>
    <row r="4053">
      <c r="A4053" s="4" t="s">
        <v>5096</v>
      </c>
      <c r="B4053" s="4" t="s">
        <v>5099</v>
      </c>
      <c r="C4053" s="5" t="str">
        <f>IFERROR(__xludf.DUMMYFUNCTION("GOOGLETRANSLATE(B4053,""en"",""de"")"),"Einer von ihnen versucht immer wieder und der andere bekommt einen Stock aus seiner Tasche und erstreckt sich in Richtung der Schiene.")</f>
        <v>Einer von ihnen versucht immer wieder und der andere bekommt einen Stock aus seiner Tasche und erstreckt sich in Richtung der Schiene.</v>
      </c>
    </row>
    <row r="4054">
      <c r="A4054" s="4" t="s">
        <v>5096</v>
      </c>
      <c r="B4054" s="4" t="s">
        <v>5100</v>
      </c>
      <c r="C4054" s="5" t="str">
        <f>IFERROR(__xludf.DUMMYFUNCTION("GOOGLETRANSLATE(B4054,""en"",""de"")"),"Dann kommt ein anderer Mann und kommt mit, sie spielen Rockpapierschere und steigen wieder an Bord.")</f>
        <v>Dann kommt ein anderer Mann und kommt mit, sie spielen Rockpapierschere und steigen wieder an Bord.</v>
      </c>
    </row>
    <row r="4055">
      <c r="A4055" s="4" t="s">
        <v>5101</v>
      </c>
      <c r="B4055" s="4" t="s">
        <v>5102</v>
      </c>
      <c r="C4055" s="5" t="str">
        <f>IFERROR(__xludf.DUMMYFUNCTION("GOOGLETRANSLATE(B4055,""en"",""de"")"),"Wir sehen einen Basketball -Titelbildschirm.")</f>
        <v>Wir sehen einen Basketball -Titelbildschirm.</v>
      </c>
    </row>
    <row r="4056">
      <c r="A4056" s="4" t="s">
        <v>5101</v>
      </c>
      <c r="B4056" s="4" t="s">
        <v>5103</v>
      </c>
      <c r="C4056" s="5" t="str">
        <f>IFERROR(__xludf.DUMMYFUNCTION("GOOGLETRANSLATE(B4056,""en"",""de"")"),"Ein Mann trainiert als Teenager Basketballschüsse.")</f>
        <v>Ein Mann trainiert als Teenager Basketballschüsse.</v>
      </c>
    </row>
    <row r="4057">
      <c r="A4057" s="4" t="s">
        <v>5101</v>
      </c>
      <c r="B4057" s="4" t="s">
        <v>5104</v>
      </c>
      <c r="C4057" s="5" t="str">
        <f>IFERROR(__xludf.DUMMYFUNCTION("GOOGLETRANSLATE(B4057,""en"",""de"")"),"Der Mann nimmt den Ball und demonstriert eine Hüfte, die der Junge versucht.")</f>
        <v>Der Mann nimmt den Ball und demonstriert eine Hüfte, die der Junge versucht.</v>
      </c>
    </row>
    <row r="4058">
      <c r="A4058" s="4" t="s">
        <v>5101</v>
      </c>
      <c r="B4058" s="4" t="s">
        <v>5105</v>
      </c>
      <c r="C4058" s="5" t="str">
        <f>IFERROR(__xludf.DUMMYFUNCTION("GOOGLETRANSLATE(B4058,""en"",""de"")"),"Der Mann demonstriert etwas und der Junge schießt den Ball.")</f>
        <v>Der Mann demonstriert etwas und der Junge schießt den Ball.</v>
      </c>
    </row>
    <row r="4059">
      <c r="A4059" s="4" t="s">
        <v>5101</v>
      </c>
      <c r="B4059" s="4" t="s">
        <v>5106</v>
      </c>
      <c r="C4059" s="5" t="str">
        <f>IFERROR(__xludf.DUMMYFUNCTION("GOOGLETRANSLATE(B4059,""en"",""de"")"),"Wir sehen die Tipps auf dem Bildschirm 1 nach eins.")</f>
        <v>Wir sehen die Tipps auf dem Bildschirm 1 nach eins.</v>
      </c>
    </row>
    <row r="4060">
      <c r="A4060" s="4" t="s">
        <v>5101</v>
      </c>
      <c r="B4060" s="4" t="s">
        <v>5107</v>
      </c>
      <c r="C4060" s="5" t="str">
        <f>IFERROR(__xludf.DUMMYFUNCTION("GOOGLETRANSLATE(B4060,""en"",""de"")"),"Wir sehen dann den Ende des Endtitels.")</f>
        <v>Wir sehen dann den Ende des Endtitels.</v>
      </c>
    </row>
    <row r="4061">
      <c r="A4061" s="4" t="s">
        <v>5108</v>
      </c>
      <c r="B4061" s="4" t="s">
        <v>5109</v>
      </c>
      <c r="C4061" s="5" t="str">
        <f>IFERROR(__xludf.DUMMYFUNCTION("GOOGLETRANSLATE(B4061,""en"",""de"")"),"Zwei Mädchen -Teams spielen Feldhockey mit Hockeystöcken und einem kleinen Ball.")</f>
        <v>Zwei Mädchen -Teams spielen Feldhockey mit Hockeystöcken und einem kleinen Ball.</v>
      </c>
    </row>
    <row r="4062">
      <c r="A4062" s="4" t="s">
        <v>5108</v>
      </c>
      <c r="B4062" s="4" t="s">
        <v>5110</v>
      </c>
      <c r="C4062" s="5" t="str">
        <f>IFERROR(__xludf.DUMMYFUNCTION("GOOGLETRANSLATE(B4062,""en"",""de"")"),"Das Team mit den Burgunder -Shirts erzielte dreimal und das andere Team erzielte keine.")</f>
        <v>Das Team mit den Burgunder -Shirts erzielte dreimal und das andere Team erzielte keine.</v>
      </c>
    </row>
    <row r="4063">
      <c r="A4063" s="4" t="s">
        <v>5111</v>
      </c>
      <c r="B4063" s="4" t="s">
        <v>5112</v>
      </c>
      <c r="C4063" s="5" t="str">
        <f>IFERROR(__xludf.DUMMYFUNCTION("GOOGLETRANSLATE(B4063,""en"",""de"")"),"Wir sehen, wie ein Mann in Zeitlupe in einen Pool eintaucht.")</f>
        <v>Wir sehen, wie ein Mann in Zeitlupe in einen Pool eintaucht.</v>
      </c>
    </row>
    <row r="4064">
      <c r="A4064" s="4" t="s">
        <v>5111</v>
      </c>
      <c r="B4064" s="4" t="s">
        <v>5113</v>
      </c>
      <c r="C4064" s="5" t="str">
        <f>IFERROR(__xludf.DUMMYFUNCTION("GOOGLETRANSLATE(B4064,""en"",""de"")"),"Wir sehen die Richter, die dem Mann seine Punktzahl geben und mit ihm sprechen.")</f>
        <v>Wir sehen die Richter, die dem Mann seine Punktzahl geben und mit ihm sprechen.</v>
      </c>
    </row>
    <row r="4065">
      <c r="A4065" s="4" t="s">
        <v>5111</v>
      </c>
      <c r="B4065" s="4" t="s">
        <v>5114</v>
      </c>
      <c r="C4065" s="5" t="str">
        <f>IFERROR(__xludf.DUMMYFUNCTION("GOOGLETRANSLATE(B4065,""en"",""de"")"),"Wir sehen eine Dame klatschen.")</f>
        <v>Wir sehen eine Dame klatschen.</v>
      </c>
    </row>
    <row r="4066">
      <c r="A4066" s="4" t="s">
        <v>5111</v>
      </c>
      <c r="B4066" s="4" t="s">
        <v>5115</v>
      </c>
      <c r="C4066" s="5" t="str">
        <f>IFERROR(__xludf.DUMMYFUNCTION("GOOGLETRANSLATE(B4066,""en"",""de"")"),"Wir sehen, dass der Taucher interviewt wird.")</f>
        <v>Wir sehen, dass der Taucher interviewt wird.</v>
      </c>
    </row>
    <row r="4067">
      <c r="A4067" s="4" t="s">
        <v>5111</v>
      </c>
      <c r="B4067" s="4" t="s">
        <v>5116</v>
      </c>
      <c r="C4067" s="5" t="str">
        <f>IFERROR(__xludf.DUMMYFUNCTION("GOOGLETRANSLATE(B4067,""en"",""de"")"),"Wir sehen die Menge stehen und klatschen.")</f>
        <v>Wir sehen die Menge stehen und klatschen.</v>
      </c>
    </row>
    <row r="4068">
      <c r="A4068" s="4" t="s">
        <v>5111</v>
      </c>
      <c r="B4068" s="4" t="s">
        <v>5117</v>
      </c>
      <c r="C4068" s="5" t="str">
        <f>IFERROR(__xludf.DUMMYFUNCTION("GOOGLETRANSLATE(B4068,""en"",""de"")"),"Wir sehen die Endergebniskarten für alle Teilnehmer.")</f>
        <v>Wir sehen die Endergebniskarten für alle Teilnehmer.</v>
      </c>
    </row>
    <row r="4069">
      <c r="A4069" s="4" t="s">
        <v>5118</v>
      </c>
      <c r="B4069" s="4" t="s">
        <v>5119</v>
      </c>
      <c r="C4069" s="5" t="str">
        <f>IFERROR(__xludf.DUMMYFUNCTION("GOOGLETRANSLATE(B4069,""en"",""de"")"),"Bäume blasen in der Brise, als ein Mann den Rasen mäht.")</f>
        <v>Bäume blasen in der Brise, als ein Mann den Rasen mäht.</v>
      </c>
    </row>
    <row r="4070">
      <c r="A4070" s="4" t="s">
        <v>5118</v>
      </c>
      <c r="B4070" s="4" t="s">
        <v>5120</v>
      </c>
      <c r="C4070" s="5" t="str">
        <f>IFERROR(__xludf.DUMMYFUNCTION("GOOGLETRANSLATE(B4070,""en"",""de"")"),"Die Sonne schaut hinter die Wolken und beleuchtet die Szene.")</f>
        <v>Die Sonne schaut hinter die Wolken und beleuchtet die Szene.</v>
      </c>
    </row>
    <row r="4071">
      <c r="A4071" s="4" t="s">
        <v>5118</v>
      </c>
      <c r="B4071" s="4" t="s">
        <v>5121</v>
      </c>
      <c r="C4071" s="5" t="str">
        <f>IFERROR(__xludf.DUMMYFUNCTION("GOOGLETRANSLATE(B4071,""en"",""de"")"),"Der Mann stoppt und leert Gras im Müll.")</f>
        <v>Der Mann stoppt und leert Gras im Müll.</v>
      </c>
    </row>
    <row r="4072">
      <c r="A4072" s="4" t="s">
        <v>5118</v>
      </c>
      <c r="B4072" s="4" t="s">
        <v>5122</v>
      </c>
      <c r="C4072" s="5" t="str">
        <f>IFERROR(__xludf.DUMMYFUNCTION("GOOGLETRANSLATE(B4072,""en"",""de"")"),"Ein Mann tritt mit einem Baby ein und geht.")</f>
        <v>Ein Mann tritt mit einem Baby ein und geht.</v>
      </c>
    </row>
    <row r="4073">
      <c r="A4073" s="4" t="s">
        <v>5118</v>
      </c>
      <c r="B4073" s="4" t="s">
        <v>5123</v>
      </c>
      <c r="C4073" s="5" t="str">
        <f>IFERROR(__xludf.DUMMYFUNCTION("GOOGLETRANSLATE(B4073,""en"",""de"")"),"Der Mann mäht entlang der Büsche.")</f>
        <v>Der Mann mäht entlang der Büsche.</v>
      </c>
    </row>
    <row r="4074">
      <c r="A4074" s="4" t="s">
        <v>5118</v>
      </c>
      <c r="B4074" s="4" t="s">
        <v>5124</v>
      </c>
      <c r="C4074" s="5" t="str">
        <f>IFERROR(__xludf.DUMMYFUNCTION("GOOGLETRANSLATE(B4074,""en"",""de"")"),"Der Mann hält an und leert seine Tasche wieder.")</f>
        <v>Der Mann hält an und leert seine Tasche wieder.</v>
      </c>
    </row>
    <row r="4075">
      <c r="A4075" s="4" t="s">
        <v>5118</v>
      </c>
      <c r="B4075" s="4" t="s">
        <v>5125</v>
      </c>
      <c r="C4075" s="5" t="str">
        <f>IFERROR(__xludf.DUMMYFUNCTION("GOOGLETRANSLATE(B4075,""en"",""de"")"),"Der Mann leert seine Tasche und legt sie wieder auf den Mäher und geht weg.")</f>
        <v>Der Mann leert seine Tasche und legt sie wieder auf den Mäher und geht weg.</v>
      </c>
    </row>
    <row r="4076">
      <c r="A4076" s="4" t="s">
        <v>5126</v>
      </c>
      <c r="B4076" s="4" t="s">
        <v>5127</v>
      </c>
      <c r="C4076" s="5" t="str">
        <f>IFERROR(__xludf.DUMMYFUNCTION("GOOGLETRANSLATE(B4076,""en"",""de"")"),"Eine Frau spielt eine Tanzroutine, während sie am Strand in der Nähe des Wassers herum bewegt.")</f>
        <v>Eine Frau spielt eine Tanzroutine, während sie am Strand in der Nähe des Wassers herum bewegt.</v>
      </c>
    </row>
    <row r="4077">
      <c r="A4077" s="4" t="s">
        <v>5126</v>
      </c>
      <c r="B4077" s="4" t="s">
        <v>5128</v>
      </c>
      <c r="C4077" s="5" t="str">
        <f>IFERROR(__xludf.DUMMYFUNCTION("GOOGLETRANSLATE(B4077,""en"",""de"")"),"Die Frau bewegt sich weiter am Strand, schüttelt ihre Arme und Beine und schaut in die Ferne.")</f>
        <v>Die Frau bewegt sich weiter am Strand, schüttelt ihre Arme und Beine und schaut in die Ferne.</v>
      </c>
    </row>
    <row r="4078">
      <c r="A4078" s="4" t="s">
        <v>5129</v>
      </c>
      <c r="B4078" s="4" t="s">
        <v>5130</v>
      </c>
      <c r="C4078" s="5" t="str">
        <f>IFERROR(__xludf.DUMMYFUNCTION("GOOGLETRANSLATE(B4078,""en"",""de"")"),"In einem geschlossenen Schwimmbad findet ein Wasserball -Match statt.")</f>
        <v>In einem geschlossenen Schwimmbad findet ein Wasserball -Match statt.</v>
      </c>
    </row>
    <row r="4079">
      <c r="A4079" s="4" t="s">
        <v>5129</v>
      </c>
      <c r="B4079" s="4" t="s">
        <v>5131</v>
      </c>
      <c r="C4079" s="5" t="str">
        <f>IFERROR(__xludf.DUMMYFUNCTION("GOOGLETRANSLATE(B4079,""en"",""de"")"),"Es gibt einige Zuschauer von den Seiten des Pools, während ein Schiedsrichter die Aktionen befolgt, um die Kontrolle über das Spiel zu behalten.")</f>
        <v>Es gibt einige Zuschauer von den Seiten des Pools, während ein Schiedsrichter die Aktionen befolgt, um die Kontrolle über das Spiel zu behalten.</v>
      </c>
    </row>
    <row r="4080">
      <c r="A4080" s="4" t="s">
        <v>5129</v>
      </c>
      <c r="B4080" s="4" t="s">
        <v>5132</v>
      </c>
      <c r="C4080" s="5" t="str">
        <f>IFERROR(__xludf.DUMMYFUNCTION("GOOGLETRANSLATE(B4080,""en"",""de"")"),"Es ist ruhig außer den kleinen Kindern, die am Spiel beteiligt sind.")</f>
        <v>Es ist ruhig außer den kleinen Kindern, die am Spiel beteiligt sind.</v>
      </c>
    </row>
    <row r="4081">
      <c r="A4081" s="4" t="s">
        <v>5129</v>
      </c>
      <c r="B4081" s="4" t="s">
        <v>5133</v>
      </c>
      <c r="C4081" s="5" t="str">
        <f>IFERROR(__xludf.DUMMYFUNCTION("GOOGLETRANSLATE(B4081,""en"",""de"")"),"Sie haben eine tolle Zeit und sind sehr an dem beteiligt, was sie tun.")</f>
        <v>Sie haben eine tolle Zeit und sind sehr an dem beteiligt, was sie tun.</v>
      </c>
    </row>
    <row r="4082">
      <c r="A4082" s="4" t="s">
        <v>5134</v>
      </c>
      <c r="B4082" s="4" t="s">
        <v>5135</v>
      </c>
      <c r="C4082" s="5" t="str">
        <f>IFERROR(__xludf.DUMMYFUNCTION("GOOGLETRANSLATE(B4082,""en"",""de"")"),"Wir sehen eine Dame in einem rosa Hemd mit der Kamera.")</f>
        <v>Wir sehen eine Dame in einem rosa Hemd mit der Kamera.</v>
      </c>
    </row>
    <row r="4083">
      <c r="A4083" s="4" t="s">
        <v>5134</v>
      </c>
      <c r="B4083" s="4" t="s">
        <v>5136</v>
      </c>
      <c r="C4083" s="5" t="str">
        <f>IFERROR(__xludf.DUMMYFUNCTION("GOOGLETRANSLATE(B4083,""en"",""de"")"),"Wir sehen, wie die Dame einen Korb mit Wäsche abholt und ihn niederlegt.")</f>
        <v>Wir sehen, wie die Dame einen Korb mit Wäsche abholt und ihn niederlegt.</v>
      </c>
    </row>
    <row r="4084">
      <c r="A4084" s="4" t="s">
        <v>5134</v>
      </c>
      <c r="B4084" s="4" t="s">
        <v>5137</v>
      </c>
      <c r="C4084" s="5" t="str">
        <f>IFERROR(__xludf.DUMMYFUNCTION("GOOGLETRANSLATE(B4084,""en"",""de"")"),"Die Dame schüttelt ein Kleid aus und legt es auf ein Bügelbrett.")</f>
        <v>Die Dame schüttelt ein Kleid aus und legt es auf ein Bügelbrett.</v>
      </c>
    </row>
    <row r="4085">
      <c r="A4085" s="4" t="s">
        <v>5134</v>
      </c>
      <c r="B4085" s="4" t="s">
        <v>5138</v>
      </c>
      <c r="C4085" s="5" t="str">
        <f>IFERROR(__xludf.DUMMYFUNCTION("GOOGLETRANSLATE(B4085,""en"",""de"")"),"Die Dame reibt das Kleid und belastet es aus.")</f>
        <v>Die Dame reibt das Kleid und belastet es aus.</v>
      </c>
    </row>
    <row r="4086">
      <c r="A4086" s="4" t="s">
        <v>5134</v>
      </c>
      <c r="B4086" s="4" t="s">
        <v>5139</v>
      </c>
      <c r="C4086" s="5" t="str">
        <f>IFERROR(__xludf.DUMMYFUNCTION("GOOGLETRANSLATE(B4086,""en"",""de"")"),"Die Dame legt ein Hemd auf das Brett und legt es dann wieder in den Korb.")</f>
        <v>Die Dame legt ein Hemd auf das Brett und legt es dann wieder in den Korb.</v>
      </c>
    </row>
    <row r="4087">
      <c r="A4087" s="4" t="s">
        <v>5134</v>
      </c>
      <c r="B4087" s="4" t="s">
        <v>5140</v>
      </c>
      <c r="C4087" s="5" t="str">
        <f>IFERROR(__xludf.DUMMYFUNCTION("GOOGLETRANSLATE(B4087,""en"",""de"")"),"Die Dame faltet das Kleid, lächelt und die Szene endet.")</f>
        <v>Die Dame faltet das Kleid, lächelt und die Szene endet.</v>
      </c>
    </row>
    <row r="4088">
      <c r="A4088" s="4" t="s">
        <v>5141</v>
      </c>
      <c r="B4088" s="4" t="s">
        <v>5142</v>
      </c>
      <c r="C4088" s="5" t="str">
        <f>IFERROR(__xludf.DUMMYFUNCTION("GOOGLETRANSLATE(B4088,""en"",""de"")"),"Ein Mann sitzt auf einer Couch.")</f>
        <v>Ein Mann sitzt auf einer Couch.</v>
      </c>
    </row>
    <row r="4089">
      <c r="A4089" s="4" t="s">
        <v>5141</v>
      </c>
      <c r="B4089" s="4" t="s">
        <v>5143</v>
      </c>
      <c r="C4089" s="5" t="str">
        <f>IFERROR(__xludf.DUMMYFUNCTION("GOOGLETRANSLATE(B4089,""en"",""de"")"),"Er hebt einen Schuh und eine Flasche Waschmittel hoch.")</f>
        <v>Er hebt einen Schuh und eine Flasche Waschmittel hoch.</v>
      </c>
    </row>
    <row r="4090">
      <c r="A4090" s="4" t="s">
        <v>5141</v>
      </c>
      <c r="B4090" s="4" t="s">
        <v>5144</v>
      </c>
      <c r="C4090" s="5" t="str">
        <f>IFERROR(__xludf.DUMMYFUNCTION("GOOGLETRANSLATE(B4090,""en"",""de"")"),"Er nimmt es zu einem Waschbecken, wo er es wäscht.")</f>
        <v>Er nimmt es zu einem Waschbecken, wo er es wäscht.</v>
      </c>
    </row>
    <row r="4091">
      <c r="A4091" s="4" t="s">
        <v>5141</v>
      </c>
      <c r="B4091" s="4" t="s">
        <v>5145</v>
      </c>
      <c r="C4091" s="5" t="str">
        <f>IFERROR(__xludf.DUMMYFUNCTION("GOOGLETRANSLATE(B4091,""en"",""de"")"),"Dann legt er zwei Obststücke darauf und isst sie mit dem Mund ab.")</f>
        <v>Dann legt er zwei Obststücke darauf und isst sie mit dem Mund ab.</v>
      </c>
    </row>
    <row r="4092">
      <c r="A4092" s="4" t="s">
        <v>5146</v>
      </c>
      <c r="B4092" s="4" t="s">
        <v>5147</v>
      </c>
      <c r="C4092" s="5" t="str">
        <f>IFERROR(__xludf.DUMMYFUNCTION("GOOGLETRANSLATE(B4092,""en"",""de"")"),"Der beschreibende Text wird vor einem roten Kulisse des Filmvorhangs angezeigt.")</f>
        <v>Der beschreibende Text wird vor einem roten Kulisse des Filmvorhangs angezeigt.</v>
      </c>
    </row>
    <row r="4093">
      <c r="A4093" s="4" t="s">
        <v>5146</v>
      </c>
      <c r="B4093" s="4" t="s">
        <v>5148</v>
      </c>
      <c r="C4093" s="5" t="str">
        <f>IFERROR(__xludf.DUMMYFUNCTION("GOOGLETRANSLATE(B4093,""en"",""de"")"),"Ein Trainer zeigt einem Schüler unterschiedliche Beinstanzen, weil sie Badminton gespielt haben.")</f>
        <v>Ein Trainer zeigt einem Schüler unterschiedliche Beinstanzen, weil sie Badminton gespielt haben.</v>
      </c>
    </row>
    <row r="4094">
      <c r="A4094" s="4" t="s">
        <v>5146</v>
      </c>
      <c r="B4094" s="4" t="s">
        <v>5149</v>
      </c>
      <c r="C4094" s="5" t="str">
        <f>IFERROR(__xludf.DUMMYFUNCTION("GOOGLETRANSLATE(B4094,""en"",""de"")"),"Der Trainer kehrt vom Schüler zurück, der den Schläger während einer Übungsübin benutzt.")</f>
        <v>Der Trainer kehrt vom Schüler zurück, der den Schläger während einer Übungsübin benutzt.</v>
      </c>
    </row>
    <row r="4095">
      <c r="A4095" s="4" t="s">
        <v>5146</v>
      </c>
      <c r="B4095" s="4" t="s">
        <v>5150</v>
      </c>
      <c r="C4095" s="5" t="str">
        <f>IFERROR(__xludf.DUMMYFUNCTION("GOOGLETRANSLATE(B4095,""en"",""de"")"),"Die Schüler kehren aus dem Ausbilder für eine Übungsübung dient.")</f>
        <v>Die Schüler kehren aus dem Ausbilder für eine Übungsübung dient.</v>
      </c>
    </row>
    <row r="4096">
      <c r="A4096" s="4" t="s">
        <v>5151</v>
      </c>
      <c r="B4096" s="4" t="s">
        <v>5152</v>
      </c>
      <c r="C4096" s="5" t="str">
        <f>IFERROR(__xludf.DUMMYFUNCTION("GOOGLETRANSLATE(B4096,""en"",""de"")"),"Ein Mann kniet auf einer Matte und zeigt ihr eine Front mit seiner linken Hand, während sie redet.")</f>
        <v>Ein Mann kniet auf einer Matte und zeigt ihr eine Front mit seiner linken Hand, während sie redet.</v>
      </c>
    </row>
    <row r="4097">
      <c r="A4097" s="4" t="s">
        <v>5151</v>
      </c>
      <c r="B4097" s="4" t="s">
        <v>5153</v>
      </c>
      <c r="C4097" s="5" t="str">
        <f>IFERROR(__xludf.DUMMYFUNCTION("GOOGLETRANSLATE(B4097,""en"",""de"")"),"Dann hebt der Mann einen Kettlebell und legte sich auf die Brust, während er redete.")</f>
        <v>Dann hebt der Mann einen Kettlebell und legte sich auf die Brust, während er redete.</v>
      </c>
    </row>
    <row r="4098">
      <c r="A4098" s="4" t="s">
        <v>5151</v>
      </c>
      <c r="B4098" s="4" t="s">
        <v>5154</v>
      </c>
      <c r="C4098" s="5" t="str">
        <f>IFERROR(__xludf.DUMMYFUNCTION("GOOGLETRANSLATE(B4098,""en"",""de"")"),"Dann legte der Mann den Kettlebell auf den Boden und redet weiter.")</f>
        <v>Dann legte der Mann den Kettlebell auf den Boden und redet weiter.</v>
      </c>
    </row>
    <row r="4099">
      <c r="A4099" s="4" t="s">
        <v>5155</v>
      </c>
      <c r="B4099" s="4" t="s">
        <v>5156</v>
      </c>
      <c r="C4099" s="5" t="str">
        <f>IFERROR(__xludf.DUMMYFUNCTION("GOOGLETRANSLATE(B4099,""en"",""de"")"),"Eine Frau steht vor dem Spiegel mit einem Mann neben ihr, gefolgt von ihr auf einem Tisch.")</f>
        <v>Eine Frau steht vor dem Spiegel mit einem Mann neben ihr, gefolgt von ihr auf einem Tisch.</v>
      </c>
    </row>
    <row r="4100">
      <c r="A4100" s="4" t="s">
        <v>5155</v>
      </c>
      <c r="B4100" s="4" t="s">
        <v>5157</v>
      </c>
      <c r="C4100" s="5" t="str">
        <f>IFERROR(__xludf.DUMMYFUNCTION("GOOGLETRANSLATE(B4100,""en"",""de"")"),"Der Mann tätowiert dann schnell ihr Gesicht und wechselt in sie und sitzt dann wieder nach unten, um ihr Tattoo zu zeigen.")</f>
        <v>Der Mann tätowiert dann schnell ihr Gesicht und wechselt in sie und sitzt dann wieder nach unten, um ihr Tattoo zu zeigen.</v>
      </c>
    </row>
    <row r="4101">
      <c r="A4101" s="4" t="s">
        <v>5158</v>
      </c>
      <c r="B4101" s="4" t="s">
        <v>5159</v>
      </c>
      <c r="C4101" s="5" t="str">
        <f>IFERROR(__xludf.DUMMYFUNCTION("GOOGLETRANSLATE(B4101,""en"",""de"")"),"Frau ist in einer Dusche und spreizte Seife und Wasser in ihren Armen.")</f>
        <v>Frau ist in einer Dusche und spreizte Seife und Wasser in ihren Armen.</v>
      </c>
    </row>
    <row r="4102">
      <c r="A4102" s="4" t="s">
        <v>5158</v>
      </c>
      <c r="B4102" s="4" t="s">
        <v>5160</v>
      </c>
      <c r="C4102" s="5" t="str">
        <f>IFERROR(__xludf.DUMMYFUNCTION("GOOGLETRANSLATE(B4102,""en"",""de"")"),"Frau rasiert ihre Beine auf der Badewanne.")</f>
        <v>Frau rasiert ihre Beine auf der Badewanne.</v>
      </c>
    </row>
    <row r="4103">
      <c r="A4103" s="4" t="s">
        <v>5158</v>
      </c>
      <c r="B4103" s="4" t="s">
        <v>5161</v>
      </c>
      <c r="C4103" s="5" t="str">
        <f>IFERROR(__xludf.DUMMYFUNCTION("GOOGLETRANSLATE(B4103,""en"",""de"")"),"Jemand öffnet die Vorhänge und ist ein Mann, der drinnen ist und mit einer Maske im Gesicht aus dem Badezimmer läuft.")</f>
        <v>Jemand öffnet die Vorhänge und ist ein Mann, der drinnen ist und mit einer Maske im Gesicht aus dem Badezimmer läuft.</v>
      </c>
    </row>
    <row r="4104">
      <c r="A4104" s="4" t="s">
        <v>5162</v>
      </c>
      <c r="B4104" s="4" t="s">
        <v>5163</v>
      </c>
      <c r="C4104" s="5" t="str">
        <f>IFERROR(__xludf.DUMMYFUNCTION("GOOGLETRANSLATE(B4104,""en"",""de"")"),"Regen strömt herunter und eine Person geht über das Feld und zeigt seinen Finger über das Feld.")</f>
        <v>Regen strömt herunter und eine Person geht über das Feld und zeigt seinen Finger über das Feld.</v>
      </c>
    </row>
    <row r="4105">
      <c r="A4105" s="4" t="s">
        <v>5162</v>
      </c>
      <c r="B4105" s="4" t="s">
        <v>5164</v>
      </c>
      <c r="C4105" s="5" t="str">
        <f>IFERROR(__xludf.DUMMYFUNCTION("GOOGLETRANSLATE(B4105,""en"",""de"")"),"Danach wird er auf einem Feld gezeigt, das seine Hand hochhält hoch, um Lacrosse zu spielen.")</f>
        <v>Danach wird er auf einem Feld gezeigt, das seine Hand hochhält hoch, um Lacrosse zu spielen.</v>
      </c>
    </row>
    <row r="4106">
      <c r="A4106" s="4" t="s">
        <v>5162</v>
      </c>
      <c r="B4106" s="4" t="s">
        <v>5165</v>
      </c>
      <c r="C4106" s="5" t="str">
        <f>IFERROR(__xludf.DUMMYFUNCTION("GOOGLETRANSLATE(B4106,""en"",""de"")"),"Weitere Spiele gehen weiter und der Typ, der zeigte, beginnt Tore zu erzielen und sein Team zu führen.")</f>
        <v>Weitere Spiele gehen weiter und der Typ, der zeigte, beginnt Tore zu erzielen und sein Team zu führen.</v>
      </c>
    </row>
    <row r="4107">
      <c r="A4107" s="4" t="s">
        <v>5166</v>
      </c>
      <c r="B4107" s="4" t="s">
        <v>5167</v>
      </c>
      <c r="C4107" s="5" t="str">
        <f>IFERROR(__xludf.DUMMYFUNCTION("GOOGLETRANSLATE(B4107,""en"",""de"")"),"Eine Frau spricht mit einer Kamera vor einem Tanzstudio -Werbeschild, als vier Mädchen Balletttechniken vor einer Ballettleiste in einem Tanzstudio demonstrieren.")</f>
        <v>Eine Frau spricht mit einer Kamera vor einem Tanzstudio -Werbeschild, als vier Mädchen Balletttechniken vor einer Ballettleiste in einem Tanzstudio demonstrieren.</v>
      </c>
    </row>
    <row r="4108">
      <c r="A4108" s="4" t="s">
        <v>5166</v>
      </c>
      <c r="B4108" s="4" t="s">
        <v>5168</v>
      </c>
      <c r="C4108" s="5" t="str">
        <f>IFERROR(__xludf.DUMMYFUNCTION("GOOGLETRANSLATE(B4108,""en"",""de"")"),"Eine Frau mit blonden Haaren und in All Black gekleidet, steht vor einer Tanzstudio -Werbung und spricht vor der Kamera.")</f>
        <v>Eine Frau mit blonden Haaren und in All Black gekleidet, steht vor einer Tanzstudio -Werbung und spricht vor der Kamera.</v>
      </c>
    </row>
    <row r="4109">
      <c r="A4109" s="4" t="s">
        <v>5166</v>
      </c>
      <c r="B4109" s="4" t="s">
        <v>5169</v>
      </c>
      <c r="C4109" s="5" t="str">
        <f>IFERROR(__xludf.DUMMYFUNCTION("GOOGLETRANSLATE(B4109,""en"",""de"")"),"Die Kamera schneidet an vier Mädchen in Ballett -Outfits und Ballettschuhen aus, die sich einer Ballettstange mit dem Rücken zur Kamera gegenübersehen und Ballet Knie -Biegungen demonstrieren.")</f>
        <v>Die Kamera schneidet an vier Mädchen in Ballett -Outfits und Ballettschuhen aus, die sich einer Ballettstange mit dem Rücken zur Kamera gegenübersehen und Ballet Knie -Biegungen demonstrieren.</v>
      </c>
    </row>
    <row r="4110">
      <c r="A4110" s="4" t="s">
        <v>5166</v>
      </c>
      <c r="B4110" s="4" t="s">
        <v>5170</v>
      </c>
      <c r="C4110" s="5" t="str">
        <f>IFERROR(__xludf.DUMMYFUNCTION("GOOGLETRANSLATE(B4110,""en"",""de"")"),"Die Mädchen zeigen dann Ballettzehenpunkte, als die Kamera auf die einsame Frau zurückgeht, die weiterhin mit Blick auf die Kamera spricht, bis die Szene zu einer Marketinggrafik verblasst.")</f>
        <v>Die Mädchen zeigen dann Ballettzehenpunkte, als die Kamera auf die einsame Frau zurückgeht, die weiterhin mit Blick auf die Kamera spricht, bis die Szene zu einer Marketinggrafik verblasst.</v>
      </c>
    </row>
    <row r="4111">
      <c r="A4111" s="4" t="s">
        <v>5171</v>
      </c>
      <c r="B4111" s="4" t="s">
        <v>5172</v>
      </c>
      <c r="C4111" s="5" t="str">
        <f>IFERROR(__xludf.DUMMYFUNCTION("GOOGLETRANSLATE(B4111,""en"",""de"")"),"Ein Mann, der ein weißes Hemd und einen Tarndruckhut sowie Ohr- und Lippenpiercings trägt, zeigt, wie man dauerhafte Tätowierungen macht.")</f>
        <v>Ein Mann, der ein weißes Hemd und einen Tarndruckhut sowie Ohr- und Lippenpiercings trägt, zeigt, wie man dauerhafte Tätowierungen macht.</v>
      </c>
    </row>
    <row r="4112">
      <c r="A4112" s="4" t="s">
        <v>5171</v>
      </c>
      <c r="B4112" s="4" t="s">
        <v>5173</v>
      </c>
      <c r="C4112" s="5" t="str">
        <f>IFERROR(__xludf.DUMMYFUNCTION("GOOGLETRANSLATE(B4112,""en"",""de"")"),"Er zeigt, wie er den Arm des Klienten mit einem Rasiermesser rasiert und Alkohol darauf reibt, um die Haut zuzubereiten.")</f>
        <v>Er zeigt, wie er den Arm des Klienten mit einem Rasiermesser rasiert und Alkohol darauf reibt, um die Haut zuzubereiten.</v>
      </c>
    </row>
    <row r="4113">
      <c r="A4113" s="4" t="s">
        <v>5171</v>
      </c>
      <c r="B4113" s="4" t="s">
        <v>5174</v>
      </c>
      <c r="C4113" s="5" t="str">
        <f>IFERROR(__xludf.DUMMYFUNCTION("GOOGLETRANSLATE(B4113,""en"",""de"")"),"Dann legt er eine Schablone auf den Arm des Kunden, um den Umriss des Tattoo niederzulegen.")</f>
        <v>Dann legt er eine Schablone auf den Arm des Kunden, um den Umriss des Tattoo niederzulegen.</v>
      </c>
    </row>
    <row r="4114">
      <c r="A4114" s="4" t="s">
        <v>5171</v>
      </c>
      <c r="B4114" s="4" t="s">
        <v>5175</v>
      </c>
      <c r="C4114" s="5" t="str">
        <f>IFERROR(__xludf.DUMMYFUNCTION("GOOGLETRANSLATE(B4114,""en"",""de"")"),"Dann wendet er etwas Creme über die Haut auf, um Blutungen zu minimieren.")</f>
        <v>Dann wendet er etwas Creme über die Haut auf, um Blutungen zu minimieren.</v>
      </c>
    </row>
    <row r="4115">
      <c r="A4115" s="4" t="s">
        <v>5171</v>
      </c>
      <c r="B4115" s="4" t="s">
        <v>5176</v>
      </c>
      <c r="C4115" s="5" t="str">
        <f>IFERROR(__xludf.DUMMYFUNCTION("GOOGLETRANSLATE(B4115,""en"",""de"")"),"Er beginnt, die Tattoo -Maschine zu verwenden, um über den Umriss auf das Tattoo zu ziehen.")</f>
        <v>Er beginnt, die Tattoo -Maschine zu verwenden, um über den Umriss auf das Tattoo zu ziehen.</v>
      </c>
    </row>
    <row r="4116">
      <c r="A4116" s="4" t="s">
        <v>5171</v>
      </c>
      <c r="B4116" s="4" t="s">
        <v>5177</v>
      </c>
      <c r="C4116" s="5" t="str">
        <f>IFERROR(__xludf.DUMMYFUNCTION("GOOGLETRANSLATE(B4116,""en"",""de"")"),"Er zeigt auch, wie er verschiedene Farben verwendet, um den Umriss des Designs auszufüllen.")</f>
        <v>Er zeigt auch, wie er verschiedene Farben verwendet, um den Umriss des Designs auszufüllen.</v>
      </c>
    </row>
    <row r="4117">
      <c r="A4117" s="4" t="s">
        <v>5171</v>
      </c>
      <c r="B4117" s="4" t="s">
        <v>5178</v>
      </c>
      <c r="C4117" s="5" t="str">
        <f>IFERROR(__xludf.DUMMYFUNCTION("GOOGLETRANSLATE(B4117,""en"",""de"")"),"Anschließend vervollständigt er das Tattoo gemäß den Spezifikationen des Kunden.")</f>
        <v>Anschließend vervollständigt er das Tattoo gemäß den Spezifikationen des Kunden.</v>
      </c>
    </row>
    <row r="4118">
      <c r="A4118" s="4" t="s">
        <v>5179</v>
      </c>
      <c r="B4118" s="4" t="s">
        <v>5180</v>
      </c>
      <c r="C4118" s="5" t="str">
        <f>IFERROR(__xludf.DUMMYFUNCTION("GOOGLETRANSLATE(B4118,""en"",""de"")"),"Ein kleines Baby ist draußen, der einen Stock hält und versucht, die Pinata damit zu treffen.")</f>
        <v>Ein kleines Baby ist draußen, der einen Stock hält und versucht, die Pinata damit zu treffen.</v>
      </c>
    </row>
    <row r="4119">
      <c r="A4119" s="4" t="s">
        <v>5179</v>
      </c>
      <c r="B4119" s="4" t="s">
        <v>5181</v>
      </c>
      <c r="C4119" s="5" t="str">
        <f>IFERROR(__xludf.DUMMYFUNCTION("GOOGLETRANSLATE(B4119,""en"",""de"")"),"Hinter ihr hält eine Dame das Baby hoch und unterstützt sie, während sie die Pinata trifft.")</f>
        <v>Hinter ihr hält eine Dame das Baby hoch und unterstützt sie, während sie die Pinata trifft.</v>
      </c>
    </row>
    <row r="4120">
      <c r="A4120" s="4" t="s">
        <v>5179</v>
      </c>
      <c r="B4120" s="4" t="s">
        <v>5182</v>
      </c>
      <c r="C4120" s="5" t="str">
        <f>IFERROR(__xludf.DUMMYFUNCTION("GOOGLETRANSLATE(B4120,""en"",""de"")"),"Als die Pinata auf und ab springt, schlägt das junge Baby es kaum und dreht sich dann zur Kamera.")</f>
        <v>Als die Pinata auf und ab springt, schlägt das junge Baby es kaum und dreht sich dann zur Kamera.</v>
      </c>
    </row>
    <row r="4121">
      <c r="A4121" s="4" t="s">
        <v>5183</v>
      </c>
      <c r="B4121" s="4" t="s">
        <v>5184</v>
      </c>
      <c r="C4121" s="5" t="str">
        <f>IFERROR(__xludf.DUMMYFUNCTION("GOOGLETRANSLATE(B4121,""en"",""de"")"),"Ein kleines Mädchen sitzt an einem Tisch vor zwei Gläser, einer 7 -up -Flasche und einem Teller mit Limettenscheiben.")</f>
        <v>Ein kleines Mädchen sitzt an einem Tisch vor zwei Gläser, einer 7 -up -Flasche und einem Teller mit Limettenscheiben.</v>
      </c>
    </row>
    <row r="4122">
      <c r="A4122" s="4" t="s">
        <v>5183</v>
      </c>
      <c r="B4122" s="4" t="s">
        <v>5185</v>
      </c>
      <c r="C4122" s="5" t="str">
        <f>IFERROR(__xludf.DUMMYFUNCTION("GOOGLETRANSLATE(B4122,""en"",""de"")"),"Sie fügt die Brille die Soda und Limettenscheiben hinzu und drückt den Saft in die Flüssigkeit, bevor sie etwas trinken.")</f>
        <v>Sie fügt die Brille die Soda und Limettenscheiben hinzu und drückt den Saft in die Flüssigkeit, bevor sie etwas trinken.</v>
      </c>
    </row>
    <row r="4123">
      <c r="A4123" s="4" t="s">
        <v>5186</v>
      </c>
      <c r="B4123" s="4" t="s">
        <v>5187</v>
      </c>
      <c r="C4123" s="5" t="str">
        <f>IFERROR(__xludf.DUMMYFUNCTION("GOOGLETRANSLATE(B4123,""en"",""de"")"),"Eine alte Fernsehsendung im Stil wird gezeigt, wo ein Mann die Haare einer Frau schneidet.")</f>
        <v>Eine alte Fernsehsendung im Stil wird gezeigt, wo ein Mann die Haare einer Frau schneidet.</v>
      </c>
    </row>
    <row r="4124">
      <c r="A4124" s="4" t="s">
        <v>5186</v>
      </c>
      <c r="B4124" s="4" t="s">
        <v>5188</v>
      </c>
      <c r="C4124" s="5" t="str">
        <f>IFERROR(__xludf.DUMMYFUNCTION("GOOGLETRANSLATE(B4124,""en"",""de"")"),"Ein Mann schneidet dann wirklich kurz die Haare, während ein anderer Mann von außen hineinschaut.")</f>
        <v>Ein Mann schneidet dann wirklich kurz die Haare, während ein anderer Mann von außen hineinschaut.</v>
      </c>
    </row>
    <row r="4125">
      <c r="A4125" s="4" t="s">
        <v>5189</v>
      </c>
      <c r="B4125" s="4" t="s">
        <v>5190</v>
      </c>
      <c r="C4125" s="5" t="str">
        <f>IFERROR(__xludf.DUMMYFUNCTION("GOOGLETRANSLATE(B4125,""en"",""de"")"),"Ein Mann ist draußen in einem Fußballfeld, der seine Ausrüstung in eine Buchbeutel steckt.")</f>
        <v>Ein Mann ist draußen in einem Fußballfeld, der seine Ausrüstung in eine Buchbeutel steckt.</v>
      </c>
    </row>
    <row r="4126">
      <c r="A4126" s="4" t="s">
        <v>5189</v>
      </c>
      <c r="B4126" s="4" t="s">
        <v>5191</v>
      </c>
      <c r="C4126" s="5" t="str">
        <f>IFERROR(__xludf.DUMMYFUNCTION("GOOGLETRANSLATE(B4126,""en"",""de"")"),"Sobald die Dinge in seinen Taschen sind, sichert er es mit seinen Gurten und springt auf und ab.")</f>
        <v>Sobald die Dinge in seinen Taschen sind, sichert er es mit seinen Gurten und springt auf und ab.</v>
      </c>
    </row>
    <row r="4127">
      <c r="A4127" s="4" t="s">
        <v>5189</v>
      </c>
      <c r="B4127" s="4" t="s">
        <v>5192</v>
      </c>
      <c r="C4127" s="5" t="str">
        <f>IFERROR(__xludf.DUMMYFUNCTION("GOOGLETRANSLATE(B4127,""en"",""de"")"),"Die Hauptaufgaben beginnen und der Mann rennt durch den Wald.")</f>
        <v>Die Hauptaufgaben beginnen und der Mann rennt durch den Wald.</v>
      </c>
    </row>
    <row r="4128">
      <c r="A4128" s="4" t="s">
        <v>5189</v>
      </c>
      <c r="B4128" s="4" t="s">
        <v>5193</v>
      </c>
      <c r="C4128" s="5" t="str">
        <f>IFERROR(__xludf.DUMMYFUNCTION("GOOGLETRANSLATE(B4128,""en"",""de"")"),"Plötzlich wird ein kleiner Gewässer gezeigt, und die Menschen schlugen sich und setzen sich hin und genießen sich gegenseitig.")</f>
        <v>Plötzlich wird ein kleiner Gewässer gezeigt, und die Menschen schlugen sich und setzen sich hin und genießen sich gegenseitig.</v>
      </c>
    </row>
    <row r="4129">
      <c r="A4129" s="4" t="s">
        <v>5194</v>
      </c>
      <c r="B4129" s="4" t="s">
        <v>5195</v>
      </c>
      <c r="C4129" s="5" t="str">
        <f>IFERROR(__xludf.DUMMYFUNCTION("GOOGLETRANSLATE(B4129,""en"",""de"")"),"Ein Junge mit einem Hut ist zu Fuß und redet hinter einigen Bäumen.")</f>
        <v>Ein Junge mit einem Hut ist zu Fuß und redet hinter einigen Bäumen.</v>
      </c>
    </row>
    <row r="4130">
      <c r="A4130" s="4" t="s">
        <v>5194</v>
      </c>
      <c r="B4130" s="4" t="s">
        <v>5196</v>
      </c>
      <c r="C4130" s="5" t="str">
        <f>IFERROR(__xludf.DUMMYFUNCTION("GOOGLETRANSLATE(B4130,""en"",""de"")"),"Der Junge schleicht sich auf ein Feld, auf dem ein anderer Junge das Spielfeldhockey ist.")</f>
        <v>Der Junge schleicht sich auf ein Feld, auf dem ein anderer Junge das Spielfeldhockey ist.</v>
      </c>
    </row>
    <row r="4131">
      <c r="A4131" s="4" t="s">
        <v>5194</v>
      </c>
      <c r="B4131" s="4" t="s">
        <v>5197</v>
      </c>
      <c r="C4131" s="5" t="str">
        <f>IFERROR(__xludf.DUMMYFUNCTION("GOOGLETRANSLATE(B4131,""en"",""de"")"),"Der Junge im Hut nimmt den Ball.")</f>
        <v>Der Junge im Hut nimmt den Ball.</v>
      </c>
    </row>
    <row r="4132">
      <c r="A4132" s="4" t="s">
        <v>5194</v>
      </c>
      <c r="B4132" s="4" t="s">
        <v>5198</v>
      </c>
      <c r="C4132" s="5" t="str">
        <f>IFERROR(__xludf.DUMMYFUNCTION("GOOGLETRANSLATE(B4132,""en"",""de"")"),"Das Spielfeldhockey des Jungen ist im Hintergrund herumspringt.")</f>
        <v>Das Spielfeldhockey des Jungen ist im Hintergrund herumspringt.</v>
      </c>
    </row>
    <row r="4133">
      <c r="A4133" s="4" t="s">
        <v>5194</v>
      </c>
      <c r="B4133" s="4" t="s">
        <v>5199</v>
      </c>
      <c r="C4133" s="5" t="str">
        <f>IFERROR(__xludf.DUMMYFUNCTION("GOOGLETRANSLATE(B4133,""en"",""de"")"),"Der Junge im Hut tritt den Ball zurück zum Feldhockeyspieler und ein anderer Spieler wird zu sehen.")</f>
        <v>Der Junge im Hut tritt den Ball zurück zum Feldhockeyspieler und ein anderer Spieler wird zu sehen.</v>
      </c>
    </row>
    <row r="4134">
      <c r="A4134" s="4" t="s">
        <v>5194</v>
      </c>
      <c r="B4134" s="4" t="s">
        <v>5200</v>
      </c>
      <c r="C4134" s="5" t="str">
        <f>IFERROR(__xludf.DUMMYFUNCTION("GOOGLETRANSLATE(B4134,""en"",""de"")"),"Die beiden Feldhockeyspieler werden herumlaufen und mit ihren Stöcken den Feldhockeyball treffen.")</f>
        <v>Die beiden Feldhockeyspieler werden herumlaufen und mit ihren Stöcken den Feldhockeyball treffen.</v>
      </c>
    </row>
    <row r="4135">
      <c r="A4135" s="4" t="s">
        <v>5194</v>
      </c>
      <c r="B4135" s="4" t="s">
        <v>5201</v>
      </c>
      <c r="C4135" s="5" t="str">
        <f>IFERROR(__xludf.DUMMYFUNCTION("GOOGLETRANSLATE(B4135,""en"",""de"")"),"Einer der Feldhockeyspieler ist mit seinen Armen und Beinen zu sehen, die mit dem Hut um das Bein des Jungen gewickelt sind.")</f>
        <v>Einer der Feldhockeyspieler ist mit seinen Armen und Beinen zu sehen, die mit dem Hut um das Bein des Jungen gewickelt sind.</v>
      </c>
    </row>
    <row r="4136">
      <c r="A4136" s="4" t="s">
        <v>5202</v>
      </c>
      <c r="B4136" s="4" t="s">
        <v>5203</v>
      </c>
      <c r="C4136" s="5" t="str">
        <f>IFERROR(__xludf.DUMMYFUNCTION("GOOGLETRANSLATE(B4136,""en"",""de"")"),"Ein kleines Mädchen benutzt eine Kehrmaschine, um eine Disc zu schlagen.")</f>
        <v>Ein kleines Mädchen benutzt eine Kehrmaschine, um eine Disc zu schlagen.</v>
      </c>
    </row>
    <row r="4137">
      <c r="A4137" s="4" t="s">
        <v>5202</v>
      </c>
      <c r="B4137" s="4" t="s">
        <v>5204</v>
      </c>
      <c r="C4137" s="5" t="str">
        <f>IFERROR(__xludf.DUMMYFUNCTION("GOOGLETRANSLATE(B4137,""en"",""de"")"),"Die Scheibe fährt den Platz hinunter, bevor er anhielt, ebenso wie weitere Discs.")</f>
        <v>Die Scheibe fährt den Platz hinunter, bevor er anhielt, ebenso wie weitere Discs.</v>
      </c>
    </row>
    <row r="4138">
      <c r="A4138" s="4" t="s">
        <v>5202</v>
      </c>
      <c r="B4138" s="4" t="s">
        <v>5205</v>
      </c>
      <c r="C4138" s="5" t="str">
        <f>IFERROR(__xludf.DUMMYFUNCTION("GOOGLETRANSLATE(B4138,""en"",""de"")"),"Sie spielt weiterhin das Spiel und ist sich nicht sicher, wie man gewinnt.")</f>
        <v>Sie spielt weiterhin das Spiel und ist sich nicht sicher, wie man gewinnt.</v>
      </c>
    </row>
    <row r="4139">
      <c r="A4139" s="4" t="s">
        <v>5206</v>
      </c>
      <c r="B4139" s="4" t="s">
        <v>5207</v>
      </c>
      <c r="C4139" s="5" t="str">
        <f>IFERROR(__xludf.DUMMYFUNCTION("GOOGLETRANSLATE(B4139,""en"",""de"")"),"Ein Mann steht hinter einer Bar und redet.")</f>
        <v>Ein Mann steht hinter einer Bar und redet.</v>
      </c>
    </row>
    <row r="4140">
      <c r="A4140" s="4" t="s">
        <v>5206</v>
      </c>
      <c r="B4140" s="4" t="s">
        <v>5208</v>
      </c>
      <c r="C4140" s="5" t="str">
        <f>IFERROR(__xludf.DUMMYFUNCTION("GOOGLETRANSLATE(B4140,""en"",""de"")"),"Er steckt Eis in ein Glas.")</f>
        <v>Er steckt Eis in ein Glas.</v>
      </c>
    </row>
    <row r="4141">
      <c r="A4141" s="4" t="s">
        <v>5206</v>
      </c>
      <c r="B4141" s="4" t="s">
        <v>5209</v>
      </c>
      <c r="C4141" s="5" t="str">
        <f>IFERROR(__xludf.DUMMYFUNCTION("GOOGLETRANSLATE(B4141,""en"",""de"")"),"Er gießt Schüsse in das Glas.")</f>
        <v>Er gießt Schüsse in das Glas.</v>
      </c>
    </row>
    <row r="4142">
      <c r="A4142" s="4" t="s">
        <v>5206</v>
      </c>
      <c r="B4142" s="4" t="s">
        <v>5210</v>
      </c>
      <c r="C4142" s="5" t="str">
        <f>IFERROR(__xludf.DUMMYFUNCTION("GOOGLETRANSLATE(B4142,""en"",""de"")"),"Er rührt das Getränk mit einem Strohhalm.")</f>
        <v>Er rührt das Getränk mit einem Strohhalm.</v>
      </c>
    </row>
    <row r="4143">
      <c r="A4143" s="4" t="s">
        <v>5211</v>
      </c>
      <c r="B4143" s="4" t="s">
        <v>5212</v>
      </c>
      <c r="C4143" s="5" t="str">
        <f>IFERROR(__xludf.DUMMYFUNCTION("GOOGLETRANSLATE(B4143,""en"",""de"")"),"Mehrere Personen spielen Volleyball in einem Gymnasium von der rechten Seite des Netzes, während andere Menschen im Hintergrund andere Aktivitäten betreiben.")</f>
        <v>Mehrere Personen spielen Volleyball in einem Gymnasium von der rechten Seite des Netzes, während andere Menschen im Hintergrund andere Aktivitäten betreiben.</v>
      </c>
    </row>
    <row r="4144">
      <c r="A4144" s="4" t="s">
        <v>5211</v>
      </c>
      <c r="B4144" s="4" t="s">
        <v>5213</v>
      </c>
      <c r="C4144" s="5" t="str">
        <f>IFERROR(__xludf.DUMMYFUNCTION("GOOGLETRANSLATE(B4144,""en"",""de"")"),"Die Kamerapfannen zeigten das Team auf der linken Seite des Netzes.")</f>
        <v>Die Kamerapfannen zeigten das Team auf der linken Seite des Netzes.</v>
      </c>
    </row>
    <row r="4145">
      <c r="A4145" s="4" t="s">
        <v>5211</v>
      </c>
      <c r="B4145" s="4" t="s">
        <v>5214</v>
      </c>
      <c r="C4145" s="5" t="str">
        <f>IFERROR(__xludf.DUMMYFUNCTION("GOOGLETRANSLATE(B4145,""en"",""de"")"),"Die Kamera kehrt auf der rechten Seite zum Team zurück.")</f>
        <v>Die Kamera kehrt auf der rechten Seite zum Team zurück.</v>
      </c>
    </row>
    <row r="4146">
      <c r="A4146" s="4" t="s">
        <v>5215</v>
      </c>
      <c r="B4146" s="4" t="s">
        <v>5216</v>
      </c>
      <c r="C4146" s="5" t="str">
        <f>IFERROR(__xludf.DUMMYFUNCTION("GOOGLETRANSLATE(B4146,""en"",""de"")"),"Drei Männer zeigen Hammerwürfe in einem olympischen Outdoor -Ereignis, das von Zuschauern auf dem Feld und in Tribünen umgeben ist.")</f>
        <v>Drei Männer zeigen Hammerwürfe in einem olympischen Outdoor -Ereignis, das von Zuschauern auf dem Feld und in Tribünen umgeben ist.</v>
      </c>
    </row>
    <row r="4147">
      <c r="A4147" s="4" t="s">
        <v>5215</v>
      </c>
      <c r="B4147" s="4" t="s">
        <v>5217</v>
      </c>
      <c r="C4147" s="5" t="str">
        <f>IFERROR(__xludf.DUMMYFUNCTION("GOOGLETRANSLATE(B4147,""en"",""de"")"),"Ein Mann steht bei einem olympischen Spiel im Freien und führt einen Hammerwurf aus, der von Menschen und einem Publikum in Tribünen umgeben ist, bevor er den Hammer in die Luft fliegen lässt.")</f>
        <v>Ein Mann steht bei einem olympischen Spiel im Freien und führt einen Hammerwurf aus, der von Menschen und einem Publikum in Tribünen umgeben ist, bevor er den Hammer in die Luft fliegen lässt.</v>
      </c>
    </row>
    <row r="4148">
      <c r="A4148" s="4" t="s">
        <v>5215</v>
      </c>
      <c r="B4148" s="4" t="s">
        <v>5218</v>
      </c>
      <c r="C4148" s="5" t="str">
        <f>IFERROR(__xludf.DUMMYFUNCTION("GOOGLETRANSLATE(B4148,""en"",""de"")"),"Zwei weitere Männer führen einen Hammerwurf auf die gleiche Weise durch und lassen den Hammer in die Luft, um in ein Feld zu fliegen.")</f>
        <v>Zwei weitere Männer führen einen Hammerwurf auf die gleiche Weise durch und lassen den Hammer in die Luft, um in ein Feld zu fliegen.</v>
      </c>
    </row>
    <row r="4149">
      <c r="A4149" s="4" t="s">
        <v>5215</v>
      </c>
      <c r="B4149" s="4" t="s">
        <v>5219</v>
      </c>
      <c r="C4149" s="5" t="str">
        <f>IFERROR(__xludf.DUMMYFUNCTION("GOOGLETRANSLATE(B4149,""en"",""de"")"),"Drei Männer stehen in der Mitte eines Feldes und halten Medaillen hoch, die um ihren Hals hängen.")</f>
        <v>Drei Männer stehen in der Mitte eines Feldes und halten Medaillen hoch, die um ihren Hals hängen.</v>
      </c>
    </row>
    <row r="4150">
      <c r="A4150" s="4" t="s">
        <v>5220</v>
      </c>
      <c r="B4150" s="4" t="s">
        <v>5221</v>
      </c>
      <c r="C4150" s="5" t="str">
        <f>IFERROR(__xludf.DUMMYFUNCTION("GOOGLETRANSLATE(B4150,""en"",""de"")"),"Ein Rasenmäher befindet sich draußen neben einer Reihe von runden Felsen.")</f>
        <v>Ein Rasenmäher befindet sich draußen neben einer Reihe von runden Felsen.</v>
      </c>
    </row>
    <row r="4151">
      <c r="A4151" s="4" t="s">
        <v>5220</v>
      </c>
      <c r="B4151" s="4" t="s">
        <v>5222</v>
      </c>
      <c r="C4151" s="5" t="str">
        <f>IFERROR(__xludf.DUMMYFUNCTION("GOOGLETRANSLATE(B4151,""en"",""de"")"),"Eine Person beginnt den Mäher und schiebt ihn neben die Felsgrenze.")</f>
        <v>Eine Person beginnt den Mäher und schiebt ihn neben die Felsgrenze.</v>
      </c>
    </row>
    <row r="4152">
      <c r="A4152" s="4" t="s">
        <v>5220</v>
      </c>
      <c r="B4152" s="4" t="s">
        <v>5223</v>
      </c>
      <c r="C4152" s="5" t="str">
        <f>IFERROR(__xludf.DUMMYFUNCTION("GOOGLETRANSLATE(B4152,""en"",""de"")"),"Wir haben einen Blick aus erster Hand auf den Rasen der Person, der gemäht wird, während sie sich dreht und den Mäher überall drückt.")</f>
        <v>Wir haben einen Blick aus erster Hand auf den Rasen der Person, der gemäht wird, während sie sich dreht und den Mäher überall drückt.</v>
      </c>
    </row>
    <row r="4153">
      <c r="A4153" s="4" t="s">
        <v>5220</v>
      </c>
      <c r="B4153" s="4" t="s">
        <v>5224</v>
      </c>
      <c r="C4153" s="5" t="str">
        <f>IFERROR(__xludf.DUMMYFUNCTION("GOOGLETRANSLATE(B4153,""en"",""de"")"),"Das Gesicht des Mannes wird kurz bevor er die Kamera ausschaltet.")</f>
        <v>Das Gesicht des Mannes wird kurz bevor er die Kamera ausschaltet.</v>
      </c>
    </row>
    <row r="4154">
      <c r="A4154" s="4" t="s">
        <v>5225</v>
      </c>
      <c r="B4154" s="4" t="s">
        <v>5226</v>
      </c>
      <c r="C4154" s="5" t="str">
        <f>IFERROR(__xludf.DUMMYFUNCTION("GOOGLETRANSLATE(B4154,""en"",""de"")"),"Kinder fahren in einem Vergnügungspark oder Karneval mit den Stoßstangenautos.")</f>
        <v>Kinder fahren in einem Vergnügungspark oder Karneval mit den Stoßstangenautos.</v>
      </c>
    </row>
    <row r="4155">
      <c r="A4155" s="4" t="s">
        <v>5225</v>
      </c>
      <c r="B4155" s="4" t="s">
        <v>5227</v>
      </c>
      <c r="C4155" s="5" t="str">
        <f>IFERROR(__xludf.DUMMYFUNCTION("GOOGLETRANSLATE(B4155,""en"",""de"")"),"Ein Stau fängt die kleinen Mädchen mitten in Autos ab.")</f>
        <v>Ein Stau fängt die kleinen Mädchen mitten in Autos ab.</v>
      </c>
    </row>
    <row r="4156">
      <c r="A4156" s="4" t="s">
        <v>5225</v>
      </c>
      <c r="B4156" s="4" t="s">
        <v>5228</v>
      </c>
      <c r="C4156" s="5" t="str">
        <f>IFERROR(__xludf.DUMMYFUNCTION("GOOGLETRANSLATE(B4156,""en"",""de"")"),"Das kleine Mädchen im Hut lächelt, als sie in das Gesicht ihrer Schwestern schaut.")</f>
        <v>Das kleine Mädchen im Hut lächelt, als sie in das Gesicht ihrer Schwestern schaut.</v>
      </c>
    </row>
    <row r="4157">
      <c r="A4157" s="4" t="s">
        <v>5229</v>
      </c>
      <c r="B4157" s="4" t="s">
        <v>5230</v>
      </c>
      <c r="C4157" s="5" t="str">
        <f>IFERROR(__xludf.DUMMYFUNCTION("GOOGLETRANSLATE(B4157,""en"",""de"")"),"Eine große Gruppe von Menschen sitzt in einem Außenfeld.")</f>
        <v>Eine große Gruppe von Menschen sitzt in einem Außenfeld.</v>
      </c>
    </row>
    <row r="4158">
      <c r="A4158" s="4" t="s">
        <v>5229</v>
      </c>
      <c r="B4158" s="4" t="s">
        <v>5231</v>
      </c>
      <c r="C4158" s="5" t="str">
        <f>IFERROR(__xludf.DUMMYFUNCTION("GOOGLETRANSLATE(B4158,""en"",""de"")"),"Ein Hund läuft mitten im Publikum auf und ab.")</f>
        <v>Ein Hund läuft mitten im Publikum auf und ab.</v>
      </c>
    </row>
    <row r="4159">
      <c r="A4159" s="4" t="s">
        <v>5229</v>
      </c>
      <c r="B4159" s="4" t="s">
        <v>5232</v>
      </c>
      <c r="C4159" s="5" t="str">
        <f>IFERROR(__xludf.DUMMYFUNCTION("GOOGLETRANSLATE(B4159,""en"",""de"")"),"Der Hund rennt immer wieder zurück und viertes, während die Kamera von der Seite sieht.")</f>
        <v>Der Hund rennt immer wieder zurück und viertes, während die Kamera von der Seite sieht.</v>
      </c>
    </row>
    <row r="4160">
      <c r="A4160" s="4" t="s">
        <v>5233</v>
      </c>
      <c r="B4160" s="4" t="s">
        <v>5234</v>
      </c>
      <c r="C4160" s="5" t="str">
        <f>IFERROR(__xludf.DUMMYFUNCTION("GOOGLETRANSLATE(B4160,""en"",""de"")"),"Wir sehen ein paar Titelbildschirme.")</f>
        <v>Wir sehen ein paar Titelbildschirme.</v>
      </c>
    </row>
    <row r="4161">
      <c r="A4161" s="4" t="s">
        <v>5233</v>
      </c>
      <c r="B4161" s="4" t="s">
        <v>5235</v>
      </c>
      <c r="C4161" s="5" t="str">
        <f>IFERROR(__xludf.DUMMYFUNCTION("GOOGLETRANSLATE(B4161,""en"",""de"")"),"Wir sehen, wie ein Mann eine Reihe von Capoeira -Bewegungen mit den Namen vor dem Umzug ausführt.")</f>
        <v>Wir sehen, wie ein Mann eine Reihe von Capoeira -Bewegungen mit den Namen vor dem Umzug ausführt.</v>
      </c>
    </row>
    <row r="4162">
      <c r="A4162" s="4" t="s">
        <v>5233</v>
      </c>
      <c r="B4162" s="4" t="s">
        <v>5236</v>
      </c>
      <c r="C4162" s="5" t="str">
        <f>IFERROR(__xludf.DUMMYFUNCTION("GOOGLETRANSLATE(B4162,""en"",""de"")"),"Wir sehen einen Menschenschicht und einen Roundhouse -Kick.")</f>
        <v>Wir sehen einen Menschenschicht und einen Roundhouse -Kick.</v>
      </c>
    </row>
    <row r="4163">
      <c r="A4163" s="4" t="s">
        <v>5233</v>
      </c>
      <c r="B4163" s="4" t="s">
        <v>5237</v>
      </c>
      <c r="C4163" s="5" t="str">
        <f>IFERROR(__xludf.DUMMYFUNCTION("GOOGLETRANSLATE(B4163,""en"",""de"")"),"Der Mann macht einen Handstand einer Hand und tritt seine Beine in die Luft.")</f>
        <v>Der Mann macht einen Handstand einer Hand und tritt seine Beine in die Luft.</v>
      </c>
    </row>
    <row r="4164">
      <c r="A4164" s="4" t="s">
        <v>5233</v>
      </c>
      <c r="B4164" s="4" t="s">
        <v>5238</v>
      </c>
      <c r="C4164" s="5" t="str">
        <f>IFERROR(__xludf.DUMMYFUNCTION("GOOGLETRANSLATE(B4164,""en"",""de"")"),"Der Mann macht einen Flip von Handständen.")</f>
        <v>Der Mann macht einen Flip von Handständen.</v>
      </c>
    </row>
    <row r="4165">
      <c r="A4165" s="4" t="s">
        <v>5233</v>
      </c>
      <c r="B4165" s="4" t="s">
        <v>4513</v>
      </c>
      <c r="C4165" s="5" t="str">
        <f>IFERROR(__xludf.DUMMYFUNCTION("GOOGLETRANSLATE(B4165,""en"",""de"")"),"Wir sehen die Endgutschrift.")</f>
        <v>Wir sehen die Endgutschrift.</v>
      </c>
    </row>
    <row r="4166">
      <c r="A4166" s="4" t="s">
        <v>5239</v>
      </c>
      <c r="B4166" s="4" t="s">
        <v>5240</v>
      </c>
      <c r="C4166" s="5" t="str">
        <f>IFERROR(__xludf.DUMMYFUNCTION("GOOGLETRANSLATE(B4166,""en"",""de"")"),"Wir sehen einen farbenfrohen und spielerischen Titelbildschirm.")</f>
        <v>Wir sehen einen farbenfrohen und spielerischen Titelbildschirm.</v>
      </c>
    </row>
    <row r="4167">
      <c r="A4167" s="4" t="s">
        <v>5239</v>
      </c>
      <c r="B4167" s="4" t="s">
        <v>5241</v>
      </c>
      <c r="C4167" s="5" t="str">
        <f>IFERROR(__xludf.DUMMYFUNCTION("GOOGLETRANSLATE(B4167,""en"",""de"")"),"Wir sehen dann Leute in einem Raum und draußen auf einer schicken Party.")</f>
        <v>Wir sehen dann Leute in einem Raum und draußen auf einer schicken Party.</v>
      </c>
    </row>
    <row r="4168">
      <c r="A4168" s="4" t="s">
        <v>5239</v>
      </c>
      <c r="B4168" s="4" t="s">
        <v>5242</v>
      </c>
      <c r="C4168" s="5" t="str">
        <f>IFERROR(__xludf.DUMMYFUNCTION("GOOGLETRANSLATE(B4168,""en"",""de"")"),"Eine Frau geht durch die Tür.")</f>
        <v>Eine Frau geht durch die Tür.</v>
      </c>
    </row>
    <row r="4169">
      <c r="A4169" s="4" t="s">
        <v>5239</v>
      </c>
      <c r="B4169" s="4" t="s">
        <v>5243</v>
      </c>
      <c r="C4169" s="5" t="str">
        <f>IFERROR(__xludf.DUMMYFUNCTION("GOOGLETRANSLATE(B4169,""en"",""de"")"),"Der Mann im Anzug kommt durch das Tor.")</f>
        <v>Der Mann im Anzug kommt durch das Tor.</v>
      </c>
    </row>
    <row r="4170">
      <c r="A4170" s="4" t="s">
        <v>5239</v>
      </c>
      <c r="B4170" s="4" t="s">
        <v>5244</v>
      </c>
      <c r="C4170" s="5" t="str">
        <f>IFERROR(__xludf.DUMMYFUNCTION("GOOGLETRANSLATE(B4170,""en"",""de"")"),"Ein Mann in Red geht an der Kamera vorbei.")</f>
        <v>Ein Mann in Red geht an der Kamera vorbei.</v>
      </c>
    </row>
    <row r="4171">
      <c r="A4171" s="4" t="s">
        <v>5239</v>
      </c>
      <c r="B4171" s="4" t="s">
        <v>5245</v>
      </c>
      <c r="C4171" s="5" t="str">
        <f>IFERROR(__xludf.DUMMYFUNCTION("GOOGLETRANSLATE(B4171,""en"",""de"")"),"Die Dame in Weiß sieht die Kamera und versteckt sich.")</f>
        <v>Die Dame in Weiß sieht die Kamera und versteckt sich.</v>
      </c>
    </row>
    <row r="4172">
      <c r="A4172" s="4" t="s">
        <v>5239</v>
      </c>
      <c r="B4172" s="4" t="s">
        <v>5246</v>
      </c>
      <c r="C4172" s="5" t="str">
        <f>IFERROR(__xludf.DUMMYFUNCTION("GOOGLETRANSLATE(B4172,""en"",""de"")"),"Wir sehen farbenfrohe Kristall wie das Schließen des Bildschirms.")</f>
        <v>Wir sehen farbenfrohe Kristall wie das Schließen des Bildschirms.</v>
      </c>
    </row>
    <row r="4173">
      <c r="A4173" s="4" t="s">
        <v>5247</v>
      </c>
      <c r="B4173" s="4" t="s">
        <v>5248</v>
      </c>
      <c r="C4173" s="5" t="str">
        <f>IFERROR(__xludf.DUMMYFUNCTION("GOOGLETRANSLATE(B4173,""en"",""de"")"),"Die Leute reiten Pferde entlang eines Dirt Trail.")</f>
        <v>Die Leute reiten Pferde entlang eines Dirt Trail.</v>
      </c>
    </row>
    <row r="4174">
      <c r="A4174" s="4" t="s">
        <v>5247</v>
      </c>
      <c r="B4174" s="4" t="s">
        <v>5249</v>
      </c>
      <c r="C4174" s="5" t="str">
        <f>IFERROR(__xludf.DUMMYFUNCTION("GOOGLETRANSLATE(B4174,""en"",""de"")"),"Sie überqueren einen Fluss Wasser auf den Pferden.")</f>
        <v>Sie überqueren einen Fluss Wasser auf den Pferden.</v>
      </c>
    </row>
    <row r="4175">
      <c r="A4175" s="4" t="s">
        <v>5247</v>
      </c>
      <c r="B4175" s="4" t="s">
        <v>5250</v>
      </c>
      <c r="C4175" s="5" t="str">
        <f>IFERROR(__xludf.DUMMYFUNCTION("GOOGLETRANSLATE(B4175,""en"",""de"")"),"Sie fahren mit der Ride mit den Pferden fort.")</f>
        <v>Sie fahren mit der Ride mit den Pferden fort.</v>
      </c>
    </row>
    <row r="4176">
      <c r="A4176" s="4" t="s">
        <v>5251</v>
      </c>
      <c r="B4176" s="4" t="s">
        <v>5252</v>
      </c>
      <c r="C4176" s="5" t="str">
        <f>IFERROR(__xludf.DUMMYFUNCTION("GOOGLETRANSLATE(B4176,""en"",""de"")"),"Mehrere Personen in einem Labor erstellen eine Formel und ein Interview mit einem Journalisten, der von Bildern von Personen durchsetzt ist, die Sonnenschutzmittel auf sich selbst anwenden.")</f>
        <v>Mehrere Personen in einem Labor erstellen eine Formel und ein Interview mit einem Journalisten, der von Bildern von Personen durchsetzt ist, die Sonnenschutzmittel auf sich selbst anwenden.</v>
      </c>
    </row>
    <row r="4177">
      <c r="A4177" s="4" t="s">
        <v>5251</v>
      </c>
      <c r="B4177" s="4" t="s">
        <v>5253</v>
      </c>
      <c r="C4177" s="5" t="str">
        <f>IFERROR(__xludf.DUMMYFUNCTION("GOOGLETRANSLATE(B4177,""en"",""de"")"),"Viele Menschen werden auf Video in offenen Aufnahmen von ihnen gezeigt, die im Freien Sonnenschutzmittel auf sich selbst auftragen.")</f>
        <v>Viele Menschen werden auf Video in offenen Aufnahmen von ihnen gezeigt, die im Freien Sonnenschutzmittel auf sich selbst auftragen.</v>
      </c>
    </row>
    <row r="4178">
      <c r="A4178" s="4" t="s">
        <v>5251</v>
      </c>
      <c r="B4178" s="4" t="s">
        <v>5254</v>
      </c>
      <c r="C4178" s="5" t="str">
        <f>IFERROR(__xludf.DUMMYFUNCTION("GOOGLETRANSLATE(B4178,""en"",""de"")"),"Eine Frau in einem Labor bereitet eine Formel mit unterschiedlichen Zutaten vor, die mit einer Kamera durchsetzt sind.")</f>
        <v>Eine Frau in einem Labor bereitet eine Formel mit unterschiedlichen Zutaten vor, die mit einer Kamera durchsetzt sind.</v>
      </c>
    </row>
    <row r="4179">
      <c r="A4179" s="4" t="s">
        <v>5251</v>
      </c>
      <c r="B4179" s="4" t="s">
        <v>5255</v>
      </c>
      <c r="C4179" s="5" t="str">
        <f>IFERROR(__xludf.DUMMYFUNCTION("GOOGLETRANSLATE(B4179,""en"",""de"")"),"Weitere Wissenschaftler werden im Labor gezeigt, das mit Aufnahmen von ihnen gegründet wird, um Formeln im Labor vorzubereiten, und eine letzte Aufnahme eines Mannes in einem Außenmarkt, um Zutaten zum Verkauf zu bringen.")</f>
        <v>Weitere Wissenschaftler werden im Labor gezeigt, das mit Aufnahmen von ihnen gegründet wird, um Formeln im Labor vorzubereiten, und eine letzte Aufnahme eines Mannes in einem Außenmarkt, um Zutaten zum Verkauf zu bringen.</v>
      </c>
    </row>
    <row r="4180">
      <c r="A4180" s="4" t="s">
        <v>5256</v>
      </c>
      <c r="B4180" s="4" t="s">
        <v>5257</v>
      </c>
      <c r="C4180" s="5" t="str">
        <f>IFERROR(__xludf.DUMMYFUNCTION("GOOGLETRANSLATE(B4180,""en"",""de"")"),"Der junge Mann spielt die Mundharmonika.")</f>
        <v>Der junge Mann spielt die Mundharmonika.</v>
      </c>
    </row>
    <row r="4181">
      <c r="A4181" s="4" t="s">
        <v>5256</v>
      </c>
      <c r="B4181" s="4" t="s">
        <v>5258</v>
      </c>
      <c r="C4181" s="5" t="str">
        <f>IFERROR(__xludf.DUMMYFUNCTION("GOOGLETRANSLATE(B4181,""en"",""de"")"),"Der junge Mann stellt seine Videostunde vor und legt den Unterrichtsplan fest.")</f>
        <v>Der junge Mann stellt seine Videostunde vor und legt den Unterrichtsplan fest.</v>
      </c>
    </row>
    <row r="4182">
      <c r="A4182" s="4" t="s">
        <v>5256</v>
      </c>
      <c r="B4182" s="4" t="s">
        <v>5259</v>
      </c>
      <c r="C4182" s="5" t="str">
        <f>IFERROR(__xludf.DUMMYFUNCTION("GOOGLETRANSLATE(B4182,""en"",""de"")"),"Musiknoten werden auf dem Bildschirm angezeigt, während Mundharmonika spielt.")</f>
        <v>Musiknoten werden auf dem Bildschirm angezeigt, während Mundharmonika spielt.</v>
      </c>
    </row>
    <row r="4183">
      <c r="A4183" s="4" t="s">
        <v>5260</v>
      </c>
      <c r="B4183" s="4" t="s">
        <v>5261</v>
      </c>
      <c r="C4183" s="5" t="str">
        <f>IFERROR(__xludf.DUMMYFUNCTION("GOOGLETRANSLATE(B4183,""en"",""de"")"),"Eine sportliche Frau ist zu sehen, die zu einem Strahl und Anfängen tritt, die eine Gymnastikroutine durchführen.")</f>
        <v>Eine sportliche Frau ist zu sehen, die zu einem Strahl und Anfängen tritt, die eine Gymnastikroutine durchführen.</v>
      </c>
    </row>
    <row r="4184">
      <c r="A4184" s="4" t="s">
        <v>5260</v>
      </c>
      <c r="B4184" s="4" t="s">
        <v>5262</v>
      </c>
      <c r="C4184" s="5" t="str">
        <f>IFERROR(__xludf.DUMMYFUNCTION("GOOGLETRANSLATE(B4184,""en"",""de"")"),"Die Frau bewegt sich weiter auf dem Strahl und endet damit, dass sie mit den Armen nach unten springt und mit ihrem Trainer spricht, während ihr Ende in Zeitlupe wieder gezeigt wird.")</f>
        <v>Die Frau bewegt sich weiter auf dem Strahl und endet damit, dass sie mit den Armen nach unten springt und mit ihrem Trainer spricht, während ihr Ende in Zeitlupe wieder gezeigt wird.</v>
      </c>
    </row>
    <row r="4185">
      <c r="A4185" s="4" t="s">
        <v>5263</v>
      </c>
      <c r="B4185" s="4" t="s">
        <v>5264</v>
      </c>
      <c r="C4185" s="5" t="str">
        <f>IFERROR(__xludf.DUMMYFUNCTION("GOOGLETRANSLATE(B4185,""en"",""de"")"),"Ein Mann wird gesehen, wie er mit der Kamera spricht und in Clips von ihm führt, wie er mit einem anderen Mann Kampfkünste demonstriert.")</f>
        <v>Ein Mann wird gesehen, wie er mit der Kamera spricht und in Clips von ihm führt, wie er mit einem anderen Mann Kampfkünste demonstriert.</v>
      </c>
    </row>
    <row r="4186">
      <c r="A4186" s="4" t="s">
        <v>5263</v>
      </c>
      <c r="B4186" s="4" t="s">
        <v>5265</v>
      </c>
      <c r="C4186" s="5" t="str">
        <f>IFERROR(__xludf.DUMMYFUNCTION("GOOGLETRANSLATE(B4186,""en"",""de"")"),"Die Männer demonstrieren weiterhin miteinander, während sie eine Pause einlegen, um mit der Kamera zu sprechen.")</f>
        <v>Die Männer demonstrieren weiterhin miteinander, während sie eine Pause einlegen, um mit der Kamera zu sprechen.</v>
      </c>
    </row>
    <row r="4187">
      <c r="A4187" s="4" t="s">
        <v>5266</v>
      </c>
      <c r="B4187" s="4" t="s">
        <v>5267</v>
      </c>
      <c r="C4187" s="5" t="str">
        <f>IFERROR(__xludf.DUMMYFUNCTION("GOOGLETRANSLATE(B4187,""en"",""de"")"),"Eine Einführung kommt auf den Bildschirm für ein lustiges Video über Biertrinken.")</f>
        <v>Eine Einführung kommt auf den Bildschirm für ein lustiges Video über Biertrinken.</v>
      </c>
    </row>
    <row r="4188">
      <c r="A4188" s="4" t="s">
        <v>5266</v>
      </c>
      <c r="B4188" s="4" t="s">
        <v>5268</v>
      </c>
      <c r="C4188" s="5" t="str">
        <f>IFERROR(__xludf.DUMMYFUNCTION("GOOGLETRANSLATE(B4188,""en"",""de"")"),"Einige Leute in einem Raum bereiten sich darauf vor, einen Trick mit einer Bierdose zu machen.")</f>
        <v>Einige Leute in einem Raum bereiten sich darauf vor, einen Trick mit einer Bierdose zu machen.</v>
      </c>
    </row>
    <row r="4189">
      <c r="A4189" s="4" t="s">
        <v>5266</v>
      </c>
      <c r="B4189" s="4" t="s">
        <v>5269</v>
      </c>
      <c r="C4189" s="5" t="str">
        <f>IFERROR(__xludf.DUMMYFUNCTION("GOOGLETRANSLATE(B4189,""en"",""de"")"),"Sie führen den Trick aus und ein Mann beginnt das Bier zu tuckern.")</f>
        <v>Sie führen den Trick aus und ein Mann beginnt das Bier zu tuckern.</v>
      </c>
    </row>
    <row r="4190">
      <c r="A4190" s="4" t="s">
        <v>5266</v>
      </c>
      <c r="B4190" s="4" t="s">
        <v>5270</v>
      </c>
      <c r="C4190" s="5" t="str">
        <f>IFERROR(__xludf.DUMMYFUNCTION("GOOGLETRANSLATE(B4190,""en"",""de"")"),"Kurz danach beginnt der Typ, das ganze Bier in einen Müll zu werfen, während alle lachen.")</f>
        <v>Kurz danach beginnt der Typ, das ganze Bier in einen Müll zu werfen, während alle lachen.</v>
      </c>
    </row>
    <row r="4191">
      <c r="A4191" s="4" t="s">
        <v>5271</v>
      </c>
      <c r="B4191" s="4" t="s">
        <v>5272</v>
      </c>
      <c r="C4191" s="5" t="str">
        <f>IFERROR(__xludf.DUMMYFUNCTION("GOOGLETRANSLATE(B4191,""en"",""de"")"),"Ein Mann wird gesehen, wie er auf einem Skateboard fährt, gefolgt von einem Mann, der durch einen Schlauch ein Bier trinkt, und ein Mann, der in einem Auto sitzt, der vom Kameramann abflippt.")</f>
        <v>Ein Mann wird gesehen, wie er auf einem Skateboard fährt, gefolgt von einem Mann, der durch einen Schlauch ein Bier trinkt, und ein Mann, der in einem Auto sitzt, der vom Kameramann abflippt.</v>
      </c>
    </row>
    <row r="4192">
      <c r="A4192" s="4" t="s">
        <v>5271</v>
      </c>
      <c r="B4192" s="4" t="s">
        <v>5273</v>
      </c>
      <c r="C4192" s="5" t="str">
        <f>IFERROR(__xludf.DUMMYFUNCTION("GOOGLETRANSLATE(B4192,""en"",""de"")"),"Weitere zufällige Aufnahmen sind Landschaften, Hunde, Menschen, die herumstehen und sich entlang des Wassers bewegen.")</f>
        <v>Weitere zufällige Aufnahmen sind Landschaften, Hunde, Menschen, die herumstehen und sich entlang des Wassers bewegen.</v>
      </c>
    </row>
    <row r="4193">
      <c r="A4193" s="4" t="s">
        <v>5271</v>
      </c>
      <c r="B4193" s="4" t="s">
        <v>5274</v>
      </c>
      <c r="C4193" s="5" t="str">
        <f>IFERROR(__xludf.DUMMYFUNCTION("GOOGLETRANSLATE(B4193,""en"",""de"")"),"Das Video führt zu Menschen, die auf dem Wasser -Kite -Surfen mitfahren und zu einem Mann führt, der beim Rauchen einer Zigarette zu anderen spricht.")</f>
        <v>Das Video führt zu Menschen, die auf dem Wasser -Kite -Surfen mitfahren und zu einem Mann führt, der beim Rauchen einer Zigarette zu anderen spricht.</v>
      </c>
    </row>
    <row r="4194">
      <c r="A4194" s="4" t="s">
        <v>5275</v>
      </c>
      <c r="B4194" s="4" t="s">
        <v>5276</v>
      </c>
      <c r="C4194" s="5" t="str">
        <f>IFERROR(__xludf.DUMMYFUNCTION("GOOGLETRANSLATE(B4194,""en"",""de"")"),"Ein paar Kinder spielen in einem Vergnügungspark in den Stoßstangen.")</f>
        <v>Ein paar Kinder spielen in einem Vergnügungspark in den Stoßstangen.</v>
      </c>
    </row>
    <row r="4195">
      <c r="A4195" s="4" t="s">
        <v>5275</v>
      </c>
      <c r="B4195" s="4" t="s">
        <v>5277</v>
      </c>
      <c r="C4195" s="5" t="str">
        <f>IFERROR(__xludf.DUMMYFUNCTION("GOOGLETRANSLATE(B4195,""en"",""de"")"),"Der Absturz ineinander immer wieder und scheint ein bisschen verwirrt zu sein, was zu tun ist.")</f>
        <v>Der Absturz ineinander immer wieder und scheint ein bisschen verwirrt zu sein, was zu tun ist.</v>
      </c>
    </row>
    <row r="4196">
      <c r="A4196" s="4" t="s">
        <v>5275</v>
      </c>
      <c r="B4196" s="4" t="s">
        <v>5278</v>
      </c>
      <c r="C4196" s="5" t="str">
        <f>IFERROR(__xludf.DUMMYFUNCTION("GOOGLETRANSLATE(B4196,""en"",""de"")"),"Sie haben ein Lächeln im Gesicht, während sie weiter um die Strecke gehen.")</f>
        <v>Sie haben ein Lächeln im Gesicht, während sie weiter um die Strecke gehen.</v>
      </c>
    </row>
    <row r="4197">
      <c r="A4197" s="4" t="s">
        <v>5279</v>
      </c>
      <c r="B4197" s="4" t="s">
        <v>5280</v>
      </c>
      <c r="C4197" s="5" t="str">
        <f>IFERROR(__xludf.DUMMYFUNCTION("GOOGLETRANSLATE(B4197,""en"",""de"")"),"Eine Nahaufnahme einer weißen Zaunmaske und einer schwarzen Zaunmaske.")</f>
        <v>Eine Nahaufnahme einer weißen Zaunmaske und einer schwarzen Zaunmaske.</v>
      </c>
    </row>
    <row r="4198">
      <c r="A4198" s="4" t="s">
        <v>5279</v>
      </c>
      <c r="B4198" s="4" t="s">
        <v>5281</v>
      </c>
      <c r="C4198" s="5" t="str">
        <f>IFERROR(__xludf.DUMMYFUNCTION("GOOGLETRANSLATE(B4198,""en"",""de"")"),"Ein Zauntrainer gibt den beiden Zäunkonkurrenten den Anweisungen.")</f>
        <v>Ein Zauntrainer gibt den beiden Zäunkonkurrenten den Anweisungen.</v>
      </c>
    </row>
    <row r="4199">
      <c r="A4199" s="4" t="s">
        <v>5279</v>
      </c>
      <c r="B4199" s="4" t="s">
        <v>5282</v>
      </c>
      <c r="C4199" s="5" t="str">
        <f>IFERROR(__xludf.DUMMYFUNCTION("GOOGLETRANSLATE(B4199,""en"",""de"")"),"Zwei Wettbewerber diskusende Strategien.")</f>
        <v>Zwei Wettbewerber diskusende Strategien.</v>
      </c>
    </row>
    <row r="4200">
      <c r="A4200" s="4" t="s">
        <v>5279</v>
      </c>
      <c r="B4200" s="4" t="s">
        <v>5283</v>
      </c>
      <c r="C4200" s="5" t="str">
        <f>IFERROR(__xludf.DUMMYFUNCTION("GOOGLETRANSLATE(B4200,""en"",""de"")"),"Weitere Zaunszenen, während ein Mädchen und ein Junge an der Seitenlinie streiten.")</f>
        <v>Weitere Zaunszenen, während ein Mädchen und ein Junge an der Seitenlinie streiten.</v>
      </c>
    </row>
    <row r="4201">
      <c r="A4201" s="4" t="s">
        <v>5279</v>
      </c>
      <c r="B4201" s="4" t="s">
        <v>5284</v>
      </c>
      <c r="C4201" s="5" t="str">
        <f>IFERROR(__xludf.DUMMYFUNCTION("GOOGLETRANSLATE(B4201,""en"",""de"")"),"Weitere Konkurrenz mit der Fechten -Couchbeobachtung und Kritik.")</f>
        <v>Weitere Konkurrenz mit der Fechten -Couchbeobachtung und Kritik.</v>
      </c>
    </row>
    <row r="4202">
      <c r="A4202" s="4" t="s">
        <v>5285</v>
      </c>
      <c r="B4202" s="4" t="s">
        <v>5286</v>
      </c>
      <c r="C4202" s="5" t="str">
        <f>IFERROR(__xludf.DUMMYFUNCTION("GOOGLETRANSLATE(B4202,""en"",""de"")"),"Ein Groipen von Tänzer stehen auf der Bühne und machen eine Routine für das Publikum.")</f>
        <v>Ein Groipen von Tänzer stehen auf der Bühne und machen eine Routine für das Publikum.</v>
      </c>
    </row>
    <row r="4203">
      <c r="A4203" s="4" t="s">
        <v>5285</v>
      </c>
      <c r="B4203" s="4" t="s">
        <v>5287</v>
      </c>
      <c r="C4203" s="5" t="str">
        <f>IFERROR(__xludf.DUMMYFUNCTION("GOOGLETRANSLATE(B4203,""en"",""de"")"),"Die Auto -Show zeigt das Innere einiger hübscher Autos mit schönen Außensachen.")</f>
        <v>Die Auto -Show zeigt das Innere einiger hübscher Autos mit schönen Außensachen.</v>
      </c>
    </row>
    <row r="4204">
      <c r="A4204" s="4" t="s">
        <v>5285</v>
      </c>
      <c r="B4204" s="4" t="s">
        <v>5288</v>
      </c>
      <c r="C4204" s="5" t="str">
        <f>IFERROR(__xludf.DUMMYFUNCTION("GOOGLETRANSLATE(B4204,""en"",""de"")"),"Eine andere Gruppe von Tänzern wechselt sich ab, das Pause auf den Kopf zu tanzen.")</f>
        <v>Eine andere Gruppe von Tänzern wechselt sich ab, das Pause auf den Kopf zu tanzen.</v>
      </c>
    </row>
    <row r="4205">
      <c r="A4205" s="4" t="s">
        <v>5285</v>
      </c>
      <c r="B4205" s="4" t="s">
        <v>5289</v>
      </c>
      <c r="C4205" s="5" t="str">
        <f>IFERROR(__xludf.DUMMYFUNCTION("GOOGLETRANSLATE(B4205,""en"",""de"")"),"Sie gehen einzeln und werden von dem Publikum umkreist und beobachten um sie herum.")</f>
        <v>Sie gehen einzeln und werden von dem Publikum umkreist und beobachten um sie herum.</v>
      </c>
    </row>
    <row r="4206">
      <c r="A4206" s="4" t="s">
        <v>5290</v>
      </c>
      <c r="B4206" s="4" t="s">
        <v>5291</v>
      </c>
      <c r="C4206" s="5" t="str">
        <f>IFERROR(__xludf.DUMMYFUNCTION("GOOGLETRANSLATE(B4206,""en"",""de"")"),"Ein Mann veranstaltet ein Nachrichtensegment, das zu mehreren Schüssen von Menschen führt, die in Zeitlupe die Pucks entlang des Eiss mischen.")</f>
        <v>Ein Mann veranstaltet ein Nachrichtensegment, das zu mehreren Schüssen von Menschen führt, die in Zeitlupe die Pucks entlang des Eiss mischen.</v>
      </c>
    </row>
    <row r="4207">
      <c r="A4207" s="4" t="s">
        <v>5290</v>
      </c>
      <c r="B4207" s="4" t="s">
        <v>5292</v>
      </c>
      <c r="C4207" s="5" t="str">
        <f>IFERROR(__xludf.DUMMYFUNCTION("GOOGLETRANSLATE(B4207,""en"",""de"")"),"Weitere Aufnahmen von Leuten, die das Spiel spielen, und endet mit einer 3D -Animation auf dem Bildschirm.")</f>
        <v>Weitere Aufnahmen von Leuten, die das Spiel spielen, und endet mit einer 3D -Animation auf dem Bildschirm.</v>
      </c>
    </row>
    <row r="4208">
      <c r="A4208" s="4" t="s">
        <v>5293</v>
      </c>
      <c r="B4208" s="4" t="s">
        <v>5294</v>
      </c>
      <c r="C4208" s="5" t="str">
        <f>IFERROR(__xludf.DUMMYFUNCTION("GOOGLETRANSLATE(B4208,""en"",""de"")"),"Eine Frau mit kurzem Haar wird gesehen, wie sie mit der Kamera spricht und dann ein Paar Farben umdreht.")</f>
        <v>Eine Frau mit kurzem Haar wird gesehen, wie sie mit der Kamera spricht und dann ein Paar Farben umdreht.</v>
      </c>
    </row>
    <row r="4209">
      <c r="A4209" s="4" t="s">
        <v>5293</v>
      </c>
      <c r="B4209" s="4" t="s">
        <v>5295</v>
      </c>
      <c r="C4209" s="5" t="str">
        <f>IFERROR(__xludf.DUMMYFUNCTION("GOOGLETRANSLATE(B4209,""en"",""de"")"),"Sie faltet die Hose ordentlich auf einem Bügelbrett und bügelt die Farben gründlich.")</f>
        <v>Sie faltet die Hose ordentlich auf einem Bügelbrett und bügelt die Farben gründlich.</v>
      </c>
    </row>
    <row r="4210">
      <c r="A4210" s="4" t="s">
        <v>5296</v>
      </c>
      <c r="B4210" s="4" t="s">
        <v>5297</v>
      </c>
      <c r="C4210" s="5" t="str">
        <f>IFERROR(__xludf.DUMMYFUNCTION("GOOGLETRANSLATE(B4210,""en"",""de"")"),"Die Kamera konzentriert sich auf einen lächelnden Mann, der neben anderen sitzt.")</f>
        <v>Die Kamera konzentriert sich auf einen lächelnden Mann, der neben anderen sitzt.</v>
      </c>
    </row>
    <row r="4211">
      <c r="A4211" s="4" t="s">
        <v>5296</v>
      </c>
      <c r="B4211" s="4" t="s">
        <v>5298</v>
      </c>
      <c r="C4211" s="5" t="str">
        <f>IFERROR(__xludf.DUMMYFUNCTION("GOOGLETRANSLATE(B4211,""en"",""de"")"),"Ein anderer Individuum geht durch den Frame -Vordergrund und verdeckt kurz den ersten Mann.")</f>
        <v>Ein anderer Individuum geht durch den Frame -Vordergrund und verdeckt kurz den ersten Mann.</v>
      </c>
    </row>
    <row r="4212">
      <c r="A4212" s="4" t="s">
        <v>5299</v>
      </c>
      <c r="B4212" s="4" t="s">
        <v>5300</v>
      </c>
      <c r="C4212" s="5" t="str">
        <f>IFERROR(__xludf.DUMMYFUNCTION("GOOGLETRANSLATE(B4212,""en"",""de"")"),"Wir sehen einen Mann im Pool mit einer Kappe.")</f>
        <v>Wir sehen einen Mann im Pool mit einer Kappe.</v>
      </c>
    </row>
    <row r="4213">
      <c r="A4213" s="4" t="s">
        <v>5299</v>
      </c>
      <c r="B4213" s="4" t="s">
        <v>5301</v>
      </c>
      <c r="C4213" s="5" t="str">
        <f>IFERROR(__xludf.DUMMYFUNCTION("GOOGLETRANSLATE(B4213,""en"",""de"")"),"Wir sehen, dass ein Mann mit einem Ball ein Tor erzielt.")</f>
        <v>Wir sehen, dass ein Mann mit einem Ball ein Tor erzielt.</v>
      </c>
    </row>
    <row r="4214">
      <c r="A4214" s="4" t="s">
        <v>5299</v>
      </c>
      <c r="B4214" s="4" t="s">
        <v>5302</v>
      </c>
      <c r="C4214" s="5" t="str">
        <f>IFERROR(__xludf.DUMMYFUNCTION("GOOGLETRANSLATE(B4214,""en"",""de"")"),"Wir sehen ein anderes Tor erzielt.")</f>
        <v>Wir sehen ein anderes Tor erzielt.</v>
      </c>
    </row>
    <row r="4215">
      <c r="A4215" s="4" t="s">
        <v>5299</v>
      </c>
      <c r="B4215" s="4" t="s">
        <v>5303</v>
      </c>
      <c r="C4215" s="5" t="str">
        <f>IFERROR(__xludf.DUMMYFUNCTION("GOOGLETRANSLATE(B4215,""en"",""de"")"),"Wir sehen ein anderes Tor.")</f>
        <v>Wir sehen ein anderes Tor.</v>
      </c>
    </row>
    <row r="4216">
      <c r="A4216" s="4" t="s">
        <v>5299</v>
      </c>
      <c r="B4216" s="4" t="s">
        <v>5304</v>
      </c>
      <c r="C4216" s="5" t="str">
        <f>IFERROR(__xludf.DUMMYFUNCTION("GOOGLETRANSLATE(B4216,""en"",""de"")"),"Wir sehen, dass der Mann ein Tor erzielt und schwimmt.")</f>
        <v>Wir sehen, dass der Mann ein Tor erzielt und schwimmt.</v>
      </c>
    </row>
    <row r="4217">
      <c r="A4217" s="4" t="s">
        <v>5299</v>
      </c>
      <c r="B4217" s="4" t="s">
        <v>5305</v>
      </c>
      <c r="C4217" s="5" t="str">
        <f>IFERROR(__xludf.DUMMYFUNCTION("GOOGLETRANSLATE(B4217,""en"",""de"")"),"Wir sehen den Mann im Freien schwimmen und 3 Tore erzielen.")</f>
        <v>Wir sehen den Mann im Freien schwimmen und 3 Tore erzielen.</v>
      </c>
    </row>
    <row r="4218">
      <c r="A4218" s="4" t="s">
        <v>5299</v>
      </c>
      <c r="B4218" s="4" t="s">
        <v>5306</v>
      </c>
      <c r="C4218" s="5" t="str">
        <f>IFERROR(__xludf.DUMMYFUNCTION("GOOGLETRANSLATE(B4218,""en"",""de"")"),"Wir sehen eine weitere Partitur und die Männer, die im Wasser spielen.")</f>
        <v>Wir sehen eine weitere Partitur und die Männer, die im Wasser spielen.</v>
      </c>
    </row>
    <row r="4219">
      <c r="A4219" s="4" t="s">
        <v>5307</v>
      </c>
      <c r="B4219" s="4" t="s">
        <v>5308</v>
      </c>
      <c r="C4219" s="5" t="str">
        <f>IFERROR(__xludf.DUMMYFUNCTION("GOOGLETRANSLATE(B4219,""en"",""de"")"),"Eine Gruppe von Jungen wird gezeigt, dass ein Fitnessstudio die Hände hält und ihre Hände in die Luft steckt.")</f>
        <v>Eine Gruppe von Jungen wird gezeigt, dass ein Fitnessstudio die Hände hält und ihre Hände in die Luft steckt.</v>
      </c>
    </row>
    <row r="4220">
      <c r="A4220" s="4" t="s">
        <v>5307</v>
      </c>
      <c r="B4220" s="4" t="s">
        <v>5309</v>
      </c>
      <c r="C4220" s="5" t="str">
        <f>IFERROR(__xludf.DUMMYFUNCTION("GOOGLETRANSLATE(B4220,""en"",""de"")"),"Eine Frau spricht mit den Jungen, während sie etwas Wasser trinken und in sie eingehen und ein Tor erzielen.")</f>
        <v>Eine Frau spricht mit den Jungen, während sie etwas Wasser trinken und in sie eingehen und ein Tor erzielen.</v>
      </c>
    </row>
    <row r="4221">
      <c r="A4221" s="4" t="s">
        <v>5307</v>
      </c>
      <c r="B4221" s="4" t="s">
        <v>5310</v>
      </c>
      <c r="C4221" s="5" t="str">
        <f>IFERROR(__xludf.DUMMYFUNCTION("GOOGLETRANSLATE(B4221,""en"",""de"")"),"Die gleiche Aufnahme wird in Zeitlupe erneut gezeigt und es werden einige weitere Aufnahmen der Jungen spielen.")</f>
        <v>Die gleiche Aufnahme wird in Zeitlupe erneut gezeigt und es werden einige weitere Aufnahmen der Jungen spielen.</v>
      </c>
    </row>
    <row r="4222">
      <c r="A4222" s="4" t="s">
        <v>5311</v>
      </c>
      <c r="B4222" s="4" t="s">
        <v>5312</v>
      </c>
      <c r="C4222" s="5" t="str">
        <f>IFERROR(__xludf.DUMMYFUNCTION("GOOGLETRANSLATE(B4222,""en"",""de"")"),"Wir sehen zwei kleine Mädchen in Mänteln im Sand.")</f>
        <v>Wir sehen zwei kleine Mädchen in Mänteln im Sand.</v>
      </c>
    </row>
    <row r="4223">
      <c r="A4223" s="4" t="s">
        <v>5311</v>
      </c>
      <c r="B4223" s="4" t="s">
        <v>5313</v>
      </c>
      <c r="C4223" s="5" t="str">
        <f>IFERROR(__xludf.DUMMYFUNCTION("GOOGLETRANSLATE(B4223,""en"",""de"")"),"Wir gehen gehen und sehen den Ozean.")</f>
        <v>Wir gehen gehen und sehen den Ozean.</v>
      </c>
    </row>
    <row r="4224">
      <c r="A4224" s="4" t="s">
        <v>5311</v>
      </c>
      <c r="B4224" s="4" t="s">
        <v>5314</v>
      </c>
      <c r="C4224" s="5" t="str">
        <f>IFERROR(__xludf.DUMMYFUNCTION("GOOGLETRANSLATE(B4224,""en"",""de"")"),"Wir kehren zu den Mädchen zurück.")</f>
        <v>Wir kehren zu den Mädchen zurück.</v>
      </c>
    </row>
    <row r="4225">
      <c r="A4225" s="4" t="s">
        <v>5311</v>
      </c>
      <c r="B4225" s="4" t="s">
        <v>5315</v>
      </c>
      <c r="C4225" s="5" t="str">
        <f>IFERROR(__xludf.DUMMYFUNCTION("GOOGLETRANSLATE(B4225,""en"",""de"")"),"Der Wind bläst er, er ließ die Mädchenhaube auf den Kopf.")</f>
        <v>Der Wind bläst er, er ließ die Mädchenhaube auf den Kopf.</v>
      </c>
    </row>
    <row r="4226">
      <c r="A4226" s="4" t="s">
        <v>5311</v>
      </c>
      <c r="B4226" s="4" t="s">
        <v>5316</v>
      </c>
      <c r="C4226" s="5" t="str">
        <f>IFERROR(__xludf.DUMMYFUNCTION("GOOGLETRANSLATE(B4226,""en"",""de"")"),"Wir gehen gehen, um den Ozean wieder zu sehen.")</f>
        <v>Wir gehen gehen, um den Ozean wieder zu sehen.</v>
      </c>
    </row>
    <row r="4227">
      <c r="A4227" s="4" t="s">
        <v>5311</v>
      </c>
      <c r="B4227" s="4" t="s">
        <v>5317</v>
      </c>
      <c r="C4227" s="5" t="str">
        <f>IFERROR(__xludf.DUMMYFUNCTION("GOOGLETRANSLATE(B4227,""en"",""de"")"),"Das linke Mädchen bewegt ihr Haar aus ihrem Gesicht, als sie mit der Kamera spricht.")</f>
        <v>Das linke Mädchen bewegt ihr Haar aus ihrem Gesicht, als sie mit der Kamera spricht.</v>
      </c>
    </row>
    <row r="4228">
      <c r="A4228" s="4" t="s">
        <v>5318</v>
      </c>
      <c r="B4228" s="4" t="s">
        <v>5319</v>
      </c>
      <c r="C4228" s="5" t="str">
        <f>IFERROR(__xludf.DUMMYFUNCTION("GOOGLETRANSLATE(B4228,""en"",""de"")"),"Ein Mann steht neben einer Theke, während er einen Lappen hält.")</f>
        <v>Ein Mann steht neben einer Theke, während er einen Lappen hält.</v>
      </c>
    </row>
    <row r="4229">
      <c r="A4229" s="4" t="s">
        <v>5318</v>
      </c>
      <c r="B4229" s="4" t="s">
        <v>5320</v>
      </c>
      <c r="C4229" s="5" t="str">
        <f>IFERROR(__xludf.DUMMYFUNCTION("GOOGLETRANSLATE(B4229,""en"",""de"")"),"Er nimmt einen Container mit Politur auf und spricht über die Oberfläche der Theke.")</f>
        <v>Er nimmt einen Container mit Politur auf und spricht über die Oberfläche der Theke.</v>
      </c>
    </row>
    <row r="4230">
      <c r="A4230" s="4" t="s">
        <v>5318</v>
      </c>
      <c r="B4230" s="4" t="s">
        <v>5321</v>
      </c>
      <c r="C4230" s="5" t="str">
        <f>IFERROR(__xludf.DUMMYFUNCTION("GOOGLETRANSLATE(B4230,""en"",""de"")"),"Er reibt es mit Politur und den beiden Lumpen ab und staubt es dann in einen Glanz.")</f>
        <v>Er reibt es mit Politur und den beiden Lumpen ab und staubt es dann in einen Glanz.</v>
      </c>
    </row>
    <row r="4231">
      <c r="A4231" s="4" t="s">
        <v>5322</v>
      </c>
      <c r="B4231" s="4" t="s">
        <v>5323</v>
      </c>
      <c r="C4231" s="5" t="str">
        <f>IFERROR(__xludf.DUMMYFUNCTION("GOOGLETRANSLATE(B4231,""en"",""de"")"),"Auf einem Feld tritt ein Fußballspiel auf und ein Spieler fällt ab.")</f>
        <v>Auf einem Feld tritt ein Fußballspiel auf und ein Spieler fällt ab.</v>
      </c>
    </row>
    <row r="4232">
      <c r="A4232" s="4" t="s">
        <v>5322</v>
      </c>
      <c r="B4232" s="4" t="s">
        <v>5324</v>
      </c>
      <c r="C4232" s="5" t="str">
        <f>IFERROR(__xludf.DUMMYFUNCTION("GOOGLETRANSLATE(B4232,""en"",""de"")"),"Der Mann kann aufstehen und das Video zeigt den Sturz wieder in Zeitlupe.")</f>
        <v>Der Mann kann aufstehen und das Video zeigt den Sturz wieder in Zeitlupe.</v>
      </c>
    </row>
    <row r="4233">
      <c r="A4233" s="4" t="s">
        <v>5322</v>
      </c>
      <c r="B4233" s="4" t="s">
        <v>5325</v>
      </c>
      <c r="C4233" s="5" t="str">
        <f>IFERROR(__xludf.DUMMYFUNCTION("GOOGLETRANSLATE(B4233,""en"",""de"")"),"Die Spieler spielen weiter und einer von ihnen erzielt sogar ein Tor.")</f>
        <v>Die Spieler spielen weiter und einer von ihnen erzielt sogar ein Tor.</v>
      </c>
    </row>
    <row r="4234">
      <c r="A4234" s="4" t="s">
        <v>5322</v>
      </c>
      <c r="B4234" s="4" t="s">
        <v>5326</v>
      </c>
      <c r="C4234" s="5" t="str">
        <f>IFERROR(__xludf.DUMMYFUNCTION("GOOGLETRANSLATE(B4234,""en"",""de"")"),"Das Ziel wird immer wieder in geringer Bewegung gezeigt, um die Bedeutung des Stücks zu zeigen.")</f>
        <v>Das Ziel wird immer wieder in geringer Bewegung gezeigt, um die Bedeutung des Stücks zu zeigen.</v>
      </c>
    </row>
    <row r="4235">
      <c r="A4235" s="4" t="s">
        <v>5327</v>
      </c>
      <c r="B4235" s="4" t="s">
        <v>5328</v>
      </c>
      <c r="C4235" s="5" t="str">
        <f>IFERROR(__xludf.DUMMYFUNCTION("GOOGLETRANSLATE(B4235,""en"",""de"")"),"Zutaten werden auf einer Splitterplatte gezeigt.")</f>
        <v>Zutaten werden auf einer Splitterplatte gezeigt.</v>
      </c>
    </row>
    <row r="4236">
      <c r="A4236" s="4" t="s">
        <v>5327</v>
      </c>
      <c r="B4236" s="4" t="s">
        <v>5329</v>
      </c>
      <c r="C4236" s="5" t="str">
        <f>IFERROR(__xludf.DUMMYFUNCTION("GOOGLETRANSLATE(B4236,""en"",""de"")"),"Ein Mann fängt an, Essen auf einem schwarzen Hackbrett zu hacken.")</f>
        <v>Ein Mann fängt an, Essen auf einem schwarzen Hackbrett zu hacken.</v>
      </c>
    </row>
    <row r="4237">
      <c r="A4237" s="4" t="s">
        <v>5327</v>
      </c>
      <c r="B4237" s="4" t="s">
        <v>5330</v>
      </c>
      <c r="C4237" s="5" t="str">
        <f>IFERROR(__xludf.DUMMYFUNCTION("GOOGLETRANSLATE(B4237,""en"",""de"")"),"Er fügt Pasta in einen großen Topf auf dem Herd hinzu.")</f>
        <v>Er fügt Pasta in einen großen Topf auf dem Herd hinzu.</v>
      </c>
    </row>
    <row r="4238">
      <c r="A4238" s="4" t="s">
        <v>5327</v>
      </c>
      <c r="B4238" s="4" t="s">
        <v>5331</v>
      </c>
      <c r="C4238" s="5" t="str">
        <f>IFERROR(__xludf.DUMMYFUNCTION("GOOGLETRANSLATE(B4238,""en"",""de"")"),"Er beginnt in einer Pfanne auf dem Herd zu kochen.")</f>
        <v>Er beginnt in einer Pfanne auf dem Herd zu kochen.</v>
      </c>
    </row>
    <row r="4239">
      <c r="A4239" s="4" t="s">
        <v>5327</v>
      </c>
      <c r="B4239" s="4" t="s">
        <v>5332</v>
      </c>
      <c r="C4239" s="5" t="str">
        <f>IFERROR(__xludf.DUMMYFUNCTION("GOOGLETRANSLATE(B4239,""en"",""de"")"),"Er bedeckt die Pfanne mit einem Deckel.")</f>
        <v>Er bedeckt die Pfanne mit einem Deckel.</v>
      </c>
    </row>
    <row r="4240">
      <c r="A4240" s="4" t="s">
        <v>5327</v>
      </c>
      <c r="B4240" s="4" t="s">
        <v>5333</v>
      </c>
      <c r="C4240" s="5" t="str">
        <f>IFERROR(__xludf.DUMMYFUNCTION("GOOGLETRANSLATE(B4240,""en"",""de"")"),"Er steckt die Nudeln in eine Schüssel.")</f>
        <v>Er steckt die Nudeln in eine Schüssel.</v>
      </c>
    </row>
    <row r="4241">
      <c r="A4241" s="4" t="s">
        <v>5327</v>
      </c>
      <c r="B4241" s="4" t="s">
        <v>5334</v>
      </c>
      <c r="C4241" s="5" t="str">
        <f>IFERROR(__xludf.DUMMYFUNCTION("GOOGLETRANSLATE(B4241,""en"",""de"")"),"Er gießt die Sauce auf die Nudeln.")</f>
        <v>Er gießt die Sauce auf die Nudeln.</v>
      </c>
    </row>
    <row r="4242">
      <c r="A4242" s="4" t="s">
        <v>5335</v>
      </c>
      <c r="B4242" s="4" t="s">
        <v>5336</v>
      </c>
      <c r="C4242" s="5" t="str">
        <f>IFERROR(__xludf.DUMMYFUNCTION("GOOGLETRANSLATE(B4242,""en"",""de"")"),"Ein Baby sitzt an einem Tisch und isst ein Eis am Stiel.")</f>
        <v>Ein Baby sitzt an einem Tisch und isst ein Eis am Stiel.</v>
      </c>
    </row>
    <row r="4243">
      <c r="A4243" s="4" t="s">
        <v>5335</v>
      </c>
      <c r="B4243" s="4" t="s">
        <v>5337</v>
      </c>
      <c r="C4243" s="5" t="str">
        <f>IFERROR(__xludf.DUMMYFUNCTION("GOOGLETRANSLATE(B4243,""en"",""de"")"),"Er nimmt einen Bissen aus seinem Eis am Stiel.")</f>
        <v>Er nimmt einen Bissen aus seinem Eis am Stiel.</v>
      </c>
    </row>
    <row r="4244">
      <c r="A4244" s="4" t="s">
        <v>5335</v>
      </c>
      <c r="B4244" s="4" t="s">
        <v>5338</v>
      </c>
      <c r="C4244" s="5" t="str">
        <f>IFERROR(__xludf.DUMMYFUNCTION("GOOGLETRANSLATE(B4244,""en"",""de"")"),"Er nimmt etwas aus seinem Lätzchen und steckt es in den Mund.")</f>
        <v>Er nimmt etwas aus seinem Lätzchen und steckt es in den Mund.</v>
      </c>
    </row>
    <row r="4245">
      <c r="A4245" s="4" t="s">
        <v>5339</v>
      </c>
      <c r="B4245" s="4" t="s">
        <v>5340</v>
      </c>
      <c r="C4245" s="5" t="str">
        <f>IFERROR(__xludf.DUMMYFUNCTION("GOOGLETRANSLATE(B4245,""en"",""de"")"),"Eine junge Frau sitzt auf einem Stuhl mit einer Katze.")</f>
        <v>Eine junge Frau sitzt auf einem Stuhl mit einer Katze.</v>
      </c>
    </row>
    <row r="4246">
      <c r="A4246" s="4" t="s">
        <v>5339</v>
      </c>
      <c r="B4246" s="4" t="s">
        <v>5341</v>
      </c>
      <c r="C4246" s="5" t="str">
        <f>IFERROR(__xludf.DUMMYFUNCTION("GOOGLETRANSLATE(B4246,""en"",""de"")"),"Sie nimmt dann Kleiderstifte, greift nach dem Nacken der Haare und klammert die Katzennägel.")</f>
        <v>Sie nimmt dann Kleiderstifte, greift nach dem Nacken der Haare und klammert die Katzennägel.</v>
      </c>
    </row>
    <row r="4247">
      <c r="A4247" s="4" t="s">
        <v>5339</v>
      </c>
      <c r="B4247" s="4" t="s">
        <v>5342</v>
      </c>
      <c r="C4247" s="5" t="str">
        <f>IFERROR(__xludf.DUMMYFUNCTION("GOOGLETRANSLATE(B4247,""en"",""de"")"),"Nach einer Weile versucht die Katzen, in die Hände zu beißen, sobald das Mädchen fertig ist, entfernt sie die Stifte und Wellen in die Kamera.")</f>
        <v>Nach einer Weile versucht die Katzen, in die Hände zu beißen, sobald das Mädchen fertig ist, entfernt sie die Stifte und Wellen in die Kamera.</v>
      </c>
    </row>
    <row r="4248">
      <c r="A4248" s="4" t="s">
        <v>5343</v>
      </c>
      <c r="B4248" s="4" t="s">
        <v>5344</v>
      </c>
      <c r="C4248" s="5" t="str">
        <f>IFERROR(__xludf.DUMMYFUNCTION("GOOGLETRANSLATE(B4248,""en"",""de"")"),"Eine Gruppe von Kindern läuft zwischen orangefarbenen Zapfen auf einem Gericht.")</f>
        <v>Eine Gruppe von Kindern läuft zwischen orangefarbenen Zapfen auf einem Gericht.</v>
      </c>
    </row>
    <row r="4249">
      <c r="A4249" s="4" t="s">
        <v>5343</v>
      </c>
      <c r="B4249" s="4" t="s">
        <v>5345</v>
      </c>
      <c r="C4249" s="5" t="str">
        <f>IFERROR(__xludf.DUMMYFUNCTION("GOOGLETRANSLATE(B4249,""en"",""de"")"),"Sie konkurrieren darum, wie schnell sie zwischen ihnen springen können, wenn der Trainer klatscht und sie anfeuert.")</f>
        <v>Sie konkurrieren darum, wie schnell sie zwischen ihnen springen können, wenn der Trainer klatscht und sie anfeuert.</v>
      </c>
    </row>
    <row r="4250">
      <c r="A4250" s="4" t="s">
        <v>5346</v>
      </c>
      <c r="B4250" s="4" t="s">
        <v>5347</v>
      </c>
      <c r="C4250" s="5" t="str">
        <f>IFERROR(__xludf.DUMMYFUNCTION("GOOGLETRANSLATE(B4250,""en"",""de"")"),"Ein Mädchen sitzt einen Tisch und redet.")</f>
        <v>Ein Mädchen sitzt einen Tisch und redet.</v>
      </c>
    </row>
    <row r="4251">
      <c r="A4251" s="4" t="s">
        <v>5346</v>
      </c>
      <c r="B4251" s="4" t="s">
        <v>5348</v>
      </c>
      <c r="C4251" s="5" t="str">
        <f>IFERROR(__xludf.DUMMYFUNCTION("GOOGLETRANSLATE(B4251,""en"",""de"")"),"Wir sehen einen Intro -Bildschirm.")</f>
        <v>Wir sehen einen Intro -Bildschirm.</v>
      </c>
    </row>
    <row r="4252">
      <c r="A4252" s="4" t="s">
        <v>5346</v>
      </c>
      <c r="B4252" s="4" t="s">
        <v>5349</v>
      </c>
      <c r="C4252" s="5" t="str">
        <f>IFERROR(__xludf.DUMMYFUNCTION("GOOGLETRANSLATE(B4252,""en"",""de"")"),"Das Mädchen sitzt am Tisch und zeigt eine Geschenktüte.")</f>
        <v>Das Mädchen sitzt am Tisch und zeigt eine Geschenktüte.</v>
      </c>
    </row>
    <row r="4253">
      <c r="A4253" s="4" t="s">
        <v>5346</v>
      </c>
      <c r="B4253" s="4" t="s">
        <v>5350</v>
      </c>
      <c r="C4253" s="5" t="str">
        <f>IFERROR(__xludf.DUMMYFUNCTION("GOOGLETRANSLATE(B4253,""en"",""de"")"),"Eine Katze läuft über den Tisch und springt ab.")</f>
        <v>Eine Katze läuft über den Tisch und springt ab.</v>
      </c>
    </row>
    <row r="4254">
      <c r="A4254" s="4" t="s">
        <v>5346</v>
      </c>
      <c r="B4254" s="4" t="s">
        <v>5351</v>
      </c>
      <c r="C4254" s="5" t="str">
        <f>IFERROR(__xludf.DUMMYFUNCTION("GOOGLETRANSLATE(B4254,""en"",""de"")"),"Wir sehen, dass das Mädchen Geschenke in eine Geschenktüte mit Taschentuchpapier steckt.")</f>
        <v>Wir sehen, dass das Mädchen Geschenke in eine Geschenktüte mit Taschentuchpapier steckt.</v>
      </c>
    </row>
    <row r="4255">
      <c r="A4255" s="4" t="s">
        <v>5346</v>
      </c>
      <c r="B4255" s="4" t="s">
        <v>5352</v>
      </c>
      <c r="C4255" s="5" t="str">
        <f>IFERROR(__xludf.DUMMYFUNCTION("GOOGLETRANSLATE(B4255,""en"",""de"")"),"Das Mädchen bewegt die Katze vom Tisch und auf den Boden.")</f>
        <v>Das Mädchen bewegt die Katze vom Tisch und auf den Boden.</v>
      </c>
    </row>
    <row r="4256">
      <c r="A4256" s="4" t="s">
        <v>5346</v>
      </c>
      <c r="B4256" s="4" t="s">
        <v>5353</v>
      </c>
      <c r="C4256" s="5" t="str">
        <f>IFERROR(__xludf.DUMMYFUNCTION("GOOGLETRANSLATE(B4256,""en"",""de"")"),"Das Mädchen fügt der Tasche mehr Taschentuchpapier hinzu.")</f>
        <v>Das Mädchen fügt der Tasche mehr Taschentuchpapier hinzu.</v>
      </c>
    </row>
    <row r="4257">
      <c r="A4257" s="4" t="s">
        <v>5354</v>
      </c>
      <c r="B4257" s="4" t="s">
        <v>5355</v>
      </c>
      <c r="C4257" s="5" t="str">
        <f>IFERROR(__xludf.DUMMYFUNCTION("GOOGLETRANSLATE(B4257,""en"",""de"")"),"Es werden mehrere Tassen gezeigt, die auf einem Tisch sitzen und ein Mann dahinter stehen.")</f>
        <v>Es werden mehrere Tassen gezeigt, die auf einem Tisch sitzen und ein Mann dahinter stehen.</v>
      </c>
    </row>
    <row r="4258">
      <c r="A4258" s="4" t="s">
        <v>5354</v>
      </c>
      <c r="B4258" s="4" t="s">
        <v>5356</v>
      </c>
      <c r="C4258" s="5" t="str">
        <f>IFERROR(__xludf.DUMMYFUNCTION("GOOGLETRANSLATE(B4258,""en"",""de"")"),"Der Mann wirft dann den Ball in eine Tasse und jubelt.")</f>
        <v>Der Mann wirft dann den Ball in eine Tasse und jubelt.</v>
      </c>
    </row>
    <row r="4259">
      <c r="A4259" s="4" t="s">
        <v>5354</v>
      </c>
      <c r="B4259" s="4" t="s">
        <v>5357</v>
      </c>
      <c r="C4259" s="5" t="str">
        <f>IFERROR(__xludf.DUMMYFUNCTION("GOOGLETRANSLATE(B4259,""en"",""de"")"),"Er geht schließlich von der Kamera weg.")</f>
        <v>Er geht schließlich von der Kamera weg.</v>
      </c>
    </row>
    <row r="4260">
      <c r="A4260" s="4" t="s">
        <v>5358</v>
      </c>
      <c r="B4260" s="4" t="s">
        <v>5359</v>
      </c>
      <c r="C4260" s="5" t="str">
        <f>IFERROR(__xludf.DUMMYFUNCTION("GOOGLETRANSLATE(B4260,""en"",""de"")"),"Menschen waschen ein Auto mit Wasser mit einem Schlauch.")</f>
        <v>Menschen waschen ein Auto mit Wasser mit einem Schlauch.</v>
      </c>
    </row>
    <row r="4261">
      <c r="A4261" s="4" t="s">
        <v>5358</v>
      </c>
      <c r="B4261" s="4" t="s">
        <v>5360</v>
      </c>
      <c r="C4261" s="5" t="str">
        <f>IFERROR(__xludf.DUMMYFUNCTION("GOOGLETRANSLATE(B4261,""en"",""de"")"),"Ein Mann steht auf der Seite und beobachtet die Männer.")</f>
        <v>Ein Mann steht auf der Seite und beobachtet die Männer.</v>
      </c>
    </row>
    <row r="4262">
      <c r="A4262" s="4" t="s">
        <v>5358</v>
      </c>
      <c r="B4262" s="4" t="s">
        <v>5361</v>
      </c>
      <c r="C4262" s="5" t="str">
        <f>IFERROR(__xludf.DUMMYFUNCTION("GOOGLETRANSLATE(B4262,""en"",""de"")"),"Dann legten die Männer Seife auf das Auto, nachdem sie das Auto mit Wasser gespült hatten.")</f>
        <v>Dann legten die Männer Seife auf das Auto, nachdem sie das Auto mit Wasser gespült hatten.</v>
      </c>
    </row>
    <row r="4263">
      <c r="A4263" s="4" t="s">
        <v>5358</v>
      </c>
      <c r="B4263" s="4" t="s">
        <v>5362</v>
      </c>
      <c r="C4263" s="5" t="str">
        <f>IFERROR(__xludf.DUMMYFUNCTION("GOOGLETRANSLATE(B4263,""en"",""de"")"),"Ein Mann steigt ins Auto.")</f>
        <v>Ein Mann steigt ins Auto.</v>
      </c>
    </row>
    <row r="4264">
      <c r="A4264" s="4" t="s">
        <v>5363</v>
      </c>
      <c r="B4264" s="4" t="s">
        <v>5364</v>
      </c>
      <c r="C4264" s="5" t="str">
        <f>IFERROR(__xludf.DUMMYFUNCTION("GOOGLETRANSLATE(B4264,""en"",""de"")"),"Ein Kind reitet einen inneren Röhrchen einen großen Schneeberg hinunter.")</f>
        <v>Ein Kind reitet einen inneren Röhrchen einen großen Schneeberg hinunter.</v>
      </c>
    </row>
    <row r="4265">
      <c r="A4265" s="4" t="s">
        <v>5363</v>
      </c>
      <c r="B4265" s="4" t="s">
        <v>5365</v>
      </c>
      <c r="C4265" s="5" t="str">
        <f>IFERROR(__xludf.DUMMYFUNCTION("GOOGLETRANSLATE(B4265,""en"",""de"")"),"Die Leute stehen und sitzen an den Seiten des Snow Hills zu.")</f>
        <v>Die Leute stehen und sitzen an den Seiten des Snow Hills zu.</v>
      </c>
    </row>
    <row r="4266">
      <c r="A4266" s="4" t="s">
        <v>5366</v>
      </c>
      <c r="B4266" s="4" t="s">
        <v>5367</v>
      </c>
      <c r="C4266" s="5" t="str">
        <f>IFERROR(__xludf.DUMMYFUNCTION("GOOGLETRANSLATE(B4266,""en"",""de"")"),"Eine Frau steht im Freien in einem rosa Kampfkunst -Outfit.")</f>
        <v>Eine Frau steht im Freien in einem rosa Kampfkunst -Outfit.</v>
      </c>
    </row>
    <row r="4267">
      <c r="A4267" s="4" t="s">
        <v>5366</v>
      </c>
      <c r="B4267" s="4" t="s">
        <v>5368</v>
      </c>
      <c r="C4267" s="5" t="str">
        <f>IFERROR(__xludf.DUMMYFUNCTION("GOOGLETRANSLATE(B4267,""en"",""de"")"),"Sie bewegt sich langsam und zeigt verschiedene Kampfkunstbewegungen.")</f>
        <v>Sie bewegt sich langsam und zeigt verschiedene Kampfkunstbewegungen.</v>
      </c>
    </row>
    <row r="4268">
      <c r="A4268" s="4" t="s">
        <v>5366</v>
      </c>
      <c r="B4268" s="4" t="s">
        <v>5369</v>
      </c>
      <c r="C4268" s="5" t="str">
        <f>IFERROR(__xludf.DUMMYFUNCTION("GOOGLETRANSLATE(B4268,""en"",""de"")"),"Sie bewegt sich langsam langsam, als die Namen der Bewegungen auf dem Bildschirm erscheinen.")</f>
        <v>Sie bewegt sich langsam langsam, als die Namen der Bewegungen auf dem Bildschirm erscheinen.</v>
      </c>
    </row>
    <row r="4269">
      <c r="A4269" s="4" t="s">
        <v>5370</v>
      </c>
      <c r="B4269" s="4" t="s">
        <v>5371</v>
      </c>
      <c r="C4269" s="5" t="str">
        <f>IFERROR(__xludf.DUMMYFUNCTION("GOOGLETRANSLATE(B4269,""en"",""de"")"),"Eine Nahaufnahme von Häusern wird gezeigt, wenn eine Person mit einem Hund geht und dann mit der Kamera spricht.")</f>
        <v>Eine Nahaufnahme von Häusern wird gezeigt, wenn eine Person mit einem Hund geht und dann mit der Kamera spricht.</v>
      </c>
    </row>
    <row r="4270">
      <c r="A4270" s="4" t="s">
        <v>5370</v>
      </c>
      <c r="B4270" s="4" t="s">
        <v>5372</v>
      </c>
      <c r="C4270" s="5" t="str">
        <f>IFERROR(__xludf.DUMMYFUNCTION("GOOGLETRANSLATE(B4270,""en"",""de"")"),"Der Mann spricht weiter, als er den Hund in der Nachbarschaft führt.")</f>
        <v>Der Mann spricht weiter, als er den Hund in der Nachbarschaft führt.</v>
      </c>
    </row>
    <row r="4271">
      <c r="A4271" s="4" t="s">
        <v>5373</v>
      </c>
      <c r="B4271" s="4" t="s">
        <v>5374</v>
      </c>
      <c r="C4271" s="5" t="str">
        <f>IFERROR(__xludf.DUMMYFUNCTION("GOOGLETRANSLATE(B4271,""en"",""de"")"),"Ein älterer Herr putzt ein braunes Pferd.")</f>
        <v>Ein älterer Herr putzt ein braunes Pferd.</v>
      </c>
    </row>
    <row r="4272">
      <c r="A4272" s="4" t="s">
        <v>5373</v>
      </c>
      <c r="B4272" s="4" t="s">
        <v>5375</v>
      </c>
      <c r="C4272" s="5" t="str">
        <f>IFERROR(__xludf.DUMMYFUNCTION("GOOGLETRANSLATE(B4272,""en"",""de"")"),"Er dreht sich um und spricht mit einer älteren Frau.")</f>
        <v>Er dreht sich um und spricht mit einer älteren Frau.</v>
      </c>
    </row>
    <row r="4273">
      <c r="A4273" s="4" t="s">
        <v>5373</v>
      </c>
      <c r="B4273" s="4" t="s">
        <v>5376</v>
      </c>
      <c r="C4273" s="5" t="str">
        <f>IFERROR(__xludf.DUMMYFUNCTION("GOOGLETRANSLATE(B4273,""en"",""de"")"),"Das Pferd hebt sein Bein hoch.")</f>
        <v>Das Pferd hebt sein Bein hoch.</v>
      </c>
    </row>
    <row r="4274">
      <c r="A4274" s="4" t="s">
        <v>5377</v>
      </c>
      <c r="B4274" s="4" t="s">
        <v>5378</v>
      </c>
      <c r="C4274" s="5" t="str">
        <f>IFERROR(__xludf.DUMMYFUNCTION("GOOGLETRANSLATE(B4274,""en"",""de"")"),"Ein Hund liegt bequem in einer großen Schüssel mit einem Mann neben ihm.")</f>
        <v>Ein Hund liegt bequem in einer großen Schüssel mit einem Mann neben ihm.</v>
      </c>
    </row>
    <row r="4275">
      <c r="A4275" s="4" t="s">
        <v>5377</v>
      </c>
      <c r="B4275" s="4" t="s">
        <v>5379</v>
      </c>
      <c r="C4275" s="5" t="str">
        <f>IFERROR(__xludf.DUMMYFUNCTION("GOOGLETRANSLATE(B4275,""en"",""de"")"),"Der Mann kniet neben dem Hund und fängt an, ihn niederzureiben.")</f>
        <v>Der Mann kniet neben dem Hund und fängt an, ihn niederzureiben.</v>
      </c>
    </row>
    <row r="4276">
      <c r="A4276" s="4" t="s">
        <v>5377</v>
      </c>
      <c r="B4276" s="4" t="s">
        <v>5380</v>
      </c>
      <c r="C4276" s="5" t="str">
        <f>IFERROR(__xludf.DUMMYFUNCTION("GOOGLETRANSLATE(B4276,""en"",""de"")"),"Der Mann reinigt den Hund im Bad weiter.")</f>
        <v>Der Mann reinigt den Hund im Bad weiter.</v>
      </c>
    </row>
    <row r="4277">
      <c r="A4277" s="4" t="s">
        <v>5381</v>
      </c>
      <c r="B4277" s="4" t="s">
        <v>5382</v>
      </c>
      <c r="C4277" s="5" t="str">
        <f>IFERROR(__xludf.DUMMYFUNCTION("GOOGLETRANSLATE(B4277,""en"",""de"")"),"Die Leute spielen Dodge Ball in einem Fitnessstudio.")</f>
        <v>Die Leute spielen Dodge Ball in einem Fitnessstudio.</v>
      </c>
    </row>
    <row r="4278">
      <c r="A4278" s="4" t="s">
        <v>5381</v>
      </c>
      <c r="B4278" s="4" t="s">
        <v>5383</v>
      </c>
      <c r="C4278" s="5" t="str">
        <f>IFERROR(__xludf.DUMMYFUNCTION("GOOGLETRANSLATE(B4278,""en"",""de"")"),"Sie werfen sich gegenseitig die Eier.")</f>
        <v>Sie werfen sich gegenseitig die Eier.</v>
      </c>
    </row>
    <row r="4279">
      <c r="A4279" s="4" t="s">
        <v>5384</v>
      </c>
      <c r="B4279" s="4" t="s">
        <v>5385</v>
      </c>
      <c r="C4279" s="5" t="str">
        <f>IFERROR(__xludf.DUMMYFUNCTION("GOOGLETRANSLATE(B4279,""en"",""de"")"),"Ein Mann schiebt einen Röhrchen einen Hügel hinunter.")</f>
        <v>Ein Mann schiebt einen Röhrchen einen Hügel hinunter.</v>
      </c>
    </row>
    <row r="4280">
      <c r="A4280" s="4" t="s">
        <v>5384</v>
      </c>
      <c r="B4280" s="4" t="s">
        <v>5386</v>
      </c>
      <c r="C4280" s="5" t="str">
        <f>IFERROR(__xludf.DUMMYFUNCTION("GOOGLETRANSLATE(B4280,""en"",""de"")"),"Eine andere Person schlägt den Hügel auf einer Röhre hinunter.")</f>
        <v>Eine andere Person schlägt den Hügel auf einer Röhre hinunter.</v>
      </c>
    </row>
    <row r="4281">
      <c r="A4281" s="4" t="s">
        <v>5384</v>
      </c>
      <c r="B4281" s="4" t="s">
        <v>5387</v>
      </c>
      <c r="C4281" s="5" t="str">
        <f>IFERROR(__xludf.DUMMYFUNCTION("GOOGLETRANSLATE(B4281,""en"",""de"")"),"Eine Person in einer roten Jacke steht unten.")</f>
        <v>Eine Person in einer roten Jacke steht unten.</v>
      </c>
    </row>
    <row r="4282">
      <c r="A4282" s="4" t="s">
        <v>5388</v>
      </c>
      <c r="B4282" s="4" t="s">
        <v>5389</v>
      </c>
      <c r="C4282" s="5" t="str">
        <f>IFERROR(__xludf.DUMMYFUNCTION("GOOGLETRANSLATE(B4282,""en"",""de"")"),"Dieser Mann trägt ein blaues T-Shirt und weiße Shorts und er macht seine Gymnastik.")</f>
        <v>Dieser Mann trägt ein blaues T-Shirt und weiße Shorts und er macht seine Gymnastik.</v>
      </c>
    </row>
    <row r="4283">
      <c r="A4283" s="4" t="s">
        <v>5388</v>
      </c>
      <c r="B4283" s="4" t="s">
        <v>5390</v>
      </c>
      <c r="C4283" s="5" t="str">
        <f>IFERROR(__xludf.DUMMYFUNCTION("GOOGLETRANSLATE(B4283,""en"",""de"")"),"Dann steigt er aus und geht weg, um woanders hin zu gehen.")</f>
        <v>Dann steigt er aus und geht weg, um woanders hin zu gehen.</v>
      </c>
    </row>
    <row r="4284">
      <c r="A4284" s="4" t="s">
        <v>5388</v>
      </c>
      <c r="B4284" s="4" t="s">
        <v>5391</v>
      </c>
      <c r="C4284" s="5" t="str">
        <f>IFERROR(__xludf.DUMMYFUNCTION("GOOGLETRANSLATE(B4284,""en"",""de"")"),"Es gibt auch einen anderen Mann mit ihm, der herumläuft und ein grünes Hemd trägt.")</f>
        <v>Es gibt auch einen anderen Mann mit ihm, der herumläuft und ein grünes Hemd trägt.</v>
      </c>
    </row>
    <row r="4285">
      <c r="A4285" s="4" t="s">
        <v>5392</v>
      </c>
      <c r="B4285" s="4" t="s">
        <v>5393</v>
      </c>
      <c r="C4285" s="5" t="str">
        <f>IFERROR(__xludf.DUMMYFUNCTION("GOOGLETRANSLATE(B4285,""en"",""de"")"),"Ein Mann spricht mit einer Frau, als sie einen Gürtel anzieht und dann auf die Bühne geht.")</f>
        <v>Ein Mann spricht mit einer Frau, als sie einen Gürtel anzieht und dann auf die Bühne geht.</v>
      </c>
    </row>
    <row r="4286">
      <c r="A4286" s="4" t="s">
        <v>5392</v>
      </c>
      <c r="B4286" s="4" t="s">
        <v>5394</v>
      </c>
      <c r="C4286" s="5" t="str">
        <f>IFERROR(__xludf.DUMMYFUNCTION("GOOGLETRANSLATE(B4286,""en"",""de"")"),"Die Frau beugt sich dann hin und hebt ein großes Gewicht über ihren Kopf, gefolgt von der Bühne.")</f>
        <v>Die Frau beugt sich dann hin und hebt ein großes Gewicht über ihren Kopf, gefolgt von der Bühne.</v>
      </c>
    </row>
    <row r="4287">
      <c r="A4287" s="4" t="s">
        <v>5392</v>
      </c>
      <c r="B4287" s="4" t="s">
        <v>5395</v>
      </c>
      <c r="C4287" s="5" t="str">
        <f>IFERROR(__xludf.DUMMYFUNCTION("GOOGLETRANSLATE(B4287,""en"",""de"")"),"Ihr gleicher Aufzug wird in Zeitlupe wieder gezeigt.")</f>
        <v>Ihr gleicher Aufzug wird in Zeitlupe wieder gezeigt.</v>
      </c>
    </row>
    <row r="4288">
      <c r="A4288" s="4" t="s">
        <v>5396</v>
      </c>
      <c r="B4288" s="4" t="s">
        <v>5397</v>
      </c>
      <c r="C4288" s="5" t="str">
        <f>IFERROR(__xludf.DUMMYFUNCTION("GOOGLETRANSLATE(B4288,""en"",""de"")"),"Der Junge skateboarden nachts in einem Skatepark.")</f>
        <v>Der Junge skateboarden nachts in einem Skatepark.</v>
      </c>
    </row>
    <row r="4289">
      <c r="A4289" s="4" t="s">
        <v>5396</v>
      </c>
      <c r="B4289" s="4" t="s">
        <v>5398</v>
      </c>
      <c r="C4289" s="5" t="str">
        <f>IFERROR(__xludf.DUMMYFUNCTION("GOOGLETRANSLATE(B4289,""en"",""de"")"),"Boy skateboarden in einem Bürgersteig mit Menschen, die vorbeikommen.")</f>
        <v>Boy skateboarden in einem Bürgersteig mit Menschen, die vorbeikommen.</v>
      </c>
    </row>
    <row r="4290">
      <c r="A4290" s="4" t="s">
        <v>5396</v>
      </c>
      <c r="B4290" s="4" t="s">
        <v>5399</v>
      </c>
      <c r="C4290" s="5" t="str">
        <f>IFERROR(__xludf.DUMMYFUNCTION("GOOGLETRANSLATE(B4290,""en"",""de"")"),"Der Mann skateboarden in der Straße und ein Auto fährt fast über.")</f>
        <v>Der Mann skateboarden in der Straße und ein Auto fährt fast über.</v>
      </c>
    </row>
    <row r="4291">
      <c r="A4291" s="4" t="s">
        <v>5396</v>
      </c>
      <c r="B4291" s="4" t="s">
        <v>5400</v>
      </c>
      <c r="C4291" s="5" t="str">
        <f>IFERROR(__xludf.DUMMYFUNCTION("GOOGLETRANSLATE(B4291,""en"",""de"")"),"Szenen von Männern Skteboard in einem Zäune und fallen ab.")</f>
        <v>Szenen von Männern Skteboard in einem Zäune und fallen ab.</v>
      </c>
    </row>
    <row r="4292">
      <c r="A4292" s="4" t="s">
        <v>5401</v>
      </c>
      <c r="B4292" s="4" t="s">
        <v>5402</v>
      </c>
      <c r="C4292" s="5" t="str">
        <f>IFERROR(__xludf.DUMMYFUNCTION("GOOGLETRANSLATE(B4292,""en"",""de"")"),"Viele Leute sind auf einem Marathon auf der Straße, während die Leute auf den Seiten sind.")</f>
        <v>Viele Leute sind auf einem Marathon auf der Straße, während die Leute auf den Seiten sind.</v>
      </c>
    </row>
    <row r="4293">
      <c r="A4293" s="4" t="s">
        <v>5401</v>
      </c>
      <c r="B4293" s="4" t="s">
        <v>5403</v>
      </c>
      <c r="C4293" s="5" t="str">
        <f>IFERROR(__xludf.DUMMYFUNCTION("GOOGLETRANSLATE(B4293,""en"",""de"")"),"Verschiedene Frauen und Männer über dem Finish.")</f>
        <v>Verschiedene Frauen und Männer über dem Finish.</v>
      </c>
    </row>
    <row r="4294">
      <c r="A4294" s="4" t="s">
        <v>5404</v>
      </c>
      <c r="B4294" s="4" t="s">
        <v>5405</v>
      </c>
      <c r="C4294" s="5" t="str">
        <f>IFERROR(__xludf.DUMMYFUNCTION("GOOGLETRANSLATE(B4294,""en"",""de"")"),"Ein Mann in einem schwarzen Hemd spricht auf einem Basketballplatz.")</f>
        <v>Ein Mann in einem schwarzen Hemd spricht auf einem Basketballplatz.</v>
      </c>
    </row>
    <row r="4295">
      <c r="A4295" s="4" t="s">
        <v>5404</v>
      </c>
      <c r="B4295" s="4" t="s">
        <v>5406</v>
      </c>
      <c r="C4295" s="5" t="str">
        <f>IFERROR(__xludf.DUMMYFUNCTION("GOOGLETRANSLATE(B4295,""en"",""de"")"),"Ein Junge spielt Basketball auf dem Platz.")</f>
        <v>Ein Junge spielt Basketball auf dem Platz.</v>
      </c>
    </row>
    <row r="4296">
      <c r="A4296" s="4" t="s">
        <v>5407</v>
      </c>
      <c r="B4296" s="4" t="s">
        <v>1251</v>
      </c>
      <c r="C4296" s="5" t="str">
        <f>IFERROR(__xludf.DUMMYFUNCTION("GOOGLETRANSLATE(B4296,""en"",""de"")"),"Die Credits des Clips werden angezeigt.")</f>
        <v>Die Credits des Clips werden angezeigt.</v>
      </c>
    </row>
    <row r="4297">
      <c r="A4297" s="4" t="s">
        <v>5407</v>
      </c>
      <c r="B4297" s="4" t="s">
        <v>5408</v>
      </c>
      <c r="C4297" s="5" t="str">
        <f>IFERROR(__xludf.DUMMYFUNCTION("GOOGLETRANSLATE(B4297,""en"",""de"")"),"Eine Dame auf der Bühne mit einem Hund (en).")</f>
        <v>Eine Dame auf der Bühne mit einem Hund (en).</v>
      </c>
    </row>
    <row r="4298">
      <c r="A4298" s="4" t="s">
        <v>5407</v>
      </c>
      <c r="B4298" s="4" t="s">
        <v>5409</v>
      </c>
      <c r="C4298" s="5" t="str">
        <f>IFERROR(__xludf.DUMMYFUNCTION("GOOGLETRANSLATE(B4298,""en"",""de"")"),"Der Hund holt Platten, die die Dame werfen.")</f>
        <v>Der Hund holt Platten, die die Dame werfen.</v>
      </c>
    </row>
    <row r="4299">
      <c r="A4299" s="4" t="s">
        <v>5407</v>
      </c>
      <c r="B4299" s="4" t="s">
        <v>5410</v>
      </c>
      <c r="C4299" s="5" t="str">
        <f>IFERROR(__xludf.DUMMYFUNCTION("GOOGLETRANSLATE(B4299,""en"",""de"")"),"Ein zweiter Hund schließt sich der Bühne an.")</f>
        <v>Ein zweiter Hund schließt sich der Bühne an.</v>
      </c>
    </row>
    <row r="4300">
      <c r="A4300" s="4" t="s">
        <v>5407</v>
      </c>
      <c r="B4300" s="4" t="s">
        <v>5411</v>
      </c>
      <c r="C4300" s="5" t="str">
        <f>IFERROR(__xludf.DUMMYFUNCTION("GOOGLETRANSLATE(B4300,""en"",""de"")"),"Die Hunde holen Platten zusammen.")</f>
        <v>Die Hunde holen Platten zusammen.</v>
      </c>
    </row>
    <row r="4301">
      <c r="A4301" s="4" t="s">
        <v>5407</v>
      </c>
      <c r="B4301" s="4" t="s">
        <v>5412</v>
      </c>
      <c r="C4301" s="5" t="str">
        <f>IFERROR(__xludf.DUMMYFUNCTION("GOOGLETRANSLATE(B4301,""en"",""de"")"),"Ein Hund springt ständig über einen anderen Hund in die Hand der Dame.")</f>
        <v>Ein Hund springt ständig über einen anderen Hund in die Hand der Dame.</v>
      </c>
    </row>
    <row r="4302">
      <c r="A4302" s="4" t="s">
        <v>5407</v>
      </c>
      <c r="B4302" s="4" t="s">
        <v>5413</v>
      </c>
      <c r="C4302" s="5" t="str">
        <f>IFERROR(__xludf.DUMMYFUNCTION("GOOGLETRANSLATE(B4302,""en"",""de"")"),"Ein Hund springt durch Hula Hoops.")</f>
        <v>Ein Hund springt durch Hula Hoops.</v>
      </c>
    </row>
    <row r="4303">
      <c r="A4303" s="4" t="s">
        <v>5407</v>
      </c>
      <c r="B4303" s="4" t="s">
        <v>5414</v>
      </c>
      <c r="C4303" s="5" t="str">
        <f>IFERROR(__xludf.DUMMYFUNCTION("GOOGLETRANSLATE(B4303,""en"",""de"")"),"Ein Hund springt von der Bühne auf den Rücken der Dame.")</f>
        <v>Ein Hund springt von der Bühne auf den Rücken der Dame.</v>
      </c>
    </row>
    <row r="4304">
      <c r="A4304" s="4" t="s">
        <v>5407</v>
      </c>
      <c r="B4304" s="4" t="s">
        <v>5415</v>
      </c>
      <c r="C4304" s="5" t="str">
        <f>IFERROR(__xludf.DUMMYFUNCTION("GOOGLETRANSLATE(B4304,""en"",""de"")"),"Ein Hund beißt auf einen roten Teller und lässt nicht los.")</f>
        <v>Ein Hund beißt auf einen roten Teller und lässt nicht los.</v>
      </c>
    </row>
    <row r="4305">
      <c r="A4305" s="4" t="s">
        <v>5407</v>
      </c>
      <c r="B4305" s="4" t="s">
        <v>5416</v>
      </c>
      <c r="C4305" s="5" t="str">
        <f>IFERROR(__xludf.DUMMYFUNCTION("GOOGLETRANSLATE(B4305,""en"",""de"")"),"Ein Hund springt auf die erhöhten Sohlen einer Dame.")</f>
        <v>Ein Hund springt auf die erhöhten Sohlen einer Dame.</v>
      </c>
    </row>
    <row r="4306">
      <c r="A4306" s="4" t="s">
        <v>5407</v>
      </c>
      <c r="B4306" s="4" t="s">
        <v>5417</v>
      </c>
      <c r="C4306" s="5" t="str">
        <f>IFERROR(__xludf.DUMMYFUNCTION("GOOGLETRANSLATE(B4306,""en"",""de"")"),"Die Darsteller nehmen einen Verbeugen und mit dem Hund verlassen sich die Bühne.")</f>
        <v>Die Darsteller nehmen einen Verbeugen und mit dem Hund verlassen sich die Bühne.</v>
      </c>
    </row>
    <row r="4307">
      <c r="A4307" s="4" t="s">
        <v>5407</v>
      </c>
      <c r="B4307" s="4" t="s">
        <v>5418</v>
      </c>
      <c r="C4307" s="5" t="str">
        <f>IFERROR(__xludf.DUMMYFUNCTION("GOOGLETRANSLATE(B4307,""en"",""de"")"),"Die Bühnenvorhänge werden gezeichnet.")</f>
        <v>Die Bühnenvorhänge werden gezeichnet.</v>
      </c>
    </row>
    <row r="4308">
      <c r="A4308" s="4" t="s">
        <v>5407</v>
      </c>
      <c r="B4308" s="4" t="s">
        <v>573</v>
      </c>
      <c r="C4308" s="5" t="str">
        <f>IFERROR(__xludf.DUMMYFUNCTION("GOOGLETRANSLATE(B4308,""en"",""de"")"),"Die Credits des Videos werden angezeigt.")</f>
        <v>Die Credits des Videos werden angezeigt.</v>
      </c>
    </row>
    <row r="4309">
      <c r="A4309" s="4" t="s">
        <v>5419</v>
      </c>
      <c r="B4309" s="4" t="s">
        <v>5420</v>
      </c>
      <c r="C4309" s="5" t="str">
        <f>IFERROR(__xludf.DUMMYFUNCTION("GOOGLETRANSLATE(B4309,""en"",""de"")"),"Eine Frau steht hinter einem Tisch mit High Heels.")</f>
        <v>Eine Frau steht hinter einem Tisch mit High Heels.</v>
      </c>
    </row>
    <row r="4310">
      <c r="A4310" s="4" t="s">
        <v>5419</v>
      </c>
      <c r="B4310" s="4" t="s">
        <v>5421</v>
      </c>
      <c r="C4310" s="5" t="str">
        <f>IFERROR(__xludf.DUMMYFUNCTION("GOOGLETRANSLATE(B4310,""en"",""de"")"),"Sie beginnt den Schuh abzuwischen.")</f>
        <v>Sie beginnt den Schuh abzuwischen.</v>
      </c>
    </row>
    <row r="4311">
      <c r="A4311" s="4" t="s">
        <v>5419</v>
      </c>
      <c r="B4311" s="4" t="s">
        <v>5422</v>
      </c>
      <c r="C4311" s="5" t="str">
        <f>IFERROR(__xludf.DUMMYFUNCTION("GOOGLETRANSLATE(B4311,""en"",""de"")"),"Sie verwendet einen Q-Tip, um die Seite des Schuhs zu reinigen.")</f>
        <v>Sie verwendet einen Q-Tip, um die Seite des Schuhs zu reinigen.</v>
      </c>
    </row>
    <row r="4312">
      <c r="A4312" s="4" t="s">
        <v>5419</v>
      </c>
      <c r="B4312" s="4" t="s">
        <v>5423</v>
      </c>
      <c r="C4312" s="5" t="str">
        <f>IFERROR(__xludf.DUMMYFUNCTION("GOOGLETRANSLATE(B4312,""en"",""de"")"),"Sie sprüht den Schuh mit Windex und wischt ihn ab.")</f>
        <v>Sie sprüht den Schuh mit Windex und wischt ihn ab.</v>
      </c>
    </row>
    <row r="4313">
      <c r="A4313" s="4" t="s">
        <v>5424</v>
      </c>
      <c r="B4313" s="4" t="s">
        <v>5425</v>
      </c>
      <c r="C4313" s="5" t="str">
        <f>IFERROR(__xludf.DUMMYFUNCTION("GOOGLETRANSLATE(B4313,""en"",""de"")"),"Eine Hand zeigt Gewichte in eine Bar und führt zu einer Person, die Gewichte auf ihren Schultern hebt und Gehen ist.")</f>
        <v>Eine Hand zeigt Gewichte in eine Bar und führt zu einer Person, die Gewichte auf ihren Schultern hebt und Gehen ist.</v>
      </c>
    </row>
    <row r="4314">
      <c r="A4314" s="4" t="s">
        <v>5424</v>
      </c>
      <c r="B4314" s="4" t="s">
        <v>5426</v>
      </c>
      <c r="C4314" s="5" t="str">
        <f>IFERROR(__xludf.DUMMYFUNCTION("GOOGLETRANSLATE(B4314,""en"",""de"")"),"Die Person setzt die Gewichte ab und geht mit dem Gewicht zurück.")</f>
        <v>Die Person setzt die Gewichte ab und geht mit dem Gewicht zurück.</v>
      </c>
    </row>
    <row r="4315">
      <c r="A4315" s="4" t="s">
        <v>5427</v>
      </c>
      <c r="B4315" s="4" t="s">
        <v>5428</v>
      </c>
      <c r="C4315" s="5" t="str">
        <f>IFERROR(__xludf.DUMMYFUNCTION("GOOGLETRANSLATE(B4315,""en"",""de"")"),"Eine barfuß -Frau in einem lila Outfit und beige Kopftuch kniet und waschen Geschirr in einem Außenkörper Wasser vor Gras und einer Holzplattform.")</f>
        <v>Eine barfuß -Frau in einem lila Outfit und beige Kopftuch kniet und waschen Geschirr in einem Außenkörper Wasser vor Gras und einer Holzplattform.</v>
      </c>
    </row>
    <row r="4316">
      <c r="A4316" s="4" t="s">
        <v>5427</v>
      </c>
      <c r="B4316" s="4" t="s">
        <v>5429</v>
      </c>
      <c r="C4316" s="5" t="str">
        <f>IFERROR(__xludf.DUMMYFUNCTION("GOOGLETRANSLATE(B4316,""en"",""de"")"),"Die Frau spült eine Bronzeplatte im schmalen Wasserkörper und legt sie in einen orangefarbenen Plastikeimer.")</f>
        <v>Die Frau spült eine Bronzeplatte im schmalen Wasserkörper und legt sie in einen orangefarbenen Plastikeimer.</v>
      </c>
    </row>
    <row r="4317">
      <c r="A4317" s="4" t="s">
        <v>5427</v>
      </c>
      <c r="B4317" s="4" t="s">
        <v>5430</v>
      </c>
      <c r="C4317" s="5" t="str">
        <f>IFERROR(__xludf.DUMMYFUNCTION("GOOGLETRANSLATE(B4317,""en"",""de"")"),"Die Frau wäscht weiterhin andere Gerichte und legt sie in den Orangenkorb.")</f>
        <v>Die Frau wäscht weiterhin andere Gerichte und legt sie in den Orangenkorb.</v>
      </c>
    </row>
    <row r="4318">
      <c r="A4318" s="4" t="s">
        <v>5427</v>
      </c>
      <c r="B4318" s="4" t="s">
        <v>5431</v>
      </c>
      <c r="C4318" s="5" t="str">
        <f>IFERROR(__xludf.DUMMYFUNCTION("GOOGLETRANSLATE(B4318,""en"",""de"")"),"Die Kamera sperrt eine große Entfernung und wendet sich um einen gelben Bannister auf einem Außendeck mit einer braunen Leder -Chaise wie Sitzbereich über einen großen See.")</f>
        <v>Die Kamera sperrt eine große Entfernung und wendet sich um einen gelben Bannister auf einem Außendeck mit einer braunen Leder -Chaise wie Sitzbereich über einen großen See.</v>
      </c>
    </row>
    <row r="4319">
      <c r="A4319" s="4" t="s">
        <v>5432</v>
      </c>
      <c r="B4319" s="4" t="s">
        <v>5433</v>
      </c>
      <c r="C4319" s="5" t="str">
        <f>IFERROR(__xludf.DUMMYFUNCTION("GOOGLETRANSLATE(B4319,""en"",""de"")"),"Es werden verschiedene Schüsse von Landschaften gezeigt, ebenso wie Menschen, die einen Puck zum Spielen von Shuffleboard drücken.")</f>
        <v>Es werden verschiedene Schüsse von Landschaften gezeigt, ebenso wie Menschen, die einen Puck zum Spielen von Shuffleboard drücken.</v>
      </c>
    </row>
    <row r="4320">
      <c r="A4320" s="4" t="s">
        <v>5432</v>
      </c>
      <c r="B4320" s="4" t="s">
        <v>5434</v>
      </c>
      <c r="C4320" s="5" t="str">
        <f>IFERROR(__xludf.DUMMYFUNCTION("GOOGLETRANSLATE(B4320,""en"",""de"")"),"Weitere Aufnahmen des Spiels werden ebenso angezeigt sowie Textanweisungen zum Spielen.")</f>
        <v>Weitere Aufnahmen des Spiels werden ebenso angezeigt sowie Textanweisungen zum Spielen.</v>
      </c>
    </row>
    <row r="4321">
      <c r="A4321" s="4" t="s">
        <v>5432</v>
      </c>
      <c r="B4321" s="4" t="s">
        <v>5435</v>
      </c>
      <c r="C4321" s="5" t="str">
        <f>IFERROR(__xludf.DUMMYFUNCTION("GOOGLETRANSLATE(B4321,""en"",""de"")"),"Ein Mann hält die Punktzahl und führt zu mehr Schüssen des Spiels, das gespielt wird.")</f>
        <v>Ein Mann hält die Punktzahl und führt zu mehr Schüssen des Spiels, das gespielt wird.</v>
      </c>
    </row>
    <row r="4322">
      <c r="A4322" s="4" t="s">
        <v>5436</v>
      </c>
      <c r="B4322" s="4" t="s">
        <v>5437</v>
      </c>
      <c r="C4322" s="5" t="str">
        <f>IFERROR(__xludf.DUMMYFUNCTION("GOOGLETRANSLATE(B4322,""en"",""de"")"),"Ein Mann hält ein Sprungseil und redet.")</f>
        <v>Ein Mann hält ein Sprungseil und redet.</v>
      </c>
    </row>
    <row r="4323">
      <c r="A4323" s="4" t="s">
        <v>5436</v>
      </c>
      <c r="B4323" s="4" t="s">
        <v>5438</v>
      </c>
      <c r="C4323" s="5" t="str">
        <f>IFERROR(__xludf.DUMMYFUNCTION("GOOGLETRANSLATE(B4323,""en"",""de"")"),"Er beginnt mit Sprung zu springen und Tricks zu machen.")</f>
        <v>Er beginnt mit Sprung zu springen und Tricks zu machen.</v>
      </c>
    </row>
    <row r="4324">
      <c r="A4324" s="4" t="s">
        <v>5439</v>
      </c>
      <c r="B4324" s="4" t="s">
        <v>5440</v>
      </c>
      <c r="C4324" s="5" t="str">
        <f>IFERROR(__xludf.DUMMYFUNCTION("GOOGLETRANSLATE(B4324,""en"",""de"")"),"Eine kleine Gruppe von Männern steht auf einem Boot mit einem Shuffleboard.")</f>
        <v>Eine kleine Gruppe von Männern steht auf einem Boot mit einem Shuffleboard.</v>
      </c>
    </row>
    <row r="4325">
      <c r="A4325" s="4" t="s">
        <v>5439</v>
      </c>
      <c r="B4325" s="4" t="s">
        <v>5441</v>
      </c>
      <c r="C4325" s="5" t="str">
        <f>IFERROR(__xludf.DUMMYFUNCTION("GOOGLETRANSLATE(B4325,""en"",""de"")"),"Die Männer spielen dann Shuffleboard miteinander, während sie abwechselten.")</f>
        <v>Die Männer spielen dann Shuffleboard miteinander, während sie abwechselten.</v>
      </c>
    </row>
    <row r="4326">
      <c r="A4326" s="4" t="s">
        <v>5439</v>
      </c>
      <c r="B4326" s="4" t="s">
        <v>5442</v>
      </c>
      <c r="C4326" s="5" t="str">
        <f>IFERROR(__xludf.DUMMYFUNCTION("GOOGLETRANSLATE(B4326,""en"",""de"")"),"Sie spielen weiter auf der Seite des Bootes.")</f>
        <v>Sie spielen weiter auf der Seite des Bootes.</v>
      </c>
    </row>
    <row r="4327">
      <c r="A4327" s="4" t="s">
        <v>5443</v>
      </c>
      <c r="B4327" s="4" t="s">
        <v>5444</v>
      </c>
      <c r="C4327" s="5" t="str">
        <f>IFERROR(__xludf.DUMMYFUNCTION("GOOGLETRANSLATE(B4327,""en"",""de"")"),"Zwei Männer ringen auf einem Tisch Arm.")</f>
        <v>Zwei Männer ringen auf einem Tisch Arm.</v>
      </c>
    </row>
    <row r="4328">
      <c r="A4328" s="4" t="s">
        <v>5443</v>
      </c>
      <c r="B4328" s="4" t="s">
        <v>5445</v>
      </c>
      <c r="C4328" s="5" t="str">
        <f>IFERROR(__xludf.DUMMYFUNCTION("GOOGLETRANSLATE(B4328,""en"",""de"")"),"Ein anderer Mann geht zum Tisch und steht vor ihnen.")</f>
        <v>Ein anderer Mann geht zum Tisch und steht vor ihnen.</v>
      </c>
    </row>
    <row r="4329">
      <c r="A4329" s="4" t="s">
        <v>5443</v>
      </c>
      <c r="B4329" s="4" t="s">
        <v>5446</v>
      </c>
      <c r="C4329" s="5" t="str">
        <f>IFERROR(__xludf.DUMMYFUNCTION("GOOGLETRANSLATE(B4329,""en"",""de"")"),"Sie beenden Arm ringen und stehen auf.")</f>
        <v>Sie beenden Arm ringen und stehen auf.</v>
      </c>
    </row>
    <row r="4330">
      <c r="A4330" s="4" t="s">
        <v>5447</v>
      </c>
      <c r="B4330" s="4" t="s">
        <v>5448</v>
      </c>
      <c r="C4330" s="5" t="str">
        <f>IFERROR(__xludf.DUMMYFUNCTION("GOOGLETRANSLATE(B4330,""en"",""de"")"),"Eine Frau fügt einer Pfanne auf dem Herd Zutaten hinzu.")</f>
        <v>Eine Frau fügt einer Pfanne auf dem Herd Zutaten hinzu.</v>
      </c>
    </row>
    <row r="4331">
      <c r="A4331" s="4" t="s">
        <v>5447</v>
      </c>
      <c r="B4331" s="4" t="s">
        <v>5449</v>
      </c>
      <c r="C4331" s="5" t="str">
        <f>IFERROR(__xludf.DUMMYFUNCTION("GOOGLETRANSLATE(B4331,""en"",""de"")"),"Sie rührt die Zutaten in der Pfanne.")</f>
        <v>Sie rührt die Zutaten in der Pfanne.</v>
      </c>
    </row>
    <row r="4332">
      <c r="A4332" s="4" t="s">
        <v>5447</v>
      </c>
      <c r="B4332" s="4" t="s">
        <v>5450</v>
      </c>
      <c r="C4332" s="5" t="str">
        <f>IFERROR(__xludf.DUMMYFUNCTION("GOOGLETRANSLATE(B4332,""en"",""de"")"),"Sie zieht einen großen Topf Nudeln und wirft ihn in die Pfanne.")</f>
        <v>Sie zieht einen großen Topf Nudeln und wirft ihn in die Pfanne.</v>
      </c>
    </row>
    <row r="4333">
      <c r="A4333" s="4" t="s">
        <v>5451</v>
      </c>
      <c r="B4333" s="4" t="s">
        <v>5452</v>
      </c>
      <c r="C4333" s="5" t="str">
        <f>IFERROR(__xludf.DUMMYFUNCTION("GOOGLETRANSLATE(B4333,""en"",""de"")"),"Eine Frau geht mit zwei Hunden die Straße entlang.")</f>
        <v>Eine Frau geht mit zwei Hunden die Straße entlang.</v>
      </c>
    </row>
    <row r="4334">
      <c r="A4334" s="4" t="s">
        <v>5451</v>
      </c>
      <c r="B4334" s="4" t="s">
        <v>5453</v>
      </c>
      <c r="C4334" s="5" t="str">
        <f>IFERROR(__xludf.DUMMYFUNCTION("GOOGLETRANSLATE(B4334,""en"",""de"")"),"Der größere Hund hält eine Leine in seinem Mund.")</f>
        <v>Der größere Hund hält eine Leine in seinem Mund.</v>
      </c>
    </row>
    <row r="4335">
      <c r="A4335" s="4" t="s">
        <v>5451</v>
      </c>
      <c r="B4335" s="4" t="s">
        <v>5454</v>
      </c>
      <c r="C4335" s="5" t="str">
        <f>IFERROR(__xludf.DUMMYFUNCTION("GOOGLETRANSLATE(B4335,""en"",""de"")"),"Der kleinere Hund ist an der Leine befestigt und wird im Wesentlichen vom größeren Hund auf dem Weg geführt.")</f>
        <v>Der kleinere Hund ist an der Leine befestigt und wird im Wesentlichen vom größeren Hund auf dem Weg geführt.</v>
      </c>
    </row>
    <row r="4336">
      <c r="A4336" s="4" t="s">
        <v>5451</v>
      </c>
      <c r="B4336" s="4" t="s">
        <v>5455</v>
      </c>
      <c r="C4336" s="5" t="str">
        <f>IFERROR(__xludf.DUMMYFUNCTION("GOOGLETRANSLATE(B4336,""en"",""de"")"),"Ein Mann geht vorne und führt den Weg.")</f>
        <v>Ein Mann geht vorne und führt den Weg.</v>
      </c>
    </row>
    <row r="4337">
      <c r="A4337" s="4" t="s">
        <v>5456</v>
      </c>
      <c r="B4337" s="4" t="s">
        <v>5457</v>
      </c>
      <c r="C4337" s="5" t="str">
        <f>IFERROR(__xludf.DUMMYFUNCTION("GOOGLETRANSLATE(B4337,""en"",""de"")"),"Ein Mann macht Flips im Gras.")</f>
        <v>Ein Mann macht Flips im Gras.</v>
      </c>
    </row>
    <row r="4338">
      <c r="A4338" s="4" t="s">
        <v>5456</v>
      </c>
      <c r="B4338" s="4" t="s">
        <v>5458</v>
      </c>
      <c r="C4338" s="5" t="str">
        <f>IFERROR(__xludf.DUMMYFUNCTION("GOOGLETRANSLATE(B4338,""en"",""de"")"),"Ein Mann in einem weißen Hut steht neben dem Mann.")</f>
        <v>Ein Mann in einem weißen Hut steht neben dem Mann.</v>
      </c>
    </row>
    <row r="4339">
      <c r="A4339" s="4" t="s">
        <v>5456</v>
      </c>
      <c r="B4339" s="4" t="s">
        <v>5459</v>
      </c>
      <c r="C4339" s="5" t="str">
        <f>IFERROR(__xludf.DUMMYFUNCTION("GOOGLETRANSLATE(B4339,""en"",""de"")"),"Einer der Männer wirft einen Stein in die Luft.")</f>
        <v>Einer der Männer wirft einen Stein in die Luft.</v>
      </c>
    </row>
    <row r="4340">
      <c r="A4340" s="4" t="s">
        <v>5460</v>
      </c>
      <c r="B4340" s="4" t="s">
        <v>5461</v>
      </c>
      <c r="C4340" s="5" t="str">
        <f>IFERROR(__xludf.DUMMYFUNCTION("GOOGLETRANSLATE(B4340,""en"",""de"")"),"Familien sind draußen in einem großen Feld, das hinter einer Orange steht und einer Frau, die einer Frau zu einem Mikrofon spricht, zuhört.")</f>
        <v>Familien sind draußen in einem großen Feld, das hinter einer Orange steht und einer Frau, die einer Frau zu einem Mikrofon spricht, zuhört.</v>
      </c>
    </row>
    <row r="4341">
      <c r="A4341" s="4" t="s">
        <v>5460</v>
      </c>
      <c r="B4341" s="4" t="s">
        <v>5462</v>
      </c>
      <c r="C4341" s="5" t="str">
        <f>IFERROR(__xludf.DUMMYFUNCTION("GOOGLETRANSLATE(B4341,""en"",""de"")"),"Ein Mann kommt dann mit demselben Rhrit wie eine Frau und beginnt Frisbees zu einem Hund zu werfen.")</f>
        <v>Ein Mann kommt dann mit demselben Rhrit wie eine Frau und beginnt Frisbees zu einem Hund zu werfen.</v>
      </c>
    </row>
    <row r="4342">
      <c r="A4342" s="4" t="s">
        <v>5460</v>
      </c>
      <c r="B4342" s="4" t="s">
        <v>5463</v>
      </c>
      <c r="C4342" s="5" t="str">
        <f>IFERROR(__xludf.DUMMYFUNCTION("GOOGLETRANSLATE(B4342,""en"",""de"")"),"Diese Aktivität geht weiter und der Hund beginnt über den Kopf des Hundes und seinen Rücken zu springen.")</f>
        <v>Diese Aktivität geht weiter und der Hund beginnt über den Kopf des Hundes und seinen Rücken zu springen.</v>
      </c>
    </row>
    <row r="4343">
      <c r="A4343" s="4" t="s">
        <v>5460</v>
      </c>
      <c r="B4343" s="4" t="s">
        <v>5464</v>
      </c>
      <c r="C4343" s="5" t="str">
        <f>IFERROR(__xludf.DUMMYFUNCTION("GOOGLETRANSLATE(B4343,""en"",""de"")"),"Andere gehen dann mit und der Junge nimmt den Hund auf und geht weg.")</f>
        <v>Andere gehen dann mit und der Junge nimmt den Hund auf und geht weg.</v>
      </c>
    </row>
    <row r="4344">
      <c r="A4344" s="4" t="s">
        <v>5465</v>
      </c>
      <c r="B4344" s="4" t="s">
        <v>5466</v>
      </c>
      <c r="C4344" s="5" t="str">
        <f>IFERROR(__xludf.DUMMYFUNCTION("GOOGLETRANSLATE(B4344,""en"",""de"")"),"Der Mann, der ein rotes Hemd trägt, steht in einem großen grünen Feld hinter Kindern.")</f>
        <v>Der Mann, der ein rotes Hemd trägt, steht in einem großen grünen Feld hinter Kindern.</v>
      </c>
    </row>
    <row r="4345">
      <c r="A4345" s="4" t="s">
        <v>5465</v>
      </c>
      <c r="B4345" s="4" t="s">
        <v>5467</v>
      </c>
      <c r="C4345" s="5" t="str">
        <f>IFERROR(__xludf.DUMMYFUNCTION("GOOGLETRANSLATE(B4345,""en"",""de"")"),"Little Blonde Kid wirft einen Ball und ein Kind tritt den Ball auf das Feld.")</f>
        <v>Little Blonde Kid wirft einen Ball und ein Kind tritt den Ball auf das Feld.</v>
      </c>
    </row>
    <row r="4346">
      <c r="A4346" s="4" t="s">
        <v>5465</v>
      </c>
      <c r="B4346" s="4" t="s">
        <v>5468</v>
      </c>
      <c r="C4346" s="5" t="str">
        <f>IFERROR(__xludf.DUMMYFUNCTION("GOOGLETRANSLATE(B4346,""en"",""de"")"),"Kisd rennt auf dem Feld, um den Ball zu fangen.")</f>
        <v>Kisd rennt auf dem Feld, um den Ball zu fangen.</v>
      </c>
    </row>
    <row r="4347">
      <c r="A4347" s="4" t="s">
        <v>5469</v>
      </c>
      <c r="B4347" s="4" t="s">
        <v>5470</v>
      </c>
      <c r="C4347" s="5" t="str">
        <f>IFERROR(__xludf.DUMMYFUNCTION("GOOGLETRANSLATE(B4347,""en"",""de"")"),"Ein Mann steht in einer Arena, die sich auf das Skateboard vorbereitet.")</f>
        <v>Ein Mann steht in einer Arena, die sich auf das Skateboard vorbereitet.</v>
      </c>
    </row>
    <row r="4348">
      <c r="A4348" s="4" t="s">
        <v>5469</v>
      </c>
      <c r="B4348" s="4" t="s">
        <v>5471</v>
      </c>
      <c r="C4348" s="5" t="str">
        <f>IFERROR(__xludf.DUMMYFUNCTION("GOOGLETRANSLATE(B4348,""en"",""de"")"),"Der Mann schlägt eine Halfpipe hinunter und geht von einem Ende zum anderen hin und her.")</f>
        <v>Der Mann schlägt eine Halfpipe hinunter und geht von einem Ende zum anderen hin und her.</v>
      </c>
    </row>
    <row r="4349">
      <c r="A4349" s="4" t="s">
        <v>5469</v>
      </c>
      <c r="B4349" s="4" t="s">
        <v>5472</v>
      </c>
      <c r="C4349" s="5" t="str">
        <f>IFERROR(__xludf.DUMMYFUNCTION("GOOGLETRANSLATE(B4349,""en"",""de"")"),"Der Mann verliert sein Skateboard und kommt auf die Knie an die Wand.")</f>
        <v>Der Mann verliert sein Skateboard und kommt auf die Knie an die Wand.</v>
      </c>
    </row>
    <row r="4350">
      <c r="A4350" s="4" t="s">
        <v>5469</v>
      </c>
      <c r="B4350" s="4" t="s">
        <v>5473</v>
      </c>
      <c r="C4350" s="5" t="str">
        <f>IFERROR(__xludf.DUMMYFUNCTION("GOOGLETRANSLATE(B4350,""en"",""de"")"),"Wir sehen die Enttäuschung des Mannes, als sich ein anderer Mann auf Skate vorbereitet.")</f>
        <v>Wir sehen die Enttäuschung des Mannes, als sich ein anderer Mann auf Skate vorbereitet.</v>
      </c>
    </row>
    <row r="4351">
      <c r="A4351" s="4" t="s">
        <v>5469</v>
      </c>
      <c r="B4351" s="4" t="s">
        <v>5474</v>
      </c>
      <c r="C4351" s="5" t="str">
        <f>IFERROR(__xludf.DUMMYFUNCTION("GOOGLETRANSLATE(B4351,""en"",""de"")"),"Der Mann geht weg und hüpft auf seinem Skateboard hinter der Bühne.")</f>
        <v>Der Mann geht weg und hüpft auf seinem Skateboard hinter der Bühne.</v>
      </c>
    </row>
    <row r="4352">
      <c r="A4352" s="4" t="s">
        <v>5475</v>
      </c>
      <c r="B4352" s="4" t="s">
        <v>5476</v>
      </c>
      <c r="C4352" s="5" t="str">
        <f>IFERROR(__xludf.DUMMYFUNCTION("GOOGLETRANSLATE(B4352,""en"",""de"")"),"Ein Mann mit einem Regenschirm wischt sich während des Regens sein Auto ab.")</f>
        <v>Ein Mann mit einem Regenschirm wischt sich während des Regens sein Auto ab.</v>
      </c>
    </row>
    <row r="4353">
      <c r="A4353" s="4" t="s">
        <v>5475</v>
      </c>
      <c r="B4353" s="4" t="s">
        <v>5477</v>
      </c>
      <c r="C4353" s="5" t="str">
        <f>IFERROR(__xludf.DUMMYFUNCTION("GOOGLETRANSLATE(B4353,""en"",""de"")"),"Er lächelt in die Kamera und beginnt mit der Kamera -Person zu sprechen.")</f>
        <v>Er lächelt in die Kamera und beginnt mit der Kamera -Person zu sprechen.</v>
      </c>
    </row>
    <row r="4354">
      <c r="A4354" s="4" t="s">
        <v>5478</v>
      </c>
      <c r="B4354" s="4" t="s">
        <v>5479</v>
      </c>
      <c r="C4354" s="5" t="str">
        <f>IFERROR(__xludf.DUMMYFUNCTION("GOOGLETRANSLATE(B4354,""en"",""de"")"),"Es werden mehrere Schüsse aus Paintball -Ausrüstung sowie ein Mann gezeigt, der eine Zigarette raucht.")</f>
        <v>Es werden mehrere Schüsse aus Paintball -Ausrüstung sowie ein Mann gezeigt, der eine Zigarette raucht.</v>
      </c>
    </row>
    <row r="4355">
      <c r="A4355" s="4" t="s">
        <v>5478</v>
      </c>
      <c r="B4355" s="4" t="s">
        <v>5480</v>
      </c>
      <c r="C4355" s="5" t="str">
        <f>IFERROR(__xludf.DUMMYFUNCTION("GOOGLETRANSLATE(B4355,""en"",""de"")"),"Dies führt zu Leuten, die Paintball miteinander spielen und herumlaufen.")</f>
        <v>Dies führt zu Leuten, die Paintball miteinander spielen und herumlaufen.</v>
      </c>
    </row>
    <row r="4356">
      <c r="A4356" s="4" t="s">
        <v>5478</v>
      </c>
      <c r="B4356" s="4" t="s">
        <v>5481</v>
      </c>
      <c r="C4356" s="5" t="str">
        <f>IFERROR(__xludf.DUMMYFUNCTION("GOOGLETRANSLATE(B4356,""en"",""de"")"),"Es werden mehr Aufnahmen von Menschen gezeigt, die miteinander spielen und miteinander sprechen.")</f>
        <v>Es werden mehr Aufnahmen von Menschen gezeigt, die miteinander spielen und miteinander sprechen.</v>
      </c>
    </row>
    <row r="4357">
      <c r="A4357" s="4" t="s">
        <v>5482</v>
      </c>
      <c r="B4357" s="4" t="s">
        <v>5483</v>
      </c>
      <c r="C4357" s="5" t="str">
        <f>IFERROR(__xludf.DUMMYFUNCTION("GOOGLETRANSLATE(B4357,""en"",""de"")"),"Eine Frau steckt eine Zigarette in den Mund.")</f>
        <v>Eine Frau steckt eine Zigarette in den Mund.</v>
      </c>
    </row>
    <row r="4358">
      <c r="A4358" s="4" t="s">
        <v>5482</v>
      </c>
      <c r="B4358" s="4" t="s">
        <v>5484</v>
      </c>
      <c r="C4358" s="5" t="str">
        <f>IFERROR(__xludf.DUMMYFUNCTION("GOOGLETRANSLATE(B4358,""en"",""de"")"),"Dann zündet die Frau eine Zigarette an und raucht.")</f>
        <v>Dann zündet die Frau eine Zigarette an und raucht.</v>
      </c>
    </row>
    <row r="4359">
      <c r="A4359" s="4" t="s">
        <v>5482</v>
      </c>
      <c r="B4359" s="4" t="s">
        <v>5485</v>
      </c>
      <c r="C4359" s="5" t="str">
        <f>IFERROR(__xludf.DUMMYFUNCTION("GOOGLETRANSLATE(B4359,""en"",""de"")"),"Die Frau bläst Rauch aus seinem Mund.")</f>
        <v>Die Frau bläst Rauch aus seinem Mund.</v>
      </c>
    </row>
    <row r="4360">
      <c r="A4360" s="4" t="s">
        <v>5486</v>
      </c>
      <c r="B4360" s="4" t="s">
        <v>5487</v>
      </c>
      <c r="C4360" s="5" t="str">
        <f>IFERROR(__xludf.DUMMYFUNCTION("GOOGLETRANSLATE(B4360,""en"",""de"")"),"Eine Gruppe von Sparren führt einen Floß auf einem Weg.")</f>
        <v>Eine Gruppe von Sparren führt einen Floß auf einem Weg.</v>
      </c>
    </row>
    <row r="4361">
      <c r="A4361" s="4" t="s">
        <v>5486</v>
      </c>
      <c r="B4361" s="4" t="s">
        <v>5488</v>
      </c>
      <c r="C4361" s="5" t="str">
        <f>IFERROR(__xludf.DUMMYFUNCTION("GOOGLETRANSLATE(B4361,""en"",""de"")"),"Gruppen von Sparren reiten einen Fluss hinunter über kleine Wasserfälle.")</f>
        <v>Gruppen von Sparren reiten einen Fluss hinunter über kleine Wasserfälle.</v>
      </c>
    </row>
    <row r="4362">
      <c r="A4362" s="4" t="s">
        <v>5486</v>
      </c>
      <c r="B4362" s="4" t="s">
        <v>5489</v>
      </c>
      <c r="C4362" s="5" t="str">
        <f>IFERROR(__xludf.DUMMYFUNCTION("GOOGLETRANSLATE(B4362,""en"",""de"")"),"Die Sparren klettern vom Boot auf die Küste und gehen den Weg hinauf.")</f>
        <v>Die Sparren klettern vom Boot auf die Küste und gehen den Weg hinauf.</v>
      </c>
    </row>
    <row r="4363">
      <c r="A4363" s="4" t="s">
        <v>5486</v>
      </c>
      <c r="B4363" s="4" t="s">
        <v>5490</v>
      </c>
      <c r="C4363" s="5" t="str">
        <f>IFERROR(__xludf.DUMMYFUNCTION("GOOGLETRANSLATE(B4363,""en"",""de"")"),"Die Leute springen von Felsen in ein Schwimmloch des Flusses.")</f>
        <v>Die Leute springen von Felsen in ein Schwimmloch des Flusses.</v>
      </c>
    </row>
    <row r="4364">
      <c r="A4364" s="4" t="s">
        <v>5486</v>
      </c>
      <c r="B4364" s="4" t="s">
        <v>5491</v>
      </c>
      <c r="C4364" s="5" t="str">
        <f>IFERROR(__xludf.DUMMYFUNCTION("GOOGLETRANSLATE(B4364,""en"",""de"")"),"Die Sparren genießen ein Mittagessen im Freien in einem Strandhaus.")</f>
        <v>Die Sparren genießen ein Mittagessen im Freien in einem Strandhaus.</v>
      </c>
    </row>
    <row r="4365">
      <c r="A4365" s="4" t="s">
        <v>5492</v>
      </c>
      <c r="B4365" s="4" t="s">
        <v>5493</v>
      </c>
      <c r="C4365" s="5" t="str">
        <f>IFERROR(__xludf.DUMMYFUNCTION("GOOGLETRANSLATE(B4365,""en"",""de"")"),"Eine Gruppe von Menschen liegt auf einem Aufzug über den Bergen.")</f>
        <v>Eine Gruppe von Menschen liegt auf einem Aufzug über den Bergen.</v>
      </c>
    </row>
    <row r="4366">
      <c r="A4366" s="4" t="s">
        <v>5492</v>
      </c>
      <c r="B4366" s="4" t="s">
        <v>5494</v>
      </c>
      <c r="C4366" s="5" t="str">
        <f>IFERROR(__xludf.DUMMYFUNCTION("GOOGLETRANSLATE(B4366,""en"",""de"")"),"Eine Person steigt darauf und schaut nach unten.")</f>
        <v>Eine Person steigt darauf und schaut nach unten.</v>
      </c>
    </row>
    <row r="4367">
      <c r="A4367" s="4" t="s">
        <v>5492</v>
      </c>
      <c r="B4367" s="4" t="s">
        <v>5495</v>
      </c>
      <c r="C4367" s="5" t="str">
        <f>IFERROR(__xludf.DUMMYFUNCTION("GOOGLETRANSLATE(B4367,""en"",""de"")"),"Sie springen, hängen und schwingen über dem Boden.")</f>
        <v>Sie springen, hängen und schwingen über dem Boden.</v>
      </c>
    </row>
    <row r="4368">
      <c r="A4368" s="4" t="s">
        <v>5496</v>
      </c>
      <c r="B4368" s="4" t="s">
        <v>5497</v>
      </c>
      <c r="C4368" s="5" t="str">
        <f>IFERROR(__xludf.DUMMYFUNCTION("GOOGLETRANSLATE(B4368,""en"",""de"")"),"Eine große Schule kleiner Fische schwimmt im Meer.")</f>
        <v>Eine große Schule kleiner Fische schwimmt im Meer.</v>
      </c>
    </row>
    <row r="4369">
      <c r="A4369" s="4" t="s">
        <v>5496</v>
      </c>
      <c r="B4369" s="4" t="s">
        <v>5498</v>
      </c>
      <c r="C4369" s="5" t="str">
        <f>IFERROR(__xludf.DUMMYFUNCTION("GOOGLETRANSLATE(B4369,""en"",""de"")"),"Ein Siegel schwimmt im Meer.")</f>
        <v>Ein Siegel schwimmt im Meer.</v>
      </c>
    </row>
    <row r="4370">
      <c r="A4370" s="4" t="s">
        <v>5496</v>
      </c>
      <c r="B4370" s="4" t="s">
        <v>5499</v>
      </c>
      <c r="C4370" s="5" t="str">
        <f>IFERROR(__xludf.DUMMYFUNCTION("GOOGLETRANSLATE(B4370,""en"",""de"")"),"Die Szene wechselt zu einem Hunde -Tauchen mit Menschen.")</f>
        <v>Die Szene wechselt zu einem Hunde -Tauchen mit Menschen.</v>
      </c>
    </row>
    <row r="4371">
      <c r="A4371" s="4" t="s">
        <v>5496</v>
      </c>
      <c r="B4371" s="4" t="s">
        <v>5500</v>
      </c>
      <c r="C4371" s="5" t="str">
        <f>IFERROR(__xludf.DUMMYFUNCTION("GOOGLETRANSLATE(B4371,""en"",""de"")"),"Der Hund wird mit einem Menschen auf einem Schiff gezeigt, wobei ein Teil seiner Tauchausrüstung eingeschaltet ist.")</f>
        <v>Der Hund wird mit einem Menschen auf einem Schiff gezeigt, wobei ein Teil seiner Tauchausrüstung eingeschaltet ist.</v>
      </c>
    </row>
    <row r="4372">
      <c r="A4372" s="4" t="s">
        <v>5496</v>
      </c>
      <c r="B4372" s="4" t="s">
        <v>5501</v>
      </c>
      <c r="C4372" s="5" t="str">
        <f>IFERROR(__xludf.DUMMYFUNCTION("GOOGLETRANSLATE(B4372,""en"",""de"")"),"Die Szene kehrt zum Hundetauchen zurück.")</f>
        <v>Die Szene kehrt zum Hundetauchen zurück.</v>
      </c>
    </row>
    <row r="4373">
      <c r="A4373" s="4" t="s">
        <v>5496</v>
      </c>
      <c r="B4373" s="4" t="s">
        <v>5502</v>
      </c>
      <c r="C4373" s="5" t="str">
        <f>IFERROR(__xludf.DUMMYFUNCTION("GOOGLETRANSLATE(B4373,""en"",""de"")"),"Die Szene wechselt zu einer Katze, die herumläuft.")</f>
        <v>Die Szene wechselt zu einer Katze, die herumläuft.</v>
      </c>
    </row>
    <row r="4374">
      <c r="A4374" s="4" t="s">
        <v>5496</v>
      </c>
      <c r="B4374" s="4" t="s">
        <v>5503</v>
      </c>
      <c r="C4374" s="5" t="str">
        <f>IFERROR(__xludf.DUMMYFUNCTION("GOOGLETRANSLATE(B4374,""en"",""de"")"),"Die Katze wird schwimmen und tauchen.")</f>
        <v>Die Katze wird schwimmen und tauchen.</v>
      </c>
    </row>
    <row r="4375">
      <c r="A4375" s="4" t="s">
        <v>5496</v>
      </c>
      <c r="B4375" s="4" t="s">
        <v>5504</v>
      </c>
      <c r="C4375" s="5" t="str">
        <f>IFERROR(__xludf.DUMMYFUNCTION("GOOGLETRANSLATE(B4375,""en"",""de"")"),"Die Katze und der Hund werden in verschiedenen schnellen Szenen zusammen gezeigt.")</f>
        <v>Die Katze und der Hund werden in verschiedenen schnellen Szenen zusammen gezeigt.</v>
      </c>
    </row>
    <row r="4376">
      <c r="A4376" s="4" t="s">
        <v>5505</v>
      </c>
      <c r="B4376" s="4" t="s">
        <v>5506</v>
      </c>
      <c r="C4376" s="5" t="str">
        <f>IFERROR(__xludf.DUMMYFUNCTION("GOOGLETRANSLATE(B4376,""en"",""de"")"),"Zwei Leute tanzen auf einer Tanzfläche.")</f>
        <v>Zwei Leute tanzen auf einer Tanzfläche.</v>
      </c>
    </row>
    <row r="4377">
      <c r="A4377" s="4" t="s">
        <v>5505</v>
      </c>
      <c r="B4377" s="4" t="s">
        <v>5507</v>
      </c>
      <c r="C4377" s="5" t="str">
        <f>IFERROR(__xludf.DUMMYFUNCTION("GOOGLETRANSLATE(B4377,""en"",""de"")"),"Die Leute sitzen und stehen am Rande und beobachten sie zu und beobachten sie tanzen.")</f>
        <v>Die Leute sitzen und stehen am Rande und beobachten sie zu und beobachten sie tanzen.</v>
      </c>
    </row>
    <row r="4378">
      <c r="A4378" s="4" t="s">
        <v>5505</v>
      </c>
      <c r="B4378" s="4" t="s">
        <v>5508</v>
      </c>
      <c r="C4378" s="5" t="str">
        <f>IFERROR(__xludf.DUMMYFUNCTION("GOOGLETRANSLATE(B4378,""en"",""de"")"),"Sie tanzen weiter auf der Tanzfläche.")</f>
        <v>Sie tanzen weiter auf der Tanzfläche.</v>
      </c>
    </row>
    <row r="4379">
      <c r="A4379" s="4" t="s">
        <v>5509</v>
      </c>
      <c r="B4379" s="4" t="s">
        <v>5510</v>
      </c>
      <c r="C4379" s="5" t="str">
        <f>IFERROR(__xludf.DUMMYFUNCTION("GOOGLETRANSLATE(B4379,""en"",""de"")"),"Ein Mann legt einen Ball auf den Boden und wirft dann eine Flagge.")</f>
        <v>Ein Mann legt einen Ball auf den Boden und wirft dann eine Flagge.</v>
      </c>
    </row>
    <row r="4380">
      <c r="A4380" s="4" t="s">
        <v>5509</v>
      </c>
      <c r="B4380" s="4" t="s">
        <v>5511</v>
      </c>
      <c r="C4380" s="5" t="str">
        <f>IFERROR(__xludf.DUMMYFUNCTION("GOOGLETRANSLATE(B4380,""en"",""de"")"),"Er trifft den Ball und setzt ein Spiel in Bewegung.")</f>
        <v>Er trifft den Ball und setzt ein Spiel in Bewegung.</v>
      </c>
    </row>
    <row r="4381">
      <c r="A4381" s="4" t="s">
        <v>5509</v>
      </c>
      <c r="B4381" s="4" t="s">
        <v>5512</v>
      </c>
      <c r="C4381" s="5" t="str">
        <f>IFERROR(__xludf.DUMMYFUNCTION("GOOGLETRANSLATE(B4381,""en"",""de"")"),"Die Spieler kämpfen um den Ball und bringen es in das Tor und das Publikum jubelt.")</f>
        <v>Die Spieler kämpfen um den Ball und bringen es in das Tor und das Publikum jubelt.</v>
      </c>
    </row>
    <row r="4382">
      <c r="A4382" s="4" t="s">
        <v>5509</v>
      </c>
      <c r="B4382" s="4" t="s">
        <v>5513</v>
      </c>
      <c r="C4382" s="5" t="str">
        <f>IFERROR(__xludf.DUMMYFUNCTION("GOOGLETRANSLATE(B4382,""en"",""de"")"),"Das Spiel geht weiter, wenn die Spieler antreten.")</f>
        <v>Das Spiel geht weiter, wenn die Spieler antreten.</v>
      </c>
    </row>
    <row r="4383">
      <c r="A4383" s="4" t="s">
        <v>5514</v>
      </c>
      <c r="B4383" s="4" t="s">
        <v>5515</v>
      </c>
      <c r="C4383" s="5" t="str">
        <f>IFERROR(__xludf.DUMMYFUNCTION("GOOGLETRANSLATE(B4383,""en"",""de"")"),"Eine junge Frau mit einem schwarzen Kleid und einer roten Strickjacke steht in der Ecke einer Küche, die Früchte schneidet.")</f>
        <v>Eine junge Frau mit einem schwarzen Kleid und einer roten Strickjacke steht in der Ecke einer Küche, die Früchte schneidet.</v>
      </c>
    </row>
    <row r="4384">
      <c r="A4384" s="4" t="s">
        <v>5514</v>
      </c>
      <c r="B4384" s="4" t="s">
        <v>5516</v>
      </c>
      <c r="C4384" s="5" t="str">
        <f>IFERROR(__xludf.DUMMYFUNCTION("GOOGLETRANSLATE(B4384,""en"",""de"")"),"Nach einer Weile greift sie sechs Erdbeeren und lässt sie auf dem Schneidebrett, als sie anfängt, Trauben zu schneiden.")</f>
        <v>Nach einer Weile greift sie sechs Erdbeeren und lässt sie auf dem Schneidebrett, als sie anfängt, Trauben zu schneiden.</v>
      </c>
    </row>
    <row r="4385">
      <c r="A4385" s="4" t="s">
        <v>5514</v>
      </c>
      <c r="B4385" s="4" t="s">
        <v>5517</v>
      </c>
      <c r="C4385" s="5" t="str">
        <f>IFERROR(__xludf.DUMMYFUNCTION("GOOGLETRANSLATE(B4385,""en"",""de"")"),"Vor ihr gibt es zwei große weiße Schalen voller Früchte und sie beginnt, die geschnittenen Früchte in diese Schalen zu stecken.")</f>
        <v>Vor ihr gibt es zwei große weiße Schalen voller Früchte und sie beginnt, die geschnittenen Früchte in diese Schalen zu stecken.</v>
      </c>
    </row>
    <row r="4386">
      <c r="A4386" s="4" t="s">
        <v>5514</v>
      </c>
      <c r="B4386" s="4" t="s">
        <v>5518</v>
      </c>
      <c r="C4386" s="5" t="str">
        <f>IFERROR(__xludf.DUMMYFUNCTION("GOOGLETRANSLATE(B4386,""en"",""de"")"),"Die Kamera bewegt sich dann und die Person zoomt in den Inhalt der Obstschalen und zeigt Ananas, Erdbeeren und Trauben.")</f>
        <v>Die Kamera bewegt sich dann und die Person zoomt in den Inhalt der Obstschalen und zeigt Ananas, Erdbeeren und Trauben.</v>
      </c>
    </row>
    <row r="4387">
      <c r="A4387" s="4" t="s">
        <v>5519</v>
      </c>
      <c r="B4387" s="4" t="s">
        <v>5520</v>
      </c>
      <c r="C4387" s="5" t="str">
        <f>IFERROR(__xludf.DUMMYFUNCTION("GOOGLETRANSLATE(B4387,""en"",""de"")"),"Ein Mann sitzt auf einem Stuhl, der sich von einem Friseur geschnitten hat.")</f>
        <v>Ein Mann sitzt auf einem Stuhl, der sich von einem Friseur geschnitten hat.</v>
      </c>
    </row>
    <row r="4388">
      <c r="A4388" s="4" t="s">
        <v>5519</v>
      </c>
      <c r="B4388" s="4" t="s">
        <v>5521</v>
      </c>
      <c r="C4388" s="5" t="str">
        <f>IFERROR(__xludf.DUMMYFUNCTION("GOOGLETRANSLATE(B4388,""en"",""de"")"),"Ein Mann nimmt einen Kamm und eine Schere und schneidet das Haar über dem Kamm und kämmt ihn dann auf die Vorderseite des Mannes des Mannes.")</f>
        <v>Ein Mann nimmt einen Kamm und eine Schere und schneidet das Haar über dem Kamm und kämmt ihn dann auf die Vorderseite des Mannes des Mannes.</v>
      </c>
    </row>
    <row r="4389">
      <c r="A4389" s="4" t="s">
        <v>5519</v>
      </c>
      <c r="B4389" s="4" t="s">
        <v>5522</v>
      </c>
      <c r="C4389" s="5" t="str">
        <f>IFERROR(__xludf.DUMMYFUNCTION("GOOGLETRANSLATE(B4389,""en"",""de"")"),"Das Mann dreht sich dann um und die Mitte des Haares beginnt sich zu beschneiden.")</f>
        <v>Das Mann dreht sich dann um und die Mitte des Haares beginnt sich zu beschneiden.</v>
      </c>
    </row>
    <row r="4390">
      <c r="A4390" s="4" t="s">
        <v>5519</v>
      </c>
      <c r="B4390" s="4" t="s">
        <v>5523</v>
      </c>
      <c r="C4390" s="5" t="str">
        <f>IFERROR(__xludf.DUMMYFUNCTION("GOOGLETRANSLATE(B4390,""en"",""de"")"),"Als nächstes werden die Seiten und die gleichen Aktionen wiederholt, bis das Haar fertig ist.")</f>
        <v>Als nächstes werden die Seiten und die gleichen Aktionen wiederholt, bis das Haar fertig ist.</v>
      </c>
    </row>
    <row r="4391">
      <c r="A4391" s="4" t="s">
        <v>5519</v>
      </c>
      <c r="B4391" s="4" t="s">
        <v>5524</v>
      </c>
      <c r="C4391" s="5" t="str">
        <f>IFERROR(__xludf.DUMMYFUNCTION("GOOGLETRANSLATE(B4391,""en"",""de"")"),"Schließlich werden Rasierer herausgenommen und der Friseur beginnt die Haare des Mannes und der Friseur geht ein letztes Mal mit Kamm und Schere über das Haar.")</f>
        <v>Schließlich werden Rasierer herausgenommen und der Friseur beginnt die Haare des Mannes und der Friseur geht ein letztes Mal mit Kamm und Schere über das Haar.</v>
      </c>
    </row>
    <row r="4392">
      <c r="A4392" s="4" t="s">
        <v>5525</v>
      </c>
      <c r="B4392" s="4" t="s">
        <v>5526</v>
      </c>
      <c r="C4392" s="5" t="str">
        <f>IFERROR(__xludf.DUMMYFUNCTION("GOOGLETRANSLATE(B4392,""en"",""de"")"),"Ein Mann sieht, wie er mit der Kamera spricht, während er auf einem Übungsgerät sitzt.")</f>
        <v>Ein Mann sieht, wie er mit der Kamera spricht, während er auf einem Übungsgerät sitzt.</v>
      </c>
    </row>
    <row r="4393">
      <c r="A4393" s="4" t="s">
        <v>5525</v>
      </c>
      <c r="B4393" s="4" t="s">
        <v>5527</v>
      </c>
      <c r="C4393" s="5" t="str">
        <f>IFERROR(__xludf.DUMMYFUNCTION("GOOGLETRANSLATE(B4393,""en"",""de"")"),"Er passt die Einstellungen auf der Maschine an und beginnt sie zurück und den vierten Platz.")</f>
        <v>Er passt die Einstellungen auf der Maschine an und beginnt sie zurück und den vierten Platz.</v>
      </c>
    </row>
    <row r="4394">
      <c r="A4394" s="4" t="s">
        <v>5525</v>
      </c>
      <c r="B4394" s="4" t="s">
        <v>5528</v>
      </c>
      <c r="C4394" s="5" t="str">
        <f>IFERROR(__xludf.DUMMYFUNCTION("GOOGLETRANSLATE(B4394,""en"",""de"")"),"Er greift auf die Maschine und bewegt sich selbst, indem er mit der Kamera spricht.")</f>
        <v>Er greift auf die Maschine und bewegt sich selbst, indem er mit der Kamera spricht.</v>
      </c>
    </row>
    <row r="4395">
      <c r="A4395" s="4" t="s">
        <v>5529</v>
      </c>
      <c r="B4395" s="4" t="s">
        <v>5530</v>
      </c>
      <c r="C4395" s="5" t="str">
        <f>IFERROR(__xludf.DUMMYFUNCTION("GOOGLETRANSLATE(B4395,""en"",""de"")"),"Ein männlicher Athlet bereitet sich darauf vor, zu rennen.")</f>
        <v>Ein männlicher Athlet bereitet sich darauf vor, zu rennen.</v>
      </c>
    </row>
    <row r="4396">
      <c r="A4396" s="4" t="s">
        <v>5529</v>
      </c>
      <c r="B4396" s="4" t="s">
        <v>5531</v>
      </c>
      <c r="C4396" s="5" t="str">
        <f>IFERROR(__xludf.DUMMYFUNCTION("GOOGLETRANSLATE(B4396,""en"",""de"")"),"Er rennt mit einem Speer über der Schulter.")</f>
        <v>Er rennt mit einem Speer über der Schulter.</v>
      </c>
    </row>
    <row r="4397">
      <c r="A4397" s="4" t="s">
        <v>5529</v>
      </c>
      <c r="B4397" s="4" t="s">
        <v>5532</v>
      </c>
      <c r="C4397" s="5" t="str">
        <f>IFERROR(__xludf.DUMMYFUNCTION("GOOGLETRANSLATE(B4397,""en"",""de"")"),"Er wirft es so hart wie möglich.")</f>
        <v>Er wirft es so hart wie möglich.</v>
      </c>
    </row>
    <row r="4398">
      <c r="A4398" s="4" t="s">
        <v>5529</v>
      </c>
      <c r="B4398" s="4" t="s">
        <v>5533</v>
      </c>
      <c r="C4398" s="5" t="str">
        <f>IFERROR(__xludf.DUMMYFUNCTION("GOOGLETRANSLATE(B4398,""en"",""de"")"),"Dann tun andere kurz danach das Gleiche.")</f>
        <v>Dann tun andere kurz danach das Gleiche.</v>
      </c>
    </row>
    <row r="4399">
      <c r="A4399" s="4" t="s">
        <v>5534</v>
      </c>
      <c r="B4399" s="4" t="s">
        <v>5535</v>
      </c>
      <c r="C4399" s="5" t="str">
        <f>IFERROR(__xludf.DUMMYFUNCTION("GOOGLETRANSLATE(B4399,""en"",""de"")"),"Zwei Frauen reiten auf der Rückseite eines Vierrads und winken.")</f>
        <v>Zwei Frauen reiten auf der Rückseite eines Vierrads und winken.</v>
      </c>
    </row>
    <row r="4400">
      <c r="A4400" s="4" t="s">
        <v>5534</v>
      </c>
      <c r="B4400" s="4" t="s">
        <v>5536</v>
      </c>
      <c r="C4400" s="5" t="str">
        <f>IFERROR(__xludf.DUMMYFUNCTION("GOOGLETRANSLATE(B4400,""en"",""de"")"),"Ein Mann wird gezeigt, der mit mehreren Leuten posiert und auf ein Feld geht, um Paintball zu spielen.")</f>
        <v>Ein Mann wird gezeigt, der mit mehreren Leuten posiert und auf ein Feld geht, um Paintball zu spielen.</v>
      </c>
    </row>
    <row r="4401">
      <c r="A4401" s="4" t="s">
        <v>5534</v>
      </c>
      <c r="B4401" s="4" t="s">
        <v>5537</v>
      </c>
      <c r="C4401" s="5" t="str">
        <f>IFERROR(__xludf.DUMMYFUNCTION("GOOGLETRANSLATE(B4401,""en"",""de"")"),"Die Menschen richten sich vor Hindernissen vor und verstecken sich und schießen aufeinander.")</f>
        <v>Die Menschen richten sich vor Hindernissen vor und verstecken sich und schießen aufeinander.</v>
      </c>
    </row>
    <row r="4402">
      <c r="A4402" s="4" t="s">
        <v>5538</v>
      </c>
      <c r="B4402" s="4" t="s">
        <v>5539</v>
      </c>
      <c r="C4402" s="5" t="str">
        <f>IFERROR(__xludf.DUMMYFUNCTION("GOOGLETRANSLATE(B4402,""en"",""de"")"),"Ein Mann spielt das Saxophon in verschiedenen öffentlichen Umgebungen, während das Publikum beobachtet.")</f>
        <v>Ein Mann spielt das Saxophon in verschiedenen öffentlichen Umgebungen, während das Publikum beobachtet.</v>
      </c>
    </row>
    <row r="4403">
      <c r="A4403" s="4" t="s">
        <v>5538</v>
      </c>
      <c r="B4403" s="4" t="s">
        <v>5540</v>
      </c>
      <c r="C4403" s="5" t="str">
        <f>IFERROR(__xludf.DUMMYFUNCTION("GOOGLETRANSLATE(B4403,""en"",""de"")"),"Der Mann spielt, während er auf dem Boden liegt.")</f>
        <v>Der Mann spielt, während er auf dem Boden liegt.</v>
      </c>
    </row>
    <row r="4404">
      <c r="A4404" s="4" t="s">
        <v>5538</v>
      </c>
      <c r="B4404" s="4" t="s">
        <v>5541</v>
      </c>
      <c r="C4404" s="5" t="str">
        <f>IFERROR(__xludf.DUMMYFUNCTION("GOOGLETRANSLATE(B4404,""en"",""de"")"),"Ein Wachmann beschreibt ihn und eskortiert ihn.")</f>
        <v>Ein Wachmann beschreibt ihn und eskortiert ihn.</v>
      </c>
    </row>
    <row r="4405">
      <c r="A4405" s="4" t="s">
        <v>5538</v>
      </c>
      <c r="B4405" s="4" t="s">
        <v>5542</v>
      </c>
      <c r="C4405" s="5" t="str">
        <f>IFERROR(__xludf.DUMMYFUNCTION("GOOGLETRANSLATE(B4405,""en"",""de"")"),"Der Mann steht auf und geht weg, während er spielt.")</f>
        <v>Der Mann steht auf und geht weg, während er spielt.</v>
      </c>
    </row>
    <row r="4406">
      <c r="A4406" s="4" t="s">
        <v>5538</v>
      </c>
      <c r="B4406" s="4" t="s">
        <v>5543</v>
      </c>
      <c r="C4406" s="5" t="str">
        <f>IFERROR(__xludf.DUMMYFUNCTION("GOOGLETRANSLATE(B4406,""en"",""de"")"),"Weitere Szenen des Mannes, der das Saxophon in verschiedenen öffentlichen Umgebungen spielt, werden gezeigt.")</f>
        <v>Weitere Szenen des Mannes, der das Saxophon in verschiedenen öffentlichen Umgebungen spielt, werden gezeigt.</v>
      </c>
    </row>
    <row r="4407">
      <c r="A4407" s="4" t="s">
        <v>5544</v>
      </c>
      <c r="B4407" s="4" t="s">
        <v>5545</v>
      </c>
      <c r="C4407" s="5" t="str">
        <f>IFERROR(__xludf.DUMMYFUNCTION("GOOGLETRANSLATE(B4407,""en"",""de"")"),"Die Spieler sind auf einem Platz und spielen Volleyball.")</f>
        <v>Die Spieler sind auf einem Platz und spielen Volleyball.</v>
      </c>
    </row>
    <row r="4408">
      <c r="A4408" s="4" t="s">
        <v>5544</v>
      </c>
      <c r="B4408" s="4" t="s">
        <v>5546</v>
      </c>
      <c r="C4408" s="5" t="str">
        <f>IFERROR(__xludf.DUMMYFUNCTION("GOOGLETRANSLATE(B4408,""en"",""de"")"),"Ein Mann in einem schwarzen Hemd taucht und trifft den Boden.")</f>
        <v>Ein Mann in einem schwarzen Hemd taucht und trifft den Boden.</v>
      </c>
    </row>
    <row r="4409">
      <c r="A4409" s="4" t="s">
        <v>5544</v>
      </c>
      <c r="B4409" s="4" t="s">
        <v>5547</v>
      </c>
      <c r="C4409" s="5" t="str">
        <f>IFERROR(__xludf.DUMMYFUNCTION("GOOGLETRANSLATE(B4409,""en"",""de"")"),"Jemand punktet und die Menge feiert.")</f>
        <v>Jemand punktet und die Menge feiert.</v>
      </c>
    </row>
    <row r="4410">
      <c r="A4410" s="4" t="s">
        <v>5548</v>
      </c>
      <c r="B4410" s="4" t="s">
        <v>5549</v>
      </c>
      <c r="C4410" s="5" t="str">
        <f>IFERROR(__xludf.DUMMYFUNCTION("GOOGLETRANSLATE(B4410,""en"",""de"")"),"Eine Nahaufnahme eines Fooseball -Tisches wird gezeigt, wobei Menschen Umfragen rundum bewegen.")</f>
        <v>Eine Nahaufnahme eines Fooseball -Tisches wird gezeigt, wobei Menschen Umfragen rundum bewegen.</v>
      </c>
    </row>
    <row r="4411">
      <c r="A4411" s="4" t="s">
        <v>5548</v>
      </c>
      <c r="B4411" s="4" t="s">
        <v>5550</v>
      </c>
      <c r="C4411" s="5" t="str">
        <f>IFERROR(__xludf.DUMMYFUNCTION("GOOGLETRANSLATE(B4411,""en"",""de"")"),"Der Mann springt auf und ab, als die Leute weiterhin miteinander spielen.")</f>
        <v>Der Mann springt auf und ab, als die Leute weiterhin miteinander spielen.</v>
      </c>
    </row>
    <row r="4412">
      <c r="A4412" s="4" t="s">
        <v>5548</v>
      </c>
      <c r="B4412" s="4" t="s">
        <v>5551</v>
      </c>
      <c r="C4412" s="5" t="str">
        <f>IFERROR(__xludf.DUMMYFUNCTION("GOOGLETRANSLATE(B4412,""en"",""de"")"),"Ein Mann rennt weg, um den Ball zu greifen, und führt wieder in sie und spielt wieder.")</f>
        <v>Ein Mann rennt weg, um den Ball zu greifen, und führt wieder in sie und spielt wieder.</v>
      </c>
    </row>
    <row r="4413">
      <c r="A4413" s="4" t="s">
        <v>5552</v>
      </c>
      <c r="B4413" s="4" t="s">
        <v>5553</v>
      </c>
      <c r="C4413" s="5" t="str">
        <f>IFERROR(__xludf.DUMMYFUNCTION("GOOGLETRANSLATE(B4413,""en"",""de"")"),"Ein Mann spricht mit der Kamera, während eine große Gruppe von Menschen hinter ihm geht.")</f>
        <v>Ein Mann spricht mit der Kamera, während eine große Gruppe von Menschen hinter ihm geht.</v>
      </c>
    </row>
    <row r="4414">
      <c r="A4414" s="4" t="s">
        <v>5552</v>
      </c>
      <c r="B4414" s="4" t="s">
        <v>5554</v>
      </c>
      <c r="C4414" s="5" t="str">
        <f>IFERROR(__xludf.DUMMYFUNCTION("GOOGLETRANSLATE(B4414,""en"",""de"")"),"Anschließend werden mehrere Schüsse von Menschen gezeigt, die in einem Floß ein Rennen reiten, während einige ausfallen.")</f>
        <v>Anschließend werden mehrere Schüsse von Menschen gezeigt, die in einem Floß ein Rennen reiten, während einige ausfallen.</v>
      </c>
    </row>
    <row r="4415">
      <c r="A4415" s="4" t="s">
        <v>5552</v>
      </c>
      <c r="B4415" s="4" t="s">
        <v>5555</v>
      </c>
      <c r="C4415" s="5" t="str">
        <f>IFERROR(__xludf.DUMMYFUNCTION("GOOGLETRANSLATE(B4415,""en"",""de"")"),"Weitere Clips werden von Menschen gezeigt, die im Wasser reiten und herausfallen und zur Kamera schreien.")</f>
        <v>Weitere Clips werden von Menschen gezeigt, die im Wasser reiten und herausfallen und zur Kamera schreien.</v>
      </c>
    </row>
    <row r="4416">
      <c r="A4416" s="4" t="s">
        <v>5556</v>
      </c>
      <c r="B4416" s="4" t="s">
        <v>5557</v>
      </c>
      <c r="C4416" s="5" t="str">
        <f>IFERROR(__xludf.DUMMYFUNCTION("GOOGLETRANSLATE(B4416,""en"",""de"")"),"Eine Frau ist gesehen, wie er auf einen großen Fitnessstudio geht, während er einen Schlagstock hält und eine Pose schlägt.")</f>
        <v>Eine Frau ist gesehen, wie er auf einen großen Fitnessstudio geht, während er einen Schlagstock hält und eine Pose schlägt.</v>
      </c>
    </row>
    <row r="4417">
      <c r="A4417" s="4" t="s">
        <v>5556</v>
      </c>
      <c r="B4417" s="4" t="s">
        <v>5558</v>
      </c>
      <c r="C4417" s="5" t="str">
        <f>IFERROR(__xludf.DUMMYFUNCTION("GOOGLETRANSLATE(B4417,""en"",""de"")"),"Die Frau spielt dann eine Tanzroutine, wobei der Schlagstock sie in die Luft wirft und sich herumdreht.")</f>
        <v>Die Frau spielt dann eine Tanzroutine, wobei der Schlagstock sie in die Luft wirft und sich herumdreht.</v>
      </c>
    </row>
    <row r="4418">
      <c r="A4418" s="4" t="s">
        <v>5556</v>
      </c>
      <c r="B4418" s="4" t="s">
        <v>5559</v>
      </c>
      <c r="C4418" s="5" t="str">
        <f>IFERROR(__xludf.DUMMYFUNCTION("GOOGLETRANSLATE(B4418,""en"",""de"")"),"Sie dreht sich weiter und hält am Ende eine Pose und geht von den Richtern weg.")</f>
        <v>Sie dreht sich weiter und hält am Ende eine Pose und geht von den Richtern weg.</v>
      </c>
    </row>
    <row r="4419">
      <c r="A4419" s="4" t="s">
        <v>5560</v>
      </c>
      <c r="B4419" s="4" t="s">
        <v>5561</v>
      </c>
      <c r="C4419" s="5" t="str">
        <f>IFERROR(__xludf.DUMMYFUNCTION("GOOGLETRANSLATE(B4419,""en"",""de"")"),"Das Logo ""Thekssiny auf der Haut"" und ""Die Nummer 1, um keine Erkältung oder Grippe zu bekommen"" wird auf dem Bildschirm angezeigt.")</f>
        <v>Das Logo "Thekssiny auf der Haut" und "Die Nummer 1, um keine Erkältung oder Grippe zu bekommen" wird auf dem Bildschirm angezeigt.</v>
      </c>
    </row>
    <row r="4420">
      <c r="A4420" s="4" t="s">
        <v>5560</v>
      </c>
      <c r="B4420" s="4" t="s">
        <v>5562</v>
      </c>
      <c r="C4420" s="5" t="str">
        <f>IFERROR(__xludf.DUMMYFUNCTION("GOOGLETRANSLATE(B4420,""en"",""de"")"),"Dr. Lisa Kellett spricht in einem medizinischen Untersuchungsraum neben einem Waschbecken mit der Kamera.")</f>
        <v>Dr. Lisa Kellett spricht in einem medizinischen Untersuchungsraum neben einem Waschbecken mit der Kamera.</v>
      </c>
    </row>
    <row r="4421">
      <c r="A4421" s="4" t="s">
        <v>5560</v>
      </c>
      <c r="B4421" s="4" t="s">
        <v>5563</v>
      </c>
      <c r="C4421" s="5" t="str">
        <f>IFERROR(__xludf.DUMMYFUNCTION("GOOGLETRANSLATE(B4421,""en"",""de"")"),"Der Arzt demonstriert die Schritte, um Hände zu waschen, wie es Ärzte tun.")</f>
        <v>Der Arzt demonstriert die Schritte, um Hände zu waschen, wie es Ärzte tun.</v>
      </c>
    </row>
    <row r="4422">
      <c r="A4422" s="4" t="s">
        <v>5560</v>
      </c>
      <c r="B4422" s="4" t="s">
        <v>5564</v>
      </c>
      <c r="C4422" s="5" t="str">
        <f>IFERROR(__xludf.DUMMYFUNCTION("GOOGLETRANSLATE(B4422,""en"",""de"")"),"Das Logo und die Website -Adresse werden erneut auf dem Bildschirm angezeigt.")</f>
        <v>Das Logo und die Website -Adresse werden erneut auf dem Bildschirm angezeigt.</v>
      </c>
    </row>
    <row r="4423">
      <c r="A4423" s="4" t="s">
        <v>5565</v>
      </c>
      <c r="B4423" s="4" t="s">
        <v>5566</v>
      </c>
      <c r="C4423" s="5" t="str">
        <f>IFERROR(__xludf.DUMMYFUNCTION("GOOGLETRANSLATE(B4423,""en"",""de"")"),"Webseite und die Adressen des Unternehmens.")</f>
        <v>Webseite und die Adressen des Unternehmens.</v>
      </c>
    </row>
    <row r="4424">
      <c r="A4424" s="4" t="s">
        <v>5565</v>
      </c>
      <c r="B4424" s="4" t="s">
        <v>5567</v>
      </c>
      <c r="C4424" s="5" t="str">
        <f>IFERROR(__xludf.DUMMYFUNCTION("GOOGLETRANSLATE(B4424,""en"",""de"")"),"grüne Zeichen auf einem Pol.")</f>
        <v>grüne Zeichen auf einem Pol.</v>
      </c>
    </row>
    <row r="4425">
      <c r="A4425" s="4" t="s">
        <v>5565</v>
      </c>
      <c r="B4425" s="4" t="s">
        <v>5568</v>
      </c>
      <c r="C4425" s="5" t="str">
        <f>IFERROR(__xludf.DUMMYFUNCTION("GOOGLETRANSLATE(B4425,""en"",""de"")"),"Frau spricht in einem Autogeschäft telefoniert.")</f>
        <v>Frau spricht in einem Autogeschäft telefoniert.</v>
      </c>
    </row>
    <row r="4426">
      <c r="A4426" s="4" t="s">
        <v>5565</v>
      </c>
      <c r="B4426" s="4" t="s">
        <v>5569</v>
      </c>
      <c r="C4426" s="5" t="str">
        <f>IFERROR(__xludf.DUMMYFUNCTION("GOOGLETRANSLATE(B4426,""en"",""de"")"),"Der Mensch poliert ein schwarzes Auto, während die Leute zuschauen.")</f>
        <v>Der Mensch poliert ein schwarzes Auto, während die Leute zuschauen.</v>
      </c>
    </row>
    <row r="4427">
      <c r="A4427" s="4" t="s">
        <v>5565</v>
      </c>
      <c r="B4427" s="4" t="s">
        <v>5570</v>
      </c>
      <c r="C4427" s="5" t="str">
        <f>IFERROR(__xludf.DUMMYFUNCTION("GOOGLETRANSLATE(B4427,""en"",""de"")"),"Zwei Männer putzen das Auto von außen und innen.")</f>
        <v>Zwei Männer putzen das Auto von außen und innen.</v>
      </c>
    </row>
    <row r="4428">
      <c r="A4428" s="4" t="s">
        <v>5565</v>
      </c>
      <c r="B4428" s="4" t="s">
        <v>5571</v>
      </c>
      <c r="C4428" s="5" t="str">
        <f>IFERROR(__xludf.DUMMYFUNCTION("GOOGLETRANSLATE(B4428,""en"",""de"")"),"Drei Autos werden vor dem Laden geparkt.")</f>
        <v>Drei Autos werden vor dem Laden geparkt.</v>
      </c>
    </row>
    <row r="4429">
      <c r="A4429" s="4" t="s">
        <v>5572</v>
      </c>
      <c r="B4429" s="4" t="s">
        <v>5573</v>
      </c>
      <c r="C4429" s="5" t="str">
        <f>IFERROR(__xludf.DUMMYFUNCTION("GOOGLETRANSLATE(B4429,""en"",""de"")"),"Eine Person wird gesehen, wie sie auf einem Pferd herumfährt und ein Stück Seil in seinen Händen bewegt und viertes.")</f>
        <v>Eine Person wird gesehen, wie sie auf einem Pferd herumfährt und ein Stück Seil in seinen Händen bewegt und viertes.</v>
      </c>
    </row>
    <row r="4430">
      <c r="A4430" s="4" t="s">
        <v>5572</v>
      </c>
      <c r="B4430" s="4" t="s">
        <v>5574</v>
      </c>
      <c r="C4430" s="5" t="str">
        <f>IFERROR(__xludf.DUMMYFUNCTION("GOOGLETRANSLATE(B4430,""en"",""de"")"),"Der Mann unterstützt das Pferd ein wenig und nimmt dann ein Kalb nach und sucht ihn und binden ihn.")</f>
        <v>Der Mann unterstützt das Pferd ein wenig und nimmt dann ein Kalb nach und sucht ihn und binden ihn.</v>
      </c>
    </row>
    <row r="4431">
      <c r="A4431" s="4" t="s">
        <v>5572</v>
      </c>
      <c r="B4431" s="4" t="s">
        <v>5575</v>
      </c>
      <c r="C4431" s="5" t="str">
        <f>IFERROR(__xludf.DUMMYFUNCTION("GOOGLETRANSLATE(B4431,""en"",""de"")"),"Er wirft seine Hände in die Luft, während sich das Kalb bewegt und dann auf das Pferd zurückgiegt.")</f>
        <v>Er wirft seine Hände in die Luft, während sich das Kalb bewegt und dann auf das Pferd zurückgiegt.</v>
      </c>
    </row>
    <row r="4432">
      <c r="A4432" s="4" t="s">
        <v>5576</v>
      </c>
      <c r="B4432" s="4" t="s">
        <v>5577</v>
      </c>
      <c r="C4432" s="5" t="str">
        <f>IFERROR(__xludf.DUMMYFUNCTION("GOOGLETRANSLATE(B4432,""en"",""de"")"),"Dieser Mann versucht, den weißen Ball nach hinten auf den Billardtisch zu schießen.")</f>
        <v>Dieser Mann versucht, den weißen Ball nach hinten auf den Billardtisch zu schießen.</v>
      </c>
    </row>
    <row r="4433">
      <c r="A4433" s="4" t="s">
        <v>5576</v>
      </c>
      <c r="B4433" s="4" t="s">
        <v>5578</v>
      </c>
      <c r="C4433" s="5" t="str">
        <f>IFERROR(__xludf.DUMMYFUNCTION("GOOGLETRANSLATE(B4433,""en"",""de"")"),"Er versucht immer wieder, es rückwärts zu schießen, aber er kann einfach nicht, also beschloss er, es auf regelmäßige Weise zu tun und nach vorne zu schießen.")</f>
        <v>Er versucht immer wieder, es rückwärts zu schießen, aber er kann einfach nicht, also beschloss er, es auf regelmäßige Weise zu tun und nach vorne zu schießen.</v>
      </c>
    </row>
    <row r="4434">
      <c r="A4434" s="4" t="s">
        <v>5576</v>
      </c>
      <c r="B4434" s="4" t="s">
        <v>5579</v>
      </c>
      <c r="C4434" s="5" t="str">
        <f>IFERROR(__xludf.DUMMYFUNCTION("GOOGLETRANSLATE(B4434,""en"",""de"")"),"Wenn er es tut, legt er den Cue -Stock ab und geht weg.")</f>
        <v>Wenn er es tut, legt er den Cue -Stock ab und geht weg.</v>
      </c>
    </row>
    <row r="4435">
      <c r="A4435" s="4" t="s">
        <v>5580</v>
      </c>
      <c r="B4435" s="4" t="s">
        <v>5581</v>
      </c>
      <c r="C4435" s="5" t="str">
        <f>IFERROR(__xludf.DUMMYFUNCTION("GOOGLETRANSLATE(B4435,""en"",""de"")"),"Ein Mann steht in einem Feld und hält eine Axt.")</f>
        <v>Ein Mann steht in einem Feld und hält eine Axt.</v>
      </c>
    </row>
    <row r="4436">
      <c r="A4436" s="4" t="s">
        <v>5580</v>
      </c>
      <c r="B4436" s="4" t="s">
        <v>5582</v>
      </c>
      <c r="C4436" s="5" t="str">
        <f>IFERROR(__xludf.DUMMYFUNCTION("GOOGLETRANSLATE(B4436,""en"",""de"")"),"Der Mann hebt die Axt über seinem Kopf.")</f>
        <v>Der Mann hebt die Axt über seinem Kopf.</v>
      </c>
    </row>
    <row r="4437">
      <c r="A4437" s="4" t="s">
        <v>5580</v>
      </c>
      <c r="B4437" s="4" t="s">
        <v>5583</v>
      </c>
      <c r="C4437" s="5" t="str">
        <f>IFERROR(__xludf.DUMMYFUNCTION("GOOGLETRANSLATE(B4437,""en"",""de"")"),"Der Mann spaltet einen Holzstamm auf einen Stumpf.")</f>
        <v>Der Mann spaltet einen Holzstamm auf einen Stumpf.</v>
      </c>
    </row>
    <row r="4438">
      <c r="A4438" s="4" t="s">
        <v>5580</v>
      </c>
      <c r="B4438" s="4" t="s">
        <v>5584</v>
      </c>
      <c r="C4438" s="5" t="str">
        <f>IFERROR(__xludf.DUMMYFUNCTION("GOOGLETRANSLATE(B4438,""en"",""de"")"),"Der Mann steht dann aufrecht.")</f>
        <v>Der Mann steht dann aufrecht.</v>
      </c>
    </row>
    <row r="4439">
      <c r="A4439" s="4" t="s">
        <v>5585</v>
      </c>
      <c r="B4439" s="4" t="s">
        <v>5586</v>
      </c>
      <c r="C4439" s="5" t="str">
        <f>IFERROR(__xludf.DUMMYFUNCTION("GOOGLETRANSLATE(B4439,""en"",""de"")"),"Ein Auto fährt die Straße entlang, die in Menschen führt, die Straßen festziehen und Getränke greifen.")</f>
        <v>Ein Auto fährt die Straße entlang, die in Menschen führt, die Straßen festziehen und Getränke greifen.</v>
      </c>
    </row>
    <row r="4440">
      <c r="A4440" s="4" t="s">
        <v>5585</v>
      </c>
      <c r="B4440" s="4" t="s">
        <v>5587</v>
      </c>
      <c r="C4440" s="5" t="str">
        <f>IFERROR(__xludf.DUMMYFUNCTION("GOOGLETRANSLATE(B4440,""en"",""de"")"),"Es werden mehrere Clips gezeigt, von denen Menschen über das Seil gehen und darauf springen.")</f>
        <v>Es werden mehrere Clips gezeigt, von denen Menschen über das Seil gehen und darauf springen.</v>
      </c>
    </row>
    <row r="4441">
      <c r="A4441" s="4" t="s">
        <v>5585</v>
      </c>
      <c r="B4441" s="4" t="s">
        <v>5588</v>
      </c>
      <c r="C4441" s="5" t="str">
        <f>IFERROR(__xludf.DUMMYFUNCTION("GOOGLETRANSLATE(B4441,""en"",""de"")"),"Weitere Nahaufnahmen werden aus Gesichtern der Menschen sowie auf dem Seil stehen.")</f>
        <v>Weitere Nahaufnahmen werden aus Gesichtern der Menschen sowie auf dem Seil stehen.</v>
      </c>
    </row>
    <row r="4442">
      <c r="A4442" s="4" t="s">
        <v>5589</v>
      </c>
      <c r="B4442" s="4" t="s">
        <v>5590</v>
      </c>
      <c r="C4442" s="5" t="str">
        <f>IFERROR(__xludf.DUMMYFUNCTION("GOOGLETRANSLATE(B4442,""en"",""de"")"),"Ein Mann wird gesehen, der sich beugt, während er einen Schuh abhebt, um seine Füße abzuwischen, und zieht den Schuh wieder an.")</f>
        <v>Ein Mann wird gesehen, der sich beugt, während er einen Schuh abhebt, um seine Füße abzuwischen, und zieht den Schuh wieder an.</v>
      </c>
    </row>
    <row r="4443">
      <c r="A4443" s="4" t="s">
        <v>5589</v>
      </c>
      <c r="B4443" s="4" t="s">
        <v>5591</v>
      </c>
      <c r="C4443" s="5" t="str">
        <f>IFERROR(__xludf.DUMMYFUNCTION("GOOGLETRANSLATE(B4443,""en"",""de"")"),"Er tut dies mit seinem anderen Fuß und geht dann entlang der Felsen entlang, während ein Mann ihn und andere aufzeichnet.")</f>
        <v>Er tut dies mit seinem anderen Fuß und geht dann entlang der Felsen entlang, während ein Mann ihn und andere aufzeichnet.</v>
      </c>
    </row>
    <row r="4444">
      <c r="A4444" s="4" t="s">
        <v>5592</v>
      </c>
      <c r="B4444" s="4" t="s">
        <v>5593</v>
      </c>
      <c r="C4444" s="5" t="str">
        <f>IFERROR(__xludf.DUMMYFUNCTION("GOOGLETRANSLATE(B4444,""en"",""de"")"),"Ein blondes Mädchen befindet sich in einem Wohnheim, lächelt und redet, während er eine Geige vor sich hält.")</f>
        <v>Ein blondes Mädchen befindet sich in einem Wohnheim, lächelt und redet, während er eine Geige vor sich hält.</v>
      </c>
    </row>
    <row r="4445">
      <c r="A4445" s="4" t="s">
        <v>5592</v>
      </c>
      <c r="B4445" s="4" t="s">
        <v>5594</v>
      </c>
      <c r="C4445" s="5" t="str">
        <f>IFERROR(__xludf.DUMMYFUNCTION("GOOGLETRANSLATE(B4445,""en"",""de"")"),"Das Mädchen hört kurz auf zu reden und gibt dann die Geige an das Kinn, während sie spricht und dann anfängt zu spielen, indem sie die Geige über die Saiten zieht.")</f>
        <v>Das Mädchen hört kurz auf zu reden und gibt dann die Geige an das Kinn, während sie spricht und dann anfängt zu spielen, indem sie die Geige über die Saiten zieht.</v>
      </c>
    </row>
    <row r="4446">
      <c r="A4446" s="4" t="s">
        <v>5592</v>
      </c>
      <c r="B4446" s="4" t="s">
        <v>5595</v>
      </c>
      <c r="C4446" s="5" t="str">
        <f>IFERROR(__xludf.DUMMYFUNCTION("GOOGLETRANSLATE(B4446,""en"",""de"")"),"Das Mädchen hört auf, die Geige über die Saiten zu ziehen und kommt näher an die Kamera, um zu sprechen, und nimmt dann wieder auf, die Geige über die Saiten zu bewegen.")</f>
        <v>Das Mädchen hört auf, die Geige über die Saiten zu ziehen und kommt näher an die Kamera, um zu sprechen, und nimmt dann wieder auf, die Geige über die Saiten zu bewegen.</v>
      </c>
    </row>
    <row r="4447">
      <c r="A4447" s="4" t="s">
        <v>5592</v>
      </c>
      <c r="B4447" s="4" t="s">
        <v>5596</v>
      </c>
      <c r="C4447" s="5" t="str">
        <f>IFERROR(__xludf.DUMMYFUNCTION("GOOGLETRANSLATE(B4447,""en"",""de"")"),"Das Mädchen zeichnet sich dann zurück und wendet sich um ihre linke Seite zu zeigen, als sie die Geige über die Geigenbahnen bewegt, und dann bewegt sie sich wieder nach vorne und geht näher an die Kamera und spielt mehr.")</f>
        <v>Das Mädchen zeichnet sich dann zurück und wendet sich um ihre linke Seite zu zeigen, als sie die Geige über die Geigenbahnen bewegt, und dann bewegt sie sich wieder nach vorne und geht näher an die Kamera und spielt mehr.</v>
      </c>
    </row>
    <row r="4448">
      <c r="A4448" s="4" t="s">
        <v>5592</v>
      </c>
      <c r="B4448" s="4" t="s">
        <v>5597</v>
      </c>
      <c r="C4448" s="5" t="str">
        <f>IFERROR(__xludf.DUMMYFUNCTION("GOOGLETRANSLATE(B4448,""en"",""de"")"),"Das Mädchen hört auf zu spielen und zieht die Geige von ihrem Kinn weg.")</f>
        <v>Das Mädchen hört auf zu spielen und zieht die Geige von ihrem Kinn weg.</v>
      </c>
    </row>
    <row r="4449">
      <c r="A4449" s="4" t="s">
        <v>5598</v>
      </c>
      <c r="B4449" s="4" t="s">
        <v>5599</v>
      </c>
      <c r="C4449" s="5" t="str">
        <f>IFERROR(__xludf.DUMMYFUNCTION("GOOGLETRANSLATE(B4449,""en"",""de"")"),"Ein Mann, der Tauchausrüstung trägt, geht am Rand eines Schwimmbades entlang.")</f>
        <v>Ein Mann, der Tauchausrüstung trägt, geht am Rand eines Schwimmbades entlang.</v>
      </c>
    </row>
    <row r="4450">
      <c r="A4450" s="4" t="s">
        <v>5598</v>
      </c>
      <c r="B4450" s="4" t="s">
        <v>5600</v>
      </c>
      <c r="C4450" s="5" t="str">
        <f>IFERROR(__xludf.DUMMYFUNCTION("GOOGLETRANSLATE(B4450,""en"",""de"")"),"Der Mann beginnt mit der Kamera zu sprechen und zeigt die Kamera verschiedene Gegenstände.")</f>
        <v>Der Mann beginnt mit der Kamera zu sprechen und zeigt die Kamera verschiedene Gegenstände.</v>
      </c>
    </row>
    <row r="4451">
      <c r="A4451" s="4" t="s">
        <v>5598</v>
      </c>
      <c r="B4451" s="4" t="s">
        <v>5601</v>
      </c>
      <c r="C4451" s="5" t="str">
        <f>IFERROR(__xludf.DUMMYFUNCTION("GOOGLETRANSLATE(B4451,""en"",""de"")"),"Die Kamera zeigt den Schwimmbad.")</f>
        <v>Die Kamera zeigt den Schwimmbad.</v>
      </c>
    </row>
    <row r="4452">
      <c r="A4452" s="4" t="s">
        <v>5598</v>
      </c>
      <c r="B4452" s="4" t="s">
        <v>5602</v>
      </c>
      <c r="C4452" s="5" t="str">
        <f>IFERROR(__xludf.DUMMYFUNCTION("GOOGLETRANSLATE(B4452,""en"",""de"")"),"Ein Werkzeug- und Luftkompressor wird gezeigt.")</f>
        <v>Ein Werkzeug- und Luftkompressor wird gezeigt.</v>
      </c>
    </row>
    <row r="4453">
      <c r="A4453" s="4" t="s">
        <v>5598</v>
      </c>
      <c r="B4453" s="4" t="s">
        <v>5603</v>
      </c>
      <c r="C4453" s="5" t="str">
        <f>IFERROR(__xludf.DUMMYFUNCTION("GOOGLETRANSLATE(B4453,""en"",""de"")"),"Der Mann betritt den Schwimmbad und legt eine Abdeckung auf den Abfluss, während sie im Tauchgang unter Wasser ist.")</f>
        <v>Der Mann betritt den Schwimmbad und legt eine Abdeckung auf den Abfluss, während sie im Tauchgang unter Wasser ist.</v>
      </c>
    </row>
    <row r="4454">
      <c r="A4454" s="4" t="s">
        <v>5598</v>
      </c>
      <c r="B4454" s="4" t="s">
        <v>5604</v>
      </c>
      <c r="C4454" s="5" t="str">
        <f>IFERROR(__xludf.DUMMYFUNCTION("GOOGLETRANSLATE(B4454,""en"",""de"")"),"Der Mann gibt einen Daumen hoch.")</f>
        <v>Der Mann gibt einen Daumen hoch.</v>
      </c>
    </row>
    <row r="4455">
      <c r="A4455" s="4" t="s">
        <v>5598</v>
      </c>
      <c r="B4455" s="4" t="s">
        <v>5605</v>
      </c>
      <c r="C4455" s="5" t="str">
        <f>IFERROR(__xludf.DUMMYFUNCTION("GOOGLETRANSLATE(B4455,""en"",""de"")"),"Der Mann zeigt die Blasen, die das Werkzeug unter Wasser macht, während er seinen Kopf bewegt.")</f>
        <v>Der Mann zeigt die Blasen, die das Werkzeug unter Wasser macht, während er seinen Kopf bewegt.</v>
      </c>
    </row>
    <row r="4456">
      <c r="A4456" s="4" t="s">
        <v>5606</v>
      </c>
      <c r="B4456" s="4" t="s">
        <v>5607</v>
      </c>
      <c r="C4456" s="5" t="str">
        <f>IFERROR(__xludf.DUMMYFUNCTION("GOOGLETRANSLATE(B4456,""en"",""de"")"),"Zwei Slizes Brot, ein Teller und zwei Käsescheiben sind auf der Theke.")</f>
        <v>Zwei Slizes Brot, ein Teller und zwei Käsescheiben sind auf der Theke.</v>
      </c>
    </row>
    <row r="4457">
      <c r="A4457" s="4" t="s">
        <v>5606</v>
      </c>
      <c r="B4457" s="4" t="s">
        <v>5608</v>
      </c>
      <c r="C4457" s="5" t="str">
        <f>IFERROR(__xludf.DUMMYFUNCTION("GOOGLETRANSLATE(B4457,""en"",""de"")"),"Die Person nimmt dann eine Scheibe, verbreitet die Butter darüber und legt zwei Käsescheiben darauf und fügt die andere Scheibe darüber hinzu.")</f>
        <v>Die Person nimmt dann eine Scheibe, verbreitet die Butter darüber und legt zwei Käsescheiben darauf und fügt die andere Scheibe darüber hinzu.</v>
      </c>
    </row>
    <row r="4458">
      <c r="A4458" s="4" t="s">
        <v>5606</v>
      </c>
      <c r="B4458" s="4" t="s">
        <v>5609</v>
      </c>
      <c r="C4458" s="5" t="str">
        <f>IFERROR(__xludf.DUMMYFUNCTION("GOOGLETRANSLATE(B4458,""en"",""de"")"),"Das Sandwich hat jetzt Butter auf beiden Seiten und das Sandwich befindet sich in eine Pfanne und ist gebraten.")</f>
        <v>Das Sandwich hat jetzt Butter auf beiden Seiten und das Sandwich befindet sich in eine Pfanne und ist gebraten.</v>
      </c>
    </row>
    <row r="4459">
      <c r="A4459" s="4" t="s">
        <v>5606</v>
      </c>
      <c r="B4459" s="4" t="s">
        <v>5610</v>
      </c>
      <c r="C4459" s="5" t="str">
        <f>IFERROR(__xludf.DUMMYFUNCTION("GOOGLETRANSLATE(B4459,""en"",""de"")"),"Sobald es fertig ist, wird es auf eine rote Platte gelegt und mit einem dicken Messer in zwei Hälften geschnitten.")</f>
        <v>Sobald es fertig ist, wird es auf eine rote Platte gelegt und mit einem dicken Messer in zwei Hälften geschnitten.</v>
      </c>
    </row>
    <row r="4460">
      <c r="A4460" s="4" t="s">
        <v>5611</v>
      </c>
      <c r="B4460" s="4" t="s">
        <v>5612</v>
      </c>
      <c r="C4460" s="5" t="str">
        <f>IFERROR(__xludf.DUMMYFUNCTION("GOOGLETRANSLATE(B4460,""en"",""de"")"),"Ein Mann hält einen großen Behälter sowie mehrere Menschen um ihn herum, die Blätter versammeln.")</f>
        <v>Ein Mann hält einen großen Behälter sowie mehrere Menschen um ihn herum, die Blätter versammeln.</v>
      </c>
    </row>
    <row r="4461">
      <c r="A4461" s="4" t="s">
        <v>5611</v>
      </c>
      <c r="B4461" s="4" t="s">
        <v>5613</v>
      </c>
      <c r="C4461" s="5" t="str">
        <f>IFERROR(__xludf.DUMMYFUNCTION("GOOGLETRANSLATE(B4461,""en"",""de"")"),"Es werden mehr Menschen gezeigt, die durch Kratzerblätter herumlaufen, während eine Frau mit der Menge spricht und sie dazu inspiriert, mehr zu arbeiten.")</f>
        <v>Es werden mehr Menschen gezeigt, die durch Kratzerblätter herumlaufen, während eine Frau mit der Menge spricht und sie dazu inspiriert, mehr zu arbeiten.</v>
      </c>
    </row>
    <row r="4462">
      <c r="A4462" s="4" t="s">
        <v>5611</v>
      </c>
      <c r="B4462" s="4" t="s">
        <v>5614</v>
      </c>
      <c r="C4462" s="5" t="str">
        <f>IFERROR(__xludf.DUMMYFUNCTION("GOOGLETRANSLATE(B4462,""en"",""de"")"),"Die Menschen arbeiten weiter und die Sonne scheint auf einen Baum.")</f>
        <v>Die Menschen arbeiten weiter und die Sonne scheint auf einen Baum.</v>
      </c>
    </row>
    <row r="4463">
      <c r="A4463" s="4" t="s">
        <v>5615</v>
      </c>
      <c r="B4463" s="4" t="s">
        <v>5616</v>
      </c>
      <c r="C4463" s="5" t="str">
        <f>IFERROR(__xludf.DUMMYFUNCTION("GOOGLETRANSLATE(B4463,""en"",""de"")"),"Zwei Menschen stehen draußen auf einer Matte.")</f>
        <v>Zwei Menschen stehen draußen auf einer Matte.</v>
      </c>
    </row>
    <row r="4464">
      <c r="A4464" s="4" t="s">
        <v>5615</v>
      </c>
      <c r="B4464" s="4" t="s">
        <v>5617</v>
      </c>
      <c r="C4464" s="5" t="str">
        <f>IFERROR(__xludf.DUMMYFUNCTION("GOOGLETRANSLATE(B4464,""en"",""de"")"),"Eine Person greift dann die andere Person an den Beinen.")</f>
        <v>Eine Person greift dann die andere Person an den Beinen.</v>
      </c>
    </row>
    <row r="4465">
      <c r="A4465" s="4" t="s">
        <v>5615</v>
      </c>
      <c r="B4465" s="4" t="s">
        <v>5618</v>
      </c>
      <c r="C4465" s="5" t="str">
        <f>IFERROR(__xludf.DUMMYFUNCTION("GOOGLETRANSLATE(B4465,""en"",""de"")"),"Die Männer drehen sich dann gegenseitig auf den Boden.")</f>
        <v>Die Männer drehen sich dann gegenseitig auf den Boden.</v>
      </c>
    </row>
    <row r="4466">
      <c r="A4466" s="4" t="s">
        <v>5619</v>
      </c>
      <c r="B4466" s="4" t="s">
        <v>5620</v>
      </c>
      <c r="C4466" s="5" t="str">
        <f>IFERROR(__xludf.DUMMYFUNCTION("GOOGLETRANSLATE(B4466,""en"",""de"")"),"Die Leute spielen ein Lacrosse -Spiel auf ein Feld.")</f>
        <v>Die Leute spielen ein Lacrosse -Spiel auf ein Feld.</v>
      </c>
    </row>
    <row r="4467">
      <c r="A4467" s="4" t="s">
        <v>5619</v>
      </c>
      <c r="B4467" s="4" t="s">
        <v>5621</v>
      </c>
      <c r="C4467" s="5" t="str">
        <f>IFERROR(__xludf.DUMMYFUNCTION("GOOGLETRANSLATE(B4467,""en"",""de"")"),"Eine Frau spricht in einem Fitnessstudio mit der Kamera.")</f>
        <v>Eine Frau spricht in einem Fitnessstudio mit der Kamera.</v>
      </c>
    </row>
    <row r="4468">
      <c r="A4468" s="4" t="s">
        <v>5619</v>
      </c>
      <c r="B4468" s="4" t="s">
        <v>5622</v>
      </c>
      <c r="C4468" s="5" t="str">
        <f>IFERROR(__xludf.DUMMYFUNCTION("GOOGLETRANSLATE(B4468,""en"",""de"")"),"Ein Zug fährt auf den Gleisen.")</f>
        <v>Ein Zug fährt auf den Gleisen.</v>
      </c>
    </row>
    <row r="4469">
      <c r="A4469" s="4" t="s">
        <v>5619</v>
      </c>
      <c r="B4469" s="4" t="s">
        <v>5623</v>
      </c>
      <c r="C4469" s="5" t="str">
        <f>IFERROR(__xludf.DUMMYFUNCTION("GOOGLETRANSLATE(B4469,""en"",""de"")"),"Sie spielen weiterhin Lacrosse auf einem Feld.")</f>
        <v>Sie spielen weiterhin Lacrosse auf einem Feld.</v>
      </c>
    </row>
    <row r="4470">
      <c r="A4470" s="4" t="s">
        <v>5624</v>
      </c>
      <c r="B4470" s="4" t="s">
        <v>5625</v>
      </c>
      <c r="C4470" s="5" t="str">
        <f>IFERROR(__xludf.DUMMYFUNCTION("GOOGLETRANSLATE(B4470,""en"",""de"")"),"Die Person schwimmt unter dem Meer.")</f>
        <v>Die Person schwimmt unter dem Meer.</v>
      </c>
    </row>
    <row r="4471">
      <c r="A4471" s="4" t="s">
        <v>5624</v>
      </c>
      <c r="B4471" s="4" t="s">
        <v>5626</v>
      </c>
      <c r="C4471" s="5" t="str">
        <f>IFERROR(__xludf.DUMMYFUNCTION("GOOGLETRANSLATE(B4471,""en"",""de"")"),"Die Frau schwimmt nach vorne, sie sah in die Kamera.")</f>
        <v>Die Frau schwimmt nach vorne, sie sah in die Kamera.</v>
      </c>
    </row>
    <row r="4472">
      <c r="A4472" s="4" t="s">
        <v>5624</v>
      </c>
      <c r="B4472" s="4" t="s">
        <v>5627</v>
      </c>
      <c r="C4472" s="5" t="str">
        <f>IFERROR(__xludf.DUMMYFUNCTION("GOOGLETRANSLATE(B4472,""en"",""de"")"),"Die Frau schüttelt den Kopf, während sie hinter sich ist, ein weiterer Taucher schwimmt.")</f>
        <v>Die Frau schüttelt den Kopf, während sie hinter sich ist, ein weiterer Taucher schwimmt.</v>
      </c>
    </row>
    <row r="4473">
      <c r="A4473" s="4" t="s">
        <v>5628</v>
      </c>
      <c r="B4473" s="4" t="s">
        <v>5629</v>
      </c>
      <c r="C4473" s="5" t="str">
        <f>IFERROR(__xludf.DUMMYFUNCTION("GOOGLETRANSLATE(B4473,""en"",""de"")"),"An einem schwarzen Jacktisch werden ein Paar Hände angezeigt.")</f>
        <v>An einem schwarzen Jacktisch werden ein Paar Hände angezeigt.</v>
      </c>
    </row>
    <row r="4474">
      <c r="A4474" s="4" t="s">
        <v>5628</v>
      </c>
      <c r="B4474" s="4" t="s">
        <v>5630</v>
      </c>
      <c r="C4474" s="5" t="str">
        <f>IFERROR(__xludf.DUMMYFUNCTION("GOOGLETRANSLATE(B4474,""en"",""de"")"),"Eine Frau bewirbt die Karten und Chips.")</f>
        <v>Eine Frau bewirbt die Karten und Chips.</v>
      </c>
    </row>
    <row r="4475">
      <c r="A4475" s="4" t="s">
        <v>5628</v>
      </c>
      <c r="B4475" s="4" t="s">
        <v>5631</v>
      </c>
      <c r="C4475" s="5" t="str">
        <f>IFERROR(__xludf.DUMMYFUNCTION("GOOGLETRANSLATE(B4475,""en"",""de"")"),"Die Chips werden am Ende in einem Stapel gezeigt.")</f>
        <v>Die Chips werden am Ende in einem Stapel gezeigt.</v>
      </c>
    </row>
    <row r="4476">
      <c r="A4476" s="4" t="s">
        <v>5632</v>
      </c>
      <c r="B4476" s="4" t="s">
        <v>5633</v>
      </c>
      <c r="C4476" s="5" t="str">
        <f>IFERROR(__xludf.DUMMYFUNCTION("GOOGLETRANSLATE(B4476,""en"",""de"")"),"Mehrere Mannschaften von Menschen spielen miteinander ein Kriegsspiel miteinander, wobei die Leute an den Seiten zuschauen.")</f>
        <v>Mehrere Mannschaften von Menschen spielen miteinander ein Kriegsspiel miteinander, wobei die Leute an den Seiten zuschauen.</v>
      </c>
    </row>
    <row r="4477">
      <c r="A4477" s="4" t="s">
        <v>5632</v>
      </c>
      <c r="B4477" s="4" t="s">
        <v>5634</v>
      </c>
      <c r="C4477" s="5" t="str">
        <f>IFERROR(__xludf.DUMMYFUNCTION("GOOGLETRANSLATE(B4477,""en"",""de"")"),"Die Leute konkurrieren weiter miteinander und endet mit einem Team, das gewinnt.")</f>
        <v>Die Leute konkurrieren weiter miteinander und endet mit einem Team, das gewinnt.</v>
      </c>
    </row>
    <row r="4478">
      <c r="A4478" s="4" t="s">
        <v>5635</v>
      </c>
      <c r="B4478" s="4" t="s">
        <v>5636</v>
      </c>
      <c r="C4478" s="5" t="str">
        <f>IFERROR(__xludf.DUMMYFUNCTION("GOOGLETRANSLATE(B4478,""en"",""de"")"),"Ein alter Mann in schwarzem Hemd und Augenbrillen sitzt auf einem grünen Tisch, vor ihm stehen Buch, Chips mit unterschiedlichen Farben und Stapel Karten.")</f>
        <v>Ein alter Mann in schwarzem Hemd und Augenbrillen sitzt auf einem grünen Tisch, vor ihm stehen Buch, Chips mit unterschiedlichen Farben und Stapel Karten.</v>
      </c>
    </row>
    <row r="4479">
      <c r="A4479" s="4" t="s">
        <v>5635</v>
      </c>
      <c r="B4479" s="4" t="s">
        <v>5637</v>
      </c>
      <c r="C4479" s="5" t="str">
        <f>IFERROR(__xludf.DUMMYFUNCTION("GOOGLETRANSLATE(B4479,""en"",""de"")"),"Er legte die Karten auf den Tisch auf den gelben Sternen auf dem Tisch und arrangiert die Karten auf horizontale Weise.")</f>
        <v>Er legte die Karten auf den Tisch auf den gelben Sternen auf dem Tisch und arrangiert die Karten auf horizontale Weise.</v>
      </c>
    </row>
    <row r="4480">
      <c r="A4480" s="4" t="s">
        <v>5638</v>
      </c>
      <c r="B4480" s="4" t="s">
        <v>5639</v>
      </c>
      <c r="C4480" s="5" t="str">
        <f>IFERROR(__xludf.DUMMYFUNCTION("GOOGLETRANSLATE(B4480,""en"",""de"")"),"Die Frau wird gezeigt, wie zwei verschiedene Lebensmittel auf den Teller entleert werden, um einen Obstsalat zu machen.")</f>
        <v>Die Frau wird gezeigt, wie zwei verschiedene Lebensmittel auf den Teller entleert werden, um einen Obstsalat zu machen.</v>
      </c>
    </row>
    <row r="4481">
      <c r="A4481" s="4" t="s">
        <v>5638</v>
      </c>
      <c r="B4481" s="4" t="s">
        <v>5640</v>
      </c>
      <c r="C4481" s="5" t="str">
        <f>IFERROR(__xludf.DUMMYFUNCTION("GOOGLETRANSLATE(B4481,""en"",""de"")"),"Sie berührt die Erdbeeren und Äpfel.")</f>
        <v>Sie berührt die Erdbeeren und Äpfel.</v>
      </c>
    </row>
    <row r="4482">
      <c r="A4482" s="4" t="s">
        <v>5638</v>
      </c>
      <c r="B4482" s="4" t="s">
        <v>5641</v>
      </c>
      <c r="C4482" s="5" t="str">
        <f>IFERROR(__xludf.DUMMYFUNCTION("GOOGLETRANSLATE(B4482,""en"",""de"")"),"Dann streut sie kleine Beeren auf die anderen Früchte.")</f>
        <v>Dann streut sie kleine Beeren auf die anderen Früchte.</v>
      </c>
    </row>
    <row r="4483">
      <c r="A4483" s="4" t="s">
        <v>5642</v>
      </c>
      <c r="B4483" s="4" t="s">
        <v>5643</v>
      </c>
      <c r="C4483" s="5" t="str">
        <f>IFERROR(__xludf.DUMMYFUNCTION("GOOGLETRANSLATE(B4483,""en"",""de"")"),"Ein Mann kniet auf einer roten Yogamatte.")</f>
        <v>Ein Mann kniet auf einer roten Yogamatte.</v>
      </c>
    </row>
    <row r="4484">
      <c r="A4484" s="4" t="s">
        <v>5642</v>
      </c>
      <c r="B4484" s="4" t="s">
        <v>5644</v>
      </c>
      <c r="C4484" s="5" t="str">
        <f>IFERROR(__xludf.DUMMYFUNCTION("GOOGLETRANSLATE(B4484,""en"",""de"")"),"Der Trainer, der neben ihm steht, sorgt dafür, dass er während des Kniens auf und ab geht und er hält den Rücken, um die Muskelbewegung zu spüren.")</f>
        <v>Der Trainer, der neben ihm steht, sorgt dafür, dass er während des Kniens auf und ab geht und er hält den Rücken, um die Muskelbewegung zu spüren.</v>
      </c>
    </row>
    <row r="4485">
      <c r="A4485" s="4" t="s">
        <v>5645</v>
      </c>
      <c r="B4485" s="4" t="s">
        <v>5646</v>
      </c>
      <c r="C4485" s="5" t="str">
        <f>IFERROR(__xludf.DUMMYFUNCTION("GOOGLETRANSLATE(B4485,""en"",""de"")"),"Ein Typ steht draußen, Gesten und Gespräche.")</f>
        <v>Ein Typ steht draußen, Gesten und Gespräche.</v>
      </c>
    </row>
    <row r="4486">
      <c r="A4486" s="4" t="s">
        <v>5645</v>
      </c>
      <c r="B4486" s="4" t="s">
        <v>5647</v>
      </c>
      <c r="C4486" s="5" t="str">
        <f>IFERROR(__xludf.DUMMYFUNCTION("GOOGLETRANSLATE(B4486,""en"",""de"")"),"Ein Mann steigt aus dem Wasser auf, beginnt mit Wasser einsteigen und flippt.")</f>
        <v>Ein Mann steigt aus dem Wasser auf, beginnt mit Wasser einsteigen und flippt.</v>
      </c>
    </row>
    <row r="4487">
      <c r="A4487" s="4" t="s">
        <v>5645</v>
      </c>
      <c r="B4487" s="4" t="s">
        <v>5648</v>
      </c>
      <c r="C4487" s="5" t="str">
        <f>IFERROR(__xludf.DUMMYFUNCTION("GOOGLETRANSLATE(B4487,""en"",""de"")"),"Ein Wasserfahrzeug zieht einen Mann mit einem Seil.")</f>
        <v>Ein Wasserfahrzeug zieht einen Mann mit einem Seil.</v>
      </c>
    </row>
    <row r="4488">
      <c r="A4488" s="4" t="s">
        <v>5645</v>
      </c>
      <c r="B4488" s="4" t="s">
        <v>5649</v>
      </c>
      <c r="C4488" s="5" t="str">
        <f>IFERROR(__xludf.DUMMYFUNCTION("GOOGLETRANSLATE(B4488,""en"",""de"")"),"Der Typ beginnt zu gehen, nachdem er den letzten Punkt gemacht hat.")</f>
        <v>Der Typ beginnt zu gehen, nachdem er den letzten Punkt gemacht hat.</v>
      </c>
    </row>
    <row r="4489">
      <c r="A4489" s="4" t="s">
        <v>5650</v>
      </c>
      <c r="B4489" s="4" t="s">
        <v>5651</v>
      </c>
      <c r="C4489" s="5" t="str">
        <f>IFERROR(__xludf.DUMMYFUNCTION("GOOGLETRANSLATE(B4489,""en"",""de"")"),"Ein Mann spielt ein Instrument, während ein anderer im Hintergrund beobachtet.")</f>
        <v>Ein Mann spielt ein Instrument, während ein anderer im Hintergrund beobachtet.</v>
      </c>
    </row>
    <row r="4490">
      <c r="A4490" s="4" t="s">
        <v>5650</v>
      </c>
      <c r="B4490" s="4" t="s">
        <v>5652</v>
      </c>
      <c r="C4490" s="5" t="str">
        <f>IFERROR(__xludf.DUMMYFUNCTION("GOOGLETRANSLATE(B4490,""en"",""de"")"),"Er hält eine Pause, um mit einer großen Gruppe von Jungen zu sprechen, und spielt weiter im Instrument, wobei der Wind in ihren Rauch bläst.")</f>
        <v>Er hält eine Pause, um mit einer großen Gruppe von Jungen zu sprechen, und spielt weiter im Instrument, wobei der Wind in ihren Rauch bläst.</v>
      </c>
    </row>
    <row r="4491">
      <c r="A4491" s="4" t="s">
        <v>5650</v>
      </c>
      <c r="B4491" s="4" t="s">
        <v>5653</v>
      </c>
      <c r="C4491" s="5" t="str">
        <f>IFERROR(__xludf.DUMMYFUNCTION("GOOGLETRANSLATE(B4491,""en"",""de"")"),"Die Jungs sehen erstaunt zu und beugen sich eng an einen anderen Jungen.")</f>
        <v>Die Jungs sehen erstaunt zu und beugen sich eng an einen anderen Jungen.</v>
      </c>
    </row>
    <row r="4492">
      <c r="A4492" s="4" t="s">
        <v>5654</v>
      </c>
      <c r="B4492" s="4" t="s">
        <v>5655</v>
      </c>
      <c r="C4492" s="5" t="str">
        <f>IFERROR(__xludf.DUMMYFUNCTION("GOOGLETRANSLATE(B4492,""en"",""de"")"),"Die Leute spielen ein Tag des Kriegsspiels.")</f>
        <v>Die Leute spielen ein Tag des Kriegsspiels.</v>
      </c>
    </row>
    <row r="4493">
      <c r="A4493" s="4" t="s">
        <v>5654</v>
      </c>
      <c r="B4493" s="4" t="s">
        <v>5656</v>
      </c>
      <c r="C4493" s="5" t="str">
        <f>IFERROR(__xludf.DUMMYFUNCTION("GOOGLETRANSLATE(B4493,""en"",""de"")"),"Kinder winken ihre Teamkollegen an.")</f>
        <v>Kinder winken ihre Teamkollegen an.</v>
      </c>
    </row>
    <row r="4494">
      <c r="A4494" s="4" t="s">
        <v>5654</v>
      </c>
      <c r="B4494" s="4" t="s">
        <v>5657</v>
      </c>
      <c r="C4494" s="5" t="str">
        <f>IFERROR(__xludf.DUMMYFUNCTION("GOOGLETRANSLATE(B4494,""en"",""de"")"),"Die Kinder ziehen die Erwachsenen an ihre Seite, die rechte Seite.")</f>
        <v>Die Kinder ziehen die Erwachsenen an ihre Seite, die rechte Seite.</v>
      </c>
    </row>
    <row r="4495">
      <c r="A4495" s="4" t="s">
        <v>5654</v>
      </c>
      <c r="B4495" s="4" t="s">
        <v>5658</v>
      </c>
      <c r="C4495" s="5" t="str">
        <f>IFERROR(__xludf.DUMMYFUNCTION("GOOGLETRANSLATE(B4495,""en"",""de"")"),"Die Kinder ließen das Seil los, springen auf und ab und jubeln.")</f>
        <v>Die Kinder ließen das Seil los, springen auf und ab und jubeln.</v>
      </c>
    </row>
    <row r="4496">
      <c r="A4496" s="4" t="s">
        <v>5659</v>
      </c>
      <c r="B4496" s="4" t="s">
        <v>5660</v>
      </c>
      <c r="C4496" s="5" t="str">
        <f>IFERROR(__xludf.DUMMYFUNCTION("GOOGLETRANSLATE(B4496,""en"",""de"")"),"Ein männlicher Turner geht zu den parallelen Bars und nutzt ein Frühlingsbrett, um aufzuspringen.")</f>
        <v>Ein männlicher Turner geht zu den parallelen Bars und nutzt ein Frühlingsbrett, um aufzuspringen.</v>
      </c>
    </row>
    <row r="4497">
      <c r="A4497" s="4" t="s">
        <v>5659</v>
      </c>
      <c r="B4497" s="4" t="s">
        <v>5661</v>
      </c>
      <c r="C4497" s="5" t="str">
        <f>IFERROR(__xludf.DUMMYFUNCTION("GOOGLETRANSLATE(B4497,""en"",""de"")"),"Ein anderer Mann zieht das Frühlingsbrett aus dem Weg.")</f>
        <v>Ein anderer Mann zieht das Frühlingsbrett aus dem Weg.</v>
      </c>
    </row>
    <row r="4498">
      <c r="A4498" s="4" t="s">
        <v>5659</v>
      </c>
      <c r="B4498" s="4" t="s">
        <v>5662</v>
      </c>
      <c r="C4498" s="5" t="str">
        <f>IFERROR(__xludf.DUMMYFUNCTION("GOOGLETRANSLATE(B4498,""en"",""de"")"),"Eine große Menge schaut von den Tribünen im Fitnessstudio.")</f>
        <v>Eine große Menge schaut von den Tribünen im Fitnessstudio.</v>
      </c>
    </row>
    <row r="4499">
      <c r="A4499" s="4" t="s">
        <v>5659</v>
      </c>
      <c r="B4499" s="4" t="s">
        <v>5663</v>
      </c>
      <c r="C4499" s="5" t="str">
        <f>IFERROR(__xludf.DUMMYFUNCTION("GOOGLETRANSLATE(B4499,""en"",""de"")"),"Der Turner macht eine parallele Bar Routine.")</f>
        <v>Der Turner macht eine parallele Bar Routine.</v>
      </c>
    </row>
    <row r="4500">
      <c r="A4500" s="4" t="s">
        <v>5659</v>
      </c>
      <c r="B4500" s="4" t="s">
        <v>5664</v>
      </c>
      <c r="C4500" s="5" t="str">
        <f>IFERROR(__xludf.DUMMYFUNCTION("GOOGLETRANSLATE(B4500,""en"",""de"")"),"Im Hintergrund gehen mehrere andere männliche Turner herum.")</f>
        <v>Im Hintergrund gehen mehrere andere männliche Turner herum.</v>
      </c>
    </row>
    <row r="4501">
      <c r="A4501" s="4" t="s">
        <v>5659</v>
      </c>
      <c r="B4501" s="4" t="s">
        <v>5665</v>
      </c>
      <c r="C4501" s="5" t="str">
        <f>IFERROR(__xludf.DUMMYFUNCTION("GOOGLETRANSLATE(B4501,""en"",""de"")"),"Der männliche Turner vervollständigt seine Routine und läuft vom Boden aus dem Fitnessstudio ab.")</f>
        <v>Der männliche Turner vervollständigt seine Routine und läuft vom Boden aus dem Fitnessstudio ab.</v>
      </c>
    </row>
    <row r="4502">
      <c r="A4502" s="4" t="s">
        <v>5666</v>
      </c>
      <c r="B4502" s="4" t="s">
        <v>5667</v>
      </c>
      <c r="C4502" s="5" t="str">
        <f>IFERROR(__xludf.DUMMYFUNCTION("GOOGLETRANSLATE(B4502,""en"",""de"")"),"Die Menschen balancieren auf einem Seil am Strand.")</f>
        <v>Die Menschen balancieren auf einem Seil am Strand.</v>
      </c>
    </row>
    <row r="4503">
      <c r="A4503" s="4" t="s">
        <v>5666</v>
      </c>
      <c r="B4503" s="4" t="s">
        <v>5668</v>
      </c>
      <c r="C4503" s="5" t="str">
        <f>IFERROR(__xludf.DUMMYFUNCTION("GOOGLETRANSLATE(B4503,""en"",""de"")"),"Ein Mann in einem weißen Hemd steht auf dem Seil.")</f>
        <v>Ein Mann in einem weißen Hemd steht auf dem Seil.</v>
      </c>
    </row>
    <row r="4504">
      <c r="A4504" s="4" t="s">
        <v>5666</v>
      </c>
      <c r="B4504" s="4" t="s">
        <v>5669</v>
      </c>
      <c r="C4504" s="5" t="str">
        <f>IFERROR(__xludf.DUMMYFUNCTION("GOOGLETRANSLATE(B4504,""en"",""de"")"),"Eine Person schwingt im Hintergrund auf einem Seil.")</f>
        <v>Eine Person schwingt im Hintergrund auf einem Seil.</v>
      </c>
    </row>
    <row r="4505">
      <c r="A4505" s="4" t="s">
        <v>5670</v>
      </c>
      <c r="B4505" s="4" t="s">
        <v>5671</v>
      </c>
      <c r="C4505" s="5" t="str">
        <f>IFERROR(__xludf.DUMMYFUNCTION("GOOGLETRANSLATE(B4505,""en"",""de"")"),"Zwei Mädchen üben Fechten in einem Schul -Fitnessstudio mit Schutzausrüstung und einem Trainer gegen die Wand und trainieren sie beim Zaun.")</f>
        <v>Zwei Mädchen üben Fechten in einem Schul -Fitnessstudio mit Schutzausrüstung und einem Trainer gegen die Wand und trainieren sie beim Zaun.</v>
      </c>
    </row>
    <row r="4506">
      <c r="A4506" s="4" t="s">
        <v>5670</v>
      </c>
      <c r="B4506" s="4" t="s">
        <v>5672</v>
      </c>
      <c r="C4506" s="5" t="str">
        <f>IFERROR(__xludf.DUMMYFUNCTION("GOOGLETRANSLATE(B4506,""en"",""de"")"),"Die beiden Mädchen sprechen mit dem Trainer und beginnen dann miteinander zu zänen, während der Trainer während des Spars stehen und den Raum navigieren soll.")</f>
        <v>Die beiden Mädchen sprechen mit dem Trainer und beginnen dann miteinander zu zänen, während der Trainer während des Spars stehen und den Raum navigieren soll.</v>
      </c>
    </row>
    <row r="4507">
      <c r="A4507" s="4" t="s">
        <v>5670</v>
      </c>
      <c r="B4507" s="4" t="s">
        <v>5673</v>
      </c>
      <c r="C4507" s="5" t="str">
        <f>IFERROR(__xludf.DUMMYFUNCTION("GOOGLETRANSLATE(B4507,""en"",""de"")"),"Beide Mädchen beenden den Holm und entfernen ihre Kopfausrüstung, während sie mit dem Trainer sprechen.")</f>
        <v>Beide Mädchen beenden den Holm und entfernen ihre Kopfausrüstung, während sie mit dem Trainer sprechen.</v>
      </c>
    </row>
    <row r="4508">
      <c r="A4508" s="4" t="s">
        <v>5674</v>
      </c>
      <c r="B4508" s="4" t="s">
        <v>5675</v>
      </c>
      <c r="C4508" s="5" t="str">
        <f>IFERROR(__xludf.DUMMYFUNCTION("GOOGLETRANSLATE(B4508,""en"",""de"")"),"Eine Frau in einem grünen Pullover legt eine Gesichtsmaske auf.")</f>
        <v>Eine Frau in einem grünen Pullover legt eine Gesichtsmaske auf.</v>
      </c>
    </row>
    <row r="4509">
      <c r="A4509" s="4" t="s">
        <v>5674</v>
      </c>
      <c r="B4509" s="4" t="s">
        <v>5676</v>
      </c>
      <c r="C4509" s="5" t="str">
        <f>IFERROR(__xludf.DUMMYFUNCTION("GOOGLETRANSLATE(B4509,""en"",""de"")"),"Sie malt einen Holzzaun.")</f>
        <v>Sie malt einen Holzzaun.</v>
      </c>
    </row>
    <row r="4510">
      <c r="A4510" s="4" t="s">
        <v>5674</v>
      </c>
      <c r="B4510" s="4" t="s">
        <v>5677</v>
      </c>
      <c r="C4510" s="5" t="str">
        <f>IFERROR(__xludf.DUMMYFUNCTION("GOOGLETRANSLATE(B4510,""en"",""de"")"),"Sie legt Nachrichten auf den Zaun.")</f>
        <v>Sie legt Nachrichten auf den Zaun.</v>
      </c>
    </row>
    <row r="4511">
      <c r="A4511" s="4" t="s">
        <v>5674</v>
      </c>
      <c r="B4511" s="4" t="s">
        <v>5678</v>
      </c>
      <c r="C4511" s="5" t="str">
        <f>IFERROR(__xludf.DUMMYFUNCTION("GOOGLETRANSLATE(B4511,""en"",""de"")"),"Sie gießt einen Schale Farbe in ein Sprühgerät.")</f>
        <v>Sie gießt einen Schale Farbe in ein Sprühgerät.</v>
      </c>
    </row>
    <row r="4512">
      <c r="A4512" s="4" t="s">
        <v>5674</v>
      </c>
      <c r="B4512" s="4" t="s">
        <v>5679</v>
      </c>
      <c r="C4512" s="5" t="str">
        <f>IFERROR(__xludf.DUMMYFUNCTION("GOOGLETRANSLATE(B4512,""en"",""de"")"),"Sie beginnt den Zaun mit einem Schlauch zu sprühen.")</f>
        <v>Sie beginnt den Zaun mit einem Schlauch zu sprühen.</v>
      </c>
    </row>
    <row r="4513">
      <c r="A4513" s="4" t="s">
        <v>5680</v>
      </c>
      <c r="B4513" s="4" t="s">
        <v>5681</v>
      </c>
      <c r="C4513" s="5" t="str">
        <f>IFERROR(__xludf.DUMMYFUNCTION("GOOGLETRANSLATE(B4513,""en"",""de"")"),"Zwei Männer sprechen vor einem Hubschrauber.")</f>
        <v>Zwei Männer sprechen vor einem Hubschrauber.</v>
      </c>
    </row>
    <row r="4514">
      <c r="A4514" s="4" t="s">
        <v>5680</v>
      </c>
      <c r="B4514" s="4" t="s">
        <v>5682</v>
      </c>
      <c r="C4514" s="5" t="str">
        <f>IFERROR(__xludf.DUMMYFUNCTION("GOOGLETRANSLATE(B4514,""en"",""de"")"),"Ein Mann auf einem Wake Board wird von einem Hubschrauber in und aus dem Wasser gezogen.")</f>
        <v>Ein Mann auf einem Wake Board wird von einem Hubschrauber in und aus dem Wasser gezogen.</v>
      </c>
    </row>
    <row r="4515">
      <c r="A4515" s="4" t="s">
        <v>5680</v>
      </c>
      <c r="B4515" s="4" t="s">
        <v>5683</v>
      </c>
      <c r="C4515" s="5" t="str">
        <f>IFERROR(__xludf.DUMMYFUNCTION("GOOGLETRANSLATE(B4515,""en"",""de"")"),"Er fällt aus dem Seil und zieht einen Fallschirm und landet auf dem Boden.")</f>
        <v>Er fällt aus dem Seil und zieht einen Fallschirm und landet auf dem Boden.</v>
      </c>
    </row>
    <row r="4516">
      <c r="A4516" s="4" t="s">
        <v>5684</v>
      </c>
      <c r="B4516" s="4" t="s">
        <v>5685</v>
      </c>
      <c r="C4516" s="5" t="str">
        <f>IFERROR(__xludf.DUMMYFUNCTION("GOOGLETRANSLATE(B4516,""en"",""de"")"),"Ein Mann sitzt auf einer Bank in einem Park.")</f>
        <v>Ein Mann sitzt auf einer Bank in einem Park.</v>
      </c>
    </row>
    <row r="4517">
      <c r="A4517" s="4" t="s">
        <v>5684</v>
      </c>
      <c r="B4517" s="4" t="s">
        <v>5686</v>
      </c>
      <c r="C4517" s="5" t="str">
        <f>IFERROR(__xludf.DUMMYFUNCTION("GOOGLETRANSLATE(B4517,""en"",""de"")"),"Er spielt einen alten Akkordeianer.")</f>
        <v>Er spielt einen alten Akkordeianer.</v>
      </c>
    </row>
    <row r="4518">
      <c r="A4518" s="4" t="s">
        <v>5684</v>
      </c>
      <c r="B4518" s="4" t="s">
        <v>5687</v>
      </c>
      <c r="C4518" s="5" t="str">
        <f>IFERROR(__xludf.DUMMYFUNCTION("GOOGLETRANSLATE(B4518,""en"",""de"")"),"Er schloss es geschlossen und öffnet, als er auf der Tastatur spielt.")</f>
        <v>Er schloss es geschlossen und öffnet, als er auf der Tastatur spielt.</v>
      </c>
    </row>
    <row r="4519">
      <c r="A4519" s="4" t="s">
        <v>5688</v>
      </c>
      <c r="B4519" s="4" t="s">
        <v>5689</v>
      </c>
      <c r="C4519" s="5" t="str">
        <f>IFERROR(__xludf.DUMMYFUNCTION("GOOGLETRANSLATE(B4519,""en"",""de"")"),"Es wird ein schwarzer Bildschirm angezeigt und es enthält viele weiße Wörter, einschließlich Name, Größe, Gewicht, Spiele, Punkten, Punkte und E -Mail für Spieler Nr. 23.")</f>
        <v>Es wird ein schwarzer Bildschirm angezeigt und es enthält viele weiße Wörter, einschließlich Name, Größe, Gewicht, Spiele, Punkten, Punkte und E -Mail für Spieler Nr. 23.</v>
      </c>
    </row>
    <row r="4520">
      <c r="A4520" s="4" t="s">
        <v>5688</v>
      </c>
      <c r="B4520" s="4" t="s">
        <v>5690</v>
      </c>
      <c r="C4520" s="5" t="str">
        <f>IFERROR(__xludf.DUMMYFUNCTION("GOOGLETRANSLATE(B4520,""en"",""de"")"),"Verschiedene Clips verschiedener Hockeyspiele und gelegentlich Ein gelber Pfeil werden auf den #23 -Spieler in jedem verschiedenen Hockeyspiel -Clip hinweisen.")</f>
        <v>Verschiedene Clips verschiedener Hockeyspiele und gelegentlich Ein gelber Pfeil werden auf den #23 -Spieler in jedem verschiedenen Hockeyspiel -Clip hinweisen.</v>
      </c>
    </row>
    <row r="4521">
      <c r="A4521" s="4" t="s">
        <v>5688</v>
      </c>
      <c r="B4521" s="4" t="s">
        <v>5691</v>
      </c>
      <c r="C4521" s="5" t="str">
        <f>IFERROR(__xludf.DUMMYFUNCTION("GOOGLETRANSLATE(B4521,""en"",""de"")"),"Ein schwarzer Bildschirm erscheint erneut und er ist der gleiche wie der Bildschirm, der das Intro war, das dieselben Informationen zu Spieler Nr. 23 enthält.")</f>
        <v>Ein schwarzer Bildschirm erscheint erneut und er ist der gleiche wie der Bildschirm, der das Intro war, das dieselben Informationen zu Spieler Nr. 23 enthält.</v>
      </c>
    </row>
    <row r="4522">
      <c r="A4522" s="4" t="s">
        <v>5692</v>
      </c>
      <c r="B4522" s="4" t="s">
        <v>5693</v>
      </c>
      <c r="C4522" s="5" t="str">
        <f>IFERROR(__xludf.DUMMYFUNCTION("GOOGLETRANSLATE(B4522,""en"",""de"")"),"Eine Person namens Chad, die eine schwarze und graue Jacke trägt, steht neben einem Weihnachtsbaum und gibt ein Tutorial darüber, wie man sie dekoriert.")</f>
        <v>Eine Person namens Chad, die eine schwarze und graue Jacke trägt, steht neben einem Weihnachtsbaum und gibt ein Tutorial darüber, wie man sie dekoriert.</v>
      </c>
    </row>
    <row r="4523">
      <c r="A4523" s="4" t="s">
        <v>5692</v>
      </c>
      <c r="B4523" s="4" t="s">
        <v>5694</v>
      </c>
      <c r="C4523" s="5" t="str">
        <f>IFERROR(__xludf.DUMMYFUNCTION("GOOGLETRANSLATE(B4523,""en"",""de"")"),"Er hält einen Kristallstern in seinen Händen, den er auf den Baum legt.")</f>
        <v>Er hält einen Kristallstern in seinen Händen, den er auf den Baum legt.</v>
      </c>
    </row>
    <row r="4524">
      <c r="A4524" s="4" t="s">
        <v>5692</v>
      </c>
      <c r="B4524" s="4" t="s">
        <v>5695</v>
      </c>
      <c r="C4524" s="5" t="str">
        <f>IFERROR(__xludf.DUMMYFUNCTION("GOOGLETRANSLATE(B4524,""en"",""de"")"),"Dann nimmt er ein paar Weihnachtslichter und wirbelt es um die Zweige des Baumes.")</f>
        <v>Dann nimmt er ein paar Weihnachtslichter und wirbelt es um die Zweige des Baumes.</v>
      </c>
    </row>
    <row r="4525">
      <c r="A4525" s="4" t="s">
        <v>5692</v>
      </c>
      <c r="B4525" s="4" t="s">
        <v>5696</v>
      </c>
      <c r="C4525" s="5" t="str">
        <f>IFERROR(__xludf.DUMMYFUNCTION("GOOGLETRANSLATE(B4525,""en"",""de"")"),"Er nimmt eine rote Girlande und zeigt, wie man sie um den Baum wickelt.")</f>
        <v>Er nimmt eine rote Girlande und zeigt, wie man sie um den Baum wickelt.</v>
      </c>
    </row>
    <row r="4526">
      <c r="A4526" s="4" t="s">
        <v>5692</v>
      </c>
      <c r="B4526" s="4" t="s">
        <v>5697</v>
      </c>
      <c r="C4526" s="5" t="str">
        <f>IFERROR(__xludf.DUMMYFUNCTION("GOOGLETRANSLATE(B4526,""en"",""de"")"),"Dann nimmt er einige rote und goldene Ornamente und zeigt, wie man sie auf den Baum platziert.")</f>
        <v>Dann nimmt er einige rote und goldene Ornamente und zeigt, wie man sie auf den Baum platziert.</v>
      </c>
    </row>
    <row r="4527">
      <c r="A4527" s="4" t="s">
        <v>5692</v>
      </c>
      <c r="B4527" s="4" t="s">
        <v>5698</v>
      </c>
      <c r="C4527" s="5" t="str">
        <f>IFERROR(__xludf.DUMMYFUNCTION("GOOGLETRANSLATE(B4527,""en"",""de"")"),"Er nimmt auch ein rotes Band und rote Beeren, um den Baum zu erweitern.")</f>
        <v>Er nimmt auch ein rotes Band und rote Beeren, um den Baum zu erweitern.</v>
      </c>
    </row>
    <row r="4528">
      <c r="A4528" s="4" t="s">
        <v>5692</v>
      </c>
      <c r="B4528" s="4" t="s">
        <v>5699</v>
      </c>
      <c r="C4528" s="5" t="str">
        <f>IFERROR(__xludf.DUMMYFUNCTION("GOOGLETRANSLATE(B4528,""en"",""de"")"),"Er steht neben dem voll eingerichteten Baum, als er sein Tutorial beendet.")</f>
        <v>Er steht neben dem voll eingerichteten Baum, als er sein Tutorial beendet.</v>
      </c>
    </row>
    <row r="4529">
      <c r="A4529" s="4" t="s">
        <v>5700</v>
      </c>
      <c r="B4529" s="4" t="s">
        <v>5701</v>
      </c>
      <c r="C4529" s="5" t="str">
        <f>IFERROR(__xludf.DUMMYFUNCTION("GOOGLETRANSLATE(B4529,""en"",""de"")"),"Eine Frau gießt Eis in ein Glas.")</f>
        <v>Eine Frau gießt Eis in ein Glas.</v>
      </c>
    </row>
    <row r="4530">
      <c r="A4530" s="4" t="s">
        <v>5700</v>
      </c>
      <c r="B4530" s="4" t="s">
        <v>5702</v>
      </c>
      <c r="C4530" s="5" t="str">
        <f>IFERROR(__xludf.DUMMYFUNCTION("GOOGLETRANSLATE(B4530,""en"",""de"")"),"Sie legt Schüsse Alkohol in das Glas.")</f>
        <v>Sie legt Schüsse Alkohol in das Glas.</v>
      </c>
    </row>
    <row r="4531">
      <c r="A4531" s="4" t="s">
        <v>5700</v>
      </c>
      <c r="B4531" s="4" t="s">
        <v>5703</v>
      </c>
      <c r="C4531" s="5" t="str">
        <f>IFERROR(__xludf.DUMMYFUNCTION("GOOGLETRANSLATE(B4531,""en"",""de"")"),"Sie schüttelt es und gießt es in ein anderes Glas.")</f>
        <v>Sie schüttelt es und gießt es in ein anderes Glas.</v>
      </c>
    </row>
    <row r="4532">
      <c r="A4532" s="4" t="s">
        <v>5700</v>
      </c>
      <c r="B4532" s="4" t="s">
        <v>5704</v>
      </c>
      <c r="C4532" s="5" t="str">
        <f>IFERROR(__xludf.DUMMYFUNCTION("GOOGLETRANSLATE(B4532,""en"",""de"")"),"Sie legt einen Strohhalm hinein und hält ihn fest.")</f>
        <v>Sie legt einen Strohhalm hinein und hält ihn fest.</v>
      </c>
    </row>
    <row r="4533">
      <c r="A4533" s="4" t="s">
        <v>5705</v>
      </c>
      <c r="B4533" s="4" t="s">
        <v>5706</v>
      </c>
      <c r="C4533" s="5" t="str">
        <f>IFERROR(__xludf.DUMMYFUNCTION("GOOGLETRANSLATE(B4533,""en"",""de"")"),"Ein Mann in orangefarbenen Wellen montiert dann ein Pommel -Pferd.")</f>
        <v>Ein Mann in orangefarbenen Wellen montiert dann ein Pommel -Pferd.</v>
      </c>
    </row>
    <row r="4534">
      <c r="A4534" s="4" t="s">
        <v>5705</v>
      </c>
      <c r="B4534" s="4" t="s">
        <v>5707</v>
      </c>
      <c r="C4534" s="5" t="str">
        <f>IFERROR(__xludf.DUMMYFUNCTION("GOOGLETRANSLATE(B4534,""en"",""de"")"),"Der Mann dreht sich auf dem Pommel Horse.")</f>
        <v>Der Mann dreht sich auf dem Pommel Horse.</v>
      </c>
    </row>
    <row r="4535">
      <c r="A4535" s="4" t="s">
        <v>5705</v>
      </c>
      <c r="B4535" s="4" t="s">
        <v>5708</v>
      </c>
      <c r="C4535" s="5" t="str">
        <f>IFERROR(__xludf.DUMMYFUNCTION("GOOGLETRANSLATE(B4535,""en"",""de"")"),"Ein Mann auf der rechten Seite macht ein Foto.")</f>
        <v>Ein Mann auf der rechten Seite macht ein Foto.</v>
      </c>
    </row>
    <row r="4536">
      <c r="A4536" s="4" t="s">
        <v>5705</v>
      </c>
      <c r="B4536" s="4" t="s">
        <v>5709</v>
      </c>
      <c r="C4536" s="5" t="str">
        <f>IFERROR(__xludf.DUMMYFUNCTION("GOOGLETRANSLATE(B4536,""en"",""de"")"),"Der Mann schwingt nach dem anderen ein Bein.")</f>
        <v>Der Mann schwingt nach dem anderen ein Bein.</v>
      </c>
    </row>
    <row r="4537">
      <c r="A4537" s="4" t="s">
        <v>5705</v>
      </c>
      <c r="B4537" s="4" t="s">
        <v>5710</v>
      </c>
      <c r="C4537" s="5" t="str">
        <f>IFERROR(__xludf.DUMMYFUNCTION("GOOGLETRANSLATE(B4537,""en"",""de"")"),"Der Mann macht einen Handstand und steigt dann ab.")</f>
        <v>Der Mann macht einen Handstand und steigt dann ab.</v>
      </c>
    </row>
    <row r="4538">
      <c r="A4538" s="4" t="s">
        <v>5705</v>
      </c>
      <c r="B4538" s="4" t="s">
        <v>5711</v>
      </c>
      <c r="C4538" s="5" t="str">
        <f>IFERROR(__xludf.DUMMYFUNCTION("GOOGLETRANSLATE(B4538,""en"",""de"")"),"Der Mann geht weg, als ein anderer zum Pommel Horse geht.")</f>
        <v>Der Mann geht weg, als ein anderer zum Pommel Horse geht.</v>
      </c>
    </row>
    <row r="4539">
      <c r="A4539" s="4" t="s">
        <v>5705</v>
      </c>
      <c r="B4539" s="4" t="s">
        <v>5712</v>
      </c>
      <c r="C4539" s="5" t="str">
        <f>IFERROR(__xludf.DUMMYFUNCTION("GOOGLETRANSLATE(B4539,""en"",""de"")"),"Die Endbildschirme werden angezeigt und das Video endet.")</f>
        <v>Die Endbildschirme werden angezeigt und das Video endet.</v>
      </c>
    </row>
    <row r="4540">
      <c r="A4540" s="4" t="s">
        <v>5713</v>
      </c>
      <c r="B4540" s="4" t="s">
        <v>5714</v>
      </c>
      <c r="C4540" s="5" t="str">
        <f>IFERROR(__xludf.DUMMYFUNCTION("GOOGLETRANSLATE(B4540,""en"",""de"")"),"Ein Mann in einem roten Hemd klatscht in die Hände.")</f>
        <v>Ein Mann in einem roten Hemd klatscht in die Hände.</v>
      </c>
    </row>
    <row r="4541">
      <c r="A4541" s="4" t="s">
        <v>5713</v>
      </c>
      <c r="B4541" s="4" t="s">
        <v>5715</v>
      </c>
      <c r="C4541" s="5" t="str">
        <f>IFERROR(__xludf.DUMMYFUNCTION("GOOGLETRANSLATE(B4541,""en"",""de"")"),"Er rennt eine Strecke hinunter und springt in den Sand.")</f>
        <v>Er rennt eine Strecke hinunter und springt in den Sand.</v>
      </c>
    </row>
    <row r="4542">
      <c r="A4542" s="4" t="s">
        <v>5713</v>
      </c>
      <c r="B4542" s="4" t="s">
        <v>5716</v>
      </c>
      <c r="C4542" s="5" t="str">
        <f>IFERROR(__xludf.DUMMYFUNCTION("GOOGLETRANSLATE(B4542,""en"",""de"")"),"Die Leute rake den Sand danach aus.")</f>
        <v>Die Leute rake den Sand danach aus.</v>
      </c>
    </row>
    <row r="4543">
      <c r="A4543" s="4" t="s">
        <v>5717</v>
      </c>
      <c r="B4543" s="4" t="s">
        <v>5718</v>
      </c>
      <c r="C4543" s="5" t="str">
        <f>IFERROR(__xludf.DUMMYFUNCTION("GOOGLETRANSLATE(B4543,""en"",""de"")"),"Ein intro schwarzer Bildschirm wird angezeigt und das Wort Poweriser blinkt.")</f>
        <v>Ein intro schwarzer Bildschirm wird angezeigt und das Wort Poweriser blinkt.</v>
      </c>
    </row>
    <row r="4544">
      <c r="A4544" s="4" t="s">
        <v>5717</v>
      </c>
      <c r="B4544" s="4" t="s">
        <v>5719</v>
      </c>
      <c r="C4544" s="5" t="str">
        <f>IFERROR(__xludf.DUMMYFUNCTION("GOOGLETRANSLATE(B4544,""en"",""de"")"),"Ein Mann namens Prvni Kroky ist draußen auf Metal -Stelzen und beginnt, wandet, springt, rennt und bewegt und macht verschiedene Bewegungen, während er auf seinen Stelzen und Menschen um ihn herum sitzt oder spazieren geht und ihr eigenes Ding spaziert.")</f>
        <v>Ein Mann namens Prvni Kroky ist draußen auf Metal -Stelzen und beginnt, wandet, springt, rennt und bewegt und macht verschiedene Bewegungen, während er auf seinen Stelzen und Menschen um ihn herum sitzt oder spazieren geht und ihr eigenes Ding spaziert.</v>
      </c>
    </row>
    <row r="4545">
      <c r="A4545" s="4" t="s">
        <v>5717</v>
      </c>
      <c r="B4545" s="4" t="s">
        <v>5720</v>
      </c>
      <c r="C4545" s="5" t="str">
        <f>IFERROR(__xludf.DUMMYFUNCTION("GOOGLETRANSLATE(B4545,""en"",""de"")"),"Wenn der Mann fertig ist, um zu demonstrieren, was er auf den Stelzen tun kann, hält er an seinem ursprünglichen Ort an, um mehr zu sprechen, Wellen und rennt dann weg.")</f>
        <v>Wenn der Mann fertig ist, um zu demonstrieren, was er auf den Stelzen tun kann, hält er an seinem ursprünglichen Ort an, um mehr zu sprechen, Wellen und rennt dann weg.</v>
      </c>
    </row>
    <row r="4546">
      <c r="A4546" s="4" t="s">
        <v>5717</v>
      </c>
      <c r="B4546" s="4" t="s">
        <v>5721</v>
      </c>
      <c r="C4546" s="5" t="str">
        <f>IFERROR(__xludf.DUMMYFUNCTION("GOOGLETRANSLATE(B4546,""en"",""de"")"),"Das Outro erscheint und es ist genau wie das Intro.")</f>
        <v>Das Outro erscheint und es ist genau wie das Intro.</v>
      </c>
    </row>
    <row r="4547">
      <c r="A4547" s="4" t="s">
        <v>5722</v>
      </c>
      <c r="B4547" s="4" t="s">
        <v>5723</v>
      </c>
      <c r="C4547" s="5" t="str">
        <f>IFERROR(__xludf.DUMMYFUNCTION("GOOGLETRANSLATE(B4547,""en"",""de"")"),"Eine Frau in einem weißen Hemd setzt sich.")</f>
        <v>Eine Frau in einem weißen Hemd setzt sich.</v>
      </c>
    </row>
    <row r="4548">
      <c r="A4548" s="4" t="s">
        <v>5722</v>
      </c>
      <c r="B4548" s="4" t="s">
        <v>5724</v>
      </c>
      <c r="C4548" s="5" t="str">
        <f>IFERROR(__xludf.DUMMYFUNCTION("GOOGLETRANSLATE(B4548,""en"",""de"")"),"Sie gießt etwas Produkt in ihre Handfläche.")</f>
        <v>Sie gießt etwas Produkt in ihre Handfläche.</v>
      </c>
    </row>
    <row r="4549">
      <c r="A4549" s="4" t="s">
        <v>5722</v>
      </c>
      <c r="B4549" s="4" t="s">
        <v>5725</v>
      </c>
      <c r="C4549" s="5" t="str">
        <f>IFERROR(__xludf.DUMMYFUNCTION("GOOGLETRANSLATE(B4549,""en"",""de"")"),"Sie beginnt das Produkt auf ihr Gesicht zu wischen.")</f>
        <v>Sie beginnt das Produkt auf ihr Gesicht zu wischen.</v>
      </c>
    </row>
    <row r="4550">
      <c r="A4550" s="4" t="s">
        <v>5726</v>
      </c>
      <c r="B4550" s="4" t="s">
        <v>5727</v>
      </c>
      <c r="C4550" s="5" t="str">
        <f>IFERROR(__xludf.DUMMYFUNCTION("GOOGLETRANSLATE(B4550,""en"",""de"")"),"Eine Frau bräuelt den rechten Körper eines Pferdes, sie streift Hals, Körper und Beine.")</f>
        <v>Eine Frau bräuelt den rechten Körper eines Pferdes, sie streift Hals, Körper und Beine.</v>
      </c>
    </row>
    <row r="4551">
      <c r="A4551" s="4" t="s">
        <v>5726</v>
      </c>
      <c r="B4551" s="4" t="s">
        <v>5728</v>
      </c>
      <c r="C4551" s="5" t="str">
        <f>IFERROR(__xludf.DUMMYFUNCTION("GOOGLETRANSLATE(B4551,""en"",""de"")"),"Dann geht die Frau auf die linke Seite des Pferdes und knien, um die Beine zu pflegen, und dann bürsten sie die anderen Körperteile.")</f>
        <v>Dann geht die Frau auf die linke Seite des Pferdes und knien, um die Beine zu pflegen, und dann bürsten sie die anderen Körperteile.</v>
      </c>
    </row>
    <row r="4552">
      <c r="A4552" s="4" t="s">
        <v>5729</v>
      </c>
      <c r="B4552" s="4" t="s">
        <v>5730</v>
      </c>
      <c r="C4552" s="5" t="str">
        <f>IFERROR(__xludf.DUMMYFUNCTION("GOOGLETRANSLATE(B4552,""en"",""de"")"),"Ein Koch gibt detaillierte Anweisungen, wie man einem anderen Mann in der Küche ein Gericht macht.")</f>
        <v>Ein Koch gibt detaillierte Anweisungen, wie man einem anderen Mann in der Küche ein Gericht macht.</v>
      </c>
    </row>
    <row r="4553">
      <c r="A4553" s="4" t="s">
        <v>5729</v>
      </c>
      <c r="B4553" s="4" t="s">
        <v>5731</v>
      </c>
      <c r="C4553" s="5" t="str">
        <f>IFERROR(__xludf.DUMMYFUNCTION("GOOGLETRANSLATE(B4553,""en"",""de"")"),"Der Mann geht beiläufig um ihn herum und nimmt ein Stück eines der Zutaten auf und isst es.")</f>
        <v>Der Mann geht beiläufig um ihn herum und nimmt ein Stück eines der Zutaten auf und isst es.</v>
      </c>
    </row>
    <row r="4554">
      <c r="A4554" s="4" t="s">
        <v>5729</v>
      </c>
      <c r="B4554" s="4" t="s">
        <v>5732</v>
      </c>
      <c r="C4554" s="5" t="str">
        <f>IFERROR(__xludf.DUMMYFUNCTION("GOOGLETRANSLATE(B4554,""en"",""de"")"),"In der Zwischenzeit setzt der Küchenchef Zutaten und erklärt den Prozess dessen, was er tut und warum in die Pfanne.")</f>
        <v>In der Zwischenzeit setzt der Küchenchef Zutaten und erklärt den Prozess dessen, was er tut und warum in die Pfanne.</v>
      </c>
    </row>
    <row r="4555">
      <c r="A4555" s="4" t="s">
        <v>5729</v>
      </c>
      <c r="B4555" s="4" t="s">
        <v>5733</v>
      </c>
      <c r="C4555" s="5" t="str">
        <f>IFERROR(__xludf.DUMMYFUNCTION("GOOGLETRANSLATE(B4555,""en"",""de"")"),"Sobald die Sauce, die er kreiert, zusammenkommt, mischt er sich in Spaghetti und mischt alles zusammen.")</f>
        <v>Sobald die Sauce, die er kreiert, zusammenkommt, mischt er sich in Spaghetti und mischt alles zusammen.</v>
      </c>
    </row>
    <row r="4556">
      <c r="A4556" s="4" t="s">
        <v>5734</v>
      </c>
      <c r="B4556" s="4" t="s">
        <v>5735</v>
      </c>
      <c r="C4556" s="5" t="str">
        <f>IFERROR(__xludf.DUMMYFUNCTION("GOOGLETRANSLATE(B4556,""en"",""de"")"),"Ein Mann in einem roten Hemd geht um eine Leiter herum.")</f>
        <v>Ein Mann in einem roten Hemd geht um eine Leiter herum.</v>
      </c>
    </row>
    <row r="4557">
      <c r="A4557" s="4" t="s">
        <v>5734</v>
      </c>
      <c r="B4557" s="4" t="s">
        <v>5736</v>
      </c>
      <c r="C4557" s="5" t="str">
        <f>IFERROR(__xludf.DUMMYFUNCTION("GOOGLETRANSLATE(B4557,""en"",""de"")"),"Er legt seinen Arm auf die Leiter.")</f>
        <v>Er legt seinen Arm auf die Leiter.</v>
      </c>
    </row>
    <row r="4558">
      <c r="A4558" s="4" t="s">
        <v>5734</v>
      </c>
      <c r="B4558" s="4" t="s">
        <v>5737</v>
      </c>
      <c r="C4558" s="5" t="str">
        <f>IFERROR(__xludf.DUMMYFUNCTION("GOOGLETRANSLATE(B4558,""en"",""de"")"),"Eine Frau legt rote Tapete gegen eine Wand.")</f>
        <v>Eine Frau legt rote Tapete gegen eine Wand.</v>
      </c>
    </row>
    <row r="4559">
      <c r="A4559" s="4" t="s">
        <v>5734</v>
      </c>
      <c r="B4559" s="4" t="s">
        <v>5738</v>
      </c>
      <c r="C4559" s="5" t="str">
        <f>IFERROR(__xludf.DUMMYFUNCTION("GOOGLETRANSLATE(B4559,""en"",""de"")"),"Sie glättet das rote Handpapier mit ihren Händen und einem Werkzeug.")</f>
        <v>Sie glättet das rote Handpapier mit ihren Händen und einem Werkzeug.</v>
      </c>
    </row>
    <row r="4560">
      <c r="A4560" s="4" t="s">
        <v>5734</v>
      </c>
      <c r="B4560" s="4" t="s">
        <v>5739</v>
      </c>
      <c r="C4560" s="5" t="str">
        <f>IFERROR(__xludf.DUMMYFUNCTION("GOOGLETRANSLATE(B4560,""en"",""de"")"),"Sie misst das Hintergrundbild, um sicherzustellen, dass es gerade ist.")</f>
        <v>Sie misst das Hintergrundbild, um sicherzustellen, dass es gerade ist.</v>
      </c>
    </row>
    <row r="4561">
      <c r="A4561" s="4" t="s">
        <v>5734</v>
      </c>
      <c r="B4561" s="4" t="s">
        <v>5740</v>
      </c>
      <c r="C4561" s="5" t="str">
        <f>IFERROR(__xludf.DUMMYFUNCTION("GOOGLETRANSLATE(B4561,""en"",""de"")"),"Die Frau legt ein Werkzeug oben und unten auf der Tapete und entfernt jede zusätzliche Tapete.")</f>
        <v>Die Frau legt ein Werkzeug oben und unten auf der Tapete und entfernt jede zusätzliche Tapete.</v>
      </c>
    </row>
    <row r="4562">
      <c r="A4562" s="4" t="s">
        <v>5734</v>
      </c>
      <c r="B4562" s="4" t="s">
        <v>5741</v>
      </c>
      <c r="C4562" s="5" t="str">
        <f>IFERROR(__xludf.DUMMYFUNCTION("GOOGLETRANSLATE(B4562,""en"",""de"")"),"Der Mann im roten Hemd redet.")</f>
        <v>Der Mann im roten Hemd redet.</v>
      </c>
    </row>
    <row r="4563">
      <c r="A4563" s="4" t="s">
        <v>5742</v>
      </c>
      <c r="B4563" s="4" t="s">
        <v>5743</v>
      </c>
      <c r="C4563" s="5" t="str">
        <f>IFERROR(__xludf.DUMMYFUNCTION("GOOGLETRANSLATE(B4563,""en"",""de"")"),"Wir sehen das Emblem auf dem Öffnungsbildschirm.")</f>
        <v>Wir sehen das Emblem auf dem Öffnungsbildschirm.</v>
      </c>
    </row>
    <row r="4564">
      <c r="A4564" s="4" t="s">
        <v>5742</v>
      </c>
      <c r="B4564" s="4" t="s">
        <v>5744</v>
      </c>
      <c r="C4564" s="5" t="str">
        <f>IFERROR(__xludf.DUMMYFUNCTION("GOOGLETRANSLATE(B4564,""en"",""de"")"),"Wir wechseln zu Bildern von zwei Damen mit Pferden.")</f>
        <v>Wir wechseln zu Bildern von zwei Damen mit Pferden.</v>
      </c>
    </row>
    <row r="4565">
      <c r="A4565" s="4" t="s">
        <v>5742</v>
      </c>
      <c r="B4565" s="4" t="s">
        <v>5745</v>
      </c>
      <c r="C4565" s="5" t="str">
        <f>IFERROR(__xludf.DUMMYFUNCTION("GOOGLETRANSLATE(B4565,""en"",""de"")"),"Wir sehen eine Dame in einem sonnigen Feld mit einem Schlauch.")</f>
        <v>Wir sehen eine Dame in einem sonnigen Feld mit einem Schlauch.</v>
      </c>
    </row>
    <row r="4566">
      <c r="A4566" s="4" t="s">
        <v>5742</v>
      </c>
      <c r="B4566" s="4" t="s">
        <v>5746</v>
      </c>
      <c r="C4566" s="5" t="str">
        <f>IFERROR(__xludf.DUMMYFUNCTION("GOOGLETRANSLATE(B4566,""en"",""de"")"),"Wir sehen einen kleinen Hund auf der Rückseite des Pferdes.")</f>
        <v>Wir sehen einen kleinen Hund auf der Rückseite des Pferdes.</v>
      </c>
    </row>
    <row r="4567">
      <c r="A4567" s="4" t="s">
        <v>5742</v>
      </c>
      <c r="B4567" s="4" t="s">
        <v>5747</v>
      </c>
      <c r="C4567" s="5" t="str">
        <f>IFERROR(__xludf.DUMMYFUNCTION("GOOGLETRANSLATE(B4567,""en"",""de"")"),"Wir sehen den kleinen Hund, dann zwei Damen und den kleinen Hund.")</f>
        <v>Wir sehen den kleinen Hund, dann zwei Damen und den kleinen Hund.</v>
      </c>
    </row>
    <row r="4568">
      <c r="A4568" s="4" t="s">
        <v>5742</v>
      </c>
      <c r="B4568" s="4" t="s">
        <v>5748</v>
      </c>
      <c r="C4568" s="5" t="str">
        <f>IFERROR(__xludf.DUMMYFUNCTION("GOOGLETRANSLATE(B4568,""en"",""de"")"),"Die Dame sitzt mit dem Hund.")</f>
        <v>Die Dame sitzt mit dem Hund.</v>
      </c>
    </row>
    <row r="4569">
      <c r="A4569" s="4" t="s">
        <v>5742</v>
      </c>
      <c r="B4569" s="4" t="s">
        <v>5749</v>
      </c>
      <c r="C4569" s="5" t="str">
        <f>IFERROR(__xludf.DUMMYFUNCTION("GOOGLETRANSLATE(B4569,""en"",""de"")"),"Wir sehen ein paar Leute in einem Stall mit einem Pferd.")</f>
        <v>Wir sehen ein paar Leute in einem Stall mit einem Pferd.</v>
      </c>
    </row>
    <row r="4570">
      <c r="A4570" s="4" t="s">
        <v>5742</v>
      </c>
      <c r="B4570" s="4" t="s">
        <v>5750</v>
      </c>
      <c r="C4570" s="5" t="str">
        <f>IFERROR(__xludf.DUMMYFUNCTION("GOOGLETRANSLATE(B4570,""en"",""de"")"),"Wir sehen das Endguthaben -Emblem.")</f>
        <v>Wir sehen das Endguthaben -Emblem.</v>
      </c>
    </row>
    <row r="4571">
      <c r="A4571" s="4" t="s">
        <v>5751</v>
      </c>
      <c r="B4571" s="4" t="s">
        <v>5752</v>
      </c>
      <c r="C4571" s="5" t="str">
        <f>IFERROR(__xludf.DUMMYFUNCTION("GOOGLETRANSLATE(B4571,""en"",""de"")"),"Ein Mann steht bereit, einen Pfeil zu halten und in die Ferne zu schauen.")</f>
        <v>Ein Mann steht bereit, einen Pfeil zu halten und in die Ferne zu schauen.</v>
      </c>
    </row>
    <row r="4572">
      <c r="A4572" s="4" t="s">
        <v>5751</v>
      </c>
      <c r="B4572" s="4" t="s">
        <v>5753</v>
      </c>
      <c r="C4572" s="5" t="str">
        <f>IFERROR(__xludf.DUMMYFUNCTION("GOOGLETRANSLATE(B4572,""en"",""de"")"),"Der Mann wirft dann den Pfeil in Zeitlupe, während die Kamera ihm weiter folgt.")</f>
        <v>Der Mann wirft dann den Pfeil in Zeitlupe, während die Kamera ihm weiter folgt.</v>
      </c>
    </row>
    <row r="4573">
      <c r="A4573" s="4" t="s">
        <v>5754</v>
      </c>
      <c r="B4573" s="4" t="s">
        <v>5755</v>
      </c>
      <c r="C4573" s="5" t="str">
        <f>IFERROR(__xludf.DUMMYFUNCTION("GOOGLETRANSLATE(B4573,""en"",""de"")"),"Ein Mann legt eine Fliese auf den Boden und schiebt sie nach unten.")</f>
        <v>Ein Mann legt eine Fliese auf den Boden und schiebt sie nach unten.</v>
      </c>
    </row>
    <row r="4574">
      <c r="A4574" s="4" t="s">
        <v>5754</v>
      </c>
      <c r="B4574" s="4" t="s">
        <v>5756</v>
      </c>
      <c r="C4574" s="5" t="str">
        <f>IFERROR(__xludf.DUMMYFUNCTION("GOOGLETRANSLATE(B4574,""en"",""de"")"),"Er glättet es mit seinen Händen.")</f>
        <v>Er glättet es mit seinen Händen.</v>
      </c>
    </row>
    <row r="4575">
      <c r="A4575" s="4" t="s">
        <v>5754</v>
      </c>
      <c r="B4575" s="4" t="s">
        <v>5757</v>
      </c>
      <c r="C4575" s="5" t="str">
        <f>IFERROR(__xludf.DUMMYFUNCTION("GOOGLETRANSLATE(B4575,""en"",""de"")"),"Er bewegt die Entlüftung, die sich auf dem Boden neben der Fliese befindet.")</f>
        <v>Er bewegt die Entlüftung, die sich auf dem Boden neben der Fliese befindet.</v>
      </c>
    </row>
    <row r="4576">
      <c r="A4576" s="4" t="s">
        <v>5758</v>
      </c>
      <c r="B4576" s="4" t="s">
        <v>5759</v>
      </c>
      <c r="C4576" s="5" t="str">
        <f>IFERROR(__xludf.DUMMYFUNCTION("GOOGLETRANSLATE(B4576,""en"",""de"")"),"Eine kleine Gruppe von Männern sitzt an einem Tisch und spielt verschiedene Handspiele miteinander.")</f>
        <v>Eine kleine Gruppe von Männern sitzt an einem Tisch und spielt verschiedene Handspiele miteinander.</v>
      </c>
    </row>
    <row r="4577">
      <c r="A4577" s="4" t="s">
        <v>5758</v>
      </c>
      <c r="B4577" s="4" t="s">
        <v>5760</v>
      </c>
      <c r="C4577" s="5" t="str">
        <f>IFERROR(__xludf.DUMMYFUNCTION("GOOGLETRANSLATE(B4577,""en"",""de"")"),"Bewegt dann ihre Hände, die in Zeitlupe gezeigt werden und in ein Telefon spricht und den Raum verlässt.")</f>
        <v>Bewegt dann ihre Hände, die in Zeitlupe gezeigt werden und in ein Telefon spricht und den Raum verlässt.</v>
      </c>
    </row>
    <row r="4578">
      <c r="A4578" s="4" t="s">
        <v>5758</v>
      </c>
      <c r="B4578" s="4" t="s">
        <v>5761</v>
      </c>
      <c r="C4578" s="5" t="str">
        <f>IFERROR(__xludf.DUMMYFUNCTION("GOOGLETRANSLATE(B4578,""en"",""de"")"),"Die Kamera schwenkt um die anderen Leute, während sie lachen.")</f>
        <v>Die Kamera schwenkt um die anderen Leute, während sie lachen.</v>
      </c>
    </row>
    <row r="4579">
      <c r="A4579" s="4" t="s">
        <v>5762</v>
      </c>
      <c r="B4579" s="4" t="s">
        <v>5763</v>
      </c>
      <c r="C4579" s="5" t="str">
        <f>IFERROR(__xludf.DUMMYFUNCTION("GOOGLETRANSLATE(B4579,""en"",""de"")"),"Wir sehen zwei Männer in einem Stadion.")</f>
        <v>Wir sehen zwei Männer in einem Stadion.</v>
      </c>
    </row>
    <row r="4580">
      <c r="A4580" s="4" t="s">
        <v>5762</v>
      </c>
      <c r="B4580" s="4" t="s">
        <v>5764</v>
      </c>
      <c r="C4580" s="5" t="str">
        <f>IFERROR(__xludf.DUMMYFUNCTION("GOOGLETRANSLATE(B4580,""en"",""de"")"),"Ein Mann wirft seine Arme in die Luft.")</f>
        <v>Ein Mann wirft seine Arme in die Luft.</v>
      </c>
    </row>
    <row r="4581">
      <c r="A4581" s="4" t="s">
        <v>5762</v>
      </c>
      <c r="B4581" s="4" t="s">
        <v>5765</v>
      </c>
      <c r="C4581" s="5" t="str">
        <f>IFERROR(__xludf.DUMMYFUNCTION("GOOGLETRANSLATE(B4581,""en"",""de"")"),"Der linke Mann fällt zu Boden.")</f>
        <v>Der linke Mann fällt zu Boden.</v>
      </c>
    </row>
    <row r="4582">
      <c r="A4582" s="4" t="s">
        <v>5762</v>
      </c>
      <c r="B4582" s="4" t="s">
        <v>5766</v>
      </c>
      <c r="C4582" s="5" t="str">
        <f>IFERROR(__xludf.DUMMYFUNCTION("GOOGLETRANSLATE(B4582,""en"",""de"")"),"Der linke Mann wirft seine Hand in die Luft.")</f>
        <v>Der linke Mann wirft seine Hand in die Luft.</v>
      </c>
    </row>
    <row r="4583">
      <c r="A4583" s="4" t="s">
        <v>5762</v>
      </c>
      <c r="B4583" s="4" t="s">
        <v>777</v>
      </c>
      <c r="C4583" s="5" t="str">
        <f>IFERROR(__xludf.DUMMYFUNCTION("GOOGLETRANSLATE(B4583,""en"",""de"")"),"Wir sehen den End -Titelbildschirm.")</f>
        <v>Wir sehen den End -Titelbildschirm.</v>
      </c>
    </row>
    <row r="4584">
      <c r="A4584" s="4" t="s">
        <v>5767</v>
      </c>
      <c r="B4584" s="4" t="s">
        <v>5768</v>
      </c>
      <c r="C4584" s="5" t="str">
        <f>IFERROR(__xludf.DUMMYFUNCTION("GOOGLETRANSLATE(B4584,""en"",""de"")"),"Eine Frau tanzt und wischt in der Küche.")</f>
        <v>Eine Frau tanzt und wischt in der Küche.</v>
      </c>
    </row>
    <row r="4585">
      <c r="A4585" s="4" t="s">
        <v>5767</v>
      </c>
      <c r="B4585" s="4" t="s">
        <v>5769</v>
      </c>
      <c r="C4585" s="5" t="str">
        <f>IFERROR(__xludf.DUMMYFUNCTION("GOOGLETRANSLATE(B4585,""en"",""de"")"),"Eine andere Frau nimmt sie auf und lacht.")</f>
        <v>Eine andere Frau nimmt sie auf und lacht.</v>
      </c>
    </row>
    <row r="4586">
      <c r="A4586" s="4" t="s">
        <v>5767</v>
      </c>
      <c r="B4586" s="4" t="s">
        <v>5770</v>
      </c>
      <c r="C4586" s="5" t="str">
        <f>IFERROR(__xludf.DUMMYFUNCTION("GOOGLETRANSLATE(B4586,""en"",""de"")"),"Die Frau bemerkt die Kamera und lacht, tanzt aber weiter.")</f>
        <v>Die Frau bemerkt die Kamera und lacht, tanzt aber weiter.</v>
      </c>
    </row>
    <row r="4587">
      <c r="A4587" s="4" t="s">
        <v>5771</v>
      </c>
      <c r="B4587" s="4" t="s">
        <v>5772</v>
      </c>
      <c r="C4587" s="5" t="str">
        <f>IFERROR(__xludf.DUMMYFUNCTION("GOOGLETRANSLATE(B4587,""en"",""de"")"),"Ein Techniker geht ein Dach entlang und sprüht es mit einem Zauberstab an einem Schlauch.")</f>
        <v>Ein Techniker geht ein Dach entlang und sprüht es mit einem Zauberstab an einem Schlauch.</v>
      </c>
    </row>
    <row r="4588">
      <c r="A4588" s="4" t="s">
        <v>5771</v>
      </c>
      <c r="B4588" s="4" t="s">
        <v>5773</v>
      </c>
      <c r="C4588" s="5" t="str">
        <f>IFERROR(__xludf.DUMMYFUNCTION("GOOGLETRANSLATE(B4588,""en"",""de"")"),"Der Mann schaltet seinen Schlauch aus und geht dann den Gipfel des Daches entlang.")</f>
        <v>Der Mann schaltet seinen Schlauch aus und geht dann den Gipfel des Daches entlang.</v>
      </c>
    </row>
    <row r="4589">
      <c r="A4589" s="4" t="s">
        <v>5771</v>
      </c>
      <c r="B4589" s="4" t="s">
        <v>5774</v>
      </c>
      <c r="C4589" s="5" t="str">
        <f>IFERROR(__xludf.DUMMYFUNCTION("GOOGLETRANSLATE(B4589,""en"",""de"")"),"Der Mann spricht mit dem Zauberstab um die Dachrinnen.")</f>
        <v>Der Mann spricht mit dem Zauberstab um die Dachrinnen.</v>
      </c>
    </row>
    <row r="4590">
      <c r="A4590" s="4" t="s">
        <v>5771</v>
      </c>
      <c r="B4590" s="4" t="s">
        <v>5775</v>
      </c>
      <c r="C4590" s="5" t="str">
        <f>IFERROR(__xludf.DUMMYFUNCTION("GOOGLETRANSLATE(B4590,""en"",""de"")"),"Das Wasser kommt aus der Rinne auf den Zement unten.")</f>
        <v>Das Wasser kommt aus der Rinne auf den Zement unten.</v>
      </c>
    </row>
    <row r="4591">
      <c r="A4591" s="4" t="s">
        <v>5776</v>
      </c>
      <c r="B4591" s="4" t="s">
        <v>5777</v>
      </c>
      <c r="C4591" s="5" t="str">
        <f>IFERROR(__xludf.DUMMYFUNCTION("GOOGLETRANSLATE(B4591,""en"",""de"")"),"Eine Frau sitzt neben einem Mädchen auf Sand.")</f>
        <v>Eine Frau sitzt neben einem Mädchen auf Sand.</v>
      </c>
    </row>
    <row r="4592">
      <c r="A4592" s="4" t="s">
        <v>5776</v>
      </c>
      <c r="B4592" s="4" t="s">
        <v>5778</v>
      </c>
      <c r="C4592" s="5" t="str">
        <f>IFERROR(__xludf.DUMMYFUNCTION("GOOGLETRANSLATE(B4592,""en"",""de"")"),"Die Frau schaut von der Kamera weg und schaut auf den Sand hinunter.")</f>
        <v>Die Frau schaut von der Kamera weg und schaut auf den Sand hinunter.</v>
      </c>
    </row>
    <row r="4593">
      <c r="A4593" s="4" t="s">
        <v>5776</v>
      </c>
      <c r="B4593" s="4" t="s">
        <v>5779</v>
      </c>
      <c r="C4593" s="5" t="str">
        <f>IFERROR(__xludf.DUMMYFUNCTION("GOOGLETRANSLATE(B4593,""en"",""de"")"),"Das Mädchen und die Frau beginnen dann im Sand zu graben.")</f>
        <v>Das Mädchen und die Frau beginnen dann im Sand zu graben.</v>
      </c>
    </row>
    <row r="4594">
      <c r="A4594" s="4" t="s">
        <v>5780</v>
      </c>
      <c r="B4594" s="4" t="s">
        <v>5781</v>
      </c>
      <c r="C4594" s="5" t="str">
        <f>IFERROR(__xludf.DUMMYFUNCTION("GOOGLETRANSLATE(B4594,""en"",""de"")"),"Eine große Gruppe von Spielern ist aufgereiht und spricht miteinander.")</f>
        <v>Eine große Gruppe von Spielern ist aufgereiht und spricht miteinander.</v>
      </c>
    </row>
    <row r="4595">
      <c r="A4595" s="4" t="s">
        <v>5780</v>
      </c>
      <c r="B4595" s="4" t="s">
        <v>5782</v>
      </c>
      <c r="C4595" s="5" t="str">
        <f>IFERROR(__xludf.DUMMYFUNCTION("GOOGLETRANSLATE(B4595,""en"",""de"")"),"Sie gehen dann auf das Eis und beginnen herumzufahren.")</f>
        <v>Sie gehen dann auf das Eis und beginnen herumzufahren.</v>
      </c>
    </row>
    <row r="4596">
      <c r="A4596" s="4" t="s">
        <v>5780</v>
      </c>
      <c r="B4596" s="4" t="s">
        <v>5783</v>
      </c>
      <c r="C4596" s="5" t="str">
        <f>IFERROR(__xludf.DUMMYFUNCTION("GOOGLETRANSLATE(B4596,""en"",""de"")"),"Ein Mann faust einen anderen und endet, indem er weggeht.")</f>
        <v>Ein Mann faust einen anderen und endet, indem er weggeht.</v>
      </c>
    </row>
    <row r="4597">
      <c r="A4597" s="4" t="s">
        <v>5784</v>
      </c>
      <c r="B4597" s="4" t="s">
        <v>5785</v>
      </c>
      <c r="C4597" s="5" t="str">
        <f>IFERROR(__xludf.DUMMYFUNCTION("GOOGLETRANSLATE(B4597,""en"",""de"")"),"Eine Person wird gesehen, wie ein Deck mit einem Stock einen Puck drückt.")</f>
        <v>Eine Person wird gesehen, wie ein Deck mit einem Stock einen Puck drückt.</v>
      </c>
    </row>
    <row r="4598">
      <c r="A4598" s="4" t="s">
        <v>5784</v>
      </c>
      <c r="B4598" s="4" t="s">
        <v>5786</v>
      </c>
      <c r="C4598" s="5" t="str">
        <f>IFERROR(__xludf.DUMMYFUNCTION("GOOGLETRANSLATE(B4598,""en"",""de"")"),"Sie schaut zurück und lacht zur Kamera, während andere Leute nebenbei zuschauen.")</f>
        <v>Sie schaut zurück und lacht zur Kamera, während andere Leute nebenbei zuschauen.</v>
      </c>
    </row>
    <row r="4599">
      <c r="A4599" s="4" t="s">
        <v>5787</v>
      </c>
      <c r="B4599" s="4" t="s">
        <v>5788</v>
      </c>
      <c r="C4599" s="5" t="str">
        <f>IFERROR(__xludf.DUMMYFUNCTION("GOOGLETRANSLATE(B4599,""en"",""de"")"),"Es wird ein schwarzer Hund gezeigt, der in die Kamera schaut.")</f>
        <v>Es wird ein schwarzer Hund gezeigt, der in die Kamera schaut.</v>
      </c>
    </row>
    <row r="4600">
      <c r="A4600" s="4" t="s">
        <v>5787</v>
      </c>
      <c r="B4600" s="4" t="s">
        <v>5789</v>
      </c>
      <c r="C4600" s="5" t="str">
        <f>IFERROR(__xludf.DUMMYFUNCTION("GOOGLETRANSLATE(B4600,""en"",""de"")"),"Ein glatzköpfiger Mann erscheint, der neben einem Stuhl steht, der wiederhergestellt zu sein scheint.")</f>
        <v>Ein glatzköpfiger Mann erscheint, der neben einem Stuhl steht, der wiederhergestellt zu sein scheint.</v>
      </c>
    </row>
    <row r="4601">
      <c r="A4601" s="4" t="s">
        <v>5787</v>
      </c>
      <c r="B4601" s="4" t="s">
        <v>5790</v>
      </c>
      <c r="C4601" s="5" t="str">
        <f>IFERROR(__xludf.DUMMYFUNCTION("GOOGLETRANSLATE(B4601,""en"",""de"")"),"Es wird gezeigt, dass der Stuhl Kratzer hat.")</f>
        <v>Es wird gezeigt, dass der Stuhl Kratzer hat.</v>
      </c>
    </row>
    <row r="4602">
      <c r="A4602" s="4" t="s">
        <v>5787</v>
      </c>
      <c r="B4602" s="4" t="s">
        <v>5791</v>
      </c>
      <c r="C4602" s="5" t="str">
        <f>IFERROR(__xludf.DUMMYFUNCTION("GOOGLETRANSLATE(B4602,""en"",""de"")"),"Der Mann beginnt, eine Substanz auf den Stuhl anzuwenden, während der Mann die Substanz über die Oberflächen des Stuhls reibt.")</f>
        <v>Der Mann beginnt, eine Substanz auf den Stuhl anzuwenden, während der Mann die Substanz über die Oberflächen des Stuhls reibt.</v>
      </c>
    </row>
    <row r="4603">
      <c r="A4603" s="4" t="s">
        <v>5787</v>
      </c>
      <c r="B4603" s="4" t="s">
        <v>5792</v>
      </c>
      <c r="C4603" s="5" t="str">
        <f>IFERROR(__xludf.DUMMYFUNCTION("GOOGLETRANSLATE(B4603,""en"",""de"")"),"Der Mann zeigt dann auf einen Kratzer auf einem Teil des Stuhls und beginnt, ihn mit der Substanz sauber zu wischen.")</f>
        <v>Der Mann zeigt dann auf einen Kratzer auf einem Teil des Stuhls und beginnt, ihn mit der Substanz sauber zu wischen.</v>
      </c>
    </row>
    <row r="4604">
      <c r="A4604" s="4" t="s">
        <v>5787</v>
      </c>
      <c r="B4604" s="4" t="s">
        <v>5793</v>
      </c>
      <c r="C4604" s="5" t="str">
        <f>IFERROR(__xludf.DUMMYFUNCTION("GOOGLETRANSLATE(B4604,""en"",""de"")"),"Der Mann zeigt dann ein Bein des Stuhls und wischt es ebenfalls ab.")</f>
        <v>Der Mann zeigt dann ein Bein des Stuhls und wischt es ebenfalls ab.</v>
      </c>
    </row>
    <row r="4605">
      <c r="A4605" s="4" t="s">
        <v>5787</v>
      </c>
      <c r="B4605" s="4" t="s">
        <v>5794</v>
      </c>
      <c r="C4605" s="5" t="str">
        <f>IFERROR(__xludf.DUMMYFUNCTION("GOOGLETRANSLATE(B4605,""en"",""de"")"),"Der Mann scheint dann eine Substanz in eine Dose zu gießen, taucht die Bürste hinein und poliert einen Teil des Beins.")</f>
        <v>Der Mann scheint dann eine Substanz in eine Dose zu gießen, taucht die Bürste hinein und poliert einen Teil des Beins.</v>
      </c>
    </row>
    <row r="4606">
      <c r="A4606" s="4" t="s">
        <v>5787</v>
      </c>
      <c r="B4606" s="4" t="s">
        <v>5795</v>
      </c>
      <c r="C4606" s="5" t="str">
        <f>IFERROR(__xludf.DUMMYFUNCTION("GOOGLETRANSLATE(B4606,""en"",""de"")"),"Der Mann wischt den Stuhl weiter ab, da er sauberer und sauberer wird.")</f>
        <v>Der Mann wischt den Stuhl weiter ab, da er sauberer und sauberer wird.</v>
      </c>
    </row>
    <row r="4607">
      <c r="A4607" s="4" t="s">
        <v>5787</v>
      </c>
      <c r="B4607" s="4" t="s">
        <v>5796</v>
      </c>
      <c r="C4607" s="5" t="str">
        <f>IFERROR(__xludf.DUMMYFUNCTION("GOOGLETRANSLATE(B4607,""en"",""de"")"),"Der Mann kehrt später nach dem Trocknen des Stuhls mit einer gelben Flasche zurück und trägt jetzt einen Hut und eine Brille.")</f>
        <v>Der Mann kehrt später nach dem Trocknen des Stuhls mit einer gelben Flasche zurück und trägt jetzt einen Hut und eine Brille.</v>
      </c>
    </row>
    <row r="4608">
      <c r="A4608" s="4" t="s">
        <v>5787</v>
      </c>
      <c r="B4608" s="4" t="s">
        <v>5797</v>
      </c>
      <c r="C4608" s="5" t="str">
        <f>IFERROR(__xludf.DUMMYFUNCTION("GOOGLETRANSLATE(B4608,""en"",""de"")"),"Der Mann beginnt den Stuhl wieder mit dem, was in der gelben Flasche war.")</f>
        <v>Der Mann beginnt den Stuhl wieder mit dem, was in der gelben Flasche war.</v>
      </c>
    </row>
    <row r="4609">
      <c r="A4609" s="4" t="s">
        <v>5787</v>
      </c>
      <c r="B4609" s="4" t="s">
        <v>5798</v>
      </c>
      <c r="C4609" s="5" t="str">
        <f>IFERROR(__xludf.DUMMYFUNCTION("GOOGLETRANSLATE(B4609,""en"",""de"")"),"Danach wird das Kissen wieder auf den Stuhl gelegt, wenn es noch einmal abgewischt wird.")</f>
        <v>Danach wird das Kissen wieder auf den Stuhl gelegt, wenn es noch einmal abgewischt wird.</v>
      </c>
    </row>
    <row r="4610">
      <c r="A4610" s="4" t="s">
        <v>5799</v>
      </c>
      <c r="B4610" s="4" t="s">
        <v>5800</v>
      </c>
      <c r="C4610" s="5" t="str">
        <f>IFERROR(__xludf.DUMMYFUNCTION("GOOGLETRANSLATE(B4610,""en"",""de"")"),"Die Leute machen ein Loch am Ufer des Strandes mit Schaufeln.")</f>
        <v>Die Leute machen ein Loch am Ufer des Strandes mit Schaufeln.</v>
      </c>
    </row>
    <row r="4611">
      <c r="A4611" s="4" t="s">
        <v>5799</v>
      </c>
      <c r="B4611" s="4" t="s">
        <v>5801</v>
      </c>
      <c r="C4611" s="5" t="str">
        <f>IFERROR(__xludf.DUMMYFUNCTION("GOOGLETRANSLATE(B4611,""en"",""de"")"),"Dann machen die Leute eine Wand um das Loch.")</f>
        <v>Dann machen die Leute eine Wand um das Loch.</v>
      </c>
    </row>
    <row r="4612">
      <c r="A4612" s="4" t="s">
        <v>5802</v>
      </c>
      <c r="B4612" s="4" t="s">
        <v>5803</v>
      </c>
      <c r="C4612" s="5" t="str">
        <f>IFERROR(__xludf.DUMMYFUNCTION("GOOGLETRANSLATE(B4612,""en"",""de"")"),"Ein Mann redet, während er vor einem großen Fluss steht.")</f>
        <v>Ein Mann redet, während er vor einem großen Fluss steht.</v>
      </c>
    </row>
    <row r="4613">
      <c r="A4613" s="4" t="s">
        <v>5802</v>
      </c>
      <c r="B4613" s="4" t="s">
        <v>5804</v>
      </c>
      <c r="C4613" s="5" t="str">
        <f>IFERROR(__xludf.DUMMYFUNCTION("GOOGLETRANSLATE(B4613,""en"",""de"")"),"Eine Gruppe von Wildschweinen schwimmt hinter dem Boot und versucht mitzuhalten.")</f>
        <v>Eine Gruppe von Wildschweinen schwimmt hinter dem Boot und versucht mitzuhalten.</v>
      </c>
    </row>
    <row r="4614">
      <c r="A4614" s="4" t="s">
        <v>5802</v>
      </c>
      <c r="B4614" s="4" t="s">
        <v>5805</v>
      </c>
      <c r="C4614" s="5" t="str">
        <f>IFERROR(__xludf.DUMMYFUNCTION("GOOGLETRANSLATE(B4614,""en"",""de"")"),"Der Mann geht an Land, und er und ein Bootskumpel rennen am Strand und versuchen, den Schweinen zu entkommen.")</f>
        <v>Der Mann geht an Land, und er und ein Bootskumpel rennen am Strand und versuchen, den Schweinen zu entkommen.</v>
      </c>
    </row>
    <row r="4615">
      <c r="A4615" s="4" t="s">
        <v>5806</v>
      </c>
      <c r="B4615" s="4" t="s">
        <v>3714</v>
      </c>
      <c r="C4615" s="5" t="str">
        <f>IFERROR(__xludf.DUMMYFUNCTION("GOOGLETRANSLATE(B4615,""en"",""de"")"),"Wir sehen einen dunklen Öffnungsbildschirm.")</f>
        <v>Wir sehen einen dunklen Öffnungsbildschirm.</v>
      </c>
    </row>
    <row r="4616">
      <c r="A4616" s="4" t="s">
        <v>5806</v>
      </c>
      <c r="B4616" s="4" t="s">
        <v>5807</v>
      </c>
      <c r="C4616" s="5" t="str">
        <f>IFERROR(__xludf.DUMMYFUNCTION("GOOGLETRANSLATE(B4616,""en"",""de"")"),"Wir sehen dann zwei Männer, die Kampfkunst praktizieren.")</f>
        <v>Wir sehen dann zwei Männer, die Kampfkunst praktizieren.</v>
      </c>
    </row>
    <row r="4617">
      <c r="A4617" s="4" t="s">
        <v>5806</v>
      </c>
      <c r="B4617" s="4" t="s">
        <v>5808</v>
      </c>
      <c r="C4617" s="5" t="str">
        <f>IFERROR(__xludf.DUMMYFUNCTION("GOOGLETRANSLATE(B4617,""en"",""de"")"),"Der alte Mann schob die Jungen zu Boden.")</f>
        <v>Der alte Mann schob die Jungen zu Boden.</v>
      </c>
    </row>
    <row r="4618">
      <c r="A4618" s="4" t="s">
        <v>5806</v>
      </c>
      <c r="B4618" s="4" t="s">
        <v>5809</v>
      </c>
      <c r="C4618" s="5" t="str">
        <f>IFERROR(__xludf.DUMMYFUNCTION("GOOGLETRANSLATE(B4618,""en"",""de"")"),"Der ältere Mann dreht den Jungen um.")</f>
        <v>Der ältere Mann dreht den Jungen um.</v>
      </c>
    </row>
    <row r="4619">
      <c r="A4619" s="4" t="s">
        <v>5806</v>
      </c>
      <c r="B4619" s="4" t="s">
        <v>5810</v>
      </c>
      <c r="C4619" s="5" t="str">
        <f>IFERROR(__xludf.DUMMYFUNCTION("GOOGLETRANSLATE(B4619,""en"",""de"")"),"Der alte Mann drängt ihn vorwärts.")</f>
        <v>Der alte Mann drängt ihn vorwärts.</v>
      </c>
    </row>
    <row r="4620">
      <c r="A4620" s="4" t="s">
        <v>5806</v>
      </c>
      <c r="B4620" s="4" t="s">
        <v>5811</v>
      </c>
      <c r="C4620" s="5" t="str">
        <f>IFERROR(__xludf.DUMMYFUNCTION("GOOGLETRANSLATE(B4620,""en"",""de"")"),"Die Jungen packen den älteren Kopf und älter drückt ihn nach unten.")</f>
        <v>Die Jungen packen den älteren Kopf und älter drückt ihn nach unten.</v>
      </c>
    </row>
    <row r="4621">
      <c r="A4621" s="4" t="s">
        <v>5806</v>
      </c>
      <c r="B4621" s="4" t="s">
        <v>5812</v>
      </c>
      <c r="C4621" s="5" t="str">
        <f>IFERROR(__xludf.DUMMYFUNCTION("GOOGLETRANSLATE(B4621,""en"",""de"")"),"Der Mann in Grün wird über die Matte gedrückt.")</f>
        <v>Der Mann in Grün wird über die Matte gedrückt.</v>
      </c>
    </row>
    <row r="4622">
      <c r="A4622" s="4" t="s">
        <v>5806</v>
      </c>
      <c r="B4622" s="4" t="s">
        <v>5813</v>
      </c>
      <c r="C4622" s="5" t="str">
        <f>IFERROR(__xludf.DUMMYFUNCTION("GOOGLETRANSLATE(B4622,""en"",""de"")"),"Alter Mann Flip Man in Grün.")</f>
        <v>Alter Mann Flip Man in Grün.</v>
      </c>
    </row>
    <row r="4623">
      <c r="A4623" s="4" t="s">
        <v>5806</v>
      </c>
      <c r="B4623" s="4" t="s">
        <v>5814</v>
      </c>
      <c r="C4623" s="5" t="str">
        <f>IFERROR(__xludf.DUMMYFUNCTION("GOOGLETRANSLATE(B4623,""en"",""de"")"),"Der Mann in Weiß wird umgedreht.")</f>
        <v>Der Mann in Weiß wird umgedreht.</v>
      </c>
    </row>
    <row r="4624">
      <c r="A4624" s="4" t="s">
        <v>5806</v>
      </c>
      <c r="B4624" s="4" t="s">
        <v>5815</v>
      </c>
      <c r="C4624" s="5" t="str">
        <f>IFERROR(__xludf.DUMMYFUNCTION("GOOGLETRANSLATE(B4624,""en"",""de"")"),"Älterer Mann schiebt grünen Mann zum Erde.")</f>
        <v>Älterer Mann schiebt grünen Mann zum Erde.</v>
      </c>
    </row>
    <row r="4625">
      <c r="A4625" s="4" t="s">
        <v>5806</v>
      </c>
      <c r="B4625" s="4" t="s">
        <v>5816</v>
      </c>
      <c r="C4625" s="5" t="str">
        <f>IFERROR(__xludf.DUMMYFUNCTION("GOOGLETRANSLATE(B4625,""en"",""de"")"),"Älterer Mann rollt den Mann in Grün.")</f>
        <v>Älterer Mann rollt den Mann in Grün.</v>
      </c>
    </row>
    <row r="4626">
      <c r="A4626" s="4" t="s">
        <v>5817</v>
      </c>
      <c r="B4626" s="4" t="s">
        <v>5818</v>
      </c>
      <c r="C4626" s="5" t="str">
        <f>IFERROR(__xludf.DUMMYFUNCTION("GOOGLETRANSLATE(B4626,""en"",""de"")"),"Ein Mann spielt alleine Pool und schlägt Bälle mit einer Stange, während er um den Billardtisch geht.")</f>
        <v>Ein Mann spielt alleine Pool und schlägt Bälle mit einer Stange, während er um den Billardtisch geht.</v>
      </c>
    </row>
    <row r="4627">
      <c r="A4627" s="4" t="s">
        <v>5817</v>
      </c>
      <c r="B4627" s="4" t="s">
        <v>5819</v>
      </c>
      <c r="C4627" s="5" t="str">
        <f>IFERROR(__xludf.DUMMYFUNCTION("GOOGLETRANSLATE(B4627,""en"",""de"")"),"Dann schlug der Mann einen Ball, der den Korb betritt.")</f>
        <v>Dann schlug der Mann einen Ball, der den Korb betritt.</v>
      </c>
    </row>
    <row r="4628">
      <c r="A4628" s="4" t="s">
        <v>5817</v>
      </c>
      <c r="B4628" s="4" t="s">
        <v>5820</v>
      </c>
      <c r="C4628" s="5" t="str">
        <f>IFERROR(__xludf.DUMMYFUNCTION("GOOGLETRANSLATE(B4628,""en"",""de"")"),"Danach schüttelt der Mann Menschen aus dem Publikum.")</f>
        <v>Danach schüttelt der Mann Menschen aus dem Publikum.</v>
      </c>
    </row>
    <row r="4629">
      <c r="A4629" s="4" t="s">
        <v>5821</v>
      </c>
      <c r="B4629" s="4" t="s">
        <v>5822</v>
      </c>
      <c r="C4629" s="5" t="str">
        <f>IFERROR(__xludf.DUMMYFUNCTION("GOOGLETRANSLATE(B4629,""en"",""de"")"),"Zwei Jungen sitzen reden, während sie ihre Handys halten.")</f>
        <v>Zwei Jungen sitzen reden, während sie ihre Handys halten.</v>
      </c>
    </row>
    <row r="4630">
      <c r="A4630" s="4" t="s">
        <v>5821</v>
      </c>
      <c r="B4630" s="4" t="s">
        <v>5823</v>
      </c>
      <c r="C4630" s="5" t="str">
        <f>IFERROR(__xludf.DUMMYFUNCTION("GOOGLETRANSLATE(B4630,""en"",""de"")"),"Die Jungs ringen in Sumo -Kostümen, als zwei andere Jungen sie mit Kamera filmen.")</f>
        <v>Die Jungs ringen in Sumo -Kostümen, als zwei andere Jungen sie mit Kamera filmen.</v>
      </c>
    </row>
    <row r="4631">
      <c r="A4631" s="4" t="s">
        <v>5821</v>
      </c>
      <c r="B4631" s="4" t="s">
        <v>5824</v>
      </c>
      <c r="C4631" s="5" t="str">
        <f>IFERROR(__xludf.DUMMYFUNCTION("GOOGLETRANSLATE(B4631,""en"",""de"")"),"Ein Junge bekommt und schlägt den anderen mit einer Leiter und sie schlugen sich gegenseitig.")</f>
        <v>Ein Junge bekommt und schlägt den anderen mit einer Leiter und sie schlugen sich gegenseitig.</v>
      </c>
    </row>
    <row r="4632">
      <c r="A4632" s="4" t="s">
        <v>5821</v>
      </c>
      <c r="B4632" s="4" t="s">
        <v>5825</v>
      </c>
      <c r="C4632" s="5" t="str">
        <f>IFERROR(__xludf.DUMMYFUNCTION("GOOGLETRANSLATE(B4632,""en"",""de"")"),"Der Junge in Red greift und schlägt den grünen Jungen mit einer Gitarre auf der Leiter.")</f>
        <v>Der Junge in Red greift und schlägt den grünen Jungen mit einer Gitarre auf der Leiter.</v>
      </c>
    </row>
    <row r="4633">
      <c r="A4633" s="4" t="s">
        <v>5821</v>
      </c>
      <c r="B4633" s="4" t="s">
        <v>5826</v>
      </c>
      <c r="C4633" s="5" t="str">
        <f>IFERROR(__xludf.DUMMYFUNCTION("GOOGLETRANSLATE(B4633,""en"",""de"")"),"Der Red Boy bringt ein Bügelbrett und springt auf den anderen Jungen von der Leiter.")</f>
        <v>Der Red Boy bringt ein Bügelbrett und springt auf den anderen Jungen von der Leiter.</v>
      </c>
    </row>
    <row r="4634">
      <c r="A4634" s="4" t="s">
        <v>5821</v>
      </c>
      <c r="B4634" s="4" t="s">
        <v>5827</v>
      </c>
      <c r="C4634" s="5" t="str">
        <f>IFERROR(__xludf.DUMMYFUNCTION("GOOGLETRANSLATE(B4634,""en"",""de"")"),"Der grüne Junge trifft mit einem Minibike auf den anderen Jungen.")</f>
        <v>Der grüne Junge trifft mit einem Minibike auf den anderen Jungen.</v>
      </c>
    </row>
    <row r="4635">
      <c r="A4635" s="4" t="s">
        <v>5821</v>
      </c>
      <c r="B4635" s="4" t="s">
        <v>5828</v>
      </c>
      <c r="C4635" s="5" t="str">
        <f>IFERROR(__xludf.DUMMYFUNCTION("GOOGLETRANSLATE(B4635,""en"",""de"")"),"Ein Mädchen in einem Summenanzug in einer Radkarren und der Schiedsrichter zählt das Spiel wie fertig.")</f>
        <v>Ein Mädchen in einem Summenanzug in einer Radkarren und der Schiedsrichter zählt das Spiel wie fertig.</v>
      </c>
    </row>
    <row r="4636">
      <c r="A4636" s="4" t="s">
        <v>5821</v>
      </c>
      <c r="B4636" s="4" t="s">
        <v>777</v>
      </c>
      <c r="C4636" s="5" t="str">
        <f>IFERROR(__xludf.DUMMYFUNCTION("GOOGLETRANSLATE(B4636,""en"",""de"")"),"Wir sehen den End -Titelbildschirm.")</f>
        <v>Wir sehen den End -Titelbildschirm.</v>
      </c>
    </row>
    <row r="4637">
      <c r="A4637" s="4" t="s">
        <v>5829</v>
      </c>
      <c r="B4637" s="4" t="s">
        <v>5830</v>
      </c>
      <c r="C4637" s="5" t="str">
        <f>IFERROR(__xludf.DUMMYFUNCTION("GOOGLETRANSLATE(B4637,""en"",""de"")"),"Eine Frau steht in einer Küche und redet.")</f>
        <v>Eine Frau steht in einer Küche und redet.</v>
      </c>
    </row>
    <row r="4638">
      <c r="A4638" s="4" t="s">
        <v>5829</v>
      </c>
      <c r="B4638" s="4" t="s">
        <v>5831</v>
      </c>
      <c r="C4638" s="5" t="str">
        <f>IFERROR(__xludf.DUMMYFUNCTION("GOOGLETRANSLATE(B4638,""en"",""de"")"),"Sie geht zu einem Waschbecken, zieht Handschuhe an und wäscht Geschirr.")</f>
        <v>Sie geht zu einem Waschbecken, zieht Handschuhe an und wäscht Geschirr.</v>
      </c>
    </row>
    <row r="4639">
      <c r="A4639" s="4" t="s">
        <v>5832</v>
      </c>
      <c r="B4639" s="4" t="s">
        <v>5833</v>
      </c>
      <c r="C4639" s="5" t="str">
        <f>IFERROR(__xludf.DUMMYFUNCTION("GOOGLETRANSLATE(B4639,""en"",""de"")"),"Eine Frau steht in einer Küche.")</f>
        <v>Eine Frau steht in einer Küche.</v>
      </c>
    </row>
    <row r="4640">
      <c r="A4640" s="4" t="s">
        <v>5832</v>
      </c>
      <c r="B4640" s="4" t="s">
        <v>5834</v>
      </c>
      <c r="C4640" s="5" t="str">
        <f>IFERROR(__xludf.DUMMYFUNCTION("GOOGLETRANSLATE(B4640,""en"",""de"")"),"Sie steckt Zutaten in eine Glasschüssel und mischt sie zusammen.")</f>
        <v>Sie steckt Zutaten in eine Glasschüssel und mischt sie zusammen.</v>
      </c>
    </row>
    <row r="4641">
      <c r="A4641" s="4" t="s">
        <v>5832</v>
      </c>
      <c r="B4641" s="4" t="s">
        <v>5835</v>
      </c>
      <c r="C4641" s="5" t="str">
        <f>IFERROR(__xludf.DUMMYFUNCTION("GOOGLETRANSLATE(B4641,""en"",""de"")"),"Sie fängt an, Essen auf einem Block zu hacken.")</f>
        <v>Sie fängt an, Essen auf einem Block zu hacken.</v>
      </c>
    </row>
    <row r="4642">
      <c r="A4642" s="4" t="s">
        <v>5832</v>
      </c>
      <c r="B4642" s="4" t="s">
        <v>5836</v>
      </c>
      <c r="C4642" s="5" t="str">
        <f>IFERROR(__xludf.DUMMYFUNCTION("GOOGLETRANSLATE(B4642,""en"",""de"")"),"Sie kombiniert alle Zutaten in die Schüssel und mischt sie zusammen.")</f>
        <v>Sie kombiniert alle Zutaten in die Schüssel und mischt sie zusammen.</v>
      </c>
    </row>
    <row r="4643">
      <c r="A4643" s="4" t="s">
        <v>5832</v>
      </c>
      <c r="B4643" s="4" t="s">
        <v>5837</v>
      </c>
      <c r="C4643" s="5" t="str">
        <f>IFERROR(__xludf.DUMMYFUNCTION("GOOGLETRANSLATE(B4643,""en"",""de"")"),"Sie gottet Käse auf die Spitze des Essens.")</f>
        <v>Sie gottet Käse auf die Spitze des Essens.</v>
      </c>
    </row>
    <row r="4644">
      <c r="A4644" s="4" t="s">
        <v>5832</v>
      </c>
      <c r="B4644" s="4" t="s">
        <v>5838</v>
      </c>
      <c r="C4644" s="5" t="str">
        <f>IFERROR(__xludf.DUMMYFUNCTION("GOOGLETRANSLATE(B4644,""en"",""de"")"),"Sie setzt dann Salat darauf.")</f>
        <v>Sie setzt dann Salat darauf.</v>
      </c>
    </row>
    <row r="4645">
      <c r="A4645" s="4" t="s">
        <v>5839</v>
      </c>
      <c r="B4645" s="4" t="s">
        <v>5840</v>
      </c>
      <c r="C4645" s="5" t="str">
        <f>IFERROR(__xludf.DUMMYFUNCTION("GOOGLETRANSLATE(B4645,""en"",""de"")"),"Eine Frau demonstriert hinter einer Stehbartheke in einer Bar, wie man Getränke mit einem Schnapsglas und mehreren Flaschen Alkohol mischt.")</f>
        <v>Eine Frau demonstriert hinter einer Stehbartheke in einer Bar, wie man Getränke mit einem Schnapsglas und mehreren Flaschen Alkohol mischt.</v>
      </c>
    </row>
    <row r="4646">
      <c r="A4646" s="4" t="s">
        <v>5839</v>
      </c>
      <c r="B4646" s="4" t="s">
        <v>5841</v>
      </c>
      <c r="C4646" s="5" t="str">
        <f>IFERROR(__xludf.DUMMYFUNCTION("GOOGLETRANSLATE(B4646,""en"",""de"")"),"Eine Frau, die hinter einer Bar steht, spricht mit der Kamera und gießt eine Flasche Alkohol in ein Schnapsglas zusammen mit einer weiteren Flasche Alkohol.")</f>
        <v>Eine Frau, die hinter einer Bar steht, spricht mit der Kamera und gießt eine Flasche Alkohol in ein Schnapsglas zusammen mit einer weiteren Flasche Alkohol.</v>
      </c>
    </row>
    <row r="4647">
      <c r="A4647" s="4" t="s">
        <v>5839</v>
      </c>
      <c r="B4647" s="4" t="s">
        <v>5842</v>
      </c>
      <c r="C4647" s="5" t="str">
        <f>IFERROR(__xludf.DUMMYFUNCTION("GOOGLETRANSLATE(B4647,""en"",""de"")"),"Die Frau zieht dann eine größere Flasche Alkohol von der Bar und gießt sie auch in das Schnapsglas. Die Frau schiebt das Schnapsglas nach vorne in Richtung Kamera, bevor die Szene schwarz wird.")</f>
        <v>Die Frau zieht dann eine größere Flasche Alkohol von der Bar und gießt sie auch in das Schnapsglas. Die Frau schiebt das Schnapsglas nach vorne in Richtung Kamera, bevor die Szene schwarz wird.</v>
      </c>
    </row>
    <row r="4648">
      <c r="A4648" s="4" t="s">
        <v>5843</v>
      </c>
      <c r="B4648" s="4" t="s">
        <v>5844</v>
      </c>
      <c r="C4648" s="5" t="str">
        <f>IFERROR(__xludf.DUMMYFUNCTION("GOOGLETRANSLATE(B4648,""en"",""de"")"),"Ein Mann spricht mit der Kamera, während der Text auf dem Bildschirm angezeigt wird.")</f>
        <v>Ein Mann spricht mit der Kamera, während der Text auf dem Bildschirm angezeigt wird.</v>
      </c>
    </row>
    <row r="4649">
      <c r="A4649" s="4" t="s">
        <v>5843</v>
      </c>
      <c r="B4649" s="4" t="s">
        <v>5845</v>
      </c>
      <c r="C4649" s="5" t="str">
        <f>IFERROR(__xludf.DUMMYFUNCTION("GOOGLETRANSLATE(B4649,""en"",""de"")"),"Der Mann spricht weiter und führt zu ihm und spielt ein Instrument.")</f>
        <v>Der Mann spricht weiter und führt zu ihm und spielt ein Instrument.</v>
      </c>
    </row>
    <row r="4650">
      <c r="A4650" s="4" t="s">
        <v>5843</v>
      </c>
      <c r="B4650" s="4" t="s">
        <v>5846</v>
      </c>
      <c r="C4650" s="5" t="str">
        <f>IFERROR(__xludf.DUMMYFUNCTION("GOOGLETRANSLATE(B4650,""en"",""de"")"),"Er spielt an, um seine Hand zu halten, während er wieder spielt und dann aufhört.")</f>
        <v>Er spielt an, um seine Hand zu halten, während er wieder spielt und dann aufhört.</v>
      </c>
    </row>
    <row r="4651">
      <c r="A4651" s="4" t="s">
        <v>5847</v>
      </c>
      <c r="B4651" s="4" t="s">
        <v>5848</v>
      </c>
      <c r="C4651" s="5" t="str">
        <f>IFERROR(__xludf.DUMMYFUNCTION("GOOGLETRANSLATE(B4651,""en"",""de"")"),"Eine Person zieht das Seil eines Kamels, auf dem ein Mann sitzt.")</f>
        <v>Eine Person zieht das Seil eines Kamels, auf dem ein Mann sitzt.</v>
      </c>
    </row>
    <row r="4652">
      <c r="A4652" s="4" t="s">
        <v>5847</v>
      </c>
      <c r="B4652" s="4" t="s">
        <v>5849</v>
      </c>
      <c r="C4652" s="5" t="str">
        <f>IFERROR(__xludf.DUMMYFUNCTION("GOOGLETRANSLATE(B4652,""en"",""de"")"),"Ein Mann zieht ein Kamel mit zwei Menschen in der Wüste.")</f>
        <v>Ein Mann zieht ein Kamel mit zwei Menschen in der Wüste.</v>
      </c>
    </row>
    <row r="4653">
      <c r="A4653" s="4" t="s">
        <v>5847</v>
      </c>
      <c r="B4653" s="4" t="s">
        <v>5850</v>
      </c>
      <c r="C4653" s="5" t="str">
        <f>IFERROR(__xludf.DUMMYFUNCTION("GOOGLETRANSLATE(B4653,""en"",""de"")"),"Zwei Frauen sind in der Nähe der Kamele.")</f>
        <v>Zwei Frauen sind in der Nähe der Kamele.</v>
      </c>
    </row>
    <row r="4654">
      <c r="A4654" s="4" t="s">
        <v>5847</v>
      </c>
      <c r="B4654" s="4" t="s">
        <v>5851</v>
      </c>
      <c r="C4654" s="5" t="str">
        <f>IFERROR(__xludf.DUMMYFUNCTION("GOOGLETRANSLATE(B4654,""en"",""de"")"),"Ein Auto Pass hinter den Kamele.")</f>
        <v>Ein Auto Pass hinter den Kamele.</v>
      </c>
    </row>
    <row r="4655">
      <c r="A4655" s="4" t="s">
        <v>5852</v>
      </c>
      <c r="B4655" s="4" t="s">
        <v>5853</v>
      </c>
      <c r="C4655" s="5" t="str">
        <f>IFERROR(__xludf.DUMMYFUNCTION("GOOGLETRANSLATE(B4655,""en"",""de"")"),"Es werden mehrere Clips gezeigt, von denen Menschen Bowlingkugeln auf einer Spur sowie Nahaufnahmen von Bällen und Stiften werfen.")</f>
        <v>Es werden mehrere Clips gezeigt, von denen Menschen Bowlingkugeln auf einer Spur sowie Nahaufnahmen von Bällen und Stiften werfen.</v>
      </c>
    </row>
    <row r="4656">
      <c r="A4656" s="4" t="s">
        <v>5852</v>
      </c>
      <c r="B4656" s="4" t="s">
        <v>5854</v>
      </c>
      <c r="C4656" s="5" t="str">
        <f>IFERROR(__xludf.DUMMYFUNCTION("GOOGLETRANSLATE(B4656,""en"",""de"")"),"Die Leute bowlen weiter und die Maschine zeigt, wie sich die Stifte drehen und die Bälle nach hinten zurückkehren.")</f>
        <v>Die Leute bowlen weiter und die Maschine zeigt, wie sich die Stifte drehen und die Bälle nach hinten zurückkehren.</v>
      </c>
    </row>
    <row r="4657">
      <c r="A4657" s="4" t="s">
        <v>5855</v>
      </c>
      <c r="B4657" s="4" t="s">
        <v>5856</v>
      </c>
      <c r="C4657" s="5" t="str">
        <f>IFERROR(__xludf.DUMMYFUNCTION("GOOGLETRANSLATE(B4657,""en"",""de"")"),"Ein Haufen brauner Blätter auf grünem Gras blasen zusammen.")</f>
        <v>Ein Haufen brauner Blätter auf grünem Gras blasen zusammen.</v>
      </c>
    </row>
    <row r="4658">
      <c r="A4658" s="4" t="s">
        <v>5855</v>
      </c>
      <c r="B4658" s="4" t="s">
        <v>5857</v>
      </c>
      <c r="C4658" s="5" t="str">
        <f>IFERROR(__xludf.DUMMYFUNCTION("GOOGLETRANSLATE(B4658,""en"",""de"")"),"Das Ende des Blattgebläses liegt näher am Gras und bläst eine noch größere Fläche brauner Blätter.")</f>
        <v>Das Ende des Blattgebläses liegt näher am Gras und bläst eine noch größere Fläche brauner Blätter.</v>
      </c>
    </row>
    <row r="4659">
      <c r="A4659" s="4" t="s">
        <v>5855</v>
      </c>
      <c r="B4659" s="4" t="s">
        <v>5858</v>
      </c>
      <c r="C4659" s="5" t="str">
        <f>IFERROR(__xludf.DUMMYFUNCTION("GOOGLETRANSLATE(B4659,""en"",""de"")"),"Das Ende des Blattgebläses erscheint und verschwindet die ganze Zeit aus der Sicht.")</f>
        <v>Das Ende des Blattgebläses erscheint und verschwindet die ganze Zeit aus der Sicht.</v>
      </c>
    </row>
    <row r="4660">
      <c r="A4660" s="4" t="s">
        <v>5859</v>
      </c>
      <c r="B4660" s="4" t="s">
        <v>5860</v>
      </c>
      <c r="C4660" s="5" t="str">
        <f>IFERROR(__xludf.DUMMYFUNCTION("GOOGLETRANSLATE(B4660,""en"",""de"")"),"Die Leute reiten auf dem Rücken der Kamelen.")</f>
        <v>Die Leute reiten auf dem Rücken der Kamelen.</v>
      </c>
    </row>
    <row r="4661">
      <c r="A4661" s="4" t="s">
        <v>5859</v>
      </c>
      <c r="B4661" s="4" t="s">
        <v>5861</v>
      </c>
      <c r="C4661" s="5" t="str">
        <f>IFERROR(__xludf.DUMMYFUNCTION("GOOGLETRANSLATE(B4661,""en"",""de"")"),"Sie werden von einer Person einen Weg entlang geführt.")</f>
        <v>Sie werden von einer Person einen Weg entlang geführt.</v>
      </c>
    </row>
    <row r="4662">
      <c r="A4662" s="4" t="s">
        <v>5859</v>
      </c>
      <c r="B4662" s="4" t="s">
        <v>5862</v>
      </c>
      <c r="C4662" s="5" t="str">
        <f>IFERROR(__xludf.DUMMYFUNCTION("GOOGLETRANSLATE(B4662,""en"",""de"")"),"Die Leute stehen hinter einem Zaun und beobachten sie.")</f>
        <v>Die Leute stehen hinter einem Zaun und beobachten sie.</v>
      </c>
    </row>
    <row r="4663">
      <c r="A4663" s="4" t="s">
        <v>5859</v>
      </c>
      <c r="B4663" s="4" t="s">
        <v>5863</v>
      </c>
      <c r="C4663" s="5" t="str">
        <f>IFERROR(__xludf.DUMMYFUNCTION("GOOGLETRANSLATE(B4663,""en"",""de"")"),"Die Kamele legten sich auf den Boden und die Menschen treten von ihnen ab.")</f>
        <v>Die Kamele legten sich auf den Boden und die Menschen treten von ihnen ab.</v>
      </c>
    </row>
    <row r="4664">
      <c r="A4664" s="4" t="s">
        <v>5864</v>
      </c>
      <c r="B4664" s="4" t="s">
        <v>5865</v>
      </c>
      <c r="C4664" s="5" t="str">
        <f>IFERROR(__xludf.DUMMYFUNCTION("GOOGLETRANSLATE(B4664,""en"",""de"")"),"Ein Mädchen in einem BH steht in ihrem Badezimmer und streift ihre Haare.")</f>
        <v>Ein Mädchen in einem BH steht in ihrem Badezimmer und streift ihre Haare.</v>
      </c>
    </row>
    <row r="4665">
      <c r="A4665" s="4" t="s">
        <v>5864</v>
      </c>
      <c r="B4665" s="4" t="s">
        <v>5866</v>
      </c>
      <c r="C4665" s="5" t="str">
        <f>IFERROR(__xludf.DUMMYFUNCTION("GOOGLETRANSLATE(B4665,""en"",""de"")"),"Sie macht das für eine Weile und repariert es weiter.")</f>
        <v>Sie macht das für eine Weile und repariert es weiter.</v>
      </c>
    </row>
    <row r="4666">
      <c r="A4666" s="4" t="s">
        <v>5864</v>
      </c>
      <c r="B4666" s="4" t="s">
        <v>5867</v>
      </c>
      <c r="C4666" s="5" t="str">
        <f>IFERROR(__xludf.DUMMYFUNCTION("GOOGLETRANSLATE(B4666,""en"",""de"")"),"Sie streift es dann noch mehr, da es sehr lang ist.")</f>
        <v>Sie streift es dann noch mehr, da es sehr lang ist.</v>
      </c>
    </row>
    <row r="4667">
      <c r="A4667" s="4" t="s">
        <v>5864</v>
      </c>
      <c r="B4667" s="4" t="s">
        <v>5868</v>
      </c>
      <c r="C4667" s="5" t="str">
        <f>IFERROR(__xludf.DUMMYFUNCTION("GOOGLETRANSLATE(B4667,""en"",""de"")"),"Sie dreht sich um, um den Rücken zu bekommen.")</f>
        <v>Sie dreht sich um, um den Rücken zu bekommen.</v>
      </c>
    </row>
    <row r="4668">
      <c r="A4668" s="4" t="s">
        <v>5869</v>
      </c>
      <c r="B4668" s="4" t="s">
        <v>5870</v>
      </c>
      <c r="C4668" s="5" t="str">
        <f>IFERROR(__xludf.DUMMYFUNCTION("GOOGLETRANSLATE(B4668,""en"",""de"")"),"Ein Mann befindet sich in einer Scheune und wird auf einem Pferd herausgelassen, um eine Kuh am Pferd zu fangen.")</f>
        <v>Ein Mann befindet sich in einer Scheune und wird auf einem Pferd herausgelassen, um eine Kuh am Pferd zu fangen.</v>
      </c>
    </row>
    <row r="4669">
      <c r="A4669" s="4" t="s">
        <v>5869</v>
      </c>
      <c r="B4669" s="4" t="s">
        <v>5871</v>
      </c>
      <c r="C4669" s="5" t="str">
        <f>IFERROR(__xludf.DUMMYFUNCTION("GOOGLETRANSLATE(B4669,""en"",""de"")"),"Als er sein Lasso wirft, vermisst er die Kuh und rennt, um etwas zu bekommen, bevor er zurück in die Kuh geht.")</f>
        <v>Als er sein Lasso wirft, vermisst er die Kuh und rennt, um etwas zu bekommen, bevor er zurück in die Kuh geht.</v>
      </c>
    </row>
    <row r="4670">
      <c r="A4670" s="4" t="s">
        <v>5869</v>
      </c>
      <c r="B4670" s="4" t="s">
        <v>5872</v>
      </c>
      <c r="C4670" s="5" t="str">
        <f>IFERROR(__xludf.DUMMYFUNCTION("GOOGLETRANSLATE(B4670,""en"",""de"")"),"Der Mann nähert sich schließlich dem Kalb und ein anderer Mann kommt heraus, um ihm zu helfen, und er kehrt zum Pferd zurück.")</f>
        <v>Der Mann nähert sich schließlich dem Kalb und ein anderer Mann kommt heraus, um ihm zu helfen, und er kehrt zum Pferd zurück.</v>
      </c>
    </row>
    <row r="4671">
      <c r="A4671" s="4" t="s">
        <v>5873</v>
      </c>
      <c r="B4671" s="4" t="s">
        <v>5874</v>
      </c>
      <c r="C4671" s="5" t="str">
        <f>IFERROR(__xludf.DUMMYFUNCTION("GOOGLETRANSLATE(B4671,""en"",""de"")"),"Drei Männer, die an der Theke sitzen, sitzen fern und dann fingen meine Damen im Cheerdancing -Outfit zu tanzen, als die Männer sie anstarren.")</f>
        <v>Drei Männer, die an der Theke sitzen, sitzen fern und dann fingen meine Damen im Cheerdancing -Outfit zu tanzen, als die Männer sie anstarren.</v>
      </c>
    </row>
    <row r="4672">
      <c r="A4672" s="4" t="s">
        <v>5873</v>
      </c>
      <c r="B4672" s="4" t="s">
        <v>5875</v>
      </c>
      <c r="C4672" s="5" t="str">
        <f>IFERROR(__xludf.DUMMYFUNCTION("GOOGLETRANSLATE(B4672,""en"",""de"")"),"Die Damen fingen an zu tanzen und hob ihre Arme hoch und schwang ihren Körper.")</f>
        <v>Die Damen fingen an zu tanzen und hob ihre Arme hoch und schwang ihren Körper.</v>
      </c>
    </row>
    <row r="4673">
      <c r="A4673" s="4" t="s">
        <v>5873</v>
      </c>
      <c r="B4673" s="4" t="s">
        <v>5876</v>
      </c>
      <c r="C4673" s="5" t="str">
        <f>IFERROR(__xludf.DUMMYFUNCTION("GOOGLETRANSLATE(B4673,""en"",""de"")"),"Die Mädchen spielen mit den Jungs Billard und Tischfußball und sie tanzen.")</f>
        <v>Die Mädchen spielen mit den Jungs Billard und Tischfußball und sie tanzen.</v>
      </c>
    </row>
    <row r="4674">
      <c r="A4674" s="4" t="s">
        <v>5877</v>
      </c>
      <c r="B4674" s="4" t="s">
        <v>5878</v>
      </c>
      <c r="C4674" s="5" t="str">
        <f>IFERROR(__xludf.DUMMYFUNCTION("GOOGLETRANSLATE(B4674,""en"",""de"")"),"Es wird ein großes Grasfleck gezeigt.")</f>
        <v>Es wird ein großes Grasfleck gezeigt.</v>
      </c>
    </row>
    <row r="4675">
      <c r="A4675" s="4" t="s">
        <v>5877</v>
      </c>
      <c r="B4675" s="4" t="s">
        <v>5879</v>
      </c>
      <c r="C4675" s="5" t="str">
        <f>IFERROR(__xludf.DUMMYFUNCTION("GOOGLETRANSLATE(B4675,""en"",""de"")"),"Ein Mann mäht den Hof neben den Büschen.")</f>
        <v>Ein Mann mäht den Hof neben den Büschen.</v>
      </c>
    </row>
    <row r="4676">
      <c r="A4676" s="4" t="s">
        <v>5877</v>
      </c>
      <c r="B4676" s="4" t="s">
        <v>5880</v>
      </c>
      <c r="C4676" s="5" t="str">
        <f>IFERROR(__xludf.DUMMYFUNCTION("GOOGLETRANSLATE(B4676,""en"",""de"")"),"Er stoppt und spricht mit der Kamera.")</f>
        <v>Er stoppt und spricht mit der Kamera.</v>
      </c>
    </row>
    <row r="4677">
      <c r="A4677" s="4" t="s">
        <v>5881</v>
      </c>
      <c r="B4677" s="4" t="s">
        <v>5882</v>
      </c>
      <c r="C4677" s="5" t="str">
        <f>IFERROR(__xludf.DUMMYFUNCTION("GOOGLETRANSLATE(B4677,""en"",""de"")"),"Ein Mann in einem roten Hemd spricht vor einer Werkzeugwand, die aus Schraubenschlüssel, Schrauben, Axt und Bohrern besteht.")</f>
        <v>Ein Mann in einem roten Hemd spricht vor einer Werkzeugwand, die aus Schraubenschlüssel, Schrauben, Axt und Bohrern besteht.</v>
      </c>
    </row>
    <row r="4678">
      <c r="A4678" s="4" t="s">
        <v>5881</v>
      </c>
      <c r="B4678" s="4" t="s">
        <v>5883</v>
      </c>
      <c r="C4678" s="5" t="str">
        <f>IFERROR(__xludf.DUMMYFUNCTION("GOOGLETRANSLATE(B4678,""en"",""de"")"),"Dann hält er ein kleines Silberstück hoch und beginnt es in die Kette des Fahrrads zu stecken.")</f>
        <v>Dann hält er ein kleines Silberstück hoch und beginnt es in die Kette des Fahrrads zu stecken.</v>
      </c>
    </row>
    <row r="4679">
      <c r="A4679" s="4" t="s">
        <v>5881</v>
      </c>
      <c r="B4679" s="4" t="s">
        <v>5884</v>
      </c>
      <c r="C4679" s="5" t="str">
        <f>IFERROR(__xludf.DUMMYFUNCTION("GOOGLETRANSLATE(B4679,""en"",""de"")"),"Als nächstes nimmt er ein schwarzes Utensil, bewegt die Pedale herum und nimmt die Kette vollständig aus.")</f>
        <v>Als nächstes nimmt er ein schwarzes Utensil, bewegt die Pedale herum und nimmt die Kette vollständig aus.</v>
      </c>
    </row>
    <row r="4680">
      <c r="A4680" s="4" t="s">
        <v>5881</v>
      </c>
      <c r="B4680" s="4" t="s">
        <v>5885</v>
      </c>
      <c r="C4680" s="5" t="str">
        <f>IFERROR(__xludf.DUMMYFUNCTION("GOOGLETRANSLATE(B4680,""en"",""de"")"),"Dann nimmt er eine Schachtel mit einer neuen Kette darin und legt sie wieder auf das Fahrrad und beginnt die Kette zu verschärfen.")</f>
        <v>Dann nimmt er eine Schachtel mit einer neuen Kette darin und legt sie wieder auf das Fahrrad und beginnt die Kette zu verschärfen.</v>
      </c>
    </row>
    <row r="4681">
      <c r="A4681" s="4" t="s">
        <v>5886</v>
      </c>
      <c r="B4681" s="4" t="s">
        <v>5887</v>
      </c>
      <c r="C4681" s="5" t="str">
        <f>IFERROR(__xludf.DUMMYFUNCTION("GOOGLETRANSLATE(B4681,""en"",""de"")"),"Mehrere Personen, die Skateboard reiten, werden auf einem langen Hügel hinunterfahren, während die Kamera ihnen von hinten folgt.")</f>
        <v>Mehrere Personen, die Skateboard reiten, werden auf einem langen Hügel hinunterfahren, während die Kamera ihnen von hinten folgt.</v>
      </c>
    </row>
    <row r="4682">
      <c r="A4682" s="4" t="s">
        <v>5886</v>
      </c>
      <c r="B4682" s="4" t="s">
        <v>5888</v>
      </c>
      <c r="C4682" s="5" t="str">
        <f>IFERROR(__xludf.DUMMYFUNCTION("GOOGLETRANSLATE(B4682,""en"",""de"")"),"Der Kameramann fährt kontinuierlich eine kurvenreiche Straße hinunter an einer Gruppe von Bäumen vorbei und hält am Boden an, um sich mit einer anderen zu treffen.")</f>
        <v>Der Kameramann fährt kontinuierlich eine kurvenreiche Straße hinunter an einer Gruppe von Bäumen vorbei und hält am Boden an, um sich mit einer anderen zu treffen.</v>
      </c>
    </row>
    <row r="4683">
      <c r="A4683" s="4" t="s">
        <v>5886</v>
      </c>
      <c r="B4683" s="4" t="s">
        <v>5889</v>
      </c>
      <c r="C4683" s="5" t="str">
        <f>IFERROR(__xludf.DUMMYFUNCTION("GOOGLETRANSLATE(B4683,""en"",""de"")"),"Es wird mehr Reiten den Hügel hinunter gezeigt und endet mit dem Camerman, der sich umdreht.")</f>
        <v>Es wird mehr Reiten den Hügel hinunter gezeigt und endet mit dem Camerman, der sich umdreht.</v>
      </c>
    </row>
    <row r="4684">
      <c r="A4684" s="4" t="s">
        <v>5890</v>
      </c>
      <c r="B4684" s="4" t="s">
        <v>5891</v>
      </c>
      <c r="C4684" s="5" t="str">
        <f>IFERROR(__xludf.DUMMYFUNCTION("GOOGLETRANSLATE(B4684,""en"",""de"")"),"Eine Dame in einem Fitnessstudio schlägt beide Arme über ihre Brust.")</f>
        <v>Eine Dame in einem Fitnessstudio schlägt beide Arme über ihre Brust.</v>
      </c>
    </row>
    <row r="4685">
      <c r="A4685" s="4" t="s">
        <v>5890</v>
      </c>
      <c r="B4685" s="4" t="s">
        <v>5892</v>
      </c>
      <c r="C4685" s="5" t="str">
        <f>IFERROR(__xludf.DUMMYFUNCTION("GOOGLETRANSLATE(B4685,""en"",""de"")"),"Die Dame tritt dann ihr linkes Bein in die Luft und dann die rechte hinter sich.")</f>
        <v>Die Dame tritt dann ihr linkes Bein in die Luft und dann die rechte hinter sich.</v>
      </c>
    </row>
    <row r="4686">
      <c r="A4686" s="4" t="s">
        <v>5890</v>
      </c>
      <c r="B4686" s="4" t="s">
        <v>5893</v>
      </c>
      <c r="C4686" s="5" t="str">
        <f>IFERROR(__xludf.DUMMYFUNCTION("GOOGLETRANSLATE(B4686,""en"",""de"")"),"Die Dame wiederholt diese Sequenz immer und immer wieder.")</f>
        <v>Die Dame wiederholt diese Sequenz immer und immer wieder.</v>
      </c>
    </row>
    <row r="4687">
      <c r="A4687" s="4" t="s">
        <v>5894</v>
      </c>
      <c r="B4687" s="4" t="s">
        <v>5895</v>
      </c>
      <c r="C4687" s="5" t="str">
        <f>IFERROR(__xludf.DUMMYFUNCTION("GOOGLETRANSLATE(B4687,""en"",""de"")"),"Hockeyspieler spielen ein Hockeyspiel auf dem Eis.")</f>
        <v>Hockeyspieler spielen ein Hockeyspiel auf dem Eis.</v>
      </c>
    </row>
    <row r="4688">
      <c r="A4688" s="4" t="s">
        <v>5894</v>
      </c>
      <c r="B4688" s="4" t="s">
        <v>5896</v>
      </c>
      <c r="C4688" s="5" t="str">
        <f>IFERROR(__xludf.DUMMYFUNCTION("GOOGLETRANSLATE(B4688,""en"",""de"")"),"Eine Menge beobachtet sie spielen.")</f>
        <v>Eine Menge beobachtet sie spielen.</v>
      </c>
    </row>
    <row r="4689">
      <c r="A4689" s="4" t="s">
        <v>5894</v>
      </c>
      <c r="B4689" s="4" t="s">
        <v>5897</v>
      </c>
      <c r="C4689" s="5" t="str">
        <f>IFERROR(__xludf.DUMMYFUNCTION("GOOGLETRANSLATE(B4689,""en"",""de"")"),"Ein Mann in Gelb fällt auf das Eis.")</f>
        <v>Ein Mann in Gelb fällt auf das Eis.</v>
      </c>
    </row>
    <row r="4690">
      <c r="A4690" s="4" t="s">
        <v>5894</v>
      </c>
      <c r="B4690" s="4" t="s">
        <v>5898</v>
      </c>
      <c r="C4690" s="5" t="str">
        <f>IFERROR(__xludf.DUMMYFUNCTION("GOOGLETRANSLATE(B4690,""en"",""de"")"),"Ein Mann in einem Anzug spricht mit Hockeyspieler.")</f>
        <v>Ein Mann in einem Anzug spricht mit Hockeyspieler.</v>
      </c>
    </row>
    <row r="4691">
      <c r="A4691" s="4" t="s">
        <v>5899</v>
      </c>
      <c r="B4691" s="4" t="s">
        <v>1487</v>
      </c>
      <c r="C4691" s="5" t="str">
        <f>IFERROR(__xludf.DUMMYFUNCTION("GOOGLETRANSLATE(B4691,""en"",""de"")"),"Wir sehen einen Öffnungsbildschirm.")</f>
        <v>Wir sehen einen Öffnungsbildschirm.</v>
      </c>
    </row>
    <row r="4692">
      <c r="A4692" s="4" t="s">
        <v>5899</v>
      </c>
      <c r="B4692" s="4" t="s">
        <v>5900</v>
      </c>
      <c r="C4692" s="5" t="str">
        <f>IFERROR(__xludf.DUMMYFUNCTION("GOOGLETRANSLATE(B4692,""en"",""de"")"),"Ein Mann sprüht eine Spüle mit einer Druckreiniger.")</f>
        <v>Ein Mann sprüht eine Spüle mit einer Druckreiniger.</v>
      </c>
    </row>
    <row r="4693">
      <c r="A4693" s="4" t="s">
        <v>5899</v>
      </c>
      <c r="B4693" s="4" t="s">
        <v>5901</v>
      </c>
      <c r="C4693" s="5" t="str">
        <f>IFERROR(__xludf.DUMMYFUNCTION("GOOGLETRANSLATE(B4693,""en"",""de"")"),"Der Mann sprüht eine Toilette und sprüht dann das Waschbecken erneut.")</f>
        <v>Der Mann sprüht eine Toilette und sprüht dann das Waschbecken erneut.</v>
      </c>
    </row>
    <row r="4694">
      <c r="A4694" s="4" t="s">
        <v>5899</v>
      </c>
      <c r="B4694" s="4" t="s">
        <v>5902</v>
      </c>
      <c r="C4694" s="5" t="str">
        <f>IFERROR(__xludf.DUMMYFUNCTION("GOOGLETRANSLATE(B4694,""en"",""de"")"),"Wir sehen einen Titelbildschirm, den der Mann die Maschine anzeigt und ein Zifferblatt dreht und den Boden, die Spüle, die Toilette und den Spiegel ablegen.")</f>
        <v>Wir sehen einen Titelbildschirm, den der Mann die Maschine anzeigt und ein Zifferblatt dreht und den Boden, die Spüle, die Toilette und den Spiegel ablegen.</v>
      </c>
    </row>
    <row r="4695">
      <c r="A4695" s="4" t="s">
        <v>5899</v>
      </c>
      <c r="B4695" s="4" t="s">
        <v>5903</v>
      </c>
      <c r="C4695" s="5" t="str">
        <f>IFERROR(__xludf.DUMMYFUNCTION("GOOGLETRANSLATE(B4695,""en"",""de"")"),"Der Mann benutzt eine Rakel auf dem Spiegel.")</f>
        <v>Der Mann benutzt eine Rakel auf dem Spiegel.</v>
      </c>
    </row>
    <row r="4696">
      <c r="A4696" s="4" t="s">
        <v>5899</v>
      </c>
      <c r="B4696" s="4" t="s">
        <v>5904</v>
      </c>
      <c r="C4696" s="5" t="str">
        <f>IFERROR(__xludf.DUMMYFUNCTION("GOOGLETRANSLATE(B4696,""en"",""de"")"),"Der Mann passt die Maschine an und schlägt einen Schlauch an und fasst die Spüle mit Luft ab und mopt den Boden.")</f>
        <v>Der Mann passt die Maschine an und schlägt einen Schlauch an und fasst die Spüle mit Luft ab und mopt den Boden.</v>
      </c>
    </row>
    <row r="4697">
      <c r="A4697" s="4" t="s">
        <v>5905</v>
      </c>
      <c r="B4697" s="4" t="s">
        <v>5906</v>
      </c>
      <c r="C4697" s="5" t="str">
        <f>IFERROR(__xludf.DUMMYFUNCTION("GOOGLETRANSLATE(B4697,""en"",""de"")"),"Wir sehen einen Mann, der in einem Park schwingt.")</f>
        <v>Wir sehen einen Mann, der in einem Park schwingt.</v>
      </c>
    </row>
    <row r="4698">
      <c r="A4698" s="4" t="s">
        <v>5905</v>
      </c>
      <c r="B4698" s="4" t="s">
        <v>5907</v>
      </c>
      <c r="C4698" s="5" t="str">
        <f>IFERROR(__xludf.DUMMYFUNCTION("GOOGLETRANSLATE(B4698,""en"",""de"")"),"Der Mann steht, während er sich am Schwung festhält.")</f>
        <v>Der Mann steht, während er sich am Schwung festhält.</v>
      </c>
    </row>
    <row r="4699">
      <c r="A4699" s="4" t="s">
        <v>5905</v>
      </c>
      <c r="B4699" s="4" t="s">
        <v>5908</v>
      </c>
      <c r="C4699" s="5" t="str">
        <f>IFERROR(__xludf.DUMMYFUNCTION("GOOGLETRANSLATE(B4699,""en"",""de"")"),"Der Mann steht wieder und wir sehen ein kleines Mädchen.")</f>
        <v>Der Mann steht wieder und wir sehen ein kleines Mädchen.</v>
      </c>
    </row>
    <row r="4700">
      <c r="A4700" s="4" t="s">
        <v>5905</v>
      </c>
      <c r="B4700" s="4" t="s">
        <v>5909</v>
      </c>
      <c r="C4700" s="5" t="str">
        <f>IFERROR(__xludf.DUMMYFUNCTION("GOOGLETRANSLATE(B4700,""en"",""de"")"),"Eine Dame versucht das Mädchen in die Schwung zu bringen, aber sie schwingt alleine.")</f>
        <v>Eine Dame versucht das Mädchen in die Schwung zu bringen, aber sie schwingt alleine.</v>
      </c>
    </row>
    <row r="4701">
      <c r="A4701" s="4" t="s">
        <v>5910</v>
      </c>
      <c r="B4701" s="4" t="s">
        <v>5911</v>
      </c>
      <c r="C4701" s="5" t="str">
        <f>IFERROR(__xludf.DUMMYFUNCTION("GOOGLETRANSLATE(B4701,""en"",""de"")"),"Der Mensch steht in einer Konkurrenz in der Bühne und macht Gymnastik.")</f>
        <v>Der Mensch steht in einer Konkurrenz in der Bühne und macht Gymnastik.</v>
      </c>
    </row>
    <row r="4702">
      <c r="A4702" s="4" t="s">
        <v>5910</v>
      </c>
      <c r="B4702" s="4" t="s">
        <v>5912</v>
      </c>
      <c r="C4702" s="5" t="str">
        <f>IFERROR(__xludf.DUMMYFUNCTION("GOOGLETRANSLATE(B4702,""en"",""de"")"),"Der Mensch hält einen Video -Rekorder.")</f>
        <v>Der Mensch hält einen Video -Rekorder.</v>
      </c>
    </row>
    <row r="4703">
      <c r="A4703" s="4" t="s">
        <v>5913</v>
      </c>
      <c r="B4703" s="4" t="s">
        <v>5914</v>
      </c>
      <c r="C4703" s="5" t="str">
        <f>IFERROR(__xludf.DUMMYFUNCTION("GOOGLETRANSLATE(B4703,""en"",""de"")"),"Ein Junge hält eine Eiskegel zu einem Baby, das auf einem Hochstuhlsitz sitzt.")</f>
        <v>Ein Junge hält eine Eiskegel zu einem Baby, das auf einem Hochstuhlsitz sitzt.</v>
      </c>
    </row>
    <row r="4704">
      <c r="A4704" s="4" t="s">
        <v>5913</v>
      </c>
      <c r="B4704" s="4" t="s">
        <v>5915</v>
      </c>
      <c r="C4704" s="5" t="str">
        <f>IFERROR(__xludf.DUMMYFUNCTION("GOOGLETRANSLATE(B4704,""en"",""de"")"),"Das Baby genießt den Eiskegel.")</f>
        <v>Das Baby genießt den Eiskegel.</v>
      </c>
    </row>
    <row r="4705">
      <c r="A4705" s="4" t="s">
        <v>5916</v>
      </c>
      <c r="B4705" s="4" t="s">
        <v>5917</v>
      </c>
      <c r="C4705" s="5" t="str">
        <f>IFERROR(__xludf.DUMMYFUNCTION("GOOGLETRANSLATE(B4705,""en"",""de"")"),"Ein Mann in einem schwarzen Hemd spricht draußen in der Nähe eines Leichtathletiks.")</f>
        <v>Ein Mann in einem schwarzen Hemd spricht draußen in der Nähe eines Leichtathletiks.</v>
      </c>
    </row>
    <row r="4706">
      <c r="A4706" s="4" t="s">
        <v>5916</v>
      </c>
      <c r="B4706" s="4" t="s">
        <v>5918</v>
      </c>
      <c r="C4706" s="5" t="str">
        <f>IFERROR(__xludf.DUMMYFUNCTION("GOOGLETRANSLATE(B4706,""en"",""de"")"),"Dann geht er zu einem studentischen Athleten der Florida State University.")</f>
        <v>Dann geht er zu einem studentischen Athleten der Florida State University.</v>
      </c>
    </row>
    <row r="4707">
      <c r="A4707" s="4" t="s">
        <v>5916</v>
      </c>
      <c r="B4707" s="4" t="s">
        <v>5919</v>
      </c>
      <c r="C4707" s="5" t="str">
        <f>IFERROR(__xludf.DUMMYFUNCTION("GOOGLETRANSLATE(B4707,""en"",""de"")"),"Der Athlet beginnt dann zu reden und zeigt verschiedene Techniken, die sie verwendet.")</f>
        <v>Der Athlet beginnt dann zu reden und zeigt verschiedene Techniken, die sie verwendet.</v>
      </c>
    </row>
    <row r="4708">
      <c r="A4708" s="4" t="s">
        <v>5916</v>
      </c>
      <c r="B4708" s="4" t="s">
        <v>5920</v>
      </c>
      <c r="C4708" s="5" t="str">
        <f>IFERROR(__xludf.DUMMYFUNCTION("GOOGLETRANSLATE(B4708,""en"",""de"")"),"Sobald sie endet, beginnt sie einen dreifachen Sprung in die Grube, sie versucht erneut, und dann beginnt der Mann, der sie interviewt, den gleichen Sprung.")</f>
        <v>Sobald sie endet, beginnt sie einen dreifachen Sprung in die Grube, sie versucht erneut, und dann beginnt der Mann, der sie interviewt, den gleichen Sprung.</v>
      </c>
    </row>
    <row r="4709">
      <c r="A4709" s="4" t="s">
        <v>5916</v>
      </c>
      <c r="B4709" s="4" t="s">
        <v>5921</v>
      </c>
      <c r="C4709" s="5" t="str">
        <f>IFERROR(__xludf.DUMMYFUNCTION("GOOGLETRANSLATE(B4709,""en"",""de"")"),"Die beiden kommen zurück zur Kamera und beenden und reden, sie blitzt ihre Daumen hoch und geht dann.")</f>
        <v>Die beiden kommen zurück zur Kamera und beenden und reden, sie blitzt ihre Daumen hoch und geht dann.</v>
      </c>
    </row>
    <row r="4710">
      <c r="A4710" s="4" t="s">
        <v>5922</v>
      </c>
      <c r="B4710" s="4" t="s">
        <v>5923</v>
      </c>
      <c r="C4710" s="5" t="str">
        <f>IFERROR(__xludf.DUMMYFUNCTION("GOOGLETRANSLATE(B4710,""en"",""de"")"),"In einem großen Kreis, der von Menschen umgeben ist, werden zwei Menschen in einem großen Kreis umeinander herum und treten sie umeinander.")</f>
        <v>In einem großen Kreis, der von Menschen umgeben ist, werden zwei Menschen in einem großen Kreis umeinander herum und treten sie umeinander.</v>
      </c>
    </row>
    <row r="4711">
      <c r="A4711" s="4" t="s">
        <v>5922</v>
      </c>
      <c r="B4711" s="4" t="s">
        <v>5924</v>
      </c>
      <c r="C4711" s="5" t="str">
        <f>IFERROR(__xludf.DUMMYFUNCTION("GOOGLETRANSLATE(B4711,""en"",""de"")"),"Weitere Leute schließen sich den Tritten und Flips an, während andere sie nebenbei beobachten und klatschen.")</f>
        <v>Weitere Leute schließen sich den Tritten und Flips an, während andere sie nebenbei beobachten und klatschen.</v>
      </c>
    </row>
    <row r="4712">
      <c r="A4712" s="4" t="s">
        <v>5925</v>
      </c>
      <c r="B4712" s="4" t="s">
        <v>5926</v>
      </c>
      <c r="C4712" s="5" t="str">
        <f>IFERROR(__xludf.DUMMYFUNCTION("GOOGLETRANSLATE(B4712,""en"",""de"")"),"Wir sehen einen Titel über ein Bild eines Autos.")</f>
        <v>Wir sehen einen Titel über ein Bild eines Autos.</v>
      </c>
    </row>
    <row r="4713">
      <c r="A4713" s="4" t="s">
        <v>5925</v>
      </c>
      <c r="B4713" s="4" t="s">
        <v>5927</v>
      </c>
      <c r="C4713" s="5" t="str">
        <f>IFERROR(__xludf.DUMMYFUNCTION("GOOGLETRANSLATE(B4713,""en"",""de"")"),"Wir sehen einen Mann als nächstes sitzen und über das Auto sprechen.")</f>
        <v>Wir sehen einen Mann als nächstes sitzen und über das Auto sprechen.</v>
      </c>
    </row>
    <row r="4714">
      <c r="A4714" s="4" t="s">
        <v>5925</v>
      </c>
      <c r="B4714" s="4" t="s">
        <v>5928</v>
      </c>
      <c r="C4714" s="5" t="str">
        <f>IFERROR(__xludf.DUMMYFUNCTION("GOOGLETRANSLATE(B4714,""en"",""de"")"),"Der Mann legt einen Ziegelstein hinter seinen Reifen und greift nach seinen Vorräten, um seinen Reifen zu wechseln.")</f>
        <v>Der Mann legt einen Ziegelstein hinter seinen Reifen und greift nach seinen Vorräten, um seinen Reifen zu wechseln.</v>
      </c>
    </row>
    <row r="4715">
      <c r="A4715" s="4" t="s">
        <v>5925</v>
      </c>
      <c r="B4715" s="4" t="s">
        <v>5929</v>
      </c>
      <c r="C4715" s="5" t="str">
        <f>IFERROR(__xludf.DUMMYFUNCTION("GOOGLETRANSLATE(B4715,""en"",""de"")"),"Der Mann lockert die Schrauben und baut das Auto auf und entfernt den Reifen.")</f>
        <v>Der Mann lockert die Schrauben und baut das Auto auf und entfernt den Reifen.</v>
      </c>
    </row>
    <row r="4716">
      <c r="A4716" s="4" t="s">
        <v>5925</v>
      </c>
      <c r="B4716" s="4" t="s">
        <v>5930</v>
      </c>
      <c r="C4716" s="5" t="str">
        <f>IFERROR(__xludf.DUMMYFUNCTION("GOOGLETRANSLATE(B4716,""en"",""de"")"),"Der Mann zieht sein Ersatz an und senkt das Auto zu Boden.")</f>
        <v>Der Mann zieht sein Ersatz an und senkt das Auto zu Boden.</v>
      </c>
    </row>
    <row r="4717">
      <c r="A4717" s="4" t="s">
        <v>5925</v>
      </c>
      <c r="B4717" s="4" t="s">
        <v>5931</v>
      </c>
      <c r="C4717" s="5" t="str">
        <f>IFERROR(__xludf.DUMMYFUNCTION("GOOGLETRANSLATE(B4717,""en"",""de"")"),"Der Mann legt seine Vorräte weg und fährt weg.")</f>
        <v>Der Mann legt seine Vorräte weg und fährt weg.</v>
      </c>
    </row>
    <row r="4718">
      <c r="A4718" s="4" t="s">
        <v>5925</v>
      </c>
      <c r="B4718" s="4" t="s">
        <v>5932</v>
      </c>
      <c r="C4718" s="5" t="str">
        <f>IFERROR(__xludf.DUMMYFUNCTION("GOOGLETRANSLATE(B4718,""en"",""de"")"),"Der Mann hält in der Nähe der Kamera an und spricht vor dem Fahren.")</f>
        <v>Der Mann hält in der Nähe der Kamera an und spricht vor dem Fahren.</v>
      </c>
    </row>
    <row r="4719">
      <c r="A4719" s="4" t="s">
        <v>5925</v>
      </c>
      <c r="B4719" s="4" t="s">
        <v>777</v>
      </c>
      <c r="C4719" s="5" t="str">
        <f>IFERROR(__xludf.DUMMYFUNCTION("GOOGLETRANSLATE(B4719,""en"",""de"")"),"Wir sehen den End -Titelbildschirm.")</f>
        <v>Wir sehen den End -Titelbildschirm.</v>
      </c>
    </row>
    <row r="4720">
      <c r="A4720" s="4" t="s">
        <v>5933</v>
      </c>
      <c r="B4720" s="4" t="s">
        <v>5934</v>
      </c>
      <c r="C4720" s="5" t="str">
        <f>IFERROR(__xludf.DUMMYFUNCTION("GOOGLETRANSLATE(B4720,""en"",""de"")"),"Eine Kamera schwenkt rund um einen beheizten Pool und führt in eine Person, die in einem Kajak klettern und sich um den Pool bewegt.")</f>
        <v>Eine Kamera schwenkt rund um einen beheizten Pool und führt in eine Person, die in einem Kajak klettern und sich um den Pool bewegt.</v>
      </c>
    </row>
    <row r="4721">
      <c r="A4721" s="4" t="s">
        <v>5933</v>
      </c>
      <c r="B4721" s="4" t="s">
        <v>5935</v>
      </c>
      <c r="C4721" s="5" t="str">
        <f>IFERROR(__xludf.DUMMYFUNCTION("GOOGLETRANSLATE(B4721,""en"",""de"")"),"Mehrere Menschen sahen Kajaks durch den Pool reiten und Menschen herumschwimmen und am Rande beobachteten.")</f>
        <v>Mehrere Menschen sahen Kajaks durch den Pool reiten und Menschen herumschwimmen und am Rande beobachteten.</v>
      </c>
    </row>
    <row r="4722">
      <c r="A4722" s="4" t="s">
        <v>5933</v>
      </c>
      <c r="B4722" s="4" t="s">
        <v>5936</v>
      </c>
      <c r="C4722" s="5" t="str">
        <f>IFERROR(__xludf.DUMMYFUNCTION("GOOGLETRANSLATE(B4722,""en"",""de"")"),"Die Männer bewegen sich weiterhin in verschiedenen Winkeln und werden unter Wasser schwimmen und miteinander spielen.")</f>
        <v>Die Männer bewegen sich weiterhin in verschiedenen Winkeln und werden unter Wasser schwimmen und miteinander spielen.</v>
      </c>
    </row>
    <row r="4723">
      <c r="A4723" s="4" t="s">
        <v>5937</v>
      </c>
      <c r="B4723" s="4" t="s">
        <v>5938</v>
      </c>
      <c r="C4723" s="5" t="str">
        <f>IFERROR(__xludf.DUMMYFUNCTION("GOOGLETRANSLATE(B4723,""en"",""de"")"),"Howcast -Logo ist auf dem Bildschirm.")</f>
        <v>Howcast -Logo ist auf dem Bildschirm.</v>
      </c>
    </row>
    <row r="4724">
      <c r="A4724" s="4" t="s">
        <v>5937</v>
      </c>
      <c r="B4724" s="4" t="s">
        <v>5939</v>
      </c>
      <c r="C4724" s="5" t="str">
        <f>IFERROR(__xludf.DUMMYFUNCTION("GOOGLETRANSLATE(B4724,""en"",""de"")"),"Zwei Männer sitzen mitten im Trommeln und erklären über die Instrumente.")</f>
        <v>Zwei Männer sitzen mitten im Trommeln und erklären über die Instrumente.</v>
      </c>
    </row>
    <row r="4725">
      <c r="A4725" s="4" t="s">
        <v>5937</v>
      </c>
      <c r="B4725" s="4" t="s">
        <v>5940</v>
      </c>
      <c r="C4725" s="5" t="str">
        <f>IFERROR(__xludf.DUMMYFUNCTION("GOOGLETRANSLATE(B4725,""en"",""de"")"),"Die Männer beginnen Schlagzeug zu spielen.")</f>
        <v>Die Männer beginnen Schlagzeug zu spielen.</v>
      </c>
    </row>
    <row r="4726">
      <c r="A4726" s="4" t="s">
        <v>5937</v>
      </c>
      <c r="B4726" s="4" t="s">
        <v>5941</v>
      </c>
      <c r="C4726" s="5" t="str">
        <f>IFERROR(__xludf.DUMMYFUNCTION("GOOGLETRANSLATE(B4726,""en"",""de"")"),"Das geht zurück zum Schlagzeug.")</f>
        <v>Das geht zurück zum Schlagzeug.</v>
      </c>
    </row>
    <row r="4727">
      <c r="A4727" s="4" t="s">
        <v>5942</v>
      </c>
      <c r="B4727" s="4" t="s">
        <v>5943</v>
      </c>
      <c r="C4727" s="5" t="str">
        <f>IFERROR(__xludf.DUMMYFUNCTION("GOOGLETRANSLATE(B4727,""en"",""de"")"),"Die Menschen fahren einen Hügel hinunter und fallen weiter hinunter und rutschen den Hügel hinunter.")</f>
        <v>Die Menschen fahren einen Hügel hinunter und fallen weiter hinunter und rutschen den Hügel hinunter.</v>
      </c>
    </row>
    <row r="4728">
      <c r="A4728" s="4" t="s">
        <v>5942</v>
      </c>
      <c r="B4728" s="4" t="s">
        <v>5944</v>
      </c>
      <c r="C4728" s="5" t="str">
        <f>IFERROR(__xludf.DUMMYFUNCTION("GOOGLETRANSLATE(B4728,""en"",""de"")"),"Eine Person stürzt gegen einen Zaun.")</f>
        <v>Eine Person stürzt gegen einen Zaun.</v>
      </c>
    </row>
    <row r="4729">
      <c r="A4729" s="4" t="s">
        <v>5945</v>
      </c>
      <c r="B4729" s="4" t="s">
        <v>5946</v>
      </c>
      <c r="C4729" s="5" t="str">
        <f>IFERROR(__xludf.DUMMYFUNCTION("GOOGLETRANSLATE(B4729,""en"",""de"")"),"Ein Pinsel und zwei Arten von Farbe befinden sich auf einem Tisch.")</f>
        <v>Ein Pinsel und zwei Arten von Farbe befinden sich auf einem Tisch.</v>
      </c>
    </row>
    <row r="4730">
      <c r="A4730" s="4" t="s">
        <v>5945</v>
      </c>
      <c r="B4730" s="4" t="s">
        <v>5947</v>
      </c>
      <c r="C4730" s="5" t="str">
        <f>IFERROR(__xludf.DUMMYFUNCTION("GOOGLETRANSLATE(B4730,""en"",""de"")"),"Der Reifen eines Stricks wird auf Stoff liegen und eine Frau malt ein Design in das Tuch.")</f>
        <v>Der Reifen eines Stricks wird auf Stoff liegen und eine Frau malt ein Design in das Tuch.</v>
      </c>
    </row>
    <row r="4731">
      <c r="A4731" s="4" t="s">
        <v>5945</v>
      </c>
      <c r="B4731" s="4" t="s">
        <v>5948</v>
      </c>
      <c r="C4731" s="5" t="str">
        <f>IFERROR(__xludf.DUMMYFUNCTION("GOOGLETRANSLATE(B4731,""en"",""de"")"),"Sie bildet viele Blätter und Blumen in orangefarbenen Farben.")</f>
        <v>Sie bildet viele Blätter und Blumen in orangefarbenen Farben.</v>
      </c>
    </row>
    <row r="4732">
      <c r="A4732" s="4" t="s">
        <v>5945</v>
      </c>
      <c r="B4732" s="4" t="s">
        <v>5949</v>
      </c>
      <c r="C4732" s="5" t="str">
        <f>IFERROR(__xludf.DUMMYFUNCTION("GOOGLETRANSLATE(B4732,""en"",""de"")"),"Wenn sie fertig ist, zeigt sie das Blumendesign.")</f>
        <v>Wenn sie fertig ist, zeigt sie das Blumendesign.</v>
      </c>
    </row>
    <row r="4733">
      <c r="A4733" s="4" t="s">
        <v>5950</v>
      </c>
      <c r="B4733" s="4" t="s">
        <v>5951</v>
      </c>
      <c r="C4733" s="5" t="str">
        <f>IFERROR(__xludf.DUMMYFUNCTION("GOOGLETRANSLATE(B4733,""en"",""de"")"),"Ein Mann sitzt und spielt in einem leeren Auditorium einen schwarzen Grand Piano.")</f>
        <v>Ein Mann sitzt und spielt in einem leeren Auditorium einen schwarzen Grand Piano.</v>
      </c>
    </row>
    <row r="4734">
      <c r="A4734" s="4" t="s">
        <v>5950</v>
      </c>
      <c r="B4734" s="4" t="s">
        <v>5952</v>
      </c>
      <c r="C4734" s="5" t="str">
        <f>IFERROR(__xludf.DUMMYFUNCTION("GOOGLETRANSLATE(B4734,""en"",""de"")"),"Wir sehen drei Leute in der ersten Reihe, die den Mann sehen und zuhören, während er spielt, und eine Person eine Reihe hinter sich.")</f>
        <v>Wir sehen drei Leute in der ersten Reihe, die den Mann sehen und zuhören, während er spielt, und eine Person eine Reihe hinter sich.</v>
      </c>
    </row>
    <row r="4735">
      <c r="A4735" s="4" t="s">
        <v>5950</v>
      </c>
      <c r="B4735" s="4" t="s">
        <v>5953</v>
      </c>
      <c r="C4735" s="5" t="str">
        <f>IFERROR(__xludf.DUMMYFUNCTION("GOOGLETRANSLATE(B4735,""en"",""de"")"),"Wir sehen die drei Menschen, zwei Frauen und eine Männer.")</f>
        <v>Wir sehen die drei Menschen, zwei Frauen und eine Männer.</v>
      </c>
    </row>
    <row r="4736">
      <c r="A4736" s="4" t="s">
        <v>5950</v>
      </c>
      <c r="B4736" s="4" t="s">
        <v>5954</v>
      </c>
      <c r="C4736" s="5" t="str">
        <f>IFERROR(__xludf.DUMMYFUNCTION("GOOGLETRANSLATE(B4736,""en"",""de"")"),"Der Spieler steht und spielt.")</f>
        <v>Der Spieler steht und spielt.</v>
      </c>
    </row>
    <row r="4737">
      <c r="A4737" s="4" t="s">
        <v>5950</v>
      </c>
      <c r="B4737" s="4" t="s">
        <v>5955</v>
      </c>
      <c r="C4737" s="5" t="str">
        <f>IFERROR(__xludf.DUMMYFUNCTION("GOOGLETRANSLATE(B4737,""en"",""de"")"),"Der Spieler endet und steht auf.")</f>
        <v>Der Spieler endet und steht auf.</v>
      </c>
    </row>
    <row r="4738">
      <c r="A4738" s="4" t="s">
        <v>5956</v>
      </c>
      <c r="B4738" s="4" t="s">
        <v>5957</v>
      </c>
      <c r="C4738" s="5" t="str">
        <f>IFERROR(__xludf.DUMMYFUNCTION("GOOGLETRANSLATE(B4738,""en"",""de"")"),"Eine Person schneidet Brot mit einem Messer.")</f>
        <v>Eine Person schneidet Brot mit einem Messer.</v>
      </c>
    </row>
    <row r="4739">
      <c r="A4739" s="4" t="s">
        <v>5956</v>
      </c>
      <c r="B4739" s="4" t="s">
        <v>5958</v>
      </c>
      <c r="C4739" s="5" t="str">
        <f>IFERROR(__xludf.DUMMYFUNCTION("GOOGLETRANSLATE(B4739,""en"",""de"")"),"Sie mischen Zutaten in einer Schüssel.")</f>
        <v>Sie mischen Zutaten in einer Schüssel.</v>
      </c>
    </row>
    <row r="4740">
      <c r="A4740" s="4" t="s">
        <v>5956</v>
      </c>
      <c r="B4740" s="4" t="s">
        <v>5959</v>
      </c>
      <c r="C4740" s="5" t="str">
        <f>IFERROR(__xludf.DUMMYFUNCTION("GOOGLETRANSLATE(B4740,""en"",""de"")"),"Sie kochen das Brot auf einem Grill.")</f>
        <v>Sie kochen das Brot auf einem Grill.</v>
      </c>
    </row>
    <row r="4741">
      <c r="A4741" s="4" t="s">
        <v>5956</v>
      </c>
      <c r="B4741" s="4" t="s">
        <v>5960</v>
      </c>
      <c r="C4741" s="5" t="str">
        <f>IFERROR(__xludf.DUMMYFUNCTION("GOOGLETRANSLATE(B4741,""en"",""de"")"),"Sie fügen eine Kugel Schokoladeneis neben dem Sandwich hinzu.")</f>
        <v>Sie fügen eine Kugel Schokoladeneis neben dem Sandwich hinzu.</v>
      </c>
    </row>
    <row r="4742">
      <c r="A4742" s="4" t="s">
        <v>5961</v>
      </c>
      <c r="B4742" s="4" t="s">
        <v>5962</v>
      </c>
      <c r="C4742" s="5" t="str">
        <f>IFERROR(__xludf.DUMMYFUNCTION("GOOGLETRANSLATE(B4742,""en"",""de"")"),"Ein rustikales statisches Holzbike befindet sich in einem Raum.")</f>
        <v>Ein rustikales statisches Holzbike befindet sich in einem Raum.</v>
      </c>
    </row>
    <row r="4743">
      <c r="A4743" s="4" t="s">
        <v>5961</v>
      </c>
      <c r="B4743" s="4" t="s">
        <v>5963</v>
      </c>
      <c r="C4743" s="5" t="str">
        <f>IFERROR(__xludf.DUMMYFUNCTION("GOOGLETRANSLATE(B4743,""en"",""de"")"),"Dann pedal ein Mann das Fahrrad, während er den Griff zeigt.")</f>
        <v>Dann pedal ein Mann das Fahrrad, während er den Griff zeigt.</v>
      </c>
    </row>
    <row r="4744">
      <c r="A4744" s="4" t="s">
        <v>5961</v>
      </c>
      <c r="B4744" s="4" t="s">
        <v>5964</v>
      </c>
      <c r="C4744" s="5" t="str">
        <f>IFERROR(__xludf.DUMMYFUNCTION("GOOGLETRANSLATE(B4744,""en"",""de"")"),"Dann sitzt der Mann auf dem Fahrrad zum Pedal und steht dann.")</f>
        <v>Dann sitzt der Mann auf dem Fahrrad zum Pedal und steht dann.</v>
      </c>
    </row>
    <row r="4745">
      <c r="A4745" s="4" t="s">
        <v>5965</v>
      </c>
      <c r="B4745" s="4" t="s">
        <v>5966</v>
      </c>
      <c r="C4745" s="5" t="str">
        <f>IFERROR(__xludf.DUMMYFUNCTION("GOOGLETRANSLATE(B4745,""en"",""de"")"),"Ein Mann benutzt einen Bartschneider, um seine Wangen und Hals zu schneiden.")</f>
        <v>Ein Mann benutzt einen Bartschneider, um seine Wangen und Hals zu schneiden.</v>
      </c>
    </row>
    <row r="4746">
      <c r="A4746" s="4" t="s">
        <v>5965</v>
      </c>
      <c r="B4746" s="4" t="s">
        <v>5967</v>
      </c>
      <c r="C4746" s="5" t="str">
        <f>IFERROR(__xludf.DUMMYFUNCTION("GOOGLETRANSLATE(B4746,""en"",""de"")"),"Der Mann streichelt seinen Spitzbart und untersucht ihn.")</f>
        <v>Der Mann streichelt seinen Spitzbart und untersucht ihn.</v>
      </c>
    </row>
    <row r="4747">
      <c r="A4747" s="4" t="s">
        <v>5965</v>
      </c>
      <c r="B4747" s="4" t="s">
        <v>5968</v>
      </c>
      <c r="C4747" s="5" t="str">
        <f>IFERROR(__xludf.DUMMYFUNCTION("GOOGLETRANSLATE(B4747,""en"",""de"")"),"Der Mann schneidet seinen Kinnbereich ab, um einen Schnurrbart zu machen.")</f>
        <v>Der Mann schneidet seinen Kinnbereich ab, um einen Schnurrbart zu machen.</v>
      </c>
    </row>
    <row r="4748">
      <c r="A4748" s="4" t="s">
        <v>5969</v>
      </c>
      <c r="B4748" s="4" t="s">
        <v>5970</v>
      </c>
      <c r="C4748" s="5" t="str">
        <f>IFERROR(__xludf.DUMMYFUNCTION("GOOGLETRANSLATE(B4748,""en"",""de"")"),"Ein Mann steht an der weißen Tür, er hält rechteckiges Holz und andererseits ist ein Brett, der einen großen Teil brauner Ton enthält.")</f>
        <v>Ein Mann steht an der weißen Tür, er hält rechteckiges Holz und andererseits ist ein Brett, der einen großen Teil brauner Ton enthält.</v>
      </c>
    </row>
    <row r="4749">
      <c r="A4749" s="4" t="s">
        <v>5969</v>
      </c>
      <c r="B4749" s="4" t="s">
        <v>5971</v>
      </c>
      <c r="C4749" s="5" t="str">
        <f>IFERROR(__xludf.DUMMYFUNCTION("GOOGLETRANSLATE(B4749,""en"",""de"")"),"Er zeigte die Wand und begann, den braunen Ton an der Wand zu verteilen.")</f>
        <v>Er zeigte die Wand und begann, den braunen Ton an der Wand zu verteilen.</v>
      </c>
    </row>
    <row r="4750">
      <c r="A4750" s="4" t="s">
        <v>5969</v>
      </c>
      <c r="B4750" s="4" t="s">
        <v>5972</v>
      </c>
      <c r="C4750" s="5" t="str">
        <f>IFERROR(__xludf.DUMMYFUNCTION("GOOGLETRANSLATE(B4750,""en"",""de"")"),"Er ging in die Nähe der Decke, klopfte an die Decke, schob sie, klopfte wieder darauf und glätte es mit seinen Fingern.")</f>
        <v>Er ging in die Nähe der Decke, klopfte an die Decke, schob sie, klopfte wieder darauf und glätte es mit seinen Fingern.</v>
      </c>
    </row>
    <row r="4751">
      <c r="A4751" s="4" t="s">
        <v>5973</v>
      </c>
      <c r="B4751" s="4" t="s">
        <v>5974</v>
      </c>
      <c r="C4751" s="5" t="str">
        <f>IFERROR(__xludf.DUMMYFUNCTION("GOOGLETRANSLATE(B4751,""en"",""de"")"),"Wir sehen uns einen Öffnungsbildschirm.")</f>
        <v>Wir sehen uns einen Öffnungsbildschirm.</v>
      </c>
    </row>
    <row r="4752">
      <c r="A4752" s="4" t="s">
        <v>5973</v>
      </c>
      <c r="B4752" s="4" t="s">
        <v>5975</v>
      </c>
      <c r="C4752" s="5" t="str">
        <f>IFERROR(__xludf.DUMMYFUNCTION("GOOGLETRANSLATE(B4752,""en"",""de"")"),"Die Leute stehen in den Wäldern und halten Paddel, während sie Rafting -Ausrüstung tragen.")</f>
        <v>Die Leute stehen in den Wäldern und halten Paddel, während sie Rafting -Ausrüstung tragen.</v>
      </c>
    </row>
    <row r="4753">
      <c r="A4753" s="4" t="s">
        <v>5973</v>
      </c>
      <c r="B4753" s="4" t="s">
        <v>5976</v>
      </c>
      <c r="C4753" s="5" t="str">
        <f>IFERROR(__xludf.DUMMYFUNCTION("GOOGLETRANSLATE(B4753,""en"",""de"")"),"Die Leute gehen mit ihren Flößen zum See und steigen ein.")</f>
        <v>Die Leute gehen mit ihren Flößen zum See und steigen ein.</v>
      </c>
    </row>
    <row r="4754">
      <c r="A4754" s="4" t="s">
        <v>5973</v>
      </c>
      <c r="B4754" s="4" t="s">
        <v>5977</v>
      </c>
      <c r="C4754" s="5" t="str">
        <f>IFERROR(__xludf.DUMMYFUNCTION("GOOGLETRANSLATE(B4754,""en"",""de"")"),"Wir sehen Leute, die Röhren einen Fluss hinunter fahren.")</f>
        <v>Wir sehen Leute, die Röhren einen Fluss hinunter fahren.</v>
      </c>
    </row>
    <row r="4755">
      <c r="A4755" s="4" t="s">
        <v>5973</v>
      </c>
      <c r="B4755" s="4" t="s">
        <v>5978</v>
      </c>
      <c r="C4755" s="5" t="str">
        <f>IFERROR(__xludf.DUMMYFUNCTION("GOOGLETRANSLATE(B4755,""en"",""de"")"),"Die Leute gehen über einen kleinen Wasserfall und ihr Floß wird aufgehoben.")</f>
        <v>Die Leute gehen über einen kleinen Wasserfall und ihr Floß wird aufgehoben.</v>
      </c>
    </row>
    <row r="4756">
      <c r="A4756" s="4" t="s">
        <v>5973</v>
      </c>
      <c r="B4756" s="4" t="s">
        <v>5979</v>
      </c>
      <c r="C4756" s="5" t="str">
        <f>IFERROR(__xludf.DUMMYFUNCTION("GOOGLETRANSLATE(B4756,""en"",""de"")"),"Die Menschen sind ins Wasser gestürzt, wenn sie über einen Wasserfall gehen und ein Mann seine Faust pumpt.")</f>
        <v>Die Menschen sind ins Wasser gestürzt, wenn sie über einen Wasserfall gehen und ein Mann seine Faust pumpt.</v>
      </c>
    </row>
    <row r="4757">
      <c r="A4757" s="4" t="s">
        <v>5973</v>
      </c>
      <c r="B4757" s="4" t="s">
        <v>5980</v>
      </c>
      <c r="C4757" s="5" t="str">
        <f>IFERROR(__xludf.DUMMYFUNCTION("GOOGLETRANSLATE(B4757,""en"",""de"")"),"Die Kamera schwenkt, die Natur zu zeigen und zu weiß.")</f>
        <v>Die Kamera schwenkt, die Natur zu zeigen und zu weiß.</v>
      </c>
    </row>
    <row r="4758">
      <c r="A4758" s="4" t="s">
        <v>5973</v>
      </c>
      <c r="B4758" s="4" t="s">
        <v>777</v>
      </c>
      <c r="C4758" s="5" t="str">
        <f>IFERROR(__xludf.DUMMYFUNCTION("GOOGLETRANSLATE(B4758,""en"",""de"")"),"Wir sehen den End -Titelbildschirm.")</f>
        <v>Wir sehen den End -Titelbildschirm.</v>
      </c>
    </row>
    <row r="4759">
      <c r="A4759" s="4" t="s">
        <v>5981</v>
      </c>
      <c r="B4759" s="4" t="s">
        <v>5982</v>
      </c>
      <c r="C4759" s="5" t="str">
        <f>IFERROR(__xludf.DUMMYFUNCTION("GOOGLETRANSLATE(B4759,""en"",""de"")"),"Es gibt einen Basketballspieler, der verschiedene Arten von Basketball -Hoop -Schießtechniken im Namen von World of Hoops demonstriert.")</f>
        <v>Es gibt einen Basketballspieler, der verschiedene Arten von Basketball -Hoop -Schießtechniken im Namen von World of Hoops demonstriert.</v>
      </c>
    </row>
    <row r="4760">
      <c r="A4760" s="4" t="s">
        <v>5981</v>
      </c>
      <c r="B4760" s="4" t="s">
        <v>5983</v>
      </c>
      <c r="C4760" s="5" t="str">
        <f>IFERROR(__xludf.DUMMYFUNCTION("GOOGLETRANSLATE(B4760,""en"",""de"")"),"Er beginnt damit, dass er die grundlegende Technik des regulären Lay-up-Wurfs zeigt, er schießt den Ball direkt in den Reifen.")</f>
        <v>Er beginnt damit, dass er die grundlegende Technik des regulären Lay-up-Wurfs zeigt, er schießt den Ball direkt in den Reifen.</v>
      </c>
    </row>
    <row r="4761">
      <c r="A4761" s="4" t="s">
        <v>5981</v>
      </c>
      <c r="B4761" s="4" t="s">
        <v>5984</v>
      </c>
      <c r="C4761" s="5" t="str">
        <f>IFERROR(__xludf.DUMMYFUNCTION("GOOGLETRANSLATE(B4761,""en"",""de"")"),"Dann zeigt er eine andere Technik, bei der er rennt und den Ball von sehr nahe an den Reifen schießt, indem er hoch springt.")</f>
        <v>Dann zeigt er eine andere Technik, bei der er rennt und den Ball von sehr nahe an den Reifen schießt, indem er hoch springt.</v>
      </c>
    </row>
    <row r="4762">
      <c r="A4762" s="4" t="s">
        <v>5981</v>
      </c>
      <c r="B4762" s="4" t="s">
        <v>5985</v>
      </c>
      <c r="C4762" s="5" t="str">
        <f>IFERROR(__xludf.DUMMYFUNCTION("GOOGLETRANSLATE(B4762,""en"",""de"")"),"Er zeigt weiterhin verschiedene andere Möglichkeiten, um den Korb zu schießen, während er den Ball direkt in den Korb rennt und taucht.")</f>
        <v>Er zeigt weiterhin verschiedene andere Möglichkeiten, um den Korb zu schießen, während er den Ball direkt in den Korb rennt und taucht.</v>
      </c>
    </row>
    <row r="4763">
      <c r="A4763" s="4" t="s">
        <v>5981</v>
      </c>
      <c r="B4763" s="4" t="s">
        <v>5986</v>
      </c>
      <c r="C4763" s="5" t="str">
        <f>IFERROR(__xludf.DUMMYFUNCTION("GOOGLETRANSLATE(B4763,""en"",""de"")"),"Er demonstriert verschiedene Techniken, um den Ball direkt in den Reifen zu schießen, ohne einen einzigen Korb zu verpassen.")</f>
        <v>Er demonstriert verschiedene Techniken, um den Ball direkt in den Reifen zu schießen, ohne einen einzigen Korb zu verpassen.</v>
      </c>
    </row>
    <row r="4764">
      <c r="A4764" s="4" t="s">
        <v>5987</v>
      </c>
      <c r="B4764" s="4" t="s">
        <v>5988</v>
      </c>
      <c r="C4764" s="5" t="str">
        <f>IFERROR(__xludf.DUMMYFUNCTION("GOOGLETRANSLATE(B4764,""en"",""de"")"),"Ein Teenager balanciert auf der höheren ungleichmäßigen Bar.")</f>
        <v>Ein Teenager balanciert auf der höheren ungleichmäßigen Bar.</v>
      </c>
    </row>
    <row r="4765">
      <c r="A4765" s="4" t="s">
        <v>5987</v>
      </c>
      <c r="B4765" s="4" t="s">
        <v>5989</v>
      </c>
      <c r="C4765" s="5" t="str">
        <f>IFERROR(__xludf.DUMMYFUNCTION("GOOGLETRANSLATE(B4765,""en"",""de"")"),"Dann hilft der Teenager und ein Mann hilft ihr, in die untere ungleichmäßige Bar zu gelangen.")</f>
        <v>Dann hilft der Teenager und ein Mann hilft ihr, in die untere ungleichmäßige Bar zu gelangen.</v>
      </c>
    </row>
    <row r="4766">
      <c r="A4766" s="4" t="s">
        <v>5987</v>
      </c>
      <c r="B4766" s="4" t="s">
        <v>5990</v>
      </c>
      <c r="C4766" s="5" t="str">
        <f>IFERROR(__xludf.DUMMYFUNCTION("GOOGLETRANSLATE(B4766,""en"",""de"")"),"Zwei ein Mädchenübung auf den ungleichmäßigen Bars hinter dem Teenager.")</f>
        <v>Zwei ein Mädchenübung auf den ungleichmäßigen Bars hinter dem Teenager.</v>
      </c>
    </row>
    <row r="4767">
      <c r="A4767" s="4" t="s">
        <v>5991</v>
      </c>
      <c r="B4767" s="4" t="s">
        <v>5992</v>
      </c>
      <c r="C4767" s="5" t="str">
        <f>IFERROR(__xludf.DUMMYFUNCTION("GOOGLETRANSLATE(B4767,""en"",""de"")"),"Die Leute spielen ein Ping -Pong -Spiel.")</f>
        <v>Die Leute spielen ein Ping -Pong -Spiel.</v>
      </c>
    </row>
    <row r="4768">
      <c r="A4768" s="4" t="s">
        <v>5991</v>
      </c>
      <c r="B4768" s="4" t="s">
        <v>5993</v>
      </c>
      <c r="C4768" s="5" t="str">
        <f>IFERROR(__xludf.DUMMYFUNCTION("GOOGLETRANSLATE(B4768,""en"",""de"")"),"Ein Mann in einem roten Hemd spielt nur mit einem Schuh.")</f>
        <v>Ein Mann in einem roten Hemd spielt nur mit einem Schuh.</v>
      </c>
    </row>
    <row r="4769">
      <c r="A4769" s="4" t="s">
        <v>5991</v>
      </c>
      <c r="B4769" s="4" t="s">
        <v>2042</v>
      </c>
      <c r="C4769" s="5" t="str">
        <f>IFERROR(__xludf.DUMMYFUNCTION("GOOGLETRANSLATE(B4769,""en"",""de"")"),"Wörter kommen am Ende auf den Bildschirm.")</f>
        <v>Wörter kommen am Ende auf den Bildschirm.</v>
      </c>
    </row>
    <row r="4770">
      <c r="A4770" s="4" t="s">
        <v>5994</v>
      </c>
      <c r="B4770" s="4" t="s">
        <v>5995</v>
      </c>
      <c r="C4770" s="5" t="str">
        <f>IFERROR(__xludf.DUMMYFUNCTION("GOOGLETRANSLATE(B4770,""en"",""de"")"),"Ein Mann trägt eine lustige Uniform und geht auf eine große Bühne, während sie eingreift, um mit der Kamera zu sprechen.")</f>
        <v>Ein Mann trägt eine lustige Uniform und geht auf eine große Bühne, während sie eingreift, um mit der Kamera zu sprechen.</v>
      </c>
    </row>
    <row r="4771">
      <c r="A4771" s="4" t="s">
        <v>5994</v>
      </c>
      <c r="B4771" s="4" t="s">
        <v>5996</v>
      </c>
      <c r="C4771" s="5" t="str">
        <f>IFERROR(__xludf.DUMMYFUNCTION("GOOGLETRANSLATE(B4771,""en"",""de"")"),"Der Mann führt die Gymnastik auf alberne Weise um einen Strahl und endet damit, dass das Publikum klatscht und der Mann schwenkt.")</f>
        <v>Der Mann führt die Gymnastik auf alberne Weise um einen Strahl und endet damit, dass das Publikum klatscht und der Mann schwenkt.</v>
      </c>
    </row>
    <row r="4772">
      <c r="A4772" s="4" t="s">
        <v>5997</v>
      </c>
      <c r="B4772" s="4" t="s">
        <v>5998</v>
      </c>
      <c r="C4772" s="5" t="str">
        <f>IFERROR(__xludf.DUMMYFUNCTION("GOOGLETRANSLATE(B4772,""en"",""de"")"),"Die Leute spielen ein Volleyballspiel auf einem Platz.")</f>
        <v>Die Leute spielen ein Volleyballspiel auf einem Platz.</v>
      </c>
    </row>
    <row r="4773">
      <c r="A4773" s="4" t="s">
        <v>5997</v>
      </c>
      <c r="B4773" s="4" t="s">
        <v>5999</v>
      </c>
      <c r="C4773" s="5" t="str">
        <f>IFERROR(__xludf.DUMMYFUNCTION("GOOGLETRANSLATE(B4773,""en"",""de"")"),"Die Leute sitzen entlang der Bänke gegen eine Wandbeobachtung.")</f>
        <v>Die Leute sitzen entlang der Bänke gegen eine Wandbeobachtung.</v>
      </c>
    </row>
    <row r="4774">
      <c r="A4774" s="4" t="s">
        <v>5997</v>
      </c>
      <c r="B4774" s="4" t="s">
        <v>6000</v>
      </c>
      <c r="C4774" s="5" t="str">
        <f>IFERROR(__xludf.DUMMYFUNCTION("GOOGLETRANSLATE(B4774,""en"",""de"")"),"Ein Junge dient dem Volleyball.")</f>
        <v>Ein Junge dient dem Volleyball.</v>
      </c>
    </row>
    <row r="4775">
      <c r="A4775" s="4" t="s">
        <v>6001</v>
      </c>
      <c r="B4775" s="4" t="s">
        <v>6002</v>
      </c>
      <c r="C4775" s="5" t="str">
        <f>IFERROR(__xludf.DUMMYFUNCTION("GOOGLETRANSLATE(B4775,""en"",""de"")"),"Ein Pferd steht alleine, an einem Holzstamm befestigt.")</f>
        <v>Ein Pferd steht alleine, an einem Holzstamm befestigt.</v>
      </c>
    </row>
    <row r="4776">
      <c r="A4776" s="4" t="s">
        <v>6001</v>
      </c>
      <c r="B4776" s="4" t="s">
        <v>6003</v>
      </c>
      <c r="C4776" s="5" t="str">
        <f>IFERROR(__xludf.DUMMYFUNCTION("GOOGLETRANSLATE(B4776,""en"",""de"")"),"Ein Mann nähert sich dem Pferd und hält zwei Bürsten in seinen Händen und spricht ein bisschen.")</f>
        <v>Ein Mann nähert sich dem Pferd und hält zwei Bürsten in seinen Händen und spricht ein bisschen.</v>
      </c>
    </row>
    <row r="4777">
      <c r="A4777" s="4" t="s">
        <v>6001</v>
      </c>
      <c r="B4777" s="4" t="s">
        <v>6004</v>
      </c>
      <c r="C4777" s="5" t="str">
        <f>IFERROR(__xludf.DUMMYFUNCTION("GOOGLETRANSLATE(B4777,""en"",""de"")"),"Er geht zum Pferd und streift die Haare des Pferdes, wodurch die Haare des Pferdes entfernt, das sich an der Bürste befestigt.")</f>
        <v>Er geht zum Pferd und streift die Haare des Pferdes, wodurch die Haare des Pferdes entfernt, das sich an der Bürste befestigt.</v>
      </c>
    </row>
    <row r="4778">
      <c r="A4778" s="4" t="s">
        <v>6001</v>
      </c>
      <c r="B4778" s="4" t="s">
        <v>6005</v>
      </c>
      <c r="C4778" s="5" t="str">
        <f>IFERROR(__xludf.DUMMYFUNCTION("GOOGLETRANSLATE(B4778,""en"",""de"")"),"Er spricht ein bisschen innehalten.")</f>
        <v>Er spricht ein bisschen innehalten.</v>
      </c>
    </row>
    <row r="4779">
      <c r="A4779" s="4" t="s">
        <v>6001</v>
      </c>
      <c r="B4779" s="4" t="s">
        <v>6006</v>
      </c>
      <c r="C4779" s="5" t="str">
        <f>IFERROR(__xludf.DUMMYFUNCTION("GOOGLETRANSLATE(B4779,""en"",""de"")"),"Er geht zurück, um die überschüssigen Haare vom Pferd zu entfernen.")</f>
        <v>Er geht zurück, um die überschüssigen Haare vom Pferd zu entfernen.</v>
      </c>
    </row>
    <row r="4780">
      <c r="A4780" s="4" t="s">
        <v>6001</v>
      </c>
      <c r="B4780" s="4" t="s">
        <v>6007</v>
      </c>
      <c r="C4780" s="5" t="str">
        <f>IFERROR(__xludf.DUMMYFUNCTION("GOOGLETRANSLATE(B4780,""en"",""de"")"),"Er macht wieder eine Pause und spricht für eine Weile.")</f>
        <v>Er macht wieder eine Pause und spricht für eine Weile.</v>
      </c>
    </row>
    <row r="4781">
      <c r="A4781" s="4" t="s">
        <v>6001</v>
      </c>
      <c r="B4781" s="4" t="s">
        <v>6008</v>
      </c>
      <c r="C4781" s="5" t="str">
        <f>IFERROR(__xludf.DUMMYFUNCTION("GOOGLETRANSLATE(B4781,""en"",""de"")"),"Er kehrt zum Bürsten des Pferdes zurück.")</f>
        <v>Er kehrt zum Bürsten des Pferdes zurück.</v>
      </c>
    </row>
    <row r="4782">
      <c r="A4782" s="4" t="s">
        <v>6001</v>
      </c>
      <c r="B4782" s="4" t="s">
        <v>6009</v>
      </c>
      <c r="C4782" s="5" t="str">
        <f>IFERROR(__xludf.DUMMYFUNCTION("GOOGLETRANSLATE(B4782,""en"",""de"")"),"Er hört auf, die Haare zu bürsten und spricht.")</f>
        <v>Er hört auf, die Haare zu bürsten und spricht.</v>
      </c>
    </row>
    <row r="4783">
      <c r="A4783" s="4" t="s">
        <v>6010</v>
      </c>
      <c r="B4783" s="4" t="s">
        <v>6011</v>
      </c>
      <c r="C4783" s="5" t="str">
        <f>IFERROR(__xludf.DUMMYFUNCTION("GOOGLETRANSLATE(B4783,""en"",""de"")"),"Ein weiblicher Turner steigt in einem Fitnessstudio einen High Beam an.")</f>
        <v>Ein weiblicher Turner steigt in einem Fitnessstudio einen High Beam an.</v>
      </c>
    </row>
    <row r="4784">
      <c r="A4784" s="4" t="s">
        <v>6010</v>
      </c>
      <c r="B4784" s="4" t="s">
        <v>6012</v>
      </c>
      <c r="C4784" s="5" t="str">
        <f>IFERROR(__xludf.DUMMYFUNCTION("GOOGLETRANSLATE(B4784,""en"",""de"")"),"Sie macht viele Stürmer, Federn und Spaltungen in der Luft.")</f>
        <v>Sie macht viele Stürmer, Federn und Spaltungen in der Luft.</v>
      </c>
    </row>
    <row r="4785">
      <c r="A4785" s="4" t="s">
        <v>6010</v>
      </c>
      <c r="B4785" s="4" t="s">
        <v>6013</v>
      </c>
      <c r="C4785" s="5" t="str">
        <f>IFERROR(__xludf.DUMMYFUNCTION("GOOGLETRANSLATE(B4785,""en"",""de"")"),"Ein Junge im Hintergrund klettert ein Seil, während sie absteigt.")</f>
        <v>Ein Junge im Hintergrund klettert ein Seil, während sie absteigt.</v>
      </c>
    </row>
    <row r="4786">
      <c r="A4786" s="4" t="s">
        <v>6014</v>
      </c>
      <c r="B4786" s="4" t="s">
        <v>6015</v>
      </c>
      <c r="C4786" s="5" t="str">
        <f>IFERROR(__xludf.DUMMYFUNCTION("GOOGLETRANSLATE(B4786,""en"",""de"")"),"Eine Frau in einem weißen Hemd steht in einer Übungsmaschine.")</f>
        <v>Eine Frau in einem weißen Hemd steht in einer Übungsmaschine.</v>
      </c>
    </row>
    <row r="4787">
      <c r="A4787" s="4" t="s">
        <v>6014</v>
      </c>
      <c r="B4787" s="4" t="s">
        <v>6016</v>
      </c>
      <c r="C4787" s="5" t="str">
        <f>IFERROR(__xludf.DUMMYFUNCTION("GOOGLETRANSLATE(B4787,""en"",""de"")"),"Sie beginnt an der Trainingsmaschine zu arbeiten.")</f>
        <v>Sie beginnt an der Trainingsmaschine zu arbeiten.</v>
      </c>
    </row>
    <row r="4788">
      <c r="A4788" s="4" t="s">
        <v>6014</v>
      </c>
      <c r="B4788" s="4" t="s">
        <v>6017</v>
      </c>
      <c r="C4788" s="5" t="str">
        <f>IFERROR(__xludf.DUMMYFUNCTION("GOOGLETRANSLATE(B4788,""en"",""de"")"),"Informationen über die Maschine werden auf dem Bildschirm platziert.")</f>
        <v>Informationen über die Maschine werden auf dem Bildschirm platziert.</v>
      </c>
    </row>
    <row r="4789">
      <c r="A4789" s="4" t="s">
        <v>6018</v>
      </c>
      <c r="B4789" s="4" t="s">
        <v>6019</v>
      </c>
      <c r="C4789" s="5" t="str">
        <f>IFERROR(__xludf.DUMMYFUNCTION("GOOGLETRANSLATE(B4789,""en"",""de"")"),"Ein Mann wirft Pfeile in einen Raum.")</f>
        <v>Ein Mann wirft Pfeile in einen Raum.</v>
      </c>
    </row>
    <row r="4790">
      <c r="A4790" s="4" t="s">
        <v>6018</v>
      </c>
      <c r="B4790" s="4" t="s">
        <v>6020</v>
      </c>
      <c r="C4790" s="5" t="str">
        <f>IFERROR(__xludf.DUMMYFUNCTION("GOOGLETRANSLATE(B4790,""en"",""de"")"),"Ein anderer Mann duckt, damit er nicht getroffen wird.")</f>
        <v>Ein anderer Mann duckt, damit er nicht getroffen wird.</v>
      </c>
    </row>
    <row r="4791">
      <c r="A4791" s="4" t="s">
        <v>6018</v>
      </c>
      <c r="B4791" s="4" t="s">
        <v>6021</v>
      </c>
      <c r="C4791" s="5" t="str">
        <f>IFERROR(__xludf.DUMMYFUNCTION("GOOGLETRANSLATE(B4791,""en"",""de"")"),"Die Darts trafen in Zeitlupe das Dart -Board.")</f>
        <v>Die Darts trafen in Zeitlupe das Dart -Board.</v>
      </c>
    </row>
    <row r="4792">
      <c r="A4792" s="4" t="s">
        <v>6022</v>
      </c>
      <c r="B4792" s="4" t="s">
        <v>6023</v>
      </c>
      <c r="C4792" s="5" t="str">
        <f>IFERROR(__xludf.DUMMYFUNCTION("GOOGLETRANSLATE(B4792,""en"",""de"")"),"Eine Nahaufnahme eines Pferdes wird von mehreren Personen gesehen, die auf einem Strand auf einem Pferde fahren.")</f>
        <v>Eine Nahaufnahme eines Pferdes wird von mehreren Personen gesehen, die auf einem Strand auf einem Pferde fahren.</v>
      </c>
    </row>
    <row r="4793">
      <c r="A4793" s="4" t="s">
        <v>6022</v>
      </c>
      <c r="B4793" s="4" t="s">
        <v>6024</v>
      </c>
      <c r="C4793" s="5" t="str">
        <f>IFERROR(__xludf.DUMMYFUNCTION("GOOGLETRANSLATE(B4793,""en"",""de"")"),"Eine Person steht auf dem Pferd und die Kamera folgt weiterhin den Menschen, die auf den Pferden fahren.")</f>
        <v>Eine Person steht auf dem Pferd und die Kamera folgt weiterhin den Menschen, die auf den Pferden fahren.</v>
      </c>
    </row>
    <row r="4794">
      <c r="A4794" s="4" t="s">
        <v>6025</v>
      </c>
      <c r="B4794" s="4" t="s">
        <v>6026</v>
      </c>
      <c r="C4794" s="5" t="str">
        <f>IFERROR(__xludf.DUMMYFUNCTION("GOOGLETRANSLATE(B4794,""en"",""de"")"),"Ein Mann und eine Frau in einem Garagenstil -Kraftraum zeigen, wie man eine Gewichtsriegel hebt, wobei die Frau das Heben der Gewichte zeigt.")</f>
        <v>Ein Mann und eine Frau in einem Garagenstil -Kraftraum zeigen, wie man eine Gewichtsriegel hebt, wobei die Frau das Heben der Gewichte zeigt.</v>
      </c>
    </row>
    <row r="4795">
      <c r="A4795" s="4" t="s">
        <v>6025</v>
      </c>
      <c r="B4795" s="4" t="s">
        <v>6027</v>
      </c>
      <c r="C4795" s="5" t="str">
        <f>IFERROR(__xludf.DUMMYFUNCTION("GOOGLETRANSLATE(B4795,""en"",""de"")"),"Ein Mann in einem schwarzen T-Shirt und Sandalen steht neben einer Frau im Garagenstil im Kraftraum.")</f>
        <v>Ein Mann in einem schwarzen T-Shirt und Sandalen steht neben einer Frau im Garagenstil im Kraftraum.</v>
      </c>
    </row>
    <row r="4796">
      <c r="A4796" s="4" t="s">
        <v>6025</v>
      </c>
      <c r="B4796" s="4" t="s">
        <v>6028</v>
      </c>
      <c r="C4796" s="5" t="str">
        <f>IFERROR(__xludf.DUMMYFUNCTION("GOOGLETRANSLATE(B4796,""en"",""de"")"),"Die Frau nimmt eine Gewichtsriegel mit den Knien auf, um sich zu beugen, während der Mann spricht und auf ihre Muskelgruppen zeigt.")</f>
        <v>Die Frau nimmt eine Gewichtsriegel mit den Knien auf, um sich zu beugen, während der Mann spricht und auf ihre Muskelgruppen zeigt.</v>
      </c>
    </row>
    <row r="4797">
      <c r="A4797" s="4" t="s">
        <v>6025</v>
      </c>
      <c r="B4797" s="4" t="s">
        <v>6029</v>
      </c>
      <c r="C4797" s="5" t="str">
        <f>IFERROR(__xludf.DUMMYFUNCTION("GOOGLETRANSLATE(B4797,""en"",""de"")"),"Die Frau hebt die Stange über ihrem Kopf mehrmals in einer Gewichtshebeziehung, bevor die Stange zurück zu Boden senkt.")</f>
        <v>Die Frau hebt die Stange über ihrem Kopf mehrmals in einer Gewichtshebeziehung, bevor die Stange zurück zu Boden senkt.</v>
      </c>
    </row>
    <row r="4798">
      <c r="A4798" s="4" t="s">
        <v>6030</v>
      </c>
      <c r="B4798" s="4" t="s">
        <v>6031</v>
      </c>
      <c r="C4798" s="5" t="str">
        <f>IFERROR(__xludf.DUMMYFUNCTION("GOOGLETRANSLATE(B4798,""en"",""de"")"),"Einige Texte werden auf dem Bildschirm angezeigt.")</f>
        <v>Einige Texte werden auf dem Bildschirm angezeigt.</v>
      </c>
    </row>
    <row r="4799">
      <c r="A4799" s="4" t="s">
        <v>6030</v>
      </c>
      <c r="B4799" s="4" t="s">
        <v>6032</v>
      </c>
      <c r="C4799" s="5" t="str">
        <f>IFERROR(__xludf.DUMMYFUNCTION("GOOGLETRANSLATE(B4799,""en"",""de"")"),"Ein Video von Bullen, die von Menschen verletzt werden, beginnt zu spielen.")</f>
        <v>Ein Video von Bullen, die von Menschen verletzt werden, beginnt zu spielen.</v>
      </c>
    </row>
    <row r="4800">
      <c r="A4800" s="4" t="s">
        <v>6030</v>
      </c>
      <c r="B4800" s="4" t="s">
        <v>6033</v>
      </c>
      <c r="C4800" s="5" t="str">
        <f>IFERROR(__xludf.DUMMYFUNCTION("GOOGLETRANSLATE(B4800,""en"",""de"")"),"Der Text wird erneut auf dem Bildschirm angezeigt.")</f>
        <v>Der Text wird erneut auf dem Bildschirm angezeigt.</v>
      </c>
    </row>
    <row r="4801">
      <c r="A4801" s="4" t="s">
        <v>6030</v>
      </c>
      <c r="B4801" s="4" t="s">
        <v>6034</v>
      </c>
      <c r="C4801" s="5" t="str">
        <f>IFERROR(__xludf.DUMMYFUNCTION("GOOGLETRANSLATE(B4801,""en"",""de"")"),"Bilder von mit Pfeilen erstochenen Personen und Blut voller Blut werden gezeigt.")</f>
        <v>Bilder von mit Pfeilen erstochenen Personen und Blut voller Blut werden gezeigt.</v>
      </c>
    </row>
    <row r="4802">
      <c r="A4802" s="4" t="s">
        <v>6030</v>
      </c>
      <c r="B4802" s="4" t="s">
        <v>6035</v>
      </c>
      <c r="C4802" s="5" t="str">
        <f>IFERROR(__xludf.DUMMYFUNCTION("GOOGLETRANSLATE(B4802,""en"",""de"")"),"Weitere Text mit Anti -Bull -Kämpfungsnachrichten werden angezeigt.")</f>
        <v>Weitere Text mit Anti -Bull -Kämpfungsnachrichten werden angezeigt.</v>
      </c>
    </row>
    <row r="4803">
      <c r="A4803" s="4" t="s">
        <v>6030</v>
      </c>
      <c r="B4803" s="4" t="s">
        <v>6036</v>
      </c>
      <c r="C4803" s="5" t="str">
        <f>IFERROR(__xludf.DUMMYFUNCTION("GOOGLETRANSLATE(B4803,""en"",""de"")"),"Bilder von Hurts Bullen werden gezeigt.")</f>
        <v>Bilder von Hurts Bullen werden gezeigt.</v>
      </c>
    </row>
    <row r="4804">
      <c r="A4804" s="4" t="s">
        <v>6030</v>
      </c>
      <c r="B4804" s="4" t="s">
        <v>6037</v>
      </c>
      <c r="C4804" s="5" t="str">
        <f>IFERROR(__xludf.DUMMYFUNCTION("GOOGLETRANSLATE(B4804,""en"",""de"")"),"Anti -Tier -Grausamkeitstext erscheint.")</f>
        <v>Anti -Tier -Grausamkeitstext erscheint.</v>
      </c>
    </row>
    <row r="4805">
      <c r="A4805" s="4" t="s">
        <v>6030</v>
      </c>
      <c r="B4805" s="4" t="s">
        <v>6038</v>
      </c>
      <c r="C4805" s="5" t="str">
        <f>IFERROR(__xludf.DUMMYFUNCTION("GOOGLETRANSLATE(B4805,""en"",""de"")"),"Ein Bullenkämpfer wird gezeigt, der gegen einen Stier kämpft.")</f>
        <v>Ein Bullenkämpfer wird gezeigt, der gegen einen Stier kämpft.</v>
      </c>
    </row>
    <row r="4806">
      <c r="A4806" s="4" t="s">
        <v>6030</v>
      </c>
      <c r="B4806" s="4" t="s">
        <v>6039</v>
      </c>
      <c r="C4806" s="5" t="str">
        <f>IFERROR(__xludf.DUMMYFUNCTION("GOOGLETRANSLATE(B4806,""en"",""de"")"),"Ein Video wird von Bullfightern gespielt.")</f>
        <v>Ein Video wird von Bullfightern gespielt.</v>
      </c>
    </row>
    <row r="4807">
      <c r="A4807" s="4" t="s">
        <v>6030</v>
      </c>
      <c r="B4807" s="4" t="s">
        <v>6040</v>
      </c>
      <c r="C4807" s="5" t="str">
        <f>IFERROR(__xludf.DUMMYFUNCTION("GOOGLETRANSLATE(B4807,""en"",""de"")"),"Ein neues Video, das tote Tiere zeigt.")</f>
        <v>Ein neues Video, das tote Tiere zeigt.</v>
      </c>
    </row>
    <row r="4808">
      <c r="A4808" s="4" t="s">
        <v>6030</v>
      </c>
      <c r="B4808" s="4" t="s">
        <v>6041</v>
      </c>
      <c r="C4808" s="5" t="str">
        <f>IFERROR(__xludf.DUMMYFUNCTION("GOOGLETRANSLATE(B4808,""en"",""de"")"),"Der herablassende Text erscheint in dem Video, in dem die Menschen dafür züchtigen, Fleisch zu essen, die für Tiere grausam sind.")</f>
        <v>Der herablassende Text erscheint in dem Video, in dem die Menschen dafür züchtigen, Fleisch zu essen, die für Tiere grausam sind.</v>
      </c>
    </row>
    <row r="4809">
      <c r="A4809" s="4" t="s">
        <v>6042</v>
      </c>
      <c r="B4809" s="4" t="s">
        <v>6043</v>
      </c>
      <c r="C4809" s="5" t="str">
        <f>IFERROR(__xludf.DUMMYFUNCTION("GOOGLETRANSLATE(B4809,""en"",""de"")"),"Ein Rasenmäher wird durch Gras gedrängt.")</f>
        <v>Ein Rasenmäher wird durch Gras gedrängt.</v>
      </c>
    </row>
    <row r="4810">
      <c r="A4810" s="4" t="s">
        <v>6042</v>
      </c>
      <c r="B4810" s="4" t="s">
        <v>6044</v>
      </c>
      <c r="C4810" s="5" t="str">
        <f>IFERROR(__xludf.DUMMYFUNCTION("GOOGLETRANSLATE(B4810,""en"",""de"")"),"Es wird über einen Bürgersteig gedrückt.")</f>
        <v>Es wird über einen Bürgersteig gedrückt.</v>
      </c>
    </row>
    <row r="4811">
      <c r="A4811" s="4" t="s">
        <v>6042</v>
      </c>
      <c r="B4811" s="4" t="s">
        <v>6045</v>
      </c>
      <c r="C4811" s="5" t="str">
        <f>IFERROR(__xludf.DUMMYFUNCTION("GOOGLETRANSLATE(B4811,""en"",""de"")"),"Es wird entlang eines Blumenbettes gedrückt.")</f>
        <v>Es wird entlang eines Blumenbettes gedrückt.</v>
      </c>
    </row>
    <row r="4812">
      <c r="A4812" s="4" t="s">
        <v>6046</v>
      </c>
      <c r="B4812" s="4" t="s">
        <v>6047</v>
      </c>
      <c r="C4812" s="5" t="str">
        <f>IFERROR(__xludf.DUMMYFUNCTION("GOOGLETRANSLATE(B4812,""en"",""de"")"),"Eine Person zeigt den Boden eines großen Staubmops.")</f>
        <v>Eine Person zeigt den Boden eines großen Staubmops.</v>
      </c>
    </row>
    <row r="4813">
      <c r="A4813" s="4" t="s">
        <v>6046</v>
      </c>
      <c r="B4813" s="4" t="s">
        <v>6048</v>
      </c>
      <c r="C4813" s="5" t="str">
        <f>IFERROR(__xludf.DUMMYFUNCTION("GOOGLETRANSLATE(B4813,""en"",""de"")"),"Dann reinigt die Person ein Fitnessstudio mit dem großen Staubmop.")</f>
        <v>Dann reinigt die Person ein Fitnessstudio mit dem großen Staubmop.</v>
      </c>
    </row>
    <row r="4814">
      <c r="A4814" s="4" t="s">
        <v>6049</v>
      </c>
      <c r="B4814" s="4" t="s">
        <v>6050</v>
      </c>
      <c r="C4814" s="5" t="str">
        <f>IFERROR(__xludf.DUMMYFUNCTION("GOOGLETRANSLATE(B4814,""en"",""de"")"),"Das Mädchen in der Schaukel schwingt und dann sprang sie auf den Boden.")</f>
        <v>Das Mädchen in der Schaukel schwingt und dann sprang sie auf den Boden.</v>
      </c>
    </row>
    <row r="4815">
      <c r="A4815" s="4" t="s">
        <v>6049</v>
      </c>
      <c r="B4815" s="4" t="s">
        <v>6051</v>
      </c>
      <c r="C4815" s="5" t="str">
        <f>IFERROR(__xludf.DUMMYFUNCTION("GOOGLETRANSLATE(B4815,""en"",""de"")"),"Die Kamera drehte sich um, wandte sich dann wieder dem Schwung des Mädchens um, sie dreht die Ketten der Schwung und sie dreht mit der Schaukel herum.")</f>
        <v>Die Kamera drehte sich um, wandte sich dann wieder dem Schwung des Mädchens um, sie dreht die Ketten der Schwung und sie dreht mit der Schaukel herum.</v>
      </c>
    </row>
    <row r="4816">
      <c r="A4816" s="4" t="s">
        <v>6049</v>
      </c>
      <c r="B4816" s="4" t="s">
        <v>6052</v>
      </c>
      <c r="C4816" s="5" t="str">
        <f>IFERROR(__xludf.DUMMYFUNCTION("GOOGLETRANSLATE(B4816,""en"",""de"")"),"Das Mädchen in schwarzem Hemd, schwarzem Rock und Strumpfhosen schwingt so schnell und hoch und dann sprang sie auf den sandigen Boden.")</f>
        <v>Das Mädchen in schwarzem Hemd, schwarzem Rock und Strumpfhosen schwingt so schnell und hoch und dann sprang sie auf den sandigen Boden.</v>
      </c>
    </row>
    <row r="4817">
      <c r="A4817" s="4" t="s">
        <v>6049</v>
      </c>
      <c r="B4817" s="4" t="s">
        <v>6053</v>
      </c>
      <c r="C4817" s="5" t="str">
        <f>IFERROR(__xludf.DUMMYFUNCTION("GOOGLETRANSLATE(B4817,""en"",""de"")"),"Das Mädchen kletterte auf den Kletterer, sie legte ihre Füße hoch, während ihre Arme und Hände die Bar halten.")</f>
        <v>Das Mädchen kletterte auf den Kletterer, sie legte ihre Füße hoch, während ihre Arme und Hände die Bar halten.</v>
      </c>
    </row>
    <row r="4818">
      <c r="A4818" s="4" t="s">
        <v>6049</v>
      </c>
      <c r="B4818" s="4" t="s">
        <v>6054</v>
      </c>
      <c r="C4818" s="5" t="str">
        <f>IFERROR(__xludf.DUMMYFUNCTION("GOOGLETRANSLATE(B4818,""en"",""de"")"),"Das Mädchen fiel auf den Boden, sie stand auf, ging dann auf die andere Seite des Kletterers, griff nach der Bar und ging in die andere nächste Bar.")</f>
        <v>Das Mädchen fiel auf den Boden, sie stand auf, ging dann auf die andere Seite des Kletterers, griff nach der Bar und ging in die andere nächste Bar.</v>
      </c>
    </row>
    <row r="4819">
      <c r="A4819" s="4" t="s">
        <v>6049</v>
      </c>
      <c r="B4819" s="4" t="s">
        <v>6055</v>
      </c>
      <c r="C4819" s="5" t="str">
        <f>IFERROR(__xludf.DUMMYFUNCTION("GOOGLETRANSLATE(B4819,""en"",""de"")"),"Das Mädchen sitzt auf Blue Springstuhl, während sie auf ihre Seite schaut, sie stand auf und zog weiter nach vorne und rückwärts.")</f>
        <v>Das Mädchen sitzt auf Blue Springstuhl, während sie auf ihre Seite schaut, sie stand auf und zog weiter nach vorne und rückwärts.</v>
      </c>
    </row>
    <row r="4820">
      <c r="A4820" s="4" t="s">
        <v>6049</v>
      </c>
      <c r="B4820" s="4" t="s">
        <v>6056</v>
      </c>
      <c r="C4820" s="5" t="str">
        <f>IFERROR(__xludf.DUMMYFUNCTION("GOOGLETRANSLATE(B4820,""en"",""de"")"),"Das Mädchen setzte sich auf der Rutsche und schob sich nach unten, legte ihre Hausschuhe an und ging dann zurück auf die Oberseite des Rutschens und glitt nach unten.")</f>
        <v>Das Mädchen setzte sich auf der Rutsche und schob sich nach unten, legte ihre Hausschuhe an und ging dann zurück auf die Oberseite des Rutschens und glitt nach unten.</v>
      </c>
    </row>
    <row r="4821">
      <c r="A4821" s="4" t="s">
        <v>6057</v>
      </c>
      <c r="B4821" s="4" t="s">
        <v>6058</v>
      </c>
      <c r="C4821" s="5" t="str">
        <f>IFERROR(__xludf.DUMMYFUNCTION("GOOGLETRANSLATE(B4821,""en"",""de"")"),"Eine blaue Kulisse ist mit weißen Worten abgebildet, in denen der Titel ""den Rasen im Mai 2009 mäht"".")</f>
        <v>Eine blaue Kulisse ist mit weißen Worten abgebildet, in denen der Titel "den Rasen im Mai 2009 mäht".</v>
      </c>
    </row>
    <row r="4822">
      <c r="A4822" s="4" t="s">
        <v>6057</v>
      </c>
      <c r="B4822" s="4" t="s">
        <v>6059</v>
      </c>
      <c r="C4822" s="5" t="str">
        <f>IFERROR(__xludf.DUMMYFUNCTION("GOOGLETRANSLATE(B4822,""en"",""de"")"),"Ein Mann mittleren Alters ist draußen und trägt einen weißen Muskelkurz und rote Shorts, die einen Rasenmäher in seinen Garten schieben.")</f>
        <v>Ein Mann mittleren Alters ist draußen und trägt einen weißen Muskelkurz und rote Shorts, die einen Rasenmäher in seinen Garten schieben.</v>
      </c>
    </row>
    <row r="4823">
      <c r="A4823" s="4" t="s">
        <v>6057</v>
      </c>
      <c r="B4823" s="4" t="s">
        <v>6060</v>
      </c>
      <c r="C4823" s="5" t="str">
        <f>IFERROR(__xludf.DUMMYFUNCTION("GOOGLETRANSLATE(B4823,""en"",""de"")"),"Während der Mann den Rasenmäher in eine andere Richtung umdreht, beginnt er zu kämpfen und wird verwirrt, weil der Wasserbrunnen ihm im Weg ist.")</f>
        <v>Während der Mann den Rasenmäher in eine andere Richtung umdreht, beginnt er zu kämpfen und wird verwirrt, weil der Wasserbrunnen ihm im Weg ist.</v>
      </c>
    </row>
    <row r="4824">
      <c r="A4824" s="4" t="s">
        <v>6057</v>
      </c>
      <c r="B4824" s="4" t="s">
        <v>6061</v>
      </c>
      <c r="C4824" s="5" t="str">
        <f>IFERROR(__xludf.DUMMYFUNCTION("GOOGLETRANSLATE(B4824,""en"",""de"")"),"Einmal ist der Mann frustriert genug, er beschloss nur, es nicht zu mähen und kehrt zu seinem ursprünglichen Ort des Schneidens zurück.")</f>
        <v>Einmal ist der Mann frustriert genug, er beschloss nur, es nicht zu mähen und kehrt zu seinem ursprünglichen Ort des Schneidens zurück.</v>
      </c>
    </row>
    <row r="4825">
      <c r="A4825" s="4" t="s">
        <v>6062</v>
      </c>
      <c r="B4825" s="4" t="s">
        <v>6063</v>
      </c>
      <c r="C4825" s="5" t="str">
        <f>IFERROR(__xludf.DUMMYFUNCTION("GOOGLETRANSLATE(B4825,""en"",""de"")"),"Eine Nahaufnahme der Hände wird angezeigt, gefolgt von einem Mädchen, das ihr Haar streift und zur Kamera lächelt.")</f>
        <v>Eine Nahaufnahme der Hände wird angezeigt, gefolgt von einem Mädchen, das ihr Haar streift und zur Kamera lächelt.</v>
      </c>
    </row>
    <row r="4826">
      <c r="A4826" s="4" t="s">
        <v>6062</v>
      </c>
      <c r="B4826" s="4" t="s">
        <v>6064</v>
      </c>
      <c r="C4826" s="5" t="str">
        <f>IFERROR(__xludf.DUMMYFUNCTION("GOOGLETRANSLATE(B4826,""en"",""de"")"),"Das Mädchen streift weiterhin die Haare und schaut in die Ferne.")</f>
        <v>Das Mädchen streift weiterhin die Haare und schaut in die Ferne.</v>
      </c>
    </row>
    <row r="4827">
      <c r="A4827" s="4" t="s">
        <v>6065</v>
      </c>
      <c r="B4827" s="4" t="s">
        <v>6066</v>
      </c>
      <c r="C4827" s="5" t="str">
        <f>IFERROR(__xludf.DUMMYFUNCTION("GOOGLETRANSLATE(B4827,""en"",""de"")"),"Ein Wettbewerbsportereignis findet in einer Arena im Freien statt und die Konkurrenten sind vor Ort, während die Zuschauer auf der Tribüne sind.")</f>
        <v>Ein Wettbewerbsportereignis findet in einer Arena im Freien statt und die Konkurrenten sind vor Ort, während die Zuschauer auf der Tribüne sind.</v>
      </c>
    </row>
    <row r="4828">
      <c r="A4828" s="4" t="s">
        <v>6065</v>
      </c>
      <c r="B4828" s="4" t="s">
        <v>6067</v>
      </c>
      <c r="C4828" s="5" t="str">
        <f>IFERROR(__xludf.DUMMYFUNCTION("GOOGLETRANSLATE(B4828,""en"",""de"")"),"Ein Mann steht jetzt im Kreis auf dem Feld und hält einen Ball und das Banner -Display auf dem Bildschirm zeigt an, dass er Krisztian Pars ist und dass er kurz davor ist, einen Hammerwurf zu machen, während er den Ball schwingt, der am Seil befestigt ist "&amp;", schwingt seinen Körper und lässt das Seil gehen, als es sehr weit auf dem Feld fliegt.")</f>
        <v>Ein Mann steht jetzt im Kreis auf dem Feld und hält einen Ball und das Banner -Display auf dem Bildschirm zeigt an, dass er Krisztian Pars ist und dass er kurz davor ist, einen Hammerwurf zu machen, während er den Ball schwingt, der am Seil befestigt ist , schwingt seinen Körper und lässt das Seil gehen, als es sehr weit auf dem Feld fliegt.</v>
      </c>
    </row>
    <row r="4829">
      <c r="A4829" s="4" t="s">
        <v>6065</v>
      </c>
      <c r="B4829" s="4" t="s">
        <v>6068</v>
      </c>
      <c r="C4829" s="5" t="str">
        <f>IFERROR(__xludf.DUMMYFUNCTION("GOOGLETRANSLATE(B4829,""en"",""de"")"),"Der Mann ist sehr stolz auf seinen Wurf, als er jubelt und andere Konkurrenten sowie Menschen auf den Tribünen klatschten und ihn anfeuern, als er von der Gegend weggeht, in der er stand und sich weiterhin ein wenig mehr anfeuert, während er weitergibt, w"&amp;"ährend er weitergibt, während er weitergibt, während er weitergibt, während er weitergibt, während er weitergibt, während er weitergibt, während er weitergibt, während er weitergibt, während er weitergibt Ein Daumen bis zu einer Gruppe von Kameramännern, "&amp;"die sein Foto machen.")</f>
        <v>Der Mann ist sehr stolz auf seinen Wurf, als er jubelt und andere Konkurrenten sowie Menschen auf den Tribünen klatschten und ihn anfeuern, als er von der Gegend weggeht, in der er stand und sich weiterhin ein wenig mehr anfeuert, während er weitergibt, während er weitergibt, während er weitergibt, während er weitergibt, während er weitergibt, während er weitergibt, während er weitergibt, während er weitergibt, während er weitergibt, während er weitergibt Ein Daumen bis zu einer Gruppe von Kameramännern, die sein Foto machen.</v>
      </c>
    </row>
    <row r="4830">
      <c r="A4830" s="4" t="s">
        <v>6065</v>
      </c>
      <c r="B4830" s="4" t="s">
        <v>6069</v>
      </c>
      <c r="C4830" s="5" t="str">
        <f>IFERROR(__xludf.DUMMYFUNCTION("GOOGLETRANSLATE(B4830,""en"",""de"")"),"Eine Wiederholung seines Wurfs beginnt wieder und endet dann mit einem weit abgewinkelten Schuss der gesamten Arena.")</f>
        <v>Eine Wiederholung seines Wurfs beginnt wieder und endet dann mit einem weit abgewinkelten Schuss der gesamten Arena.</v>
      </c>
    </row>
    <row r="4831">
      <c r="A4831" s="4" t="s">
        <v>6070</v>
      </c>
      <c r="B4831" s="4" t="s">
        <v>6071</v>
      </c>
      <c r="C4831" s="5" t="str">
        <f>IFERROR(__xludf.DUMMYFUNCTION("GOOGLETRANSLATE(B4831,""en"",""de"")"),"Es wird ein Video des UConn -Frauen -Feldhockeyteams gezeigt.")</f>
        <v>Es wird ein Video des UConn -Frauen -Feldhockeyteams gezeigt.</v>
      </c>
    </row>
    <row r="4832">
      <c r="A4832" s="4" t="s">
        <v>6070</v>
      </c>
      <c r="B4832" s="4" t="s">
        <v>6072</v>
      </c>
      <c r="C4832" s="5" t="str">
        <f>IFERROR(__xludf.DUMMYFUNCTION("GOOGLETRANSLATE(B4832,""en"",""de"")"),"Der Trainer spricht mit den Spielern und sie haben eine Übung.")</f>
        <v>Der Trainer spricht mit den Spielern und sie haben eine Übung.</v>
      </c>
    </row>
    <row r="4833">
      <c r="A4833" s="4" t="s">
        <v>6073</v>
      </c>
      <c r="B4833" s="4" t="s">
        <v>6074</v>
      </c>
      <c r="C4833" s="5" t="str">
        <f>IFERROR(__xludf.DUMMYFUNCTION("GOOGLETRANSLATE(B4833,""en"",""de"")"),"Zwei Männer spielen in einem Fitnessstudio Fußball, gefolgt von einer Pan -Out, die mehr Spieler zeigt.")</f>
        <v>Zwei Männer spielen in einem Fitnessstudio Fußball, gefolgt von einer Pan -Out, die mehr Spieler zeigt.</v>
      </c>
    </row>
    <row r="4834">
      <c r="A4834" s="4" t="s">
        <v>6073</v>
      </c>
      <c r="B4834" s="4" t="s">
        <v>6075</v>
      </c>
      <c r="C4834" s="5" t="str">
        <f>IFERROR(__xludf.DUMMYFUNCTION("GOOGLETRANSLATE(B4834,""en"",""de"")"),"Der Mann ist weiß, führt den Ball mehrmals im Fitnessstudio und führt verschiedene Tricks und Tore durch.")</f>
        <v>Der Mann ist weiß, führt den Ball mehrmals im Fitnessstudio und führt verschiedene Tricks und Tore durch.</v>
      </c>
    </row>
    <row r="4835">
      <c r="A4835" s="4" t="s">
        <v>6073</v>
      </c>
      <c r="B4835" s="4" t="s">
        <v>6076</v>
      </c>
      <c r="C4835" s="5" t="str">
        <f>IFERROR(__xludf.DUMMYFUNCTION("GOOGLETRANSLATE(B4835,""en"",""de"")"),"Das Spiel setzt sich fort, da die Männer zurück und den vierten Spiel mit dem Fußball spielen.")</f>
        <v>Das Spiel setzt sich fort, da die Männer zurück und den vierten Spiel mit dem Fußball spielen.</v>
      </c>
    </row>
    <row r="4836">
      <c r="A4836" s="4" t="s">
        <v>6077</v>
      </c>
      <c r="B4836" s="4" t="s">
        <v>6078</v>
      </c>
      <c r="C4836" s="5" t="str">
        <f>IFERROR(__xludf.DUMMYFUNCTION("GOOGLETRANSLATE(B4836,""en"",""de"")"),"Eine Frau lässt sich die Augenbraue klemmen.")</f>
        <v>Eine Frau lässt sich die Augenbraue klemmen.</v>
      </c>
    </row>
    <row r="4837">
      <c r="A4837" s="4" t="s">
        <v>6077</v>
      </c>
      <c r="B4837" s="4" t="s">
        <v>6079</v>
      </c>
      <c r="C4837" s="5" t="str">
        <f>IFERROR(__xludf.DUMMYFUNCTION("GOOGLETRANSLATE(B4837,""en"",""de"")"),"Eine Person schiebt eine Nadel durch ihre Augenbraue.")</f>
        <v>Eine Person schiebt eine Nadel durch ihre Augenbraue.</v>
      </c>
    </row>
    <row r="4838">
      <c r="A4838" s="4" t="s">
        <v>6077</v>
      </c>
      <c r="B4838" s="4" t="s">
        <v>6080</v>
      </c>
      <c r="C4838" s="5" t="str">
        <f>IFERROR(__xludf.DUMMYFUNCTION("GOOGLETRANSLATE(B4838,""en"",""de"")"),"Sie drehen einen Ohrring in die Augenbraue.")</f>
        <v>Sie drehen einen Ohrring in die Augenbraue.</v>
      </c>
    </row>
    <row r="4839">
      <c r="A4839" s="4" t="s">
        <v>6077</v>
      </c>
      <c r="B4839" s="4" t="s">
        <v>6081</v>
      </c>
      <c r="C4839" s="5" t="str">
        <f>IFERROR(__xludf.DUMMYFUNCTION("GOOGLETRANSLATE(B4839,""en"",""de"")"),"Sie putzen mit einem QTIP um den Ohrring.")</f>
        <v>Sie putzen mit einem QTIP um den Ohrring.</v>
      </c>
    </row>
    <row r="4840">
      <c r="A4840" s="4" t="s">
        <v>6082</v>
      </c>
      <c r="B4840" s="4" t="s">
        <v>6083</v>
      </c>
      <c r="C4840" s="5" t="str">
        <f>IFERROR(__xludf.DUMMYFUNCTION("GOOGLETRANSLATE(B4840,""en"",""de"")"),"Ein Mann versucht, Gewichte in einem Fitnessstudio zu heben.")</f>
        <v>Ein Mann versucht, Gewichte in einem Fitnessstudio zu heben.</v>
      </c>
    </row>
    <row r="4841">
      <c r="A4841" s="4" t="s">
        <v>6082</v>
      </c>
      <c r="B4841" s="4" t="s">
        <v>6084</v>
      </c>
      <c r="C4841" s="5" t="str">
        <f>IFERROR(__xludf.DUMMYFUNCTION("GOOGLETRANSLATE(B4841,""en"",""de"")"),"Er hebt die Langhantel bis zu seiner Brust.")</f>
        <v>Er hebt die Langhantel bis zu seiner Brust.</v>
      </c>
    </row>
    <row r="4842">
      <c r="A4842" s="4" t="s">
        <v>6082</v>
      </c>
      <c r="B4842" s="4" t="s">
        <v>6085</v>
      </c>
      <c r="C4842" s="5" t="str">
        <f>IFERROR(__xludf.DUMMYFUNCTION("GOOGLETRANSLATE(B4842,""en"",""de"")"),"Dann hebt er es über seinen Kopf, bevor er es auf den Boden fallen lässt.")</f>
        <v>Dann hebt er es über seinen Kopf, bevor er es auf den Boden fallen lässt.</v>
      </c>
    </row>
    <row r="4843">
      <c r="A4843" s="4" t="s">
        <v>6086</v>
      </c>
      <c r="B4843" s="4" t="s">
        <v>6087</v>
      </c>
      <c r="C4843" s="5" t="str">
        <f>IFERROR(__xludf.DUMMYFUNCTION("GOOGLETRANSLATE(B4843,""en"",""de"")"),"Eine Band spielt mehrere Instrumente auf einer Bühne, während die Leute um sie herum tanzen.")</f>
        <v>Eine Band spielt mehrere Instrumente auf einer Bühne, während die Leute um sie herum tanzen.</v>
      </c>
    </row>
    <row r="4844">
      <c r="A4844" s="4" t="s">
        <v>6086</v>
      </c>
      <c r="B4844" s="4" t="s">
        <v>6088</v>
      </c>
      <c r="C4844" s="5" t="str">
        <f>IFERROR(__xludf.DUMMYFUNCTION("GOOGLETRANSLATE(B4844,""en"",""de"")"),"Die Band spielt weiter, während die Lichter überall um sie herum blinken und die Leute weiter tanzen.")</f>
        <v>Die Band spielt weiter, während die Lichter überall um sie herum blinken und die Leute weiter tanzen.</v>
      </c>
    </row>
    <row r="4845">
      <c r="A4845" s="4" t="s">
        <v>6089</v>
      </c>
      <c r="B4845" s="4" t="s">
        <v>6090</v>
      </c>
      <c r="C4845" s="5" t="str">
        <f>IFERROR(__xludf.DUMMYFUNCTION("GOOGLETRANSLATE(B4845,""en"",""de"")"),"Außerhalb eines weißen und braunen Pferdes wird ein Treppengehäuse im Freien im Freien im Freien gezeigt.")</f>
        <v>Außerhalb eines weißen und braunen Pferdes wird ein Treppengehäuse im Freien im Freien im Freien gezeigt.</v>
      </c>
    </row>
    <row r="4846">
      <c r="A4846" s="4" t="s">
        <v>6089</v>
      </c>
      <c r="B4846" s="4" t="s">
        <v>6091</v>
      </c>
      <c r="C4846" s="5" t="str">
        <f>IFERROR(__xludf.DUMMYFUNCTION("GOOGLETRANSLATE(B4846,""en"",""de"")"),"Plötzlich kommt ein schwarzer Hund um die Ecke und trat die Treppe hinauf und es werden mehrere Wiederholungen angezeigt.")</f>
        <v>Plötzlich kommt ein schwarzer Hund um die Ecke und trat die Treppe hinauf und es werden mehrere Wiederholungen angezeigt.</v>
      </c>
    </row>
    <row r="4847">
      <c r="A4847" s="4" t="s">
        <v>6089</v>
      </c>
      <c r="B4847" s="4" t="s">
        <v>6092</v>
      </c>
      <c r="C4847" s="5" t="str">
        <f>IFERROR(__xludf.DUMMYFUNCTION("GOOGLETRANSLATE(B4847,""en"",""de"")"),"Sobald der Hund es tatsächlich nach oben geschafft hat, beginnt er, die Person hinter dem Kameraschuh zu lecken.")</f>
        <v>Sobald der Hund es tatsächlich nach oben geschafft hat, beginnt er, die Person hinter dem Kameraschuh zu lecken.</v>
      </c>
    </row>
    <row r="4848">
      <c r="A4848" s="4" t="s">
        <v>6093</v>
      </c>
      <c r="B4848" s="4" t="s">
        <v>6094</v>
      </c>
      <c r="C4848" s="5" t="str">
        <f>IFERROR(__xludf.DUMMYFUNCTION("GOOGLETRANSLATE(B4848,""en"",""de"")"),"Eine Person wird gesehen, wie sie auf einem Wake -Board steht und sich herum bewegt.")</f>
        <v>Eine Person wird gesehen, wie sie auf einem Wake -Board steht und sich herum bewegt.</v>
      </c>
    </row>
    <row r="4849">
      <c r="A4849" s="4" t="s">
        <v>6093</v>
      </c>
      <c r="B4849" s="4" t="s">
        <v>6095</v>
      </c>
      <c r="C4849" s="5" t="str">
        <f>IFERROR(__xludf.DUMMYFUNCTION("GOOGLETRANSLATE(B4849,""en"",""de"")"),"Die Kamera folgt ihm, wie er allmählich und weiter ins Wasser gleitet.")</f>
        <v>Die Kamera folgt ihm, wie er allmählich und weiter ins Wasser gleitet.</v>
      </c>
    </row>
    <row r="4850">
      <c r="A4850" s="4" t="s">
        <v>6096</v>
      </c>
      <c r="B4850" s="4" t="s">
        <v>6097</v>
      </c>
      <c r="C4850" s="5" t="str">
        <f>IFERROR(__xludf.DUMMYFUNCTION("GOOGLETRANSLATE(B4850,""en"",""de"")"),"Wir sehen einen schwarzen Öffnungsbildschirm.")</f>
        <v>Wir sehen einen schwarzen Öffnungsbildschirm.</v>
      </c>
    </row>
    <row r="4851">
      <c r="A4851" s="4" t="s">
        <v>6096</v>
      </c>
      <c r="B4851" s="4" t="s">
        <v>6098</v>
      </c>
      <c r="C4851" s="5" t="str">
        <f>IFERROR(__xludf.DUMMYFUNCTION("GOOGLETRANSLATE(B4851,""en"",""de"")"),"Wir sehen einen blauen Track mit Leuten, die darauf laufen.")</f>
        <v>Wir sehen einen blauen Track mit Leuten, die darauf laufen.</v>
      </c>
    </row>
    <row r="4852">
      <c r="A4852" s="4" t="s">
        <v>6096</v>
      </c>
      <c r="B4852" s="4" t="s">
        <v>6099</v>
      </c>
      <c r="C4852" s="5" t="str">
        <f>IFERROR(__xludf.DUMMYFUNCTION("GOOGLETRANSLATE(B4852,""en"",""de"")"),"Wir sehen dann einen Mann bei 5'9 ""einen Hochsprung.")</f>
        <v>Wir sehen dann einen Mann bei 5'9 "einen Hochsprung.</v>
      </c>
    </row>
    <row r="4853">
      <c r="A4853" s="4" t="s">
        <v>6096</v>
      </c>
      <c r="B4853" s="4" t="s">
        <v>6100</v>
      </c>
      <c r="C4853" s="5" t="str">
        <f>IFERROR(__xludf.DUMMYFUNCTION("GOOGLETRANSLATE(B4853,""en"",""de"")"),"Wir sehen dann den Mann mit 6 'springen.")</f>
        <v>Wir sehen dann den Mann mit 6 'springen.</v>
      </c>
    </row>
    <row r="4854">
      <c r="A4854" s="4" t="s">
        <v>6096</v>
      </c>
      <c r="B4854" s="4" t="s">
        <v>6101</v>
      </c>
      <c r="C4854" s="5" t="str">
        <f>IFERROR(__xludf.DUMMYFUNCTION("GOOGLETRANSLATE(B4854,""en"",""de"")"),"Wir sehen dann den Mann mit 6'2 ""und er schlägt die Stange um.")</f>
        <v>Wir sehen dann den Mann mit 6'2 "und er schlägt die Stange um.</v>
      </c>
    </row>
    <row r="4855">
      <c r="A4855" s="4" t="s">
        <v>6096</v>
      </c>
      <c r="B4855" s="4" t="s">
        <v>6102</v>
      </c>
      <c r="C4855" s="5" t="str">
        <f>IFERROR(__xludf.DUMMYFUNCTION("GOOGLETRANSLATE(B4855,""en"",""de"")"),"Wir sehen ihn versuchen, 6'2 ""wieder zu versuchen und nicht auf die Stange zu schlagen.")</f>
        <v>Wir sehen ihn versuchen, 6'2 "wieder zu versuchen und nicht auf die Stange zu schlagen.</v>
      </c>
    </row>
    <row r="4856">
      <c r="A4856" s="4" t="s">
        <v>6096</v>
      </c>
      <c r="B4856" s="4" t="s">
        <v>6103</v>
      </c>
      <c r="C4856" s="5" t="str">
        <f>IFERROR(__xludf.DUMMYFUNCTION("GOOGLETRANSLATE(B4856,""en"",""de"")"),"Der Mann geht zur Kamera und schaltet ihn aus.")</f>
        <v>Der Mann geht zur Kamera und schaltet ihn aus.</v>
      </c>
    </row>
    <row r="4857">
      <c r="A4857" s="4" t="s">
        <v>6104</v>
      </c>
      <c r="B4857" s="4" t="s">
        <v>6105</v>
      </c>
      <c r="C4857" s="5" t="str">
        <f>IFERROR(__xludf.DUMMYFUNCTION("GOOGLETRANSLATE(B4857,""en"",""de"")"),"Ein kleiner Junge hält einen Pinsel im Hof.")</f>
        <v>Ein kleiner Junge hält einen Pinsel im Hof.</v>
      </c>
    </row>
    <row r="4858">
      <c r="A4858" s="4" t="s">
        <v>6104</v>
      </c>
      <c r="B4858" s="4" t="s">
        <v>6106</v>
      </c>
      <c r="C4858" s="5" t="str">
        <f>IFERROR(__xludf.DUMMYFUNCTION("GOOGLETRANSLATE(B4858,""en"",""de"")"),"Er wischt eine mit Wasser am Zaun bedeckte Bürste.")</f>
        <v>Er wischt eine mit Wasser am Zaun bedeckte Bürste.</v>
      </c>
    </row>
    <row r="4859">
      <c r="A4859" s="4" t="s">
        <v>6104</v>
      </c>
      <c r="B4859" s="4" t="s">
        <v>6107</v>
      </c>
      <c r="C4859" s="5" t="str">
        <f>IFERROR(__xludf.DUMMYFUNCTION("GOOGLETRANSLATE(B4859,""en"",""de"")"),"Er taucht es in den Eimer ab und so tut es weiter, als würde er malen.")</f>
        <v>Er taucht es in den Eimer ab und so tut es weiter, als würde er malen.</v>
      </c>
    </row>
    <row r="4860">
      <c r="A4860" s="4" t="s">
        <v>6108</v>
      </c>
      <c r="B4860" s="4" t="s">
        <v>6109</v>
      </c>
      <c r="C4860" s="5" t="str">
        <f>IFERROR(__xludf.DUMMYFUNCTION("GOOGLETRANSLATE(B4860,""en"",""de"")"),"Ein Mann wäscht ein Auto mit einer Bürste, während drei Personen das Auto mit Schläuchen ausspülen.")</f>
        <v>Ein Mann wäscht ein Auto mit einer Bürste, während drei Personen das Auto mit Schläuchen ausspülen.</v>
      </c>
    </row>
    <row r="4861">
      <c r="A4861" s="4" t="s">
        <v>6108</v>
      </c>
      <c r="B4861" s="4" t="s">
        <v>6110</v>
      </c>
      <c r="C4861" s="5" t="str">
        <f>IFERROR(__xludf.DUMMYFUNCTION("GOOGLETRANSLATE(B4861,""en"",""de"")"),"Ein Mann spricht Waschmittel auf ein Auto.")</f>
        <v>Ein Mann spricht Waschmittel auf ein Auto.</v>
      </c>
    </row>
    <row r="4862">
      <c r="A4862" s="4" t="s">
        <v>6108</v>
      </c>
      <c r="B4862" s="4" t="s">
        <v>6111</v>
      </c>
      <c r="C4862" s="5" t="str">
        <f>IFERROR(__xludf.DUMMYFUNCTION("GOOGLETRANSLATE(B4862,""en"",""de"")"),"Eine Person, die ein rotes T-Shirt trägt, sprüht Waschmittel auf ein Auto, dann spülen zwei Männer das Auto mit Schläuchen, während andere Autos mit weißem Reinigungsmittel bedeckt sind.")</f>
        <v>Eine Person, die ein rotes T-Shirt trägt, sprüht Waschmittel auf ein Auto, dann spülen zwei Männer das Auto mit Schläuchen, während andere Autos mit weißem Reinigungsmittel bedeckt sind.</v>
      </c>
    </row>
    <row r="4863">
      <c r="A4863" s="4" t="s">
        <v>6112</v>
      </c>
      <c r="B4863" s="4" t="s">
        <v>6113</v>
      </c>
      <c r="C4863" s="5" t="str">
        <f>IFERROR(__xludf.DUMMYFUNCTION("GOOGLETRANSLATE(B4863,""en"",""de"")"),"Ein kleines Kind steht vor einer Matte, die auf den Boden schaut.")</f>
        <v>Ein kleines Kind steht vor einer Matte, die auf den Boden schaut.</v>
      </c>
    </row>
    <row r="4864">
      <c r="A4864" s="4" t="s">
        <v>6112</v>
      </c>
      <c r="B4864" s="4" t="s">
        <v>6114</v>
      </c>
      <c r="C4864" s="5" t="str">
        <f>IFERROR(__xludf.DUMMYFUNCTION("GOOGLETRANSLATE(B4864,""en"",""de"")"),"Dann geht sie bis zum Ende entlang der Matte.")</f>
        <v>Dann geht sie bis zum Ende entlang der Matte.</v>
      </c>
    </row>
    <row r="4865">
      <c r="A4865" s="4" t="s">
        <v>6112</v>
      </c>
      <c r="B4865" s="4" t="s">
        <v>6115</v>
      </c>
      <c r="C4865" s="5" t="str">
        <f>IFERROR(__xludf.DUMMYFUNCTION("GOOGLETRANSLATE(B4865,""en"",""de"")"),"Sie geht zurück und Viertens, während sie zur Kamera schaut.")</f>
        <v>Sie geht zurück und Viertens, während sie zur Kamera schaut.</v>
      </c>
    </row>
    <row r="4866">
      <c r="A4866" s="4" t="s">
        <v>6116</v>
      </c>
      <c r="B4866" s="4" t="s">
        <v>6117</v>
      </c>
      <c r="C4866" s="5" t="str">
        <f>IFERROR(__xludf.DUMMYFUNCTION("GOOGLETRANSLATE(B4866,""en"",""de"")"),"Ein Mann spricht mit der Kamera neben einem Pferd und führt in Clips von ihm, die auf dem Pferd und in der Nähe anderer Pferde herumfährt.")</f>
        <v>Ein Mann spricht mit der Kamera neben einem Pferd und führt in Clips von ihm, die auf dem Pferd und in der Nähe anderer Pferde herumfährt.</v>
      </c>
    </row>
    <row r="4867">
      <c r="A4867" s="4" t="s">
        <v>6116</v>
      </c>
      <c r="B4867" s="4" t="s">
        <v>6118</v>
      </c>
      <c r="C4867" s="5" t="str">
        <f>IFERROR(__xludf.DUMMYFUNCTION("GOOGLETRANSLATE(B4867,""en"",""de"")"),"Der Gastgeber spricht mit einem anderen Mann, während mehr Schüsse von Pferden gezeigt werden, sowie ein Mann, der einen Ball schlägt.")</f>
        <v>Der Gastgeber spricht mit einem anderen Mann, während mehr Schüsse von Pferden gezeigt werden, sowie ein Mann, der einen Ball schlägt.</v>
      </c>
    </row>
    <row r="4868">
      <c r="A4868" s="4" t="s">
        <v>6116</v>
      </c>
      <c r="B4868" s="4" t="s">
        <v>6119</v>
      </c>
      <c r="C4868" s="5" t="str">
        <f>IFERROR(__xludf.DUMMYFUNCTION("GOOGLETRANSLATE(B4868,""en"",""de"")"),"Die Männer reiten dann Pferde und lernen, einen Sport zu treiben und endet damit, dass der Gastgeber in einer Uniform spricht.")</f>
        <v>Die Männer reiten dann Pferde und lernen, einen Sport zu treiben und endet damit, dass der Gastgeber in einer Uniform spricht.</v>
      </c>
    </row>
    <row r="4869">
      <c r="A4869" s="4" t="s">
        <v>6120</v>
      </c>
      <c r="B4869" s="4" t="s">
        <v>1251</v>
      </c>
      <c r="C4869" s="5" t="str">
        <f>IFERROR(__xludf.DUMMYFUNCTION("GOOGLETRANSLATE(B4869,""en"",""de"")"),"Die Credits des Clips werden angezeigt.")</f>
        <v>Die Credits des Clips werden angezeigt.</v>
      </c>
    </row>
    <row r="4870">
      <c r="A4870" s="4" t="s">
        <v>6120</v>
      </c>
      <c r="B4870" s="4" t="s">
        <v>6121</v>
      </c>
      <c r="C4870" s="5" t="str">
        <f>IFERROR(__xludf.DUMMYFUNCTION("GOOGLETRANSLATE(B4870,""en"",""de"")"),"Ein Mann fährt ein Übungsrad.")</f>
        <v>Ein Mann fährt ein Übungsrad.</v>
      </c>
    </row>
    <row r="4871">
      <c r="A4871" s="4" t="s">
        <v>6120</v>
      </c>
      <c r="B4871" s="4" t="s">
        <v>6122</v>
      </c>
      <c r="C4871" s="5" t="str">
        <f>IFERROR(__xludf.DUMMYFUNCTION("GOOGLETRANSLATE(B4871,""en"",""de"")"),"Der Typ passt den Trainingsradsitz an.")</f>
        <v>Der Typ passt den Trainingsradsitz an.</v>
      </c>
    </row>
    <row r="4872">
      <c r="A4872" s="4" t="s">
        <v>6120</v>
      </c>
      <c r="B4872" s="4" t="s">
        <v>573</v>
      </c>
      <c r="C4872" s="5" t="str">
        <f>IFERROR(__xludf.DUMMYFUNCTION("GOOGLETRANSLATE(B4872,""en"",""de"")"),"Die Credits des Videos werden angezeigt.")</f>
        <v>Die Credits des Videos werden angezeigt.</v>
      </c>
    </row>
    <row r="4873">
      <c r="A4873" s="4" t="s">
        <v>6123</v>
      </c>
      <c r="B4873" s="4" t="s">
        <v>6124</v>
      </c>
      <c r="C4873" s="5" t="str">
        <f>IFERROR(__xludf.DUMMYFUNCTION("GOOGLETRANSLATE(B4873,""en"",""de"")"),"Eine Frau sitzt an einem Schreibtisch.")</f>
        <v>Eine Frau sitzt an einem Schreibtisch.</v>
      </c>
    </row>
    <row r="4874">
      <c r="A4874" s="4" t="s">
        <v>6123</v>
      </c>
      <c r="B4874" s="4" t="s">
        <v>6125</v>
      </c>
      <c r="C4874" s="5" t="str">
        <f>IFERROR(__xludf.DUMMYFUNCTION("GOOGLETRANSLATE(B4874,""en"",""de"")"),"Ein Mann, der vor ihr sitzt, spielt eine Mundharmonika.")</f>
        <v>Ein Mann, der vor ihr sitzt, spielt eine Mundharmonika.</v>
      </c>
    </row>
    <row r="4875">
      <c r="A4875" s="4" t="s">
        <v>6123</v>
      </c>
      <c r="B4875" s="4" t="s">
        <v>6126</v>
      </c>
      <c r="C4875" s="5" t="str">
        <f>IFERROR(__xludf.DUMMYFUNCTION("GOOGLETRANSLATE(B4875,""en"",""de"")"),"Die Frau spielt mit ihren Haaren.")</f>
        <v>Die Frau spielt mit ihren Haaren.</v>
      </c>
    </row>
    <row r="4876">
      <c r="A4876" s="4" t="s">
        <v>6127</v>
      </c>
      <c r="B4876" s="4" t="s">
        <v>6128</v>
      </c>
      <c r="C4876" s="5" t="str">
        <f>IFERROR(__xludf.DUMMYFUNCTION("GOOGLETRANSLATE(B4876,""en"",""de"")"),"Es wird eine Reihe von Schuhstrahlwerkzeugen gezeigt, einschließlich verschiedener Arten und Farben des Schuhpolitsches, eines Polierlappens und eines schwarzen, glänzenden Schuhs.")</f>
        <v>Es wird eine Reihe von Schuhstrahlwerkzeugen gezeigt, einschließlich verschiedener Arten und Farben des Schuhpolitsches, eines Polierlappens und eines schwarzen, glänzenden Schuhs.</v>
      </c>
    </row>
    <row r="4877">
      <c r="A4877" s="4" t="s">
        <v>6127</v>
      </c>
      <c r="B4877" s="4" t="s">
        <v>6129</v>
      </c>
      <c r="C4877" s="5" t="str">
        <f>IFERROR(__xludf.DUMMYFUNCTION("GOOGLETRANSLATE(B4877,""en"",""de"")"),"Eine Gruppe von Erwachsenenschülern sitzt in einem Raum im Klassenzimmer und schaut nach vor der Klasse, als ob sie eine Klasse besuchen und intensiv zuhören würden.")</f>
        <v>Eine Gruppe von Erwachsenenschülern sitzt in einem Raum im Klassenzimmer und schaut nach vor der Klasse, als ob sie eine Klasse besuchen und intensiv zuhören würden.</v>
      </c>
    </row>
    <row r="4878">
      <c r="A4878" s="4" t="s">
        <v>6127</v>
      </c>
      <c r="B4878" s="4" t="s">
        <v>6130</v>
      </c>
      <c r="C4878" s="5" t="str">
        <f>IFERROR(__xludf.DUMMYFUNCTION("GOOGLETRANSLATE(B4878,""en"",""de"")"),"Eine Schuh -Glanz -Demonstration findet mit einem Mann statt, der vor einer Gruppe von Schülern kniet und als Beispiel einen Probenschuh verwendet.")</f>
        <v>Eine Schuh -Glanz -Demonstration findet mit einem Mann statt, der vor einer Gruppe von Schülern kniet und als Beispiel einen Probenschuh verwendet.</v>
      </c>
    </row>
    <row r="4879">
      <c r="A4879" s="4" t="s">
        <v>6127</v>
      </c>
      <c r="B4879" s="4" t="s">
        <v>6131</v>
      </c>
      <c r="C4879" s="5" t="str">
        <f>IFERROR(__xludf.DUMMYFUNCTION("GOOGLETRANSLATE(B4879,""en"",""de"")"),"Mehrere Menschen in Schürzen, dann knien vor Menschen, bevor sie Schuhe tragen und die Schuhe der Menschen auf roten Eimern mit Polierkleidung und Politur leuchten.")</f>
        <v>Mehrere Menschen in Schürzen, dann knien vor Menschen, bevor sie Schuhe tragen und die Schuhe der Menschen auf roten Eimern mit Polierkleidung und Politur leuchten.</v>
      </c>
    </row>
    <row r="4880">
      <c r="A4880" s="4" t="s">
        <v>6127</v>
      </c>
      <c r="B4880" s="4" t="s">
        <v>6132</v>
      </c>
      <c r="C4880" s="5" t="str">
        <f>IFERROR(__xludf.DUMMYFUNCTION("GOOGLETRANSLATE(B4880,""en"",""de"")"),"Die Schuhe Shiners stehen dann im Einklang mit ihren Schürzen und beugen sich und schütteln sich die Hand.")</f>
        <v>Die Schuhe Shiners stehen dann im Einklang mit ihren Schürzen und beugen sich und schütteln sich die Hand.</v>
      </c>
    </row>
    <row r="4881">
      <c r="A4881" s="4" t="s">
        <v>6133</v>
      </c>
      <c r="B4881" s="4" t="s">
        <v>6134</v>
      </c>
      <c r="C4881" s="5" t="str">
        <f>IFERROR(__xludf.DUMMYFUNCTION("GOOGLETRANSLATE(B4881,""en"",""de"")"),"Ein Mann hebt sehr schwer über seinem Kopf und legt es fallen.")</f>
        <v>Ein Mann hebt sehr schwer über seinem Kopf und legt es fallen.</v>
      </c>
    </row>
    <row r="4882">
      <c r="A4882" s="4" t="s">
        <v>6133</v>
      </c>
      <c r="B4882" s="4" t="s">
        <v>6135</v>
      </c>
      <c r="C4882" s="5" t="str">
        <f>IFERROR(__xludf.DUMMYFUNCTION("GOOGLETRANSLATE(B4882,""en"",""de"")"),"Er macht diese mehrfache Zeit für die Wiederholung, dies ist eine Trainingsroutine.")</f>
        <v>Er macht diese mehrfache Zeit für die Wiederholung, dies ist eine Trainingsroutine.</v>
      </c>
    </row>
    <row r="4883">
      <c r="A4883" s="4" t="s">
        <v>6133</v>
      </c>
      <c r="B4883" s="4" t="s">
        <v>6136</v>
      </c>
      <c r="C4883" s="5" t="str">
        <f>IFERROR(__xludf.DUMMYFUNCTION("GOOGLETRANSLATE(B4883,""en"",""de"")"),"Dann geht er weg und macht ein bisschen eine Pause und geht vorbei, wenn Leute sitzen und sich plaudern.")</f>
        <v>Dann geht er weg und macht ein bisschen eine Pause und geht vorbei, wenn Leute sitzen und sich plaudern.</v>
      </c>
    </row>
    <row r="4884">
      <c r="A4884" s="4" t="s">
        <v>6133</v>
      </c>
      <c r="B4884" s="4" t="s">
        <v>6137</v>
      </c>
      <c r="C4884" s="5" t="str">
        <f>IFERROR(__xludf.DUMMYFUNCTION("GOOGLETRANSLATE(B4884,""en"",""de"")"),"Sobald er mit seiner Pause fertig ist, kehrt er zu seiner Routine zurück.")</f>
        <v>Sobald er mit seiner Pause fertig ist, kehrt er zu seiner Routine zurück.</v>
      </c>
    </row>
    <row r="4885">
      <c r="A4885" s="4" t="s">
        <v>6138</v>
      </c>
      <c r="B4885" s="4" t="s">
        <v>6139</v>
      </c>
      <c r="C4885" s="5" t="str">
        <f>IFERROR(__xludf.DUMMYFUNCTION("GOOGLETRANSLATE(B4885,""en"",""de"")"),"Zwei Sumo -Wrestler kämpfen gegenseitig im Innen, wenn sich der Schiedsrichter um sie herum bewegt.")</f>
        <v>Zwei Sumo -Wrestler kämpfen gegenseitig im Innen, wenn sich der Schiedsrichter um sie herum bewegt.</v>
      </c>
    </row>
    <row r="4886">
      <c r="A4886" s="4" t="s">
        <v>6138</v>
      </c>
      <c r="B4886" s="4" t="s">
        <v>6140</v>
      </c>
      <c r="C4886" s="5" t="str">
        <f>IFERROR(__xludf.DUMMYFUNCTION("GOOGLETRANSLATE(B4886,""en"",""de"")"),"Eine Person wird dann von der Matte geworfen und eine andere Gruppe von Menschen wird gezeigt.")</f>
        <v>Eine Person wird dann von der Matte geworfen und eine andere Gruppe von Menschen wird gezeigt.</v>
      </c>
    </row>
    <row r="4887">
      <c r="A4887" s="4" t="s">
        <v>6138</v>
      </c>
      <c r="B4887" s="4" t="s">
        <v>6141</v>
      </c>
      <c r="C4887" s="5" t="str">
        <f>IFERROR(__xludf.DUMMYFUNCTION("GOOGLETRANSLATE(B4887,""en"",""de"")"),"Der kleinere der beiden dreht dann den großen Kerl in die Luft und dann ist das Match vorbei.")</f>
        <v>Der kleinere der beiden dreht dann den großen Kerl in die Luft und dann ist das Match vorbei.</v>
      </c>
    </row>
    <row r="4888">
      <c r="A4888" s="4" t="s">
        <v>6138</v>
      </c>
      <c r="B4888" s="4" t="s">
        <v>6142</v>
      </c>
      <c r="C4888" s="5" t="str">
        <f>IFERROR(__xludf.DUMMYFUNCTION("GOOGLETRANSLATE(B4888,""en"",""de"")"),"Die Sequenz geht weiter und mehrere andere Männer werden gezeigt, dass sie gegenseitig kämpfen und sich gegenseitig Wedgies geben.")</f>
        <v>Die Sequenz geht weiter und mehrere andere Männer werden gezeigt, dass sie gegenseitig kämpfen und sich gegenseitig Wedgies geben.</v>
      </c>
    </row>
    <row r="4889">
      <c r="A4889" s="4" t="s">
        <v>6138</v>
      </c>
      <c r="B4889" s="4" t="s">
        <v>6143</v>
      </c>
      <c r="C4889" s="5" t="str">
        <f>IFERROR(__xludf.DUMMYFUNCTION("GOOGLETRANSLATE(B4889,""en"",""de"")"),"Nach Abschluss des Spiels werden zwei Männer angezeigt, die an einem Schreibtisch mit einer Telefonnummer auf einer weißen Brett sitzen.")</f>
        <v>Nach Abschluss des Spiels werden zwei Männer angezeigt, die an einem Schreibtisch mit einer Telefonnummer auf einer weißen Brett sitzen.</v>
      </c>
    </row>
    <row r="4890">
      <c r="A4890" s="4" t="s">
        <v>6144</v>
      </c>
      <c r="B4890" s="4" t="s">
        <v>6145</v>
      </c>
      <c r="C4890" s="5" t="str">
        <f>IFERROR(__xludf.DUMMYFUNCTION("GOOGLETRANSLATE(B4890,""en"",""de"")"),"Ein Mann wäscht seine Hände im Waschbecken.")</f>
        <v>Ein Mann wäscht seine Hände im Waschbecken.</v>
      </c>
    </row>
    <row r="4891">
      <c r="A4891" s="4" t="s">
        <v>6144</v>
      </c>
      <c r="B4891" s="4" t="s">
        <v>6146</v>
      </c>
      <c r="C4891" s="5" t="str">
        <f>IFERROR(__xludf.DUMMYFUNCTION("GOOGLETRANSLATE(B4891,""en"",""de"")"),"Er nimmt einen gelben Lappen und reinigt das Waschbecken und den Wasserhahn.")</f>
        <v>Er nimmt einen gelben Lappen und reinigt das Waschbecken und den Wasserhahn.</v>
      </c>
    </row>
    <row r="4892">
      <c r="A4892" s="4" t="s">
        <v>6144</v>
      </c>
      <c r="B4892" s="4" t="s">
        <v>6147</v>
      </c>
      <c r="C4892" s="5" t="str">
        <f>IFERROR(__xludf.DUMMYFUNCTION("GOOGLETRANSLATE(B4892,""en"",""de"")"),"Es wird eine weiße Flasche Reiniger gezeigt.")</f>
        <v>Es wird eine weiße Flasche Reiniger gezeigt.</v>
      </c>
    </row>
    <row r="4893">
      <c r="A4893" s="4" t="s">
        <v>6148</v>
      </c>
      <c r="B4893" s="4" t="s">
        <v>6149</v>
      </c>
      <c r="C4893" s="5" t="str">
        <f>IFERROR(__xludf.DUMMYFUNCTION("GOOGLETRANSLATE(B4893,""en"",""de"")"),"Ein Mädchen, das einen Bikini am Strand trägt, wird gezeigt, dass es mehrere sitzt, wenn sie sich auf einem Ball befinden und ihre Haare repariert.")</f>
        <v>Ein Mädchen, das einen Bikini am Strand trägt, wird gezeigt, dass es mehrere sitzt, wenn sie sich auf einem Ball befinden und ihre Haare repariert.</v>
      </c>
    </row>
    <row r="4894">
      <c r="A4894" s="4" t="s">
        <v>6148</v>
      </c>
      <c r="B4894" s="4" t="s">
        <v>6150</v>
      </c>
      <c r="C4894" s="5" t="str">
        <f>IFERROR(__xludf.DUMMYFUNCTION("GOOGLETRANSLATE(B4894,""en"",""de"")"),"Sie führt die Übung weiter aus, während sie gegen die Kamera lächelt.")</f>
        <v>Sie führt die Übung weiter aus, während sie gegen die Kamera lächelt.</v>
      </c>
    </row>
    <row r="4895">
      <c r="A4895" s="4" t="s">
        <v>6151</v>
      </c>
      <c r="B4895" s="4" t="s">
        <v>6152</v>
      </c>
      <c r="C4895" s="5" t="str">
        <f>IFERROR(__xludf.DUMMYFUNCTION("GOOGLETRANSLATE(B4895,""en"",""de"")"),"Ein Mann hält einen Wiegen auf dem Rücken, dann kniet er sich auf dem Boden.")</f>
        <v>Ein Mann hält einen Wiegen auf dem Rücken, dann kniet er sich auf dem Boden.</v>
      </c>
    </row>
    <row r="4896">
      <c r="A4896" s="4" t="s">
        <v>6151</v>
      </c>
      <c r="B4896" s="4" t="s">
        <v>6153</v>
      </c>
      <c r="C4896" s="5" t="str">
        <f>IFERROR(__xludf.DUMMYFUNCTION("GOOGLETRANSLATE(B4896,""en"",""de"")"),"Danach springt er vom Boden zum Stehen, während das Wiegen auf dem Rücken ist.")</f>
        <v>Danach springt er vom Boden zum Stehen, während das Wiegen auf dem Rücken ist.</v>
      </c>
    </row>
    <row r="4897">
      <c r="A4897" s="4" t="s">
        <v>6154</v>
      </c>
      <c r="B4897" s="4" t="s">
        <v>6155</v>
      </c>
      <c r="C4897" s="5" t="str">
        <f>IFERROR(__xludf.DUMMYFUNCTION("GOOGLETRANSLATE(B4897,""en"",""de"")"),"Eine Frau zeigt, wie man ein Geschenk hinter der Theke eines Geschenkeladens richtig einpackt.")</f>
        <v>Eine Frau zeigt, wie man ein Geschenk hinter der Theke eines Geschenkeladens richtig einpackt.</v>
      </c>
    </row>
    <row r="4898">
      <c r="A4898" s="4" t="s">
        <v>6154</v>
      </c>
      <c r="B4898" s="4" t="s">
        <v>6156</v>
      </c>
      <c r="C4898" s="5" t="str">
        <f>IFERROR(__xludf.DUMMYFUNCTION("GOOGLETRANSLATE(B4898,""en"",""de"")"),"Eine Frau steht hinter einer Verkaufstheke vor mehreren verpackten Geschenken und Geschenkverpackungsmaterialien.")</f>
        <v>Eine Frau steht hinter einer Verkaufstheke vor mehreren verpackten Geschenken und Geschenkverpackungsmaterialien.</v>
      </c>
    </row>
    <row r="4899">
      <c r="A4899" s="4" t="s">
        <v>6154</v>
      </c>
      <c r="B4899" s="4" t="s">
        <v>6157</v>
      </c>
      <c r="C4899" s="5" t="str">
        <f>IFERROR(__xludf.DUMMYFUNCTION("GOOGLETRANSLATE(B4899,""en"",""de"")"),"Geschenkverpackungsmaterialien werden auf der Theke gezeigt, einschließlich Geschenkverpackung, Schere und Band.")</f>
        <v>Geschenkverpackungsmaterialien werden auf der Theke gezeigt, einschließlich Geschenkverpackung, Schere und Band.</v>
      </c>
    </row>
    <row r="4900">
      <c r="A4900" s="4" t="s">
        <v>6154</v>
      </c>
      <c r="B4900" s="4" t="s">
        <v>6158</v>
      </c>
      <c r="C4900" s="5" t="str">
        <f>IFERROR(__xludf.DUMMYFUNCTION("GOOGLETRANSLATE(B4900,""en"",""de"")"),"Die Frau spricht mit der Kamera und beginnt, die Schachtel in Geschenkpapier mit einer Schere zu wickeln, um das Geschenkpapier zu schneiden und das Klebeband zu kleben, um die Ränder des Verpackungspapiers zu kleben.")</f>
        <v>Die Frau spricht mit der Kamera und beginnt, die Schachtel in Geschenkpapier mit einer Schere zu wickeln, um das Geschenkpapier zu schneiden und das Klebeband zu kleben, um die Ränder des Verpackungspapiers zu kleben.</v>
      </c>
    </row>
    <row r="4901">
      <c r="A4901" s="4" t="s">
        <v>6154</v>
      </c>
      <c r="B4901" s="4" t="s">
        <v>6159</v>
      </c>
      <c r="C4901" s="5" t="str">
        <f>IFERROR(__xludf.DUMMYFUNCTION("GOOGLETRANSLATE(B4901,""en"",""de"")"),"Die Frau schließt dann das Geschenk mit dem letzten Band und die Kamera schließt die Oberflächen, eingewickelt, Produkt.")</f>
        <v>Die Frau schließt dann das Geschenk mit dem letzten Band und die Kamera schließt die Oberflächen, eingewickelt, Produkt.</v>
      </c>
    </row>
    <row r="4902">
      <c r="A4902" s="4" t="s">
        <v>6160</v>
      </c>
      <c r="B4902" s="4" t="s">
        <v>6161</v>
      </c>
      <c r="C4902" s="5" t="str">
        <f>IFERROR(__xludf.DUMMYFUNCTION("GOOGLETRANSLATE(B4902,""en"",""de"")"),"Ein schwerer Mann in einem blauen Hemd spielt die Taschenrohre.")</f>
        <v>Ein schwerer Mann in einem blauen Hemd spielt die Taschenrohre.</v>
      </c>
    </row>
    <row r="4903">
      <c r="A4903" s="4" t="s">
        <v>6160</v>
      </c>
      <c r="B4903" s="4" t="s">
        <v>6162</v>
      </c>
      <c r="C4903" s="5" t="str">
        <f>IFERROR(__xludf.DUMMYFUNCTION("GOOGLETRANSLATE(B4903,""en"",""de"")"),"Er bläst in die Pfeife, während er die Noten mit seinen Fingern macht.")</f>
        <v>Er bläst in die Pfeife, während er die Noten mit seinen Fingern macht.</v>
      </c>
    </row>
    <row r="4904">
      <c r="A4904" s="4" t="s">
        <v>6160</v>
      </c>
      <c r="B4904" s="4" t="s">
        <v>6163</v>
      </c>
      <c r="C4904" s="5" t="str">
        <f>IFERROR(__xludf.DUMMYFUNCTION("GOOGLETRANSLATE(B4904,""en"",""de"")"),"Er tanzt leicht, während er spielt.")</f>
        <v>Er tanzt leicht, während er spielt.</v>
      </c>
    </row>
    <row r="4905">
      <c r="A4905" s="4" t="s">
        <v>6160</v>
      </c>
      <c r="B4905" s="4" t="s">
        <v>6164</v>
      </c>
      <c r="C4905" s="5" t="str">
        <f>IFERROR(__xludf.DUMMYFUNCTION("GOOGLETRANSLATE(B4905,""en"",""de"")"),"Er passt das Beutelrohr an und spielt weiter.")</f>
        <v>Er passt das Beutelrohr an und spielt weiter.</v>
      </c>
    </row>
    <row r="4906">
      <c r="A4906" s="4" t="s">
        <v>6160</v>
      </c>
      <c r="B4906" s="4" t="s">
        <v>6165</v>
      </c>
      <c r="C4906" s="5" t="str">
        <f>IFERROR(__xludf.DUMMYFUNCTION("GOOGLETRANSLATE(B4906,""en"",""de"")"),"Er beendet sein Lied und greift nach der Kamera aus.")</f>
        <v>Er beendet sein Lied und greift nach der Kamera aus.</v>
      </c>
    </row>
    <row r="4907">
      <c r="A4907" s="4" t="s">
        <v>6166</v>
      </c>
      <c r="B4907" s="4" t="s">
        <v>6167</v>
      </c>
      <c r="C4907" s="5" t="str">
        <f>IFERROR(__xludf.DUMMYFUNCTION("GOOGLETRANSLATE(B4907,""en"",""de"")"),"Ein Mann sitzt mit einer chirurgischen Maske.")</f>
        <v>Ein Mann sitzt mit einer chirurgischen Maske.</v>
      </c>
    </row>
    <row r="4908">
      <c r="A4908" s="4" t="s">
        <v>6166</v>
      </c>
      <c r="B4908" s="4" t="s">
        <v>6168</v>
      </c>
      <c r="C4908" s="5" t="str">
        <f>IFERROR(__xludf.DUMMYFUNCTION("GOOGLETRANSLATE(B4908,""en"",""de"")"),"Er schneidet Zitronen auf.")</f>
        <v>Er schneidet Zitronen auf.</v>
      </c>
    </row>
    <row r="4909">
      <c r="A4909" s="4" t="s">
        <v>6169</v>
      </c>
      <c r="B4909" s="4" t="s">
        <v>6170</v>
      </c>
      <c r="C4909" s="5" t="str">
        <f>IFERROR(__xludf.DUMMYFUNCTION("GOOGLETRANSLATE(B4909,""en"",""de"")"),"Der Titel und die Credits des Videos werden angezeigt.")</f>
        <v>Der Titel und die Credits des Videos werden angezeigt.</v>
      </c>
    </row>
    <row r="4910">
      <c r="A4910" s="4" t="s">
        <v>6169</v>
      </c>
      <c r="B4910" s="4" t="s">
        <v>6171</v>
      </c>
      <c r="C4910" s="5" t="str">
        <f>IFERROR(__xludf.DUMMYFUNCTION("GOOGLETRANSLATE(B4910,""en"",""de"")"),"Ein Mann fährt mit Autos im Hintergrund einen Fahrrad hinunter.")</f>
        <v>Ein Mann fährt mit Autos im Hintergrund einen Fahrrad hinunter.</v>
      </c>
    </row>
    <row r="4911">
      <c r="A4911" s="4" t="s">
        <v>6169</v>
      </c>
      <c r="B4911" s="4" t="s">
        <v>6172</v>
      </c>
      <c r="C4911" s="5" t="str">
        <f>IFERROR(__xludf.DUMMYFUNCTION("GOOGLETRANSLATE(B4911,""en"",""de"")"),"Der Mann zerfällt und repariert das Fahrrad.")</f>
        <v>Der Mann zerfällt und repariert das Fahrrad.</v>
      </c>
    </row>
    <row r="4912">
      <c r="A4912" s="4" t="s">
        <v>6169</v>
      </c>
      <c r="B4912" s="4" t="s">
        <v>6173</v>
      </c>
      <c r="C4912" s="5" t="str">
        <f>IFERROR(__xludf.DUMMYFUNCTION("GOOGLETRANSLATE(B4912,""en"",""de"")"),"Der Mann fährt mit dem Fahrrad einen Stein gepflasterten Pfad hinunter.")</f>
        <v>Der Mann fährt mit dem Fahrrad einen Stein gepflasterten Pfad hinunter.</v>
      </c>
    </row>
    <row r="4913">
      <c r="A4913" s="4" t="s">
        <v>6169</v>
      </c>
      <c r="B4913" s="4" t="s">
        <v>6174</v>
      </c>
      <c r="C4913" s="5" t="str">
        <f>IFERROR(__xludf.DUMMYFUNCTION("GOOGLETRANSLATE(B4913,""en"",""de"")"),"Der Mann fährt das Fahrrad eine Straße hinunter neben geparkten Autos.")</f>
        <v>Der Mann fährt das Fahrrad eine Straße hinunter neben geparkten Autos.</v>
      </c>
    </row>
    <row r="4914">
      <c r="A4914" s="4" t="s">
        <v>6175</v>
      </c>
      <c r="B4914" s="4" t="s">
        <v>6176</v>
      </c>
      <c r="C4914" s="5" t="str">
        <f>IFERROR(__xludf.DUMMYFUNCTION("GOOGLETRANSLATE(B4914,""en"",""de"")"),"Ein Mann spricht auf einem Mikrofon.")</f>
        <v>Ein Mann spricht auf einem Mikrofon.</v>
      </c>
    </row>
    <row r="4915">
      <c r="A4915" s="4" t="s">
        <v>6175</v>
      </c>
      <c r="B4915" s="4" t="s">
        <v>6177</v>
      </c>
      <c r="C4915" s="5" t="str">
        <f>IFERROR(__xludf.DUMMYFUNCTION("GOOGLETRANSLATE(B4915,""en"",""de"")"),"Plötzlich springt ein Mann auf den Hals einer Person und wirft ihn zu Boden.")</f>
        <v>Plötzlich springt ein Mann auf den Hals einer Person und wirft ihn zu Boden.</v>
      </c>
    </row>
    <row r="4916">
      <c r="A4916" s="4" t="s">
        <v>6175</v>
      </c>
      <c r="B4916" s="4" t="s">
        <v>6178</v>
      </c>
      <c r="C4916" s="5" t="str">
        <f>IFERROR(__xludf.DUMMYFUNCTION("GOOGLETRANSLATE(B4916,""en"",""de"")"),"Andere Männer konkurrieren mit dem Wrestling, und ein Mann springt und landet an der Grenze eines Wrestling -Rings.")</f>
        <v>Andere Männer konkurrieren mit dem Wrestling, und ein Mann springt und landet an der Grenze eines Wrestling -Rings.</v>
      </c>
    </row>
    <row r="4917">
      <c r="A4917" s="4" t="s">
        <v>6175</v>
      </c>
      <c r="B4917" s="4" t="s">
        <v>6179</v>
      </c>
      <c r="C4917" s="5" t="str">
        <f>IFERROR(__xludf.DUMMYFUNCTION("GOOGLETRANSLATE(B4917,""en"",""de"")"),"Ein Wrestler springt auf den Rücken eines Mannes, um auf dem Kopf zu bleiben, während der Richter beobachtet.")</f>
        <v>Ein Wrestler springt auf den Rücken eines Mannes, um auf dem Kopf zu bleiben, während der Richter beobachtet.</v>
      </c>
    </row>
    <row r="4918">
      <c r="A4918" s="4" t="s">
        <v>6175</v>
      </c>
      <c r="B4918" s="4" t="s">
        <v>6180</v>
      </c>
      <c r="C4918" s="5" t="str">
        <f>IFERROR(__xludf.DUMMYFUNCTION("GOOGLETRANSLATE(B4918,""en"",""de"")"),"Ein großer Mann tritt einen weiteren Wrestler und greift dann einen Wurf auf den Boden.")</f>
        <v>Ein großer Mann tritt einen weiteren Wrestler und greift dann einen Wurf auf den Boden.</v>
      </c>
    </row>
    <row r="4919">
      <c r="A4919" s="4" t="s">
        <v>6175</v>
      </c>
      <c r="B4919" s="4" t="s">
        <v>6181</v>
      </c>
      <c r="C4919" s="5" t="str">
        <f>IFERROR(__xludf.DUMMYFUNCTION("GOOGLETRANSLATE(B4919,""en"",""de"")"),"Ein Kind und eine Person springen, um zu feiern.")</f>
        <v>Ein Kind und eine Person springen, um zu feiern.</v>
      </c>
    </row>
    <row r="4920">
      <c r="A4920" s="4" t="s">
        <v>6182</v>
      </c>
      <c r="B4920" s="4" t="s">
        <v>6183</v>
      </c>
      <c r="C4920" s="5" t="str">
        <f>IFERROR(__xludf.DUMMYFUNCTION("GOOGLETRANSLATE(B4920,""en"",""de"")"),"Pergamentpapier wird auf das Backblech platziert.")</f>
        <v>Pergamentpapier wird auf das Backblech platziert.</v>
      </c>
    </row>
    <row r="4921">
      <c r="A4921" s="4" t="s">
        <v>6182</v>
      </c>
      <c r="B4921" s="4" t="s">
        <v>6184</v>
      </c>
      <c r="C4921" s="5" t="str">
        <f>IFERROR(__xludf.DUMMYFUNCTION("GOOGLETRANSLATE(B4921,""en"",""de"")"),"Weiche Butter wird in eine Rührschüssel gegeben.")</f>
        <v>Weiche Butter wird in eine Rührschüssel gegeben.</v>
      </c>
    </row>
    <row r="4922">
      <c r="A4922" s="4" t="s">
        <v>6182</v>
      </c>
      <c r="B4922" s="4" t="s">
        <v>6185</v>
      </c>
      <c r="C4922" s="5" t="str">
        <f>IFERROR(__xludf.DUMMYFUNCTION("GOOGLETRANSLATE(B4922,""en"",""de"")"),"Der Mixer beginnt dann die Butter zu cremen.")</f>
        <v>Der Mixer beginnt dann die Butter zu cremen.</v>
      </c>
    </row>
    <row r="4923">
      <c r="A4923" s="4" t="s">
        <v>6182</v>
      </c>
      <c r="B4923" s="4" t="s">
        <v>6186</v>
      </c>
      <c r="C4923" s="5" t="str">
        <f>IFERROR(__xludf.DUMMYFUNCTION("GOOGLETRANSLATE(B4923,""en"",""de"")"),"Zu Zucker wird der Mischschüssel hinzugefügt, die geschlagen werden soll.")</f>
        <v>Zu Zucker wird der Mischschüssel hinzugefügt, die geschlagen werden soll.</v>
      </c>
    </row>
    <row r="4924">
      <c r="A4924" s="4" t="s">
        <v>6182</v>
      </c>
      <c r="B4924" s="4" t="s">
        <v>6187</v>
      </c>
      <c r="C4924" s="5" t="str">
        <f>IFERROR(__xludf.DUMMYFUNCTION("GOOGLETRANSLATE(B4924,""en"",""de"")"),"Mehl wird gemessen und in Kombination mit Maisstärke, die dann in die Schüssel gemischt wird.")</f>
        <v>Mehl wird gemessen und in Kombination mit Maisstärke, die dann in die Schüssel gemischt wird.</v>
      </c>
    </row>
    <row r="4925">
      <c r="A4925" s="4" t="s">
        <v>6182</v>
      </c>
      <c r="B4925" s="4" t="s">
        <v>6188</v>
      </c>
      <c r="C4925" s="5" t="str">
        <f>IFERROR(__xludf.DUMMYFUNCTION("GOOGLETRANSLATE(B4925,""en"",""de"")"),"Der Teig wird durch Löffel gemessen, aufgerollt und auf Backblech gelegt.")</f>
        <v>Der Teig wird durch Löffel gemessen, aufgerollt und auf Backblech gelegt.</v>
      </c>
    </row>
    <row r="4926">
      <c r="A4926" s="4" t="s">
        <v>6182</v>
      </c>
      <c r="B4926" s="4" t="s">
        <v>6189</v>
      </c>
      <c r="C4926" s="5" t="str">
        <f>IFERROR(__xludf.DUMMYFUNCTION("GOOGLETRANSLATE(B4926,""en"",""de"")"),"Der Teig ist abgeflacht und in Kekse gebacken.")</f>
        <v>Der Teig ist abgeflacht und in Kekse gebacken.</v>
      </c>
    </row>
    <row r="4927">
      <c r="A4927" s="4" t="s">
        <v>6182</v>
      </c>
      <c r="B4927" s="4" t="s">
        <v>6190</v>
      </c>
      <c r="C4927" s="5" t="str">
        <f>IFERROR(__xludf.DUMMYFUNCTION("GOOGLETRANSLATE(B4927,""en"",""de"")"),"Die Kekse werden dann auf ein Backblech gelegt und dann mit einem Spatel abkühlen.")</f>
        <v>Die Kekse werden dann auf ein Backblech gelegt und dann mit einem Spatel abkühlen.</v>
      </c>
    </row>
    <row r="4928">
      <c r="A4928" s="4" t="s">
        <v>6182</v>
      </c>
      <c r="B4928" s="4" t="s">
        <v>6191</v>
      </c>
      <c r="C4928" s="5" t="str">
        <f>IFERROR(__xludf.DUMMYFUNCTION("GOOGLETRANSLATE(B4928,""en"",""de"")"),"Die Kekse werden abgekühlt, um genossen zu werden.")</f>
        <v>Die Kekse werden abgekühlt, um genossen zu werden.</v>
      </c>
    </row>
    <row r="4929">
      <c r="A4929" s="4" t="s">
        <v>6192</v>
      </c>
      <c r="B4929" s="4" t="s">
        <v>6193</v>
      </c>
      <c r="C4929" s="5" t="str">
        <f>IFERROR(__xludf.DUMMYFUNCTION("GOOGLETRANSLATE(B4929,""en"",""de"")"),"Ein Barkeeper spricht hinter einer Bar.")</f>
        <v>Ein Barkeeper spricht hinter einer Bar.</v>
      </c>
    </row>
    <row r="4930">
      <c r="A4930" s="4" t="s">
        <v>6192</v>
      </c>
      <c r="B4930" s="4" t="s">
        <v>6194</v>
      </c>
      <c r="C4930" s="5" t="str">
        <f>IFERROR(__xludf.DUMMYFUNCTION("GOOGLETRANSLATE(B4930,""en"",""de"")"),"Er zeigt sich, dass er mehrere verschiedene Getränke macht.")</f>
        <v>Er zeigt sich, dass er mehrere verschiedene Getränke macht.</v>
      </c>
    </row>
    <row r="4931">
      <c r="A4931" s="4" t="s">
        <v>6192</v>
      </c>
      <c r="B4931" s="4" t="s">
        <v>6195</v>
      </c>
      <c r="C4931" s="5" t="str">
        <f>IFERROR(__xludf.DUMMYFUNCTION("GOOGLETRANSLATE(B4931,""en"",""de"")"),"Dann wird er gezeigt, dass er ein bestimmtes rotes Getränk macht und es schüttelt, bevor er es in ein Glas gießt.")</f>
        <v>Dann wird er gezeigt, dass er ein bestimmtes rotes Getränk macht und es schüttelt, bevor er es in ein Glas gießt.</v>
      </c>
    </row>
    <row r="4932">
      <c r="A4932" s="4" t="s">
        <v>6196</v>
      </c>
      <c r="B4932" s="4" t="s">
        <v>6197</v>
      </c>
      <c r="C4932" s="5" t="str">
        <f>IFERROR(__xludf.DUMMYFUNCTION("GOOGLETRANSLATE(B4932,""en"",""de"")"),"Zwei Tam -Tams befinden sich in einem Wohnzimmer.")</f>
        <v>Zwei Tam -Tams befinden sich in einem Wohnzimmer.</v>
      </c>
    </row>
    <row r="4933">
      <c r="A4933" s="4" t="s">
        <v>6196</v>
      </c>
      <c r="B4933" s="4" t="s">
        <v>6198</v>
      </c>
      <c r="C4933" s="5" t="str">
        <f>IFERROR(__xludf.DUMMYFUNCTION("GOOGLETRANSLATE(B4933,""en"",""de"")"),"Dann kommt ein Mann und spricht vor den Tam Tams.")</f>
        <v>Dann kommt ein Mann und spricht vor den Tam Tams.</v>
      </c>
    </row>
    <row r="4934">
      <c r="A4934" s="4" t="s">
        <v>6196</v>
      </c>
      <c r="B4934" s="4" t="s">
        <v>6199</v>
      </c>
      <c r="C4934" s="5" t="str">
        <f>IFERROR(__xludf.DUMMYFUNCTION("GOOGLETRANSLATE(B4934,""en"",""de"")"),"Danach spielt der Mann Tam Tam in einem Wohnzimmer.")</f>
        <v>Danach spielt der Mann Tam Tam in einem Wohnzimmer.</v>
      </c>
    </row>
    <row r="4935">
      <c r="A4935" s="4" t="s">
        <v>6200</v>
      </c>
      <c r="B4935" s="4" t="s">
        <v>6201</v>
      </c>
      <c r="C4935" s="5" t="str">
        <f>IFERROR(__xludf.DUMMYFUNCTION("GOOGLETRANSLATE(B4935,""en"",""de"")"),"Ein Mann auf dem Dock übergibt ein Seil an einen Wasserfahrer.")</f>
        <v>Ein Mann auf dem Dock übergibt ein Seil an einen Wasserfahrer.</v>
      </c>
    </row>
    <row r="4936">
      <c r="A4936" s="4" t="s">
        <v>6200</v>
      </c>
      <c r="B4936" s="4" t="s">
        <v>6202</v>
      </c>
      <c r="C4936" s="5" t="str">
        <f>IFERROR(__xludf.DUMMYFUNCTION("GOOGLETRANSLATE(B4936,""en"",""de"")"),"Eine Person Wasserskier und springt über Rampen im Wasser eines Sees.")</f>
        <v>Eine Person Wasserskier und springt über Rampen im Wasser eines Sees.</v>
      </c>
    </row>
    <row r="4937">
      <c r="A4937" s="4" t="s">
        <v>6200</v>
      </c>
      <c r="B4937" s="4" t="s">
        <v>6203</v>
      </c>
      <c r="C4937" s="5" t="str">
        <f>IFERROR(__xludf.DUMMYFUNCTION("GOOGLETRANSLATE(B4937,""en"",""de"")"),"Der Wasserfahrer fällt aber zurück, erholt sich aber dann vom Seil los und driftet zur Küste.")</f>
        <v>Der Wasserfahrer fällt aber zurück, erholt sich aber dann vom Seil los und driftet zur Küste.</v>
      </c>
    </row>
    <row r="4938">
      <c r="A4938" s="4" t="s">
        <v>6204</v>
      </c>
      <c r="B4938" s="4" t="s">
        <v>6205</v>
      </c>
      <c r="C4938" s="5" t="str">
        <f>IFERROR(__xludf.DUMMYFUNCTION("GOOGLETRANSLATE(B4938,""en"",""de"")"),"Wir sehen, dass ein Mann vorbeikommt und auf einer Rudermaschine sitzt.")</f>
        <v>Wir sehen, dass ein Mann vorbeikommt und auf einer Rudermaschine sitzt.</v>
      </c>
    </row>
    <row r="4939">
      <c r="A4939" s="4" t="s">
        <v>6204</v>
      </c>
      <c r="B4939" s="4" t="s">
        <v>6206</v>
      </c>
      <c r="C4939" s="5" t="str">
        <f>IFERROR(__xludf.DUMMYFUNCTION("GOOGLETRANSLATE(B4939,""en"",""de"")"),"Der Mann trinkt aus seinem Wasser.")</f>
        <v>Der Mann trinkt aus seinem Wasser.</v>
      </c>
    </row>
    <row r="4940">
      <c r="A4940" s="4" t="s">
        <v>6204</v>
      </c>
      <c r="B4940" s="4" t="s">
        <v>6207</v>
      </c>
      <c r="C4940" s="5" t="str">
        <f>IFERROR(__xludf.DUMMYFUNCTION("GOOGLETRANSLATE(B4940,""en"",""de"")"),"Der Mann reißt schnell auf der Maschine.")</f>
        <v>Der Mann reißt schnell auf der Maschine.</v>
      </c>
    </row>
    <row r="4941">
      <c r="A4941" s="4" t="s">
        <v>6204</v>
      </c>
      <c r="B4941" s="4" t="s">
        <v>6208</v>
      </c>
      <c r="C4941" s="5" t="str">
        <f>IFERROR(__xludf.DUMMYFUNCTION("GOOGLETRANSLATE(B4941,""en"",""de"")"),"Wir sehen einen Titelbildschirm.")</f>
        <v>Wir sehen einen Titelbildschirm.</v>
      </c>
    </row>
    <row r="4942">
      <c r="A4942" s="4" t="s">
        <v>6204</v>
      </c>
      <c r="B4942" s="4" t="s">
        <v>6209</v>
      </c>
      <c r="C4942" s="5" t="str">
        <f>IFERROR(__xludf.DUMMYFUNCTION("GOOGLETRANSLATE(B4942,""en"",""de"")"),"Wir sehen, dass der Mann aufhört zu rudern und spaziert und bekommt die Kamera.")</f>
        <v>Wir sehen, dass der Mann aufhört zu rudern und spaziert und bekommt die Kamera.</v>
      </c>
    </row>
    <row r="4943">
      <c r="A4943" s="4" t="s">
        <v>6204</v>
      </c>
      <c r="B4943" s="4" t="s">
        <v>6210</v>
      </c>
      <c r="C4943" s="5" t="str">
        <f>IFERROR(__xludf.DUMMYFUNCTION("GOOGLETRANSLATE(B4943,""en"",""de"")"),"Der Mann zeigt dann den Bildschirm auf der Rudermaschine.")</f>
        <v>Der Mann zeigt dann den Bildschirm auf der Rudermaschine.</v>
      </c>
    </row>
    <row r="4944">
      <c r="A4944" s="4" t="s">
        <v>6204</v>
      </c>
      <c r="B4944" s="4" t="s">
        <v>6211</v>
      </c>
      <c r="C4944" s="5" t="str">
        <f>IFERROR(__xludf.DUMMYFUNCTION("GOOGLETRANSLATE(B4944,""en"",""de"")"),"Der Mann küsst die Finger und die Kamera fällt zu Boden.")</f>
        <v>Der Mann küsst die Finger und die Kamera fällt zu Boden.</v>
      </c>
    </row>
    <row r="4945">
      <c r="A4945" s="4" t="s">
        <v>6212</v>
      </c>
      <c r="B4945" s="4" t="s">
        <v>6213</v>
      </c>
      <c r="C4945" s="5" t="str">
        <f>IFERROR(__xludf.DUMMYFUNCTION("GOOGLETRANSLATE(B4945,""en"",""de"")"),"Ein Mann steht vor einem Geschäftslogo und diskutiert.")</f>
        <v>Ein Mann steht vor einem Geschäftslogo und diskutiert.</v>
      </c>
    </row>
    <row r="4946">
      <c r="A4946" s="4" t="s">
        <v>6212</v>
      </c>
      <c r="B4946" s="4" t="s">
        <v>6214</v>
      </c>
      <c r="C4946" s="5" t="str">
        <f>IFERROR(__xludf.DUMMYFUNCTION("GOOGLETRANSLATE(B4946,""en"",""de"")"),"Ein Fahrer geht um eine Kurve und pflanzt seinen Fuß in den Schmutz, um sich zu stabilisieren.")</f>
        <v>Ein Fahrer geht um eine Kurve und pflanzt seinen Fuß in den Schmutz, um sich zu stabilisieren.</v>
      </c>
    </row>
    <row r="4947">
      <c r="A4947" s="4" t="s">
        <v>6212</v>
      </c>
      <c r="B4947" s="4" t="s">
        <v>6215</v>
      </c>
      <c r="C4947" s="5" t="str">
        <f>IFERROR(__xludf.DUMMYFUNCTION("GOOGLETRANSLATE(B4947,""en"",""de"")"),"Der Fahrer beschleunigt sich aus seinem Motorrad.")</f>
        <v>Der Fahrer beschleunigt sich aus seinem Motorrad.</v>
      </c>
    </row>
    <row r="4948">
      <c r="A4948" s="4" t="s">
        <v>6212</v>
      </c>
      <c r="B4948" s="4" t="s">
        <v>6216</v>
      </c>
      <c r="C4948" s="5" t="str">
        <f>IFERROR(__xludf.DUMMYFUNCTION("GOOGLETRANSLATE(B4948,""en"",""de"")"),"Der Fahrer geht über einen Sprung auf sein Motorrad.")</f>
        <v>Der Fahrer geht über einen Sprung auf sein Motorrad.</v>
      </c>
    </row>
    <row r="4949">
      <c r="A4949" s="4" t="s">
        <v>6217</v>
      </c>
      <c r="B4949" s="4" t="s">
        <v>6218</v>
      </c>
      <c r="C4949" s="5" t="str">
        <f>IFERROR(__xludf.DUMMYFUNCTION("GOOGLETRANSLATE(B4949,""en"",""de"")"),"Eine Katze sitzt auf dem Boden und schaut auf, als sein Besitzer versuchte, ihn zu packen.")</f>
        <v>Eine Katze sitzt auf dem Boden und schaut auf, als sein Besitzer versuchte, ihn zu packen.</v>
      </c>
    </row>
    <row r="4950">
      <c r="A4950" s="4" t="s">
        <v>6217</v>
      </c>
      <c r="B4950" s="4" t="s">
        <v>6219</v>
      </c>
      <c r="C4950" s="5" t="str">
        <f>IFERROR(__xludf.DUMMYFUNCTION("GOOGLETRANSLATE(B4950,""en"",""de"")"),"Der Besitzer nimmt ihn ab und setzt sich mit ihm hin und beginnt, seine Nägel zu klemmen.")</f>
        <v>Der Besitzer nimmt ihn ab und setzt sich mit ihm hin und beginnt, seine Nägel zu klemmen.</v>
      </c>
    </row>
    <row r="4951">
      <c r="A4951" s="4" t="s">
        <v>6217</v>
      </c>
      <c r="B4951" s="4" t="s">
        <v>6220</v>
      </c>
      <c r="C4951" s="5" t="str">
        <f>IFERROR(__xludf.DUMMYFUNCTION("GOOGLETRANSLATE(B4951,""en"",""de"")"),"Die Katze bewegt seinen Kopf herum und wedelt mit seinem Schwanz, gibt es nicht schwer.")</f>
        <v>Die Katze bewegt seinen Kopf herum und wedelt mit seinem Schwanz, gibt es nicht schwer.</v>
      </c>
    </row>
    <row r="4952">
      <c r="A4952" s="4" t="s">
        <v>6217</v>
      </c>
      <c r="B4952" s="4" t="s">
        <v>6221</v>
      </c>
      <c r="C4952" s="5" t="str">
        <f>IFERROR(__xludf.DUMMYFUNCTION("GOOGLETRANSLATE(B4952,""en"",""de"")"),"Der Besitzer fängt dann an, seinen Bauch zu reiben und mit seinen Füßen zu spielen, bevor er die Katze wieder auf den Boden legt.")</f>
        <v>Der Besitzer fängt dann an, seinen Bauch zu reiben und mit seinen Füßen zu spielen, bevor er die Katze wieder auf den Boden legt.</v>
      </c>
    </row>
    <row r="4953">
      <c r="A4953" s="4" t="s">
        <v>6222</v>
      </c>
      <c r="B4953" s="4" t="s">
        <v>6223</v>
      </c>
      <c r="C4953" s="5" t="str">
        <f>IFERROR(__xludf.DUMMYFUNCTION("GOOGLETRANSLATE(B4953,""en"",""de"")"),"Wir sehen Männer, die ein Cricketspiel spielen.")</f>
        <v>Wir sehen Männer, die ein Cricketspiel spielen.</v>
      </c>
    </row>
    <row r="4954">
      <c r="A4954" s="4" t="s">
        <v>6222</v>
      </c>
      <c r="B4954" s="4" t="s">
        <v>6224</v>
      </c>
      <c r="C4954" s="5" t="str">
        <f>IFERROR(__xludf.DUMMYFUNCTION("GOOGLETRANSLATE(B4954,""en"",""de"")"),"Der Pitcher wirft und Männer beginnen zu rennen.")</f>
        <v>Der Pitcher wirft und Männer beginnen zu rennen.</v>
      </c>
    </row>
    <row r="4955">
      <c r="A4955" s="4" t="s">
        <v>6222</v>
      </c>
      <c r="B4955" s="4" t="s">
        <v>6225</v>
      </c>
      <c r="C4955" s="5" t="str">
        <f>IFERROR(__xludf.DUMMYFUNCTION("GOOGLETRANSLATE(B4955,""en"",""de"")"),"Wir sehen einen Mann, der auf dem Boden liegt, mit Medizinern.")</f>
        <v>Wir sehen einen Mann, der auf dem Boden liegt, mit Medizinern.</v>
      </c>
    </row>
    <row r="4956">
      <c r="A4956" s="4" t="s">
        <v>6222</v>
      </c>
      <c r="B4956" s="4" t="s">
        <v>6226</v>
      </c>
      <c r="C4956" s="5" t="str">
        <f>IFERROR(__xludf.DUMMYFUNCTION("GOOGLETRANSLATE(B4956,""en"",""de"")"),"Wir sehen Männer auf dem Feld und ein Mediziner legt einen Eisbeutel auf den Kopf des Mannes.")</f>
        <v>Wir sehen Männer auf dem Feld und ein Mediziner legt einen Eisbeutel auf den Kopf des Mannes.</v>
      </c>
    </row>
    <row r="4957">
      <c r="A4957" s="4" t="s">
        <v>6222</v>
      </c>
      <c r="B4957" s="4" t="s">
        <v>6227</v>
      </c>
      <c r="C4957" s="5" t="str">
        <f>IFERROR(__xludf.DUMMYFUNCTION("GOOGLETRANSLATE(B4957,""en"",""de"")"),"Wir sehen in Zeitlupe die Kollision, die den Mann verletzt.")</f>
        <v>Wir sehen in Zeitlupe die Kollision, die den Mann verletzt.</v>
      </c>
    </row>
    <row r="4958">
      <c r="A4958" s="4" t="s">
        <v>6228</v>
      </c>
      <c r="B4958" s="4" t="s">
        <v>6229</v>
      </c>
      <c r="C4958" s="5" t="str">
        <f>IFERROR(__xludf.DUMMYFUNCTION("GOOGLETRANSLATE(B4958,""en"",""de"")"),"Der Mann sitzt in einem Wohnzimmer mit der Kamera.")</f>
        <v>Der Mann sitzt in einem Wohnzimmer mit der Kamera.</v>
      </c>
    </row>
    <row r="4959">
      <c r="A4959" s="4" t="s">
        <v>6228</v>
      </c>
      <c r="B4959" s="4" t="s">
        <v>6230</v>
      </c>
      <c r="C4959" s="5" t="str">
        <f>IFERROR(__xludf.DUMMYFUNCTION("GOOGLETRANSLATE(B4959,""en"",""de"")"),"Der Mann beginnt die Flöte zu spielen und weiter zu talken.")</f>
        <v>Der Mann beginnt die Flöte zu spielen und weiter zu talken.</v>
      </c>
    </row>
    <row r="4960">
      <c r="A4960" s="4" t="s">
        <v>6231</v>
      </c>
      <c r="B4960" s="4" t="s">
        <v>1251</v>
      </c>
      <c r="C4960" s="5" t="str">
        <f>IFERROR(__xludf.DUMMYFUNCTION("GOOGLETRANSLATE(B4960,""en"",""de"")"),"Die Credits des Clips werden angezeigt.")</f>
        <v>Die Credits des Clips werden angezeigt.</v>
      </c>
    </row>
    <row r="4961">
      <c r="A4961" s="4" t="s">
        <v>6231</v>
      </c>
      <c r="B4961" s="4" t="s">
        <v>6232</v>
      </c>
      <c r="C4961" s="5" t="str">
        <f>IFERROR(__xludf.DUMMYFUNCTION("GOOGLETRANSLATE(B4961,""en"",""de"")"),"Männer verwenden Leitern, um auf das Dach zu arbeiten, um zu arbeiten.")</f>
        <v>Männer verwenden Leitern, um auf das Dach zu arbeiten, um zu arbeiten.</v>
      </c>
    </row>
    <row r="4962">
      <c r="A4962" s="4" t="s">
        <v>6231</v>
      </c>
      <c r="B4962" s="4" t="s">
        <v>6233</v>
      </c>
      <c r="C4962" s="5" t="str">
        <f>IFERROR(__xludf.DUMMYFUNCTION("GOOGLETRANSLATE(B4962,""en"",""de"")"),"Die Männer legten eine Plane um das Haus.")</f>
        <v>Die Männer legten eine Plane um das Haus.</v>
      </c>
    </row>
    <row r="4963">
      <c r="A4963" s="4" t="s">
        <v>6231</v>
      </c>
      <c r="B4963" s="4" t="s">
        <v>6234</v>
      </c>
      <c r="C4963" s="5" t="str">
        <f>IFERROR(__xludf.DUMMYFUNCTION("GOOGLETRANSLATE(B4963,""en"",""de"")"),"Die Männer entfernen die Dachstücke und werfen auf die Plane.")</f>
        <v>Die Männer entfernen die Dachstücke und werfen auf die Plane.</v>
      </c>
    </row>
    <row r="4964">
      <c r="A4964" s="4" t="s">
        <v>6231</v>
      </c>
      <c r="B4964" s="4" t="s">
        <v>573</v>
      </c>
      <c r="C4964" s="5" t="str">
        <f>IFERROR(__xludf.DUMMYFUNCTION("GOOGLETRANSLATE(B4964,""en"",""de"")"),"Die Credits des Videos werden angezeigt.")</f>
        <v>Die Credits des Videos werden angezeigt.</v>
      </c>
    </row>
    <row r="4965">
      <c r="A4965" s="4" t="s">
        <v>6235</v>
      </c>
      <c r="B4965" s="4" t="s">
        <v>6236</v>
      </c>
      <c r="C4965" s="5" t="str">
        <f>IFERROR(__xludf.DUMMYFUNCTION("GOOGLETRANSLATE(B4965,""en"",""de"")"),"Ein Gymnastikteam übt Routinen, bei denen Springen und Umdrehen beinhaltet.")</f>
        <v>Ein Gymnastikteam übt Routinen, bei denen Springen und Umdrehen beinhaltet.</v>
      </c>
    </row>
    <row r="4966">
      <c r="A4966" s="4" t="s">
        <v>6235</v>
      </c>
      <c r="B4966" s="4" t="s">
        <v>6237</v>
      </c>
      <c r="C4966" s="5" t="str">
        <f>IFERROR(__xludf.DUMMYFUNCTION("GOOGLETRANSLATE(B4966,""en"",""de"")"),"Sie wechseln dann zu Cheerleading draußen.")</f>
        <v>Sie wechseln dann zu Cheerleading draußen.</v>
      </c>
    </row>
    <row r="4967">
      <c r="A4967" s="4" t="s">
        <v>6238</v>
      </c>
      <c r="B4967" s="4" t="s">
        <v>6239</v>
      </c>
      <c r="C4967" s="5" t="str">
        <f>IFERROR(__xludf.DUMMYFUNCTION("GOOGLETRANSLATE(B4967,""en"",""de"")"),"Eine Frau und ein Mann kämpfen gegenseitig in einem Armringen.")</f>
        <v>Eine Frau und ein Mann kämpfen gegenseitig in einem Armringen.</v>
      </c>
    </row>
    <row r="4968">
      <c r="A4968" s="4" t="s">
        <v>6238</v>
      </c>
      <c r="B4968" s="4" t="s">
        <v>6240</v>
      </c>
      <c r="C4968" s="5" t="str">
        <f>IFERROR(__xludf.DUMMYFUNCTION("GOOGLETRANSLATE(B4968,""en"",""de"")"),"Sie schlägt ihn und zeigt ihre Muskeln.")</f>
        <v>Sie schlägt ihn und zeigt ihre Muskeln.</v>
      </c>
    </row>
    <row r="4969">
      <c r="A4969" s="4" t="s">
        <v>6238</v>
      </c>
      <c r="B4969" s="4" t="s">
        <v>6241</v>
      </c>
      <c r="C4969" s="5" t="str">
        <f>IFERROR(__xludf.DUMMYFUNCTION("GOOGLETRANSLATE(B4969,""en"",""de"")"),"Sie machen es wieder, sie gewinnt wieder und zeigt ihre Muskeln.")</f>
        <v>Sie machen es wieder, sie gewinnt wieder und zeigt ihre Muskeln.</v>
      </c>
    </row>
    <row r="4970">
      <c r="A4970" s="4" t="s">
        <v>6242</v>
      </c>
      <c r="B4970" s="4" t="s">
        <v>6243</v>
      </c>
      <c r="C4970" s="5" t="str">
        <f>IFERROR(__xludf.DUMMYFUNCTION("GOOGLETRANSLATE(B4970,""en"",""de"")"),"Eine Basketballtrainerin weiblicher Basketballtrainer unterrichtet eine Gruppe von Mädchenbasketballspieler, die auf einem Basketballplatz in der Schlange stehen.")</f>
        <v>Eine Basketballtrainerin weiblicher Basketballtrainer unterrichtet eine Gruppe von Mädchenbasketballspieler, die auf einem Basketballplatz in der Schlange stehen.</v>
      </c>
    </row>
    <row r="4971">
      <c r="A4971" s="4" t="s">
        <v>6242</v>
      </c>
      <c r="B4971" s="4" t="s">
        <v>6244</v>
      </c>
      <c r="C4971" s="5" t="str">
        <f>IFERROR(__xludf.DUMMYFUNCTION("GOOGLETRANSLATE(B4971,""en"",""de"")"),"Das erste Mädchen geht zu einem anderen Trainer und rennt dann ins Netz und nimmt ein Layup.")</f>
        <v>Das erste Mädchen geht zu einem anderen Trainer und rennt dann ins Netz und nimmt ein Layup.</v>
      </c>
    </row>
    <row r="4972">
      <c r="A4972" s="4" t="s">
        <v>6242</v>
      </c>
      <c r="B4972" s="4" t="s">
        <v>6245</v>
      </c>
      <c r="C4972" s="5" t="str">
        <f>IFERROR(__xludf.DUMMYFUNCTION("GOOGLETRANSLATE(B4972,""en"",""de"")"),"Die Mädchen machen weiterhin die Übung auf der rechten Seite.")</f>
        <v>Die Mädchen machen weiterhin die Übung auf der rechten Seite.</v>
      </c>
    </row>
    <row r="4973">
      <c r="A4973" s="4" t="s">
        <v>6242</v>
      </c>
      <c r="B4973" s="4" t="s">
        <v>6246</v>
      </c>
      <c r="C4973" s="5" t="str">
        <f>IFERROR(__xludf.DUMMYFUNCTION("GOOGLETRANSLATE(B4973,""en"",""de"")"),"Die Mädchen bewegen sich auf die linke Seite und führen die gleiche Übung auf der linken Seite des Hofes durch.")</f>
        <v>Die Mädchen bewegen sich auf die linke Seite und führen die gleiche Übung auf der linken Seite des Hofes durch.</v>
      </c>
    </row>
    <row r="4974">
      <c r="A4974" s="4" t="s">
        <v>6247</v>
      </c>
      <c r="B4974" s="4" t="s">
        <v>6248</v>
      </c>
      <c r="C4974" s="5" t="str">
        <f>IFERROR(__xludf.DUMMYFUNCTION("GOOGLETRANSLATE(B4974,""en"",""de"")"),"Frau steht in einem überdachten Fitnessstudio an.")</f>
        <v>Frau steht in einem überdachten Fitnessstudio an.</v>
      </c>
    </row>
    <row r="4975">
      <c r="A4975" s="4" t="s">
        <v>6247</v>
      </c>
      <c r="B4975" s="4" t="s">
        <v>6249</v>
      </c>
      <c r="C4975" s="5" t="str">
        <f>IFERROR(__xludf.DUMMYFUNCTION("GOOGLETRANSLATE(B4975,""en"",""de"")"),"Trainer steht neben dem Gril, der sie trainiert und ihr hilft.")</f>
        <v>Trainer steht neben dem Gril, der sie trainiert und ihr hilft.</v>
      </c>
    </row>
    <row r="4976">
      <c r="A4976" s="4" t="s">
        <v>6247</v>
      </c>
      <c r="B4976" s="4" t="s">
        <v>6250</v>
      </c>
      <c r="C4976" s="5" t="str">
        <f>IFERROR(__xludf.DUMMYFUNCTION("GOOGLETRANSLATE(B4976,""en"",""de"")"),"Nach ein paar Ratschlägen heben die Frau das Gewicht erneut an.")</f>
        <v>Nach ein paar Ratschlägen heben die Frau das Gewicht erneut an.</v>
      </c>
    </row>
    <row r="4977">
      <c r="A4977" s="4" t="s">
        <v>6251</v>
      </c>
      <c r="B4977" s="4" t="s">
        <v>6252</v>
      </c>
      <c r="C4977" s="5" t="str">
        <f>IFERROR(__xludf.DUMMYFUNCTION("GOOGLETRANSLATE(B4977,""en"",""de"")"),"Eine Gruppe von Kindern spielt in Indoor -Fußball.")</f>
        <v>Eine Gruppe von Kindern spielt in Indoor -Fußball.</v>
      </c>
    </row>
    <row r="4978">
      <c r="A4978" s="4" t="s">
        <v>6251</v>
      </c>
      <c r="B4978" s="4" t="s">
        <v>6253</v>
      </c>
      <c r="C4978" s="5" t="str">
        <f>IFERROR(__xludf.DUMMYFUNCTION("GOOGLETRANSLATE(B4978,""en"",""de"")"),"Die Jungs rennen, jagen den Ball und kämpfen darum, ihn voneinander wegzubekommen.")</f>
        <v>Die Jungs rennen, jagen den Ball und kämpfen darum, ihn voneinander wegzubekommen.</v>
      </c>
    </row>
    <row r="4979">
      <c r="A4979" s="4" t="s">
        <v>6251</v>
      </c>
      <c r="B4979" s="4" t="s">
        <v>6254</v>
      </c>
      <c r="C4979" s="5" t="str">
        <f>IFERROR(__xludf.DUMMYFUNCTION("GOOGLETRANSLATE(B4979,""en"",""de"")"),"Ein Junge tritt in das Ziel des gegnerischen Teams ein.")</f>
        <v>Ein Junge tritt in das Ziel des gegnerischen Teams ein.</v>
      </c>
    </row>
    <row r="4980">
      <c r="A4980" s="4" t="s">
        <v>6251</v>
      </c>
      <c r="B4980" s="4" t="s">
        <v>6255</v>
      </c>
      <c r="C4980" s="5" t="str">
        <f>IFERROR(__xludf.DUMMYFUNCTION("GOOGLETRANSLATE(B4980,""en"",""de"")"),"Es wird in Zeitlupe wiederholt.")</f>
        <v>Es wird in Zeitlupe wiederholt.</v>
      </c>
    </row>
    <row r="4981">
      <c r="A4981" s="4" t="s">
        <v>6251</v>
      </c>
      <c r="B4981" s="4" t="s">
        <v>6256</v>
      </c>
      <c r="C4981" s="5" t="str">
        <f>IFERROR(__xludf.DUMMYFUNCTION("GOOGLETRANSLATE(B4981,""en"",""de"")"),"Die Jungs spielen weiter für den Rest des Spiels.")</f>
        <v>Die Jungs spielen weiter für den Rest des Spiels.</v>
      </c>
    </row>
    <row r="4982">
      <c r="A4982" s="4" t="s">
        <v>6251</v>
      </c>
      <c r="B4982" s="4" t="s">
        <v>6257</v>
      </c>
      <c r="C4982" s="5" t="str">
        <f>IFERROR(__xludf.DUMMYFUNCTION("GOOGLETRANSLATE(B4982,""en"",""de"")"),"Auf dem letzten Bildschirm wird ein älterer Mann gezeigt, der einen kleinen Jungen in den Armen hält.")</f>
        <v>Auf dem letzten Bildschirm wird ein älterer Mann gezeigt, der einen kleinen Jungen in den Armen hält.</v>
      </c>
    </row>
    <row r="4983">
      <c r="A4983" s="4" t="s">
        <v>6258</v>
      </c>
      <c r="B4983" s="4" t="s">
        <v>6259</v>
      </c>
      <c r="C4983" s="5" t="str">
        <f>IFERROR(__xludf.DUMMYFUNCTION("GOOGLETRANSLATE(B4983,""en"",""de"")"),"Eine Frau spricht auf einem schnurlosen Telefon, während er auf einem Thron sitzt, und während eine andere Frau zu ihren Füßen kniet und sie mit ihren Kleidern abweist.")</f>
        <v>Eine Frau spricht auf einem schnurlosen Telefon, während er auf einem Thron sitzt, und während eine andere Frau zu ihren Füßen kniet und sie mit ihren Kleidern abweist.</v>
      </c>
    </row>
    <row r="4984">
      <c r="A4984" s="4" t="s">
        <v>6258</v>
      </c>
      <c r="B4984" s="4" t="s">
        <v>6260</v>
      </c>
      <c r="C4984" s="5" t="str">
        <f>IFERROR(__xludf.DUMMYFUNCTION("GOOGLETRANSLATE(B4984,""en"",""de"")"),"Eine Frau in einem lila Sari kniet am Fuß einer anderen Frau, die auf einem goldenen Thron sitzt und eine goldene Krone mit roten Federn in ihren Haaren trägt.")</f>
        <v>Eine Frau in einem lila Sari kniet am Fuß einer anderen Frau, die auf einem goldenen Thron sitzt und eine goldene Krone mit roten Federn in ihren Haaren trägt.</v>
      </c>
    </row>
    <row r="4985">
      <c r="A4985" s="4" t="s">
        <v>6258</v>
      </c>
      <c r="B4985" s="4" t="s">
        <v>6261</v>
      </c>
      <c r="C4985" s="5" t="str">
        <f>IFERROR(__xludf.DUMMYFUNCTION("GOOGLETRANSLATE(B4985,""en"",""de"")"),"Die Frau auf dem Thron steckt ihren Fuß vor die kniende Frau und die kniende Frau beginnt, die Füße der Frau mit ihrem Sari zu wischen.")</f>
        <v>Die Frau auf dem Thron steckt ihren Fuß vor die kniende Frau und die kniende Frau beginnt, die Füße der Frau mit ihrem Sari zu wischen.</v>
      </c>
    </row>
    <row r="4986">
      <c r="A4986" s="4" t="s">
        <v>6258</v>
      </c>
      <c r="B4986" s="4" t="s">
        <v>6262</v>
      </c>
      <c r="C4986" s="5" t="str">
        <f>IFERROR(__xludf.DUMMYFUNCTION("GOOGLETRANSLATE(B4986,""en"",""de"")"),"Die Frau auf dem Thron nimmt einen Anruf auf schwarzes, schnurloses Telefon und beginnt zu sprechen, bevor die Szene endlich zu einem verschwommenen Bild einer anderen Frau verblasst, die auf einem Telefon spricht.")</f>
        <v>Die Frau auf dem Thron nimmt einen Anruf auf schwarzes, schnurloses Telefon und beginnt zu sprechen, bevor die Szene endlich zu einem verschwommenen Bild einer anderen Frau verblasst, die auf einem Telefon spricht.</v>
      </c>
    </row>
    <row r="4987">
      <c r="A4987" s="4" t="s">
        <v>6263</v>
      </c>
      <c r="B4987" s="4" t="s">
        <v>6264</v>
      </c>
      <c r="C4987" s="5" t="str">
        <f>IFERROR(__xludf.DUMMYFUNCTION("GOOGLETRANSLATE(B4987,""en"",""de"")"),"Ein Mann spricht, während er vor einem klugen Auto steht.")</f>
        <v>Ein Mann spricht, während er vor einem klugen Auto steht.</v>
      </c>
    </row>
    <row r="4988">
      <c r="A4988" s="4" t="s">
        <v>6263</v>
      </c>
      <c r="B4988" s="4" t="s">
        <v>6265</v>
      </c>
      <c r="C4988" s="5" t="str">
        <f>IFERROR(__xludf.DUMMYFUNCTION("GOOGLETRANSLATE(B4988,""en"",""de"")"),"Er steigt ein und redet weiter, während er die unterschiedliche Komponente des Autos zeigt, einschließlich des Kofferraums.")</f>
        <v>Er steigt ein und redet weiter, während er die unterschiedliche Komponente des Autos zeigt, einschließlich des Kofferraums.</v>
      </c>
    </row>
    <row r="4989">
      <c r="A4989" s="4" t="s">
        <v>6263</v>
      </c>
      <c r="B4989" s="4" t="s">
        <v>6266</v>
      </c>
      <c r="C4989" s="5" t="str">
        <f>IFERROR(__xludf.DUMMYFUNCTION("GOOGLETRANSLATE(B4989,""en"",""de"")"),"Der Mann kehrt zur Vorderseite des Fahrzeugs zurück und beendet mit seinen letzten Worten.")</f>
        <v>Der Mann kehrt zur Vorderseite des Fahrzeugs zurück und beendet mit seinen letzten Worten.</v>
      </c>
    </row>
    <row r="4990">
      <c r="A4990" s="4" t="s">
        <v>6267</v>
      </c>
      <c r="B4990" s="4" t="s">
        <v>6268</v>
      </c>
      <c r="C4990" s="5" t="str">
        <f>IFERROR(__xludf.DUMMYFUNCTION("GOOGLETRANSLATE(B4990,""en"",""de"")"),"Eine Zusammenstellung des professionellen Wrestlers Kevin Owens, der bei vielen Wrestlern Power -Bomben durchführt, betritt er zu Beginn des Videos mit einem selbstbewussten Aussehen in das Gebäude, während er in die Ausführung mehrerer Power -Bomben führ"&amp;"t.")</f>
        <v>Eine Zusammenstellung des professionellen Wrestlers Kevin Owens, der bei vielen Wrestlern Power -Bomben durchführt, betritt er zu Beginn des Videos mit einem selbstbewussten Aussehen in das Gebäude, während er in die Ausführung mehrerer Power -Bomben führt.</v>
      </c>
    </row>
    <row r="4991">
      <c r="A4991" s="4" t="s">
        <v>6267</v>
      </c>
      <c r="B4991" s="4" t="s">
        <v>6269</v>
      </c>
      <c r="C4991" s="5" t="str">
        <f>IFERROR(__xludf.DUMMYFUNCTION("GOOGLETRANSLATE(B4991,""en"",""de"")"),"Das Ende des Videos hat eine Abonnentennachricht.")</f>
        <v>Das Ende des Videos hat eine Abonnentennachricht.</v>
      </c>
    </row>
    <row r="4992">
      <c r="A4992" s="4" t="s">
        <v>6270</v>
      </c>
      <c r="B4992" s="4" t="s">
        <v>6271</v>
      </c>
      <c r="C4992" s="5" t="str">
        <f>IFERROR(__xludf.DUMMYFUNCTION("GOOGLETRANSLATE(B4992,""en"",""de"")"),"Ein Mann in einem Bürostuhl sitzt mit einer Art Stift.")</f>
        <v>Ein Mann in einem Bürostuhl sitzt mit einer Art Stift.</v>
      </c>
    </row>
    <row r="4993">
      <c r="A4993" s="4" t="s">
        <v>6270</v>
      </c>
      <c r="B4993" s="4" t="s">
        <v>6272</v>
      </c>
      <c r="C4993" s="5" t="str">
        <f>IFERROR(__xludf.DUMMYFUNCTION("GOOGLETRANSLATE(B4993,""en"",""de"")"),"Er spricht eine Weile darüber und steckt es dann in den Mund, stellt sich heraus, dass es sich um ein E-Pen handelt.")</f>
        <v>Er spricht eine Weile darüber und steckt es dann in den Mund, stellt sich heraus, dass es sich um ein E-Pen handelt.</v>
      </c>
    </row>
    <row r="4994">
      <c r="A4994" s="4" t="s">
        <v>6270</v>
      </c>
      <c r="B4994" s="4" t="s">
        <v>6273</v>
      </c>
      <c r="C4994" s="5" t="str">
        <f>IFERROR(__xludf.DUMMYFUNCTION("GOOGLETRANSLATE(B4994,""en"",""de"")"),"Es ist eine neue Technologie, die Sie wie eine Zigarette rauchen können.")</f>
        <v>Es ist eine neue Technologie, die Sie wie eine Zigarette rauchen können.</v>
      </c>
    </row>
    <row r="4995">
      <c r="A4995" s="4" t="s">
        <v>6270</v>
      </c>
      <c r="B4995" s="4" t="s">
        <v>6274</v>
      </c>
      <c r="C4995" s="5" t="str">
        <f>IFERROR(__xludf.DUMMYFUNCTION("GOOGLETRANSLATE(B4995,""en"",""de"")"),"Er hält es wie eine Zigarette in seinen Händen und steckt es in seinen Mund und atmet Rauch aus.")</f>
        <v>Er hält es wie eine Zigarette in seinen Händen und steckt es in seinen Mund und atmet Rauch aus.</v>
      </c>
    </row>
    <row r="4996">
      <c r="A4996" s="4" t="s">
        <v>6275</v>
      </c>
      <c r="B4996" s="4" t="s">
        <v>6276</v>
      </c>
      <c r="C4996" s="5" t="str">
        <f>IFERROR(__xludf.DUMMYFUNCTION("GOOGLETRANSLATE(B4996,""en"",""de"")"),"Eine Frau mit dunklem Haar und Silberrahmgläser sieht sich hinweg um, bis ihr Blick auf der Kamera landet und sie überrascht über die Anwesenheit der Kamera vorgibt und mit der Kamera spricht.")</f>
        <v>Eine Frau mit dunklem Haar und Silberrahmgläser sieht sich hinweg um, bis ihr Blick auf der Kamera landet und sie überrascht über die Anwesenheit der Kamera vorgibt und mit der Kamera spricht.</v>
      </c>
    </row>
    <row r="4997">
      <c r="A4997" s="4" t="s">
        <v>6275</v>
      </c>
      <c r="B4997" s="4" t="s">
        <v>6277</v>
      </c>
      <c r="C4997" s="5" t="str">
        <f>IFERROR(__xludf.DUMMYFUNCTION("GOOGLETRANSLATE(B4997,""en"",""de"")"),"Die Frau beginnt, ein Paar Kontaktlinsen und Objektivlösung bis zur Kamera zu halten, und nimmt dann die Objektive heraus und spricht wieder mit der Kamera.")</f>
        <v>Die Frau beginnt, ein Paar Kontaktlinsen und Objektivlösung bis zur Kamera zu halten, und nimmt dann die Objektive heraus und spricht wieder mit der Kamera.</v>
      </c>
    </row>
    <row r="4998">
      <c r="A4998" s="4" t="s">
        <v>6275</v>
      </c>
      <c r="B4998" s="4" t="s">
        <v>6278</v>
      </c>
      <c r="C4998" s="5" t="str">
        <f>IFERROR(__xludf.DUMMYFUNCTION("GOOGLETRANSLATE(B4998,""en"",""de"")"),"Die Frau gießt Lösung in ihre Hand und reinigt die Linse in der Hand, bevor sie zwei von ihnen in ihre Augen steckt und während des Redens völlig schwarze Augen der Kamera zeigt.")</f>
        <v>Die Frau gießt Lösung in ihre Hand und reinigt die Linse in der Hand, bevor sie zwei von ihnen in ihre Augen steckt und während des Redens völlig schwarze Augen der Kamera zeigt.</v>
      </c>
    </row>
    <row r="4999">
      <c r="A4999" s="4" t="s">
        <v>6275</v>
      </c>
      <c r="B4999" s="4" t="s">
        <v>6279</v>
      </c>
      <c r="C4999" s="5" t="str">
        <f>IFERROR(__xludf.DUMMYFUNCTION("GOOGLETRANSLATE(B4999,""en"",""de"")"),"Die Frau nimmt dann den Kontakt aus ihren Augen und stellt sie dann wieder in die Verblasung ein.")</f>
        <v>Die Frau nimmt dann den Kontakt aus ihren Augen und stellt sie dann wieder in die Verblasung ein.</v>
      </c>
    </row>
    <row r="5000">
      <c r="A5000" s="4" t="s">
        <v>6280</v>
      </c>
      <c r="B5000" s="4" t="s">
        <v>6281</v>
      </c>
      <c r="C5000" s="5" t="str">
        <f>IFERROR(__xludf.DUMMYFUNCTION("GOOGLETRANSLATE(B5000,""en"",""de"")"),"Zwei Mädchen sprechen mit der Kamera, gefolgt von einer Person, die Früchte herauslegt und sie in einen Mixer mischt.")</f>
        <v>Zwei Mädchen sprechen mit der Kamera, gefolgt von einer Person, die Früchte herauslegt und sie in einen Mixer mischt.</v>
      </c>
    </row>
    <row r="5001">
      <c r="A5001" s="4" t="s">
        <v>6280</v>
      </c>
      <c r="B5001" s="4" t="s">
        <v>6282</v>
      </c>
      <c r="C5001" s="5" t="str">
        <f>IFERROR(__xludf.DUMMYFUNCTION("GOOGLETRANSLATE(B5001,""en"",""de"")"),"Die Mädchen stecken die Früchte weiterhin in einen Mixer, während sie Bissen auf die Seite nehmen und weiter in den Mixer drücken.")</f>
        <v>Die Mädchen stecken die Früchte weiterhin in einen Mixer, während sie Bissen auf die Seite nehmen und weiter in den Mixer drücken.</v>
      </c>
    </row>
    <row r="5002">
      <c r="A5002" s="4" t="s">
        <v>6283</v>
      </c>
      <c r="B5002" s="4" t="s">
        <v>6284</v>
      </c>
      <c r="C5002" s="5" t="str">
        <f>IFERROR(__xludf.DUMMYFUNCTION("GOOGLETRANSLATE(B5002,""en"",""de"")"),"Eine Gruppe von Cheerleadern wird auf einmal zusammenschrie und führt zu ihnen, die eine Routine vor einem großen Publikum durchführen.")</f>
        <v>Eine Gruppe von Cheerleadern wird auf einmal zusammenschrie und führt zu ihnen, die eine Routine vor einem großen Publikum durchführen.</v>
      </c>
    </row>
    <row r="5003">
      <c r="A5003" s="4" t="s">
        <v>6283</v>
      </c>
      <c r="B5003" s="4" t="s">
        <v>6285</v>
      </c>
      <c r="C5003" s="5" t="str">
        <f>IFERROR(__xludf.DUMMYFUNCTION("GOOGLETRANSLATE(B5003,""en"",""de"")"),"Die Leute führen ihre Routine weiterhin auf der Matte durch, während sie verschiedene Flips und Tricks durchführen und endet, damit sie von der Bühne rennen, während das Publikum jubelt.")</f>
        <v>Die Leute führen ihre Routine weiterhin auf der Matte durch, während sie verschiedene Flips und Tricks durchführen und endet, damit sie von der Bühne rennen, während das Publikum jubelt.</v>
      </c>
    </row>
    <row r="5004">
      <c r="A5004" s="4" t="s">
        <v>6286</v>
      </c>
      <c r="B5004" s="4" t="s">
        <v>6287</v>
      </c>
      <c r="C5004" s="5" t="str">
        <f>IFERROR(__xludf.DUMMYFUNCTION("GOOGLETRANSLATE(B5004,""en"",""de"")"),"Zwei Männer sitzen an einem Tisch.")</f>
        <v>Zwei Männer sitzen an einem Tisch.</v>
      </c>
    </row>
    <row r="5005">
      <c r="A5005" s="4" t="s">
        <v>6286</v>
      </c>
      <c r="B5005" s="4" t="s">
        <v>6288</v>
      </c>
      <c r="C5005" s="5" t="str">
        <f>IFERROR(__xludf.DUMMYFUNCTION("GOOGLETRANSLATE(B5005,""en"",""de"")"),"Die Männer beschäftigen sich mit einem Armringen.")</f>
        <v>Die Männer beschäftigen sich mit einem Armringen.</v>
      </c>
    </row>
    <row r="5006">
      <c r="A5006" s="4" t="s">
        <v>6286</v>
      </c>
      <c r="B5006" s="4" t="s">
        <v>6289</v>
      </c>
      <c r="C5006" s="5" t="str">
        <f>IFERROR(__xludf.DUMMYFUNCTION("GOOGLETRANSLATE(B5006,""en"",""de"")"),"Einer von ihnen schlägt den anderen.")</f>
        <v>Einer von ihnen schlägt den anderen.</v>
      </c>
    </row>
    <row r="5007">
      <c r="A5007" s="4" t="s">
        <v>6290</v>
      </c>
      <c r="B5007" s="4" t="s">
        <v>6291</v>
      </c>
      <c r="C5007" s="5" t="str">
        <f>IFERROR(__xludf.DUMMYFUNCTION("GOOGLETRANSLATE(B5007,""en"",""de"")"),"Wir sehen Kinder mit Füßen auf Skateboards.")</f>
        <v>Wir sehen Kinder mit Füßen auf Skateboards.</v>
      </c>
    </row>
    <row r="5008">
      <c r="A5008" s="4" t="s">
        <v>6290</v>
      </c>
      <c r="B5008" s="4" t="s">
        <v>6292</v>
      </c>
      <c r="C5008" s="5" t="str">
        <f>IFERROR(__xludf.DUMMYFUNCTION("GOOGLETRANSLATE(B5008,""en"",""de"")"),"Wir sehen die Kinder von einem Skater -POV die Straße entlang reiten.")</f>
        <v>Wir sehen die Kinder von einem Skater -POV die Straße entlang reiten.</v>
      </c>
    </row>
    <row r="5009">
      <c r="A5009" s="4" t="s">
        <v>6290</v>
      </c>
      <c r="B5009" s="4" t="s">
        <v>6293</v>
      </c>
      <c r="C5009" s="5" t="str">
        <f>IFERROR(__xludf.DUMMYFUNCTION("GOOGLETRANSLATE(B5009,""en"",""de"")"),"Ein Kind stürzt ab und fällt es schwer, sich zu erholen.")</f>
        <v>Ein Kind stürzt ab und fällt es schwer, sich zu erholen.</v>
      </c>
    </row>
    <row r="5010">
      <c r="A5010" s="4" t="s">
        <v>6290</v>
      </c>
      <c r="B5010" s="4" t="s">
        <v>6294</v>
      </c>
      <c r="C5010" s="5" t="str">
        <f>IFERROR(__xludf.DUMMYFUNCTION("GOOGLETRANSLATE(B5010,""en"",""de"")"),"Ein Junge verliert sein Brett und muss danach rennen.")</f>
        <v>Ein Junge verliert sein Brett und muss danach rennen.</v>
      </c>
    </row>
    <row r="5011">
      <c r="A5011" s="4" t="s">
        <v>6290</v>
      </c>
      <c r="B5011" s="4" t="s">
        <v>6295</v>
      </c>
      <c r="C5011" s="5" t="str">
        <f>IFERROR(__xludf.DUMMYFUNCTION("GOOGLETRANSLATE(B5011,""en"",""de"")"),"Wir sehen, wie die Person mit einem Selfie -Stock im Gras fallen.")</f>
        <v>Wir sehen, wie die Person mit einem Selfie -Stock im Gras fallen.</v>
      </c>
    </row>
    <row r="5012">
      <c r="A5012" s="4" t="s">
        <v>6296</v>
      </c>
      <c r="B5012" s="4" t="s">
        <v>6297</v>
      </c>
      <c r="C5012" s="5" t="str">
        <f>IFERROR(__xludf.DUMMYFUNCTION("GOOGLETRANSLATE(B5012,""en"",""de"")"),"Es werden verschiedene Aufnahmen von Athleten gezeigt, die einen Stangen in ihren Händen halten und sich nach hinten lehnen.")</f>
        <v>Es werden verschiedene Aufnahmen von Athleten gezeigt, die einen Stangen in ihren Händen halten und sich nach hinten lehnen.</v>
      </c>
    </row>
    <row r="5013">
      <c r="A5013" s="4" t="s">
        <v>6296</v>
      </c>
      <c r="B5013" s="4" t="s">
        <v>6298</v>
      </c>
      <c r="C5013" s="5" t="str">
        <f>IFERROR(__xludf.DUMMYFUNCTION("GOOGLETRANSLATE(B5013,""en"",""de"")"),"Dies führt zu mehreren Clips von mehr Athleten, die Speer in die Ferne werfen.")</f>
        <v>Dies führt zu mehreren Clips von mehr Athleten, die Speer in die Ferne werfen.</v>
      </c>
    </row>
    <row r="5014">
      <c r="A5014" s="4" t="s">
        <v>6296</v>
      </c>
      <c r="B5014" s="4" t="s">
        <v>6299</v>
      </c>
      <c r="C5014" s="5" t="str">
        <f>IFERROR(__xludf.DUMMYFUNCTION("GOOGLETRANSLATE(B5014,""en"",""de"")"),"Immer mehr Menschen werden gezeigt, wie sie Speer werfen.")</f>
        <v>Immer mehr Menschen werden gezeigt, wie sie Speer werfen.</v>
      </c>
    </row>
    <row r="5015">
      <c r="A5015" s="4" t="s">
        <v>6300</v>
      </c>
      <c r="B5015" s="4" t="s">
        <v>6301</v>
      </c>
      <c r="C5015" s="5" t="str">
        <f>IFERROR(__xludf.DUMMYFUNCTION("GOOGLETRANSLATE(B5015,""en"",""de"")"),"Ein Mädchen spielt eine Trommel auf einem Stadtplatz, um Menschen zu übergeben.")</f>
        <v>Ein Mädchen spielt eine Trommel auf einem Stadtplatz, um Menschen zu übergeben.</v>
      </c>
    </row>
    <row r="5016">
      <c r="A5016" s="4" t="s">
        <v>6300</v>
      </c>
      <c r="B5016" s="4" t="s">
        <v>6302</v>
      </c>
      <c r="C5016" s="5" t="str">
        <f>IFERROR(__xludf.DUMMYFUNCTION("GOOGLETRANSLATE(B5016,""en"",""de"")"),"Eine Dame geht auf, um den Schlagzeuger zu sehen.")</f>
        <v>Eine Dame geht auf, um den Schlagzeuger zu sehen.</v>
      </c>
    </row>
    <row r="5017">
      <c r="A5017" s="4" t="s">
        <v>6300</v>
      </c>
      <c r="B5017" s="4" t="s">
        <v>6303</v>
      </c>
      <c r="C5017" s="5" t="str">
        <f>IFERROR(__xludf.DUMMYFUNCTION("GOOGLETRANSLATE(B5017,""en"",""de"")"),"Der Schlagzeuger spielt ein Solo auf dem Becken.")</f>
        <v>Der Schlagzeuger spielt ein Solo auf dem Becken.</v>
      </c>
    </row>
    <row r="5018">
      <c r="A5018" s="4" t="s">
        <v>6300</v>
      </c>
      <c r="B5018" s="4" t="s">
        <v>6304</v>
      </c>
      <c r="C5018" s="5" t="str">
        <f>IFERROR(__xludf.DUMMYFUNCTION("GOOGLETRANSLATE(B5018,""en"",""de"")"),"Der Schlagzeuger beendet den Song und beugt das Publikum.")</f>
        <v>Der Schlagzeuger beendet den Song und beugt das Publikum.</v>
      </c>
    </row>
    <row r="5019">
      <c r="A5019" s="4" t="s">
        <v>6305</v>
      </c>
      <c r="B5019" s="4" t="s">
        <v>6306</v>
      </c>
      <c r="C5019" s="5" t="str">
        <f>IFERROR(__xludf.DUMMYFUNCTION("GOOGLETRANSLATE(B5019,""en"",""de"")"),"Eine Person läutet das Fell eines Hundes mit einem lila Duschkopf an, der an einem grünen Schlauch befestigt ist.")</f>
        <v>Eine Person läutet das Fell eines Hundes mit einem lila Duschkopf an, der an einem grünen Schlauch befestigt ist.</v>
      </c>
    </row>
    <row r="5020">
      <c r="A5020" s="4" t="s">
        <v>6305</v>
      </c>
      <c r="B5020" s="4" t="s">
        <v>6307</v>
      </c>
      <c r="C5020" s="5" t="str">
        <f>IFERROR(__xludf.DUMMYFUNCTION("GOOGLETRANSLATE(B5020,""en"",""de"")"),"Der Hund schüttelt sein Fell.")</f>
        <v>Der Hund schüttelt sein Fell.</v>
      </c>
    </row>
    <row r="5021">
      <c r="A5021" s="4" t="s">
        <v>6305</v>
      </c>
      <c r="B5021" s="4" t="s">
        <v>6308</v>
      </c>
      <c r="C5021" s="5" t="str">
        <f>IFERROR(__xludf.DUMMYFUNCTION("GOOGLETRANSLATE(B5021,""en"",""de"")"),"Die Person benetzt den Hund weiter.")</f>
        <v>Die Person benetzt den Hund weiter.</v>
      </c>
    </row>
    <row r="5022">
      <c r="A5022" s="4" t="s">
        <v>6309</v>
      </c>
      <c r="B5022" s="4" t="s">
        <v>6310</v>
      </c>
      <c r="C5022" s="5" t="str">
        <f>IFERROR(__xludf.DUMMYFUNCTION("GOOGLETRANSLATE(B5022,""en"",""de"")"),"Ein kleines Kind steht auf dem Boden und beginnt mit einem anderen zu boxen.")</f>
        <v>Ein kleines Kind steht auf dem Boden und beginnt mit einem anderen zu boxen.</v>
      </c>
    </row>
    <row r="5023">
      <c r="A5023" s="4" t="s">
        <v>6309</v>
      </c>
      <c r="B5023" s="4" t="s">
        <v>6311</v>
      </c>
      <c r="C5023" s="5" t="str">
        <f>IFERROR(__xludf.DUMMYFUNCTION("GOOGLETRANSLATE(B5023,""en"",""de"")"),"Der Junge trifft Boxhandschuhe, um einen Mann vor sich zu schlagen und auch Handschuhe.")</f>
        <v>Der Junge trifft Boxhandschuhe, um einen Mann vor sich zu schlagen und auch Handschuhe.</v>
      </c>
    </row>
    <row r="5024">
      <c r="A5024" s="4" t="s">
        <v>6309</v>
      </c>
      <c r="B5024" s="4" t="s">
        <v>6312</v>
      </c>
      <c r="C5024" s="5" t="str">
        <f>IFERROR(__xludf.DUMMYFUNCTION("GOOGLETRANSLATE(B5024,""en"",""de"")"),"Die beiden gehen weiter daran und gehen, wenn der Mann aufsteht.")</f>
        <v>Die beiden gehen weiter daran und gehen, wenn der Mann aufsteht.</v>
      </c>
    </row>
    <row r="5025">
      <c r="A5025" s="4" t="s">
        <v>6313</v>
      </c>
      <c r="B5025" s="4" t="s">
        <v>6314</v>
      </c>
      <c r="C5025" s="5" t="str">
        <f>IFERROR(__xludf.DUMMYFUNCTION("GOOGLETRANSLATE(B5025,""en"",""de"")"),"Ein Mann in einer schwarzen Jacke steht draußen und redet.")</f>
        <v>Ein Mann in einer schwarzen Jacke steht draußen und redet.</v>
      </c>
    </row>
    <row r="5026">
      <c r="A5026" s="4" t="s">
        <v>6313</v>
      </c>
      <c r="B5026" s="4" t="s">
        <v>6315</v>
      </c>
      <c r="C5026" s="5" t="str">
        <f>IFERROR(__xludf.DUMMYFUNCTION("GOOGLETRANSLATE(B5026,""en"",""de"")"),"Die Leute skaten auf einer Eisbahn.")</f>
        <v>Die Leute skaten auf einer Eisbahn.</v>
      </c>
    </row>
    <row r="5027">
      <c r="A5027" s="4" t="s">
        <v>6313</v>
      </c>
      <c r="B5027" s="4" t="s">
        <v>6316</v>
      </c>
      <c r="C5027" s="5" t="str">
        <f>IFERROR(__xludf.DUMMYFUNCTION("GOOGLETRANSLATE(B5027,""en"",""de"")"),"Ein Mann in einem roten Hut spielt Hockey und macht mehrere Tore.")</f>
        <v>Ein Mann in einem roten Hut spielt Hockey und macht mehrere Tore.</v>
      </c>
    </row>
    <row r="5028">
      <c r="A5028" s="4" t="s">
        <v>6317</v>
      </c>
      <c r="B5028" s="4" t="s">
        <v>6318</v>
      </c>
      <c r="C5028" s="5" t="str">
        <f>IFERROR(__xludf.DUMMYFUNCTION("GOOGLETRANSLATE(B5028,""en"",""de"")"),"Ein älterer Mann wird gezeigt, der ein Auto vor einem Haus mit einem Schneeschaber reinigt.")</f>
        <v>Ein älterer Mann wird gezeigt, der ein Auto vor einem Haus mit einem Schneeschaber reinigt.</v>
      </c>
    </row>
    <row r="5029">
      <c r="A5029" s="4" t="s">
        <v>6317</v>
      </c>
      <c r="B5029" s="4" t="s">
        <v>6319</v>
      </c>
      <c r="C5029" s="5" t="str">
        <f>IFERROR(__xludf.DUMMYFUNCTION("GOOGLETRANSLATE(B5029,""en"",""de"")"),"Die Kamera schwenkt um das Auto herum, während der ältere Mann weiter Schnee drückt.")</f>
        <v>Die Kamera schwenkt um das Auto herum, während der ältere Mann weiter Schnee drückt.</v>
      </c>
    </row>
    <row r="5030">
      <c r="A5030" s="4" t="s">
        <v>6320</v>
      </c>
      <c r="B5030" s="4" t="s">
        <v>6321</v>
      </c>
      <c r="C5030" s="5" t="str">
        <f>IFERROR(__xludf.DUMMYFUNCTION("GOOGLETRANSLATE(B5030,""en"",""de"")"),"Eine Frau ist in einer Küche und macht eine Tomatensauce in der Küche.")</f>
        <v>Eine Frau ist in einer Küche und macht eine Tomatensauce in der Küche.</v>
      </c>
    </row>
    <row r="5031">
      <c r="A5031" s="4" t="s">
        <v>6320</v>
      </c>
      <c r="B5031" s="4" t="s">
        <v>6322</v>
      </c>
      <c r="C5031" s="5" t="str">
        <f>IFERROR(__xludf.DUMMYFUNCTION("GOOGLETRANSLATE(B5031,""en"",""de"")"),"Die Frau zeigt der Kamera ihr plattiertes Essen.")</f>
        <v>Die Frau zeigt der Kamera ihr plattiertes Essen.</v>
      </c>
    </row>
    <row r="5032">
      <c r="A5032" s="4" t="s">
        <v>6320</v>
      </c>
      <c r="B5032" s="4" t="s">
        <v>6323</v>
      </c>
      <c r="C5032" s="5" t="str">
        <f>IFERROR(__xludf.DUMMYFUNCTION("GOOGLETRANSLATE(B5032,""en"",""de"")"),"Die Frau greift dann nach einem Grün und einer Schachtel Nudeln.")</f>
        <v>Die Frau greift dann nach einem Grün und einer Schachtel Nudeln.</v>
      </c>
    </row>
    <row r="5033">
      <c r="A5033" s="4" t="s">
        <v>6320</v>
      </c>
      <c r="B5033" s="4" t="s">
        <v>6324</v>
      </c>
      <c r="C5033" s="5" t="str">
        <f>IFERROR(__xludf.DUMMYFUNCTION("GOOGLETRANSLATE(B5033,""en"",""de"")"),"Die Dame beginnt dann die Tomatensauce und steckt das Grün hinein.")</f>
        <v>Die Dame beginnt dann die Tomatensauce und steckt das Grün hinein.</v>
      </c>
    </row>
    <row r="5034">
      <c r="A5034" s="4" t="s">
        <v>6320</v>
      </c>
      <c r="B5034" s="4" t="s">
        <v>6325</v>
      </c>
      <c r="C5034" s="5" t="str">
        <f>IFERROR(__xludf.DUMMYFUNCTION("GOOGLETRANSLATE(B5034,""en"",""de"")"),"Schließlich gießt die Dame die Nudeln in die Sauce.")</f>
        <v>Schließlich gießt die Dame die Nudeln in die Sauce.</v>
      </c>
    </row>
    <row r="5035">
      <c r="A5035" s="4" t="s">
        <v>6326</v>
      </c>
      <c r="B5035" s="4" t="s">
        <v>6327</v>
      </c>
      <c r="C5035" s="5" t="str">
        <f>IFERROR(__xludf.DUMMYFUNCTION("GOOGLETRANSLATE(B5035,""en"",""de"")"),"Ein Fensterreiniger in Turnschuhen und eine Mütze hängt auf und putzt ein Fenster mit einem Handtuch, mit anderen Reinigern hinter ihm bei der Arbeit.")</f>
        <v>Ein Fensterreiniger in Turnschuhen und eine Mütze hängt auf und putzt ein Fenster mit einem Handtuch, mit anderen Reinigern hinter ihm bei der Arbeit.</v>
      </c>
    </row>
    <row r="5036">
      <c r="A5036" s="4" t="s">
        <v>6326</v>
      </c>
      <c r="B5036" s="4" t="s">
        <v>6328</v>
      </c>
      <c r="C5036" s="5" t="str">
        <f>IFERROR(__xludf.DUMMYFUNCTION("GOOGLETRANSLATE(B5036,""en"",""de"")"),"Er senkt sich auf einen anderen Teil des Fensters und wischt es mit einer Klinge ab.")</f>
        <v>Er senkt sich auf einen anderen Teil des Fensters und wischt es mit einer Klinge ab.</v>
      </c>
    </row>
    <row r="5037">
      <c r="A5037" s="4" t="s">
        <v>6326</v>
      </c>
      <c r="B5037" s="4" t="s">
        <v>6329</v>
      </c>
      <c r="C5037" s="5" t="str">
        <f>IFERROR(__xludf.DUMMYFUNCTION("GOOGLETRANSLATE(B5037,""en"",""de"")"),"Die Kamera -Person schwenkt um die Umgebung.")</f>
        <v>Die Kamera -Person schwenkt um die Umgebung.</v>
      </c>
    </row>
    <row r="5038">
      <c r="A5038" s="4" t="s">
        <v>6330</v>
      </c>
      <c r="B5038" s="4" t="s">
        <v>6331</v>
      </c>
      <c r="C5038" s="5" t="str">
        <f>IFERROR(__xludf.DUMMYFUNCTION("GOOGLETRANSLATE(B5038,""en"",""de"")"),"Wir sehen kleine Jungen, die auf einem Feld ein Schlepper des Krieges spielen.")</f>
        <v>Wir sehen kleine Jungen, die auf einem Feld ein Schlepper des Krieges spielen.</v>
      </c>
    </row>
    <row r="5039">
      <c r="A5039" s="4" t="s">
        <v>6330</v>
      </c>
      <c r="B5039" s="4" t="s">
        <v>6332</v>
      </c>
      <c r="C5039" s="5" t="str">
        <f>IFERROR(__xludf.DUMMYFUNCTION("GOOGLETRANSLATE(B5039,""en"",""de"")"),"Ein Mann in Schwarz geht an den Kindern vorbei.")</f>
        <v>Ein Mann in Schwarz geht an den Kindern vorbei.</v>
      </c>
    </row>
    <row r="5040">
      <c r="A5040" s="4" t="s">
        <v>6330</v>
      </c>
      <c r="B5040" s="4" t="s">
        <v>6333</v>
      </c>
      <c r="C5040" s="5" t="str">
        <f>IFERROR(__xludf.DUMMYFUNCTION("GOOGLETRANSLATE(B5040,""en"",""de"")"),"Das Kind im weißen Hemd lässt das Seil los und legt seine Hände in die Luft.")</f>
        <v>Das Kind im weißen Hemd lässt das Seil los und legt seine Hände in die Luft.</v>
      </c>
    </row>
    <row r="5041">
      <c r="A5041" s="4" t="s">
        <v>6330</v>
      </c>
      <c r="B5041" s="4" t="s">
        <v>6334</v>
      </c>
      <c r="C5041" s="5" t="str">
        <f>IFERROR(__xludf.DUMMYFUNCTION("GOOGLETRANSLATE(B5041,""en"",""de"")"),"Eine Dame geht auf und spricht mit den Kindern.")</f>
        <v>Eine Dame geht auf und spricht mit den Kindern.</v>
      </c>
    </row>
    <row r="5042">
      <c r="A5042" s="4" t="s">
        <v>6335</v>
      </c>
      <c r="B5042" s="4" t="s">
        <v>6336</v>
      </c>
      <c r="C5042" s="5" t="str">
        <f>IFERROR(__xludf.DUMMYFUNCTION("GOOGLETRANSLATE(B5042,""en"",""de"")"),"Ein Stapel Sticks wird in einem Stapel gezeigt, gefolgt von einer Person, die ein Objekt spricht und hochhält.")</f>
        <v>Ein Stapel Sticks wird in einem Stapel gezeigt, gefolgt von einer Person, die ein Objekt spricht und hochhält.</v>
      </c>
    </row>
    <row r="5043">
      <c r="A5043" s="4" t="s">
        <v>6335</v>
      </c>
      <c r="B5043" s="4" t="s">
        <v>6337</v>
      </c>
      <c r="C5043" s="5" t="str">
        <f>IFERROR(__xludf.DUMMYFUNCTION("GOOGLETRANSLATE(B5043,""en"",""de"")"),"Die Hände einer Person werden dann gesehen, wie er ein Match in den Stapel anzündet und am Ende sein Gesicht erneut zeigt.")</f>
        <v>Die Hände einer Person werden dann gesehen, wie er ein Match in den Stapel anzündet und am Ende sein Gesicht erneut zeigt.</v>
      </c>
    </row>
    <row r="5044">
      <c r="A5044" s="4" t="s">
        <v>6338</v>
      </c>
      <c r="B5044" s="4" t="s">
        <v>6339</v>
      </c>
      <c r="C5044" s="5" t="str">
        <f>IFERROR(__xludf.DUMMYFUNCTION("GOOGLETRANSLATE(B5044,""en"",""de"")"),"Ein Mann steht hinter einem großen Tier, der einen Rasierer hält und mit der Kamera spricht.")</f>
        <v>Ein Mann steht hinter einem großen Tier, der einen Rasierer hält und mit der Kamera spricht.</v>
      </c>
    </row>
    <row r="5045">
      <c r="A5045" s="4" t="s">
        <v>6338</v>
      </c>
      <c r="B5045" s="4" t="s">
        <v>6340</v>
      </c>
      <c r="C5045" s="5" t="str">
        <f>IFERROR(__xludf.DUMMYFUNCTION("GOOGLETRANSLATE(B5045,""en"",""de"")"),"Der Mann rasiert dann über den Hund, während er anhält, um mit der Kamera zu sprechen und den Hund zu streicheln.")</f>
        <v>Der Mann rasiert dann über den Hund, während er anhält, um mit der Kamera zu sprechen und den Hund zu streicheln.</v>
      </c>
    </row>
    <row r="5046">
      <c r="A5046" s="4" t="s">
        <v>6341</v>
      </c>
      <c r="B5046" s="4" t="s">
        <v>6342</v>
      </c>
      <c r="C5046" s="5" t="str">
        <f>IFERROR(__xludf.DUMMYFUNCTION("GOOGLETRANSLATE(B5046,""en"",""de"")"),"Eine Frau macht Tricks mit ihrem Sprungseil.")</f>
        <v>Eine Frau macht Tricks mit ihrem Sprungseil.</v>
      </c>
    </row>
    <row r="5047">
      <c r="A5047" s="4" t="s">
        <v>6341</v>
      </c>
      <c r="B5047" s="4" t="s">
        <v>6343</v>
      </c>
      <c r="C5047" s="5" t="str">
        <f>IFERROR(__xludf.DUMMYFUNCTION("GOOGLETRANSLATE(B5047,""en"",""de"")"),"Sie macht einen Handstand, während sie Sprungseiling.")</f>
        <v>Sie macht einen Handstand, während sie Sprungseiling.</v>
      </c>
    </row>
    <row r="5048">
      <c r="A5048" s="4" t="s">
        <v>6341</v>
      </c>
      <c r="B5048" s="4" t="s">
        <v>6344</v>
      </c>
      <c r="C5048" s="5" t="str">
        <f>IFERROR(__xludf.DUMMYFUNCTION("GOOGLETRANSLATE(B5048,""en"",""de"")"),"Sie macht einen vorderen Flip, während sie springt.")</f>
        <v>Sie macht einen vorderen Flip, während sie springt.</v>
      </c>
    </row>
    <row r="5049">
      <c r="A5049" s="4" t="s">
        <v>6341</v>
      </c>
      <c r="B5049" s="4" t="s">
        <v>6345</v>
      </c>
      <c r="C5049" s="5" t="str">
        <f>IFERROR(__xludf.DUMMYFUNCTION("GOOGLETRANSLATE(B5049,""en"",""de"")"),"Sie bleibt stehen und geht vorwärts.")</f>
        <v>Sie bleibt stehen und geht vorwärts.</v>
      </c>
    </row>
    <row r="5050">
      <c r="A5050" s="4" t="s">
        <v>6346</v>
      </c>
      <c r="B5050" s="4" t="s">
        <v>1251</v>
      </c>
      <c r="C5050" s="5" t="str">
        <f>IFERROR(__xludf.DUMMYFUNCTION("GOOGLETRANSLATE(B5050,""en"",""de"")"),"Die Credits des Clips werden angezeigt.")</f>
        <v>Die Credits des Clips werden angezeigt.</v>
      </c>
    </row>
    <row r="5051">
      <c r="A5051" s="4" t="s">
        <v>6346</v>
      </c>
      <c r="B5051" s="4" t="s">
        <v>6347</v>
      </c>
      <c r="C5051" s="5" t="str">
        <f>IFERROR(__xludf.DUMMYFUNCTION("GOOGLETRANSLATE(B5051,""en"",""de"")"),"Menschen beladen aufgeblasene Reifen in den Körper des Wassers.")</f>
        <v>Menschen beladen aufgeblasene Reifen in den Körper des Wassers.</v>
      </c>
    </row>
    <row r="5052">
      <c r="A5052" s="4" t="s">
        <v>6346</v>
      </c>
      <c r="B5052" s="4" t="s">
        <v>6348</v>
      </c>
      <c r="C5052" s="5" t="str">
        <f>IFERROR(__xludf.DUMMYFUNCTION("GOOGLETRANSLATE(B5052,""en"",""de"")"),"Menschen schweben auf aufgeblähten Reifen.")</f>
        <v>Menschen schweben auf aufgeblähten Reifen.</v>
      </c>
    </row>
    <row r="5053">
      <c r="A5053" s="4" t="s">
        <v>6346</v>
      </c>
      <c r="B5053" s="4" t="s">
        <v>6349</v>
      </c>
      <c r="C5053" s="5" t="str">
        <f>IFERROR(__xludf.DUMMYFUNCTION("GOOGLETRANSLATE(B5053,""en"",""de"")"),"Die Menschen sprühen längliche Wasserpistolen.")</f>
        <v>Die Menschen sprühen längliche Wasserpistolen.</v>
      </c>
    </row>
    <row r="5054">
      <c r="A5054" s="4" t="s">
        <v>6346</v>
      </c>
      <c r="B5054" s="4" t="s">
        <v>6350</v>
      </c>
      <c r="C5054" s="5" t="str">
        <f>IFERROR(__xludf.DUMMYFUNCTION("GOOGLETRANSLATE(B5054,""en"",""de"")"),"Menschen paddeln Kanus über den Körper des Wassers.")</f>
        <v>Menschen paddeln Kanus über den Körper des Wassers.</v>
      </c>
    </row>
    <row r="5055">
      <c r="A5055" s="4" t="s">
        <v>6346</v>
      </c>
      <c r="B5055" s="4" t="s">
        <v>6351</v>
      </c>
      <c r="C5055" s="5" t="str">
        <f>IFERROR(__xludf.DUMMYFUNCTION("GOOGLETRANSLATE(B5055,""en"",""de"")"),"Ein Typ präsentiert seine Dose Bier.")</f>
        <v>Ein Typ präsentiert seine Dose Bier.</v>
      </c>
    </row>
    <row r="5056">
      <c r="A5056" s="4" t="s">
        <v>6346</v>
      </c>
      <c r="B5056" s="4" t="s">
        <v>6352</v>
      </c>
      <c r="C5056" s="5" t="str">
        <f>IFERROR(__xludf.DUMMYFUNCTION("GOOGLETRANSLATE(B5056,""en"",""de"")"),"Die Geschwindigkeit des Videos wird beschleunigt.")</f>
        <v>Die Geschwindigkeit des Videos wird beschleunigt.</v>
      </c>
    </row>
    <row r="5057">
      <c r="A5057" s="4" t="s">
        <v>6353</v>
      </c>
      <c r="B5057" s="4" t="s">
        <v>6354</v>
      </c>
      <c r="C5057" s="5" t="str">
        <f>IFERROR(__xludf.DUMMYFUNCTION("GOOGLETRANSLATE(B5057,""en"",""de"")"),"Kinder spielen Lacrosse auf einem Feld.")</f>
        <v>Kinder spielen Lacrosse auf einem Feld.</v>
      </c>
    </row>
    <row r="5058">
      <c r="A5058" s="4" t="s">
        <v>6353</v>
      </c>
      <c r="B5058" s="4" t="s">
        <v>6355</v>
      </c>
      <c r="C5058" s="5" t="str">
        <f>IFERROR(__xludf.DUMMYFUNCTION("GOOGLETRANSLATE(B5058,""en"",""de"")"),"Eine Frau in einer blauen Jacke steht auf dem Feld und beobachtet sie.")</f>
        <v>Eine Frau in einer blauen Jacke steht auf dem Feld und beobachtet sie.</v>
      </c>
    </row>
    <row r="5059">
      <c r="A5059" s="4" t="s">
        <v>6353</v>
      </c>
      <c r="B5059" s="4" t="s">
        <v>6356</v>
      </c>
      <c r="C5059" s="5" t="str">
        <f>IFERROR(__xludf.DUMMYFUNCTION("GOOGLETRANSLATE(B5059,""en"",""de"")"),"Die Kinder jagen um einen gelben Ball.")</f>
        <v>Die Kinder jagen um einen gelben Ball.</v>
      </c>
    </row>
    <row r="5060">
      <c r="A5060" s="4" t="s">
        <v>6357</v>
      </c>
      <c r="B5060" s="4" t="s">
        <v>6358</v>
      </c>
      <c r="C5060" s="5" t="str">
        <f>IFERROR(__xludf.DUMMYFUNCTION("GOOGLETRANSLATE(B5060,""en"",""de"")"),"Eine Frau rennt eine Strecke hinunter.")</f>
        <v>Eine Frau rennt eine Strecke hinunter.</v>
      </c>
    </row>
    <row r="5061">
      <c r="A5061" s="4" t="s">
        <v>6357</v>
      </c>
      <c r="B5061" s="4" t="s">
        <v>6359</v>
      </c>
      <c r="C5061" s="5" t="str">
        <f>IFERROR(__xludf.DUMMYFUNCTION("GOOGLETRANSLATE(B5061,""en"",""de"")"),"Sie wirft einen Speer auf das Feld.")</f>
        <v>Sie wirft einen Speer auf das Feld.</v>
      </c>
    </row>
    <row r="5062">
      <c r="A5062" s="4" t="s">
        <v>6357</v>
      </c>
      <c r="B5062" s="4" t="s">
        <v>6360</v>
      </c>
      <c r="C5062" s="5" t="str">
        <f>IFERROR(__xludf.DUMMYFUNCTION("GOOGLETRANSLATE(B5062,""en"",""de"")"),"Sie gibt jemandem hinter ihr eine hohe fünf.")</f>
        <v>Sie gibt jemandem hinter ihr eine hohe fünf.</v>
      </c>
    </row>
    <row r="5063">
      <c r="A5063" s="4" t="s">
        <v>6361</v>
      </c>
      <c r="B5063" s="4" t="s">
        <v>6362</v>
      </c>
      <c r="C5063" s="5" t="str">
        <f>IFERROR(__xludf.DUMMYFUNCTION("GOOGLETRANSLATE(B5063,""en"",""de"")"),"Diese Menschen werden auf den Trainingsrädern trainieren.")</f>
        <v>Diese Menschen werden auf den Trainingsrädern trainieren.</v>
      </c>
    </row>
    <row r="5064">
      <c r="A5064" s="4" t="s">
        <v>6361</v>
      </c>
      <c r="B5064" s="4" t="s">
        <v>6363</v>
      </c>
      <c r="C5064" s="5" t="str">
        <f>IFERROR(__xludf.DUMMYFUNCTION("GOOGLETRANSLATE(B5064,""en"",""de"")"),"Diese Leute treten nur ein Bein und sie stehen mitten im Fahrrad, wobei der andere ihre Hände hochhält.")</f>
        <v>Diese Leute treten nur ein Bein und sie stehen mitten im Fahrrad, wobei der andere ihre Hände hochhält.</v>
      </c>
    </row>
    <row r="5065">
      <c r="A5065" s="4" t="s">
        <v>6361</v>
      </c>
      <c r="B5065" s="4" t="s">
        <v>6364</v>
      </c>
      <c r="C5065" s="5" t="str">
        <f>IFERROR(__xludf.DUMMYFUNCTION("GOOGLETRANSLATE(B5065,""en"",""de"")"),"Als nächstes machen sie eine andere Übung, bei der sie einen Fuß auf das Pedal stecken, während sie einen Fuß heraus haben und auf und ab springen.")</f>
        <v>Als nächstes machen sie eine andere Übung, bei der sie einen Fuß auf das Pedal stecken, während sie einen Fuß heraus haben und auf und ab springen.</v>
      </c>
    </row>
    <row r="5066">
      <c r="A5066" s="4" t="s">
        <v>6365</v>
      </c>
      <c r="B5066" s="4" t="s">
        <v>6366</v>
      </c>
      <c r="C5066" s="5" t="str">
        <f>IFERROR(__xludf.DUMMYFUNCTION("GOOGLETRANSLATE(B5066,""en"",""de"")"),"Eine Frau steht vor einer jungen Frau vorne und spricht.")</f>
        <v>Eine Frau steht vor einer jungen Frau vorne und spricht.</v>
      </c>
    </row>
    <row r="5067">
      <c r="A5067" s="4" t="s">
        <v>6365</v>
      </c>
      <c r="B5067" s="4" t="s">
        <v>6367</v>
      </c>
      <c r="C5067" s="5" t="str">
        <f>IFERROR(__xludf.DUMMYFUNCTION("GOOGLETRANSLATE(B5067,""en"",""de"")"),"Dann führen die Frau und die junge Dame Fitnessübung durch, während die Frau spricht.")</f>
        <v>Dann führen die Frau und die junge Dame Fitnessübung durch, während die Frau spricht.</v>
      </c>
    </row>
    <row r="5068">
      <c r="A5068" s="4" t="s">
        <v>6365</v>
      </c>
      <c r="B5068" s="4" t="s">
        <v>6368</v>
      </c>
      <c r="C5068" s="5" t="str">
        <f>IFERROR(__xludf.DUMMYFUNCTION("GOOGLETRANSLATE(B5068,""en"",""de"")"),"Danach hören die Frau und die junge Dame auf zu trainieren, und die Frau spricht, während sie mit ihren Händen Gesten macht.")</f>
        <v>Danach hören die Frau und die junge Dame auf zu trainieren, und die Frau spricht, während sie mit ihren Händen Gesten macht.</v>
      </c>
    </row>
    <row r="5069">
      <c r="A5069" s="4" t="s">
        <v>6369</v>
      </c>
      <c r="B5069" s="4" t="s">
        <v>6370</v>
      </c>
      <c r="C5069" s="5" t="str">
        <f>IFERROR(__xludf.DUMMYFUNCTION("GOOGLETRANSLATE(B5069,""en"",""de"")"),"Eine Dame, die in einem Casino arbeitet, zeigt Ihnen, wie man Black Jack spielt.")</f>
        <v>Eine Dame, die in einem Casino arbeitet, zeigt Ihnen, wie man Black Jack spielt.</v>
      </c>
    </row>
    <row r="5070">
      <c r="A5070" s="4" t="s">
        <v>6369</v>
      </c>
      <c r="B5070" s="4" t="s">
        <v>6371</v>
      </c>
      <c r="C5070" s="5" t="str">
        <f>IFERROR(__xludf.DUMMYFUNCTION("GOOGLETRANSLATE(B5070,""en"",""de"")"),"Die Dame verarbeitet jeweils zwei Karten und befasst sich selbst und selbst eine Karte.")</f>
        <v>Die Dame verarbeitet jeweils zwei Karten und befasst sich selbst und selbst eine Karte.</v>
      </c>
    </row>
    <row r="5071">
      <c r="A5071" s="4" t="s">
        <v>6369</v>
      </c>
      <c r="B5071" s="4" t="s">
        <v>6372</v>
      </c>
      <c r="C5071" s="5" t="str">
        <f>IFERROR(__xludf.DUMMYFUNCTION("GOOGLETRANSLATE(B5071,""en"",""de"")"),"Die Dame erklärt dann, was Sie mit den Karten tun dürfen, mit denen Sie sich befasst haben. Sie befasst sich auch mit zwei weiteren Karten pro Deck.")</f>
        <v>Die Dame erklärt dann, was Sie mit den Karten tun dürfen, mit denen Sie sich befasst haben. Sie befasst sich auch mit zwei weiteren Karten pro Deck.</v>
      </c>
    </row>
    <row r="5072">
      <c r="A5072" s="4" t="s">
        <v>6369</v>
      </c>
      <c r="B5072" s="4" t="s">
        <v>6373</v>
      </c>
      <c r="C5072" s="5" t="str">
        <f>IFERROR(__xludf.DUMMYFUNCTION("GOOGLETRANSLATE(B5072,""en"",""de"")"),"Schließlich gibt sie zwei weitere Karten für sich selbst aus und zeigt das Ergebnis, die Bereiche, die sie von Anfang an die Karte zugezogen hat, Chips hinzuzufügen.")</f>
        <v>Schließlich gibt sie zwei weitere Karten für sich selbst aus und zeigt das Ergebnis, die Bereiche, die sie von Anfang an die Karte zugezogen hat, Chips hinzuzufügen.</v>
      </c>
    </row>
    <row r="5073">
      <c r="A5073" s="4" t="s">
        <v>6369</v>
      </c>
      <c r="B5073" s="4" t="s">
        <v>6374</v>
      </c>
      <c r="C5073" s="5" t="str">
        <f>IFERROR(__xludf.DUMMYFUNCTION("GOOGLETRANSLATE(B5073,""en"",""de"")"),"Die Dame schaufelt dann alle Karten auf dem Tisch und die Runde ist vorbei.")</f>
        <v>Die Dame schaufelt dann alle Karten auf dem Tisch und die Runde ist vorbei.</v>
      </c>
    </row>
    <row r="5074">
      <c r="A5074" s="4" t="s">
        <v>6375</v>
      </c>
      <c r="B5074" s="4" t="s">
        <v>6376</v>
      </c>
      <c r="C5074" s="5" t="str">
        <f>IFERROR(__xludf.DUMMYFUNCTION("GOOGLETRANSLATE(B5074,""en"",""de"")"),"Der erste Clip des Videos zeigt die Titelsequenz.")</f>
        <v>Der erste Clip des Videos zeigt die Titelsequenz.</v>
      </c>
    </row>
    <row r="5075">
      <c r="A5075" s="4" t="s">
        <v>6375</v>
      </c>
      <c r="B5075" s="4" t="s">
        <v>6377</v>
      </c>
      <c r="C5075" s="5" t="str">
        <f>IFERROR(__xludf.DUMMYFUNCTION("GOOGLETRANSLATE(B5075,""en"",""de"")"),"Ein Mann wird dann in einem Bowlinggeschäft gezeigt, der mit der Kamera spricht.")</f>
        <v>Ein Mann wird dann in einem Bowlinggeschäft gezeigt, der mit der Kamera spricht.</v>
      </c>
    </row>
    <row r="5076">
      <c r="A5076" s="4" t="s">
        <v>6375</v>
      </c>
      <c r="B5076" s="4" t="s">
        <v>6378</v>
      </c>
      <c r="C5076" s="5" t="str">
        <f>IFERROR(__xludf.DUMMYFUNCTION("GOOGLETRANSLATE(B5076,""en"",""de"")"),"Eine andere Titel Folie führt den nächsten Clip vor.")</f>
        <v>Eine andere Titel Folie führt den nächsten Clip vor.</v>
      </c>
    </row>
    <row r="5077">
      <c r="A5077" s="4" t="s">
        <v>6375</v>
      </c>
      <c r="B5077" s="4" t="s">
        <v>6379</v>
      </c>
      <c r="C5077" s="5" t="str">
        <f>IFERROR(__xludf.DUMMYFUNCTION("GOOGLETRANSLATE(B5077,""en"",""de"")"),"Während der Mann mit der Kamera spricht, werden mehrere Clips von einem Mann gezeigt, der einen Bowlingkugel auf der Spur rollt.")</f>
        <v>Während der Mann mit der Kamera spricht, werden mehrere Clips von einem Mann gezeigt, der einen Bowlingkugel auf der Spur rollt.</v>
      </c>
    </row>
    <row r="5078">
      <c r="A5078" s="4" t="s">
        <v>6375</v>
      </c>
      <c r="B5078" s="4" t="s">
        <v>6380</v>
      </c>
      <c r="C5078" s="5" t="str">
        <f>IFERROR(__xludf.DUMMYFUNCTION("GOOGLETRANSLATE(B5078,""en"",""de"")"),"Das Video endet mit einem Clip, der das Title -Logo und die Website -Informationen zeigt.")</f>
        <v>Das Video endet mit einem Clip, der das Title -Logo und die Website -Informationen zeigt.</v>
      </c>
    </row>
    <row r="5079">
      <c r="A5079" s="4" t="s">
        <v>6381</v>
      </c>
      <c r="B5079" s="4" t="s">
        <v>6382</v>
      </c>
      <c r="C5079" s="5" t="str">
        <f>IFERROR(__xludf.DUMMYFUNCTION("GOOGLETRANSLATE(B5079,""en"",""de"")"),"Ein Mann schiebt ein Kind auf die Schaukel eines großen Parkbereichs.")</f>
        <v>Ein Mann schiebt ein Kind auf die Schaukel eines großen Parkbereichs.</v>
      </c>
    </row>
    <row r="5080">
      <c r="A5080" s="4" t="s">
        <v>6381</v>
      </c>
      <c r="B5080" s="4" t="s">
        <v>6383</v>
      </c>
      <c r="C5080" s="5" t="str">
        <f>IFERROR(__xludf.DUMMYFUNCTION("GOOGLETRANSLATE(B5080,""en"",""de"")"),"Der Mann hält den Schwung und bringt das Kind zum Stillstand.")</f>
        <v>Der Mann hält den Schwung und bringt das Kind zum Stillstand.</v>
      </c>
    </row>
    <row r="5081">
      <c r="A5081" s="4" t="s">
        <v>6381</v>
      </c>
      <c r="B5081" s="4" t="s">
        <v>6384</v>
      </c>
      <c r="C5081" s="5" t="str">
        <f>IFERROR(__xludf.DUMMYFUNCTION("GOOGLETRANSLATE(B5081,""en"",""de"")"),"Der Mann drängt die Schaukel, um das Kind wieder zu beginnen.")</f>
        <v>Der Mann drängt die Schaukel, um das Kind wieder zu beginnen.</v>
      </c>
    </row>
    <row r="5082">
      <c r="A5082" s="4" t="s">
        <v>6385</v>
      </c>
      <c r="B5082" s="4" t="s">
        <v>6386</v>
      </c>
      <c r="C5082" s="5" t="str">
        <f>IFERROR(__xludf.DUMMYFUNCTION("GOOGLETRANSLATE(B5082,""en"",""de"")"),"Ein Mann in einem gelben Konstruktionspop befindet sich im Bemalen der Wand Beige.")</f>
        <v>Ein Mann in einem gelben Konstruktionspop befindet sich im Bemalen der Wand Beige.</v>
      </c>
    </row>
    <row r="5083">
      <c r="A5083" s="4" t="s">
        <v>6385</v>
      </c>
      <c r="B5083" s="4" t="s">
        <v>6387</v>
      </c>
      <c r="C5083" s="5" t="str">
        <f>IFERROR(__xludf.DUMMYFUNCTION("GOOGLETRANSLATE(B5083,""en"",""de"")"),"Er geht von unten nach oben und schnappt sich mehr Farbe auf seinem Werkzeug.")</f>
        <v>Er geht von unten nach oben und schnappt sich mehr Farbe auf seinem Werkzeug.</v>
      </c>
    </row>
    <row r="5084">
      <c r="A5084" s="4" t="s">
        <v>6385</v>
      </c>
      <c r="B5084" s="4" t="s">
        <v>6388</v>
      </c>
      <c r="C5084" s="5" t="str">
        <f>IFERROR(__xludf.DUMMYFUNCTION("GOOGLETRANSLATE(B5084,""en"",""de"")"),"Er macht ziemlich schnell Fortschritte über die Wand, so wie er es tut.")</f>
        <v>Er macht ziemlich schnell Fortschritte über die Wand, so wie er es tut.</v>
      </c>
    </row>
    <row r="5085">
      <c r="A5085" s="4" t="s">
        <v>6385</v>
      </c>
      <c r="B5085" s="4" t="s">
        <v>6389</v>
      </c>
      <c r="C5085" s="5" t="str">
        <f>IFERROR(__xludf.DUMMYFUNCTION("GOOGLETRANSLATE(B5085,""en"",""de"")"),"Er schafft es auf halbem Weg über die Wand, aber der Boden der Wand ist immer noch weiß.")</f>
        <v>Er schafft es auf halbem Weg über die Wand, aber der Boden der Wand ist immer noch weiß.</v>
      </c>
    </row>
    <row r="5086">
      <c r="A5086" s="4" t="s">
        <v>6390</v>
      </c>
      <c r="B5086" s="4" t="s">
        <v>6391</v>
      </c>
      <c r="C5086" s="5" t="str">
        <f>IFERROR(__xludf.DUMMYFUNCTION("GOOGLETRANSLATE(B5086,""en"",""de"")"),"Eine Grafik führt das Handautautor -Waschvideo ein.")</f>
        <v>Eine Grafik führt das Handautautor -Waschvideo ein.</v>
      </c>
    </row>
    <row r="5087">
      <c r="A5087" s="4" t="s">
        <v>6390</v>
      </c>
      <c r="B5087" s="4" t="s">
        <v>6392</v>
      </c>
      <c r="C5087" s="5" t="str">
        <f>IFERROR(__xludf.DUMMYFUNCTION("GOOGLETRANSLATE(B5087,""en"",""de"")"),"Das Auto wird zuerst sanft mit Seife gewaschen.")</f>
        <v>Das Auto wird zuerst sanft mit Seife gewaschen.</v>
      </c>
    </row>
    <row r="5088">
      <c r="A5088" s="4" t="s">
        <v>6390</v>
      </c>
      <c r="B5088" s="4" t="s">
        <v>6393</v>
      </c>
      <c r="C5088" s="5" t="str">
        <f>IFERROR(__xludf.DUMMYFUNCTION("GOOGLETRANSLATE(B5088,""en"",""de"")"),"Als nächstes werden die Reifen gründlich gesenkt und gewaschen.")</f>
        <v>Als nächstes werden die Reifen gründlich gesenkt und gewaschen.</v>
      </c>
    </row>
    <row r="5089">
      <c r="A5089" s="4" t="s">
        <v>6390</v>
      </c>
      <c r="B5089" s="4" t="s">
        <v>6394</v>
      </c>
      <c r="C5089" s="5" t="str">
        <f>IFERROR(__xludf.DUMMYFUNCTION("GOOGLETRANSLATE(B5089,""en"",""de"")"),"Danach ist der Motor des Autos Dampf gereinigt.")</f>
        <v>Danach ist der Motor des Autos Dampf gereinigt.</v>
      </c>
    </row>
    <row r="5090">
      <c r="A5090" s="4" t="s">
        <v>6390</v>
      </c>
      <c r="B5090" s="4" t="s">
        <v>6395</v>
      </c>
      <c r="C5090" s="5" t="str">
        <f>IFERROR(__xludf.DUMMYFUNCTION("GOOGLETRANSLATE(B5090,""en"",""de"")"),"Es wird eine letzte Spot -Freispülung aufgetragen und das Auto getrocknet.")</f>
        <v>Es wird eine letzte Spot -Freispülung aufgetragen und das Auto getrocknet.</v>
      </c>
    </row>
    <row r="5091">
      <c r="A5091" s="4" t="s">
        <v>6396</v>
      </c>
      <c r="B5091" s="4" t="s">
        <v>6397</v>
      </c>
      <c r="C5091" s="5" t="str">
        <f>IFERROR(__xludf.DUMMYFUNCTION("GOOGLETRANSLATE(B5091,""en"",""de"")"),"Ein Mann steht in einem großen Raum und schlägt mit einem Tennisschläger einen Ball gegen eine Wand.")</f>
        <v>Ein Mann steht in einem großen Raum und schlägt mit einem Tennisschläger einen Ball gegen eine Wand.</v>
      </c>
    </row>
    <row r="5092">
      <c r="A5092" s="4" t="s">
        <v>6396</v>
      </c>
      <c r="B5092" s="4" t="s">
        <v>6398</v>
      </c>
      <c r="C5092" s="5" t="str">
        <f>IFERROR(__xludf.DUMMYFUNCTION("GOOGLETRANSLATE(B5092,""en"",""de"")"),"Weitere Aufnahmen von ihm, die den Ball schlägt, werden im Raum gezeigt und der Ball rollt am Ende zu ihm zurück.")</f>
        <v>Weitere Aufnahmen von ihm, die den Ball schlägt, werden im Raum gezeigt und der Ball rollt am Ende zu ihm zurück.</v>
      </c>
    </row>
    <row r="5093">
      <c r="A5093" s="4" t="s">
        <v>6399</v>
      </c>
      <c r="B5093" s="4" t="s">
        <v>6400</v>
      </c>
      <c r="C5093" s="5" t="str">
        <f>IFERROR(__xludf.DUMMYFUNCTION("GOOGLETRANSLATE(B5093,""en"",""de"")"),"Es wird ein Glas Tequila -Sonnenaufgang gezeigt.")</f>
        <v>Es wird ein Glas Tequila -Sonnenaufgang gezeigt.</v>
      </c>
    </row>
    <row r="5094">
      <c r="A5094" s="4" t="s">
        <v>6399</v>
      </c>
      <c r="B5094" s="4" t="s">
        <v>6401</v>
      </c>
      <c r="C5094" s="5" t="str">
        <f>IFERROR(__xludf.DUMMYFUNCTION("GOOGLETRANSLATE(B5094,""en"",""de"")"),"Ein Mann spricht vor einer Ausstellung alkoholischer Getränke.")</f>
        <v>Ein Mann spricht vor einer Ausstellung alkoholischer Getränke.</v>
      </c>
    </row>
    <row r="5095">
      <c r="A5095" s="4" t="s">
        <v>6399</v>
      </c>
      <c r="B5095" s="4" t="s">
        <v>6402</v>
      </c>
      <c r="C5095" s="5" t="str">
        <f>IFERROR(__xludf.DUMMYFUNCTION("GOOGLETRANSLATE(B5095,""en"",""de"")"),"Er legt die Zutaten von Alkohol und Saft auf einen Tisch, fügte die Zutaten sowie Grenadin zu einem hohen Glas mit Eis hinzu.")</f>
        <v>Er legt die Zutaten von Alkohol und Saft auf einen Tisch, fügte die Zutaten sowie Grenadin zu einem hohen Glas mit Eis hinzu.</v>
      </c>
    </row>
    <row r="5096">
      <c r="A5096" s="4" t="s">
        <v>6399</v>
      </c>
      <c r="B5096" s="4" t="s">
        <v>6403</v>
      </c>
      <c r="C5096" s="5" t="str">
        <f>IFERROR(__xludf.DUMMYFUNCTION("GOOGLETRANSLATE(B5096,""en"",""de"")"),"Er zeigt das schöne Getränk auf dem Tisch.")</f>
        <v>Er zeigt das schöne Getränk auf dem Tisch.</v>
      </c>
    </row>
    <row r="5097">
      <c r="A5097" s="4" t="s">
        <v>6404</v>
      </c>
      <c r="B5097" s="4" t="s">
        <v>6405</v>
      </c>
      <c r="C5097" s="5" t="str">
        <f>IFERROR(__xludf.DUMMYFUNCTION("GOOGLETRANSLATE(B5097,""en"",""de"")"),"Ein Junge spricht vor einer Kamera in seinem Zimmer.")</f>
        <v>Ein Junge spricht vor einer Kamera in seinem Zimmer.</v>
      </c>
    </row>
    <row r="5098">
      <c r="A5098" s="4" t="s">
        <v>6404</v>
      </c>
      <c r="B5098" s="4" t="s">
        <v>6406</v>
      </c>
      <c r="C5098" s="5" t="str">
        <f>IFERROR(__xludf.DUMMYFUNCTION("GOOGLETRANSLATE(B5098,""en"",""de"")"),"Er raucht eine Zigarette und bläst dann den Rauch aus seinem Mund.")</f>
        <v>Er raucht eine Zigarette und bläst dann den Rauch aus seinem Mund.</v>
      </c>
    </row>
    <row r="5099">
      <c r="A5099" s="4" t="s">
        <v>6404</v>
      </c>
      <c r="B5099" s="4" t="s">
        <v>6407</v>
      </c>
      <c r="C5099" s="5" t="str">
        <f>IFERROR(__xludf.DUMMYFUNCTION("GOOGLETRANSLATE(B5099,""en"",""de"")"),"Er beginnt Ringe zu machen, als er den Rauch bläst.")</f>
        <v>Er beginnt Ringe zu machen, als er den Rauch bläst.</v>
      </c>
    </row>
    <row r="5100">
      <c r="A5100" s="4" t="s">
        <v>6408</v>
      </c>
      <c r="B5100" s="4" t="s">
        <v>6409</v>
      </c>
      <c r="C5100" s="5" t="str">
        <f>IFERROR(__xludf.DUMMYFUNCTION("GOOGLETRANSLATE(B5100,""en"",""de"")"),"Eine Frau sitzt als Person mit behandschuhten Händen ein Loch in ihre Zunge.")</f>
        <v>Eine Frau sitzt als Person mit behandschuhten Händen ein Loch in ihre Zunge.</v>
      </c>
    </row>
    <row r="5101">
      <c r="A5101" s="4" t="s">
        <v>6408</v>
      </c>
      <c r="B5101" s="4" t="s">
        <v>6410</v>
      </c>
      <c r="C5101" s="5" t="str">
        <f>IFERROR(__xludf.DUMMYFUNCTION("GOOGLETRANSLATE(B5101,""en"",""de"")"),"Die Person klemmt die Zunge und fügt dann ein Piercing ein.")</f>
        <v>Die Person klemmt die Zunge und fügt dann ein Piercing ein.</v>
      </c>
    </row>
    <row r="5102">
      <c r="A5102" s="4" t="s">
        <v>6408</v>
      </c>
      <c r="B5102" s="4" t="s">
        <v>6411</v>
      </c>
      <c r="C5102" s="5" t="str">
        <f>IFERROR(__xludf.DUMMYFUNCTION("GOOGLETRANSLATE(B5102,""en"",""de"")"),"Sie wird dann lächelnd gezeigt und zeigt ihren Bolzen.")</f>
        <v>Sie wird dann lächelnd gezeigt und zeigt ihren Bolzen.</v>
      </c>
    </row>
    <row r="5103">
      <c r="A5103" s="4" t="s">
        <v>6412</v>
      </c>
      <c r="B5103" s="4" t="s">
        <v>6413</v>
      </c>
      <c r="C5103" s="5" t="str">
        <f>IFERROR(__xludf.DUMMYFUNCTION("GOOGLETRANSLATE(B5103,""en"",""de"")"),"Mehrere Wrestler werden in einem Spiel mit einer Person gezeigt, die seine Charaktere auswählt.")</f>
        <v>Mehrere Wrestler werden in einem Spiel mit einer Person gezeigt, die seine Charaktere auswählt.</v>
      </c>
    </row>
    <row r="5104">
      <c r="A5104" s="4" t="s">
        <v>6412</v>
      </c>
      <c r="B5104" s="4" t="s">
        <v>6414</v>
      </c>
      <c r="C5104" s="5" t="str">
        <f>IFERROR(__xludf.DUMMYFUNCTION("GOOGLETRANSLATE(B5104,""en"",""de"")"),"Das Spiel lädt in Menschen ein, die in einem Ring miteinander ringen.")</f>
        <v>Das Spiel lädt in Menschen ein, die in einem Ring miteinander ringen.</v>
      </c>
    </row>
    <row r="5105">
      <c r="A5105" s="4" t="s">
        <v>6412</v>
      </c>
      <c r="B5105" s="4" t="s">
        <v>6415</v>
      </c>
      <c r="C5105" s="5" t="str">
        <f>IFERROR(__xludf.DUMMYFUNCTION("GOOGLETRANSLATE(B5105,""en"",""de"")"),"Die Männer ringen weiter im Spiel und enden, indem sie auf einen Spieler herabblicken.")</f>
        <v>Die Männer ringen weiter im Spiel und enden, indem sie auf einen Spieler herabblicken.</v>
      </c>
    </row>
    <row r="5106">
      <c r="A5106" s="4" t="s">
        <v>6416</v>
      </c>
      <c r="B5106" s="4" t="s">
        <v>6417</v>
      </c>
      <c r="C5106" s="5" t="str">
        <f>IFERROR(__xludf.DUMMYFUNCTION("GOOGLETRANSLATE(B5106,""en"",""de"")"),"Es gibt einen Mann, der zeigt, wie man Wachs schmilzt und Oberflächen mit Wachs mit einem Eisen mit Wachs beschichtet.")</f>
        <v>Es gibt einen Mann, der zeigt, wie man Wachs schmilzt und Oberflächen mit Wachs mit einem Eisen mit Wachs beschichtet.</v>
      </c>
    </row>
    <row r="5107">
      <c r="A5107" s="4" t="s">
        <v>6416</v>
      </c>
      <c r="B5107" s="4" t="s">
        <v>6418</v>
      </c>
      <c r="C5107" s="5" t="str">
        <f>IFERROR(__xludf.DUMMYFUNCTION("GOOGLETRANSLATE(B5107,""en"",""de"")"),"Er schmilzt ein Stück Wachs gegen die erhitzte Oberfläche des Eisen.")</f>
        <v>Er schmilzt ein Stück Wachs gegen die erhitzte Oberfläche des Eisen.</v>
      </c>
    </row>
    <row r="5108">
      <c r="A5108" s="4" t="s">
        <v>6416</v>
      </c>
      <c r="B5108" s="4" t="s">
        <v>6419</v>
      </c>
      <c r="C5108" s="5" t="str">
        <f>IFERROR(__xludf.DUMMYFUNCTION("GOOGLETRANSLATE(B5108,""en"",""de"")"),"Dann verschmiert er das Wachs und beschichtet auf einer Oberfläche.")</f>
        <v>Dann verschmiert er das Wachs und beschichtet auf einer Oberfläche.</v>
      </c>
    </row>
    <row r="5109">
      <c r="A5109" s="4" t="s">
        <v>6416</v>
      </c>
      <c r="B5109" s="4" t="s">
        <v>6420</v>
      </c>
      <c r="C5109" s="5" t="str">
        <f>IFERROR(__xludf.DUMMYFUNCTION("GOOGLETRANSLATE(B5109,""en"",""de"")"),"Nach dem Abkühlen des Wachs kratzt er es von der Oberfläche.")</f>
        <v>Nach dem Abkühlen des Wachs kratzt er es von der Oberfläche.</v>
      </c>
    </row>
    <row r="5110">
      <c r="A5110" s="4" t="s">
        <v>6421</v>
      </c>
      <c r="B5110" s="4" t="s">
        <v>6422</v>
      </c>
      <c r="C5110" s="5" t="str">
        <f>IFERROR(__xludf.DUMMYFUNCTION("GOOGLETRANSLATE(B5110,""en"",""de"")"),"Eine Gruppe von Männern rennt durch ein Fitnessstudio.")</f>
        <v>Eine Gruppe von Männern rennt durch ein Fitnessstudio.</v>
      </c>
    </row>
    <row r="5111">
      <c r="A5111" s="4" t="s">
        <v>6421</v>
      </c>
      <c r="B5111" s="4" t="s">
        <v>6423</v>
      </c>
      <c r="C5111" s="5" t="str">
        <f>IFERROR(__xludf.DUMMYFUNCTION("GOOGLETRANSLATE(B5111,""en"",""de"")"),"Sie rennen zusammen in einen Ring.")</f>
        <v>Sie rennen zusammen in einen Ring.</v>
      </c>
    </row>
    <row r="5112">
      <c r="A5112" s="4" t="s">
        <v>6421</v>
      </c>
      <c r="B5112" s="4" t="s">
        <v>6424</v>
      </c>
      <c r="C5112" s="5" t="str">
        <f>IFERROR(__xludf.DUMMYFUNCTION("GOOGLETRANSLATE(B5112,""en"",""de"")"),"Sie nehmen dann ein Wrestling -Match ein.")</f>
        <v>Sie nehmen dann ein Wrestling -Match ein.</v>
      </c>
    </row>
    <row r="5113">
      <c r="A5113" s="4" t="s">
        <v>6425</v>
      </c>
      <c r="B5113" s="4" t="s">
        <v>6426</v>
      </c>
      <c r="C5113" s="5" t="str">
        <f>IFERROR(__xludf.DUMMYFUNCTION("GOOGLETRANSLATE(B5113,""en"",""de"")"),"Ein Junge spricht mit der Kamera an einem Strand.")</f>
        <v>Ein Junge spricht mit der Kamera an einem Strand.</v>
      </c>
    </row>
    <row r="5114">
      <c r="A5114" s="4" t="s">
        <v>6425</v>
      </c>
      <c r="B5114" s="4" t="s">
        <v>6427</v>
      </c>
      <c r="C5114" s="5" t="str">
        <f>IFERROR(__xludf.DUMMYFUNCTION("GOOGLETRANSLATE(B5114,""en"",""de"")"),"Ein Mann geht im Hintergrund von rechts nach links.")</f>
        <v>Ein Mann geht im Hintergrund von rechts nach links.</v>
      </c>
    </row>
    <row r="5115">
      <c r="A5115" s="4" t="s">
        <v>6425</v>
      </c>
      <c r="B5115" s="4" t="s">
        <v>6428</v>
      </c>
      <c r="C5115" s="5" t="str">
        <f>IFERROR(__xludf.DUMMYFUNCTION("GOOGLETRANSLATE(B5115,""en"",""de"")"),"Der Junge interagiert mit einem Mann vor einer Sandburg.")</f>
        <v>Der Junge interagiert mit einem Mann vor einer Sandburg.</v>
      </c>
    </row>
    <row r="5116">
      <c r="A5116" s="4" t="s">
        <v>6425</v>
      </c>
      <c r="B5116" s="4" t="s">
        <v>6429</v>
      </c>
      <c r="C5116" s="5" t="str">
        <f>IFERROR(__xludf.DUMMYFUNCTION("GOOGLETRANSLATE(B5116,""en"",""de"")"),"Eine Frau geht im Hintergrund von rechts nach links.")</f>
        <v>Eine Frau geht im Hintergrund von rechts nach links.</v>
      </c>
    </row>
    <row r="5117">
      <c r="A5117" s="4" t="s">
        <v>6425</v>
      </c>
      <c r="B5117" s="4" t="s">
        <v>6430</v>
      </c>
      <c r="C5117" s="5" t="str">
        <f>IFERROR(__xludf.DUMMYFUNCTION("GOOGLETRANSLATE(B5117,""en"",""de"")"),"Mehrere Standbilder des Jungen und des Mannes, manchmal mit anderen Menschen, werden vor dem Sandburg in verschiedenen Abschlussphasen gezeigt.")</f>
        <v>Mehrere Standbilder des Jungen und des Mannes, manchmal mit anderen Menschen, werden vor dem Sandburg in verschiedenen Abschlussphasen gezeigt.</v>
      </c>
    </row>
    <row r="5118">
      <c r="A5118" s="4" t="s">
        <v>6425</v>
      </c>
      <c r="B5118" s="4" t="s">
        <v>6431</v>
      </c>
      <c r="C5118" s="5" t="str">
        <f>IFERROR(__xludf.DUMMYFUNCTION("GOOGLETRANSLATE(B5118,""en"",""de"")"),"Der Junge, jetzt mit zwei kleineren Kindern, interagiert mit dem Mann, der immer noch am Sandburg arbeitet.")</f>
        <v>Der Junge, jetzt mit zwei kleineren Kindern, interagiert mit dem Mann, der immer noch am Sandburg arbeitet.</v>
      </c>
    </row>
    <row r="5119">
      <c r="A5119" s="4" t="s">
        <v>6425</v>
      </c>
      <c r="B5119" s="4" t="s">
        <v>6432</v>
      </c>
      <c r="C5119" s="5" t="str">
        <f>IFERROR(__xludf.DUMMYFUNCTION("GOOGLETRANSLATE(B5119,""en"",""de"")"),"Weitere Standbilder verschiedener Gruppen von Menschen neben der Sandburg werden gezeigt.")</f>
        <v>Weitere Standbilder verschiedener Gruppen von Menschen neben der Sandburg werden gezeigt.</v>
      </c>
    </row>
    <row r="5120">
      <c r="A5120" s="4" t="s">
        <v>6433</v>
      </c>
      <c r="B5120" s="4" t="s">
        <v>6434</v>
      </c>
      <c r="C5120" s="5" t="str">
        <f>IFERROR(__xludf.DUMMYFUNCTION("GOOGLETRANSLATE(B5120,""en"",""de"")"),"Wir sehen Kinder in einem Klassenzimmer in Kid Height Waschbecken ihre Hände waschen.")</f>
        <v>Wir sehen Kinder in einem Klassenzimmer in Kid Height Waschbecken ihre Hände waschen.</v>
      </c>
    </row>
    <row r="5121">
      <c r="A5121" s="4" t="s">
        <v>6433</v>
      </c>
      <c r="B5121" s="4" t="s">
        <v>6435</v>
      </c>
      <c r="C5121" s="5" t="str">
        <f>IFERROR(__xludf.DUMMYFUNCTION("GOOGLETRANSLATE(B5121,""en"",""de"")"),"Wir beobachten, wie der Junge versucht, Seife zu bekommen.")</f>
        <v>Wir beobachten, wie der Junge versucht, Seife zu bekommen.</v>
      </c>
    </row>
    <row r="5122">
      <c r="A5122" s="4" t="s">
        <v>6433</v>
      </c>
      <c r="B5122" s="4" t="s">
        <v>6436</v>
      </c>
      <c r="C5122" s="5" t="str">
        <f>IFERROR(__xludf.DUMMYFUNCTION("GOOGLETRANSLATE(B5122,""en"",""de"")"),"Der Junge benutzt den Seifenspender erneut.")</f>
        <v>Der Junge benutzt den Seifenspender erneut.</v>
      </c>
    </row>
    <row r="5123">
      <c r="A5123" s="4" t="s">
        <v>6433</v>
      </c>
      <c r="B5123" s="4" t="s">
        <v>6437</v>
      </c>
      <c r="C5123" s="5" t="str">
        <f>IFERROR(__xludf.DUMMYFUNCTION("GOOGLETRANSLATE(B5123,""en"",""de"")"),"Der Junge schaut in die Kamera und spricht.")</f>
        <v>Der Junge schaut in die Kamera und spricht.</v>
      </c>
    </row>
    <row r="5124">
      <c r="A5124" s="4" t="s">
        <v>6433</v>
      </c>
      <c r="B5124" s="4" t="s">
        <v>6438</v>
      </c>
      <c r="C5124" s="5" t="str">
        <f>IFERROR(__xludf.DUMMYFUNCTION("GOOGLETRANSLATE(B5124,""en"",""de"")"),"Ein Erwachsener greift nach seiner Hand, wenn er versucht, mehr Seife zu bekommen.")</f>
        <v>Ein Erwachsener greift nach seiner Hand, wenn er versucht, mehr Seife zu bekommen.</v>
      </c>
    </row>
    <row r="5125">
      <c r="A5125" s="4" t="s">
        <v>6439</v>
      </c>
      <c r="B5125" s="4" t="s">
        <v>6440</v>
      </c>
      <c r="C5125" s="5" t="str">
        <f>IFERROR(__xludf.DUMMYFUNCTION("GOOGLETRANSLATE(B5125,""en"",""de"")"),"Ein Intro führt in mehrere Schüsse einer Fahrradstrecke sowie Menschen, die sich entlang der Strecke bewegten, um sich zu rennen.")</f>
        <v>Ein Intro führt in mehrere Schüsse einer Fahrradstrecke sowie Menschen, die sich entlang der Strecke bewegten, um sich zu rennen.</v>
      </c>
    </row>
    <row r="5126">
      <c r="A5126" s="4" t="s">
        <v>6439</v>
      </c>
      <c r="B5126" s="4" t="s">
        <v>6441</v>
      </c>
      <c r="C5126" s="5" t="str">
        <f>IFERROR(__xludf.DUMMYFUNCTION("GOOGLETRANSLATE(B5126,""en"",""de"")"),"Die Kamera fängt weiterhin die Leute ein, die in Zeitlupe um die Strecke fahren, wobei eine Person fällt und mehrere an den Seiten beobachten.")</f>
        <v>Die Kamera fängt weiterhin die Leute ein, die in Zeitlupe um die Strecke fahren, wobei eine Person fällt und mehrere an den Seiten beobachten.</v>
      </c>
    </row>
    <row r="5127">
      <c r="A5127" s="4" t="s">
        <v>6439</v>
      </c>
      <c r="B5127" s="4" t="s">
        <v>6442</v>
      </c>
      <c r="C5127" s="5" t="str">
        <f>IFERROR(__xludf.DUMMYFUNCTION("GOOGLETRANSLATE(B5127,""en"",""de"")"),"Die Leute reiten dann durch die Ziellinie und werfen ihre Arme in die Luft.")</f>
        <v>Die Leute reiten dann durch die Ziellinie und werfen ihre Arme in die Luft.</v>
      </c>
    </row>
    <row r="5128">
      <c r="A5128" s="4" t="s">
        <v>6443</v>
      </c>
      <c r="B5128" s="4" t="s">
        <v>6444</v>
      </c>
      <c r="C5128" s="5" t="str">
        <f>IFERROR(__xludf.DUMMYFUNCTION("GOOGLETRANSLATE(B5128,""en"",""de"")"),"Ein Fahrrad, das auf den Kopf gestellt wird, ist an der Wand, wenn eine orangefarbene Änderung angezeigt wird.")</f>
        <v>Ein Fahrrad, das auf den Kopf gestellt wird, ist an der Wand, wenn eine orangefarbene Änderung angezeigt wird.</v>
      </c>
    </row>
    <row r="5129">
      <c r="A5129" s="4" t="s">
        <v>6443</v>
      </c>
      <c r="B5129" s="4" t="s">
        <v>6445</v>
      </c>
      <c r="C5129" s="5" t="str">
        <f>IFERROR(__xludf.DUMMYFUNCTION("GOOGLETRANSLATE(B5129,""en"",""de"")"),"Eine Person kommt dann und entfernt die Kette aus dem Fahrrad und legt sie auf den Boden.")</f>
        <v>Eine Person kommt dann und entfernt die Kette aus dem Fahrrad und legt sie auf den Boden.</v>
      </c>
    </row>
    <row r="5130">
      <c r="A5130" s="4" t="s">
        <v>6443</v>
      </c>
      <c r="B5130" s="4" t="s">
        <v>6446</v>
      </c>
      <c r="C5130" s="5" t="str">
        <f>IFERROR(__xludf.DUMMYFUNCTION("GOOGLETRANSLATE(B5130,""en"",""de"")"),"Der Mann nimmt dann einen Maßstab heraus und beginnt, bestimmte Teile des Fahrrads zu messen.")</f>
        <v>Der Mann nimmt dann einen Maßstab heraus und beginnt, bestimmte Teile des Fahrrads zu messen.</v>
      </c>
    </row>
    <row r="5131">
      <c r="A5131" s="4" t="s">
        <v>6443</v>
      </c>
      <c r="B5131" s="4" t="s">
        <v>6447</v>
      </c>
      <c r="C5131" s="5" t="str">
        <f>IFERROR(__xludf.DUMMYFUNCTION("GOOGLETRANSLATE(B5131,""en"",""de"")"),"Die Teile werden dann entfernt und mit dem Schraubenschlüssel festgezogen und die Ringe werden nach innen platziert, wo die Kette fließt.")</f>
        <v>Die Teile werden dann entfernt und mit dem Schraubenschlüssel festgezogen und die Ringe werden nach innen platziert, wo die Kette fließt.</v>
      </c>
    </row>
    <row r="5132">
      <c r="A5132" s="4" t="s">
        <v>6448</v>
      </c>
      <c r="B5132" s="4" t="s">
        <v>6449</v>
      </c>
      <c r="C5132" s="5" t="str">
        <f>IFERROR(__xludf.DUMMYFUNCTION("GOOGLETRANSLATE(B5132,""en"",""de"")"),"Ein Mann macht Tai Chi allein vor der Sonne an einem Strand.")</f>
        <v>Ein Mann macht Tai Chi allein vor der Sonne an einem Strand.</v>
      </c>
    </row>
    <row r="5133">
      <c r="A5133" s="4" t="s">
        <v>6448</v>
      </c>
      <c r="B5133" s="4" t="s">
        <v>6450</v>
      </c>
      <c r="C5133" s="5" t="str">
        <f>IFERROR(__xludf.DUMMYFUNCTION("GOOGLETRANSLATE(B5133,""en"",""de"")"),"Eine Gruppe von Menschen, die alle in Weiß gekleidet sind, schließt sich dem Mann am Strand an und bewegt sich die Kampfkunst.")</f>
        <v>Eine Gruppe von Menschen, die alle in Weiß gekleidet sind, schließt sich dem Mann am Strand an und bewegt sich die Kampfkunst.</v>
      </c>
    </row>
    <row r="5134">
      <c r="A5134" s="4" t="s">
        <v>6448</v>
      </c>
      <c r="B5134" s="4" t="s">
        <v>6451</v>
      </c>
      <c r="C5134" s="5" t="str">
        <f>IFERROR(__xludf.DUMMYFUNCTION("GOOGLETRANSLATE(B5134,""en"",""de"")"),"Der Mann macht wieder allein die Bewegungen.")</f>
        <v>Der Mann macht wieder allein die Bewegungen.</v>
      </c>
    </row>
    <row r="5135">
      <c r="A5135" s="4" t="s">
        <v>6448</v>
      </c>
      <c r="B5135" s="4" t="s">
        <v>6452</v>
      </c>
      <c r="C5135" s="5" t="str">
        <f>IFERROR(__xludf.DUMMYFUNCTION("GOOGLETRANSLATE(B5135,""en"",""de"")"),"Die Leute sind mit dem Mann, der Tai Chi wieder am Strand macht.")</f>
        <v>Die Leute sind mit dem Mann, der Tai Chi wieder am Strand macht.</v>
      </c>
    </row>
    <row r="5136">
      <c r="A5136" s="4" t="s">
        <v>6448</v>
      </c>
      <c r="B5136" s="4" t="s">
        <v>6453</v>
      </c>
      <c r="C5136" s="5" t="str">
        <f>IFERROR(__xludf.DUMMYFUNCTION("GOOGLETRANSLATE(B5136,""en"",""de"")"),"Der Mann ist allein auf einem Hügel und macht die Bewegungen.")</f>
        <v>Der Mann ist allein auf einem Hügel und macht die Bewegungen.</v>
      </c>
    </row>
    <row r="5137">
      <c r="A5137" s="4" t="s">
        <v>6448</v>
      </c>
      <c r="B5137" s="4" t="s">
        <v>6454</v>
      </c>
      <c r="C5137" s="5" t="str">
        <f>IFERROR(__xludf.DUMMYFUNCTION("GOOGLETRANSLATE(B5137,""en"",""de"")"),"Der Mann ist wieder am Strand und macht die Bewegungen, als die Sonne anfängt zu unterziehen.")</f>
        <v>Der Mann ist wieder am Strand und macht die Bewegungen, als die Sonne anfängt zu unterziehen.</v>
      </c>
    </row>
    <row r="5138">
      <c r="A5138" s="4" t="s">
        <v>6448</v>
      </c>
      <c r="B5138" s="4" t="s">
        <v>6455</v>
      </c>
      <c r="C5138" s="5" t="str">
        <f>IFERROR(__xludf.DUMMYFUNCTION("GOOGLETRANSLATE(B5138,""en"",""de"")"),"Die Leute machen die Bewegungen mit ihm am Strand.")</f>
        <v>Die Leute machen die Bewegungen mit ihm am Strand.</v>
      </c>
    </row>
    <row r="5139">
      <c r="A5139" s="4" t="s">
        <v>6448</v>
      </c>
      <c r="B5139" s="4" t="s">
        <v>6456</v>
      </c>
      <c r="C5139" s="5" t="str">
        <f>IFERROR(__xludf.DUMMYFUNCTION("GOOGLETRANSLATE(B5139,""en"",""de"")"),"Worte kommen auf den Bildschirm.")</f>
        <v>Worte kommen auf den Bildschirm.</v>
      </c>
    </row>
    <row r="5140">
      <c r="A5140" s="4" t="s">
        <v>6457</v>
      </c>
      <c r="B5140" s="4" t="s">
        <v>6458</v>
      </c>
      <c r="C5140" s="5" t="str">
        <f>IFERROR(__xludf.DUMMYFUNCTION("GOOGLETRANSLATE(B5140,""en"",""de"")"),"Ein Junge in einem Hut spricht.")</f>
        <v>Ein Junge in einem Hut spricht.</v>
      </c>
    </row>
    <row r="5141">
      <c r="A5141" s="4" t="s">
        <v>6457</v>
      </c>
      <c r="B5141" s="4" t="s">
        <v>6459</v>
      </c>
      <c r="C5141" s="5" t="str">
        <f>IFERROR(__xludf.DUMMYFUNCTION("GOOGLETRANSLATE(B5141,""en"",""de"")"),"Er raucht etwas und bläst den Rauch in die Luft.")</f>
        <v>Er raucht etwas und bläst den Rauch in die Luft.</v>
      </c>
    </row>
    <row r="5142">
      <c r="A5142" s="4" t="s">
        <v>6457</v>
      </c>
      <c r="B5142" s="4" t="s">
        <v>6460</v>
      </c>
      <c r="C5142" s="5" t="str">
        <f>IFERROR(__xludf.DUMMYFUNCTION("GOOGLETRANSLATE(B5142,""en"",""de"")"),"Er spricht weiter mit der Kamera.")</f>
        <v>Er spricht weiter mit der Kamera.</v>
      </c>
    </row>
    <row r="5143">
      <c r="A5143" s="4" t="s">
        <v>6457</v>
      </c>
      <c r="B5143" s="4" t="s">
        <v>6461</v>
      </c>
      <c r="C5143" s="5" t="str">
        <f>IFERROR(__xludf.DUMMYFUNCTION("GOOGLETRANSLATE(B5143,""en"",""de"")"),"Er raucht wieder aus der Pfeife und bläst den Rauch noch ein paar Mal aus.")</f>
        <v>Er raucht wieder aus der Pfeife und bläst den Rauch noch ein paar Mal aus.</v>
      </c>
    </row>
    <row r="5144">
      <c r="A5144" s="4" t="s">
        <v>6462</v>
      </c>
      <c r="B5144" s="4" t="s">
        <v>6463</v>
      </c>
      <c r="C5144" s="5" t="str">
        <f>IFERROR(__xludf.DUMMYFUNCTION("GOOGLETRANSLATE(B5144,""en"",""de"")"),"Ein Kleinkind ein Kleidungsstück auf einem Spielzeugbrett.")</f>
        <v>Ein Kleinkind ein Kleidungsstück auf einem Spielzeugbrett.</v>
      </c>
    </row>
    <row r="5145">
      <c r="A5145" s="4" t="s">
        <v>6462</v>
      </c>
      <c r="B5145" s="4" t="s">
        <v>6464</v>
      </c>
      <c r="C5145" s="5" t="str">
        <f>IFERROR(__xludf.DUMMYFUNCTION("GOOGLETRANSLATE(B5145,""en"",""de"")"),"Das Kleinkind sprüht das Kleidungsstück und faltet sich und bügelt es weiter.")</f>
        <v>Das Kleinkind sprüht das Kleidungsstück und faltet sich und bügelt es weiter.</v>
      </c>
    </row>
    <row r="5146">
      <c r="A5146" s="4" t="s">
        <v>6462</v>
      </c>
      <c r="B5146" s="4" t="s">
        <v>6465</v>
      </c>
      <c r="C5146" s="5" t="str">
        <f>IFERROR(__xludf.DUMMYFUNCTION("GOOGLETRANSLATE(B5146,""en"",""de"")"),"Dann faltet das Kleinkind das Kleidungsstück erneut und bügelt es.")</f>
        <v>Dann faltet das Kleinkind das Kleidungsstück erneut und bügelt es.</v>
      </c>
    </row>
    <row r="5147">
      <c r="A5147" s="4" t="s">
        <v>6466</v>
      </c>
      <c r="B5147" s="4" t="s">
        <v>6467</v>
      </c>
      <c r="C5147" s="5" t="str">
        <f>IFERROR(__xludf.DUMMYFUNCTION("GOOGLETRANSLATE(B5147,""en"",""de"")"),"Eine Person trägt Ausrüstung und wandert um eine Grasfläche.")</f>
        <v>Eine Person trägt Ausrüstung und wandert um eine Grasfläche.</v>
      </c>
    </row>
    <row r="5148">
      <c r="A5148" s="4" t="s">
        <v>6466</v>
      </c>
      <c r="B5148" s="4" t="s">
        <v>6468</v>
      </c>
      <c r="C5148" s="5" t="str">
        <f>IFERROR(__xludf.DUMMYFUNCTION("GOOGLETRANSLATE(B5148,""en"",""de"")"),"Der Mann verwendet ein Werkzeug, um das Gras entlang zu schneiden.")</f>
        <v>Der Mann verwendet ein Werkzeug, um das Gras entlang zu schneiden.</v>
      </c>
    </row>
    <row r="5149">
      <c r="A5149" s="4" t="s">
        <v>6466</v>
      </c>
      <c r="B5149" s="4" t="s">
        <v>6469</v>
      </c>
      <c r="C5149" s="5" t="str">
        <f>IFERROR(__xludf.DUMMYFUNCTION("GOOGLETRANSLATE(B5149,""en"",""de"")"),"Er bewegt sich weiter am Gras und zeigt das Werkzeug am Ende.")</f>
        <v>Er bewegt sich weiter am Gras und zeigt das Werkzeug am Ende.</v>
      </c>
    </row>
    <row r="5150">
      <c r="A5150" s="4" t="s">
        <v>6470</v>
      </c>
      <c r="B5150" s="4" t="s">
        <v>6471</v>
      </c>
      <c r="C5150" s="5" t="str">
        <f>IFERROR(__xludf.DUMMYFUNCTION("GOOGLETRANSLATE(B5150,""en"",""de"")"),"Eine Person fährt mit einem Dirt -Fahrrad über einen Hügel.")</f>
        <v>Eine Person fährt mit einem Dirt -Fahrrad über einen Hügel.</v>
      </c>
    </row>
    <row r="5151">
      <c r="A5151" s="4" t="s">
        <v>6470</v>
      </c>
      <c r="B5151" s="4" t="s">
        <v>6472</v>
      </c>
      <c r="C5151" s="5" t="str">
        <f>IFERROR(__xludf.DUMMYFUNCTION("GOOGLETRANSLATE(B5151,""en"",""de"")"),"Jemand steht auf einem Dirt Hill.")</f>
        <v>Jemand steht auf einem Dirt Hill.</v>
      </c>
    </row>
    <row r="5152">
      <c r="A5152" s="4" t="s">
        <v>6470</v>
      </c>
      <c r="B5152" s="4" t="s">
        <v>6473</v>
      </c>
      <c r="C5152" s="5" t="str">
        <f>IFERROR(__xludf.DUMMYFUNCTION("GOOGLETRANSLATE(B5152,""en"",""de"")"),"Die Menschen stehen auf der Seite des Hügels.")</f>
        <v>Die Menschen stehen auf der Seite des Hügels.</v>
      </c>
    </row>
    <row r="5153">
      <c r="A5153" s="4" t="s">
        <v>6474</v>
      </c>
      <c r="B5153" s="4" t="s">
        <v>6475</v>
      </c>
      <c r="C5153" s="5" t="str">
        <f>IFERROR(__xludf.DUMMYFUNCTION("GOOGLETRANSLATE(B5153,""en"",""de"")"),"Ein Mann rührt einen Topf auf einem Herd.")</f>
        <v>Ein Mann rührt einen Topf auf einem Herd.</v>
      </c>
    </row>
    <row r="5154">
      <c r="A5154" s="4" t="s">
        <v>6474</v>
      </c>
      <c r="B5154" s="4" t="s">
        <v>6476</v>
      </c>
      <c r="C5154" s="5" t="str">
        <f>IFERROR(__xludf.DUMMYFUNCTION("GOOGLETRANSLATE(B5154,""en"",""de"")"),"Ein Teller wird zum Herd gebracht.")</f>
        <v>Ein Teller wird zum Herd gebracht.</v>
      </c>
    </row>
    <row r="5155">
      <c r="A5155" s="4" t="s">
        <v>6474</v>
      </c>
      <c r="B5155" s="4" t="s">
        <v>6477</v>
      </c>
      <c r="C5155" s="5" t="str">
        <f>IFERROR(__xludf.DUMMYFUNCTION("GOOGLETRANSLATE(B5155,""en"",""de"")"),"Er spricht aus, was sich in der Pfanne auf dem Teller befand.")</f>
        <v>Er spricht aus, was sich in der Pfanne auf dem Teller befand.</v>
      </c>
    </row>
    <row r="5156">
      <c r="A5156" s="4" t="s">
        <v>6478</v>
      </c>
      <c r="B5156" s="4" t="s">
        <v>6479</v>
      </c>
      <c r="C5156" s="5" t="str">
        <f>IFERROR(__xludf.DUMMYFUNCTION("GOOGLETRANSLATE(B5156,""en"",""de"")"),"Viele verschiedene Frauen, die viele verschiedene Schuhe tragen, gehen einen Hund auf dem Bürgersteig, einer, der Keile trägt, einige Treppen hoch.")</f>
        <v>Viele verschiedene Frauen, die viele verschiedene Schuhe tragen, gehen einen Hund auf dem Bürgersteig, einer, der Keile trägt, einige Treppen hoch.</v>
      </c>
    </row>
    <row r="5157">
      <c r="A5157" s="4" t="s">
        <v>6478</v>
      </c>
      <c r="B5157" s="4" t="s">
        <v>6480</v>
      </c>
      <c r="C5157" s="5" t="str">
        <f>IFERROR(__xludf.DUMMYFUNCTION("GOOGLETRANSLATE(B5157,""en"",""de"")"),"Ein Mann beginnt über das zu sprechen, was wie ein Hundestylisten Salon zu sein scheint.")</f>
        <v>Ein Mann beginnt über das zu sprechen, was wie ein Hundestylisten Salon zu sein scheint.</v>
      </c>
    </row>
    <row r="5158">
      <c r="A5158" s="4" t="s">
        <v>6478</v>
      </c>
      <c r="B5158" s="4" t="s">
        <v>6481</v>
      </c>
      <c r="C5158" s="5" t="str">
        <f>IFERROR(__xludf.DUMMYFUNCTION("GOOGLETRANSLATE(B5158,""en"",""de"")"),"Es gibt viele Hunde, die gepflegt werden und niedliche schicke Haarschnitte bekommen.")</f>
        <v>Es gibt viele Hunde, die gepflegt werden und niedliche schicke Haarschnitte bekommen.</v>
      </c>
    </row>
    <row r="5159">
      <c r="A5159" s="4" t="s">
        <v>6478</v>
      </c>
      <c r="B5159" s="4" t="s">
        <v>6482</v>
      </c>
      <c r="C5159" s="5" t="str">
        <f>IFERROR(__xludf.DUMMYFUNCTION("GOOGLETRANSLATE(B5159,""en"",""de"")"),"Einer von ihnen ist, dass es sehr aufgeregt ist, die Situation zu genießen.")</f>
        <v>Einer von ihnen ist, dass es sehr aufgeregt ist, die Situation zu genießen.</v>
      </c>
    </row>
    <row r="5160">
      <c r="A5160" s="4" t="s">
        <v>6483</v>
      </c>
      <c r="B5160" s="4" t="s">
        <v>6484</v>
      </c>
      <c r="C5160" s="5" t="str">
        <f>IFERROR(__xludf.DUMMYFUNCTION("GOOGLETRANSLATE(B5160,""en"",""de"")"),"Außerhalb eines Lendenschandes steht er mit einer Axt, er ist in einem Mantel gekleidet, um warm zu bleiben.")</f>
        <v>Außerhalb eines Lendenschandes steht er mit einer Axt, er ist in einem Mantel gekleidet, um warm zu bleiben.</v>
      </c>
    </row>
    <row r="5161">
      <c r="A5161" s="4" t="s">
        <v>6483</v>
      </c>
      <c r="B5161" s="4" t="s">
        <v>6485</v>
      </c>
      <c r="C5161" s="5" t="str">
        <f>IFERROR(__xludf.DUMMYFUNCTION("GOOGLETRANSLATE(B5161,""en"",""de"")"),"Es gibt viele Holzstämme an die Seite von ihm.")</f>
        <v>Es gibt viele Holzstämme an die Seite von ihm.</v>
      </c>
    </row>
    <row r="5162">
      <c r="A5162" s="4" t="s">
        <v>6483</v>
      </c>
      <c r="B5162" s="4" t="s">
        <v>6486</v>
      </c>
      <c r="C5162" s="5" t="str">
        <f>IFERROR(__xludf.DUMMYFUNCTION("GOOGLETRANSLATE(B5162,""en"",""de"")"),"Alle schneiden und gesammelt höchstwahrscheinlich von ihm für Brände, um das Haus in Winternächten warm zu halten.")</f>
        <v>Alle schneiden und gesammelt höchstwahrscheinlich von ihm für Brände, um das Haus in Winternächten warm zu halten.</v>
      </c>
    </row>
    <row r="5163">
      <c r="A5163" s="4" t="s">
        <v>6483</v>
      </c>
      <c r="B5163" s="4" t="s">
        <v>6487</v>
      </c>
      <c r="C5163" s="5" t="str">
        <f>IFERROR(__xludf.DUMMYFUNCTION("GOOGLETRANSLATE(B5163,""en"",""de"")"),"Er nimmt seine Axt und schlägt den Zweig damit.")</f>
        <v>Er nimmt seine Axt und schlägt den Zweig damit.</v>
      </c>
    </row>
    <row r="5164">
      <c r="A5164" s="4" t="s">
        <v>6488</v>
      </c>
      <c r="B5164" s="4" t="s">
        <v>6489</v>
      </c>
      <c r="C5164" s="5" t="str">
        <f>IFERROR(__xludf.DUMMYFUNCTION("GOOGLETRANSLATE(B5164,""en"",""de"")"),"Eine große Arena wird mit einem großen Bildschirm angezeigt, das die Athleten auf dem Feld zeigt.")</f>
        <v>Eine große Arena wird mit einem großen Bildschirm angezeigt, das die Athleten auf dem Feld zeigt.</v>
      </c>
    </row>
    <row r="5165">
      <c r="A5165" s="4" t="s">
        <v>6488</v>
      </c>
      <c r="B5165" s="4" t="s">
        <v>6490</v>
      </c>
      <c r="C5165" s="5" t="str">
        <f>IFERROR(__xludf.DUMMYFUNCTION("GOOGLETRANSLATE(B5165,""en"",""de"")"),"Ein Mann wird dann in einem Käfig gezeigt, der sich um einen Schuss dreht, der zu messen beginnt.")</f>
        <v>Ein Mann wird dann in einem Käfig gezeigt, der sich um einen Schuss dreht, der zu messen beginnt.</v>
      </c>
    </row>
    <row r="5166">
      <c r="A5166" s="4" t="s">
        <v>6488</v>
      </c>
      <c r="B5166" s="4" t="s">
        <v>6491</v>
      </c>
      <c r="C5166" s="5" t="str">
        <f>IFERROR(__xludf.DUMMYFUNCTION("GOOGLETRANSLATE(B5166,""en"",""de"")"),"Ein anderer Mann nähert sich dem Kreis, wiederholt die Aktion und beginnt in Freude aufzuspringen.")</f>
        <v>Ein anderer Mann nähert sich dem Kreis, wiederholt die Aktion und beginnt in Freude aufzuspringen.</v>
      </c>
    </row>
    <row r="5167">
      <c r="A5167" s="4" t="s">
        <v>6488</v>
      </c>
      <c r="B5167" s="4" t="s">
        <v>6492</v>
      </c>
      <c r="C5167" s="5" t="str">
        <f>IFERROR(__xludf.DUMMYFUNCTION("GOOGLETRANSLATE(B5167,""en"",""de"")"),"Weitere Männer nähern sich dem Stand und es geht weiter, bis sie jede ihrer Kurven abgeschlossen haben, dann wenden sie sich dem Publikum zu und winken.")</f>
        <v>Weitere Männer nähern sich dem Stand und es geht weiter, bis sie jede ihrer Kurven abgeschlossen haben, dann wenden sie sich dem Publikum zu und winken.</v>
      </c>
    </row>
    <row r="5168">
      <c r="A5168" s="4" t="s">
        <v>6493</v>
      </c>
      <c r="B5168" s="4" t="s">
        <v>6494</v>
      </c>
      <c r="C5168" s="5" t="str">
        <f>IFERROR(__xludf.DUMMYFUNCTION("GOOGLETRANSLATE(B5168,""en"",""de"")"),"Es gibt einen Mann, der ein Fahrradrad mit verschiedenen Werkzeugen arbeitet.")</f>
        <v>Es gibt einen Mann, der ein Fahrradrad mit verschiedenen Werkzeugen arbeitet.</v>
      </c>
    </row>
    <row r="5169">
      <c r="A5169" s="4" t="s">
        <v>6493</v>
      </c>
      <c r="B5169" s="4" t="s">
        <v>6495</v>
      </c>
      <c r="C5169" s="5" t="str">
        <f>IFERROR(__xludf.DUMMYFUNCTION("GOOGLETRANSLATE(B5169,""en"",""de"")"),"Er beginnt damit, die Achse des Rades mit einem Zangenpaar zu drehen, um die Achse in der Mitte zu positionieren.")</f>
        <v>Er beginnt damit, die Achse des Rades mit einem Zangenpaar zu drehen, um die Achse in der Mitte zu positionieren.</v>
      </c>
    </row>
    <row r="5170">
      <c r="A5170" s="4" t="s">
        <v>6493</v>
      </c>
      <c r="B5170" s="4" t="s">
        <v>6496</v>
      </c>
      <c r="C5170" s="5" t="str">
        <f>IFERROR(__xludf.DUMMYFUNCTION("GOOGLETRANSLATE(B5170,""en"",""de"")"),"Dann repariert er die Mittelmutter und verwendet einen Schraubenschlüssel, um ihn zu lockern.")</f>
        <v>Dann repariert er die Mittelmutter und verwendet einen Schraubenschlüssel, um ihn zu lockern.</v>
      </c>
    </row>
    <row r="5171">
      <c r="A5171" s="4" t="s">
        <v>6493</v>
      </c>
      <c r="B5171" s="4" t="s">
        <v>6497</v>
      </c>
      <c r="C5171" s="5" t="str">
        <f>IFERROR(__xludf.DUMMYFUNCTION("GOOGLETRANSLATE(B5171,""en"",""de"")"),"Dann nutzt er seine Hände, um die Achse auszuziehen.")</f>
        <v>Dann nutzt er seine Hände, um die Achse auszuziehen.</v>
      </c>
    </row>
    <row r="5172">
      <c r="A5172" s="4" t="s">
        <v>6493</v>
      </c>
      <c r="B5172" s="4" t="s">
        <v>6498</v>
      </c>
      <c r="C5172" s="5" t="str">
        <f>IFERROR(__xludf.DUMMYFUNCTION("GOOGLETRANSLATE(B5172,""en"",""de"")"),"Er benutzt ein anderes Werkzeug, um eine Waschmaschine aus der Achse herauszuschrauben.")</f>
        <v>Er benutzt ein anderes Werkzeug, um eine Waschmaschine aus der Achse herauszuschrauben.</v>
      </c>
    </row>
    <row r="5173">
      <c r="A5173" s="4" t="s">
        <v>6493</v>
      </c>
      <c r="B5173" s="4" t="s">
        <v>6499</v>
      </c>
      <c r="C5173" s="5" t="str">
        <f>IFERROR(__xludf.DUMMYFUNCTION("GOOGLETRANSLATE(B5173,""en"",""de"")"),"Dann verwendet er ein Werkzeug mit einem magnetischen Ende, um winzige Metallpartikel aus der Achse zu entfernen.")</f>
        <v>Dann verwendet er ein Werkzeug mit einem magnetischen Ende, um winzige Metallpartikel aus der Achse zu entfernen.</v>
      </c>
    </row>
    <row r="5174">
      <c r="A5174" s="4" t="s">
        <v>6493</v>
      </c>
      <c r="B5174" s="4" t="s">
        <v>6500</v>
      </c>
      <c r="C5174" s="5" t="str">
        <f>IFERROR(__xludf.DUMMYFUNCTION("GOOGLETRANSLATE(B5174,""en"",""de"")"),"Danach reinigt er den inneren Rand der fettigen Achse mit seinem Finger.")</f>
        <v>Danach reinigt er den inneren Rand der fettigen Achse mit seinem Finger.</v>
      </c>
    </row>
    <row r="5175">
      <c r="A5175" s="4" t="s">
        <v>6493</v>
      </c>
      <c r="B5175" s="4" t="s">
        <v>6501</v>
      </c>
      <c r="C5175" s="5" t="str">
        <f>IFERROR(__xludf.DUMMYFUNCTION("GOOGLETRANSLATE(B5175,""en"",""de"")"),"Dann nimmt er die Waschmaschine und reinigt sie weiter, um sie wieder in die Achse zu reparieren.")</f>
        <v>Dann nimmt er die Waschmaschine und reinigt sie weiter, um sie wieder in die Achse zu reparieren.</v>
      </c>
    </row>
    <row r="5176">
      <c r="A5176" s="4" t="s">
        <v>6502</v>
      </c>
      <c r="B5176" s="4" t="s">
        <v>6503</v>
      </c>
      <c r="C5176" s="5" t="str">
        <f>IFERROR(__xludf.DUMMYFUNCTION("GOOGLETRANSLATE(B5176,""en"",""de"")"),"Eine Nahaufnahme von Früchten sitzt auf einem Teller, wenn die Hand einer Person sie in einen Behälter legt.")</f>
        <v>Eine Nahaufnahme von Früchten sitzt auf einem Teller, wenn die Hand einer Person sie in einen Behälter legt.</v>
      </c>
    </row>
    <row r="5177">
      <c r="A5177" s="4" t="s">
        <v>6502</v>
      </c>
      <c r="B5177" s="4" t="s">
        <v>6504</v>
      </c>
      <c r="C5177" s="5" t="str">
        <f>IFERROR(__xludf.DUMMYFUNCTION("GOOGLETRANSLATE(B5177,""en"",""de"")"),"Die Person schiebt die Früchte dann immer wieder mit einem Löffel um die Schüssel.")</f>
        <v>Die Person schiebt die Früchte dann immer wieder mit einem Löffel um die Schüssel.</v>
      </c>
    </row>
    <row r="5178">
      <c r="A5178" s="4" t="s">
        <v>6502</v>
      </c>
      <c r="B5178" s="4" t="s">
        <v>6505</v>
      </c>
      <c r="C5178" s="5" t="str">
        <f>IFERROR(__xludf.DUMMYFUNCTION("GOOGLETRANSLATE(B5178,""en"",""de"")"),"Die Person lässt den Löffel in die Mischung fallen und endet mit Text über den Bildschirm.")</f>
        <v>Die Person lässt den Löffel in die Mischung fallen und endet mit Text über den Bildschirm.</v>
      </c>
    </row>
    <row r="5179">
      <c r="A5179" s="4" t="s">
        <v>6506</v>
      </c>
      <c r="B5179" s="4" t="s">
        <v>6507</v>
      </c>
      <c r="C5179" s="5" t="str">
        <f>IFERROR(__xludf.DUMMYFUNCTION("GOOGLETRANSLATE(B5179,""en"",""de"")"),"Eine Frau wird in einem Hof ​​gezeigt und spricht mit der Kamera.")</f>
        <v>Eine Frau wird in einem Hof ​​gezeigt und spricht mit der Kamera.</v>
      </c>
    </row>
    <row r="5180">
      <c r="A5180" s="4" t="s">
        <v>6506</v>
      </c>
      <c r="B5180" s="4" t="s">
        <v>6508</v>
      </c>
      <c r="C5180" s="5" t="str">
        <f>IFERROR(__xludf.DUMMYFUNCTION("GOOGLETRANSLATE(B5180,""en"",""de"")"),"Sie ist dann zu Pferd und eine Frau wird in mehreren Szenen gezeigt, die über Technik sprechen.")</f>
        <v>Sie ist dann zu Pferd und eine Frau wird in mehreren Szenen gezeigt, die über Technik sprechen.</v>
      </c>
    </row>
    <row r="5181">
      <c r="A5181" s="4" t="s">
        <v>6506</v>
      </c>
      <c r="B5181" s="4" t="s">
        <v>6509</v>
      </c>
      <c r="C5181" s="5" t="str">
        <f>IFERROR(__xludf.DUMMYFUNCTION("GOOGLETRANSLATE(B5181,""en"",""de"")"),"Das Mädchen reitet das Pferd alleine, dann mit anderen Leuten hinunter.")</f>
        <v>Das Mädchen reitet das Pferd alleine, dann mit anderen Leuten hinunter.</v>
      </c>
    </row>
    <row r="5182">
      <c r="A5182" s="4" t="s">
        <v>6510</v>
      </c>
      <c r="B5182" s="4" t="s">
        <v>6511</v>
      </c>
      <c r="C5182" s="5" t="str">
        <f>IFERROR(__xludf.DUMMYFUNCTION("GOOGLETRANSLATE(B5182,""en"",""de"")"),"Es gibt einen Mann in einem Fitnessstudio mit einer elliptischen Maschine.")</f>
        <v>Es gibt einen Mann in einem Fitnessstudio mit einer elliptischen Maschine.</v>
      </c>
    </row>
    <row r="5183">
      <c r="A5183" s="4" t="s">
        <v>6510</v>
      </c>
      <c r="B5183" s="4" t="s">
        <v>6512</v>
      </c>
      <c r="C5183" s="5" t="str">
        <f>IFERROR(__xludf.DUMMYFUNCTION("GOOGLETRANSLATE(B5183,""en"",""de"")"),"Er trägt eine schwarze Trackhose, ein schwarzes Hemd und eine Mütze.")</f>
        <v>Er trägt eine schwarze Trackhose, ein schwarzes Hemd und eine Mütze.</v>
      </c>
    </row>
    <row r="5184">
      <c r="A5184" s="4" t="s">
        <v>6510</v>
      </c>
      <c r="B5184" s="4" t="s">
        <v>6513</v>
      </c>
      <c r="C5184" s="5" t="str">
        <f>IFERROR(__xludf.DUMMYFUNCTION("GOOGLETRANSLATE(B5184,""en"",""de"")"),"Er zeigt, wie man die Elliptik korrekt verwendet, um eine konsistente Geschwindigkeit aufrechtzuerhalten.")</f>
        <v>Er zeigt, wie man die Elliptik korrekt verwendet, um eine konsistente Geschwindigkeit aufrechtzuerhalten.</v>
      </c>
    </row>
    <row r="5185">
      <c r="A5185" s="4" t="s">
        <v>6514</v>
      </c>
      <c r="B5185" s="4" t="s">
        <v>6515</v>
      </c>
      <c r="C5185" s="5" t="str">
        <f>IFERROR(__xludf.DUMMYFUNCTION("GOOGLETRANSLATE(B5185,""en"",""de"")"),"Ein Löffel dreht sich um verschiedene Lebensmittel und Flüssigkeiten und führt zu handgeschnittenem Gemüse auf einem Schneidebrett.")</f>
        <v>Ein Löffel dreht sich um verschiedene Lebensmittel und Flüssigkeiten und führt zu handgeschnittenem Gemüse auf einem Schneidebrett.</v>
      </c>
    </row>
    <row r="5186">
      <c r="A5186" s="4" t="s">
        <v>6514</v>
      </c>
      <c r="B5186" s="4" t="s">
        <v>6516</v>
      </c>
      <c r="C5186" s="5" t="str">
        <f>IFERROR(__xludf.DUMMYFUNCTION("GOOGLETRANSLATE(B5186,""en"",""de"")"),"Ein Baby wird von hinten gesehen und die Kamera zoomt auf verschiedenen Websites und Lebensmitteln.")</f>
        <v>Ein Baby wird von hinten gesehen und die Kamera zoomt auf verschiedenen Websites und Lebensmitteln.</v>
      </c>
    </row>
    <row r="5187">
      <c r="A5187" s="4" t="s">
        <v>6514</v>
      </c>
      <c r="B5187" s="4" t="s">
        <v>6517</v>
      </c>
      <c r="C5187" s="5" t="str">
        <f>IFERROR(__xludf.DUMMYFUNCTION("GOOGLETRANSLATE(B5187,""en"",""de"")"),"Pasta sitzt in einem Topf und die Person benutzt einen Löffel, um ihn herumzudrehen.")</f>
        <v>Pasta sitzt in einem Topf und die Person benutzt einen Löffel, um ihn herumzudrehen.</v>
      </c>
    </row>
    <row r="5188">
      <c r="A5188" s="4" t="s">
        <v>6514</v>
      </c>
      <c r="B5188" s="4" t="s">
        <v>6518</v>
      </c>
      <c r="C5188" s="5" t="str">
        <f>IFERROR(__xludf.DUMMYFUNCTION("GOOGLETRANSLATE(B5188,""en"",""de"")"),"Sie gießen Zutaten in einen Topf, um mehr Gemüse hinzuzufügen, und enden mit allen Zutaten, die auf einem Teller zusammengestellt werden, um vorhanden zu sein.")</f>
        <v>Sie gießen Zutaten in einen Topf, um mehr Gemüse hinzuzufügen, und enden mit allen Zutaten, die auf einem Teller zusammengestellt werden, um vorhanden zu sein.</v>
      </c>
    </row>
    <row r="5189">
      <c r="A5189" s="4" t="s">
        <v>6519</v>
      </c>
      <c r="B5189" s="4" t="s">
        <v>6520</v>
      </c>
      <c r="C5189" s="5" t="str">
        <f>IFERROR(__xludf.DUMMYFUNCTION("GOOGLETRANSLATE(B5189,""en"",""de"")"),"Eine Nahaufnahme eines Mannes hält ein Akkordeon und sitzt vor einer Kamera.")</f>
        <v>Eine Nahaufnahme eines Mannes hält ein Akkordeon und sitzt vor einer Kamera.</v>
      </c>
    </row>
    <row r="5190">
      <c r="A5190" s="4" t="s">
        <v>6519</v>
      </c>
      <c r="B5190" s="4" t="s">
        <v>6521</v>
      </c>
      <c r="C5190" s="5" t="str">
        <f>IFERROR(__xludf.DUMMYFUNCTION("GOOGLETRANSLATE(B5190,""en"",""de"")"),"Der Mann beginnt das Instrument zu spielen, während er zur Kamera schaut.")</f>
        <v>Der Mann beginnt das Instrument zu spielen, während er zur Kamera schaut.</v>
      </c>
    </row>
    <row r="5191">
      <c r="A5191" s="4" t="s">
        <v>6519</v>
      </c>
      <c r="B5191" s="4" t="s">
        <v>6522</v>
      </c>
      <c r="C5191" s="5" t="str">
        <f>IFERROR(__xludf.DUMMYFUNCTION("GOOGLETRANSLATE(B5191,""en"",""de"")"),"Er macht eine Pause, um einen Moment zu sprechen und dann weiter zu spielen.")</f>
        <v>Er macht eine Pause, um einen Moment zu sprechen und dann weiter zu spielen.</v>
      </c>
    </row>
    <row r="5192">
      <c r="A5192" s="4" t="s">
        <v>6523</v>
      </c>
      <c r="B5192" s="4" t="s">
        <v>6524</v>
      </c>
      <c r="C5192" s="5" t="str">
        <f>IFERROR(__xludf.DUMMYFUNCTION("GOOGLETRANSLATE(B5192,""en"",""de"")"),"Ein Mann, der ein gelbes Hemd trägt und ein Mann trägt einen schwarzen Hemd -Schlägerball.")</f>
        <v>Ein Mann, der ein gelbes Hemd trägt und ein Mann trägt einen schwarzen Hemd -Schlägerball.</v>
      </c>
    </row>
    <row r="5193">
      <c r="A5193" s="4" t="s">
        <v>6523</v>
      </c>
      <c r="B5193" s="4" t="s">
        <v>6525</v>
      </c>
      <c r="C5193" s="5" t="str">
        <f>IFERROR(__xludf.DUMMYFUNCTION("GOOGLETRANSLATE(B5193,""en"",""de"")"),"Der Mann in Schwarz serviert den Ball.")</f>
        <v>Der Mann in Schwarz serviert den Ball.</v>
      </c>
    </row>
    <row r="5194">
      <c r="A5194" s="4" t="s">
        <v>6523</v>
      </c>
      <c r="B5194" s="4" t="s">
        <v>6526</v>
      </c>
      <c r="C5194" s="5" t="str">
        <f>IFERROR(__xludf.DUMMYFUNCTION("GOOGLETRANSLATE(B5194,""en"",""de"")"),"Der Mann in Gelb serviert den Ball.")</f>
        <v>Der Mann in Gelb serviert den Ball.</v>
      </c>
    </row>
    <row r="5195">
      <c r="A5195" s="4" t="s">
        <v>6523</v>
      </c>
      <c r="B5195" s="4" t="s">
        <v>6527</v>
      </c>
      <c r="C5195" s="5" t="str">
        <f>IFERROR(__xludf.DUMMYFUNCTION("GOOGLETRANSLATE(B5195,""en"",""de"")"),"Der Mann in Gelb serviert den Ball wieder.")</f>
        <v>Der Mann in Gelb serviert den Ball wieder.</v>
      </c>
    </row>
    <row r="5196">
      <c r="A5196" s="4" t="s">
        <v>6523</v>
      </c>
      <c r="B5196" s="4" t="s">
        <v>6528</v>
      </c>
      <c r="C5196" s="5" t="str">
        <f>IFERROR(__xludf.DUMMYFUNCTION("GOOGLETRANSLATE(B5196,""en"",""de"")"),"Der Mann in Gelb spielt allein, während der Mann in Schwarz vorbeikommt.")</f>
        <v>Der Mann in Gelb spielt allein, während der Mann in Schwarz vorbeikommt.</v>
      </c>
    </row>
    <row r="5197">
      <c r="A5197" s="4" t="s">
        <v>6523</v>
      </c>
      <c r="B5197" s="4" t="s">
        <v>6529</v>
      </c>
      <c r="C5197" s="5" t="str">
        <f>IFERROR(__xludf.DUMMYFUNCTION("GOOGLETRANSLATE(B5197,""en"",""de"")"),"Eine Hand bedeckt das Kameraobjektiv.")</f>
        <v>Eine Hand bedeckt das Kameraobjektiv.</v>
      </c>
    </row>
    <row r="5198">
      <c r="A5198" s="4" t="s">
        <v>6530</v>
      </c>
      <c r="B5198" s="4" t="s">
        <v>6531</v>
      </c>
      <c r="C5198" s="5" t="str">
        <f>IFERROR(__xludf.DUMMYFUNCTION("GOOGLETRANSLATE(B5198,""en"",""de"")"),"Ein Mann steht auf einer Felsformation.")</f>
        <v>Ein Mann steht auf einer Felsformation.</v>
      </c>
    </row>
    <row r="5199">
      <c r="A5199" s="4" t="s">
        <v>6530</v>
      </c>
      <c r="B5199" s="4" t="s">
        <v>6532</v>
      </c>
      <c r="C5199" s="5" t="str">
        <f>IFERROR(__xludf.DUMMYFUNCTION("GOOGLETRANSLATE(B5199,""en"",""de"")"),"Mehrere Szenen des Kletterns von Individuen werden aus verschiedenen Winkeln und Einstellungen gezeigt, die mit kurzen Nahaufnahmen der Kletterer durchsetzt sind.")</f>
        <v>Mehrere Szenen des Kletterns von Individuen werden aus verschiedenen Winkeln und Einstellungen gezeigt, die mit kurzen Nahaufnahmen der Kletterer durchsetzt sind.</v>
      </c>
    </row>
    <row r="5200">
      <c r="A5200" s="4" t="s">
        <v>6530</v>
      </c>
      <c r="B5200" s="4" t="s">
        <v>6533</v>
      </c>
      <c r="C5200" s="5" t="str">
        <f>IFERROR(__xludf.DUMMYFUNCTION("GOOGLETRANSLATE(B5200,""en"",""de"")"),"Auf einem schwarzen Bildschirm werden mehrere Credits angezeigt.")</f>
        <v>Auf einem schwarzen Bildschirm werden mehrere Credits angezeigt.</v>
      </c>
    </row>
    <row r="5201">
      <c r="A5201" s="4" t="s">
        <v>6534</v>
      </c>
      <c r="B5201" s="4" t="s">
        <v>6535</v>
      </c>
      <c r="C5201" s="5" t="str">
        <f>IFERROR(__xludf.DUMMYFUNCTION("GOOGLETRANSLATE(B5201,""en"",""de"")"),"Wasser eilt zwischen Felsen in einem Fluss.")</f>
        <v>Wasser eilt zwischen Felsen in einem Fluss.</v>
      </c>
    </row>
    <row r="5202">
      <c r="A5202" s="4" t="s">
        <v>6534</v>
      </c>
      <c r="B5202" s="4" t="s">
        <v>6536</v>
      </c>
      <c r="C5202" s="5" t="str">
        <f>IFERROR(__xludf.DUMMYFUNCTION("GOOGLETRANSLATE(B5202,""en"",""de"")"),"Sparren erscheinen und paddeln durch die rauschenden Strömungen.")</f>
        <v>Sparren erscheinen und paddeln durch die rauschenden Strömungen.</v>
      </c>
    </row>
    <row r="5203">
      <c r="A5203" s="4" t="s">
        <v>6534</v>
      </c>
      <c r="B5203" s="4" t="s">
        <v>6537</v>
      </c>
      <c r="C5203" s="5" t="str">
        <f>IFERROR(__xludf.DUMMYFUNCTION("GOOGLETRANSLATE(B5203,""en"",""de"")"),"Der Sparren fährt fort, als er durch den Fluss navigiert.")</f>
        <v>Der Sparren fährt fort, als er durch den Fluss navigiert.</v>
      </c>
    </row>
    <row r="5204">
      <c r="A5204" s="4" t="s">
        <v>6538</v>
      </c>
      <c r="B5204" s="4" t="s">
        <v>6539</v>
      </c>
      <c r="C5204" s="5" t="str">
        <f>IFERROR(__xludf.DUMMYFUNCTION("GOOGLETRANSLATE(B5204,""en"",""de"")"),"Ein blaues Logo erscheint über den Bildschirm mit weißen Wörtern.")</f>
        <v>Ein blaues Logo erscheint über den Bildschirm mit weißen Wörtern.</v>
      </c>
    </row>
    <row r="5205">
      <c r="A5205" s="4" t="s">
        <v>6538</v>
      </c>
      <c r="B5205" s="4" t="s">
        <v>6540</v>
      </c>
      <c r="C5205" s="5" t="str">
        <f>IFERROR(__xludf.DUMMYFUNCTION("GOOGLETRANSLATE(B5205,""en"",""de"")"),"Ein junger männlicher Turner wird dann in einem Raum vor einem Balancestrahl gezeigt.")</f>
        <v>Ein junger männlicher Turner wird dann in einem Raum vor einem Balancestrahl gezeigt.</v>
      </c>
    </row>
    <row r="5206">
      <c r="A5206" s="4" t="s">
        <v>6538</v>
      </c>
      <c r="B5206" s="4" t="s">
        <v>6541</v>
      </c>
      <c r="C5206" s="5" t="str">
        <f>IFERROR(__xludf.DUMMYFUNCTION("GOOGLETRANSLATE(B5206,""en"",""de"")"),"Der Turner beginnt dann mit seinen Händen, um die Bewegungen zu beschreiben, die er gerade ausführen wird.")</f>
        <v>Der Turner beginnt dann mit seinen Händen, um die Bewegungen zu beschreiben, die er gerade ausführen wird.</v>
      </c>
    </row>
    <row r="5207">
      <c r="A5207" s="4" t="s">
        <v>6538</v>
      </c>
      <c r="B5207" s="4" t="s">
        <v>6542</v>
      </c>
      <c r="C5207" s="5" t="str">
        <f>IFERROR(__xludf.DUMMYFUNCTION("GOOGLETRANSLATE(B5207,""en"",""de"")"),"Danach packt der Mann die beiden Bars und zieht sich hoch und hält seinen Körper hoch, bevor er in einen Handstand geht. Er kommt runter und macht einen anderen.")</f>
        <v>Danach packt der Mann die beiden Bars und zieht sich hoch und hält seinen Körper hoch, bevor er in einen Handstand geht. Er kommt runter und macht einen anderen.</v>
      </c>
    </row>
    <row r="5208">
      <c r="A5208" s="4" t="s">
        <v>6538</v>
      </c>
      <c r="B5208" s="4" t="s">
        <v>6543</v>
      </c>
      <c r="C5208" s="5" t="str">
        <f>IFERROR(__xludf.DUMMYFUNCTION("GOOGLETRANSLATE(B5208,""en"",""de"")"),"Der Turner macht mehrere weitere Tricks und macht dann einen Abschnitt der Stangen.")</f>
        <v>Der Turner macht mehrere weitere Tricks und macht dann einen Abschnitt der Stangen.</v>
      </c>
    </row>
    <row r="5209">
      <c r="A5209" s="4" t="s">
        <v>6544</v>
      </c>
      <c r="B5209" s="4" t="s">
        <v>6545</v>
      </c>
      <c r="C5209" s="5" t="str">
        <f>IFERROR(__xludf.DUMMYFUNCTION("GOOGLETRANSLATE(B5209,""en"",""de"")"),"Eine Frau in einem blauen Hemd und einer schwarzen Schürze beginnt hinter dem Tisch zu reden.")</f>
        <v>Eine Frau in einem blauen Hemd und einer schwarzen Schürze beginnt hinter dem Tisch zu reden.</v>
      </c>
    </row>
    <row r="5210">
      <c r="A5210" s="4" t="s">
        <v>6544</v>
      </c>
      <c r="B5210" s="4" t="s">
        <v>6546</v>
      </c>
      <c r="C5210" s="5" t="str">
        <f>IFERROR(__xludf.DUMMYFUNCTION("GOOGLETRANSLATE(B5210,""en"",""de"")"),"Auf dem Tisch hat sie fünf verschiedene Arten von Farben, Pinsel und anderen Vorräten, die zur Erfüllung der Aufgabe benötigt werden.")</f>
        <v>Auf dem Tisch hat sie fünf verschiedene Arten von Farben, Pinsel und anderen Vorräten, die zur Erfüllung der Aufgabe benötigt werden.</v>
      </c>
    </row>
    <row r="5211">
      <c r="A5211" s="4" t="s">
        <v>6544</v>
      </c>
      <c r="B5211" s="4" t="s">
        <v>6547</v>
      </c>
      <c r="C5211" s="5" t="str">
        <f>IFERROR(__xludf.DUMMYFUNCTION("GOOGLETRANSLATE(B5211,""en"",""de"")"),"Dann beginnt sie zu reden, als sie sich neben ihr auf einen Holzständer stützt.")</f>
        <v>Dann beginnt sie zu reden, als sie sich neben ihr auf einen Holzständer stützt.</v>
      </c>
    </row>
    <row r="5212">
      <c r="A5212" s="4" t="s">
        <v>6544</v>
      </c>
      <c r="B5212" s="4" t="s">
        <v>6548</v>
      </c>
      <c r="C5212" s="5" t="str">
        <f>IFERROR(__xludf.DUMMYFUNCTION("GOOGLETRANSLATE(B5212,""en"",""de"")"),"Die Dame beginnt zunächst einen Schraubendreher und entzieht den Knopf aus der Schublade und wischt ihn mit einem nassen Tuch ab.")</f>
        <v>Die Dame beginnt zunächst einen Schraubendreher und entzieht den Knopf aus der Schublade und wischt ihn mit einem nassen Tuch ab.</v>
      </c>
    </row>
    <row r="5213">
      <c r="A5213" s="4" t="s">
        <v>6544</v>
      </c>
      <c r="B5213" s="4" t="s">
        <v>6549</v>
      </c>
      <c r="C5213" s="5" t="str">
        <f>IFERROR(__xludf.DUMMYFUNCTION("GOOGLETRANSLATE(B5213,""en"",""de"")"),"Als nächstes kommt die braune Farbe, als sie anfängt, verschiedene Striche darauf zu setzen, um sie zu beenden.")</f>
        <v>Als nächstes kommt die braune Farbe, als sie anfängt, verschiedene Striche darauf zu setzen, um sie zu beenden.</v>
      </c>
    </row>
    <row r="5214">
      <c r="A5214" s="4" t="s">
        <v>6544</v>
      </c>
      <c r="B5214" s="4" t="s">
        <v>6550</v>
      </c>
      <c r="C5214" s="5" t="str">
        <f>IFERROR(__xludf.DUMMYFUNCTION("GOOGLETRANSLATE(B5214,""en"",""de"")"),"Der Stand ist fertig, geht aber dann zurück und startet ein Finish hinzu.")</f>
        <v>Der Stand ist fertig, geht aber dann zurück und startet ein Finish hinzu.</v>
      </c>
    </row>
    <row r="5215">
      <c r="A5215" s="4" t="s">
        <v>6551</v>
      </c>
      <c r="B5215" s="4" t="s">
        <v>6552</v>
      </c>
      <c r="C5215" s="5" t="str">
        <f>IFERROR(__xludf.DUMMYFUNCTION("GOOGLETRANSLATE(B5215,""en"",""de"")"),"Wir sehen Baumstämme in einem Stapel im Wald.")</f>
        <v>Wir sehen Baumstämme in einem Stapel im Wald.</v>
      </c>
    </row>
    <row r="5216">
      <c r="A5216" s="4" t="s">
        <v>6551</v>
      </c>
      <c r="B5216" s="4" t="s">
        <v>6553</v>
      </c>
      <c r="C5216" s="5" t="str">
        <f>IFERROR(__xludf.DUMMYFUNCTION("GOOGLETRANSLATE(B5216,""en"",""de"")"),"Ein Mann in einem Cowboy -Hut geht auf und greift eine Axt.")</f>
        <v>Ein Mann in einem Cowboy -Hut geht auf und greift eine Axt.</v>
      </c>
    </row>
    <row r="5217">
      <c r="A5217" s="4" t="s">
        <v>6551</v>
      </c>
      <c r="B5217" s="4" t="s">
        <v>6554</v>
      </c>
      <c r="C5217" s="5" t="str">
        <f>IFERROR(__xludf.DUMMYFUNCTION("GOOGLETRANSLATE(B5217,""en"",""de"")"),"Der Mann schlägt dann mit der Axt auf die Protokolle und spaltet sie in zwei Treffern.")</f>
        <v>Der Mann schlägt dann mit der Axt auf die Protokolle und spaltet sie in zwei Treffern.</v>
      </c>
    </row>
    <row r="5218">
      <c r="A5218" s="4" t="s">
        <v>6551</v>
      </c>
      <c r="B5218" s="4" t="s">
        <v>6555</v>
      </c>
      <c r="C5218" s="5" t="str">
        <f>IFERROR(__xludf.DUMMYFUNCTION("GOOGLETRANSLATE(B5218,""en"",""de"")"),"Der Mann lässt die Axt fallen und schaltet die Kamera aus.")</f>
        <v>Der Mann lässt die Axt fallen und schaltet die Kamera aus.</v>
      </c>
    </row>
    <row r="5219">
      <c r="A5219" s="4" t="s">
        <v>6556</v>
      </c>
      <c r="B5219" s="4" t="s">
        <v>6557</v>
      </c>
      <c r="C5219" s="5" t="str">
        <f>IFERROR(__xludf.DUMMYFUNCTION("GOOGLETRANSLATE(B5219,""en"",""de"")"),"Eine Person geht um einen Tennisplatz herum.")</f>
        <v>Eine Person geht um einen Tennisplatz herum.</v>
      </c>
    </row>
    <row r="5220">
      <c r="A5220" s="4" t="s">
        <v>6556</v>
      </c>
      <c r="B5220" s="4" t="s">
        <v>6558</v>
      </c>
      <c r="C5220" s="5" t="str">
        <f>IFERROR(__xludf.DUMMYFUNCTION("GOOGLETRANSLATE(B5220,""en"",""de"")"),"Ein anderer Mann scheint um einen Tennisschläger herum zu schwingen.")</f>
        <v>Ein anderer Mann scheint um einen Tennisschläger herum zu schwingen.</v>
      </c>
    </row>
    <row r="5221">
      <c r="A5221" s="4" t="s">
        <v>6556</v>
      </c>
      <c r="B5221" s="4" t="s">
        <v>6559</v>
      </c>
      <c r="C5221" s="5" t="str">
        <f>IFERROR(__xludf.DUMMYFUNCTION("GOOGLETRANSLATE(B5221,""en"",""de"")"),"Er springt einen Tennisball auf den Boden, während der andere Mann in den Rahmen geht.")</f>
        <v>Er springt einen Tennisball auf den Boden, während der andere Mann in den Rahmen geht.</v>
      </c>
    </row>
    <row r="5222">
      <c r="A5222" s="4" t="s">
        <v>6556</v>
      </c>
      <c r="B5222" s="4" t="s">
        <v>6560</v>
      </c>
      <c r="C5222" s="5" t="str">
        <f>IFERROR(__xludf.DUMMYFUNCTION("GOOGLETRANSLATE(B5222,""en"",""de"")"),"Sie reden ein bisschen, während sie herumlaufen und sich auf das Spielen vorbereiten.")</f>
        <v>Sie reden ein bisschen, während sie herumlaufen und sich auf das Spielen vorbereiten.</v>
      </c>
    </row>
    <row r="5223">
      <c r="A5223" s="4" t="s">
        <v>6556</v>
      </c>
      <c r="B5223" s="4" t="s">
        <v>6561</v>
      </c>
      <c r="C5223" s="5" t="str">
        <f>IFERROR(__xludf.DUMMYFUNCTION("GOOGLETRANSLATE(B5223,""en"",""de"")"),"Der Mann rannte zurück und viertens und schlug den Ball von der Wand zueinander.")</f>
        <v>Der Mann rannte zurück und viertens und schlug den Ball von der Wand zueinander.</v>
      </c>
    </row>
    <row r="5224">
      <c r="A5224" s="4" t="s">
        <v>6562</v>
      </c>
      <c r="B5224" s="4" t="s">
        <v>6563</v>
      </c>
      <c r="C5224" s="5" t="str">
        <f>IFERROR(__xludf.DUMMYFUNCTION("GOOGLETRANSLATE(B5224,""en"",""de"")"),"Es gibt einen Mann auf Stelzen, der springt und Stunts in einem Indoor -Fitnessstudio macht.")</f>
        <v>Es gibt einen Mann auf Stelzen, der springt und Stunts in einem Indoor -Fitnessstudio macht.</v>
      </c>
    </row>
    <row r="5225">
      <c r="A5225" s="4" t="s">
        <v>6562</v>
      </c>
      <c r="B5225" s="4" t="s">
        <v>6564</v>
      </c>
      <c r="C5225" s="5" t="str">
        <f>IFERROR(__xludf.DUMMYFUNCTION("GOOGLETRANSLATE(B5225,""en"",""de"")"),"Es gibt mehrere Zuschauer und Richter, die ihn aufführen.")</f>
        <v>Es gibt mehrere Zuschauer und Richter, die ihn aufführen.</v>
      </c>
    </row>
    <row r="5226">
      <c r="A5226" s="4" t="s">
        <v>6562</v>
      </c>
      <c r="B5226" s="4" t="s">
        <v>6565</v>
      </c>
      <c r="C5226" s="5" t="str">
        <f>IFERROR(__xludf.DUMMYFUNCTION("GOOGLETRANSLATE(B5226,""en"",""de"")"),"Nachdem der Mann seine Stunts beendet hat, steigt er aus den Stelzen und die Richter schreiben die Ergebnisse auf.")</f>
        <v>Nachdem der Mann seine Stunts beendet hat, steigt er aus den Stelzen und die Richter schreiben die Ergebnisse auf.</v>
      </c>
    </row>
    <row r="5227">
      <c r="A5227" s="4" t="s">
        <v>6566</v>
      </c>
      <c r="B5227" s="4" t="s">
        <v>6567</v>
      </c>
      <c r="C5227" s="5" t="str">
        <f>IFERROR(__xludf.DUMMYFUNCTION("GOOGLETRANSLATE(B5227,""en"",""de"")"),"Eine Band spielt Schlagzeug im Kreis um einen Lead -Schlagzeuger.")</f>
        <v>Eine Band spielt Schlagzeug im Kreis um einen Lead -Schlagzeuger.</v>
      </c>
    </row>
    <row r="5228">
      <c r="A5228" s="4" t="s">
        <v>6566</v>
      </c>
      <c r="B5228" s="4" t="s">
        <v>6568</v>
      </c>
      <c r="C5228" s="5" t="str">
        <f>IFERROR(__xludf.DUMMYFUNCTION("GOOGLETRANSLATE(B5228,""en"",""de"")"),"Die weibliche Schlagzeuger Spinner ihre Stöcke beim Spielen.")</f>
        <v>Die weibliche Schlagzeuger Spinner ihre Stöcke beim Spielen.</v>
      </c>
    </row>
    <row r="5229">
      <c r="A5229" s="4" t="s">
        <v>6566</v>
      </c>
      <c r="B5229" s="4" t="s">
        <v>6569</v>
      </c>
      <c r="C5229" s="5" t="str">
        <f>IFERROR(__xludf.DUMMYFUNCTION("GOOGLETRANSLATE(B5229,""en"",""de"")"),"Die Schlagzeuger halten ihre Stöcke nach dem Abschluss des Songs hoch.")</f>
        <v>Die Schlagzeuger halten ihre Stöcke nach dem Abschluss des Songs hoch.</v>
      </c>
    </row>
    <row r="5230">
      <c r="A5230" s="4" t="s">
        <v>6570</v>
      </c>
      <c r="B5230" s="4" t="s">
        <v>6571</v>
      </c>
      <c r="C5230" s="5" t="str">
        <f>IFERROR(__xludf.DUMMYFUNCTION("GOOGLETRANSLATE(B5230,""en"",""de"")"),"Ein paar Käfige sind vor Ort.")</f>
        <v>Ein paar Käfige sind vor Ort.</v>
      </c>
    </row>
    <row r="5231">
      <c r="A5231" s="4" t="s">
        <v>6570</v>
      </c>
      <c r="B5231" s="4" t="s">
        <v>6572</v>
      </c>
      <c r="C5231" s="5" t="str">
        <f>IFERROR(__xludf.DUMMYFUNCTION("GOOGLETRANSLATE(B5231,""en"",""de"")"),"In jedem Käfig schlafen Hunde.")</f>
        <v>In jedem Käfig schlafen Hunde.</v>
      </c>
    </row>
    <row r="5232">
      <c r="A5232" s="4" t="s">
        <v>6570</v>
      </c>
      <c r="B5232" s="4" t="s">
        <v>6573</v>
      </c>
      <c r="C5232" s="5" t="str">
        <f>IFERROR(__xludf.DUMMYFUNCTION("GOOGLETRANSLATE(B5232,""en"",""de"")"),"Ein Mann wird auf einem Feld gezeigt, das Tricks mit einem Hund und einem Haufen Frisbees ausführt.")</f>
        <v>Ein Mann wird auf einem Feld gezeigt, das Tricks mit einem Hund und einem Haufen Frisbees ausführt.</v>
      </c>
    </row>
    <row r="5233">
      <c r="A5233" s="4" t="s">
        <v>6570</v>
      </c>
      <c r="B5233" s="4" t="s">
        <v>6574</v>
      </c>
      <c r="C5233" s="5" t="str">
        <f>IFERROR(__xludf.DUMMYFUNCTION("GOOGLETRANSLATE(B5233,""en"",""de"")"),"Der Hund fängt, flieht und jagt die Frisbees.")</f>
        <v>Der Hund fängt, flieht und jagt die Frisbees.</v>
      </c>
    </row>
    <row r="5234">
      <c r="A5234" s="4" t="s">
        <v>6575</v>
      </c>
      <c r="B5234" s="4" t="s">
        <v>6576</v>
      </c>
      <c r="C5234" s="5" t="str">
        <f>IFERROR(__xludf.DUMMYFUNCTION("GOOGLETRANSLATE(B5234,""en"",""de"")"),"Es gibt ein kleines Baby, das ein lila Lätzchen trägt, der auf einem Hochstuhl sitzt, das an einem Eis am Stiel hält und saugt.")</f>
        <v>Es gibt ein kleines Baby, das ein lila Lätzchen trägt, der auf einem Hochstuhl sitzt, das an einem Eis am Stiel hält und saugt.</v>
      </c>
    </row>
    <row r="5235">
      <c r="A5235" s="4" t="s">
        <v>6575</v>
      </c>
      <c r="B5235" s="4" t="s">
        <v>6577</v>
      </c>
      <c r="C5235" s="5" t="str">
        <f>IFERROR(__xludf.DUMMYFUNCTION("GOOGLETRANSLATE(B5235,""en"",""de"")"),"Das Baby leckt das Eis am Stiel mehrmals und wirft es dann nieder.")</f>
        <v>Das Baby leckt das Eis am Stiel mehrmals und wirft es dann nieder.</v>
      </c>
    </row>
    <row r="5236">
      <c r="A5236" s="4" t="s">
        <v>6578</v>
      </c>
      <c r="B5236" s="4" t="s">
        <v>6579</v>
      </c>
      <c r="C5236" s="5" t="str">
        <f>IFERROR(__xludf.DUMMYFUNCTION("GOOGLETRANSLATE(B5236,""en"",""de"")"),"Frau, die schwarze Kleidung trägt, spielt Kürbis in einem kleinen Holzzimmer.")</f>
        <v>Frau, die schwarze Kleidung trägt, spielt Kürbis in einem kleinen Holzzimmer.</v>
      </c>
    </row>
    <row r="5237">
      <c r="A5237" s="4" t="s">
        <v>6578</v>
      </c>
      <c r="B5237" s="4" t="s">
        <v>6580</v>
      </c>
      <c r="C5237" s="5" t="str">
        <f>IFERROR(__xludf.DUMMYFUNCTION("GOOGLETRANSLATE(B5237,""en"",""de"")"),"Der Mann mit einem abgestreiften Hemd steht in einem Gerichtsraum, der Kürbis spielt.")</f>
        <v>Der Mann mit einem abgestreiften Hemd steht in einem Gerichtsraum, der Kürbis spielt.</v>
      </c>
    </row>
    <row r="5238">
      <c r="A5238" s="4" t="s">
        <v>6578</v>
      </c>
      <c r="B5238" s="4" t="s">
        <v>6581</v>
      </c>
      <c r="C5238" s="5" t="str">
        <f>IFERROR(__xludf.DUMMYFUNCTION("GOOGLETRANSLATE(B5238,""en"",""de"")"),"Ein Mann und eine Frau stehen als hölzerne Hof, der Kürbis spielt.")</f>
        <v>Ein Mann und eine Frau stehen als hölzerne Hof, der Kürbis spielt.</v>
      </c>
    </row>
    <row r="5239">
      <c r="A5239" s="4" t="s">
        <v>6582</v>
      </c>
      <c r="B5239" s="4" t="s">
        <v>6583</v>
      </c>
      <c r="C5239" s="5" t="str">
        <f>IFERROR(__xludf.DUMMYFUNCTION("GOOGLETRANSLATE(B5239,""en"",""de"")"),"Ein Windsurfer fährt mit anderen Fahrern im Hintergrund entlang abgehackter Wasser über einen Kanal.")</f>
        <v>Ein Windsurfer fährt mit anderen Fahrern im Hintergrund entlang abgehackter Wasser über einen Kanal.</v>
      </c>
    </row>
    <row r="5240">
      <c r="A5240" s="4" t="s">
        <v>6582</v>
      </c>
      <c r="B5240" s="4" t="s">
        <v>6584</v>
      </c>
      <c r="C5240" s="5" t="str">
        <f>IFERROR(__xludf.DUMMYFUNCTION("GOOGLETRANSLATE(B5240,""en"",""de"")"),"Das macht eine Richtungswende auf seinem Windsurfen und pumpt hin und her, um es zu manövrieren.")</f>
        <v>Das macht eine Richtungswende auf seinem Windsurfen und pumpt hin und her, um es zu manövrieren.</v>
      </c>
    </row>
    <row r="5241">
      <c r="A5241" s="4" t="s">
        <v>6582</v>
      </c>
      <c r="B5241" s="4" t="s">
        <v>6585</v>
      </c>
      <c r="C5241" s="5" t="str">
        <f>IFERROR(__xludf.DUMMYFUNCTION("GOOGLETRANSLATE(B5241,""en"",""de"")"),"Eine Gruppe von Windsurfern reitet zusammen ein kleines schmuddeles Boot.")</f>
        <v>Eine Gruppe von Windsurfern reitet zusammen ein kleines schmuddeles Boot.</v>
      </c>
    </row>
    <row r="5242">
      <c r="A5242" s="4" t="s">
        <v>6586</v>
      </c>
      <c r="B5242" s="4" t="s">
        <v>6587</v>
      </c>
      <c r="C5242" s="5" t="str">
        <f>IFERROR(__xludf.DUMMYFUNCTION("GOOGLETRANSLATE(B5242,""en"",""de"")"),"Eine Gruppe von Kindern schwingt zusammen mit einem Gerät.")</f>
        <v>Eine Gruppe von Kindern schwingt zusammen mit einem Gerät.</v>
      </c>
    </row>
    <row r="5243">
      <c r="A5243" s="4" t="s">
        <v>6586</v>
      </c>
      <c r="B5243" s="4" t="s">
        <v>6588</v>
      </c>
      <c r="C5243" s="5" t="str">
        <f>IFERROR(__xludf.DUMMYFUNCTION("GOOGLETRANSLATE(B5243,""en"",""de"")"),"Sie werden in Gruppen gezeigt, die auf der Plattform hin und her schwingen.")</f>
        <v>Sie werden in Gruppen gezeigt, die auf der Plattform hin und her schwingen.</v>
      </c>
    </row>
    <row r="5244">
      <c r="A5244" s="4" t="s">
        <v>6586</v>
      </c>
      <c r="B5244" s="4" t="s">
        <v>6589</v>
      </c>
      <c r="C5244" s="5" t="str">
        <f>IFERROR(__xludf.DUMMYFUNCTION("GOOGLETRANSLATE(B5244,""en"",""de"")"),"Sie befinden sich in einem Outdoor -Park.")</f>
        <v>Sie befinden sich in einem Outdoor -Park.</v>
      </c>
    </row>
    <row r="5245">
      <c r="A5245" s="4" t="s">
        <v>6590</v>
      </c>
      <c r="B5245" s="4" t="s">
        <v>6591</v>
      </c>
      <c r="C5245" s="5" t="str">
        <f>IFERROR(__xludf.DUMMYFUNCTION("GOOGLETRANSLATE(B5245,""en"",""de"")"),"Ein männlicher Athlet steht draußen auf einem Feld, der sich auf das Rennen vorbereitet.")</f>
        <v>Ein männlicher Athlet steht draußen auf einem Feld, der sich auf das Rennen vorbereitet.</v>
      </c>
    </row>
    <row r="5246">
      <c r="A5246" s="4" t="s">
        <v>6590</v>
      </c>
      <c r="B5246" s="4" t="s">
        <v>6592</v>
      </c>
      <c r="C5246" s="5" t="str">
        <f>IFERROR(__xludf.DUMMYFUNCTION("GOOGLETRANSLATE(B5246,""en"",""de"")"),"Nachdem er fertig ist, nimmt der Mann zum Laufen und macht mehrere Langstrecken in die Grube.")</f>
        <v>Nachdem er fertig ist, nimmt der Mann zum Laufen und macht mehrere Langstrecken in die Grube.</v>
      </c>
    </row>
    <row r="5247">
      <c r="A5247" s="4" t="s">
        <v>6590</v>
      </c>
      <c r="B5247" s="4" t="s">
        <v>6593</v>
      </c>
      <c r="C5247" s="5" t="str">
        <f>IFERROR(__xludf.DUMMYFUNCTION("GOOGLETRANSLATE(B5247,""en"",""de"")"),"Als er seinen letzten Sprung beendet, kommen zwei Leute in die Grube und messen die Entfernung.")</f>
        <v>Als er seinen letzten Sprung beendet, kommen zwei Leute in die Grube und messen die Entfernung.</v>
      </c>
    </row>
    <row r="5248">
      <c r="A5248" s="4" t="s">
        <v>6594</v>
      </c>
      <c r="B5248" s="4" t="s">
        <v>6595</v>
      </c>
      <c r="C5248" s="5" t="str">
        <f>IFERROR(__xludf.DUMMYFUNCTION("GOOGLETRANSLATE(B5248,""en"",""de"")"),"In der Innenstadt einer Stadt skaten auf der Hauptstraße nachts mehrere Menschen.")</f>
        <v>In der Innenstadt einer Stadt skaten auf der Hauptstraße nachts mehrere Menschen.</v>
      </c>
    </row>
    <row r="5249">
      <c r="A5249" s="4" t="s">
        <v>6594</v>
      </c>
      <c r="B5249" s="4" t="s">
        <v>6596</v>
      </c>
      <c r="C5249" s="5" t="str">
        <f>IFERROR(__xludf.DUMMYFUNCTION("GOOGLETRANSLATE(B5249,""en"",""de"")"),"Die Straße ist mit Straßenlaternen und Geschäften entlang des Bürgersteigs beleuchtet.")</f>
        <v>Die Straße ist mit Straßenlaternen und Geschäften entlang des Bürgersteigs beleuchtet.</v>
      </c>
    </row>
    <row r="5250">
      <c r="A5250" s="4" t="s">
        <v>6594</v>
      </c>
      <c r="B5250" s="4" t="s">
        <v>6597</v>
      </c>
      <c r="C5250" s="5" t="str">
        <f>IFERROR(__xludf.DUMMYFUNCTION("GOOGLETRANSLATE(B5250,""en"",""de"")"),"Die Leute fährt durch die Straße, auf der keine Autos fahren.")</f>
        <v>Die Leute fährt durch die Straße, auf der keine Autos fahren.</v>
      </c>
    </row>
    <row r="5251">
      <c r="A5251" s="4" t="s">
        <v>6598</v>
      </c>
      <c r="B5251" s="4" t="s">
        <v>6599</v>
      </c>
      <c r="C5251" s="5" t="str">
        <f>IFERROR(__xludf.DUMMYFUNCTION("GOOGLETRANSLATE(B5251,""en"",""de"")"),"Ein Mann wird näher an eine Pinata gelaufen, während eine große Gruppe von Menschen um ihn herum steht.")</f>
        <v>Ein Mann wird näher an eine Pinata gelaufen, während eine große Gruppe von Menschen um ihn herum steht.</v>
      </c>
    </row>
    <row r="5252">
      <c r="A5252" s="4" t="s">
        <v>6598</v>
      </c>
      <c r="B5252" s="4" t="s">
        <v>6600</v>
      </c>
      <c r="C5252" s="5" t="str">
        <f>IFERROR(__xludf.DUMMYFUNCTION("GOOGLETRANSLATE(B5252,""en"",""de"")"),"Der Mann vermisst die Pinata und trifft eine Person hinter sich, die wieder in Zeitlupe gezeigt wird.")</f>
        <v>Der Mann vermisst die Pinata und trifft eine Person hinter sich, die wieder in Zeitlupe gezeigt wird.</v>
      </c>
    </row>
    <row r="5253">
      <c r="A5253" s="4" t="s">
        <v>6601</v>
      </c>
      <c r="B5253" s="4" t="s">
        <v>6602</v>
      </c>
      <c r="C5253" s="5" t="str">
        <f>IFERROR(__xludf.DUMMYFUNCTION("GOOGLETRANSLATE(B5253,""en"",""de"")"),"Es werden viele verschiedene Fliesen gezeigt und es werden Holzböden gezeigt.")</f>
        <v>Es werden viele verschiedene Fliesen gezeigt und es werden Holzböden gezeigt.</v>
      </c>
    </row>
    <row r="5254">
      <c r="A5254" s="4" t="s">
        <v>6601</v>
      </c>
      <c r="B5254" s="4" t="s">
        <v>6603</v>
      </c>
      <c r="C5254" s="5" t="str">
        <f>IFERROR(__xludf.DUMMYFUNCTION("GOOGLETRANSLATE(B5254,""en"",""de"")"),"Zuerst entfernt der Mann die Fußleiste, dann bekommt er einen Bohrer und steckt Schrauben in den Boden.")</f>
        <v>Zuerst entfernt der Mann die Fußleiste, dann bekommt er einen Bohrer und steckt Schrauben in den Boden.</v>
      </c>
    </row>
    <row r="5255">
      <c r="A5255" s="4" t="s">
        <v>6601</v>
      </c>
      <c r="B5255" s="4" t="s">
        <v>6604</v>
      </c>
      <c r="C5255" s="5" t="str">
        <f>IFERROR(__xludf.DUMMYFUNCTION("GOOGLETRANSLATE(B5255,""en"",""de"")"),"Dann zieht er Linien, um Fliesen auf den Boden zu legen.")</f>
        <v>Dann zieht er Linien, um Fliesen auf den Boden zu legen.</v>
      </c>
    </row>
    <row r="5256">
      <c r="A5256" s="4" t="s">
        <v>6601</v>
      </c>
      <c r="B5256" s="4" t="s">
        <v>6605</v>
      </c>
      <c r="C5256" s="5" t="str">
        <f>IFERROR(__xludf.DUMMYFUNCTION("GOOGLETRANSLATE(B5256,""en"",""de"")"),"Ich sehe ihn dann mit einer Maschine, die Kacheln in zwei Hälften schneidet und er legt die Hälfte einer Fliese auf den Boden.")</f>
        <v>Ich sehe ihn dann mit einer Maschine, die Kacheln in zwei Hälften schneidet und er legt die Hälfte einer Fliese auf den Boden.</v>
      </c>
    </row>
    <row r="5257">
      <c r="A5257" s="4" t="s">
        <v>6601</v>
      </c>
      <c r="B5257" s="4" t="s">
        <v>6606</v>
      </c>
      <c r="C5257" s="5" t="str">
        <f>IFERROR(__xludf.DUMMYFUNCTION("GOOGLETRANSLATE(B5257,""en"",""de"")"),"Dann verschmiert er Zement auf den Boden und liegt die Fliesen darüber.")</f>
        <v>Dann verschmiert er Zement auf den Boden und liegt die Fliesen darüber.</v>
      </c>
    </row>
    <row r="5258">
      <c r="A5258" s="4" t="s">
        <v>6601</v>
      </c>
      <c r="B5258" s="4" t="s">
        <v>6607</v>
      </c>
      <c r="C5258" s="5" t="str">
        <f>IFERROR(__xludf.DUMMYFUNCTION("GOOGLETRANSLATE(B5258,""en"",""de"")"),"Er hämmert die Fliesen ein wenig, um sie flach zu lügen.")</f>
        <v>Er hämmert die Fliesen ein wenig, um sie flach zu lügen.</v>
      </c>
    </row>
    <row r="5259">
      <c r="A5259" s="4" t="s">
        <v>6601</v>
      </c>
      <c r="B5259" s="4" t="s">
        <v>6608</v>
      </c>
      <c r="C5259" s="5" t="str">
        <f>IFERROR(__xludf.DUMMYFUNCTION("GOOGLETRANSLATE(B5259,""en"",""de"")"),"Dann ist der Boden jetzt fertig und er wischt sich die Fliesen ab und macht sie glänzend.")</f>
        <v>Dann ist der Boden jetzt fertig und er wischt sich die Fliesen ab und macht sie glänzend.</v>
      </c>
    </row>
    <row r="5260">
      <c r="A5260" s="4" t="s">
        <v>6609</v>
      </c>
      <c r="B5260" s="4" t="s">
        <v>6610</v>
      </c>
      <c r="C5260" s="5" t="str">
        <f>IFERROR(__xludf.DUMMYFUNCTION("GOOGLETRANSLATE(B5260,""en"",""de"")"),"Ein Baby steht auf dem Teppich.")</f>
        <v>Ein Baby steht auf dem Teppich.</v>
      </c>
    </row>
    <row r="5261">
      <c r="A5261" s="4" t="s">
        <v>6609</v>
      </c>
      <c r="B5261" s="4" t="s">
        <v>6611</v>
      </c>
      <c r="C5261" s="5" t="str">
        <f>IFERROR(__xludf.DUMMYFUNCTION("GOOGLETRANSLATE(B5261,""en"",""de"")"),"Eine Person putzt die Zähne des Kindes mit einer blauen Zahnbürste.")</f>
        <v>Eine Person putzt die Zähne des Kindes mit einer blauen Zahnbürste.</v>
      </c>
    </row>
    <row r="5262">
      <c r="A5262" s="4" t="s">
        <v>6609</v>
      </c>
      <c r="B5262" s="4" t="s">
        <v>6612</v>
      </c>
      <c r="C5262" s="5" t="str">
        <f>IFERROR(__xludf.DUMMYFUNCTION("GOOGLETRANSLATE(B5262,""en"",""de"")"),"Das Kind greift nach der Kamera.")</f>
        <v>Das Kind greift nach der Kamera.</v>
      </c>
    </row>
    <row r="5263">
      <c r="A5263" s="4" t="s">
        <v>6613</v>
      </c>
      <c r="B5263" s="4" t="s">
        <v>6614</v>
      </c>
      <c r="C5263" s="5" t="str">
        <f>IFERROR(__xludf.DUMMYFUNCTION("GOOGLETRANSLATE(B5263,""en"",""de"")"),"Wir sehen ein Mädchen, das mit Schlagstöcken auftritt.")</f>
        <v>Wir sehen ein Mädchen, das mit Schlagstöcken auftritt.</v>
      </c>
    </row>
    <row r="5264">
      <c r="A5264" s="4" t="s">
        <v>6613</v>
      </c>
      <c r="B5264" s="4" t="s">
        <v>6615</v>
      </c>
      <c r="C5264" s="5" t="str">
        <f>IFERROR(__xludf.DUMMYFUNCTION("GOOGLETRANSLATE(B5264,""en"",""de"")"),"Das Mädchen wirft ihr Bein in die Luft und dreht sich.")</f>
        <v>Das Mädchen wirft ihr Bein in die Luft und dreht sich.</v>
      </c>
    </row>
    <row r="5265">
      <c r="A5265" s="4" t="s">
        <v>6613</v>
      </c>
      <c r="B5265" s="4" t="s">
        <v>6616</v>
      </c>
      <c r="C5265" s="5" t="str">
        <f>IFERROR(__xludf.DUMMYFUNCTION("GOOGLETRANSLATE(B5265,""en"",""de"")"),"Das Mädchen macht ein Karrenrad.")</f>
        <v>Das Mädchen macht ein Karrenrad.</v>
      </c>
    </row>
    <row r="5266">
      <c r="A5266" s="4" t="s">
        <v>6613</v>
      </c>
      <c r="B5266" s="4" t="s">
        <v>6617</v>
      </c>
      <c r="C5266" s="5" t="str">
        <f>IFERROR(__xludf.DUMMYFUNCTION("GOOGLETRANSLATE(B5266,""en"",""de"")"),"Das Mädchen kniet sich nieder und nimmt einen Staffelstab auf.")</f>
        <v>Das Mädchen kniet sich nieder und nimmt einen Staffelstab auf.</v>
      </c>
    </row>
    <row r="5267">
      <c r="A5267" s="4" t="s">
        <v>6613</v>
      </c>
      <c r="B5267" s="4" t="s">
        <v>6618</v>
      </c>
      <c r="C5267" s="5" t="str">
        <f>IFERROR(__xludf.DUMMYFUNCTION("GOOGLETRANSLATE(B5267,""en"",""de"")"),"Die Mädchen enden und wirft die Arme in die Luft.")</f>
        <v>Die Mädchen enden und wirft die Arme in die Luft.</v>
      </c>
    </row>
    <row r="5268">
      <c r="A5268" s="4" t="s">
        <v>6613</v>
      </c>
      <c r="B5268" s="4" t="s">
        <v>6619</v>
      </c>
      <c r="C5268" s="5" t="str">
        <f>IFERROR(__xludf.DUMMYFUNCTION("GOOGLETRANSLATE(B5268,""en"",""de"")"),"Das Mädchen geht hinüber und umarmt ihren Vater.")</f>
        <v>Das Mädchen geht hinüber und umarmt ihren Vater.</v>
      </c>
    </row>
    <row r="5269">
      <c r="A5269" s="4" t="s">
        <v>6620</v>
      </c>
      <c r="B5269" s="4" t="s">
        <v>6621</v>
      </c>
      <c r="C5269" s="5" t="str">
        <f>IFERROR(__xludf.DUMMYFUNCTION("GOOGLETRANSLATE(B5269,""en"",""de"")"),"Ein Mann beobachtet ein Spiel, das einen Eiskegel isst.")</f>
        <v>Ein Mann beobachtet ein Spiel, das einen Eiskegel isst.</v>
      </c>
    </row>
    <row r="5270">
      <c r="A5270" s="4" t="s">
        <v>6620</v>
      </c>
      <c r="B5270" s="4" t="s">
        <v>6622</v>
      </c>
      <c r="C5270" s="5" t="str">
        <f>IFERROR(__xludf.DUMMYFUNCTION("GOOGLETRANSLATE(B5270,""en"",""de"")"),"Die Leute sitzen hinter einem Schreibtisch und lachen.")</f>
        <v>Die Leute sitzen hinter einem Schreibtisch und lachen.</v>
      </c>
    </row>
    <row r="5271">
      <c r="A5271" s="4" t="s">
        <v>6623</v>
      </c>
      <c r="B5271" s="4" t="s">
        <v>6624</v>
      </c>
      <c r="C5271" s="5" t="str">
        <f>IFERROR(__xludf.DUMMYFUNCTION("GOOGLETRANSLATE(B5271,""en"",""de"")"),"Ein Mann bereitet sich darauf vor, zu rennen und zu springen.")</f>
        <v>Ein Mann bereitet sich darauf vor, zu rennen und zu springen.</v>
      </c>
    </row>
    <row r="5272">
      <c r="A5272" s="4" t="s">
        <v>6623</v>
      </c>
      <c r="B5272" s="4" t="s">
        <v>6625</v>
      </c>
      <c r="C5272" s="5" t="str">
        <f>IFERROR(__xludf.DUMMYFUNCTION("GOOGLETRANSLATE(B5272,""en"",""de"")"),"Er rennt sehr schnell die Strecke hinunter.")</f>
        <v>Er rennt sehr schnell die Strecke hinunter.</v>
      </c>
    </row>
    <row r="5273">
      <c r="A5273" s="4" t="s">
        <v>6623</v>
      </c>
      <c r="B5273" s="4" t="s">
        <v>6626</v>
      </c>
      <c r="C5273" s="5" t="str">
        <f>IFERROR(__xludf.DUMMYFUNCTION("GOOGLETRANSLATE(B5273,""en"",""de"")"),"Er macht einen fliegenden Sprung über die Hochstange auf eine Matte.")</f>
        <v>Er macht einen fliegenden Sprung über die Hochstange auf eine Matte.</v>
      </c>
    </row>
    <row r="5274">
      <c r="A5274" s="4" t="s">
        <v>6627</v>
      </c>
      <c r="B5274" s="4" t="s">
        <v>6628</v>
      </c>
      <c r="C5274" s="5" t="str">
        <f>IFERROR(__xludf.DUMMYFUNCTION("GOOGLETRANSLATE(B5274,""en"",""de"")"),"Ein Mädchen sitzt auf einem Stuhl.")</f>
        <v>Ein Mädchen sitzt auf einem Stuhl.</v>
      </c>
    </row>
    <row r="5275">
      <c r="A5275" s="4" t="s">
        <v>6627</v>
      </c>
      <c r="B5275" s="4" t="s">
        <v>6629</v>
      </c>
      <c r="C5275" s="5" t="str">
        <f>IFERROR(__xludf.DUMMYFUNCTION("GOOGLETRANSLATE(B5275,""en"",""de"")"),"Eine andere Person steht hinter ihr.")</f>
        <v>Eine andere Person steht hinter ihr.</v>
      </c>
    </row>
    <row r="5276">
      <c r="A5276" s="4" t="s">
        <v>6627</v>
      </c>
      <c r="B5276" s="4" t="s">
        <v>6630</v>
      </c>
      <c r="C5276" s="5" t="str">
        <f>IFERROR(__xludf.DUMMYFUNCTION("GOOGLETRANSLATE(B5276,""en"",""de"")"),"Die Frau hinter ihr beginnt ihre Haare zu flechten.")</f>
        <v>Die Frau hinter ihr beginnt ihre Haare zu flechten.</v>
      </c>
    </row>
    <row r="5277">
      <c r="A5277" s="4" t="s">
        <v>6631</v>
      </c>
      <c r="B5277" s="4" t="s">
        <v>6632</v>
      </c>
      <c r="C5277" s="5" t="str">
        <f>IFERROR(__xludf.DUMMYFUNCTION("GOOGLETRANSLATE(B5277,""en"",""de"")"),"Zwei Männer werden vor einer Wand knien und sitzen, wobei eine zur Kamera spricht und anfängt, Metall auf die Seite zu legen.")</f>
        <v>Zwei Männer werden vor einer Wand knien und sitzen, wobei eine zur Kamera spricht und anfängt, Metall auf die Seite zu legen.</v>
      </c>
    </row>
    <row r="5278">
      <c r="A5278" s="4" t="s">
        <v>6631</v>
      </c>
      <c r="B5278" s="4" t="s">
        <v>6633</v>
      </c>
      <c r="C5278" s="5" t="str">
        <f>IFERROR(__xludf.DUMMYFUNCTION("GOOGLETRANSLATE(B5278,""en"",""de"")"),"Die beiden säumen es und bohren das Metall an Ort und Stelle, während sie weiterhin mehr bohren, während der Mann mit der Kamera spricht und am Ende weitere Aufnahmen seiner Crew zeigt.")</f>
        <v>Die beiden säumen es und bohren das Metall an Ort und Stelle, während sie weiterhin mehr bohren, während der Mann mit der Kamera spricht und am Ende weitere Aufnahmen seiner Crew zeigt.</v>
      </c>
    </row>
    <row r="5279">
      <c r="A5279" s="4" t="s">
        <v>6634</v>
      </c>
      <c r="B5279" s="4" t="s">
        <v>6635</v>
      </c>
      <c r="C5279" s="5" t="str">
        <f>IFERROR(__xludf.DUMMYFUNCTION("GOOGLETRANSLATE(B5279,""en"",""de"")"),"Eine Frau backt Kekse auf einer Silikonmatte.")</f>
        <v>Eine Frau backt Kekse auf einer Silikonmatte.</v>
      </c>
    </row>
    <row r="5280">
      <c r="A5280" s="4" t="s">
        <v>6634</v>
      </c>
      <c r="B5280" s="4" t="s">
        <v>6636</v>
      </c>
      <c r="C5280" s="5" t="str">
        <f>IFERROR(__xludf.DUMMYFUNCTION("GOOGLETRANSLATE(B5280,""en"",""de"")"),"Die Zutaten werden zubereitet und Kekse geschnitten.")</f>
        <v>Die Zutaten werden zubereitet und Kekse geschnitten.</v>
      </c>
    </row>
    <row r="5281">
      <c r="A5281" s="4" t="s">
        <v>6637</v>
      </c>
      <c r="B5281" s="4" t="s">
        <v>6638</v>
      </c>
      <c r="C5281" s="5" t="str">
        <f>IFERROR(__xludf.DUMMYFUNCTION("GOOGLETRANSLATE(B5281,""en"",""de"")"),"Es wird ein Unterwasserkorallenriff gezeigt.")</f>
        <v>Es wird ein Unterwasserkorallenriff gezeigt.</v>
      </c>
    </row>
    <row r="5282">
      <c r="A5282" s="4" t="s">
        <v>6637</v>
      </c>
      <c r="B5282" s="4" t="s">
        <v>6639</v>
      </c>
      <c r="C5282" s="5" t="str">
        <f>IFERROR(__xludf.DUMMYFUNCTION("GOOGLETRANSLATE(B5282,""en"",""de"")"),"Der Taucher fährt ein Pferd und betrachtet dann Strahlen.")</f>
        <v>Der Taucher fährt ein Pferd und betrachtet dann Strahlen.</v>
      </c>
    </row>
    <row r="5283">
      <c r="A5283" s="4" t="s">
        <v>6640</v>
      </c>
      <c r="B5283" s="4" t="s">
        <v>6641</v>
      </c>
      <c r="C5283" s="5" t="str">
        <f>IFERROR(__xludf.DUMMYFUNCTION("GOOGLETRANSLATE(B5283,""en"",""de"")"),"Ein kleines Kind läuft in einem gemauerten Bereich auf und ab, während er vor einem hop -schottischen Spiel steht.")</f>
        <v>Ein kleines Kind läuft in einem gemauerten Bereich auf und ab, während er vor einem hop -schottischen Spiel steht.</v>
      </c>
    </row>
    <row r="5284">
      <c r="A5284" s="4" t="s">
        <v>6640</v>
      </c>
      <c r="B5284" s="4" t="s">
        <v>6642</v>
      </c>
      <c r="C5284" s="5" t="str">
        <f>IFERROR(__xludf.DUMMYFUNCTION("GOOGLETRANSLATE(B5284,""en"",""de"")"),"Das Mädchen hüpft dann die Kreide entlang, während sie in die Kamera schaut und ihr Haar aus ihrem Gesicht hält.")</f>
        <v>Das Mädchen hüpft dann die Kreide entlang, während sie in die Kamera schaut und ihr Haar aus ihrem Gesicht hält.</v>
      </c>
    </row>
    <row r="5285">
      <c r="A5285" s="4" t="s">
        <v>6640</v>
      </c>
      <c r="B5285" s="4" t="s">
        <v>6643</v>
      </c>
      <c r="C5285" s="5" t="str">
        <f>IFERROR(__xludf.DUMMYFUNCTION("GOOGLETRANSLATE(B5285,""en"",""de"")"),"Am Ende gibt sie der Person, die die Kamera hält, ein hohes Geben.")</f>
        <v>Am Ende gibt sie der Person, die die Kamera hält, ein hohes Geben.</v>
      </c>
    </row>
    <row r="5286">
      <c r="A5286" s="4" t="s">
        <v>6644</v>
      </c>
      <c r="B5286" s="4" t="s">
        <v>6645</v>
      </c>
      <c r="C5286" s="5" t="str">
        <f>IFERROR(__xludf.DUMMYFUNCTION("GOOGLETRANSLATE(B5286,""en"",""de"")"),"Verschiedene Clips werden aus Nahrungsmitteln in der Nähe sowie von Menschen angezeigt, die mit der Kamera sprechen.")</f>
        <v>Verschiedene Clips werden aus Nahrungsmitteln in der Nähe sowie von Menschen angezeigt, die mit der Kamera sprechen.</v>
      </c>
    </row>
    <row r="5287">
      <c r="A5287" s="4" t="s">
        <v>6644</v>
      </c>
      <c r="B5287" s="4" t="s">
        <v>6646</v>
      </c>
      <c r="C5287" s="5" t="str">
        <f>IFERROR(__xludf.DUMMYFUNCTION("GOOGLETRANSLATE(B5287,""en"",""de"")"),"Es werden Schüsse von der Außenseite eines Restaurants sowie von Köchen gezeigt, die das Essen und die Menschen kochen und das Essen essen.")</f>
        <v>Es werden Schüsse von der Außenseite eines Restaurants sowie von Köchen gezeigt, die das Essen und die Menschen kochen und das Essen essen.</v>
      </c>
    </row>
    <row r="5288">
      <c r="A5288" s="4" t="s">
        <v>6647</v>
      </c>
      <c r="B5288" s="4" t="s">
        <v>6648</v>
      </c>
      <c r="C5288" s="5" t="str">
        <f>IFERROR(__xludf.DUMMYFUNCTION("GOOGLETRANSLATE(B5288,""en"",""de"")"),"Ein weißer Bildschirm erscheint mit einem grünen Logo und grüne und graue Worte erscheinen ""Howdini hol dir einen Guru"".")</f>
        <v>Ein weißer Bildschirm erscheint mit einem grünen Logo und grüne und graue Worte erscheinen "Howdini hol dir einen Guru".</v>
      </c>
    </row>
    <row r="5289">
      <c r="A5289" s="4" t="s">
        <v>6647</v>
      </c>
      <c r="B5289" s="4" t="s">
        <v>6649</v>
      </c>
      <c r="C5289" s="5" t="str">
        <f>IFERROR(__xludf.DUMMYFUNCTION("GOOGLETRANSLATE(B5289,""en"",""de"")"),"Eine brünette Frau, die in einer Küche steht, spricht und die Worte auf dem Bildschirm sagen ""Howdini Guru Cricket Azima Chef und Autorin"", dann erscheint ein grüner Bildschirm schnell und es heißt ""Cookie Exchange Rezepte"" und kehrt zurück zu der Fra"&amp;"u, die spricht.")</f>
        <v>Eine brünette Frau, die in einer Küche steht, spricht und die Worte auf dem Bildschirm sagen "Howdini Guru Cricket Azima Chef und Autorin", dann erscheint ein grüner Bildschirm schnell und es heißt "Cookie Exchange Rezepte" und kehrt zurück zu der Frau, die spricht.</v>
      </c>
    </row>
    <row r="5290">
      <c r="A5290" s="4" t="s">
        <v>6647</v>
      </c>
      <c r="B5290" s="4" t="s">
        <v>6650</v>
      </c>
      <c r="C5290" s="5" t="str">
        <f>IFERROR(__xludf.DUMMYFUNCTION("GOOGLETRANSLATE(B5290,""en"",""de"")"),"Kekse auf einem Teller werden gezeigt und die Wörter auf dem Bildschirm sagen, es handelt sich um ""Erdnussbutterblüten"" und zeigt der Frau, die alle Zutaten in eine Schüssel gießt, um sie zu machen, sie in Zucker zu rollen und sie auf ein Tablett zum Ba"&amp;"cken zu bringen und dann das Endprodukt anzeigen, wenn sie mit dem Backen und der Website fertig sind, um das vollständige Rezept zu sehen.")</f>
        <v>Kekse auf einem Teller werden gezeigt und die Wörter auf dem Bildschirm sagen, es handelt sich um "Erdnussbutterblüten" und zeigt der Frau, die alle Zutaten in eine Schüssel gießt, um sie zu machen, sie in Zucker zu rollen und sie auf ein Tablett zum Backen zu bringen und dann das Endprodukt anzeigen, wenn sie mit dem Backen und der Website fertig sind, um das vollständige Rezept zu sehen.</v>
      </c>
    </row>
    <row r="5291">
      <c r="A5291" s="4" t="s">
        <v>6647</v>
      </c>
      <c r="B5291" s="4" t="s">
        <v>6651</v>
      </c>
      <c r="C5291" s="5" t="str">
        <f>IFERROR(__xludf.DUMMYFUNCTION("GOOGLETRANSLATE(B5291,""en"",""de"")"),"Die Frau spricht wieder und das nächste Keks, das sie gezeigt wird, heißt ""Cookie Snoweballs"" und zeigt alle benötigten Zutaten, eine Liste darüber, wie lange sie kochen werden sollen, und sie demonstriert Schritt für Schritt, bis alles gebacken und auf"&amp;" einem ist Teller neben den anderen Keksen.")</f>
        <v>Die Frau spricht wieder und das nächste Keks, das sie gezeigt wird, heißt "Cookie Snoweballs" und zeigt alle benötigten Zutaten, eine Liste darüber, wie lange sie kochen werden sollen, und sie demonstriert Schritt für Schritt, bis alles gebacken und auf einem ist Teller neben den anderen Keksen.</v>
      </c>
    </row>
    <row r="5292">
      <c r="A5292" s="4" t="s">
        <v>6647</v>
      </c>
      <c r="B5292" s="4" t="s">
        <v>6652</v>
      </c>
      <c r="C5292" s="5" t="str">
        <f>IFERROR(__xludf.DUMMYFUNCTION("GOOGLETRANSLATE(B5292,""en"",""de"")"),"Das Video endet mit weiteren Bildern anderer Cookies, die sie nicht gezeigt hat, und dann zu einem grünen Bildschirm, der weiße Wörter enthält, die eine Nachricht enthält, um auf ihre Website zu gehen, wenn Sie weitere Videos ihrer Cookie -Rezepte sehen m"&amp;"öchten.")</f>
        <v>Das Video endet mit weiteren Bildern anderer Cookies, die sie nicht gezeigt hat, und dann zu einem grünen Bildschirm, der weiße Wörter enthält, die eine Nachricht enthält, um auf ihre Website zu gehen, wenn Sie weitere Videos ihrer Cookie -Rezepte sehen möchten.</v>
      </c>
    </row>
    <row r="5293">
      <c r="A5293" s="4" t="s">
        <v>6653</v>
      </c>
      <c r="B5293" s="4" t="s">
        <v>6654</v>
      </c>
      <c r="C5293" s="5" t="str">
        <f>IFERROR(__xludf.DUMMYFUNCTION("GOOGLETRANSLATE(B5293,""en"",""de"")"),"Eine Frau auf einer Rudermaschine in einem Fitnessstudio sitzt still.")</f>
        <v>Eine Frau auf einer Rudermaschine in einem Fitnessstudio sitzt still.</v>
      </c>
    </row>
    <row r="5294">
      <c r="A5294" s="4" t="s">
        <v>6653</v>
      </c>
      <c r="B5294" s="4" t="s">
        <v>6655</v>
      </c>
      <c r="C5294" s="5" t="str">
        <f>IFERROR(__xludf.DUMMYFUNCTION("GOOGLETRANSLATE(B5294,""en"",""de"")"),"Die Dame beugt sich vor und trainiert langsam auf der Maschine.")</f>
        <v>Die Dame beugt sich vor und trainiert langsam auf der Maschine.</v>
      </c>
    </row>
    <row r="5295">
      <c r="A5295" s="4" t="s">
        <v>6653</v>
      </c>
      <c r="B5295" s="4" t="s">
        <v>6656</v>
      </c>
      <c r="C5295" s="5" t="str">
        <f>IFERROR(__xludf.DUMMYFUNCTION("GOOGLETRANSLATE(B5295,""en"",""de"")"),"Die Dame beginnt ein wenig schneller zu rudern und der Bildschirm verblasst schwarz.")</f>
        <v>Die Dame beginnt ein wenig schneller zu rudern und der Bildschirm verblasst schwarz.</v>
      </c>
    </row>
    <row r="5296">
      <c r="A5296" s="4" t="s">
        <v>6657</v>
      </c>
      <c r="B5296" s="4" t="s">
        <v>6658</v>
      </c>
      <c r="C5296" s="5" t="str">
        <f>IFERROR(__xludf.DUMMYFUNCTION("GOOGLETRANSLATE(B5296,""en"",""de"")"),"Zwei Tänzer haben eine Pose mitten in einem großen Gymnasium und beginnen mit der Durchführung einer Routine mit Schlagstöcken.")</f>
        <v>Zwei Tänzer haben eine Pose mitten in einem großen Gymnasium und beginnen mit der Durchführung einer Routine mit Schlagstöcken.</v>
      </c>
    </row>
    <row r="5297">
      <c r="A5297" s="4" t="s">
        <v>6657</v>
      </c>
      <c r="B5297" s="4" t="s">
        <v>6659</v>
      </c>
      <c r="C5297" s="5" t="str">
        <f>IFERROR(__xludf.DUMMYFUNCTION("GOOGLETRANSLATE(B5297,""en"",""de"")"),"Die Mädchen tanzen weiter und drehen sich mit den Stöcken herum und enden mit einer Pose.")</f>
        <v>Die Mädchen tanzen weiter und drehen sich mit den Stöcken herum und enden mit einer Pose.</v>
      </c>
    </row>
    <row r="5298">
      <c r="A5298" s="4" t="s">
        <v>6660</v>
      </c>
      <c r="B5298" s="4" t="s">
        <v>6661</v>
      </c>
      <c r="C5298" s="5" t="str">
        <f>IFERROR(__xludf.DUMMYFUNCTION("GOOGLETRANSLATE(B5298,""en"",""de"")"),"Wir sehen BMX -Rennfahrer auf dem Feld und an verschiedenen Orten und fahren mit ihren Fahrrädern.")</f>
        <v>Wir sehen BMX -Rennfahrer auf dem Feld und an verschiedenen Orten und fahren mit ihren Fahrrädern.</v>
      </c>
    </row>
    <row r="5299">
      <c r="A5299" s="4" t="s">
        <v>6660</v>
      </c>
      <c r="B5299" s="4" t="s">
        <v>6662</v>
      </c>
      <c r="C5299" s="5" t="str">
        <f>IFERROR(__xludf.DUMMYFUNCTION("GOOGLETRANSLATE(B5299,""en"",""de"")"),"Zwei Männer fallen von ihren Fahrrädern.")</f>
        <v>Zwei Männer fallen von ihren Fahrrädern.</v>
      </c>
    </row>
    <row r="5300">
      <c r="A5300" s="4" t="s">
        <v>6660</v>
      </c>
      <c r="B5300" s="4" t="s">
        <v>6663</v>
      </c>
      <c r="C5300" s="5" t="str">
        <f>IFERROR(__xludf.DUMMYFUNCTION("GOOGLETRANSLATE(B5300,""en"",""de"")"),"Wir sehen, dass die Rennen auf einer Plattform hoch beginnen.")</f>
        <v>Wir sehen, dass die Rennen auf einer Plattform hoch beginnen.</v>
      </c>
    </row>
    <row r="5301">
      <c r="A5301" s="4" t="s">
        <v>6660</v>
      </c>
      <c r="B5301" s="4" t="s">
        <v>6664</v>
      </c>
      <c r="C5301" s="5" t="str">
        <f>IFERROR(__xludf.DUMMYFUNCTION("GOOGLETRANSLATE(B5301,""en"",""de"")"),"Ein Mann hält ein Surfbrett und ein Mann trägt ein Fahrrad hoch.")</f>
        <v>Ein Mann hält ein Surfbrett und ein Mann trägt ein Fahrrad hoch.</v>
      </c>
    </row>
    <row r="5302">
      <c r="A5302" s="4" t="s">
        <v>6660</v>
      </c>
      <c r="B5302" s="4" t="s">
        <v>6665</v>
      </c>
      <c r="C5302" s="5" t="str">
        <f>IFERROR(__xludf.DUMMYFUNCTION("GOOGLETRANSLATE(B5302,""en"",""de"")"),"Wir sehen einen lachenden Mann, der ein Surfbrett hält.")</f>
        <v>Wir sehen einen lachenden Mann, der ein Surfbrett hält.</v>
      </c>
    </row>
    <row r="5303">
      <c r="A5303" s="4" t="s">
        <v>6660</v>
      </c>
      <c r="B5303" s="4" t="s">
        <v>6666</v>
      </c>
      <c r="C5303" s="5" t="str">
        <f>IFERROR(__xludf.DUMMYFUNCTION("GOOGLETRANSLATE(B5303,""en"",""de"")"),"Eine Dame wirft ein Handschild in die Kamera.")</f>
        <v>Eine Dame wirft ein Handschild in die Kamera.</v>
      </c>
    </row>
    <row r="5304">
      <c r="A5304" s="4" t="s">
        <v>6660</v>
      </c>
      <c r="B5304" s="4" t="s">
        <v>6667</v>
      </c>
      <c r="C5304" s="5" t="str">
        <f>IFERROR(__xludf.DUMMYFUNCTION("GOOGLETRANSLATE(B5304,""en"",""de"")"),"Wir sehen Luftaufnahmen der Felder.")</f>
        <v>Wir sehen Luftaufnahmen der Felder.</v>
      </c>
    </row>
    <row r="5305">
      <c r="A5305" s="4" t="s">
        <v>6660</v>
      </c>
      <c r="B5305" s="4" t="s">
        <v>6668</v>
      </c>
      <c r="C5305" s="5" t="str">
        <f>IFERROR(__xludf.DUMMYFUNCTION("GOOGLETRANSLATE(B5305,""en"",""de"")"),"Ein Mann macht ein Foto und ein Mann hält eine neue Flagge mit neuer Zeland.")</f>
        <v>Ein Mann macht ein Foto und ein Mann hält eine neue Flagge mit neuer Zeland.</v>
      </c>
    </row>
    <row r="5306">
      <c r="A5306" s="4" t="s">
        <v>6660</v>
      </c>
      <c r="B5306" s="4" t="s">
        <v>6669</v>
      </c>
      <c r="C5306" s="5" t="str">
        <f>IFERROR(__xludf.DUMMYFUNCTION("GOOGLETRANSLATE(B5306,""en"",""de"")"),"Ein Mann fällt hart von seinem Fahrrad.")</f>
        <v>Ein Mann fällt hart von seinem Fahrrad.</v>
      </c>
    </row>
    <row r="5307">
      <c r="A5307" s="4" t="s">
        <v>6660</v>
      </c>
      <c r="B5307" s="4" t="s">
        <v>6670</v>
      </c>
      <c r="C5307" s="5" t="str">
        <f>IFERROR(__xludf.DUMMYFUNCTION("GOOGLETRANSLATE(B5307,""en"",""de"")"),"Das Video verblasst schwarz.")</f>
        <v>Das Video verblasst schwarz.</v>
      </c>
    </row>
    <row r="5308">
      <c r="A5308" s="4" t="s">
        <v>6671</v>
      </c>
      <c r="B5308" s="4" t="s">
        <v>6672</v>
      </c>
      <c r="C5308" s="5" t="str">
        <f>IFERROR(__xludf.DUMMYFUNCTION("GOOGLETRANSLATE(B5308,""en"",""de"")"),"Verschiedene Clips werden von innen und außerhalb einer Arena sowie der Kamera angezeigt, die aus dem Eis und zwei Personen miteinander spricht.")</f>
        <v>Verschiedene Clips werden von innen und außerhalb einer Arena sowie der Kamera angezeigt, die aus dem Eis und zwei Personen miteinander spricht.</v>
      </c>
    </row>
    <row r="5309">
      <c r="A5309" s="4" t="s">
        <v>6671</v>
      </c>
      <c r="B5309" s="4" t="s">
        <v>6673</v>
      </c>
      <c r="C5309" s="5" t="str">
        <f>IFERROR(__xludf.DUMMYFUNCTION("GOOGLETRANSLATE(B5309,""en"",""de"")"),"Anschließend werden mehrere Schüsse von Menschen gezeigt, die sich abkrocken und die Pucks in der Nähe von Pucks kräuseln.")</f>
        <v>Anschließend werden mehrere Schüsse von Menschen gezeigt, die sich abkrocken und die Pucks in der Nähe von Pucks kräuseln.</v>
      </c>
    </row>
    <row r="5310">
      <c r="A5310" s="4" t="s">
        <v>6671</v>
      </c>
      <c r="B5310" s="4" t="s">
        <v>6674</v>
      </c>
      <c r="C5310" s="5" t="str">
        <f>IFERROR(__xludf.DUMMYFUNCTION("GOOGLETRANSLATE(B5310,""en"",""de"")"),"Weitere Clips werden von Leuten gezeigt, die das Spiel spielen und Teamkollegen beobachten.")</f>
        <v>Weitere Clips werden von Leuten gezeigt, die das Spiel spielen und Teamkollegen beobachten.</v>
      </c>
    </row>
    <row r="5311">
      <c r="A5311" s="4" t="s">
        <v>6675</v>
      </c>
      <c r="B5311" s="4" t="s">
        <v>6676</v>
      </c>
      <c r="C5311" s="5" t="str">
        <f>IFERROR(__xludf.DUMMYFUNCTION("GOOGLETRANSLATE(B5311,""en"",""de"")"),"Ein Mann in einem weißen Hemd biegt sich um und nimmt ein großes Gewicht auf.")</f>
        <v>Ein Mann in einem weißen Hemd biegt sich um und nimmt ein großes Gewicht auf.</v>
      </c>
    </row>
    <row r="5312">
      <c r="A5312" s="4" t="s">
        <v>6675</v>
      </c>
      <c r="B5312" s="4" t="s">
        <v>6677</v>
      </c>
      <c r="C5312" s="5" t="str">
        <f>IFERROR(__xludf.DUMMYFUNCTION("GOOGLETRANSLATE(B5312,""en"",""de"")"),"Er hebt das Gewicht bis zu seinen Schultern.")</f>
        <v>Er hebt das Gewicht bis zu seinen Schultern.</v>
      </c>
    </row>
    <row r="5313">
      <c r="A5313" s="4" t="s">
        <v>6675</v>
      </c>
      <c r="B5313" s="4" t="s">
        <v>6678</v>
      </c>
      <c r="C5313" s="5" t="str">
        <f>IFERROR(__xludf.DUMMYFUNCTION("GOOGLETRANSLATE(B5313,""en"",""de"")"),"Er beugt sich hin und hebt das Gewicht über seinem Kopf.")</f>
        <v>Er beugt sich hin und hebt das Gewicht über seinem Kopf.</v>
      </c>
    </row>
    <row r="5314">
      <c r="A5314" s="4" t="s">
        <v>6679</v>
      </c>
      <c r="B5314" s="4" t="s">
        <v>6680</v>
      </c>
      <c r="C5314" s="5" t="str">
        <f>IFERROR(__xludf.DUMMYFUNCTION("GOOGLETRANSLATE(B5314,""en"",""de"")"),"Ein Mann namens Alex Al-Nameen lächelt und redet und die Worte unter seinem Namen sagen, dass er ""für Commonwealth Games 2014 110 Meter Hürden ausgewählt wurde"".")</f>
        <v>Ein Mann namens Alex Al-Nameen lächelt und redet und die Worte unter seinem Namen sagen, dass er "für Commonwealth Games 2014 110 Meter Hürden ausgewählt wurde".</v>
      </c>
    </row>
    <row r="5315">
      <c r="A5315" s="4" t="s">
        <v>6679</v>
      </c>
      <c r="B5315" s="4" t="s">
        <v>6681</v>
      </c>
      <c r="C5315" s="5" t="str">
        <f>IFERROR(__xludf.DUMMYFUNCTION("GOOGLETRANSLATE(B5315,""en"",""de"")"),"Ein Mann wird dann auf der Strecke gezeigt, die auf dem Boden sitzt und seine Füße für seine Schuhe vorbereitet, als er das Klebeband um seinen Fuß wickelt.")</f>
        <v>Ein Mann wird dann auf der Strecke gezeigt, die auf dem Boden sitzt und seine Füße für seine Schuhe vorbereitet, als er das Klebeband um seinen Fuß wickelt.</v>
      </c>
    </row>
    <row r="5316">
      <c r="A5316" s="4" t="s">
        <v>6679</v>
      </c>
      <c r="B5316" s="4" t="s">
        <v>6682</v>
      </c>
      <c r="C5316" s="5" t="str">
        <f>IFERROR(__xludf.DUMMYFUNCTION("GOOGLETRANSLATE(B5316,""en"",""de"")"),"Drei Männer gehen jetzt zu einer Strecke, auf der verschiedene Leute rennen und abwechselnd hüpfen, springen und springen.")</f>
        <v>Drei Männer gehen jetzt zu einer Strecke, auf der verschiedene Leute rennen und abwechselnd hüpfen, springen und springen.</v>
      </c>
    </row>
    <row r="5317">
      <c r="A5317" s="4" t="s">
        <v>6679</v>
      </c>
      <c r="B5317" s="4" t="s">
        <v>6683</v>
      </c>
      <c r="C5317" s="5" t="str">
        <f>IFERROR(__xludf.DUMMYFUNCTION("GOOGLETRANSLATE(B5317,""en"",""de"")"),"Ein Mann stehen kurz an und spricht mit der Kamera, während er ein wenig außer Atem erscheint.")</f>
        <v>Ein Mann stehen kurz an und spricht mit der Kamera, während er ein wenig außer Atem erscheint.</v>
      </c>
    </row>
    <row r="5318">
      <c r="A5318" s="4" t="s">
        <v>6679</v>
      </c>
      <c r="B5318" s="4" t="s">
        <v>6684</v>
      </c>
      <c r="C5318" s="5" t="str">
        <f>IFERROR(__xludf.DUMMYFUNCTION("GOOGLETRANSLATE(B5318,""en"",""de"")"),"Ein anderer Mann kniet jetzt und tritt Klebeband neben dem sandigen Bereich des Sprungs auf, während er spricht.")</f>
        <v>Ein anderer Mann kniet jetzt und tritt Klebeband neben dem sandigen Bereich des Sprungs auf, während er spricht.</v>
      </c>
    </row>
    <row r="5319">
      <c r="A5319" s="4" t="s">
        <v>6679</v>
      </c>
      <c r="B5319" s="4" t="s">
        <v>6685</v>
      </c>
      <c r="C5319" s="5" t="str">
        <f>IFERROR(__xludf.DUMMYFUNCTION("GOOGLETRANSLATE(B5319,""en"",""de"")"),"Der Mann steht jetzt an einer Barglocke mit sehr schweren Gewichten und er fängt langsam an, sie zu heben, und lässt sie dann fallen.")</f>
        <v>Der Mann steht jetzt an einer Barglocke mit sehr schweren Gewichten und er fängt langsam an, sie zu heben, und lässt sie dann fallen.</v>
      </c>
    </row>
    <row r="5320">
      <c r="A5320" s="4" t="s">
        <v>6679</v>
      </c>
      <c r="B5320" s="4" t="s">
        <v>6686</v>
      </c>
      <c r="C5320" s="5" t="str">
        <f>IFERROR(__xludf.DUMMYFUNCTION("GOOGLETRANSLATE(B5320,""en"",""de"")"),"Eine Frau hält jetzt Hanteln, während sie auf einige Treppen tritt, und der Mann zeigt wieder, aber diesmal zieht er eine Übungsausrüstung an.")</f>
        <v>Eine Frau hält jetzt Hanteln, während sie auf einige Treppen tritt, und der Mann zeigt wieder, aber diesmal zieht er eine Übungsausrüstung an.</v>
      </c>
    </row>
    <row r="5321">
      <c r="A5321" s="4" t="s">
        <v>6679</v>
      </c>
      <c r="B5321" s="4" t="s">
        <v>6687</v>
      </c>
      <c r="C5321" s="5" t="str">
        <f>IFERROR(__xludf.DUMMYFUNCTION("GOOGLETRANSLATE(B5321,""en"",""de"")"),"Der weiße Outro -Bildschirm wird mit ihrem Logo und den Worten angezeigt, die sich für den YouTube -Kanal abonnieren sollen.")</f>
        <v>Der weiße Outro -Bildschirm wird mit ihrem Logo und den Worten angezeigt, die sich für den YouTube -Kanal abonnieren sollen.</v>
      </c>
    </row>
    <row r="5322">
      <c r="A5322" s="4" t="s">
        <v>6688</v>
      </c>
      <c r="B5322" s="4" t="s">
        <v>6689</v>
      </c>
      <c r="C5322" s="5" t="str">
        <f>IFERROR(__xludf.DUMMYFUNCTION("GOOGLETRANSLATE(B5322,""en"",""de"")"),"Drei Jungen spielen ein Krocketspiel auf einem großen grünen Rasen mit Krocketschläger und Krocketbällen.")</f>
        <v>Drei Jungen spielen ein Krocketspiel auf einem großen grünen Rasen mit Krocketschläger und Krocketbällen.</v>
      </c>
    </row>
    <row r="5323">
      <c r="A5323" s="4" t="s">
        <v>6688</v>
      </c>
      <c r="B5323" s="4" t="s">
        <v>6690</v>
      </c>
      <c r="C5323" s="5" t="str">
        <f>IFERROR(__xludf.DUMMYFUNCTION("GOOGLETRANSLATE(B5323,""en"",""de"")"),"Der Junge sitzt mit einer Tüte Krocketschläger und Bälle auf einer Bank draußen und redet miteinander.")</f>
        <v>Der Junge sitzt mit einer Tüte Krocketschläger und Bälle auf einer Bank draußen und redet miteinander.</v>
      </c>
    </row>
    <row r="5324">
      <c r="A5324" s="4" t="s">
        <v>6688</v>
      </c>
      <c r="B5324" s="4" t="s">
        <v>6691</v>
      </c>
      <c r="C5324" s="5" t="str">
        <f>IFERROR(__xludf.DUMMYFUNCTION("GOOGLETRANSLATE(B5324,""en"",""de"")"),"Die Jungen betreten dann das Feld und verletzten sich selbst, um die Krocket -Werkzeuge zu entwirren.")</f>
        <v>Die Jungen betreten dann das Feld und verletzten sich selbst, um die Krocket -Werkzeuge zu entwirren.</v>
      </c>
    </row>
    <row r="5325">
      <c r="A5325" s="4" t="s">
        <v>6688</v>
      </c>
      <c r="B5325" s="4" t="s">
        <v>6692</v>
      </c>
      <c r="C5325" s="5" t="str">
        <f>IFERROR(__xludf.DUMMYFUNCTION("GOOGLETRANSLATE(B5325,""en"",""de"")"),"Die Jungs beginnen dann zu spielen, reden miteinander durch und jagen sich gegenseitig durch das Feld und packten sich am Boden an.")</f>
        <v>Die Jungs beginnen dann zu spielen, reden miteinander durch und jagen sich gegenseitig durch das Feld und packten sich am Boden an.</v>
      </c>
    </row>
    <row r="5326">
      <c r="A5326" s="4" t="s">
        <v>6688</v>
      </c>
      <c r="B5326" s="4" t="s">
        <v>6693</v>
      </c>
      <c r="C5326" s="5" t="str">
        <f>IFERROR(__xludf.DUMMYFUNCTION("GOOGLETRANSLATE(B5326,""en"",""de"")"),"Die Jungs sehen schließlich ein Handy aus dem Feld zusammen und schichten dann ihre Krocketschläger übereinander, um die Bälle durch das Krocket -Tor zu bringen, indem sie sie durch die Löcher in den geschichteten Schlägern führen.")</f>
        <v>Die Jungs sehen schließlich ein Handy aus dem Feld zusammen und schichten dann ihre Krocketschläger übereinander, um die Bälle durch das Krocket -Tor zu bringen, indem sie sie durch die Löcher in den geschichteten Schlägern führen.</v>
      </c>
    </row>
    <row r="5327">
      <c r="A5327" s="4" t="s">
        <v>6694</v>
      </c>
      <c r="B5327" s="4" t="s">
        <v>6695</v>
      </c>
      <c r="C5327" s="5" t="str">
        <f>IFERROR(__xludf.DUMMYFUNCTION("GOOGLETRANSLATE(B5327,""en"",""de"")"),"Eine große Gruppe von Menschen schwimmt in einem Pool herum, wobei ein Mann nebenbei spricht.")</f>
        <v>Eine große Gruppe von Menschen schwimmt in einem Pool herum, wobei ein Mann nebenbei spricht.</v>
      </c>
    </row>
    <row r="5328">
      <c r="A5328" s="4" t="s">
        <v>6694</v>
      </c>
      <c r="B5328" s="4" t="s">
        <v>6696</v>
      </c>
      <c r="C5328" s="5" t="str">
        <f>IFERROR(__xludf.DUMMYFUNCTION("GOOGLETRANSLATE(B5328,""en"",""de"")"),"Die Gruppe beginnt den Ball herumzuwerfen, während sie umeinander schwimmt.")</f>
        <v>Die Gruppe beginnt den Ball herumzuwerfen, während sie umeinander schwimmt.</v>
      </c>
    </row>
    <row r="5329">
      <c r="A5329" s="4" t="s">
        <v>6694</v>
      </c>
      <c r="B5329" s="4" t="s">
        <v>6697</v>
      </c>
      <c r="C5329" s="5" t="str">
        <f>IFERROR(__xludf.DUMMYFUNCTION("GOOGLETRANSLATE(B5329,""en"",""de"")"),"Die Gruppe schwimmt weiter und spielt Ball miteinander.")</f>
        <v>Die Gruppe schwimmt weiter und spielt Ball miteinander.</v>
      </c>
    </row>
    <row r="5330">
      <c r="A5330" s="4" t="s">
        <v>6698</v>
      </c>
      <c r="B5330" s="4" t="s">
        <v>6699</v>
      </c>
      <c r="C5330" s="5" t="str">
        <f>IFERROR(__xludf.DUMMYFUNCTION("GOOGLETRANSLATE(B5330,""en"",""de"")"),"Ein Mann sitzt an einer Kabine, umgeben von Rohren, redet und gestikuliert.")</f>
        <v>Ein Mann sitzt an einer Kabine, umgeben von Rohren, redet und gestikuliert.</v>
      </c>
    </row>
    <row r="5331">
      <c r="A5331" s="4" t="s">
        <v>6698</v>
      </c>
      <c r="B5331" s="4" t="s">
        <v>6700</v>
      </c>
      <c r="C5331" s="5" t="str">
        <f>IFERROR(__xludf.DUMMYFUNCTION("GOOGLETRANSLATE(B5331,""en"",""de"")"),"Der Mann hält ein Ende der Pfeife hoch.")</f>
        <v>Der Mann hält ein Ende der Pfeife hoch.</v>
      </c>
    </row>
    <row r="5332">
      <c r="A5332" s="4" t="s">
        <v>6698</v>
      </c>
      <c r="B5332" s="4" t="s">
        <v>6701</v>
      </c>
      <c r="C5332" s="5" t="str">
        <f>IFERROR(__xludf.DUMMYFUNCTION("GOOGLETRANSLATE(B5332,""en"",""de"")"),"Der Mann zeigt, wie man mit der Pfeife raucht, als er ringringelrauch aus seinem Mund bläst.")</f>
        <v>Der Mann zeigt, wie man mit der Pfeife raucht, als er ringringelrauch aus seinem Mund bläst.</v>
      </c>
    </row>
    <row r="5333">
      <c r="A5333" s="4" t="s">
        <v>6698</v>
      </c>
      <c r="B5333" s="4" t="s">
        <v>6702</v>
      </c>
      <c r="C5333" s="5" t="str">
        <f>IFERROR(__xludf.DUMMYFUNCTION("GOOGLETRANSLATE(B5333,""en"",""de"")"),"Er redet weiter und gilt.")</f>
        <v>Er redet weiter und gilt.</v>
      </c>
    </row>
    <row r="5334">
      <c r="A5334" s="4" t="s">
        <v>6703</v>
      </c>
      <c r="B5334" s="4" t="s">
        <v>6704</v>
      </c>
      <c r="C5334" s="5" t="str">
        <f>IFERROR(__xludf.DUMMYFUNCTION("GOOGLETRANSLATE(B5334,""en"",""de"")"),"Bild von Vorräten, die für Frisuren benötigt werden.")</f>
        <v>Bild von Vorräten, die für Frisuren benötigt werden.</v>
      </c>
    </row>
    <row r="5335">
      <c r="A5335" s="4" t="s">
        <v>6703</v>
      </c>
      <c r="B5335" s="4" t="s">
        <v>6705</v>
      </c>
      <c r="C5335" s="5" t="str">
        <f>IFERROR(__xludf.DUMMYFUNCTION("GOOGLETRANSLATE(B5335,""en"",""de"")"),"Trennende Haare in zwei Teile in der Mitte trennen.")</f>
        <v>Trennende Haare in zwei Teile in der Mitte trennen.</v>
      </c>
    </row>
    <row r="5336">
      <c r="A5336" s="4" t="s">
        <v>6703</v>
      </c>
      <c r="B5336" s="4" t="s">
        <v>6706</v>
      </c>
      <c r="C5336" s="5" t="str">
        <f>IFERROR(__xludf.DUMMYFUNCTION("GOOGLETRANSLATE(B5336,""en"",""de"")"),"Französisches Flechten von Haaren von links nach rechts bis zum Ende.")</f>
        <v>Französisches Flechten von Haaren von links nach rechts bis zum Ende.</v>
      </c>
    </row>
    <row r="5337">
      <c r="A5337" s="4" t="s">
        <v>6703</v>
      </c>
      <c r="B5337" s="4" t="s">
        <v>6707</v>
      </c>
      <c r="C5337" s="5" t="str">
        <f>IFERROR(__xludf.DUMMYFUNCTION("GOOGLETRANSLATE(B5337,""en"",""de"")"),"Französische Flechten von Haaren von hinten gehen rechts nach links bis zum Ende.")</f>
        <v>Französische Flechten von Haaren von hinten gehen rechts nach links bis zum Ende.</v>
      </c>
    </row>
    <row r="5338">
      <c r="A5338" s="4" t="s">
        <v>6703</v>
      </c>
      <c r="B5338" s="4" t="s">
        <v>6708</v>
      </c>
      <c r="C5338" s="5" t="str">
        <f>IFERROR(__xludf.DUMMYFUNCTION("GOOGLETRANSLATE(B5338,""en"",""de"")"),"Schließen Sie die Zöpfe mit einem Bobby Pin zusammen.")</f>
        <v>Schließen Sie die Zöpfe mit einem Bobby Pin zusammen.</v>
      </c>
    </row>
    <row r="5339">
      <c r="A5339" s="4" t="s">
        <v>6703</v>
      </c>
      <c r="B5339" s="4" t="s">
        <v>6709</v>
      </c>
      <c r="C5339" s="5" t="str">
        <f>IFERROR(__xludf.DUMMYFUNCTION("GOOGLETRANSLATE(B5339,""en"",""de"")"),"Trennen Sie die Zöpfe überall, damit Zöpfe aussehen, um eine Krone zu bilden.")</f>
        <v>Trennen Sie die Zöpfe überall, damit Zöpfe aussehen, um eine Krone zu bilden.</v>
      </c>
    </row>
    <row r="5340">
      <c r="A5340" s="4" t="s">
        <v>6710</v>
      </c>
      <c r="B5340" s="4" t="s">
        <v>6711</v>
      </c>
      <c r="C5340" s="5" t="str">
        <f>IFERROR(__xludf.DUMMYFUNCTION("GOOGLETRANSLATE(B5340,""en"",""de"")"),"Fünf Personen springen auf eine blaue Matte.")</f>
        <v>Fünf Personen springen auf eine blaue Matte.</v>
      </c>
    </row>
    <row r="5341">
      <c r="A5341" s="4" t="s">
        <v>6710</v>
      </c>
      <c r="B5341" s="4" t="s">
        <v>6712</v>
      </c>
      <c r="C5341" s="5" t="str">
        <f>IFERROR(__xludf.DUMMYFUNCTION("GOOGLETRANSLATE(B5341,""en"",""de"")"),"Sie machen Flips und Tricks beim Springen.")</f>
        <v>Sie machen Flips und Tricks beim Springen.</v>
      </c>
    </row>
    <row r="5342">
      <c r="A5342" s="4" t="s">
        <v>6710</v>
      </c>
      <c r="B5342" s="4" t="s">
        <v>6713</v>
      </c>
      <c r="C5342" s="5" t="str">
        <f>IFERROR(__xludf.DUMMYFUNCTION("GOOGLETRANSLATE(B5342,""en"",""de"")"),"Sie beenden und umarmen sich, bevor sie weggehen.")</f>
        <v>Sie beenden und umarmen sich, bevor sie weggehen.</v>
      </c>
    </row>
    <row r="5343">
      <c r="A5343" s="4" t="s">
        <v>6714</v>
      </c>
      <c r="B5343" s="4" t="s">
        <v>6097</v>
      </c>
      <c r="C5343" s="5" t="str">
        <f>IFERROR(__xludf.DUMMYFUNCTION("GOOGLETRANSLATE(B5343,""en"",""de"")"),"Wir sehen einen schwarzen Öffnungsbildschirm.")</f>
        <v>Wir sehen einen schwarzen Öffnungsbildschirm.</v>
      </c>
    </row>
    <row r="5344">
      <c r="A5344" s="4" t="s">
        <v>6714</v>
      </c>
      <c r="B5344" s="4" t="s">
        <v>6715</v>
      </c>
      <c r="C5344" s="5" t="str">
        <f>IFERROR(__xludf.DUMMYFUNCTION("GOOGLETRANSLATE(B5344,""en"",""de"")"),"Eine Dame sitzt in einem Tattoo -Stuhl und redet.")</f>
        <v>Eine Dame sitzt in einem Tattoo -Stuhl und redet.</v>
      </c>
    </row>
    <row r="5345">
      <c r="A5345" s="4" t="s">
        <v>6714</v>
      </c>
      <c r="B5345" s="4" t="s">
        <v>2814</v>
      </c>
      <c r="C5345" s="5" t="str">
        <f>IFERROR(__xludf.DUMMYFUNCTION("GOOGLETRANSLATE(B5345,""en"",""de"")"),"Wir sehen den Kamerator.")</f>
        <v>Wir sehen den Kamerator.</v>
      </c>
    </row>
    <row r="5346">
      <c r="A5346" s="4" t="s">
        <v>6714</v>
      </c>
      <c r="B5346" s="4" t="s">
        <v>6716</v>
      </c>
      <c r="C5346" s="5" t="str">
        <f>IFERROR(__xludf.DUMMYFUNCTION("GOOGLETRANSLATE(B5346,""en"",""de"")"),"Die Dame hat ein Tattoo zu ihrem Rücken hinzugefügt.")</f>
        <v>Die Dame hat ein Tattoo zu ihrem Rücken hinzugefügt.</v>
      </c>
    </row>
    <row r="5347">
      <c r="A5347" s="4" t="s">
        <v>6714</v>
      </c>
      <c r="B5347" s="4" t="s">
        <v>6717</v>
      </c>
      <c r="C5347" s="5" t="str">
        <f>IFERROR(__xludf.DUMMYFUNCTION("GOOGLETRANSLATE(B5347,""en"",""de"")"),"Die andere Dame sitzt auf dem Stuhl.")</f>
        <v>Die andere Dame sitzt auf dem Stuhl.</v>
      </c>
    </row>
    <row r="5348">
      <c r="A5348" s="4" t="s">
        <v>6714</v>
      </c>
      <c r="B5348" s="4" t="s">
        <v>6718</v>
      </c>
      <c r="C5348" s="5" t="str">
        <f>IFERROR(__xludf.DUMMYFUNCTION("GOOGLETRANSLATE(B5348,""en"",""de"")"),"Die zweite Dame wird tätowiert.")</f>
        <v>Die zweite Dame wird tätowiert.</v>
      </c>
    </row>
    <row r="5349">
      <c r="A5349" s="4" t="s">
        <v>6714</v>
      </c>
      <c r="B5349" s="4" t="s">
        <v>6719</v>
      </c>
      <c r="C5349" s="5" t="str">
        <f>IFERROR(__xludf.DUMMYFUNCTION("GOOGLETRANSLATE(B5349,""en"",""de"")"),"Wir sehen die fertigen Tattoos.")</f>
        <v>Wir sehen die fertigen Tattoos.</v>
      </c>
    </row>
    <row r="5350">
      <c r="A5350" s="4" t="s">
        <v>6720</v>
      </c>
      <c r="B5350" s="4" t="s">
        <v>6721</v>
      </c>
      <c r="C5350" s="5" t="str">
        <f>IFERROR(__xludf.DUMMYFUNCTION("GOOGLETRANSLATE(B5350,""en"",""de"")"),"Zwei Männer schieben einen kleinen privaten Hubschrauber aus dem Schuppen.")</f>
        <v>Zwei Männer schieben einen kleinen privaten Hubschrauber aus dem Schuppen.</v>
      </c>
    </row>
    <row r="5351">
      <c r="A5351" s="4" t="s">
        <v>6720</v>
      </c>
      <c r="B5351" s="4" t="s">
        <v>6722</v>
      </c>
      <c r="C5351" s="5" t="str">
        <f>IFERROR(__xludf.DUMMYFUNCTION("GOOGLETRANSLATE(B5351,""en"",""de"")"),"Sie landen an einem Strand und fliegen es dann über das klare Meerwasser.")</f>
        <v>Sie landen an einem Strand und fliegen es dann über das klare Meerwasser.</v>
      </c>
    </row>
    <row r="5352">
      <c r="A5352" s="4" t="s">
        <v>6720</v>
      </c>
      <c r="B5352" s="4" t="s">
        <v>6723</v>
      </c>
      <c r="C5352" s="5" t="str">
        <f>IFERROR(__xludf.DUMMYFUNCTION("GOOGLETRANSLATE(B5352,""en"",""de"")"),"Sie haben Fallschirmsprung und öffnen ihre Fallschirme, als sie sich dem Wasser nähern.")</f>
        <v>Sie haben Fallschirmsprung und öffnen ihre Fallschirme, als sie sich dem Wasser nähern.</v>
      </c>
    </row>
    <row r="5353">
      <c r="A5353" s="4" t="s">
        <v>6720</v>
      </c>
      <c r="B5353" s="4" t="s">
        <v>6724</v>
      </c>
      <c r="C5353" s="5" t="str">
        <f>IFERROR(__xludf.DUMMYFUNCTION("GOOGLETRANSLATE(B5353,""en"",""de"")"),"Sie tauchen dann auf den Boden und setzen die Tauchausrüstung an, um den Meeresboden zu erkunden.")</f>
        <v>Sie tauchen dann auf den Boden und setzen die Tauchausrüstung an, um den Meeresboden zu erkunden.</v>
      </c>
    </row>
    <row r="5354">
      <c r="A5354" s="4" t="s">
        <v>6725</v>
      </c>
      <c r="B5354" s="4" t="s">
        <v>6726</v>
      </c>
      <c r="C5354" s="5" t="str">
        <f>IFERROR(__xludf.DUMMYFUNCTION("GOOGLETRANSLATE(B5354,""en"",""de"")"),"Eine große Gruppe von Menschen steht in einem Gebiet und führt zu Menschen, die ein Schlepper des Krieges spielen.")</f>
        <v>Eine große Gruppe von Menschen steht in einem Gebiet und führt zu Menschen, die ein Schlepper des Krieges spielen.</v>
      </c>
    </row>
    <row r="5355">
      <c r="A5355" s="4" t="s">
        <v>6725</v>
      </c>
      <c r="B5355" s="4" t="s">
        <v>6727</v>
      </c>
      <c r="C5355" s="5" t="str">
        <f>IFERROR(__xludf.DUMMYFUNCTION("GOOGLETRANSLATE(B5355,""en"",""de"")"),"Menschen in Kostümen jubeln sie an, während sie weiter spielen und Menschen zeigen, wie sie in der Stadt tanzen.")</f>
        <v>Menschen in Kostümen jubeln sie an, während sie weiter spielen und Menschen zeigen, wie sie in der Stadt tanzen.</v>
      </c>
    </row>
    <row r="5356">
      <c r="A5356" s="4" t="s">
        <v>6725</v>
      </c>
      <c r="B5356" s="4" t="s">
        <v>6728</v>
      </c>
      <c r="C5356" s="5" t="str">
        <f>IFERROR(__xludf.DUMMYFUNCTION("GOOGLETRANSLATE(B5356,""en"",""de"")"),"Weitere Bilder werden sowohl von der Veranstaltung als auch von Menschen gezeigt, die miteinander sprechen.")</f>
        <v>Weitere Bilder werden sowohl von der Veranstaltung als auch von Menschen gezeigt, die miteinander sprechen.</v>
      </c>
    </row>
    <row r="5357">
      <c r="A5357" s="4" t="s">
        <v>6729</v>
      </c>
      <c r="B5357" s="4" t="s">
        <v>6730</v>
      </c>
      <c r="C5357" s="5" t="str">
        <f>IFERROR(__xludf.DUMMYFUNCTION("GOOGLETRANSLATE(B5357,""en"",""de"")"),"Ein Tätowierer tätowiert einen Mädchenfuß und führt zu einem Mann, der mit der Kamera spricht.")</f>
        <v>Ein Tätowierer tätowiert einen Mädchenfuß und führt zu einem Mann, der mit der Kamera spricht.</v>
      </c>
    </row>
    <row r="5358">
      <c r="A5358" s="4" t="s">
        <v>6729</v>
      </c>
      <c r="B5358" s="4" t="s">
        <v>6731</v>
      </c>
      <c r="C5358" s="5" t="str">
        <f>IFERROR(__xludf.DUMMYFUNCTION("GOOGLETRANSLATE(B5358,""en"",""de"")"),"Der Mann spricht weiterhin mit der Kamera und zeigt und schaut weg.")</f>
        <v>Der Mann spricht weiterhin mit der Kamera und zeigt und schaut weg.</v>
      </c>
    </row>
    <row r="5359">
      <c r="A5359" s="4" t="s">
        <v>6732</v>
      </c>
      <c r="B5359" s="4" t="s">
        <v>6733</v>
      </c>
      <c r="C5359" s="5" t="str">
        <f>IFERROR(__xludf.DUMMYFUNCTION("GOOGLETRANSLATE(B5359,""en"",""de"")"),"Ein kleiner Junge spielt die Geige.")</f>
        <v>Ein kleiner Junge spielt die Geige.</v>
      </c>
    </row>
    <row r="5360">
      <c r="A5360" s="4" t="s">
        <v>6732</v>
      </c>
      <c r="B5360" s="4" t="s">
        <v>6734</v>
      </c>
      <c r="C5360" s="5" t="str">
        <f>IFERROR(__xludf.DUMMYFUNCTION("GOOGLETRANSLATE(B5360,""en"",""de"")"),"Er hört auf, die Geige zu spielen.")</f>
        <v>Er hört auf, die Geige zu spielen.</v>
      </c>
    </row>
    <row r="5361">
      <c r="A5361" s="4" t="s">
        <v>6735</v>
      </c>
      <c r="B5361" s="4" t="s">
        <v>6736</v>
      </c>
      <c r="C5361" s="5" t="str">
        <f>IFERROR(__xludf.DUMMYFUNCTION("GOOGLETRANSLATE(B5361,""en"",""de"")"),"Ein Mann in weißer Schürze und Hosen steht auf einer Leiter mit einem Bleistift und einer Tapete.")</f>
        <v>Ein Mann in weißer Schürze und Hosen steht auf einer Leiter mit einem Bleistift und einer Tapete.</v>
      </c>
    </row>
    <row r="5362">
      <c r="A5362" s="4" t="s">
        <v>6735</v>
      </c>
      <c r="B5362" s="4" t="s">
        <v>6737</v>
      </c>
      <c r="C5362" s="5" t="str">
        <f>IFERROR(__xludf.DUMMYFUNCTION("GOOGLETRANSLATE(B5362,""en"",""de"")"),"Der Mann wendet einen Tapetenstreifen auf eine Wand und glättet mit seiner Hand.")</f>
        <v>Der Mann wendet einen Tapetenstreifen auf eine Wand und glättet mit seiner Hand.</v>
      </c>
    </row>
    <row r="5363">
      <c r="A5363" s="4" t="s">
        <v>6735</v>
      </c>
      <c r="B5363" s="4" t="s">
        <v>6738</v>
      </c>
      <c r="C5363" s="5" t="str">
        <f>IFERROR(__xludf.DUMMYFUNCTION("GOOGLETRANSLATE(B5363,""en"",""de"")"),"Der Mann benutzt einen Lappen und dann einen Pinsel, um dich an der Wandoberfläche zu glätten.")</f>
        <v>Der Mann benutzt einen Lappen und dann einen Pinsel, um dich an der Wandoberfläche zu glätten.</v>
      </c>
    </row>
    <row r="5364">
      <c r="A5364" s="4" t="s">
        <v>6735</v>
      </c>
      <c r="B5364" s="4" t="s">
        <v>6739</v>
      </c>
      <c r="C5364" s="5" t="str">
        <f>IFERROR(__xludf.DUMMYFUNCTION("GOOGLETRANSLATE(B5364,""en"",""de"")"),"Der Maler verwendet einen Spatel und eine Klinge, um eine gerade Linie am Tapetenkante entlang der Decke zu schneiden.")</f>
        <v>Der Maler verwendet einen Spatel und eine Klinge, um eine gerade Linie am Tapetenkante entlang der Decke zu schneiden.</v>
      </c>
    </row>
    <row r="5365">
      <c r="A5365" s="4" t="s">
        <v>6735</v>
      </c>
      <c r="B5365" s="4" t="s">
        <v>6740</v>
      </c>
      <c r="C5365" s="5" t="str">
        <f>IFERROR(__xludf.DUMMYFUNCTION("GOOGLETRANSLATE(B5365,""en"",""de"")"),"Der Mann kommt von der Leiter hinunter und rollt die Tapete auf den Boden ab.")</f>
        <v>Der Mann kommt von der Leiter hinunter und rollt die Tapete auf den Boden ab.</v>
      </c>
    </row>
    <row r="5366">
      <c r="A5366" s="4" t="s">
        <v>6735</v>
      </c>
      <c r="B5366" s="4" t="s">
        <v>6741</v>
      </c>
      <c r="C5366" s="5" t="str">
        <f>IFERROR(__xludf.DUMMYFUNCTION("GOOGLETRANSLATE(B5366,""en"",""de"")"),"Der Mann glättet weiterhin den unteren Abschnitt der Tapete mit einer Bürste bis zum Drosesboard.")</f>
        <v>Der Mann glättet weiterhin den unteren Abschnitt der Tapete mit einer Bürste bis zum Drosesboard.</v>
      </c>
    </row>
    <row r="5367">
      <c r="A5367" s="4" t="s">
        <v>6735</v>
      </c>
      <c r="B5367" s="4" t="s">
        <v>6742</v>
      </c>
      <c r="C5367" s="5" t="str">
        <f>IFERROR(__xludf.DUMMYFUNCTION("GOOGLETRANSLATE(B5367,""en"",""de"")"),"Der Mann schneidet die untere Kante des Handlungspapiers mit einer Klinge gegen das Bodenbrett ab.")</f>
        <v>Der Mann schneidet die untere Kante des Handlungspapiers mit einer Klinge gegen das Bodenbrett ab.</v>
      </c>
    </row>
    <row r="5368">
      <c r="A5368" s="4" t="s">
        <v>6735</v>
      </c>
      <c r="B5368" s="4" t="s">
        <v>6743</v>
      </c>
      <c r="C5368" s="5" t="str">
        <f>IFERROR(__xludf.DUMMYFUNCTION("GOOGLETRANSLATE(B5368,""en"",""de"")"),"Der Mann schlägt die Ecke des Tapetenpapiers von der Decke über den Boden hinunter.")</f>
        <v>Der Mann schlägt die Ecke des Tapetenpapiers von der Decke über den Boden hinunter.</v>
      </c>
    </row>
    <row r="5369">
      <c r="A5369" s="4" t="s">
        <v>6744</v>
      </c>
      <c r="B5369" s="4" t="s">
        <v>6745</v>
      </c>
      <c r="C5369" s="5" t="str">
        <f>IFERROR(__xludf.DUMMYFUNCTION("GOOGLETRANSLATE(B5369,""en"",""de"")"),"Zwei Kinder sitzen in einer Wanne, die ihre Gesichter reiben und die Hände einer anderen Person interagieren.")</f>
        <v>Zwei Kinder sitzen in einer Wanne, die ihre Gesichter reiben und die Hände einer anderen Person interagieren.</v>
      </c>
    </row>
    <row r="5370">
      <c r="A5370" s="4" t="s">
        <v>6744</v>
      </c>
      <c r="B5370" s="4" t="s">
        <v>6746</v>
      </c>
      <c r="C5370" s="5" t="str">
        <f>IFERROR(__xludf.DUMMYFUNCTION("GOOGLETRANSLATE(B5370,""en"",""de"")"),"Der Junge astet weiterhin Wasser über sein Gesicht und spielt mit Spielzeug und lächelt den Kameramann an.")</f>
        <v>Der Junge astet weiterhin Wasser über sein Gesicht und spielt mit Spielzeug und lächelt den Kameramann an.</v>
      </c>
    </row>
    <row r="5371">
      <c r="A5371" s="4" t="s">
        <v>6747</v>
      </c>
      <c r="B5371" s="4" t="s">
        <v>6748</v>
      </c>
      <c r="C5371" s="5" t="str">
        <f>IFERROR(__xludf.DUMMYFUNCTION("GOOGLETRANSLATE(B5371,""en"",""de"")"),"Ein Mann geht auf eine Spur in einer Kegelbahn.")</f>
        <v>Ein Mann geht auf eine Spur in einer Kegelbahn.</v>
      </c>
    </row>
    <row r="5372">
      <c r="A5372" s="4" t="s">
        <v>6747</v>
      </c>
      <c r="B5372" s="4" t="s">
        <v>6749</v>
      </c>
      <c r="C5372" s="5" t="str">
        <f>IFERROR(__xludf.DUMMYFUNCTION("GOOGLETRANSLATE(B5372,""en"",""de"")"),"Er wirft den Ball und beobachtet, wie er mehrmals auf die Fahrspur gleitet.")</f>
        <v>Er wirft den Ball und beobachtet, wie er mehrmals auf die Fahrspur gleitet.</v>
      </c>
    </row>
    <row r="5373">
      <c r="A5373" s="4" t="s">
        <v>6747</v>
      </c>
      <c r="B5373" s="4" t="s">
        <v>6750</v>
      </c>
      <c r="C5373" s="5" t="str">
        <f>IFERROR(__xludf.DUMMYFUNCTION("GOOGLETRANSLATE(B5373,""en"",""de"")"),"Es schlägt alle bis auf zwei Stifte nieder, die er beim zweiten Mal vermisst.")</f>
        <v>Es schlägt alle bis auf zwei Stifte nieder, die er beim zweiten Mal vermisst.</v>
      </c>
    </row>
    <row r="5374">
      <c r="A5374" s="4" t="s">
        <v>6751</v>
      </c>
      <c r="B5374" s="4" t="s">
        <v>6752</v>
      </c>
      <c r="C5374" s="5" t="str">
        <f>IFERROR(__xludf.DUMMYFUNCTION("GOOGLETRANSLATE(B5374,""en"",""de"")"),"Little Girl ist in einem Wettbewerb auf der Bühne und machte einen Sprung in eine Parallele, um Gymnastik und SOMERAULTS zu machen.")</f>
        <v>Little Girl ist in einem Wettbewerb auf der Bühne und machte einen Sprung in eine Parallele, um Gymnastik und SOMERAULTS zu machen.</v>
      </c>
    </row>
    <row r="5375">
      <c r="A5375" s="4" t="s">
        <v>6751</v>
      </c>
      <c r="B5375" s="4" t="s">
        <v>6753</v>
      </c>
      <c r="C5375" s="5" t="str">
        <f>IFERROR(__xludf.DUMMYFUNCTION("GOOGLETRANSLATE(B5375,""en"",""de"")"),"Peolpe steht hinter der Bühne und redet.")</f>
        <v>Peolpe steht hinter der Bühne und redet.</v>
      </c>
    </row>
    <row r="5376">
      <c r="A5376" s="4" t="s">
        <v>6754</v>
      </c>
      <c r="B5376" s="4" t="s">
        <v>6755</v>
      </c>
      <c r="C5376" s="5" t="str">
        <f>IFERROR(__xludf.DUMMYFUNCTION("GOOGLETRANSLATE(B5376,""en"",""de"")"),"Eine Frau strickt im Bett.")</f>
        <v>Eine Frau strickt im Bett.</v>
      </c>
    </row>
    <row r="5377">
      <c r="A5377" s="4" t="s">
        <v>6754</v>
      </c>
      <c r="B5377" s="4" t="s">
        <v>6756</v>
      </c>
      <c r="C5377" s="5" t="str">
        <f>IFERROR(__xludf.DUMMYFUNCTION("GOOGLETRANSLATE(B5377,""en"",""de"")"),"Die Frau setzt ihre Arme hinunter, um das Garn zu fangen.")</f>
        <v>Die Frau setzt ihre Arme hinunter, um das Garn zu fangen.</v>
      </c>
    </row>
    <row r="5378">
      <c r="A5378" s="4" t="s">
        <v>6754</v>
      </c>
      <c r="B5378" s="4" t="s">
        <v>6757</v>
      </c>
      <c r="C5378" s="5" t="str">
        <f>IFERROR(__xludf.DUMMYFUNCTION("GOOGLETRANSLATE(B5378,""en"",""de"")"),"Die Frau zeigt, was sie gemacht hat.")</f>
        <v>Die Frau zeigt, was sie gemacht hat.</v>
      </c>
    </row>
    <row r="5379">
      <c r="A5379" s="4" t="s">
        <v>6758</v>
      </c>
      <c r="B5379" s="4" t="s">
        <v>6759</v>
      </c>
      <c r="C5379" s="5" t="str">
        <f>IFERROR(__xludf.DUMMYFUNCTION("GOOGLETRANSLATE(B5379,""en"",""de"")"),"Die Menschen stehen auf einem Grasfeld.")</f>
        <v>Die Menschen stehen auf einem Grasfeld.</v>
      </c>
    </row>
    <row r="5380">
      <c r="A5380" s="4" t="s">
        <v>6758</v>
      </c>
      <c r="B5380" s="4" t="s">
        <v>6760</v>
      </c>
      <c r="C5380" s="5" t="str">
        <f>IFERROR(__xludf.DUMMYFUNCTION("GOOGLETRANSLATE(B5380,""en"",""de"")"),"Ein Mann hält einen Ball in der Nähe seines Hals und dreht sich herum.")</f>
        <v>Ein Mann hält einen Ball in der Nähe seines Hals und dreht sich herum.</v>
      </c>
    </row>
    <row r="5381">
      <c r="A5381" s="4" t="s">
        <v>6758</v>
      </c>
      <c r="B5381" s="4" t="s">
        <v>6761</v>
      </c>
      <c r="C5381" s="5" t="str">
        <f>IFERROR(__xludf.DUMMYFUNCTION("GOOGLETRANSLATE(B5381,""en"",""de"")"),"Er wirft es auf das Feld.")</f>
        <v>Er wirft es auf das Feld.</v>
      </c>
    </row>
    <row r="5382">
      <c r="A5382" s="4" t="s">
        <v>6762</v>
      </c>
      <c r="B5382" s="4" t="s">
        <v>6763</v>
      </c>
      <c r="C5382" s="5" t="str">
        <f>IFERROR(__xludf.DUMMYFUNCTION("GOOGLETRANSLATE(B5382,""en"",""de"")"),"Eine Frau öffnet eine weiße Schranktür.")</f>
        <v>Eine Frau öffnet eine weiße Schranktür.</v>
      </c>
    </row>
    <row r="5383">
      <c r="A5383" s="4" t="s">
        <v>6762</v>
      </c>
      <c r="B5383" s="4" t="s">
        <v>6764</v>
      </c>
      <c r="C5383" s="5" t="str">
        <f>IFERROR(__xludf.DUMMYFUNCTION("GOOGLETRANSLATE(B5383,""en"",""de"")"),"Sie entfernt einige Schuhe aus dem Schrank.")</f>
        <v>Sie entfernt einige Schuhe aus dem Schrank.</v>
      </c>
    </row>
    <row r="5384">
      <c r="A5384" s="4" t="s">
        <v>6762</v>
      </c>
      <c r="B5384" s="4" t="s">
        <v>6765</v>
      </c>
      <c r="C5384" s="5" t="str">
        <f>IFERROR(__xludf.DUMMYFUNCTION("GOOGLETRANSLATE(B5384,""en"",""de"")"),"Sie zieht die Schuhe an.")</f>
        <v>Sie zieht die Schuhe an.</v>
      </c>
    </row>
    <row r="5385">
      <c r="A5385" s="4" t="s">
        <v>6762</v>
      </c>
      <c r="B5385" s="4" t="s">
        <v>6766</v>
      </c>
      <c r="C5385" s="5" t="str">
        <f>IFERROR(__xludf.DUMMYFUNCTION("GOOGLETRANSLATE(B5385,""en"",""de"")"),"Sie schnürt sie dann.")</f>
        <v>Sie schnürt sie dann.</v>
      </c>
    </row>
    <row r="5386">
      <c r="A5386" s="4" t="s">
        <v>6767</v>
      </c>
      <c r="B5386" s="4" t="s">
        <v>6768</v>
      </c>
      <c r="C5386" s="5" t="str">
        <f>IFERROR(__xludf.DUMMYFUNCTION("GOOGLETRANSLATE(B5386,""en"",""de"")"),"Eine junge blonde Frau spricht mit der Kamera in ihrem Zimmer.")</f>
        <v>Eine junge blonde Frau spricht mit der Kamera in ihrem Zimmer.</v>
      </c>
    </row>
    <row r="5387">
      <c r="A5387" s="4" t="s">
        <v>6767</v>
      </c>
      <c r="B5387" s="4" t="s">
        <v>6769</v>
      </c>
      <c r="C5387" s="5" t="str">
        <f>IFERROR(__xludf.DUMMYFUNCTION("GOOGLETRANSLATE(B5387,""en"",""de"")"),"Sie trennt ihre Haare in Abschnitte.")</f>
        <v>Sie trennt ihre Haare in Abschnitte.</v>
      </c>
    </row>
    <row r="5388">
      <c r="A5388" s="4" t="s">
        <v>6767</v>
      </c>
      <c r="B5388" s="4" t="s">
        <v>6770</v>
      </c>
      <c r="C5388" s="5" t="str">
        <f>IFERROR(__xludf.DUMMYFUNCTION("GOOGLETRANSLATE(B5388,""en"",""de"")"),"Sie zeigt dann, wie man die Abschnitte flechtet und sie an Ort und Stelle festhält.")</f>
        <v>Sie zeigt dann, wie man die Abschnitte flechtet und sie an Ort und Stelle festhält.</v>
      </c>
    </row>
    <row r="5389">
      <c r="A5389" s="4" t="s">
        <v>6771</v>
      </c>
      <c r="B5389" s="4" t="s">
        <v>6772</v>
      </c>
      <c r="C5389" s="5" t="str">
        <f>IFERROR(__xludf.DUMMYFUNCTION("GOOGLETRANSLATE(B5389,""en"",""de"")"),"Ein Mann ist drinnen und trägt Boxhandschuhe.")</f>
        <v>Ein Mann ist drinnen und trägt Boxhandschuhe.</v>
      </c>
    </row>
    <row r="5390">
      <c r="A5390" s="4" t="s">
        <v>6771</v>
      </c>
      <c r="B5390" s="4" t="s">
        <v>6773</v>
      </c>
      <c r="C5390" s="5" t="str">
        <f>IFERROR(__xludf.DUMMYFUNCTION("GOOGLETRANSLATE(B5390,""en"",""de"")"),"Er kickt mit einem großen Schlagsack, tritt und schlägt sie immer wieder.")</f>
        <v>Er kickt mit einem großen Schlagsack, tritt und schlägt sie immer wieder.</v>
      </c>
    </row>
    <row r="5391">
      <c r="A5391" s="4" t="s">
        <v>6774</v>
      </c>
      <c r="B5391" s="4" t="s">
        <v>6775</v>
      </c>
      <c r="C5391" s="5" t="str">
        <f>IFERROR(__xludf.DUMMYFUNCTION("GOOGLETRANSLATE(B5391,""en"",""de"")"),"Die Leute gehen mit Surfbrettern, dann steigen sie in ein Boot.")</f>
        <v>Die Leute gehen mit Surfbrettern, dann steigen sie in ein Boot.</v>
      </c>
    </row>
    <row r="5392">
      <c r="A5392" s="4" t="s">
        <v>6774</v>
      </c>
      <c r="B5392" s="4" t="s">
        <v>6776</v>
      </c>
      <c r="C5392" s="5" t="str">
        <f>IFERROR(__xludf.DUMMYFUNCTION("GOOGLETRANSLATE(B5392,""en"",""de"")"),"Ein Mann Wasserski hinter dem Boot springt hoch und dreht sich.")</f>
        <v>Ein Mann Wasserski hinter dem Boot springt hoch und dreht sich.</v>
      </c>
    </row>
    <row r="5393">
      <c r="A5393" s="4" t="s">
        <v>6774</v>
      </c>
      <c r="B5393" s="4" t="s">
        <v>6777</v>
      </c>
      <c r="C5393" s="5" t="str">
        <f>IFERROR(__xludf.DUMMYFUNCTION("GOOGLETRANSLATE(B5393,""en"",""de"")"),"Dann eine Frau und ein Mann Wasserski, der akrobatische Sprünge macht.")</f>
        <v>Dann eine Frau und ein Mann Wasserski, der akrobatische Sprünge macht.</v>
      </c>
    </row>
    <row r="5394">
      <c r="A5394" s="4" t="s">
        <v>6774</v>
      </c>
      <c r="B5394" s="4" t="s">
        <v>6778</v>
      </c>
      <c r="C5394" s="5" t="str">
        <f>IFERROR(__xludf.DUMMYFUNCTION("GOOGLETRANSLATE(B5394,""en"",""de"")"),"Ein Boot segelt im Fluss leer.")</f>
        <v>Ein Boot segelt im Fluss leer.</v>
      </c>
    </row>
    <row r="5395">
      <c r="A5395" s="4" t="s">
        <v>6774</v>
      </c>
      <c r="B5395" s="4" t="s">
        <v>6779</v>
      </c>
      <c r="C5395" s="5" t="str">
        <f>IFERROR(__xludf.DUMMYFUNCTION("GOOGLETRANSLATE(B5395,""en"",""de"")"),"Danach springen und drehten sich Männer mit Wasserskiski.")</f>
        <v>Danach springen und drehten sich Männer mit Wasserskiski.</v>
      </c>
    </row>
    <row r="5396">
      <c r="A5396" s="4" t="s">
        <v>6774</v>
      </c>
      <c r="B5396" s="4" t="s">
        <v>6780</v>
      </c>
      <c r="C5396" s="5" t="str">
        <f>IFERROR(__xludf.DUMMYFUNCTION("GOOGLETRANSLATE(B5396,""en"",""de"")"),"Als nächstes surft eine Person auf den Wellen, die vom Boot erzeugt wurde, nachdem der Mann Wasserski springt und hoch dreht.")</f>
        <v>Als nächstes surft eine Person auf den Wellen, die vom Boot erzeugt wurde, nachdem der Mann Wasserski springt und hoch dreht.</v>
      </c>
    </row>
    <row r="5397">
      <c r="A5397" s="4" t="s">
        <v>6781</v>
      </c>
      <c r="B5397" s="4" t="s">
        <v>6782</v>
      </c>
      <c r="C5397" s="5" t="str">
        <f>IFERROR(__xludf.DUMMYFUNCTION("GOOGLETRANSLATE(B5397,""en"",""de"")"),"Eine Person steht vor einem Waschbecken mit fließendem Wasser und schiebt ihre Hände unter das Wasser.")</f>
        <v>Eine Person steht vor einem Waschbecken mit fließendem Wasser und schiebt ihre Hände unter das Wasser.</v>
      </c>
    </row>
    <row r="5398">
      <c r="A5398" s="4" t="s">
        <v>6781</v>
      </c>
      <c r="B5398" s="4" t="s">
        <v>6783</v>
      </c>
      <c r="C5398" s="5" t="str">
        <f>IFERROR(__xludf.DUMMYFUNCTION("GOOGLETRANSLATE(B5398,""en"",""de"")"),"Dann legten sie Seife in ihre Hände, schrubben ein bisschen und rennen dann ihre Hände unter das Wasser.")</f>
        <v>Dann legten sie Seife in ihre Hände, schrubben ein bisschen und rennen dann ihre Hände unter das Wasser.</v>
      </c>
    </row>
    <row r="5399">
      <c r="A5399" s="4" t="s">
        <v>6781</v>
      </c>
      <c r="B5399" s="4" t="s">
        <v>6784</v>
      </c>
      <c r="C5399" s="5" t="str">
        <f>IFERROR(__xludf.DUMMYFUNCTION("GOOGLETRANSLATE(B5399,""en"",""de"")"),"Schließlich fährt sie mit den Händen unter Wasser und trocknet ihre Hand mit einem Papiertuch ab.")</f>
        <v>Schließlich fährt sie mit den Händen unter Wasser und trocknet ihre Hand mit einem Papiertuch ab.</v>
      </c>
    </row>
    <row r="5400">
      <c r="A5400" s="4" t="s">
        <v>6785</v>
      </c>
      <c r="B5400" s="4" t="s">
        <v>6786</v>
      </c>
      <c r="C5400" s="5" t="str">
        <f>IFERROR(__xludf.DUMMYFUNCTION("GOOGLETRANSLATE(B5400,""en"",""de"")"),"Auf einem Fluss versammeln sich die Leute, um Menschen auf Donuts und Booten zu beobachten, die raues Wasser kajakfahren.")</f>
        <v>Auf einem Fluss versammeln sich die Leute, um Menschen auf Donuts und Booten zu beobachten, die raues Wasser kajakfahren.</v>
      </c>
    </row>
    <row r="5401">
      <c r="A5401" s="4" t="s">
        <v>6785</v>
      </c>
      <c r="B5401" s="4" t="s">
        <v>6787</v>
      </c>
      <c r="C5401" s="5" t="str">
        <f>IFERROR(__xludf.DUMMYFUNCTION("GOOGLETRANSLATE(B5401,""en"",""de"")"),"Ein paar Leute auf einem Kajak werden umgedreht und in den Fluss fallen.")</f>
        <v>Ein paar Leute auf einem Kajak werden umgedreht und in den Fluss fallen.</v>
      </c>
    </row>
    <row r="5402">
      <c r="A5402" s="4" t="s">
        <v>6788</v>
      </c>
      <c r="B5402" s="4" t="s">
        <v>6789</v>
      </c>
      <c r="C5402" s="5" t="str">
        <f>IFERROR(__xludf.DUMMYFUNCTION("GOOGLETRANSLATE(B5402,""en"",""de"")"),"Eine Frau mit einer langen blonden Ponygeschichte rennt über ein großes grünes Feld, das einen Ball wirft.")</f>
        <v>Eine Frau mit einer langen blonden Ponygeschichte rennt über ein großes grünes Feld, das einen Ball wirft.</v>
      </c>
    </row>
    <row r="5403">
      <c r="A5403" s="4" t="s">
        <v>6788</v>
      </c>
      <c r="B5403" s="4" t="s">
        <v>6790</v>
      </c>
      <c r="C5403" s="5" t="str">
        <f>IFERROR(__xludf.DUMMYFUNCTION("GOOGLETRANSLATE(B5403,""en"",""de"")"),"Sie rennt dann weiter über das Feld und schaut auf die Tribünen und erwartet ein Softballspiel.")</f>
        <v>Sie rennt dann weiter über das Feld und schaut auf die Tribünen und erwartet ein Softballspiel.</v>
      </c>
    </row>
    <row r="5404">
      <c r="A5404" s="4" t="s">
        <v>6788</v>
      </c>
      <c r="B5404" s="4" t="s">
        <v>6791</v>
      </c>
      <c r="C5404" s="5" t="str">
        <f>IFERROR(__xludf.DUMMYFUNCTION("GOOGLETRANSLATE(B5404,""en"",""de"")"),"Im weiteren Verlauf der Aktion geht sie durch die Tribünen und eine URL erscheint auf dem letzten Bildschirm, um Live -Cricket -Spiele zu sehen.")</f>
        <v>Im weiteren Verlauf der Aktion geht sie durch die Tribünen und eine URL erscheint auf dem letzten Bildschirm, um Live -Cricket -Spiele zu sehen.</v>
      </c>
    </row>
    <row r="5405">
      <c r="A5405" s="4" t="s">
        <v>6792</v>
      </c>
      <c r="B5405" s="4" t="s">
        <v>6793</v>
      </c>
      <c r="C5405" s="5" t="str">
        <f>IFERROR(__xludf.DUMMYFUNCTION("GOOGLETRANSLATE(B5405,""en"",""de"")"),"Ein Schwarz -Weiß -Video spielt und einer der Männer ist Bruce Lee und er schlägt sehr geschickt und kreativ den Ping -Pong -Ball hin und her zu einem anderen Mann, der ein Ping -Pong -Paddel hält, während Bruce Lee den Ping Pong Ball mit Nanchucks und Na"&amp;"nchucks schlägt und schlägt Der Mann mit einem Paddel kann den Ball nicht auf dem Tisch halten.")</f>
        <v>Ein Schwarz -Weiß -Video spielt und einer der Männer ist Bruce Lee und er schlägt sehr geschickt und kreativ den Ping -Pong -Ball hin und her zu einem anderen Mann, der ein Ping -Pong -Paddel hält, während Bruce Lee den Ping Pong Ball mit Nanchucks und Nanchucks schlägt und schlägt Der Mann mit einem Paddel kann den Ball nicht auf dem Tisch halten.</v>
      </c>
    </row>
    <row r="5406">
      <c r="A5406" s="4" t="s">
        <v>6792</v>
      </c>
      <c r="B5406" s="4" t="s">
        <v>6794</v>
      </c>
      <c r="C5406" s="5" t="str">
        <f>IFERROR(__xludf.DUMMYFUNCTION("GOOGLETRANSLATE(B5406,""en"",""de"")"),"Jetzt gibt es am Ende des Tisches zwei Männer, die beide Paddel halten und gegen Bruce Lee spielen, während sie versuchen, den Ball auf dem Tisch zu halten, aber letztendlich scheitern.")</f>
        <v>Jetzt gibt es am Ende des Tisches zwei Männer, die beide Paddel halten und gegen Bruce Lee spielen, während sie versuchen, den Ball auf dem Tisch zu halten, aber letztendlich scheitern.</v>
      </c>
    </row>
    <row r="5407">
      <c r="A5407" s="4" t="s">
        <v>6792</v>
      </c>
      <c r="B5407" s="4" t="s">
        <v>6795</v>
      </c>
      <c r="C5407" s="5" t="str">
        <f>IFERROR(__xludf.DUMMYFUNCTION("GOOGLETRANSLATE(B5407,""en"",""de"")"),"Ein schwarzer Bildschirm erscheint mit weißem asiatischen Schriftzug in der Mitte, dann einer Website, auf der ""www Lee35 come cn"" ist.")</f>
        <v>Ein schwarzer Bildschirm erscheint mit weißem asiatischen Schriftzug in der Mitte, dann einer Website, auf der "www Lee35 come cn" ist.</v>
      </c>
    </row>
    <row r="5408">
      <c r="A5408" s="4" t="s">
        <v>6796</v>
      </c>
      <c r="B5408" s="4" t="s">
        <v>6797</v>
      </c>
      <c r="C5408" s="5" t="str">
        <f>IFERROR(__xludf.DUMMYFUNCTION("GOOGLETRANSLATE(B5408,""en"",""de"")"),"Die Kamera folgt mehreren Personen auf einem Gehweg aus Sicht der ersten Person.")</f>
        <v>Die Kamera folgt mehreren Personen auf einem Gehweg aus Sicht der ersten Person.</v>
      </c>
    </row>
    <row r="5409">
      <c r="A5409" s="4" t="s">
        <v>6796</v>
      </c>
      <c r="B5409" s="4" t="s">
        <v>6798</v>
      </c>
      <c r="C5409" s="5" t="str">
        <f>IFERROR(__xludf.DUMMYFUNCTION("GOOGLETRANSLATE(B5409,""en"",""de"")"),"Die Kamera zeigt neben anderen eine schneebedeckte Neigung aus einer ersten Person.")</f>
        <v>Die Kamera zeigt neben anderen eine schneebedeckte Neigung aus einer ersten Person.</v>
      </c>
    </row>
    <row r="5410">
      <c r="A5410" s="4" t="s">
        <v>6796</v>
      </c>
      <c r="B5410" s="4" t="s">
        <v>6799</v>
      </c>
      <c r="C5410" s="5" t="str">
        <f>IFERROR(__xludf.DUMMYFUNCTION("GOOGLETRANSLATE(B5410,""en"",""de"")"),"Die Kamera zeigt, wie aus der Perspektive der ersten Person einen schneebedeckten Hang hinunter rutscht.")</f>
        <v>Die Kamera zeigt, wie aus der Perspektive der ersten Person einen schneebedeckten Hang hinunter rutscht.</v>
      </c>
    </row>
    <row r="5411">
      <c r="A5411" s="4" t="s">
        <v>6796</v>
      </c>
      <c r="B5411" s="4" t="s">
        <v>6800</v>
      </c>
      <c r="C5411" s="5" t="str">
        <f>IFERROR(__xludf.DUMMYFUNCTION("GOOGLETRANSLATE(B5411,""en"",""de"")"),"Die Kamera zeigt einen weiteren Rutsch aus der Perspektive der ersten Person neben anderen.")</f>
        <v>Die Kamera zeigt einen weiteren Rutsch aus der Perspektive der ersten Person neben anderen.</v>
      </c>
    </row>
    <row r="5412">
      <c r="A5412" s="4" t="s">
        <v>6796</v>
      </c>
      <c r="B5412" s="4" t="s">
        <v>6801</v>
      </c>
      <c r="C5412" s="5" t="str">
        <f>IFERROR(__xludf.DUMMYFUNCTION("GOOGLETRANSLATE(B5412,""en"",""de"")"),"Die Kamera beobachtet, wie mehrere andere Personen den Hang hinunterrutschen.")</f>
        <v>Die Kamera beobachtet, wie mehrere andere Personen den Hang hinunterrutschen.</v>
      </c>
    </row>
    <row r="5413">
      <c r="A5413" s="4" t="s">
        <v>6796</v>
      </c>
      <c r="B5413" s="4" t="s">
        <v>6802</v>
      </c>
      <c r="C5413" s="5" t="str">
        <f>IFERROR(__xludf.DUMMYFUNCTION("GOOGLETRANSLATE(B5413,""en"",""de"")"),"Die Kamera fängt einen weiteren Rutschen den Hang aus Sicht der ersten Person beim Drehen.")</f>
        <v>Die Kamera fängt einen weiteren Rutschen den Hang aus Sicht der ersten Person beim Drehen.</v>
      </c>
    </row>
    <row r="5414">
      <c r="A5414" s="4" t="s">
        <v>6796</v>
      </c>
      <c r="B5414" s="4" t="s">
        <v>6803</v>
      </c>
      <c r="C5414" s="5" t="str">
        <f>IFERROR(__xludf.DUMMYFUNCTION("GOOGLETRANSLATE(B5414,""en"",""de"")"),"Die Kamera fängt mehr Rutschen den Hang aus Sicht der ersten Person, während sie nach links und rechts schaut.")</f>
        <v>Die Kamera fängt mehr Rutschen den Hang aus Sicht der ersten Person, während sie nach links und rechts schaut.</v>
      </c>
    </row>
    <row r="5415">
      <c r="A5415" s="4" t="s">
        <v>6804</v>
      </c>
      <c r="B5415" s="4" t="s">
        <v>6805</v>
      </c>
      <c r="C5415" s="5" t="str">
        <f>IFERROR(__xludf.DUMMYFUNCTION("GOOGLETRANSLATE(B5415,""en"",""de"")"),"Eine Person sitzt auf einem Stuhl, in dem der Arm aus einem männlichen Künstler ein Tattoo bekommt.")</f>
        <v>Eine Person sitzt auf einem Stuhl, in dem der Arm aus einem männlichen Künstler ein Tattoo bekommt.</v>
      </c>
    </row>
    <row r="5416">
      <c r="A5416" s="4" t="s">
        <v>6804</v>
      </c>
      <c r="B5416" s="4" t="s">
        <v>6806</v>
      </c>
      <c r="C5416" s="5" t="str">
        <f>IFERROR(__xludf.DUMMYFUNCTION("GOOGLETRANSLATE(B5416,""en"",""de"")"),"Die Männer sprechen zurück und vierten zueinander und die Kamera zoomt auf dem Arm, der fertig ist.")</f>
        <v>Die Männer sprechen zurück und vierten zueinander und die Kamera zoomt auf dem Arm, der fertig ist.</v>
      </c>
    </row>
    <row r="5417">
      <c r="A5417" s="4" t="s">
        <v>6804</v>
      </c>
      <c r="B5417" s="4" t="s">
        <v>6807</v>
      </c>
      <c r="C5417" s="5" t="str">
        <f>IFERROR(__xludf.DUMMYFUNCTION("GOOGLETRANSLATE(B5417,""en"",""de"")"),"Am Ende werden Bilder der zusammen stehenden Männer ebenso gezeigt wie das Tattoo.")</f>
        <v>Am Ende werden Bilder der zusammen stehenden Männer ebenso gezeigt wie das Tattoo.</v>
      </c>
    </row>
    <row r="5418">
      <c r="A5418" s="4" t="s">
        <v>6808</v>
      </c>
      <c r="B5418" s="4" t="s">
        <v>6809</v>
      </c>
      <c r="C5418" s="5" t="str">
        <f>IFERROR(__xludf.DUMMYFUNCTION("GOOGLETRANSLATE(B5418,""en"",""de"")"),"Eine große Gruppe von Menschen schwimmt um einen Ozean herum, während zwei Männer an einem Fußball -Ball zurück und an der Küste vierten zueinander vorbeikommen.")</f>
        <v>Eine große Gruppe von Menschen schwimmt um einen Ozean herum, während zwei Männer an einem Fußball -Ball zurück und an der Küste vierten zueinander vorbeikommen.</v>
      </c>
    </row>
    <row r="5419">
      <c r="A5419" s="4" t="s">
        <v>6808</v>
      </c>
      <c r="B5419" s="4" t="s">
        <v>6810</v>
      </c>
      <c r="C5419" s="5" t="str">
        <f>IFERROR(__xludf.DUMMYFUNCTION("GOOGLETRANSLATE(B5419,""en"",""de"")"),"Weitere Menschen gehen in und aus dem Rahmen hinein und aus dem Rahmen heraus, während die Männer den Ball weiter zurücknehmen und den vierten zueinander.")</f>
        <v>Weitere Menschen gehen in und aus dem Rahmen hinein und aus dem Rahmen heraus, während die Männer den Ball weiter zurücknehmen und den vierten zueinander.</v>
      </c>
    </row>
    <row r="5420">
      <c r="A5420" s="4" t="s">
        <v>6811</v>
      </c>
      <c r="B5420" s="4" t="s">
        <v>6812</v>
      </c>
      <c r="C5420" s="5" t="str">
        <f>IFERROR(__xludf.DUMMYFUNCTION("GOOGLETRANSLATE(B5420,""en"",""de"")"),"Eine Frau spricht mit der Kamera, während sie eine Karte hält.")</f>
        <v>Eine Frau spricht mit der Kamera, während sie eine Karte hält.</v>
      </c>
    </row>
    <row r="5421">
      <c r="A5421" s="4" t="s">
        <v>6811</v>
      </c>
      <c r="B5421" s="4" t="s">
        <v>6813</v>
      </c>
      <c r="C5421" s="5" t="str">
        <f>IFERROR(__xludf.DUMMYFUNCTION("GOOGLETRANSLATE(B5421,""en"",""de"")"),"Ein Paar erscheint auf einer professionellen Bühne im Rampenlicht und führt eine Tanzroutine durch.")</f>
        <v>Ein Paar erscheint auf einer professionellen Bühne im Rampenlicht und führt eine Tanzroutine durch.</v>
      </c>
    </row>
    <row r="5422">
      <c r="A5422" s="4" t="s">
        <v>6811</v>
      </c>
      <c r="B5422" s="4" t="s">
        <v>6814</v>
      </c>
      <c r="C5422" s="5" t="str">
        <f>IFERROR(__xludf.DUMMYFUNCTION("GOOGLETRANSLATE(B5422,""en"",""de"")"),"Das Paar beendet seine Routine, er küsst ihre Hand und das Publikum applaudiert.")</f>
        <v>Das Paar beendet seine Routine, er küsst ihre Hand und das Publikum applaudiert.</v>
      </c>
    </row>
    <row r="5423">
      <c r="A5423" s="4" t="s">
        <v>6815</v>
      </c>
      <c r="B5423" s="4" t="s">
        <v>6816</v>
      </c>
      <c r="C5423" s="5" t="str">
        <f>IFERROR(__xludf.DUMMYFUNCTION("GOOGLETRANSLATE(B5423,""en"",""de"")"),"Ein Mann, der in schwarzen Shorts, T-Shirt, Turnschuhen und roter Baseballmütze gekleidet ist, betritt einen orangefarbenen Raum mit Holzböden und zeigt eine Armliktübung mit zwei metallschwarzen Hanteln.")</f>
        <v>Ein Mann, der in schwarzen Shorts, T-Shirt, Turnschuhen und roter Baseballmütze gekleidet ist, betritt einen orangefarbenen Raum mit Holzböden und zeigt eine Armliktübung mit zwei metallschwarzen Hanteln.</v>
      </c>
    </row>
    <row r="5424">
      <c r="A5424" s="4" t="s">
        <v>6815</v>
      </c>
      <c r="B5424" s="4" t="s">
        <v>6817</v>
      </c>
      <c r="C5424" s="5" t="str">
        <f>IFERROR(__xludf.DUMMYFUNCTION("GOOGLETRANSLATE(B5424,""en"",""de"")"),"Ein orangenmauerter Raum ist leer, mit Ausnahme von zwei schwarzen Hanteln, die horizontal auf dem Boden liegen.")</f>
        <v>Ein orangenmauerter Raum ist leer, mit Ausnahme von zwei schwarzen Hanteln, die horizontal auf dem Boden liegen.</v>
      </c>
    </row>
    <row r="5425">
      <c r="A5425" s="4" t="s">
        <v>6815</v>
      </c>
      <c r="B5425" s="4" t="s">
        <v>6818</v>
      </c>
      <c r="C5425" s="5" t="str">
        <f>IFERROR(__xludf.DUMMYFUNCTION("GOOGLETRANSLATE(B5425,""en"",""de"")"),"Der Mann geht in den Raum und steht vor den Hanteln und fällt dann auf die Knie, wo er spricht und sein Profil zeigt und dann wieder auf die Knie dreht, um sich dem Kamerakopf zu stellen.")</f>
        <v>Der Mann geht in den Raum und steht vor den Hanteln und fällt dann auf die Knie, wo er spricht und sein Profil zeigt und dann wieder auf die Knie dreht, um sich dem Kamerakopf zu stellen.</v>
      </c>
    </row>
    <row r="5426">
      <c r="A5426" s="4" t="s">
        <v>6815</v>
      </c>
      <c r="B5426" s="4" t="s">
        <v>6819</v>
      </c>
      <c r="C5426" s="5" t="str">
        <f>IFERROR(__xludf.DUMMYFUNCTION("GOOGLETRANSLATE(B5426,""en"",""de"")"),"Der Mann nimmt dann die Hanteln auf und hebt sie direkt über seinen Kopf, zeigt die Kamera und dann erneut aus einem Profilwinkel, bevor sie die Hanteln vertikal platzieren und den Raum verlassen.")</f>
        <v>Der Mann nimmt dann die Hanteln auf und hebt sie direkt über seinen Kopf, zeigt die Kamera und dann erneut aus einem Profilwinkel, bevor sie die Hanteln vertikal platzieren und den Raum verlassen.</v>
      </c>
    </row>
    <row r="5427">
      <c r="A5427" s="4" t="s">
        <v>6820</v>
      </c>
      <c r="B5427" s="4" t="s">
        <v>6821</v>
      </c>
      <c r="C5427" s="5" t="str">
        <f>IFERROR(__xludf.DUMMYFUNCTION("GOOGLETRANSLATE(B5427,""en"",""de"")"),"Ein junges Mädchen spricht mit einer Videokamera mit einem Burler in ihren Pony, hält gelegentlich ein Handy ins Gesicht und führt eine jüngere Person mit ihr im Hintergrund vor.")</f>
        <v>Ein junges Mädchen spricht mit einer Videokamera mit einem Burler in ihren Pony, hält gelegentlich ein Handy ins Gesicht und führt eine jüngere Person mit ihr im Hintergrund vor.</v>
      </c>
    </row>
    <row r="5428">
      <c r="A5428" s="4" t="s">
        <v>6820</v>
      </c>
      <c r="B5428" s="4" t="s">
        <v>6822</v>
      </c>
      <c r="C5428" s="5" t="str">
        <f>IFERROR(__xludf.DUMMYFUNCTION("GOOGLETRANSLATE(B5428,""en"",""de"")"),"Das Mädchen mit Curler in ihrem Knall spricht in einem Nahauffangwinkel mit der Kamera.")</f>
        <v>Das Mädchen mit Curler in ihrem Knall spricht in einem Nahauffangwinkel mit der Kamera.</v>
      </c>
    </row>
    <row r="5429">
      <c r="A5429" s="4" t="s">
        <v>6820</v>
      </c>
      <c r="B5429" s="4" t="s">
        <v>6823</v>
      </c>
      <c r="C5429" s="5" t="str">
        <f>IFERROR(__xludf.DUMMYFUNCTION("GOOGLETRANSLATE(B5429,""en"",""de"")"),"Das Mädchen verweist auf den Burler in ihrem Knall und hält ein Handy hoch, um Licht auf ihr Gesicht zu werfen, das sie näher an die Kamera bringt.")</f>
        <v>Das Mädchen verweist auf den Burler in ihrem Knall und hält ein Handy hoch, um Licht auf ihr Gesicht zu werfen, das sie näher an die Kamera bringt.</v>
      </c>
    </row>
    <row r="5430">
      <c r="A5430" s="4" t="s">
        <v>6820</v>
      </c>
      <c r="B5430" s="4" t="s">
        <v>6824</v>
      </c>
      <c r="C5430" s="5" t="str">
        <f>IFERROR(__xludf.DUMMYFUNCTION("GOOGLETRANSLATE(B5430,""en"",""de"")"),"Das Mädchen lacht, wenn ein jüngeres Mädchen im Raum mit einer rosa Perücke im Hintergrund gezeigt wird, sie lacht erneut, als das jüngere Mädchen ihre rosa Perücke in die Kamera steckt.")</f>
        <v>Das Mädchen lacht, wenn ein jüngeres Mädchen im Raum mit einer rosa Perücke im Hintergrund gezeigt wird, sie lacht erneut, als das jüngere Mädchen ihre rosa Perücke in die Kamera steckt.</v>
      </c>
    </row>
    <row r="5431">
      <c r="A5431" s="4" t="s">
        <v>6825</v>
      </c>
      <c r="B5431" s="4" t="s">
        <v>6826</v>
      </c>
      <c r="C5431" s="5" t="str">
        <f>IFERROR(__xludf.DUMMYFUNCTION("GOOGLETRANSLATE(B5431,""en"",""de"")"),"Ein paar Männer befinden sich in einem grün gefärbten Fitnessstudio.")</f>
        <v>Ein paar Männer befinden sich in einem grün gefärbten Fitnessstudio.</v>
      </c>
    </row>
    <row r="5432">
      <c r="A5432" s="4" t="s">
        <v>6825</v>
      </c>
      <c r="B5432" s="4" t="s">
        <v>6827</v>
      </c>
      <c r="C5432" s="5" t="str">
        <f>IFERROR(__xludf.DUMMYFUNCTION("GOOGLETRANSLATE(B5432,""en"",""de"")"),"Sie schieben einen Tennisball hin und her.")</f>
        <v>Sie schieben einen Tennisball hin und her.</v>
      </c>
    </row>
    <row r="5433">
      <c r="A5433" s="4" t="s">
        <v>6825</v>
      </c>
      <c r="B5433" s="4" t="s">
        <v>6828</v>
      </c>
      <c r="C5433" s="5" t="str">
        <f>IFERROR(__xludf.DUMMYFUNCTION("GOOGLETRANSLATE(B5433,""en"",""de"")"),"Sie engagieren sich mit einem Tennisspiel.")</f>
        <v>Sie engagieren sich mit einem Tennisspiel.</v>
      </c>
    </row>
    <row r="5434">
      <c r="A5434" s="4" t="s">
        <v>6829</v>
      </c>
      <c r="B5434" s="4" t="s">
        <v>6830</v>
      </c>
      <c r="C5434" s="5" t="str">
        <f>IFERROR(__xludf.DUMMYFUNCTION("GOOGLETRANSLATE(B5434,""en"",""de"")"),"Ein Mann sitzt auf einem Dach.")</f>
        <v>Ein Mann sitzt auf einem Dach.</v>
      </c>
    </row>
    <row r="5435">
      <c r="A5435" s="4" t="s">
        <v>6829</v>
      </c>
      <c r="B5435" s="4" t="s">
        <v>6831</v>
      </c>
      <c r="C5435" s="5" t="str">
        <f>IFERROR(__xludf.DUMMYFUNCTION("GOOGLETRANSLATE(B5435,""en"",""de"")"),"Er fängt an, das Dach auf einem Dach hochzuziehen.")</f>
        <v>Er fängt an, das Dach auf einem Dach hochzuziehen.</v>
      </c>
    </row>
    <row r="5436">
      <c r="A5436" s="4" t="s">
        <v>6829</v>
      </c>
      <c r="B5436" s="4" t="s">
        <v>6832</v>
      </c>
      <c r="C5436" s="5" t="str">
        <f>IFERROR(__xludf.DUMMYFUNCTION("GOOGLETRANSLATE(B5436,""en"",""de"")"),"Ein Mann geht eine Leiter hinauf auf das Dach.")</f>
        <v>Ein Mann geht eine Leiter hinauf auf das Dach.</v>
      </c>
    </row>
    <row r="5437">
      <c r="A5437" s="4" t="s">
        <v>6833</v>
      </c>
      <c r="B5437" s="4" t="s">
        <v>6834</v>
      </c>
      <c r="C5437" s="5" t="str">
        <f>IFERROR(__xludf.DUMMYFUNCTION("GOOGLETRANSLATE(B5437,""en"",""de"")"),"Ein Junge wird vor einer Wand knien und beginnt ein Werkzeug auf dem Teppich zu verwenden.")</f>
        <v>Ein Junge wird vor einer Wand knien und beginnt ein Werkzeug auf dem Teppich zu verwenden.</v>
      </c>
    </row>
    <row r="5438">
      <c r="A5438" s="4" t="s">
        <v>6833</v>
      </c>
      <c r="B5438" s="4" t="s">
        <v>6835</v>
      </c>
      <c r="C5438" s="5" t="str">
        <f>IFERROR(__xludf.DUMMYFUNCTION("GOOGLETRANSLATE(B5438,""en"",""de"")"),"Der Mann reibt seine Hand über den Teppich und schneidet weiter.")</f>
        <v>Der Mann reibt seine Hand über den Teppich und schneidet weiter.</v>
      </c>
    </row>
    <row r="5439">
      <c r="A5439" s="4" t="s">
        <v>6833</v>
      </c>
      <c r="B5439" s="4" t="s">
        <v>6836</v>
      </c>
      <c r="C5439" s="5" t="str">
        <f>IFERROR(__xludf.DUMMYFUNCTION("GOOGLETRANSLATE(B5439,""en"",""de"")"),"Der Mann schneidet weiter den Teppich entlang, während er seine Hand rieb.")</f>
        <v>Der Mann schneidet weiter den Teppich entlang, während er seine Hand rieb.</v>
      </c>
    </row>
    <row r="5440">
      <c r="A5440" s="4" t="s">
        <v>6837</v>
      </c>
      <c r="B5440" s="4" t="s">
        <v>6838</v>
      </c>
      <c r="C5440" s="5" t="str">
        <f>IFERROR(__xludf.DUMMYFUNCTION("GOOGLETRANSLATE(B5440,""en"",""de"")"),"Ein junger blonde Junge steht in einem Spülbecken mit einem handgehaltenen Sprühgerät in der Hand und sprüht alle Gerichte.")</f>
        <v>Ein junger blonde Junge steht in einem Spülbecken mit einem handgehaltenen Sprühgerät in der Hand und sprüht alle Gerichte.</v>
      </c>
    </row>
    <row r="5441">
      <c r="A5441" s="4" t="s">
        <v>6837</v>
      </c>
      <c r="B5441" s="4" t="s">
        <v>6839</v>
      </c>
      <c r="C5441" s="5" t="str">
        <f>IFERROR(__xludf.DUMMYFUNCTION("GOOGLETRANSLATE(B5441,""en"",""de"")"),"Der Junge steckt dann das Sprühgerät in einen grünen Topf auf die Theke und sprüht das Wasser dort hinein.")</f>
        <v>Der Junge steckt dann das Sprühgerät in einen grünen Topf auf die Theke und sprüht das Wasser dort hinein.</v>
      </c>
    </row>
    <row r="5442">
      <c r="A5442" s="4" t="s">
        <v>6837</v>
      </c>
      <c r="B5442" s="4" t="s">
        <v>6840</v>
      </c>
      <c r="C5442" s="5" t="str">
        <f>IFERROR(__xludf.DUMMYFUNCTION("GOOGLETRANSLATE(B5442,""en"",""de"")"),"Der Junge lässt das Sprühgerät fallen und nimmt eine Tasse aus dem Waschbecken, füllt es mit Wasser, gießt das Wasser in den Topf, füllt es erneut und gießt es in eine Schüssel auf der Theke.")</f>
        <v>Der Junge lässt das Sprühgerät fallen und nimmt eine Tasse aus dem Waschbecken, füllt es mit Wasser, gießt das Wasser in den Topf, füllt es erneut und gießt es in eine Schüssel auf der Theke.</v>
      </c>
    </row>
    <row r="5443">
      <c r="A5443" s="4" t="s">
        <v>6837</v>
      </c>
      <c r="B5443" s="4" t="s">
        <v>6841</v>
      </c>
      <c r="C5443" s="5" t="str">
        <f>IFERROR(__xludf.DUMMYFUNCTION("GOOGLETRANSLATE(B5443,""en"",""de"")"),"Der Junge nimmt dann ein klares Glas mit roter Flüssigkeit, trinkt etwas davon, legt es unter den Wasserhahn und fügt Wasser hinzu, trinkt es ein paar Mal und lässt es dann in die Spüle fallen.")</f>
        <v>Der Junge nimmt dann ein klares Glas mit roter Flüssigkeit, trinkt etwas davon, legt es unter den Wasserhahn und fügt Wasser hinzu, trinkt es ein paar Mal und lässt es dann in die Spüle fallen.</v>
      </c>
    </row>
    <row r="5444">
      <c r="A5444" s="4" t="s">
        <v>6837</v>
      </c>
      <c r="B5444" s="4" t="s">
        <v>6842</v>
      </c>
      <c r="C5444" s="5" t="str">
        <f>IFERROR(__xludf.DUMMYFUNCTION("GOOGLETRANSLATE(B5444,""en"",""de"")"),"Der Junge nimmt dann ein Gericht aus dem Waschbecken, das den roten Saft hat und versucht, es in den Topf auf der Theke zu gießen, aber stattdessen verschüttet er stattdessen einen Schwamm und versucht es aufzuräumen.")</f>
        <v>Der Junge nimmt dann ein Gericht aus dem Waschbecken, das den roten Saft hat und versucht, es in den Topf auf der Theke zu gießen, aber stattdessen verschüttet er stattdessen einen Schwamm und versucht es aufzuräumen.</v>
      </c>
    </row>
    <row r="5445">
      <c r="A5445" s="4" t="s">
        <v>6843</v>
      </c>
      <c r="B5445" s="4" t="s">
        <v>6844</v>
      </c>
      <c r="C5445" s="5" t="str">
        <f>IFERROR(__xludf.DUMMYFUNCTION("GOOGLETRANSLATE(B5445,""en"",""de"")"),"Wir sehen Cheerleader auf der Bühne.")</f>
        <v>Wir sehen Cheerleader auf der Bühne.</v>
      </c>
    </row>
    <row r="5446">
      <c r="A5446" s="4" t="s">
        <v>6843</v>
      </c>
      <c r="B5446" s="4" t="s">
        <v>6845</v>
      </c>
      <c r="C5446" s="5" t="str">
        <f>IFERROR(__xludf.DUMMYFUNCTION("GOOGLETRANSLATE(B5446,""en"",""de"")"),"Die Cheerleader führen eine Routine durch.")</f>
        <v>Die Cheerleader führen eine Routine durch.</v>
      </c>
    </row>
    <row r="5447">
      <c r="A5447" s="4" t="s">
        <v>6843</v>
      </c>
      <c r="B5447" s="4" t="s">
        <v>6846</v>
      </c>
      <c r="C5447" s="5" t="str">
        <f>IFERROR(__xludf.DUMMYFUNCTION("GOOGLETRANSLATE(B5447,""en"",""de"")"),"Vier Mädchen werden angehoben und sie halten ein Mädchen dazwischen.")</f>
        <v>Vier Mädchen werden angehoben und sie halten ein Mädchen dazwischen.</v>
      </c>
    </row>
    <row r="5448">
      <c r="A5448" s="4" t="s">
        <v>6843</v>
      </c>
      <c r="B5448" s="4" t="s">
        <v>6847</v>
      </c>
      <c r="C5448" s="5" t="str">
        <f>IFERROR(__xludf.DUMMYFUNCTION("GOOGLETRANSLATE(B5448,""en"",""de"")"),"Meine Damen halten Damen, die ihre Pom Poms halten und schütteln.")</f>
        <v>Meine Damen halten Damen, die ihre Pom Poms halten und schütteln.</v>
      </c>
    </row>
    <row r="5449">
      <c r="A5449" s="4" t="s">
        <v>6843</v>
      </c>
      <c r="B5449" s="4" t="s">
        <v>6848</v>
      </c>
      <c r="C5449" s="5" t="str">
        <f>IFERROR(__xludf.DUMMYFUNCTION("GOOGLETRANSLATE(B5449,""en"",""de"")"),"Vier Damen werden aufgehoben und halten zwei weitere Damen als eine siebte Dame.")</f>
        <v>Vier Damen werden aufgehoben und halten zwei weitere Damen als eine siebte Dame.</v>
      </c>
    </row>
    <row r="5450">
      <c r="A5450" s="4" t="s">
        <v>6843</v>
      </c>
      <c r="B5450" s="4" t="s">
        <v>6849</v>
      </c>
      <c r="C5450" s="5" t="str">
        <f>IFERROR(__xludf.DUMMYFUNCTION("GOOGLETRANSLATE(B5450,""en"",""de"")"),"Das Team endet und Umarmungen.")</f>
        <v>Das Team endet und Umarmungen.</v>
      </c>
    </row>
    <row r="5451">
      <c r="A5451" s="4" t="s">
        <v>6843</v>
      </c>
      <c r="B5451" s="4" t="s">
        <v>6850</v>
      </c>
      <c r="C5451" s="5" t="str">
        <f>IFERROR(__xludf.DUMMYFUNCTION("GOOGLETRANSLATE(B5451,""en"",""de"")"),"Wir sehen endende Credits und immer noch Aufnahmen.")</f>
        <v>Wir sehen endende Credits und immer noch Aufnahmen.</v>
      </c>
    </row>
    <row r="5452">
      <c r="A5452" s="4" t="s">
        <v>6843</v>
      </c>
      <c r="B5452" s="4" t="s">
        <v>6851</v>
      </c>
      <c r="C5452" s="5" t="str">
        <f>IFERROR(__xludf.DUMMYFUNCTION("GOOGLETRANSLATE(B5452,""en"",""de"")"),"Ein Angebot und eine Website wird auf dem Bildschirm angezeigt.")</f>
        <v>Ein Angebot und eine Website wird auf dem Bildschirm angezeigt.</v>
      </c>
    </row>
    <row r="5453">
      <c r="A5453" s="4" t="s">
        <v>6852</v>
      </c>
      <c r="B5453" s="4" t="s">
        <v>6853</v>
      </c>
      <c r="C5453" s="5" t="str">
        <f>IFERROR(__xludf.DUMMYFUNCTION("GOOGLETRANSLATE(B5453,""en"",""de"")"),"Es werden mehrere Schüsse eines Sees gezeigt, gefolgt von einer Person, die hinter einem Boot auf einem Wake Board klettern.")</f>
        <v>Es werden mehrere Schüsse eines Sees gezeigt, gefolgt von einer Person, die hinter einem Boot auf einem Wake Board klettern.</v>
      </c>
    </row>
    <row r="5454">
      <c r="A5454" s="4" t="s">
        <v>6852</v>
      </c>
      <c r="B5454" s="4" t="s">
        <v>6854</v>
      </c>
      <c r="C5454" s="5" t="str">
        <f>IFERROR(__xludf.DUMMYFUNCTION("GOOGLETRANSLATE(B5454,""en"",""de"")"),"Die Person fährt das Wake Board entlang des Wassers, während mehrere Kameras ihre Bewegungen erfassen und hinter das Boot springen.")</f>
        <v>Die Person fährt das Wake Board entlang des Wassers, während mehrere Kameras ihre Bewegungen erfassen und hinter das Boot springen.</v>
      </c>
    </row>
    <row r="5455">
      <c r="A5455" s="4" t="s">
        <v>6852</v>
      </c>
      <c r="B5455" s="4" t="s">
        <v>6855</v>
      </c>
      <c r="C5455" s="5" t="str">
        <f>IFERROR(__xludf.DUMMYFUNCTION("GOOGLETRANSLATE(B5455,""en"",""de"")"),"Die Kamera fängt die Person ein, die das Boot fährt und dem Wake Board dicht hinter dem Boot folgt.")</f>
        <v>Die Kamera fängt die Person ein, die das Boot fährt und dem Wake Board dicht hinter dem Boot folgt.</v>
      </c>
    </row>
    <row r="5456">
      <c r="A5456" s="4" t="s">
        <v>6852</v>
      </c>
      <c r="B5456" s="4" t="s">
        <v>6856</v>
      </c>
      <c r="C5456" s="5" t="str">
        <f>IFERROR(__xludf.DUMMYFUNCTION("GOOGLETRANSLATE(B5456,""en"",""de"")"),"Am Ende fahren drei Jungen mit dem Boot und fahren mit.")</f>
        <v>Am Ende fahren drei Jungen mit dem Boot und fahren mit.</v>
      </c>
    </row>
    <row r="5457">
      <c r="A5457" s="4" t="s">
        <v>6857</v>
      </c>
      <c r="B5457" s="4" t="s">
        <v>6858</v>
      </c>
      <c r="C5457" s="5" t="str">
        <f>IFERROR(__xludf.DUMMYFUNCTION("GOOGLETRANSLATE(B5457,""en"",""de"")"),"Ein Mann hält sein Fahrrad auf dem Bürgersteig an.")</f>
        <v>Ein Mann hält sein Fahrrad auf dem Bürgersteig an.</v>
      </c>
    </row>
    <row r="5458">
      <c r="A5458" s="4" t="s">
        <v>6857</v>
      </c>
      <c r="B5458" s="4" t="s">
        <v>6859</v>
      </c>
      <c r="C5458" s="5" t="str">
        <f>IFERROR(__xludf.DUMMYFUNCTION("GOOGLETRANSLATE(B5458,""en"",""de"")"),"Er springt nach unten, um auf das Rad zu schauen, und benutzt dann ein Werkzeug, um in den Gummi zu drücken.")</f>
        <v>Er springt nach unten, um auf das Rad zu schauen, und benutzt dann ein Werkzeug, um in den Gummi zu drücken.</v>
      </c>
    </row>
    <row r="5459">
      <c r="A5459" s="4" t="s">
        <v>6857</v>
      </c>
      <c r="B5459" s="4" t="s">
        <v>6860</v>
      </c>
      <c r="C5459" s="5" t="str">
        <f>IFERROR(__xludf.DUMMYFUNCTION("GOOGLETRANSLATE(B5459,""en"",""de"")"),"Er spricht weiter über das Werkzeug, bevor er an einem Radrennen teilnimmt und dann wieder auf dem Bürgersteig spricht.")</f>
        <v>Er spricht weiter über das Werkzeug, bevor er an einem Radrennen teilnimmt und dann wieder auf dem Bürgersteig spricht.</v>
      </c>
    </row>
    <row r="5460">
      <c r="A5460" s="4" t="s">
        <v>6861</v>
      </c>
      <c r="B5460" s="4" t="s">
        <v>6862</v>
      </c>
      <c r="C5460" s="5" t="str">
        <f>IFERROR(__xludf.DUMMYFUNCTION("GOOGLETRANSLATE(B5460,""en"",""de"")"),"Männer schwingen mit einem Hammerwurfball herum, bevor sie ihn loslassen.")</f>
        <v>Männer schwingen mit einem Hammerwurfball herum, bevor sie ihn loslassen.</v>
      </c>
    </row>
    <row r="5461">
      <c r="A5461" s="4" t="s">
        <v>6861</v>
      </c>
      <c r="B5461" s="4" t="s">
        <v>6863</v>
      </c>
      <c r="C5461" s="5" t="str">
        <f>IFERROR(__xludf.DUMMYFUNCTION("GOOGLETRANSLATE(B5461,""en"",""de"")"),"Ein Mann zieht hoch an einer Bar.")</f>
        <v>Ein Mann zieht hoch an einer Bar.</v>
      </c>
    </row>
    <row r="5462">
      <c r="A5462" s="4" t="s">
        <v>6861</v>
      </c>
      <c r="B5462" s="4" t="s">
        <v>6864</v>
      </c>
      <c r="C5462" s="5" t="str">
        <f>IFERROR(__xludf.DUMMYFUNCTION("GOOGLETRANSLATE(B5462,""en"",""de"")"),"Ein Mann hebt ein großes Gewicht auf seinen Schultern und Schulter drückt es über seinen Kopf.")</f>
        <v>Ein Mann hebt ein großes Gewicht auf seinen Schultern und Schulter drückt es über seinen Kopf.</v>
      </c>
    </row>
    <row r="5463">
      <c r="A5463" s="4" t="s">
        <v>6861</v>
      </c>
      <c r="B5463" s="4" t="s">
        <v>6865</v>
      </c>
      <c r="C5463" s="5" t="str">
        <f>IFERROR(__xludf.DUMMYFUNCTION("GOOGLETRANSLATE(B5463,""en"",""de"")"),"Zwei Männer rennen zusammen die Strecke.")</f>
        <v>Zwei Männer rennen zusammen die Strecke.</v>
      </c>
    </row>
    <row r="5464">
      <c r="A5464" s="4" t="s">
        <v>6866</v>
      </c>
      <c r="B5464" s="4" t="s">
        <v>6867</v>
      </c>
      <c r="C5464" s="5" t="str">
        <f>IFERROR(__xludf.DUMMYFUNCTION("GOOGLETRANSLATE(B5464,""en"",""de"")"),"Eine Flagge winkt auf einer Stange in einem Feld.")</f>
        <v>Eine Flagge winkt auf einer Stange in einem Feld.</v>
      </c>
    </row>
    <row r="5465">
      <c r="A5465" s="4" t="s">
        <v>6866</v>
      </c>
      <c r="B5465" s="4" t="s">
        <v>6868</v>
      </c>
      <c r="C5465" s="5" t="str">
        <f>IFERROR(__xludf.DUMMYFUNCTION("GOOGLETRANSLATE(B5465,""en"",""de"")"),"Wir sehen, wie ein Maskottchen einen Ball auf die Heimplatte rollt und fallen, wenn er zurückgetreten ist und ihn schlägt.")</f>
        <v>Wir sehen, wie ein Maskottchen einen Ball auf die Heimplatte rollt und fallen, wenn er zurückgetreten ist und ihn schlägt.</v>
      </c>
    </row>
    <row r="5466">
      <c r="A5466" s="4" t="s">
        <v>6866</v>
      </c>
      <c r="B5466" s="4" t="s">
        <v>6869</v>
      </c>
      <c r="C5466" s="5" t="str">
        <f>IFERROR(__xludf.DUMMYFUNCTION("GOOGLETRANSLATE(B5466,""en"",""de"")"),"Wir sehen dann, wie das Maskottchen den Ball tritt und einen Homerun betreiben.")</f>
        <v>Wir sehen dann, wie das Maskottchen den Ball tritt und einen Homerun betreiben.</v>
      </c>
    </row>
    <row r="5467">
      <c r="A5467" s="4" t="s">
        <v>6866</v>
      </c>
      <c r="B5467" s="4" t="s">
        <v>6870</v>
      </c>
      <c r="C5467" s="5" t="str">
        <f>IFERROR(__xludf.DUMMYFUNCTION("GOOGLETRANSLATE(B5467,""en"",""de"")"),"Das Maskottchen läuft und fängt einen Ball auf dem Feld.")</f>
        <v>Das Maskottchen läuft und fängt einen Ball auf dem Feld.</v>
      </c>
    </row>
    <row r="5468">
      <c r="A5468" s="4" t="s">
        <v>6866</v>
      </c>
      <c r="B5468" s="4" t="s">
        <v>6871</v>
      </c>
      <c r="C5468" s="5" t="str">
        <f>IFERROR(__xludf.DUMMYFUNCTION("GOOGLETRANSLATE(B5468,""en"",""de"")"),"Das Maskottchen hohe Fives Eine Reihe von Menschen und Bruststöbern der letzte Mann, der ihn umklopft.")</f>
        <v>Das Maskottchen hohe Fives Eine Reihe von Menschen und Bruststöbern der letzte Mann, der ihn umklopft.</v>
      </c>
    </row>
    <row r="5469">
      <c r="A5469" s="4" t="s">
        <v>6872</v>
      </c>
      <c r="B5469" s="4" t="s">
        <v>6873</v>
      </c>
      <c r="C5469" s="5" t="str">
        <f>IFERROR(__xludf.DUMMYFUNCTION("GOOGLETRANSLATE(B5469,""en"",""de"")"),"Eine Nahaufnahme von Turnschuhen wird gezeigt, gefolgt von einer Person, die verschiedene Objekte hochhält und sie zusammen in einer Schüssel mischt.")</f>
        <v>Eine Nahaufnahme von Turnschuhen wird gezeigt, gefolgt von einer Person, die verschiedene Objekte hochhält und sie zusammen in einer Schüssel mischt.</v>
      </c>
    </row>
    <row r="5470">
      <c r="A5470" s="4" t="s">
        <v>6872</v>
      </c>
      <c r="B5470" s="4" t="s">
        <v>6874</v>
      </c>
      <c r="C5470" s="5" t="str">
        <f>IFERROR(__xludf.DUMMYFUNCTION("GOOGLETRANSLATE(B5470,""en"",""de"")"),"Die Person verwendet dann eine Zahnpinsel um den Schuh mit den Zutaten und zeigt den Schuh.")</f>
        <v>Die Person verwendet dann eine Zahnpinsel um den Schuh mit den Zutaten und zeigt den Schuh.</v>
      </c>
    </row>
    <row r="5471">
      <c r="A5471" s="4" t="s">
        <v>6875</v>
      </c>
      <c r="B5471" s="4" t="s">
        <v>6876</v>
      </c>
      <c r="C5471" s="5" t="str">
        <f>IFERROR(__xludf.DUMMYFUNCTION("GOOGLETRANSLATE(B5471,""en"",""de"")"),"Eine Person erklärt, einen Schläger zu halten und Bewegungen mit einem Schläger in einem Tennisplatz zu machen.")</f>
        <v>Eine Person erklärt, einen Schläger zu halten und Bewegungen mit einem Schläger in einem Tennisplatz zu machen.</v>
      </c>
    </row>
    <row r="5472">
      <c r="A5472" s="4" t="s">
        <v>6875</v>
      </c>
      <c r="B5472" s="4" t="s">
        <v>6877</v>
      </c>
      <c r="C5472" s="5" t="str">
        <f>IFERROR(__xludf.DUMMYFUNCTION("GOOGLETRANSLATE(B5472,""en"",""de"")"),"Dann serviert ein Mann, der schwarze Kleidung trägt, einen Tennisball, der zurückgegeben wird, und er schickt ihn zurück.")</f>
        <v>Dann serviert ein Mann, der schwarze Kleidung trägt, einen Tennisball, der zurückgegeben wird, und er schickt ihn zurück.</v>
      </c>
    </row>
    <row r="5473">
      <c r="A5473" s="4" t="s">
        <v>6875</v>
      </c>
      <c r="B5473" s="4" t="s">
        <v>6878</v>
      </c>
      <c r="C5473" s="5" t="str">
        <f>IFERROR(__xludf.DUMMYFUNCTION("GOOGLETRANSLATE(B5473,""en"",""de"")"),"Dann spricht die Person zwei Ball, nachdem der Mann wieder dient und die Person spricht.")</f>
        <v>Dann spricht die Person zwei Ball, nachdem der Mann wieder dient und die Person spricht.</v>
      </c>
    </row>
    <row r="5474">
      <c r="A5474" s="4" t="s">
        <v>6875</v>
      </c>
      <c r="B5474" s="4" t="s">
        <v>6879</v>
      </c>
      <c r="C5474" s="5" t="str">
        <f>IFERROR(__xludf.DUMMYFUNCTION("GOOGLETRANSLATE(B5474,""en"",""de"")"),"Danach redet der Mann weiter.")</f>
        <v>Danach redet der Mann weiter.</v>
      </c>
    </row>
    <row r="5475">
      <c r="A5475" s="4" t="s">
        <v>6880</v>
      </c>
      <c r="B5475" s="4" t="s">
        <v>6881</v>
      </c>
      <c r="C5475" s="5" t="str">
        <f>IFERROR(__xludf.DUMMYFUNCTION("GOOGLETRANSLATE(B5475,""en"",""de"")"),"Ein Torhüter ist in mehreren Clips zu sehen, die zurück und viertes laufen und Bälle davon abhalten, durchzukommen.")</f>
        <v>Ein Torhüter ist in mehreren Clips zu sehen, die zurück und viertes laufen und Bälle davon abhalten, durchzukommen.</v>
      </c>
    </row>
    <row r="5476">
      <c r="A5476" s="4" t="s">
        <v>6880</v>
      </c>
      <c r="B5476" s="4" t="s">
        <v>6882</v>
      </c>
      <c r="C5476" s="5" t="str">
        <f>IFERROR(__xludf.DUMMYFUNCTION("GOOGLETRANSLATE(B5476,""en"",""de"")"),"Der Spieler rennt fort und viertens, während ein anderer Mann vor ihm sitzt.")</f>
        <v>Der Spieler rennt fort und viertens, während ein anderer Mann vor ihm sitzt.</v>
      </c>
    </row>
    <row r="5477">
      <c r="A5477" s="4" t="s">
        <v>6883</v>
      </c>
      <c r="B5477" s="4" t="s">
        <v>6884</v>
      </c>
      <c r="C5477" s="5" t="str">
        <f>IFERROR(__xludf.DUMMYFUNCTION("GOOGLETRANSLATE(B5477,""en"",""de"")"),"Ein junger Mann legt ein Pfanneöl, Zwiebeln, Tomaten, grüne Blätter und Salz ein und mischt dann das Gemüse, um das Gemüse zu kochen.")</f>
        <v>Ein junger Mann legt ein Pfanneöl, Zwiebeln, Tomaten, grüne Blätter und Salz ein und mischt dann das Gemüse, um das Gemüse zu kochen.</v>
      </c>
    </row>
    <row r="5478">
      <c r="A5478" s="4" t="s">
        <v>6883</v>
      </c>
      <c r="B5478" s="4" t="s">
        <v>6885</v>
      </c>
      <c r="C5478" s="5" t="str">
        <f>IFERROR(__xludf.DUMMYFUNCTION("GOOGLETRANSLATE(B5478,""en"",""de"")"),"Danach legt der Mann das Gemüse beiseite und kocht ein Omelett in der Pfanne.")</f>
        <v>Danach legt der Mann das Gemüse beiseite und kocht ein Omelett in der Pfanne.</v>
      </c>
    </row>
    <row r="5479">
      <c r="A5479" s="4" t="s">
        <v>6883</v>
      </c>
      <c r="B5479" s="4" t="s">
        <v>6886</v>
      </c>
      <c r="C5479" s="5" t="str">
        <f>IFERROR(__xludf.DUMMYFUNCTION("GOOGLETRANSLATE(B5479,""en"",""de"")"),"Danach legt der Mann das Gemüse über das Omelett und faltet es, dann serviert er das Omelett.")</f>
        <v>Danach legt der Mann das Gemüse über das Omelett und faltet es, dann serviert er das Omelett.</v>
      </c>
    </row>
    <row r="5480">
      <c r="A5480" s="4" t="s">
        <v>6887</v>
      </c>
      <c r="B5480" s="4" t="s">
        <v>6888</v>
      </c>
      <c r="C5480" s="5" t="str">
        <f>IFERROR(__xludf.DUMMYFUNCTION("GOOGLETRANSLATE(B5480,""en"",""de"")"),"Eine große Gruppe von Marinesoldaten wird auf einem Dock gezeigt, das ein Tug of War -Spiel spielt.")</f>
        <v>Eine große Gruppe von Marinesoldaten wird auf einem Dock gezeigt, das ein Tug of War -Spiel spielt.</v>
      </c>
    </row>
    <row r="5481">
      <c r="A5481" s="4" t="s">
        <v>6887</v>
      </c>
      <c r="B5481" s="4" t="s">
        <v>6889</v>
      </c>
      <c r="C5481" s="5" t="str">
        <f>IFERROR(__xludf.DUMMYFUNCTION("GOOGLETRANSLATE(B5481,""en"",""de"")"),"Auf einer Seite des Seils ist ein Team, das so hart wie möglich zieht, während sie angefeuert wird.")</f>
        <v>Auf einer Seite des Seils ist ein Team, das so hart wie möglich zieht, während sie angefeuert wird.</v>
      </c>
    </row>
    <row r="5482">
      <c r="A5482" s="4" t="s">
        <v>6887</v>
      </c>
      <c r="B5482" s="4" t="s">
        <v>6890</v>
      </c>
      <c r="C5482" s="5" t="str">
        <f>IFERROR(__xludf.DUMMYFUNCTION("GOOGLETRANSLATE(B5482,""en"",""de"")"),"Ein weiterer Marinesoldat wird gezeigt, wie das Spiel fotografiert.")</f>
        <v>Ein weiterer Marinesoldat wird gezeigt, wie das Spiel fotografiert.</v>
      </c>
    </row>
    <row r="5483">
      <c r="A5483" s="4" t="s">
        <v>6887</v>
      </c>
      <c r="B5483" s="4" t="s">
        <v>6891</v>
      </c>
      <c r="C5483" s="5" t="str">
        <f>IFERROR(__xludf.DUMMYFUNCTION("GOOGLETRANSLATE(B5483,""en"",""de"")"),"Die andere Seite des Seils wird gezeigt.")</f>
        <v>Die andere Seite des Seils wird gezeigt.</v>
      </c>
    </row>
    <row r="5484">
      <c r="A5484" s="4" t="s">
        <v>6887</v>
      </c>
      <c r="B5484" s="4" t="s">
        <v>6892</v>
      </c>
      <c r="C5484" s="5" t="str">
        <f>IFERROR(__xludf.DUMMYFUNCTION("GOOGLETRANSLATE(B5484,""en"",""de"")"),"Ein Team wird über eine rote Linie am Boden gezogen und beendet das Spiel.")</f>
        <v>Ein Team wird über eine rote Linie am Boden gezogen und beendet das Spiel.</v>
      </c>
    </row>
    <row r="5485">
      <c r="A5485" s="4" t="s">
        <v>6887</v>
      </c>
      <c r="B5485" s="4" t="s">
        <v>6893</v>
      </c>
      <c r="C5485" s="5" t="str">
        <f>IFERROR(__xludf.DUMMYFUNCTION("GOOGLETRANSLATE(B5485,""en"",""de"")"),"Die Männer stehen auf, um sich zu entspannen.")</f>
        <v>Die Männer stehen auf, um sich zu entspannen.</v>
      </c>
    </row>
    <row r="5486">
      <c r="A5486" s="4" t="s">
        <v>6894</v>
      </c>
      <c r="B5486" s="4" t="s">
        <v>6895</v>
      </c>
      <c r="C5486" s="5" t="str">
        <f>IFERROR(__xludf.DUMMYFUNCTION("GOOGLETRANSLATE(B5486,""en"",""de"")"),"Eine Einführung kommt auf den Bildschirm für einen weiblichen Gewichtshebewettbewerb.")</f>
        <v>Eine Einführung kommt auf den Bildschirm für einen weiblichen Gewichtshebewettbewerb.</v>
      </c>
    </row>
    <row r="5487">
      <c r="A5487" s="4" t="s">
        <v>6894</v>
      </c>
      <c r="B5487" s="4" t="s">
        <v>6896</v>
      </c>
      <c r="C5487" s="5" t="str">
        <f>IFERROR(__xludf.DUMMYFUNCTION("GOOGLETRANSLATE(B5487,""en"",""de"")"),"Eine der weiblichen Gewichtslifter ist auf dem Bildschirm gezeigt, wenn sie mehrere zunehmende Aufzüge einzeln durchläuft.")</f>
        <v>Eine der weiblichen Gewichtslifter ist auf dem Bildschirm gezeigt, wenn sie mehrere zunehmende Aufzüge einzeln durchläuft.</v>
      </c>
    </row>
    <row r="5488">
      <c r="A5488" s="4" t="s">
        <v>6894</v>
      </c>
      <c r="B5488" s="4" t="s">
        <v>6897</v>
      </c>
      <c r="C5488" s="5" t="str">
        <f>IFERROR(__xludf.DUMMYFUNCTION("GOOGLETRANSLATE(B5488,""en"",""de"")"),"Als sie schließlich ein Gewicht erreicht, das zu schwer für sie ist, um sie zu heben, verlässt sie die Herausforderung.")</f>
        <v>Als sie schließlich ein Gewicht erreicht, das zu schwer für sie ist, um sie zu heben, verlässt sie die Herausforderung.</v>
      </c>
    </row>
    <row r="5489">
      <c r="A5489" s="4" t="s">
        <v>6898</v>
      </c>
      <c r="B5489" s="4" t="s">
        <v>6899</v>
      </c>
      <c r="C5489" s="5" t="str">
        <f>IFERROR(__xludf.DUMMYFUNCTION("GOOGLETRANSLATE(B5489,""en"",""de"")"),"Ein Mann im Polo -Hemd steht mit einem Fahrrad auf einem Gestell und zeigt, dass es in einem Fahrradgeschäft unterschiedliche Funktionen gibt.")</f>
        <v>Ein Mann im Polo -Hemd steht mit einem Fahrrad auf einem Gestell und zeigt, dass es in einem Fahrradgeschäft unterschiedliche Funktionen gibt.</v>
      </c>
    </row>
    <row r="5490">
      <c r="A5490" s="4" t="s">
        <v>6898</v>
      </c>
      <c r="B5490" s="4" t="s">
        <v>6900</v>
      </c>
      <c r="C5490" s="5" t="str">
        <f>IFERROR(__xludf.DUMMYFUNCTION("GOOGLETRANSLATE(B5490,""en"",""de"")"),"Der Mann nimmt ein Werkzeug heraus und stellt das Radkettenrad ein, um das Rad zu drehen, bevor er mehr einstellt.")</f>
        <v>Der Mann nimmt ein Werkzeug heraus und stellt das Radkettenrad ein, um das Rad zu drehen, bevor er mehr einstellt.</v>
      </c>
    </row>
    <row r="5491">
      <c r="A5491" s="4" t="s">
        <v>6898</v>
      </c>
      <c r="B5491" s="4" t="s">
        <v>6901</v>
      </c>
      <c r="C5491" s="5" t="str">
        <f>IFERROR(__xludf.DUMMYFUNCTION("GOOGLETRANSLATE(B5491,""en"",""de"")"),"Der Mann passt einen Schalthebel am Lenker ein.")</f>
        <v>Der Mann passt einen Schalthebel am Lenker ein.</v>
      </c>
    </row>
    <row r="5492">
      <c r="A5492" s="4" t="s">
        <v>6902</v>
      </c>
      <c r="B5492" s="4" t="s">
        <v>6903</v>
      </c>
      <c r="C5492" s="5" t="str">
        <f>IFERROR(__xludf.DUMMYFUNCTION("GOOGLETRANSLATE(B5492,""en"",""de"")"),"Ein Mann bügelt ein Hemd auf einem Bügelbrett.")</f>
        <v>Ein Mann bügelt ein Hemd auf einem Bügelbrett.</v>
      </c>
    </row>
    <row r="5493">
      <c r="A5493" s="4" t="s">
        <v>6902</v>
      </c>
      <c r="B5493" s="4" t="s">
        <v>6904</v>
      </c>
      <c r="C5493" s="5" t="str">
        <f>IFERROR(__xludf.DUMMYFUNCTION("GOOGLETRANSLATE(B5493,""en"",""de"")"),"Taschen werden auf dem Bett sitzen.")</f>
        <v>Taschen werden auf dem Bett sitzen.</v>
      </c>
    </row>
    <row r="5494">
      <c r="A5494" s="4" t="s">
        <v>6905</v>
      </c>
      <c r="B5494" s="4" t="s">
        <v>6906</v>
      </c>
      <c r="C5494" s="5" t="str">
        <f>IFERROR(__xludf.DUMMYFUNCTION("GOOGLETRANSLATE(B5494,""en"",""de"")"),"Eine kleine Gruppe von Menschen schwimmt an der Wand um die Wand, während die Kamera herum schwenkt und sie beobachtet.")</f>
        <v>Eine kleine Gruppe von Menschen schwimmt an der Wand um die Wand, während die Kamera herum schwenkt und sie beobachtet.</v>
      </c>
    </row>
    <row r="5495">
      <c r="A5495" s="4" t="s">
        <v>6905</v>
      </c>
      <c r="B5495" s="4" t="s">
        <v>6907</v>
      </c>
      <c r="C5495" s="5" t="str">
        <f>IFERROR(__xludf.DUMMYFUNCTION("GOOGLETRANSLATE(B5495,""en"",""de"")"),"Die Kinder bewegen sich weiter im Wasser, während auch Erwachsene vorbeigehen.")</f>
        <v>Die Kinder bewegen sich weiter im Wasser, während auch Erwachsene vorbeigehen.</v>
      </c>
    </row>
    <row r="5496">
      <c r="A5496" s="4" t="s">
        <v>6905</v>
      </c>
      <c r="B5496" s="4" t="s">
        <v>6908</v>
      </c>
      <c r="C5496" s="5" t="str">
        <f>IFERROR(__xludf.DUMMYFUNCTION("GOOGLETRANSLATE(B5496,""en"",""de"")"),"Weitere Aufnahmen von Kindern, die im Sand spielen.")</f>
        <v>Weitere Aufnahmen von Kindern, die im Sand spielen.</v>
      </c>
    </row>
    <row r="5497">
      <c r="A5497" s="4" t="s">
        <v>6909</v>
      </c>
      <c r="B5497" s="4" t="s">
        <v>6910</v>
      </c>
      <c r="C5497" s="5" t="str">
        <f>IFERROR(__xludf.DUMMYFUNCTION("GOOGLETRANSLATE(B5497,""en"",""de"")"),"Das Video, das horizontal gedreht wird, zeigt an einem sonnigen Tag mehrere Menschen im Meer.")</f>
        <v>Das Video, das horizontal gedreht wird, zeigt an einem sonnigen Tag mehrere Menschen im Meer.</v>
      </c>
    </row>
    <row r="5498">
      <c r="A5498" s="4" t="s">
        <v>6909</v>
      </c>
      <c r="B5498" s="4" t="s">
        <v>6911</v>
      </c>
      <c r="C5498" s="5" t="str">
        <f>IFERROR(__xludf.DUMMYFUNCTION("GOOGLETRANSLATE(B5498,""en"",""de"")"),"Einer der Surfer geht mit sehr hoher Geschwindigkeit gegen die Wellen.")</f>
        <v>Einer der Surfer geht mit sehr hoher Geschwindigkeit gegen die Wellen.</v>
      </c>
    </row>
    <row r="5499">
      <c r="A5499" s="4" t="s">
        <v>6909</v>
      </c>
      <c r="B5499" s="4" t="s">
        <v>6912</v>
      </c>
      <c r="C5499" s="5" t="str">
        <f>IFERROR(__xludf.DUMMYFUNCTION("GOOGLETRANSLATE(B5499,""en"",""de"")"),"Ein Surfer auf einer orangefarbenen Brandung kommt mit Höchstgeschwindigkeit und verliert die Kontrolle und fällt ins Wasser.")</f>
        <v>Ein Surfer auf einer orangefarbenen Brandung kommt mit Höchstgeschwindigkeit und verliert die Kontrolle und fällt ins Wasser.</v>
      </c>
    </row>
    <row r="5500">
      <c r="A5500" s="4" t="s">
        <v>6909</v>
      </c>
      <c r="B5500" s="4" t="s">
        <v>6913</v>
      </c>
      <c r="C5500" s="5" t="str">
        <f>IFERROR(__xludf.DUMMYFUNCTION("GOOGLETRANSLATE(B5500,""en"",""de"")"),"Der Surfer mit blauen Segeln schafft es, an Bord zu bleiben, während er im Meer surft.")</f>
        <v>Der Surfer mit blauen Segeln schafft es, an Bord zu bleiben, während er im Meer surft.</v>
      </c>
    </row>
    <row r="5501">
      <c r="A5501" s="4" t="s">
        <v>6914</v>
      </c>
      <c r="B5501" s="4" t="s">
        <v>6915</v>
      </c>
      <c r="C5501" s="5" t="str">
        <f>IFERROR(__xludf.DUMMYFUNCTION("GOOGLETRANSLATE(B5501,""en"",""de"")"),"Eine ältere Frau sitzt vor einem Drum -Set, das eine Reihe von Trommeln spielt.")</f>
        <v>Eine ältere Frau sitzt vor einem Drum -Set, das eine Reihe von Trommeln spielt.</v>
      </c>
    </row>
    <row r="5502">
      <c r="A5502" s="4" t="s">
        <v>6914</v>
      </c>
      <c r="B5502" s="4" t="s">
        <v>6916</v>
      </c>
      <c r="C5502" s="5" t="str">
        <f>IFERROR(__xludf.DUMMYFUNCTION("GOOGLETRANSLATE(B5502,""en"",""de"")"),"Sie dreht die Trommeln durch ihre Fingerspitzen und spielt das Instrument weiter, während die Kamera sie einfängt.")</f>
        <v>Sie dreht die Trommeln durch ihre Fingerspitzen und spielt das Instrument weiter, während die Kamera sie einfängt.</v>
      </c>
    </row>
    <row r="5503">
      <c r="A5503" s="4" t="s">
        <v>6917</v>
      </c>
      <c r="B5503" s="4" t="s">
        <v>6918</v>
      </c>
      <c r="C5503" s="5" t="str">
        <f>IFERROR(__xludf.DUMMYFUNCTION("GOOGLETRANSLATE(B5503,""en"",""de"")"),"Ein Mann führt einen Hochsprung mit einer Stange durch, er springt über drei horizontale Linien, die zwei von ihnen berühren.")</f>
        <v>Ein Mann führt einen Hochsprung mit einer Stange durch, er springt über drei horizontale Linien, die zwei von ihnen berühren.</v>
      </c>
    </row>
    <row r="5504">
      <c r="A5504" s="4" t="s">
        <v>6917</v>
      </c>
      <c r="B5504" s="4" t="s">
        <v>6919</v>
      </c>
      <c r="C5504" s="5" t="str">
        <f>IFERROR(__xludf.DUMMYFUNCTION("GOOGLETRANSLATE(B5504,""en"",""de"")"),"Der Mann versucht höher zu springen als mit dem Pol.")</f>
        <v>Der Mann versucht höher zu springen als mit dem Pol.</v>
      </c>
    </row>
    <row r="5505">
      <c r="A5505" s="4" t="s">
        <v>6917</v>
      </c>
      <c r="B5505" s="4" t="s">
        <v>6920</v>
      </c>
      <c r="C5505" s="5" t="str">
        <f>IFERROR(__xludf.DUMMYFUNCTION("GOOGLETRANSLATE(B5505,""en"",""de"")"),"Wieder versucht der Mann, höher zu springen, aber er macht den Fall zur horizontalen Linie.")</f>
        <v>Wieder versucht der Mann, höher zu springen, aber er macht den Fall zur horizontalen Linie.</v>
      </c>
    </row>
    <row r="5506">
      <c r="A5506" s="4" t="s">
        <v>6921</v>
      </c>
      <c r="B5506" s="4" t="s">
        <v>6922</v>
      </c>
      <c r="C5506" s="5" t="str">
        <f>IFERROR(__xludf.DUMMYFUNCTION("GOOGLETRANSLATE(B5506,""en"",""de"")"),"Wir sehen einen Mann auf einer Couch sitzen.")</f>
        <v>Wir sehen einen Mann auf einer Couch sitzen.</v>
      </c>
    </row>
    <row r="5507">
      <c r="A5507" s="4" t="s">
        <v>6921</v>
      </c>
      <c r="B5507" s="4" t="s">
        <v>6923</v>
      </c>
      <c r="C5507" s="5" t="str">
        <f>IFERROR(__xludf.DUMMYFUNCTION("GOOGLETRANSLATE(B5507,""en"",""de"")"),"Der Mann spielt den Dudelsack.")</f>
        <v>Der Mann spielt den Dudelsack.</v>
      </c>
    </row>
    <row r="5508">
      <c r="A5508" s="4" t="s">
        <v>6921</v>
      </c>
      <c r="B5508" s="4" t="s">
        <v>6924</v>
      </c>
      <c r="C5508" s="5" t="str">
        <f>IFERROR(__xludf.DUMMYFUNCTION("GOOGLETRANSLATE(B5508,""en"",""de"")"),"Der Mann lacht und hört auf zu spielen.")</f>
        <v>Der Mann lacht und hört auf zu spielen.</v>
      </c>
    </row>
    <row r="5509">
      <c r="A5509" s="4" t="s">
        <v>6921</v>
      </c>
      <c r="B5509" s="4" t="s">
        <v>6925</v>
      </c>
      <c r="C5509" s="5" t="str">
        <f>IFERROR(__xludf.DUMMYFUNCTION("GOOGLETRANSLATE(B5509,""en"",""de"")"),"Der Mann beginnt wieder den Dudelsack zu spielen.")</f>
        <v>Der Mann beginnt wieder den Dudelsack zu spielen.</v>
      </c>
    </row>
    <row r="5510">
      <c r="A5510" s="4" t="s">
        <v>6921</v>
      </c>
      <c r="B5510" s="4" t="s">
        <v>6926</v>
      </c>
      <c r="C5510" s="5" t="str">
        <f>IFERROR(__xludf.DUMMYFUNCTION("GOOGLETRANSLATE(B5510,""en"",""de"")"),"Der Mann lacht wieder hart.")</f>
        <v>Der Mann lacht wieder hart.</v>
      </c>
    </row>
    <row r="5511">
      <c r="A5511" s="4" t="s">
        <v>6921</v>
      </c>
      <c r="B5511" s="4" t="s">
        <v>6927</v>
      </c>
      <c r="C5511" s="5" t="str">
        <f>IFERROR(__xludf.DUMMYFUNCTION("GOOGLETRANSLATE(B5511,""en"",""de"")"),"Der Mann hört auf, die Dudelsack zu spielen.")</f>
        <v>Der Mann hört auf, die Dudelsack zu spielen.</v>
      </c>
    </row>
    <row r="5512">
      <c r="A5512" s="4" t="s">
        <v>6921</v>
      </c>
      <c r="B5512" s="4" t="s">
        <v>6928</v>
      </c>
      <c r="C5512" s="5" t="str">
        <f>IFERROR(__xludf.DUMMYFUNCTION("GOOGLETRANSLATE(B5512,""en"",""de"")"),"Der Mann winkt mit der Hand vor der Kamera.")</f>
        <v>Der Mann winkt mit der Hand vor der Kamera.</v>
      </c>
    </row>
    <row r="5513">
      <c r="A5513" s="4" t="s">
        <v>6929</v>
      </c>
      <c r="B5513" s="4" t="s">
        <v>6930</v>
      </c>
      <c r="C5513" s="5" t="str">
        <f>IFERROR(__xludf.DUMMYFUNCTION("GOOGLETRANSLATE(B5513,""en"",""de"")"),"Eine Frau schaufelt draußen mit einem Robohandle.")</f>
        <v>Eine Frau schaufelt draußen mit einem Robohandle.</v>
      </c>
    </row>
    <row r="5514">
      <c r="A5514" s="4" t="s">
        <v>6929</v>
      </c>
      <c r="B5514" s="4" t="s">
        <v>6931</v>
      </c>
      <c r="C5514" s="5" t="str">
        <f>IFERROR(__xludf.DUMMYFUNCTION("GOOGLETRANSLATE(B5514,""en"",""de"")"),"Es macht den Prozess viel schneller, da er eine anständige Größe hat und viel Schnee gleichzeitig aufnimmt.")</f>
        <v>Es macht den Prozess viel schneller, da er eine anständige Größe hat und viel Schnee gleichzeitig aufnimmt.</v>
      </c>
    </row>
    <row r="5515">
      <c r="A5515" s="4" t="s">
        <v>6929</v>
      </c>
      <c r="B5515" s="4" t="s">
        <v>6932</v>
      </c>
      <c r="C5515" s="5" t="str">
        <f>IFERROR(__xludf.DUMMYFUNCTION("GOOGLETRANSLATE(B5515,""en"",""de"")"),"Sie macht in einem so kleinen Zeitfenster viel Fortschritte mit diesem Schnee -Robohandle.")</f>
        <v>Sie macht in einem so kleinen Zeitfenster viel Fortschritte mit diesem Schnee -Robohandle.</v>
      </c>
    </row>
    <row r="5516">
      <c r="A5516" s="4" t="s">
        <v>6929</v>
      </c>
      <c r="B5516" s="4" t="s">
        <v>6933</v>
      </c>
      <c r="C5516" s="5" t="str">
        <f>IFERROR(__xludf.DUMMYFUNCTION("GOOGLETRANSLATE(B5516,""en"",""de"")"),"Der Griff sieht ehrlich gesagt einfach aus wie zwei große Schaufeln.")</f>
        <v>Der Griff sieht ehrlich gesagt einfach aus wie zwei große Schaufeln.</v>
      </c>
    </row>
    <row r="5517">
      <c r="A5517" s="4" t="s">
        <v>6934</v>
      </c>
      <c r="B5517" s="4" t="s">
        <v>6935</v>
      </c>
      <c r="C5517" s="5" t="str">
        <f>IFERROR(__xludf.DUMMYFUNCTION("GOOGLETRANSLATE(B5517,""en"",""de"")"),"Der Text wird kurz auf dem Bildschirm angezeigt.")</f>
        <v>Der Text wird kurz auf dem Bildschirm angezeigt.</v>
      </c>
    </row>
    <row r="5518">
      <c r="A5518" s="4" t="s">
        <v>6934</v>
      </c>
      <c r="B5518" s="4" t="s">
        <v>6936</v>
      </c>
      <c r="C5518" s="5" t="str">
        <f>IFERROR(__xludf.DUMMYFUNCTION("GOOGLETRANSLATE(B5518,""en"",""de"")"),"Ein Elefant reitet an einer Kuh vorbei.")</f>
        <v>Ein Elefant reitet an einer Kuh vorbei.</v>
      </c>
    </row>
    <row r="5519">
      <c r="A5519" s="4" t="s">
        <v>6934</v>
      </c>
      <c r="B5519" s="4" t="s">
        <v>6937</v>
      </c>
      <c r="C5519" s="5" t="str">
        <f>IFERROR(__xludf.DUMMYFUNCTION("GOOGLETRANSLATE(B5519,""en"",""de"")"),"Die Menschen sind in einer Röhre auf einem Fluss.")</f>
        <v>Die Menschen sind in einer Röhre auf einem Fluss.</v>
      </c>
    </row>
    <row r="5520">
      <c r="A5520" s="4" t="s">
        <v>6938</v>
      </c>
      <c r="B5520" s="4" t="s">
        <v>6939</v>
      </c>
      <c r="C5520" s="5" t="str">
        <f>IFERROR(__xludf.DUMMYFUNCTION("GOOGLETRANSLATE(B5520,""en"",""de"")"),"Die Leute tanzen auf einer Tanzfläche bei einer Hochzeit.")</f>
        <v>Die Leute tanzen auf einer Tanzfläche bei einer Hochzeit.</v>
      </c>
    </row>
    <row r="5521">
      <c r="A5521" s="4" t="s">
        <v>6938</v>
      </c>
      <c r="B5521" s="4" t="s">
        <v>6940</v>
      </c>
      <c r="C5521" s="5" t="str">
        <f>IFERROR(__xludf.DUMMYFUNCTION("GOOGLETRANSLATE(B5521,""en"",""de"")"),"Eine Frau in einem Hochzeitskleid tanzt mit einem Mann in einem Smoking.")</f>
        <v>Eine Frau in einem Hochzeitskleid tanzt mit einem Mann in einem Smoking.</v>
      </c>
    </row>
    <row r="5522">
      <c r="A5522" s="4" t="s">
        <v>6938</v>
      </c>
      <c r="B5522" s="4" t="s">
        <v>6941</v>
      </c>
      <c r="C5522" s="5" t="str">
        <f>IFERROR(__xludf.DUMMYFUNCTION("GOOGLETRANSLATE(B5522,""en"",""de"")"),"Ein Mann in einem lila Hemd tanzt mit einer Frau.")</f>
        <v>Ein Mann in einem lila Hemd tanzt mit einer Frau.</v>
      </c>
    </row>
    <row r="5523">
      <c r="A5523" s="4" t="s">
        <v>6942</v>
      </c>
      <c r="B5523" s="4" t="s">
        <v>6943</v>
      </c>
      <c r="C5523" s="5" t="str">
        <f>IFERROR(__xludf.DUMMYFUNCTION("GOOGLETRANSLATE(B5523,""en"",""de"")"),"Die Leute bereiten sich auf ein BMX -Bike -Rennen vor.")</f>
        <v>Die Leute bereiten sich auf ein BMX -Bike -Rennen vor.</v>
      </c>
    </row>
    <row r="5524">
      <c r="A5524" s="4" t="s">
        <v>6942</v>
      </c>
      <c r="B5524" s="4" t="s">
        <v>6944</v>
      </c>
      <c r="C5524" s="5" t="str">
        <f>IFERROR(__xludf.DUMMYFUNCTION("GOOGLETRANSLATE(B5524,""en"",""de"")"),"Eine Person stellt sich auf und geht dann.")</f>
        <v>Eine Person stellt sich auf und geht dann.</v>
      </c>
    </row>
    <row r="5525">
      <c r="A5525" s="4" t="s">
        <v>6945</v>
      </c>
      <c r="B5525" s="4" t="s">
        <v>6946</v>
      </c>
      <c r="C5525" s="5" t="str">
        <f>IFERROR(__xludf.DUMMYFUNCTION("GOOGLETRANSLATE(B5525,""en"",""de"")"),"Ein Mädchen in einem gelben Hemd putzt die Zähne in einem Badezimmer.")</f>
        <v>Ein Mädchen in einem gelben Hemd putzt die Zähne in einem Badezimmer.</v>
      </c>
    </row>
    <row r="5526">
      <c r="A5526" s="4" t="s">
        <v>6945</v>
      </c>
      <c r="B5526" s="4" t="s">
        <v>6947</v>
      </c>
      <c r="C5526" s="5" t="str">
        <f>IFERROR(__xludf.DUMMYFUNCTION("GOOGLETRANSLATE(B5526,""en"",""de"")"),"Ein Mädchen neben ihr in einem blauen Hemd putzt sich auch die Zähne.")</f>
        <v>Ein Mädchen neben ihr in einem blauen Hemd putzt sich auch die Zähne.</v>
      </c>
    </row>
    <row r="5527">
      <c r="A5527" s="4" t="s">
        <v>6945</v>
      </c>
      <c r="B5527" s="4" t="s">
        <v>6948</v>
      </c>
      <c r="C5527" s="5" t="str">
        <f>IFERROR(__xludf.DUMMYFUNCTION("GOOGLETRANSLATE(B5527,""en"",""de"")"),"Sie schauen beide in den Spiegel.")</f>
        <v>Sie schauen beide in den Spiegel.</v>
      </c>
    </row>
    <row r="5528">
      <c r="A5528" s="4" t="s">
        <v>6949</v>
      </c>
      <c r="B5528" s="4" t="s">
        <v>6950</v>
      </c>
      <c r="C5528" s="5" t="str">
        <f>IFERROR(__xludf.DUMMYFUNCTION("GOOGLETRANSLATE(B5528,""en"",""de"")"),"Eine Frau fährt schnell mit einem liegenden Fahrrad in der Küche.")</f>
        <v>Eine Frau fährt schnell mit einem liegenden Fahrrad in der Küche.</v>
      </c>
    </row>
    <row r="5529">
      <c r="A5529" s="4" t="s">
        <v>6949</v>
      </c>
      <c r="B5529" s="4" t="s">
        <v>6951</v>
      </c>
      <c r="C5529" s="5" t="str">
        <f>IFERROR(__xludf.DUMMYFUNCTION("GOOGLETRANSLATE(B5529,""en"",""de"")"),"Sie sitzt am Herd, knirscht Eier in eine Pfanne und macht ein Omelett, während sie reitet.")</f>
        <v>Sie sitzt am Herd, knirscht Eier in eine Pfanne und macht ein Omelett, während sie reitet.</v>
      </c>
    </row>
    <row r="5530">
      <c r="A5530" s="4" t="s">
        <v>6949</v>
      </c>
      <c r="B5530" s="4" t="s">
        <v>6952</v>
      </c>
      <c r="C5530" s="5" t="str">
        <f>IFERROR(__xludf.DUMMYFUNCTION("GOOGLETRANSLATE(B5530,""en"",""de"")"),"Sie rührt das Ei und platziert es dann, während sie noch reitet.")</f>
        <v>Sie rührt das Ei und platziert es dann, während sie noch reitet.</v>
      </c>
    </row>
    <row r="5531">
      <c r="A5531" s="4" t="s">
        <v>6949</v>
      </c>
      <c r="B5531" s="4" t="s">
        <v>6953</v>
      </c>
      <c r="C5531" s="5" t="str">
        <f>IFERROR(__xludf.DUMMYFUNCTION("GOOGLETRANSLATE(B5531,""en"",""de"")"),"Sie isst dann, während sie weiter fährt.")</f>
        <v>Sie isst dann, während sie weiter fährt.</v>
      </c>
    </row>
    <row r="5532">
      <c r="A5532" s="4" t="s">
        <v>6954</v>
      </c>
      <c r="B5532" s="4" t="s">
        <v>6955</v>
      </c>
      <c r="C5532" s="5" t="str">
        <f>IFERROR(__xludf.DUMMYFUNCTION("GOOGLETRANSLATE(B5532,""en"",""de"")"),"Eine Frau kniet auf einer Matte in einem Hinterhof und führt mit ihren Händen nach hinten in ihre Biegung.")</f>
        <v>Eine Frau kniet auf einer Matte in einem Hinterhof und führt mit ihren Händen nach hinten in ihre Biegung.</v>
      </c>
    </row>
    <row r="5533">
      <c r="A5533" s="4" t="s">
        <v>6954</v>
      </c>
      <c r="B5533" s="4" t="s">
        <v>6956</v>
      </c>
      <c r="C5533" s="5" t="str">
        <f>IFERROR(__xludf.DUMMYFUNCTION("GOOGLETRANSLATE(B5533,""en"",""de"")"),"Sie legt dann ihre Hände auf den Boden, während sie weiterhin nachgeht.")</f>
        <v>Sie legt dann ihre Hände auf den Boden, während sie weiterhin nachgeht.</v>
      </c>
    </row>
    <row r="5534">
      <c r="A5534" s="4" t="s">
        <v>6957</v>
      </c>
      <c r="B5534" s="4" t="s">
        <v>6958</v>
      </c>
      <c r="C5534" s="5" t="str">
        <f>IFERROR(__xludf.DUMMYFUNCTION("GOOGLETRANSLATE(B5534,""en"",""de"")"),"Wir sehen einen weißen Öffnungsbildschirm.")</f>
        <v>Wir sehen einen weißen Öffnungsbildschirm.</v>
      </c>
    </row>
    <row r="5535">
      <c r="A5535" s="4" t="s">
        <v>6957</v>
      </c>
      <c r="B5535" s="4" t="s">
        <v>6959</v>
      </c>
      <c r="C5535" s="5" t="str">
        <f>IFERROR(__xludf.DUMMYFUNCTION("GOOGLETRANSLATE(B5535,""en"",""de"")"),"Wir sehen eine Dame, die ein Hemd auf einem Bügelbrett bügelt und mit der Kamera spricht.")</f>
        <v>Wir sehen eine Dame, die ein Hemd auf einem Bügelbrett bügelt und mit der Kamera spricht.</v>
      </c>
    </row>
    <row r="5536">
      <c r="A5536" s="4" t="s">
        <v>6957</v>
      </c>
      <c r="B5536" s="4" t="s">
        <v>6960</v>
      </c>
      <c r="C5536" s="5" t="str">
        <f>IFERROR(__xludf.DUMMYFUNCTION("GOOGLETRANSLATE(B5536,""en"",""de"")"),"Die Dame Irons eine Ärmel.")</f>
        <v>Die Dame Irons eine Ärmel.</v>
      </c>
    </row>
    <row r="5537">
      <c r="A5537" s="4" t="s">
        <v>6957</v>
      </c>
      <c r="B5537" s="4" t="s">
        <v>6961</v>
      </c>
      <c r="C5537" s="5" t="str">
        <f>IFERROR(__xludf.DUMMYFUNCTION("GOOGLETRANSLATE(B5537,""en"",""de"")"),"Die Dame ist der Rücken des Hemdes.")</f>
        <v>Die Dame ist der Rücken des Hemdes.</v>
      </c>
    </row>
    <row r="5538">
      <c r="A5538" s="4" t="s">
        <v>6957</v>
      </c>
      <c r="B5538" s="4" t="s">
        <v>6962</v>
      </c>
      <c r="C5538" s="5" t="str">
        <f>IFERROR(__xludf.DUMMYFUNCTION("GOOGLETRANSLATE(B5538,""en"",""de"")"),"Die Dame endet und hält das Hemd hoch.")</f>
        <v>Die Dame endet und hält das Hemd hoch.</v>
      </c>
    </row>
    <row r="5539">
      <c r="A5539" s="4" t="s">
        <v>6957</v>
      </c>
      <c r="B5539" s="4" t="s">
        <v>6963</v>
      </c>
      <c r="C5539" s="5" t="str">
        <f>IFERROR(__xludf.DUMMYFUNCTION("GOOGLETRANSLATE(B5539,""en"",""de"")"),"Wir sehen einen hellen Titelschließbildschirm.")</f>
        <v>Wir sehen einen hellen Titelschließbildschirm.</v>
      </c>
    </row>
    <row r="5540">
      <c r="A5540" s="4" t="s">
        <v>6964</v>
      </c>
      <c r="B5540" s="4" t="s">
        <v>6965</v>
      </c>
      <c r="C5540" s="5" t="str">
        <f>IFERROR(__xludf.DUMMYFUNCTION("GOOGLETRANSLATE(B5540,""en"",""de"")"),"Wir sehen den Titelbildschirm für Howcast.")</f>
        <v>Wir sehen den Titelbildschirm für Howcast.</v>
      </c>
    </row>
    <row r="5541">
      <c r="A5541" s="4" t="s">
        <v>6964</v>
      </c>
      <c r="B5541" s="4" t="s">
        <v>6966</v>
      </c>
      <c r="C5541" s="5" t="str">
        <f>IFERROR(__xludf.DUMMYFUNCTION("GOOGLETRANSLATE(B5541,""en"",""de"")"),"Eine Dame steht in einem weißen Raum, der mit der Kamera spricht.")</f>
        <v>Eine Dame steht in einem weißen Raum, der mit der Kamera spricht.</v>
      </c>
    </row>
    <row r="5542">
      <c r="A5542" s="4" t="s">
        <v>6964</v>
      </c>
      <c r="B5542" s="4" t="s">
        <v>6967</v>
      </c>
      <c r="C5542" s="5" t="str">
        <f>IFERROR(__xludf.DUMMYFUNCTION("GOOGLETRANSLATE(B5542,""en"",""de"")"),"Die Dame zeigt uns, wie man tanzt.")</f>
        <v>Die Dame zeigt uns, wie man tanzt.</v>
      </c>
    </row>
    <row r="5543">
      <c r="A5543" s="4" t="s">
        <v>6964</v>
      </c>
      <c r="B5543" s="4" t="s">
        <v>6968</v>
      </c>
      <c r="C5543" s="5" t="str">
        <f>IFERROR(__xludf.DUMMYFUNCTION("GOOGLETRANSLATE(B5543,""en"",""de"")"),"Sie wechselt nach rechts, dann zurück und hebt ihre Hüften, während sie Bauch tanzt.")</f>
        <v>Sie wechselt nach rechts, dann zurück und hebt ihre Hüften, während sie Bauch tanzt.</v>
      </c>
    </row>
    <row r="5544">
      <c r="A5544" s="4" t="s">
        <v>6964</v>
      </c>
      <c r="B5544" s="4" t="s">
        <v>6969</v>
      </c>
      <c r="C5544" s="5" t="str">
        <f>IFERROR(__xludf.DUMMYFUNCTION("GOOGLETRANSLATE(B5544,""en"",""de"")"),"Die Dame zeigt, wie Sie Ihre Hüften nacheinander heben können.")</f>
        <v>Die Dame zeigt, wie Sie Ihre Hüften nacheinander heben können.</v>
      </c>
    </row>
    <row r="5545">
      <c r="A5545" s="4" t="s">
        <v>6964</v>
      </c>
      <c r="B5545" s="4" t="s">
        <v>6970</v>
      </c>
      <c r="C5545" s="5" t="str">
        <f>IFERROR(__xludf.DUMMYFUNCTION("GOOGLETRANSLATE(B5545,""en"",""de"")"),"Sie tätschelt den Kopf und schüttelt schneller die Hüften.")</f>
        <v>Sie tätschelt den Kopf und schüttelt schneller die Hüften.</v>
      </c>
    </row>
    <row r="5546">
      <c r="A5546" s="4" t="s">
        <v>6964</v>
      </c>
      <c r="B5546" s="4" t="s">
        <v>6971</v>
      </c>
      <c r="C5546" s="5" t="str">
        <f>IFERROR(__xludf.DUMMYFUNCTION("GOOGLETRANSLATE(B5546,""en"",""de"")"),"Die Dame schüttelt schneller die Hüften und winkt mit den Armen über ihren Kopf.")</f>
        <v>Die Dame schüttelt schneller die Hüften und winkt mit den Armen über ihren Kopf.</v>
      </c>
    </row>
    <row r="5547">
      <c r="A5547" s="4" t="s">
        <v>6964</v>
      </c>
      <c r="B5547" s="4" t="s">
        <v>6972</v>
      </c>
      <c r="C5547" s="5" t="str">
        <f>IFERROR(__xludf.DUMMYFUNCTION("GOOGLETRANSLATE(B5547,""en"",""de"")"),"Sie hört auf zu tanzen und steht still.")</f>
        <v>Sie hört auf zu tanzen und steht still.</v>
      </c>
    </row>
    <row r="5548">
      <c r="A5548" s="4" t="s">
        <v>6964</v>
      </c>
      <c r="B5548" s="4" t="s">
        <v>6973</v>
      </c>
      <c r="C5548" s="5" t="str">
        <f>IFERROR(__xludf.DUMMYFUNCTION("GOOGLETRANSLATE(B5548,""en"",""de"")"),"Die Endgutschrift laden auf dem Bildschirm.")</f>
        <v>Die Endgutschrift laden auf dem Bildschirm.</v>
      </c>
    </row>
    <row r="5549">
      <c r="A5549" s="4" t="s">
        <v>6974</v>
      </c>
      <c r="B5549" s="4" t="s">
        <v>6975</v>
      </c>
      <c r="C5549" s="5" t="str">
        <f>IFERROR(__xludf.DUMMYFUNCTION("GOOGLETRANSLATE(B5549,""en"",""de"")"),"Ein Turner tritt auf den ungleichmäßigen Bars auf, während die Zuschauer die Aufführung beobachten.")</f>
        <v>Ein Turner tritt auf den ungleichmäßigen Bars auf, während die Zuschauer die Aufführung beobachten.</v>
      </c>
    </row>
    <row r="5550">
      <c r="A5550" s="4" t="s">
        <v>6974</v>
      </c>
      <c r="B5550" s="4" t="s">
        <v>6976</v>
      </c>
      <c r="C5550" s="5" t="str">
        <f>IFERROR(__xludf.DUMMYFUNCTION("GOOGLETRANSLATE(B5550,""en"",""de"")"),"Der Turner beendet die Aufführung und das großartige Publikum, und dann schließt sie sich mit ihren Freunden an, um auf die Partitur zu warten.")</f>
        <v>Der Turner beendet die Aufführung und das großartige Publikum, und dann schließt sie sich mit ihren Freunden an, um auf die Partitur zu warten.</v>
      </c>
    </row>
    <row r="5551">
      <c r="A5551" s="4" t="s">
        <v>6974</v>
      </c>
      <c r="B5551" s="4" t="s">
        <v>6977</v>
      </c>
      <c r="C5551" s="5" t="str">
        <f>IFERROR(__xludf.DUMMYFUNCTION("GOOGLETRANSLATE(B5551,""en"",""de"")"),"Eine Frau beobachtet den Turner und applaudiert.")</f>
        <v>Eine Frau beobachtet den Turner und applaudiert.</v>
      </c>
    </row>
    <row r="5552">
      <c r="A5552" s="4" t="s">
        <v>6978</v>
      </c>
      <c r="B5552" s="4" t="s">
        <v>6979</v>
      </c>
      <c r="C5552" s="5" t="str">
        <f>IFERROR(__xludf.DUMMYFUNCTION("GOOGLETRANSLATE(B5552,""en"",""de"")"),"Ein Gewichtheber befindet sich in einem Fitnessstudio und er hebt eine Langhantel.")</f>
        <v>Ein Gewichtheber befindet sich in einem Fitnessstudio und er hebt eine Langhantel.</v>
      </c>
    </row>
    <row r="5553">
      <c r="A5553" s="4" t="s">
        <v>6978</v>
      </c>
      <c r="B5553" s="4" t="s">
        <v>6980</v>
      </c>
      <c r="C5553" s="5" t="str">
        <f>IFERROR(__xludf.DUMMYFUNCTION("GOOGLETRANSLATE(B5553,""en"",""de"")"),"Er hebt es über seinen Kopf und lässt es dann auf den Boden fallen, bevor er weggeht.")</f>
        <v>Er hebt es über seinen Kopf und lässt es dann auf den Boden fallen, bevor er weggeht.</v>
      </c>
    </row>
    <row r="5554">
      <c r="A5554" s="4" t="s">
        <v>6981</v>
      </c>
      <c r="B5554" s="4" t="s">
        <v>6982</v>
      </c>
      <c r="C5554" s="5" t="str">
        <f>IFERROR(__xludf.DUMMYFUNCTION("GOOGLETRANSLATE(B5554,""en"",""de"")"),"Es wird eine Nahaufnahme mehrerer Autos gesehen, die zu einer Person führt, die die Autos reinigt.")</f>
        <v>Es wird eine Nahaufnahme mehrerer Autos gesehen, die zu einer Person führt, die die Autos reinigt.</v>
      </c>
    </row>
    <row r="5555">
      <c r="A5555" s="4" t="s">
        <v>6981</v>
      </c>
      <c r="B5555" s="4" t="s">
        <v>6983</v>
      </c>
      <c r="C5555" s="5" t="str">
        <f>IFERROR(__xludf.DUMMYFUNCTION("GOOGLETRANSLATE(B5555,""en"",""de"")"),"Die Person wischt sich vor den Autos mit einem Lappen entlang der Reifen ab.")</f>
        <v>Die Person wischt sich vor den Autos mit einem Lappen entlang der Reifen ab.</v>
      </c>
    </row>
    <row r="5556">
      <c r="A5556" s="4" t="s">
        <v>6981</v>
      </c>
      <c r="B5556" s="4" t="s">
        <v>6984</v>
      </c>
      <c r="C5556" s="5" t="str">
        <f>IFERROR(__xludf.DUMMYFUNCTION("GOOGLETRANSLATE(B5556,""en"",""de"")"),"Die Autos werden danach angekündigt und alle gereinigt.")</f>
        <v>Die Autos werden danach angekündigt und alle gereinigt.</v>
      </c>
    </row>
    <row r="5557">
      <c r="A5557" s="4" t="s">
        <v>6985</v>
      </c>
      <c r="B5557" s="4" t="s">
        <v>6986</v>
      </c>
      <c r="C5557" s="5" t="str">
        <f>IFERROR(__xludf.DUMMYFUNCTION("GOOGLETRANSLATE(B5557,""en"",""de"")"),"Eine Blaskapelle paraden die Straße hinunter.")</f>
        <v>Eine Blaskapelle paraden die Straße hinunter.</v>
      </c>
    </row>
    <row r="5558">
      <c r="A5558" s="4" t="s">
        <v>6985</v>
      </c>
      <c r="B5558" s="4" t="s">
        <v>6987</v>
      </c>
      <c r="C5558" s="5" t="str">
        <f>IFERROR(__xludf.DUMMYFUNCTION("GOOGLETRANSLATE(B5558,""en"",""de"")"),"Menschen auf beiden Seiten der Straße beobachten die Parade und applaudieren.")</f>
        <v>Menschen auf beiden Seiten der Straße beobachten die Parade und applaudieren.</v>
      </c>
    </row>
    <row r="5559">
      <c r="A5559" s="4" t="s">
        <v>6988</v>
      </c>
      <c r="B5559" s="4" t="s">
        <v>6989</v>
      </c>
      <c r="C5559" s="5" t="str">
        <f>IFERROR(__xludf.DUMMYFUNCTION("GOOGLETRANSLATE(B5559,""en"",""de"")"),"Eine Person legt Teigkugeln auf eine Pfanne und legt sie dann in einen Ofen.")</f>
        <v>Eine Person legt Teigkugeln auf eine Pfanne und legt sie dann in einen Ofen.</v>
      </c>
    </row>
    <row r="5560">
      <c r="A5560" s="4" t="s">
        <v>6988</v>
      </c>
      <c r="B5560" s="4" t="s">
        <v>6990</v>
      </c>
      <c r="C5560" s="5" t="str">
        <f>IFERROR(__xludf.DUMMYFUNCTION("GOOGLETRANSLATE(B5560,""en"",""de"")"),"Sie nimmt sie dann aus dem Ofen und legt die Kekse auf einen Teller.")</f>
        <v>Sie nimmt sie dann aus dem Ofen und legt die Kekse auf einen Teller.</v>
      </c>
    </row>
    <row r="5561">
      <c r="A5561" s="4" t="s">
        <v>6991</v>
      </c>
      <c r="B5561" s="4" t="s">
        <v>6992</v>
      </c>
      <c r="C5561" s="5" t="str">
        <f>IFERROR(__xludf.DUMMYFUNCTION("GOOGLETRANSLATE(B5561,""en"",""de"")"),"Ein kleines Kind wird gesehen, wie ein Hemd auf einem Tisch bügelt und in die Kamera schaut.")</f>
        <v>Ein kleines Kind wird gesehen, wie ein Hemd auf einem Tisch bügelt und in die Kamera schaut.</v>
      </c>
    </row>
    <row r="5562">
      <c r="A5562" s="4" t="s">
        <v>6991</v>
      </c>
      <c r="B5562" s="4" t="s">
        <v>6993</v>
      </c>
      <c r="C5562" s="5" t="str">
        <f>IFERROR(__xludf.DUMMYFUNCTION("GOOGLETRANSLATE(B5562,""en"",""de"")"),"Der Junge gibt weiter vor, das Hemd zu bügeln, und legt schließlich ein Kleid auf den Tisch auf den Tisch.")</f>
        <v>Der Junge gibt weiter vor, das Hemd zu bügeln, und legt schließlich ein Kleid auf den Tisch auf den Tisch.</v>
      </c>
    </row>
    <row r="5563">
      <c r="A5563" s="4" t="s">
        <v>6991</v>
      </c>
      <c r="B5563" s="4" t="s">
        <v>6994</v>
      </c>
      <c r="C5563" s="5" t="str">
        <f>IFERROR(__xludf.DUMMYFUNCTION("GOOGLETRANSLATE(B5563,""en"",""de"")"),"Er feiern das Kleid und schwingt es herum.")</f>
        <v>Er feiern das Kleid und schwingt es herum.</v>
      </c>
    </row>
    <row r="5564">
      <c r="A5564" s="4" t="s">
        <v>6995</v>
      </c>
      <c r="B5564" s="4" t="s">
        <v>6996</v>
      </c>
      <c r="C5564" s="5" t="str">
        <f>IFERROR(__xludf.DUMMYFUNCTION("GOOGLETRANSLATE(B5564,""en"",""de"")"),"Ein Mann geht mit einem Blattgebläse.")</f>
        <v>Ein Mann geht mit einem Blattgebläse.</v>
      </c>
    </row>
    <row r="5565">
      <c r="A5565" s="4" t="s">
        <v>6995</v>
      </c>
      <c r="B5565" s="4" t="s">
        <v>6997</v>
      </c>
      <c r="C5565" s="5" t="str">
        <f>IFERROR(__xludf.DUMMYFUNCTION("GOOGLETRANSLATE(B5565,""en"",""de"")"),"Er bläst Blätter auf dem Boden.")</f>
        <v>Er bläst Blätter auf dem Boden.</v>
      </c>
    </row>
    <row r="5566">
      <c r="A5566" s="4" t="s">
        <v>6995</v>
      </c>
      <c r="B5566" s="4" t="s">
        <v>6998</v>
      </c>
      <c r="C5566" s="5" t="str">
        <f>IFERROR(__xludf.DUMMYFUNCTION("GOOGLETRANSLATE(B5566,""en"",""de"")"),"Die Blätter bewegen sich gegen den Asphalt.")</f>
        <v>Die Blätter bewegen sich gegen den Asphalt.</v>
      </c>
    </row>
    <row r="5567">
      <c r="A5567" s="4" t="s">
        <v>6995</v>
      </c>
      <c r="B5567" s="4" t="s">
        <v>6999</v>
      </c>
      <c r="C5567" s="5" t="str">
        <f>IFERROR(__xludf.DUMMYFUNCTION("GOOGLETRANSLATE(B5567,""en"",""de"")"),"Der Mann bläst einen anderen Mann mit dem Gebläse.")</f>
        <v>Der Mann bläst einen anderen Mann mit dem Gebläse.</v>
      </c>
    </row>
    <row r="5568">
      <c r="A5568" s="4" t="s">
        <v>7000</v>
      </c>
      <c r="B5568" s="4" t="s">
        <v>7001</v>
      </c>
      <c r="C5568" s="5" t="str">
        <f>IFERROR(__xludf.DUMMYFUNCTION("GOOGLETRANSLATE(B5568,""en"",""de"")"),"Ein Mann steht hinter einer Theke, die mit der Kamera spricht und die Reinigungsprodukte hält.")</f>
        <v>Ein Mann steht hinter einer Theke, die mit der Kamera spricht und die Reinigungsprodukte hält.</v>
      </c>
    </row>
    <row r="5569">
      <c r="A5569" s="4" t="s">
        <v>7000</v>
      </c>
      <c r="B5569" s="4" t="s">
        <v>7002</v>
      </c>
      <c r="C5569" s="5" t="str">
        <f>IFERROR(__xludf.DUMMYFUNCTION("GOOGLETRANSLATE(B5569,""en"",""de"")"),"Er steckt die Produkte in ein Waschbecken und beginnt, um die Seiten zu schrubben.")</f>
        <v>Er steckt die Produkte in ein Waschbecken und beginnt, um die Seiten zu schrubben.</v>
      </c>
    </row>
    <row r="5570">
      <c r="A5570" s="4" t="s">
        <v>7000</v>
      </c>
      <c r="B5570" s="4" t="s">
        <v>7003</v>
      </c>
      <c r="C5570" s="5" t="str">
        <f>IFERROR(__xludf.DUMMYFUNCTION("GOOGLETRANSLATE(B5570,""en"",""de"")"),"Er wischt die Theke hinunter und zeigt das fertige Waschbecken.")</f>
        <v>Er wischt die Theke hinunter und zeigt das fertige Waschbecken.</v>
      </c>
    </row>
    <row r="5571">
      <c r="A5571" s="4" t="s">
        <v>7004</v>
      </c>
      <c r="B5571" s="4" t="s">
        <v>7005</v>
      </c>
      <c r="C5571" s="5" t="str">
        <f>IFERROR(__xludf.DUMMYFUNCTION("GOOGLETRANSLATE(B5571,""en"",""de"")"),"Ein Mann, der den Frisbee zu seinem Hund wirft und der Hund fängt.")</f>
        <v>Ein Mann, der den Frisbee zu seinem Hund wirft und der Hund fängt.</v>
      </c>
    </row>
    <row r="5572">
      <c r="A5572" s="4" t="s">
        <v>7004</v>
      </c>
      <c r="B5572" s="4" t="s">
        <v>7006</v>
      </c>
      <c r="C5572" s="5" t="str">
        <f>IFERROR(__xludf.DUMMYFUNCTION("GOOGLETRANSLATE(B5572,""en"",""de"")"),"Ein Besitzer macht eine Hand, die einen Frisbee zu seinem Hund wirft, der fangen kann.")</f>
        <v>Ein Besitzer macht eine Hand, die einen Frisbee zu seinem Hund wirft, der fangen kann.</v>
      </c>
    </row>
    <row r="5573">
      <c r="A5573" s="4" t="s">
        <v>7004</v>
      </c>
      <c r="B5573" s="4" t="s">
        <v>7007</v>
      </c>
      <c r="C5573" s="5" t="str">
        <f>IFERROR(__xludf.DUMMYFUNCTION("GOOGLETRANSLATE(B5573,""en"",""de"")"),"Viele Besitzer und Hunde werfen und fangen Frisbees und machen dabei Tricks.")</f>
        <v>Viele Besitzer und Hunde werfen und fangen Frisbees und machen dabei Tricks.</v>
      </c>
    </row>
    <row r="5574">
      <c r="A5574" s="4" t="s">
        <v>7004</v>
      </c>
      <c r="B5574" s="4" t="s">
        <v>7008</v>
      </c>
      <c r="C5574" s="5" t="str">
        <f>IFERROR(__xludf.DUMMYFUNCTION("GOOGLETRANSLATE(B5574,""en"",""de"")"),"Eine Frau öffnet die Arme und ihre Hunde springen in sie, sie fängt den Hund.")</f>
        <v>Eine Frau öffnet die Arme und ihre Hunde springen in sie, sie fängt den Hund.</v>
      </c>
    </row>
    <row r="5575">
      <c r="A5575" s="4" t="s">
        <v>7009</v>
      </c>
      <c r="B5575" s="4" t="s">
        <v>1251</v>
      </c>
      <c r="C5575" s="5" t="str">
        <f>IFERROR(__xludf.DUMMYFUNCTION("GOOGLETRANSLATE(B5575,""en"",""de"")"),"Die Credits des Clips werden angezeigt.")</f>
        <v>Die Credits des Clips werden angezeigt.</v>
      </c>
    </row>
    <row r="5576">
      <c r="A5576" s="4" t="s">
        <v>7009</v>
      </c>
      <c r="B5576" s="4" t="s">
        <v>7010</v>
      </c>
      <c r="C5576" s="5" t="str">
        <f>IFERROR(__xludf.DUMMYFUNCTION("GOOGLETRANSLATE(B5576,""en"",""de"")"),"Ein Mann hält einen Lacrosse -Stick und weist an.")</f>
        <v>Ein Mann hält einen Lacrosse -Stick und weist an.</v>
      </c>
    </row>
    <row r="5577">
      <c r="A5577" s="4" t="s">
        <v>7009</v>
      </c>
      <c r="B5577" s="4" t="s">
        <v>7011</v>
      </c>
      <c r="C5577" s="5" t="str">
        <f>IFERROR(__xludf.DUMMYFUNCTION("GOOGLETRANSLATE(B5577,""en"",""de"")"),"Ein Mann bewegt einen Ball mit dem Lacrosse -Stick.")</f>
        <v>Ein Mann bewegt einen Ball mit dem Lacrosse -Stick.</v>
      </c>
    </row>
    <row r="5578">
      <c r="A5578" s="4" t="s">
        <v>7009</v>
      </c>
      <c r="B5578" s="4" t="s">
        <v>7012</v>
      </c>
      <c r="C5578" s="5" t="str">
        <f>IFERROR(__xludf.DUMMYFUNCTION("GOOGLETRANSLATE(B5578,""en"",""de"")"),"Ein Mann wirft einen Ball in ein Tor.")</f>
        <v>Ein Mann wirft einen Ball in ein Tor.</v>
      </c>
    </row>
    <row r="5579">
      <c r="A5579" s="4" t="s">
        <v>7013</v>
      </c>
      <c r="B5579" s="4" t="s">
        <v>7014</v>
      </c>
      <c r="C5579" s="5" t="str">
        <f>IFERROR(__xludf.DUMMYFUNCTION("GOOGLETRANSLATE(B5579,""en"",""de"")"),"Eine Person fährt mit dem Fahrrad auf der Feldstraße.")</f>
        <v>Eine Person fährt mit dem Fahrrad auf der Feldstraße.</v>
      </c>
    </row>
    <row r="5580">
      <c r="A5580" s="4" t="s">
        <v>7013</v>
      </c>
      <c r="B5580" s="4" t="s">
        <v>7015</v>
      </c>
      <c r="C5580" s="5" t="str">
        <f>IFERROR(__xludf.DUMMYFUNCTION("GOOGLETRANSLATE(B5580,""en"",""de"")"),"Der Biker sprang in hohe Rampen.")</f>
        <v>Der Biker sprang in hohe Rampen.</v>
      </c>
    </row>
    <row r="5581">
      <c r="A5581" s="4" t="s">
        <v>7013</v>
      </c>
      <c r="B5581" s="4" t="s">
        <v>7016</v>
      </c>
      <c r="C5581" s="5" t="str">
        <f>IFERROR(__xludf.DUMMYFUNCTION("GOOGLETRANSLATE(B5581,""en"",""de"")"),"Der Biker fuhr zum Kurvenweg und fuhr dann über die hohe Rampe.")</f>
        <v>Der Biker fuhr zum Kurvenweg und fuhr dann über die hohe Rampe.</v>
      </c>
    </row>
    <row r="5582">
      <c r="A5582" s="4" t="s">
        <v>7017</v>
      </c>
      <c r="B5582" s="4" t="s">
        <v>7018</v>
      </c>
      <c r="C5582" s="5" t="str">
        <f>IFERROR(__xludf.DUMMYFUNCTION("GOOGLETRANSLATE(B5582,""en"",""de"")"),"Es gibt zwei Teams, die in der Farbe Green und Color White Lacrosse gegeneinander in einem Feld im Freien dargestellt werden.")</f>
        <v>Es gibt zwei Teams, die in der Farbe Green und Color White Lacrosse gegeneinander in einem Feld im Freien dargestellt werden.</v>
      </c>
    </row>
    <row r="5583">
      <c r="A5583" s="4" t="s">
        <v>7017</v>
      </c>
      <c r="B5583" s="4" t="s">
        <v>7019</v>
      </c>
      <c r="C5583" s="5" t="str">
        <f>IFERROR(__xludf.DUMMYFUNCTION("GOOGLETRANSLATE(B5583,""en"",""de"")"),"Der Spieler des Green Teams beginnt mit seinem Stock neben seinem Gegner zu rennen, um in Richtung Ball zu gehen.")</f>
        <v>Der Spieler des Green Teams beginnt mit seinem Stock neben seinem Gegner zu rennen, um in Richtung Ball zu gehen.</v>
      </c>
    </row>
    <row r="5584">
      <c r="A5584" s="4" t="s">
        <v>7017</v>
      </c>
      <c r="B5584" s="4" t="s">
        <v>7020</v>
      </c>
      <c r="C5584" s="5" t="str">
        <f>IFERROR(__xludf.DUMMYFUNCTION("GOOGLETRANSLATE(B5584,""en"",""de"")"),"Die beiden Teams treten auf Kopf an, als sie sich bemühen, den Ball im Tor zu schlagen.")</f>
        <v>Die beiden Teams treten auf Kopf an, als sie sich bemühen, den Ball im Tor zu schlagen.</v>
      </c>
    </row>
    <row r="5585">
      <c r="A5585" s="4" t="s">
        <v>7017</v>
      </c>
      <c r="B5585" s="4" t="s">
        <v>7021</v>
      </c>
      <c r="C5585" s="5" t="str">
        <f>IFERROR(__xludf.DUMMYFUNCTION("GOOGLETRANSLATE(B5585,""en"",""de"")"),"Die Green Team -Spieler laufen schnell, um zu verhindern, dass das weiße Team den Ball bekommt.")</f>
        <v>Die Green Team -Spieler laufen schnell, um zu verhindern, dass das weiße Team den Ball bekommt.</v>
      </c>
    </row>
    <row r="5586">
      <c r="A5586" s="4" t="s">
        <v>7017</v>
      </c>
      <c r="B5586" s="4" t="s">
        <v>7022</v>
      </c>
      <c r="C5586" s="5" t="str">
        <f>IFERROR(__xludf.DUMMYFUNCTION("GOOGLETRANSLATE(B5586,""en"",""de"")"),"Die weißen Teamspieler versuchen, mit ihren Gegnern Schritt zu halten und sich darauf zu konzentrieren, den Ball im Tor zu treffen.")</f>
        <v>Die weißen Teamspieler versuchen, mit ihren Gegnern Schritt zu halten und sich darauf zu konzentrieren, den Ball im Tor zu treffen.</v>
      </c>
    </row>
    <row r="5587">
      <c r="A5587" s="4" t="s">
        <v>7017</v>
      </c>
      <c r="B5587" s="4" t="s">
        <v>7023</v>
      </c>
      <c r="C5587" s="5" t="str">
        <f>IFERROR(__xludf.DUMMYFUNCTION("GOOGLETRANSLATE(B5587,""en"",""de"")"),"Zwei Spieler beider Teams rennen aufeinander zu und kämpfen um den Ball, was dazu führt, dass einer der Green Team -Spieler fallen.")</f>
        <v>Zwei Spieler beider Teams rennen aufeinander zu und kämpfen um den Ball, was dazu führt, dass einer der Green Team -Spieler fallen.</v>
      </c>
    </row>
    <row r="5588">
      <c r="A5588" s="4" t="s">
        <v>7017</v>
      </c>
      <c r="B5588" s="4" t="s">
        <v>7024</v>
      </c>
      <c r="C5588" s="5" t="str">
        <f>IFERROR(__xludf.DUMMYFUNCTION("GOOGLETRANSLATE(B5588,""en"",""de"")"),"Sie machen eine Pause, bevor sie das Spiel neu starten können, wenn sie zur Seite des Feldes gehen.")</f>
        <v>Sie machen eine Pause, bevor sie das Spiel neu starten können, wenn sie zur Seite des Feldes gehen.</v>
      </c>
    </row>
    <row r="5589">
      <c r="A5589" s="4" t="s">
        <v>7025</v>
      </c>
      <c r="B5589" s="4" t="s">
        <v>7026</v>
      </c>
      <c r="C5589" s="5" t="str">
        <f>IFERROR(__xludf.DUMMYFUNCTION("GOOGLETRANSLATE(B5589,""en"",""de"")"),"Ein Händler an einem Casino -Tisch setzt sich an mehrere Kunden aus, während es im Hintergrund einen ständigen Strom von Aktivitäten gibt.")</f>
        <v>Ein Händler an einem Casino -Tisch setzt sich an mehrere Kunden aus, während es im Hintergrund einen ständigen Strom von Aktivitäten gibt.</v>
      </c>
    </row>
    <row r="5590">
      <c r="A5590" s="4" t="s">
        <v>7025</v>
      </c>
      <c r="B5590" s="4" t="s">
        <v>7027</v>
      </c>
      <c r="C5590" s="5" t="str">
        <f>IFERROR(__xludf.DUMMYFUNCTION("GOOGLETRANSLATE(B5590,""en"",""de"")"),"Einer der Spieler beginnt zu lachen.")</f>
        <v>Einer der Spieler beginnt zu lachen.</v>
      </c>
    </row>
    <row r="5591">
      <c r="A5591" s="4" t="s">
        <v>7028</v>
      </c>
      <c r="B5591" s="4" t="s">
        <v>7029</v>
      </c>
      <c r="C5591" s="5" t="str">
        <f>IFERROR(__xludf.DUMMYFUNCTION("GOOGLETRANSLATE(B5591,""en"",""de"")"),"Wir sehen Karten mit Chips auf dem Tisch.")</f>
        <v>Wir sehen Karten mit Chips auf dem Tisch.</v>
      </c>
    </row>
    <row r="5592">
      <c r="A5592" s="4" t="s">
        <v>7028</v>
      </c>
      <c r="B5592" s="4" t="s">
        <v>7030</v>
      </c>
      <c r="C5592" s="5" t="str">
        <f>IFERROR(__xludf.DUMMYFUNCTION("GOOGLETRANSLATE(B5592,""en"",""de"")"),"Der Händler besitzt mehr Karten.")</f>
        <v>Der Händler besitzt mehr Karten.</v>
      </c>
    </row>
    <row r="5593">
      <c r="A5593" s="4" t="s">
        <v>7028</v>
      </c>
      <c r="B5593" s="4" t="s">
        <v>7031</v>
      </c>
      <c r="C5593" s="5" t="str">
        <f>IFERROR(__xludf.DUMMYFUNCTION("GOOGLETRANSLATE(B5593,""en"",""de"")"),"Der Händler zeigt auf zwei Karten.")</f>
        <v>Der Händler zeigt auf zwei Karten.</v>
      </c>
    </row>
    <row r="5594">
      <c r="A5594" s="4" t="s">
        <v>7028</v>
      </c>
      <c r="B5594" s="4" t="s">
        <v>7032</v>
      </c>
      <c r="C5594" s="5" t="str">
        <f>IFERROR(__xludf.DUMMYFUNCTION("GOOGLETRANSLATE(B5594,""en"",""de"")"),"Der Händler übernimmt eine Karte und übernimmt die Chips des Mannes.")</f>
        <v>Der Händler übernimmt eine Karte und übernimmt die Chips des Mannes.</v>
      </c>
    </row>
    <row r="5595">
      <c r="A5595" s="4" t="s">
        <v>7033</v>
      </c>
      <c r="B5595" s="4" t="s">
        <v>7034</v>
      </c>
      <c r="C5595" s="5" t="str">
        <f>IFERROR(__xludf.DUMMYFUNCTION("GOOGLETRANSLATE(B5595,""en"",""de"")"),"Eine Anzeige zeigt die Präsentation von zwei Tänzern an.")</f>
        <v>Eine Anzeige zeigt die Präsentation von zwei Tänzern an.</v>
      </c>
    </row>
    <row r="5596">
      <c r="A5596" s="4" t="s">
        <v>7033</v>
      </c>
      <c r="B5596" s="4" t="s">
        <v>7035</v>
      </c>
      <c r="C5596" s="5" t="str">
        <f>IFERROR(__xludf.DUMMYFUNCTION("GOOGLETRANSLATE(B5596,""en"",""de"")"),"Das Paar tanzt und hält die Hände und dreht sich beide um.")</f>
        <v>Das Paar tanzt und hält die Hände und dreht sich beide um.</v>
      </c>
    </row>
    <row r="5597">
      <c r="A5597" s="4" t="s">
        <v>7033</v>
      </c>
      <c r="B5597" s="4" t="s">
        <v>7036</v>
      </c>
      <c r="C5597" s="5" t="str">
        <f>IFERROR(__xludf.DUMMYFUNCTION("GOOGLETRANSLATE(B5597,""en"",""de"")"),"Die Frau dreht sich um und hält die Hand des Mannes.")</f>
        <v>Die Frau dreht sich um und hält die Hand des Mannes.</v>
      </c>
    </row>
    <row r="5598">
      <c r="A5598" s="4" t="s">
        <v>7037</v>
      </c>
      <c r="B5598" s="4" t="s">
        <v>7038</v>
      </c>
      <c r="C5598" s="5" t="str">
        <f>IFERROR(__xludf.DUMMYFUNCTION("GOOGLETRANSLATE(B5598,""en"",""de"")"),"Frauen gehen am See und setzen ihre Schuhe und ihren Gurt.")</f>
        <v>Frauen gehen am See und setzen ihre Schuhe und ihren Gurt.</v>
      </c>
    </row>
    <row r="5599">
      <c r="A5599" s="4" t="s">
        <v>7037</v>
      </c>
      <c r="B5599" s="4" t="s">
        <v>7039</v>
      </c>
      <c r="C5599" s="5" t="str">
        <f>IFERROR(__xludf.DUMMYFUNCTION("GOOGLETRANSLATE(B5599,""en"",""de"")"),"Frauen klettern auf eine Felswand, die an einem Geschirr befestigt ist.")</f>
        <v>Frauen klettern auf eine Felswand, die an einem Geschirr befestigt ist.</v>
      </c>
    </row>
    <row r="5600">
      <c r="A5600" s="4" t="s">
        <v>7037</v>
      </c>
      <c r="B5600" s="4" t="s">
        <v>7040</v>
      </c>
      <c r="C5600" s="5" t="str">
        <f>IFERROR(__xludf.DUMMYFUNCTION("GOOGLETRANSLATE(B5600,""en"",""de"")"),"Frau geht runter und wann ist die andere Frau im Boden die Hand.")</f>
        <v>Frau geht runter und wann ist die andere Frau im Boden die Hand.</v>
      </c>
    </row>
    <row r="5601">
      <c r="A5601" s="4" t="s">
        <v>7041</v>
      </c>
      <c r="B5601" s="4" t="s">
        <v>7042</v>
      </c>
      <c r="C5601" s="5" t="str">
        <f>IFERROR(__xludf.DUMMYFUNCTION("GOOGLETRANSLATE(B5601,""en"",""de"")"),"Eine Frau steht hinter einer Theke mit einem Martini -Glas.")</f>
        <v>Eine Frau steht hinter einer Theke mit einem Martini -Glas.</v>
      </c>
    </row>
    <row r="5602">
      <c r="A5602" s="4" t="s">
        <v>7041</v>
      </c>
      <c r="B5602" s="4" t="s">
        <v>7043</v>
      </c>
      <c r="C5602" s="5" t="str">
        <f>IFERROR(__xludf.DUMMYFUNCTION("GOOGLETRANSLATE(B5602,""en"",""de"")"),"Sie wirft etwas Eis in das Glas.")</f>
        <v>Sie wirft etwas Eis in das Glas.</v>
      </c>
    </row>
    <row r="5603">
      <c r="A5603" s="4" t="s">
        <v>7041</v>
      </c>
      <c r="B5603" s="4" t="s">
        <v>7044</v>
      </c>
      <c r="C5603" s="5" t="str">
        <f>IFERROR(__xludf.DUMMYFUNCTION("GOOGLETRANSLATE(B5603,""en"",""de"")"),"Sie steckt etwas Eis in ein anderes Glas und fügt Schüsse Alkohol hinzu.")</f>
        <v>Sie steckt etwas Eis in ein anderes Glas und fügt Schüsse Alkohol hinzu.</v>
      </c>
    </row>
    <row r="5604">
      <c r="A5604" s="4" t="s">
        <v>7041</v>
      </c>
      <c r="B5604" s="4" t="s">
        <v>7045</v>
      </c>
      <c r="C5604" s="5" t="str">
        <f>IFERROR(__xludf.DUMMYFUNCTION("GOOGLETRANSLATE(B5604,""en"",""de"")"),"Sie schüttelt das Getränk in einem schwarzen Shaker.")</f>
        <v>Sie schüttelt das Getränk in einem schwarzen Shaker.</v>
      </c>
    </row>
    <row r="5605">
      <c r="A5605" s="4" t="s">
        <v>7041</v>
      </c>
      <c r="B5605" s="4" t="s">
        <v>7046</v>
      </c>
      <c r="C5605" s="5" t="str">
        <f>IFERROR(__xludf.DUMMYFUNCTION("GOOGLETRANSLATE(B5605,""en"",""de"")"),"Sie gießt das Eis aus einem Martini -Glas.")</f>
        <v>Sie gießt das Eis aus einem Martini -Glas.</v>
      </c>
    </row>
    <row r="5606">
      <c r="A5606" s="4" t="s">
        <v>7041</v>
      </c>
      <c r="B5606" s="4" t="s">
        <v>7047</v>
      </c>
      <c r="C5606" s="5" t="str">
        <f>IFERROR(__xludf.DUMMYFUNCTION("GOOGLETRANSLATE(B5606,""en"",""de"")"),"Sie gießt das Getränk in das Martini -Glas.")</f>
        <v>Sie gießt das Getränk in das Martini -Glas.</v>
      </c>
    </row>
    <row r="5607">
      <c r="A5607" s="4" t="s">
        <v>7041</v>
      </c>
      <c r="B5607" s="4" t="s">
        <v>7048</v>
      </c>
      <c r="C5607" s="5" t="str">
        <f>IFERROR(__xludf.DUMMYFUNCTION("GOOGLETRANSLATE(B5607,""en"",""de"")"),"Sie hält das Martini -Glas in der Hand hoch.")</f>
        <v>Sie hält das Martini -Glas in der Hand hoch.</v>
      </c>
    </row>
    <row r="5608">
      <c r="A5608" s="4" t="s">
        <v>7049</v>
      </c>
      <c r="B5608" s="4" t="s">
        <v>7050</v>
      </c>
      <c r="C5608" s="5" t="str">
        <f>IFERROR(__xludf.DUMMYFUNCTION("GOOGLETRANSLATE(B5608,""en"",""de"")"),"Zwei Sumo -Wrestler sind Kämpfe zu sehen, die zu Menschen führen, die in Menschen gehen und andere gemeinsam tanzen.")</f>
        <v>Zwei Sumo -Wrestler sind Kämpfe zu sehen, die zu Menschen führen, die in Menschen gehen und andere gemeinsam tanzen.</v>
      </c>
    </row>
    <row r="5609">
      <c r="A5609" s="4" t="s">
        <v>7049</v>
      </c>
      <c r="B5609" s="4" t="s">
        <v>7051</v>
      </c>
      <c r="C5609" s="5" t="str">
        <f>IFERROR(__xludf.DUMMYFUNCTION("GOOGLETRANSLATE(B5609,""en"",""de"")"),"Weitere Wrestler biegen sich zueinander und beginnen zu ringen, während Menschen nebenbei trommeln.")</f>
        <v>Weitere Wrestler biegen sich zueinander und beginnen zu ringen, während Menschen nebenbei trommeln.</v>
      </c>
    </row>
    <row r="5610">
      <c r="A5610" s="4" t="s">
        <v>7049</v>
      </c>
      <c r="B5610" s="4" t="s">
        <v>7052</v>
      </c>
      <c r="C5610" s="5" t="str">
        <f>IFERROR(__xludf.DUMMYFUNCTION("GOOGLETRANSLATE(B5610,""en"",""de"")"),"Weitere Menschen werden hineingegangen und ringen weiter auf der Grube.")</f>
        <v>Weitere Menschen werden hineingegangen und ringen weiter auf der Grube.</v>
      </c>
    </row>
    <row r="5611">
      <c r="A5611" s="4" t="s">
        <v>7053</v>
      </c>
      <c r="B5611" s="4" t="s">
        <v>7054</v>
      </c>
      <c r="C5611" s="5" t="str">
        <f>IFERROR(__xludf.DUMMYFUNCTION("GOOGLETRANSLATE(B5611,""en"",""de"")"),"Ein Mann sitzt auf einem Übungsgerät, der sich zurück und vierte bewegt.")</f>
        <v>Ein Mann sitzt auf einem Übungsgerät, der sich zurück und vierte bewegt.</v>
      </c>
    </row>
    <row r="5612">
      <c r="A5612" s="4" t="s">
        <v>7053</v>
      </c>
      <c r="B5612" s="4" t="s">
        <v>7055</v>
      </c>
      <c r="C5612" s="5" t="str">
        <f>IFERROR(__xludf.DUMMYFUNCTION("GOOGLETRANSLATE(B5612,""en"",""de"")"),"Der Mann bewegt sich weiterhin mit unterschiedlichen Geschwindigkeiten und bewegt sich zurück.")</f>
        <v>Der Mann bewegt sich weiterhin mit unterschiedlichen Geschwindigkeiten und bewegt sich zurück.</v>
      </c>
    </row>
    <row r="5613">
      <c r="A5613" s="4" t="s">
        <v>7056</v>
      </c>
      <c r="B5613" s="4" t="s">
        <v>7057</v>
      </c>
      <c r="C5613" s="5" t="str">
        <f>IFERROR(__xludf.DUMMYFUNCTION("GOOGLETRANSLATE(B5613,""en"",""de"")"),"Eine Gruppe von Menschen steht in der Mitte eines Waldes mit einer Spur von Kieselsteinen, die sie von einem schönen kristallklaren Gewässer trennen.")</f>
        <v>Eine Gruppe von Menschen steht in der Mitte eines Waldes mit einer Spur von Kieselsteinen, die sie von einem schönen kristallklaren Gewässer trennen.</v>
      </c>
    </row>
    <row r="5614">
      <c r="A5614" s="4" t="s">
        <v>7056</v>
      </c>
      <c r="B5614" s="4" t="s">
        <v>7058</v>
      </c>
      <c r="C5614" s="5" t="str">
        <f>IFERROR(__xludf.DUMMYFUNCTION("GOOGLETRANSLATE(B5614,""en"",""de"")"),"Die Kamera bewegt sich über das Wasser und mehrere Personen auf Booten und Jet-Skis bewegt sich in der Nähe einer großen Welle im Wasser.")</f>
        <v>Die Kamera bewegt sich über das Wasser und mehrere Personen auf Booten und Jet-Skis bewegt sich in der Nähe einer großen Welle im Wasser.</v>
      </c>
    </row>
    <row r="5615">
      <c r="A5615" s="4" t="s">
        <v>7056</v>
      </c>
      <c r="B5615" s="4" t="s">
        <v>7059</v>
      </c>
      <c r="C5615" s="5" t="str">
        <f>IFERROR(__xludf.DUMMYFUNCTION("GOOGLETRANSLATE(B5615,""en"",""de"")"),"Weitere große Wellen beginnen sich zu tauchen, und ein Mann beginnt, die Wellen zu surfen.")</f>
        <v>Weitere große Wellen beginnen sich zu tauchen, und ein Mann beginnt, die Wellen zu surfen.</v>
      </c>
    </row>
    <row r="5616">
      <c r="A5616" s="4" t="s">
        <v>7056</v>
      </c>
      <c r="B5616" s="4" t="s">
        <v>7060</v>
      </c>
      <c r="C5616" s="5" t="str">
        <f>IFERROR(__xludf.DUMMYFUNCTION("GOOGLETRANSLATE(B5616,""en"",""de"")"),"Der Wald wird dann gezeigt und Surfbretter erscheinen gegen die Wasserbänke.")</f>
        <v>Der Wald wird dann gezeigt und Surfbretter erscheinen gegen die Wasserbänke.</v>
      </c>
    </row>
    <row r="5617">
      <c r="A5617" s="4" t="s">
        <v>7061</v>
      </c>
      <c r="B5617" s="4" t="s">
        <v>7062</v>
      </c>
      <c r="C5617" s="5" t="str">
        <f>IFERROR(__xludf.DUMMYFUNCTION("GOOGLETRANSLATE(B5617,""en"",""de"")"),"Ein Auto fährt mit schneller Geschwindigkeit die Autobahn hinunter und nimmt einen Ausgang zum Park.")</f>
        <v>Ein Auto fährt mit schneller Geschwindigkeit die Autobahn hinunter und nimmt einen Ausgang zum Park.</v>
      </c>
    </row>
    <row r="5618">
      <c r="A5618" s="4" t="s">
        <v>7061</v>
      </c>
      <c r="B5618" s="4" t="s">
        <v>7063</v>
      </c>
      <c r="C5618" s="5" t="str">
        <f>IFERROR(__xludf.DUMMYFUNCTION("GOOGLETRANSLATE(B5618,""en"",""de"")"),"Dann sind sie im Fitnessstudio und es ist eine Klasse voller Menschen mit Springen.")</f>
        <v>Dann sind sie im Fitnessstudio und es ist eine Klasse voller Menschen mit Springen.</v>
      </c>
    </row>
    <row r="5619">
      <c r="A5619" s="4" t="s">
        <v>7061</v>
      </c>
      <c r="B5619" s="4" t="s">
        <v>7064</v>
      </c>
      <c r="C5619" s="5" t="str">
        <f>IFERROR(__xludf.DUMMYFUNCTION("GOOGLETRANSLATE(B5619,""en"",""de"")"),"Eine Trainerin und ein Kindersprungseil eins zu eins zusammen und unterrichtet einige andere Schüler in der Klasse.")</f>
        <v>Eine Trainerin und ein Kindersprungseil eins zu eins zusammen und unterrichtet einige andere Schüler in der Klasse.</v>
      </c>
    </row>
    <row r="5620">
      <c r="A5620" s="4" t="s">
        <v>7061</v>
      </c>
      <c r="B5620" s="4" t="s">
        <v>7065</v>
      </c>
      <c r="C5620" s="5" t="str">
        <f>IFERROR(__xludf.DUMMYFUNCTION("GOOGLETRANSLATE(B5620,""en"",""de"")"),"Die Klasse endet mit Bildern des Trainers und ihrer Schüler.")</f>
        <v>Die Klasse endet mit Bildern des Trainers und ihrer Schüler.</v>
      </c>
    </row>
    <row r="5621">
      <c r="A5621" s="4" t="s">
        <v>7066</v>
      </c>
      <c r="B5621" s="4" t="s">
        <v>7067</v>
      </c>
      <c r="C5621" s="5" t="str">
        <f>IFERROR(__xludf.DUMMYFUNCTION("GOOGLETRANSLATE(B5621,""en"",""de"")"),"Ein Mann fährt einen Rasenmäher über einen Rasen.")</f>
        <v>Ein Mann fährt einen Rasenmäher über einen Rasen.</v>
      </c>
    </row>
    <row r="5622">
      <c r="A5622" s="4" t="s">
        <v>7066</v>
      </c>
      <c r="B5622" s="4" t="s">
        <v>7068</v>
      </c>
      <c r="C5622" s="5" t="str">
        <f>IFERROR(__xludf.DUMMYFUNCTION("GOOGLETRANSLATE(B5622,""en"",""de"")"),"Der Mann dreht sich nach links.")</f>
        <v>Der Mann dreht sich nach links.</v>
      </c>
    </row>
    <row r="5623">
      <c r="A5623" s="4" t="s">
        <v>7066</v>
      </c>
      <c r="B5623" s="4" t="s">
        <v>7069</v>
      </c>
      <c r="C5623" s="5" t="str">
        <f>IFERROR(__xludf.DUMMYFUNCTION("GOOGLETRANSLATE(B5623,""en"",""de"")"),"Ein Wagen hinter dem Mann wird mit Kindern im Schlepptau gezogen.")</f>
        <v>Ein Wagen hinter dem Mann wird mit Kindern im Schlepptau gezogen.</v>
      </c>
    </row>
    <row r="5624">
      <c r="A5624" s="4" t="s">
        <v>7066</v>
      </c>
      <c r="B5624" s="4" t="s">
        <v>7070</v>
      </c>
      <c r="C5624" s="5" t="str">
        <f>IFERROR(__xludf.DUMMYFUNCTION("GOOGLETRANSLATE(B5624,""en"",""de"")"),"Der Mann umkreist dann den Rasen.")</f>
        <v>Der Mann umkreist dann den Rasen.</v>
      </c>
    </row>
    <row r="5625">
      <c r="A5625" s="4" t="s">
        <v>7071</v>
      </c>
      <c r="B5625" s="4" t="s">
        <v>7072</v>
      </c>
      <c r="C5625" s="5" t="str">
        <f>IFERROR(__xludf.DUMMYFUNCTION("GOOGLETRANSLATE(B5625,""en"",""de"")"),"Eine Frau und ein junges Mädchen spazieren jeweils einen Hund in einer Grasfläche.")</f>
        <v>Eine Frau und ein junges Mädchen spazieren jeweils einen Hund in einer Grasfläche.</v>
      </c>
    </row>
    <row r="5626">
      <c r="A5626" s="4" t="s">
        <v>7071</v>
      </c>
      <c r="B5626" s="4" t="s">
        <v>7073</v>
      </c>
      <c r="C5626" s="5" t="str">
        <f>IFERROR(__xludf.DUMMYFUNCTION("GOOGLETRANSLATE(B5626,""en"",""de"")"),"Sie nähern sich einer anderen Frau, die auf einem Stuhl sitzt.")</f>
        <v>Sie nähern sich einer anderen Frau, die auf einem Stuhl sitzt.</v>
      </c>
    </row>
    <row r="5627">
      <c r="A5627" s="4" t="s">
        <v>7071</v>
      </c>
      <c r="B5627" s="4" t="s">
        <v>7074</v>
      </c>
      <c r="C5627" s="5" t="str">
        <f>IFERROR(__xludf.DUMMYFUNCTION("GOOGLETRANSLATE(B5627,""en"",""de"")"),"Sie streichelt einen der Hunde.")</f>
        <v>Sie streichelt einen der Hunde.</v>
      </c>
    </row>
    <row r="5628">
      <c r="A5628" s="4" t="s">
        <v>7071</v>
      </c>
      <c r="B5628" s="4" t="s">
        <v>7075</v>
      </c>
      <c r="C5628" s="5" t="str">
        <f>IFERROR(__xludf.DUMMYFUNCTION("GOOGLETRANSLATE(B5628,""en"",""de"")"),"Eine andere Frau sitzt hinter der Frau, die den Hund streichelt.")</f>
        <v>Eine andere Frau sitzt hinter der Frau, die den Hund streichelt.</v>
      </c>
    </row>
    <row r="5629">
      <c r="A5629" s="4" t="s">
        <v>7071</v>
      </c>
      <c r="B5629" s="4" t="s">
        <v>7076</v>
      </c>
      <c r="C5629" s="5" t="str">
        <f>IFERROR(__xludf.DUMMYFUNCTION("GOOGLETRANSLATE(B5629,""en"",""de"")"),"Die Frau mit dem Hund geht hinüber und nimmt die Leine des zweiten Hundes vom jungen Mädchen und geht mit Hunden und dem jungen Mädchen weg, der immer noch einen Teil einer Leine hält.")</f>
        <v>Die Frau mit dem Hund geht hinüber und nimmt die Leine des zweiten Hundes vom jungen Mädchen und geht mit Hunden und dem jungen Mädchen weg, der immer noch einen Teil einer Leine hält.</v>
      </c>
    </row>
    <row r="5630">
      <c r="A5630" s="4" t="s">
        <v>7071</v>
      </c>
      <c r="B5630" s="4" t="s">
        <v>7077</v>
      </c>
      <c r="C5630" s="5" t="str">
        <f>IFERROR(__xludf.DUMMYFUNCTION("GOOGLETRANSLATE(B5630,""en"",""de"")"),"Ein Mann steht zur Seite und beobachtet.")</f>
        <v>Ein Mann steht zur Seite und beobachtet.</v>
      </c>
    </row>
    <row r="5631">
      <c r="A5631" s="4" t="s">
        <v>7071</v>
      </c>
      <c r="B5631" s="4" t="s">
        <v>7078</v>
      </c>
      <c r="C5631" s="5" t="str">
        <f>IFERROR(__xludf.DUMMYFUNCTION("GOOGLETRANSLATE(B5631,""en"",""de"")"),"Die Frau und das junge Mädchen, jeweils wieder einen Hund, halten in der Grasfläche an, reden und gehen dann weiter.")</f>
        <v>Die Frau und das junge Mädchen, jeweils wieder einen Hund, halten in der Grasfläche an, reden und gehen dann weiter.</v>
      </c>
    </row>
    <row r="5632">
      <c r="A5632" s="4" t="s">
        <v>7079</v>
      </c>
      <c r="B5632" s="4" t="s">
        <v>7080</v>
      </c>
      <c r="C5632" s="5" t="str">
        <f>IFERROR(__xludf.DUMMYFUNCTION("GOOGLETRANSLATE(B5632,""en"",""de"")"),"Wir sehen einen dunklen Titelbildschirm.")</f>
        <v>Wir sehen einen dunklen Titelbildschirm.</v>
      </c>
    </row>
    <row r="5633">
      <c r="A5633" s="4" t="s">
        <v>7079</v>
      </c>
      <c r="B5633" s="4" t="s">
        <v>7081</v>
      </c>
      <c r="C5633" s="5" t="str">
        <f>IFERROR(__xludf.DUMMYFUNCTION("GOOGLETRANSLATE(B5633,""en"",""de"")"),"Wir sehen Titel auf dem Bildschirm und sehen die Männer.")</f>
        <v>Wir sehen Titel auf dem Bildschirm und sehen die Männer.</v>
      </c>
    </row>
    <row r="5634">
      <c r="A5634" s="4" t="s">
        <v>7079</v>
      </c>
      <c r="B5634" s="4" t="s">
        <v>7082</v>
      </c>
      <c r="C5634" s="5" t="str">
        <f>IFERROR(__xludf.DUMMYFUNCTION("GOOGLETRANSLATE(B5634,""en"",""de"")"),"Wir sehen zwei Männer, die in einem Ring gegen MMA kämpfen.")</f>
        <v>Wir sehen zwei Männer, die in einem Ring gegen MMA kämpfen.</v>
      </c>
    </row>
    <row r="5635">
      <c r="A5635" s="4" t="s">
        <v>7079</v>
      </c>
      <c r="B5635" s="4" t="s">
        <v>7083</v>
      </c>
      <c r="C5635" s="5" t="str">
        <f>IFERROR(__xludf.DUMMYFUNCTION("GOOGLETRANSLATE(B5635,""en"",""de"")"),"Der große Mann verliert seinen Griff um den kleineren Mann.")</f>
        <v>Der große Mann verliert seinen Griff um den kleineren Mann.</v>
      </c>
    </row>
    <row r="5636">
      <c r="A5636" s="4" t="s">
        <v>7079</v>
      </c>
      <c r="B5636" s="4" t="s">
        <v>7084</v>
      </c>
      <c r="C5636" s="5" t="str">
        <f>IFERROR(__xludf.DUMMYFUNCTION("GOOGLETRANSLATE(B5636,""en"",""de"")"),"Der Schiedsrichter kommt zu den Männern und winkt die Arme.")</f>
        <v>Der Schiedsrichter kommt zu den Männern und winkt die Arme.</v>
      </c>
    </row>
    <row r="5637">
      <c r="A5637" s="4" t="s">
        <v>7079</v>
      </c>
      <c r="B5637" s="4" t="s">
        <v>7085</v>
      </c>
      <c r="C5637" s="5" t="str">
        <f>IFERROR(__xludf.DUMMYFUNCTION("GOOGLETRANSLATE(B5637,""en"",""de"")"),"Wir sehen das Ergebnis des Spiels auf dem Bildschirm.")</f>
        <v>Wir sehen das Ergebnis des Spiels auf dem Bildschirm.</v>
      </c>
    </row>
    <row r="5638">
      <c r="A5638" s="4" t="s">
        <v>7079</v>
      </c>
      <c r="B5638" s="4" t="s">
        <v>7086</v>
      </c>
      <c r="C5638" s="5" t="str">
        <f>IFERROR(__xludf.DUMMYFUNCTION("GOOGLETRANSLATE(B5638,""en"",""de"")"),"Der kleinere Kämpfer umarmt einen anderen Mann.")</f>
        <v>Der kleinere Kämpfer umarmt einen anderen Mann.</v>
      </c>
    </row>
    <row r="5639">
      <c r="A5639" s="4" t="s">
        <v>7079</v>
      </c>
      <c r="B5639" s="4" t="s">
        <v>7087</v>
      </c>
      <c r="C5639" s="5" t="str">
        <f>IFERROR(__xludf.DUMMYFUNCTION("GOOGLETRANSLATE(B5639,""en"",""de"")"),"Wir sehen dann die Abspannspunkte für die Schließung.")</f>
        <v>Wir sehen dann die Abspannspunkte für die Schließung.</v>
      </c>
    </row>
    <row r="5640">
      <c r="A5640" s="4" t="s">
        <v>7088</v>
      </c>
      <c r="B5640" s="4" t="s">
        <v>7089</v>
      </c>
      <c r="C5640" s="5" t="str">
        <f>IFERROR(__xludf.DUMMYFUNCTION("GOOGLETRANSLATE(B5640,""en"",""de"")"),"Eine Gruppe von Menschen wird in Paris Rollerblading gezeigt.")</f>
        <v>Eine Gruppe von Menschen wird in Paris Rollerblading gezeigt.</v>
      </c>
    </row>
    <row r="5641">
      <c r="A5641" s="4" t="s">
        <v>7088</v>
      </c>
      <c r="B5641" s="4" t="s">
        <v>7090</v>
      </c>
      <c r="C5641" s="5" t="str">
        <f>IFERROR(__xludf.DUMMYFUNCTION("GOOGLETRANSLATE(B5641,""en"",""de"")"),"Sie bewegen sich langsam und es gibt viele von ihnen, wenn einige von ihnen beim Passieren in die Kamera schauen.")</f>
        <v>Sie bewegen sich langsam und es gibt viele von ihnen, wenn einige von ihnen beim Passieren in die Kamera schauen.</v>
      </c>
    </row>
    <row r="5642">
      <c r="A5642" s="4" t="s">
        <v>7088</v>
      </c>
      <c r="B5642" s="4" t="s">
        <v>7091</v>
      </c>
      <c r="C5642" s="5" t="str">
        <f>IFERROR(__xludf.DUMMYFUNCTION("GOOGLETRANSLATE(B5642,""en"",""de"")"),"Die Prozession geht weiter, wenn die Zuschauer weiterschauen.")</f>
        <v>Die Prozession geht weiter, wenn die Zuschauer weiterschauen.</v>
      </c>
    </row>
    <row r="5643">
      <c r="A5643" s="4" t="s">
        <v>7088</v>
      </c>
      <c r="B5643" s="4" t="s">
        <v>7092</v>
      </c>
      <c r="C5643" s="5" t="str">
        <f>IFERROR(__xludf.DUMMYFUNCTION("GOOGLETRANSLATE(B5643,""en"",""de"")"),"Das Video schneidet in einen Seitenwinkel der Rollerblader.")</f>
        <v>Das Video schneidet in einen Seitenwinkel der Rollerblader.</v>
      </c>
    </row>
    <row r="5644">
      <c r="A5644" s="4" t="s">
        <v>7088</v>
      </c>
      <c r="B5644" s="4" t="s">
        <v>7093</v>
      </c>
      <c r="C5644" s="5" t="str">
        <f>IFERROR(__xludf.DUMMYFUNCTION("GOOGLETRANSLATE(B5644,""en"",""de"")"),"Eine andere Seitenaufnahme wird gezeigt und ein Cop -Auto und mehrere Escort -Fahrzeuge werden in Sicht kommen, wenn das Video zu schwarz verblasst.")</f>
        <v>Eine andere Seitenaufnahme wird gezeigt und ein Cop -Auto und mehrere Escort -Fahrzeuge werden in Sicht kommen, wenn das Video zu schwarz verblasst.</v>
      </c>
    </row>
    <row r="5645">
      <c r="A5645" s="4" t="s">
        <v>7094</v>
      </c>
      <c r="B5645" s="4" t="s">
        <v>7095</v>
      </c>
      <c r="C5645" s="5" t="str">
        <f>IFERROR(__xludf.DUMMYFUNCTION("GOOGLETRANSLATE(B5645,""en"",""de"")"),"Eine Person ist ein Video, das ein Bull -Kampf -Event aus seinem Fernseher aufzeichnet.")</f>
        <v>Eine Person ist ein Video, das ein Bull -Kampf -Event aus seinem Fernseher aufzeichnet.</v>
      </c>
    </row>
    <row r="5646">
      <c r="A5646" s="4" t="s">
        <v>7094</v>
      </c>
      <c r="B5646" s="4" t="s">
        <v>7096</v>
      </c>
      <c r="C5646" s="5" t="str">
        <f>IFERROR(__xludf.DUMMYFUNCTION("GOOGLETRANSLATE(B5646,""en"",""de"")"),"Die Bullenkampfszene befindet sich in einer großen offenen Arena, die mit Tausenden von Zuschauern gefüllt ist, die jubeln.")</f>
        <v>Die Bullenkampfszene befindet sich in einer großen offenen Arena, die mit Tausenden von Zuschauern gefüllt ist, die jubeln.</v>
      </c>
    </row>
    <row r="5647">
      <c r="A5647" s="4" t="s">
        <v>7094</v>
      </c>
      <c r="B5647" s="4" t="s">
        <v>7097</v>
      </c>
      <c r="C5647" s="5" t="str">
        <f>IFERROR(__xludf.DUMMYFUNCTION("GOOGLETRANSLATE(B5647,""en"",""de"")"),"Die beiden tobenden Bullen haben ständig die Köpfe, während die Matadors versuchen, die Bullen in einer bestimmten Zone zu enthalten.")</f>
        <v>Die beiden tobenden Bullen haben ständig die Köpfe, während die Matadors versuchen, die Bullen in einer bestimmten Zone zu enthalten.</v>
      </c>
    </row>
    <row r="5648">
      <c r="A5648" s="4" t="s">
        <v>7094</v>
      </c>
      <c r="B5648" s="4" t="s">
        <v>7098</v>
      </c>
      <c r="C5648" s="5" t="str">
        <f>IFERROR(__xludf.DUMMYFUNCTION("GOOGLETRANSLATE(B5648,""en"",""de"")"),"Die Menge jubelt im Laufe des Ereignisses weiter an.")</f>
        <v>Die Menge jubelt im Laufe des Ereignisses weiter an.</v>
      </c>
    </row>
    <row r="5649">
      <c r="A5649" s="4" t="s">
        <v>7099</v>
      </c>
      <c r="B5649" s="4" t="s">
        <v>7100</v>
      </c>
      <c r="C5649" s="5" t="str">
        <f>IFERROR(__xludf.DUMMYFUNCTION("GOOGLETRANSLATE(B5649,""en"",""de"")"),"Ein Intro führt zu einer Frau, die ein Akkordeon und eine Frau in einem Hochzeitskleid neben ihr hält.")</f>
        <v>Ein Intro führt zu einer Frau, die ein Akkordeon und eine Frau in einem Hochzeitskleid neben ihr hält.</v>
      </c>
    </row>
    <row r="5650">
      <c r="A5650" s="4" t="s">
        <v>7099</v>
      </c>
      <c r="B5650" s="4" t="s">
        <v>7101</v>
      </c>
      <c r="C5650" s="5" t="str">
        <f>IFERROR(__xludf.DUMMYFUNCTION("GOOGLETRANSLATE(B5650,""en"",""de"")"),"Die Frau spielt dann das Instrument, während andere um sie herum stehen und zuschauen und andere spielen.")</f>
        <v>Die Frau spielt dann das Instrument, während andere um sie herum stehen und zuschauen und andere spielen.</v>
      </c>
    </row>
    <row r="5651">
      <c r="A5651" s="4" t="s">
        <v>7102</v>
      </c>
      <c r="B5651" s="4" t="s">
        <v>7103</v>
      </c>
      <c r="C5651" s="5" t="str">
        <f>IFERROR(__xludf.DUMMYFUNCTION("GOOGLETRANSLATE(B5651,""en"",""de"")"),"Eine Frau schmiert eine weiße Creme auf Stirn und Wangen.")</f>
        <v>Eine Frau schmiert eine weiße Creme auf Stirn und Wangen.</v>
      </c>
    </row>
    <row r="5652">
      <c r="A5652" s="4" t="s">
        <v>7102</v>
      </c>
      <c r="B5652" s="4" t="s">
        <v>7104</v>
      </c>
      <c r="C5652" s="5" t="str">
        <f>IFERROR(__xludf.DUMMYFUNCTION("GOOGLETRANSLATE(B5652,""en"",""de"")"),"Sie verbreitet es herum und glättet es ein.")</f>
        <v>Sie verbreitet es herum und glättet es ein.</v>
      </c>
    </row>
    <row r="5653">
      <c r="A5653" s="4" t="s">
        <v>7105</v>
      </c>
      <c r="B5653" s="4" t="s">
        <v>7106</v>
      </c>
      <c r="C5653" s="5" t="str">
        <f>IFERROR(__xludf.DUMMYFUNCTION("GOOGLETRANSLATE(B5653,""en"",""de"")"),"Ein Mann durchbohrt die Wange einer Frau.")</f>
        <v>Ein Mann durchbohrt die Wange einer Frau.</v>
      </c>
    </row>
    <row r="5654">
      <c r="A5654" s="4" t="s">
        <v>7105</v>
      </c>
      <c r="B5654" s="4" t="s">
        <v>7107</v>
      </c>
      <c r="C5654" s="5" t="str">
        <f>IFERROR(__xludf.DUMMYFUNCTION("GOOGLETRANSLATE(B5654,""en"",""de"")"),"Sie streckt ihre Zunge heraus und dann ist der Vorgang abgeschlossen.")</f>
        <v>Sie streckt ihre Zunge heraus und dann ist der Vorgang abgeschlossen.</v>
      </c>
    </row>
    <row r="5655">
      <c r="A5655" s="4" t="s">
        <v>7108</v>
      </c>
      <c r="B5655" s="4" t="s">
        <v>7109</v>
      </c>
      <c r="C5655" s="5" t="str">
        <f>IFERROR(__xludf.DUMMYFUNCTION("GOOGLETRANSLATE(B5655,""en"",""de"")"),"Eine Person lässt ihre Beine auf einen Tisch wachsen.")</f>
        <v>Eine Person lässt ihre Beine auf einen Tisch wachsen.</v>
      </c>
    </row>
    <row r="5656">
      <c r="A5656" s="4" t="s">
        <v>7108</v>
      </c>
      <c r="B5656" s="4" t="s">
        <v>7110</v>
      </c>
      <c r="C5656" s="5" t="str">
        <f>IFERROR(__xludf.DUMMYFUNCTION("GOOGLETRANSLATE(B5656,""en"",""de"")"),"Sie reiben danach etwas Lotion an ihren Beinen.")</f>
        <v>Sie reiben danach etwas Lotion an ihren Beinen.</v>
      </c>
    </row>
    <row r="5657">
      <c r="A5657" s="4" t="s">
        <v>7108</v>
      </c>
      <c r="B5657" s="4" t="s">
        <v>7111</v>
      </c>
      <c r="C5657" s="5" t="str">
        <f>IFERROR(__xludf.DUMMYFUNCTION("GOOGLETRANSLATE(B5657,""en"",""de"")"),"Sie zeigen ihre sauberen, gewachsten Beine.")</f>
        <v>Sie zeigen ihre sauberen, gewachsten Beine.</v>
      </c>
    </row>
    <row r="5658">
      <c r="A5658" s="4" t="s">
        <v>7112</v>
      </c>
      <c r="B5658" s="4" t="s">
        <v>7113</v>
      </c>
      <c r="C5658" s="5" t="str">
        <f>IFERROR(__xludf.DUMMYFUNCTION("GOOGLETRANSLATE(B5658,""en"",""de"")"),"Ein Mann veranstaltet ein Nachrichtensegment, das in ihn führt, wenn er mit zwei anderen Menschen spricht.")</f>
        <v>Ein Mann veranstaltet ein Nachrichtensegment, das in ihn führt, wenn er mit zwei anderen Menschen spricht.</v>
      </c>
    </row>
    <row r="5659">
      <c r="A5659" s="4" t="s">
        <v>7112</v>
      </c>
      <c r="B5659" s="4" t="s">
        <v>7114</v>
      </c>
      <c r="C5659" s="5" t="str">
        <f>IFERROR(__xludf.DUMMYFUNCTION("GOOGLETRANSLATE(B5659,""en"",""de"")"),"Es wird ein junger Mann gezeigt, der Pool spielt, und sein Vater beobachtet nebenbei.")</f>
        <v>Es wird ein junger Mann gezeigt, der Pool spielt, und sein Vater beobachtet nebenbei.</v>
      </c>
    </row>
    <row r="5660">
      <c r="A5660" s="4" t="s">
        <v>7112</v>
      </c>
      <c r="B5660" s="4" t="s">
        <v>7115</v>
      </c>
      <c r="C5660" s="5" t="str">
        <f>IFERROR(__xludf.DUMMYFUNCTION("GOOGLETRANSLATE(B5660,""en"",""de"")"),"Der Mann spielt weiterhin, während sein Vater zuschaut und mit dem Nachrichten Gastgeber spricht.")</f>
        <v>Der Mann spielt weiterhin, während sein Vater zuschaut und mit dem Nachrichten Gastgeber spricht.</v>
      </c>
    </row>
    <row r="5661">
      <c r="A5661" s="4" t="s">
        <v>7116</v>
      </c>
      <c r="B5661" s="4" t="s">
        <v>7117</v>
      </c>
      <c r="C5661" s="5" t="str">
        <f>IFERROR(__xludf.DUMMYFUNCTION("GOOGLETRANSLATE(B5661,""en"",""de"")"),"Eine Frau geht mit einem kleinen Jungen zu einem Swingset und legt ihn auf die Schaukel.")</f>
        <v>Eine Frau geht mit einem kleinen Jungen zu einem Swingset und legt ihn auf die Schaukel.</v>
      </c>
    </row>
    <row r="5662">
      <c r="A5662" s="4" t="s">
        <v>7116</v>
      </c>
      <c r="B5662" s="4" t="s">
        <v>7118</v>
      </c>
      <c r="C5662" s="5" t="str">
        <f>IFERROR(__xludf.DUMMYFUNCTION("GOOGLETRANSLATE(B5662,""en"",""de"")"),"Mehrere Frauen mit ihren Kindern werden gesehen, wie sie miteinander zurückschwingen und vierten und Väter, die mit ihren Kindern spielen.")</f>
        <v>Mehrere Frauen mit ihren Kindern werden gesehen, wie sie miteinander zurückschwingen und vierten und Väter, die mit ihren Kindern spielen.</v>
      </c>
    </row>
    <row r="5663">
      <c r="A5663" s="4" t="s">
        <v>7119</v>
      </c>
      <c r="B5663" s="4" t="s">
        <v>7120</v>
      </c>
      <c r="C5663" s="5" t="str">
        <f>IFERROR(__xludf.DUMMYFUNCTION("GOOGLETRANSLATE(B5663,""en"",""de"")"),"Ein Koch an einer Küche in einer Küche vor einem Küchentumentisch und Zutaten, wie man einen Salat zubereitet.")</f>
        <v>Ein Koch an einer Küche in einer Küche vor einem Küchentumentisch und Zutaten, wie man einen Salat zubereitet.</v>
      </c>
    </row>
    <row r="5664">
      <c r="A5664" s="4" t="s">
        <v>7119</v>
      </c>
      <c r="B5664" s="4" t="s">
        <v>7121</v>
      </c>
      <c r="C5664" s="5" t="str">
        <f>IFERROR(__xludf.DUMMYFUNCTION("GOOGLETRANSLATE(B5664,""en"",""de"")"),"Eine Frau steht vor einer Küchentisch mit Grün, Käse, Gemüse und Ölen und spricht mit der Kamera.")</f>
        <v>Eine Frau steht vor einer Küchentisch mit Grün, Käse, Gemüse und Ölen und spricht mit der Kamera.</v>
      </c>
    </row>
    <row r="5665">
      <c r="A5665" s="4" t="s">
        <v>7119</v>
      </c>
      <c r="B5665" s="4" t="s">
        <v>7122</v>
      </c>
      <c r="C5665" s="5" t="str">
        <f>IFERROR(__xludf.DUMMYFUNCTION("GOOGLETRANSLATE(B5665,""en"",""de"")"),"Die Frau beginnt, die Grüns zu schneiden und sie in eine weiße Schüssel zu stecken, bevor sie drehen, um den gebratenen Rosenkohl mit dem Ofen aus dem Ofen zu ziehen.")</f>
        <v>Die Frau beginnt, die Grüns zu schneiden und sie in eine weiße Schüssel zu stecken, bevor sie drehen, um den gebratenen Rosenkohl mit dem Ofen aus dem Ofen zu ziehen.</v>
      </c>
    </row>
    <row r="5666">
      <c r="A5666" s="4" t="s">
        <v>7119</v>
      </c>
      <c r="B5666" s="4" t="s">
        <v>7123</v>
      </c>
      <c r="C5666" s="5" t="str">
        <f>IFERROR(__xludf.DUMMYFUNCTION("GOOGLETRANSLATE(B5666,""en"",""de"")"),"Die Frau drückt dann und orange und gießt den Orangensaft mit den Rosenkohl und Öl auf den Salat, bevor die Szene ausbricht.")</f>
        <v>Die Frau drückt dann und orange und gießt den Orangensaft mit den Rosenkohl und Öl auf den Salat, bevor die Szene ausbricht.</v>
      </c>
    </row>
    <row r="5667">
      <c r="A5667" s="4" t="s">
        <v>7124</v>
      </c>
      <c r="B5667" s="4" t="s">
        <v>7125</v>
      </c>
      <c r="C5667" s="5" t="str">
        <f>IFERROR(__xludf.DUMMYFUNCTION("GOOGLETRANSLATE(B5667,""en"",""de"")"),"Ein Mann tanzt in einem Club und greift an eine Frau.")</f>
        <v>Ein Mann tanzt in einem Club und greift an eine Frau.</v>
      </c>
    </row>
    <row r="5668">
      <c r="A5668" s="4" t="s">
        <v>7124</v>
      </c>
      <c r="B5668" s="4" t="s">
        <v>7126</v>
      </c>
      <c r="C5668" s="5" t="str">
        <f>IFERROR(__xludf.DUMMYFUNCTION("GOOGLETRANSLATE(B5668,""en"",""de"")"),"Der Mann und die Frau tanzen dann mitten im Club umeinander.")</f>
        <v>Der Mann und die Frau tanzen dann mitten im Club umeinander.</v>
      </c>
    </row>
    <row r="5669">
      <c r="A5669" s="4" t="s">
        <v>7124</v>
      </c>
      <c r="B5669" s="4" t="s">
        <v>7127</v>
      </c>
      <c r="C5669" s="5" t="str">
        <f>IFERROR(__xludf.DUMMYFUNCTION("GOOGLETRANSLATE(B5669,""en"",""de"")"),"Sie tanzen weiter umeinander, während andere Menschen neben ihnen tanzen.")</f>
        <v>Sie tanzen weiter umeinander, während andere Menschen neben ihnen tanzen.</v>
      </c>
    </row>
    <row r="5670">
      <c r="A5670" s="4" t="s">
        <v>7128</v>
      </c>
      <c r="B5670" s="4" t="s">
        <v>7129</v>
      </c>
      <c r="C5670" s="5" t="str">
        <f>IFERROR(__xludf.DUMMYFUNCTION("GOOGLETRANSLATE(B5670,""en"",""de"")"),"Eine Nahaufnahme einer Frau wird gesehen, wie sie in die Ferne schaut und einen Pfeil hält.")</f>
        <v>Eine Nahaufnahme einer Frau wird gesehen, wie sie in die Ferne schaut und einen Pfeil hält.</v>
      </c>
    </row>
    <row r="5671">
      <c r="A5671" s="4" t="s">
        <v>7128</v>
      </c>
      <c r="B5671" s="4" t="s">
        <v>7130</v>
      </c>
      <c r="C5671" s="5" t="str">
        <f>IFERROR(__xludf.DUMMYFUNCTION("GOOGLETRANSLATE(B5671,""en"",""de"")"),"Sie wirft den Dart auf das Brett, das aus der Nähe zeigt.")</f>
        <v>Sie wirft den Dart auf das Brett, das aus der Nähe zeigt.</v>
      </c>
    </row>
    <row r="5672">
      <c r="A5672" s="4" t="s">
        <v>7128</v>
      </c>
      <c r="B5672" s="4" t="s">
        <v>7131</v>
      </c>
      <c r="C5672" s="5" t="str">
        <f>IFERROR(__xludf.DUMMYFUNCTION("GOOGLETRANSLATE(B5672,""en"",""de"")"),"Die Frau ballt dann die Fäuste und ihr Wurf wird wieder gezeigt.")</f>
        <v>Die Frau ballt dann die Fäuste und ihr Wurf wird wieder gezeigt.</v>
      </c>
    </row>
    <row r="5673">
      <c r="A5673" s="4" t="s">
        <v>7132</v>
      </c>
      <c r="B5673" s="4" t="s">
        <v>7133</v>
      </c>
      <c r="C5673" s="5" t="str">
        <f>IFERROR(__xludf.DUMMYFUNCTION("GOOGLETRANSLATE(B5673,""en"",""de"")"),"Zwei Teams spielen in einem Stadion voller Menschen.")</f>
        <v>Zwei Teams spielen in einem Stadion voller Menschen.</v>
      </c>
    </row>
    <row r="5674">
      <c r="A5674" s="4" t="s">
        <v>7132</v>
      </c>
      <c r="B5674" s="4" t="s">
        <v>7134</v>
      </c>
      <c r="C5674" s="5" t="str">
        <f>IFERROR(__xludf.DUMMYFUNCTION("GOOGLETRANSLATE(B5674,""en"",""de"")"),"Ein Spieler serviert einen Ball mit dem Stock und die Teams spielen weiter.")</f>
        <v>Ein Spieler serviert einen Ball mit dem Stock und die Teams spielen weiter.</v>
      </c>
    </row>
    <row r="5675">
      <c r="A5675" s="4" t="s">
        <v>7132</v>
      </c>
      <c r="B5675" s="4" t="s">
        <v>7135</v>
      </c>
      <c r="C5675" s="5" t="str">
        <f>IFERROR(__xludf.DUMMYFUNCTION("GOOGLETRANSLATE(B5675,""en"",""de"")"),"Zwei Spieler bestreiten den Ball in der Luft, dann spielen sie weiter.")</f>
        <v>Zwei Spieler bestreiten den Ball in der Luft, dann spielen sie weiter.</v>
      </c>
    </row>
    <row r="5676">
      <c r="A5676" s="4" t="s">
        <v>7136</v>
      </c>
      <c r="B5676" s="4" t="s">
        <v>7137</v>
      </c>
      <c r="C5676" s="5" t="str">
        <f>IFERROR(__xludf.DUMMYFUNCTION("GOOGLETRANSLATE(B5676,""en"",""de"")"),"Eine große Gruppe von Menschen steht in einer Sandgrube, die die Hände zitterte und miteinander spricht.")</f>
        <v>Eine große Gruppe von Menschen steht in einer Sandgrube, die die Hände zitterte und miteinander spricht.</v>
      </c>
    </row>
    <row r="5677">
      <c r="A5677" s="4" t="s">
        <v>7136</v>
      </c>
      <c r="B5677" s="4" t="s">
        <v>7138</v>
      </c>
      <c r="C5677" s="5" t="str">
        <f>IFERROR(__xludf.DUMMYFUNCTION("GOOGLETRANSLATE(B5677,""en"",""de"")"),"Die Männer beginnen dann ein Fußballspiel miteinander und jubeln, wenn sie ein Tor erzielen.")</f>
        <v>Die Männer beginnen dann ein Fußballspiel miteinander und jubeln, wenn sie ein Tor erzielen.</v>
      </c>
    </row>
    <row r="5678">
      <c r="A5678" s="4" t="s">
        <v>7136</v>
      </c>
      <c r="B5678" s="4" t="s">
        <v>7139</v>
      </c>
      <c r="C5678" s="5" t="str">
        <f>IFERROR(__xludf.DUMMYFUNCTION("GOOGLETRANSLATE(B5678,""en"",""de"")"),"Die Männer spielen weiter gegeneinander, während das Publikum jubelt und der Schiedsrichter nebenbei steht.")</f>
        <v>Die Männer spielen weiter gegeneinander, während das Publikum jubelt und der Schiedsrichter nebenbei steht.</v>
      </c>
    </row>
    <row r="5679">
      <c r="A5679" s="4" t="s">
        <v>7140</v>
      </c>
      <c r="B5679" s="4" t="s">
        <v>7141</v>
      </c>
      <c r="C5679" s="5" t="str">
        <f>IFERROR(__xludf.DUMMYFUNCTION("GOOGLETRANSLATE(B5679,""en"",""de"")"),"Der Mensch trägt Stelzen in einem Skaet -Park.")</f>
        <v>Der Mensch trägt Stelzen in einem Skaet -Park.</v>
      </c>
    </row>
    <row r="5680">
      <c r="A5680" s="4" t="s">
        <v>7140</v>
      </c>
      <c r="B5680" s="4" t="s">
        <v>7142</v>
      </c>
      <c r="C5680" s="5" t="str">
        <f>IFERROR(__xludf.DUMMYFUNCTION("GOOGLETRANSLATE(B5680,""en"",""de"")"),"Ein anderer Mann springt mit dem ersten Mann im Skatepark zusammen.")</f>
        <v>Ein anderer Mann springt mit dem ersten Mann im Skatepark zusammen.</v>
      </c>
    </row>
    <row r="5681">
      <c r="A5681" s="4" t="s">
        <v>7140</v>
      </c>
      <c r="B5681" s="4" t="s">
        <v>7143</v>
      </c>
      <c r="C5681" s="5" t="str">
        <f>IFERROR(__xludf.DUMMYFUNCTION("GOOGLETRANSLATE(B5681,""en"",""de"")"),"Der Mann im Skatepark fährt ein Auto auf der Straße.")</f>
        <v>Der Mann im Skatepark fährt ein Auto auf der Straße.</v>
      </c>
    </row>
    <row r="5682">
      <c r="A5682" s="4" t="s">
        <v>7144</v>
      </c>
      <c r="B5682" s="4" t="s">
        <v>7145</v>
      </c>
      <c r="C5682" s="5" t="str">
        <f>IFERROR(__xludf.DUMMYFUNCTION("GOOGLETRANSLATE(B5682,""en"",""de"")"),"Die Hände einer Frau werden gezeigt, die etwas umwickeln.")</f>
        <v>Die Hände einer Frau werden gezeigt, die etwas umwickeln.</v>
      </c>
    </row>
    <row r="5683">
      <c r="A5683" s="4" t="s">
        <v>7144</v>
      </c>
      <c r="B5683" s="4" t="s">
        <v>7146</v>
      </c>
      <c r="C5683" s="5" t="str">
        <f>IFERROR(__xludf.DUMMYFUNCTION("GOOGLETRANSLATE(B5683,""en"",""de"")"),"Die Frau spricht mit der Kamera.")</f>
        <v>Die Frau spricht mit der Kamera.</v>
      </c>
    </row>
    <row r="5684">
      <c r="A5684" s="4" t="s">
        <v>7144</v>
      </c>
      <c r="B5684" s="4" t="s">
        <v>7147</v>
      </c>
      <c r="C5684" s="5" t="str">
        <f>IFERROR(__xludf.DUMMYFUNCTION("GOOGLETRANSLATE(B5684,""en"",""de"")"),"Nahaufnahmen der erforderlichen Geräte für diesen Vorgang werden angezeigt.")</f>
        <v>Nahaufnahmen der erforderlichen Geräte für diesen Vorgang werden angezeigt.</v>
      </c>
    </row>
    <row r="5685">
      <c r="A5685" s="4" t="s">
        <v>7144</v>
      </c>
      <c r="B5685" s="4" t="s">
        <v>7148</v>
      </c>
      <c r="C5685" s="5" t="str">
        <f>IFERROR(__xludf.DUMMYFUNCTION("GOOGLETRANSLATE(B5685,""en"",""de"")"),"Die Frau wickelt ein Buch mit Taschentuch und Klebeband.")</f>
        <v>Die Frau wickelt ein Buch mit Taschentuch und Klebeband.</v>
      </c>
    </row>
    <row r="5686">
      <c r="A5686" s="4" t="s">
        <v>7144</v>
      </c>
      <c r="B5686" s="4" t="s">
        <v>7149</v>
      </c>
      <c r="C5686" s="5" t="str">
        <f>IFERROR(__xludf.DUMMYFUNCTION("GOOGLETRANSLATE(B5686,""en"",""de"")"),"Die Frau schneidet Papier, um das Buch zu formen.")</f>
        <v>Die Frau schneidet Papier, um das Buch zu formen.</v>
      </c>
    </row>
    <row r="5687">
      <c r="A5687" s="4" t="s">
        <v>7144</v>
      </c>
      <c r="B5687" s="4" t="s">
        <v>7150</v>
      </c>
      <c r="C5687" s="5" t="str">
        <f>IFERROR(__xludf.DUMMYFUNCTION("GOOGLETRANSLATE(B5687,""en"",""de"")"),"Die Frau wickelt das Buch mit Papier und Klebeband.")</f>
        <v>Die Frau wickelt das Buch mit Papier und Klebeband.</v>
      </c>
    </row>
    <row r="5688">
      <c r="A5688" s="4" t="s">
        <v>7144</v>
      </c>
      <c r="B5688" s="4" t="s">
        <v>7151</v>
      </c>
      <c r="C5688" s="5" t="str">
        <f>IFERROR(__xludf.DUMMYFUNCTION("GOOGLETRANSLATE(B5688,""en"",""de"")"),"Die Frau spricht mit der Kamera, die das verpackte und gebildete Buch ganz hält.")</f>
        <v>Die Frau spricht mit der Kamera, die das verpackte und gebildete Buch ganz hält.</v>
      </c>
    </row>
    <row r="5689">
      <c r="A5689" s="4" t="s">
        <v>7144</v>
      </c>
      <c r="B5689" s="4" t="s">
        <v>7152</v>
      </c>
      <c r="C5689" s="5" t="str">
        <f>IFERROR(__xludf.DUMMYFUNCTION("GOOGLETRANSLATE(B5689,""en"",""de"")"),"Es wird eine Nahaufnahme des verpackten und bändigen Buches gezeigt.")</f>
        <v>Es wird eine Nahaufnahme des verpackten und bändigen Buches gezeigt.</v>
      </c>
    </row>
    <row r="5690">
      <c r="A5690" s="4" t="s">
        <v>7153</v>
      </c>
      <c r="B5690" s="4" t="s">
        <v>7154</v>
      </c>
      <c r="C5690" s="5" t="str">
        <f>IFERROR(__xludf.DUMMYFUNCTION("GOOGLETRANSLATE(B5690,""en"",""de"")"),"Eine kleine Gruppe von Menschen sitzt an einem Casino -Tisch, der miteinander spricht und ein Pokerspiel spielt.")</f>
        <v>Eine kleine Gruppe von Menschen sitzt an einem Casino -Tisch, der miteinander spricht und ein Pokerspiel spielt.</v>
      </c>
    </row>
    <row r="5691">
      <c r="A5691" s="4" t="s">
        <v>7153</v>
      </c>
      <c r="B5691" s="4" t="s">
        <v>7155</v>
      </c>
      <c r="C5691" s="5" t="str">
        <f>IFERROR(__xludf.DUMMYFUNCTION("GOOGLETRANSLATE(B5691,""en"",""de"")"),"Viele Leute sehen an den Seiten zu, während der Händler Karten ausgibt und die Leute ihre Chips in die Mitte legen.")</f>
        <v>Viele Leute sehen an den Seiten zu, während der Händler Karten ausgibt und die Leute ihre Chips in die Mitte legen.</v>
      </c>
    </row>
    <row r="5692">
      <c r="A5692" s="4" t="s">
        <v>7153</v>
      </c>
      <c r="B5692" s="4" t="s">
        <v>7156</v>
      </c>
      <c r="C5692" s="5" t="str">
        <f>IFERROR(__xludf.DUMMYFUNCTION("GOOGLETRANSLATE(B5692,""en"",""de"")"),"Weitere Aufnahmen des Spiels werden gezeigt, während die Kamera in das Gesicht einer Person gekommen ist.")</f>
        <v>Weitere Aufnahmen des Spiels werden gezeigt, während die Kamera in das Gesicht einer Person gekommen ist.</v>
      </c>
    </row>
    <row r="5693">
      <c r="A5693" s="4" t="s">
        <v>7157</v>
      </c>
      <c r="B5693" s="4" t="s">
        <v>7158</v>
      </c>
      <c r="C5693" s="5" t="str">
        <f>IFERROR(__xludf.DUMMYFUNCTION("GOOGLETRANSLATE(B5693,""en"",""de"")"),"Eine Dame spricht in einem Büro und hält einen rosa Gegenstand.")</f>
        <v>Eine Dame spricht in einem Büro und hält einen rosa Gegenstand.</v>
      </c>
    </row>
    <row r="5694">
      <c r="A5694" s="4" t="s">
        <v>7157</v>
      </c>
      <c r="B5694" s="4" t="s">
        <v>7159</v>
      </c>
      <c r="C5694" s="5" t="str">
        <f>IFERROR(__xludf.DUMMYFUNCTION("GOOGLETRANSLATE(B5694,""en"",""de"")"),"Die Dame wirft das rosa Gegenstand auf ein Spielbrett auf den Boden.")</f>
        <v>Die Dame wirft das rosa Gegenstand auf ein Spielbrett auf den Boden.</v>
      </c>
    </row>
    <row r="5695">
      <c r="A5695" s="4" t="s">
        <v>7157</v>
      </c>
      <c r="B5695" s="4" t="s">
        <v>7160</v>
      </c>
      <c r="C5695" s="5" t="str">
        <f>IFERROR(__xludf.DUMMYFUNCTION("GOOGLETRANSLATE(B5695,""en"",""de"")"),"Sie springt dann Hopscotch und nimmt den rosa Gegenstand auf.")</f>
        <v>Sie springt dann Hopscotch und nimmt den rosa Gegenstand auf.</v>
      </c>
    </row>
    <row r="5696">
      <c r="A5696" s="4" t="s">
        <v>7157</v>
      </c>
      <c r="B5696" s="4" t="s">
        <v>7161</v>
      </c>
      <c r="C5696" s="5" t="str">
        <f>IFERROR(__xludf.DUMMYFUNCTION("GOOGLETRANSLATE(B5696,""en"",""de"")"),"Sie wirft es erneut und springt erneut und kehrt zurück, um das rosa Gegenstand aufzunehmen.")</f>
        <v>Sie wirft es erneut und springt erneut und kehrt zurück, um das rosa Gegenstand aufzunehmen.</v>
      </c>
    </row>
    <row r="5697">
      <c r="A5697" s="4" t="s">
        <v>7162</v>
      </c>
      <c r="B5697" s="4" t="s">
        <v>7163</v>
      </c>
      <c r="C5697" s="5" t="str">
        <f>IFERROR(__xludf.DUMMYFUNCTION("GOOGLETRANSLATE(B5697,""en"",""de"")"),"Eine Person läuft auf einer Auszugsmaschine.")</f>
        <v>Eine Person läuft auf einer Auszugsmaschine.</v>
      </c>
    </row>
    <row r="5698">
      <c r="A5698" s="4" t="s">
        <v>7162</v>
      </c>
      <c r="B5698" s="4" t="s">
        <v>7164</v>
      </c>
      <c r="C5698" s="5" t="str">
        <f>IFERROR(__xludf.DUMMYFUNCTION("GOOGLETRANSLATE(B5698,""en"",""de"")"),"Die Kamera zoomt in die Füße.")</f>
        <v>Die Kamera zoomt in die Füße.</v>
      </c>
    </row>
    <row r="5699">
      <c r="A5699" s="4" t="s">
        <v>7162</v>
      </c>
      <c r="B5699" s="4" t="s">
        <v>7165</v>
      </c>
      <c r="C5699" s="5" t="str">
        <f>IFERROR(__xludf.DUMMYFUNCTION("GOOGLETRANSLATE(B5699,""en"",""de"")"),"Die Kamera schwenkt langsam rechts.")</f>
        <v>Die Kamera schwenkt langsam rechts.</v>
      </c>
    </row>
    <row r="5700">
      <c r="A5700" s="4" t="s">
        <v>7166</v>
      </c>
      <c r="B5700" s="4" t="s">
        <v>7167</v>
      </c>
      <c r="C5700" s="5" t="str">
        <f>IFERROR(__xludf.DUMMYFUNCTION("GOOGLETRANSLATE(B5700,""en"",""de"")"),"Ein Mann setzt einem Mädchen einen Kochhut, während ein Koch ihr wie man kocht.")</f>
        <v>Ein Mann setzt einem Mädchen einen Kochhut, während ein Koch ihr wie man kocht.</v>
      </c>
    </row>
    <row r="5701">
      <c r="A5701" s="4" t="s">
        <v>7166</v>
      </c>
      <c r="B5701" s="4" t="s">
        <v>7168</v>
      </c>
      <c r="C5701" s="5" t="str">
        <f>IFERROR(__xludf.DUMMYFUNCTION("GOOGLETRANSLATE(B5701,""en"",""de"")"),"Sie mischt verschiedene Zutaten nach den Bestellungen des Küchenchefs und achtete genau auf seine Anweisungen.")</f>
        <v>Sie mischt verschiedene Zutaten nach den Bestellungen des Küchenchefs und achtete genau auf seine Anweisungen.</v>
      </c>
    </row>
    <row r="5702">
      <c r="A5702" s="4" t="s">
        <v>7166</v>
      </c>
      <c r="B5702" s="4" t="s">
        <v>7169</v>
      </c>
      <c r="C5702" s="5" t="str">
        <f>IFERROR(__xludf.DUMMYFUNCTION("GOOGLETRANSLATE(B5702,""en"",""de"")"),"Das Mädchen macht eine schöne Menge Kekse und genießt sie am Ende sowie die Gesellschaft anderer.")</f>
        <v>Das Mädchen macht eine schöne Menge Kekse und genießt sie am Ende sowie die Gesellschaft anderer.</v>
      </c>
    </row>
    <row r="5703">
      <c r="A5703" s="4" t="s">
        <v>7170</v>
      </c>
      <c r="B5703" s="4" t="s">
        <v>7171</v>
      </c>
      <c r="C5703" s="5" t="str">
        <f>IFERROR(__xludf.DUMMYFUNCTION("GOOGLETRANSLATE(B5703,""en"",""de"")"),"Mehrere Männer stehen zusammen für die Kamera.")</f>
        <v>Mehrere Männer stehen zusammen für die Kamera.</v>
      </c>
    </row>
    <row r="5704">
      <c r="A5704" s="4" t="s">
        <v>7170</v>
      </c>
      <c r="B5704" s="4" t="s">
        <v>7172</v>
      </c>
      <c r="C5704" s="5" t="str">
        <f>IFERROR(__xludf.DUMMYFUNCTION("GOOGLETRANSLATE(B5704,""en"",""de"")"),"Szenen mehrerer Personen, die Capoeira -Demonstrationen durchführen, werden mit dem Publikum im Hintergrund und im Vordergrund gezeigt.")</f>
        <v>Szenen mehrerer Personen, die Capoeira -Demonstrationen durchführen, werden mit dem Publikum im Hintergrund und im Vordergrund gezeigt.</v>
      </c>
    </row>
    <row r="5705">
      <c r="A5705" s="4" t="s">
        <v>7173</v>
      </c>
      <c r="B5705" s="4" t="s">
        <v>7174</v>
      </c>
      <c r="C5705" s="5" t="str">
        <f>IFERROR(__xludf.DUMMYFUNCTION("GOOGLETRANSLATE(B5705,""en"",""de"")"),"Ein älterer Mann wird gezeigt, wie es mit einer Axt an einem heruntergekommenen Baum hackt.")</f>
        <v>Ein älterer Mann wird gezeigt, wie es mit einer Axt an einem heruntergekommenen Baum hackt.</v>
      </c>
    </row>
    <row r="5706">
      <c r="A5706" s="4" t="s">
        <v>7173</v>
      </c>
      <c r="B5706" s="4" t="s">
        <v>7175</v>
      </c>
      <c r="C5706" s="5" t="str">
        <f>IFERROR(__xludf.DUMMYFUNCTION("GOOGLETRANSLATE(B5706,""en"",""de"")"),"Er bemüht sich sehr und macht nicht viel Fortschritte.")</f>
        <v>Er bemüht sich sehr und macht nicht viel Fortschritte.</v>
      </c>
    </row>
    <row r="5707">
      <c r="A5707" s="4" t="s">
        <v>7173</v>
      </c>
      <c r="B5707" s="4" t="s">
        <v>7176</v>
      </c>
      <c r="C5707" s="5" t="str">
        <f>IFERROR(__xludf.DUMMYFUNCTION("GOOGLETRANSLATE(B5707,""en"",""de"")"),"Er scheint frustriert zu sein und versucht immer wieder, den Baum zu hacken.")</f>
        <v>Er scheint frustriert zu sein und versucht immer wieder, den Baum zu hacken.</v>
      </c>
    </row>
    <row r="5708">
      <c r="A5708" s="4" t="s">
        <v>7173</v>
      </c>
      <c r="B5708" s="4" t="s">
        <v>7177</v>
      </c>
      <c r="C5708" s="5" t="str">
        <f>IFERROR(__xludf.DUMMYFUNCTION("GOOGLETRANSLATE(B5708,""en"",""de"")"),"Dann schaut er in die Kamera und grinst leicht, bevor er weiter versucht, den Baum zu schneiden.")</f>
        <v>Dann schaut er in die Kamera und grinst leicht, bevor er weiter versucht, den Baum zu schneiden.</v>
      </c>
    </row>
    <row r="5709">
      <c r="A5709" s="4" t="s">
        <v>7173</v>
      </c>
      <c r="B5709" s="4" t="s">
        <v>7178</v>
      </c>
      <c r="C5709" s="5" t="str">
        <f>IFERROR(__xludf.DUMMYFUNCTION("GOOGLETRANSLATE(B5709,""en"",""de"")"),"Er bleibt wieder an und starrt in die Kamera.")</f>
        <v>Er bleibt wieder an und starrt in die Kamera.</v>
      </c>
    </row>
    <row r="5710">
      <c r="A5710" s="4" t="s">
        <v>7173</v>
      </c>
      <c r="B5710" s="4" t="s">
        <v>7179</v>
      </c>
      <c r="C5710" s="5" t="str">
        <f>IFERROR(__xludf.DUMMYFUNCTION("GOOGLETRANSLATE(B5710,""en"",""de"")"),"Es wird eine Nahaufnahme von ihm gezeigt, die er immer wieder versucht, bevor er ausgeht.")</f>
        <v>Es wird eine Nahaufnahme von ihm gezeigt, die er immer wieder versucht, bevor er ausgeht.</v>
      </c>
    </row>
    <row r="5711">
      <c r="A5711" s="4" t="s">
        <v>7173</v>
      </c>
      <c r="B5711" s="4" t="s">
        <v>7180</v>
      </c>
      <c r="C5711" s="5" t="str">
        <f>IFERROR(__xludf.DUMMYFUNCTION("GOOGLETRANSLATE(B5711,""en"",""de"")"),"Die Kamera vergrößert sich dann wieder ins Gesicht, als er weitergeht.")</f>
        <v>Die Kamera vergrößert sich dann wieder ins Gesicht, als er weitergeht.</v>
      </c>
    </row>
    <row r="5712">
      <c r="A5712" s="4" t="s">
        <v>7181</v>
      </c>
      <c r="B5712" s="4" t="s">
        <v>7182</v>
      </c>
      <c r="C5712" s="5" t="str">
        <f>IFERROR(__xludf.DUMMYFUNCTION("GOOGLETRANSLATE(B5712,""en"",""de"")"),"Drei Frauen tauchen auf der Leinwand auf und und machen in einem Trainingsstudio einen Stammes -Tanz.")</f>
        <v>Drei Frauen tauchen auf der Leinwand auf und und machen in einem Trainingsstudio einen Stammes -Tanz.</v>
      </c>
    </row>
    <row r="5713">
      <c r="A5713" s="4" t="s">
        <v>7181</v>
      </c>
      <c r="B5713" s="4" t="s">
        <v>7183</v>
      </c>
      <c r="C5713" s="5" t="str">
        <f>IFERROR(__xludf.DUMMYFUNCTION("GOOGLETRANSLATE(B5713,""en"",""de"")"),"Eine der Frauen macht eine Solo -Performance, während die Musik im Hintergrund spielt.")</f>
        <v>Eine der Frauen macht eine Solo -Performance, während die Musik im Hintergrund spielt.</v>
      </c>
    </row>
    <row r="5714">
      <c r="A5714" s="4" t="s">
        <v>7181</v>
      </c>
      <c r="B5714" s="4" t="s">
        <v>7184</v>
      </c>
      <c r="C5714" s="5" t="str">
        <f>IFERROR(__xludf.DUMMYFUNCTION("GOOGLETRANSLATE(B5714,""en"",""de"")"),"Die drei Frauen werden erneut gezeigt, wie sie den Tanz auf der Bühne machen, während andere Menschen vor der Bühne den gleichen Tanz machen.")</f>
        <v>Die drei Frauen werden erneut gezeigt, wie sie den Tanz auf der Bühne machen, während andere Menschen vor der Bühne den gleichen Tanz machen.</v>
      </c>
    </row>
    <row r="5715">
      <c r="A5715" s="4" t="s">
        <v>7181</v>
      </c>
      <c r="B5715" s="4" t="s">
        <v>7185</v>
      </c>
      <c r="C5715" s="5" t="str">
        <f>IFERROR(__xludf.DUMMYFUNCTION("GOOGLETRANSLATE(B5715,""en"",""de"")"),"Das Trio von Frauen kehrt auf den Bildschirm zurück und setzt den Tanz im Studio fort.")</f>
        <v>Das Trio von Frauen kehrt auf den Bildschirm zurück und setzt den Tanz im Studio fort.</v>
      </c>
    </row>
    <row r="5716">
      <c r="A5716" s="4" t="s">
        <v>7181</v>
      </c>
      <c r="B5716" s="4" t="s">
        <v>7186</v>
      </c>
      <c r="C5716" s="5" t="str">
        <f>IFERROR(__xludf.DUMMYFUNCTION("GOOGLETRANSLATE(B5716,""en"",""de"")"),"Sie tauchen wieder auf der Bühne auf und machen den Tanz, während die Kamera sie filmt.")</f>
        <v>Sie tauchen wieder auf der Bühne auf und machen den Tanz, während die Kamera sie filmt.</v>
      </c>
    </row>
    <row r="5717">
      <c r="A5717" s="4" t="s">
        <v>7181</v>
      </c>
      <c r="B5717" s="4" t="s">
        <v>7187</v>
      </c>
      <c r="C5717" s="5" t="str">
        <f>IFERROR(__xludf.DUMMYFUNCTION("GOOGLETRANSLATE(B5717,""en"",""de"")"),"Die Kamera geht zwischen ihnen hin und her, die den Tanz auf der Bühne und auf der Bühne und mit unterschiedlichen Blickwinkeln tanzen.")</f>
        <v>Die Kamera geht zwischen ihnen hin und her, die den Tanz auf der Bühne und auf der Bühne und mit unterschiedlichen Blickwinkeln tanzen.</v>
      </c>
    </row>
    <row r="5718">
      <c r="A5718" s="4" t="s">
        <v>7188</v>
      </c>
      <c r="B5718" s="4" t="s">
        <v>7189</v>
      </c>
      <c r="C5718" s="5" t="str">
        <f>IFERROR(__xludf.DUMMYFUNCTION("GOOGLETRANSLATE(B5718,""en"",""de"")"),"Zwei Männer befinden sich in einem Indoor -Fitnessstudio.")</f>
        <v>Zwei Männer befinden sich in einem Indoor -Fitnessstudio.</v>
      </c>
    </row>
    <row r="5719">
      <c r="A5719" s="4" t="s">
        <v>7188</v>
      </c>
      <c r="B5719" s="4" t="s">
        <v>7190</v>
      </c>
      <c r="C5719" s="5" t="str">
        <f>IFERROR(__xludf.DUMMYFUNCTION("GOOGLETRANSLATE(B5719,""en"",""de"")"),"Sie sind in eine Kampfkunst namens Kickboxen verwickelt.")</f>
        <v>Sie sind in eine Kampfkunst namens Kickboxen verwickelt.</v>
      </c>
    </row>
    <row r="5720">
      <c r="A5720" s="4" t="s">
        <v>7188</v>
      </c>
      <c r="B5720" s="4" t="s">
        <v>7191</v>
      </c>
      <c r="C5720" s="5" t="str">
        <f>IFERROR(__xludf.DUMMYFUNCTION("GOOGLETRANSLATE(B5720,""en"",""de"")"),"Sie treten und schlagen gegenseitig an und versuchen, sich gegenseitig zu schlagen.")</f>
        <v>Sie treten und schlagen gegenseitig an und versuchen, sich gegenseitig zu schlagen.</v>
      </c>
    </row>
    <row r="5721">
      <c r="A5721" s="4" t="s">
        <v>7192</v>
      </c>
      <c r="B5721" s="4" t="s">
        <v>7193</v>
      </c>
      <c r="C5721" s="5" t="str">
        <f>IFERROR(__xludf.DUMMYFUNCTION("GOOGLETRANSLATE(B5721,""en"",""de"")"),"Zwei Typen sprechen albern in die Kamera mit Dingen, die um die Köpfe gewickelt sind.")</f>
        <v>Zwei Typen sprechen albern in die Kamera mit Dingen, die um die Köpfe gewickelt sind.</v>
      </c>
    </row>
    <row r="5722">
      <c r="A5722" s="4" t="s">
        <v>7192</v>
      </c>
      <c r="B5722" s="4" t="s">
        <v>7194</v>
      </c>
      <c r="C5722" s="5" t="str">
        <f>IFERROR(__xludf.DUMMYFUNCTION("GOOGLETRANSLATE(B5722,""en"",""de"")"),"Dann siehst du, dass alle Bierpongs spielen, die eine tolle Zeit draußen scherzen und tanzen.")</f>
        <v>Dann siehst du, dass alle Bierpongs spielen, die eine tolle Zeit draußen scherzen und tanzen.</v>
      </c>
    </row>
    <row r="5723">
      <c r="A5723" s="4" t="s">
        <v>7192</v>
      </c>
      <c r="B5723" s="4" t="s">
        <v>7195</v>
      </c>
      <c r="C5723" s="5" t="str">
        <f>IFERROR(__xludf.DUMMYFUNCTION("GOOGLETRANSLATE(B5723,""en"",""de"")"),"Eine Gruppe beginnt Selfies und jeder ist wirklich lustig gekleidet.")</f>
        <v>Eine Gruppe beginnt Selfies und jeder ist wirklich lustig gekleidet.</v>
      </c>
    </row>
    <row r="5724">
      <c r="A5724" s="4" t="s">
        <v>7192</v>
      </c>
      <c r="B5724" s="4" t="s">
        <v>7196</v>
      </c>
      <c r="C5724" s="5" t="str">
        <f>IFERROR(__xludf.DUMMYFUNCTION("GOOGLETRANSLATE(B5724,""en"",""de"")"),"Einer der Typen flitzt von der Kamera und jeder spielt weiterhin Bienepong und genießt wild ihre Zeit.")</f>
        <v>Einer der Typen flitzt von der Kamera und jeder spielt weiterhin Bienepong und genießt wild ihre Zeit.</v>
      </c>
    </row>
    <row r="5725">
      <c r="A5725" s="4" t="s">
        <v>7197</v>
      </c>
      <c r="B5725" s="4" t="s">
        <v>7198</v>
      </c>
      <c r="C5725" s="5" t="str">
        <f>IFERROR(__xludf.DUMMYFUNCTION("GOOGLETRANSLATE(B5725,""en"",""de"")"),"Es werden mehrere Schüsse von Menschen gespielt, die Basketball spielen, und führt zu zwei Männern, die einen Schritt demonstrieren.")</f>
        <v>Es werden mehrere Schüsse von Menschen gespielt, die Basketball spielen, und führt zu zwei Männern, die einen Schritt demonstrieren.</v>
      </c>
    </row>
    <row r="5726">
      <c r="A5726" s="4" t="s">
        <v>7197</v>
      </c>
      <c r="B5726" s="4" t="s">
        <v>7199</v>
      </c>
      <c r="C5726" s="5" t="str">
        <f>IFERROR(__xludf.DUMMYFUNCTION("GOOGLETRANSLATE(B5726,""en"",""de"")"),"Die gleiche Bewegung wird aus verschiedenen Blickwinkeln und Ausbildern erneut angezeigt, wie dies zu tun ist.")</f>
        <v>Die gleiche Bewegung wird aus verschiedenen Blickwinkeln und Ausbildern erneut angezeigt, wie dies zu tun ist.</v>
      </c>
    </row>
    <row r="5727">
      <c r="A5727" s="4" t="s">
        <v>7197</v>
      </c>
      <c r="B5727" s="4" t="s">
        <v>7200</v>
      </c>
      <c r="C5727" s="5" t="str">
        <f>IFERROR(__xludf.DUMMYFUNCTION("GOOGLETRANSLATE(B5727,""en"",""de"")"),"Weitere Tricks werden sowohl als Schritt -für -Schritt -Anweisung angezeigt, wie dies richtig gemacht werden kann.")</f>
        <v>Weitere Tricks werden sowohl als Schritt -für -Schritt -Anweisung angezeigt, wie dies richtig gemacht werden kann.</v>
      </c>
    </row>
    <row r="5728">
      <c r="A5728" s="4" t="s">
        <v>7201</v>
      </c>
      <c r="B5728" s="4" t="s">
        <v>7202</v>
      </c>
      <c r="C5728" s="5" t="str">
        <f>IFERROR(__xludf.DUMMYFUNCTION("GOOGLETRANSLATE(B5728,""en"",""de"")"),"Eine Frau steht hinter einer Reihe von Konfekten in einer Küche.")</f>
        <v>Eine Frau steht hinter einer Reihe von Konfekten in einer Küche.</v>
      </c>
    </row>
    <row r="5729">
      <c r="A5729" s="4" t="s">
        <v>7201</v>
      </c>
      <c r="B5729" s="4" t="s">
        <v>7203</v>
      </c>
      <c r="C5729" s="5" t="str">
        <f>IFERROR(__xludf.DUMMYFUNCTION("GOOGLETRANSLATE(B5729,""en"",""de"")"),"Es werden verschiedene Kuchen -Pops gezeigt.")</f>
        <v>Es werden verschiedene Kuchen -Pops gezeigt.</v>
      </c>
    </row>
    <row r="5730">
      <c r="A5730" s="4" t="s">
        <v>7201</v>
      </c>
      <c r="B5730" s="4" t="s">
        <v>7204</v>
      </c>
      <c r="C5730" s="5" t="str">
        <f>IFERROR(__xludf.DUMMYFUNCTION("GOOGLETRANSLATE(B5730,""en"",""de"")"),"Zutaten werden neben Aktionen angezeigt, in denen Zutaten gemischt werden.")</f>
        <v>Zutaten werden neben Aktionen angezeigt, in denen Zutaten gemischt werden.</v>
      </c>
    </row>
    <row r="5731">
      <c r="A5731" s="4" t="s">
        <v>7201</v>
      </c>
      <c r="B5731" s="4" t="s">
        <v>7205</v>
      </c>
      <c r="C5731" s="5" t="str">
        <f>IFERROR(__xludf.DUMMYFUNCTION("GOOGLETRANSLATE(B5731,""en"",""de"")"),"Die Frau bröckelt den Kuchen in eine Schüssel und fügt dann Zuckerguss hinzu, während sie spricht.")</f>
        <v>Die Frau bröckelt den Kuchen in eine Schüssel und fügt dann Zuckerguss hinzu, während sie spricht.</v>
      </c>
    </row>
    <row r="5732">
      <c r="A5732" s="4" t="s">
        <v>7201</v>
      </c>
      <c r="B5732" s="4" t="s">
        <v>7206</v>
      </c>
      <c r="C5732" s="5" t="str">
        <f>IFERROR(__xludf.DUMMYFUNCTION("GOOGLETRANSLATE(B5732,""en"",""de"")"),"Sie erlaubt ihnen, vor dem Schmelzen von Süßigkeitenbeschichten zu sitzen, in die sie dann die Kuchenkugeln eintaucht.")</f>
        <v>Sie erlaubt ihnen, vor dem Schmelzen von Süßigkeitenbeschichten zu sitzen, in die sie dann die Kuchenkugeln eintaucht.</v>
      </c>
    </row>
    <row r="5733">
      <c r="A5733" s="4" t="s">
        <v>7201</v>
      </c>
      <c r="B5733" s="4" t="s">
        <v>7207</v>
      </c>
      <c r="C5733" s="5" t="str">
        <f>IFERROR(__xludf.DUMMYFUNCTION("GOOGLETRANSLATE(B5733,""en"",""de"")"),"Sie dekoriert den Kuchenball in der letzten Phase.")</f>
        <v>Sie dekoriert den Kuchenball in der letzten Phase.</v>
      </c>
    </row>
    <row r="5734">
      <c r="A5734" s="4" t="s">
        <v>7201</v>
      </c>
      <c r="B5734" s="4" t="s">
        <v>7208</v>
      </c>
      <c r="C5734" s="5" t="str">
        <f>IFERROR(__xludf.DUMMYFUNCTION("GOOGLETRANSLATE(B5734,""en"",""de"")"),"Eine letzte Reihe von Kuchen -Pops wird gezeigt, wenn sie das Segment beendet.")</f>
        <v>Eine letzte Reihe von Kuchen -Pops wird gezeigt, wenn sie das Segment beendet.</v>
      </c>
    </row>
    <row r="5735">
      <c r="A5735" s="4" t="s">
        <v>7209</v>
      </c>
      <c r="B5735" s="4" t="s">
        <v>7210</v>
      </c>
      <c r="C5735" s="5" t="str">
        <f>IFERROR(__xludf.DUMMYFUNCTION("GOOGLETRANSLATE(B5735,""en"",""de"")"),"Eine Frau hebt und hockt in einem Fitnessstudio mit einer Langhantel auf ihren Schultern.")</f>
        <v>Eine Frau hebt und hockt in einem Fitnessstudio mit einer Langhantel auf ihren Schultern.</v>
      </c>
    </row>
    <row r="5736">
      <c r="A5736" s="4" t="s">
        <v>7209</v>
      </c>
      <c r="B5736" s="4" t="s">
        <v>7211</v>
      </c>
      <c r="C5736" s="5" t="str">
        <f>IFERROR(__xludf.DUMMYFUNCTION("GOOGLETRANSLATE(B5736,""en"",""de"")"),"Sie hebt sich dann immer wieder.")</f>
        <v>Sie hebt sich dann immer wieder.</v>
      </c>
    </row>
    <row r="5737">
      <c r="A5737" s="4" t="s">
        <v>7212</v>
      </c>
      <c r="B5737" s="4" t="s">
        <v>7213</v>
      </c>
      <c r="C5737" s="5" t="str">
        <f>IFERROR(__xludf.DUMMYFUNCTION("GOOGLETRANSLATE(B5737,""en"",""de"")"),"Ein Mann in einem schwarzen Hemd hält ein Saxophon.")</f>
        <v>Ein Mann in einem schwarzen Hemd hält ein Saxophon.</v>
      </c>
    </row>
    <row r="5738">
      <c r="A5738" s="4" t="s">
        <v>7212</v>
      </c>
      <c r="B5738" s="4" t="s">
        <v>7214</v>
      </c>
      <c r="C5738" s="5" t="str">
        <f>IFERROR(__xludf.DUMMYFUNCTION("GOOGLETRANSLATE(B5738,""en"",""de"")"),"Er beginnt Saxophon zu spielen.")</f>
        <v>Er beginnt Saxophon zu spielen.</v>
      </c>
    </row>
    <row r="5739">
      <c r="A5739" s="4" t="s">
        <v>7212</v>
      </c>
      <c r="B5739" s="4" t="s">
        <v>7215</v>
      </c>
      <c r="C5739" s="5" t="str">
        <f>IFERROR(__xludf.DUMMYFUNCTION("GOOGLETRANSLATE(B5739,""en"",""de"")"),"Er hört auf zu spielen und redet weiter.")</f>
        <v>Er hört auf zu spielen und redet weiter.</v>
      </c>
    </row>
    <row r="5740">
      <c r="A5740" s="4" t="s">
        <v>7216</v>
      </c>
      <c r="B5740" s="4" t="s">
        <v>7217</v>
      </c>
      <c r="C5740" s="5" t="str">
        <f>IFERROR(__xludf.DUMMYFUNCTION("GOOGLETRANSLATE(B5740,""en"",""de"")"),"Ein Intro führt in mehrere Aufnahmen verschiedener Zutaten, die auf einem Holzbrett gelegt werden, gefolgt von einem Satz Hände, die bestimmte Zutaten zerschneiden.")</f>
        <v>Ein Intro führt in mehrere Aufnahmen verschiedener Zutaten, die auf einem Holzbrett gelegt werden, gefolgt von einem Satz Hände, die bestimmte Zutaten zerschneiden.</v>
      </c>
    </row>
    <row r="5741">
      <c r="A5741" s="4" t="s">
        <v>7216</v>
      </c>
      <c r="B5741" s="4" t="s">
        <v>7218</v>
      </c>
      <c r="C5741" s="5" t="str">
        <f>IFERROR(__xludf.DUMMYFUNCTION("GOOGLETRANSLATE(B5741,""en"",""de"")"),"Eine Person nimmt dann etwas Käse in eine Schüssel und bricht die Nudeln auf.")</f>
        <v>Eine Person nimmt dann etwas Käse in eine Schüssel und bricht die Nudeln auf.</v>
      </c>
    </row>
    <row r="5742">
      <c r="A5742" s="4" t="s">
        <v>7216</v>
      </c>
      <c r="B5742" s="4" t="s">
        <v>7219</v>
      </c>
      <c r="C5742" s="5" t="str">
        <f>IFERROR(__xludf.DUMMYFUNCTION("GOOGLETRANSLATE(B5742,""en"",""de"")"),"Sie stecken die Nudeln in eine Schüssel und braten die Garnelen und stecken alle Zutaten in eine Pfanne zusammen.")</f>
        <v>Sie stecken die Nudeln in eine Schüssel und braten die Garnelen und stecken alle Zutaten in eine Pfanne zusammen.</v>
      </c>
    </row>
    <row r="5743">
      <c r="A5743" s="4" t="s">
        <v>7216</v>
      </c>
      <c r="B5743" s="4" t="s">
        <v>7220</v>
      </c>
      <c r="C5743" s="5" t="str">
        <f>IFERROR(__xludf.DUMMYFUNCTION("GOOGLETRANSLATE(B5743,""en"",""de"")"),"Die Person serviert dann das Essen auf einem Teller und Text erscheint über dem Bildschirm.")</f>
        <v>Die Person serviert dann das Essen auf einem Teller und Text erscheint über dem Bildschirm.</v>
      </c>
    </row>
    <row r="5744">
      <c r="A5744" s="4" t="s">
        <v>7221</v>
      </c>
      <c r="B5744" s="4" t="s">
        <v>7222</v>
      </c>
      <c r="C5744" s="5" t="str">
        <f>IFERROR(__xludf.DUMMYFUNCTION("GOOGLETRANSLATE(B5744,""en"",""de"")"),"Der Titel erscheint und verblasst.")</f>
        <v>Der Titel erscheint und verblasst.</v>
      </c>
    </row>
    <row r="5745">
      <c r="A5745" s="4" t="s">
        <v>7221</v>
      </c>
      <c r="B5745" s="4" t="s">
        <v>7223</v>
      </c>
      <c r="C5745" s="5" t="str">
        <f>IFERROR(__xludf.DUMMYFUNCTION("GOOGLETRANSLATE(B5745,""en"",""de"")"),"Wir sehen einen Mann, der an seinem Kopf an Gewicht zieht.")</f>
        <v>Wir sehen einen Mann, der an seinem Kopf an Gewicht zieht.</v>
      </c>
    </row>
    <row r="5746">
      <c r="A5746" s="4" t="s">
        <v>7221</v>
      </c>
      <c r="B5746" s="4" t="s">
        <v>7224</v>
      </c>
      <c r="C5746" s="5" t="str">
        <f>IFERROR(__xludf.DUMMYFUNCTION("GOOGLETRANSLATE(B5746,""en"",""de"")"),"Drei Männer gehen im Spiegel vorbei.")</f>
        <v>Drei Männer gehen im Spiegel vorbei.</v>
      </c>
    </row>
    <row r="5747">
      <c r="A5747" s="4" t="s">
        <v>7221</v>
      </c>
      <c r="B5747" s="4" t="s">
        <v>7225</v>
      </c>
      <c r="C5747" s="5" t="str">
        <f>IFERROR(__xludf.DUMMYFUNCTION("GOOGLETRANSLATE(B5747,""en"",""de"")"),"Die Kamera zoomt zum Hauptthema.")</f>
        <v>Die Kamera zoomt zum Hauptthema.</v>
      </c>
    </row>
    <row r="5748">
      <c r="A5748" s="4" t="s">
        <v>7221</v>
      </c>
      <c r="B5748" s="4" t="s">
        <v>7226</v>
      </c>
      <c r="C5748" s="5" t="str">
        <f>IFERROR(__xludf.DUMMYFUNCTION("GOOGLETRANSLATE(B5748,""en"",""de"")"),"Ein Mann in Grau geht im Spiegel vorbei.")</f>
        <v>Ein Mann in Grau geht im Spiegel vorbei.</v>
      </c>
    </row>
    <row r="5749">
      <c r="A5749" s="4" t="s">
        <v>7221</v>
      </c>
      <c r="B5749" s="4" t="s">
        <v>7227</v>
      </c>
      <c r="C5749" s="5" t="str">
        <f>IFERROR(__xludf.DUMMYFUNCTION("GOOGLETRANSLATE(B5749,""en"",""de"")"),"Der Bildschirm wird schwarz und wir sehen die Endkredite.")</f>
        <v>Der Bildschirm wird schwarz und wir sehen die Endkredite.</v>
      </c>
    </row>
    <row r="5750">
      <c r="A5750" s="4" t="s">
        <v>7228</v>
      </c>
      <c r="B5750" s="4" t="s">
        <v>7229</v>
      </c>
      <c r="C5750" s="5" t="str">
        <f>IFERROR(__xludf.DUMMYFUNCTION("GOOGLETRANSLATE(B5750,""en"",""de"")"),"Es wird eine Flasche Tiefreinigungsgel gezeigt.")</f>
        <v>Es wird eine Flasche Tiefreinigungsgel gezeigt.</v>
      </c>
    </row>
    <row r="5751">
      <c r="A5751" s="4" t="s">
        <v>7228</v>
      </c>
      <c r="B5751" s="4" t="s">
        <v>7230</v>
      </c>
      <c r="C5751" s="5" t="str">
        <f>IFERROR(__xludf.DUMMYFUNCTION("GOOGLETRANSLATE(B5751,""en"",""de"")"),"Eine Frau hält die Flasche hoch und wird dann mit verschiedenen Lösungen angezeigt, die sie zusammen auf der Theke ausstellt.")</f>
        <v>Eine Frau hält die Flasche hoch und wird dann mit verschiedenen Lösungen angezeigt, die sie zusammen auf der Theke ausstellt.</v>
      </c>
    </row>
    <row r="5752">
      <c r="A5752" s="4" t="s">
        <v>7228</v>
      </c>
      <c r="B5752" s="4" t="s">
        <v>7231</v>
      </c>
      <c r="C5752" s="5" t="str">
        <f>IFERROR(__xludf.DUMMYFUNCTION("GOOGLETRANSLATE(B5752,""en"",""de"")"),"Sie benutzt jeden auf ihrem Gesicht und spült sie dann ab.")</f>
        <v>Sie benutzt jeden auf ihrem Gesicht und spült sie dann ab.</v>
      </c>
    </row>
    <row r="5753">
      <c r="A5753" s="4" t="s">
        <v>7232</v>
      </c>
      <c r="B5753" s="4" t="s">
        <v>7233</v>
      </c>
      <c r="C5753" s="5" t="str">
        <f>IFERROR(__xludf.DUMMYFUNCTION("GOOGLETRANSLATE(B5753,""en"",""de"")"),"Wir sehen einen blauen Titelbildschirm mit weißen Buchstaben.")</f>
        <v>Wir sehen einen blauen Titelbildschirm mit weißen Buchstaben.</v>
      </c>
    </row>
    <row r="5754">
      <c r="A5754" s="4" t="s">
        <v>7232</v>
      </c>
      <c r="B5754" s="4" t="s">
        <v>7234</v>
      </c>
      <c r="C5754" s="5" t="str">
        <f>IFERROR(__xludf.DUMMYFUNCTION("GOOGLETRANSLATE(B5754,""en"",""de"")"),"Wir sehen zwei Mädchen in einem Raum und führen dann einen Flip durch.")</f>
        <v>Wir sehen zwei Mädchen in einem Raum und führen dann einen Flip durch.</v>
      </c>
    </row>
    <row r="5755">
      <c r="A5755" s="4" t="s">
        <v>7232</v>
      </c>
      <c r="B5755" s="4" t="s">
        <v>7235</v>
      </c>
      <c r="C5755" s="5" t="str">
        <f>IFERROR(__xludf.DUMMYFUNCTION("GOOGLETRANSLATE(B5755,""en"",""de"")"),"Wir sehen, dass 2 verschiedene Mädchen unterschiedliche Flips machen.")</f>
        <v>Wir sehen, dass 2 verschiedene Mädchen unterschiedliche Flips machen.</v>
      </c>
    </row>
    <row r="5756">
      <c r="A5756" s="4" t="s">
        <v>7232</v>
      </c>
      <c r="B5756" s="4" t="s">
        <v>7236</v>
      </c>
      <c r="C5756" s="5" t="str">
        <f>IFERROR(__xludf.DUMMYFUNCTION("GOOGLETRANSLATE(B5756,""en"",""de"")"),"Ein Mädchen macht einen Rückenflip.")</f>
        <v>Ein Mädchen macht einen Rückenflip.</v>
      </c>
    </row>
    <row r="5757">
      <c r="A5757" s="4" t="s">
        <v>7232</v>
      </c>
      <c r="B5757" s="4" t="s">
        <v>7237</v>
      </c>
      <c r="C5757" s="5" t="str">
        <f>IFERROR(__xludf.DUMMYFUNCTION("GOOGLETRANSLATE(B5757,""en"",""de"")"),"Wir sehen dann, wie vier Mädchen zusammen einen Rücken machen.")</f>
        <v>Wir sehen dann, wie vier Mädchen zusammen einen Rücken machen.</v>
      </c>
    </row>
    <row r="5758">
      <c r="A5758" s="4" t="s">
        <v>7238</v>
      </c>
      <c r="B5758" s="4" t="s">
        <v>7239</v>
      </c>
      <c r="C5758" s="5" t="str">
        <f>IFERROR(__xludf.DUMMYFUNCTION("GOOGLETRANSLATE(B5758,""en"",""de"")"),"Wir sehen einen schwarzen Titelbildschirm.")</f>
        <v>Wir sehen einen schwarzen Titelbildschirm.</v>
      </c>
    </row>
    <row r="5759">
      <c r="A5759" s="4" t="s">
        <v>7238</v>
      </c>
      <c r="B5759" s="4" t="s">
        <v>7240</v>
      </c>
      <c r="C5759" s="5" t="str">
        <f>IFERROR(__xludf.DUMMYFUNCTION("GOOGLETRANSLATE(B5759,""en"",""de"")"),"Wir sehen einen Mann, der sein Gesichtshaar mit einem elektrischen Rasierer beschnitten hat.")</f>
        <v>Wir sehen einen Mann, der sein Gesichtshaar mit einem elektrischen Rasierer beschnitten hat.</v>
      </c>
    </row>
    <row r="5760">
      <c r="A5760" s="4" t="s">
        <v>7238</v>
      </c>
      <c r="B5760" s="4" t="s">
        <v>7241</v>
      </c>
      <c r="C5760" s="5" t="str">
        <f>IFERROR(__xludf.DUMMYFUNCTION("GOOGLETRANSLATE(B5760,""en"",""de"")"),"Wir sehen, dass ein Mann mit einem geraden Rasiermesser rasiert wird.")</f>
        <v>Wir sehen, dass ein Mann mit einem geraden Rasiermesser rasiert wird.</v>
      </c>
    </row>
    <row r="5761">
      <c r="A5761" s="4" t="s">
        <v>7238</v>
      </c>
      <c r="B5761" s="4" t="s">
        <v>7242</v>
      </c>
      <c r="C5761" s="5" t="str">
        <f>IFERROR(__xludf.DUMMYFUNCTION("GOOGLETRANSLATE(B5761,""en"",""de"")"),"Wir sehen dann den Abschlussbildschirm.")</f>
        <v>Wir sehen dann den Abschlussbildschirm.</v>
      </c>
    </row>
    <row r="5762">
      <c r="A5762" s="4" t="s">
        <v>7243</v>
      </c>
      <c r="B5762" s="4" t="s">
        <v>7244</v>
      </c>
      <c r="C5762" s="5" t="str">
        <f>IFERROR(__xludf.DUMMYFUNCTION("GOOGLETRANSLATE(B5762,""en"",""de"")"),"Ein Mann geht zu einer Langhantel und biegt sich über die Knie.")</f>
        <v>Ein Mann geht zu einer Langhantel und biegt sich über die Knie.</v>
      </c>
    </row>
    <row r="5763">
      <c r="A5763" s="4" t="s">
        <v>7243</v>
      </c>
      <c r="B5763" s="4" t="s">
        <v>7245</v>
      </c>
      <c r="C5763" s="5" t="str">
        <f>IFERROR(__xludf.DUMMYFUNCTION("GOOGLETRANSLATE(B5763,""en"",""de"")"),"Er hebt die Langhantel bis zu seiner Brust, ruht für einen Moment und hebt sie dann über seinen Kopf.")</f>
        <v>Er hebt die Langhantel bis zu seiner Brust, ruht für einen Moment und hebt sie dann über seinen Kopf.</v>
      </c>
    </row>
    <row r="5764">
      <c r="A5764" s="4" t="s">
        <v>7243</v>
      </c>
      <c r="B5764" s="4" t="s">
        <v>7246</v>
      </c>
      <c r="C5764" s="5" t="str">
        <f>IFERROR(__xludf.DUMMYFUNCTION("GOOGLETRANSLATE(B5764,""en"",""de"")"),"Er hält die Pose einige Sekunden lang, bevor er sie zu Boden fallen lässt.")</f>
        <v>Er hält die Pose einige Sekunden lang, bevor er sie zu Boden fallen lässt.</v>
      </c>
    </row>
    <row r="5765">
      <c r="A5765" s="4" t="s">
        <v>7247</v>
      </c>
      <c r="B5765" s="4" t="s">
        <v>7248</v>
      </c>
      <c r="C5765" s="5" t="str">
        <f>IFERROR(__xludf.DUMMYFUNCTION("GOOGLETRANSLATE(B5765,""en"",""de"")"),"Ein Schatten ist im rauchigen Raum zu sehen.")</f>
        <v>Ein Schatten ist im rauchigen Raum zu sehen.</v>
      </c>
    </row>
    <row r="5766">
      <c r="A5766" s="4" t="s">
        <v>7247</v>
      </c>
      <c r="B5766" s="4" t="s">
        <v>7249</v>
      </c>
      <c r="C5766" s="5" t="str">
        <f>IFERROR(__xludf.DUMMYFUNCTION("GOOGLETRANSLATE(B5766,""en"",""de"")"),"Eine Frau duscht und wäscht ihre Haare.")</f>
        <v>Eine Frau duscht und wäscht ihre Haare.</v>
      </c>
    </row>
    <row r="5767">
      <c r="A5767" s="4" t="s">
        <v>7247</v>
      </c>
      <c r="B5767" s="4" t="s">
        <v>7250</v>
      </c>
      <c r="C5767" s="5" t="str">
        <f>IFERROR(__xludf.DUMMYFUNCTION("GOOGLETRANSLATE(B5767,""en"",""de"")"),"Sie zieht es in Strängen auseinander und legt Conditioner darauf.")</f>
        <v>Sie zieht es in Strängen auseinander und legt Conditioner darauf.</v>
      </c>
    </row>
    <row r="5768">
      <c r="A5768" s="4" t="s">
        <v>7251</v>
      </c>
      <c r="B5768" s="4" t="s">
        <v>7252</v>
      </c>
      <c r="C5768" s="5" t="str">
        <f>IFERROR(__xludf.DUMMYFUNCTION("GOOGLETRANSLATE(B5768,""en"",""de"")"),"Eine Frau trägt einen lustigen Hut, während er mit der Kamera spricht und auf einem Stuhl sitzt.")</f>
        <v>Eine Frau trägt einen lustigen Hut, während er mit der Kamera spricht und auf einem Stuhl sitzt.</v>
      </c>
    </row>
    <row r="5769">
      <c r="A5769" s="4" t="s">
        <v>7251</v>
      </c>
      <c r="B5769" s="4" t="s">
        <v>7253</v>
      </c>
      <c r="C5769" s="5" t="str">
        <f>IFERROR(__xludf.DUMMYFUNCTION("GOOGLETRANSLATE(B5769,""en"",""de"")"),"Die Frau strickt dann auf ihrem Stuhl, während sie mit einem weiteren Bild von ihr endete.")</f>
        <v>Die Frau strickt dann auf ihrem Stuhl, während sie mit einem weiteren Bild von ihr endete.</v>
      </c>
    </row>
    <row r="5770">
      <c r="A5770" s="4" t="s">
        <v>7254</v>
      </c>
      <c r="B5770" s="4" t="s">
        <v>7255</v>
      </c>
      <c r="C5770" s="5" t="str">
        <f>IFERROR(__xludf.DUMMYFUNCTION("GOOGLETRANSLATE(B5770,""en"",""de"")"),"Ein kleiner Junge sitzt auf einem Stuhl mit einem Schutzkleid und lässt sich von Mama zu Hause mit elektrischen Klippern schneiden.")</f>
        <v>Ein kleiner Junge sitzt auf einem Stuhl mit einem Schutzkleid und lässt sich von Mama zu Hause mit elektrischen Klippern schneiden.</v>
      </c>
    </row>
    <row r="5771">
      <c r="A5771" s="4" t="s">
        <v>7254</v>
      </c>
      <c r="B5771" s="4" t="s">
        <v>7256</v>
      </c>
      <c r="C5771" s="5" t="str">
        <f>IFERROR(__xludf.DUMMYFUNCTION("GOOGLETRANSLATE(B5771,""en"",""de"")"),"Die Mutter entfernt abgeschnittene Haare vom Jungenkopf mit den Fingern.")</f>
        <v>Die Mutter entfernt abgeschnittene Haare vom Jungenkopf mit den Fingern.</v>
      </c>
    </row>
    <row r="5772">
      <c r="A5772" s="4" t="s">
        <v>7254</v>
      </c>
      <c r="B5772" s="4" t="s">
        <v>7257</v>
      </c>
      <c r="C5772" s="5" t="str">
        <f>IFERROR(__xludf.DUMMYFUNCTION("GOOGLETRANSLATE(B5772,""en"",""de"")"),"Ein Mädchen sieht im Raum zu.")</f>
        <v>Ein Mädchen sieht im Raum zu.</v>
      </c>
    </row>
    <row r="5773">
      <c r="A5773" s="4" t="s">
        <v>7258</v>
      </c>
      <c r="B5773" s="4" t="s">
        <v>7259</v>
      </c>
      <c r="C5773" s="5" t="str">
        <f>IFERROR(__xludf.DUMMYFUNCTION("GOOGLETRANSLATE(B5773,""en"",""de"")"),"Eine Frau spricht mit der Kamera, während sie einen Bobby Pin hochhält, und dreht sich dann mit den Haaren und beginnt zu flechten.")</f>
        <v>Eine Frau spricht mit der Kamera, während sie einen Bobby Pin hochhält, und dreht sich dann mit den Haaren und beginnt zu flechten.</v>
      </c>
    </row>
    <row r="5774">
      <c r="A5774" s="4" t="s">
        <v>7258</v>
      </c>
      <c r="B5774" s="4" t="s">
        <v>7260</v>
      </c>
      <c r="C5774" s="5" t="str">
        <f>IFERROR(__xludf.DUMMYFUNCTION("GOOGLETRANSLATE(B5774,""en"",""de"")"),"Das Mädchen steckt dann ihr Haar in einen Ponyschwanz und schlang ihre Haare um, um ein Wortspiel zu machen.")</f>
        <v>Das Mädchen steckt dann ihr Haar in einen Ponyschwanz und schlang ihre Haare um, um ein Wortspiel zu machen.</v>
      </c>
    </row>
    <row r="5775">
      <c r="A5775" s="4" t="s">
        <v>7258</v>
      </c>
      <c r="B5775" s="4" t="s">
        <v>7261</v>
      </c>
      <c r="C5775" s="5" t="str">
        <f>IFERROR(__xludf.DUMMYFUNCTION("GOOGLETRANSLATE(B5775,""en"",""de"")"),"Sie steckt schließlich die Haare nach unten und zeigt dann ihre Haare, während sie auf die Kamera zeigt.")</f>
        <v>Sie steckt schließlich die Haare nach unten und zeigt dann ihre Haare, während sie auf die Kamera zeigt.</v>
      </c>
    </row>
    <row r="5776">
      <c r="A5776" s="4" t="s">
        <v>7262</v>
      </c>
      <c r="B5776" s="4" t="s">
        <v>7263</v>
      </c>
      <c r="C5776" s="5" t="str">
        <f>IFERROR(__xludf.DUMMYFUNCTION("GOOGLETRANSLATE(B5776,""en"",""de"")"),"Ein weiblicher Nachrichtenreporter spricht in einem Nachrichtenzimmer.")</f>
        <v>Ein weiblicher Nachrichtenreporter spricht in einem Nachrichtenzimmer.</v>
      </c>
    </row>
    <row r="5777">
      <c r="A5777" s="4" t="s">
        <v>7262</v>
      </c>
      <c r="B5777" s="4" t="s">
        <v>7264</v>
      </c>
      <c r="C5777" s="5" t="str">
        <f>IFERROR(__xludf.DUMMYFUNCTION("GOOGLETRANSLATE(B5777,""en"",""de"")"),"Wir sehen mehrere Leute, die auf Pferden reiten, während eine Menschenmenge beobachtet.")</f>
        <v>Wir sehen mehrere Leute, die auf Pferden reiten, während eine Menschenmenge beobachtet.</v>
      </c>
    </row>
    <row r="5778">
      <c r="A5778" s="4" t="s">
        <v>7262</v>
      </c>
      <c r="B5778" s="4" t="s">
        <v>7265</v>
      </c>
      <c r="C5778" s="5" t="str">
        <f>IFERROR(__xludf.DUMMYFUNCTION("GOOGLETRANSLATE(B5778,""en"",""de"")"),"Die Leute schlagen Taschen mit Stöcken beim Fahren.")</f>
        <v>Die Leute schlagen Taschen mit Stöcken beim Fahren.</v>
      </c>
    </row>
    <row r="5779">
      <c r="A5779" s="4" t="s">
        <v>7262</v>
      </c>
      <c r="B5779" s="4" t="s">
        <v>7266</v>
      </c>
      <c r="C5779" s="5" t="str">
        <f>IFERROR(__xludf.DUMMYFUNCTION("GOOGLETRANSLATE(B5779,""en"",""de"")"),"Die Leute werden dann über das Spiel interviewt, und einem Mann wird gezeigt, wie sie Pfeile schießen.")</f>
        <v>Die Leute werden dann über das Spiel interviewt, und einem Mann wird gezeigt, wie sie Pfeile schießen.</v>
      </c>
    </row>
    <row r="5780">
      <c r="A5780" s="4" t="s">
        <v>7267</v>
      </c>
      <c r="B5780" s="4" t="s">
        <v>7268</v>
      </c>
      <c r="C5780" s="5" t="str">
        <f>IFERROR(__xludf.DUMMYFUNCTION("GOOGLETRANSLATE(B5780,""en"",""de"")"),"Der Mensch ist in der überdachten Fitnessstudio.")</f>
        <v>Der Mensch ist in der überdachten Fitnessstudio.</v>
      </c>
    </row>
    <row r="5781">
      <c r="A5781" s="4" t="s">
        <v>7267</v>
      </c>
      <c r="B5781" s="4" t="s">
        <v>7269</v>
      </c>
      <c r="C5781" s="5" t="str">
        <f>IFERROR(__xludf.DUMMYFUNCTION("GOOGLETRANSLATE(B5781,""en"",""de"")"),"Frau geht hinter dem Mann, der den Mann beobachtet.")</f>
        <v>Frau geht hinter dem Mann, der den Mann beobachtet.</v>
      </c>
    </row>
    <row r="5782">
      <c r="A5782" s="4" t="s">
        <v>7267</v>
      </c>
      <c r="B5782" s="4" t="s">
        <v>7270</v>
      </c>
      <c r="C5782" s="5" t="str">
        <f>IFERROR(__xludf.DUMMYFUNCTION("GOOGLETRANSLATE(B5782,""en"",""de"")"),"Frau hebt acht, während er Mann sitzt, um sie zu beobachten.")</f>
        <v>Frau hebt acht, während er Mann sitzt, um sie zu beobachten.</v>
      </c>
    </row>
    <row r="5783">
      <c r="A5783" s="4" t="s">
        <v>7271</v>
      </c>
      <c r="B5783" s="4" t="s">
        <v>7272</v>
      </c>
      <c r="C5783" s="5" t="str">
        <f>IFERROR(__xludf.DUMMYFUNCTION("GOOGLETRANSLATE(B5783,""en"",""de"")"),"Ein Mann steht draußen und hält eine Geige.")</f>
        <v>Ein Mann steht draußen und hält eine Geige.</v>
      </c>
    </row>
    <row r="5784">
      <c r="A5784" s="4" t="s">
        <v>7271</v>
      </c>
      <c r="B5784" s="4" t="s">
        <v>7273</v>
      </c>
      <c r="C5784" s="5" t="str">
        <f>IFERROR(__xludf.DUMMYFUNCTION("GOOGLETRANSLATE(B5784,""en"",""de"")"),"Er beginnt die Geige zu spielen.")</f>
        <v>Er beginnt die Geige zu spielen.</v>
      </c>
    </row>
    <row r="5785">
      <c r="A5785" s="4" t="s">
        <v>7271</v>
      </c>
      <c r="B5785" s="4" t="s">
        <v>7274</v>
      </c>
      <c r="C5785" s="5" t="str">
        <f>IFERROR(__xludf.DUMMYFUNCTION("GOOGLETRANSLATE(B5785,""en"",""de"")"),"Er stoppt und setzt die Geige an seine Seite.")</f>
        <v>Er stoppt und setzt die Geige an seine Seite.</v>
      </c>
    </row>
    <row r="5786">
      <c r="A5786" s="4" t="s">
        <v>7275</v>
      </c>
      <c r="B5786" s="4" t="s">
        <v>7276</v>
      </c>
      <c r="C5786" s="5" t="str">
        <f>IFERROR(__xludf.DUMMYFUNCTION("GOOGLETRANSLATE(B5786,""en"",""de"")"),"Es gibt zwei Männer in weißen Hemden, die Hüte tragen, die Freestyle in einem Innenstadion ringen.")</f>
        <v>Es gibt zwei Männer in weißen Hemden, die Hüte tragen, die Freestyle in einem Innenstadion ringen.</v>
      </c>
    </row>
    <row r="5787">
      <c r="A5787" s="4" t="s">
        <v>7275</v>
      </c>
      <c r="B5787" s="4" t="s">
        <v>7277</v>
      </c>
      <c r="C5787" s="5" t="str">
        <f>IFERROR(__xludf.DUMMYFUNCTION("GOOGLETRANSLATE(B5787,""en"",""de"")"),"Es gibt mehrere Zuschauer, die sie beobachten, einige sitzen auf Stühlen und einige auf dem Boden.")</f>
        <v>Es gibt mehrere Zuschauer, die sie beobachten, einige sitzen auf Stühlen und einige auf dem Boden.</v>
      </c>
    </row>
    <row r="5788">
      <c r="A5788" s="4" t="s">
        <v>7275</v>
      </c>
      <c r="B5788" s="4" t="s">
        <v>7278</v>
      </c>
      <c r="C5788" s="5" t="str">
        <f>IFERROR(__xludf.DUMMYFUNCTION("GOOGLETRANSLATE(B5788,""en"",""de"")"),"Es gibt einige Leute, die auf Stühlen sitzen und verschiedene Handinstrumente spielen und singen, um die Kämpfer zu jubeln.")</f>
        <v>Es gibt einige Leute, die auf Stühlen sitzen und verschiedene Handinstrumente spielen und singen, um die Kämpfer zu jubeln.</v>
      </c>
    </row>
    <row r="5789">
      <c r="A5789" s="4" t="s">
        <v>7275</v>
      </c>
      <c r="B5789" s="4" t="s">
        <v>7279</v>
      </c>
      <c r="C5789" s="5" t="str">
        <f>IFERROR(__xludf.DUMMYFUNCTION("GOOGLETRANSLATE(B5789,""en"",""de"")"),"Die beiden Männer ringen weiter aggressiv, indem sie abwechselnd den Gegner angreifen.")</f>
        <v>Die beiden Männer ringen weiter aggressiv, indem sie abwechselnd den Gegner angreifen.</v>
      </c>
    </row>
    <row r="5790">
      <c r="A5790" s="4" t="s">
        <v>7275</v>
      </c>
      <c r="B5790" s="4" t="s">
        <v>7280</v>
      </c>
      <c r="C5790" s="5" t="str">
        <f>IFERROR(__xludf.DUMMYFUNCTION("GOOGLETRANSLATE(B5790,""en"",""de"")"),"Sie kämpfen weiter, wenn ein Mann einen vorderen Flip macht.")</f>
        <v>Sie kämpfen weiter, wenn ein Mann einen vorderen Flip macht.</v>
      </c>
    </row>
    <row r="5791">
      <c r="A5791" s="4" t="s">
        <v>7275</v>
      </c>
      <c r="B5791" s="4" t="s">
        <v>7281</v>
      </c>
      <c r="C5791" s="5" t="str">
        <f>IFERROR(__xludf.DUMMYFUNCTION("GOOGLETRANSLATE(B5791,""en"",""de"")"),"In der letzten Runde beschleunigen sie den Kampf mit schnelleren Tritten und Bewegungen.")</f>
        <v>In der letzten Runde beschleunigen sie den Kampf mit schnelleren Tritten und Bewegungen.</v>
      </c>
    </row>
    <row r="5792">
      <c r="A5792" s="4" t="s">
        <v>7282</v>
      </c>
      <c r="B5792" s="4" t="s">
        <v>7283</v>
      </c>
      <c r="C5792" s="5" t="str">
        <f>IFERROR(__xludf.DUMMYFUNCTION("GOOGLETRANSLATE(B5792,""en"",""de"")"),"Eine Gruppe von Jungen meißelt einen Namen in Sand am Strand mit den Händen.")</f>
        <v>Eine Gruppe von Jungen meißelt einen Namen in Sand am Strand mit den Händen.</v>
      </c>
    </row>
    <row r="5793">
      <c r="A5793" s="4" t="s">
        <v>7282</v>
      </c>
      <c r="B5793" s="4" t="s">
        <v>7284</v>
      </c>
      <c r="C5793" s="5" t="str">
        <f>IFERROR(__xludf.DUMMYFUNCTION("GOOGLETRANSLATE(B5793,""en"",""de"")"),"Die Jungs lassen das Kunststück nur einen Jungen in einem roten T-Shirt, um alleine daran zu arbeiten.")</f>
        <v>Die Jungs lassen das Kunststück nur einen Jungen in einem roten T-Shirt, um alleine daran zu arbeiten.</v>
      </c>
    </row>
    <row r="5794">
      <c r="A5794" s="4" t="s">
        <v>7282</v>
      </c>
      <c r="B5794" s="4" t="s">
        <v>7285</v>
      </c>
      <c r="C5794" s="5" t="str">
        <f>IFERROR(__xludf.DUMMYFUNCTION("GOOGLETRANSLATE(B5794,""en"",""de"")"),"Zwei Jungen kehren mit zwei Sandkugeln in Kreisen zurück und sitzen neben dem Kunststück, während sie daran arbeiten, die Sandkugeln abzurunden, die sie gesammelt haben, während sich eine Gruppe von Kindern versammelt, um sie zu beobachten.")</f>
        <v>Zwei Jungen kehren mit zwei Sandkugeln in Kreisen zurück und sitzen neben dem Kunststück, während sie daran arbeiten, die Sandkugeln abzurunden, die sie gesammelt haben, während sich eine Gruppe von Kindern versammelt, um sie zu beobachten.</v>
      </c>
    </row>
    <row r="5795">
      <c r="A5795" s="4" t="s">
        <v>7286</v>
      </c>
      <c r="B5795" s="4" t="s">
        <v>7287</v>
      </c>
      <c r="C5795" s="5" t="str">
        <f>IFERROR(__xludf.DUMMYFUNCTION("GOOGLETRANSLATE(B5795,""en"",""de"")"),"Ein Intro führt in mehrere Graffiti -Schüsse an einer Wand sowie Menschen, die sich bewegen und miteinander sprechen.")</f>
        <v>Ein Intro führt in mehrere Graffiti -Schüsse an einer Wand sowie Menschen, die sich bewegen und miteinander sprechen.</v>
      </c>
    </row>
    <row r="5796">
      <c r="A5796" s="4" t="s">
        <v>7286</v>
      </c>
      <c r="B5796" s="4" t="s">
        <v>7288</v>
      </c>
      <c r="C5796" s="5" t="str">
        <f>IFERROR(__xludf.DUMMYFUNCTION("GOOGLETRANSLATE(B5796,""en"",""de"")"),"Ein Rapper wird dann gesehen, wie ein Mann ein Tattoo bekommt, während die Kamera mehrere Winkel erfasst und Kunstwerke zeigt.")</f>
        <v>Ein Rapper wird dann gesehen, wie ein Mann ein Tattoo bekommt, während die Kamera mehrere Winkel erfasst und Kunstwerke zeigt.</v>
      </c>
    </row>
    <row r="5797">
      <c r="A5797" s="4" t="s">
        <v>7286</v>
      </c>
      <c r="B5797" s="4" t="s">
        <v>7289</v>
      </c>
      <c r="C5797" s="5" t="str">
        <f>IFERROR(__xludf.DUMMYFUNCTION("GOOGLETRANSLATE(B5797,""en"",""de"")"),"Weitere Leute zeigen ihre Tätowierungen und die Rapper -Punkte auf die Kamera und zeigen das fertige Tattoo- und Album -Cover.")</f>
        <v>Weitere Leute zeigen ihre Tätowierungen und die Rapper -Punkte auf die Kamera und zeigen das fertige Tattoo- und Album -Cover.</v>
      </c>
    </row>
    <row r="5798">
      <c r="A5798" s="4" t="s">
        <v>7290</v>
      </c>
      <c r="B5798" s="4" t="s">
        <v>7291</v>
      </c>
      <c r="C5798" s="5" t="str">
        <f>IFERROR(__xludf.DUMMYFUNCTION("GOOGLETRANSLATE(B5798,""en"",""de"")"),"Eine Band übt in einem Fitnessstudio.")</f>
        <v>Eine Band übt in einem Fitnessstudio.</v>
      </c>
    </row>
    <row r="5799">
      <c r="A5799" s="4" t="s">
        <v>7290</v>
      </c>
      <c r="B5799" s="4" t="s">
        <v>7292</v>
      </c>
      <c r="C5799" s="5" t="str">
        <f>IFERROR(__xludf.DUMMYFUNCTION("GOOGLETRANSLATE(B5799,""en"",""de"")"),"Die Leute wirbeln Flaggen, während sie in einer Linie stehen.")</f>
        <v>Die Leute wirbeln Flaggen, während sie in einer Linie stehen.</v>
      </c>
    </row>
    <row r="5800">
      <c r="A5800" s="4" t="s">
        <v>7290</v>
      </c>
      <c r="B5800" s="4" t="s">
        <v>7293</v>
      </c>
      <c r="C5800" s="5" t="str">
        <f>IFERROR(__xludf.DUMMYFUNCTION("GOOGLETRANSLATE(B5800,""en"",""de"")"),"Die Schlagzeuger marschieren durch das Fitnessstudio.")</f>
        <v>Die Schlagzeuger marschieren durch das Fitnessstudio.</v>
      </c>
    </row>
    <row r="5801">
      <c r="A5801" s="4" t="s">
        <v>7290</v>
      </c>
      <c r="B5801" s="4" t="s">
        <v>7294</v>
      </c>
      <c r="C5801" s="5" t="str">
        <f>IFERROR(__xludf.DUMMYFUNCTION("GOOGLETRANSLATE(B5801,""en"",""de"")"),"Sie steigen in eine Linie und tanzen aus dem Fitnessstudio.")</f>
        <v>Sie steigen in eine Linie und tanzen aus dem Fitnessstudio.</v>
      </c>
    </row>
    <row r="5802">
      <c r="A5802" s="4" t="s">
        <v>7295</v>
      </c>
      <c r="B5802" s="4" t="s">
        <v>7296</v>
      </c>
      <c r="C5802" s="5" t="str">
        <f>IFERROR(__xludf.DUMMYFUNCTION("GOOGLETRANSLATE(B5802,""en"",""de"")"),"Eine Person spricht mit der Kamera und raucht aus einer Shisha -Pfeife.")</f>
        <v>Eine Person spricht mit der Kamera und raucht aus einer Shisha -Pfeife.</v>
      </c>
    </row>
    <row r="5803">
      <c r="A5803" s="4" t="s">
        <v>7295</v>
      </c>
      <c r="B5803" s="4" t="s">
        <v>7297</v>
      </c>
      <c r="C5803" s="5" t="str">
        <f>IFERROR(__xludf.DUMMYFUNCTION("GOOGLETRANSLATE(B5803,""en"",""de"")"),"Die Kamera schwenkt in der Gegend und spricht weiterhin mit dem Mann und führt zu einem Schuss eines Bootes und einem engen Feuer.")</f>
        <v>Die Kamera schwenkt in der Gegend und spricht weiterhin mit dem Mann und führt zu einem Schuss eines Bootes und einem engen Feuer.</v>
      </c>
    </row>
    <row r="5804">
      <c r="A5804" s="4" t="s">
        <v>7298</v>
      </c>
      <c r="B5804" s="4" t="s">
        <v>7299</v>
      </c>
      <c r="C5804" s="5" t="str">
        <f>IFERROR(__xludf.DUMMYFUNCTION("GOOGLETRANSLATE(B5804,""en"",""de"")"),"Eine Frau tanzt neben einem Mann vor einer versammelten Menge.")</f>
        <v>Eine Frau tanzt neben einem Mann vor einer versammelten Menge.</v>
      </c>
    </row>
    <row r="5805">
      <c r="A5805" s="4" t="s">
        <v>7298</v>
      </c>
      <c r="B5805" s="4" t="s">
        <v>7300</v>
      </c>
      <c r="C5805" s="5" t="str">
        <f>IFERROR(__xludf.DUMMYFUNCTION("GOOGLETRANSLATE(B5805,""en"",""de"")"),"Sie drehen sich in Kreisen, während sie tanzen.")</f>
        <v>Sie drehen sich in Kreisen, während sie tanzen.</v>
      </c>
    </row>
    <row r="5806">
      <c r="A5806" s="4" t="s">
        <v>7298</v>
      </c>
      <c r="B5806" s="4" t="s">
        <v>7301</v>
      </c>
      <c r="C5806" s="5" t="str">
        <f>IFERROR(__xludf.DUMMYFUNCTION("GOOGLETRANSLATE(B5806,""en"",""de"")"),"Sie geht zwischen seine Beine, rutscht nach außen und verletzt ihren Hals.")</f>
        <v>Sie geht zwischen seine Beine, rutscht nach außen und verletzt ihren Hals.</v>
      </c>
    </row>
    <row r="5807">
      <c r="A5807" s="4" t="s">
        <v>7298</v>
      </c>
      <c r="B5807" s="4" t="s">
        <v>7302</v>
      </c>
      <c r="C5807" s="5" t="str">
        <f>IFERROR(__xludf.DUMMYFUNCTION("GOOGLETRANSLATE(B5807,""en"",""de"")"),"Sie steht lachen und umarmt den Mann.")</f>
        <v>Sie steht lachen und umarmt den Mann.</v>
      </c>
    </row>
    <row r="5808">
      <c r="A5808" s="4" t="s">
        <v>7303</v>
      </c>
      <c r="B5808" s="4" t="s">
        <v>7304</v>
      </c>
      <c r="C5808" s="5" t="str">
        <f>IFERROR(__xludf.DUMMYFUNCTION("GOOGLETRANSLATE(B5808,""en"",""de"")"),"Eine Frau wird gesehen, wie sie ihre Haare trocknet, während sie einen Kamm in verschiedenen Moden verwendet und verschiedene Produkte verwendet.")</f>
        <v>Eine Frau wird gesehen, wie sie ihre Haare trocknet, während sie einen Kamm in verschiedenen Moden verwendet und verschiedene Produkte verwendet.</v>
      </c>
    </row>
    <row r="5809">
      <c r="A5809" s="4" t="s">
        <v>7303</v>
      </c>
      <c r="B5809" s="4" t="s">
        <v>7305</v>
      </c>
      <c r="C5809" s="5" t="str">
        <f>IFERROR(__xludf.DUMMYFUNCTION("GOOGLETRANSLATE(B5809,""en"",""de"")"),"Die Frau benutzt weiterhin die Föhns an ihren Haaren und endet, indem sie ihr fertiges Haar zeigt.")</f>
        <v>Die Frau benutzt weiterhin die Föhns an ihren Haaren und endet, indem sie ihr fertiges Haar zeigt.</v>
      </c>
    </row>
    <row r="5810">
      <c r="A5810" s="4" t="s">
        <v>7306</v>
      </c>
      <c r="B5810" s="4" t="s">
        <v>7307</v>
      </c>
      <c r="C5810" s="5" t="str">
        <f>IFERROR(__xludf.DUMMYFUNCTION("GOOGLETRANSLATE(B5810,""en"",""de"")"),"Ein Mann in gelb und schwarzer Anzug schweißt einen Stahl.")</f>
        <v>Ein Mann in gelb und schwarzer Anzug schweißt einen Stahl.</v>
      </c>
    </row>
    <row r="5811">
      <c r="A5811" s="4" t="s">
        <v>7306</v>
      </c>
      <c r="B5811" s="4" t="s">
        <v>7308</v>
      </c>
      <c r="C5811" s="5" t="str">
        <f>IFERROR(__xludf.DUMMYFUNCTION("GOOGLETRANSLATE(B5811,""en"",""de"")"),"Er stoppt den Schweißjob.")</f>
        <v>Er stoppt den Schweißjob.</v>
      </c>
    </row>
    <row r="5812">
      <c r="A5812" s="4" t="s">
        <v>7306</v>
      </c>
      <c r="B5812" s="4" t="s">
        <v>7309</v>
      </c>
      <c r="C5812" s="5" t="str">
        <f>IFERROR(__xludf.DUMMYFUNCTION("GOOGLETRANSLATE(B5812,""en"",""de"")"),"Dann bewegt er sich weg und inspiziert es.")</f>
        <v>Dann bewegt er sich weg und inspiziert es.</v>
      </c>
    </row>
    <row r="5813">
      <c r="A5813" s="4" t="s">
        <v>7310</v>
      </c>
      <c r="B5813" s="4" t="s">
        <v>7311</v>
      </c>
      <c r="C5813" s="5" t="str">
        <f>IFERROR(__xludf.DUMMYFUNCTION("GOOGLETRANSLATE(B5813,""en"",""de"")"),"Drei Athleten verschiedener Länder konkurrieren in der ersten Runde an der Jury an der Jury, und alle Athleten heben das Gewicht erfolgreich an.")</f>
        <v>Drei Athleten verschiedener Länder konkurrieren in der ersten Runde an der Jury an der Jury, und alle Athleten heben das Gewicht erfolgreich an.</v>
      </c>
    </row>
    <row r="5814">
      <c r="A5814" s="4" t="s">
        <v>7310</v>
      </c>
      <c r="B5814" s="4" t="s">
        <v>7312</v>
      </c>
      <c r="C5814" s="5" t="str">
        <f>IFERROR(__xludf.DUMMYFUNCTION("GOOGLETRANSLATE(B5814,""en"",""de"")"),"In der zweiten Runde steigt der Athlet mit blauer Uniform erfolgreich auf und küsst die Bar des Gewichts, auch die anderen Athleten sind erfolgreich.")</f>
        <v>In der zweiten Runde steigt der Athlet mit blauer Uniform erfolgreich auf und küsst die Bar des Gewichts, auch die anderen Athleten sind erfolgreich.</v>
      </c>
    </row>
    <row r="5815">
      <c r="A5815" s="4" t="s">
        <v>7310</v>
      </c>
      <c r="B5815" s="4" t="s">
        <v>7313</v>
      </c>
      <c r="C5815" s="5" t="str">
        <f>IFERROR(__xludf.DUMMYFUNCTION("GOOGLETRANSLATE(B5815,""en"",""de"")"),"In der dritten Runde ließ der indische Athlet das Gewicht fallen.")</f>
        <v>In der dritten Runde ließ der indische Athlet das Gewicht fallen.</v>
      </c>
    </row>
    <row r="5816">
      <c r="A5816" s="4" t="s">
        <v>7310</v>
      </c>
      <c r="B5816" s="4" t="s">
        <v>7314</v>
      </c>
      <c r="C5816" s="5" t="str">
        <f>IFERROR(__xludf.DUMMYFUNCTION("GOOGLETRANSLATE(B5816,""en"",""de"")"),"Der Athlet mit roter Uniform wird beglückwünscht und steht dann am ersten Ort des Podiums und der Gespräche.")</f>
        <v>Der Athlet mit roter Uniform wird beglückwünscht und steht dann am ersten Ort des Podiums und der Gespräche.</v>
      </c>
    </row>
    <row r="5817">
      <c r="A5817" s="4" t="s">
        <v>7315</v>
      </c>
      <c r="B5817" s="4" t="s">
        <v>7316</v>
      </c>
      <c r="C5817" s="5" t="str">
        <f>IFERROR(__xludf.DUMMYFUNCTION("GOOGLETRANSLATE(B5817,""en"",""de"")"),"Ein Raum ist bedeckt, um zu vermeiden, dass Farbe auf Objekte im Raum bespritzt wird.")</f>
        <v>Ein Raum ist bedeckt, um zu vermeiden, dass Farbe auf Objekte im Raum bespritzt wird.</v>
      </c>
    </row>
    <row r="5818">
      <c r="A5818" s="4" t="s">
        <v>7315</v>
      </c>
      <c r="B5818" s="4" t="s">
        <v>7317</v>
      </c>
      <c r="C5818" s="5" t="str">
        <f>IFERROR(__xludf.DUMMYFUNCTION("GOOGLETRANSLATE(B5818,""en"",""de"")"),"Ein Zimmer ist mit blauem Klebeband an seinen Grenzen und Wänden zu sehen.")</f>
        <v>Ein Zimmer ist mit blauem Klebeband an seinen Grenzen und Wänden zu sehen.</v>
      </c>
    </row>
    <row r="5819">
      <c r="A5819" s="4" t="s">
        <v>7315</v>
      </c>
      <c r="B5819" s="4" t="s">
        <v>7318</v>
      </c>
      <c r="C5819" s="5" t="str">
        <f>IFERROR(__xludf.DUMMYFUNCTION("GOOGLETRANSLATE(B5819,""en"",""de"")"),"Die Böden des Raumes haben auch Tasche über dem Teppich.")</f>
        <v>Die Böden des Raumes haben auch Tasche über dem Teppich.</v>
      </c>
    </row>
    <row r="5820">
      <c r="A5820" s="4" t="s">
        <v>7315</v>
      </c>
      <c r="B5820" s="4" t="s">
        <v>7319</v>
      </c>
      <c r="C5820" s="5" t="str">
        <f>IFERROR(__xludf.DUMMYFUNCTION("GOOGLETRANSLATE(B5820,""en"",""de"")"),"Die Treppe eines Hauses hat Taschen darüber, um Schäden zu vermeiden.")</f>
        <v>Die Treppe eines Hauses hat Taschen darüber, um Schäden zu vermeiden.</v>
      </c>
    </row>
    <row r="5821">
      <c r="A5821" s="4" t="s">
        <v>7315</v>
      </c>
      <c r="B5821" s="4" t="s">
        <v>7320</v>
      </c>
      <c r="C5821" s="5" t="str">
        <f>IFERROR(__xludf.DUMMYFUNCTION("GOOGLETRANSLATE(B5821,""en"",""de"")"),"Eine funkelnde Decke ist zu sehen.")</f>
        <v>Eine funkelnde Decke ist zu sehen.</v>
      </c>
    </row>
    <row r="5822">
      <c r="A5822" s="4" t="s">
        <v>7321</v>
      </c>
      <c r="B5822" s="4" t="s">
        <v>7322</v>
      </c>
      <c r="C5822" s="5" t="str">
        <f>IFERROR(__xludf.DUMMYFUNCTION("GOOGLETRANSLATE(B5822,""en"",""de"")"),"Ein Boot fährt mit einer Person, die auf Skiern hinte fährt, am Wasser am Wasser.")</f>
        <v>Ein Boot fährt mit einer Person, die auf Skiern hinte fährt, am Wasser am Wasser.</v>
      </c>
    </row>
    <row r="5823">
      <c r="A5823" s="4" t="s">
        <v>7321</v>
      </c>
      <c r="B5823" s="4" t="s">
        <v>7323</v>
      </c>
      <c r="C5823" s="5" t="str">
        <f>IFERROR(__xludf.DUMMYFUNCTION("GOOGLETRANSLATE(B5823,""en"",""de"")"),"Die Person macht einen Flip und landet rückwärts ins Wasser.")</f>
        <v>Die Person macht einen Flip und landet rückwärts ins Wasser.</v>
      </c>
    </row>
    <row r="5824">
      <c r="A5824" s="4" t="s">
        <v>7324</v>
      </c>
      <c r="B5824" s="4" t="s">
        <v>7325</v>
      </c>
      <c r="C5824" s="5" t="str">
        <f>IFERROR(__xludf.DUMMYFUNCTION("GOOGLETRANSLATE(B5824,""en"",""de"")"),"Eine Frau und ein Mann befinden sich in einem Auto, das redet, dann dreht der Mann den Kopf.")</f>
        <v>Eine Frau und ein Mann befinden sich in einem Auto, das redet, dann dreht der Mann den Kopf.</v>
      </c>
    </row>
    <row r="5825">
      <c r="A5825" s="4" t="s">
        <v>7324</v>
      </c>
      <c r="B5825" s="4" t="s">
        <v>7326</v>
      </c>
      <c r="C5825" s="5" t="str">
        <f>IFERROR(__xludf.DUMMYFUNCTION("GOOGLETRANSLATE(B5825,""en"",""de"")"),"Eine junge Dame wäscht ein Auto, das nur einen BH und Shorts trägt, und sie bestreut Wasser auf den Kopf und dreht es.")</f>
        <v>Eine junge Dame wäscht ein Auto, das nur einen BH und Shorts trägt, und sie bestreut Wasser auf den Kopf und dreht es.</v>
      </c>
    </row>
    <row r="5826">
      <c r="A5826" s="4" t="s">
        <v>7324</v>
      </c>
      <c r="B5826" s="4" t="s">
        <v>7327</v>
      </c>
      <c r="C5826" s="5" t="str">
        <f>IFERROR(__xludf.DUMMYFUNCTION("GOOGLETRANSLATE(B5826,""en"",""de"")"),"Danach dreht sich der Mann, um die wütende Frau zu sehen und zu schreien.")</f>
        <v>Danach dreht sich der Mann, um die wütende Frau zu sehen und zu schreien.</v>
      </c>
    </row>
    <row r="5827">
      <c r="A5827" s="4" t="s">
        <v>7328</v>
      </c>
      <c r="B5827" s="4" t="s">
        <v>7329</v>
      </c>
      <c r="C5827" s="5" t="str">
        <f>IFERROR(__xludf.DUMMYFUNCTION("GOOGLETRANSLATE(B5827,""en"",""de"")"),"Little Kind ist im Sand und macht ein Schloss mit einem kleinen Spielzeugschaufel -Kinderblättern.")</f>
        <v>Little Kind ist im Sand und macht ein Schloss mit einem kleinen Spielzeugschaufel -Kinderblättern.</v>
      </c>
    </row>
    <row r="5828">
      <c r="A5828" s="4" t="s">
        <v>7328</v>
      </c>
      <c r="B5828" s="4" t="s">
        <v>7330</v>
      </c>
      <c r="C5828" s="5" t="str">
        <f>IFERROR(__xludf.DUMMYFUNCTION("GOOGLETRANSLATE(B5828,""en"",""de"")"),"Little Girl findet in das Schloss im Sand und spiele, während das Kind mehr Wasser aus dem Meer bringt.")</f>
        <v>Little Girl findet in das Schloss im Sand und spiele, während das Kind mehr Wasser aus dem Meer bringt.</v>
      </c>
    </row>
    <row r="5829">
      <c r="A5829" s="4" t="s">
        <v>7331</v>
      </c>
      <c r="B5829" s="4" t="s">
        <v>7332</v>
      </c>
      <c r="C5829" s="5" t="str">
        <f>IFERROR(__xludf.DUMMYFUNCTION("GOOGLETRANSLATE(B5829,""en"",""de"")"),"Eine Frau sitzt mit einem Baby in den Armen.")</f>
        <v>Eine Frau sitzt mit einem Baby in den Armen.</v>
      </c>
    </row>
    <row r="5830">
      <c r="A5830" s="4" t="s">
        <v>7331</v>
      </c>
      <c r="B5830" s="4" t="s">
        <v>7333</v>
      </c>
      <c r="C5830" s="5" t="str">
        <f>IFERROR(__xludf.DUMMYFUNCTION("GOOGLETRANSLATE(B5830,""en"",""de"")"),"Sie leckt eine Eiskegel, und das Baby lacht jedes Mal hysterisch.")</f>
        <v>Sie leckt eine Eiskegel, und das Baby lacht jedes Mal hysterisch.</v>
      </c>
    </row>
    <row r="5831">
      <c r="A5831" s="4" t="s">
        <v>7331</v>
      </c>
      <c r="B5831" s="4" t="s">
        <v>7334</v>
      </c>
      <c r="C5831" s="5" t="str">
        <f>IFERROR(__xludf.DUMMYFUNCTION("GOOGLETRANSLATE(B5831,""en"",""de"")"),"Sie bietet ihm Bisse an, zieht den Kegel weg und bringt ihn zum Lachen.")</f>
        <v>Sie bietet ihm Bisse an, zieht den Kegel weg und bringt ihn zum Lachen.</v>
      </c>
    </row>
    <row r="5832">
      <c r="A5832" s="4" t="s">
        <v>7335</v>
      </c>
      <c r="B5832" s="4" t="s">
        <v>7336</v>
      </c>
      <c r="C5832" s="5" t="str">
        <f>IFERROR(__xludf.DUMMYFUNCTION("GOOGLETRANSLATE(B5832,""en"",""de"")"),"Ein Mann reißt ein Kanu einen Fluss hinunter.")</f>
        <v>Ein Mann reißt ein Kanu einen Fluss hinunter.</v>
      </c>
    </row>
    <row r="5833">
      <c r="A5833" s="4" t="s">
        <v>7335</v>
      </c>
      <c r="B5833" s="4" t="s">
        <v>7337</v>
      </c>
      <c r="C5833" s="5" t="str">
        <f>IFERROR(__xludf.DUMMYFUNCTION("GOOGLETRANSLATE(B5833,""en"",""de"")"),"Einige andere Leute rudern auch.")</f>
        <v>Einige andere Leute rudern auch.</v>
      </c>
    </row>
    <row r="5834">
      <c r="A5834" s="4" t="s">
        <v>7335</v>
      </c>
      <c r="B5834" s="4" t="s">
        <v>7338</v>
      </c>
      <c r="C5834" s="5" t="str">
        <f>IFERROR(__xludf.DUMMYFUNCTION("GOOGLETRANSLATE(B5834,""en"",""de"")"),"Sein Kanu ist rot gefärbt.")</f>
        <v>Sein Kanu ist rot gefärbt.</v>
      </c>
    </row>
    <row r="5835">
      <c r="A5835" s="4" t="s">
        <v>7335</v>
      </c>
      <c r="B5835" s="4" t="s">
        <v>7339</v>
      </c>
      <c r="C5835" s="5" t="str">
        <f>IFERROR(__xludf.DUMMYFUNCTION("GOOGLETRANSLATE(B5835,""en"",""de"")"),"Er gibt schließlich den Punkt weiter.")</f>
        <v>Er gibt schließlich den Punkt weiter.</v>
      </c>
    </row>
    <row r="5836">
      <c r="A5836" s="4" t="s">
        <v>7340</v>
      </c>
      <c r="B5836" s="4" t="s">
        <v>7341</v>
      </c>
      <c r="C5836" s="5" t="str">
        <f>IFERROR(__xludf.DUMMYFUNCTION("GOOGLETRANSLATE(B5836,""en"",""de"")"),"Eine Frau benutzt einen Rollstift, um den Teig auf die Theke auszurollen.")</f>
        <v>Eine Frau benutzt einen Rollstift, um den Teig auf die Theke auszurollen.</v>
      </c>
    </row>
    <row r="5837">
      <c r="A5837" s="4" t="s">
        <v>7340</v>
      </c>
      <c r="B5837" s="4" t="s">
        <v>7342</v>
      </c>
      <c r="C5837" s="5" t="str">
        <f>IFERROR(__xludf.DUMMYFUNCTION("GOOGLETRANSLATE(B5837,""en"",""de"")"),"Eine andere Frau nimmt etwas von einem Backblech ab.")</f>
        <v>Eine andere Frau nimmt etwas von einem Backblech ab.</v>
      </c>
    </row>
    <row r="5838">
      <c r="A5838" s="4" t="s">
        <v>7343</v>
      </c>
      <c r="B5838" s="4" t="s">
        <v>7344</v>
      </c>
      <c r="C5838" s="5" t="str">
        <f>IFERROR(__xludf.DUMMYFUNCTION("GOOGLETRANSLATE(B5838,""en"",""de"")"),"Frauen stehen in einem Tisch und ringen in einem Wettbewerb mit Armringen.")</f>
        <v>Frauen stehen in einem Tisch und ringen in einem Wettbewerb mit Armringen.</v>
      </c>
    </row>
    <row r="5839">
      <c r="A5839" s="4" t="s">
        <v>7343</v>
      </c>
      <c r="B5839" s="4" t="s">
        <v>7345</v>
      </c>
      <c r="C5839" s="5" t="str">
        <f>IFERROR(__xludf.DUMMYFUNCTION("GOOGLETRANSLATE(B5839,""en"",""de"")"),"Zwei Schiedsrichter an der Seite der Tische und beobachten Sie sich gegenseitig.")</f>
        <v>Zwei Schiedsrichter an der Seite der Tische und beobachten Sie sich gegenseitig.</v>
      </c>
    </row>
    <row r="5840">
      <c r="A5840" s="4" t="s">
        <v>7343</v>
      </c>
      <c r="B5840" s="4" t="s">
        <v>7346</v>
      </c>
      <c r="C5840" s="5" t="str">
        <f>IFERROR(__xludf.DUMMYFUNCTION("GOOGLETRANSLATE(B5840,""en"",""de"")"),"Frauen ringen wieder im Tisch und am Ende hoch.")</f>
        <v>Frauen ringen wieder im Tisch und am Ende hoch.</v>
      </c>
    </row>
    <row r="5841">
      <c r="A5841" s="4" t="s">
        <v>7347</v>
      </c>
      <c r="B5841" s="4" t="s">
        <v>7348</v>
      </c>
      <c r="C5841" s="5" t="str">
        <f>IFERROR(__xludf.DUMMYFUNCTION("GOOGLETRANSLATE(B5841,""en"",""de"")"),"Die Leute spielen Krocket auf einem Grasfeld.")</f>
        <v>Die Leute spielen Krocket auf einem Grasfeld.</v>
      </c>
    </row>
    <row r="5842">
      <c r="A5842" s="4" t="s">
        <v>7347</v>
      </c>
      <c r="B5842" s="4" t="s">
        <v>7349</v>
      </c>
      <c r="C5842" s="5" t="str">
        <f>IFERROR(__xludf.DUMMYFUNCTION("GOOGLETRANSLATE(B5842,""en"",""de"")"),"Eine Karte der Welt wird gezeigt.")</f>
        <v>Eine Karte der Welt wird gezeigt.</v>
      </c>
    </row>
    <row r="5843">
      <c r="A5843" s="4" t="s">
        <v>7347</v>
      </c>
      <c r="B5843" s="4" t="s">
        <v>7350</v>
      </c>
      <c r="C5843" s="5" t="str">
        <f>IFERROR(__xludf.DUMMYFUNCTION("GOOGLETRANSLATE(B5843,""en"",""de"")"),"Trophäen werden auf dem Bildschirm angezeigt.")</f>
        <v>Trophäen werden auf dem Bildschirm angezeigt.</v>
      </c>
    </row>
    <row r="5844">
      <c r="A5844" s="4" t="s">
        <v>7351</v>
      </c>
      <c r="B5844" s="4" t="s">
        <v>7352</v>
      </c>
      <c r="C5844" s="5" t="str">
        <f>IFERROR(__xludf.DUMMYFUNCTION("GOOGLETRANSLATE(B5844,""en"",""de"")"),"Ein Mann trägt einen Hut und kniet auf einer blauen Matte.")</f>
        <v>Ein Mann trägt einen Hut und kniet auf einer blauen Matte.</v>
      </c>
    </row>
    <row r="5845">
      <c r="A5845" s="4" t="s">
        <v>7351</v>
      </c>
      <c r="B5845" s="4" t="s">
        <v>7353</v>
      </c>
      <c r="C5845" s="5" t="str">
        <f>IFERROR(__xludf.DUMMYFUNCTION("GOOGLETRANSLATE(B5845,""en"",""de"")"),"Er zieht an einem Seil auf einem Trainingsgerät.")</f>
        <v>Er zieht an einem Seil auf einem Trainingsgerät.</v>
      </c>
    </row>
    <row r="5846">
      <c r="A5846" s="4" t="s">
        <v>7354</v>
      </c>
      <c r="B5846" s="4" t="s">
        <v>7355</v>
      </c>
      <c r="C5846" s="5" t="str">
        <f>IFERROR(__xludf.DUMMYFUNCTION("GOOGLETRANSLATE(B5846,""en"",""de"")"),"Eine Frau in Pink Top hält einen Reifen und spricht mit der Kamera.")</f>
        <v>Eine Frau in Pink Top hält einen Reifen und spricht mit der Kamera.</v>
      </c>
    </row>
    <row r="5847">
      <c r="A5847" s="4" t="s">
        <v>7354</v>
      </c>
      <c r="B5847" s="4" t="s">
        <v>7356</v>
      </c>
      <c r="C5847" s="5" t="str">
        <f>IFERROR(__xludf.DUMMYFUNCTION("GOOGLETRANSLATE(B5847,""en"",""de"")"),"Die Frau legte den Reifen in ihre Taille und fängt an zu reifen.")</f>
        <v>Die Frau legte den Reifen in ihre Taille und fängt an zu reifen.</v>
      </c>
    </row>
    <row r="5848">
      <c r="A5848" s="4" t="s">
        <v>7354</v>
      </c>
      <c r="B5848" s="4" t="s">
        <v>7357</v>
      </c>
      <c r="C5848" s="5" t="str">
        <f>IFERROR(__xludf.DUMMYFUNCTION("GOOGLETRANSLATE(B5848,""en"",""de"")"),"Die Frau machte eine Pause und drehte sich um und begann ihre Hüften zu schütteln. Sie verwandelte ihre Reifen in kleinere, aber die kleine fällt weiter und wechselte dann die Reifen in größer und sie begann ihre Hüften mit den Reifen zu schütteln.")</f>
        <v>Die Frau machte eine Pause und drehte sich um und begann ihre Hüften zu schütteln. Sie verwandelte ihre Reifen in kleinere, aber die kleine fällt weiter und wechselte dann die Reifen in größer und sie begann ihre Hüften mit den Reifen zu schütteln.</v>
      </c>
    </row>
    <row r="5849">
      <c r="A5849" s="4" t="s">
        <v>7358</v>
      </c>
      <c r="B5849" s="4" t="s">
        <v>7359</v>
      </c>
      <c r="C5849" s="5" t="str">
        <f>IFERROR(__xludf.DUMMYFUNCTION("GOOGLETRANSLATE(B5849,""en"",""de"")"),"Eine Gruppe von Männern befindet sich in einem dunklen Club.")</f>
        <v>Eine Gruppe von Männern befindet sich in einem dunklen Club.</v>
      </c>
    </row>
    <row r="5850">
      <c r="A5850" s="4" t="s">
        <v>7358</v>
      </c>
      <c r="B5850" s="4" t="s">
        <v>7360</v>
      </c>
      <c r="C5850" s="5" t="str">
        <f>IFERROR(__xludf.DUMMYFUNCTION("GOOGLETRANSLATE(B5850,""en"",""de"")"),"Ein Mann beginnt, Darts auf etwas außerhalb des Bildschirms zu werfen.")</f>
        <v>Ein Mann beginnt, Darts auf etwas außerhalb des Bildschirms zu werfen.</v>
      </c>
    </row>
    <row r="5851">
      <c r="A5851" s="4" t="s">
        <v>7358</v>
      </c>
      <c r="B5851" s="4" t="s">
        <v>7361</v>
      </c>
      <c r="C5851" s="5" t="str">
        <f>IFERROR(__xludf.DUMMYFUNCTION("GOOGLETRANSLATE(B5851,""en"",""de"")"),"Er wiederholt dies oft, bevor er aufgibt, die Achseln und die Kamera in Richtung des Dart -Boards dreht.")</f>
        <v>Er wiederholt dies oft, bevor er aufgibt, die Achseln und die Kamera in Richtung des Dart -Boards dreht.</v>
      </c>
    </row>
    <row r="5852">
      <c r="A5852" s="4" t="s">
        <v>7358</v>
      </c>
      <c r="B5852" s="4" t="s">
        <v>7362</v>
      </c>
      <c r="C5852" s="5" t="str">
        <f>IFERROR(__xludf.DUMMYFUNCTION("GOOGLETRANSLATE(B5852,""en"",""de"")"),"Wir sehen, dass vier der Darts genau den gleichen Punkt erreicht haben.")</f>
        <v>Wir sehen, dass vier der Darts genau den gleichen Punkt erreicht haben.</v>
      </c>
    </row>
    <row r="5853">
      <c r="A5853" s="4" t="s">
        <v>7363</v>
      </c>
      <c r="B5853" s="4" t="s">
        <v>7364</v>
      </c>
      <c r="C5853" s="5" t="str">
        <f>IFERROR(__xludf.DUMMYFUNCTION("GOOGLETRANSLATE(B5853,""en"",""de"")"),"Eine kleine Gruppe von Menschen schwimmt um einen Pool und führt in mehrere Schüsse eines Schwimmers, der einen Ball in ein Netz wirft.")</f>
        <v>Eine kleine Gruppe von Menschen schwimmt um einen Pool und führt in mehrere Schüsse eines Schwimmers, der einen Ball in ein Netz wirft.</v>
      </c>
    </row>
    <row r="5854">
      <c r="A5854" s="4" t="s">
        <v>7363</v>
      </c>
      <c r="B5854" s="4" t="s">
        <v>7365</v>
      </c>
      <c r="C5854" s="5" t="str">
        <f>IFERROR(__xludf.DUMMYFUNCTION("GOOGLETRANSLATE(B5854,""en"",""de"")"),"Der Torwart blockiert ein paar Schüsse und wechselt dann mit einem anderen Teamkollegen, während das Publikum jubelt.")</f>
        <v>Der Torwart blockiert ein paar Schüsse und wechselt dann mit einem anderen Teamkollegen, während das Publikum jubelt.</v>
      </c>
    </row>
    <row r="5855">
      <c r="A5855" s="4" t="s">
        <v>7363</v>
      </c>
      <c r="B5855" s="4" t="s">
        <v>7366</v>
      </c>
      <c r="C5855" s="5" t="str">
        <f>IFERROR(__xludf.DUMMYFUNCTION("GOOGLETRANSLATE(B5855,""en"",""de"")"),"Die Leute wechseln kontinuierlich aus und führt dazu, dass ein Team zusammen im Wasser gewinnt und feiert.")</f>
        <v>Die Leute wechseln kontinuierlich aus und führt dazu, dass ein Team zusammen im Wasser gewinnt und feiert.</v>
      </c>
    </row>
    <row r="5856">
      <c r="A5856" s="4" t="s">
        <v>7367</v>
      </c>
      <c r="B5856" s="4" t="s">
        <v>7368</v>
      </c>
      <c r="C5856" s="5" t="str">
        <f>IFERROR(__xludf.DUMMYFUNCTION("GOOGLETRANSLATE(B5856,""en"",""de"")"),"Mehrere Männer werden an verschiedenen Rodeos -Reitpferden gezeigt und fangen das an der Schnur angeschlossene Kalb ein.")</f>
        <v>Mehrere Männer werden an verschiedenen Rodeos -Reitpferden gezeigt und fangen das an der Schnur angeschlossene Kalb ein.</v>
      </c>
    </row>
    <row r="5857">
      <c r="A5857" s="4" t="s">
        <v>7367</v>
      </c>
      <c r="B5857" s="4" t="s">
        <v>7369</v>
      </c>
      <c r="C5857" s="5" t="str">
        <f>IFERROR(__xludf.DUMMYFUNCTION("GOOGLETRANSLATE(B5857,""en"",""de"")"),"Wenn mehr Standorte gezeigt werden, werden mehr Tiere erfasst und es werden mehr Menschen gezeigt, wie sie die Aktionen beobachten.")</f>
        <v>Wenn mehr Standorte gezeigt werden, werden mehr Tiere erfasst und es werden mehr Menschen gezeigt, wie sie die Aktionen beobachten.</v>
      </c>
    </row>
    <row r="5858">
      <c r="A5858" s="4" t="s">
        <v>7370</v>
      </c>
      <c r="B5858" s="4" t="s">
        <v>7371</v>
      </c>
      <c r="C5858" s="5" t="str">
        <f>IFERROR(__xludf.DUMMYFUNCTION("GOOGLETRANSLATE(B5858,""en"",""de"")"),"Eine junge Dame macht Gesichter in der Kamera.")</f>
        <v>Eine junge Dame macht Gesichter in der Kamera.</v>
      </c>
    </row>
    <row r="5859">
      <c r="A5859" s="4" t="s">
        <v>7370</v>
      </c>
      <c r="B5859" s="4" t="s">
        <v>7372</v>
      </c>
      <c r="C5859" s="5" t="str">
        <f>IFERROR(__xludf.DUMMYFUNCTION("GOOGLETRANSLATE(B5859,""en"",""de"")"),"Sie hält eine Schachtel mit Barcodes und liest ""Sterling Grey"".")</f>
        <v>Sie hält eine Schachtel mit Barcodes und liest "Sterling Grey".</v>
      </c>
    </row>
    <row r="5860">
      <c r="A5860" s="4" t="s">
        <v>7370</v>
      </c>
      <c r="B5860" s="4" t="s">
        <v>7373</v>
      </c>
      <c r="C5860" s="5" t="str">
        <f>IFERROR(__xludf.DUMMYFUNCTION("GOOGLETRANSLATE(B5860,""en"",""de"")"),"Sie zeigt eine Flasche Reneuer- und Augenkontakt -Objektivfälle.")</f>
        <v>Sie zeigt eine Flasche Reneuer- und Augenkontakt -Objektivfälle.</v>
      </c>
    </row>
    <row r="5861">
      <c r="A5861" s="4" t="s">
        <v>7370</v>
      </c>
      <c r="B5861" s="4" t="s">
        <v>7374</v>
      </c>
      <c r="C5861" s="5" t="str">
        <f>IFERROR(__xludf.DUMMYFUNCTION("GOOGLETRANSLATE(B5861,""en"",""de"")"),"Sie wendet sowohl die Kontaktlinsen als auch die Schreie an.")</f>
        <v>Sie wendet sowohl die Kontaktlinsen als auch die Schreie an.</v>
      </c>
    </row>
    <row r="5862">
      <c r="A5862" s="4" t="s">
        <v>7375</v>
      </c>
      <c r="B5862" s="4" t="s">
        <v>7376</v>
      </c>
      <c r="C5862" s="5" t="str">
        <f>IFERROR(__xludf.DUMMYFUNCTION("GOOGLETRANSLATE(B5862,""en"",""de"")"),"Der Mann öffnet eine Schachtel mit einer Schere und nimmt ein unbewaffnetes Fahrrad heraus.")</f>
        <v>Der Mann öffnet eine Schachtel mit einer Schere und nimmt ein unbewaffnetes Fahrrad heraus.</v>
      </c>
    </row>
    <row r="5863">
      <c r="A5863" s="4" t="s">
        <v>7375</v>
      </c>
      <c r="B5863" s="4" t="s">
        <v>7377</v>
      </c>
      <c r="C5863" s="5" t="str">
        <f>IFERROR(__xludf.DUMMYFUNCTION("GOOGLETRANSLATE(B5863,""en"",""de"")"),"Der Mann bewaffnet das Fahrrad in einem Raum mit Holzboden.")</f>
        <v>Der Mann bewaffnet das Fahrrad in einem Raum mit Holzboden.</v>
      </c>
    </row>
    <row r="5864">
      <c r="A5864" s="4" t="s">
        <v>7378</v>
      </c>
      <c r="B5864" s="4" t="s">
        <v>7379</v>
      </c>
      <c r="C5864" s="5" t="str">
        <f>IFERROR(__xludf.DUMMYFUNCTION("GOOGLETRANSLATE(B5864,""en"",""de"")"),"Die Person hält eine Klinge, um sie zu schärfen.")</f>
        <v>Die Person hält eine Klinge, um sie zu schärfen.</v>
      </c>
    </row>
    <row r="5865">
      <c r="A5865" s="4" t="s">
        <v>7378</v>
      </c>
      <c r="B5865" s="4" t="s">
        <v>7380</v>
      </c>
      <c r="C5865" s="5" t="str">
        <f>IFERROR(__xludf.DUMMYFUNCTION("GOOGLETRANSLATE(B5865,""en"",""de"")"),"Die Person nimmt den Gürtel von der Maschine.")</f>
        <v>Die Person nimmt den Gürtel von der Maschine.</v>
      </c>
    </row>
    <row r="5866">
      <c r="A5866" s="4" t="s">
        <v>7378</v>
      </c>
      <c r="B5866" s="4" t="s">
        <v>7381</v>
      </c>
      <c r="C5866" s="5" t="str">
        <f>IFERROR(__xludf.DUMMYFUNCTION("GOOGLETRANSLATE(B5866,""en"",""de"")"),"Die Person legt einen neuen Gürtel auf die Maschine.")</f>
        <v>Die Person legt einen neuen Gürtel auf die Maschine.</v>
      </c>
    </row>
    <row r="5867">
      <c r="A5867" s="4" t="s">
        <v>7378</v>
      </c>
      <c r="B5867" s="4" t="s">
        <v>7382</v>
      </c>
      <c r="C5867" s="5" t="str">
        <f>IFERROR(__xludf.DUMMYFUNCTION("GOOGLETRANSLATE(B5867,""en"",""de"")"),"Die Person schärft die Klinge am zweiten Gürtel.")</f>
        <v>Die Person schärft die Klinge am zweiten Gürtel.</v>
      </c>
    </row>
    <row r="5868">
      <c r="A5868" s="4" t="s">
        <v>7378</v>
      </c>
      <c r="B5868" s="4" t="s">
        <v>7383</v>
      </c>
      <c r="C5868" s="5" t="str">
        <f>IFERROR(__xludf.DUMMYFUNCTION("GOOGLETRANSLATE(B5868,""en"",""de"")"),"Die Person nimmt den zweiten Gürtel aus.")</f>
        <v>Die Person nimmt den zweiten Gürtel aus.</v>
      </c>
    </row>
    <row r="5869">
      <c r="A5869" s="4" t="s">
        <v>7378</v>
      </c>
      <c r="B5869" s="4" t="s">
        <v>7384</v>
      </c>
      <c r="C5869" s="5" t="str">
        <f>IFERROR(__xludf.DUMMYFUNCTION("GOOGLETRANSLATE(B5869,""en"",""de"")"),"Die Person legt einen dritten Gürtel an.")</f>
        <v>Die Person legt einen dritten Gürtel an.</v>
      </c>
    </row>
    <row r="5870">
      <c r="A5870" s="4" t="s">
        <v>7378</v>
      </c>
      <c r="B5870" s="4" t="s">
        <v>7385</v>
      </c>
      <c r="C5870" s="5" t="str">
        <f>IFERROR(__xludf.DUMMYFUNCTION("GOOGLETRANSLATE(B5870,""en"",""de"")"),"Die Person schärft die Klinge am dritten Gürtel.")</f>
        <v>Die Person schärft die Klinge am dritten Gürtel.</v>
      </c>
    </row>
    <row r="5871">
      <c r="A5871" s="4" t="s">
        <v>7378</v>
      </c>
      <c r="B5871" s="4" t="s">
        <v>7386</v>
      </c>
      <c r="C5871" s="5" t="str">
        <f>IFERROR(__xludf.DUMMYFUNCTION("GOOGLETRANSLATE(B5871,""en"",""de"")"),"Die Person demonstriert die Kante der Klinge.")</f>
        <v>Die Person demonstriert die Kante der Klinge.</v>
      </c>
    </row>
    <row r="5872">
      <c r="A5872" s="4" t="s">
        <v>7387</v>
      </c>
      <c r="B5872" s="4" t="s">
        <v>7388</v>
      </c>
      <c r="C5872" s="5" t="str">
        <f>IFERROR(__xludf.DUMMYFUNCTION("GOOGLETRANSLATE(B5872,""en"",""de"")"),"Ein Auto fährt herum und führt in einen Mann, der Luft im Reifen pumpt.")</f>
        <v>Ein Auto fährt herum und führt in einen Mann, der Luft im Reifen pumpt.</v>
      </c>
    </row>
    <row r="5873">
      <c r="A5873" s="4" t="s">
        <v>7387</v>
      </c>
      <c r="B5873" s="4" t="s">
        <v>7389</v>
      </c>
      <c r="C5873" s="5" t="str">
        <f>IFERROR(__xludf.DUMMYFUNCTION("GOOGLETRANSLATE(B5873,""en"",""de"")"),"Der Mann legt einen Draht über den Reifen und dreht ihn weiter herum.")</f>
        <v>Der Mann legt einen Draht über den Reifen und dreht ihn weiter herum.</v>
      </c>
    </row>
    <row r="5874">
      <c r="A5874" s="4" t="s">
        <v>7387</v>
      </c>
      <c r="B5874" s="4" t="s">
        <v>7390</v>
      </c>
      <c r="C5874" s="5" t="str">
        <f>IFERROR(__xludf.DUMMYFUNCTION("GOOGLETRANSLATE(B5874,""en"",""de"")"),"Er pumpt mehr Haare in den Reifen und nimmt den Jack aus, der ihn wegfahre.")</f>
        <v>Er pumpt mehr Haare in den Reifen und nimmt den Jack aus, der ihn wegfahre.</v>
      </c>
    </row>
    <row r="5875">
      <c r="A5875" s="4" t="s">
        <v>7391</v>
      </c>
      <c r="B5875" s="4" t="s">
        <v>7392</v>
      </c>
      <c r="C5875" s="5" t="str">
        <f>IFERROR(__xludf.DUMMYFUNCTION("GOOGLETRANSLATE(B5875,""en"",""de"")"),"Eine Frau putzt ihre Zähne in einem Badezimmer.")</f>
        <v>Eine Frau putzt ihre Zähne in einem Badezimmer.</v>
      </c>
    </row>
    <row r="5876">
      <c r="A5876" s="4" t="s">
        <v>7391</v>
      </c>
      <c r="B5876" s="4" t="s">
        <v>7393</v>
      </c>
      <c r="C5876" s="5" t="str">
        <f>IFERROR(__xludf.DUMMYFUNCTION("GOOGLETRANSLATE(B5876,""en"",""de"")"),"Jemand filmt sie hinter sich.")</f>
        <v>Jemand filmt sie hinter sich.</v>
      </c>
    </row>
    <row r="5877">
      <c r="A5877" s="4" t="s">
        <v>7391</v>
      </c>
      <c r="B5877" s="4" t="s">
        <v>7394</v>
      </c>
      <c r="C5877" s="5" t="str">
        <f>IFERROR(__xludf.DUMMYFUNCTION("GOOGLETRANSLATE(B5877,""en"",""de"")"),"Sie spuckt die Zahnpasta in die Spüle vor ihr aus.")</f>
        <v>Sie spuckt die Zahnpasta in die Spüle vor ihr aus.</v>
      </c>
    </row>
    <row r="5878">
      <c r="A5878" s="4" t="s">
        <v>7395</v>
      </c>
      <c r="B5878" s="4" t="s">
        <v>7396</v>
      </c>
      <c r="C5878" s="5" t="str">
        <f>IFERROR(__xludf.DUMMYFUNCTION("GOOGLETRANSLATE(B5878,""en"",""de"")"),"Eine kleine Gruppe von Männern steht in einem Raum, in dem Tennisschläger mit Tennisschlägern stehen.")</f>
        <v>Eine kleine Gruppe von Männern steht in einem Raum, in dem Tennisschläger mit Tennisschlägern stehen.</v>
      </c>
    </row>
    <row r="5879">
      <c r="A5879" s="4" t="s">
        <v>7395</v>
      </c>
      <c r="B5879" s="4" t="s">
        <v>7397</v>
      </c>
      <c r="C5879" s="5" t="str">
        <f>IFERROR(__xludf.DUMMYFUNCTION("GOOGLETRANSLATE(B5879,""en"",""de"")"),"Die Männer spielen dann miteinander Tennis, während sie den Ball herumschlagen.")</f>
        <v>Die Männer spielen dann miteinander Tennis, während sie den Ball herumschlagen.</v>
      </c>
    </row>
    <row r="5880">
      <c r="A5880" s="4" t="s">
        <v>7395</v>
      </c>
      <c r="B5880" s="4" t="s">
        <v>7398</v>
      </c>
      <c r="C5880" s="5" t="str">
        <f>IFERROR(__xludf.DUMMYFUNCTION("GOOGLETRANSLATE(B5880,""en"",""de"")"),"Die Männer schlagen weiterhin den Ball durch den Raum und endet mit mehreren Ausgehen.")</f>
        <v>Die Männer schlagen weiterhin den Ball durch den Raum und endet mit mehreren Ausgehen.</v>
      </c>
    </row>
    <row r="5881">
      <c r="A5881" s="4" t="s">
        <v>7399</v>
      </c>
      <c r="B5881" s="4" t="s">
        <v>7400</v>
      </c>
      <c r="C5881" s="5" t="str">
        <f>IFERROR(__xludf.DUMMYFUNCTION("GOOGLETRANSLATE(B5881,""en"",""de"")"),"Ein Mann in einem weißen Hemd hackt ein Stück Holz mit einer Axt.")</f>
        <v>Ein Mann in einem weißen Hemd hackt ein Stück Holz mit einer Axt.</v>
      </c>
    </row>
    <row r="5882">
      <c r="A5882" s="4" t="s">
        <v>7399</v>
      </c>
      <c r="B5882" s="4" t="s">
        <v>7401</v>
      </c>
      <c r="C5882" s="5" t="str">
        <f>IFERROR(__xludf.DUMMYFUNCTION("GOOGLETRANSLATE(B5882,""en"",""de"")"),"Er schwingt in das Holz und verfehlt und schlägt den Boden.")</f>
        <v>Er schwingt in das Holz und verfehlt und schlägt den Boden.</v>
      </c>
    </row>
    <row r="5883">
      <c r="A5883" s="4" t="s">
        <v>7399</v>
      </c>
      <c r="B5883" s="4" t="s">
        <v>7402</v>
      </c>
      <c r="C5883" s="5" t="str">
        <f>IFERROR(__xludf.DUMMYFUNCTION("GOOGLETRANSLATE(B5883,""en"",""de"")"),"Ein anderer Mann, der einen Topf trägt, geht hinter ihm auf.")</f>
        <v>Ein anderer Mann, der einen Topf trägt, geht hinter ihm auf.</v>
      </c>
    </row>
    <row r="5884">
      <c r="A5884" s="4" t="s">
        <v>7403</v>
      </c>
      <c r="B5884" s="4" t="s">
        <v>7404</v>
      </c>
      <c r="C5884" s="5" t="str">
        <f>IFERROR(__xludf.DUMMYFUNCTION("GOOGLETRANSLATE(B5884,""en"",""de"")"),"Wir sehen ein junges Mädchen -Turner mit der Kamera.")</f>
        <v>Wir sehen ein junges Mädchen -Turner mit der Kamera.</v>
      </c>
    </row>
    <row r="5885">
      <c r="A5885" s="4" t="s">
        <v>7403</v>
      </c>
      <c r="B5885" s="4" t="s">
        <v>991</v>
      </c>
      <c r="C5885" s="5" t="str">
        <f>IFERROR(__xludf.DUMMYFUNCTION("GOOGLETRANSLATE(B5885,""en"",""de"")"),"Wir sehen dann den Titelbildschirm.")</f>
        <v>Wir sehen dann den Titelbildschirm.</v>
      </c>
    </row>
    <row r="5886">
      <c r="A5886" s="4" t="s">
        <v>7403</v>
      </c>
      <c r="B5886" s="4" t="s">
        <v>7405</v>
      </c>
      <c r="C5886" s="5" t="str">
        <f>IFERROR(__xludf.DUMMYFUNCTION("GOOGLETRANSLATE(B5886,""en"",""de"")"),"Wir sehen, wie das Mädchen Flips ausführt.")</f>
        <v>Wir sehen, wie das Mädchen Flips ausführt.</v>
      </c>
    </row>
    <row r="5887">
      <c r="A5887" s="4" t="s">
        <v>7403</v>
      </c>
      <c r="B5887" s="4" t="s">
        <v>7406</v>
      </c>
      <c r="C5887" s="5" t="str">
        <f>IFERROR(__xludf.DUMMYFUNCTION("GOOGLETRANSLATE(B5887,""en"",""de"")"),"Das Mädchen dreht sich auf ein Trampolin.")</f>
        <v>Das Mädchen dreht sich auf ein Trampolin.</v>
      </c>
    </row>
    <row r="5888">
      <c r="A5888" s="4" t="s">
        <v>7403</v>
      </c>
      <c r="B5888" s="4" t="s">
        <v>7407</v>
      </c>
      <c r="C5888" s="5" t="str">
        <f>IFERROR(__xludf.DUMMYFUNCTION("GOOGLETRANSLATE(B5888,""en"",""de"")"),"Sie springt und spaltet die Luft.")</f>
        <v>Sie springt und spaltet die Luft.</v>
      </c>
    </row>
    <row r="5889">
      <c r="A5889" s="4" t="s">
        <v>7403</v>
      </c>
      <c r="B5889" s="4" t="s">
        <v>7408</v>
      </c>
      <c r="C5889" s="5" t="str">
        <f>IFERROR(__xludf.DUMMYFUNCTION("GOOGLETRANSLATE(B5889,""en"",""de"")"),"Wir sehen die Blooper, wo sie fällt und einen Titelbildschirm.")</f>
        <v>Wir sehen die Blooper, wo sie fällt und einen Titelbildschirm.</v>
      </c>
    </row>
    <row r="5890">
      <c r="A5890" s="4" t="s">
        <v>7403</v>
      </c>
      <c r="B5890" s="4" t="s">
        <v>7409</v>
      </c>
      <c r="C5890" s="5" t="str">
        <f>IFERROR(__xludf.DUMMYFUNCTION("GOOGLETRANSLATE(B5890,""en"",""de"")"),"Wir sehen dann die Endbildschirme.")</f>
        <v>Wir sehen dann die Endbildschirme.</v>
      </c>
    </row>
    <row r="5891">
      <c r="A5891" s="4" t="s">
        <v>7410</v>
      </c>
      <c r="B5891" s="4" t="s">
        <v>7411</v>
      </c>
      <c r="C5891" s="5" t="str">
        <f>IFERROR(__xludf.DUMMYFUNCTION("GOOGLETRANSLATE(B5891,""en"",""de"")"),"Wir sehen einen blauen Öffnungsbildschirm.")</f>
        <v>Wir sehen einen blauen Öffnungsbildschirm.</v>
      </c>
    </row>
    <row r="5892">
      <c r="A5892" s="4" t="s">
        <v>7410</v>
      </c>
      <c r="B5892" s="4" t="s">
        <v>7412</v>
      </c>
      <c r="C5892" s="5" t="str">
        <f>IFERROR(__xludf.DUMMYFUNCTION("GOOGLETRANSLATE(B5892,""en"",""de"")"),"Wir sehen, wie ein Mann Capoeira mit blaue Titelbildschirme geschnitten hat.")</f>
        <v>Wir sehen, wie ein Mann Capoeira mit blaue Titelbildschirme geschnitten hat.</v>
      </c>
    </row>
    <row r="5893">
      <c r="A5893" s="4" t="s">
        <v>7410</v>
      </c>
      <c r="B5893" s="4" t="s">
        <v>7413</v>
      </c>
      <c r="C5893" s="5" t="str">
        <f>IFERROR(__xludf.DUMMYFUNCTION("GOOGLETRANSLATE(B5893,""en"",""de"")"),"Der Mann macht einen Spin -Kick.")</f>
        <v>Der Mann macht einen Spin -Kick.</v>
      </c>
    </row>
    <row r="5894">
      <c r="A5894" s="4" t="s">
        <v>7410</v>
      </c>
      <c r="B5894" s="4" t="s">
        <v>7414</v>
      </c>
      <c r="C5894" s="5" t="str">
        <f>IFERROR(__xludf.DUMMYFUNCTION("GOOGLETRANSLATE(B5894,""en"",""de"")"),"Der Mann macht eine Spin und Ente.")</f>
        <v>Der Mann macht eine Spin und Ente.</v>
      </c>
    </row>
    <row r="5895">
      <c r="A5895" s="4" t="s">
        <v>7410</v>
      </c>
      <c r="B5895" s="4" t="s">
        <v>7415</v>
      </c>
      <c r="C5895" s="5" t="str">
        <f>IFERROR(__xludf.DUMMYFUNCTION("GOOGLETRANSLATE(B5895,""en"",""de"")"),"Der Mann dreht sich auf den Boden.")</f>
        <v>Der Mann dreht sich auf den Boden.</v>
      </c>
    </row>
    <row r="5896">
      <c r="A5896" s="4" t="s">
        <v>7416</v>
      </c>
      <c r="B5896" s="4" t="s">
        <v>7417</v>
      </c>
      <c r="C5896" s="5" t="str">
        <f>IFERROR(__xludf.DUMMYFUNCTION("GOOGLETRANSLATE(B5896,""en"",""de"")"),"Ein kleines Kleinkind befindet sich im Badezimmer und putzt die Zähne.")</f>
        <v>Ein kleines Kleinkind befindet sich im Badezimmer und putzt die Zähne.</v>
      </c>
    </row>
    <row r="5897">
      <c r="A5897" s="4" t="s">
        <v>7416</v>
      </c>
      <c r="B5897" s="4" t="s">
        <v>7418</v>
      </c>
      <c r="C5897" s="5" t="str">
        <f>IFERROR(__xludf.DUMMYFUNCTION("GOOGLETRANSLATE(B5897,""en"",""de"")"),"Als er verzweifelt bürstet, kommt eine Frau ihm, um ihm zu helfen, während er auf verschiedene Dinge auf der Theke zeigt.")</f>
        <v>Als er verzweifelt bürstet, kommt eine Frau ihm, um ihm zu helfen, während er auf verschiedene Dinge auf der Theke zeigt.</v>
      </c>
    </row>
    <row r="5898">
      <c r="A5898" s="4" t="s">
        <v>7416</v>
      </c>
      <c r="B5898" s="4" t="s">
        <v>7419</v>
      </c>
      <c r="C5898" s="5" t="str">
        <f>IFERROR(__xludf.DUMMYFUNCTION("GOOGLETRANSLATE(B5898,""en"",""de"")"),"Der junge Junge putzt weiter und dann wechselt sie am Ende Zahnbürsten.")</f>
        <v>Der junge Junge putzt weiter und dann wechselt sie am Ende Zahnbürsten.</v>
      </c>
    </row>
    <row r="5899">
      <c r="A5899" s="4" t="s">
        <v>7416</v>
      </c>
      <c r="B5899" s="4" t="s">
        <v>7420</v>
      </c>
      <c r="C5899" s="5" t="str">
        <f>IFERROR(__xludf.DUMMYFUNCTION("GOOGLETRANSLATE(B5899,""en"",""de"")"),"Schließlich legt die Frau Zahnpasta auf die Bürste und der Junge reinigt seine Zähne.")</f>
        <v>Schließlich legt die Frau Zahnpasta auf die Bürste und der Junge reinigt seine Zähne.</v>
      </c>
    </row>
    <row r="5900">
      <c r="A5900" s="4" t="s">
        <v>7416</v>
      </c>
      <c r="B5900" s="4" t="s">
        <v>7421</v>
      </c>
      <c r="C5900" s="5" t="str">
        <f>IFERROR(__xludf.DUMMYFUNCTION("GOOGLETRANSLATE(B5900,""en"",""de"")"),"Sobald er fertig ist, erhält er eine Stange Seife und muss die Hände waschen.")</f>
        <v>Sobald er fertig ist, erhält er eine Stange Seife und muss die Hände waschen.</v>
      </c>
    </row>
    <row r="5901">
      <c r="A5901" s="4" t="s">
        <v>7416</v>
      </c>
      <c r="B5901" s="4" t="s">
        <v>7422</v>
      </c>
      <c r="C5901" s="5" t="str">
        <f>IFERROR(__xludf.DUMMYFUNCTION("GOOGLETRANSLATE(B5901,""en"",""de"")"),"Schließlich ist er fertig und er schnappt sich sein Spielzeug und rennt aus dem Badezimmer.")</f>
        <v>Schließlich ist er fertig und er schnappt sich sein Spielzeug und rennt aus dem Badezimmer.</v>
      </c>
    </row>
    <row r="5902">
      <c r="A5902" s="4" t="s">
        <v>7423</v>
      </c>
      <c r="B5902" s="4" t="s">
        <v>7424</v>
      </c>
      <c r="C5902" s="5" t="str">
        <f>IFERROR(__xludf.DUMMYFUNCTION("GOOGLETRANSLATE(B5902,""en"",""de"")"),"Das Video führt zu mehreren Aufnahmen von Menschen, die auf Skateboards herumfahren und Tricks ausführen.")</f>
        <v>Das Video führt zu mehreren Aufnahmen von Menschen, die auf Skateboards herumfahren und Tricks ausführen.</v>
      </c>
    </row>
    <row r="5903">
      <c r="A5903" s="4" t="s">
        <v>7423</v>
      </c>
      <c r="B5903" s="4" t="s">
        <v>7425</v>
      </c>
      <c r="C5903" s="5" t="str">
        <f>IFERROR(__xludf.DUMMYFUNCTION("GOOGLETRANSLATE(B5903,""en"",""de"")"),"Es werden viel mehr Leute gezeigt und führen zu einem jungen Mann, der mit der Kamera und einem Bild eines T-Shirts spricht.")</f>
        <v>Es werden viel mehr Leute gezeigt und führen zu einem jungen Mann, der mit der Kamera und einem Bild eines T-Shirts spricht.</v>
      </c>
    </row>
    <row r="5904">
      <c r="A5904" s="4" t="s">
        <v>7426</v>
      </c>
      <c r="B5904" s="4" t="s">
        <v>7427</v>
      </c>
      <c r="C5904" s="5" t="str">
        <f>IFERROR(__xludf.DUMMYFUNCTION("GOOGLETRANSLATE(B5904,""en"",""de"")"),"Ein Mann spricht mit der Kamera und führt in ihn, um Fliesen zu schneiden und sie entlang einer Wand zu messen.")</f>
        <v>Ein Mann spricht mit der Kamera und führt in ihn, um Fliesen zu schneiden und sie entlang einer Wand zu messen.</v>
      </c>
    </row>
    <row r="5905">
      <c r="A5905" s="4" t="s">
        <v>7426</v>
      </c>
      <c r="B5905" s="4" t="s">
        <v>7428</v>
      </c>
      <c r="C5905" s="5" t="str">
        <f>IFERROR(__xludf.DUMMYFUNCTION("GOOGLETRANSLATE(B5905,""en"",""de"")"),"Der Mann benutzt eine Säge, um die Wand sowie die Fliese zu schneiden, während sie verschiedene andere Werkzeuge verwendet, um die Seiten umzuschneiden.")</f>
        <v>Der Mann benutzt eine Säge, um die Wand sowie die Fliese zu schneiden, während sie verschiedene andere Werkzeuge verwendet, um die Seiten umzuschneiden.</v>
      </c>
    </row>
    <row r="5906">
      <c r="A5906" s="4" t="s">
        <v>7426</v>
      </c>
      <c r="B5906" s="4" t="s">
        <v>7429</v>
      </c>
      <c r="C5906" s="5" t="str">
        <f>IFERROR(__xludf.DUMMYFUNCTION("GOOGLETRANSLATE(B5906,""en"",""de"")"),"Es werden mehr Fliesen ausgeschnitten, wenn der Mann weiter spricht und sie auf den Boden legt.")</f>
        <v>Es werden mehr Fliesen ausgeschnitten, wenn der Mann weiter spricht und sie auf den Boden legt.</v>
      </c>
    </row>
    <row r="5907">
      <c r="A5907" s="4" t="s">
        <v>7430</v>
      </c>
      <c r="B5907" s="4" t="s">
        <v>7431</v>
      </c>
      <c r="C5907" s="5" t="str">
        <f>IFERROR(__xludf.DUMMYFUNCTION("GOOGLETRANSLATE(B5907,""en"",""de"")"),"Ein Mädchen spricht mit der Kamera, während sie ihre Hände benutzt.")</f>
        <v>Ein Mädchen spricht mit der Kamera, während sie ihre Hände benutzt.</v>
      </c>
    </row>
    <row r="5908">
      <c r="A5908" s="4" t="s">
        <v>7430</v>
      </c>
      <c r="B5908" s="4" t="s">
        <v>7432</v>
      </c>
      <c r="C5908" s="5" t="str">
        <f>IFERROR(__xludf.DUMMYFUNCTION("GOOGLETRANSLATE(B5908,""en"",""de"")"),"Die Kamera verändert eine verschwommene Szene.")</f>
        <v>Die Kamera verändert eine verschwommene Szene.</v>
      </c>
    </row>
    <row r="5909">
      <c r="A5909" s="4" t="s">
        <v>7430</v>
      </c>
      <c r="B5909" s="4" t="s">
        <v>7433</v>
      </c>
      <c r="C5909" s="5" t="str">
        <f>IFERROR(__xludf.DUMMYFUNCTION("GOOGLETRANSLATE(B5909,""en"",""de"")"),"Das Mädchen zeigt nach unten und wischt sich die Haare ab.")</f>
        <v>Das Mädchen zeigt nach unten und wischt sich die Haare ab.</v>
      </c>
    </row>
    <row r="5910">
      <c r="A5910" s="4" t="s">
        <v>7430</v>
      </c>
      <c r="B5910" s="4" t="s">
        <v>7434</v>
      </c>
      <c r="C5910" s="5" t="str">
        <f>IFERROR(__xludf.DUMMYFUNCTION("GOOGLETRANSLATE(B5910,""en"",""de"")"),"Das Mädchen winkt auf dem Bildschirm.")</f>
        <v>Das Mädchen winkt auf dem Bildschirm.</v>
      </c>
    </row>
    <row r="5911">
      <c r="A5911" s="4" t="s">
        <v>7430</v>
      </c>
      <c r="B5911" s="4" t="s">
        <v>7435</v>
      </c>
      <c r="C5911" s="5" t="str">
        <f>IFERROR(__xludf.DUMMYFUNCTION("GOOGLETRANSLATE(B5911,""en"",""de"")"),"Die Szene wechselt das Mädchen, das unter der Dusche steht.")</f>
        <v>Die Szene wechselt das Mädchen, das unter der Dusche steht.</v>
      </c>
    </row>
    <row r="5912">
      <c r="A5912" s="4" t="s">
        <v>7430</v>
      </c>
      <c r="B5912" s="4" t="s">
        <v>7436</v>
      </c>
      <c r="C5912" s="5" t="str">
        <f>IFERROR(__xludf.DUMMYFUNCTION("GOOGLETRANSLATE(B5912,""en"",""de"")"),"Das Mädchen rasiert ihre Beine in der Dusche.")</f>
        <v>Das Mädchen rasiert ihre Beine in der Dusche.</v>
      </c>
    </row>
    <row r="5913">
      <c r="A5913" s="4" t="s">
        <v>7430</v>
      </c>
      <c r="B5913" s="4" t="s">
        <v>7437</v>
      </c>
      <c r="C5913" s="5" t="str">
        <f>IFERROR(__xludf.DUMMYFUNCTION("GOOGLETRANSLATE(B5913,""en"",""de"")"),"Sie zeigt uns ihr Rasierprodukt in der Dose und in ihren Händen.")</f>
        <v>Sie zeigt uns ihr Rasierprodukt in der Dose und in ihren Händen.</v>
      </c>
    </row>
    <row r="5914">
      <c r="A5914" s="4" t="s">
        <v>7430</v>
      </c>
      <c r="B5914" s="4" t="s">
        <v>7438</v>
      </c>
      <c r="C5914" s="5" t="str">
        <f>IFERROR(__xludf.DUMMYFUNCTION("GOOGLETRANSLATE(B5914,""en"",""de"")"),"Das Mädchen zeigt uns ihren Rasiermesser und fängt an, sich zu rasieren.")</f>
        <v>Das Mädchen zeigt uns ihren Rasiermesser und fängt an, sich zu rasieren.</v>
      </c>
    </row>
    <row r="5915">
      <c r="A5915" s="4" t="s">
        <v>7439</v>
      </c>
      <c r="B5915" s="4" t="s">
        <v>7440</v>
      </c>
      <c r="C5915" s="5" t="str">
        <f>IFERROR(__xludf.DUMMYFUNCTION("GOOGLETRANSLATE(B5915,""en"",""de"")"),"Zwei Personen stehen auf einer Reihe von Trommeln auf, die in die Kamera schauen.")</f>
        <v>Zwei Personen stehen auf einer Reihe von Trommeln auf, die in die Kamera schauen.</v>
      </c>
    </row>
    <row r="5916">
      <c r="A5916" s="4" t="s">
        <v>7439</v>
      </c>
      <c r="B5916" s="4" t="s">
        <v>7441</v>
      </c>
      <c r="C5916" s="5" t="str">
        <f>IFERROR(__xludf.DUMMYFUNCTION("GOOGLETRANSLATE(B5916,""en"",""de"")"),"Die beiden beginnen dann Schlagzeug zu spielen, während ein kleines Mädchen in und aus dem Rahmen geht.")</f>
        <v>Die beiden beginnen dann Schlagzeug zu spielen, während ein kleines Mädchen in und aus dem Rahmen geht.</v>
      </c>
    </row>
    <row r="5917">
      <c r="A5917" s="4" t="s">
        <v>7439</v>
      </c>
      <c r="B5917" s="4" t="s">
        <v>7442</v>
      </c>
      <c r="C5917" s="5" t="str">
        <f>IFERROR(__xludf.DUMMYFUNCTION("GOOGLETRANSLATE(B5917,""en"",""de"")"),"Die beiden pausieren für einen Moment und spielen dann weiter, wenn eins angehalten wird und die andere abschließen lässt.")</f>
        <v>Die beiden pausieren für einen Moment und spielen dann weiter, wenn eins angehalten wird und die andere abschließen lässt.</v>
      </c>
    </row>
    <row r="5918">
      <c r="A5918" s="4" t="s">
        <v>7443</v>
      </c>
      <c r="B5918" s="4" t="s">
        <v>7444</v>
      </c>
      <c r="C5918" s="5" t="str">
        <f>IFERROR(__xludf.DUMMYFUNCTION("GOOGLETRANSLATE(B5918,""en"",""de"")"),"Ein Mann in einem Kilt bereitet sich darauf vor, einen großen Hammer in einen Wettbewerb zu werfen.")</f>
        <v>Ein Mann in einem Kilt bereitet sich darauf vor, einen großen Hammer in einen Wettbewerb zu werfen.</v>
      </c>
    </row>
    <row r="5919">
      <c r="A5919" s="4" t="s">
        <v>7443</v>
      </c>
      <c r="B5919" s="4" t="s">
        <v>7445</v>
      </c>
      <c r="C5919" s="5" t="str">
        <f>IFERROR(__xludf.DUMMYFUNCTION("GOOGLETRANSLATE(B5919,""en"",""de"")"),"Nach seinen Vorbereitungen schwingt er den Hammer im Kreis herum und wirft ihn so weit wie möglich.")</f>
        <v>Nach seinen Vorbereitungen schwingt er den Hammer im Kreis herum und wirft ihn so weit wie möglich.</v>
      </c>
    </row>
    <row r="5920">
      <c r="A5920" s="4" t="s">
        <v>7446</v>
      </c>
      <c r="B5920" s="4" t="s">
        <v>7447</v>
      </c>
      <c r="C5920" s="5" t="str">
        <f>IFERROR(__xludf.DUMMYFUNCTION("GOOGLETRANSLATE(B5920,""en"",""de"")"),"Eine kleine Gruppe von Menschen spielt Lacrosse auf einem Feld, das auf dem Feld läuft und sich gegenseitig schiebt.")</f>
        <v>Eine kleine Gruppe von Menschen spielt Lacrosse auf einem Feld, das auf dem Feld läuft und sich gegenseitig schiebt.</v>
      </c>
    </row>
    <row r="5921">
      <c r="A5921" s="4" t="s">
        <v>7446</v>
      </c>
      <c r="B5921" s="4" t="s">
        <v>7448</v>
      </c>
      <c r="C5921" s="5" t="str">
        <f>IFERROR(__xludf.DUMMYFUNCTION("GOOGLETRANSLATE(B5921,""en"",""de"")"),"Es werden mehrere Schüsse von Spielern gezeigt, die sich gegenseitig schlagen, und Spieler, die andere Leute schieben.")</f>
        <v>Es werden mehrere Schüsse von Spielern gezeigt, die sich gegenseitig schlagen, und Spieler, die andere Leute schieben.</v>
      </c>
    </row>
    <row r="5922">
      <c r="A5922" s="4" t="s">
        <v>7446</v>
      </c>
      <c r="B5922" s="4" t="s">
        <v>7449</v>
      </c>
      <c r="C5922" s="5" t="str">
        <f>IFERROR(__xludf.DUMMYFUNCTION("GOOGLETRANSLATE(B5922,""en"",""de"")"),"Ein Team erzielt mehrere Tore und folgt sofort von Teamkollegen.")</f>
        <v>Ein Team erzielt mehrere Tore und folgt sofort von Teamkollegen.</v>
      </c>
    </row>
    <row r="5923">
      <c r="A5923" s="4" t="s">
        <v>7450</v>
      </c>
      <c r="B5923" s="4" t="s">
        <v>7451</v>
      </c>
      <c r="C5923" s="5" t="str">
        <f>IFERROR(__xludf.DUMMYFUNCTION("GOOGLETRANSLATE(B5923,""en"",""de"")"),"Ein Arzt ging in den Raum, dann waschen sie ihre Hände und wischten sich die Hände mit Papiertuch ab.")</f>
        <v>Ein Arzt ging in den Raum, dann waschen sie ihre Hände und wischten sich die Hände mit Papiertuch ab.</v>
      </c>
    </row>
    <row r="5924">
      <c r="A5924" s="4" t="s">
        <v>7450</v>
      </c>
      <c r="B5924" s="4" t="s">
        <v>7452</v>
      </c>
      <c r="C5924" s="5" t="str">
        <f>IFERROR(__xludf.DUMMYFUNCTION("GOOGLETRANSLATE(B5924,""en"",""de"")"),"Ein Arzt wäscht ihre Hand mit Seife und Wasser, während der andere Arzt in weißem Mantel auf ihrem Telefon ist.")</f>
        <v>Ein Arzt wäscht ihre Hand mit Seife und Wasser, während der andere Arzt in weißem Mantel auf ihrem Telefon ist.</v>
      </c>
    </row>
    <row r="5925">
      <c r="A5925" s="4" t="s">
        <v>7450</v>
      </c>
      <c r="B5925" s="4" t="s">
        <v>7453</v>
      </c>
      <c r="C5925" s="5" t="str">
        <f>IFERROR(__xludf.DUMMYFUNCTION("GOOGLETRANSLATE(B5925,""en"",""de"")"),"Ein Mann im gelben Mantel wäscht seine Hände, dann gibt der Mann im blauen Hemd ein Interview.")</f>
        <v>Ein Mann im gelben Mantel wäscht seine Hände, dann gibt der Mann im blauen Hemd ein Interview.</v>
      </c>
    </row>
    <row r="5926">
      <c r="A5926" s="4" t="s">
        <v>7454</v>
      </c>
      <c r="B5926" s="4" t="s">
        <v>7455</v>
      </c>
      <c r="C5926" s="5" t="str">
        <f>IFERROR(__xludf.DUMMYFUNCTION("GOOGLETRANSLATE(B5926,""en"",""de"")"),"Ein Mann spricht, während er Dudelsack in der Hand hält.")</f>
        <v>Ein Mann spricht, während er Dudelsack in der Hand hält.</v>
      </c>
    </row>
    <row r="5927">
      <c r="A5927" s="4" t="s">
        <v>7454</v>
      </c>
      <c r="B5927" s="4" t="s">
        <v>7456</v>
      </c>
      <c r="C5927" s="5" t="str">
        <f>IFERROR(__xludf.DUMMYFUNCTION("GOOGLETRANSLATE(B5927,""en"",""de"")"),"Dann spielt er die Dudelsack.")</f>
        <v>Dann spielt er die Dudelsack.</v>
      </c>
    </row>
    <row r="5928">
      <c r="A5928" s="4" t="s">
        <v>7454</v>
      </c>
      <c r="B5928" s="4" t="s">
        <v>7457</v>
      </c>
      <c r="C5928" s="5" t="str">
        <f>IFERROR(__xludf.DUMMYFUNCTION("GOOGLETRANSLATE(B5928,""en"",""de"")"),"Der Mann bewegt seine Finger, um das Geräusch zu ändern, während er spielt.")</f>
        <v>Der Mann bewegt seine Finger, um das Geräusch zu ändern, während er spielt.</v>
      </c>
    </row>
    <row r="5929">
      <c r="A5929" s="4" t="s">
        <v>7458</v>
      </c>
      <c r="B5929" s="4" t="s">
        <v>7459</v>
      </c>
      <c r="C5929" s="5" t="str">
        <f>IFERROR(__xludf.DUMMYFUNCTION("GOOGLETRANSLATE(B5929,""en"",""de"")"),"Eine Person fährt einen Schneehügel hinunter.")</f>
        <v>Eine Person fährt einen Schneehügel hinunter.</v>
      </c>
    </row>
    <row r="5930">
      <c r="A5930" s="4" t="s">
        <v>7458</v>
      </c>
      <c r="B5930" s="4" t="s">
        <v>7460</v>
      </c>
      <c r="C5930" s="5" t="str">
        <f>IFERROR(__xludf.DUMMYFUNCTION("GOOGLETRANSLATE(B5930,""en"",""de"")"),"Sie gehen von einem Sprung aus und fliegen in die Luft.")</f>
        <v>Sie gehen von einem Sprung aus und fliegen in die Luft.</v>
      </c>
    </row>
    <row r="5931">
      <c r="A5931" s="4" t="s">
        <v>7458</v>
      </c>
      <c r="B5931" s="4" t="s">
        <v>7461</v>
      </c>
      <c r="C5931" s="5" t="str">
        <f>IFERROR(__xludf.DUMMYFUNCTION("GOOGLETRANSLATE(B5931,""en"",""de"")"),"Sie landen wieder auf dem Schnee und fahren weiter den Hügel hinunter.")</f>
        <v>Sie landen wieder auf dem Schnee und fahren weiter den Hügel hinunter.</v>
      </c>
    </row>
    <row r="5932">
      <c r="A5932" s="4" t="s">
        <v>7462</v>
      </c>
      <c r="B5932" s="4" t="s">
        <v>7463</v>
      </c>
      <c r="C5932" s="5" t="str">
        <f>IFERROR(__xludf.DUMMYFUNCTION("GOOGLETRANSLATE(B5932,""en"",""de"")"),"Eine Kamera zoomt auf einem großen LKW, der eine Person zeigt, die von hinten herumgeht.")</f>
        <v>Eine Kamera zoomt auf einem großen LKW, der eine Person zeigt, die von hinten herumgeht.</v>
      </c>
    </row>
    <row r="5933">
      <c r="A5933" s="4" t="s">
        <v>7462</v>
      </c>
      <c r="B5933" s="4" t="s">
        <v>7464</v>
      </c>
      <c r="C5933" s="5" t="str">
        <f>IFERROR(__xludf.DUMMYFUNCTION("GOOGLETRANSLATE(B5933,""en"",""de"")"),"Die Männer beginnen ein Seil zu ziehen und von hinten zu arbeiten, während der Kameramann mit der Kamera spricht.")</f>
        <v>Die Männer beginnen ein Seil zu ziehen und von hinten zu arbeiten, während der Kameramann mit der Kamera spricht.</v>
      </c>
    </row>
    <row r="5934">
      <c r="A5934" s="4" t="s">
        <v>7462</v>
      </c>
      <c r="B5934" s="4" t="s">
        <v>7465</v>
      </c>
      <c r="C5934" s="5" t="str">
        <f>IFERROR(__xludf.DUMMYFUNCTION("GOOGLETRANSLATE(B5934,""en"",""de"")"),"Der Mann schwenkt weiter in der schneebedeckten Gegend und beobachtet, wie die Männer von hinten arbeiten.")</f>
        <v>Der Mann schwenkt weiter in der schneebedeckten Gegend und beobachtet, wie die Männer von hinten arbeiten.</v>
      </c>
    </row>
    <row r="5935">
      <c r="A5935" s="4" t="s">
        <v>7466</v>
      </c>
      <c r="B5935" s="4" t="s">
        <v>7467</v>
      </c>
      <c r="C5935" s="5" t="str">
        <f>IFERROR(__xludf.DUMMYFUNCTION("GOOGLETRANSLATE(B5935,""en"",""de"")"),"Ein kleines Kind sitzt auf einer Rutsche, während sie zu einem anderen Kind spielt.")</f>
        <v>Ein kleines Kind sitzt auf einer Rutsche, während sie zu einem anderen Kind spielt.</v>
      </c>
    </row>
    <row r="5936">
      <c r="A5936" s="4" t="s">
        <v>7466</v>
      </c>
      <c r="B5936" s="4" t="s">
        <v>7468</v>
      </c>
      <c r="C5936" s="5" t="str">
        <f>IFERROR(__xludf.DUMMYFUNCTION("GOOGLETRANSLATE(B5936,""en"",""de"")"),"Der Junge reitet die Rutsche mehrmals mit der Hilfe des Mädchens und einem Mann, der ein Baby hält und zuschaut.")</f>
        <v>Der Junge reitet die Rutsche mehrmals mit der Hilfe des Mädchens und einem Mann, der ein Baby hält und zuschaut.</v>
      </c>
    </row>
    <row r="5937">
      <c r="A5937" s="4" t="s">
        <v>7469</v>
      </c>
      <c r="B5937" s="4" t="s">
        <v>7470</v>
      </c>
      <c r="C5937" s="5" t="str">
        <f>IFERROR(__xludf.DUMMYFUNCTION("GOOGLETRANSLATE(B5937,""en"",""de"")"),"Ein Mädchen schaut in die Kamera.")</f>
        <v>Ein Mädchen schaut in die Kamera.</v>
      </c>
    </row>
    <row r="5938">
      <c r="A5938" s="4" t="s">
        <v>7469</v>
      </c>
      <c r="B5938" s="4" t="s">
        <v>7471</v>
      </c>
      <c r="C5938" s="5" t="str">
        <f>IFERROR(__xludf.DUMMYFUNCTION("GOOGLETRANSLATE(B5938,""en"",""de"")"),"Sie dreht sich um und lässt sich ihre Haare bürsten.")</f>
        <v>Sie dreht sich um und lässt sich ihre Haare bürsten.</v>
      </c>
    </row>
    <row r="5939">
      <c r="A5939" s="4" t="s">
        <v>7469</v>
      </c>
      <c r="B5939" s="4" t="s">
        <v>7472</v>
      </c>
      <c r="C5939" s="5" t="str">
        <f>IFERROR(__xludf.DUMMYFUNCTION("GOOGLETRANSLATE(B5939,""en"",""de"")"),"Sie schaut ihr Telefon an.")</f>
        <v>Sie schaut ihr Telefon an.</v>
      </c>
    </row>
    <row r="5940">
      <c r="A5940" s="4" t="s">
        <v>7473</v>
      </c>
      <c r="B5940" s="4" t="s">
        <v>7474</v>
      </c>
      <c r="C5940" s="5" t="str">
        <f>IFERROR(__xludf.DUMMYFUNCTION("GOOGLETRANSLATE(B5940,""en"",""de"")"),"Die Füße einer Frau werden gezeigt, als sie sich im Ballett erwärmt.")</f>
        <v>Die Füße einer Frau werden gezeigt, als sie sich im Ballett erwärmt.</v>
      </c>
    </row>
    <row r="5941">
      <c r="A5941" s="4" t="s">
        <v>7473</v>
      </c>
      <c r="B5941" s="4" t="s">
        <v>7475</v>
      </c>
      <c r="C5941" s="5" t="str">
        <f>IFERROR(__xludf.DUMMYFUNCTION("GOOGLETRANSLATE(B5941,""en"",""de"")"),"Eine blonde Frau spricht mit der Kamera, die während des Redens in sie zu ihr verfolgt wird.")</f>
        <v>Eine blonde Frau spricht mit der Kamera, die während des Redens in sie zu ihr verfolgt wird.</v>
      </c>
    </row>
    <row r="5942">
      <c r="A5942" s="4" t="s">
        <v>7473</v>
      </c>
      <c r="B5942" s="4" t="s">
        <v>7476</v>
      </c>
      <c r="C5942" s="5" t="str">
        <f>IFERROR(__xludf.DUMMYFUNCTION("GOOGLETRANSLATE(B5942,""en"",""de"")"),"Sie bewegt sich bei jedem Schritt langsam.")</f>
        <v>Sie bewegt sich bei jedem Schritt langsam.</v>
      </c>
    </row>
    <row r="5943">
      <c r="A5943" s="4" t="s">
        <v>7473</v>
      </c>
      <c r="B5943" s="4" t="s">
        <v>7477</v>
      </c>
      <c r="C5943" s="5" t="str">
        <f>IFERROR(__xludf.DUMMYFUNCTION("GOOGLETRANSLATE(B5943,""en"",""de"")"),"Sie stehen dann an und spricht ihre letzten Worte.")</f>
        <v>Sie stehen dann an und spricht ihre letzten Worte.</v>
      </c>
    </row>
    <row r="5944">
      <c r="A5944" s="4" t="s">
        <v>7478</v>
      </c>
      <c r="B5944" s="4" t="s">
        <v>7479</v>
      </c>
      <c r="C5944" s="5" t="str">
        <f>IFERROR(__xludf.DUMMYFUNCTION("GOOGLETRANSLATE(B5944,""en"",""de"")"),"Ein großer Mann tritt in einen Kreis und wirft mehrere Schuss in die Ferne.")</f>
        <v>Ein großer Mann tritt in einen Kreis und wirft mehrere Schuss in die Ferne.</v>
      </c>
    </row>
    <row r="5945">
      <c r="A5945" s="4" t="s">
        <v>7478</v>
      </c>
      <c r="B5945" s="4" t="s">
        <v>7480</v>
      </c>
      <c r="C5945" s="5" t="str">
        <f>IFERROR(__xludf.DUMMYFUNCTION("GOOGLETRANSLATE(B5945,""en"",""de"")"),"Einige weitere Männer treten auf den Kreis, der einen Schuss in die Ferne bringt.")</f>
        <v>Einige weitere Männer treten auf den Kreis, der einen Schuss in die Ferne bringt.</v>
      </c>
    </row>
    <row r="5946">
      <c r="A5946" s="4" t="s">
        <v>7478</v>
      </c>
      <c r="B5946" s="4" t="s">
        <v>7481</v>
      </c>
      <c r="C5946" s="5" t="str">
        <f>IFERROR(__xludf.DUMMYFUNCTION("GOOGLETRANSLATE(B5946,""en"",""de"")"),"Die Menschen im Publikum werden sich gegenseitig anfeugen, da ihre Punktzahlen am Ende gezeigt werden.")</f>
        <v>Die Menschen im Publikum werden sich gegenseitig anfeugen, da ihre Punktzahlen am Ende gezeigt werden.</v>
      </c>
    </row>
    <row r="5947">
      <c r="A5947" s="4" t="s">
        <v>7482</v>
      </c>
      <c r="B5947" s="4" t="s">
        <v>7483</v>
      </c>
      <c r="C5947" s="5" t="str">
        <f>IFERROR(__xludf.DUMMYFUNCTION("GOOGLETRANSLATE(B5947,""en"",""de"")"),"Ein Mann spricht mit der Kamera, während ein anderer Mann auf einem Übungsgerät hinter sich sitzt.")</f>
        <v>Ein Mann spricht mit der Kamera, während ein anderer Mann auf einem Übungsgerät hinter sich sitzt.</v>
      </c>
    </row>
    <row r="5948">
      <c r="A5948" s="4" t="s">
        <v>7482</v>
      </c>
      <c r="B5948" s="4" t="s">
        <v>7484</v>
      </c>
      <c r="C5948" s="5" t="str">
        <f>IFERROR(__xludf.DUMMYFUNCTION("GOOGLETRANSLATE(B5948,""en"",""de"")"),"Der Ausbilder bewegt sich weiter in der Nähe des Mannes und lässt ihn zeigen, wie man arbeitet.")</f>
        <v>Der Ausbilder bewegt sich weiter in der Nähe des Mannes und lässt ihn zeigen, wie man arbeitet.</v>
      </c>
    </row>
    <row r="5949">
      <c r="A5949" s="4" t="s">
        <v>7482</v>
      </c>
      <c r="B5949" s="4" t="s">
        <v>7485</v>
      </c>
      <c r="C5949" s="5" t="str">
        <f>IFERROR(__xludf.DUMMYFUNCTION("GOOGLETRANSLATE(B5949,""en"",""de"")"),"Er verweist auf seinen Körper, der zeigt, dass die Muskeln funktionieren und herumläuft, um den Mann zu trainieren.")</f>
        <v>Er verweist auf seinen Körper, der zeigt, dass die Muskeln funktionieren und herumläuft, um den Mann zu trainieren.</v>
      </c>
    </row>
    <row r="5950">
      <c r="A5950" s="4" t="s">
        <v>7486</v>
      </c>
      <c r="B5950" s="4" t="s">
        <v>7487</v>
      </c>
      <c r="C5950" s="5" t="str">
        <f>IFERROR(__xludf.DUMMYFUNCTION("GOOGLETRANSLATE(B5950,""en"",""de"")"),"Ein Turner wischt Kreide an seinen Händen und macht sich fertig.")</f>
        <v>Ein Turner wischt Kreide an seinen Händen und macht sich fertig.</v>
      </c>
    </row>
    <row r="5951">
      <c r="A5951" s="4" t="s">
        <v>7486</v>
      </c>
      <c r="B5951" s="4" t="s">
        <v>7488</v>
      </c>
      <c r="C5951" s="5" t="str">
        <f>IFERROR(__xludf.DUMMYFUNCTION("GOOGLETRANSLATE(B5951,""en"",""de"")"),"Der Turner steht auf Plattformen und schwingt sich auf eine Reihe von Doppelbalken.")</f>
        <v>Der Turner steht auf Plattformen und schwingt sich auf eine Reihe von Doppelbalken.</v>
      </c>
    </row>
    <row r="5952">
      <c r="A5952" s="4" t="s">
        <v>7486</v>
      </c>
      <c r="B5952" s="4" t="s">
        <v>7489</v>
      </c>
      <c r="C5952" s="5" t="str">
        <f>IFERROR(__xludf.DUMMYFUNCTION("GOOGLETRANSLATE(B5952,""en"",""de"")"),"Der Turner macht während eines Wettbewerbs eine Doppel -Bar -Routine.")</f>
        <v>Der Turner macht während eines Wettbewerbs eine Doppel -Bar -Routine.</v>
      </c>
    </row>
    <row r="5953">
      <c r="A5953" s="4" t="s">
        <v>7486</v>
      </c>
      <c r="B5953" s="4" t="s">
        <v>7490</v>
      </c>
      <c r="C5953" s="5" t="str">
        <f>IFERROR(__xludf.DUMMYFUNCTION("GOOGLETRANSLATE(B5953,""en"",""de"")"),"Der Turner schlägt sein Bein versehentlich auf die Bars und bringt ihn zum Stillstand.")</f>
        <v>Der Turner schlägt sein Bein versehentlich auf die Bars und bringt ihn zum Stillstand.</v>
      </c>
    </row>
    <row r="5954">
      <c r="A5954" s="4" t="s">
        <v>7486</v>
      </c>
      <c r="B5954" s="4" t="s">
        <v>7491</v>
      </c>
      <c r="C5954" s="5" t="str">
        <f>IFERROR(__xludf.DUMMYFUNCTION("GOOGLETRANSLATE(B5954,""en"",""de"")"),"Der Turner steigt von den Doppelbalken ab und landet auf der Matte.")</f>
        <v>Der Turner steigt von den Doppelbalken ab und landet auf der Matte.</v>
      </c>
    </row>
    <row r="5955">
      <c r="A5955" s="4" t="s">
        <v>7486</v>
      </c>
      <c r="B5955" s="4" t="s">
        <v>7492</v>
      </c>
      <c r="C5955" s="5" t="str">
        <f>IFERROR(__xludf.DUMMYFUNCTION("GOOGLETRANSLATE(B5955,""en"",""de"")"),"Ein Turnerinnen sitzt auf einem Stuhl und wartet auf sie an der Reihe.")</f>
        <v>Ein Turnerinnen sitzt auf einem Stuhl und wartet auf sie an der Reihe.</v>
      </c>
    </row>
    <row r="5956">
      <c r="A5956" s="4" t="s">
        <v>7486</v>
      </c>
      <c r="B5956" s="4" t="s">
        <v>7493</v>
      </c>
      <c r="C5956" s="5" t="str">
        <f>IFERROR(__xludf.DUMMYFUNCTION("GOOGLETRANSLATE(B5956,""en"",""de"")"),"Die weiblichen Turner strecken ihre Arme vor der Routine aus.")</f>
        <v>Die weiblichen Turner strecken ihre Arme vor der Routine aus.</v>
      </c>
    </row>
    <row r="5957">
      <c r="A5957" s="4" t="s">
        <v>7486</v>
      </c>
      <c r="B5957" s="4" t="s">
        <v>7494</v>
      </c>
      <c r="C5957" s="5" t="str">
        <f>IFERROR(__xludf.DUMMYFUNCTION("GOOGLETRANSLATE(B5957,""en"",""de"")"),"Eine Wiederholung zeigt die Höhepunkte der Turner -Routine auf den Doppelbalken.")</f>
        <v>Eine Wiederholung zeigt die Höhepunkte der Turner -Routine auf den Doppelbalken.</v>
      </c>
    </row>
    <row r="5958">
      <c r="A5958" s="4" t="s">
        <v>7495</v>
      </c>
      <c r="B5958" s="4" t="s">
        <v>7496</v>
      </c>
      <c r="C5958" s="5" t="str">
        <f>IFERROR(__xludf.DUMMYFUNCTION("GOOGLETRANSLATE(B5958,""en"",""de"")"),"Ein Mann steckt ein schwarzes Objektiv in sein Auge.")</f>
        <v>Ein Mann steckt ein schwarzes Objektiv in sein Auge.</v>
      </c>
    </row>
    <row r="5959">
      <c r="A5959" s="4" t="s">
        <v>7495</v>
      </c>
      <c r="B5959" s="4" t="s">
        <v>7497</v>
      </c>
      <c r="C5959" s="5" t="str">
        <f>IFERROR(__xludf.DUMMYFUNCTION("GOOGLETRANSLATE(B5959,""en"",""de"")"),"Dann nimmt der Mann das Objektiv ab und stellt es danach erneut aus.")</f>
        <v>Dann nimmt der Mann das Objektiv ab und stellt es danach erneut aus.</v>
      </c>
    </row>
    <row r="5960">
      <c r="A5960" s="4" t="s">
        <v>7498</v>
      </c>
      <c r="B5960" s="4" t="s">
        <v>7499</v>
      </c>
      <c r="C5960" s="5" t="str">
        <f>IFERROR(__xludf.DUMMYFUNCTION("GOOGLETRANSLATE(B5960,""en"",""de"")"),"Ein Mann ist zu sehen, wie sich nach vorne biegt und ein großes Gewichtssatz schnappt und sie auf seinen Schultern hebt.")</f>
        <v>Ein Mann ist zu sehen, wie sich nach vorne biegt und ein großes Gewichtssatz schnappt und sie auf seinen Schultern hebt.</v>
      </c>
    </row>
    <row r="5961">
      <c r="A5961" s="4" t="s">
        <v>7498</v>
      </c>
      <c r="B5961" s="4" t="s">
        <v>7500</v>
      </c>
      <c r="C5961" s="5" t="str">
        <f>IFERROR(__xludf.DUMMYFUNCTION("GOOGLETRANSLATE(B5961,""en"",""de"")"),"Der Mann hebt es dann über seinen Kopf und endet, indem er es wieder nach unten wirft.")</f>
        <v>Der Mann hebt es dann über seinen Kopf und endet, indem er es wieder nach unten wirft.</v>
      </c>
    </row>
    <row r="5962">
      <c r="A5962" s="4" t="s">
        <v>7501</v>
      </c>
      <c r="B5962" s="4" t="s">
        <v>7502</v>
      </c>
      <c r="C5962" s="5" t="str">
        <f>IFERROR(__xludf.DUMMYFUNCTION("GOOGLETRANSLATE(B5962,""en"",""de"")"),"Ein schwarzer männlicher Athlet rannte auf dem Feld und sprang und sprang und landete auf dem sandigen Feld.")</f>
        <v>Ein schwarzer männlicher Athlet rannte auf dem Feld und sprang und sprang und landete auf dem sandigen Feld.</v>
      </c>
    </row>
    <row r="5963">
      <c r="A5963" s="4" t="s">
        <v>7501</v>
      </c>
      <c r="B5963" s="4" t="s">
        <v>7503</v>
      </c>
      <c r="C5963" s="5" t="str">
        <f>IFERROR(__xludf.DUMMYFUNCTION("GOOGLETRANSLATE(B5963,""en"",""de"")"),"Der Athlet rennt herum und jubelte und kniete sich hin und bete.")</f>
        <v>Der Athlet rennt herum und jubelte und kniete sich hin und bete.</v>
      </c>
    </row>
    <row r="5964">
      <c r="A5964" s="4" t="s">
        <v>7501</v>
      </c>
      <c r="B5964" s="4" t="s">
        <v>7504</v>
      </c>
      <c r="C5964" s="5" t="str">
        <f>IFERROR(__xludf.DUMMYFUNCTION("GOOGLETRANSLATE(B5964,""en"",""de"")"),"Der Athlet rannte und riss sein Hemd aus, während er die Frau erreichte und sie umarmte und jubelte.")</f>
        <v>Der Athlet rannte und riss sein Hemd aus, während er die Frau erreichte und sie umarmte und jubelte.</v>
      </c>
    </row>
    <row r="5965">
      <c r="A5965" s="4" t="s">
        <v>7505</v>
      </c>
      <c r="B5965" s="4" t="s">
        <v>7506</v>
      </c>
      <c r="C5965" s="5" t="str">
        <f>IFERROR(__xludf.DUMMYFUNCTION("GOOGLETRANSLATE(B5965,""en"",""de"")"),"Ein Mann kniet vor einem Waschbecken.")</f>
        <v>Ein Mann kniet vor einem Waschbecken.</v>
      </c>
    </row>
    <row r="5966">
      <c r="A5966" s="4" t="s">
        <v>7505</v>
      </c>
      <c r="B5966" s="4" t="s">
        <v>7507</v>
      </c>
      <c r="C5966" s="5" t="str">
        <f>IFERROR(__xludf.DUMMYFUNCTION("GOOGLETRANSLATE(B5966,""en"",""de"")"),"Er beginnt mit einem Schwamm das Innere des Waschbeckens zu schrubben.")</f>
        <v>Er beginnt mit einem Schwamm das Innere des Waschbeckens zu schrubben.</v>
      </c>
    </row>
    <row r="5967">
      <c r="A5967" s="4" t="s">
        <v>7505</v>
      </c>
      <c r="B5967" s="4" t="s">
        <v>7508</v>
      </c>
      <c r="C5967" s="5" t="str">
        <f>IFERROR(__xludf.DUMMYFUNCTION("GOOGLETRANSLATE(B5967,""en"",""de"")"),"Er nimmt ein weißes Handtuch und wischt sich von der Theke ab und sinkt.")</f>
        <v>Er nimmt ein weißes Handtuch und wischt sich von der Theke ab und sinkt.</v>
      </c>
    </row>
    <row r="5968">
      <c r="A5968" s="4" t="s">
        <v>7505</v>
      </c>
      <c r="B5968" s="4" t="s">
        <v>7509</v>
      </c>
      <c r="C5968" s="5" t="str">
        <f>IFERROR(__xludf.DUMMYFUNCTION("GOOGLETRANSLATE(B5968,""en"",""de"")"),"Er sprüht den Spiegel mit Windex und wischt den Spiegel ab.")</f>
        <v>Er sprüht den Spiegel mit Windex und wischt den Spiegel ab.</v>
      </c>
    </row>
    <row r="5969">
      <c r="A5969" s="4" t="s">
        <v>7510</v>
      </c>
      <c r="B5969" s="4" t="s">
        <v>7511</v>
      </c>
      <c r="C5969" s="5" t="str">
        <f>IFERROR(__xludf.DUMMYFUNCTION("GOOGLETRANSLATE(B5969,""en"",""de"")"),"Ein schneller Fluss läuft an einem Baum vorbei.")</f>
        <v>Ein schneller Fluss läuft an einem Baum vorbei.</v>
      </c>
    </row>
    <row r="5970">
      <c r="A5970" s="4" t="s">
        <v>7510</v>
      </c>
      <c r="B5970" s="4" t="s">
        <v>7512</v>
      </c>
      <c r="C5970" s="5" t="str">
        <f>IFERROR(__xludf.DUMMYFUNCTION("GOOGLETRANSLATE(B5970,""en"",""de"")"),"Eine Gruppe von Sparren zieht ihre Ausrüstung an und schob ihr Floß ins Wasser.")</f>
        <v>Eine Gruppe von Sparren zieht ihre Ausrüstung an und schob ihr Floß ins Wasser.</v>
      </c>
    </row>
    <row r="5971">
      <c r="A5971" s="4" t="s">
        <v>7510</v>
      </c>
      <c r="B5971" s="4" t="s">
        <v>7513</v>
      </c>
      <c r="C5971" s="5" t="str">
        <f>IFERROR(__xludf.DUMMYFUNCTION("GOOGLETRANSLATE(B5971,""en"",""de"")"),"Das Paddel durch die Stromschnellen und versucht, aufrecht und zusammen zu bleiben.")</f>
        <v>Das Paddel durch die Stromschnellen und versucht, aufrecht und zusammen zu bleiben.</v>
      </c>
    </row>
    <row r="5972">
      <c r="A5972" s="4" t="s">
        <v>7514</v>
      </c>
      <c r="B5972" s="4" t="s">
        <v>7515</v>
      </c>
      <c r="C5972" s="5" t="str">
        <f>IFERROR(__xludf.DUMMYFUNCTION("GOOGLETRANSLATE(B5972,""en"",""de"")"),"Eine große Gruppe von Kindern steht auf einem Feld, das ein Spiel miteinander spielt.")</f>
        <v>Eine große Gruppe von Kindern steht auf einem Feld, das ein Spiel miteinander spielt.</v>
      </c>
    </row>
    <row r="5973">
      <c r="A5973" s="4" t="s">
        <v>7514</v>
      </c>
      <c r="B5973" s="4" t="s">
        <v>7516</v>
      </c>
      <c r="C5973" s="5" t="str">
        <f>IFERROR(__xludf.DUMMYFUNCTION("GOOGLETRANSLATE(B5973,""en"",""de"")"),"Ein Junge wirft einen Ball zum anderen und der andere schießt ihn in die Ferne.")</f>
        <v>Ein Junge wirft einen Ball zum anderen und der andere schießt ihn in die Ferne.</v>
      </c>
    </row>
    <row r="5974">
      <c r="A5974" s="4" t="s">
        <v>7514</v>
      </c>
      <c r="B5974" s="4" t="s">
        <v>7517</v>
      </c>
      <c r="C5974" s="5" t="str">
        <f>IFERROR(__xludf.DUMMYFUNCTION("GOOGLETRANSLATE(B5974,""en"",""de"")"),"Die Kinder spielen weiterhin miteinander und rennen entlang des Feldes.")</f>
        <v>Die Kinder spielen weiterhin miteinander und rennen entlang des Feldes.</v>
      </c>
    </row>
    <row r="5975">
      <c r="A5975" s="4" t="s">
        <v>7518</v>
      </c>
      <c r="B5975" s="4" t="s">
        <v>7519</v>
      </c>
      <c r="C5975" s="5" t="str">
        <f>IFERROR(__xludf.DUMMYFUNCTION("GOOGLETRANSLATE(B5975,""en"",""de"")"),"Drei Männer stehen zusammen mit stark gepolsterten Kleidung mit Hosenträgern zusammen.")</f>
        <v>Drei Männer stehen zusammen mit stark gepolsterten Kleidung mit Hosenträgern zusammen.</v>
      </c>
    </row>
    <row r="5976">
      <c r="A5976" s="4" t="s">
        <v>7518</v>
      </c>
      <c r="B5976" s="4" t="s">
        <v>7520</v>
      </c>
      <c r="C5976" s="5" t="str">
        <f>IFERROR(__xludf.DUMMYFUNCTION("GOOGLETRANSLATE(B5976,""en"",""de"")"),"Die beiden Männer am Ende schlagen den in der Mitte unter dem Gürtel und er fällt vor Schmerzen zu Boden.")</f>
        <v>Die beiden Männer am Ende schlagen den in der Mitte unter dem Gürtel und er fällt vor Schmerzen zu Boden.</v>
      </c>
    </row>
    <row r="5977">
      <c r="A5977" s="4" t="s">
        <v>7518</v>
      </c>
      <c r="B5977" s="4" t="s">
        <v>7521</v>
      </c>
      <c r="C5977" s="5" t="str">
        <f>IFERROR(__xludf.DUMMYFUNCTION("GOOGLETRANSLATE(B5977,""en"",""de"")"),"Einer der Männer wird hinter dem Gehen in einem Flur gesehen.")</f>
        <v>Einer der Männer wird hinter dem Gehen in einem Flur gesehen.</v>
      </c>
    </row>
    <row r="5978">
      <c r="A5978" s="4" t="s">
        <v>7518</v>
      </c>
      <c r="B5978" s="4" t="s">
        <v>7522</v>
      </c>
      <c r="C5978" s="5" t="str">
        <f>IFERROR(__xludf.DUMMYFUNCTION("GOOGLETRANSLATE(B5978,""en"",""de"")"),"Der Mann sitzt auf einem BMX -Fahrrad auf der Spitze einer Rampe, die fertig ist.")</f>
        <v>Der Mann sitzt auf einem BMX -Fahrrad auf der Spitze einer Rampe, die fertig ist.</v>
      </c>
    </row>
    <row r="5979">
      <c r="A5979" s="4" t="s">
        <v>7518</v>
      </c>
      <c r="B5979" s="4" t="s">
        <v>7523</v>
      </c>
      <c r="C5979" s="5" t="str">
        <f>IFERROR(__xludf.DUMMYFUNCTION("GOOGLETRANSLATE(B5979,""en"",""de"")"),"Der Mann fällt in die Rampe und fällt hart auf den Boden.")</f>
        <v>Der Mann fällt in die Rampe und fällt hart auf den Boden.</v>
      </c>
    </row>
    <row r="5980">
      <c r="A5980" s="4" t="s">
        <v>7518</v>
      </c>
      <c r="B5980" s="4" t="s">
        <v>7524</v>
      </c>
      <c r="C5980" s="5" t="str">
        <f>IFERROR(__xludf.DUMMYFUNCTION("GOOGLETRANSLATE(B5980,""en"",""de"")"),"Der Mann betreibt Tricks und springt auf die Rampe mit dem Fahrrad.")</f>
        <v>Der Mann betreibt Tricks und springt auf die Rampe mit dem Fahrrad.</v>
      </c>
    </row>
    <row r="5981">
      <c r="A5981" s="4" t="s">
        <v>7518</v>
      </c>
      <c r="B5981" s="4" t="s">
        <v>7525</v>
      </c>
      <c r="C5981" s="5" t="str">
        <f>IFERROR(__xludf.DUMMYFUNCTION("GOOGLETRANSLATE(B5981,""en"",""de"")"),"Einer der Männer in lila fährt durch einen Skate -Board -Park mit dem gepolsterten Anzug.")</f>
        <v>Einer der Männer in lila fährt durch einen Skate -Board -Park mit dem gepolsterten Anzug.</v>
      </c>
    </row>
    <row r="5982">
      <c r="A5982" s="4" t="s">
        <v>7518</v>
      </c>
      <c r="B5982" s="4" t="s">
        <v>7526</v>
      </c>
      <c r="C5982" s="5" t="str">
        <f>IFERROR(__xludf.DUMMYFUNCTION("GOOGLETRANSLATE(B5982,""en"",""de"")"),"Ein anderer Mann im grauen Hemd fährt ein Skateboard auf der Halbpfeif -Rampe und macht Tricks.")</f>
        <v>Ein anderer Mann im grauen Hemd fährt ein Skateboard auf der Halbpfeif -Rampe und macht Tricks.</v>
      </c>
    </row>
    <row r="5983">
      <c r="A5983" s="4" t="s">
        <v>7518</v>
      </c>
      <c r="B5983" s="4" t="s">
        <v>7527</v>
      </c>
      <c r="C5983" s="5" t="str">
        <f>IFERROR(__xludf.DUMMYFUNCTION("GOOGLETRANSLATE(B5983,""en"",""de"")"),"Die drei Männer fahren zusammen auf der großen Rampe in der Formation.")</f>
        <v>Die drei Männer fahren zusammen auf der großen Rampe in der Formation.</v>
      </c>
    </row>
    <row r="5984">
      <c r="A5984" s="4" t="s">
        <v>7518</v>
      </c>
      <c r="B5984" s="4" t="s">
        <v>7528</v>
      </c>
      <c r="C5984" s="5" t="str">
        <f>IFERROR(__xludf.DUMMYFUNCTION("GOOGLETRANSLATE(B5984,""en"",""de"")"),"Der Mann in lila fällt und wird mit seinem Skateboard ins Gesicht geschlagen.")</f>
        <v>Der Mann in lila fällt und wird mit seinem Skateboard ins Gesicht geschlagen.</v>
      </c>
    </row>
    <row r="5985">
      <c r="A5985" s="4" t="s">
        <v>7529</v>
      </c>
      <c r="B5985" s="4" t="s">
        <v>7530</v>
      </c>
      <c r="C5985" s="5" t="str">
        <f>IFERROR(__xludf.DUMMYFUNCTION("GOOGLETRANSLATE(B5985,""en"",""de"")"),"Zwei Männer knien runter und halten Paintball -Kanonen.")</f>
        <v>Zwei Männer knien runter und halten Paintball -Kanonen.</v>
      </c>
    </row>
    <row r="5986">
      <c r="A5986" s="4" t="s">
        <v>7529</v>
      </c>
      <c r="B5986" s="4" t="s">
        <v>7531</v>
      </c>
      <c r="C5986" s="5" t="str">
        <f>IFERROR(__xludf.DUMMYFUNCTION("GOOGLETRANSLATE(B5986,""en"",""de"")"),"Sie gehen die Straße entlang und halten ihre Paintball -Kanonen.")</f>
        <v>Sie gehen die Straße entlang und halten ihre Paintball -Kanonen.</v>
      </c>
    </row>
    <row r="5987">
      <c r="A5987" s="4" t="s">
        <v>7529</v>
      </c>
      <c r="B5987" s="4" t="s">
        <v>7532</v>
      </c>
      <c r="C5987" s="5" t="str">
        <f>IFERROR(__xludf.DUMMYFUNCTION("GOOGLETRANSLATE(B5987,""en"",""de"")"),"Sie beginnen ein Paintballspiel zu spielen.")</f>
        <v>Sie beginnen ein Paintballspiel zu spielen.</v>
      </c>
    </row>
    <row r="5988">
      <c r="A5988" s="4" t="s">
        <v>7533</v>
      </c>
      <c r="B5988" s="4" t="s">
        <v>7534</v>
      </c>
      <c r="C5988" s="5" t="str">
        <f>IFERROR(__xludf.DUMMYFUNCTION("GOOGLETRANSLATE(B5988,""en"",""de"")"),"Eine Person trägt ein blaues Hemd und steht vor einem Zaun.")</f>
        <v>Eine Person trägt ein blaues Hemd und steht vor einem Zaun.</v>
      </c>
    </row>
    <row r="5989">
      <c r="A5989" s="4" t="s">
        <v>7533</v>
      </c>
      <c r="B5989" s="4" t="s">
        <v>7535</v>
      </c>
      <c r="C5989" s="5" t="str">
        <f>IFERROR(__xludf.DUMMYFUNCTION("GOOGLETRANSLATE(B5989,""en"",""de"")"),"Die Person beugt sich vor dem Zaun ab und sprüht sie ab.")</f>
        <v>Die Person beugt sich vor dem Zaun ab und sprüht sie ab.</v>
      </c>
    </row>
    <row r="5990">
      <c r="A5990" s="4" t="s">
        <v>7533</v>
      </c>
      <c r="B5990" s="4" t="s">
        <v>7536</v>
      </c>
      <c r="C5990" s="5" t="str">
        <f>IFERROR(__xludf.DUMMYFUNCTION("GOOGLETRANSLATE(B5990,""en"",""de"")"),"Die Person sprüht den Zaun weiter, während die Kamera von hinten erfasst.")</f>
        <v>Die Person sprüht den Zaun weiter, während die Kamera von hinten erfasst.</v>
      </c>
    </row>
    <row r="5991">
      <c r="A5991" s="4" t="s">
        <v>7537</v>
      </c>
      <c r="B5991" s="4" t="s">
        <v>7538</v>
      </c>
      <c r="C5991" s="5" t="str">
        <f>IFERROR(__xludf.DUMMYFUNCTION("GOOGLETRANSLATE(B5991,""en"",""de"")"),"Drei Männer sitzen auf einer Couch mit dem Mann im mittleren Lächeln, dem Mann auf der rechten Seite spielt eine Mundharmonika und der Mann ganz links, der seinen Finger an seinem Oberlippenbereich hält und ein Geräusch mit seiner Unterlippe macht, indem "&amp;"seine Hand.")</f>
        <v>Drei Männer sitzen auf einer Couch mit dem Mann im mittleren Lächeln, dem Mann auf der rechten Seite spielt eine Mundharmonika und der Mann ganz links, der seinen Finger an seinem Oberlippenbereich hält und ein Geräusch mit seiner Unterlippe macht, indem seine Hand.</v>
      </c>
    </row>
    <row r="5992">
      <c r="A5992" s="4" t="s">
        <v>7537</v>
      </c>
      <c r="B5992" s="4" t="s">
        <v>7539</v>
      </c>
      <c r="C5992" s="5" t="str">
        <f>IFERROR(__xludf.DUMMYFUNCTION("GOOGLETRANSLATE(B5992,""en"",""de"")"),"Der Mann auf der rechten Seite tippt seinen Fuß, als die beiden Männer Musik spielen.")</f>
        <v>Der Mann auf der rechten Seite tippt seinen Fuß, als die beiden Männer Musik spielen.</v>
      </c>
    </row>
    <row r="5993">
      <c r="A5993" s="4" t="s">
        <v>7537</v>
      </c>
      <c r="B5993" s="4" t="s">
        <v>7540</v>
      </c>
      <c r="C5993" s="5" t="str">
        <f>IFERROR(__xludf.DUMMYFUNCTION("GOOGLETRANSLATE(B5993,""en"",""de"")"),"Die Kamera schwenkt zu einem Zuschauer, der auf der Seite des Raums steht und lächelt.")</f>
        <v>Die Kamera schwenkt zu einem Zuschauer, der auf der Seite des Raums steht und lächelt.</v>
      </c>
    </row>
    <row r="5994">
      <c r="A5994" s="4" t="s">
        <v>7537</v>
      </c>
      <c r="B5994" s="4" t="s">
        <v>7541</v>
      </c>
      <c r="C5994" s="5" t="str">
        <f>IFERROR(__xludf.DUMMYFUNCTION("GOOGLETRANSLATE(B5994,""en"",""de"")"),"Die beiden Männer hören auf zu spielen und der Mann in der Mitte zuckt die Achseln, als die beiden anderen Männer lächeln.")</f>
        <v>Die beiden Männer hören auf zu spielen und der Mann in der Mitte zuckt die Achseln, als die beiden anderen Männer lächeln.</v>
      </c>
    </row>
    <row r="5995">
      <c r="A5995" s="4" t="s">
        <v>7542</v>
      </c>
      <c r="B5995" s="4" t="s">
        <v>7543</v>
      </c>
      <c r="C5995" s="5" t="str">
        <f>IFERROR(__xludf.DUMMYFUNCTION("GOOGLETRANSLATE(B5995,""en"",""de"")"),"Drei kleine Kinder, 2 Mädchen und ein Junge, spielen an einem Strand und stapeln Sand auf einen großen Stapel, während Wellen weiter hinein- und ausgehen.")</f>
        <v>Drei kleine Kinder, 2 Mädchen und ein Junge, spielen an einem Strand und stapeln Sand auf einen großen Stapel, während Wellen weiter hinein- und ausgehen.</v>
      </c>
    </row>
    <row r="5996">
      <c r="A5996" s="4" t="s">
        <v>7542</v>
      </c>
      <c r="B5996" s="4" t="s">
        <v>7544</v>
      </c>
      <c r="C5996" s="5" t="str">
        <f>IFERROR(__xludf.DUMMYFUNCTION("GOOGLETRANSLATE(B5996,""en"",""de"")"),"Die Kamera -Person schwenkt dann um den Strand, um den Rest des Strandes und verschiedene andere Personen zu zeigen, die dort sind.")</f>
        <v>Die Kamera -Person schwenkt dann um den Strand, um den Rest des Strandes und verschiedene andere Personen zu zeigen, die dort sind.</v>
      </c>
    </row>
    <row r="5997">
      <c r="A5997" s="4" t="s">
        <v>7542</v>
      </c>
      <c r="B5997" s="4" t="s">
        <v>7545</v>
      </c>
      <c r="C5997" s="5" t="str">
        <f>IFERROR(__xludf.DUMMYFUNCTION("GOOGLETRANSLATE(B5997,""en"",""de"")"),"Die Kamera -Person konzentriert sich dann auf zwei Frauen, die zusammen sprechen und zusammen stehen.")</f>
        <v>Die Kamera -Person konzentriert sich dann auf zwei Frauen, die zusammen sprechen und zusammen stehen.</v>
      </c>
    </row>
    <row r="5998">
      <c r="A5998" s="4" t="s">
        <v>7542</v>
      </c>
      <c r="B5998" s="4" t="s">
        <v>7546</v>
      </c>
      <c r="C5998" s="5" t="str">
        <f>IFERROR(__xludf.DUMMYFUNCTION("GOOGLETRANSLATE(B5998,""en"",""de"")"),"Konzentriert sich dann wieder auf die Kinder im Sand, die weiter in den Sand graben und Sand in einen großen Stapel stapeln.")</f>
        <v>Konzentriert sich dann wieder auf die Kinder im Sand, die weiter in den Sand graben und Sand in einen großen Stapel stapeln.</v>
      </c>
    </row>
    <row r="5999">
      <c r="A5999" s="4" t="s">
        <v>7542</v>
      </c>
      <c r="B5999" s="4" t="s">
        <v>7547</v>
      </c>
      <c r="C5999" s="5" t="str">
        <f>IFERROR(__xludf.DUMMYFUNCTION("GOOGLETRANSLATE(B5999,""en"",""de"")"),"Eines der Mädchen rennt dann aus dem Schuss und dem anderen Mädchen und der einzige Junge, der in der Nähe ihres kleinen Sandhaufens bleibt.")</f>
        <v>Eines der Mädchen rennt dann aus dem Schuss und dem anderen Mädchen und der einzige Junge, der in der Nähe ihres kleinen Sandhaufens bleibt.</v>
      </c>
    </row>
    <row r="6000">
      <c r="A6000" s="4" t="s">
        <v>7548</v>
      </c>
      <c r="B6000" s="4" t="s">
        <v>7549</v>
      </c>
      <c r="C6000" s="5" t="str">
        <f>IFERROR(__xludf.DUMMYFUNCTION("GOOGLETRANSLATE(B6000,""en"",""de"")"),"Ein Mädchen mit blonden Haaren und roten Nägeln sitzt in einem Stuhl im Schlafzimmer und spricht mit der Kamera, während er raucht und eine Flasche blaues Nagelpolen zeigt.")</f>
        <v>Ein Mädchen mit blonden Haaren und roten Nägeln sitzt in einem Stuhl im Schlafzimmer und spricht mit der Kamera, während er raucht und eine Flasche blaues Nagelpolen zeigt.</v>
      </c>
    </row>
    <row r="6001">
      <c r="A6001" s="4" t="s">
        <v>7548</v>
      </c>
      <c r="B6001" s="4" t="s">
        <v>7550</v>
      </c>
      <c r="C6001" s="5" t="str">
        <f>IFERROR(__xludf.DUMMYFUNCTION("GOOGLETRANSLATE(B6001,""en"",""de"")"),"Das Mädchen rollt von der Kamera auf dem Stuhl weg, um eine Flasche blauer Nagellack zu bekommen und sie bis zum Bildschirm zu halten.")</f>
        <v>Das Mädchen rollt von der Kamera auf dem Stuhl weg, um eine Flasche blauer Nagellack zu bekommen und sie bis zum Bildschirm zu halten.</v>
      </c>
    </row>
    <row r="6002">
      <c r="A6002" s="4" t="s">
        <v>7548</v>
      </c>
      <c r="B6002" s="4" t="s">
        <v>7551</v>
      </c>
      <c r="C6002" s="5" t="str">
        <f>IFERROR(__xludf.DUMMYFUNCTION("GOOGLETRANSLATE(B6002,""en"",""de"")"),"Das Mädchen beginnt dann, eine Zigarette vor der Kamera zu rauchen, während sie redet.")</f>
        <v>Das Mädchen beginnt dann, eine Zigarette vor der Kamera zu rauchen, während sie redet.</v>
      </c>
    </row>
    <row r="6003">
      <c r="A6003" s="4" t="s">
        <v>7548</v>
      </c>
      <c r="B6003" s="4" t="s">
        <v>7552</v>
      </c>
      <c r="C6003" s="5" t="str">
        <f>IFERROR(__xludf.DUMMYFUNCTION("GOOGLETRANSLATE(B6003,""en"",""de"")"),"Das Mädchen nimmt schließlich ein langes Einatmen und beugt sich vor, um in die Kamera auszuatmen, bevor er zurückfällt.")</f>
        <v>Das Mädchen nimmt schließlich ein langes Einatmen und beugt sich vor, um in die Kamera auszuatmen, bevor er zurückfällt.</v>
      </c>
    </row>
    <row r="6004">
      <c r="A6004" s="4" t="s">
        <v>7553</v>
      </c>
      <c r="B6004" s="4" t="s">
        <v>7554</v>
      </c>
      <c r="C6004" s="5" t="str">
        <f>IFERROR(__xludf.DUMMYFUNCTION("GOOGLETRANSLATE(B6004,""en"",""de"")"),"Eine Helmkamera wird angezogen und dann geht ein Mann Skateboarding.")</f>
        <v>Eine Helmkamera wird angezogen und dann geht ein Mann Skateboarding.</v>
      </c>
    </row>
    <row r="6005">
      <c r="A6005" s="4" t="s">
        <v>7553</v>
      </c>
      <c r="B6005" s="4" t="s">
        <v>7555</v>
      </c>
      <c r="C6005" s="5" t="str">
        <f>IFERROR(__xludf.DUMMYFUNCTION("GOOGLETRANSLATE(B6005,""en"",""de"")"),"Er zoomt durch die Stadt und fährt auf eine Autobahn.")</f>
        <v>Er zoomt durch die Stadt und fährt auf eine Autobahn.</v>
      </c>
    </row>
    <row r="6006">
      <c r="A6006" s="4" t="s">
        <v>7553</v>
      </c>
      <c r="B6006" s="4" t="s">
        <v>7556</v>
      </c>
      <c r="C6006" s="5" t="str">
        <f>IFERROR(__xludf.DUMMYFUNCTION("GOOGLETRANSLATE(B6006,""en"",""de"")"),"Er übergibt einen LKW und andere Leute.")</f>
        <v>Er übergibt einen LKW und andere Leute.</v>
      </c>
    </row>
    <row r="6007">
      <c r="A6007" s="4" t="s">
        <v>7557</v>
      </c>
      <c r="B6007" s="4" t="s">
        <v>7558</v>
      </c>
      <c r="C6007" s="5" t="str">
        <f>IFERROR(__xludf.DUMMYFUNCTION("GOOGLETRANSLATE(B6007,""en"",""de"")"),"Ein Mann steht auf einem Feld und redet.")</f>
        <v>Ein Mann steht auf einem Feld und redet.</v>
      </c>
    </row>
    <row r="6008">
      <c r="A6008" s="4" t="s">
        <v>7557</v>
      </c>
      <c r="B6008" s="4" t="s">
        <v>7559</v>
      </c>
      <c r="C6008" s="5" t="str">
        <f>IFERROR(__xludf.DUMMYFUNCTION("GOOGLETRANSLATE(B6008,""en"",""de"")"),"Er trifft einen Bowlingkugel mit einem Krockethammer und hält dann einen Bowlingkugel mit einer großen 8.")</f>
        <v>Er trifft einen Bowlingkugel mit einem Krockethammer und hält dann einen Bowlingkugel mit einer großen 8.</v>
      </c>
    </row>
    <row r="6009">
      <c r="A6009" s="4" t="s">
        <v>7557</v>
      </c>
      <c r="B6009" s="4" t="s">
        <v>7560</v>
      </c>
      <c r="C6009" s="5" t="str">
        <f>IFERROR(__xludf.DUMMYFUNCTION("GOOGLETRANSLATE(B6009,""en"",""de"")"),"Eine Frau mit einem großen Kelch befindet sich im selben Feld.")</f>
        <v>Eine Frau mit einem großen Kelch befindet sich im selben Feld.</v>
      </c>
    </row>
    <row r="6010">
      <c r="A6010" s="4" t="s">
        <v>7557</v>
      </c>
      <c r="B6010" s="4" t="s">
        <v>7561</v>
      </c>
      <c r="C6010" s="5" t="str">
        <f>IFERROR(__xludf.DUMMYFUNCTION("GOOGLETRANSLATE(B6010,""en"",""de"")"),"Autos gehen vorbei und die Leute gehen im Hintergrund herum.")</f>
        <v>Autos gehen vorbei und die Leute gehen im Hintergrund herum.</v>
      </c>
    </row>
    <row r="6011">
      <c r="A6011" s="4" t="s">
        <v>7557</v>
      </c>
      <c r="B6011" s="4" t="s">
        <v>7562</v>
      </c>
      <c r="C6011" s="5" t="str">
        <f>IFERROR(__xludf.DUMMYFUNCTION("GOOGLETRANSLATE(B6011,""en"",""de"")"),"Ein Bowlingkugel, der in zwei Hälften geschnitten wird, ist auf dem Boden.")</f>
        <v>Ein Bowlingkugel, der in zwei Hälften geschnitten wird, ist auf dem Boden.</v>
      </c>
    </row>
    <row r="6012">
      <c r="A6012" s="4" t="s">
        <v>7557</v>
      </c>
      <c r="B6012" s="4" t="s">
        <v>7563</v>
      </c>
      <c r="C6012" s="5" t="str">
        <f>IFERROR(__xludf.DUMMYFUNCTION("GOOGLETRANSLATE(B6012,""en"",""de"")"),"Ein paar Kinder sehen sich den Halb Bowling -Ball an.")</f>
        <v>Ein paar Kinder sehen sich den Halb Bowling -Ball an.</v>
      </c>
    </row>
    <row r="6013">
      <c r="A6013" s="4" t="s">
        <v>7557</v>
      </c>
      <c r="B6013" s="4" t="s">
        <v>7564</v>
      </c>
      <c r="C6013" s="5" t="str">
        <f>IFERROR(__xludf.DUMMYFUNCTION("GOOGLETRANSLATE(B6013,""en"",""de"")"),"Ein Mann trifft den ""8"" Ball mit einem Krockethammer und tanzt ein wenig.")</f>
        <v>Ein Mann trifft den "8" Ball mit einem Krockethammer und tanzt ein wenig.</v>
      </c>
    </row>
    <row r="6014">
      <c r="A6014" s="4" t="s">
        <v>7557</v>
      </c>
      <c r="B6014" s="4" t="s">
        <v>7565</v>
      </c>
      <c r="C6014" s="5" t="str">
        <f>IFERROR(__xludf.DUMMYFUNCTION("GOOGLETRANSLATE(B6014,""en"",""de"")"),"Eine Frau trifft 1 Bowlingball gegen eine andere mit einem Schläger.")</f>
        <v>Eine Frau trifft 1 Bowlingball gegen eine andere mit einem Schläger.</v>
      </c>
    </row>
    <row r="6015">
      <c r="A6015" s="4" t="s">
        <v>7557</v>
      </c>
      <c r="B6015" s="4" t="s">
        <v>7566</v>
      </c>
      <c r="C6015" s="5" t="str">
        <f>IFERROR(__xludf.DUMMYFUNCTION("GOOGLETRANSLATE(B6015,""en"",""de"")"),"Ein anderer Mann schlägt einen Bowlingball mit einem Schläger.")</f>
        <v>Ein anderer Mann schlägt einen Bowlingball mit einem Schläger.</v>
      </c>
    </row>
    <row r="6016">
      <c r="A6016" s="4" t="s">
        <v>7557</v>
      </c>
      <c r="B6016" s="4" t="s">
        <v>7567</v>
      </c>
      <c r="C6016" s="5" t="str">
        <f>IFERROR(__xludf.DUMMYFUNCTION("GOOGLETRANSLATE(B6016,""en"",""de"")"),"Ein junges Mädchen schlägt den Ball mit dem Schläger.")</f>
        <v>Ein junges Mädchen schlägt den Ball mit dem Schläger.</v>
      </c>
    </row>
    <row r="6017">
      <c r="A6017" s="4" t="s">
        <v>7557</v>
      </c>
      <c r="B6017" s="4" t="s">
        <v>7568</v>
      </c>
      <c r="C6017" s="5" t="str">
        <f>IFERROR(__xludf.DUMMYFUNCTION("GOOGLETRANSLATE(B6017,""en"",""de"")"),"Ein anderer Mann schlägt einen Bowlingball und tanzt, die jungen Mädchen spielen, während ein Mann, der sich wie ein Joker kleidet, spricht.")</f>
        <v>Ein anderer Mann schlägt einen Bowlingball und tanzt, die jungen Mädchen spielen, während ein Mann, der sich wie ein Joker kleidet, spricht.</v>
      </c>
    </row>
    <row r="6018">
      <c r="A6018" s="4" t="s">
        <v>7557</v>
      </c>
      <c r="B6018" s="4" t="s">
        <v>7569</v>
      </c>
      <c r="C6018" s="5" t="str">
        <f>IFERROR(__xludf.DUMMYFUNCTION("GOOGLETRANSLATE(B6018,""en"",""de"")"),"Das Spiel endet und alle Materialien für das Spiel werden gesammelt.")</f>
        <v>Das Spiel endet und alle Materialien für das Spiel werden gesammelt.</v>
      </c>
    </row>
    <row r="6019">
      <c r="A6019" s="4" t="s">
        <v>7557</v>
      </c>
      <c r="B6019" s="4" t="s">
        <v>7570</v>
      </c>
      <c r="C6019" s="5" t="str">
        <f>IFERROR(__xludf.DUMMYFUNCTION("GOOGLETRANSLATE(B6019,""en"",""de"")"),"Die Frau gibt ihren jungen Mädchen, die sehr aufgeregt sind, Kelch.")</f>
        <v>Die Frau gibt ihren jungen Mädchen, die sehr aufgeregt sind, Kelch.</v>
      </c>
    </row>
    <row r="6020">
      <c r="A6020" s="4" t="s">
        <v>7571</v>
      </c>
      <c r="B6020" s="4" t="s">
        <v>7572</v>
      </c>
      <c r="C6020" s="5" t="str">
        <f>IFERROR(__xludf.DUMMYFUNCTION("GOOGLETRANSLATE(B6020,""en"",""de"")"),"Text besagt, dass das Video angezeigt wird, wie man Farbe kreist.")</f>
        <v>Text besagt, dass das Video angezeigt wird, wie man Farbe kreist.</v>
      </c>
    </row>
    <row r="6021">
      <c r="A6021" s="4" t="s">
        <v>7571</v>
      </c>
      <c r="B6021" s="4" t="s">
        <v>7573</v>
      </c>
      <c r="C6021" s="5" t="str">
        <f>IFERROR(__xludf.DUMMYFUNCTION("GOOGLETRANSLATE(B6021,""en"",""de"")"),"Es wird ein Rettungsfleisch gezeigt, und eine Frau hält eine der Schubladen.")</f>
        <v>Es wird ein Rettungsfleisch gezeigt, und eine Frau hält eine der Schubladen.</v>
      </c>
    </row>
    <row r="6022">
      <c r="A6022" s="4" t="s">
        <v>7571</v>
      </c>
      <c r="B6022" s="4" t="s">
        <v>7574</v>
      </c>
      <c r="C6022" s="5" t="str">
        <f>IFERROR(__xludf.DUMMYFUNCTION("GOOGLETRANSLATE(B6022,""en"",""de"")"),"Sie schleift das Holz hinunter, bevor sie einen Schicht Kreidefarbe mit einem Pinsel aufträgt.")</f>
        <v>Sie schleift das Holz hinunter, bevor sie einen Schicht Kreidefarbe mit einem Pinsel aufträgt.</v>
      </c>
    </row>
    <row r="6023">
      <c r="A6023" s="4" t="s">
        <v>7571</v>
      </c>
      <c r="B6023" s="4" t="s">
        <v>7575</v>
      </c>
      <c r="C6023" s="5" t="str">
        <f>IFERROR(__xludf.DUMMYFUNCTION("GOOGLETRANSLATE(B6023,""en"",""de"")"),"Sie hält die Dosen der Farbe, als sie über das fertige Produkt spricht.")</f>
        <v>Sie hält die Dosen der Farbe, als sie über das fertige Produkt spricht.</v>
      </c>
    </row>
    <row r="6024">
      <c r="A6024" s="4" t="s">
        <v>7571</v>
      </c>
      <c r="B6024" s="4" t="s">
        <v>7576</v>
      </c>
      <c r="C6024" s="5" t="str">
        <f>IFERROR(__xludf.DUMMYFUNCTION("GOOGLETRANSLATE(B6024,""en"",""de"")"),"Der bemalten Rettungsmittel wird ein letztes Mal gezeigt.")</f>
        <v>Der bemalten Rettungsmittel wird ein letztes Mal gezeigt.</v>
      </c>
    </row>
    <row r="6025">
      <c r="A6025" s="4" t="s">
        <v>7577</v>
      </c>
      <c r="B6025" s="4" t="s">
        <v>7578</v>
      </c>
      <c r="C6025" s="5" t="str">
        <f>IFERROR(__xludf.DUMMYFUNCTION("GOOGLETRANSLATE(B6025,""en"",""de"")"),"Eine Show eines Müllcontainers wird ebenso gezeigt wie Frauen, die davor stehen.")</f>
        <v>Eine Show eines Müllcontainers wird ebenso gezeigt wie Frauen, die davor stehen.</v>
      </c>
    </row>
    <row r="6026">
      <c r="A6026" s="4" t="s">
        <v>7577</v>
      </c>
      <c r="B6026" s="4" t="s">
        <v>7579</v>
      </c>
      <c r="C6026" s="5" t="str">
        <f>IFERROR(__xludf.DUMMYFUNCTION("GOOGLETRANSLATE(B6026,""en"",""de"")"),"Die Frau mischt sich über den Müllcontainer, während andere Leute in den Rahmen gehen.")</f>
        <v>Die Frau mischt sich über den Müllcontainer, während andere Leute in den Rahmen gehen.</v>
      </c>
    </row>
    <row r="6027">
      <c r="A6027" s="4" t="s">
        <v>7577</v>
      </c>
      <c r="B6027" s="4" t="s">
        <v>7580</v>
      </c>
      <c r="C6027" s="5" t="str">
        <f>IFERROR(__xludf.DUMMYFUNCTION("GOOGLETRANSLATE(B6027,""en"",""de"")"),"Die Frau bewegt sich dann auf Rollschaufel, während die Kamera ihren Bewegungen folgt.")</f>
        <v>Die Frau bewegt sich dann auf Rollschaufel, während die Kamera ihren Bewegungen folgt.</v>
      </c>
    </row>
    <row r="6028">
      <c r="A6028" s="4" t="s">
        <v>7581</v>
      </c>
      <c r="B6028" s="4" t="s">
        <v>7582</v>
      </c>
      <c r="C6028" s="5" t="str">
        <f>IFERROR(__xludf.DUMMYFUNCTION("GOOGLETRANSLATE(B6028,""en"",""de"")"),"Wir sehen einen kurzen Titelbildschirm.")</f>
        <v>Wir sehen einen kurzen Titelbildschirm.</v>
      </c>
    </row>
    <row r="6029">
      <c r="A6029" s="4" t="s">
        <v>7581</v>
      </c>
      <c r="B6029" s="4" t="s">
        <v>7583</v>
      </c>
      <c r="C6029" s="5" t="str">
        <f>IFERROR(__xludf.DUMMYFUNCTION("GOOGLETRANSLATE(B6029,""en"",""de"")"),"Wir sehen dann einen Mann, der an verschiedenen Dingen in einer Fahrradfabrik arbeitet.")</f>
        <v>Wir sehen dann einen Mann, der an verschiedenen Dingen in einer Fahrradfabrik arbeitet.</v>
      </c>
    </row>
    <row r="6030">
      <c r="A6030" s="4" t="s">
        <v>7581</v>
      </c>
      <c r="B6030" s="4" t="s">
        <v>7584</v>
      </c>
      <c r="C6030" s="5" t="str">
        <f>IFERROR(__xludf.DUMMYFUNCTION("GOOGLETRANSLATE(B6030,""en"",""de"")"),"Der Mann setzt ein Fahrrad schnell zusammen und steckt es in eine Schachtel und dann auf einen Förderband.")</f>
        <v>Der Mann setzt ein Fahrrad schnell zusammen und steckt es in eine Schachtel und dann auf einen Förderband.</v>
      </c>
    </row>
    <row r="6031">
      <c r="A6031" s="4" t="s">
        <v>7581</v>
      </c>
      <c r="B6031" s="4" t="s">
        <v>7585</v>
      </c>
      <c r="C6031" s="5" t="str">
        <f>IFERROR(__xludf.DUMMYFUNCTION("GOOGLETRANSLATE(B6031,""en"",""de"")"),"Wir sehen dann eine Person, die Werkzeuge auf den Fahrradbox legt.")</f>
        <v>Wir sehen dann eine Person, die Werkzeuge auf den Fahrradbox legt.</v>
      </c>
    </row>
    <row r="6032">
      <c r="A6032" s="4" t="s">
        <v>7581</v>
      </c>
      <c r="B6032" s="4" t="s">
        <v>7586</v>
      </c>
      <c r="C6032" s="5" t="str">
        <f>IFERROR(__xludf.DUMMYFUNCTION("GOOGLETRANSLATE(B6032,""en"",""de"")"),"Der Mann beginnt, die Teile teilzunehmen und das Fahrrad zusammenzustellen.")</f>
        <v>Der Mann beginnt, die Teile teilzunehmen und das Fahrrad zusammenzustellen.</v>
      </c>
    </row>
    <row r="6033">
      <c r="A6033" s="4" t="s">
        <v>7581</v>
      </c>
      <c r="B6033" s="4" t="s">
        <v>7587</v>
      </c>
      <c r="C6033" s="5" t="str">
        <f>IFERROR(__xludf.DUMMYFUNCTION("GOOGLETRANSLATE(B6033,""en"",""de"")"),"Wir sehen die Fabrik kurz.")</f>
        <v>Wir sehen die Fabrik kurz.</v>
      </c>
    </row>
    <row r="6034">
      <c r="A6034" s="4" t="s">
        <v>7581</v>
      </c>
      <c r="B6034" s="4" t="s">
        <v>7588</v>
      </c>
      <c r="C6034" s="5" t="str">
        <f>IFERROR(__xludf.DUMMYFUNCTION("GOOGLETRANSLATE(B6034,""en"",""de"")"),"Wir kehren zu dem Mann zurück, der das Fahrrad zusammenstellt.")</f>
        <v>Wir kehren zu dem Mann zurück, der das Fahrrad zusammenstellt.</v>
      </c>
    </row>
    <row r="6035">
      <c r="A6035" s="4" t="s">
        <v>7581</v>
      </c>
      <c r="B6035" s="4" t="s">
        <v>7589</v>
      </c>
      <c r="C6035" s="5" t="str">
        <f>IFERROR(__xludf.DUMMYFUNCTION("GOOGLETRANSLATE(B6035,""en"",""de"")"),"Er beendet und wir sehen die Telefonnummer des Kundendienstes.")</f>
        <v>Er beendet und wir sehen die Telefonnummer des Kundendienstes.</v>
      </c>
    </row>
    <row r="6036">
      <c r="A6036" s="4" t="s">
        <v>7581</v>
      </c>
      <c r="B6036" s="4" t="s">
        <v>7590</v>
      </c>
      <c r="C6036" s="5" t="str">
        <f>IFERROR(__xludf.DUMMYFUNCTION("GOOGLETRANSLATE(B6036,""en"",""de"")"),"Wir sehen dann den End -Titelbildschirm.")</f>
        <v>Wir sehen dann den End -Titelbildschirm.</v>
      </c>
    </row>
    <row r="6037">
      <c r="A6037" s="4" t="s">
        <v>7591</v>
      </c>
      <c r="B6037" s="4" t="s">
        <v>7592</v>
      </c>
      <c r="C6037" s="5" t="str">
        <f>IFERROR(__xludf.DUMMYFUNCTION("GOOGLETRANSLATE(B6037,""en"",""de"")"),"Eine Gruppe eines Mannes und drei Frauen befindet sich auf einem Fitnessstudio.")</f>
        <v>Eine Gruppe eines Mannes und drei Frauen befindet sich auf einem Fitnessstudio.</v>
      </c>
    </row>
    <row r="6038">
      <c r="A6038" s="4" t="s">
        <v>7591</v>
      </c>
      <c r="B6038" s="4" t="s">
        <v>7593</v>
      </c>
      <c r="C6038" s="5" t="str">
        <f>IFERROR(__xludf.DUMMYFUNCTION("GOOGLETRANSLATE(B6038,""en"",""de"")"),"Sie tanzen im Einklang und führen mehrere Bewegungen aus.")</f>
        <v>Sie tanzen im Einklang und führen mehrere Bewegungen aus.</v>
      </c>
    </row>
    <row r="6039">
      <c r="A6039" s="4" t="s">
        <v>7591</v>
      </c>
      <c r="B6039" s="4" t="s">
        <v>7594</v>
      </c>
      <c r="C6039" s="5" t="str">
        <f>IFERROR(__xludf.DUMMYFUNCTION("GOOGLETRANSLATE(B6039,""en"",""de"")"),"Wenn sie fertig sind, lacht eine Frau und rennt weg.")</f>
        <v>Wenn sie fertig sind, lacht eine Frau und rennt weg.</v>
      </c>
    </row>
    <row r="6040">
      <c r="A6040" s="4" t="s">
        <v>7595</v>
      </c>
      <c r="B6040" s="4" t="s">
        <v>7596</v>
      </c>
      <c r="C6040" s="5" t="str">
        <f>IFERROR(__xludf.DUMMYFUNCTION("GOOGLETRANSLATE(B6040,""en"",""de"")"),"Ein Mann fährt drinnen mit einem Skateboard und reitet ihn auf einen kurzen Stehpol am Boden.")</f>
        <v>Ein Mann fährt drinnen mit einem Skateboard und reitet ihn auf einen kurzen Stehpol am Boden.</v>
      </c>
    </row>
    <row r="6041">
      <c r="A6041" s="4" t="s">
        <v>7595</v>
      </c>
      <c r="B6041" s="4" t="s">
        <v>7597</v>
      </c>
      <c r="C6041" s="5" t="str">
        <f>IFERROR(__xludf.DUMMYFUNCTION("GOOGLETRANSLATE(B6041,""en"",""de"")"),"Der gleiche Mann steht jetzt draußen und redet und die Wörter auf dem unteren Bildschirm sagen, sein Name ist ""Shawn Connelly"" und er ist der Gründer- San Francisco Skate Club, und während er zu verschiedenen Zeit sowie Clips von ihm Skateboarding, die "&amp;"unterschiedliche Bewegungen zeigen, die die Wörter erwähnen.")</f>
        <v>Der gleiche Mann steht jetzt draußen und redet und die Wörter auf dem unteren Bildschirm sagen, sein Name ist "Shawn Connelly" und er ist der Gründer- San Francisco Skate Club, und während er zu verschiedenen Zeit sowie Clips von ihm Skateboarding, die unterschiedliche Bewegungen zeigen, die die Wörter erwähnen.</v>
      </c>
    </row>
    <row r="6042">
      <c r="A6042" s="4" t="s">
        <v>7595</v>
      </c>
      <c r="B6042" s="4" t="s">
        <v>7598</v>
      </c>
      <c r="C6042" s="5" t="str">
        <f>IFERROR(__xludf.DUMMYFUNCTION("GOOGLETRANSLATE(B6042,""en"",""de"")"),"Der Mann beendet das Video von nur er, der spricht, keinen Text auf dem Bildschirm und keine anderen Clips, die sich zeigen, während er spricht.")</f>
        <v>Der Mann beendet das Video von nur er, der spricht, keinen Text auf dem Bildschirm und keine anderen Clips, die sich zeigen, während er spricht.</v>
      </c>
    </row>
    <row r="6043">
      <c r="A6043" s="4" t="s">
        <v>7599</v>
      </c>
      <c r="B6043" s="4" t="s">
        <v>7600</v>
      </c>
      <c r="C6043" s="5" t="str">
        <f>IFERROR(__xludf.DUMMYFUNCTION("GOOGLETRANSLATE(B6043,""en"",""de"")"),"Ein Mann in einem roten Kajak rollt ins Wasser und aus dem Wasser.")</f>
        <v>Ein Mann in einem roten Kajak rollt ins Wasser und aus dem Wasser.</v>
      </c>
    </row>
    <row r="6044">
      <c r="A6044" s="4" t="s">
        <v>7599</v>
      </c>
      <c r="B6044" s="4" t="s">
        <v>7601</v>
      </c>
      <c r="C6044" s="5" t="str">
        <f>IFERROR(__xludf.DUMMYFUNCTION("GOOGLETRANSLATE(B6044,""en"",""de"")"),"Er rollt noch einmal ins Wasser.")</f>
        <v>Er rollt noch einmal ins Wasser.</v>
      </c>
    </row>
    <row r="6045">
      <c r="A6045" s="4" t="s">
        <v>7599</v>
      </c>
      <c r="B6045" s="4" t="s">
        <v>7602</v>
      </c>
      <c r="C6045" s="5" t="str">
        <f>IFERROR(__xludf.DUMMYFUNCTION("GOOGLETRANSLATE(B6045,""en"",""de"")"),"Er ist dann in einem blauen Kajak und rollt ins Wasser und aus dem Wasser.")</f>
        <v>Er ist dann in einem blauen Kajak und rollt ins Wasser und aus dem Wasser.</v>
      </c>
    </row>
    <row r="6046">
      <c r="A6046" s="4" t="s">
        <v>7599</v>
      </c>
      <c r="B6046" s="4" t="s">
        <v>7603</v>
      </c>
      <c r="C6046" s="5" t="str">
        <f>IFERROR(__xludf.DUMMYFUNCTION("GOOGLETRANSLATE(B6046,""en"",""de"")"),"Er macht es noch einmal.")</f>
        <v>Er macht es noch einmal.</v>
      </c>
    </row>
    <row r="6047">
      <c r="A6047" s="4" t="s">
        <v>7604</v>
      </c>
      <c r="B6047" s="4" t="s">
        <v>7605</v>
      </c>
      <c r="C6047" s="5" t="str">
        <f>IFERROR(__xludf.DUMMYFUNCTION("GOOGLETRANSLATE(B6047,""en"",""de"")"),"Ein Mann, der ein schwarzes Hemd trägt, öffnet eine Tüte Brot und zieht drei Scheiben Brot heraus.")</f>
        <v>Ein Mann, der ein schwarzes Hemd trägt, öffnet eine Tüte Brot und zieht drei Scheiben Brot heraus.</v>
      </c>
    </row>
    <row r="6048">
      <c r="A6048" s="4" t="s">
        <v>7604</v>
      </c>
      <c r="B6048" s="4" t="s">
        <v>7606</v>
      </c>
      <c r="C6048" s="5" t="str">
        <f>IFERROR(__xludf.DUMMYFUNCTION("GOOGLETRANSLATE(B6048,""en"",""de"")"),"Der Mann hebt eine leere Flasche Wunderpeitsche und wirft sie zurück.")</f>
        <v>Der Mann hebt eine leere Flasche Wunderpeitsche und wirft sie zurück.</v>
      </c>
    </row>
    <row r="6049">
      <c r="A6049" s="4" t="s">
        <v>7604</v>
      </c>
      <c r="B6049" s="4" t="s">
        <v>7607</v>
      </c>
      <c r="C6049" s="5" t="str">
        <f>IFERROR(__xludf.DUMMYFUNCTION("GOOGLETRANSLATE(B6049,""en"",""de"")"),"Der Mann öffnet dann den Kühlschrank und zieht eine neue Flasche Wunderpeitsche heraus.")</f>
        <v>Der Mann öffnet dann den Kühlschrank und zieht eine neue Flasche Wunderpeitsche heraus.</v>
      </c>
    </row>
    <row r="6050">
      <c r="A6050" s="4" t="s">
        <v>7604</v>
      </c>
      <c r="B6050" s="4" t="s">
        <v>7608</v>
      </c>
      <c r="C6050" s="5" t="str">
        <f>IFERROR(__xludf.DUMMYFUNCTION("GOOGLETRANSLATE(B6050,""en"",""de"")"),"Dann benutzt er ein Messer, um die Wunderpeitsche auf die Brotscheiben auszuschöpfen.")</f>
        <v>Dann benutzt er ein Messer, um die Wunderpeitsche auf die Brotscheiben auszuschöpfen.</v>
      </c>
    </row>
    <row r="6051">
      <c r="A6051" s="4" t="s">
        <v>7604</v>
      </c>
      <c r="B6051" s="4" t="s">
        <v>7609</v>
      </c>
      <c r="C6051" s="5" t="str">
        <f>IFERROR(__xludf.DUMMYFUNCTION("GOOGLETRANSLATE(B6051,""en"",""de"")"),"Der Mann öffnet dann eine Tüte Schweizer Käse und legt eine Scheibe auf jedes Brotscheiben.")</f>
        <v>Der Mann öffnet dann eine Tüte Schweizer Käse und legt eine Scheibe auf jedes Brotscheiben.</v>
      </c>
    </row>
    <row r="6052">
      <c r="A6052" s="4" t="s">
        <v>7604</v>
      </c>
      <c r="B6052" s="4" t="s">
        <v>7610</v>
      </c>
      <c r="C6052" s="5" t="str">
        <f>IFERROR(__xludf.DUMMYFUNCTION("GOOGLETRANSLATE(B6052,""en"",""de"")"),"Der Mann bekommt dann einen Behälter Genua Salami aus dem Kühlschrank und stapelt Scheiben auf die Brotscheiben.")</f>
        <v>Der Mann bekommt dann einen Behälter Genua Salami aus dem Kühlschrank und stapelt Scheiben auf die Brotscheiben.</v>
      </c>
    </row>
    <row r="6053">
      <c r="A6053" s="4" t="s">
        <v>7604</v>
      </c>
      <c r="B6053" s="4" t="s">
        <v>7611</v>
      </c>
      <c r="C6053" s="5" t="str">
        <f>IFERROR(__xludf.DUMMYFUNCTION("GOOGLETRANSLATE(B6053,""en"",""de"")"),"Dann legt er die Brotscheiben übereinander und vervollständigt das Sandwich.")</f>
        <v>Dann legt er die Brotscheiben übereinander und vervollständigt das Sandwich.</v>
      </c>
    </row>
    <row r="6054">
      <c r="A6054" s="4" t="s">
        <v>7612</v>
      </c>
      <c r="B6054" s="4" t="s">
        <v>7613</v>
      </c>
      <c r="C6054" s="5" t="str">
        <f>IFERROR(__xludf.DUMMYFUNCTION("GOOGLETRANSLATE(B6054,""en"",""de"")"),"Wir sehen einen Mann und eine Frau zusammen, die zusammen die Stirn steht.")</f>
        <v>Wir sehen einen Mann und eine Frau zusammen, die zusammen die Stirn steht.</v>
      </c>
    </row>
    <row r="6055">
      <c r="A6055" s="4" t="s">
        <v>7612</v>
      </c>
      <c r="B6055" s="4" t="s">
        <v>7614</v>
      </c>
      <c r="C6055" s="5" t="str">
        <f>IFERROR(__xludf.DUMMYFUNCTION("GOOGLETRANSLATE(B6055,""en"",""de"")"),"Die Leute tanzen dann zusammen.")</f>
        <v>Die Leute tanzen dann zusammen.</v>
      </c>
    </row>
    <row r="6056">
      <c r="A6056" s="4" t="s">
        <v>7612</v>
      </c>
      <c r="B6056" s="4" t="s">
        <v>7615</v>
      </c>
      <c r="C6056" s="5" t="str">
        <f>IFERROR(__xludf.DUMMYFUNCTION("GOOGLETRANSLATE(B6056,""en"",""de"")"),"Die Dame hält ihre Beine an ihrer Seite.")</f>
        <v>Die Dame hält ihre Beine an ihrer Seite.</v>
      </c>
    </row>
    <row r="6057">
      <c r="A6057" s="4" t="s">
        <v>7612</v>
      </c>
      <c r="B6057" s="4" t="s">
        <v>7616</v>
      </c>
      <c r="C6057" s="5" t="str">
        <f>IFERROR(__xludf.DUMMYFUNCTION("GOOGLETRANSLATE(B6057,""en"",""de"")"),"Der Mann schwingt die Frau herum.")</f>
        <v>Der Mann schwingt die Frau herum.</v>
      </c>
    </row>
    <row r="6058">
      <c r="A6058" s="4" t="s">
        <v>7612</v>
      </c>
      <c r="B6058" s="4" t="s">
        <v>7617</v>
      </c>
      <c r="C6058" s="5" t="str">
        <f>IFERROR(__xludf.DUMMYFUNCTION("GOOGLETRANSLATE(B6058,""en"",""de"")"),"Die Dame schüttelt ihre Hüften.")</f>
        <v>Die Dame schüttelt ihre Hüften.</v>
      </c>
    </row>
    <row r="6059">
      <c r="A6059" s="4" t="s">
        <v>7612</v>
      </c>
      <c r="B6059" s="4" t="s">
        <v>7618</v>
      </c>
      <c r="C6059" s="5" t="str">
        <f>IFERROR(__xludf.DUMMYFUNCTION("GOOGLETRANSLATE(B6059,""en"",""de"")"),"Die Dame biegt sich nieder und der Mann schlang seine Arme um sie.")</f>
        <v>Die Dame biegt sich nieder und der Mann schlang seine Arme um sie.</v>
      </c>
    </row>
    <row r="6060">
      <c r="A6060" s="4" t="s">
        <v>7612</v>
      </c>
      <c r="B6060" s="4" t="s">
        <v>7619</v>
      </c>
      <c r="C6060" s="5" t="str">
        <f>IFERROR(__xludf.DUMMYFUNCTION("GOOGLETRANSLATE(B6060,""en"",""de"")"),"Die Leute sind voneinander zurück.")</f>
        <v>Die Leute sind voneinander zurück.</v>
      </c>
    </row>
    <row r="6061">
      <c r="A6061" s="4" t="s">
        <v>7620</v>
      </c>
      <c r="B6061" s="4" t="s">
        <v>7621</v>
      </c>
      <c r="C6061" s="5" t="str">
        <f>IFERROR(__xludf.DUMMYFUNCTION("GOOGLETRANSLATE(B6061,""en"",""de"")"),"Ein Lacrosse -Spieler, der ein weißes Trikot trägt und einen Lacrosse -Stock hält, spricht über die Positionen von Lacrosse.")</f>
        <v>Ein Lacrosse -Spieler, der ein weißes Trikot trägt und einen Lacrosse -Stock hält, spricht über die Positionen von Lacrosse.</v>
      </c>
    </row>
    <row r="6062">
      <c r="A6062" s="4" t="s">
        <v>7620</v>
      </c>
      <c r="B6062" s="4" t="s">
        <v>7622</v>
      </c>
      <c r="C6062" s="5" t="str">
        <f>IFERROR(__xludf.DUMMYFUNCTION("GOOGLETRANSLATE(B6062,""en"",""de"")"),"Er steht in einem Feld, das sich neben einer geschäftigen Straße befindet und viele Autos vorbeifahren.")</f>
        <v>Er steht in einem Feld, das sich neben einer geschäftigen Straße befindet und viele Autos vorbeifahren.</v>
      </c>
    </row>
    <row r="6063">
      <c r="A6063" s="4" t="s">
        <v>7620</v>
      </c>
      <c r="B6063" s="4" t="s">
        <v>7623</v>
      </c>
      <c r="C6063" s="5" t="str">
        <f>IFERROR(__xludf.DUMMYFUNCTION("GOOGLETRANSLATE(B6063,""en"",""de"")"),"Er demonstriert die verschiedenen Positionen und Möglichkeiten, den Lacrosse -Stick mit einem anderen Mann zu verwenden.")</f>
        <v>Er demonstriert die verschiedenen Positionen und Möglichkeiten, den Lacrosse -Stick mit einem anderen Mann zu verwenden.</v>
      </c>
    </row>
    <row r="6064">
      <c r="A6064" s="4" t="s">
        <v>7620</v>
      </c>
      <c r="B6064" s="4" t="s">
        <v>7624</v>
      </c>
      <c r="C6064" s="5" t="str">
        <f>IFERROR(__xludf.DUMMYFUNCTION("GOOGLETRANSLATE(B6064,""en"",""de"")"),"Er erklärt, wie die Tore in Lacrosse erzielt werden.")</f>
        <v>Er erklärt, wie die Tore in Lacrosse erzielt werden.</v>
      </c>
    </row>
    <row r="6065">
      <c r="A6065" s="4" t="s">
        <v>7625</v>
      </c>
      <c r="B6065" s="4" t="s">
        <v>7626</v>
      </c>
      <c r="C6065" s="5" t="str">
        <f>IFERROR(__xludf.DUMMYFUNCTION("GOOGLETRANSLATE(B6065,""en"",""de"")"),"Ein Junge hält eine Gitarre in einem Raum.")</f>
        <v>Ein Junge hält eine Gitarre in einem Raum.</v>
      </c>
    </row>
    <row r="6066">
      <c r="A6066" s="4" t="s">
        <v>7625</v>
      </c>
      <c r="B6066" s="4" t="s">
        <v>7627</v>
      </c>
      <c r="C6066" s="5" t="str">
        <f>IFERROR(__xludf.DUMMYFUNCTION("GOOGLETRANSLATE(B6066,""en"",""de"")"),"Er sitzt auf einem Bett.")</f>
        <v>Er sitzt auf einem Bett.</v>
      </c>
    </row>
    <row r="6067">
      <c r="A6067" s="4" t="s">
        <v>7625</v>
      </c>
      <c r="B6067" s="4" t="s">
        <v>7628</v>
      </c>
      <c r="C6067" s="5" t="str">
        <f>IFERROR(__xludf.DUMMYFUNCTION("GOOGLETRANSLATE(B6067,""en"",""de"")"),"Er beginnt Gitarre zu spielen.")</f>
        <v>Er beginnt Gitarre zu spielen.</v>
      </c>
    </row>
    <row r="6068">
      <c r="A6068" s="4" t="s">
        <v>7625</v>
      </c>
      <c r="B6068" s="4" t="s">
        <v>7629</v>
      </c>
      <c r="C6068" s="5" t="str">
        <f>IFERROR(__xludf.DUMMYFUNCTION("GOOGLETRANSLATE(B6068,""en"",""de"")"),"Schließlich beendet er das Lied.")</f>
        <v>Schließlich beendet er das Lied.</v>
      </c>
    </row>
    <row r="6069">
      <c r="A6069" s="4" t="s">
        <v>7630</v>
      </c>
      <c r="B6069" s="4" t="s">
        <v>7631</v>
      </c>
      <c r="C6069" s="5" t="str">
        <f>IFERROR(__xludf.DUMMYFUNCTION("GOOGLETRANSLATE(B6069,""en"",""de"")"),"Auf einem Bürgersteig, auf dem mehrere Autos geparkt sind, ist eine Person, die auf einem Bürgersteig spaziert.")</f>
        <v>Auf einem Bürgersteig, auf dem mehrere Autos geparkt sind, ist eine Person, die auf einem Bürgersteig spaziert.</v>
      </c>
    </row>
    <row r="6070">
      <c r="A6070" s="4" t="s">
        <v>7630</v>
      </c>
      <c r="B6070" s="4" t="s">
        <v>7632</v>
      </c>
      <c r="C6070" s="5" t="str">
        <f>IFERROR(__xludf.DUMMYFUNCTION("GOOGLETRANSLATE(B6070,""en"",""de"")"),"Er zeigt, wie man auf Stelzen geht.")</f>
        <v>Er zeigt, wie man auf Stelzen geht.</v>
      </c>
    </row>
    <row r="6071">
      <c r="A6071" s="4" t="s">
        <v>7630</v>
      </c>
      <c r="B6071" s="4" t="s">
        <v>7633</v>
      </c>
      <c r="C6071" s="5" t="str">
        <f>IFERROR(__xludf.DUMMYFUNCTION("GOOGLETRANSLATE(B6071,""en"",""de"")"),"Er wird von zwei anderen Männern begleitet, die sich ihm auch im Tutorial anschließen.")</f>
        <v>Er wird von zwei anderen Männern begleitet, die sich ihm auch im Tutorial anschließen.</v>
      </c>
    </row>
    <row r="6072">
      <c r="A6072" s="4" t="s">
        <v>7630</v>
      </c>
      <c r="B6072" s="4" t="s">
        <v>7634</v>
      </c>
      <c r="C6072" s="5" t="str">
        <f>IFERROR(__xludf.DUMMYFUNCTION("GOOGLETRANSLATE(B6072,""en"",""de"")"),"Der Mann auf Stelzen zeigt, wie schnell er auf den Stelzen rennen kann und hoch nach oben springt.")</f>
        <v>Der Mann auf Stelzen zeigt, wie schnell er auf den Stelzen rennen kann und hoch nach oben springt.</v>
      </c>
    </row>
    <row r="6073">
      <c r="A6073" s="4" t="s">
        <v>7630</v>
      </c>
      <c r="B6073" s="4" t="s">
        <v>7635</v>
      </c>
      <c r="C6073" s="5" t="str">
        <f>IFERROR(__xludf.DUMMYFUNCTION("GOOGLETRANSLATE(B6073,""en"",""de"")"),"Während er auf den Stelzen läuft, fährt sein Freund mit ihm in einem Auto.")</f>
        <v>Während er auf den Stelzen läuft, fährt sein Freund mit ihm in einem Auto.</v>
      </c>
    </row>
    <row r="6074">
      <c r="A6074" s="4" t="s">
        <v>7630</v>
      </c>
      <c r="B6074" s="4" t="s">
        <v>7636</v>
      </c>
      <c r="C6074" s="5" t="str">
        <f>IFERROR(__xludf.DUMMYFUNCTION("GOOGLETRANSLATE(B6074,""en"",""de"")"),"Der Mann macht weiterhin Stunts auf den Stelzen.")</f>
        <v>Der Mann macht weiterhin Stunts auf den Stelzen.</v>
      </c>
    </row>
    <row r="6075">
      <c r="A6075" s="4" t="s">
        <v>7637</v>
      </c>
      <c r="B6075" s="4" t="s">
        <v>7638</v>
      </c>
      <c r="C6075" s="5" t="str">
        <f>IFERROR(__xludf.DUMMYFUNCTION("GOOGLETRANSLATE(B6075,""en"",""de"")"),"Ein junges Mädchen steht in einer Ballettstange, die Ballettbewegungen ausführt.")</f>
        <v>Ein junges Mädchen steht in einer Ballettstange, die Ballettbewegungen ausführt.</v>
      </c>
    </row>
    <row r="6076">
      <c r="A6076" s="4" t="s">
        <v>7637</v>
      </c>
      <c r="B6076" s="4" t="s">
        <v>7639</v>
      </c>
      <c r="C6076" s="5" t="str">
        <f>IFERROR(__xludf.DUMMYFUNCTION("GOOGLETRANSLATE(B6076,""en"",""de"")"),"Ein Mädchen tanzt auf der Bühne, gefolgt von einer großen Gruppe von Mädchen, die sich aufwärmen.")</f>
        <v>Ein Mädchen tanzt auf der Bühne, gefolgt von einer großen Gruppe von Mädchen, die sich aufwärmen.</v>
      </c>
    </row>
    <row r="6077">
      <c r="A6077" s="4" t="s">
        <v>7637</v>
      </c>
      <c r="B6077" s="4" t="s">
        <v>7640</v>
      </c>
      <c r="C6077" s="5" t="str">
        <f>IFERROR(__xludf.DUMMYFUNCTION("GOOGLETRANSLATE(B6077,""en"",""de"")"),"Die Mädchen dehnen sich weiter und führen in die Frau, die ihren Fuß zeigte.")</f>
        <v>Die Mädchen dehnen sich weiter und führen in die Frau, die ihren Fuß zeigte.</v>
      </c>
    </row>
    <row r="6078">
      <c r="A6078" s="4" t="s">
        <v>7641</v>
      </c>
      <c r="B6078" s="4" t="s">
        <v>7642</v>
      </c>
      <c r="C6078" s="5" t="str">
        <f>IFERROR(__xludf.DUMMYFUNCTION("GOOGLETRANSLATE(B6078,""en"",""de"")"),"Ein Teenager setzt einen Mann im Gesicht aus.")</f>
        <v>Ein Teenager setzt einen Mann im Gesicht aus.</v>
      </c>
    </row>
    <row r="6079">
      <c r="A6079" s="4" t="s">
        <v>7641</v>
      </c>
      <c r="B6079" s="4" t="s">
        <v>7643</v>
      </c>
      <c r="C6079" s="5" t="str">
        <f>IFERROR(__xludf.DUMMYFUNCTION("GOOGLETRANSLATE(B6079,""en"",""de"")"),"Dann setzt der Teenager Mascara, Lippenstöcke und malt das Augenlid mit einem Eyeliner.")</f>
        <v>Dann setzt der Teenager Mascara, Lippenstöcke und malt das Augenlid mit einem Eyeliner.</v>
      </c>
    </row>
    <row r="6080">
      <c r="A6080" s="4" t="s">
        <v>7641</v>
      </c>
      <c r="B6080" s="4" t="s">
        <v>7644</v>
      </c>
      <c r="C6080" s="5" t="str">
        <f>IFERROR(__xludf.DUMMYFUNCTION("GOOGLETRANSLATE(B6080,""en"",""de"")"),"Dann legt der Teenager die Farbe auf die Wangen, dann myeliniert sie die Augenlider.")</f>
        <v>Dann legt der Teenager die Farbe auf die Wangen, dann myeliniert sie die Augenlider.</v>
      </c>
    </row>
    <row r="6081">
      <c r="A6081" s="4" t="s">
        <v>7641</v>
      </c>
      <c r="B6081" s="4" t="s">
        <v>7645</v>
      </c>
      <c r="C6081" s="5" t="str">
        <f>IFERROR(__xludf.DUMMYFUNCTION("GOOGLETRANSLATE(B6081,""en"",""de"")"),"Danach malt der Teenager den Mund und legte Lippenstift auf die Wangen und malt die Augenlider.")</f>
        <v>Danach malt der Teenager den Mund und legte Lippenstift auf die Wangen und malt die Augenlider.</v>
      </c>
    </row>
    <row r="6082">
      <c r="A6082" s="4" t="s">
        <v>7646</v>
      </c>
      <c r="B6082" s="4" t="s">
        <v>7647</v>
      </c>
      <c r="C6082" s="5" t="str">
        <f>IFERROR(__xludf.DUMMYFUNCTION("GOOGLETRANSLATE(B6082,""en"",""de"")"),"Zwei Personen zäunen in einem Raum.")</f>
        <v>Zwei Personen zäunen in einem Raum.</v>
      </c>
    </row>
    <row r="6083">
      <c r="A6083" s="4" t="s">
        <v>7646</v>
      </c>
      <c r="B6083" s="4" t="s">
        <v>7648</v>
      </c>
      <c r="C6083" s="5" t="str">
        <f>IFERROR(__xludf.DUMMYFUNCTION("GOOGLETRANSLATE(B6083,""en"",""de"")"),"Eine Person steht neben einer Wand und beobachtet sie.")</f>
        <v>Eine Person steht neben einer Wand und beobachtet sie.</v>
      </c>
    </row>
    <row r="6084">
      <c r="A6084" s="4" t="s">
        <v>7646</v>
      </c>
      <c r="B6084" s="4" t="s">
        <v>7649</v>
      </c>
      <c r="C6084" s="5" t="str">
        <f>IFERROR(__xludf.DUMMYFUNCTION("GOOGLETRANSLATE(B6084,""en"",""de"")"),"Sie hören auf und gehen weg.")</f>
        <v>Sie hören auf und gehen weg.</v>
      </c>
    </row>
    <row r="6085">
      <c r="A6085" s="4" t="s">
        <v>7650</v>
      </c>
      <c r="B6085" s="4" t="s">
        <v>7651</v>
      </c>
      <c r="C6085" s="5" t="str">
        <f>IFERROR(__xludf.DUMMYFUNCTION("GOOGLETRANSLATE(B6085,""en"",""de"")"),"Ein Junge ist auf einem Tennisplatz draußen.")</f>
        <v>Ein Junge ist auf einem Tennisplatz draußen.</v>
      </c>
    </row>
    <row r="6086">
      <c r="A6086" s="4" t="s">
        <v>7650</v>
      </c>
      <c r="B6086" s="4" t="s">
        <v>7652</v>
      </c>
      <c r="C6086" s="5" t="str">
        <f>IFERROR(__xludf.DUMMYFUNCTION("GOOGLETRANSLATE(B6086,""en"",""de"")"),"Er serviert den Ball mit einem Schläger.")</f>
        <v>Er serviert den Ball mit einem Schläger.</v>
      </c>
    </row>
    <row r="6087">
      <c r="A6087" s="4" t="s">
        <v>7650</v>
      </c>
      <c r="B6087" s="4" t="s">
        <v>7653</v>
      </c>
      <c r="C6087" s="5" t="str">
        <f>IFERROR(__xludf.DUMMYFUNCTION("GOOGLETRANSLATE(B6087,""en"",""de"")"),"Er dient es noch ein paar Mal und schlägt es jedes Mal.")</f>
        <v>Er dient es noch ein paar Mal und schlägt es jedes Mal.</v>
      </c>
    </row>
    <row r="6088">
      <c r="A6088" s="4" t="s">
        <v>7654</v>
      </c>
      <c r="B6088" s="4" t="s">
        <v>7655</v>
      </c>
      <c r="C6088" s="5" t="str">
        <f>IFERROR(__xludf.DUMMYFUNCTION("GOOGLETRANSLATE(B6088,""en"",""de"")"),"Kaffee wird in einer elektrischen Mühle gemahlen.")</f>
        <v>Kaffee wird in einer elektrischen Mühle gemahlen.</v>
      </c>
    </row>
    <row r="6089">
      <c r="A6089" s="4" t="s">
        <v>7654</v>
      </c>
      <c r="B6089" s="4" t="s">
        <v>7656</v>
      </c>
      <c r="C6089" s="5" t="str">
        <f>IFERROR(__xludf.DUMMYFUNCTION("GOOGLETRANSLATE(B6089,""en"",""de"")"),"Eine Tasse Kaffee und Kaffeepresse wird auf einen Tisch gesetzt.")</f>
        <v>Eine Tasse Kaffee und Kaffeepresse wird auf einen Tisch gesetzt.</v>
      </c>
    </row>
    <row r="6090">
      <c r="A6090" s="4" t="s">
        <v>7654</v>
      </c>
      <c r="B6090" s="4" t="s">
        <v>7657</v>
      </c>
      <c r="C6090" s="5" t="str">
        <f>IFERROR(__xludf.DUMMYFUNCTION("GOOGLETRANSLATE(B6090,""en"",""de"")"),"Milch wird in die Tasse Kaffee gegossen.")</f>
        <v>Milch wird in die Tasse Kaffee gegossen.</v>
      </c>
    </row>
    <row r="6091">
      <c r="A6091" s="4" t="s">
        <v>7654</v>
      </c>
      <c r="B6091" s="4" t="s">
        <v>7658</v>
      </c>
      <c r="C6091" s="5" t="str">
        <f>IFERROR(__xludf.DUMMYFUNCTION("GOOGLETRANSLATE(B6091,""en"",""de"")"),"Die Tasse Kaffee wird abgeholt und wieder auf die Untertasse gesetzt.")</f>
        <v>Die Tasse Kaffee wird abgeholt und wieder auf die Untertasse gesetzt.</v>
      </c>
    </row>
    <row r="6092">
      <c r="A6092" s="4" t="s">
        <v>7659</v>
      </c>
      <c r="B6092" s="4" t="s">
        <v>7660</v>
      </c>
      <c r="C6092" s="5" t="str">
        <f>IFERROR(__xludf.DUMMYFUNCTION("GOOGLETRANSLATE(B6092,""en"",""de"")"),"Eine männliche Figur ist in einem Fitnessstudio auf der Matte zu sehen und führt Anweisungen zur Kamera zur Ausführung einer Übung aus.")</f>
        <v>Eine männliche Figur ist in einem Fitnessstudio auf der Matte zu sehen und führt Anweisungen zur Kamera zur Ausführung einer Übung aus.</v>
      </c>
    </row>
    <row r="6093">
      <c r="A6093" s="4" t="s">
        <v>7659</v>
      </c>
      <c r="B6093" s="4" t="s">
        <v>7661</v>
      </c>
      <c r="C6093" s="5" t="str">
        <f>IFERROR(__xludf.DUMMYFUNCTION("GOOGLETRANSLATE(B6093,""en"",""de"")"),"Er zeigt, wie man Übungen an einem elastischen Band durchführt, das an einem festen Pol befestigt ist.")</f>
        <v>Er zeigt, wie man Übungen an einem elastischen Band durchführt, das an einem festen Pol befestigt ist.</v>
      </c>
    </row>
    <row r="6094">
      <c r="A6094" s="4" t="s">
        <v>7659</v>
      </c>
      <c r="B6094" s="4" t="s">
        <v>7662</v>
      </c>
      <c r="C6094" s="5" t="str">
        <f>IFERROR(__xludf.DUMMYFUNCTION("GOOGLETRANSLATE(B6094,""en"",""de"")"),"Er packt das Elastizitätsband und zieht es zu sich selbst.")</f>
        <v>Er packt das Elastizitätsband und zieht es zu sich selbst.</v>
      </c>
    </row>
    <row r="6095">
      <c r="A6095" s="4" t="s">
        <v>7659</v>
      </c>
      <c r="B6095" s="4" t="s">
        <v>7663</v>
      </c>
      <c r="C6095" s="5" t="str">
        <f>IFERROR(__xludf.DUMMYFUNCTION("GOOGLETRANSLATE(B6095,""en"",""de"")"),"Danach schiebt er die Band von sich selbst als er und demonstriert die ordnungsgemäße Nutzung der Ausrüstung.")</f>
        <v>Danach schiebt er die Band von sich selbst als er und demonstriert die ordnungsgemäße Nutzung der Ausrüstung.</v>
      </c>
    </row>
    <row r="6096">
      <c r="A6096" s="4" t="s">
        <v>7664</v>
      </c>
      <c r="B6096" s="4" t="s">
        <v>7665</v>
      </c>
      <c r="C6096" s="5" t="str">
        <f>IFERROR(__xludf.DUMMYFUNCTION("GOOGLETRANSLATE(B6096,""en"",""de"")"),"Eine Frau wird gesehen, wie ein Kamel mit zwei kleinen Kindern herumfährt.")</f>
        <v>Eine Frau wird gesehen, wie ein Kamel mit zwei kleinen Kindern herumfährt.</v>
      </c>
    </row>
    <row r="6097">
      <c r="A6097" s="4" t="s">
        <v>7664</v>
      </c>
      <c r="B6097" s="4" t="s">
        <v>7666</v>
      </c>
      <c r="C6097" s="5" t="str">
        <f>IFERROR(__xludf.DUMMYFUNCTION("GOOGLETRANSLATE(B6097,""en"",""de"")"),"Die Kinder winken zur Kamera, während sie um ihre Fahrt schwenkt und das Kamel in die Luft spuckt.")</f>
        <v>Die Kinder winken zur Kamera, während sie um ihre Fahrt schwenkt und das Kamel in die Luft spuckt.</v>
      </c>
    </row>
    <row r="6098">
      <c r="A6098" s="4" t="s">
        <v>7667</v>
      </c>
      <c r="B6098" s="4" t="s">
        <v>7668</v>
      </c>
      <c r="C6098" s="5" t="str">
        <f>IFERROR(__xludf.DUMMYFUNCTION("GOOGLETRANSLATE(B6098,""en"",""de"")"),"Ein weiblicher Turner steht untätig, während er von einer Menge beobachtet wird.")</f>
        <v>Ein weiblicher Turner steht untätig, während er von einer Menge beobachtet wird.</v>
      </c>
    </row>
    <row r="6099">
      <c r="A6099" s="4" t="s">
        <v>7667</v>
      </c>
      <c r="B6099" s="4" t="s">
        <v>7669</v>
      </c>
      <c r="C6099" s="5" t="str">
        <f>IFERROR(__xludf.DUMMYFUNCTION("GOOGLETRANSLATE(B6099,""en"",""de"")"),"Eine Nahaufnahme einer zweiten Frau, die sagt, dass etwas gezeigt wird.")</f>
        <v>Eine Nahaufnahme einer zweiten Frau, die sagt, dass etwas gezeigt wird.</v>
      </c>
    </row>
    <row r="6100">
      <c r="A6100" s="4" t="s">
        <v>7667</v>
      </c>
      <c r="B6100" s="4" t="s">
        <v>7670</v>
      </c>
      <c r="C6100" s="5" t="str">
        <f>IFERROR(__xludf.DUMMYFUNCTION("GOOGLETRANSLATE(B6100,""en"",""de"")"),"Der Turner führt eine Routine auf einem Strahl durch.")</f>
        <v>Der Turner führt eine Routine auf einem Strahl durch.</v>
      </c>
    </row>
    <row r="6101">
      <c r="A6101" s="4" t="s">
        <v>7667</v>
      </c>
      <c r="B6101" s="4" t="s">
        <v>7671</v>
      </c>
      <c r="C6101" s="5" t="str">
        <f>IFERROR(__xludf.DUMMYFUNCTION("GOOGLETRANSLATE(B6101,""en"",""de"")"),"Die weibliche Turnerin beendet ihre Routine und ihre Abläufe.")</f>
        <v>Die weibliche Turnerin beendet ihre Routine und ihre Abläufe.</v>
      </c>
    </row>
    <row r="6102">
      <c r="A6102" s="4" t="s">
        <v>7667</v>
      </c>
      <c r="B6102" s="4" t="s">
        <v>7672</v>
      </c>
      <c r="C6102" s="5" t="str">
        <f>IFERROR(__xludf.DUMMYFUNCTION("GOOGLETRANSLATE(B6102,""en"",""de"")"),"Die Leute werden gezeigt, dass sie den Turner applaudieren.")</f>
        <v>Die Leute werden gezeigt, dass sie den Turner applaudieren.</v>
      </c>
    </row>
    <row r="6103">
      <c r="A6103" s="4" t="s">
        <v>7667</v>
      </c>
      <c r="B6103" s="4" t="s">
        <v>7673</v>
      </c>
      <c r="C6103" s="5" t="str">
        <f>IFERROR(__xludf.DUMMYFUNCTION("GOOGLETRANSLATE(B6103,""en"",""de"")"),"Der Turner geht vom Strahl weg.")</f>
        <v>Der Turner geht vom Strahl weg.</v>
      </c>
    </row>
    <row r="6104">
      <c r="A6104" s="4" t="s">
        <v>7674</v>
      </c>
      <c r="B6104" s="4" t="s">
        <v>7675</v>
      </c>
      <c r="C6104" s="5" t="str">
        <f>IFERROR(__xludf.DUMMYFUNCTION("GOOGLETRANSLATE(B6104,""en"",""de"")"),"Ein Mann wird gesehen, wie sich über einen großen Satz Gewichte beugt, ein weiterer hinter ihm.")</f>
        <v>Ein Mann wird gesehen, wie sich über einen großen Satz Gewichte beugt, ein weiterer hinter ihm.</v>
      </c>
    </row>
    <row r="6105">
      <c r="A6105" s="4" t="s">
        <v>7674</v>
      </c>
      <c r="B6105" s="4" t="s">
        <v>7676</v>
      </c>
      <c r="C6105" s="5" t="str">
        <f>IFERROR(__xludf.DUMMYFUNCTION("GOOGLETRANSLATE(B6105,""en"",""de"")"),"Der Mann hebt die Stange über seinen Kopf und wirft sie wieder nach unten.")</f>
        <v>Der Mann hebt die Stange über seinen Kopf und wirft sie wieder nach unten.</v>
      </c>
    </row>
    <row r="6106">
      <c r="A6106" s="4" t="s">
        <v>7674</v>
      </c>
      <c r="B6106" s="4" t="s">
        <v>7677</v>
      </c>
      <c r="C6106" s="5" t="str">
        <f>IFERROR(__xludf.DUMMYFUNCTION("GOOGLETRANSLATE(B6106,""en"",""de"")"),"Der Mann macht das noch einmal, während die Leute an den Seiten zuschauen.")</f>
        <v>Der Mann macht das noch einmal, während die Leute an den Seiten zuschauen.</v>
      </c>
    </row>
    <row r="6107">
      <c r="A6107" s="4" t="s">
        <v>7678</v>
      </c>
      <c r="B6107" s="4" t="s">
        <v>7679</v>
      </c>
      <c r="C6107" s="5" t="str">
        <f>IFERROR(__xludf.DUMMYFUNCTION("GOOGLETRANSLATE(B6107,""en"",""de"")"),"Eine Pinata schwingt in der Mitte der Menschen, gefolgt von einem Mädchen, das einen Stock greift.")</f>
        <v>Eine Pinata schwingt in der Mitte der Menschen, gefolgt von einem Mädchen, das einen Stock greift.</v>
      </c>
    </row>
    <row r="6108">
      <c r="A6108" s="4" t="s">
        <v>7678</v>
      </c>
      <c r="B6108" s="4" t="s">
        <v>7680</v>
      </c>
      <c r="C6108" s="5" t="str">
        <f>IFERROR(__xludf.DUMMYFUNCTION("GOOGLETRANSLATE(B6108,""en"",""de"")"),"Sie bewegt sich rund um den Raum und schwingt in der Pinata und ein anderes Mädchen, das mit ihrem Vater schwingt.")</f>
        <v>Sie bewegt sich rund um den Raum und schwingt in der Pinata und ein anderes Mädchen, das mit ihrem Vater schwingt.</v>
      </c>
    </row>
    <row r="6109">
      <c r="A6109" s="4" t="s">
        <v>7678</v>
      </c>
      <c r="B6109" s="4" t="s">
        <v>7681</v>
      </c>
      <c r="C6109" s="5" t="str">
        <f>IFERROR(__xludf.DUMMYFUNCTION("GOOGLETRANSLATE(B6109,""en"",""de"")"),"Ein kleiner Junge geht auf, um zu versuchen, es ebenso wie ein anderer Junge zu treffen.")</f>
        <v>Ein kleiner Junge geht auf, um zu versuchen, es ebenso wie ein anderer Junge zu treffen.</v>
      </c>
    </row>
    <row r="6110">
      <c r="A6110" s="4" t="s">
        <v>7682</v>
      </c>
      <c r="B6110" s="4" t="s">
        <v>7683</v>
      </c>
      <c r="C6110" s="5" t="str">
        <f>IFERROR(__xludf.DUMMYFUNCTION("GOOGLETRANSLATE(B6110,""en"",""de"")"),"Ein Typ winkt und spricht dann.")</f>
        <v>Ein Typ winkt und spricht dann.</v>
      </c>
    </row>
    <row r="6111">
      <c r="A6111" s="4" t="s">
        <v>7682</v>
      </c>
      <c r="B6111" s="4" t="s">
        <v>7684</v>
      </c>
      <c r="C6111" s="5" t="str">
        <f>IFERROR(__xludf.DUMMYFUNCTION("GOOGLETRANSLATE(B6111,""en"",""de"")"),"Ein Mann nähert sich und schnappt sich einen Teller.")</f>
        <v>Ein Mann nähert sich und schnappt sich einen Teller.</v>
      </c>
    </row>
    <row r="6112">
      <c r="A6112" s="4" t="s">
        <v>7682</v>
      </c>
      <c r="B6112" s="4" t="s">
        <v>7685</v>
      </c>
      <c r="C6112" s="5" t="str">
        <f>IFERROR(__xludf.DUMMYFUNCTION("GOOGLETRANSLATE(B6112,""en"",""de"")"),"Der Mann nimmt den Teller zum Waschbecken.")</f>
        <v>Der Mann nimmt den Teller zum Waschbecken.</v>
      </c>
    </row>
    <row r="6113">
      <c r="A6113" s="4" t="s">
        <v>7682</v>
      </c>
      <c r="B6113" s="4" t="s">
        <v>7686</v>
      </c>
      <c r="C6113" s="5" t="str">
        <f>IFERROR(__xludf.DUMMYFUNCTION("GOOGLETRANSLATE(B6113,""en"",""de"")"),"Der männliche taucht die Platte ins Wasser und verwendet einen weißen Teppich, um ihn zu waschen.")</f>
        <v>Der männliche taucht die Platte ins Wasser und verwendet einen weißen Teppich, um ihn zu waschen.</v>
      </c>
    </row>
    <row r="6114">
      <c r="A6114" s="4" t="s">
        <v>7682</v>
      </c>
      <c r="B6114" s="4" t="s">
        <v>7687</v>
      </c>
      <c r="C6114" s="5" t="str">
        <f>IFERROR(__xludf.DUMMYFUNCTION("GOOGLETRANSLATE(B6114,""en"",""de"")"),"Die männliche spült die gewaschene Platte.")</f>
        <v>Die männliche spült die gewaschene Platte.</v>
      </c>
    </row>
    <row r="6115">
      <c r="A6115" s="4" t="s">
        <v>7682</v>
      </c>
      <c r="B6115" s="4" t="s">
        <v>7688</v>
      </c>
      <c r="C6115" s="5" t="str">
        <f>IFERROR(__xludf.DUMMYFUNCTION("GOOGLETRANSLATE(B6115,""en"",""de"")"),"Der Männchen tränkt den weißen Teller und legt ihn dann auf einen Tier -Trocknungsregal.")</f>
        <v>Der Männchen tränkt den weißen Teller und legt ihn dann auf einen Tier -Trocknungsregal.</v>
      </c>
    </row>
    <row r="6116">
      <c r="A6116" s="4" t="s">
        <v>7682</v>
      </c>
      <c r="B6116" s="4" t="s">
        <v>7689</v>
      </c>
      <c r="C6116" s="5" t="str">
        <f>IFERROR(__xludf.DUMMYFUNCTION("GOOGLETRANSLATE(B6116,""en"",""de"")"),"Der Mann gibt einen Daumen hoch.")</f>
        <v>Der Mann gibt einen Daumen hoch.</v>
      </c>
    </row>
    <row r="6117">
      <c r="A6117" s="4" t="s">
        <v>7690</v>
      </c>
      <c r="B6117" s="4" t="s">
        <v>7691</v>
      </c>
      <c r="C6117" s="5" t="str">
        <f>IFERROR(__xludf.DUMMYFUNCTION("GOOGLETRANSLATE(B6117,""en"",""de"")"),"Ein Mann wird gesehen, der einen Rubix -Würfel in seine Hände dreht, gefolgt von mehr Menschen, die versuchen, das Rätsel zu lösen und mit der Kamera zu sprechen.")</f>
        <v>Ein Mann wird gesehen, der einen Rubix -Würfel in seine Hände dreht, gefolgt von mehr Menschen, die versuchen, das Rätsel zu lösen und mit der Kamera zu sprechen.</v>
      </c>
    </row>
    <row r="6118">
      <c r="A6118" s="4" t="s">
        <v>7690</v>
      </c>
      <c r="B6118" s="4" t="s">
        <v>7692</v>
      </c>
      <c r="C6118" s="5" t="str">
        <f>IFERROR(__xludf.DUMMYFUNCTION("GOOGLETRANSLATE(B6118,""en"",""de"")"),"Es werden mehr Menschen gezeigt, die versuchen, das Puzzle zu lösen, mit der Kamera zu sprechen und zu lächeln.")</f>
        <v>Es werden mehr Menschen gezeigt, die versuchen, das Puzzle zu lösen, mit der Kamera zu sprechen und zu lächeln.</v>
      </c>
    </row>
    <row r="6119">
      <c r="A6119" s="4" t="s">
        <v>7693</v>
      </c>
      <c r="B6119" s="4" t="s">
        <v>7694</v>
      </c>
      <c r="C6119" s="5" t="str">
        <f>IFERROR(__xludf.DUMMYFUNCTION("GOOGLETRANSLATE(B6119,""en"",""de"")"),"Eine große Gruppe von Menschen zeigt sich am Rande sowie verschiedene Aufnahmen von Athleten, die sich auf ein Event vorbereiten.")</f>
        <v>Eine große Gruppe von Menschen zeigt sich am Rande sowie verschiedene Aufnahmen von Athleten, die sich auf ein Event vorbereiten.</v>
      </c>
    </row>
    <row r="6120">
      <c r="A6120" s="4" t="s">
        <v>7693</v>
      </c>
      <c r="B6120" s="4" t="s">
        <v>7695</v>
      </c>
      <c r="C6120" s="5" t="str">
        <f>IFERROR(__xludf.DUMMYFUNCTION("GOOGLETRANSLATE(B6120,""en"",""de"")"),"Eine Frau hebt mehrmals eine Bar, während ihr Trainer schreit, um sie zu ermutigen.")</f>
        <v>Eine Frau hebt mehrmals eine Bar, während ihr Trainer schreit, um sie zu ermutigen.</v>
      </c>
    </row>
    <row r="6121">
      <c r="A6121" s="4" t="s">
        <v>7693</v>
      </c>
      <c r="B6121" s="4" t="s">
        <v>7696</v>
      </c>
      <c r="C6121" s="5" t="str">
        <f>IFERROR(__xludf.DUMMYFUNCTION("GOOGLETRANSLATE(B6121,""en"",""de"")"),"Sie beendet ihr Set und geht mit mehreren anderen Leuten in der Nähe weg.")</f>
        <v>Sie beendet ihr Set und geht mit mehreren anderen Leuten in der Nähe weg.</v>
      </c>
    </row>
    <row r="6122">
      <c r="A6122" s="4" t="s">
        <v>7697</v>
      </c>
      <c r="B6122" s="4" t="s">
        <v>7698</v>
      </c>
      <c r="C6122" s="5" t="str">
        <f>IFERROR(__xludf.DUMMYFUNCTION("GOOGLETRANSLATE(B6122,""en"",""de"")"),"Ein Kameramann folgt einem Mann, als er ein Tauchbrett hinaufsteigt.")</f>
        <v>Ein Kameramann folgt einem Mann, als er ein Tauchbrett hinaufsteigt.</v>
      </c>
    </row>
    <row r="6123">
      <c r="A6123" s="4" t="s">
        <v>7697</v>
      </c>
      <c r="B6123" s="4" t="s">
        <v>7699</v>
      </c>
      <c r="C6123" s="5" t="str">
        <f>IFERROR(__xludf.DUMMYFUNCTION("GOOGLETRANSLATE(B6123,""en"",""de"")"),"Der Taucher erreicht den Rand des Bretts und erstreckt sich, bevor er im Wasser nach vorne fällt.")</f>
        <v>Der Taucher erreicht den Rand des Bretts und erstreckt sich, bevor er im Wasser nach vorne fällt.</v>
      </c>
    </row>
    <row r="6124">
      <c r="A6124" s="4" t="s">
        <v>7697</v>
      </c>
      <c r="B6124" s="4" t="s">
        <v>7700</v>
      </c>
      <c r="C6124" s="5" t="str">
        <f>IFERROR(__xludf.DUMMYFUNCTION("GOOGLETRANSLATE(B6124,""en"",""de"")"),"Der Taucher taucht ein zweites Mal ins Wasser.")</f>
        <v>Der Taucher taucht ein zweites Mal ins Wasser.</v>
      </c>
    </row>
    <row r="6125">
      <c r="A6125" s="4" t="s">
        <v>7697</v>
      </c>
      <c r="B6125" s="4" t="s">
        <v>7701</v>
      </c>
      <c r="C6125" s="5" t="str">
        <f>IFERROR(__xludf.DUMMYFUNCTION("GOOGLETRANSLATE(B6125,""en"",""de"")"),"Der Taucher steigt aus dem Wasser und geht weg, als ihm ein Kameramann folgt.")</f>
        <v>Der Taucher steigt aus dem Wasser und geht weg, als ihm ein Kameramann folgt.</v>
      </c>
    </row>
    <row r="6126">
      <c r="A6126" s="4" t="s">
        <v>7702</v>
      </c>
      <c r="B6126" s="4" t="s">
        <v>7703</v>
      </c>
      <c r="C6126" s="5" t="str">
        <f>IFERROR(__xludf.DUMMYFUNCTION("GOOGLETRANSLATE(B6126,""en"",""de"")"),"Ein Mann schwingt und wirft den Hammer wiederholt.")</f>
        <v>Ein Mann schwingt und wirft den Hammer wiederholt.</v>
      </c>
    </row>
    <row r="6127">
      <c r="A6127" s="4" t="s">
        <v>7702</v>
      </c>
      <c r="B6127" s="4" t="s">
        <v>7704</v>
      </c>
      <c r="C6127" s="5" t="str">
        <f>IFERROR(__xludf.DUMMYFUNCTION("GOOGLETRANSLATE(B6127,""en"",""de"")"),"Der Mann hüpft am Ende auf ein Bein und geht weg.")</f>
        <v>Der Mann hüpft am Ende auf ein Bein und geht weg.</v>
      </c>
    </row>
    <row r="6128">
      <c r="A6128" s="4" t="s">
        <v>7702</v>
      </c>
      <c r="B6128" s="4" t="s">
        <v>7705</v>
      </c>
      <c r="C6128" s="5" t="str">
        <f>IFERROR(__xludf.DUMMYFUNCTION("GOOGLETRANSLATE(B6128,""en"",""de"")"),"Wir wechseln zu einem Mann, der Schuss geworfen hat.")</f>
        <v>Wir wechseln zu einem Mann, der Schuss geworfen hat.</v>
      </c>
    </row>
    <row r="6129">
      <c r="A6129" s="4" t="s">
        <v>7702</v>
      </c>
      <c r="B6129" s="4" t="s">
        <v>7706</v>
      </c>
      <c r="C6129" s="5" t="str">
        <f>IFERROR(__xludf.DUMMYFUNCTION("GOOGLETRANSLATE(B6129,""en"",""de"")"),"Männer an der Seitenlinie klatschen und springen.")</f>
        <v>Männer an der Seitenlinie klatschen und springen.</v>
      </c>
    </row>
    <row r="6130">
      <c r="A6130" s="4" t="s">
        <v>7702</v>
      </c>
      <c r="B6130" s="4" t="s">
        <v>7707</v>
      </c>
      <c r="C6130" s="5" t="str">
        <f>IFERROR(__xludf.DUMMYFUNCTION("GOOGLETRANSLATE(B6130,""en"",""de"")"),"Der Mann in Rot und Blau hebt eine rote Fahne.")</f>
        <v>Der Mann in Rot und Blau hebt eine rote Fahne.</v>
      </c>
    </row>
    <row r="6131">
      <c r="A6131" s="4" t="s">
        <v>7702</v>
      </c>
      <c r="B6131" s="4" t="s">
        <v>7708</v>
      </c>
      <c r="C6131" s="5" t="str">
        <f>IFERROR(__xludf.DUMMYFUNCTION("GOOGLETRANSLATE(B6131,""en"",""de"")"),"Wir sehen, wie ein Mann den Hammer wiederholt wirft.")</f>
        <v>Wir sehen, wie ein Mann den Hammer wiederholt wirft.</v>
      </c>
    </row>
    <row r="6132">
      <c r="A6132" s="4" t="s">
        <v>7709</v>
      </c>
      <c r="B6132" s="4" t="s">
        <v>7710</v>
      </c>
      <c r="C6132" s="5" t="str">
        <f>IFERROR(__xludf.DUMMYFUNCTION("GOOGLETRANSLATE(B6132,""en"",""de"")"),"Es gibt zwei weiße Autos, die in abgelegenen Gebieten ankommen, in denen es Lagerhäuser gibt.")</f>
        <v>Es gibt zwei weiße Autos, die in abgelegenen Gebieten ankommen, in denen es Lagerhäuser gibt.</v>
      </c>
    </row>
    <row r="6133">
      <c r="A6133" s="4" t="s">
        <v>7709</v>
      </c>
      <c r="B6133" s="4" t="s">
        <v>7711</v>
      </c>
      <c r="C6133" s="5" t="str">
        <f>IFERROR(__xludf.DUMMYFUNCTION("GOOGLETRANSLATE(B6133,""en"",""de"")"),"Vier Männer steigen aus dem Auto und gehen auf einen Mann zu, der eine Maske trägt, um sein Gesicht zu bedecken.")</f>
        <v>Vier Männer steigen aus dem Auto und gehen auf einen Mann zu, der eine Maske trägt, um sein Gesicht zu bedecken.</v>
      </c>
    </row>
    <row r="6134">
      <c r="A6134" s="4" t="s">
        <v>7709</v>
      </c>
      <c r="B6134" s="4" t="s">
        <v>7712</v>
      </c>
      <c r="C6134" s="5" t="str">
        <f>IFERROR(__xludf.DUMMYFUNCTION("GOOGLETRANSLATE(B6134,""en"",""de"")"),"Es gibt einige Leute, die sich hinter Lastwagen mit Waffen in den Händen verstecken.")</f>
        <v>Es gibt einige Leute, die sich hinter Lastwagen mit Waffen in den Händen verstecken.</v>
      </c>
    </row>
    <row r="6135">
      <c r="A6135" s="4" t="s">
        <v>7709</v>
      </c>
      <c r="B6135" s="4" t="s">
        <v>7713</v>
      </c>
      <c r="C6135" s="5" t="str">
        <f>IFERROR(__xludf.DUMMYFUNCTION("GOOGLETRANSLATE(B6135,""en"",""de"")"),"Einer der Männer kommt heraus und öffnet das Feuer.")</f>
        <v>Einer der Männer kommt heraus und öffnet das Feuer.</v>
      </c>
    </row>
    <row r="6136">
      <c r="A6136" s="4" t="s">
        <v>7709</v>
      </c>
      <c r="B6136" s="4" t="s">
        <v>7714</v>
      </c>
      <c r="C6136" s="5" t="str">
        <f>IFERROR(__xludf.DUMMYFUNCTION("GOOGLETRANSLATE(B6136,""en"",""de"")"),"Er schießt seine Waffe in die Luft.")</f>
        <v>Er schießt seine Waffe in die Luft.</v>
      </c>
    </row>
    <row r="6137">
      <c r="A6137" s="4" t="s">
        <v>7709</v>
      </c>
      <c r="B6137" s="4" t="s">
        <v>7715</v>
      </c>
      <c r="C6137" s="5" t="str">
        <f>IFERROR(__xludf.DUMMYFUNCTION("GOOGLETRANSLATE(B6137,""en"",""de"")"),"Das provoziert die anderen Menschen und ein großer Schusskampf bricht aus.")</f>
        <v>Das provoziert die anderen Menschen und ein großer Schusskampf bricht aus.</v>
      </c>
    </row>
    <row r="6138">
      <c r="A6138" s="4" t="s">
        <v>7709</v>
      </c>
      <c r="B6138" s="4" t="s">
        <v>7716</v>
      </c>
      <c r="C6138" s="5" t="str">
        <f>IFERROR(__xludf.DUMMYFUNCTION("GOOGLETRANSLATE(B6138,""en"",""de"")"),"Die Männer beginnen zufällig aufeinander zu schießen.")</f>
        <v>Die Männer beginnen zufällig aufeinander zu schießen.</v>
      </c>
    </row>
    <row r="6139">
      <c r="A6139" s="4" t="s">
        <v>7709</v>
      </c>
      <c r="B6139" s="4" t="s">
        <v>7717</v>
      </c>
      <c r="C6139" s="5" t="str">
        <f>IFERROR(__xludf.DUMMYFUNCTION("GOOGLETRANSLATE(B6139,""en"",""de"")"),"Während dieser Zeit wird einer der Männer in den Kopf geschossen und er bricht zusammen und fällt nieder.")</f>
        <v>Während dieser Zeit wird einer der Männer in den Kopf geschossen und er bricht zusammen und fällt nieder.</v>
      </c>
    </row>
    <row r="6140">
      <c r="A6140" s="4" t="s">
        <v>7718</v>
      </c>
      <c r="B6140" s="4" t="s">
        <v>7719</v>
      </c>
      <c r="C6140" s="5" t="str">
        <f>IFERROR(__xludf.DUMMYFUNCTION("GOOGLETRANSLATE(B6140,""en"",""de"")"),"Ein Musiker spielt eine Reihe von Trommeln auf einem erhöhten Jumbo -Bildschirm, wenn eine Kamera in die Leistung ein- und ausgeht.")</f>
        <v>Ein Musiker spielt eine Reihe von Trommeln auf einem erhöhten Jumbo -Bildschirm, wenn eine Kamera in die Leistung ein- und ausgeht.</v>
      </c>
    </row>
    <row r="6141">
      <c r="A6141" s="4" t="s">
        <v>7718</v>
      </c>
      <c r="B6141" s="4" t="s">
        <v>7720</v>
      </c>
      <c r="C6141" s="5" t="str">
        <f>IFERROR(__xludf.DUMMYFUNCTION("GOOGLETRANSLATE(B6141,""en"",""de"")"),"Ein Musiker mit einem Headset, das an seinen Ohren und über den Mund befestigt ist, beginnt ein Set Trommeln zu spielen.")</f>
        <v>Ein Musiker mit einem Headset, das an seinen Ohren und über den Mund befestigt ist, beginnt ein Set Trommeln zu spielen.</v>
      </c>
    </row>
    <row r="6142">
      <c r="A6142" s="4" t="s">
        <v>7718</v>
      </c>
      <c r="B6142" s="4" t="s">
        <v>7721</v>
      </c>
      <c r="C6142" s="5" t="str">
        <f>IFERROR(__xludf.DUMMYFUNCTION("GOOGLETRANSLATE(B6142,""en"",""de"")"),"Während der Musiker das Schlagzeug spielt, schwenkt die Kamera für eine Nahaufnahme und schwenkt dann heraus.")</f>
        <v>Während der Musiker das Schlagzeug spielt, schwenkt die Kamera für eine Nahaufnahme und schwenkt dann heraus.</v>
      </c>
    </row>
    <row r="6143">
      <c r="A6143" s="4" t="s">
        <v>7718</v>
      </c>
      <c r="B6143" s="4" t="s">
        <v>7722</v>
      </c>
      <c r="C6143" s="5" t="str">
        <f>IFERROR(__xludf.DUMMYFUNCTION("GOOGLETRANSLATE(B6143,""en"",""de"")"),"Der Musiker beendet die Aufführung, steht und verzichtet auf beide Stöcke des Publikums.")</f>
        <v>Der Musiker beendet die Aufführung, steht und verzichtet auf beide Stöcke des Publikums.</v>
      </c>
    </row>
    <row r="6144">
      <c r="A6144" s="4" t="s">
        <v>7723</v>
      </c>
      <c r="B6144" s="4" t="s">
        <v>7724</v>
      </c>
      <c r="C6144" s="5" t="str">
        <f>IFERROR(__xludf.DUMMYFUNCTION("GOOGLETRANSLATE(B6144,""en"",""de"")"),"Männer ziehen ein Seil in einem Kriegsspiel.")</f>
        <v>Männer ziehen ein Seil in einem Kriegsspiel.</v>
      </c>
    </row>
    <row r="6145">
      <c r="A6145" s="4" t="s">
        <v>7723</v>
      </c>
      <c r="B6145" s="4" t="s">
        <v>7725</v>
      </c>
      <c r="C6145" s="5" t="str">
        <f>IFERROR(__xludf.DUMMYFUNCTION("GOOGLETRANSLATE(B6145,""en"",""de"")"),"Die Männer unternehmen nach rechts.")</f>
        <v>Die Männer unternehmen nach rechts.</v>
      </c>
    </row>
    <row r="6146">
      <c r="A6146" s="4" t="s">
        <v>7723</v>
      </c>
      <c r="B6146" s="4" t="s">
        <v>7726</v>
      </c>
      <c r="C6146" s="5" t="str">
        <f>IFERROR(__xludf.DUMMYFUNCTION("GOOGLETRANSLATE(B6146,""en"",""de"")"),"Die Männer werden nach links gezogen.")</f>
        <v>Die Männer werden nach links gezogen.</v>
      </c>
    </row>
    <row r="6147">
      <c r="A6147" s="4" t="s">
        <v>7723</v>
      </c>
      <c r="B6147" s="4" t="s">
        <v>7727</v>
      </c>
      <c r="C6147" s="5" t="str">
        <f>IFERROR(__xludf.DUMMYFUNCTION("GOOGLETRANSLATE(B6147,""en"",""de"")"),"Die Männer erheben und ließen das Seil jetzt näher nach links los.")</f>
        <v>Die Männer erheben und ließen das Seil jetzt näher nach links los.</v>
      </c>
    </row>
    <row r="6148">
      <c r="A6148" s="4" t="s">
        <v>7728</v>
      </c>
      <c r="B6148" s="4" t="s">
        <v>7729</v>
      </c>
      <c r="C6148" s="5" t="str">
        <f>IFERROR(__xludf.DUMMYFUNCTION("GOOGLETRANSLATE(B6148,""en"",""de"")"),"Eine Nahaufnahme einer Person ist zu sehen, wie sie mit einer Person hinter ihnen spricht und über das Wasser paddelt.")</f>
        <v>Eine Nahaufnahme einer Person ist zu sehen, wie sie mit einer Person hinter ihnen spricht und über das Wasser paddelt.</v>
      </c>
    </row>
    <row r="6149">
      <c r="A6149" s="4" t="s">
        <v>7728</v>
      </c>
      <c r="B6149" s="4" t="s">
        <v>7730</v>
      </c>
      <c r="C6149" s="5" t="str">
        <f>IFERROR(__xludf.DUMMYFUNCTION("GOOGLETRANSLATE(B6149,""en"",""de"")"),"Die Menschen reiten weiter am Wasser, als das Wasser um sie herum spritzt und die Frau anhält, um ihr Gesicht abzuwischen.")</f>
        <v>Die Menschen reiten weiter am Wasser, als das Wasser um sie herum spritzt und die Frau anhält, um ihr Gesicht abzuwischen.</v>
      </c>
    </row>
    <row r="6150">
      <c r="A6150" s="4" t="s">
        <v>7731</v>
      </c>
      <c r="B6150" s="4" t="s">
        <v>7732</v>
      </c>
      <c r="C6150" s="5" t="str">
        <f>IFERROR(__xludf.DUMMYFUNCTION("GOOGLETRANSLATE(B6150,""en"",""de"")"),"Eine Gruppe von Athleten tritt während eines Rennens zwischen Bojen auf einer Wasserstraße auf Kanus.")</f>
        <v>Eine Gruppe von Athleten tritt während eines Rennens zwischen Bojen auf einer Wasserstraße auf Kanus.</v>
      </c>
    </row>
    <row r="6151">
      <c r="A6151" s="4" t="s">
        <v>7731</v>
      </c>
      <c r="B6151" s="4" t="s">
        <v>7733</v>
      </c>
      <c r="C6151" s="5" t="str">
        <f>IFERROR(__xludf.DUMMYFUNCTION("GOOGLETRANSLATE(B6151,""en"",""de"")"),"Die Männer überqueren die endgültigen nummerierten Bojen und gleiten, während sie nach dem Rennen langsamer werden.")</f>
        <v>Die Männer überqueren die endgültigen nummerierten Bojen und gleiten, während sie nach dem Rennen langsamer werden.</v>
      </c>
    </row>
    <row r="6152">
      <c r="A6152" s="4" t="s">
        <v>7734</v>
      </c>
      <c r="B6152" s="4" t="s">
        <v>7735</v>
      </c>
      <c r="C6152" s="5" t="str">
        <f>IFERROR(__xludf.DUMMYFUNCTION("GOOGLETRANSLATE(B6152,""en"",""de"")"),"Eine Frau in einer Umgebung im Freien lehrt einen Jungen und ein Mädchen, wie man Kleidung mit einem Waschbrett und einem Metalleimer wäscht.")</f>
        <v>Eine Frau in einer Umgebung im Freien lehrt einen Jungen und ein Mädchen, wie man Kleidung mit einem Waschbrett und einem Metalleimer wäscht.</v>
      </c>
    </row>
    <row r="6153">
      <c r="A6153" s="4" t="s">
        <v>7734</v>
      </c>
      <c r="B6153" s="4" t="s">
        <v>7736</v>
      </c>
      <c r="C6153" s="5" t="str">
        <f>IFERROR(__xludf.DUMMYFUNCTION("GOOGLETRANSLATE(B6153,""en"",""de"")"),"Ein kleiner Junge zieht einen Metallhebel an einem Metalleimer mit einem Waschbrett an.")</f>
        <v>Ein kleiner Junge zieht einen Metallhebel an einem Metalleimer mit einem Waschbrett an.</v>
      </c>
    </row>
    <row r="6154">
      <c r="A6154" s="4" t="s">
        <v>7734</v>
      </c>
      <c r="B6154" s="4" t="s">
        <v>7737</v>
      </c>
      <c r="C6154" s="5" t="str">
        <f>IFERROR(__xludf.DUMMYFUNCTION("GOOGLETRANSLATE(B6154,""en"",""de"")"),"Zwei junge Mädchen beobachten wie eine Frau in einer weißen Schürze dem Jungen und dem Mädchen, wie man den Hebel dreht, und hängt auch Kleidung an einer Wäscheleine.")</f>
        <v>Zwei junge Mädchen beobachten wie eine Frau in einer weißen Schürze dem Jungen und dem Mädchen, wie man den Hebel dreht, und hängt auch Kleidung an einer Wäscheleine.</v>
      </c>
    </row>
    <row r="6155">
      <c r="A6155" s="4" t="s">
        <v>7734</v>
      </c>
      <c r="B6155" s="4" t="s">
        <v>7738</v>
      </c>
      <c r="C6155" s="5" t="str">
        <f>IFERROR(__xludf.DUMMYFUNCTION("GOOGLETRANSLATE(B6155,""en"",""de"")"),"Das junge Mädchen beginnt, den Hebel zu ziehen, während der Junge der Frau hilft, Kleidung zu hängen, und dann wechseln sich alle Kinder ab und betreiben verschiedene Teile des Waschbrettmechanismus.")</f>
        <v>Das junge Mädchen beginnt, den Hebel zu ziehen, während der Junge der Frau hilft, Kleidung zu hängen, und dann wechseln sich alle Kinder ab und betreiben verschiedene Teile des Waschbrettmechanismus.</v>
      </c>
    </row>
    <row r="6156">
      <c r="A6156" s="4" t="s">
        <v>7739</v>
      </c>
      <c r="B6156" s="4" t="s">
        <v>7740</v>
      </c>
      <c r="C6156" s="5" t="str">
        <f>IFERROR(__xludf.DUMMYFUNCTION("GOOGLETRANSLATE(B6156,""en"",""de"")"),"Das Video spielt in einem Theater, das eine Symphonie mit einem Song zeigt.")</f>
        <v>Das Video spielt in einem Theater, das eine Symphonie mit einem Song zeigt.</v>
      </c>
    </row>
    <row r="6157">
      <c r="A6157" s="4" t="s">
        <v>7739</v>
      </c>
      <c r="B6157" s="4" t="s">
        <v>7741</v>
      </c>
      <c r="C6157" s="5" t="str">
        <f>IFERROR(__xludf.DUMMYFUNCTION("GOOGLETRANSLATE(B6157,""en"",""de"")"),"Das Video zeigt Nahaufnahmen mehrerer der Symphonie -Mitglieder, wenn sie ihre Instrumente spielen.")</f>
        <v>Das Video zeigt Nahaufnahmen mehrerer der Symphonie -Mitglieder, wenn sie ihre Instrumente spielen.</v>
      </c>
    </row>
    <row r="6158">
      <c r="A6158" s="4" t="s">
        <v>7739</v>
      </c>
      <c r="B6158" s="4" t="s">
        <v>7742</v>
      </c>
      <c r="C6158" s="5" t="str">
        <f>IFERROR(__xludf.DUMMYFUNCTION("GOOGLETRANSLATE(B6158,""en"",""de"")"),"Die Kamera schwenkt dann aus, um dem Publikum zu zeigen.")</f>
        <v>Die Kamera schwenkt dann aus, um dem Publikum zu zeigen.</v>
      </c>
    </row>
    <row r="6159">
      <c r="A6159" s="4" t="s">
        <v>7739</v>
      </c>
      <c r="B6159" s="4" t="s">
        <v>7743</v>
      </c>
      <c r="C6159" s="5" t="str">
        <f>IFERROR(__xludf.DUMMYFUNCTION("GOOGLETRANSLATE(B6159,""en"",""de"")"),"Die Symphonie spielt weiterhin als der Dirigent führt.")</f>
        <v>Die Symphonie spielt weiterhin als der Dirigent führt.</v>
      </c>
    </row>
    <row r="6160">
      <c r="A6160" s="4" t="s">
        <v>7739</v>
      </c>
      <c r="B6160" s="4" t="s">
        <v>7744</v>
      </c>
      <c r="C6160" s="5" t="str">
        <f>IFERROR(__xludf.DUMMYFUNCTION("GOOGLETRANSLATE(B6160,""en"",""de"")"),"Das Video endet mit der gesamten Symphonie.")</f>
        <v>Das Video endet mit der gesamten Symphonie.</v>
      </c>
    </row>
    <row r="6161">
      <c r="A6161" s="4" t="s">
        <v>7745</v>
      </c>
      <c r="B6161" s="4" t="s">
        <v>7746</v>
      </c>
      <c r="C6161" s="5" t="str">
        <f>IFERROR(__xludf.DUMMYFUNCTION("GOOGLETRANSLATE(B6161,""en"",""de"")"),"Eine Frau steht vor einer Bar und biegt sich vor ihm herab.")</f>
        <v>Eine Frau steht vor einer Bar und biegt sich vor ihm herab.</v>
      </c>
    </row>
    <row r="6162">
      <c r="A6162" s="4" t="s">
        <v>7745</v>
      </c>
      <c r="B6162" s="4" t="s">
        <v>7747</v>
      </c>
      <c r="C6162" s="5" t="str">
        <f>IFERROR(__xludf.DUMMYFUNCTION("GOOGLETRANSLATE(B6162,""en"",""de"")"),"Sie greift nach den Gewichten und hebt sie über ihren Kopf und dann wieder nach unten.")</f>
        <v>Sie greift nach den Gewichten und hebt sie über ihren Kopf und dann wieder nach unten.</v>
      </c>
    </row>
    <row r="6163">
      <c r="A6163" s="4" t="s">
        <v>7745</v>
      </c>
      <c r="B6163" s="4" t="s">
        <v>7748</v>
      </c>
      <c r="C6163" s="5" t="str">
        <f>IFERROR(__xludf.DUMMYFUNCTION("GOOGLETRANSLATE(B6163,""en"",""de"")"),"Sie hebt das Gewicht ständig über ihren Kopf.")</f>
        <v>Sie hebt das Gewicht ständig über ihren Kopf.</v>
      </c>
    </row>
    <row r="6164">
      <c r="A6164" s="4" t="s">
        <v>7749</v>
      </c>
      <c r="B6164" s="4" t="s">
        <v>7750</v>
      </c>
      <c r="C6164" s="5" t="str">
        <f>IFERROR(__xludf.DUMMYFUNCTION("GOOGLETRANSLATE(B6164,""en"",""de"")"),"Die junge Frau steht in der Küche und redet mit der Kamera.")</f>
        <v>Die junge Frau steht in der Küche und redet mit der Kamera.</v>
      </c>
    </row>
    <row r="6165">
      <c r="A6165" s="4" t="s">
        <v>7749</v>
      </c>
      <c r="B6165" s="4" t="s">
        <v>7751</v>
      </c>
      <c r="C6165" s="5" t="str">
        <f>IFERROR(__xludf.DUMMYFUNCTION("GOOGLETRANSLATE(B6165,""en"",""de"")"),"Das Weibchen legte die Nudeln in kochendes Wasser, hackte den Knoblauch und goss Olivenöl in die Pfanne.")</f>
        <v>Das Weibchen legte die Nudeln in kochendes Wasser, hackte den Knoblauch und goss Olivenöl in die Pfanne.</v>
      </c>
    </row>
    <row r="6166">
      <c r="A6166" s="4" t="s">
        <v>7749</v>
      </c>
      <c r="B6166" s="4" t="s">
        <v>7752</v>
      </c>
      <c r="C6166" s="5" t="str">
        <f>IFERROR(__xludf.DUMMYFUNCTION("GOOGLETRANSLATE(B6166,""en"",""de"")"),"Die Frau entleert die Nudeln und legte sie auf die Sauce und legte sie in die weißen Schalen.")</f>
        <v>Die Frau entleert die Nudeln und legte sie auf die Sauce und legte sie in die weißen Schalen.</v>
      </c>
    </row>
    <row r="6167">
      <c r="A6167" s="4" t="s">
        <v>7753</v>
      </c>
      <c r="B6167" s="4" t="s">
        <v>7754</v>
      </c>
      <c r="C6167" s="5" t="str">
        <f>IFERROR(__xludf.DUMMYFUNCTION("GOOGLETRANSLATE(B6167,""en"",""de"")"),"Eine große Gruppe von Menschen reitet in einem riesigen Floß.")</f>
        <v>Eine große Gruppe von Menschen reitet in einem riesigen Floß.</v>
      </c>
    </row>
    <row r="6168">
      <c r="A6168" s="4" t="s">
        <v>7753</v>
      </c>
      <c r="B6168" s="4" t="s">
        <v>7755</v>
      </c>
      <c r="C6168" s="5" t="str">
        <f>IFERROR(__xludf.DUMMYFUNCTION("GOOGLETRANSLATE(B6168,""en"",""de"")"),"Sie paddeln die Stromschnellen und versuchen aufrecht zu bleiben.")</f>
        <v>Sie paddeln die Stromschnellen und versuchen aufrecht zu bleiben.</v>
      </c>
    </row>
    <row r="6169">
      <c r="A6169" s="4" t="s">
        <v>7753</v>
      </c>
      <c r="B6169" s="4" t="s">
        <v>7756</v>
      </c>
      <c r="C6169" s="5" t="str">
        <f>IFERROR(__xludf.DUMMYFUNCTION("GOOGLETRANSLATE(B6169,""en"",""de"")"),"Sie drehen sich um und fallen aus dem Floß.")</f>
        <v>Sie drehen sich um und fallen aus dem Floß.</v>
      </c>
    </row>
    <row r="6170">
      <c r="A6170" s="4" t="s">
        <v>7757</v>
      </c>
      <c r="B6170" s="4" t="s">
        <v>7758</v>
      </c>
      <c r="C6170" s="5" t="str">
        <f>IFERROR(__xludf.DUMMYFUNCTION("GOOGLETRANSLATE(B6170,""en"",""de"")"),"Wir sehen die Titelkarte und eine schmerzhafte Kommode.")</f>
        <v>Wir sehen die Titelkarte und eine schmerzhafte Kommode.</v>
      </c>
    </row>
    <row r="6171">
      <c r="A6171" s="4" t="s">
        <v>7757</v>
      </c>
      <c r="B6171" s="4" t="s">
        <v>7759</v>
      </c>
      <c r="C6171" s="5" t="str">
        <f>IFERROR(__xludf.DUMMYFUNCTION("GOOGLETRANSLATE(B6171,""en"",""de"")"),"Eine Dame sitzt auf dem Boden und diskutiert das Malerei.")</f>
        <v>Eine Dame sitzt auf dem Boden und diskutiert das Malerei.</v>
      </c>
    </row>
    <row r="6172">
      <c r="A6172" s="4" t="s">
        <v>7757</v>
      </c>
      <c r="B6172" s="4" t="s">
        <v>7760</v>
      </c>
      <c r="C6172" s="5" t="str">
        <f>IFERROR(__xludf.DUMMYFUNCTION("GOOGLETRANSLATE(B6172,""en"",""de"")"),"Die Dame malt die Kommode, während sie darüber redet.")</f>
        <v>Die Dame malt die Kommode, während sie darüber redet.</v>
      </c>
    </row>
    <row r="6173">
      <c r="A6173" s="4" t="s">
        <v>7757</v>
      </c>
      <c r="B6173" s="4" t="s">
        <v>7761</v>
      </c>
      <c r="C6173" s="5" t="str">
        <f>IFERROR(__xludf.DUMMYFUNCTION("GOOGLETRANSLATE(B6173,""en"",""de"")"),"Wir sehen das bemalten Endprodukt.")</f>
        <v>Wir sehen das bemalten Endprodukt.</v>
      </c>
    </row>
    <row r="6174">
      <c r="A6174" s="4" t="s">
        <v>7757</v>
      </c>
      <c r="B6174" s="4" t="s">
        <v>7762</v>
      </c>
      <c r="C6174" s="5" t="str">
        <f>IFERROR(__xludf.DUMMYFUNCTION("GOOGLETRANSLATE(B6174,""en"",""de"")"),"Wir sehen die Endkarten für das Video.")</f>
        <v>Wir sehen die Endkarten für das Video.</v>
      </c>
    </row>
    <row r="6175">
      <c r="A6175" s="4" t="s">
        <v>7763</v>
      </c>
      <c r="B6175" s="4" t="s">
        <v>7764</v>
      </c>
      <c r="C6175" s="5" t="str">
        <f>IFERROR(__xludf.DUMMYFUNCTION("GOOGLETRANSLATE(B6175,""en"",""de"")"),"Eine Dame geht einen Flur hinunter, während er einen Eimer mit Reinigungsmitteln trägt.")</f>
        <v>Eine Dame geht einen Flur hinunter, während er einen Eimer mit Reinigungsmitteln trägt.</v>
      </c>
    </row>
    <row r="6176">
      <c r="A6176" s="4" t="s">
        <v>7763</v>
      </c>
      <c r="B6176" s="4" t="s">
        <v>7765</v>
      </c>
      <c r="C6176" s="5" t="str">
        <f>IFERROR(__xludf.DUMMYFUNCTION("GOOGLETRANSLATE(B6176,""en"",""de"")"),"Eine Dame reinigt ein Fenster mit Zeitungen.")</f>
        <v>Eine Dame reinigt ein Fenster mit Zeitungen.</v>
      </c>
    </row>
    <row r="6177">
      <c r="A6177" s="4" t="s">
        <v>7763</v>
      </c>
      <c r="B6177" s="4" t="s">
        <v>7766</v>
      </c>
      <c r="C6177" s="5" t="str">
        <f>IFERROR(__xludf.DUMMYFUNCTION("GOOGLETRANSLATE(B6177,""en"",""de"")"),"Die Dame sprüht die Zeitung.")</f>
        <v>Die Dame sprüht die Zeitung.</v>
      </c>
    </row>
    <row r="6178">
      <c r="A6178" s="4" t="s">
        <v>7763</v>
      </c>
      <c r="B6178" s="4" t="s">
        <v>7767</v>
      </c>
      <c r="C6178" s="5" t="str">
        <f>IFERROR(__xludf.DUMMYFUNCTION("GOOGLETRANSLATE(B6178,""en"",""de"")"),"Die Zutaten für das Spray werden gezeigt.")</f>
        <v>Die Zutaten für das Spray werden gezeigt.</v>
      </c>
    </row>
    <row r="6179">
      <c r="A6179" s="4" t="s">
        <v>7763</v>
      </c>
      <c r="B6179" s="4" t="s">
        <v>7768</v>
      </c>
      <c r="C6179" s="5" t="str">
        <f>IFERROR(__xludf.DUMMYFUNCTION("GOOGLETRANSLATE(B6179,""en"",""de"")"),"Die Dame sprüht das Fenster.")</f>
        <v>Die Dame sprüht das Fenster.</v>
      </c>
    </row>
    <row r="6180">
      <c r="A6180" s="4" t="s">
        <v>7769</v>
      </c>
      <c r="B6180" s="4" t="s">
        <v>7770</v>
      </c>
      <c r="C6180" s="5" t="str">
        <f>IFERROR(__xludf.DUMMYFUNCTION("GOOGLETRANSLATE(B6180,""en"",""de"")"),"Rohre werden auf einem Stein gezeigt.")</f>
        <v>Rohre werden auf einem Stein gezeigt.</v>
      </c>
    </row>
    <row r="6181">
      <c r="A6181" s="4" t="s">
        <v>7769</v>
      </c>
      <c r="B6181" s="4" t="s">
        <v>7771</v>
      </c>
      <c r="C6181" s="5" t="str">
        <f>IFERROR(__xludf.DUMMYFUNCTION("GOOGLETRANSLATE(B6181,""en"",""de"")"),"Ein Mann geht auf einer Spur.")</f>
        <v>Ein Mann geht auf einer Spur.</v>
      </c>
    </row>
    <row r="6182">
      <c r="A6182" s="4" t="s">
        <v>7769</v>
      </c>
      <c r="B6182" s="4" t="s">
        <v>7772</v>
      </c>
      <c r="C6182" s="5" t="str">
        <f>IFERROR(__xludf.DUMMYFUNCTION("GOOGLETRANSLATE(B6182,""en"",""de"")"),"Eine große Struktur hinter einem Zaun wird gezeigt.")</f>
        <v>Eine große Struktur hinter einem Zaun wird gezeigt.</v>
      </c>
    </row>
    <row r="6183">
      <c r="A6183" s="4" t="s">
        <v>7769</v>
      </c>
      <c r="B6183" s="4" t="s">
        <v>7773</v>
      </c>
      <c r="C6183" s="5" t="str">
        <f>IFERROR(__xludf.DUMMYFUNCTION("GOOGLETRANSLATE(B6183,""en"",""de"")"),"Ein Boot befindet sich im Wasser um einen Felsen.")</f>
        <v>Ein Boot befindet sich im Wasser um einen Felsen.</v>
      </c>
    </row>
    <row r="6184">
      <c r="A6184" s="4" t="s">
        <v>7769</v>
      </c>
      <c r="B6184" s="4" t="s">
        <v>7774</v>
      </c>
      <c r="C6184" s="5" t="str">
        <f>IFERROR(__xludf.DUMMYFUNCTION("GOOGLETRANSLATE(B6184,""en"",""de"")"),"Ein Mann sitzt auf einem Felsen.")</f>
        <v>Ein Mann sitzt auf einem Felsen.</v>
      </c>
    </row>
    <row r="6185">
      <c r="A6185" s="4" t="s">
        <v>7769</v>
      </c>
      <c r="B6185" s="4" t="s">
        <v>7775</v>
      </c>
      <c r="C6185" s="5" t="str">
        <f>IFERROR(__xludf.DUMMYFUNCTION("GOOGLETRANSLATE(B6185,""en"",""de"")"),"Ein Mann beginnt ein Instrument zu spielen.")</f>
        <v>Ein Mann beginnt ein Instrument zu spielen.</v>
      </c>
    </row>
    <row r="6186">
      <c r="A6186" s="4" t="s">
        <v>7769</v>
      </c>
      <c r="B6186" s="4" t="s">
        <v>7776</v>
      </c>
      <c r="C6186" s="5" t="str">
        <f>IFERROR(__xludf.DUMMYFUNCTION("GOOGLETRANSLATE(B6186,""en"",""de"")"),"Eine große Steinwand wird gezeigt.")</f>
        <v>Eine große Steinwand wird gezeigt.</v>
      </c>
    </row>
    <row r="6187">
      <c r="A6187" s="4" t="s">
        <v>7769</v>
      </c>
      <c r="B6187" s="4" t="s">
        <v>7777</v>
      </c>
      <c r="C6187" s="5" t="str">
        <f>IFERROR(__xludf.DUMMYFUNCTION("GOOGLETRANSLATE(B6187,""en"",""de"")"),"Der Mann spielt weiterhin das Instrument.")</f>
        <v>Der Mann spielt weiterhin das Instrument.</v>
      </c>
    </row>
    <row r="6188">
      <c r="A6188" s="4" t="s">
        <v>7778</v>
      </c>
      <c r="B6188" s="4" t="s">
        <v>7779</v>
      </c>
      <c r="C6188" s="5" t="str">
        <f>IFERROR(__xludf.DUMMYFUNCTION("GOOGLETRANSLATE(B6188,""en"",""de"")"),"Die Kamera beobachtet einen Mann in einem Hut mit jemandem aus einem niedrigen Winkel.")</f>
        <v>Die Kamera beobachtet einen Mann in einem Hut mit jemandem aus einem niedrigen Winkel.</v>
      </c>
    </row>
    <row r="6189">
      <c r="A6189" s="4" t="s">
        <v>7778</v>
      </c>
      <c r="B6189" s="4" t="s">
        <v>7780</v>
      </c>
      <c r="C6189" s="5" t="str">
        <f>IFERROR(__xludf.DUMMYFUNCTION("GOOGLETRANSLATE(B6189,""en"",""de"")"),"Die Einstellung ändert sich und der Mann im Hut spricht mit einem anderen Mann, während sich beide Papiere ansehen.")</f>
        <v>Die Einstellung ändert sich und der Mann im Hut spricht mit einem anderen Mann, während sich beide Papiere ansehen.</v>
      </c>
    </row>
    <row r="6190">
      <c r="A6190" s="4" t="s">
        <v>7778</v>
      </c>
      <c r="B6190" s="4" t="s">
        <v>7781</v>
      </c>
      <c r="C6190" s="5" t="str">
        <f>IFERROR(__xludf.DUMMYFUNCTION("GOOGLETRANSLATE(B6190,""en"",""de"")"),"Der Mann im Hut setzt sich hin und spricht mit der Kamera.")</f>
        <v>Der Mann im Hut setzt sich hin und spricht mit der Kamera.</v>
      </c>
    </row>
    <row r="6191">
      <c r="A6191" s="4" t="s">
        <v>7778</v>
      </c>
      <c r="B6191" s="4" t="s">
        <v>7782</v>
      </c>
      <c r="C6191" s="5" t="str">
        <f>IFERROR(__xludf.DUMMYFUNCTION("GOOGLETRANSLATE(B6191,""en"",""de"")"),"Der Mann trinkt aus einer Flasche Wasser.")</f>
        <v>Der Mann trinkt aus einer Flasche Wasser.</v>
      </c>
    </row>
    <row r="6192">
      <c r="A6192" s="4" t="s">
        <v>7778</v>
      </c>
      <c r="B6192" s="4" t="s">
        <v>7783</v>
      </c>
      <c r="C6192" s="5" t="str">
        <f>IFERROR(__xludf.DUMMYFUNCTION("GOOGLETRANSLATE(B6192,""en"",""de"")"),"Eine Frau wendet ein Tintenmuster auf den Körper des Mannes an.")</f>
        <v>Eine Frau wendet ein Tintenmuster auf den Körper des Mannes an.</v>
      </c>
    </row>
    <row r="6193">
      <c r="A6193" s="4" t="s">
        <v>7778</v>
      </c>
      <c r="B6193" s="4" t="s">
        <v>7784</v>
      </c>
      <c r="C6193" s="5" t="str">
        <f>IFERROR(__xludf.DUMMYFUNCTION("GOOGLETRANSLATE(B6193,""en"",""de"")"),"Der Mann liegt auf seiner Seite als die Frau Tätowierungen über das Tintenmuster.")</f>
        <v>Der Mann liegt auf seiner Seite als die Frau Tätowierungen über das Tintenmuster.</v>
      </c>
    </row>
    <row r="6194">
      <c r="A6194" s="4" t="s">
        <v>7778</v>
      </c>
      <c r="B6194" s="4" t="s">
        <v>7785</v>
      </c>
      <c r="C6194" s="5" t="str">
        <f>IFERROR(__xludf.DUMMYFUNCTION("GOOGLETRANSLATE(B6194,""en"",""de"")"),"Standbilder des fertigen Tattoo werden angezeigt.")</f>
        <v>Standbilder des fertigen Tattoo werden angezeigt.</v>
      </c>
    </row>
    <row r="6195">
      <c r="A6195" s="4" t="s">
        <v>7786</v>
      </c>
      <c r="B6195" s="4" t="s">
        <v>7787</v>
      </c>
      <c r="C6195" s="5" t="str">
        <f>IFERROR(__xludf.DUMMYFUNCTION("GOOGLETRANSLATE(B6195,""en"",""de"")"),"Eine Frau hält eine Katze, während ein Hund an ihren Füßen steht.")</f>
        <v>Eine Frau hält eine Katze, während ein Hund an ihren Füßen steht.</v>
      </c>
    </row>
    <row r="6196">
      <c r="A6196" s="4" t="s">
        <v>7786</v>
      </c>
      <c r="B6196" s="4" t="s">
        <v>7788</v>
      </c>
      <c r="C6196" s="5" t="str">
        <f>IFERROR(__xludf.DUMMYFUNCTION("GOOGLETRANSLATE(B6196,""en"",""de"")"),"Sie spricht mit der Kamera und zeigt ihre Katzennägel.")</f>
        <v>Sie spricht mit der Kamera und zeigt ihre Katzennägel.</v>
      </c>
    </row>
    <row r="6197">
      <c r="A6197" s="4" t="s">
        <v>7786</v>
      </c>
      <c r="B6197" s="4" t="s">
        <v>7789</v>
      </c>
      <c r="C6197" s="5" t="str">
        <f>IFERROR(__xludf.DUMMYFUNCTION("GOOGLETRANSLATE(B6197,""en"",""de"")"),"Sie schnappt sich ein Werkzeug und beginnt die Krallen der Katze zu schneiden.")</f>
        <v>Sie schnappt sich ein Werkzeug und beginnt die Krallen der Katze zu schneiden.</v>
      </c>
    </row>
    <row r="6198">
      <c r="A6198" s="4" t="s">
        <v>7786</v>
      </c>
      <c r="B6198" s="4" t="s">
        <v>7790</v>
      </c>
      <c r="C6198" s="5" t="str">
        <f>IFERROR(__xludf.DUMMYFUNCTION("GOOGLETRANSLATE(B6198,""en"",""de"")"),"Sie passt die Katze ein wenig an, beendet aber ihre Nägel und lässt sie gehen.")</f>
        <v>Sie passt die Katze ein wenig an, beendet aber ihre Nägel und lässt sie gehen.</v>
      </c>
    </row>
    <row r="6199">
      <c r="A6199" s="4" t="s">
        <v>7791</v>
      </c>
      <c r="B6199" s="4" t="s">
        <v>7792</v>
      </c>
      <c r="C6199" s="5" t="str">
        <f>IFERROR(__xludf.DUMMYFUNCTION("GOOGLETRANSLATE(B6199,""en"",""de"")"),"Eine Klasse von Kindern, die in weiße Gi gekleidet sind, gehen, treten und schlagen in ein Klassenzimmer, während ihr Lehrer um sie herum geht.")</f>
        <v>Eine Klasse von Kindern, die in weiße Gi gekleidet sind, gehen, treten und schlagen in ein Klassenzimmer, während ihr Lehrer um sie herum geht.</v>
      </c>
    </row>
    <row r="6200">
      <c r="A6200" s="4" t="s">
        <v>7791</v>
      </c>
      <c r="B6200" s="4" t="s">
        <v>7793</v>
      </c>
      <c r="C6200" s="5" t="str">
        <f>IFERROR(__xludf.DUMMYFUNCTION("GOOGLETRANSLATE(B6200,""en"",""de"")"),"Die Klasse stoppt und der Ausbilder spricht und geht um sie herum.")</f>
        <v>Die Klasse stoppt und der Ausbilder spricht und geht um sie herum.</v>
      </c>
    </row>
    <row r="6201">
      <c r="A6201" s="4" t="s">
        <v>7791</v>
      </c>
      <c r="B6201" s="4" t="s">
        <v>7794</v>
      </c>
      <c r="C6201" s="5" t="str">
        <f>IFERROR(__xludf.DUMMYFUNCTION("GOOGLETRANSLATE(B6201,""en"",""de"")"),"Die Klasse dreht sich dann um und beginnt zu laufen, zu treten und in die Richtung zu schlagen, aus der sie gerade kamen.")</f>
        <v>Die Klasse dreht sich dann um und beginnt zu laufen, zu treten und in die Richtung zu schlagen, aus der sie gerade kamen.</v>
      </c>
    </row>
    <row r="6202">
      <c r="A6202" s="4" t="s">
        <v>7791</v>
      </c>
      <c r="B6202" s="4" t="s">
        <v>7795</v>
      </c>
      <c r="C6202" s="5" t="str">
        <f>IFERROR(__xludf.DUMMYFUNCTION("GOOGLETRANSLATE(B6202,""en"",""de"")"),"Die Klasse dreht sich um, wenn sie am Ende kommen, stoppt, und der Ausbilder beginnt zu reden und einen Tritt und einen Schlag auf sie zu demonstrieren, bewegt sich aus dem Weg und die Klasse wird wieder aufgenommen.")</f>
        <v>Die Klasse dreht sich um, wenn sie am Ende kommen, stoppt, und der Ausbilder beginnt zu reden und einen Tritt und einen Schlag auf sie zu demonstrieren, bewegt sich aus dem Weg und die Klasse wird wieder aufgenommen.</v>
      </c>
    </row>
    <row r="6203">
      <c r="A6203" s="4" t="s">
        <v>7791</v>
      </c>
      <c r="B6203" s="4" t="s">
        <v>7796</v>
      </c>
      <c r="C6203" s="5" t="str">
        <f>IFERROR(__xludf.DUMMYFUNCTION("GOOGLETRANSLATE(B6203,""en"",""de"")"),"Wenn sie das Ende erreichen, drehen sie sich wieder um, um zu gehen, zu treten und in die Richtung zurückzuschlagen, aus der sie kamen, und wieder hält der Ausbilder sie auf, um zu reden und die Bewegungen zu demonstrieren, und wieder nimmt die Klasse ihr"&amp;"e Bewegungen wieder auf und wenn hey bis zum Ende kommt Von dem Raum drehen sie sich um und beenden ihre Routine mit ihren Beinen auseinander und den Armen vor sich.")</f>
        <v>Wenn sie das Ende erreichen, drehen sie sich wieder um, um zu gehen, zu treten und in die Richtung zurückzuschlagen, aus der sie kamen, und wieder hält der Ausbilder sie auf, um zu reden und die Bewegungen zu demonstrieren, und wieder nimmt die Klasse ihre Bewegungen wieder auf und wenn hey bis zum Ende kommt Von dem Raum drehen sie sich um und beenden ihre Routine mit ihren Beinen auseinander und den Armen vor sich.</v>
      </c>
    </row>
    <row r="6204">
      <c r="A6204" s="4" t="s">
        <v>7797</v>
      </c>
      <c r="B6204" s="4" t="s">
        <v>7798</v>
      </c>
      <c r="C6204" s="5" t="str">
        <f>IFERROR(__xludf.DUMMYFUNCTION("GOOGLETRANSLATE(B6204,""en"",""de"")"),"Ein Mann hält ein Akkordeon, während er mit der Kamera spricht und lächelt.")</f>
        <v>Ein Mann hält ein Akkordeon, während er mit der Kamera spricht und lächelt.</v>
      </c>
    </row>
    <row r="6205">
      <c r="A6205" s="4" t="s">
        <v>7797</v>
      </c>
      <c r="B6205" s="4" t="s">
        <v>7799</v>
      </c>
      <c r="C6205" s="5" t="str">
        <f>IFERROR(__xludf.DUMMYFUNCTION("GOOGLETRANSLATE(B6205,""en"",""de"")"),"Dann spielt er das Instrument, während er in die Kamera schaut und endet, indem er mehr mit der Kamera spricht.")</f>
        <v>Dann spielt er das Instrument, während er in die Kamera schaut und endet, indem er mehr mit der Kamera spricht.</v>
      </c>
    </row>
    <row r="6206">
      <c r="A6206" s="4" t="s">
        <v>7800</v>
      </c>
      <c r="B6206" s="4" t="s">
        <v>7801</v>
      </c>
      <c r="C6206" s="5" t="str">
        <f>IFERROR(__xludf.DUMMYFUNCTION("GOOGLETRANSLATE(B6206,""en"",""de"")"),"Ein Junge steht auf einem Hocker vor einem Spülbecken.")</f>
        <v>Ein Junge steht auf einem Hocker vor einem Spülbecken.</v>
      </c>
    </row>
    <row r="6207">
      <c r="A6207" s="4" t="s">
        <v>7800</v>
      </c>
      <c r="B6207" s="4" t="s">
        <v>7802</v>
      </c>
      <c r="C6207" s="5" t="str">
        <f>IFERROR(__xludf.DUMMYFUNCTION("GOOGLETRANSLATE(B6207,""en"",""de"")"),"Er wäscht das Geschirr unter dem Wasser.")</f>
        <v>Er wäscht das Geschirr unter dem Wasser.</v>
      </c>
    </row>
    <row r="6208">
      <c r="A6208" s="4" t="s">
        <v>7800</v>
      </c>
      <c r="B6208" s="4" t="s">
        <v>7803</v>
      </c>
      <c r="C6208" s="5" t="str">
        <f>IFERROR(__xludf.DUMMYFUNCTION("GOOGLETRANSLATE(B6208,""en"",""de"")"),"Er steckt das Geschirr in ein schwarzes Sieb.")</f>
        <v>Er steckt das Geschirr in ein schwarzes Sieb.</v>
      </c>
    </row>
    <row r="6209">
      <c r="A6209" s="4" t="s">
        <v>7804</v>
      </c>
      <c r="B6209" s="4" t="s">
        <v>7805</v>
      </c>
      <c r="C6209" s="5" t="str">
        <f>IFERROR(__xludf.DUMMYFUNCTION("GOOGLETRANSLATE(B6209,""en"",""de"")"),"Es werden mehrere Schüsse von Menschen gezeigt, die um Drachensurfen fahren, sowie Menschen, die mit der Kamera sprechen.")</f>
        <v>Es werden mehrere Schüsse von Menschen gezeigt, die um Drachensurfen fahren, sowie Menschen, die mit der Kamera sprechen.</v>
      </c>
    </row>
    <row r="6210">
      <c r="A6210" s="4" t="s">
        <v>7804</v>
      </c>
      <c r="B6210" s="4" t="s">
        <v>7806</v>
      </c>
      <c r="C6210" s="5" t="str">
        <f>IFERROR(__xludf.DUMMYFUNCTION("GOOGLETRANSLATE(B6210,""en"",""de"")"),"Die Kinder versuchen das Wind zu surfen und bewegten ihre Arme und Beine herum und winken zur Kamera.")</f>
        <v>Die Kinder versuchen das Wind zu surfen und bewegten ihre Arme und Beine herum und winken zur Kamera.</v>
      </c>
    </row>
    <row r="6211">
      <c r="A6211" s="4" t="s">
        <v>7804</v>
      </c>
      <c r="B6211" s="4" t="s">
        <v>7807</v>
      </c>
      <c r="C6211" s="5" t="str">
        <f>IFERROR(__xludf.DUMMYFUNCTION("GOOGLETRANSLATE(B6211,""en"",""de"")"),"Zwei Mädchen tanzen und Leute, die mit der Kamera sprechen und Kinder in die Kamera schauen.")</f>
        <v>Zwei Mädchen tanzen und Leute, die mit der Kamera sprechen und Kinder in die Kamera schauen.</v>
      </c>
    </row>
    <row r="6212">
      <c r="A6212" s="4" t="s">
        <v>7808</v>
      </c>
      <c r="B6212" s="4" t="s">
        <v>7809</v>
      </c>
      <c r="C6212" s="5" t="str">
        <f>IFERROR(__xludf.DUMMYFUNCTION("GOOGLETRANSLATE(B6212,""en"",""de"")"),"Eine Frau erklärt, wie man Tapete entzieht.")</f>
        <v>Eine Frau erklärt, wie man Tapete entzieht.</v>
      </c>
    </row>
    <row r="6213">
      <c r="A6213" s="4" t="s">
        <v>7808</v>
      </c>
      <c r="B6213" s="4" t="s">
        <v>7810</v>
      </c>
      <c r="C6213" s="5" t="str">
        <f>IFERROR(__xludf.DUMMYFUNCTION("GOOGLETRANSLATE(B6213,""en"",""de"")"),"Sie dreht sich um und biegt sich um, um einen Dampfer aufzunehmen.")</f>
        <v>Sie dreht sich um und biegt sich um, um einen Dampfer aufzunehmen.</v>
      </c>
    </row>
    <row r="6214">
      <c r="A6214" s="4" t="s">
        <v>7808</v>
      </c>
      <c r="B6214" s="4" t="s">
        <v>7811</v>
      </c>
      <c r="C6214" s="5" t="str">
        <f>IFERROR(__xludf.DUMMYFUNCTION("GOOGLETRANSLATE(B6214,""en"",""de"")"),"Sie zeigt, wie man die Tapete in Abschnitten dämpft.")</f>
        <v>Sie zeigt, wie man die Tapete in Abschnitten dämpft.</v>
      </c>
    </row>
    <row r="6215">
      <c r="A6215" s="4" t="s">
        <v>7808</v>
      </c>
      <c r="B6215" s="4" t="s">
        <v>7812</v>
      </c>
      <c r="C6215" s="5" t="str">
        <f>IFERROR(__xludf.DUMMYFUNCTION("GOOGLETRANSLATE(B6215,""en"",""de"")"),"Sie steigt von der Leiter und dämpft weiterhin die Tapete.")</f>
        <v>Sie steigt von der Leiter und dämpft weiterhin die Tapete.</v>
      </c>
    </row>
    <row r="6216">
      <c r="A6216" s="4" t="s">
        <v>7808</v>
      </c>
      <c r="B6216" s="4" t="s">
        <v>7813</v>
      </c>
      <c r="C6216" s="5" t="str">
        <f>IFERROR(__xludf.DUMMYFUNCTION("GOOGLETRANSLATE(B6216,""en"",""de"")"),"Sie bewegt die Leiter aus dem Weg, dann dämpft sie mehr Tapete, bis hin zum Boden, über und zur Mitte.")</f>
        <v>Sie bewegt die Leiter aus dem Weg, dann dämpft sie mehr Tapete, bis hin zum Boden, über und zur Mitte.</v>
      </c>
    </row>
    <row r="6217">
      <c r="A6217" s="4" t="s">
        <v>7808</v>
      </c>
      <c r="B6217" s="4" t="s">
        <v>7814</v>
      </c>
      <c r="C6217" s="5" t="str">
        <f>IFERROR(__xludf.DUMMYFUNCTION("GOOGLETRANSLATE(B6217,""en"",""de"")"),"Sie bewegt die Leiter, klettert sie hoch und schält die Tapete von der Wand und pflückt die Stücke, die von der Wand kleben.")</f>
        <v>Sie bewegt die Leiter, klettert sie hoch und schält die Tapete von der Wand und pflückt die Stücke, die von der Wand kleben.</v>
      </c>
    </row>
    <row r="6218">
      <c r="A6218" s="4" t="s">
        <v>7808</v>
      </c>
      <c r="B6218" s="4" t="s">
        <v>7815</v>
      </c>
      <c r="C6218" s="5" t="str">
        <f>IFERROR(__xludf.DUMMYFUNCTION("GOOGLETRANSLATE(B6218,""en"",""de"")"),"Sie zieht den Rückstand von der Wand.")</f>
        <v>Sie zieht den Rückstand von der Wand.</v>
      </c>
    </row>
    <row r="6219">
      <c r="A6219" s="4" t="s">
        <v>7808</v>
      </c>
      <c r="B6219" s="4" t="s">
        <v>7816</v>
      </c>
      <c r="C6219" s="5" t="str">
        <f>IFERROR(__xludf.DUMMYFUNCTION("GOOGLETRANSLATE(B6219,""en"",""de"")"),"Sie geht aus der Kamera und kommt mit einem Schaber zurück, um die linken Teile zu entfernen.")</f>
        <v>Sie geht aus der Kamera und kommt mit einem Schaber zurück, um die linken Teile zu entfernen.</v>
      </c>
    </row>
    <row r="6220">
      <c r="A6220" s="4" t="s">
        <v>7808</v>
      </c>
      <c r="B6220" s="4" t="s">
        <v>7817</v>
      </c>
      <c r="C6220" s="5" t="str">
        <f>IFERROR(__xludf.DUMMYFUNCTION("GOOGLETRANSLATE(B6220,""en"",""de"")"),"Sie beugt sich wieder und geht wieder aus der Kamera.")</f>
        <v>Sie beugt sich wieder und geht wieder aus der Kamera.</v>
      </c>
    </row>
    <row r="6221">
      <c r="A6221" s="4" t="s">
        <v>7808</v>
      </c>
      <c r="B6221" s="4" t="s">
        <v>7818</v>
      </c>
      <c r="C6221" s="5" t="str">
        <f>IFERROR(__xludf.DUMMYFUNCTION("GOOGLETRANSLATE(B6221,""en"",""de"")"),"Sie hat einen Schwamm und reinigt die Wand.")</f>
        <v>Sie hat einen Schwamm und reinigt die Wand.</v>
      </c>
    </row>
    <row r="6222">
      <c r="A6222" s="4" t="s">
        <v>7808</v>
      </c>
      <c r="B6222" s="4" t="s">
        <v>7819</v>
      </c>
      <c r="C6222" s="5" t="str">
        <f>IFERROR(__xludf.DUMMYFUNCTION("GOOGLETRANSLATE(B6222,""en"",""de"")"),"Sie kratzt und schrubbte.")</f>
        <v>Sie kratzt und schrubbte.</v>
      </c>
    </row>
    <row r="6223">
      <c r="A6223" s="4" t="s">
        <v>7808</v>
      </c>
      <c r="B6223" s="4" t="s">
        <v>7820</v>
      </c>
      <c r="C6223" s="5" t="str">
        <f>IFERROR(__xludf.DUMMYFUNCTION("GOOGLETRANSLATE(B6223,""en"",""de"")"),"Sie dreht sich um und lächelt.")</f>
        <v>Sie dreht sich um und lächelt.</v>
      </c>
    </row>
    <row r="6224">
      <c r="A6224" s="4" t="s">
        <v>7821</v>
      </c>
      <c r="B6224" s="4" t="s">
        <v>7822</v>
      </c>
      <c r="C6224" s="5" t="str">
        <f>IFERROR(__xludf.DUMMYFUNCTION("GOOGLETRANSLATE(B6224,""en"",""de"")"),"Es gibt Schneeflocken über einen Wald.")</f>
        <v>Es gibt Schneeflocken über einen Wald.</v>
      </c>
    </row>
    <row r="6225">
      <c r="A6225" s="4" t="s">
        <v>7821</v>
      </c>
      <c r="B6225" s="4" t="s">
        <v>7823</v>
      </c>
      <c r="C6225" s="5" t="str">
        <f>IFERROR(__xludf.DUMMYFUNCTION("GOOGLETRANSLATE(B6225,""en"",""de"")"),"Ein Mann in einer orangefarbenen Jacke Schneemobil über ein schneebedecktes Feld.")</f>
        <v>Ein Mann in einer orangefarbenen Jacke Schneemobil über ein schneebedecktes Feld.</v>
      </c>
    </row>
    <row r="6226">
      <c r="A6226" s="4" t="s">
        <v>7821</v>
      </c>
      <c r="B6226" s="4" t="s">
        <v>7824</v>
      </c>
      <c r="C6226" s="5" t="str">
        <f>IFERROR(__xludf.DUMMYFUNCTION("GOOGLETRANSLATE(B6226,""en"",""de"")"),"Der Mann Snowboards den Berg hinunter.")</f>
        <v>Der Mann Snowboards den Berg hinunter.</v>
      </c>
    </row>
    <row r="6227">
      <c r="A6227" s="4" t="s">
        <v>7821</v>
      </c>
      <c r="B6227" s="4" t="s">
        <v>7825</v>
      </c>
      <c r="C6227" s="5" t="str">
        <f>IFERROR(__xludf.DUMMYFUNCTION("GOOGLETRANSLATE(B6227,""en"",""de"")"),"Zwei Männer Schneemobil durch den Wald.")</f>
        <v>Zwei Männer Schneemobil durch den Wald.</v>
      </c>
    </row>
    <row r="6228">
      <c r="A6228" s="4" t="s">
        <v>7821</v>
      </c>
      <c r="B6228" s="4" t="s">
        <v>7826</v>
      </c>
      <c r="C6228" s="5" t="str">
        <f>IFERROR(__xludf.DUMMYFUNCTION("GOOGLETRANSLATE(B6228,""en"",""de"")"),"Ein Mann in einer dunklen Jacke Snowboards durch eine mit Bäumen gefüllte Route.")</f>
        <v>Ein Mann in einer dunklen Jacke Snowboards durch eine mit Bäumen gefüllte Route.</v>
      </c>
    </row>
    <row r="6229">
      <c r="A6229" s="4" t="s">
        <v>7821</v>
      </c>
      <c r="B6229" s="4" t="s">
        <v>7827</v>
      </c>
      <c r="C6229" s="5" t="str">
        <f>IFERROR(__xludf.DUMMYFUNCTION("GOOGLETRANSLATE(B6229,""en"",""de"")"),"Der Mann in der orangefarbenen Jacke schaut in die Kamera.")</f>
        <v>Der Mann in der orangefarbenen Jacke schaut in die Kamera.</v>
      </c>
    </row>
    <row r="6230">
      <c r="A6230" s="4" t="s">
        <v>7821</v>
      </c>
      <c r="B6230" s="4" t="s">
        <v>7828</v>
      </c>
      <c r="C6230" s="5" t="str">
        <f>IFERROR(__xludf.DUMMYFUNCTION("GOOGLETRANSLATE(B6230,""en"",""de"")"),"Der Mann in der orangefarbenen Jacke schneet einen sehr steilen Berg hinunter.")</f>
        <v>Der Mann in der orangefarbenen Jacke schneet einen sehr steilen Berg hinunter.</v>
      </c>
    </row>
    <row r="6231">
      <c r="A6231" s="4" t="s">
        <v>7821</v>
      </c>
      <c r="B6231" s="4" t="s">
        <v>7829</v>
      </c>
      <c r="C6231" s="5" t="str">
        <f>IFERROR(__xludf.DUMMYFUNCTION("GOOGLETRANSLATE(B6231,""en"",""de"")"),"Der Mann in der orangefarbenen Jacke schneft einen Sprung aus und tricks.")</f>
        <v>Der Mann in der orangefarbenen Jacke schneft einen Sprung aus und tricks.</v>
      </c>
    </row>
    <row r="6232">
      <c r="A6232" s="4" t="s">
        <v>7821</v>
      </c>
      <c r="B6232" s="4" t="s">
        <v>7830</v>
      </c>
      <c r="C6232" s="5" t="str">
        <f>IFERROR(__xludf.DUMMYFUNCTION("GOOGLETRANSLATE(B6232,""en"",""de"")"),"Der Mann in der orangefarbenen Jacke beginnt ein Feuer.")</f>
        <v>Der Mann in der orangefarbenen Jacke beginnt ein Feuer.</v>
      </c>
    </row>
    <row r="6233">
      <c r="A6233" s="4" t="s">
        <v>7821</v>
      </c>
      <c r="B6233" s="4" t="s">
        <v>7831</v>
      </c>
      <c r="C6233" s="5" t="str">
        <f>IFERROR(__xludf.DUMMYFUNCTION("GOOGLETRANSLATE(B6233,""en"",""de"")"),"Der Mann in der dunklen Jacke fährt weiter durch verräterische Gebiete, die mit Bäumen gefüllt sind.")</f>
        <v>Der Mann in der dunklen Jacke fährt weiter durch verräterische Gebiete, die mit Bäumen gefüllt sind.</v>
      </c>
    </row>
    <row r="6234">
      <c r="A6234" s="4" t="s">
        <v>7832</v>
      </c>
      <c r="B6234" s="4" t="s">
        <v>7833</v>
      </c>
      <c r="C6234" s="5" t="str">
        <f>IFERROR(__xludf.DUMMYFUNCTION("GOOGLETRANSLATE(B6234,""en"",""de"")"),"Der Mann schweißt eine Maschine in einem dunklen Raum.")</f>
        <v>Der Mann schweißt eine Maschine in einem dunklen Raum.</v>
      </c>
    </row>
    <row r="6235">
      <c r="A6235" s="4" t="s">
        <v>7832</v>
      </c>
      <c r="B6235" s="4" t="s">
        <v>7834</v>
      </c>
      <c r="C6235" s="5" t="str">
        <f>IFERROR(__xludf.DUMMYFUNCTION("GOOGLETRANSLATE(B6235,""en"",""de"")"),"Der Mensch schweißt einen Metalltopf und Rauch breitet sich aus dem Topf aus.")</f>
        <v>Der Mensch schweißt einen Metalltopf und Rauch breitet sich aus dem Topf aus.</v>
      </c>
    </row>
    <row r="6236">
      <c r="A6236" s="4" t="s">
        <v>7832</v>
      </c>
      <c r="B6236" s="4" t="s">
        <v>7835</v>
      </c>
      <c r="C6236" s="5" t="str">
        <f>IFERROR(__xludf.DUMMYFUNCTION("GOOGLETRANSLATE(B6236,""en"",""de"")"),"Der Mann trägt eine Schweißmaske in einem dunklen Raum, das etwas schweißt.")</f>
        <v>Der Mann trägt eine Schweißmaske in einem dunklen Raum, das etwas schweißt.</v>
      </c>
    </row>
    <row r="6237">
      <c r="A6237" s="4" t="s">
        <v>7836</v>
      </c>
      <c r="B6237" s="4" t="s">
        <v>7837</v>
      </c>
      <c r="C6237" s="5" t="str">
        <f>IFERROR(__xludf.DUMMYFUNCTION("GOOGLETRANSLATE(B6237,""en"",""de"")"),"Eine Nahaufnahme eines Mannes, der herumfährt, wird gezeigt und führt zu ihm, als er einen Teil seiner Shows abnimmt.")</f>
        <v>Eine Nahaufnahme eines Mannes, der herumfährt, wird gezeigt und führt zu ihm, als er einen Teil seiner Shows abnimmt.</v>
      </c>
    </row>
    <row r="6238">
      <c r="A6238" s="4" t="s">
        <v>7836</v>
      </c>
      <c r="B6238" s="4" t="s">
        <v>7838</v>
      </c>
      <c r="C6238" s="5" t="str">
        <f>IFERROR(__xludf.DUMMYFUNCTION("GOOGLETRANSLATE(B6238,""en"",""de"")"),"Er zeigt mehrere Objekte und schiebt einen Puck über etwas Eis entlang, während die Kamera auf das Objekt sitzt und der Mann hinter sich schenkt.")</f>
        <v>Er zeigt mehrere Objekte und schiebt einen Puck über etwas Eis entlang, während die Kamera auf das Objekt sitzt und der Mann hinter sich schenkt.</v>
      </c>
    </row>
    <row r="6239">
      <c r="A6239" s="4" t="s">
        <v>7839</v>
      </c>
      <c r="B6239" s="4" t="s">
        <v>7840</v>
      </c>
      <c r="C6239" s="5" t="str">
        <f>IFERROR(__xludf.DUMMYFUNCTION("GOOGLETRANSLATE(B6239,""en"",""de"")"),"Ein Boot zieht eine Person aus dem Wasser.")</f>
        <v>Ein Boot zieht eine Person aus dem Wasser.</v>
      </c>
    </row>
    <row r="6240">
      <c r="A6240" s="4" t="s">
        <v>7839</v>
      </c>
      <c r="B6240" s="4" t="s">
        <v>7841</v>
      </c>
      <c r="C6240" s="5" t="str">
        <f>IFERROR(__xludf.DUMMYFUNCTION("GOOGLETRANSLATE(B6240,""en"",""de"")"),"Sie stehen auf und beginnen mit Wasser Ski hinter dem Boot.")</f>
        <v>Sie stehen auf und beginnen mit Wasser Ski hinter dem Boot.</v>
      </c>
    </row>
    <row r="6241">
      <c r="A6241" s="4" t="s">
        <v>7839</v>
      </c>
      <c r="B6241" s="4" t="s">
        <v>7842</v>
      </c>
      <c r="C6241" s="5" t="str">
        <f>IFERROR(__xludf.DUMMYFUNCTION("GOOGLETRANSLATE(B6241,""en"",""de"")"),"Die Person fällt und lässt das Seil los.")</f>
        <v>Die Person fällt und lässt das Seil los.</v>
      </c>
    </row>
    <row r="6242">
      <c r="A6242" s="4" t="s">
        <v>7843</v>
      </c>
      <c r="B6242" s="4" t="s">
        <v>7844</v>
      </c>
      <c r="C6242" s="5" t="str">
        <f>IFERROR(__xludf.DUMMYFUNCTION("GOOGLETRANSLATE(B6242,""en"",""de"")"),"Eine große Folie wird mit Dutzenden von Kindern gezeigt, die nach oben klettern und untergehen.")</f>
        <v>Eine große Folie wird mit Dutzenden von Kindern gezeigt, die nach oben klettern und untergehen.</v>
      </c>
    </row>
    <row r="6243">
      <c r="A6243" s="4" t="s">
        <v>7843</v>
      </c>
      <c r="B6243" s="4" t="s">
        <v>7845</v>
      </c>
      <c r="C6243" s="5" t="str">
        <f>IFERROR(__xludf.DUMMYFUNCTION("GOOGLETRANSLATE(B6243,""en"",""de"")"),"Kinder rennen die Seite auf und ab und fahren weiter die Rutsche hinunter.")</f>
        <v>Kinder rennen die Seite auf und ab und fahren weiter die Rutsche hinunter.</v>
      </c>
    </row>
    <row r="6244">
      <c r="A6244" s="4" t="s">
        <v>7843</v>
      </c>
      <c r="B6244" s="4" t="s">
        <v>7846</v>
      </c>
      <c r="C6244" s="5" t="str">
        <f>IFERROR(__xludf.DUMMYFUNCTION("GOOGLETRANSLATE(B6244,""en"",""de"")"),"Die Kamera schwenkt rund um die Folien und zeigt, dass die Kinder untergehen.")</f>
        <v>Die Kamera schwenkt rund um die Folien und zeigt, dass die Kinder untergehen.</v>
      </c>
    </row>
    <row r="6245">
      <c r="A6245" s="4" t="s">
        <v>7847</v>
      </c>
      <c r="B6245" s="4" t="s">
        <v>7848</v>
      </c>
      <c r="C6245" s="5" t="str">
        <f>IFERROR(__xludf.DUMMYFUNCTION("GOOGLETRANSLATE(B6245,""en"",""de"")"),"Eine Frau macht eine Routine des Haarverbandes, indem sie Haare bürsten und blasen.")</f>
        <v>Eine Frau macht eine Routine des Haarverbandes, indem sie Haare bürsten und blasen.</v>
      </c>
    </row>
    <row r="6246">
      <c r="A6246" s="4" t="s">
        <v>7847</v>
      </c>
      <c r="B6246" s="4" t="s">
        <v>7849</v>
      </c>
      <c r="C6246" s="5" t="str">
        <f>IFERROR(__xludf.DUMMYFUNCTION("GOOGLETRANSLATE(B6246,""en"",""de"")"),"Die Frau sitzt und hat die Friseurin in weniger als zehn Minuten ihre Magie.")</f>
        <v>Die Frau sitzt und hat die Friseurin in weniger als zehn Minuten ihre Magie.</v>
      </c>
    </row>
    <row r="6247">
      <c r="A6247" s="4" t="s">
        <v>7850</v>
      </c>
      <c r="B6247" s="4" t="s">
        <v>7851</v>
      </c>
      <c r="C6247" s="5" t="str">
        <f>IFERROR(__xludf.DUMMYFUNCTION("GOOGLETRANSLATE(B6247,""en"",""de"")"),"Eine Frau malt einen quadratischen Rahmen mit Beinen.")</f>
        <v>Eine Frau malt einen quadratischen Rahmen mit Beinen.</v>
      </c>
    </row>
    <row r="6248">
      <c r="A6248" s="4" t="s">
        <v>7850</v>
      </c>
      <c r="B6248" s="4" t="s">
        <v>7852</v>
      </c>
      <c r="C6248" s="5" t="str">
        <f>IFERROR(__xludf.DUMMYFUNCTION("GOOGLETRANSLATE(B6248,""en"",""de"")"),"Sie dreht es um und malt eine andere Seite.")</f>
        <v>Sie dreht es um und malt eine andere Seite.</v>
      </c>
    </row>
    <row r="6249">
      <c r="A6249" s="4" t="s">
        <v>7850</v>
      </c>
      <c r="B6249" s="4" t="s">
        <v>7853</v>
      </c>
      <c r="C6249" s="5" t="str">
        <f>IFERROR(__xludf.DUMMYFUNCTION("GOOGLETRANSLATE(B6249,""en"",""de"")"),"Die Kamera schwenkt nach Blumen.")</f>
        <v>Die Kamera schwenkt nach Blumen.</v>
      </c>
    </row>
    <row r="6250">
      <c r="A6250" s="4" t="s">
        <v>7854</v>
      </c>
      <c r="B6250" s="4" t="s">
        <v>7855</v>
      </c>
      <c r="C6250" s="5" t="str">
        <f>IFERROR(__xludf.DUMMYFUNCTION("GOOGLETRANSLATE(B6250,""en"",""de"")"),"Eine Person sitzt auf einem Stuhl mit einer Frau, die hinter ihm steht, seine Haare.")</f>
        <v>Eine Person sitzt auf einem Stuhl mit einer Frau, die hinter ihm steht, seine Haare.</v>
      </c>
    </row>
    <row r="6251">
      <c r="A6251" s="4" t="s">
        <v>7854</v>
      </c>
      <c r="B6251" s="4" t="s">
        <v>7856</v>
      </c>
      <c r="C6251" s="5" t="str">
        <f>IFERROR(__xludf.DUMMYFUNCTION("GOOGLETRANSLATE(B6251,""en"",""de"")"),"Sie kämmt sich ständig seine Haare und misst es neben der Seite.")</f>
        <v>Sie kämmt sich ständig seine Haare und misst es neben der Seite.</v>
      </c>
    </row>
    <row r="6252">
      <c r="A6252" s="4" t="s">
        <v>7854</v>
      </c>
      <c r="B6252" s="4" t="s">
        <v>7857</v>
      </c>
      <c r="C6252" s="5" t="str">
        <f>IFERROR(__xludf.DUMMYFUNCTION("GOOGLETRANSLATE(B6252,""en"",""de"")"),"Sie beendet schließlich den Schnitt und verblasst sein Gesicht.")</f>
        <v>Sie beendet schließlich den Schnitt und verblasst sein Gesicht.</v>
      </c>
    </row>
    <row r="6253">
      <c r="A6253" s="4" t="s">
        <v>7858</v>
      </c>
      <c r="B6253" s="4" t="s">
        <v>7859</v>
      </c>
      <c r="C6253" s="5" t="str">
        <f>IFERROR(__xludf.DUMMYFUNCTION("GOOGLETRANSLATE(B6253,""en"",""de"")"),"Eine Person reinigt einen Fensterbildschirm und setzt dann das Waschmittel auf den unteren Teil des Fensters und zum Bürsten.")</f>
        <v>Eine Person reinigt einen Fensterbildschirm und setzt dann das Waschmittel auf den unteren Teil des Fensters und zum Bürsten.</v>
      </c>
    </row>
    <row r="6254">
      <c r="A6254" s="4" t="s">
        <v>7858</v>
      </c>
      <c r="B6254" s="4" t="s">
        <v>7860</v>
      </c>
      <c r="C6254" s="5" t="str">
        <f>IFERROR(__xludf.DUMMYFUNCTION("GOOGLETRANSLATE(B6254,""en"",""de"")"),"Dann reinigt die Person die Grenzen des Fensters mit einem Tuch und zeigt den Schmutz im Tuch.")</f>
        <v>Dann reinigt die Person die Grenzen des Fensters mit einem Tuch und zeigt den Schmutz im Tuch.</v>
      </c>
    </row>
    <row r="6255">
      <c r="A6255" s="4" t="s">
        <v>7858</v>
      </c>
      <c r="B6255" s="4" t="s">
        <v>7861</v>
      </c>
      <c r="C6255" s="5" t="str">
        <f>IFERROR(__xludf.DUMMYFUNCTION("GOOGLETRANSLATE(B6255,""en"",""de"")"),"Danach nimmt die Person eine Flasche aus der Schwelle und reinigt weiterhin die Grenzen des Fensterbildschirms.")</f>
        <v>Danach nimmt die Person eine Flasche aus der Schwelle und reinigt weiterhin die Grenzen des Fensterbildschirms.</v>
      </c>
    </row>
    <row r="6256">
      <c r="A6256" s="4" t="s">
        <v>7862</v>
      </c>
      <c r="B6256" s="4" t="s">
        <v>7863</v>
      </c>
      <c r="C6256" s="5" t="str">
        <f>IFERROR(__xludf.DUMMYFUNCTION("GOOGLETRANSLATE(B6256,""en"",""de"")"),"Eine junge Frau sitzt auf einem Schritt und dann wird ein Poster, in dem ich sagt, dass ich es tun kann.")</f>
        <v>Eine junge Frau sitzt auf einem Schritt und dann wird ein Poster, in dem ich sagt, dass ich es tun kann.</v>
      </c>
    </row>
    <row r="6257">
      <c r="A6257" s="4" t="s">
        <v>7862</v>
      </c>
      <c r="B6257" s="4" t="s">
        <v>7864</v>
      </c>
      <c r="C6257" s="5" t="str">
        <f>IFERROR(__xludf.DUMMYFUNCTION("GOOGLETRANSLATE(B6257,""en"",""de"")"),"Das Mädchen kommt zurück und redet weiter darüber, was sie gerade tun wird.")</f>
        <v>Das Mädchen kommt zurück und redet weiter darüber, was sie gerade tun wird.</v>
      </c>
    </row>
    <row r="6258">
      <c r="A6258" s="4" t="s">
        <v>7862</v>
      </c>
      <c r="B6258" s="4" t="s">
        <v>7865</v>
      </c>
      <c r="C6258" s="5" t="str">
        <f>IFERROR(__xludf.DUMMYFUNCTION("GOOGLETRANSLATE(B6258,""en"",""de"")"),"Sie bringt dann ein Messer auf und spricht darüber, während die Kamera es zoomt.")</f>
        <v>Sie bringt dann ein Messer auf und spricht darüber, während die Kamera es zoomt.</v>
      </c>
    </row>
    <row r="6259">
      <c r="A6259" s="4" t="s">
        <v>7862</v>
      </c>
      <c r="B6259" s="4" t="s">
        <v>7866</v>
      </c>
      <c r="C6259" s="5" t="str">
        <f>IFERROR(__xludf.DUMMYFUNCTION("GOOGLETRANSLATE(B6259,""en"",""de"")"),"Sie fängt dann an, einen Stock zu schneiden und Wörter werden unten angezeigt, die die Schritte zum Abschluss des Feuers zeigen.")</f>
        <v>Sie fängt dann an, einen Stock zu schneiden und Wörter werden unten angezeigt, die die Schritte zum Abschluss des Feuers zeigen.</v>
      </c>
    </row>
    <row r="6260">
      <c r="A6260" s="4" t="s">
        <v>7862</v>
      </c>
      <c r="B6260" s="4" t="s">
        <v>7867</v>
      </c>
      <c r="C6260" s="5" t="str">
        <f>IFERROR(__xludf.DUMMYFUNCTION("GOOGLETRANSLATE(B6260,""en"",""de"")"),"Ein Taschenmesser wird herausgezogen und sie beginnt ein kleines Stück Zunder zu schneiden.")</f>
        <v>Ein Taschenmesser wird herausgezogen und sie beginnt ein kleines Stück Zunder zu schneiden.</v>
      </c>
    </row>
    <row r="6261">
      <c r="A6261" s="4" t="s">
        <v>7868</v>
      </c>
      <c r="B6261" s="4" t="s">
        <v>7869</v>
      </c>
      <c r="C6261" s="5" t="str">
        <f>IFERROR(__xludf.DUMMYFUNCTION("GOOGLETRANSLATE(B6261,""en"",""de"")"),"Ein Mann, der einen Ohrring trägt, schaut zur Seite.")</f>
        <v>Ein Mann, der einen Ohrring trägt, schaut zur Seite.</v>
      </c>
    </row>
    <row r="6262">
      <c r="A6262" s="4" t="s">
        <v>7868</v>
      </c>
      <c r="B6262" s="4" t="s">
        <v>7870</v>
      </c>
      <c r="C6262" s="5" t="str">
        <f>IFERROR(__xludf.DUMMYFUNCTION("GOOGLETRANSLATE(B6262,""en"",""de"")"),"Er wird gezeigt, wie er einen Bogen und einen Pfeil hochhält, zielt und dann auf sein Ziel schießt.")</f>
        <v>Er wird gezeigt, wie er einen Bogen und einen Pfeil hochhält, zielt und dann auf sein Ziel schießt.</v>
      </c>
    </row>
    <row r="6263">
      <c r="A6263" s="4" t="s">
        <v>7868</v>
      </c>
      <c r="B6263" s="4" t="s">
        <v>7871</v>
      </c>
      <c r="C6263" s="5" t="str">
        <f>IFERROR(__xludf.DUMMYFUNCTION("GOOGLETRANSLATE(B6263,""en"",""de"")"),"Die Szene wird mehrmals wiederholt.")</f>
        <v>Die Szene wird mehrmals wiederholt.</v>
      </c>
    </row>
    <row r="6264">
      <c r="A6264" s="4" t="s">
        <v>7872</v>
      </c>
      <c r="B6264" s="4" t="s">
        <v>7873</v>
      </c>
      <c r="C6264" s="5" t="str">
        <f>IFERROR(__xludf.DUMMYFUNCTION("GOOGLETRANSLATE(B6264,""en"",""de"")"),"Es wird ein Zeitraffervideo von Menschen gezeigt, die durch ein Haus herumlaufen.")</f>
        <v>Es wird ein Zeitraffervideo von Menschen gezeigt, die durch ein Haus herumlaufen.</v>
      </c>
    </row>
    <row r="6265">
      <c r="A6265" s="4" t="s">
        <v>7872</v>
      </c>
      <c r="B6265" s="4" t="s">
        <v>7874</v>
      </c>
      <c r="C6265" s="5" t="str">
        <f>IFERROR(__xludf.DUMMYFUNCTION("GOOGLETRANSLATE(B6265,""en"",""de"")"),"Später beginnen sie, einen Weihnachtsbaum mit zwei in den Prozess beteiligten Personen aufzunehmen.")</f>
        <v>Später beginnen sie, einen Weihnachtsbaum mit zwei in den Prozess beteiligten Personen aufzunehmen.</v>
      </c>
    </row>
    <row r="6266">
      <c r="A6266" s="4" t="s">
        <v>7872</v>
      </c>
      <c r="B6266" s="4" t="s">
        <v>7875</v>
      </c>
      <c r="C6266" s="5" t="str">
        <f>IFERROR(__xludf.DUMMYFUNCTION("GOOGLETRANSLATE(B6266,""en"",""de"")"),"Sie legen Lichter auf den Baum und zündeten sie an.")</f>
        <v>Sie legen Lichter auf den Baum und zündeten sie an.</v>
      </c>
    </row>
    <row r="6267">
      <c r="A6267" s="4" t="s">
        <v>7872</v>
      </c>
      <c r="B6267" s="4" t="s">
        <v>7876</v>
      </c>
      <c r="C6267" s="5" t="str">
        <f>IFERROR(__xludf.DUMMYFUNCTION("GOOGLETRANSLATE(B6267,""en"",""de"")"),"Als nächstes beginnen sie mehrere verschiedene Ornamente auf den Baum.")</f>
        <v>Als nächstes beginnen sie mehrere verschiedene Ornamente auf den Baum.</v>
      </c>
    </row>
    <row r="6268">
      <c r="A6268" s="4" t="s">
        <v>7872</v>
      </c>
      <c r="B6268" s="4" t="s">
        <v>7877</v>
      </c>
      <c r="C6268" s="5" t="str">
        <f>IFERROR(__xludf.DUMMYFUNCTION("GOOGLETRANSLATE(B6268,""en"",""de"")"),"Zuletzt legen sie den Rock unter den Baum und beenden das Video mit einem Kuss.")</f>
        <v>Zuletzt legen sie den Rock unter den Baum und beenden das Video mit einem Kuss.</v>
      </c>
    </row>
    <row r="6269">
      <c r="A6269" s="4" t="s">
        <v>7878</v>
      </c>
      <c r="B6269" s="4" t="s">
        <v>7879</v>
      </c>
      <c r="C6269" s="5" t="str">
        <f>IFERROR(__xludf.DUMMYFUNCTION("GOOGLETRANSLATE(B6269,""en"",""de"")"),"Die Band ist auf der Bühne und der Frontmann singt.")</f>
        <v>Die Band ist auf der Bühne und der Frontmann singt.</v>
      </c>
    </row>
    <row r="6270">
      <c r="A6270" s="4" t="s">
        <v>7878</v>
      </c>
      <c r="B6270" s="4" t="s">
        <v>7880</v>
      </c>
      <c r="C6270" s="5" t="str">
        <f>IFERROR(__xludf.DUMMYFUNCTION("GOOGLETRANSLATE(B6270,""en"",""de"")"),"Frau spielt Schlagzeug mit einer schwarzen Mütze.")</f>
        <v>Frau spielt Schlagzeug mit einer schwarzen Mütze.</v>
      </c>
    </row>
    <row r="6271">
      <c r="A6271" s="4" t="s">
        <v>7881</v>
      </c>
      <c r="B6271" s="4" t="s">
        <v>7882</v>
      </c>
      <c r="C6271" s="5" t="str">
        <f>IFERROR(__xludf.DUMMYFUNCTION("GOOGLETRANSLATE(B6271,""en"",""de"")"),"Ein Garten wird von außen von einem Haus gezeigt.")</f>
        <v>Ein Garten wird von außen von einem Haus gezeigt.</v>
      </c>
    </row>
    <row r="6272">
      <c r="A6272" s="4" t="s">
        <v>7881</v>
      </c>
      <c r="B6272" s="4" t="s">
        <v>7883</v>
      </c>
      <c r="C6272" s="5" t="str">
        <f>IFERROR(__xludf.DUMMYFUNCTION("GOOGLETRANSLATE(B6272,""en"",""de"")"),"Die Kamera dreht sich um verschiedene Pflanzen und Blumen.")</f>
        <v>Die Kamera dreht sich um verschiedene Pflanzen und Blumen.</v>
      </c>
    </row>
    <row r="6273">
      <c r="A6273" s="4" t="s">
        <v>7881</v>
      </c>
      <c r="B6273" s="4" t="s">
        <v>7884</v>
      </c>
      <c r="C6273" s="5" t="str">
        <f>IFERROR(__xludf.DUMMYFUNCTION("GOOGLETRANSLATE(B6273,""en"",""de"")"),"Wir sehen uns dann einen guten Blick auf das Gras.")</f>
        <v>Wir sehen uns dann einen guten Blick auf das Gras.</v>
      </c>
    </row>
    <row r="6274">
      <c r="A6274" s="4" t="s">
        <v>7885</v>
      </c>
      <c r="B6274" s="4" t="s">
        <v>7886</v>
      </c>
      <c r="C6274" s="5" t="str">
        <f>IFERROR(__xludf.DUMMYFUNCTION("GOOGLETRANSLATE(B6274,""en"",""de"")"),"Jungen balancieren auf lockeren Linien und machen verschiedene Tricks.")</f>
        <v>Jungen balancieren auf lockeren Linien und machen verschiedene Tricks.</v>
      </c>
    </row>
    <row r="6275">
      <c r="A6275" s="4" t="s">
        <v>7885</v>
      </c>
      <c r="B6275" s="4" t="s">
        <v>7887</v>
      </c>
      <c r="C6275" s="5" t="str">
        <f>IFERROR(__xludf.DUMMYFUNCTION("GOOGLETRANSLATE(B6275,""en"",""de"")"),"Die Menschen basieren auf einer lockeren Linie in einem Park und gehen langsam über die Länge des Seils zwischen zwei Bäumen.")</f>
        <v>Die Menschen basieren auf einer lockeren Linie in einem Park und gehen langsam über die Länge des Seils zwischen zwei Bäumen.</v>
      </c>
    </row>
    <row r="6276">
      <c r="A6276" s="4" t="s">
        <v>7885</v>
      </c>
      <c r="B6276" s="4" t="s">
        <v>7888</v>
      </c>
      <c r="C6276" s="5" t="str">
        <f>IFERROR(__xludf.DUMMYFUNCTION("GOOGLETRANSLATE(B6276,""en"",""de"")"),"Die Jungenbilanz über eine Slack -Linie über einen kleinen Teich in einem Park.")</f>
        <v>Die Jungenbilanz über eine Slack -Linie über einen kleinen Teich in einem Park.</v>
      </c>
    </row>
    <row r="6277">
      <c r="A6277" s="4" t="s">
        <v>7889</v>
      </c>
      <c r="B6277" s="4" t="s">
        <v>7890</v>
      </c>
      <c r="C6277" s="5" t="str">
        <f>IFERROR(__xludf.DUMMYFUNCTION("GOOGLETRANSLATE(B6277,""en"",""de"")"),"Frau sitzt in einem Bürgersteig, der mit der Kamera neben einem grünen Eimer spricht.")</f>
        <v>Frau sitzt in einem Bürgersteig, der mit der Kamera neben einem grünen Eimer spricht.</v>
      </c>
    </row>
    <row r="6278">
      <c r="A6278" s="4" t="s">
        <v>7889</v>
      </c>
      <c r="B6278" s="4" t="s">
        <v>7891</v>
      </c>
      <c r="C6278" s="5" t="str">
        <f>IFERROR(__xludf.DUMMYFUNCTION("GOOGLETRANSLATE(B6278,""en"",""de"")"),"Frau springt auf den Bürgersteig und spielt Trick.")</f>
        <v>Frau springt auf den Bürgersteig und spielt Trick.</v>
      </c>
    </row>
    <row r="6279">
      <c r="A6279" s="4" t="s">
        <v>7889</v>
      </c>
      <c r="B6279" s="4" t="s">
        <v>7892</v>
      </c>
      <c r="C6279" s="5" t="str">
        <f>IFERROR(__xludf.DUMMYFUNCTION("GOOGLETRANSLATE(B6279,""en"",""de"")"),"Eine andere Frau ist im Bürgersteig und spielt Trick.")</f>
        <v>Eine andere Frau ist im Bürgersteig und spielt Trick.</v>
      </c>
    </row>
    <row r="6280">
      <c r="A6280" s="4" t="s">
        <v>7893</v>
      </c>
      <c r="B6280" s="4" t="s">
        <v>7894</v>
      </c>
      <c r="C6280" s="5" t="str">
        <f>IFERROR(__xludf.DUMMYFUNCTION("GOOGLETRANSLATE(B6280,""en"",""de"")"),"Ein Band sitzt draußen auf Asphalt.")</f>
        <v>Ein Band sitzt draußen auf Asphalt.</v>
      </c>
    </row>
    <row r="6281">
      <c r="A6281" s="4" t="s">
        <v>7893</v>
      </c>
      <c r="B6281" s="4" t="s">
        <v>7895</v>
      </c>
      <c r="C6281" s="5" t="str">
        <f>IFERROR(__xludf.DUMMYFUNCTION("GOOGLETRANSLATE(B6281,""en"",""de"")"),"Sie spielen eine Reihe von Schlagzeug mit Stöcken und Händen.")</f>
        <v>Sie spielen eine Reihe von Schlagzeug mit Stöcken und Händen.</v>
      </c>
    </row>
    <row r="6282">
      <c r="A6282" s="4" t="s">
        <v>7893</v>
      </c>
      <c r="B6282" s="4" t="s">
        <v>7896</v>
      </c>
      <c r="C6282" s="5" t="str">
        <f>IFERROR(__xludf.DUMMYFUNCTION("GOOGLETRANSLATE(B6282,""en"",""de"")"),"Zahlreiche Menschen gehen zu Fuß und Fahrrad vorbei.")</f>
        <v>Zahlreiche Menschen gehen zu Fuß und Fahrrad vorbei.</v>
      </c>
    </row>
    <row r="6283">
      <c r="A6283" s="4" t="s">
        <v>7897</v>
      </c>
      <c r="B6283" s="4" t="s">
        <v>7898</v>
      </c>
      <c r="C6283" s="5" t="str">
        <f>IFERROR(__xludf.DUMMYFUNCTION("GOOGLETRANSLATE(B6283,""en"",""de"")"),"Die Leute springen auf einer Bühne.")</f>
        <v>Die Leute springen auf einer Bühne.</v>
      </c>
    </row>
    <row r="6284">
      <c r="A6284" s="4" t="s">
        <v>7897</v>
      </c>
      <c r="B6284" s="4" t="s">
        <v>7899</v>
      </c>
      <c r="C6284" s="5" t="str">
        <f>IFERROR(__xludf.DUMMYFUNCTION("GOOGLETRANSLATE(B6284,""en"",""de"")"),"Sie wechseln die Plätze und eine andere Person beginnt zu springen.")</f>
        <v>Sie wechseln die Plätze und eine andere Person beginnt zu springen.</v>
      </c>
    </row>
    <row r="6285">
      <c r="A6285" s="4" t="s">
        <v>7897</v>
      </c>
      <c r="B6285" s="4" t="s">
        <v>7900</v>
      </c>
      <c r="C6285" s="5" t="str">
        <f>IFERROR(__xludf.DUMMYFUNCTION("GOOGLETRANSLATE(B6285,""en"",""de"")"),"Ein Mann steht und hält das Sprungseil.")</f>
        <v>Ein Mann steht und hält das Sprungseil.</v>
      </c>
    </row>
    <row r="6286">
      <c r="A6286" s="4" t="s">
        <v>7901</v>
      </c>
      <c r="B6286" s="4" t="s">
        <v>7902</v>
      </c>
      <c r="C6286" s="5" t="str">
        <f>IFERROR(__xludf.DUMMYFUNCTION("GOOGLETRANSLATE(B6286,""en"",""de"")"),"Die Provinz Albay Seal wird gezeigt.")</f>
        <v>Die Provinz Albay Seal wird gezeigt.</v>
      </c>
    </row>
    <row r="6287">
      <c r="A6287" s="4" t="s">
        <v>7901</v>
      </c>
      <c r="B6287" s="4" t="s">
        <v>7903</v>
      </c>
      <c r="C6287" s="5" t="str">
        <f>IFERROR(__xludf.DUMMYFUNCTION("GOOGLETRANSLATE(B6287,""en"",""de"")"),"Mehrere Teammitglieder sind im Freien im Freien und spielen Volleyball.")</f>
        <v>Mehrere Teammitglieder sind im Freien im Freien und spielen Volleyball.</v>
      </c>
    </row>
    <row r="6288">
      <c r="A6288" s="4" t="s">
        <v>7901</v>
      </c>
      <c r="B6288" s="4" t="s">
        <v>7904</v>
      </c>
      <c r="C6288" s="5" t="str">
        <f>IFERROR(__xludf.DUMMYFUNCTION("GOOGLETRANSLATE(B6288,""en"",""de"")"),"Sie lohen den Ball vor dem Publikum über das Netz hin und her.")</f>
        <v>Sie lohen den Ball vor dem Publikum über das Netz hin und her.</v>
      </c>
    </row>
    <row r="6289">
      <c r="A6289" s="4" t="s">
        <v>7901</v>
      </c>
      <c r="B6289" s="4" t="s">
        <v>7905</v>
      </c>
      <c r="C6289" s="5" t="str">
        <f>IFERROR(__xludf.DUMMYFUNCTION("GOOGLETRANSLATE(B6289,""en"",""de"")"),"Danach feiern sie, lachen und lächeln.")</f>
        <v>Danach feiern sie, lachen und lächeln.</v>
      </c>
    </row>
    <row r="6290">
      <c r="A6290" s="4" t="s">
        <v>7906</v>
      </c>
      <c r="B6290" s="4" t="s">
        <v>7907</v>
      </c>
      <c r="C6290" s="5" t="str">
        <f>IFERROR(__xludf.DUMMYFUNCTION("GOOGLETRANSLATE(B6290,""en"",""de"")"),"Es gibt zwei Männer, die in einem Innenboxraum mit Spiegeln an einer ganzen Wand boxen.")</f>
        <v>Es gibt zwei Männer, die in einem Innenboxraum mit Spiegeln an einer ganzen Wand boxen.</v>
      </c>
    </row>
    <row r="6291">
      <c r="A6291" s="4" t="s">
        <v>7906</v>
      </c>
      <c r="B6291" s="4" t="s">
        <v>7908</v>
      </c>
      <c r="C6291" s="5" t="str">
        <f>IFERROR(__xludf.DUMMYFUNCTION("GOOGLETRANSLATE(B6291,""en"",""de"")"),"Im selben Raum steht eine andere Person, die ein Video aufnimmt, der sie kämpft.")</f>
        <v>Im selben Raum steht eine andere Person, die ein Video aufnimmt, der sie kämpft.</v>
      </c>
    </row>
    <row r="6292">
      <c r="A6292" s="4" t="s">
        <v>7906</v>
      </c>
      <c r="B6292" s="4" t="s">
        <v>7909</v>
      </c>
      <c r="C6292" s="5" t="str">
        <f>IFERROR(__xludf.DUMMYFUNCTION("GOOGLETRANSLATE(B6292,""en"",""de"")"),"Der Boxer in den roten Shorts schlägt den Boxer in den schwarzen Shorts.")</f>
        <v>Der Boxer in den roten Shorts schlägt den Boxer in den schwarzen Shorts.</v>
      </c>
    </row>
    <row r="6293">
      <c r="A6293" s="4" t="s">
        <v>7906</v>
      </c>
      <c r="B6293" s="4" t="s">
        <v>7910</v>
      </c>
      <c r="C6293" s="5" t="str">
        <f>IFERROR(__xludf.DUMMYFUNCTION("GOOGLETRANSLATE(B6293,""en"",""de"")"),"Der Boxer in Black fällt nieder und landet auf dem Rücken und stöhnt.")</f>
        <v>Der Boxer in Black fällt nieder und landet auf dem Rücken und stöhnt.</v>
      </c>
    </row>
    <row r="6294">
      <c r="A6294" s="4" t="s">
        <v>7906</v>
      </c>
      <c r="B6294" s="4" t="s">
        <v>7911</v>
      </c>
      <c r="C6294" s="5" t="str">
        <f>IFERROR(__xludf.DUMMYFUNCTION("GOOGLETRANSLATE(B6294,""en"",""de"")"),"Dann steht er gleich wieder auf, während der Boxer in Red um ihn herum geht.")</f>
        <v>Dann steht er gleich wieder auf, während der Boxer in Red um ihn herum geht.</v>
      </c>
    </row>
    <row r="6295">
      <c r="A6295" s="4" t="s">
        <v>7912</v>
      </c>
      <c r="B6295" s="4" t="s">
        <v>7913</v>
      </c>
      <c r="C6295" s="5" t="str">
        <f>IFERROR(__xludf.DUMMYFUNCTION("GOOGLETRANSLATE(B6295,""en"",""de"")"),"Ein junger Mann trägt Kopfhörer und steht vor einem Mikrofon.")</f>
        <v>Ein junger Mann trägt Kopfhörer und steht vor einem Mikrofon.</v>
      </c>
    </row>
    <row r="6296">
      <c r="A6296" s="4" t="s">
        <v>7912</v>
      </c>
      <c r="B6296" s="4" t="s">
        <v>7914</v>
      </c>
      <c r="C6296" s="5" t="str">
        <f>IFERROR(__xludf.DUMMYFUNCTION("GOOGLETRANSLATE(B6296,""en"",""de"")"),"Er beginnt die Geige zu spielen.")</f>
        <v>Er beginnt die Geige zu spielen.</v>
      </c>
    </row>
    <row r="6297">
      <c r="A6297" s="4" t="s">
        <v>7912</v>
      </c>
      <c r="B6297" s="4" t="s">
        <v>7915</v>
      </c>
      <c r="C6297" s="5" t="str">
        <f>IFERROR(__xludf.DUMMYFUNCTION("GOOGLETRANSLATE(B6297,""en"",""de"")"),"Er schließt die Augen und hört sich selbst zu, während er spielt.")</f>
        <v>Er schließt die Augen und hört sich selbst zu, während er spielt.</v>
      </c>
    </row>
    <row r="6298">
      <c r="A6298" s="4" t="s">
        <v>7916</v>
      </c>
      <c r="B6298" s="4" t="s">
        <v>7917</v>
      </c>
      <c r="C6298" s="5" t="str">
        <f>IFERROR(__xludf.DUMMYFUNCTION("GOOGLETRANSLATE(B6298,""en"",""de"")"),"Ein Fitnessraum mit mehreren großen Boxbeuteln, die am Umfang des Raumes ausgerichtet sind, wird gezeigt.")</f>
        <v>Ein Fitnessraum mit mehreren großen Boxbeuteln, die am Umfang des Raumes ausgerichtet sind, wird gezeigt.</v>
      </c>
    </row>
    <row r="6299">
      <c r="A6299" s="4" t="s">
        <v>7916</v>
      </c>
      <c r="B6299" s="4" t="s">
        <v>7918</v>
      </c>
      <c r="C6299" s="5" t="str">
        <f>IFERROR(__xludf.DUMMYFUNCTION("GOOGLETRANSLATE(B6299,""en"",""de"")"),"Eine Gruppe von Jungs kommt dann im Gebäude und sie rennen als Aufwärmen durch die Taschen.")</f>
        <v>Eine Gruppe von Jungs kommt dann im Gebäude und sie rennen als Aufwärmen durch die Taschen.</v>
      </c>
    </row>
    <row r="6300">
      <c r="A6300" s="4" t="s">
        <v>7916</v>
      </c>
      <c r="B6300" s="4" t="s">
        <v>7919</v>
      </c>
      <c r="C6300" s="5" t="str">
        <f>IFERROR(__xludf.DUMMYFUNCTION("GOOGLETRANSLATE(B6300,""en"",""de"")"),"Sobald sie fertig sind, kombinieren sich die Männer miteinander und drei Gruppen werden angezeigt, wenn sie sich gegenseitig boxen.")</f>
        <v>Sobald sie fertig sind, kombinieren sich die Männer miteinander und drei Gruppen werden angezeigt, wenn sie sich gegenseitig boxen.</v>
      </c>
    </row>
    <row r="6301">
      <c r="A6301" s="4" t="s">
        <v>7916</v>
      </c>
      <c r="B6301" s="4" t="s">
        <v>7920</v>
      </c>
      <c r="C6301" s="5" t="str">
        <f>IFERROR(__xludf.DUMMYFUNCTION("GOOGLETRANSLATE(B6301,""en"",""de"")"),"Ein Autoaufkleber erscheint dann mit der Aufschrift ""Behalte den Preis im Auge"" und dann beginnen mehr Paar Männer mit dem Kickboxen.")</f>
        <v>Ein Autoaufkleber erscheint dann mit der Aufschrift "Behalte den Preis im Auge" und dann beginnen mehr Paar Männer mit dem Kickboxen.</v>
      </c>
    </row>
    <row r="6302">
      <c r="A6302" s="4" t="s">
        <v>7921</v>
      </c>
      <c r="B6302" s="4" t="s">
        <v>7922</v>
      </c>
      <c r="C6302" s="5" t="str">
        <f>IFERROR(__xludf.DUMMYFUNCTION("GOOGLETRANSLATE(B6302,""en"",""de"")"),"Ein Mann ist in einem Hof ​​mit einem Cricketschläger.")</f>
        <v>Ein Mann ist in einem Hof ​​mit einem Cricketschläger.</v>
      </c>
    </row>
    <row r="6303">
      <c r="A6303" s="4" t="s">
        <v>7921</v>
      </c>
      <c r="B6303" s="4" t="s">
        <v>7923</v>
      </c>
      <c r="C6303" s="5" t="str">
        <f>IFERROR(__xludf.DUMMYFUNCTION("GOOGLETRANSLATE(B6303,""en"",""de"")"),"Er dreht den Schläger immer und immer wieder um.")</f>
        <v>Er dreht den Schläger immer und immer wieder um.</v>
      </c>
    </row>
    <row r="6304">
      <c r="A6304" s="4" t="s">
        <v>7921</v>
      </c>
      <c r="B6304" s="4" t="s">
        <v>7924</v>
      </c>
      <c r="C6304" s="5" t="str">
        <f>IFERROR(__xludf.DUMMYFUNCTION("GOOGLETRANSLATE(B6304,""en"",""de"")"),"Er stolpert und tritt dann den Ball in die Luft und schlägt ihn.")</f>
        <v>Er stolpert und tritt dann den Ball in die Luft und schlägt ihn.</v>
      </c>
    </row>
    <row r="6305">
      <c r="A6305" s="4" t="s">
        <v>7925</v>
      </c>
      <c r="B6305" s="4" t="s">
        <v>7926</v>
      </c>
      <c r="C6305" s="5" t="str">
        <f>IFERROR(__xludf.DUMMYFUNCTION("GOOGLETRANSLATE(B6305,""en"",""de"")"),"Eine Frau steht auf einer Strecke und redet.")</f>
        <v>Eine Frau steht auf einer Strecke und redet.</v>
      </c>
    </row>
    <row r="6306">
      <c r="A6306" s="4" t="s">
        <v>7925</v>
      </c>
      <c r="B6306" s="4" t="s">
        <v>7927</v>
      </c>
      <c r="C6306" s="5" t="str">
        <f>IFERROR(__xludf.DUMMYFUNCTION("GOOGLETRANSLATE(B6306,""en"",""de"")"),"Sie springt in einen Sandhaufen.")</f>
        <v>Sie springt in einen Sandhaufen.</v>
      </c>
    </row>
    <row r="6307">
      <c r="A6307" s="4" t="s">
        <v>7925</v>
      </c>
      <c r="B6307" s="4" t="s">
        <v>7928</v>
      </c>
      <c r="C6307" s="5" t="str">
        <f>IFERROR(__xludf.DUMMYFUNCTION("GOOGLETRANSLATE(B6307,""en"",""de"")"),"Sie sprintet die Strecke hinunter.")</f>
        <v>Sie sprintet die Strecke hinunter.</v>
      </c>
    </row>
    <row r="6308">
      <c r="A6308" s="4" t="s">
        <v>7925</v>
      </c>
      <c r="B6308" s="4" t="s">
        <v>7929</v>
      </c>
      <c r="C6308" s="5" t="str">
        <f>IFERROR(__xludf.DUMMYFUNCTION("GOOGLETRANSLATE(B6308,""en"",""de"")"),"Es zeigt, wie sie sich dehnt und in einen Sandhaufen springt.")</f>
        <v>Es zeigt, wie sie sich dehnt und in einen Sandhaufen springt.</v>
      </c>
    </row>
    <row r="6309">
      <c r="A6309" s="4" t="s">
        <v>7930</v>
      </c>
      <c r="B6309" s="4" t="s">
        <v>7931</v>
      </c>
      <c r="C6309" s="5" t="str">
        <f>IFERROR(__xludf.DUMMYFUNCTION("GOOGLETRANSLATE(B6309,""en"",""de"")"),"Die Kamera schwenkt um eine große Gruppe von Menschen und führt zu Menschen, die ein Fußballspiel spielen.")</f>
        <v>Die Kamera schwenkt um eine große Gruppe von Menschen und führt zu Menschen, die ein Fußballspiel spielen.</v>
      </c>
    </row>
    <row r="6310">
      <c r="A6310" s="4" t="s">
        <v>7930</v>
      </c>
      <c r="B6310" s="4" t="s">
        <v>7932</v>
      </c>
      <c r="C6310" s="5" t="str">
        <f>IFERROR(__xludf.DUMMYFUNCTION("GOOGLETRANSLATE(B6310,""en"",""de"")"),"Die Spieler sehen sich nebenbei und zeigen mehr Aufnahmen von Menschen und der Stadt.")</f>
        <v>Die Spieler sehen sich nebenbei und zeigen mehr Aufnahmen von Menschen und der Stadt.</v>
      </c>
    </row>
    <row r="6311">
      <c r="A6311" s="4" t="s">
        <v>7933</v>
      </c>
      <c r="B6311" s="4" t="s">
        <v>7934</v>
      </c>
      <c r="C6311" s="5" t="str">
        <f>IFERROR(__xludf.DUMMYFUNCTION("GOOGLETRANSLATE(B6311,""en"",""de"")"),"Ein kleiner Junge scherzt herum und sitzt an einem Drum -Set.")</f>
        <v>Ein kleiner Junge scherzt herum und sitzt an einem Drum -Set.</v>
      </c>
    </row>
    <row r="6312">
      <c r="A6312" s="4" t="s">
        <v>7933</v>
      </c>
      <c r="B6312" s="4" t="s">
        <v>7935</v>
      </c>
      <c r="C6312" s="5" t="str">
        <f>IFERROR(__xludf.DUMMYFUNCTION("GOOGLETRANSLATE(B6312,""en"",""de"")"),"Ein Junge spielt zu Hause ein Schlagzeug.")</f>
        <v>Ein Junge spielt zu Hause ein Schlagzeug.</v>
      </c>
    </row>
    <row r="6313">
      <c r="A6313" s="4" t="s">
        <v>7933</v>
      </c>
      <c r="B6313" s="4" t="s">
        <v>7936</v>
      </c>
      <c r="C6313" s="5" t="str">
        <f>IFERROR(__xludf.DUMMYFUNCTION("GOOGLETRANSLATE(B6313,""en"",""de"")"),"Die Eltern sehen, wie der Junge Schlagzeug spielt.")</f>
        <v>Die Eltern sehen, wie der Junge Schlagzeug spielt.</v>
      </c>
    </row>
    <row r="6314">
      <c r="A6314" s="4" t="s">
        <v>7937</v>
      </c>
      <c r="B6314" s="4" t="s">
        <v>7938</v>
      </c>
      <c r="C6314" s="5" t="str">
        <f>IFERROR(__xludf.DUMMYFUNCTION("GOOGLETRANSLATE(B6314,""en"",""de"")"),"Eine Hand reibt eine Kreide zu einer blauen Spitze.")</f>
        <v>Eine Hand reibt eine Kreide zu einer blauen Spitze.</v>
      </c>
    </row>
    <row r="6315">
      <c r="A6315" s="4" t="s">
        <v>7937</v>
      </c>
      <c r="B6315" s="4" t="s">
        <v>7939</v>
      </c>
      <c r="C6315" s="5" t="str">
        <f>IFERROR(__xludf.DUMMYFUNCTION("GOOGLETRANSLATE(B6315,""en"",""de"")"),"Der Mann konzentriert sich auf den Billardtisch und schlägt den Ball langsam mit dem Billard Stock.")</f>
        <v>Der Mann konzentriert sich auf den Billardtisch und schlägt den Ball langsam mit dem Billard Stock.</v>
      </c>
    </row>
    <row r="6316">
      <c r="A6316" s="4" t="s">
        <v>7937</v>
      </c>
      <c r="B6316" s="4" t="s">
        <v>7940</v>
      </c>
      <c r="C6316" s="5" t="str">
        <f>IFERROR(__xludf.DUMMYFUNCTION("GOOGLETRANSLATE(B6316,""en"",""de"")"),"Ein alter Mann mit Bart gibt ein Interview.")</f>
        <v>Ein alter Mann mit Bart gibt ein Interview.</v>
      </c>
    </row>
    <row r="6317">
      <c r="A6317" s="4" t="s">
        <v>7937</v>
      </c>
      <c r="B6317" s="4" t="s">
        <v>7941</v>
      </c>
      <c r="C6317" s="5" t="str">
        <f>IFERROR(__xludf.DUMMYFUNCTION("GOOGLETRANSLATE(B6317,""en"",""de"")"),"Der Mann arrangiert den Ball auf dem Tisch und schlug sie dann und sie gingen alle in die Löcher.")</f>
        <v>Der Mann arrangiert den Ball auf dem Tisch und schlug sie dann und sie gingen alle in die Löcher.</v>
      </c>
    </row>
    <row r="6318">
      <c r="A6318" s="4" t="s">
        <v>7942</v>
      </c>
      <c r="B6318" s="4" t="s">
        <v>7943</v>
      </c>
      <c r="C6318" s="5" t="str">
        <f>IFERROR(__xludf.DUMMYFUNCTION("GOOGLETRANSLATE(B6318,""en"",""de"")"),"Der Athlet, der graue Strumpfhosen und ein schwarzes Hemd mit Nummer 2 trägt, begann auf dem Strahl und begann herumzuwirken.")</f>
        <v>Der Athlet, der graue Strumpfhosen und ein schwarzes Hemd mit Nummer 2 trägt, begann auf dem Strahl und begann herumzuwirken.</v>
      </c>
    </row>
    <row r="6319">
      <c r="A6319" s="4" t="s">
        <v>7942</v>
      </c>
      <c r="B6319" s="4" t="s">
        <v>7944</v>
      </c>
      <c r="C6319" s="5" t="str">
        <f>IFERROR(__xludf.DUMMYFUNCTION("GOOGLETRANSLATE(B6319,""en"",""de"")"),"Als er aus dem Strahl stammte, ging er zu dem gelben Behälter, der weißes Pulver enthält, dann zurück zum Strahl und machte seine Tricks, indem er herumwirbelte.")</f>
        <v>Als er aus dem Strahl stammte, ging er zu dem gelben Behälter, der weißes Pulver enthält, dann zurück zum Strahl und machte seine Tricks, indem er herumwirbelte.</v>
      </c>
    </row>
    <row r="6320">
      <c r="A6320" s="4" t="s">
        <v>7945</v>
      </c>
      <c r="B6320" s="4" t="s">
        <v>7946</v>
      </c>
      <c r="C6320" s="5" t="str">
        <f>IFERROR(__xludf.DUMMYFUNCTION("GOOGLETRANSLATE(B6320,""en"",""de"")"),"Eine sportliche Frau wird gezeigt, die eine Strecke hinunterläuft und in eine große Sandgrube springt.")</f>
        <v>Eine sportliche Frau wird gezeigt, die eine Strecke hinunterläuft und in eine große Sandgrube springt.</v>
      </c>
    </row>
    <row r="6321">
      <c r="A6321" s="4" t="s">
        <v>7945</v>
      </c>
      <c r="B6321" s="4" t="s">
        <v>7947</v>
      </c>
      <c r="C6321" s="5" t="str">
        <f>IFERROR(__xludf.DUMMYFUNCTION("GOOGLETRANSLATE(B6321,""en"",""de"")"),"Ihr Sprung wird dann mehrmals in Zeitlupe und ein anderer Läufer beim Sprung wieder gezeigt.")</f>
        <v>Ihr Sprung wird dann mehrmals in Zeitlupe und ein anderer Läufer beim Sprung wieder gezeigt.</v>
      </c>
    </row>
    <row r="6322">
      <c r="A6322" s="4" t="s">
        <v>7945</v>
      </c>
      <c r="B6322" s="4" t="s">
        <v>7948</v>
      </c>
      <c r="C6322" s="5" t="str">
        <f>IFERROR(__xludf.DUMMYFUNCTION("GOOGLETRANSLATE(B6322,""en"",""de"")"),"Ihr Sprung wird wieder in Zeitlupe gezeigt und sie winkt zum Publikum, während sie lächelt.")</f>
        <v>Ihr Sprung wird wieder in Zeitlupe gezeigt und sie winkt zum Publikum, während sie lächelt.</v>
      </c>
    </row>
    <row r="6323">
      <c r="A6323" s="4" t="s">
        <v>7949</v>
      </c>
      <c r="B6323" s="4" t="s">
        <v>7950</v>
      </c>
      <c r="C6323" s="5" t="str">
        <f>IFERROR(__xludf.DUMMYFUNCTION("GOOGLETRANSLATE(B6323,""en"",""de"")"),"Ein hemdloser Mann schiebt Schnee draußen am Bordstein.")</f>
        <v>Ein hemdloser Mann schiebt Schnee draußen am Bordstein.</v>
      </c>
    </row>
    <row r="6324">
      <c r="A6324" s="4" t="s">
        <v>7949</v>
      </c>
      <c r="B6324" s="4" t="s">
        <v>7951</v>
      </c>
      <c r="C6324" s="5" t="str">
        <f>IFERROR(__xludf.DUMMYFUNCTION("GOOGLETRANSLATE(B6324,""en"",""de"")"),"Er winkt mit den Händen und Bewegungen in die vorbeifahrenden Autos.")</f>
        <v>Er winkt mit den Händen und Bewegungen in die vorbeifahrenden Autos.</v>
      </c>
    </row>
    <row r="6325">
      <c r="A6325" s="4" t="s">
        <v>7949</v>
      </c>
      <c r="B6325" s="4" t="s">
        <v>7952</v>
      </c>
      <c r="C6325" s="5" t="str">
        <f>IFERROR(__xludf.DUMMYFUNCTION("GOOGLETRANSLATE(B6325,""en"",""de"")"),"Er winkt weiter und rollt seine Hände in die Luft, während mehr Autos vorbeikommen.")</f>
        <v>Er winkt weiter und rollt seine Hände in die Luft, während mehr Autos vorbeikommen.</v>
      </c>
    </row>
    <row r="6326">
      <c r="A6326" s="4" t="s">
        <v>7949</v>
      </c>
      <c r="B6326" s="4" t="s">
        <v>7953</v>
      </c>
      <c r="C6326" s="5" t="str">
        <f>IFERROR(__xludf.DUMMYFUNCTION("GOOGLETRANSLATE(B6326,""en"",""de"")"),"Er schaufelt weiter den Schnee.")</f>
        <v>Er schaufelt weiter den Schnee.</v>
      </c>
    </row>
    <row r="6327">
      <c r="A6327" s="4" t="s">
        <v>7954</v>
      </c>
      <c r="B6327" s="4" t="s">
        <v>7955</v>
      </c>
      <c r="C6327" s="5" t="str">
        <f>IFERROR(__xludf.DUMMYFUNCTION("GOOGLETRANSLATE(B6327,""en"",""de"")"),"Eine kleine Gruppe von Männern steht auf einem sandigen Feld, das einen Ball zurück und den vierten Platz schlägt.")</f>
        <v>Eine kleine Gruppe von Männern steht auf einem sandigen Feld, das einen Ball zurück und den vierten Platz schlägt.</v>
      </c>
    </row>
    <row r="6328">
      <c r="A6328" s="4" t="s">
        <v>7954</v>
      </c>
      <c r="B6328" s="4" t="s">
        <v>7956</v>
      </c>
      <c r="C6328" s="5" t="str">
        <f>IFERROR(__xludf.DUMMYFUNCTION("GOOGLETRANSLATE(B6328,""en"",""de"")"),"Die Männer beginnen ein Volleyballspiel und schlugen den Ball über die gesamte Gegend.")</f>
        <v>Die Männer beginnen ein Volleyballspiel und schlugen den Ball über die gesamte Gegend.</v>
      </c>
    </row>
    <row r="6329">
      <c r="A6329" s="4" t="s">
        <v>7954</v>
      </c>
      <c r="B6329" s="4" t="s">
        <v>7957</v>
      </c>
      <c r="C6329" s="5" t="str">
        <f>IFERROR(__xludf.DUMMYFUNCTION("GOOGLETRANSLATE(B6329,""en"",""de"")"),"Die Männer spielen weiter, während die Kamera sie einfängt, wenn sie sich bewegen.")</f>
        <v>Die Männer spielen weiter, während die Kamera sie einfängt, wenn sie sich bewegen.</v>
      </c>
    </row>
    <row r="6330">
      <c r="A6330" s="4" t="s">
        <v>7958</v>
      </c>
      <c r="B6330" s="4" t="s">
        <v>7959</v>
      </c>
      <c r="C6330" s="5" t="str">
        <f>IFERROR(__xludf.DUMMYFUNCTION("GOOGLETRANSLATE(B6330,""en"",""de"")"),"Ein kleiner Junge eröffnet Geschenke mit der Hilfe eines anderen und verschiedenen Aufnahmen von ihm, die eine Trommel spielte, die er erhielt.")</f>
        <v>Ein kleiner Junge eröffnet Geschenke mit der Hilfe eines anderen und verschiedenen Aufnahmen von ihm, die eine Trommel spielte, die er erhielt.</v>
      </c>
    </row>
    <row r="6331">
      <c r="A6331" s="4" t="s">
        <v>7958</v>
      </c>
      <c r="B6331" s="4" t="s">
        <v>7960</v>
      </c>
      <c r="C6331" s="5" t="str">
        <f>IFERROR(__xludf.DUMMYFUNCTION("GOOGLETRANSLATE(B6331,""en"",""de"")"),"Die Mutter wird interviewt und zeigt mehr Aufnahmen des Jungen, der verschiedene Instrumente spielt.")</f>
        <v>Die Mutter wird interviewt und zeigt mehr Aufnahmen des Jungen, der verschiedene Instrumente spielt.</v>
      </c>
    </row>
    <row r="6332">
      <c r="A6332" s="4" t="s">
        <v>7958</v>
      </c>
      <c r="B6332" s="4" t="s">
        <v>7961</v>
      </c>
      <c r="C6332" s="5" t="str">
        <f>IFERROR(__xludf.DUMMYFUNCTION("GOOGLETRANSLATE(B6332,""en"",""de"")"),"Es zeigt schließlich den erwachsenen Jungen und endet mit Informationen für einen Filmtrailer.")</f>
        <v>Es zeigt schließlich den erwachsenen Jungen und endet mit Informationen für einen Filmtrailer.</v>
      </c>
    </row>
    <row r="6333">
      <c r="A6333" s="4" t="s">
        <v>7962</v>
      </c>
      <c r="B6333" s="4" t="s">
        <v>7963</v>
      </c>
      <c r="C6333" s="5" t="str">
        <f>IFERROR(__xludf.DUMMYFUNCTION("GOOGLETRANSLATE(B6333,""en"",""de"")"),"Ein Mann spricht mit der Kamera und führt zu Schauspielern, die über einen Film interviewt werden.")</f>
        <v>Ein Mann spricht mit der Kamera und führt zu Schauspielern, die über einen Film interviewt werden.</v>
      </c>
    </row>
    <row r="6334">
      <c r="A6334" s="4" t="s">
        <v>7962</v>
      </c>
      <c r="B6334" s="4" t="s">
        <v>7964</v>
      </c>
      <c r="C6334" s="5" t="str">
        <f>IFERROR(__xludf.DUMMYFUNCTION("GOOGLETRANSLATE(B6334,""en"",""de"")"),"Es werden mehrere Aufnahmen des Films sowie Stills aus anderen Filmen und Auftritten zusammen gezeigt.")</f>
        <v>Es werden mehrere Aufnahmen des Films sowie Stills aus anderen Filmen und Auftritten zusammen gezeigt.</v>
      </c>
    </row>
    <row r="6335">
      <c r="A6335" s="4" t="s">
        <v>7962</v>
      </c>
      <c r="B6335" s="4" t="s">
        <v>7965</v>
      </c>
      <c r="C6335" s="5" t="str">
        <f>IFERROR(__xludf.DUMMYFUNCTION("GOOGLETRANSLATE(B6335,""en"",""de"")"),"Das Paar wird dann gezeigt, der eine Tango -Routine auf einer großen Bühne durchführt und endet, indem sie auf der Bühne posiert, wobei das Publikum jubelt.")</f>
        <v>Das Paar wird dann gezeigt, der eine Tango -Routine auf einer großen Bühne durchführt und endet, indem sie auf der Bühne posiert, wobei das Publikum jubelt.</v>
      </c>
    </row>
    <row r="6336">
      <c r="A6336" s="4" t="s">
        <v>7966</v>
      </c>
      <c r="B6336" s="4" t="s">
        <v>7967</v>
      </c>
      <c r="C6336" s="5" t="str">
        <f>IFERROR(__xludf.DUMMYFUNCTION("GOOGLETRANSLATE(B6336,""en"",""de"")"),"Eine Frau spricht über eine elliptische Trainingsmaschine, die speziell für Frauen entwickelt wurde.")</f>
        <v>Eine Frau spricht über eine elliptische Trainingsmaschine, die speziell für Frauen entwickelt wurde.</v>
      </c>
    </row>
    <row r="6337">
      <c r="A6337" s="4" t="s">
        <v>7966</v>
      </c>
      <c r="B6337" s="4" t="s">
        <v>7968</v>
      </c>
      <c r="C6337" s="5" t="str">
        <f>IFERROR(__xludf.DUMMYFUNCTION("GOOGLETRANSLATE(B6337,""en"",""de"")"),"Neben ihr ist der Profi -Fitnessexperte, der zeigt, wie die Maschine funktioniert.")</f>
        <v>Neben ihr ist der Profi -Fitnessexperte, der zeigt, wie die Maschine funktioniert.</v>
      </c>
    </row>
    <row r="6338">
      <c r="A6338" s="4" t="s">
        <v>7966</v>
      </c>
      <c r="B6338" s="4" t="s">
        <v>7969</v>
      </c>
      <c r="C6338" s="5" t="str">
        <f>IFERROR(__xludf.DUMMYFUNCTION("GOOGLETRANSLATE(B6338,""en"",""de"")"),"Er zeigt die Tasten, die gedrückt werden müssen, um die Elliptik zu starten.")</f>
        <v>Er zeigt die Tasten, die gedrückt werden müssen, um die Elliptik zu starten.</v>
      </c>
    </row>
    <row r="6339">
      <c r="A6339" s="4" t="s">
        <v>7966</v>
      </c>
      <c r="B6339" s="4" t="s">
        <v>7970</v>
      </c>
      <c r="C6339" s="5" t="str">
        <f>IFERROR(__xludf.DUMMYFUNCTION("GOOGLETRANSLATE(B6339,""en"",""de"")"),"Nachdem er die Maschine gestartet hatte, hüpft die Dame auf die Maschine und beginnt die Elliptik.")</f>
        <v>Nachdem er die Maschine gestartet hatte, hüpft die Dame auf die Maschine und beginnt die Elliptik.</v>
      </c>
    </row>
    <row r="6340">
      <c r="A6340" s="4" t="s">
        <v>7966</v>
      </c>
      <c r="B6340" s="4" t="s">
        <v>7971</v>
      </c>
      <c r="C6340" s="5" t="str">
        <f>IFERROR(__xludf.DUMMYFUNCTION("GOOGLETRANSLATE(B6340,""en"",""de"")"),"Sie trainiert weiterhin auf der Maschine, während die Fitness -Trainerin ihr Tipps gibt, wie die Maschine ihr zugute kommt.")</f>
        <v>Sie trainiert weiterhin auf der Maschine, während die Fitness -Trainerin ihr Tipps gibt, wie die Maschine ihr zugute kommt.</v>
      </c>
    </row>
    <row r="6341">
      <c r="A6341" s="4" t="s">
        <v>7972</v>
      </c>
      <c r="B6341" s="4" t="s">
        <v>7973</v>
      </c>
      <c r="C6341" s="5" t="str">
        <f>IFERROR(__xludf.DUMMYFUNCTION("GOOGLETRANSLATE(B6341,""en"",""de"")"),"Wir sehen einen Intro -Bildschirm mit Kontaktlinsen.")</f>
        <v>Wir sehen einen Intro -Bildschirm mit Kontaktlinsen.</v>
      </c>
    </row>
    <row r="6342">
      <c r="A6342" s="4" t="s">
        <v>7972</v>
      </c>
      <c r="B6342" s="4" t="s">
        <v>7974</v>
      </c>
      <c r="C6342" s="5" t="str">
        <f>IFERROR(__xludf.DUMMYFUNCTION("GOOGLETRANSLATE(B6342,""en"",""de"")"),"Wir sehen, wie ein Mann seine Hand wäscht und einen Kontakt aus einem neuen Paket aufnehmen.")</f>
        <v>Wir sehen, wie ein Mann seine Hand wäscht und einen Kontakt aus einem neuen Paket aufnehmen.</v>
      </c>
    </row>
    <row r="6343">
      <c r="A6343" s="4" t="s">
        <v>7972</v>
      </c>
      <c r="B6343" s="4" t="s">
        <v>7975</v>
      </c>
      <c r="C6343" s="5" t="str">
        <f>IFERROR(__xludf.DUMMYFUNCTION("GOOGLETRANSLATE(B6343,""en"",""de"")"),"Die Person hält ihr Auge offen und fügt die Kontaktlinse ein.")</f>
        <v>Die Person hält ihr Auge offen und fügt die Kontaktlinse ein.</v>
      </c>
    </row>
    <row r="6344">
      <c r="A6344" s="4" t="s">
        <v>7972</v>
      </c>
      <c r="B6344" s="4" t="s">
        <v>7976</v>
      </c>
      <c r="C6344" s="5" t="str">
        <f>IFERROR(__xludf.DUMMYFUNCTION("GOOGLETRANSLATE(B6344,""en"",""de"")"),"Der Mann lächelt und wir sehen sein Gesicht.")</f>
        <v>Der Mann lächelt und wir sehen sein Gesicht.</v>
      </c>
    </row>
    <row r="6345">
      <c r="A6345" s="4" t="s">
        <v>7972</v>
      </c>
      <c r="B6345" s="4" t="s">
        <v>7977</v>
      </c>
      <c r="C6345" s="5" t="str">
        <f>IFERROR(__xludf.DUMMYFUNCTION("GOOGLETRANSLATE(B6345,""en"",""de"")"),"Wir werden dann angezeigt, wie die Kontaktlinse mit Anweisungen entfernen.")</f>
        <v>Wir werden dann angezeigt, wie die Kontaktlinse mit Anweisungen entfernen.</v>
      </c>
    </row>
    <row r="6346">
      <c r="A6346" s="4" t="s">
        <v>7972</v>
      </c>
      <c r="B6346" s="4" t="s">
        <v>4452</v>
      </c>
      <c r="C6346" s="5" t="str">
        <f>IFERROR(__xludf.DUMMYFUNCTION("GOOGLETRANSLATE(B6346,""en"",""de"")"),"Wir sehen dann den Endbildschirm.")</f>
        <v>Wir sehen dann den Endbildschirm.</v>
      </c>
    </row>
    <row r="6347">
      <c r="A6347" s="4" t="s">
        <v>7978</v>
      </c>
      <c r="B6347" s="4" t="s">
        <v>7979</v>
      </c>
      <c r="C6347" s="5" t="str">
        <f>IFERROR(__xludf.DUMMYFUNCTION("GOOGLETRANSLATE(B6347,""en"",""de"")"),"Ein lila Seil ist an einem blauen angebracht, das dann zwischen zwei Bäumen gedehnt wird.")</f>
        <v>Ein lila Seil ist an einem blauen angebracht, das dann zwischen zwei Bäumen gedehnt wird.</v>
      </c>
    </row>
    <row r="6348">
      <c r="A6348" s="4" t="s">
        <v>7978</v>
      </c>
      <c r="B6348" s="4" t="s">
        <v>7980</v>
      </c>
      <c r="C6348" s="5" t="str">
        <f>IFERROR(__xludf.DUMMYFUNCTION("GOOGLETRANSLATE(B6348,""en"",""de"")"),"Ein Mann hüpft auf dem Seil und gleicht sich auf, während drei andere Männer zuschauen.")</f>
        <v>Ein Mann hüpft auf dem Seil und gleicht sich auf, während drei andere Männer zuschauen.</v>
      </c>
    </row>
    <row r="6349">
      <c r="A6349" s="4" t="s">
        <v>7978</v>
      </c>
      <c r="B6349" s="4" t="s">
        <v>7981</v>
      </c>
      <c r="C6349" s="5" t="str">
        <f>IFERROR(__xludf.DUMMYFUNCTION("GOOGLETRANSLATE(B6349,""en"",""de"")"),"Die anderen Männer wechseln sich ab, einige fallen und rebeln.")</f>
        <v>Die anderen Männer wechseln sich ab, einige fallen und rebeln.</v>
      </c>
    </row>
    <row r="6350">
      <c r="A6350" s="4" t="s">
        <v>7982</v>
      </c>
      <c r="B6350" s="4" t="s">
        <v>7983</v>
      </c>
      <c r="C6350" s="5" t="str">
        <f>IFERROR(__xludf.DUMMYFUNCTION("GOOGLETRANSLATE(B6350,""en"",""de"")"),"Zuerst wird die Frau gezeigt, wie sie ihren Finger über ihren Hals hinweg verfolgt.")</f>
        <v>Zuerst wird die Frau gezeigt, wie sie ihren Finger über ihren Hals hinweg verfolgt.</v>
      </c>
    </row>
    <row r="6351">
      <c r="A6351" s="4" t="s">
        <v>7982</v>
      </c>
      <c r="B6351" s="4" t="s">
        <v>7984</v>
      </c>
      <c r="C6351" s="5" t="str">
        <f>IFERROR(__xludf.DUMMYFUNCTION("GOOGLETRANSLATE(B6351,""en"",""de"")"),"Dann bewegt sie einen Teil ihres Haares aus dem Weg und beginnt einen Teil ihres Haares zu flechten.")</f>
        <v>Dann bewegt sie einen Teil ihres Haares aus dem Weg und beginnt einen Teil ihres Haares zu flechten.</v>
      </c>
    </row>
    <row r="6352">
      <c r="A6352" s="4" t="s">
        <v>7982</v>
      </c>
      <c r="B6352" s="4" t="s">
        <v>7985</v>
      </c>
      <c r="C6352" s="5" t="str">
        <f>IFERROR(__xludf.DUMMYFUNCTION("GOOGLETRANSLATE(B6352,""en"",""de"")"),"Dann spitzt sie ein weiteres Geflecht, das kleiner als das erste ist, aber sie verbindet das Haar, indem sie ein paar Stränge aus dem letzten Geflecht verwendet.")</f>
        <v>Dann spitzt sie ein weiteres Geflecht, das kleiner als das erste ist, aber sie verbindet das Haar, indem sie ein paar Stränge aus dem letzten Geflecht verwendet.</v>
      </c>
    </row>
    <row r="6353">
      <c r="A6353" s="4" t="s">
        <v>7986</v>
      </c>
      <c r="B6353" s="4" t="s">
        <v>7987</v>
      </c>
      <c r="C6353" s="5" t="str">
        <f>IFERROR(__xludf.DUMMYFUNCTION("GOOGLETRANSLATE(B6353,""en"",""de"")"),"Eine Frau macht eine Karate -Routine mit einem Partner und wirft ein Haufen, das zweimal blockiert wird.")</f>
        <v>Eine Frau macht eine Karate -Routine mit einem Partner und wirft ein Haufen, das zweimal blockiert wird.</v>
      </c>
    </row>
    <row r="6354">
      <c r="A6354" s="4" t="s">
        <v>7986</v>
      </c>
      <c r="B6354" s="4" t="s">
        <v>7988</v>
      </c>
      <c r="C6354" s="5" t="str">
        <f>IFERROR(__xludf.DUMMYFUNCTION("GOOGLETRANSLATE(B6354,""en"",""de"")"),"Die Frau übt ein Karate zu ihrem Partner aus, der die Hände beobachtet und hebt.")</f>
        <v>Die Frau übt ein Karate zu ihrem Partner aus, der die Hände beobachtet und hebt.</v>
      </c>
    </row>
    <row r="6355">
      <c r="A6355" s="4" t="s">
        <v>7986</v>
      </c>
      <c r="B6355" s="4" t="s">
        <v>7989</v>
      </c>
      <c r="C6355" s="5" t="str">
        <f>IFERROR(__xludf.DUMMYFUNCTION("GOOGLETRANSLATE(B6355,""en"",""de"")"),"Die Frau wirft ihrem Partner einen Schlag, der es fängt und sie zu Boden wirft.")</f>
        <v>Die Frau wirft ihrem Partner einen Schlag, der es fängt und sie zu Boden wirft.</v>
      </c>
    </row>
    <row r="6356">
      <c r="A6356" s="4" t="s">
        <v>7990</v>
      </c>
      <c r="B6356" s="4" t="s">
        <v>7991</v>
      </c>
      <c r="C6356" s="5" t="str">
        <f>IFERROR(__xludf.DUMMYFUNCTION("GOOGLETRANSLATE(B6356,""en"",""de"")"),"Ein paar Werkzeuge sitzen am Rand eines Tisches.")</f>
        <v>Ein paar Werkzeuge sitzen am Rand eines Tisches.</v>
      </c>
    </row>
    <row r="6357">
      <c r="A6357" s="4" t="s">
        <v>7990</v>
      </c>
      <c r="B6357" s="4" t="s">
        <v>7992</v>
      </c>
      <c r="C6357" s="5" t="str">
        <f>IFERROR(__xludf.DUMMYFUNCTION("GOOGLETRANSLATE(B6357,""en"",""de"")"),"Ein Mann passt die Position der Werkzeuge an.")</f>
        <v>Ein Mann passt die Position der Werkzeuge an.</v>
      </c>
    </row>
    <row r="6358">
      <c r="A6358" s="4" t="s">
        <v>7990</v>
      </c>
      <c r="B6358" s="4" t="s">
        <v>7993</v>
      </c>
      <c r="C6358" s="5" t="str">
        <f>IFERROR(__xludf.DUMMYFUNCTION("GOOGLETRANSLATE(B6358,""en"",""de"")"),"Er benutzt ein Messer in den Spalten und schärft das Messer.")</f>
        <v>Er benutzt ein Messer in den Spalten und schärft das Messer.</v>
      </c>
    </row>
    <row r="6359">
      <c r="A6359" s="4" t="s">
        <v>7994</v>
      </c>
      <c r="B6359" s="4" t="s">
        <v>7995</v>
      </c>
      <c r="C6359" s="5" t="str">
        <f>IFERROR(__xludf.DUMMYFUNCTION("GOOGLETRANSLATE(B6359,""en"",""de"")"),"Vassen Cloud Neun Rotfarbene Kontakte befinden sich im Behälter, zu dem sie gehören.")</f>
        <v>Vassen Cloud Neun Rotfarbene Kontakte befinden sich im Behälter, zu dem sie gehören.</v>
      </c>
    </row>
    <row r="6360">
      <c r="A6360" s="4" t="s">
        <v>7994</v>
      </c>
      <c r="B6360" s="4" t="s">
        <v>7996</v>
      </c>
      <c r="C6360" s="5" t="str">
        <f>IFERROR(__xludf.DUMMYFUNCTION("GOOGLETRANSLATE(B6360,""en"",""de"")"),"Eine blondhaarige Frau mit braunen Augen legt einen von ihnen in ihr Auge.")</f>
        <v>Eine blondhaarige Frau mit braunen Augen legt einen von ihnen in ihr Auge.</v>
      </c>
    </row>
    <row r="6361">
      <c r="A6361" s="4" t="s">
        <v>7994</v>
      </c>
      <c r="B6361" s="4" t="s">
        <v>7997</v>
      </c>
      <c r="C6361" s="5" t="str">
        <f>IFERROR(__xludf.DUMMYFUNCTION("GOOGLETRANSLATE(B6361,""en"",""de"")"),"Sie können den Unterschied des Braunen und des Kontakts sehr deutlich sehen und er sieht ziemlich gut aus.")</f>
        <v>Sie können den Unterschied des Braunen und des Kontakts sehr deutlich sehen und er sieht ziemlich gut aus.</v>
      </c>
    </row>
    <row r="6362">
      <c r="A6362" s="4" t="s">
        <v>7994</v>
      </c>
      <c r="B6362" s="4" t="s">
        <v>7998</v>
      </c>
      <c r="C6362" s="5" t="str">
        <f>IFERROR(__xludf.DUMMYFUNCTION("GOOGLETRANSLATE(B6362,""en"",""de"")"),"Sie setzte dann den anderen Kontakt ein, damit Sie sehen können, wie beide Objektive auf eine Entfernung aussehen.")</f>
        <v>Sie setzte dann den anderen Kontakt ein, damit Sie sehen können, wie beide Objektive auf eine Entfernung aussehen.</v>
      </c>
    </row>
    <row r="6363">
      <c r="A6363" s="4" t="s">
        <v>7999</v>
      </c>
      <c r="B6363" s="4" t="s">
        <v>8000</v>
      </c>
      <c r="C6363" s="5" t="str">
        <f>IFERROR(__xludf.DUMMYFUNCTION("GOOGLETRANSLATE(B6363,""en"",""de"")"),"Ein junger Mann steht in einem grün -kreisförmigen Bereich.")</f>
        <v>Ein junger Mann steht in einem grün -kreisförmigen Bereich.</v>
      </c>
    </row>
    <row r="6364">
      <c r="A6364" s="4" t="s">
        <v>7999</v>
      </c>
      <c r="B6364" s="4" t="s">
        <v>8001</v>
      </c>
      <c r="C6364" s="5" t="str">
        <f>IFERROR(__xludf.DUMMYFUNCTION("GOOGLETRANSLATE(B6364,""en"",""de"")"),"Der Mann hält einen Ball und beginnt sich mehrmals herumzudrehen und wirft dann den Ball.")</f>
        <v>Der Mann hält einen Ball und beginnt sich mehrmals herumzudrehen und wirft dann den Ball.</v>
      </c>
    </row>
    <row r="6365">
      <c r="A6365" s="4" t="s">
        <v>7999</v>
      </c>
      <c r="B6365" s="4" t="s">
        <v>8002</v>
      </c>
      <c r="C6365" s="5" t="str">
        <f>IFERROR(__xludf.DUMMYFUNCTION("GOOGLETRANSLATE(B6365,""en"",""de"")"),"Nachdem er den Ball geworfen hat, fällt er hart und schnell auf den Boden.")</f>
        <v>Nachdem er den Ball geworfen hat, fällt er hart und schnell auf den Boden.</v>
      </c>
    </row>
    <row r="6366">
      <c r="A6366" s="4" t="s">
        <v>8003</v>
      </c>
      <c r="B6366" s="4" t="s">
        <v>8004</v>
      </c>
      <c r="C6366" s="5" t="str">
        <f>IFERROR(__xludf.DUMMYFUNCTION("GOOGLETRANSLATE(B6366,""en"",""de"")"),"Das Video von TMZ zeigt mehrere übergewichtige Männer als Teil des Sumo -Zerstörungsveranstaltung.")</f>
        <v>Das Video von TMZ zeigt mehrere übergewichtige Männer als Teil des Sumo -Zerstörungsveranstaltung.</v>
      </c>
    </row>
    <row r="6367">
      <c r="A6367" s="4" t="s">
        <v>8003</v>
      </c>
      <c r="B6367" s="4" t="s">
        <v>8005</v>
      </c>
      <c r="C6367" s="5" t="str">
        <f>IFERROR(__xludf.DUMMYFUNCTION("GOOGLETRANSLATE(B6367,""en"",""de"")"),"Es zeigt auch ein Bild von Sänger George Michael.")</f>
        <v>Es zeigt auch ein Bild von Sänger George Michael.</v>
      </c>
    </row>
    <row r="6368">
      <c r="A6368" s="4" t="s">
        <v>8003</v>
      </c>
      <c r="B6368" s="4" t="s">
        <v>8006</v>
      </c>
      <c r="C6368" s="5" t="str">
        <f>IFERROR(__xludf.DUMMYFUNCTION("GOOGLETRANSLATE(B6368,""en"",""de"")"),"Es gibt eine Gruppe von Leuten in einem Studio, das über die Veranstaltung spricht.")</f>
        <v>Es gibt eine Gruppe von Leuten in einem Studio, das über die Veranstaltung spricht.</v>
      </c>
    </row>
    <row r="6369">
      <c r="A6369" s="4" t="s">
        <v>8003</v>
      </c>
      <c r="B6369" s="4" t="s">
        <v>8007</v>
      </c>
      <c r="C6369" s="5" t="str">
        <f>IFERROR(__xludf.DUMMYFUNCTION("GOOGLETRANSLATE(B6369,""en"",""de"")"),"Sie lesen ein Drehbuch und lachen.")</f>
        <v>Sie lesen ein Drehbuch und lachen.</v>
      </c>
    </row>
    <row r="6370">
      <c r="A6370" s="4" t="s">
        <v>8003</v>
      </c>
      <c r="B6370" s="4" t="s">
        <v>8008</v>
      </c>
      <c r="C6370" s="5" t="str">
        <f>IFERROR(__xludf.DUMMYFUNCTION("GOOGLETRANSLATE(B6370,""en"",""de"")"),"Es werden auch Bilder von Sumo -Wrestlern gezeigt.")</f>
        <v>Es werden auch Bilder von Sumo -Wrestlern gezeigt.</v>
      </c>
    </row>
    <row r="6371">
      <c r="A6371" s="4" t="s">
        <v>8003</v>
      </c>
      <c r="B6371" s="4" t="s">
        <v>8009</v>
      </c>
      <c r="C6371" s="5" t="str">
        <f>IFERROR(__xludf.DUMMYFUNCTION("GOOGLETRANSLATE(B6371,""en"",""de"")"),"Es zeigt auch, wie Sumo -Wrestler ringen, wie die Zuschauer die Veranstaltung sehen.")</f>
        <v>Es zeigt auch, wie Sumo -Wrestler ringen, wie die Zuschauer die Veranstaltung sehen.</v>
      </c>
    </row>
    <row r="6372">
      <c r="A6372" s="4" t="s">
        <v>8010</v>
      </c>
      <c r="B6372" s="4" t="s">
        <v>8011</v>
      </c>
      <c r="C6372" s="5" t="str">
        <f>IFERROR(__xludf.DUMMYFUNCTION("GOOGLETRANSLATE(B6372,""en"",""de"")"),"Drei Frauen gehen neben einem Haus auf einem Parkplatz.")</f>
        <v>Drei Frauen gehen neben einem Haus auf einem Parkplatz.</v>
      </c>
    </row>
    <row r="6373">
      <c r="A6373" s="4" t="s">
        <v>8010</v>
      </c>
      <c r="B6373" s="4" t="s">
        <v>8012</v>
      </c>
      <c r="C6373" s="5" t="str">
        <f>IFERROR(__xludf.DUMMYFUNCTION("GOOGLETRANSLATE(B6373,""en"",""de"")"),"Die Menschen snowboarden zwischen zwei Zäunen in einer kleinen Halle, die einen kleinen Hang hinuntersteigt.")</f>
        <v>Die Menschen snowboarden zwischen zwei Zäunen in einer kleinen Halle, die einen kleinen Hang hinuntersteigt.</v>
      </c>
    </row>
    <row r="6374">
      <c r="A6374" s="4" t="s">
        <v>8010</v>
      </c>
      <c r="B6374" s="4" t="s">
        <v>8013</v>
      </c>
      <c r="C6374" s="5" t="str">
        <f>IFERROR(__xludf.DUMMYFUNCTION("GOOGLETRANSLATE(B6374,""en"",""de"")"),"Die Menschen stehen in einem schneebedeckten Berg in Snowboards.")</f>
        <v>Die Menschen stehen in einem schneebedeckten Berg in Snowboards.</v>
      </c>
    </row>
    <row r="6375">
      <c r="A6375" s="4" t="s">
        <v>8010</v>
      </c>
      <c r="B6375" s="4" t="s">
        <v>8014</v>
      </c>
      <c r="C6375" s="5" t="str">
        <f>IFERROR(__xludf.DUMMYFUNCTION("GOOGLETRANSLATE(B6375,""en"",""de"")"),"Die Menschen essen außerhalb eines Zeltes.")</f>
        <v>Die Menschen essen außerhalb eines Zeltes.</v>
      </c>
    </row>
    <row r="6376">
      <c r="A6376" s="4" t="s">
        <v>8010</v>
      </c>
      <c r="B6376" s="4" t="s">
        <v>8015</v>
      </c>
      <c r="C6376" s="5" t="str">
        <f>IFERROR(__xludf.DUMMYFUNCTION("GOOGLETRANSLATE(B6376,""en"",""de"")"),"Die Leute gehen in einer schneebedeckten Hang -Anzeige in den Bergen.")</f>
        <v>Die Leute gehen in einer schneebedeckten Hang -Anzeige in den Bergen.</v>
      </c>
    </row>
    <row r="6377">
      <c r="A6377" s="4" t="s">
        <v>8016</v>
      </c>
      <c r="B6377" s="4" t="s">
        <v>8017</v>
      </c>
      <c r="C6377" s="5" t="str">
        <f>IFERROR(__xludf.DUMMYFUNCTION("GOOGLETRANSLATE(B6377,""en"",""de"")"),"Ein Mann schießt mit seinem Bogen einen Pfeil.")</f>
        <v>Ein Mann schießt mit seinem Bogen einen Pfeil.</v>
      </c>
    </row>
    <row r="6378">
      <c r="A6378" s="4" t="s">
        <v>8016</v>
      </c>
      <c r="B6378" s="4" t="s">
        <v>8018</v>
      </c>
      <c r="C6378" s="5" t="str">
        <f>IFERROR(__xludf.DUMMYFUNCTION("GOOGLETRANSLATE(B6378,""en"",""de"")"),"Er schnappt sich noch einen Pfeil und schießt wieder.")</f>
        <v>Er schnappt sich noch einen Pfeil und schießt wieder.</v>
      </c>
    </row>
    <row r="6379">
      <c r="A6379" s="4" t="s">
        <v>8016</v>
      </c>
      <c r="B6379" s="4" t="s">
        <v>8019</v>
      </c>
      <c r="C6379" s="5" t="str">
        <f>IFERROR(__xludf.DUMMYFUNCTION("GOOGLETRANSLATE(B6379,""en"",""de"")"),"Noch einmal schießt er einen Pfeil.")</f>
        <v>Noch einmal schießt er einen Pfeil.</v>
      </c>
    </row>
    <row r="6380">
      <c r="A6380" s="4" t="s">
        <v>8016</v>
      </c>
      <c r="B6380" s="4" t="s">
        <v>8020</v>
      </c>
      <c r="C6380" s="5" t="str">
        <f>IFERROR(__xludf.DUMMYFUNCTION("GOOGLETRANSLATE(B6380,""en"",""de"")"),"Er findet einen weiteren Pfeil und schießt.")</f>
        <v>Er findet einen weiteren Pfeil und schießt.</v>
      </c>
    </row>
    <row r="6381">
      <c r="A6381" s="4" t="s">
        <v>8016</v>
      </c>
      <c r="B6381" s="4" t="s">
        <v>8021</v>
      </c>
      <c r="C6381" s="5" t="str">
        <f>IFERROR(__xludf.DUMMYFUNCTION("GOOGLETRANSLATE(B6381,""en"",""de"")"),"Er nimmt einen weiteren Pfeil auf.")</f>
        <v>Er nimmt einen weiteren Pfeil auf.</v>
      </c>
    </row>
    <row r="6382">
      <c r="A6382" s="4" t="s">
        <v>8016</v>
      </c>
      <c r="B6382" s="4" t="s">
        <v>8022</v>
      </c>
      <c r="C6382" s="5" t="str">
        <f>IFERROR(__xludf.DUMMYFUNCTION("GOOGLETRANSLATE(B6382,""en"",""de"")"),"Ein weiterer Pfeil wird gepackt und er schießt.")</f>
        <v>Ein weiterer Pfeil wird gepackt und er schießt.</v>
      </c>
    </row>
    <row r="6383">
      <c r="A6383" s="4" t="s">
        <v>8016</v>
      </c>
      <c r="B6383" s="4" t="s">
        <v>8023</v>
      </c>
      <c r="C6383" s="5" t="str">
        <f>IFERROR(__xludf.DUMMYFUNCTION("GOOGLETRANSLATE(B6383,""en"",""de"")"),"Er nimmt einen anderen und schießt es.")</f>
        <v>Er nimmt einen anderen und schießt es.</v>
      </c>
    </row>
    <row r="6384">
      <c r="A6384" s="4" t="s">
        <v>8016</v>
      </c>
      <c r="B6384" s="4" t="s">
        <v>8024</v>
      </c>
      <c r="C6384" s="5" t="str">
        <f>IFERROR(__xludf.DUMMYFUNCTION("GOOGLETRANSLATE(B6384,""en"",""de"")"),"Er schnappt sich noch einen Pfeil aus seiner Taille und schießt wieder.")</f>
        <v>Er schnappt sich noch einen Pfeil aus seiner Taille und schießt wieder.</v>
      </c>
    </row>
    <row r="6385">
      <c r="A6385" s="4" t="s">
        <v>8016</v>
      </c>
      <c r="B6385" s="4" t="s">
        <v>8025</v>
      </c>
      <c r="C6385" s="5" t="str">
        <f>IFERROR(__xludf.DUMMYFUNCTION("GOOGLETRANSLATE(B6385,""en"",""de"")"),"Er schießt noch einmal einen Pfeil.")</f>
        <v>Er schießt noch einmal einen Pfeil.</v>
      </c>
    </row>
    <row r="6386">
      <c r="A6386" s="4" t="s">
        <v>8016</v>
      </c>
      <c r="B6386" s="4" t="s">
        <v>8026</v>
      </c>
      <c r="C6386" s="5" t="str">
        <f>IFERROR(__xludf.DUMMYFUNCTION("GOOGLETRANSLATE(B6386,""en"",""de"")"),"Er schnappt sich einen letzten Pfeil und schießt.")</f>
        <v>Er schnappt sich einen letzten Pfeil und schießt.</v>
      </c>
    </row>
    <row r="6387">
      <c r="A6387" s="4" t="s">
        <v>8016</v>
      </c>
      <c r="B6387" s="4" t="s">
        <v>8027</v>
      </c>
      <c r="C6387" s="5" t="str">
        <f>IFERROR(__xludf.DUMMYFUNCTION("GOOGLETRANSLATE(B6387,""en"",""de"")"),"Eine Person geht zum Heu, wo die Pfeile erschossen wurden.")</f>
        <v>Eine Person geht zum Heu, wo die Pfeile erschossen wurden.</v>
      </c>
    </row>
    <row r="6388">
      <c r="A6388" s="4" t="s">
        <v>8028</v>
      </c>
      <c r="B6388" s="4" t="s">
        <v>8029</v>
      </c>
      <c r="C6388" s="5" t="str">
        <f>IFERROR(__xludf.DUMMYFUNCTION("GOOGLETRANSLATE(B6388,""en"",""de"")"),"Ein Mann bereitet sich darauf vor, eine Strecke herunterzulaufen.")</f>
        <v>Ein Mann bereitet sich darauf vor, eine Strecke herunterzulaufen.</v>
      </c>
    </row>
    <row r="6389">
      <c r="A6389" s="4" t="s">
        <v>8028</v>
      </c>
      <c r="B6389" s="4" t="s">
        <v>8030</v>
      </c>
      <c r="C6389" s="5" t="str">
        <f>IFERROR(__xludf.DUMMYFUNCTION("GOOGLETRANSLATE(B6389,""en"",""de"")"),"Er rennt sehr schnell den Weg.")</f>
        <v>Er rennt sehr schnell den Weg.</v>
      </c>
    </row>
    <row r="6390">
      <c r="A6390" s="4" t="s">
        <v>8028</v>
      </c>
      <c r="B6390" s="4" t="s">
        <v>8031</v>
      </c>
      <c r="C6390" s="5" t="str">
        <f>IFERROR(__xludf.DUMMYFUNCTION("GOOGLETRANSLATE(B6390,""en"",""de"")"),"Er macht einen riesigen Sprung und landet im Sand.")</f>
        <v>Er macht einen riesigen Sprung und landet im Sand.</v>
      </c>
    </row>
    <row r="6391">
      <c r="A6391" s="4" t="s">
        <v>8032</v>
      </c>
      <c r="B6391" s="4" t="s">
        <v>8033</v>
      </c>
      <c r="C6391" s="5" t="str">
        <f>IFERROR(__xludf.DUMMYFUNCTION("GOOGLETRANSLATE(B6391,""en"",""de"")"),"Ein Mann, der in Geschäftskleidung gekleidet ist, betritt eine Küche mit einigen Kindern hinter sich, schüttelt die Hand einer Frau, reibt sich die Schulter und stellt die Kinder der Frau vor, und die ganze Zeit schwarze Text auf dem Bildschirm lautet """&amp;""" Lügen "". Ryan hat ein paar Minuten Zeit, um vor einem Flug zu töten "".")</f>
        <v>Ein Mann, der in Geschäftskleidung gekleidet ist, betritt eine Küche mit einigen Kindern hinter sich, schüttelt die Hand einer Frau, reibt sich die Schulter und stellt die Kinder der Frau vor, und die ganze Zeit schwarze Text auf dem Bildschirm lautet "" Lügen ". Ryan hat ein paar Minuten Zeit, um vor einem Flug zu töten ".</v>
      </c>
    </row>
    <row r="6392">
      <c r="A6392" s="4" t="s">
        <v>8032</v>
      </c>
      <c r="B6392" s="4" t="s">
        <v>8034</v>
      </c>
      <c r="C6392" s="5" t="str">
        <f>IFERROR(__xludf.DUMMYFUNCTION("GOOGLETRANSLATE(B6392,""en"",""de"")"),"Weitere Clips spielen weiterhin des Mannes in der Küche, redet, um Reinigungsprodukte umzugehen und Gerichte zu waschen, aber viele negative Worte über ihn erscheinen auf dem Bildschirm.")</f>
        <v>Weitere Clips spielen weiterhin des Mannes in der Küche, redet, um Reinigungsprodukte umzugehen und Gerichte zu waschen, aber viele negative Worte über ihn erscheinen auf dem Bildschirm.</v>
      </c>
    </row>
    <row r="6393">
      <c r="A6393" s="4" t="s">
        <v>8032</v>
      </c>
      <c r="B6393" s="4" t="s">
        <v>8035</v>
      </c>
      <c r="C6393" s="5" t="str">
        <f>IFERROR(__xludf.DUMMYFUNCTION("GOOGLETRANSLATE(B6393,""en"",""de"")"),"Der Mann ist jetzt aus der Küche und geht dann an, um die Hand zu geben und mit einem Mann zu sprechen, aber eine negative Botschaft über ihn erscheint immer noch auf dem Bildschirm.")</f>
        <v>Der Mann ist jetzt aus der Küche und geht dann an, um die Hand zu geben und mit einem Mann zu sprechen, aber eine negative Botschaft über ihn erscheint immer noch auf dem Bildschirm.</v>
      </c>
    </row>
    <row r="6394">
      <c r="A6394" s="4" t="s">
        <v>8036</v>
      </c>
      <c r="B6394" s="4" t="s">
        <v>8037</v>
      </c>
      <c r="C6394" s="5" t="str">
        <f>IFERROR(__xludf.DUMMYFUNCTION("GOOGLETRANSLATE(B6394,""en"",""de"")"),"Eine Frau läuft über eine Straße hinunter, während sie ihre Uhr ansieht und auf Dinge vor ihr zeigt.")</f>
        <v>Eine Frau läuft über eine Straße hinunter, während sie ihre Uhr ansieht und auf Dinge vor ihr zeigt.</v>
      </c>
    </row>
    <row r="6395">
      <c r="A6395" s="4" t="s">
        <v>8036</v>
      </c>
      <c r="B6395" s="4" t="s">
        <v>8038</v>
      </c>
      <c r="C6395" s="5" t="str">
        <f>IFERROR(__xludf.DUMMYFUNCTION("GOOGLETRANSLATE(B6395,""en"",""de"")"),"Sie rennt weiter die Straße entlang, während andere Leute sie applaudieren und sie läuft weiter.")</f>
        <v>Sie rennt weiter die Straße entlang, während andere Leute sie applaudieren und sie läuft weiter.</v>
      </c>
    </row>
    <row r="6396">
      <c r="A6396" s="4" t="s">
        <v>8039</v>
      </c>
      <c r="B6396" s="4" t="s">
        <v>8040</v>
      </c>
      <c r="C6396" s="5" t="str">
        <f>IFERROR(__xludf.DUMMYFUNCTION("GOOGLETRANSLATE(B6396,""en"",""de"")"),"Der Mann sitzt in einem Kajak neben dem Bürgersteig.")</f>
        <v>Der Mann sitzt in einem Kajak neben dem Bürgersteig.</v>
      </c>
    </row>
    <row r="6397">
      <c r="A6397" s="4" t="s">
        <v>8039</v>
      </c>
      <c r="B6397" s="4" t="s">
        <v>8041</v>
      </c>
      <c r="C6397" s="5" t="str">
        <f>IFERROR(__xludf.DUMMYFUNCTION("GOOGLETRANSLATE(B6397,""en"",""de"")"),"Der Mann nimmt das Kajak aus dem Wasser heraus.")</f>
        <v>Der Mann nimmt das Kajak aus dem Wasser heraus.</v>
      </c>
    </row>
    <row r="6398">
      <c r="A6398" s="4" t="s">
        <v>8039</v>
      </c>
      <c r="B6398" s="4" t="s">
        <v>8042</v>
      </c>
      <c r="C6398" s="5" t="str">
        <f>IFERROR(__xludf.DUMMYFUNCTION("GOOGLETRANSLATE(B6398,""en"",""de"")"),"Der Mensch ist im Fluss und hält die Reihe und macht Kajakfahren und andere Männer sind neben ihm.")</f>
        <v>Der Mensch ist im Fluss und hält die Reihe und macht Kajakfahren und andere Männer sind neben ihm.</v>
      </c>
    </row>
    <row r="6399">
      <c r="A6399" s="4" t="s">
        <v>8043</v>
      </c>
      <c r="B6399" s="4" t="s">
        <v>8044</v>
      </c>
      <c r="C6399" s="5" t="str">
        <f>IFERROR(__xludf.DUMMYFUNCTION("GOOGLETRANSLATE(B6399,""en"",""de"")"),"Ein Mann nimmt sich mit einem anderen Mann in einem Hebel auf.")</f>
        <v>Ein Mann nimmt sich mit einem anderen Mann in einem Hebel auf.</v>
      </c>
    </row>
    <row r="6400">
      <c r="A6400" s="4" t="s">
        <v>8043</v>
      </c>
      <c r="B6400" s="4" t="s">
        <v>8045</v>
      </c>
      <c r="C6400" s="5" t="str">
        <f>IFERROR(__xludf.DUMMYFUNCTION("GOOGLETRANSLATE(B6400,""en"",""de"")"),"Die Fahrt steigt höher und der Mann mit einem Hut spricht mit dem anderen.")</f>
        <v>Die Fahrt steigt höher und der Mann mit einem Hut spricht mit dem anderen.</v>
      </c>
    </row>
    <row r="6401">
      <c r="A6401" s="4" t="s">
        <v>8043</v>
      </c>
      <c r="B6401" s="4" t="s">
        <v>8046</v>
      </c>
      <c r="C6401" s="5" t="str">
        <f>IFERROR(__xludf.DUMMYFUNCTION("GOOGLETRANSLATE(B6401,""en"",""de"")"),"Die Fahrt erreicht oben und der Mann hält seine Arme aus.")</f>
        <v>Die Fahrt erreicht oben und der Mann hält seine Arme aus.</v>
      </c>
    </row>
    <row r="6402">
      <c r="A6402" s="4" t="s">
        <v>8043</v>
      </c>
      <c r="B6402" s="4" t="s">
        <v>8047</v>
      </c>
      <c r="C6402" s="5" t="str">
        <f>IFERROR(__xludf.DUMMYFUNCTION("GOOGLETRANSLATE(B6402,""en"",""de"")"),"Er zählt ab und lässt den Mann zum Bungee -Sprung fallen.")</f>
        <v>Er zählt ab und lässt den Mann zum Bungee -Sprung fallen.</v>
      </c>
    </row>
    <row r="6403">
      <c r="A6403" s="4" t="s">
        <v>8043</v>
      </c>
      <c r="B6403" s="4" t="s">
        <v>8048</v>
      </c>
      <c r="C6403" s="5" t="str">
        <f>IFERROR(__xludf.DUMMYFUNCTION("GOOGLETRANSLATE(B6403,""en"",""de"")"),"Der Mann schafft es sicher nach unten und die Fahrt kommt wieder nach unten.")</f>
        <v>Der Mann schafft es sicher nach unten und die Fahrt kommt wieder nach unten.</v>
      </c>
    </row>
    <row r="6404">
      <c r="A6404" s="4" t="s">
        <v>8049</v>
      </c>
      <c r="B6404" s="4" t="s">
        <v>8050</v>
      </c>
      <c r="C6404" s="5" t="str">
        <f>IFERROR(__xludf.DUMMYFUNCTION("GOOGLETRANSLATE(B6404,""en"",""de"")"),"Draußen in Oak Creek gibt es einige Biker, die sich vor dem Schmutz rennen.")</f>
        <v>Draußen in Oak Creek gibt es einige Biker, die sich vor dem Schmutz rennen.</v>
      </c>
    </row>
    <row r="6405">
      <c r="A6405" s="4" t="s">
        <v>8049</v>
      </c>
      <c r="B6405" s="4" t="s">
        <v>8051</v>
      </c>
      <c r="C6405" s="5" t="str">
        <f>IFERROR(__xludf.DUMMYFUNCTION("GOOGLETRANSLATE(B6405,""en"",""de"")"),"Wenn die Tore untergehen, gehen sie alle so schnell wie möglich durch das Hindernis des Schmutzes.")</f>
        <v>Wenn die Tore untergehen, gehen sie alle so schnell wie möglich durch das Hindernis des Schmutzes.</v>
      </c>
    </row>
    <row r="6406">
      <c r="A6406" s="4" t="s">
        <v>8049</v>
      </c>
      <c r="B6406" s="4" t="s">
        <v>8052</v>
      </c>
      <c r="C6406" s="5" t="str">
        <f>IFERROR(__xludf.DUMMYFUNCTION("GOOGLETRANSLATE(B6406,""en"",""de"")"),"Es gibt ein paar Leute auf der Tribüne vorbeischauen, wie die Biker losgehen.")</f>
        <v>Es gibt ein paar Leute auf der Tribüne vorbeischauen, wie die Biker losgehen.</v>
      </c>
    </row>
    <row r="6407">
      <c r="A6407" s="4" t="s">
        <v>8049</v>
      </c>
      <c r="B6407" s="4" t="s">
        <v>8053</v>
      </c>
      <c r="C6407" s="5" t="str">
        <f>IFERROR(__xludf.DUMMYFUNCTION("GOOGLETRANSLATE(B6407,""en"",""de"")"),"Sie zeigen sogar einige der Kinder, die warten und eine gute Zeit haben, das Rennen zu sehen.")</f>
        <v>Sie zeigen sogar einige der Kinder, die warten und eine gute Zeit haben, das Rennen zu sehen.</v>
      </c>
    </row>
    <row r="6408">
      <c r="A6408" s="4" t="s">
        <v>8054</v>
      </c>
      <c r="B6408" s="4" t="s">
        <v>8055</v>
      </c>
      <c r="C6408" s="5" t="str">
        <f>IFERROR(__xludf.DUMMYFUNCTION("GOOGLETRANSLATE(B6408,""en"",""de"")"),"Eine Frau übt die Floor -Gymnastik, während andere verschiedene Aktivitäten im Hintergrund durchführen.")</f>
        <v>Eine Frau übt die Floor -Gymnastik, während andere verschiedene Aktivitäten im Hintergrund durchführen.</v>
      </c>
    </row>
    <row r="6409">
      <c r="A6409" s="4" t="s">
        <v>8054</v>
      </c>
      <c r="B6409" s="4" t="s">
        <v>8056</v>
      </c>
      <c r="C6409" s="5" t="str">
        <f>IFERROR(__xludf.DUMMYFUNCTION("GOOGLETRANSLATE(B6409,""en"",""de"")"),"Eine zweite Frau übt Floor Gymnastics.")</f>
        <v>Eine zweite Frau übt Floor Gymnastics.</v>
      </c>
    </row>
    <row r="6410">
      <c r="A6410" s="4" t="s">
        <v>8054</v>
      </c>
      <c r="B6410" s="4" t="s">
        <v>8057</v>
      </c>
      <c r="C6410" s="5" t="str">
        <f>IFERROR(__xludf.DUMMYFUNCTION("GOOGLETRANSLATE(B6410,""en"",""de"")"),"Den beiden Frauen wird gezeigt, dass dieselbe Aktion nacheinander ausführt.")</f>
        <v>Den beiden Frauen wird gezeigt, dass dieselbe Aktion nacheinander ausführt.</v>
      </c>
    </row>
    <row r="6411">
      <c r="A6411" s="4" t="s">
        <v>8054</v>
      </c>
      <c r="B6411" s="4" t="s">
        <v>8058</v>
      </c>
      <c r="C6411" s="5" t="str">
        <f>IFERROR(__xludf.DUMMYFUNCTION("GOOGLETRANSLATE(B6411,""en"",""de"")"),"Die erste Frau wird gezeigt, dass sie mehr Floor -Gymnastik übt, mit gelegentlichen Zeitlupe wiederholt ihre Aktion.")</f>
        <v>Die erste Frau wird gezeigt, dass sie mehr Floor -Gymnastik übt, mit gelegentlichen Zeitlupe wiederholt ihre Aktion.</v>
      </c>
    </row>
    <row r="6412">
      <c r="A6412" s="4" t="s">
        <v>8054</v>
      </c>
      <c r="B6412" s="4" t="s">
        <v>8059</v>
      </c>
      <c r="C6412" s="5" t="str">
        <f>IFERROR(__xludf.DUMMYFUNCTION("GOOGLETRANSLATE(B6412,""en"",""de"")"),"Die zweite Frau wird gezeigt, die eine Art Pose durchführt.")</f>
        <v>Die zweite Frau wird gezeigt, die eine Art Pose durchführt.</v>
      </c>
    </row>
    <row r="6413">
      <c r="A6413" s="4" t="s">
        <v>8054</v>
      </c>
      <c r="B6413" s="4" t="s">
        <v>8060</v>
      </c>
      <c r="C6413" s="5" t="str">
        <f>IFERROR(__xludf.DUMMYFUNCTION("GOOGLETRANSLATE(B6413,""en"",""de"")"),"Die erste Frau wird erneut gezeigt, wie Gymnastik auftritt.")</f>
        <v>Die erste Frau wird erneut gezeigt, wie Gymnastik auftritt.</v>
      </c>
    </row>
    <row r="6414">
      <c r="A6414" s="4" t="s">
        <v>8054</v>
      </c>
      <c r="B6414" s="4" t="s">
        <v>8061</v>
      </c>
      <c r="C6414" s="5" t="str">
        <f>IFERROR(__xludf.DUMMYFUNCTION("GOOGLETRANSLATE(B6414,""en"",""de"")"),"Die zweite Frau wird gezeigt, die ihr Bein in der Luft streckt.")</f>
        <v>Die zweite Frau wird gezeigt, die ihr Bein in der Luft streckt.</v>
      </c>
    </row>
    <row r="6415">
      <c r="A6415" s="4" t="s">
        <v>8054</v>
      </c>
      <c r="B6415" s="4" t="s">
        <v>8062</v>
      </c>
      <c r="C6415" s="5" t="str">
        <f>IFERROR(__xludf.DUMMYFUNCTION("GOOGLETRANSLATE(B6415,""en"",""de"")"),"Die erste Frau wird noch einmal gezeigt, wie Gymnastik auftritt.")</f>
        <v>Die erste Frau wird noch einmal gezeigt, wie Gymnastik auftritt.</v>
      </c>
    </row>
    <row r="6416">
      <c r="A6416" s="4" t="s">
        <v>8054</v>
      </c>
      <c r="B6416" s="4" t="s">
        <v>8063</v>
      </c>
      <c r="C6416" s="5" t="str">
        <f>IFERROR(__xludf.DUMMYFUNCTION("GOOGLETRANSLATE(B6416,""en"",""de"")"),"Die zweite Frau wird erneut in einer Art Pose gezeigt.")</f>
        <v>Die zweite Frau wird erneut in einer Art Pose gezeigt.</v>
      </c>
    </row>
    <row r="6417">
      <c r="A6417" s="4" t="s">
        <v>8054</v>
      </c>
      <c r="B6417" s="4" t="s">
        <v>8064</v>
      </c>
      <c r="C6417" s="5" t="str">
        <f>IFERROR(__xludf.DUMMYFUNCTION("GOOGLETRANSLATE(B6417,""en"",""de"")"),"Die erste Frau wird noch einmal gezeigt, wie Gymnastik auftritt.")</f>
        <v>Die erste Frau wird noch einmal gezeigt, wie Gymnastik auftritt.</v>
      </c>
    </row>
    <row r="6418">
      <c r="A6418" s="4" t="s">
        <v>8065</v>
      </c>
      <c r="B6418" s="4" t="s">
        <v>8066</v>
      </c>
      <c r="C6418" s="5" t="str">
        <f>IFERROR(__xludf.DUMMYFUNCTION("GOOGLETRANSLATE(B6418,""en"",""de"")"),"Auf dem Wasser wird ein humgeliges rotes, schwarz -weißes Schiff gezeigt, dann wird sich schnell ein kleineres Schiff dem Boot nähern, das filmt, und plötzlich stürzt es in das Boot und es hat schwarzer Rauch von der Spitze.")</f>
        <v>Auf dem Wasser wird ein humgeliges rotes, schwarz -weißes Schiff gezeigt, dann wird sich schnell ein kleineres Schiff dem Boot nähern, das filmt, und plötzlich stürzt es in das Boot und es hat schwarzer Rauch von der Spitze.</v>
      </c>
    </row>
    <row r="6419">
      <c r="A6419" s="4" t="s">
        <v>8065</v>
      </c>
      <c r="B6419" s="4" t="s">
        <v>8067</v>
      </c>
      <c r="C6419" s="5" t="str">
        <f>IFERROR(__xludf.DUMMYFUNCTION("GOOGLETRANSLATE(B6419,""en"",""de"")"),"Viele Menschen werden auf dem Boot gezeigt, wobei sich die Lebenswesten schnell um das Schiff bewegen, und Männer ziehen hektisch am Seil.")</f>
        <v>Viele Menschen werden auf dem Boot gezeigt, wobei sich die Lebenswesten schnell um das Schiff bewegen, und Männer ziehen hektisch am Seil.</v>
      </c>
    </row>
    <row r="6420">
      <c r="A6420" s="4" t="s">
        <v>8065</v>
      </c>
      <c r="B6420" s="4" t="s">
        <v>8068</v>
      </c>
      <c r="C6420" s="5" t="str">
        <f>IFERROR(__xludf.DUMMYFUNCTION("GOOGLETRANSLATE(B6420,""en"",""de"")"),"Ein Mann und eine Frau fegen nun den Bereich, in dem das Boot getroffen wurde, und ein anderer Mann hilft, gebrochene Stücke aufzunehmen.")</f>
        <v>Ein Mann und eine Frau fegen nun den Bereich, in dem das Boot getroffen wurde, und ein anderer Mann hilft, gebrochene Stücke aufzunehmen.</v>
      </c>
    </row>
    <row r="6421">
      <c r="A6421" s="4" t="s">
        <v>8069</v>
      </c>
      <c r="B6421" s="4" t="s">
        <v>8070</v>
      </c>
      <c r="C6421" s="5" t="str">
        <f>IFERROR(__xludf.DUMMYFUNCTION("GOOGLETRANSLATE(B6421,""en"",""de"")"),"Eine Dame spielt die Harfe und eine andere spielt die Flöte in einem Orchester und wir sehen den Dirigenten und kehren zur Flöte zurück.")</f>
        <v>Eine Dame spielt die Harfe und eine andere spielt die Flöte in einem Orchester und wir sehen den Dirigenten und kehren zur Flöte zurück.</v>
      </c>
    </row>
    <row r="6422">
      <c r="A6422" s="4" t="s">
        <v>8069</v>
      </c>
      <c r="B6422" s="4" t="s">
        <v>8071</v>
      </c>
      <c r="C6422" s="5" t="str">
        <f>IFERROR(__xludf.DUMMYFUNCTION("GOOGLETRANSLATE(B6422,""en"",""de"")"),"Wir sehen das gesamte Orchester spielen und kehren zur Flöte zurück, und das Orchester schnitt hin und her.")</f>
        <v>Wir sehen das gesamte Orchester spielen und kehren zur Flöte zurück, und das Orchester schnitt hin und her.</v>
      </c>
    </row>
    <row r="6423">
      <c r="A6423" s="4" t="s">
        <v>8069</v>
      </c>
      <c r="B6423" s="4" t="s">
        <v>8072</v>
      </c>
      <c r="C6423" s="5" t="str">
        <f>IFERROR(__xludf.DUMMYFUNCTION("GOOGLETRANSLATE(B6423,""en"",""de"")"),"Wir beobachten den Dirigenten, während er arbeitet und das Orchester sehen.")</f>
        <v>Wir beobachten den Dirigenten, während er arbeitet und das Orchester sehen.</v>
      </c>
    </row>
    <row r="6424">
      <c r="A6424" s="4" t="s">
        <v>8069</v>
      </c>
      <c r="B6424" s="4" t="s">
        <v>8073</v>
      </c>
      <c r="C6424" s="5" t="str">
        <f>IFERROR(__xludf.DUMMYFUNCTION("GOOGLETRANSLATE(B6424,""en"",""de"")"),"Wir sehen die Harfe wieder und das Orchester, bevor wir zur Harfe zurückkehren.")</f>
        <v>Wir sehen die Harfe wieder und das Orchester, bevor wir zur Harfe zurückkehren.</v>
      </c>
    </row>
    <row r="6425">
      <c r="A6425" s="4" t="s">
        <v>8074</v>
      </c>
      <c r="B6425" s="4" t="s">
        <v>8075</v>
      </c>
      <c r="C6425" s="5" t="str">
        <f>IFERROR(__xludf.DUMMYFUNCTION("GOOGLETRANSLATE(B6425,""en"",""de"")"),"Eine Frau sitzt am Rand einer Badewanne.")</f>
        <v>Eine Frau sitzt am Rand einer Badewanne.</v>
      </c>
    </row>
    <row r="6426">
      <c r="A6426" s="4" t="s">
        <v>8074</v>
      </c>
      <c r="B6426" s="4" t="s">
        <v>8076</v>
      </c>
      <c r="C6426" s="5" t="str">
        <f>IFERROR(__xludf.DUMMYFUNCTION("GOOGLETRANSLATE(B6426,""en"",""de"")"),"Sie beginnt sich mit einem Rasiermesser ihr Bein zu rasieren.")</f>
        <v>Sie beginnt sich mit einem Rasiermesser ihr Bein zu rasieren.</v>
      </c>
    </row>
    <row r="6427">
      <c r="A6427" s="4" t="s">
        <v>8074</v>
      </c>
      <c r="B6427" s="4" t="s">
        <v>8077</v>
      </c>
      <c r="C6427" s="5" t="str">
        <f>IFERROR(__xludf.DUMMYFUNCTION("GOOGLETRANSLATE(B6427,""en"",""de"")"),"Sie schaut auf den Boden des Rasiermessers.")</f>
        <v>Sie schaut auf den Boden des Rasiermessers.</v>
      </c>
    </row>
    <row r="6428">
      <c r="A6428" s="4" t="s">
        <v>8078</v>
      </c>
      <c r="B6428" s="4" t="s">
        <v>8079</v>
      </c>
      <c r="C6428" s="5" t="str">
        <f>IFERROR(__xludf.DUMMYFUNCTION("GOOGLETRANSLATE(B6428,""en"",""de"")"),"Es gibt einen Athleten, der den Hammerwurf in ein großes Stadion mit einigen Zuschauern und wenigen anderen Spielern macht, die ihn beobachten.")</f>
        <v>Es gibt einen Athleten, der den Hammerwurf in ein großes Stadion mit einigen Zuschauern und wenigen anderen Spielern macht, die ihn beobachten.</v>
      </c>
    </row>
    <row r="6429">
      <c r="A6429" s="4" t="s">
        <v>8078</v>
      </c>
      <c r="B6429" s="4" t="s">
        <v>8080</v>
      </c>
      <c r="C6429" s="5" t="str">
        <f>IFERROR(__xludf.DUMMYFUNCTION("GOOGLETRANSLATE(B6429,""en"",""de"")"),"Er beginnt damit, die Hammerschnur in seine Hände zu schwingen, während er seinen Körper dreht.")</f>
        <v>Er beginnt damit, die Hammerschnur in seine Hände zu schwingen, während er seinen Körper dreht.</v>
      </c>
    </row>
    <row r="6430">
      <c r="A6430" s="4" t="s">
        <v>8078</v>
      </c>
      <c r="B6430" s="4" t="s">
        <v>8081</v>
      </c>
      <c r="C6430" s="5" t="str">
        <f>IFERROR(__xludf.DUMMYFUNCTION("GOOGLETRANSLATE(B6430,""en"",""de"")"),"Zwei Leute treten vorwärts, um zu sehen, wo der Ball des Athleten gelandet ist.")</f>
        <v>Zwei Leute treten vorwärts, um zu sehen, wo der Ball des Athleten gelandet ist.</v>
      </c>
    </row>
    <row r="6431">
      <c r="A6431" s="4" t="s">
        <v>8078</v>
      </c>
      <c r="B6431" s="4" t="s">
        <v>8082</v>
      </c>
      <c r="C6431" s="5" t="str">
        <f>IFERROR(__xludf.DUMMYFUNCTION("GOOGLETRANSLATE(B6431,""en"",""de"")"),"Der Athlet macht einen weiteren Hammerwurf und die Entfernung seines Wurfs wird gemessen und seine Statistiken werden auf dem Bildschirm angezeigt.")</f>
        <v>Der Athlet macht einen weiteren Hammerwurf und die Entfernung seines Wurfs wird gemessen und seine Statistiken werden auf dem Bildschirm angezeigt.</v>
      </c>
    </row>
    <row r="6432">
      <c r="A6432" s="4" t="s">
        <v>8078</v>
      </c>
      <c r="B6432" s="4" t="s">
        <v>8083</v>
      </c>
      <c r="C6432" s="5" t="str">
        <f>IFERROR(__xludf.DUMMYFUNCTION("GOOGLETRANSLATE(B6432,""en"",""de"")"),"Die Zuschauer in den Tribünen beobachten das Sportereignis.")</f>
        <v>Die Zuschauer in den Tribünen beobachten das Sportereignis.</v>
      </c>
    </row>
    <row r="6433">
      <c r="A6433" s="4" t="s">
        <v>8084</v>
      </c>
      <c r="B6433" s="4" t="s">
        <v>8085</v>
      </c>
      <c r="C6433" s="5" t="str">
        <f>IFERROR(__xludf.DUMMYFUNCTION("GOOGLETRANSLATE(B6433,""en"",""de"")"),"Eine Frau und ein Hund stehen in einem großen Feld, das mit einer Frisbee Tricks ausführt.")</f>
        <v>Eine Frau und ein Hund stehen in einem großen Feld, das mit einer Frisbee Tricks ausführt.</v>
      </c>
    </row>
    <row r="6434">
      <c r="A6434" s="4" t="s">
        <v>8084</v>
      </c>
      <c r="B6434" s="4" t="s">
        <v>8086</v>
      </c>
      <c r="C6434" s="5" t="str">
        <f>IFERROR(__xludf.DUMMYFUNCTION("GOOGLETRANSLATE(B6434,""en"",""de"")"),"Die Frau und der Hund werden in mehreren weiteren Clips gezeigt, die mit der Frisbee spielen und Tricks ausführen.")</f>
        <v>Die Frau und der Hund werden in mehreren weiteren Clips gezeigt, die mit der Frisbee spielen und Tricks ausführen.</v>
      </c>
    </row>
    <row r="6435">
      <c r="A6435" s="4" t="s">
        <v>8084</v>
      </c>
      <c r="B6435" s="4" t="s">
        <v>8087</v>
      </c>
      <c r="C6435" s="5" t="str">
        <f>IFERROR(__xludf.DUMMYFUNCTION("GOOGLETRANSLATE(B6435,""en"",""de"")"),"Der Hund springt auf und ab und jagt nach der Frisbee, während die Frau auf der Seite zusieht.")</f>
        <v>Der Hund springt auf und ab und jagt nach der Frisbee, während die Frau auf der Seite zusieht.</v>
      </c>
    </row>
    <row r="6436">
      <c r="A6436" s="4" t="s">
        <v>8088</v>
      </c>
      <c r="B6436" s="4" t="s">
        <v>8089</v>
      </c>
      <c r="C6436" s="5" t="str">
        <f>IFERROR(__xludf.DUMMYFUNCTION("GOOGLETRANSLATE(B6436,""en"",""de"")"),"Zwei Paar Frauen befinden sich in einem Raum, der ein Foosballspiel spielt.")</f>
        <v>Zwei Paar Frauen befinden sich in einem Raum, der ein Foosballspiel spielt.</v>
      </c>
    </row>
    <row r="6437">
      <c r="A6437" s="4" t="s">
        <v>8088</v>
      </c>
      <c r="B6437" s="4" t="s">
        <v>8090</v>
      </c>
      <c r="C6437" s="5" t="str">
        <f>IFERROR(__xludf.DUMMYFUNCTION("GOOGLETRANSLATE(B6437,""en"",""de"")"),"Die Mädchen auf der linken Seite machen zwei Tore und sie fangen an zu jubeln.")</f>
        <v>Die Mädchen auf der linken Seite machen zwei Tore und sie fangen an zu jubeln.</v>
      </c>
    </row>
    <row r="6438">
      <c r="A6438" s="4" t="s">
        <v>8091</v>
      </c>
      <c r="B6438" s="4" t="s">
        <v>8092</v>
      </c>
      <c r="C6438" s="5" t="str">
        <f>IFERROR(__xludf.DUMMYFUNCTION("GOOGLETRANSLATE(B6438,""en"",""de"")"),"Ein Mann rennt und taucht an einem Strand ins Wasser.")</f>
        <v>Ein Mann rennt und taucht an einem Strand ins Wasser.</v>
      </c>
    </row>
    <row r="6439">
      <c r="A6439" s="4" t="s">
        <v>8091</v>
      </c>
      <c r="B6439" s="4" t="s">
        <v>8093</v>
      </c>
      <c r="C6439" s="5" t="str">
        <f>IFERROR(__xludf.DUMMYFUNCTION("GOOGLETRANSLATE(B6439,""en"",""de"")"),"Ein Mann mit einem Surfbrett geht am Strand.")</f>
        <v>Ein Mann mit einem Surfbrett geht am Strand.</v>
      </c>
    </row>
    <row r="6440">
      <c r="A6440" s="4" t="s">
        <v>8091</v>
      </c>
      <c r="B6440" s="4" t="s">
        <v>8094</v>
      </c>
      <c r="C6440" s="5" t="str">
        <f>IFERROR(__xludf.DUMMYFUNCTION("GOOGLETRANSLATE(B6440,""en"",""de"")"),"Menschen surfen im Wasser.")</f>
        <v>Menschen surfen im Wasser.</v>
      </c>
    </row>
    <row r="6441">
      <c r="A6441" s="4" t="s">
        <v>8091</v>
      </c>
      <c r="B6441" s="4" t="s">
        <v>8095</v>
      </c>
      <c r="C6441" s="5" t="str">
        <f>IFERROR(__xludf.DUMMYFUNCTION("GOOGLETRANSLATE(B6441,""en"",""de"")"),"Ein Mann sitzt im Sand.")</f>
        <v>Ein Mann sitzt im Sand.</v>
      </c>
    </row>
    <row r="6442">
      <c r="A6442" s="4" t="s">
        <v>8091</v>
      </c>
      <c r="B6442" s="4" t="s">
        <v>8096</v>
      </c>
      <c r="C6442" s="5" t="str">
        <f>IFERROR(__xludf.DUMMYFUNCTION("GOOGLETRANSLATE(B6442,""en"",""de"")"),"Mehr Menschen surfen im Wasser.")</f>
        <v>Mehr Menschen surfen im Wasser.</v>
      </c>
    </row>
    <row r="6443">
      <c r="A6443" s="4" t="s">
        <v>8091</v>
      </c>
      <c r="B6443" s="4" t="s">
        <v>8097</v>
      </c>
      <c r="C6443" s="5" t="str">
        <f>IFERROR(__xludf.DUMMYFUNCTION("GOOGLETRANSLATE(B6443,""en"",""de"")"),"Zwei Damen in Bikinis sind am Strand.")</f>
        <v>Zwei Damen in Bikinis sind am Strand.</v>
      </c>
    </row>
    <row r="6444">
      <c r="A6444" s="4" t="s">
        <v>8091</v>
      </c>
      <c r="B6444" s="4" t="s">
        <v>8098</v>
      </c>
      <c r="C6444" s="5" t="str">
        <f>IFERROR(__xludf.DUMMYFUNCTION("GOOGLETRANSLATE(B6444,""en"",""de"")"),"Die Menschen reiten Wellen im Wassersurfen.")</f>
        <v>Die Menschen reiten Wellen im Wassersurfen.</v>
      </c>
    </row>
    <row r="6445">
      <c r="A6445" s="4" t="s">
        <v>8099</v>
      </c>
      <c r="B6445" s="4" t="s">
        <v>8100</v>
      </c>
      <c r="C6445" s="5" t="str">
        <f>IFERROR(__xludf.DUMMYFUNCTION("GOOGLETRANSLATE(B6445,""en"",""de"")"),"Das Video führt zu mehreren Clips von kleinen Kindern, die in einem großen Fitnessstudio Gymnastic Moves praktizieren.")</f>
        <v>Das Video führt zu mehreren Clips von kleinen Kindern, die in einem großen Fitnessstudio Gymnastic Moves praktizieren.</v>
      </c>
    </row>
    <row r="6446">
      <c r="A6446" s="4" t="s">
        <v>8099</v>
      </c>
      <c r="B6446" s="4" t="s">
        <v>8101</v>
      </c>
      <c r="C6446" s="5" t="str">
        <f>IFERROR(__xludf.DUMMYFUNCTION("GOOGLETRANSLATE(B6446,""en"",""de"")"),"Das Video setzt sich fort, da die Kinder auf den Matten umdrehen und herumspringen.")</f>
        <v>Das Video setzt sich fort, da die Kinder auf den Matten umdrehen und herumspringen.</v>
      </c>
    </row>
    <row r="6447">
      <c r="A6447" s="4" t="s">
        <v>8102</v>
      </c>
      <c r="B6447" s="4" t="s">
        <v>8103</v>
      </c>
      <c r="C6447" s="5" t="str">
        <f>IFERROR(__xludf.DUMMYFUNCTION("GOOGLETRANSLATE(B6447,""en"",""de"")"),"Der Mann taucht unter Wasser und sagt Hallo zur Kamera.")</f>
        <v>Der Mann taucht unter Wasser und sagt Hallo zur Kamera.</v>
      </c>
    </row>
    <row r="6448">
      <c r="A6448" s="4" t="s">
        <v>8102</v>
      </c>
      <c r="B6448" s="4" t="s">
        <v>8104</v>
      </c>
      <c r="C6448" s="5" t="str">
        <f>IFERROR(__xludf.DUMMYFUNCTION("GOOGLETRANSLATE(B6448,""en"",""de"")"),"Die Menschen tauchen und beobachten, wie die Fische zwischen Felsen schwimmen.")</f>
        <v>Die Menschen tauchen und beobachten, wie die Fische zwischen Felsen schwimmen.</v>
      </c>
    </row>
    <row r="6449">
      <c r="A6449" s="4" t="s">
        <v>8102</v>
      </c>
      <c r="B6449" s="4" t="s">
        <v>8105</v>
      </c>
      <c r="C6449" s="5" t="str">
        <f>IFERROR(__xludf.DUMMYFUNCTION("GOOGLETRANSLATE(B6449,""en"",""de"")"),"Die Menschen befinden sich unter dem Seebuba und tauchen alles auf.")</f>
        <v>Die Menschen befinden sich unter dem Seebuba und tauchen alles auf.</v>
      </c>
    </row>
    <row r="6450">
      <c r="A6450" s="4" t="s">
        <v>8106</v>
      </c>
      <c r="B6450" s="4" t="s">
        <v>8107</v>
      </c>
      <c r="C6450" s="5" t="str">
        <f>IFERROR(__xludf.DUMMYFUNCTION("GOOGLETRANSLATE(B6450,""en"",""de"")"),"Ein Mann dreht sich und wirft einen Ball auf das Feld.")</f>
        <v>Ein Mann dreht sich und wirft einen Ball auf das Feld.</v>
      </c>
    </row>
    <row r="6451">
      <c r="A6451" s="4" t="s">
        <v>8106</v>
      </c>
      <c r="B6451" s="4" t="s">
        <v>8108</v>
      </c>
      <c r="C6451" s="5" t="str">
        <f>IFERROR(__xludf.DUMMYFUNCTION("GOOGLETRANSLATE(B6451,""en"",""de"")"),"Ein anderer Mann dreht sich und wirft einen Ball auf das Feld.")</f>
        <v>Ein anderer Mann dreht sich und wirft einen Ball auf das Feld.</v>
      </c>
    </row>
    <row r="6452">
      <c r="A6452" s="4" t="s">
        <v>8106</v>
      </c>
      <c r="B6452" s="4" t="s">
        <v>8109</v>
      </c>
      <c r="C6452" s="5" t="str">
        <f>IFERROR(__xludf.DUMMYFUNCTION("GOOGLETRANSLATE(B6452,""en"",""de"")"),"Menschen auf der Tribüne umarmen den Athleten.")</f>
        <v>Menschen auf der Tribüne umarmen den Athleten.</v>
      </c>
    </row>
    <row r="6453">
      <c r="A6453" s="4" t="s">
        <v>8110</v>
      </c>
      <c r="B6453" s="4" t="s">
        <v>8111</v>
      </c>
      <c r="C6453" s="5" t="str">
        <f>IFERROR(__xludf.DUMMYFUNCTION("GOOGLETRANSLATE(B6453,""en"",""de"")"),"Eine Einführung kommt auf den Bildschirm, um ein Video über das Abspielen verschiedener Songs auf der Geige zu spielen.")</f>
        <v>Eine Einführung kommt auf den Bildschirm, um ein Video über das Abspielen verschiedener Songs auf der Geige zu spielen.</v>
      </c>
    </row>
    <row r="6454">
      <c r="A6454" s="4" t="s">
        <v>8110</v>
      </c>
      <c r="B6454" s="4" t="s">
        <v>8112</v>
      </c>
      <c r="C6454" s="5" t="str">
        <f>IFERROR(__xludf.DUMMYFUNCTION("GOOGLETRANSLATE(B6454,""en"",""de"")"),"Ein Mann kommt mit einer Geige auf den Bildschirm und erklärt verschiedene Techniken für das Spielen der Geige.")</f>
        <v>Ein Mann kommt mit einer Geige auf den Bildschirm und erklärt verschiedene Techniken für das Spielen der Geige.</v>
      </c>
    </row>
    <row r="6455">
      <c r="A6455" s="4" t="s">
        <v>8110</v>
      </c>
      <c r="B6455" s="4" t="s">
        <v>8113</v>
      </c>
      <c r="C6455" s="5" t="str">
        <f>IFERROR(__xludf.DUMMYFUNCTION("GOOGLETRANSLATE(B6455,""en"",""de"")"),"Er nähert sich der Kamera, damit Sie das Detail dessen sehen können, was er mit seinen Händen tut.")</f>
        <v>Er nähert sich der Kamera, damit Sie das Detail dessen sehen können, was er mit seinen Händen tut.</v>
      </c>
    </row>
    <row r="6456">
      <c r="A6456" s="4" t="s">
        <v>8110</v>
      </c>
      <c r="B6456" s="4" t="s">
        <v>8114</v>
      </c>
      <c r="C6456" s="5" t="str">
        <f>IFERROR(__xludf.DUMMYFUNCTION("GOOGLETRANSLATE(B6456,""en"",""de"")"),"Er beginnt verschiedene Notizen über die Geige zu spielen, als er seine Finger bewegt.")</f>
        <v>Er beginnt verschiedene Notizen über die Geige zu spielen, als er seine Finger bewegt.</v>
      </c>
    </row>
    <row r="6457">
      <c r="A6457" s="4" t="s">
        <v>8110</v>
      </c>
      <c r="B6457" s="4" t="s">
        <v>8115</v>
      </c>
      <c r="C6457" s="5" t="str">
        <f>IFERROR(__xludf.DUMMYFUNCTION("GOOGLETRANSLATE(B6457,""en"",""de"")"),"Das Video endet mit den abschließenden Credits auf dem Bildschirm.")</f>
        <v>Das Video endet mit den abschließenden Credits auf dem Bildschirm.</v>
      </c>
    </row>
    <row r="6458">
      <c r="A6458" s="4" t="s">
        <v>8116</v>
      </c>
      <c r="B6458" s="4" t="s">
        <v>8117</v>
      </c>
      <c r="C6458" s="5" t="str">
        <f>IFERROR(__xludf.DUMMYFUNCTION("GOOGLETRANSLATE(B6458,""en"",""de"")"),"Ein Mann steht vor der Kamera und redet sich und bewegt sich dann hinter den Tisch.")</f>
        <v>Ein Mann steht vor der Kamera und redet sich und bewegt sich dann hinter den Tisch.</v>
      </c>
    </row>
    <row r="6459">
      <c r="A6459" s="4" t="s">
        <v>8116</v>
      </c>
      <c r="B6459" s="4" t="s">
        <v>8118</v>
      </c>
      <c r="C6459" s="5" t="str">
        <f>IFERROR(__xludf.DUMMYFUNCTION("GOOGLETRANSLATE(B6459,""en"",""de"")"),"Auf dem Tisch hat er ein Packpapier, einen Yard -Stock, ein Klebeband und einen Bleistift und bewegt sie auf die andere Seite der Box.")</f>
        <v>Auf dem Tisch hat er ein Packpapier, einen Yard -Stock, ein Klebeband und einen Bleistift und bewegt sie auf die andere Seite der Box.</v>
      </c>
    </row>
    <row r="6460">
      <c r="A6460" s="4" t="s">
        <v>8116</v>
      </c>
      <c r="B6460" s="4" t="s">
        <v>8119</v>
      </c>
      <c r="C6460" s="5" t="str">
        <f>IFERROR(__xludf.DUMMYFUNCTION("GOOGLETRANSLATE(B6460,""en"",""de"")"),"Die Box wird dann aufgenommen und auf das Verpackungspapier gelegt und der Mann misst das Verpackungspapier.")</f>
        <v>Die Box wird dann aufgenommen und auf das Verpackungspapier gelegt und der Mann misst das Verpackungspapier.</v>
      </c>
    </row>
    <row r="6461">
      <c r="A6461" s="4" t="s">
        <v>8116</v>
      </c>
      <c r="B6461" s="4" t="s">
        <v>8120</v>
      </c>
      <c r="C6461" s="5" t="str">
        <f>IFERROR(__xludf.DUMMYFUNCTION("GOOGLETRANSLATE(B6461,""en"",""de"")"),"Das Verpackungspapier wird dann geklebt und der Rest wird gemessen, bevor es zusammengeklebt wird.")</f>
        <v>Das Verpackungspapier wird dann geklebt und der Rest wird gemessen, bevor es zusammengeklebt wird.</v>
      </c>
    </row>
    <row r="6462">
      <c r="A6462" s="4" t="s">
        <v>8121</v>
      </c>
      <c r="B6462" s="4" t="s">
        <v>8122</v>
      </c>
      <c r="C6462" s="5" t="str">
        <f>IFERROR(__xludf.DUMMYFUNCTION("GOOGLETRANSLATE(B6462,""en"",""de"")"),"Eine Frau und ein Mann spielen Shuffleboard draußen.")</f>
        <v>Eine Frau und ein Mann spielen Shuffleboard draußen.</v>
      </c>
    </row>
    <row r="6463">
      <c r="A6463" s="4" t="s">
        <v>8121</v>
      </c>
      <c r="B6463" s="4" t="s">
        <v>8123</v>
      </c>
      <c r="C6463" s="5" t="str">
        <f>IFERROR(__xludf.DUMMYFUNCTION("GOOGLETRANSLATE(B6463,""en"",""de"")"),"Die Frau geht zuerst und dann geht der Mann an der Reihe.")</f>
        <v>Die Frau geht zuerst und dann geht der Mann an der Reihe.</v>
      </c>
    </row>
    <row r="6464">
      <c r="A6464" s="4" t="s">
        <v>8124</v>
      </c>
      <c r="B6464" s="4" t="s">
        <v>8125</v>
      </c>
      <c r="C6464" s="5" t="str">
        <f>IFERROR(__xludf.DUMMYFUNCTION("GOOGLETRANSLATE(B6464,""en"",""de"")"),"Ein Mann wird gezeigt, der einen Helm trägt und auf eine Felswand klettert.")</f>
        <v>Ein Mann wird gezeigt, der einen Helm trägt und auf eine Felswand klettert.</v>
      </c>
    </row>
    <row r="6465">
      <c r="A6465" s="4" t="s">
        <v>8124</v>
      </c>
      <c r="B6465" s="4" t="s">
        <v>8126</v>
      </c>
      <c r="C6465" s="5" t="str">
        <f>IFERROR(__xludf.DUMMYFUNCTION("GOOGLETRANSLATE(B6465,""en"",""de"")"),"Er arbeitet sich weiterhin an der Felswand hinauf, während die Kamera seine Bewegungen und schwenkt um die Berge und das Wasser um sie herum.")</f>
        <v>Er arbeitet sich weiterhin an der Felswand hinauf, während die Kamera seine Bewegungen und schwenkt um die Berge und das Wasser um sie herum.</v>
      </c>
    </row>
    <row r="6466">
      <c r="A6466" s="4" t="s">
        <v>8124</v>
      </c>
      <c r="B6466" s="4" t="s">
        <v>8127</v>
      </c>
      <c r="C6466" s="5" t="str">
        <f>IFERROR(__xludf.DUMMYFUNCTION("GOOGLETRANSLATE(B6466,""en"",""de"")"),"Der Kletterer überprüft sein Seil und schüttelt den Clip seines Seils.")</f>
        <v>Der Kletterer überprüft sein Seil und schüttelt den Clip seines Seils.</v>
      </c>
    </row>
    <row r="6467">
      <c r="A6467" s="4" t="s">
        <v>8128</v>
      </c>
      <c r="B6467" s="4" t="s">
        <v>1251</v>
      </c>
      <c r="C6467" s="5" t="str">
        <f>IFERROR(__xludf.DUMMYFUNCTION("GOOGLETRANSLATE(B6467,""en"",""de"")"),"Die Credits des Clips werden angezeigt.")</f>
        <v>Die Credits des Clips werden angezeigt.</v>
      </c>
    </row>
    <row r="6468">
      <c r="A6468" s="4" t="s">
        <v>8128</v>
      </c>
      <c r="B6468" s="4" t="s">
        <v>8129</v>
      </c>
      <c r="C6468" s="5" t="str">
        <f>IFERROR(__xludf.DUMMYFUNCTION("GOOGLETRANSLATE(B6468,""en"",""de"")"),"Menschen laden in orangefarbene Kanus.")</f>
        <v>Menschen laden in orangefarbene Kanus.</v>
      </c>
    </row>
    <row r="6469">
      <c r="A6469" s="4" t="s">
        <v>8128</v>
      </c>
      <c r="B6469" s="4" t="s">
        <v>8130</v>
      </c>
      <c r="C6469" s="5" t="str">
        <f>IFERROR(__xludf.DUMMYFUNCTION("GOOGLETRANSLATE(B6469,""en"",""de"")"),"Menschen rudern Kanus auf einem Gewässer.")</f>
        <v>Menschen rudern Kanus auf einem Gewässer.</v>
      </c>
    </row>
    <row r="6470">
      <c r="A6470" s="4" t="s">
        <v>8128</v>
      </c>
      <c r="B6470" s="4" t="s">
        <v>8131</v>
      </c>
      <c r="C6470" s="5" t="str">
        <f>IFERROR(__xludf.DUMMYFUNCTION("GOOGLETRANSLATE(B6470,""en"",""de"")"),"Zwei Jungs paddeln ihr Kanu.")</f>
        <v>Zwei Jungs paddeln ihr Kanu.</v>
      </c>
    </row>
    <row r="6471">
      <c r="A6471" s="4" t="s">
        <v>8128</v>
      </c>
      <c r="B6471" s="4" t="s">
        <v>573</v>
      </c>
      <c r="C6471" s="5" t="str">
        <f>IFERROR(__xludf.DUMMYFUNCTION("GOOGLETRANSLATE(B6471,""en"",""de"")"),"Die Credits des Videos werden angezeigt.")</f>
        <v>Die Credits des Videos werden angezeigt.</v>
      </c>
    </row>
    <row r="6472">
      <c r="A6472" s="4" t="s">
        <v>8132</v>
      </c>
      <c r="B6472" s="4" t="s">
        <v>8133</v>
      </c>
      <c r="C6472" s="5" t="str">
        <f>IFERROR(__xludf.DUMMYFUNCTION("GOOGLETRANSLATE(B6472,""en"",""de"")"),"Ein lächelndes Mädchen, das Zahnspangen und Gläser trägt, hebt eine rosa Tasche über dem Kopf, während sie vor dem mittleren Körper eines Pferdes steht, und die Worte ""mit Erin"".")</f>
        <v>Ein lächelndes Mädchen, das Zahnspangen und Gläser trägt, hebt eine rosa Tasche über dem Kopf, während sie vor dem mittleren Körper eines Pferdes steht, und die Worte "mit Erin".</v>
      </c>
    </row>
    <row r="6473">
      <c r="A6473" s="4" t="s">
        <v>8132</v>
      </c>
      <c r="B6473" s="4" t="s">
        <v>8134</v>
      </c>
      <c r="C6473" s="5" t="str">
        <f>IFERROR(__xludf.DUMMYFUNCTION("GOOGLETRANSLATE(B6473,""en"",""de"")"),"Jetzt ist das Pferd voll sichtbar und das Mädchen greift in ihre rosa Tasche, um eine Bürste zu holen, und beginnt das Pferd über seinen Körper von vorne nach hinten und auf jeder Seite.")</f>
        <v>Jetzt ist das Pferd voll sichtbar und das Mädchen greift in ihre rosa Tasche, um eine Bürste zu holen, und beginnt das Pferd über seinen Körper von vorne nach hinten und auf jeder Seite.</v>
      </c>
    </row>
    <row r="6474">
      <c r="A6474" s="4" t="s">
        <v>8132</v>
      </c>
      <c r="B6474" s="4" t="s">
        <v>8135</v>
      </c>
      <c r="C6474" s="5" t="str">
        <f>IFERROR(__xludf.DUMMYFUNCTION("GOOGLETRANSLATE(B6474,""en"",""de"")"),"Das Mädchen kehrt zurück in die rosa Tasche, schnappt sich noch einen Pinsel und beginnt das Pferd von Kopf bis Fuß und rund um den Körper auf jeder Seite.")</f>
        <v>Das Mädchen kehrt zurück in die rosa Tasche, schnappt sich noch einen Pinsel und beginnt das Pferd von Kopf bis Fuß und rund um den Körper auf jeder Seite.</v>
      </c>
    </row>
    <row r="6475">
      <c r="A6475" s="4" t="s">
        <v>8132</v>
      </c>
      <c r="B6475" s="4" t="s">
        <v>8136</v>
      </c>
      <c r="C6475" s="5" t="str">
        <f>IFERROR(__xludf.DUMMYFUNCTION("GOOGLETRANSLATE(B6475,""en"",""de"")"),"Das Mädchen geht erneut zum Rosa, um die Bürste zurückzugeben, die sie benutzte, und schnappt sich noch einen Pinsel, wo sie das Pferd von Kopf bis Fuß und an allen Seiten erneut beginnt.")</f>
        <v>Das Mädchen geht erneut zum Rosa, um die Bürste zurückzugeben, die sie benutzte, und schnappt sich noch einen Pinsel, wo sie das Pferd von Kopf bis Fuß und an allen Seiten erneut beginnt.</v>
      </c>
    </row>
    <row r="6476">
      <c r="A6476" s="4" t="s">
        <v>8132</v>
      </c>
      <c r="B6476" s="4" t="s">
        <v>8137</v>
      </c>
      <c r="C6476" s="5" t="str">
        <f>IFERROR(__xludf.DUMMYFUNCTION("GOOGLETRANSLATE(B6476,""en"",""de"")"),"Die Mädchen zur Tasche, um den Pinsel zu fallen, und greift dann ein grünes Werkzeug, geht zu den Pferden vor dem linken Fuß, nimmt ihn auf und beginnt den Schuh auszuräumen. Dann geht das Pferd um und macht den Rest seiner Schuhe.")</f>
        <v>Die Mädchen zur Tasche, um den Pinsel zu fallen, und greift dann ein grünes Werkzeug, geht zu den Pferden vor dem linken Fuß, nimmt ihn auf und beginnt den Schuh auszuräumen. Dann geht das Pferd um und macht den Rest seiner Schuhe.</v>
      </c>
    </row>
    <row r="6477">
      <c r="A6477" s="4" t="s">
        <v>8132</v>
      </c>
      <c r="B6477" s="4" t="s">
        <v>8138</v>
      </c>
      <c r="C6477" s="5" t="str">
        <f>IFERROR(__xludf.DUMMYFUNCTION("GOOGLETRANSLATE(B6477,""en"",""de"")"),"Wenn das Mädchen mit der Reinigung der Schuhe fertig ist, kehrt sie das Werkzeug zurück in die rosa Tasche und schnappt sich eine Bürste von der Kamera, streift die Mähne, küsst das Pferd und kehrt dann die Bürste zurück in die rosa Tasche, geht in Richtu"&amp;"ng des Kamera und lächelt groß hinein.")</f>
        <v>Wenn das Mädchen mit der Reinigung der Schuhe fertig ist, kehrt sie das Werkzeug zurück in die rosa Tasche und schnappt sich eine Bürste von der Kamera, streift die Mähne, küsst das Pferd und kehrt dann die Bürste zurück in die rosa Tasche, geht in Richtung des Kamera und lächelt groß hinein.</v>
      </c>
    </row>
    <row r="6478">
      <c r="A6478" s="4" t="s">
        <v>8139</v>
      </c>
      <c r="B6478" s="4" t="s">
        <v>8140</v>
      </c>
      <c r="C6478" s="5" t="str">
        <f>IFERROR(__xludf.DUMMYFUNCTION("GOOGLETRANSLATE(B6478,""en"",""de"")"),"Eine Frau dreht eine Stange in die Luft, während sie sich dreht und tanzte, dann wirft sie die Stange hoch und dreht sich vor, um die Stange zu fangen.")</f>
        <v>Eine Frau dreht eine Stange in die Luft, während sie sich dreht und tanzte, dann wirft sie die Stange hoch und dreht sich vor, um die Stange zu fangen.</v>
      </c>
    </row>
    <row r="6479">
      <c r="A6479" s="4" t="s">
        <v>8139</v>
      </c>
      <c r="B6479" s="4" t="s">
        <v>8141</v>
      </c>
      <c r="C6479" s="5" t="str">
        <f>IFERROR(__xludf.DUMMYFUNCTION("GOOGLETRANSLATE(B6479,""en"",""de"")"),"Die Frau dreht weiter die Stange um den Körper und wirft auch die Stange in die Luft.")</f>
        <v>Die Frau dreht weiter die Stange um den Körper und wirft auch die Stange in die Luft.</v>
      </c>
    </row>
    <row r="6480">
      <c r="A6480" s="4" t="s">
        <v>8139</v>
      </c>
      <c r="B6480" s="4" t="s">
        <v>8142</v>
      </c>
      <c r="C6480" s="5" t="str">
        <f>IFERROR(__xludf.DUMMYFUNCTION("GOOGLETRANSLATE(B6480,""en"",""de"")"),"Dann rollt die Frau die Stange auf ihre Arme, dann wirft sie die Stange in die Luft und macht ein Karrenrad, bevor sie die Stange fängt.")</f>
        <v>Dann rollt die Frau die Stange auf ihre Arme, dann wirft sie die Stange in die Luft und macht ein Karrenrad, bevor sie die Stange fängt.</v>
      </c>
    </row>
    <row r="6481">
      <c r="A6481" s="4" t="s">
        <v>8139</v>
      </c>
      <c r="B6481" s="4" t="s">
        <v>8143</v>
      </c>
      <c r="C6481" s="5" t="str">
        <f>IFERROR(__xludf.DUMMYFUNCTION("GOOGLETRANSLATE(B6481,""en"",""de"")"),"Als nächstes rollt die Frau die Stange auf ihren Hals und beendet ihre Leistung.")</f>
        <v>Als nächstes rollt die Frau die Stange auf ihren Hals und beendet ihre Leistung.</v>
      </c>
    </row>
    <row r="6482">
      <c r="A6482" s="4" t="s">
        <v>8144</v>
      </c>
      <c r="B6482" s="4" t="s">
        <v>8145</v>
      </c>
      <c r="C6482" s="5" t="str">
        <f>IFERROR(__xludf.DUMMYFUNCTION("GOOGLETRANSLATE(B6482,""en"",""de"")"),"Zuerst umarmt die ältere Frau den jungen Mann und dann spielt ein Mann in einem blauen Hemd das Klavier wunderschön aus verschiedenen Melodien.")</f>
        <v>Zuerst umarmt die ältere Frau den jungen Mann und dann spielt ein Mann in einem blauen Hemd das Klavier wunderschön aus verschiedenen Melodien.</v>
      </c>
    </row>
    <row r="6483">
      <c r="A6483" s="4" t="s">
        <v>8144</v>
      </c>
      <c r="B6483" s="4" t="s">
        <v>8146</v>
      </c>
      <c r="C6483" s="5" t="str">
        <f>IFERROR(__xludf.DUMMYFUNCTION("GOOGLETRANSLATE(B6483,""en"",""de"")"),"Dann rennen zwei kleine Jungen vor der Tür, während der Mann, der an der Tür steht, müde und erbärmlich aussieht.")</f>
        <v>Dann rennen zwei kleine Jungen vor der Tür, während der Mann, der an der Tür steht, müde und erbärmlich aussieht.</v>
      </c>
    </row>
    <row r="6484">
      <c r="A6484" s="4" t="s">
        <v>8147</v>
      </c>
      <c r="B6484" s="4" t="s">
        <v>8148</v>
      </c>
      <c r="C6484" s="5" t="str">
        <f>IFERROR(__xludf.DUMMYFUNCTION("GOOGLETRANSLATE(B6484,""en"",""de"")"),"Eine große Gruppe von Menschen steht in einem großen Feldinstrumente.")</f>
        <v>Eine große Gruppe von Menschen steht in einem großen Feldinstrumente.</v>
      </c>
    </row>
    <row r="6485">
      <c r="A6485" s="4" t="s">
        <v>8147</v>
      </c>
      <c r="B6485" s="4" t="s">
        <v>8149</v>
      </c>
      <c r="C6485" s="5" t="str">
        <f>IFERROR(__xludf.DUMMYFUNCTION("GOOGLETRANSLATE(B6485,""en"",""de"")"),"Ein Mann führt vorne, als die Gruppe weggeht und als Band spielt.")</f>
        <v>Ein Mann führt vorne, als die Gruppe weggeht und als Band spielt.</v>
      </c>
    </row>
    <row r="6486">
      <c r="A6486" s="4" t="s">
        <v>8147</v>
      </c>
      <c r="B6486" s="4" t="s">
        <v>8150</v>
      </c>
      <c r="C6486" s="5" t="str">
        <f>IFERROR(__xludf.DUMMYFUNCTION("GOOGLETRANSLATE(B6486,""en"",""de"")"),"Die Gruppe spielt weiter zusammen und endet, indem sie weggeht.")</f>
        <v>Die Gruppe spielt weiter zusammen und endet, indem sie weggeht.</v>
      </c>
    </row>
    <row r="6487">
      <c r="A6487" s="4" t="s">
        <v>8151</v>
      </c>
      <c r="B6487" s="4" t="s">
        <v>8152</v>
      </c>
      <c r="C6487" s="5" t="str">
        <f>IFERROR(__xludf.DUMMYFUNCTION("GOOGLETRANSLATE(B6487,""en"",""de"")"),"Ein junger Mann mit einem Rucksack spricht und geht durch eine Station.")</f>
        <v>Ein junger Mann mit einem Rucksack spricht und geht durch eine Station.</v>
      </c>
    </row>
    <row r="6488">
      <c r="A6488" s="4" t="s">
        <v>8151</v>
      </c>
      <c r="B6488" s="4" t="s">
        <v>8153</v>
      </c>
      <c r="C6488" s="5" t="str">
        <f>IFERROR(__xludf.DUMMYFUNCTION("GOOGLETRANSLATE(B6488,""en"",""de"")"),"Auf dem Boden sitzt ein Mann, der einen Schuh leuchtet.")</f>
        <v>Auf dem Boden sitzt ein Mann, der einen Schuh leuchtet.</v>
      </c>
    </row>
    <row r="6489">
      <c r="A6489" s="4" t="s">
        <v>8151</v>
      </c>
      <c r="B6489" s="4" t="s">
        <v>8154</v>
      </c>
      <c r="C6489" s="5" t="str">
        <f>IFERROR(__xludf.DUMMYFUNCTION("GOOGLETRANSLATE(B6489,""en"",""de"")"),"Er wendet Salbe auf den Schuh an und setzt den Schuh wieder auf.")</f>
        <v>Er wendet Salbe auf den Schuh an und setzt den Schuh wieder auf.</v>
      </c>
    </row>
    <row r="6490">
      <c r="A6490" s="4" t="s">
        <v>8151</v>
      </c>
      <c r="B6490" s="4" t="s">
        <v>8155</v>
      </c>
      <c r="C6490" s="5" t="str">
        <f>IFERROR(__xludf.DUMMYFUNCTION("GOOGLETRANSLATE(B6490,""en"",""de"")"),"Der Kunde bewegt seinen rechten Fuß nach unten und legt seinen linken Fuß auf den Ständer und der Mann beginnt den Schuh zu polieren.")</f>
        <v>Der Kunde bewegt seinen rechten Fuß nach unten und legt seinen linken Fuß auf den Ständer und der Mann beginnt den Schuh zu polieren.</v>
      </c>
    </row>
    <row r="6491">
      <c r="A6491" s="4" t="s">
        <v>8151</v>
      </c>
      <c r="B6491" s="4" t="s">
        <v>8156</v>
      </c>
      <c r="C6491" s="5" t="str">
        <f>IFERROR(__xludf.DUMMYFUNCTION("GOOGLETRANSLATE(B6491,""en"",""de"")"),"Zwei Männer auf beiden Seiten des Schuhsemarns beobachten die Menge.")</f>
        <v>Zwei Männer auf beiden Seiten des Schuhsemarns beobachten die Menge.</v>
      </c>
    </row>
    <row r="6492">
      <c r="A6492" s="4" t="s">
        <v>8151</v>
      </c>
      <c r="B6492" s="4" t="s">
        <v>8157</v>
      </c>
      <c r="C6492" s="5" t="str">
        <f>IFERROR(__xludf.DUMMYFUNCTION("GOOGLETRANSLATE(B6492,""en"",""de"")"),"Der Shiner büschelt weiterhin den linken Schuh.")</f>
        <v>Der Shiner büschelt weiterhin den linken Schuh.</v>
      </c>
    </row>
    <row r="6493">
      <c r="A6493" s="4" t="s">
        <v>8151</v>
      </c>
      <c r="B6493" s="4" t="s">
        <v>8158</v>
      </c>
      <c r="C6493" s="5" t="str">
        <f>IFERROR(__xludf.DUMMYFUNCTION("GOOGLETRANSLATE(B6493,""en"",""de"")"),"Der Zug bewegt sich am Bahnhof entlang, während eine Menge vorbeikommt.")</f>
        <v>Der Zug bewegt sich am Bahnhof entlang, während eine Menge vorbeikommt.</v>
      </c>
    </row>
    <row r="6494">
      <c r="A6494" s="4" t="s">
        <v>8151</v>
      </c>
      <c r="B6494" s="4" t="s">
        <v>8159</v>
      </c>
      <c r="C6494" s="5" t="str">
        <f>IFERROR(__xludf.DUMMYFUNCTION("GOOGLETRANSLATE(B6494,""en"",""de"")"),"Der Shiner kehrt zurück, um den rechten Schuh zu polieren.")</f>
        <v>Der Shiner kehrt zurück, um den rechten Schuh zu polieren.</v>
      </c>
    </row>
    <row r="6495">
      <c r="A6495" s="4" t="s">
        <v>8151</v>
      </c>
      <c r="B6495" s="4" t="s">
        <v>8160</v>
      </c>
      <c r="C6495" s="5" t="str">
        <f>IFERROR(__xludf.DUMMYFUNCTION("GOOGLETRANSLATE(B6495,""en"",""de"")"),"Der Shiner wischt den Schuh mit einem Tuch ab.")</f>
        <v>Der Shiner wischt den Schuh mit einem Tuch ab.</v>
      </c>
    </row>
    <row r="6496">
      <c r="A6496" s="4" t="s">
        <v>8151</v>
      </c>
      <c r="B6496" s="4" t="s">
        <v>8161</v>
      </c>
      <c r="C6496" s="5" t="str">
        <f>IFERROR(__xludf.DUMMYFUNCTION("GOOGLETRANSLATE(B6496,""en"",""de"")"),"Der Mann nimmt wieder auf, den linken Schuh zu polieren.")</f>
        <v>Der Mann nimmt wieder auf, den linken Schuh zu polieren.</v>
      </c>
    </row>
    <row r="6497">
      <c r="A6497" s="4" t="s">
        <v>8151</v>
      </c>
      <c r="B6497" s="4" t="s">
        <v>8162</v>
      </c>
      <c r="C6497" s="5" t="str">
        <f>IFERROR(__xludf.DUMMYFUNCTION("GOOGLETRANSLATE(B6497,""en"",""de"")"),"Der Mann lässt seinen Block fallen und fördert das Puffing.")</f>
        <v>Der Mann lässt seinen Block fallen und fördert das Puffing.</v>
      </c>
    </row>
    <row r="6498">
      <c r="A6498" s="4" t="s">
        <v>8151</v>
      </c>
      <c r="B6498" s="4" t="s">
        <v>8163</v>
      </c>
      <c r="C6498" s="5" t="str">
        <f>IFERROR(__xludf.DUMMYFUNCTION("GOOGLETRANSLATE(B6498,""en"",""de"")"),"Der Mann nimmt das Tuch, um den linken Schuh zu leuchten.")</f>
        <v>Der Mann nimmt das Tuch, um den linken Schuh zu leuchten.</v>
      </c>
    </row>
    <row r="6499">
      <c r="A6499" s="4" t="s">
        <v>8151</v>
      </c>
      <c r="B6499" s="4" t="s">
        <v>8164</v>
      </c>
      <c r="C6499" s="5" t="str">
        <f>IFERROR(__xludf.DUMMYFUNCTION("GOOGLETRANSLATE(B6499,""en"",""de"")"),"Der Kunde beobachtet seine glänzenden Schuhe.")</f>
        <v>Der Kunde beobachtet seine glänzenden Schuhe.</v>
      </c>
    </row>
    <row r="6500">
      <c r="A6500" s="4" t="s">
        <v>8151</v>
      </c>
      <c r="B6500" s="4" t="s">
        <v>8165</v>
      </c>
      <c r="C6500" s="5" t="str">
        <f>IFERROR(__xludf.DUMMYFUNCTION("GOOGLETRANSLATE(B6500,""en"",""de"")"),"Der Kunde tritt vom Schuh -Shiner weg.")</f>
        <v>Der Kunde tritt vom Schuh -Shiner weg.</v>
      </c>
    </row>
    <row r="6501">
      <c r="A6501" s="4" t="s">
        <v>8166</v>
      </c>
      <c r="B6501" s="4" t="s">
        <v>8167</v>
      </c>
      <c r="C6501" s="5" t="str">
        <f>IFERROR(__xludf.DUMMYFUNCTION("GOOGLETRANSLATE(B6501,""en"",""de"")"),"Ein Mann trägt ein Riffgebläse und bläst rund um ein Trampolin.")</f>
        <v>Ein Mann trägt ein Riffgebläse und bläst rund um ein Trampolin.</v>
      </c>
    </row>
    <row r="6502">
      <c r="A6502" s="4" t="s">
        <v>8166</v>
      </c>
      <c r="B6502" s="4" t="s">
        <v>8168</v>
      </c>
      <c r="C6502" s="5" t="str">
        <f>IFERROR(__xludf.DUMMYFUNCTION("GOOGLETRANSLATE(B6502,""en"",""de"")"),"Kinder sind gesehen, wie sie auf das Trampolin springen, während der Mann um sie herum bläst.")</f>
        <v>Kinder sind gesehen, wie sie auf das Trampolin springen, während der Mann um sie herum bläst.</v>
      </c>
    </row>
    <row r="6503">
      <c r="A6503" s="4" t="s">
        <v>8166</v>
      </c>
      <c r="B6503" s="4" t="s">
        <v>8169</v>
      </c>
      <c r="C6503" s="5" t="str">
        <f>IFERROR(__xludf.DUMMYFUNCTION("GOOGLETRANSLATE(B6503,""en"",""de"")"),"Der Mann bläst weiter, als die Kinder herumspringen.")</f>
        <v>Der Mann bläst weiter, als die Kinder herumspringen.</v>
      </c>
    </row>
    <row r="6504">
      <c r="A6504" s="4" t="s">
        <v>8170</v>
      </c>
      <c r="B6504" s="4" t="s">
        <v>8171</v>
      </c>
      <c r="C6504" s="5" t="str">
        <f>IFERROR(__xludf.DUMMYFUNCTION("GOOGLETRANSLATE(B6504,""en"",""de"")"),"Ein Lacrosse -Team drängt und übt dann.")</f>
        <v>Ein Lacrosse -Team drängt und übt dann.</v>
      </c>
    </row>
    <row r="6505">
      <c r="A6505" s="4" t="s">
        <v>8170</v>
      </c>
      <c r="B6505" s="4" t="s">
        <v>8172</v>
      </c>
      <c r="C6505" s="5" t="str">
        <f>IFERROR(__xludf.DUMMYFUNCTION("GOOGLETRANSLATE(B6505,""en"",""de"")"),"Ein Baby wird gezeigt und dann werden Leute interviewt.")</f>
        <v>Ein Baby wird gezeigt und dann werden Leute interviewt.</v>
      </c>
    </row>
    <row r="6506">
      <c r="A6506" s="4" t="s">
        <v>8170</v>
      </c>
      <c r="B6506" s="4" t="s">
        <v>8173</v>
      </c>
      <c r="C6506" s="5" t="str">
        <f>IFERROR(__xludf.DUMMYFUNCTION("GOOGLETRANSLATE(B6506,""en"",""de"")"),"Es wird ein Helm gezeigt und weitere Interviews werden durchgeführt.")</f>
        <v>Es wird ein Helm gezeigt und weitere Interviews werden durchgeführt.</v>
      </c>
    </row>
    <row r="6507">
      <c r="A6507" s="4" t="s">
        <v>8174</v>
      </c>
      <c r="B6507" s="4" t="s">
        <v>8175</v>
      </c>
      <c r="C6507" s="5" t="str">
        <f>IFERROR(__xludf.DUMMYFUNCTION("GOOGLETRANSLATE(B6507,""en"",""de"")"),"Ein asiatischer Mann steht an der Tastatur, er trägt ein rotes Hemd mit schwarzem Oberteil im Inneren.")</f>
        <v>Ein asiatischer Mann steht an der Tastatur, er trägt ein rotes Hemd mit schwarzem Oberteil im Inneren.</v>
      </c>
    </row>
    <row r="6508">
      <c r="A6508" s="4" t="s">
        <v>8174</v>
      </c>
      <c r="B6508" s="4" t="s">
        <v>8176</v>
      </c>
      <c r="C6508" s="5" t="str">
        <f>IFERROR(__xludf.DUMMYFUNCTION("GOOGLETRANSLATE(B6508,""en"",""de"")"),"Zwei Leute, ein Mädchen und ein Junge sitzen, das Mädchen trägt ein weißes Oberteil, während der Junge einen weißen Streifenpullover trägt.")</f>
        <v>Zwei Leute, ein Mädchen und ein Junge sitzen, das Mädchen trägt ein weißes Oberteil, während der Junge einen weißen Streifenpullover trägt.</v>
      </c>
    </row>
    <row r="6509">
      <c r="A6509" s="4" t="s">
        <v>8174</v>
      </c>
      <c r="B6509" s="4" t="s">
        <v>8177</v>
      </c>
      <c r="C6509" s="5" t="str">
        <f>IFERROR(__xludf.DUMMYFUNCTION("GOOGLETRANSLATE(B6509,""en"",""de"")"),"Der Mann begann auf der Tastatur zu spielen, er hat seine Hände gezeigt, er trägt ein schwarzes Perlenarmband, dann spielt er weiter, während die beiden Leute in Weiß zuhören.")</f>
        <v>Der Mann begann auf der Tastatur zu spielen, er hat seine Hände gezeigt, er trägt ein schwarzes Perlenarmband, dann spielt er weiter, während die beiden Leute in Weiß zuhören.</v>
      </c>
    </row>
    <row r="6510">
      <c r="A6510" s="4" t="s">
        <v>8174</v>
      </c>
      <c r="B6510" s="4" t="s">
        <v>8178</v>
      </c>
      <c r="C6510" s="5" t="str">
        <f>IFERROR(__xludf.DUMMYFUNCTION("GOOGLETRANSLATE(B6510,""en"",""de"")"),"Als der Mann fertig war, seine Tastatur zu spielen, jubelten die Leute für ihn.")</f>
        <v>Als der Mann fertig war, seine Tastatur zu spielen, jubelten die Leute für ihn.</v>
      </c>
    </row>
    <row r="6511">
      <c r="A6511" s="4" t="s">
        <v>8179</v>
      </c>
      <c r="B6511" s="4" t="s">
        <v>8180</v>
      </c>
      <c r="C6511" s="5" t="str">
        <f>IFERROR(__xludf.DUMMYFUNCTION("GOOGLETRANSLATE(B6511,""en"",""de"")"),"Eine Kamera schwenkt um einen großen Gewässer, gefolgt von Menschen, die im Wasser schwimmen.")</f>
        <v>Eine Kamera schwenkt um einen großen Gewässer, gefolgt von Menschen, die im Wasser schwimmen.</v>
      </c>
    </row>
    <row r="6512">
      <c r="A6512" s="4" t="s">
        <v>8179</v>
      </c>
      <c r="B6512" s="4" t="s">
        <v>8181</v>
      </c>
      <c r="C6512" s="5" t="str">
        <f>IFERROR(__xludf.DUMMYFUNCTION("GOOGLETRANSLATE(B6512,""en"",""de"")"),"Clips werden von Menschen gezeigt, die surfen und im Wasser schwimmen und zur Kamera lächeln.")</f>
        <v>Clips werden von Menschen gezeigt, die surfen und im Wasser schwimmen und zur Kamera lächeln.</v>
      </c>
    </row>
    <row r="6513">
      <c r="A6513" s="4" t="s">
        <v>8179</v>
      </c>
      <c r="B6513" s="4" t="s">
        <v>8182</v>
      </c>
      <c r="C6513" s="5" t="str">
        <f>IFERROR(__xludf.DUMMYFUNCTION("GOOGLETRANSLATE(B6513,""en"",""de"")"),"Weitere Clips werden von Menschen gezeigt, die sich nahe dem Wasser bewegen.")</f>
        <v>Weitere Clips werden von Menschen gezeigt, die sich nahe dem Wasser bewegen.</v>
      </c>
    </row>
    <row r="6514">
      <c r="A6514" s="4" t="s">
        <v>8183</v>
      </c>
      <c r="B6514" s="4" t="s">
        <v>8184</v>
      </c>
      <c r="C6514" s="5" t="str">
        <f>IFERROR(__xludf.DUMMYFUNCTION("GOOGLETRANSLATE(B6514,""en"",""de"")"),"Ein Kind boxt ein behandschuhtes Erwachsener auf dem Boden.")</f>
        <v>Ein Kind boxt ein behandschuhtes Erwachsener auf dem Boden.</v>
      </c>
    </row>
    <row r="6515">
      <c r="A6515" s="4" t="s">
        <v>8183</v>
      </c>
      <c r="B6515" s="4" t="s">
        <v>8185</v>
      </c>
      <c r="C6515" s="5" t="str">
        <f>IFERROR(__xludf.DUMMYFUNCTION("GOOGLETRANSLATE(B6515,""en"",""de"")"),"Das Kind übt auch Karate -Tritte.")</f>
        <v>Das Kind übt auch Karate -Tritte.</v>
      </c>
    </row>
    <row r="6516">
      <c r="A6516" s="4" t="s">
        <v>8183</v>
      </c>
      <c r="B6516" s="4" t="s">
        <v>8186</v>
      </c>
      <c r="C6516" s="5" t="str">
        <f>IFERROR(__xludf.DUMMYFUNCTION("GOOGLETRANSLATE(B6516,""en"",""de"")"),"Der Erwachsene und das Kind hoch fünf mit behandschuhten Händen.")</f>
        <v>Der Erwachsene und das Kind hoch fünf mit behandschuhten Händen.</v>
      </c>
    </row>
    <row r="6517">
      <c r="A6517" s="4" t="s">
        <v>8183</v>
      </c>
      <c r="B6517" s="4" t="s">
        <v>8187</v>
      </c>
      <c r="C6517" s="5" t="str">
        <f>IFERROR(__xludf.DUMMYFUNCTION("GOOGLETRANSLATE(B6517,""en"",""de"")"),"Der Erwachsene steigt vom Boden aus.")</f>
        <v>Der Erwachsene steigt vom Boden aus.</v>
      </c>
    </row>
    <row r="6518">
      <c r="A6518" s="4" t="s">
        <v>8188</v>
      </c>
      <c r="B6518" s="4" t="s">
        <v>8189</v>
      </c>
      <c r="C6518" s="5" t="str">
        <f>IFERROR(__xludf.DUMMYFUNCTION("GOOGLETRANSLATE(B6518,""en"",""de"")"),"Ein Kind spielt mit einem Vakuumbefestigungsstück in einem Schlafzimmer.")</f>
        <v>Ein Kind spielt mit einem Vakuumbefestigungsstück in einem Schlafzimmer.</v>
      </c>
    </row>
    <row r="6519">
      <c r="A6519" s="4" t="s">
        <v>8188</v>
      </c>
      <c r="B6519" s="4" t="s">
        <v>8190</v>
      </c>
      <c r="C6519" s="5" t="str">
        <f>IFERROR(__xludf.DUMMYFUNCTION("GOOGLETRANSLATE(B6519,""en"",""de"")"),"Die Mutter sehnt den Boden des Schlafzimmers.")</f>
        <v>Die Mutter sehnt den Boden des Schlafzimmers.</v>
      </c>
    </row>
    <row r="6520">
      <c r="A6520" s="4" t="s">
        <v>8188</v>
      </c>
      <c r="B6520" s="4" t="s">
        <v>8191</v>
      </c>
      <c r="C6520" s="5" t="str">
        <f>IFERROR(__xludf.DUMMYFUNCTION("GOOGLETRANSLATE(B6520,""en"",""de"")"),"Das Kind bringt den Vakuumaufsatz in das nächste Schlafzimmer.")</f>
        <v>Das Kind bringt den Vakuumaufsatz in das nächste Schlafzimmer.</v>
      </c>
    </row>
    <row r="6521">
      <c r="A6521" s="4" t="s">
        <v>8192</v>
      </c>
      <c r="B6521" s="4" t="s">
        <v>8193</v>
      </c>
      <c r="C6521" s="5" t="str">
        <f>IFERROR(__xludf.DUMMYFUNCTION("GOOGLETRANSLATE(B6521,""en"",""de"")"),"Die Leute sind Rollerblading und machen Tricks.")</f>
        <v>Die Leute sind Rollerblading und machen Tricks.</v>
      </c>
    </row>
    <row r="6522">
      <c r="A6522" s="4" t="s">
        <v>8192</v>
      </c>
      <c r="B6522" s="4" t="s">
        <v>8194</v>
      </c>
      <c r="C6522" s="5" t="str">
        <f>IFERROR(__xludf.DUMMYFUNCTION("GOOGLETRANSLATE(B6522,""en"",""de"")"),"Eine Person skateboarden in einem Skatepark.")</f>
        <v>Eine Person skateboarden in einem Skatepark.</v>
      </c>
    </row>
    <row r="6523">
      <c r="A6523" s="4" t="s">
        <v>8192</v>
      </c>
      <c r="B6523" s="4" t="s">
        <v>8195</v>
      </c>
      <c r="C6523" s="5" t="str">
        <f>IFERROR(__xludf.DUMMYFUNCTION("GOOGLETRANSLATE(B6523,""en"",""de"")"),"Ein weißes Auto ist auf der Straße.")</f>
        <v>Ein weißes Auto ist auf der Straße.</v>
      </c>
    </row>
    <row r="6524">
      <c r="A6524" s="4" t="s">
        <v>8196</v>
      </c>
      <c r="B6524" s="4" t="s">
        <v>8197</v>
      </c>
      <c r="C6524" s="5" t="str">
        <f>IFERROR(__xludf.DUMMYFUNCTION("GOOGLETRANSLATE(B6524,""en"",""de"")"),"Draußen auf dem Spielplatz ist ein Junge auf die Spitze des Schaukelsets geklettert, während andere Kinder schwingen.")</f>
        <v>Draußen auf dem Spielplatz ist ein Junge auf die Spitze des Schaukelsets geklettert, während andere Kinder schwingen.</v>
      </c>
    </row>
    <row r="6525">
      <c r="A6525" s="4" t="s">
        <v>8196</v>
      </c>
      <c r="B6525" s="4" t="s">
        <v>8198</v>
      </c>
      <c r="C6525" s="5" t="str">
        <f>IFERROR(__xludf.DUMMYFUNCTION("GOOGLETRANSLATE(B6525,""en"",""de"")"),"Der Junge an der Spitze sitzt nur beiläufig, während ein anderes Kind von einem Freund auf der Schaukel geschoben wird.")</f>
        <v>Der Junge an der Spitze sitzt nur beiläufig, während ein anderes Kind von einem Freund auf der Schaukel geschoben wird.</v>
      </c>
    </row>
    <row r="6526">
      <c r="A6526" s="4" t="s">
        <v>8196</v>
      </c>
      <c r="B6526" s="4" t="s">
        <v>8199</v>
      </c>
      <c r="C6526" s="5" t="str">
        <f>IFERROR(__xludf.DUMMYFUNCTION("GOOGLETRANSLATE(B6526,""en"",""de"")"),"Sie baut viel Geschwindigkeit auf und verläuft sehr hoch.")</f>
        <v>Sie baut viel Geschwindigkeit auf und verläuft sehr hoch.</v>
      </c>
    </row>
    <row r="6527">
      <c r="A6527" s="4" t="s">
        <v>8196</v>
      </c>
      <c r="B6527" s="4" t="s">
        <v>8200</v>
      </c>
      <c r="C6527" s="5" t="str">
        <f>IFERROR(__xludf.DUMMYFUNCTION("GOOGLETRANSLATE(B6527,""en"",""de"")"),"Sie springt ab, landet aber überhaupt nicht sehr gut, sie stürzte ins Gras.")</f>
        <v>Sie springt ab, landet aber überhaupt nicht sehr gut, sie stürzte ins Gras.</v>
      </c>
    </row>
    <row r="6528">
      <c r="A6528" s="4" t="s">
        <v>8201</v>
      </c>
      <c r="B6528" s="4" t="s">
        <v>8202</v>
      </c>
      <c r="C6528" s="5" t="str">
        <f>IFERROR(__xludf.DUMMYFUNCTION("GOOGLETRANSLATE(B6528,""en"",""de"")"),"Ein Mann steht auf einem Feld.")</f>
        <v>Ein Mann steht auf einem Feld.</v>
      </c>
    </row>
    <row r="6529">
      <c r="A6529" s="4" t="s">
        <v>8201</v>
      </c>
      <c r="B6529" s="4" t="s">
        <v>8203</v>
      </c>
      <c r="C6529" s="5" t="str">
        <f>IFERROR(__xludf.DUMMYFUNCTION("GOOGLETRANSLATE(B6529,""en"",""de"")"),"Die Menge im Stadion jubelt weiter.")</f>
        <v>Die Menge im Stadion jubelt weiter.</v>
      </c>
    </row>
    <row r="6530">
      <c r="A6530" s="4" t="s">
        <v>8201</v>
      </c>
      <c r="B6530" s="4" t="s">
        <v>8204</v>
      </c>
      <c r="C6530" s="5" t="str">
        <f>IFERROR(__xludf.DUMMYFUNCTION("GOOGLETRANSLATE(B6530,""en"",""de"")"),"Spieler auf dem Feld bereiten sich darauf vor, ein Spiel zu starten.")</f>
        <v>Spieler auf dem Feld bereiten sich darauf vor, ein Spiel zu starten.</v>
      </c>
    </row>
    <row r="6531">
      <c r="A6531" s="4" t="s">
        <v>8201</v>
      </c>
      <c r="B6531" s="4" t="s">
        <v>8205</v>
      </c>
      <c r="C6531" s="5" t="str">
        <f>IFERROR(__xludf.DUMMYFUNCTION("GOOGLETRANSLATE(B6531,""en"",""de"")"),"Der Pitcher stellt den Ball auf.")</f>
        <v>Der Pitcher stellt den Ball auf.</v>
      </c>
    </row>
    <row r="6532">
      <c r="A6532" s="4" t="s">
        <v>8201</v>
      </c>
      <c r="B6532" s="4" t="s">
        <v>8206</v>
      </c>
      <c r="C6532" s="5" t="str">
        <f>IFERROR(__xludf.DUMMYFUNCTION("GOOGLETRANSLATE(B6532,""en"",""de"")"),"Der Teig versucht den Ball zu schlagen, verfehlt aber.")</f>
        <v>Der Teig versucht den Ball zu schlagen, verfehlt aber.</v>
      </c>
    </row>
    <row r="6533">
      <c r="A6533" s="4" t="s">
        <v>8201</v>
      </c>
      <c r="B6533" s="4" t="s">
        <v>8207</v>
      </c>
      <c r="C6533" s="5" t="str">
        <f>IFERROR(__xludf.DUMMYFUNCTION("GOOGLETRANSLATE(B6533,""en"",""de"")"),"Das Pitchers -Team verlässt aufgeregt das Feld.")</f>
        <v>Das Pitchers -Team verlässt aufgeregt das Feld.</v>
      </c>
    </row>
    <row r="6534">
      <c r="A6534" s="4" t="s">
        <v>8208</v>
      </c>
      <c r="B6534" s="4" t="s">
        <v>8209</v>
      </c>
      <c r="C6534" s="5" t="str">
        <f>IFERROR(__xludf.DUMMYFUNCTION("GOOGLETRANSLATE(B6534,""en"",""de"")"),"Es ist ein braunes Pferd in einem Stall gebunden.")</f>
        <v>Es ist ein braunes Pferd in einem Stall gebunden.</v>
      </c>
    </row>
    <row r="6535">
      <c r="A6535" s="4" t="s">
        <v>8208</v>
      </c>
      <c r="B6535" s="4" t="s">
        <v>8210</v>
      </c>
      <c r="C6535" s="5" t="str">
        <f>IFERROR(__xludf.DUMMYFUNCTION("GOOGLETRANSLATE(B6535,""en"",""de"")"),"Eine Frau in einem grünen Hemd und braunen Stiefeln kommt herein und beginnt das Pferd zu schrubben.")</f>
        <v>Eine Frau in einem grünen Hemd und braunen Stiefeln kommt herein und beginnt das Pferd zu schrubben.</v>
      </c>
    </row>
    <row r="6536">
      <c r="A6536" s="4" t="s">
        <v>8208</v>
      </c>
      <c r="B6536" s="4" t="s">
        <v>8211</v>
      </c>
      <c r="C6536" s="5" t="str">
        <f>IFERROR(__xludf.DUMMYFUNCTION("GOOGLETRANSLATE(B6536,""en"",""de"")"),"Sie schrubbt und putzt das Pferd auf dem Bauch.")</f>
        <v>Sie schrubbt und putzt das Pferd auf dem Bauch.</v>
      </c>
    </row>
    <row r="6537">
      <c r="A6537" s="4" t="s">
        <v>8208</v>
      </c>
      <c r="B6537" s="4" t="s">
        <v>8212</v>
      </c>
      <c r="C6537" s="5" t="str">
        <f>IFERROR(__xludf.DUMMYFUNCTION("GOOGLETRANSLATE(B6537,""en"",""de"")"),"Sie schrubbt gründlich den Halsbereich und den Rückenbereich des Pferdes.")</f>
        <v>Sie schrubbt gründlich den Halsbereich und den Rückenbereich des Pferdes.</v>
      </c>
    </row>
    <row r="6538">
      <c r="A6538" s="4" t="s">
        <v>8208</v>
      </c>
      <c r="B6538" s="4" t="s">
        <v>8213</v>
      </c>
      <c r="C6538" s="5" t="str">
        <f>IFERROR(__xludf.DUMMYFUNCTION("GOOGLETRANSLATE(B6538,""en"",""de"")"),"Sie geht dann zur anderen Seite des Pferdes und schrubbt weiter.")</f>
        <v>Sie geht dann zur anderen Seite des Pferdes und schrubbt weiter.</v>
      </c>
    </row>
    <row r="6539">
      <c r="A6539" s="4" t="s">
        <v>8208</v>
      </c>
      <c r="B6539" s="4" t="s">
        <v>8214</v>
      </c>
      <c r="C6539" s="5" t="str">
        <f>IFERROR(__xludf.DUMMYFUNCTION("GOOGLETRANSLATE(B6539,""en"",""de"")"),"Das Pferd bewegt seinen Hals und den Kopf, als sie weiter schrubbt.")</f>
        <v>Das Pferd bewegt seinen Hals und den Kopf, als sie weiter schrubbt.</v>
      </c>
    </row>
    <row r="6540">
      <c r="A6540" s="4" t="s">
        <v>8208</v>
      </c>
      <c r="B6540" s="4" t="s">
        <v>8215</v>
      </c>
      <c r="C6540" s="5" t="str">
        <f>IFERROR(__xludf.DUMMYFUNCTION("GOOGLETRANSLATE(B6540,""en"",""de"")"),"Dann geht sie vor das Pferd und reinigt seinen Mund.")</f>
        <v>Dann geht sie vor das Pferd und reinigt seinen Mund.</v>
      </c>
    </row>
    <row r="6541">
      <c r="A6541" s="4" t="s">
        <v>8216</v>
      </c>
      <c r="B6541" s="4" t="s">
        <v>8217</v>
      </c>
      <c r="C6541" s="5" t="str">
        <f>IFERROR(__xludf.DUMMYFUNCTION("GOOGLETRANSLATE(B6541,""en"",""de"")"),"Drei Mädchen fahren stationäre Fahrräder.")</f>
        <v>Drei Mädchen fahren stationäre Fahrräder.</v>
      </c>
    </row>
    <row r="6542">
      <c r="A6542" s="4" t="s">
        <v>8216</v>
      </c>
      <c r="B6542" s="4" t="s">
        <v>8218</v>
      </c>
      <c r="C6542" s="5" t="str">
        <f>IFERROR(__xludf.DUMMYFUNCTION("GOOGLETRANSLATE(B6542,""en"",""de"")"),"Ein Mann steht vor ihnen und hält eine Kamera.")</f>
        <v>Ein Mann steht vor ihnen und hält eine Kamera.</v>
      </c>
    </row>
    <row r="6543">
      <c r="A6543" s="4" t="s">
        <v>8216</v>
      </c>
      <c r="B6543" s="4" t="s">
        <v>8219</v>
      </c>
      <c r="C6543" s="5" t="str">
        <f>IFERROR(__xludf.DUMMYFUNCTION("GOOGLETRANSLATE(B6543,""en"",""de"")"),"Ein anderer Mann geht vor ihnen.")</f>
        <v>Ein anderer Mann geht vor ihnen.</v>
      </c>
    </row>
    <row r="6544">
      <c r="A6544" s="4" t="s">
        <v>8220</v>
      </c>
      <c r="B6544" s="4" t="s">
        <v>8221</v>
      </c>
      <c r="C6544" s="5" t="str">
        <f>IFERROR(__xludf.DUMMYFUNCTION("GOOGLETRANSLATE(B6544,""en"",""de"")"),"Eine Unterwasseransicht wird gezeigt, als eine Frau, die wie eine Meerjungfrau gekleidet ist, schwimmt.")</f>
        <v>Eine Unterwasseransicht wird gezeigt, als eine Frau, die wie eine Meerjungfrau gekleidet ist, schwimmt.</v>
      </c>
    </row>
    <row r="6545">
      <c r="A6545" s="4" t="s">
        <v>8220</v>
      </c>
      <c r="B6545" s="4" t="s">
        <v>8222</v>
      </c>
      <c r="C6545" s="5" t="str">
        <f>IFERROR(__xludf.DUMMYFUNCTION("GOOGLETRANSLATE(B6545,""en"",""de"")"),"Eine große Krankenschwester Wal schwimmt neben ihr.")</f>
        <v>Eine große Krankenschwester Wal schwimmt neben ihr.</v>
      </c>
    </row>
    <row r="6546">
      <c r="A6546" s="4" t="s">
        <v>8220</v>
      </c>
      <c r="B6546" s="4" t="s">
        <v>8223</v>
      </c>
      <c r="C6546" s="5" t="str">
        <f>IFERROR(__xludf.DUMMYFUNCTION("GOOGLETRANSLATE(B6546,""en"",""de"")"),"Es werden mehrere Bilder der schwimmenden Meerjungfrau gezeigt.")</f>
        <v>Es werden mehrere Bilder der schwimmenden Meerjungfrau gezeigt.</v>
      </c>
    </row>
    <row r="6547">
      <c r="A6547" s="4" t="s">
        <v>8224</v>
      </c>
      <c r="B6547" s="4" t="s">
        <v>8225</v>
      </c>
      <c r="C6547" s="5" t="str">
        <f>IFERROR(__xludf.DUMMYFUNCTION("GOOGLETRANSLATE(B6547,""en"",""de"")"),"Ein Bild eines Wäschers wird angezeigt, gefolgt von einem Mann, der das Element auf einem Fenstersatz verwendet.")</f>
        <v>Ein Bild eines Wäschers wird angezeigt, gefolgt von einem Mann, der das Element auf einem Fenstersatz verwendet.</v>
      </c>
    </row>
    <row r="6548">
      <c r="A6548" s="4" t="s">
        <v>8224</v>
      </c>
      <c r="B6548" s="4" t="s">
        <v>8226</v>
      </c>
      <c r="C6548" s="5" t="str">
        <f>IFERROR(__xludf.DUMMYFUNCTION("GOOGLETRANSLATE(B6548,""en"",""de"")"),"Dann wischt er das Glas mit einem weiteren Lappen ab und zeigt auf das Fenster und schließt es, während Credits rollen.")</f>
        <v>Dann wischt er das Glas mit einem weiteren Lappen ab und zeigt auf das Fenster und schließt es, während Credits rollen.</v>
      </c>
    </row>
    <row r="6549">
      <c r="A6549" s="4" t="s">
        <v>8227</v>
      </c>
      <c r="B6549" s="4" t="s">
        <v>8228</v>
      </c>
      <c r="C6549" s="5" t="str">
        <f>IFERROR(__xludf.DUMMYFUNCTION("GOOGLETRANSLATE(B6549,""en"",""de"")"),"Die Menschen versammeln sich in einer Innenausstellung.")</f>
        <v>Die Menschen versammeln sich in einer Innenausstellung.</v>
      </c>
    </row>
    <row r="6550">
      <c r="A6550" s="4" t="s">
        <v>8227</v>
      </c>
      <c r="B6550" s="4" t="s">
        <v>8229</v>
      </c>
      <c r="C6550" s="5" t="str">
        <f>IFERROR(__xludf.DUMMYFUNCTION("GOOGLETRANSLATE(B6550,""en"",""de"")"),"Ein Mann und ein Roboter spielen in der Ausstellung Ping -Pong.")</f>
        <v>Ein Mann und ein Roboter spielen in der Ausstellung Ping -Pong.</v>
      </c>
    </row>
    <row r="6551">
      <c r="A6551" s="4" t="s">
        <v>8227</v>
      </c>
      <c r="B6551" s="4" t="s">
        <v>8230</v>
      </c>
      <c r="C6551" s="5" t="str">
        <f>IFERROR(__xludf.DUMMYFUNCTION("GOOGLETRANSLATE(B6551,""en"",""de"")"),"Die Menschen tragen Lanyards und schauen in den Exponaten herum, während ein Mann eine Person erklärt, die zwei Scheiben hält.")</f>
        <v>Die Menschen tragen Lanyards und schauen in den Exponaten herum, während ein Mann eine Person erklärt, die zwei Scheiben hält.</v>
      </c>
    </row>
    <row r="6552">
      <c r="A6552" s="4" t="s">
        <v>8227</v>
      </c>
      <c r="B6552" s="4" t="s">
        <v>8231</v>
      </c>
      <c r="C6552" s="5" t="str">
        <f>IFERROR(__xludf.DUMMYFUNCTION("GOOGLETRANSLATE(B6552,""en"",""de"")"),"Andere Menschen sitzen in einem Essbereich, während sie lesen und eine SMS schreiben.")</f>
        <v>Andere Menschen sitzen in einem Essbereich, während sie lesen und eine SMS schreiben.</v>
      </c>
    </row>
    <row r="6553">
      <c r="A6553" s="4" t="s">
        <v>8232</v>
      </c>
      <c r="B6553" s="4" t="s">
        <v>8233</v>
      </c>
      <c r="C6553" s="5" t="str">
        <f>IFERROR(__xludf.DUMMYFUNCTION("GOOGLETRANSLATE(B6553,""en"",""de"")"),"Die Menschen essen Eiskegel.")</f>
        <v>Die Menschen essen Eiskegel.</v>
      </c>
    </row>
    <row r="6554">
      <c r="A6554" s="4" t="s">
        <v>8232</v>
      </c>
      <c r="B6554" s="4" t="s">
        <v>8234</v>
      </c>
      <c r="C6554" s="5" t="str">
        <f>IFERROR(__xludf.DUMMYFUNCTION("GOOGLETRANSLATE(B6554,""en"",""de"")"),"Eine Person steckt Eis in einen Eiskegel.")</f>
        <v>Eine Person steckt Eis in einen Eiskegel.</v>
      </c>
    </row>
    <row r="6555">
      <c r="A6555" s="4" t="s">
        <v>8232</v>
      </c>
      <c r="B6555" s="4" t="s">
        <v>8235</v>
      </c>
      <c r="C6555" s="5" t="str">
        <f>IFERROR(__xludf.DUMMYFUNCTION("GOOGLETRANSLATE(B6555,""en"",""de"")"),"Eine Frau in Brille spricht mit der Kamera.")</f>
        <v>Eine Frau in Brille spricht mit der Kamera.</v>
      </c>
    </row>
    <row r="6556">
      <c r="A6556" s="4" t="s">
        <v>8236</v>
      </c>
      <c r="B6556" s="4" t="s">
        <v>8237</v>
      </c>
      <c r="C6556" s="5" t="str">
        <f>IFERROR(__xludf.DUMMYFUNCTION("GOOGLETRANSLATE(B6556,""en"",""de"")"),"Zwei sehr große Männer befinden sich in der Mitte eines Rings mit Sumo -Wrestling -Outfits.")</f>
        <v>Zwei sehr große Männer befinden sich in der Mitte eines Rings mit Sumo -Wrestling -Outfits.</v>
      </c>
    </row>
    <row r="6557">
      <c r="A6557" s="4" t="s">
        <v>8236</v>
      </c>
      <c r="B6557" s="4" t="s">
        <v>8238</v>
      </c>
      <c r="C6557" s="5" t="str">
        <f>IFERROR(__xludf.DUMMYFUNCTION("GOOGLETRANSLATE(B6557,""en"",""de"")"),"Sie sind in Position und warten darauf, dass der Schiedsrichter ihnen auffordert, das Match zu beginnen.")</f>
        <v>Sie sind in Position und warten darauf, dass der Schiedsrichter ihnen auffordert, das Match zu beginnen.</v>
      </c>
    </row>
    <row r="6558">
      <c r="A6558" s="4" t="s">
        <v>8236</v>
      </c>
      <c r="B6558" s="4" t="s">
        <v>8239</v>
      </c>
      <c r="C6558" s="5" t="str">
        <f>IFERROR(__xludf.DUMMYFUNCTION("GOOGLETRANSLATE(B6558,""en"",""de"")"),"Sobald der Schiedsrichter sagt, dass sie das Match mit beginnen, rennen beide sofort aufeinander zu.")</f>
        <v>Sobald der Schiedsrichter sagt, dass sie das Match mit beginnen, rennen beide sofort aufeinander zu.</v>
      </c>
    </row>
    <row r="6559">
      <c r="A6559" s="4" t="s">
        <v>8236</v>
      </c>
      <c r="B6559" s="4" t="s">
        <v>8240</v>
      </c>
      <c r="C6559" s="5" t="str">
        <f>IFERROR(__xludf.DUMMYFUNCTION("GOOGLETRANSLATE(B6559,""en"",""de"")"),"Der häutige Mann schlägt den anderen Mann auf den Boden und er gewinnt das Match.")</f>
        <v>Der häutige Mann schlägt den anderen Mann auf den Boden und er gewinnt das Match.</v>
      </c>
    </row>
    <row r="6560">
      <c r="A6560" s="4" t="s">
        <v>8241</v>
      </c>
      <c r="B6560" s="4" t="s">
        <v>8242</v>
      </c>
      <c r="C6560" s="5" t="str">
        <f>IFERROR(__xludf.DUMMYFUNCTION("GOOGLETRANSLATE(B6560,""en"",""de"")"),"Eine Frau manipuliert einen Rubik -Würfel, während ein Mann in einem wettbewerbsfähigen Umfeld weitergeht.")</f>
        <v>Eine Frau manipuliert einen Rubik -Würfel, während ein Mann in einem wettbewerbsfähigen Umfeld weitergeht.</v>
      </c>
    </row>
    <row r="6561">
      <c r="A6561" s="4" t="s">
        <v>8241</v>
      </c>
      <c r="B6561" s="4" t="s">
        <v>8243</v>
      </c>
      <c r="C6561" s="5" t="str">
        <f>IFERROR(__xludf.DUMMYFUNCTION("GOOGLETRANSLATE(B6561,""en"",""de"")"),"Zwei Männer gehen im Hintergrund durch den Kamerarahmen.")</f>
        <v>Zwei Männer gehen im Hintergrund durch den Kamerarahmen.</v>
      </c>
    </row>
    <row r="6562">
      <c r="A6562" s="4" t="s">
        <v>8241</v>
      </c>
      <c r="B6562" s="4" t="s">
        <v>8244</v>
      </c>
      <c r="C6562" s="5" t="str">
        <f>IFERROR(__xludf.DUMMYFUNCTION("GOOGLETRANSLATE(B6562,""en"",""de"")"),"Die Frau legt den gelösten Rubiks Würfel vor sie auf den Tisch.")</f>
        <v>Die Frau legt den gelösten Rubiks Würfel vor sie auf den Tisch.</v>
      </c>
    </row>
    <row r="6563">
      <c r="A6563" s="4" t="s">
        <v>8245</v>
      </c>
      <c r="B6563" s="4" t="s">
        <v>8246</v>
      </c>
      <c r="C6563" s="5" t="str">
        <f>IFERROR(__xludf.DUMMYFUNCTION("GOOGLETRANSLATE(B6563,""en"",""de"")"),"Ein Intro führt zu verschiedenen Bildern von Mädchen mit langem Haar sowie Mädchen, die ihre Haare zusammengefasst haben.")</f>
        <v>Ein Intro führt zu verschiedenen Bildern von Mädchen mit langem Haar sowie Mädchen, die ihre Haare zusammengefasst haben.</v>
      </c>
    </row>
    <row r="6564">
      <c r="A6564" s="4" t="s">
        <v>8245</v>
      </c>
      <c r="B6564" s="4" t="s">
        <v>8247</v>
      </c>
      <c r="C6564" s="5" t="str">
        <f>IFERROR(__xludf.DUMMYFUNCTION("GOOGLETRANSLATE(B6564,""en"",""de"")"),"Die Haarlänge eines Mädchens wird gemessen, gefolgt von weiteren Bildern ihres langen Haares und dem Gespräch mit der Kamera.")</f>
        <v>Die Haarlänge eines Mädchens wird gemessen, gefolgt von weiteren Bildern ihres langen Haares und dem Gespräch mit der Kamera.</v>
      </c>
    </row>
    <row r="6565">
      <c r="A6565" s="4" t="s">
        <v>8245</v>
      </c>
      <c r="B6565" s="4" t="s">
        <v>8248</v>
      </c>
      <c r="C6565" s="5" t="str">
        <f>IFERROR(__xludf.DUMMYFUNCTION("GOOGLETRANSLATE(B6565,""en"",""de"")"),"Dann wird ein Set von Händen gesehen, wie er das Haar des Mädchens schneidet und dem Mädchen ihren Pferdeschwanz zeigt.")</f>
        <v>Dann wird ein Set von Händen gesehen, wie er das Haar des Mädchens schneidet und dem Mädchen ihren Pferdeschwanz zeigt.</v>
      </c>
    </row>
    <row r="6566">
      <c r="A6566" s="4" t="s">
        <v>8245</v>
      </c>
      <c r="B6566" s="4" t="s">
        <v>8249</v>
      </c>
      <c r="C6566" s="5" t="str">
        <f>IFERROR(__xludf.DUMMYFUNCTION("GOOGLETRANSLATE(B6566,""en"",""de"")"),"Weitere Bilder von den neuen Haaren des Mädchens werden ebenso gezeigt wie alte Bilder von ihr.")</f>
        <v>Weitere Bilder von den neuen Haaren des Mädchens werden ebenso gezeigt wie alte Bilder von ihr.</v>
      </c>
    </row>
    <row r="6567">
      <c r="A6567" s="4" t="s">
        <v>8250</v>
      </c>
      <c r="B6567" s="4" t="s">
        <v>8251</v>
      </c>
      <c r="C6567" s="5" t="str">
        <f>IFERROR(__xludf.DUMMYFUNCTION("GOOGLETRANSLATE(B6567,""en"",""de"")"),"Ein Mann, der ein schwarzes Hemd und schwarze Shorts trägt, steht neben einer Übungsmaschine.")</f>
        <v>Ein Mann, der ein schwarzes Hemd und schwarze Shorts trägt, steht neben einer Übungsmaschine.</v>
      </c>
    </row>
    <row r="6568">
      <c r="A6568" s="4" t="s">
        <v>8250</v>
      </c>
      <c r="B6568" s="4" t="s">
        <v>8252</v>
      </c>
      <c r="C6568" s="5" t="str">
        <f>IFERROR(__xludf.DUMMYFUNCTION("GOOGLETRANSLATE(B6568,""en"",""de"")"),"Er sitzt auf der Trainingsmaschine und beginnt zu trainieren.")</f>
        <v>Er sitzt auf der Trainingsmaschine und beginnt zu trainieren.</v>
      </c>
    </row>
    <row r="6569">
      <c r="A6569" s="4" t="s">
        <v>8250</v>
      </c>
      <c r="B6569" s="4" t="s">
        <v>8253</v>
      </c>
      <c r="C6569" s="5" t="str">
        <f>IFERROR(__xludf.DUMMYFUNCTION("GOOGLETRANSLATE(B6569,""en"",""de"")"),"Er hört auf zu trainieren und veröffentlicht die Bar.")</f>
        <v>Er hört auf zu trainieren und veröffentlicht die Bar.</v>
      </c>
    </row>
    <row r="6570">
      <c r="A6570" s="4" t="s">
        <v>8254</v>
      </c>
      <c r="B6570" s="4" t="s">
        <v>8255</v>
      </c>
      <c r="C6570" s="5" t="str">
        <f>IFERROR(__xludf.DUMMYFUNCTION("GOOGLETRANSLATE(B6570,""en"",""de"")"),"Ein Mann brat Gemüse in einer Pfanne und rührt sich mit einem großen Löffel um.")</f>
        <v>Ein Mann brat Gemüse in einer Pfanne und rührt sich mit einem großen Löffel um.</v>
      </c>
    </row>
    <row r="6571">
      <c r="A6571" s="4" t="s">
        <v>8254</v>
      </c>
      <c r="B6571" s="4" t="s">
        <v>8256</v>
      </c>
      <c r="C6571" s="5" t="str">
        <f>IFERROR(__xludf.DUMMYFUNCTION("GOOGLETRANSLATE(B6571,""en"",""de"")"),"Dann bremsen der Mann Eier in einer Schüssel und mischen Sie gut, nachdem der Mann die Eier in die Pfanne hinzugefügt hat, um ein Omelett zu machen.")</f>
        <v>Dann bremsen der Mann Eier in einer Schüssel und mischen Sie gut, nachdem der Mann die Eier in die Pfanne hinzugefügt hat, um ein Omelett zu machen.</v>
      </c>
    </row>
    <row r="6572">
      <c r="A6572" s="4" t="s">
        <v>8254</v>
      </c>
      <c r="B6572" s="4" t="s">
        <v>8257</v>
      </c>
      <c r="C6572" s="5" t="str">
        <f>IFERROR(__xludf.DUMMYFUNCTION("GOOGLETRANSLATE(B6572,""en"",""de"")"),"Er rollt das Omelett und dreht es in die Luft, dann serviert der Mann das Omelett auf einem Gericht.")</f>
        <v>Er rollt das Omelett und dreht es in die Luft, dann serviert der Mann das Omelett auf einem Gericht.</v>
      </c>
    </row>
    <row r="6573">
      <c r="A6573" s="4" t="s">
        <v>8258</v>
      </c>
      <c r="B6573" s="4" t="s">
        <v>8259</v>
      </c>
      <c r="C6573" s="5" t="str">
        <f>IFERROR(__xludf.DUMMYFUNCTION("GOOGLETRANSLATE(B6573,""en"",""de"")"),"Eine Frau tanzt zu etwas Musik, während er vor einem Fernseher steht.")</f>
        <v>Eine Frau tanzt zu etwas Musik, während er vor einem Fernseher steht.</v>
      </c>
    </row>
    <row r="6574">
      <c r="A6574" s="4" t="s">
        <v>8258</v>
      </c>
      <c r="B6574" s="4" t="s">
        <v>8260</v>
      </c>
      <c r="C6574" s="5" t="str">
        <f>IFERROR(__xludf.DUMMYFUNCTION("GOOGLETRANSLATE(B6574,""en"",""de"")"),"Während sie tanzt, beginnt sie eine Shisha -Pfeife zu rauchen.")</f>
        <v>Während sie tanzt, beginnt sie eine Shisha -Pfeife zu rauchen.</v>
      </c>
    </row>
    <row r="6575">
      <c r="A6575" s="4" t="s">
        <v>8258</v>
      </c>
      <c r="B6575" s="4" t="s">
        <v>8261</v>
      </c>
      <c r="C6575" s="5" t="str">
        <f>IFERROR(__xludf.DUMMYFUNCTION("GOOGLETRANSLATE(B6575,""en"",""de"")"),"Die Kamera zeigt zwei andere Frauen im Raum, während sie tanzen und die Shisha -Pfeife mit ihr rauchen.")</f>
        <v>Die Kamera zeigt zwei andere Frauen im Raum, während sie tanzen und die Shisha -Pfeife mit ihr rauchen.</v>
      </c>
    </row>
    <row r="6576">
      <c r="A6576" s="4" t="s">
        <v>8258</v>
      </c>
      <c r="B6576" s="4" t="s">
        <v>8262</v>
      </c>
      <c r="C6576" s="5" t="str">
        <f>IFERROR(__xludf.DUMMYFUNCTION("GOOGLETRANSLATE(B6576,""en"",""de"")"),"Die Kamera dreht sich zu einem Mann, der sich im Raum befindet und eine Kamera fotografiert.")</f>
        <v>Die Kamera dreht sich zu einem Mann, der sich im Raum befindet und eine Kamera fotografiert.</v>
      </c>
    </row>
    <row r="6577">
      <c r="A6577" s="4" t="s">
        <v>8263</v>
      </c>
      <c r="B6577" s="4" t="s">
        <v>8264</v>
      </c>
      <c r="C6577" s="5" t="str">
        <f>IFERROR(__xludf.DUMMYFUNCTION("GOOGLETRANSLATE(B6577,""en"",""de"")"),"Ein kleines Mädchen macht mit ihrer Mutter in ihrer Küche Kekse.")</f>
        <v>Ein kleines Mädchen macht mit ihrer Mutter in ihrer Küche Kekse.</v>
      </c>
    </row>
    <row r="6578">
      <c r="A6578" s="4" t="s">
        <v>8263</v>
      </c>
      <c r="B6578" s="4" t="s">
        <v>8265</v>
      </c>
      <c r="C6578" s="5" t="str">
        <f>IFERROR(__xludf.DUMMYFUNCTION("GOOGLETRANSLATE(B6578,""en"",""de"")"),"Sie möchte, dass ihre Mutter vorgibt, dass sie Weihnachtsmann ist.")</f>
        <v>Sie möchte, dass ihre Mutter vorgibt, dass sie Weihnachtsmann ist.</v>
      </c>
    </row>
    <row r="6579">
      <c r="A6579" s="4" t="s">
        <v>8263</v>
      </c>
      <c r="B6579" s="4" t="s">
        <v>8266</v>
      </c>
      <c r="C6579" s="5" t="str">
        <f>IFERROR(__xludf.DUMMYFUNCTION("GOOGLETRANSLATE(B6579,""en"",""de"")"),"Das Lachen und rollt den Keksteig auf das Schneidebrett.")</f>
        <v>Das Lachen und rollt den Keksteig auf das Schneidebrett.</v>
      </c>
    </row>
    <row r="6580">
      <c r="A6580" s="4" t="s">
        <v>8263</v>
      </c>
      <c r="B6580" s="4" t="s">
        <v>8267</v>
      </c>
      <c r="C6580" s="5" t="str">
        <f>IFERROR(__xludf.DUMMYFUNCTION("GOOGLETRANSLATE(B6580,""en"",""de"")"),"Die Mutter öffnet den Ofen und steckt das Tablett mit Keksteig zum Backen in den Ofen.")</f>
        <v>Die Mutter öffnet den Ofen und steckt das Tablett mit Keksteig zum Backen in den Ofen.</v>
      </c>
    </row>
    <row r="6581">
      <c r="A6581" s="4" t="s">
        <v>8263</v>
      </c>
      <c r="B6581" s="4" t="s">
        <v>8268</v>
      </c>
      <c r="C6581" s="5" t="str">
        <f>IFERROR(__xludf.DUMMYFUNCTION("GOOGLETRANSLATE(B6581,""en"",""de"")"),"Die Mutter nimmt dann den Keksschneider und macht noch ein paar Kekse zum Backen, dann gehen sowohl Mutter als auch Tochter das Keksrezept durch, während sie den Keksteig auf das Tablett legen.")</f>
        <v>Die Mutter nimmt dann den Keksschneider und macht noch ein paar Kekse zum Backen, dann gehen sowohl Mutter als auch Tochter das Keksrezept durch, während sie den Keksteig auf das Tablett legen.</v>
      </c>
    </row>
    <row r="6582">
      <c r="A6582" s="4" t="s">
        <v>8263</v>
      </c>
      <c r="B6582" s="4" t="s">
        <v>8269</v>
      </c>
      <c r="C6582" s="5" t="str">
        <f>IFERROR(__xludf.DUMMYFUNCTION("GOOGLETRANSLATE(B6582,""en"",""de"")"),"Nachdem die Kekse gebacken wurden, dekorieren sie die Kekse mit Streuseln und Zuckerguss.")</f>
        <v>Nachdem die Kekse gebacken wurden, dekorieren sie die Kekse mit Streuseln und Zuckerguss.</v>
      </c>
    </row>
    <row r="6583">
      <c r="A6583" s="4" t="s">
        <v>8263</v>
      </c>
      <c r="B6583" s="4" t="s">
        <v>8270</v>
      </c>
      <c r="C6583" s="5" t="str">
        <f>IFERROR(__xludf.DUMMYFUNCTION("GOOGLETRANSLATE(B6583,""en"",""de"")"),"Das Mädchen zeigt stolz den fertigen Keks, nachdem es fertig ist.")</f>
        <v>Das Mädchen zeigt stolz den fertigen Keks, nachdem es fertig ist.</v>
      </c>
    </row>
    <row r="6584">
      <c r="A6584" s="4" t="s">
        <v>8271</v>
      </c>
      <c r="B6584" s="4" t="s">
        <v>8272</v>
      </c>
      <c r="C6584" s="5" t="str">
        <f>IFERROR(__xludf.DUMMYFUNCTION("GOOGLETRANSLATE(B6584,""en"",""de"")"),"Zwei Personen werden gezeigt, die um einen Rasenmäher herumtreiben und den Rasen schneiden.")</f>
        <v>Zwei Personen werden gezeigt, die um einen Rasenmäher herumtreiben und den Rasen schneiden.</v>
      </c>
    </row>
    <row r="6585">
      <c r="A6585" s="4" t="s">
        <v>8271</v>
      </c>
      <c r="B6585" s="4" t="s">
        <v>8273</v>
      </c>
      <c r="C6585" s="5" t="str">
        <f>IFERROR(__xludf.DUMMYFUNCTION("GOOGLETRANSLATE(B6585,""en"",""de"")"),"Die Beule ineinander, wenn sich umeinander umeinander dreht, folgt dicht dahinter.")</f>
        <v>Die Beule ineinander, wenn sich umeinander umeinander dreht, folgt dicht dahinter.</v>
      </c>
    </row>
    <row r="6586">
      <c r="A6586" s="4" t="s">
        <v>8271</v>
      </c>
      <c r="B6586" s="4" t="s">
        <v>8274</v>
      </c>
      <c r="C6586" s="5" t="str">
        <f>IFERROR(__xludf.DUMMYFUNCTION("GOOGLETRANSLATE(B6586,""en"",""de"")"),"Der Mann geht zum Haus und kommt weiter auf die Frau zurück.")</f>
        <v>Der Mann geht zum Haus und kommt weiter auf die Frau zurück.</v>
      </c>
    </row>
    <row r="6587">
      <c r="A6587" s="4" t="s">
        <v>8275</v>
      </c>
      <c r="B6587" s="4" t="s">
        <v>8276</v>
      </c>
      <c r="C6587" s="5" t="str">
        <f>IFERROR(__xludf.DUMMYFUNCTION("GOOGLETRANSLATE(B6587,""en"",""de"")"),"Eine Person fährt auf einem Fahrradweg, während eine Person, die eine Kamera trägt, von hinten trägt.")</f>
        <v>Eine Person fährt auf einem Fahrradweg, während eine Person, die eine Kamera trägt, von hinten trägt.</v>
      </c>
    </row>
    <row r="6588">
      <c r="A6588" s="4" t="s">
        <v>8275</v>
      </c>
      <c r="B6588" s="4" t="s">
        <v>8277</v>
      </c>
      <c r="C6588" s="5" t="str">
        <f>IFERROR(__xludf.DUMMYFUNCTION("GOOGLETRANSLATE(B6588,""en"",""de"")"),"Weitere Clips werden von Menschen gezeigt, die Fahrräder entlang der Spur fahren, während die Kamera sie aus mehreren Winkeln erfasst.")</f>
        <v>Weitere Clips werden von Menschen gezeigt, die Fahrräder entlang der Spur fahren, während die Kamera sie aus mehreren Winkeln erfasst.</v>
      </c>
    </row>
    <row r="6589">
      <c r="A6589" s="4" t="s">
        <v>8278</v>
      </c>
      <c r="B6589" s="4" t="s">
        <v>8279</v>
      </c>
      <c r="C6589" s="5" t="str">
        <f>IFERROR(__xludf.DUMMYFUNCTION("GOOGLETRANSLATE(B6589,""en"",""de"")"),"Es wird eine Nahaufnahme eines Lacrosse -Spiels gezeigt, das zu einem Mann führt, der mit der Kamera spricht.")</f>
        <v>Es wird eine Nahaufnahme eines Lacrosse -Spiels gezeigt, das zu einem Mann führt, der mit der Kamera spricht.</v>
      </c>
    </row>
    <row r="6590">
      <c r="A6590" s="4" t="s">
        <v>8278</v>
      </c>
      <c r="B6590" s="4" t="s">
        <v>8280</v>
      </c>
      <c r="C6590" s="5" t="str">
        <f>IFERROR(__xludf.DUMMYFUNCTION("GOOGLETRANSLATE(B6590,""en"",""de"")"),"Es werden mehr Schüsse des Spiels gezeigt, wobei die Spieler auf dem Feld rennen und viele andere mit der Kamera sprechen.")</f>
        <v>Es werden mehr Schüsse des Spiels gezeigt, wobei die Spieler auf dem Feld rennen und viele andere mit der Kamera sprechen.</v>
      </c>
    </row>
    <row r="6591">
      <c r="A6591" s="4" t="s">
        <v>8281</v>
      </c>
      <c r="B6591" s="4" t="s">
        <v>8282</v>
      </c>
      <c r="C6591" s="5" t="str">
        <f>IFERROR(__xludf.DUMMYFUNCTION("GOOGLETRANSLATE(B6591,""en"",""de"")"),"Ein Mann trägt einen Helm und kniet in einem großen Raum herunter.")</f>
        <v>Ein Mann trägt einen Helm und kniet in einem großen Raum herunter.</v>
      </c>
    </row>
    <row r="6592">
      <c r="A6592" s="4" t="s">
        <v>8281</v>
      </c>
      <c r="B6592" s="4" t="s">
        <v>8283</v>
      </c>
      <c r="C6592" s="5" t="str">
        <f>IFERROR(__xludf.DUMMYFUNCTION("GOOGLETRANSLATE(B6592,""en"",""de"")"),"Verwendet eine Taschenlampe auf einem Objekt, während eine andere Person in den Rahmen geht.")</f>
        <v>Verwendet eine Taschenlampe auf einem Objekt, während eine andere Person in den Rahmen geht.</v>
      </c>
    </row>
    <row r="6593">
      <c r="A6593" s="4" t="s">
        <v>8281</v>
      </c>
      <c r="B6593" s="4" t="s">
        <v>8284</v>
      </c>
      <c r="C6593" s="5" t="str">
        <f>IFERROR(__xludf.DUMMYFUNCTION("GOOGLETRANSLATE(B6593,""en"",""de"")"),"Am Ende vergrößert er das Objekt, das er anbrach.")</f>
        <v>Am Ende vergrößert er das Objekt, das er anbrach.</v>
      </c>
    </row>
    <row r="6594">
      <c r="A6594" s="4" t="s">
        <v>8285</v>
      </c>
      <c r="B6594" s="4" t="s">
        <v>8286</v>
      </c>
      <c r="C6594" s="5" t="str">
        <f>IFERROR(__xludf.DUMMYFUNCTION("GOOGLETRANSLATE(B6594,""en"",""de"")"),"Eine Frau steht hinter einem Tisch.")</f>
        <v>Eine Frau steht hinter einem Tisch.</v>
      </c>
    </row>
    <row r="6595">
      <c r="A6595" s="4" t="s">
        <v>8285</v>
      </c>
      <c r="B6595" s="4" t="s">
        <v>8287</v>
      </c>
      <c r="C6595" s="5" t="str">
        <f>IFERROR(__xludf.DUMMYFUNCTION("GOOGLETRANSLATE(B6595,""en"",""de"")"),"Sie nimmt einen Lappen und eine Flasche Öl auf.")</f>
        <v>Sie nimmt einen Lappen und eine Flasche Öl auf.</v>
      </c>
    </row>
    <row r="6596">
      <c r="A6596" s="4" t="s">
        <v>8285</v>
      </c>
      <c r="B6596" s="4" t="s">
        <v>8288</v>
      </c>
      <c r="C6596" s="5" t="str">
        <f>IFERROR(__xludf.DUMMYFUNCTION("GOOGLETRANSLATE(B6596,""en"",""de"")"),"Sie legt Öl auf den Lappen und beginnt, ihre Stiefel damit zu reinigen.")</f>
        <v>Sie legt Öl auf den Lappen und beginnt, ihre Stiefel damit zu reinigen.</v>
      </c>
    </row>
    <row r="6597">
      <c r="A6597" s="4" t="s">
        <v>8289</v>
      </c>
      <c r="B6597" s="4" t="s">
        <v>8290</v>
      </c>
      <c r="C6597" s="5" t="str">
        <f>IFERROR(__xludf.DUMMYFUNCTION("GOOGLETRANSLATE(B6597,""en"",""de"")"),"Ein Junge sitzt mit einem Mädchen neben ihm an einem Tisch.")</f>
        <v>Ein Junge sitzt mit einem Mädchen neben ihm an einem Tisch.</v>
      </c>
    </row>
    <row r="6598">
      <c r="A6598" s="4" t="s">
        <v>8289</v>
      </c>
      <c r="B6598" s="4" t="s">
        <v>8291</v>
      </c>
      <c r="C6598" s="5" t="str">
        <f>IFERROR(__xludf.DUMMYFUNCTION("GOOGLETRANSLATE(B6598,""en"",""de"")"),"Er versucht, den Würfel eines Zipfels zu lösen, während sie ihn zahle.")</f>
        <v>Er versucht, den Würfel eines Zipfels zu lösen, während sie ihn zahle.</v>
      </c>
    </row>
    <row r="6599">
      <c r="A6599" s="4" t="s">
        <v>8289</v>
      </c>
      <c r="B6599" s="4" t="s">
        <v>8292</v>
      </c>
      <c r="C6599" s="5" t="str">
        <f>IFERROR(__xludf.DUMMYFUNCTION("GOOGLETRANSLATE(B6599,""en"",""de"")"),"Ein Zähler zählt schnell, als er sein Bestes versucht, das Puzzle zu lösen.")</f>
        <v>Ein Zähler zählt schnell, als er sein Bestes versucht, das Puzzle zu lösen.</v>
      </c>
    </row>
    <row r="6600">
      <c r="A6600" s="4" t="s">
        <v>8289</v>
      </c>
      <c r="B6600" s="4" t="s">
        <v>8293</v>
      </c>
      <c r="C6600" s="5" t="str">
        <f>IFERROR(__xludf.DUMMYFUNCTION("GOOGLETRANSLATE(B6600,""en"",""de"")"),"Er löst schließlich den Würfel und steht vom Tisch aus.")</f>
        <v>Er löst schließlich den Würfel und steht vom Tisch aus.</v>
      </c>
    </row>
    <row r="6601">
      <c r="A6601" s="4" t="s">
        <v>8294</v>
      </c>
      <c r="B6601" s="4" t="s">
        <v>8295</v>
      </c>
      <c r="C6601" s="5" t="str">
        <f>IFERROR(__xludf.DUMMYFUNCTION("GOOGLETRANSLATE(B6601,""en"",""de"")"),"Ein Mann hilft einem Jungen, einen Drachen zu fliegen.")</f>
        <v>Ein Mann hilft einem Jungen, einen Drachen zu fliegen.</v>
      </c>
    </row>
    <row r="6602">
      <c r="A6602" s="4" t="s">
        <v>8294</v>
      </c>
      <c r="B6602" s="4" t="s">
        <v>8296</v>
      </c>
      <c r="C6602" s="5" t="str">
        <f>IFERROR(__xludf.DUMMYFUNCTION("GOOGLETRANSLATE(B6602,""en"",""de"")"),"Eine Frau steht neben ihnen.")</f>
        <v>Eine Frau steht neben ihnen.</v>
      </c>
    </row>
    <row r="6603">
      <c r="A6603" s="4" t="s">
        <v>8294</v>
      </c>
      <c r="B6603" s="4" t="s">
        <v>8297</v>
      </c>
      <c r="C6603" s="5" t="str">
        <f>IFERROR(__xludf.DUMMYFUNCTION("GOOGLETRANSLATE(B6603,""en"",""de"")"),"Die Drachen fliegen am Himmel über Wasser.")</f>
        <v>Die Drachen fliegen am Himmel über Wasser.</v>
      </c>
    </row>
    <row r="6604">
      <c r="A6604" s="4" t="s">
        <v>8294</v>
      </c>
      <c r="B6604" s="4" t="s">
        <v>8298</v>
      </c>
      <c r="C6604" s="5" t="str">
        <f>IFERROR(__xludf.DUMMYFUNCTION("GOOGLETRANSLATE(B6604,""en"",""de"")"),"Der Mann geht den Hügel hinauf.")</f>
        <v>Der Mann geht den Hügel hinauf.</v>
      </c>
    </row>
    <row r="6605">
      <c r="A6605" s="4" t="s">
        <v>8299</v>
      </c>
      <c r="B6605" s="4" t="s">
        <v>8300</v>
      </c>
      <c r="C6605" s="5" t="str">
        <f>IFERROR(__xludf.DUMMYFUNCTION("GOOGLETRANSLATE(B6605,""en"",""de"")"),"Die Turnerinnen hob ihren Arm, als die Richterin die Flagge hob.")</f>
        <v>Die Turnerinnen hob ihren Arm, als die Richterin die Flagge hob.</v>
      </c>
    </row>
    <row r="6606">
      <c r="A6606" s="4" t="s">
        <v>8299</v>
      </c>
      <c r="B6606" s="4" t="s">
        <v>8301</v>
      </c>
      <c r="C6606" s="5" t="str">
        <f>IFERROR(__xludf.DUMMYFUNCTION("GOOGLETRANSLATE(B6606,""en"",""de"")"),"Der Turner sprang zum Balken, balancierte sich, lief mehrmals rannte und balancierte sich aus und verwirrte.")</f>
        <v>Der Turner sprang zum Balken, balancierte sich, lief mehrmals rannte und balancierte sich aus und verwirrte.</v>
      </c>
    </row>
    <row r="6607">
      <c r="A6607" s="4" t="s">
        <v>8299</v>
      </c>
      <c r="B6607" s="4" t="s">
        <v>8302</v>
      </c>
      <c r="C6607" s="5" t="str">
        <f>IFERROR(__xludf.DUMMYFUNCTION("GOOGLETRANSLATE(B6607,""en"",""de"")"),"Das Mädchensprung des Strahls auf die blaue Matte.")</f>
        <v>Das Mädchensprung des Strahls auf die blaue Matte.</v>
      </c>
    </row>
    <row r="6608">
      <c r="A6608" s="4" t="s">
        <v>8303</v>
      </c>
      <c r="B6608" s="4" t="s">
        <v>8304</v>
      </c>
      <c r="C6608" s="5" t="str">
        <f>IFERROR(__xludf.DUMMYFUNCTION("GOOGLETRANSLATE(B6608,""en"",""de"")"),"Eine Autobahn mit Schildern über Kopf wird gezeigt, bevor wir eine Strandszene und eine Reihe von Trophäen sehen.")</f>
        <v>Eine Autobahn mit Schildern über Kopf wird gezeigt, bevor wir eine Strandszene und eine Reihe von Trophäen sehen.</v>
      </c>
    </row>
    <row r="6609">
      <c r="A6609" s="4" t="s">
        <v>8303</v>
      </c>
      <c r="B6609" s="4" t="s">
        <v>8305</v>
      </c>
      <c r="C6609" s="5" t="str">
        <f>IFERROR(__xludf.DUMMYFUNCTION("GOOGLETRANSLATE(B6609,""en"",""de"")"),"Ein paar Volleyballspieler versammeln sich, um ein Spiel zu beginnen.")</f>
        <v>Ein paar Volleyballspieler versammeln sich, um ein Spiel zu beginnen.</v>
      </c>
    </row>
    <row r="6610">
      <c r="A6610" s="4" t="s">
        <v>8303</v>
      </c>
      <c r="B6610" s="4" t="s">
        <v>8306</v>
      </c>
      <c r="C6610" s="5" t="str">
        <f>IFERROR(__xludf.DUMMYFUNCTION("GOOGLETRANSLATE(B6610,""en"",""de"")"),"Das Spiel beginnt, die Leute versuchen ihr Bestes, um zu gewinnen.")</f>
        <v>Das Spiel beginnt, die Leute versuchen ihr Bestes, um zu gewinnen.</v>
      </c>
    </row>
    <row r="6611">
      <c r="A6611" s="4" t="s">
        <v>8307</v>
      </c>
      <c r="B6611" s="4" t="s">
        <v>8308</v>
      </c>
      <c r="C6611" s="5" t="str">
        <f>IFERROR(__xludf.DUMMYFUNCTION("GOOGLETRANSLATE(B6611,""en"",""de"")"),"Eine Kamera schwenkt um die Gesichter einer Person auf einem schneebedeckten Hügel und reiten sie einen Berg hinunter.")</f>
        <v>Eine Kamera schwenkt um die Gesichter einer Person auf einem schneebedeckten Hügel und reiten sie einen Berg hinunter.</v>
      </c>
    </row>
    <row r="6612">
      <c r="A6612" s="4" t="s">
        <v>8307</v>
      </c>
      <c r="B6612" s="4" t="s">
        <v>8309</v>
      </c>
      <c r="C6612" s="5" t="str">
        <f>IFERROR(__xludf.DUMMYFUNCTION("GOOGLETRANSLATE(B6612,""en"",""de"")"),"Die Leute fahren weiterhin den schneebedeckten Weg hinunter und bewegten sich nach hinten und enden, indem sie am Boden anhalten.")</f>
        <v>Die Leute fahren weiterhin den schneebedeckten Weg hinunter und bewegten sich nach hinten und enden, indem sie am Boden anhalten.</v>
      </c>
    </row>
    <row r="6613">
      <c r="A6613" s="4" t="s">
        <v>8310</v>
      </c>
      <c r="B6613" s="4" t="s">
        <v>8311</v>
      </c>
      <c r="C6613" s="5" t="str">
        <f>IFERROR(__xludf.DUMMYFUNCTION("GOOGLETRANSLATE(B6613,""en"",""de"")"),"Ein Mann, der einen Hut trägt, hält eine Mundharmonika hoch und beginnt mit seinen Händen zu spielen.")</f>
        <v>Ein Mann, der einen Hut trägt, hält eine Mundharmonika hoch und beginnt mit seinen Händen zu spielen.</v>
      </c>
    </row>
    <row r="6614">
      <c r="A6614" s="4" t="s">
        <v>8310</v>
      </c>
      <c r="B6614" s="4" t="s">
        <v>8312</v>
      </c>
      <c r="C6614" s="5" t="str">
        <f>IFERROR(__xludf.DUMMYFUNCTION("GOOGLETRANSLATE(B6614,""en"",""de"")"),"Er spielt das Instrument weiter an der Kamera und endet damit, dass er das Instrument niederlegt und es wieder hochhält.")</f>
        <v>Er spielt das Instrument weiter an der Kamera und endet damit, dass er das Instrument niederlegt und es wieder hochhält.</v>
      </c>
    </row>
    <row r="6615">
      <c r="A6615" s="4" t="s">
        <v>8313</v>
      </c>
      <c r="B6615" s="4" t="s">
        <v>8314</v>
      </c>
      <c r="C6615" s="5" t="str">
        <f>IFERROR(__xludf.DUMMYFUNCTION("GOOGLETRANSLATE(B6615,""en"",""de"")"),"Zwei kleine Kinder zeichnen mit Kreide auf einem Seitenspaziergang, während sie gelegentlich zur Kamera zurückblicken.")</f>
        <v>Zwei kleine Kinder zeichnen mit Kreide auf einem Seitenspaziergang, während sie gelegentlich zur Kamera zurückblicken.</v>
      </c>
    </row>
    <row r="6616">
      <c r="A6616" s="4" t="s">
        <v>8313</v>
      </c>
      <c r="B6616" s="4" t="s">
        <v>8315</v>
      </c>
      <c r="C6616" s="5" t="str">
        <f>IFERROR(__xludf.DUMMYFUNCTION("GOOGLETRANSLATE(B6616,""en"",""de"")"),"Das Mädchen wird dann gesehen, wie Hop Scotch die Kreide hinunterspringt, während der Junge von hinten zusieht.")</f>
        <v>Das Mädchen wird dann gesehen, wie Hop Scotch die Kreide hinunterspringt, während der Junge von hinten zusieht.</v>
      </c>
    </row>
    <row r="6617">
      <c r="A6617" s="4" t="s">
        <v>8313</v>
      </c>
      <c r="B6617" s="4" t="s">
        <v>8316</v>
      </c>
      <c r="C6617" s="5" t="str">
        <f>IFERROR(__xludf.DUMMYFUNCTION("GOOGLETRANSLATE(B6617,""en"",""de"")"),"Eine Frau hilft dann dem Jungen, dem jungen Mädchen zu springen, der hilft.")</f>
        <v>Eine Frau hilft dann dem Jungen, dem jungen Mädchen zu springen, der hilft.</v>
      </c>
    </row>
    <row r="6618">
      <c r="A6618" s="4" t="s">
        <v>8313</v>
      </c>
      <c r="B6618" s="4" t="s">
        <v>8317</v>
      </c>
      <c r="C6618" s="5" t="str">
        <f>IFERROR(__xludf.DUMMYFUNCTION("GOOGLETRANSLATE(B6618,""en"",""de"")"),"Der Junge springt von selbst und führt dann in die beiden auf einem Bürgersteig.")</f>
        <v>Der Junge springt von selbst und führt dann in die beiden auf einem Bürgersteig.</v>
      </c>
    </row>
    <row r="6619">
      <c r="A6619" s="4" t="s">
        <v>8313</v>
      </c>
      <c r="B6619" s="4" t="s">
        <v>8318</v>
      </c>
      <c r="C6619" s="5" t="str">
        <f>IFERROR(__xludf.DUMMYFUNCTION("GOOGLETRANSLATE(B6619,""en"",""de"")"),"Das Mädchen schwingt die Arme hoch und dann springen die beiden nach unten.")</f>
        <v>Das Mädchen schwingt die Arme hoch und dann springen die beiden nach unten.</v>
      </c>
    </row>
    <row r="6620">
      <c r="A6620" s="4" t="s">
        <v>8319</v>
      </c>
      <c r="B6620" s="4" t="s">
        <v>8320</v>
      </c>
      <c r="C6620" s="5" t="str">
        <f>IFERROR(__xludf.DUMMYFUNCTION("GOOGLETRANSLATE(B6620,""en"",""de"")"),"Ein sportlicher Mann tritt vor einer Strecke auf und hält eine Speeranlage fertig.")</f>
        <v>Ein sportlicher Mann tritt vor einer Strecke auf und hält eine Speeranlage fertig.</v>
      </c>
    </row>
    <row r="6621">
      <c r="A6621" s="4" t="s">
        <v>8319</v>
      </c>
      <c r="B6621" s="4" t="s">
        <v>8321</v>
      </c>
      <c r="C6621" s="5" t="str">
        <f>IFERROR(__xludf.DUMMYFUNCTION("GOOGLETRANSLATE(B6621,""en"",""de"")"),"Der Mann rennt runter, wirft den Speer und geht zurück, während sein Wurf mehrmals in Zeitlupe angezeigt wird.")</f>
        <v>Der Mann rennt runter, wirft den Speer und geht zurück, während sein Wurf mehrmals in Zeitlupe angezeigt wird.</v>
      </c>
    </row>
    <row r="6622">
      <c r="A6622" s="4" t="s">
        <v>8319</v>
      </c>
      <c r="B6622" s="4" t="s">
        <v>8322</v>
      </c>
      <c r="C6622" s="5" t="str">
        <f>IFERROR(__xludf.DUMMYFUNCTION("GOOGLETRANSLATE(B6622,""en"",""de"")"),"Am Ende feiert und rennt er durch das Feld.")</f>
        <v>Am Ende feiert und rennt er durch das Feld.</v>
      </c>
    </row>
    <row r="6623">
      <c r="A6623" s="4" t="s">
        <v>8323</v>
      </c>
      <c r="B6623" s="4" t="s">
        <v>8324</v>
      </c>
      <c r="C6623" s="5" t="str">
        <f>IFERROR(__xludf.DUMMYFUNCTION("GOOGLETRANSLATE(B6623,""en"",""de"")"),"Sechs Menschen in Helmen rennen auf Dirtbikes um eine kreisförmige, asphaltierte Strecke, die von Gras, Spielzelten und Zuschauern umgeben ist.")</f>
        <v>Sechs Menschen in Helmen rennen auf Dirtbikes um eine kreisförmige, asphaltierte Strecke, die von Gras, Spielzelten und Zuschauern umgeben ist.</v>
      </c>
    </row>
    <row r="6624">
      <c r="A6624" s="4" t="s">
        <v>8323</v>
      </c>
      <c r="B6624" s="4" t="s">
        <v>8325</v>
      </c>
      <c r="C6624" s="5" t="str">
        <f>IFERROR(__xludf.DUMMYFUNCTION("GOOGLETRANSLATE(B6624,""en"",""de"")"),"Die Leute beginnen das Rennen hinter einem geschlossenen und geriebenen Zaun, der sich dann öffnet und es ihnen ermöglicht, von einer erhöhten Plattform auf den asphaltierten Rennen zu fahren.")</f>
        <v>Die Leute beginnen das Rennen hinter einem geschlossenen und geriebenen Zaun, der sich dann öffnet und es ihnen ermöglicht, von einer erhöhten Plattform auf den asphaltierten Rennen zu fahren.</v>
      </c>
    </row>
    <row r="6625">
      <c r="A6625" s="4" t="s">
        <v>8323</v>
      </c>
      <c r="B6625" s="4" t="s">
        <v>8326</v>
      </c>
      <c r="C6625" s="5" t="str">
        <f>IFERROR(__xludf.DUMMYFUNCTION("GOOGLETRANSLATE(B6625,""en"",""de"")"),"Die Rennfahrer pedal mit einer Person in einer weißen Jacke an der Spitze.")</f>
        <v>Die Rennfahrer pedal mit einer Person in einer weißen Jacke an der Spitze.</v>
      </c>
    </row>
    <row r="6626">
      <c r="A6626" s="4" t="s">
        <v>8323</v>
      </c>
      <c r="B6626" s="4" t="s">
        <v>8327</v>
      </c>
      <c r="C6626" s="5" t="str">
        <f>IFERROR(__xludf.DUMMYFUNCTION("GOOGLETRANSLATE(B6626,""en"",""de"")"),"Das Rennen endet mit derselben Person in der weißen Jacke, die an der Spitze bleibt, bis sie sich dem Ende der Strecke und einem orangefarbenen, weißen Kegel nähern.")</f>
        <v>Das Rennen endet mit derselben Person in der weißen Jacke, die an der Spitze bleibt, bis sie sich dem Ende der Strecke und einem orangefarbenen, weißen Kegel nähern.</v>
      </c>
    </row>
    <row r="6627">
      <c r="A6627" s="4" t="s">
        <v>8328</v>
      </c>
      <c r="B6627" s="4" t="s">
        <v>8329</v>
      </c>
      <c r="C6627" s="5" t="str">
        <f>IFERROR(__xludf.DUMMYFUNCTION("GOOGLETRANSLATE(B6627,""en"",""de"")"),"Ein junger Mann wird gezeigt, der immer wieder einen Tennisschläger schwingt, während er gleichzeitig einen Ball schlägt.")</f>
        <v>Ein junger Mann wird gezeigt, der immer wieder einen Tennisschläger schwingt, während er gleichzeitig einen Ball schlägt.</v>
      </c>
    </row>
    <row r="6628">
      <c r="A6628" s="4" t="s">
        <v>8328</v>
      </c>
      <c r="B6628" s="4" t="s">
        <v>8330</v>
      </c>
      <c r="C6628" s="5" t="str">
        <f>IFERROR(__xludf.DUMMYFUNCTION("GOOGLETRANSLATE(B6628,""en"",""de"")"),"Er führt diese Schwung mehrmals weiter und trifft jedes Mal den Ball.")</f>
        <v>Er führt diese Schwung mehrmals weiter und trifft jedes Mal den Ball.</v>
      </c>
    </row>
    <row r="6629">
      <c r="A6629" s="4" t="s">
        <v>8331</v>
      </c>
      <c r="B6629" s="4" t="s">
        <v>8332</v>
      </c>
      <c r="C6629" s="5" t="str">
        <f>IFERROR(__xludf.DUMMYFUNCTION("GOOGLETRANSLATE(B6629,""en"",""de"")"),"Auf einer Terrasse wird eine Schleifmaschine angezeigt.")</f>
        <v>Auf einer Terrasse wird eine Schleifmaschine angezeigt.</v>
      </c>
    </row>
    <row r="6630">
      <c r="A6630" s="4" t="s">
        <v>8331</v>
      </c>
      <c r="B6630" s="4" t="s">
        <v>8333</v>
      </c>
      <c r="C6630" s="5" t="str">
        <f>IFERROR(__xludf.DUMMYFUNCTION("GOOGLETRANSLATE(B6630,""en"",""de"")"),"Ein Mann spricht, während er die Teile der Maschine zeigt.")</f>
        <v>Ein Mann spricht, während er die Teile der Maschine zeigt.</v>
      </c>
    </row>
    <row r="6631">
      <c r="A6631" s="4" t="s">
        <v>8331</v>
      </c>
      <c r="B6631" s="4" t="s">
        <v>8334</v>
      </c>
      <c r="C6631" s="5" t="str">
        <f>IFERROR(__xludf.DUMMYFUNCTION("GOOGLETRANSLATE(B6631,""en"",""de"")"),"Er zeigt dann, wie die Maschine verwendet wird.")</f>
        <v>Er zeigt dann, wie die Maschine verwendet wird.</v>
      </c>
    </row>
    <row r="6632">
      <c r="A6632" s="4" t="s">
        <v>8335</v>
      </c>
      <c r="B6632" s="4" t="s">
        <v>8336</v>
      </c>
      <c r="C6632" s="5" t="str">
        <f>IFERROR(__xludf.DUMMYFUNCTION("GOOGLETRANSLATE(B6632,""en"",""de"")"),"Ein Mann kniet in einer Garage herab, die Werkzeuge auf dem Boden betrachtet.")</f>
        <v>Ein Mann kniet in einer Garage herab, die Werkzeuge auf dem Boden betrachtet.</v>
      </c>
    </row>
    <row r="6633">
      <c r="A6633" s="4" t="s">
        <v>8335</v>
      </c>
      <c r="B6633" s="4" t="s">
        <v>8337</v>
      </c>
      <c r="C6633" s="5" t="str">
        <f>IFERROR(__xludf.DUMMYFUNCTION("GOOGLETRANSLATE(B6633,""en"",""de"")"),"Dann greift er eine Metallmaske und positioniert sich richtig auf dem Boden.")</f>
        <v>Dann greift er eine Metallmaske und positioniert sich richtig auf dem Boden.</v>
      </c>
    </row>
    <row r="6634">
      <c r="A6634" s="4" t="s">
        <v>8335</v>
      </c>
      <c r="B6634" s="4" t="s">
        <v>8338</v>
      </c>
      <c r="C6634" s="5" t="str">
        <f>IFERROR(__xludf.DUMMYFUNCTION("GOOGLETRANSLATE(B6634,""en"",""de"")"),"Sobald die Maske bequem ist, wird sie in Position gehalten und er beginnt auf dem Objekt auf dem Boden abzufeuern.")</f>
        <v>Sobald die Maske bequem ist, wird sie in Position gehalten und er beginnt auf dem Objekt auf dem Boden abzufeuern.</v>
      </c>
    </row>
    <row r="6635">
      <c r="A6635" s="4" t="s">
        <v>8335</v>
      </c>
      <c r="B6635" s="4" t="s">
        <v>8339</v>
      </c>
      <c r="C6635" s="5" t="str">
        <f>IFERROR(__xludf.DUMMYFUNCTION("GOOGLETRANSLATE(B6635,""en"",""de"")"),"Schließlich nimmt er es ab und beginnt, das Objekt zu meißeln und den Rost davon zu schlagen.")</f>
        <v>Schließlich nimmt er es ab und beginnt, das Objekt zu meißeln und den Rost davon zu schlagen.</v>
      </c>
    </row>
    <row r="6636">
      <c r="A6636" s="4" t="s">
        <v>8340</v>
      </c>
      <c r="B6636" s="4" t="s">
        <v>8341</v>
      </c>
      <c r="C6636" s="5" t="str">
        <f>IFERROR(__xludf.DUMMYFUNCTION("GOOGLETRANSLATE(B6636,""en"",""de"")"),"Eine Person trägt eine Maske über ihrem Gesicht und hält einen Schlauch in der Hand.")</f>
        <v>Eine Person trägt eine Maske über ihrem Gesicht und hält einen Schlauch in der Hand.</v>
      </c>
    </row>
    <row r="6637">
      <c r="A6637" s="4" t="s">
        <v>8340</v>
      </c>
      <c r="B6637" s="4" t="s">
        <v>8342</v>
      </c>
      <c r="C6637" s="5" t="str">
        <f>IFERROR(__xludf.DUMMYFUNCTION("GOOGLETRANSLATE(B6637,""en"",""de"")"),"Die Person beginnt dann, den Zaun mit dem Schlauch zu sprühen.")</f>
        <v>Die Person beginnt dann, den Zaun mit dem Schlauch zu sprühen.</v>
      </c>
    </row>
    <row r="6638">
      <c r="A6638" s="4" t="s">
        <v>8340</v>
      </c>
      <c r="B6638" s="4" t="s">
        <v>8343</v>
      </c>
      <c r="C6638" s="5" t="str">
        <f>IFERROR(__xludf.DUMMYFUNCTION("GOOGLETRANSLATE(B6638,""en"",""de"")"),"Die Person spricht kontinuierlich den Zaun über den Zaun, während die Kamera ihre Bewegungen erfasst.")</f>
        <v>Die Person spricht kontinuierlich den Zaun über den Zaun, während die Kamera ihre Bewegungen erfasst.</v>
      </c>
    </row>
    <row r="6639">
      <c r="A6639" s="4" t="s">
        <v>8344</v>
      </c>
      <c r="B6639" s="4" t="s">
        <v>8345</v>
      </c>
      <c r="C6639" s="5" t="str">
        <f>IFERROR(__xludf.DUMMYFUNCTION("GOOGLETRANSLATE(B6639,""en"",""de"")"),"Eine Einführung kommt auf den Bildschirm und zeigt ein Mädchen, das demonstriert, wie sie ihre Haare trocknet.")</f>
        <v>Eine Einführung kommt auf den Bildschirm und zeigt ein Mädchen, das demonstriert, wie sie ihre Haare trocknet.</v>
      </c>
    </row>
    <row r="6640">
      <c r="A6640" s="4" t="s">
        <v>8344</v>
      </c>
      <c r="B6640" s="4" t="s">
        <v>8346</v>
      </c>
      <c r="C6640" s="5" t="str">
        <f>IFERROR(__xludf.DUMMYFUNCTION("GOOGLETRANSLATE(B6640,""en"",""de"")"),"Sie steckt etwas Mousse in ihre Hand und arbeitet sie durch ihre Haare.")</f>
        <v>Sie steckt etwas Mousse in ihre Hand und arbeitet sie durch ihre Haare.</v>
      </c>
    </row>
    <row r="6641">
      <c r="A6641" s="4" t="s">
        <v>8344</v>
      </c>
      <c r="B6641" s="4" t="s">
        <v>8347</v>
      </c>
      <c r="C6641" s="5" t="str">
        <f>IFERROR(__xludf.DUMMYFUNCTION("GOOGLETRANSLATE(B6641,""en"",""de"")"),"Sie nimmt einen Brauentrockner heraus und trocknete ihr Haar von hinten nach vorne.")</f>
        <v>Sie nimmt einen Brauentrockner heraus und trocknete ihr Haar von hinten nach vorne.</v>
      </c>
    </row>
    <row r="6642">
      <c r="A6642" s="4" t="s">
        <v>8344</v>
      </c>
      <c r="B6642" s="4" t="s">
        <v>8348</v>
      </c>
      <c r="C6642" s="5" t="str">
        <f>IFERROR(__xludf.DUMMYFUNCTION("GOOGLETRANSLATE(B6642,""en"",""de"")"),"Sie schneidet ihre Haare, nimmt eine Bürste heraus und trocknete ihre Haare mit der Bürste.")</f>
        <v>Sie schneidet ihre Haare, nimmt eine Bürste heraus und trocknete ihre Haare mit der Bürste.</v>
      </c>
    </row>
    <row r="6643">
      <c r="A6643" s="4" t="s">
        <v>8344</v>
      </c>
      <c r="B6643" s="4" t="s">
        <v>8349</v>
      </c>
      <c r="C6643" s="5" t="str">
        <f>IFERROR(__xludf.DUMMYFUNCTION("GOOGLETRANSLATE(B6643,""en"",""de"")"),"Wenn sie fertig ist, werden die Abspannungen für die Videomodelle auf dem Bildschirm angezeigt.")</f>
        <v>Wenn sie fertig ist, werden die Abspannungen für die Videomodelle auf dem Bildschirm angezeigt.</v>
      </c>
    </row>
    <row r="6644">
      <c r="A6644" s="4" t="s">
        <v>8350</v>
      </c>
      <c r="B6644" s="4" t="s">
        <v>8351</v>
      </c>
      <c r="C6644" s="5" t="str">
        <f>IFERROR(__xludf.DUMMYFUNCTION("GOOGLETRANSLATE(B6644,""en"",""de"")"),"Eine Frau steht außerhalb eines Strahls.")</f>
        <v>Eine Frau steht außerhalb eines Strahls.</v>
      </c>
    </row>
    <row r="6645">
      <c r="A6645" s="4" t="s">
        <v>8350</v>
      </c>
      <c r="B6645" s="4" t="s">
        <v>8352</v>
      </c>
      <c r="C6645" s="5" t="str">
        <f>IFERROR(__xludf.DUMMYFUNCTION("GOOGLETRANSLATE(B6645,""en"",""de"")"),"Sie montiert den Balken, macht dann mehrere Flips und Handquellen über der Stange.")</f>
        <v>Sie montiert den Balken, macht dann mehrere Flips und Handquellen über der Stange.</v>
      </c>
    </row>
    <row r="6646">
      <c r="A6646" s="4" t="s">
        <v>8350</v>
      </c>
      <c r="B6646" s="4" t="s">
        <v>8353</v>
      </c>
      <c r="C6646" s="5" t="str">
        <f>IFERROR(__xludf.DUMMYFUNCTION("GOOGLETRANSLATE(B6646,""en"",""de"")"),"Sie steigt ab und hebt ihre Arme in der Luft.")</f>
        <v>Sie steigt ab und hebt ihre Arme in der Luft.</v>
      </c>
    </row>
    <row r="6647">
      <c r="A6647" s="4" t="s">
        <v>8354</v>
      </c>
      <c r="B6647" s="4" t="s">
        <v>8355</v>
      </c>
      <c r="C6647" s="5" t="str">
        <f>IFERROR(__xludf.DUMMYFUNCTION("GOOGLETRANSLATE(B6647,""en"",""de"")"),"Eine Person wird gezeigt, die durch einen Pool schwimmt, während andere um sie herum schwimmen.")</f>
        <v>Eine Person wird gezeigt, die durch einen Pool schwimmt, während andere um sie herum schwimmen.</v>
      </c>
    </row>
    <row r="6648">
      <c r="A6648" s="4" t="s">
        <v>8354</v>
      </c>
      <c r="B6648" s="4" t="s">
        <v>8356</v>
      </c>
      <c r="C6648" s="5" t="str">
        <f>IFERROR(__xludf.DUMMYFUNCTION("GOOGLETRANSLATE(B6648,""en"",""de"")"),"Die Leute geben einen Ball im Wasser herum, während ein anderes Spielerteam in den Hintergrund spielt.")</f>
        <v>Die Leute geben einen Ball im Wasser herum, während ein anderes Spielerteam in den Hintergrund spielt.</v>
      </c>
    </row>
    <row r="6649">
      <c r="A6649" s="4" t="s">
        <v>8357</v>
      </c>
      <c r="B6649" s="4" t="s">
        <v>8358</v>
      </c>
      <c r="C6649" s="5" t="str">
        <f>IFERROR(__xludf.DUMMYFUNCTION("GOOGLETRANSLATE(B6649,""en"",""de"")"),"Eine Dame hält eine Katze auf dem Boden auf dem Boden.")</f>
        <v>Eine Dame hält eine Katze auf dem Boden auf dem Boden.</v>
      </c>
    </row>
    <row r="6650">
      <c r="A6650" s="4" t="s">
        <v>8357</v>
      </c>
      <c r="B6650" s="4" t="s">
        <v>8359</v>
      </c>
      <c r="C6650" s="5" t="str">
        <f>IFERROR(__xludf.DUMMYFUNCTION("GOOGLETRANSLATE(B6650,""en"",""de"")"),"Die Dame klammert dann die Katzenkrallen.")</f>
        <v>Die Dame klammert dann die Katzenkrallen.</v>
      </c>
    </row>
    <row r="6651">
      <c r="A6651" s="4" t="s">
        <v>8357</v>
      </c>
      <c r="B6651" s="4" t="s">
        <v>8360</v>
      </c>
      <c r="C6651" s="5" t="str">
        <f>IFERROR(__xludf.DUMMYFUNCTION("GOOGLETRANSLATE(B6651,""en"",""de"")"),"Die Katze versucht zu entkommen und die Person beruhigt die Katze mit einem Haarhalter.")</f>
        <v>Die Katze versucht zu entkommen und die Person beruhigt die Katze mit einem Haarhalter.</v>
      </c>
    </row>
    <row r="6652">
      <c r="A6652" s="4" t="s">
        <v>8357</v>
      </c>
      <c r="B6652" s="4" t="s">
        <v>8361</v>
      </c>
      <c r="C6652" s="5" t="str">
        <f>IFERROR(__xludf.DUMMYFUNCTION("GOOGLETRANSLATE(B6652,""en"",""de"")"),"Die Katze versucht zu entkommen.")</f>
        <v>Die Katze versucht zu entkommen.</v>
      </c>
    </row>
    <row r="6653">
      <c r="A6653" s="4" t="s">
        <v>8357</v>
      </c>
      <c r="B6653" s="4" t="s">
        <v>8362</v>
      </c>
      <c r="C6653" s="5" t="str">
        <f>IFERROR(__xludf.DUMMYFUNCTION("GOOGLETRANSLATE(B6653,""en"",""de"")"),"Die Dame beendet eine Katze und wir sehen eine andere Katze auf einem Bett, umgeben von Unordnung.")</f>
        <v>Die Dame beendet eine Katze und wir sehen eine andere Katze auf einem Bett, umgeben von Unordnung.</v>
      </c>
    </row>
    <row r="6654">
      <c r="A6654" s="4" t="s">
        <v>8363</v>
      </c>
      <c r="B6654" s="4" t="s">
        <v>8364</v>
      </c>
      <c r="C6654" s="5" t="str">
        <f>IFERROR(__xludf.DUMMYFUNCTION("GOOGLETRANSLATE(B6654,""en"",""de"")"),"Zwei Männer kämpfen mit Bögen und Pfeilen in einem Raum.")</f>
        <v>Zwei Männer kämpfen mit Bögen und Pfeilen in einem Raum.</v>
      </c>
    </row>
    <row r="6655">
      <c r="A6655" s="4" t="s">
        <v>8363</v>
      </c>
      <c r="B6655" s="4" t="s">
        <v>8365</v>
      </c>
      <c r="C6655" s="5" t="str">
        <f>IFERROR(__xludf.DUMMYFUNCTION("GOOGLETRANSLATE(B6655,""en"",""de"")"),"Ein Mann springt von einem Stapel Matten.")</f>
        <v>Ein Mann springt von einem Stapel Matten.</v>
      </c>
    </row>
    <row r="6656">
      <c r="A6656" s="4" t="s">
        <v>8363</v>
      </c>
      <c r="B6656" s="4" t="s">
        <v>8366</v>
      </c>
      <c r="C6656" s="5" t="str">
        <f>IFERROR(__xludf.DUMMYFUNCTION("GOOGLETRANSLATE(B6656,""en"",""de"")"),"Ein anderer Mann macht einen Flip von der Wand.")</f>
        <v>Ein anderer Mann macht einen Flip von der Wand.</v>
      </c>
    </row>
    <row r="6657">
      <c r="A6657" s="4" t="s">
        <v>8367</v>
      </c>
      <c r="B6657" s="4" t="s">
        <v>8368</v>
      </c>
      <c r="C6657" s="5" t="str">
        <f>IFERROR(__xludf.DUMMYFUNCTION("GOOGLETRANSLATE(B6657,""en"",""de"")"),"Ein Mann reinigt ein kleines Holzbrett mit einem Tuch in einer Werkstatt.")</f>
        <v>Ein Mann reinigt ein kleines Holzbrett mit einem Tuch in einer Werkstatt.</v>
      </c>
    </row>
    <row r="6658">
      <c r="A6658" s="4" t="s">
        <v>8367</v>
      </c>
      <c r="B6658" s="4" t="s">
        <v>8369</v>
      </c>
      <c r="C6658" s="5" t="str">
        <f>IFERROR(__xludf.DUMMYFUNCTION("GOOGLETRANSLATE(B6658,""en"",""de"")"),"Dann verwendet der Mann Flanell, um das Holzbrett gründlich zu polieren.")</f>
        <v>Dann verwendet der Mann Flanell, um das Holzbrett gründlich zu polieren.</v>
      </c>
    </row>
    <row r="6659">
      <c r="A6659" s="4" t="s">
        <v>8370</v>
      </c>
      <c r="B6659" s="4" t="s">
        <v>8371</v>
      </c>
      <c r="C6659" s="5" t="str">
        <f>IFERROR(__xludf.DUMMYFUNCTION("GOOGLETRANSLATE(B6659,""en"",""de"")"),"Zitronen werden nacheinander entsaftet und dann einen Topf mit Zucker in einen Topf geben.")</f>
        <v>Zitronen werden nacheinander entsaftet und dann einen Topf mit Zucker in einen Topf geben.</v>
      </c>
    </row>
    <row r="6660">
      <c r="A6660" s="4" t="s">
        <v>8370</v>
      </c>
      <c r="B6660" s="4" t="s">
        <v>8372</v>
      </c>
      <c r="C6660" s="5" t="str">
        <f>IFERROR(__xludf.DUMMYFUNCTION("GOOGLETRANSLATE(B6660,""en"",""de"")"),"Es wird funkelnder Wasser hinzugefügt und dann wird die Mischung zu dieser funkelnden Limonade hinzugefügt.")</f>
        <v>Es wird funkelnder Wasser hinzugefügt und dann wird die Mischung zu dieser funkelnden Limonade hinzugefügt.</v>
      </c>
    </row>
    <row r="6661">
      <c r="A6661" s="4" t="s">
        <v>8373</v>
      </c>
      <c r="B6661" s="4" t="s">
        <v>8374</v>
      </c>
      <c r="C6661" s="5" t="str">
        <f>IFERROR(__xludf.DUMMYFUNCTION("GOOGLETRANSLATE(B6661,""en"",""de"")"),"Ein Mann ist außerhalb eines Gebäudes.")</f>
        <v>Ein Mann ist außerhalb eines Gebäudes.</v>
      </c>
    </row>
    <row r="6662">
      <c r="A6662" s="4" t="s">
        <v>8373</v>
      </c>
      <c r="B6662" s="4" t="s">
        <v>8375</v>
      </c>
      <c r="C6662" s="5" t="str">
        <f>IFERROR(__xludf.DUMMYFUNCTION("GOOGLETRANSLATE(B6662,""en"",""de"")"),"Er verwendet kommerzielle Rasenmäher.")</f>
        <v>Er verwendet kommerzielle Rasenmäher.</v>
      </c>
    </row>
    <row r="6663">
      <c r="A6663" s="4" t="s">
        <v>8373</v>
      </c>
      <c r="B6663" s="4" t="s">
        <v>8376</v>
      </c>
      <c r="C6663" s="5" t="str">
        <f>IFERROR(__xludf.DUMMYFUNCTION("GOOGLETRANSLATE(B6663,""en"",""de"")"),"Er geht hin und her, als er das Gras mäht.")</f>
        <v>Er geht hin und her, als er das Gras mäht.</v>
      </c>
    </row>
    <row r="6664">
      <c r="A6664" s="4" t="s">
        <v>8377</v>
      </c>
      <c r="B6664" s="4" t="s">
        <v>8378</v>
      </c>
      <c r="C6664" s="5" t="str">
        <f>IFERROR(__xludf.DUMMYFUNCTION("GOOGLETRANSLATE(B6664,""en"",""de"")"),"Eine ältere Frau, die eine Brille trägt, steht vor einem Auto.")</f>
        <v>Eine ältere Frau, die eine Brille trägt, steht vor einem Auto.</v>
      </c>
    </row>
    <row r="6665">
      <c r="A6665" s="4" t="s">
        <v>8377</v>
      </c>
      <c r="B6665" s="4" t="s">
        <v>8379</v>
      </c>
      <c r="C6665" s="5" t="str">
        <f>IFERROR(__xludf.DUMMYFUNCTION("GOOGLETRANSLATE(B6665,""en"",""de"")"),"Sie geht zum Auto und kann zuerst die Tür nicht öffnen.")</f>
        <v>Sie geht zum Auto und kann zuerst die Tür nicht öffnen.</v>
      </c>
    </row>
    <row r="6666">
      <c r="A6666" s="4" t="s">
        <v>8377</v>
      </c>
      <c r="B6666" s="4" t="s">
        <v>8380</v>
      </c>
      <c r="C6666" s="5" t="str">
        <f>IFERROR(__xludf.DUMMYFUNCTION("GOOGLETRANSLATE(B6666,""en"",""de"")"),"Sie steigt ins Auto, steigt dann aus und reinigt den Schnee vom Auto, bevor sie wieder hineinkommt und wegfährt.")</f>
        <v>Sie steigt ins Auto, steigt dann aus und reinigt den Schnee vom Auto, bevor sie wieder hineinkommt und wegfährt.</v>
      </c>
    </row>
    <row r="6667">
      <c r="A6667" s="4" t="s">
        <v>8381</v>
      </c>
      <c r="B6667" s="4" t="s">
        <v>8382</v>
      </c>
      <c r="C6667" s="5" t="str">
        <f>IFERROR(__xludf.DUMMYFUNCTION("GOOGLETRANSLATE(B6667,""en"",""de"")"),"Eine Nahaufnahme des Gesichts eines Mannes ist zu sehen, gefolgt von einem Rasierer auf der Seite und der Person, die ihre Haare kämmt.")</f>
        <v>Eine Nahaufnahme des Gesichts eines Mannes ist zu sehen, gefolgt von einem Rasierer auf der Seite und der Person, die ihre Haare kämmt.</v>
      </c>
    </row>
    <row r="6668">
      <c r="A6668" s="4" t="s">
        <v>8381</v>
      </c>
      <c r="B6668" s="4" t="s">
        <v>8383</v>
      </c>
      <c r="C6668" s="5" t="str">
        <f>IFERROR(__xludf.DUMMYFUNCTION("GOOGLETRANSLATE(B6668,""en"",""de"")"),"Die Person rasiert und kämmt das Haar des Mannes und rasiert seinen Bart in Rasiercreme.")</f>
        <v>Die Person rasiert und kämmt das Haar des Mannes und rasiert seinen Bart in Rasiercreme.</v>
      </c>
    </row>
    <row r="6669">
      <c r="A6669" s="4" t="s">
        <v>8381</v>
      </c>
      <c r="B6669" s="4" t="s">
        <v>8384</v>
      </c>
      <c r="C6669" s="5" t="str">
        <f>IFERROR(__xludf.DUMMYFUNCTION("GOOGLETRANSLATE(B6669,""en"",""de"")"),"Der Mann wischt sich vom Gesicht ab, wenn er fertig ist und die saubere Rasur zeigt.")</f>
        <v>Der Mann wischt sich vom Gesicht ab, wenn er fertig ist und die saubere Rasur zeigt.</v>
      </c>
    </row>
    <row r="6670">
      <c r="A6670" s="4" t="s">
        <v>8385</v>
      </c>
      <c r="B6670" s="4" t="s">
        <v>8386</v>
      </c>
      <c r="C6670" s="5" t="str">
        <f>IFERROR(__xludf.DUMMYFUNCTION("GOOGLETRANSLATE(B6670,""en"",""de"")"),"Zeichnungen von Handseifenflaschen und Menschen werden gezeigt.")</f>
        <v>Zeichnungen von Handseifenflaschen und Menschen werden gezeigt.</v>
      </c>
    </row>
    <row r="6671">
      <c r="A6671" s="4" t="s">
        <v>8385</v>
      </c>
      <c r="B6671" s="4" t="s">
        <v>8387</v>
      </c>
      <c r="C6671" s="5" t="str">
        <f>IFERROR(__xludf.DUMMYFUNCTION("GOOGLETRANSLATE(B6671,""en"",""de"")"),"Ein kleines Mädchen steht neben einem weißen Waschbecken, sie öffnete den Wasserhahn, wasche ihre Hand, reibe ihre Hand mit Seife, spüle ihre Hand gründlich aus, schaltete das Wasser aus und lächelte gegen die Kamera.")</f>
        <v>Ein kleines Mädchen steht neben einem weißen Waschbecken, sie öffnete den Wasserhahn, wasche ihre Hand, reibe ihre Hand mit Seife, spüle ihre Hand gründlich aus, schaltete das Wasser aus und lächelte gegen die Kamera.</v>
      </c>
    </row>
    <row r="6672">
      <c r="A6672" s="4" t="s">
        <v>8388</v>
      </c>
      <c r="B6672" s="4" t="s">
        <v>8389</v>
      </c>
      <c r="C6672" s="5" t="str">
        <f>IFERROR(__xludf.DUMMYFUNCTION("GOOGLETRANSLATE(B6672,""en"",""de"")"),"Wir sehen einen Bowler vor einer Menge stehen und halten den Ball.")</f>
        <v>Wir sehen einen Bowler vor einer Menge stehen und halten den Ball.</v>
      </c>
    </row>
    <row r="6673">
      <c r="A6673" s="4" t="s">
        <v>8388</v>
      </c>
      <c r="B6673" s="4" t="s">
        <v>8390</v>
      </c>
      <c r="C6673" s="5" t="str">
        <f>IFERROR(__xludf.DUMMYFUNCTION("GOOGLETRANSLATE(B6673,""en"",""de"")"),"Der Bowler wirft einen Streik und die Menge klatscht, eine Dame hält ihre Hände vor ihrem Gesicht und der Bowler wischt seine Hände ab.")</f>
        <v>Der Bowler wirft einen Streik und die Menge klatscht, eine Dame hält ihre Hände vor ihrem Gesicht und der Bowler wischt seine Hände ab.</v>
      </c>
    </row>
    <row r="6674">
      <c r="A6674" s="4" t="s">
        <v>8388</v>
      </c>
      <c r="B6674" s="4" t="s">
        <v>8391</v>
      </c>
      <c r="C6674" s="5" t="str">
        <f>IFERROR(__xludf.DUMMYFUNCTION("GOOGLETRANSLATE(B6674,""en"",""de"")"),"Der Mann wirft einen weiteren Streik und fällt.")</f>
        <v>Der Mann wirft einen weiteren Streik und fällt.</v>
      </c>
    </row>
    <row r="6675">
      <c r="A6675" s="4" t="s">
        <v>8388</v>
      </c>
      <c r="B6675" s="4" t="s">
        <v>8392</v>
      </c>
      <c r="C6675" s="5" t="str">
        <f>IFERROR(__xludf.DUMMYFUNCTION("GOOGLETRANSLATE(B6675,""en"",""de"")"),"Er erhebt sich vom Boden, als die Menge klatscht.")</f>
        <v>Er erhebt sich vom Boden, als die Menge klatscht.</v>
      </c>
    </row>
    <row r="6676">
      <c r="A6676" s="4" t="s">
        <v>8388</v>
      </c>
      <c r="B6676" s="4" t="s">
        <v>8393</v>
      </c>
      <c r="C6676" s="5" t="str">
        <f>IFERROR(__xludf.DUMMYFUNCTION("GOOGLETRANSLATE(B6676,""en"",""de"")"),"Der Mann wirft einen dritten Streik und legt sich auf dem Boden.")</f>
        <v>Der Mann wirft einen dritten Streik und legt sich auf dem Boden.</v>
      </c>
    </row>
    <row r="6677">
      <c r="A6677" s="4" t="s">
        <v>8388</v>
      </c>
      <c r="B6677" s="4" t="s">
        <v>8394</v>
      </c>
      <c r="C6677" s="5" t="str">
        <f>IFERROR(__xludf.DUMMYFUNCTION("GOOGLETRANSLATE(B6677,""en"",""de"")"),"Er steht auf und schüttelt die Hand von Männern herum und wir sehen eine Dame, die ihre Hände vor ihrem Gesicht hält.")</f>
        <v>Er steht auf und schüttelt die Hand von Männern herum und wir sehen eine Dame, die ihre Hände vor ihrem Gesicht hält.</v>
      </c>
    </row>
    <row r="6678">
      <c r="A6678" s="4" t="s">
        <v>8388</v>
      </c>
      <c r="B6678" s="4" t="s">
        <v>8395</v>
      </c>
      <c r="C6678" s="5" t="str">
        <f>IFERROR(__xludf.DUMMYFUNCTION("GOOGLETRANSLATE(B6678,""en"",""de"")"),"Wir sehen dann einen älteren Mann, der alleine in einem Raum spricht.")</f>
        <v>Wir sehen dann einen älteren Mann, der alleine in einem Raum spricht.</v>
      </c>
    </row>
    <row r="6679">
      <c r="A6679" s="4" t="s">
        <v>8396</v>
      </c>
      <c r="B6679" s="4" t="s">
        <v>8397</v>
      </c>
      <c r="C6679" s="5" t="str">
        <f>IFERROR(__xludf.DUMMYFUNCTION("GOOGLETRANSLATE(B6679,""en"",""de"")"),"An einem Strand, der Sandburgen mit einer Wasserflasche und einem Sandeimer baut.")</f>
        <v>An einem Strand, der Sandburgen mit einer Wasserflasche und einem Sandeimer baut.</v>
      </c>
    </row>
    <row r="6680">
      <c r="A6680" s="4" t="s">
        <v>8396</v>
      </c>
      <c r="B6680" s="4" t="s">
        <v>8398</v>
      </c>
      <c r="C6680" s="5" t="str">
        <f>IFERROR(__xludf.DUMMYFUNCTION("GOOGLETRANSLATE(B6680,""en"",""de"")"),"Ein anderer kleiner Junge, der einen rosa Schwimmer trägt, kommt rennt und schließt sich ihm an.")</f>
        <v>Ein anderer kleiner Junge, der einen rosa Schwimmer trägt, kommt rennt und schließt sich ihm an.</v>
      </c>
    </row>
    <row r="6681">
      <c r="A6681" s="4" t="s">
        <v>8396</v>
      </c>
      <c r="B6681" s="4" t="s">
        <v>8399</v>
      </c>
      <c r="C6681" s="5" t="str">
        <f>IFERROR(__xludf.DUMMYFUNCTION("GOOGLETRANSLATE(B6681,""en"",""de"")"),"Der Junge gießt etwas Wasser auf die Sandburg.")</f>
        <v>Der Junge gießt etwas Wasser auf die Sandburg.</v>
      </c>
    </row>
    <row r="6682">
      <c r="A6682" s="4" t="s">
        <v>8396</v>
      </c>
      <c r="B6682" s="4" t="s">
        <v>8400</v>
      </c>
      <c r="C6682" s="5" t="str">
        <f>IFERROR(__xludf.DUMMYFUNCTION("GOOGLETRANSLATE(B6682,""en"",""de"")"),"Dann schließt sich ein Mädchen mit einem rosa Blumenanzug den Jungen an und hilft ihnen, die Sandburg zu bauen.")</f>
        <v>Dann schließt sich ein Mädchen mit einem rosa Blumenanzug den Jungen an und hilft ihnen, die Sandburg zu bauen.</v>
      </c>
    </row>
    <row r="6683">
      <c r="A6683" s="4" t="s">
        <v>8401</v>
      </c>
      <c r="B6683" s="4" t="s">
        <v>8402</v>
      </c>
      <c r="C6683" s="5" t="str">
        <f>IFERROR(__xludf.DUMMYFUNCTION("GOOGLETRANSLATE(B6683,""en"",""de"")"),"Ein Mann in Brille und Baskenmütze spricht.")</f>
        <v>Ein Mann in Brille und Baskenmütze spricht.</v>
      </c>
    </row>
    <row r="6684">
      <c r="A6684" s="4" t="s">
        <v>8401</v>
      </c>
      <c r="B6684" s="4" t="s">
        <v>8403</v>
      </c>
      <c r="C6684" s="5" t="str">
        <f>IFERROR(__xludf.DUMMYFUNCTION("GOOGLETRANSLATE(B6684,""en"",""de"")"),"Er spielt eine Mundharmonika, während er auch eine Tastatur spielt.")</f>
        <v>Er spielt eine Mundharmonika, während er auch eine Tastatur spielt.</v>
      </c>
    </row>
    <row r="6685">
      <c r="A6685" s="4" t="s">
        <v>8401</v>
      </c>
      <c r="B6685" s="4" t="s">
        <v>8404</v>
      </c>
      <c r="C6685" s="5" t="str">
        <f>IFERROR(__xludf.DUMMYFUNCTION("GOOGLETRANSLATE(B6685,""en"",""de"")"),"Er spricht über die Mechanik der Hormonika zwischen dem Spielen.")</f>
        <v>Er spricht über die Mechanik der Hormonika zwischen dem Spielen.</v>
      </c>
    </row>
    <row r="6686">
      <c r="A6686" s="4" t="s">
        <v>8405</v>
      </c>
      <c r="B6686" s="4" t="s">
        <v>8406</v>
      </c>
      <c r="C6686" s="5" t="str">
        <f>IFERROR(__xludf.DUMMYFUNCTION("GOOGLETRANSLATE(B6686,""en"",""de"")"),"Eine Gruppe von Männern, Jungen und Kamele befindet sich in einem Wüstengebiet.")</f>
        <v>Eine Gruppe von Männern, Jungen und Kamele befindet sich in einem Wüstengebiet.</v>
      </c>
    </row>
    <row r="6687">
      <c r="A6687" s="4" t="s">
        <v>8405</v>
      </c>
      <c r="B6687" s="4" t="s">
        <v>8407</v>
      </c>
      <c r="C6687" s="5" t="str">
        <f>IFERROR(__xludf.DUMMYFUNCTION("GOOGLETRANSLATE(B6687,""en"",""de"")"),"Ein Mann sitzt auf einem Kamel.")</f>
        <v>Ein Mann sitzt auf einem Kamel.</v>
      </c>
    </row>
    <row r="6688">
      <c r="A6688" s="4" t="s">
        <v>8405</v>
      </c>
      <c r="B6688" s="4" t="s">
        <v>8408</v>
      </c>
      <c r="C6688" s="5" t="str">
        <f>IFERROR(__xludf.DUMMYFUNCTION("GOOGLETRANSLATE(B6688,""en"",""de"")"),"Der Mann erklärt den richtigen Weg, um ein Kamel zu fahren.")</f>
        <v>Der Mann erklärt den richtigen Weg, um ein Kamel zu fahren.</v>
      </c>
    </row>
    <row r="6689">
      <c r="A6689" s="4" t="s">
        <v>8405</v>
      </c>
      <c r="B6689" s="4" t="s">
        <v>8409</v>
      </c>
      <c r="C6689" s="5" t="str">
        <f>IFERROR(__xludf.DUMMYFUNCTION("GOOGLETRANSLATE(B6689,""en"",""de"")"),"Ein Mann im Hintergrund enthält eine Videokamera.")</f>
        <v>Ein Mann im Hintergrund enthält eine Videokamera.</v>
      </c>
    </row>
    <row r="6690">
      <c r="A6690" s="4" t="s">
        <v>8405</v>
      </c>
      <c r="B6690" s="4" t="s">
        <v>8410</v>
      </c>
      <c r="C6690" s="5" t="str">
        <f>IFERROR(__xludf.DUMMYFUNCTION("GOOGLETRANSLATE(B6690,""en"",""de"")"),"Ein anderer Mann gibt die Kamele an den Mann, der reitet und das Kamel beginnt zu laufen.")</f>
        <v>Ein anderer Mann gibt die Kamele an den Mann, der reitet und das Kamel beginnt zu laufen.</v>
      </c>
    </row>
    <row r="6691">
      <c r="A6691" s="4" t="s">
        <v>8405</v>
      </c>
      <c r="B6691" s="4" t="s">
        <v>8411</v>
      </c>
      <c r="C6691" s="5" t="str">
        <f>IFERROR(__xludf.DUMMYFUNCTION("GOOGLETRANSLATE(B6691,""en"",""de"")"),"Das Kamel dreht sich um und schreit den Mann an, der ihn fährt.")</f>
        <v>Das Kamel dreht sich um und schreit den Mann an, der ihn fährt.</v>
      </c>
    </row>
    <row r="6692">
      <c r="A6692" s="4" t="s">
        <v>8405</v>
      </c>
      <c r="B6692" s="4" t="s">
        <v>8412</v>
      </c>
      <c r="C6692" s="5" t="str">
        <f>IFERROR(__xludf.DUMMYFUNCTION("GOOGLETRANSLATE(B6692,""en"",""de"")"),"Der Mann, der reitet, tritt in die Seite und er geht wieder.")</f>
        <v>Der Mann, der reitet, tritt in die Seite und er geht wieder.</v>
      </c>
    </row>
    <row r="6693">
      <c r="A6693" s="4" t="s">
        <v>8413</v>
      </c>
      <c r="B6693" s="4" t="s">
        <v>8414</v>
      </c>
      <c r="C6693" s="5" t="str">
        <f>IFERROR(__xludf.DUMMYFUNCTION("GOOGLETRANSLATE(B6693,""en"",""de"")"),"Mehrere verschiedene Männer versuchen zu schneebooten, fielen aber immer wieder hin.")</f>
        <v>Mehrere verschiedene Männer versuchen zu schneebooten, fielen aber immer wieder hin.</v>
      </c>
    </row>
    <row r="6694">
      <c r="A6694" s="4" t="s">
        <v>8413</v>
      </c>
      <c r="B6694" s="4" t="s">
        <v>8415</v>
      </c>
      <c r="C6694" s="5" t="str">
        <f>IFERROR(__xludf.DUMMYFUNCTION("GOOGLETRANSLATE(B6694,""en"",""de"")"),"Viele verschiedene Menschen sind im Hintergrund und beobachten und tun verschiedene Dinge im Schnee.")</f>
        <v>Viele verschiedene Menschen sind im Hintergrund und beobachten und tun verschiedene Dinge im Schnee.</v>
      </c>
    </row>
    <row r="6695">
      <c r="A6695" s="4" t="s">
        <v>8413</v>
      </c>
      <c r="B6695" s="4" t="s">
        <v>8416</v>
      </c>
      <c r="C6695" s="5" t="str">
        <f>IFERROR(__xludf.DUMMYFUNCTION("GOOGLETRANSLATE(B6695,""en"",""de"")"),"Der Mann, der fiel, gab auf und blieb in einer sitzenden Position.")</f>
        <v>Der Mann, der fiel, gab auf und blieb in einer sitzenden Position.</v>
      </c>
    </row>
    <row r="6696">
      <c r="A6696" s="4" t="s">
        <v>8417</v>
      </c>
      <c r="B6696" s="4" t="s">
        <v>8418</v>
      </c>
      <c r="C6696" s="5" t="str">
        <f>IFERROR(__xludf.DUMMYFUNCTION("GOOGLETRANSLATE(B6696,""en"",""de"")"),"Ein Mann spricht mit der Kamera und hält eine Zigarette hoch.")</f>
        <v>Ein Mann spricht mit der Kamera und hält eine Zigarette hoch.</v>
      </c>
    </row>
    <row r="6697">
      <c r="A6697" s="4" t="s">
        <v>8417</v>
      </c>
      <c r="B6697" s="4" t="s">
        <v>8419</v>
      </c>
      <c r="C6697" s="5" t="str">
        <f>IFERROR(__xludf.DUMMYFUNCTION("GOOGLETRANSLATE(B6697,""en"",""de"")"),"Der Mann nimmt mehrere Puffs aus der Zigarette, während er immer noch zur Kamera zurückblickt.")</f>
        <v>Der Mann nimmt mehrere Puffs aus der Zigarette, während er immer noch zur Kamera zurückblickt.</v>
      </c>
    </row>
    <row r="6698">
      <c r="A6698" s="4" t="s">
        <v>8417</v>
      </c>
      <c r="B6698" s="4" t="s">
        <v>8420</v>
      </c>
      <c r="C6698" s="5" t="str">
        <f>IFERROR(__xludf.DUMMYFUNCTION("GOOGLETRANSLATE(B6698,""en"",""de"")"),"Er raucht weiter und schaut zurück bis zur Kamera.")</f>
        <v>Er raucht weiter und schaut zurück bis zur Kamera.</v>
      </c>
    </row>
    <row r="6699">
      <c r="A6699" s="4" t="s">
        <v>8421</v>
      </c>
      <c r="B6699" s="4" t="s">
        <v>8422</v>
      </c>
      <c r="C6699" s="5" t="str">
        <f>IFERROR(__xludf.DUMMYFUNCTION("GOOGLETRANSLATE(B6699,""en"",""de"")"),"Ein Mann steht auf einem Gericht, das einen Tennisschläger niederlegt.")</f>
        <v>Ein Mann steht auf einem Gericht, das einen Tennisschläger niederlegt.</v>
      </c>
    </row>
    <row r="6700">
      <c r="A6700" s="4" t="s">
        <v>8421</v>
      </c>
      <c r="B6700" s="4" t="s">
        <v>8423</v>
      </c>
      <c r="C6700" s="5" t="str">
        <f>IFERROR(__xludf.DUMMYFUNCTION("GOOGLETRANSLATE(B6700,""en"",""de"")"),"Der Mann hüpft dann den Schläger ab und schlägt den Tennisball, der darüber ausbalanciert wird.")</f>
        <v>Der Mann hüpft dann den Schläger ab und schlägt den Tennisball, der darüber ausbalanciert wird.</v>
      </c>
    </row>
    <row r="6701">
      <c r="A6701" s="4" t="s">
        <v>8421</v>
      </c>
      <c r="B6701" s="4" t="s">
        <v>8424</v>
      </c>
      <c r="C6701" s="5" t="str">
        <f>IFERROR(__xludf.DUMMYFUNCTION("GOOGLETRANSLATE(B6701,""en"",""de"")"),"Sein Treffer wird in Zeitlupe erneut gezeigt.")</f>
        <v>Sein Treffer wird in Zeitlupe erneut gezeigt.</v>
      </c>
    </row>
    <row r="6702">
      <c r="A6702" s="4" t="s">
        <v>8425</v>
      </c>
      <c r="B6702" s="4" t="s">
        <v>8426</v>
      </c>
      <c r="C6702" s="5" t="str">
        <f>IFERROR(__xludf.DUMMYFUNCTION("GOOGLETRANSLATE(B6702,""en"",""de"")"),"Wir sehen einen Jacke in einer Jacke draußen und reden.")</f>
        <v>Wir sehen einen Jacke in einer Jacke draußen und reden.</v>
      </c>
    </row>
    <row r="6703">
      <c r="A6703" s="4" t="s">
        <v>8425</v>
      </c>
      <c r="B6703" s="4" t="s">
        <v>8427</v>
      </c>
      <c r="C6703" s="5" t="str">
        <f>IFERROR(__xludf.DUMMYFUNCTION("GOOGLETRANSLATE(B6703,""en"",""de"")"),"Der Junge geht in ein Gebäude.")</f>
        <v>Der Junge geht in ein Gebäude.</v>
      </c>
    </row>
    <row r="6704">
      <c r="A6704" s="4" t="s">
        <v>8425</v>
      </c>
      <c r="B6704" s="4" t="s">
        <v>8428</v>
      </c>
      <c r="C6704" s="5" t="str">
        <f>IFERROR(__xludf.DUMMYFUNCTION("GOOGLETRANSLATE(B6704,""en"",""de"")"),"Der Junge sitzt auf einem Stuhl und testet einen Haarschnitt.")</f>
        <v>Der Junge sitzt auf einem Stuhl und testet einen Haarschnitt.</v>
      </c>
    </row>
    <row r="6705">
      <c r="A6705" s="4" t="s">
        <v>8425</v>
      </c>
      <c r="B6705" s="4" t="s">
        <v>8429</v>
      </c>
      <c r="C6705" s="5" t="str">
        <f>IFERROR(__xludf.DUMMYFUNCTION("GOOGLETRANSLATE(B6705,""en"",""de"")"),"Die Dame benutzt dann eine Schere.")</f>
        <v>Die Dame benutzt dann eine Schere.</v>
      </c>
    </row>
    <row r="6706">
      <c r="A6706" s="4" t="s">
        <v>8425</v>
      </c>
      <c r="B6706" s="4" t="s">
        <v>8430</v>
      </c>
      <c r="C6706" s="5" t="str">
        <f>IFERROR(__xludf.DUMMYFUNCTION("GOOGLETRANSLATE(B6706,""en"",""de"")"),"Wir sehen das Kind mit seinem neuen Haar geschnitten.")</f>
        <v>Wir sehen das Kind mit seinem neuen Haar geschnitten.</v>
      </c>
    </row>
    <row r="6707">
      <c r="A6707" s="4" t="s">
        <v>8425</v>
      </c>
      <c r="B6707" s="4" t="s">
        <v>8431</v>
      </c>
      <c r="C6707" s="5" t="str">
        <f>IFERROR(__xludf.DUMMYFUNCTION("GOOGLETRANSLATE(B6707,""en"",""de"")"),"Die Dame gibt dem kleinen Jungen einen roten Ballon.")</f>
        <v>Die Dame gibt dem kleinen Jungen einen roten Ballon.</v>
      </c>
    </row>
    <row r="6708">
      <c r="A6708" s="4" t="s">
        <v>8425</v>
      </c>
      <c r="B6708" s="4" t="s">
        <v>8432</v>
      </c>
      <c r="C6708" s="5" t="str">
        <f>IFERROR(__xludf.DUMMYFUNCTION("GOOGLETRANSLATE(B6708,""en"",""de"")"),"Wir sehen den Jungen, als er zur Tür geht.")</f>
        <v>Wir sehen den Jungen, als er zur Tür geht.</v>
      </c>
    </row>
    <row r="6709">
      <c r="A6709" s="4" t="s">
        <v>8433</v>
      </c>
      <c r="B6709" s="4" t="s">
        <v>8434</v>
      </c>
      <c r="C6709" s="5" t="str">
        <f>IFERROR(__xludf.DUMMYFUNCTION("GOOGLETRANSLATE(B6709,""en"",""de"")"),"Ein Mann stellt sich der Kamera vor und sagt, er werde zeigen, wie man ein Feuer baut.")</f>
        <v>Ein Mann stellt sich der Kamera vor und sagt, er werde zeigen, wie man ein Feuer baut.</v>
      </c>
    </row>
    <row r="6710">
      <c r="A6710" s="4" t="s">
        <v>8433</v>
      </c>
      <c r="B6710" s="4" t="s">
        <v>8435</v>
      </c>
      <c r="C6710" s="5" t="str">
        <f>IFERROR(__xludf.DUMMYFUNCTION("GOOGLETRANSLATE(B6710,""en"",""de"")"),"Er beginnt seinen Start Stock zu brechen und legt Blätter am Boden seiner gefüllten Feuerstelle.")</f>
        <v>Er beginnt seinen Start Stock zu brechen und legt Blätter am Boden seiner gefüllten Feuerstelle.</v>
      </c>
    </row>
    <row r="6711">
      <c r="A6711" s="4" t="s">
        <v>8433</v>
      </c>
      <c r="B6711" s="4" t="s">
        <v>8436</v>
      </c>
      <c r="C6711" s="5" t="str">
        <f>IFERROR(__xludf.DUMMYFUNCTION("GOOGLETRANSLATE(B6711,""en"",""de"")"),"Er schaltet das Feuerzeug ein und beginnt unten mit den Blättern.")</f>
        <v>Er schaltet das Feuerzeug ein und beginnt unten mit den Blättern.</v>
      </c>
    </row>
    <row r="6712">
      <c r="A6712" s="4" t="s">
        <v>8433</v>
      </c>
      <c r="B6712" s="4" t="s">
        <v>8437</v>
      </c>
      <c r="C6712" s="5" t="str">
        <f>IFERROR(__xludf.DUMMYFUNCTION("GOOGLETRANSLATE(B6712,""en"",""de"")"),"Wir sehen das volle Feuer nachts.")</f>
        <v>Wir sehen das volle Feuer nachts.</v>
      </c>
    </row>
    <row r="6713">
      <c r="A6713" s="4" t="s">
        <v>8438</v>
      </c>
      <c r="B6713" s="4" t="s">
        <v>8439</v>
      </c>
      <c r="C6713" s="5" t="str">
        <f>IFERROR(__xludf.DUMMYFUNCTION("GOOGLETRANSLATE(B6713,""en"",""de"")"),"Ein Junge in Red Overalls spielt Hopscotch.")</f>
        <v>Ein Junge in Red Overalls spielt Hopscotch.</v>
      </c>
    </row>
    <row r="6714">
      <c r="A6714" s="4" t="s">
        <v>8438</v>
      </c>
      <c r="B6714" s="4" t="s">
        <v>8440</v>
      </c>
      <c r="C6714" s="5" t="str">
        <f>IFERROR(__xludf.DUMMYFUNCTION("GOOGLETRANSLATE(B6714,""en"",""de"")"),"Eine Frau geht hinter ihm und setzt sich hin.")</f>
        <v>Eine Frau geht hinter ihm und setzt sich hin.</v>
      </c>
    </row>
    <row r="6715">
      <c r="A6715" s="4" t="s">
        <v>8438</v>
      </c>
      <c r="B6715" s="4" t="s">
        <v>8441</v>
      </c>
      <c r="C6715" s="5" t="str">
        <f>IFERROR(__xludf.DUMMYFUNCTION("GOOGLETRANSLATE(B6715,""en"",""de"")"),"Der Junge endet und greift nach der Person, die dreht.")</f>
        <v>Der Junge endet und greift nach der Person, die dreht.</v>
      </c>
    </row>
    <row r="6716">
      <c r="A6716" s="4" t="s">
        <v>8442</v>
      </c>
      <c r="B6716" s="4" t="s">
        <v>8443</v>
      </c>
      <c r="C6716" s="5" t="str">
        <f>IFERROR(__xludf.DUMMYFUNCTION("GOOGLETRANSLATE(B6716,""en"",""de"")"),"Vier kleine Mädchen, die in weißen Kleidern mit roten Flügel gekleidet waren, stehen in einer Linie auf einer Bühne und spielen gemeinsam die Geige.")</f>
        <v>Vier kleine Mädchen, die in weißen Kleidern mit roten Flügel gekleidet waren, stehen in einer Linie auf einer Bühne und spielen gemeinsam die Geige.</v>
      </c>
    </row>
    <row r="6717">
      <c r="A6717" s="4" t="s">
        <v>8442</v>
      </c>
      <c r="B6717" s="4" t="s">
        <v>8444</v>
      </c>
      <c r="C6717" s="5" t="str">
        <f>IFERROR(__xludf.DUMMYFUNCTION("GOOGLETRANSLATE(B6717,""en"",""de"")"),"Vier kleine Mädchen spielen auf einer Bühne mit einer rosa Kulisse Violine auf einer Bühne.")</f>
        <v>Vier kleine Mädchen spielen auf einer Bühne mit einer rosa Kulisse Violine auf einer Bühne.</v>
      </c>
    </row>
    <row r="6718">
      <c r="A6718" s="4" t="s">
        <v>8442</v>
      </c>
      <c r="B6718" s="4" t="s">
        <v>8445</v>
      </c>
      <c r="C6718" s="5" t="str">
        <f>IFERROR(__xludf.DUMMYFUNCTION("GOOGLETRANSLATE(B6718,""en"",""de"")"),"Das Mädchen spielt zusammen und benutzt beide Hände, um die Geige zu spielen, bevor sie die Aufführung beendete und zusammen einen Verbeugeren nimmt.")</f>
        <v>Das Mädchen spielt zusammen und benutzt beide Hände, um die Geige zu spielen, bevor sie die Aufführung beendete und zusammen einen Verbeugeren nimmt.</v>
      </c>
    </row>
    <row r="6719">
      <c r="A6719" s="4" t="s">
        <v>8446</v>
      </c>
      <c r="B6719" s="4" t="s">
        <v>8447</v>
      </c>
      <c r="C6719" s="5" t="str">
        <f>IFERROR(__xludf.DUMMYFUNCTION("GOOGLETRANSLATE(B6719,""en"",""de"")"),"Eine kleine Gruppe von Männern wird gesehen, wie sie auf verschiedenen Pferden herumfährt, die Stöcke in der Hand halten und sich auf ein Spiel vorbereiten.")</f>
        <v>Eine kleine Gruppe von Männern wird gesehen, wie sie auf verschiedenen Pferden herumfährt, die Stöcke in der Hand halten und sich auf ein Spiel vorbereiten.</v>
      </c>
    </row>
    <row r="6720">
      <c r="A6720" s="4" t="s">
        <v>8446</v>
      </c>
      <c r="B6720" s="4" t="s">
        <v>8448</v>
      </c>
      <c r="C6720" s="5" t="str">
        <f>IFERROR(__xludf.DUMMYFUNCTION("GOOGLETRANSLATE(B6720,""en"",""de"")"),"Die Männer werfen dann den Ball runter und alle fahren auf Pferden herum, die versuchen, den Ball zu schlagen, und man erzielt ein Tor.")</f>
        <v>Die Männer werfen dann den Ball runter und alle fahren auf Pferden herum, die versuchen, den Ball zu schlagen, und man erzielt ein Tor.</v>
      </c>
    </row>
    <row r="6721">
      <c r="A6721" s="4" t="s">
        <v>8446</v>
      </c>
      <c r="B6721" s="4" t="s">
        <v>8449</v>
      </c>
      <c r="C6721" s="5" t="str">
        <f>IFERROR(__xludf.DUMMYFUNCTION("GOOGLETRANSLATE(B6721,""en"",""de"")"),"Eine Person hält eine Flagge hoch und zeigt anderen Personen, die an den Seiten zuschauen.")</f>
        <v>Eine Person hält eine Flagge hoch und zeigt anderen Personen, die an den Seiten zuschauen.</v>
      </c>
    </row>
    <row r="6722">
      <c r="A6722" s="4" t="s">
        <v>8446</v>
      </c>
      <c r="B6722" s="4" t="s">
        <v>8450</v>
      </c>
      <c r="C6722" s="5" t="str">
        <f>IFERROR(__xludf.DUMMYFUNCTION("GOOGLETRANSLATE(B6722,""en"",""de"")"),"Eine Person erzielt dann zwei weitere Tore und die Torhüter erhöhen jedes Mal ihre Flagge.")</f>
        <v>Eine Person erzielt dann zwei weitere Tore und die Torhüter erhöhen jedes Mal ihre Flagge.</v>
      </c>
    </row>
    <row r="6723">
      <c r="A6723" s="4" t="s">
        <v>8451</v>
      </c>
      <c r="B6723" s="4" t="s">
        <v>8452</v>
      </c>
      <c r="C6723" s="5" t="str">
        <f>IFERROR(__xludf.DUMMYFUNCTION("GOOGLETRANSLATE(B6723,""en"",""de"")"),"Ein Junge hält eine sehr lange Stange.")</f>
        <v>Ein Junge hält eine sehr lange Stange.</v>
      </c>
    </row>
    <row r="6724">
      <c r="A6724" s="4" t="s">
        <v>8451</v>
      </c>
      <c r="B6724" s="4" t="s">
        <v>8453</v>
      </c>
      <c r="C6724" s="5" t="str">
        <f>IFERROR(__xludf.DUMMYFUNCTION("GOOGLETRANSLATE(B6724,""en"",""de"")"),"Die Kamera wird plötzlich aufrecht.")</f>
        <v>Die Kamera wird plötzlich aufrecht.</v>
      </c>
    </row>
    <row r="6725">
      <c r="A6725" s="4" t="s">
        <v>8451</v>
      </c>
      <c r="B6725" s="4" t="s">
        <v>8454</v>
      </c>
      <c r="C6725" s="5" t="str">
        <f>IFERROR(__xludf.DUMMYFUNCTION("GOOGLETRANSLATE(B6725,""en"",""de"")"),"Der Junge rennt mit der Stange und fließt über eine Bar auf eine Matte.")</f>
        <v>Der Junge rennt mit der Stange und fließt über eine Bar auf eine Matte.</v>
      </c>
    </row>
    <row r="6726">
      <c r="A6726" s="4" t="s">
        <v>8455</v>
      </c>
      <c r="B6726" s="4" t="s">
        <v>8456</v>
      </c>
      <c r="C6726" s="5" t="str">
        <f>IFERROR(__xludf.DUMMYFUNCTION("GOOGLETRANSLATE(B6726,""en"",""de"")"),"Eine Einführung kommt auf den Bildschirm für ein Video über das Mischen eines Getränks namens ""Yah Yah"".")</f>
        <v>Eine Einführung kommt auf den Bildschirm für ein Video über das Mischen eines Getränks namens "Yah Yah".</v>
      </c>
    </row>
    <row r="6727">
      <c r="A6727" s="4" t="s">
        <v>8455</v>
      </c>
      <c r="B6727" s="4" t="s">
        <v>8457</v>
      </c>
      <c r="C6727" s="5" t="str">
        <f>IFERROR(__xludf.DUMMYFUNCTION("GOOGLETRANSLATE(B6727,""en"",""de"")"),"Sie geht über alle Zutaten, die für das Getränk benötigt werden.")</f>
        <v>Sie geht über alle Zutaten, die für das Getränk benötigt werden.</v>
      </c>
    </row>
    <row r="6728">
      <c r="A6728" s="4" t="s">
        <v>8455</v>
      </c>
      <c r="B6728" s="4" t="s">
        <v>8458</v>
      </c>
      <c r="C6728" s="5" t="str">
        <f>IFERROR(__xludf.DUMMYFUNCTION("GOOGLETRANSLATE(B6728,""en"",""de"")"),"Sie beginnt zunächst ein Glas und füllt es mit Eis.")</f>
        <v>Sie beginnt zunächst ein Glas und füllt es mit Eis.</v>
      </c>
    </row>
    <row r="6729">
      <c r="A6729" s="4" t="s">
        <v>8455</v>
      </c>
      <c r="B6729" s="4" t="s">
        <v>8459</v>
      </c>
      <c r="C6729" s="5" t="str">
        <f>IFERROR(__xludf.DUMMYFUNCTION("GOOGLETRANSLATE(B6729,""en"",""de"")"),"Sie fügt alle Zutaten zum Glas über dem Eis hinzu.")</f>
        <v>Sie fügt alle Zutaten zum Glas über dem Eis hinzu.</v>
      </c>
    </row>
    <row r="6730">
      <c r="A6730" s="4" t="s">
        <v>8455</v>
      </c>
      <c r="B6730" s="4" t="s">
        <v>4959</v>
      </c>
      <c r="C6730" s="5" t="str">
        <f>IFERROR(__xludf.DUMMYFUNCTION("GOOGLETRANSLATE(B6730,""en"",""de"")"),"Das Video endet mit den Schlussguthaben.")</f>
        <v>Das Video endet mit den Schlussguthaben.</v>
      </c>
    </row>
    <row r="6731">
      <c r="A6731" s="4" t="s">
        <v>8460</v>
      </c>
      <c r="B6731" s="4" t="s">
        <v>8461</v>
      </c>
      <c r="C6731" s="5" t="str">
        <f>IFERROR(__xludf.DUMMYFUNCTION("GOOGLETRANSLATE(B6731,""en"",""de"")"),"Wir sehen eine Person, die etwas schwenkt.")</f>
        <v>Wir sehen eine Person, die etwas schwenkt.</v>
      </c>
    </row>
    <row r="6732">
      <c r="A6732" s="4" t="s">
        <v>8460</v>
      </c>
      <c r="B6732" s="4" t="s">
        <v>8462</v>
      </c>
      <c r="C6732" s="5" t="str">
        <f>IFERROR(__xludf.DUMMYFUNCTION("GOOGLETRANSLATE(B6732,""en"",""de"")"),"Ein weißer Bildschirm dann zwei Jungen in der Küche.")</f>
        <v>Ein weißer Bildschirm dann zwei Jungen in der Küche.</v>
      </c>
    </row>
    <row r="6733">
      <c r="A6733" s="4" t="s">
        <v>8460</v>
      </c>
      <c r="B6733" s="4" t="s">
        <v>8463</v>
      </c>
      <c r="C6733" s="5" t="str">
        <f>IFERROR(__xludf.DUMMYFUNCTION("GOOGLETRANSLATE(B6733,""en"",""de"")"),"Wir sehen einen Zähler mit Zutat.")</f>
        <v>Wir sehen einen Zähler mit Zutat.</v>
      </c>
    </row>
    <row r="6734">
      <c r="A6734" s="4" t="s">
        <v>8460</v>
      </c>
      <c r="B6734" s="4" t="s">
        <v>8464</v>
      </c>
      <c r="C6734" s="5" t="str">
        <f>IFERROR(__xludf.DUMMYFUNCTION("GOOGLETRANSLATE(B6734,""en"",""de"")"),"Die Jungen mischen dann Zutaten in einer Schüssel.")</f>
        <v>Die Jungen mischen dann Zutaten in einer Schüssel.</v>
      </c>
    </row>
    <row r="6735">
      <c r="A6735" s="4" t="s">
        <v>8460</v>
      </c>
      <c r="B6735" s="4" t="s">
        <v>8465</v>
      </c>
      <c r="C6735" s="5" t="str">
        <f>IFERROR(__xludf.DUMMYFUNCTION("GOOGLETRANSLATE(B6735,""en"",""de"")"),"Wir sehen, wie eine Person Mehl in einer Schüssel verschiebt.")</f>
        <v>Wir sehen, wie eine Person Mehl in einer Schüssel verschiebt.</v>
      </c>
    </row>
    <row r="6736">
      <c r="A6736" s="4" t="s">
        <v>8460</v>
      </c>
      <c r="B6736" s="4" t="s">
        <v>8466</v>
      </c>
      <c r="C6736" s="5" t="str">
        <f>IFERROR(__xludf.DUMMYFUNCTION("GOOGLETRANSLATE(B6736,""en"",""de"")"),"Jemand rührt den Keksteig in einer Schüssel.")</f>
        <v>Jemand rührt den Keksteig in einer Schüssel.</v>
      </c>
    </row>
    <row r="6737">
      <c r="A6737" s="4" t="s">
        <v>8460</v>
      </c>
      <c r="B6737" s="4" t="s">
        <v>8467</v>
      </c>
      <c r="C6737" s="5" t="str">
        <f>IFERROR(__xludf.DUMMYFUNCTION("GOOGLETRANSLATE(B6737,""en"",""de"")"),"Der Teig wird auf ein Blatt gestellt.")</f>
        <v>Der Teig wird auf ein Blatt gestellt.</v>
      </c>
    </row>
    <row r="6738">
      <c r="A6738" s="4" t="s">
        <v>8460</v>
      </c>
      <c r="B6738" s="4" t="s">
        <v>8468</v>
      </c>
      <c r="C6738" s="5" t="str">
        <f>IFERROR(__xludf.DUMMYFUNCTION("GOOGLETRANSLATE(B6738,""en"",""de"")"),"Ein Junge wäscht das Geschirr.")</f>
        <v>Ein Junge wäscht das Geschirr.</v>
      </c>
    </row>
    <row r="6739">
      <c r="A6739" s="4" t="s">
        <v>8460</v>
      </c>
      <c r="B6739" s="4" t="s">
        <v>8469</v>
      </c>
      <c r="C6739" s="5" t="str">
        <f>IFERROR(__xludf.DUMMYFUNCTION("GOOGLETRANSLATE(B6739,""en"",""de"")"),"Die Kekse werden in einen Ofen gesteckt.")</f>
        <v>Die Kekse werden in einen Ofen gesteckt.</v>
      </c>
    </row>
    <row r="6740">
      <c r="A6740" s="4" t="s">
        <v>8460</v>
      </c>
      <c r="B6740" s="4" t="s">
        <v>8470</v>
      </c>
      <c r="C6740" s="5" t="str">
        <f>IFERROR(__xludf.DUMMYFUNCTION("GOOGLETRANSLATE(B6740,""en"",""de"")"),"Ein Junge spielt eine Gitarre, die der andere Junge singt.")</f>
        <v>Ein Junge spielt eine Gitarre, die der andere Junge singt.</v>
      </c>
    </row>
    <row r="6741">
      <c r="A6741" s="4" t="s">
        <v>8460</v>
      </c>
      <c r="B6741" s="4" t="s">
        <v>8471</v>
      </c>
      <c r="C6741" s="5" t="str">
        <f>IFERROR(__xludf.DUMMYFUNCTION("GOOGLETRANSLATE(B6741,""en"",""de"")"),"Jeder Junge isst einen Keks und wir sehen sie aus dem Ofen.")</f>
        <v>Jeder Junge isst einen Keks und wir sehen sie aus dem Ofen.</v>
      </c>
    </row>
    <row r="6742">
      <c r="A6742" s="4" t="s">
        <v>8460</v>
      </c>
      <c r="B6742" s="4" t="s">
        <v>8472</v>
      </c>
      <c r="C6742" s="5" t="str">
        <f>IFERROR(__xludf.DUMMYFUNCTION("GOOGLETRANSLATE(B6742,""en"",""de"")"),"Ein gestoßener Keks bricht auseinander.")</f>
        <v>Ein gestoßener Keks bricht auseinander.</v>
      </c>
    </row>
    <row r="6743">
      <c r="A6743" s="4" t="s">
        <v>8460</v>
      </c>
      <c r="B6743" s="4" t="s">
        <v>8473</v>
      </c>
      <c r="C6743" s="5" t="str">
        <f>IFERROR(__xludf.DUMMYFUNCTION("GOOGLETRANSLATE(B6743,""en"",""de"")"),"Ein Junge schüttelt den Kopf Ja und spielt mit einem großen schwarzen Hund.")</f>
        <v>Ein Junge schüttelt den Kopf Ja und spielt mit einem großen schwarzen Hund.</v>
      </c>
    </row>
    <row r="6744">
      <c r="A6744" s="4" t="s">
        <v>8474</v>
      </c>
      <c r="B6744" s="4" t="s">
        <v>8475</v>
      </c>
      <c r="C6744" s="5" t="str">
        <f>IFERROR(__xludf.DUMMYFUNCTION("GOOGLETRANSLATE(B6744,""en"",""de"")"),"Ein Mann zeigt, dass er sein Gesicht mit Wasser in ein Waschbecken wäscht und Lotion in seine Hand steckt.")</f>
        <v>Ein Mann zeigt, dass er sein Gesicht mit Wasser in ein Waschbecken wäscht und Lotion in seine Hand steckt.</v>
      </c>
    </row>
    <row r="6745">
      <c r="A6745" s="4" t="s">
        <v>8474</v>
      </c>
      <c r="B6745" s="4" t="s">
        <v>8476</v>
      </c>
      <c r="C6745" s="5" t="str">
        <f>IFERROR(__xludf.DUMMYFUNCTION("GOOGLETRANSLATE(B6745,""en"",""de"")"),"Er reibt die Seife in seinen Händen zusammen und massiert gründlich in sein Gesicht.")</f>
        <v>Er reibt die Seife in seinen Händen zusammen und massiert gründlich in sein Gesicht.</v>
      </c>
    </row>
    <row r="6746">
      <c r="A6746" s="4" t="s">
        <v>8474</v>
      </c>
      <c r="B6746" s="4" t="s">
        <v>8477</v>
      </c>
      <c r="C6746" s="5" t="str">
        <f>IFERROR(__xludf.DUMMYFUNCTION("GOOGLETRANSLATE(B6746,""en"",""de"")"),"Dann wischt er sich das Gesicht mit einem Handtuch ab und spricht mit der Kamera und gießt mehr Lotion ein.")</f>
        <v>Dann wischt er sich das Gesicht mit einem Handtuch ab und spricht mit der Kamera und gießt mehr Lotion ein.</v>
      </c>
    </row>
    <row r="6747">
      <c r="A6747" s="4" t="s">
        <v>8474</v>
      </c>
      <c r="B6747" s="4" t="s">
        <v>8478</v>
      </c>
      <c r="C6747" s="5" t="str">
        <f>IFERROR(__xludf.DUMMYFUNCTION("GOOGLETRANSLATE(B6747,""en"",""de"")"),"Er drückt erneut die Lotion ins Gesicht und eine Zusammenfassung wird von seinem Gesicht gezeigt.")</f>
        <v>Er drückt erneut die Lotion ins Gesicht und eine Zusammenfassung wird von seinem Gesicht gezeigt.</v>
      </c>
    </row>
    <row r="6748">
      <c r="A6748" s="4" t="s">
        <v>8479</v>
      </c>
      <c r="B6748" s="4" t="s">
        <v>8480</v>
      </c>
      <c r="C6748" s="5" t="str">
        <f>IFERROR(__xludf.DUMMYFUNCTION("GOOGLETRANSLATE(B6748,""en"",""de"")"),"Eine Gruppe junger Leute spielt auf einem Feld Feldhockey, während ein Mann aus einem Zaun, der an das Spielfeld greift, zu beobachtet.")</f>
        <v>Eine Gruppe junger Leute spielt auf einem Feld Feldhockey, während ein Mann aus einem Zaun, der an das Spielfeld greift, zu beobachtet.</v>
      </c>
    </row>
    <row r="6749">
      <c r="A6749" s="4" t="s">
        <v>8479</v>
      </c>
      <c r="B6749" s="4" t="s">
        <v>8481</v>
      </c>
      <c r="C6749" s="5" t="str">
        <f>IFERROR(__xludf.DUMMYFUNCTION("GOOGLETRANSLATE(B6749,""en"",""de"")"),"Ein Mann im Feldhockey -Tor steht in der Mitte eines Semi -Kreises, der von jungen Menschen, die in Feldhockeykleidung gekleidet sind, gebildet werden.")</f>
        <v>Ein Mann im Feldhockey -Tor steht in der Mitte eines Semi -Kreises, der von jungen Menschen, die in Feldhockeykleidung gekleidet sind, gebildet werden.</v>
      </c>
    </row>
    <row r="6750">
      <c r="A6750" s="4" t="s">
        <v>8479</v>
      </c>
      <c r="B6750" s="4" t="s">
        <v>8482</v>
      </c>
      <c r="C6750" s="5" t="str">
        <f>IFERROR(__xludf.DUMMYFUNCTION("GOOGLETRANSLATE(B6750,""en"",""de"")"),"Der Mann interviewt von der Seitenlinie, während die Menschen Feldhockey spielen und irgendwann von den Spielern ein Burgunder -Trikot präsentiert wird.")</f>
        <v>Der Mann interviewt von der Seitenlinie, während die Menschen Feldhockey spielen und irgendwann von den Spielern ein Burgunder -Trikot präsentiert wird.</v>
      </c>
    </row>
    <row r="6751">
      <c r="A6751" s="4" t="s">
        <v>8479</v>
      </c>
      <c r="B6751" s="4" t="s">
        <v>8483</v>
      </c>
      <c r="C6751" s="5" t="str">
        <f>IFERROR(__xludf.DUMMYFUNCTION("GOOGLETRANSLATE(B6751,""en"",""de"")"),"Der Mann spielt dann ein Spielfeldhockey, in dem er im Semi -Kreis endet und wieder einen Ball auf und ab wirft und in die Kamera schaut, während er von Spielern umgeben ist.")</f>
        <v>Der Mann spielt dann ein Spielfeldhockey, in dem er im Semi -Kreis endet und wieder einen Ball auf und ab wirft und in die Kamera schaut, während er von Spielern umgeben ist.</v>
      </c>
    </row>
    <row r="6752">
      <c r="A6752" s="4" t="s">
        <v>8484</v>
      </c>
      <c r="B6752" s="4" t="s">
        <v>8485</v>
      </c>
      <c r="C6752" s="5" t="str">
        <f>IFERROR(__xludf.DUMMYFUNCTION("GOOGLETRANSLATE(B6752,""en"",""de"")"),"Ein Mann betritt einen Raum und stapelt Gips auf eine Basis.")</f>
        <v>Ein Mann betritt einen Raum und stapelt Gips auf eine Basis.</v>
      </c>
    </row>
    <row r="6753">
      <c r="A6753" s="4" t="s">
        <v>8484</v>
      </c>
      <c r="B6753" s="4" t="s">
        <v>8486</v>
      </c>
      <c r="C6753" s="5" t="str">
        <f>IFERROR(__xludf.DUMMYFUNCTION("GOOGLETRANSLATE(B6753,""en"",""de"")"),"Der Mann fügt Wischen des Gips an der Wand hinzu, bekommt dann mehr und fügt ihn hinzu.")</f>
        <v>Der Mann fügt Wischen des Gips an der Wand hinzu, bekommt dann mehr und fügt ihn hinzu.</v>
      </c>
    </row>
    <row r="6754">
      <c r="A6754" s="4" t="s">
        <v>8484</v>
      </c>
      <c r="B6754" s="4" t="s">
        <v>8487</v>
      </c>
      <c r="C6754" s="5" t="str">
        <f>IFERROR(__xludf.DUMMYFUNCTION("GOOGLETRANSLATE(B6754,""en"",""de"")"),"Der Mann bekommt mehr Gips und wischt ihn an die Wand.")</f>
        <v>Der Mann bekommt mehr Gips und wischt ihn an die Wand.</v>
      </c>
    </row>
    <row r="6755">
      <c r="A6755" s="4" t="s">
        <v>8484</v>
      </c>
      <c r="B6755" s="4" t="s">
        <v>8488</v>
      </c>
      <c r="C6755" s="5" t="str">
        <f>IFERROR(__xludf.DUMMYFUNCTION("GOOGLETRANSLATE(B6755,""en"",""de"")"),"Der Mann geht dann und schaltet die Kamera aus.")</f>
        <v>Der Mann geht dann und schaltet die Kamera aus.</v>
      </c>
    </row>
    <row r="6756">
      <c r="A6756" s="4" t="s">
        <v>8489</v>
      </c>
      <c r="B6756" s="4" t="s">
        <v>8490</v>
      </c>
      <c r="C6756" s="5" t="str">
        <f>IFERROR(__xludf.DUMMYFUNCTION("GOOGLETRANSLATE(B6756,""en"",""de"")"),"Mann und Frau stehen auf einem großen Felsen, der in einen See springt.")</f>
        <v>Mann und Frau stehen auf einem großen Felsen, der in einen See springt.</v>
      </c>
    </row>
    <row r="6757">
      <c r="A6757" s="4" t="s">
        <v>8489</v>
      </c>
      <c r="B6757" s="4" t="s">
        <v>8491</v>
      </c>
      <c r="C6757" s="5" t="str">
        <f>IFERROR(__xludf.DUMMYFUNCTION("GOOGLETRANSLATE(B6757,""en"",""de"")"),"Die Jungs sitzen auf einer Seite des Felsens und reden mit einer Frau am See.")</f>
        <v>Die Jungs sitzen auf einer Seite des Felsens und reden mit einer Frau am See.</v>
      </c>
    </row>
    <row r="6758">
      <c r="A6758" s="4" t="s">
        <v>8492</v>
      </c>
      <c r="B6758" s="4" t="s">
        <v>8493</v>
      </c>
      <c r="C6758" s="5" t="str">
        <f>IFERROR(__xludf.DUMMYFUNCTION("GOOGLETRANSLATE(B6758,""en"",""de"")"),"In der Nähe des Ozeans wird eine große Klippe gesehen.")</f>
        <v>In der Nähe des Ozeans wird eine große Klippe gesehen.</v>
      </c>
    </row>
    <row r="6759">
      <c r="A6759" s="4" t="s">
        <v>8492</v>
      </c>
      <c r="B6759" s="4" t="s">
        <v>8494</v>
      </c>
      <c r="C6759" s="5" t="str">
        <f>IFERROR(__xludf.DUMMYFUNCTION("GOOGLETRANSLATE(B6759,""en"",""de"")"),"Mehrere Boote befinden sich in der Nähe und die Menschen durch die Gegend Kajakfahren.")</f>
        <v>Mehrere Boote befinden sich in der Nähe und die Menschen durch die Gegend Kajakfahren.</v>
      </c>
    </row>
    <row r="6760">
      <c r="A6760" s="4" t="s">
        <v>8492</v>
      </c>
      <c r="B6760" s="4" t="s">
        <v>8495</v>
      </c>
      <c r="C6760" s="5" t="str">
        <f>IFERROR(__xludf.DUMMYFUNCTION("GOOGLETRANSLATE(B6760,""en"",""de"")"),"Ein Mann seilt die Seite der Klippe hoch.")</f>
        <v>Ein Mann seilt die Seite der Klippe hoch.</v>
      </c>
    </row>
    <row r="6761">
      <c r="A6761" s="4" t="s">
        <v>8492</v>
      </c>
      <c r="B6761" s="4" t="s">
        <v>8496</v>
      </c>
      <c r="C6761" s="5" t="str">
        <f>IFERROR(__xludf.DUMMYFUNCTION("GOOGLETRANSLATE(B6761,""en"",""de"")"),"Er steht triumphierend auf der Rückseite eines kleinen Bootes.")</f>
        <v>Er steht triumphierend auf der Rückseite eines kleinen Bootes.</v>
      </c>
    </row>
    <row r="6762">
      <c r="A6762" s="4" t="s">
        <v>8497</v>
      </c>
      <c r="B6762" s="4" t="s">
        <v>8498</v>
      </c>
      <c r="C6762" s="5" t="str">
        <f>IFERROR(__xludf.DUMMYFUNCTION("GOOGLETRANSLATE(B6762,""en"",""de"")"),"Ein Mann demonstriert Tai Chi -Kampf mit einer anderen Person.")</f>
        <v>Ein Mann demonstriert Tai Chi -Kampf mit einer anderen Person.</v>
      </c>
    </row>
    <row r="6763">
      <c r="A6763" s="4" t="s">
        <v>8497</v>
      </c>
      <c r="B6763" s="4" t="s">
        <v>8499</v>
      </c>
      <c r="C6763" s="5" t="str">
        <f>IFERROR(__xludf.DUMMYFUNCTION("GOOGLETRANSLATE(B6763,""en"",""de"")"),"Der Mann führt Tai Chi während des Redens durch, dann zeigt er die Bewegungen mit dem Mann.")</f>
        <v>Der Mann führt Tai Chi während des Redens durch, dann zeigt er die Bewegungen mit dem Mann.</v>
      </c>
    </row>
    <row r="6764">
      <c r="A6764" s="4" t="s">
        <v>8497</v>
      </c>
      <c r="B6764" s="4" t="s">
        <v>8500</v>
      </c>
      <c r="C6764" s="5" t="str">
        <f>IFERROR(__xludf.DUMMYFUNCTION("GOOGLETRANSLATE(B6764,""en"",""de"")"),"Danach bewegt der Mann den Körper und die Hände, während er erklärt.")</f>
        <v>Danach bewegt der Mann den Körper und die Hände, während er erklärt.</v>
      </c>
    </row>
    <row r="6765">
      <c r="A6765" s="4" t="s">
        <v>8501</v>
      </c>
      <c r="B6765" s="4" t="s">
        <v>8502</v>
      </c>
      <c r="C6765" s="5" t="str">
        <f>IFERROR(__xludf.DUMMYFUNCTION("GOOGLETRANSLATE(B6765,""en"",""de"")"),"Ein Paar Schuhe befindet sich auf dem Boden und ein Mann, der Socken trägt, steht hinter ihnen.")</f>
        <v>Ein Paar Schuhe befindet sich auf dem Boden und ein Mann, der Socken trägt, steht hinter ihnen.</v>
      </c>
    </row>
    <row r="6766">
      <c r="A6766" s="4" t="s">
        <v>8501</v>
      </c>
      <c r="B6766" s="4" t="s">
        <v>8503</v>
      </c>
      <c r="C6766" s="5" t="str">
        <f>IFERROR(__xludf.DUMMYFUNCTION("GOOGLETRANSLATE(B6766,""en"",""de"")"),"Er nimmt einen Schuhlauf heraus und beginnt die Schuhe zu schnüren.")</f>
        <v>Er nimmt einen Schuhlauf heraus und beginnt die Schuhe zu schnüren.</v>
      </c>
    </row>
    <row r="6767">
      <c r="A6767" s="4" t="s">
        <v>8501</v>
      </c>
      <c r="B6767" s="4" t="s">
        <v>8504</v>
      </c>
      <c r="C6767" s="5" t="str">
        <f>IFERROR(__xludf.DUMMYFUNCTION("GOOGLETRANSLATE(B6767,""en"",""de"")"),"Dann zieht er die Schuhe an und zeigt, wie sie aussehen.")</f>
        <v>Dann zieht er die Schuhe an und zeigt, wie sie aussehen.</v>
      </c>
    </row>
    <row r="6768">
      <c r="A6768" s="4" t="s">
        <v>8505</v>
      </c>
      <c r="B6768" s="4" t="s">
        <v>8506</v>
      </c>
      <c r="C6768" s="5" t="str">
        <f>IFERROR(__xludf.DUMMYFUNCTION("GOOGLETRANSLATE(B6768,""en"",""de"")"),"Es werden Szenen eines kleinen ländlichen Dorfes unter einem starken Regensturm gezeigt.")</f>
        <v>Es werden Szenen eines kleinen ländlichen Dorfes unter einem starken Regensturm gezeigt.</v>
      </c>
    </row>
    <row r="6769">
      <c r="A6769" s="4" t="s">
        <v>8505</v>
      </c>
      <c r="B6769" s="4" t="s">
        <v>8507</v>
      </c>
      <c r="C6769" s="5" t="str">
        <f>IFERROR(__xludf.DUMMYFUNCTION("GOOGLETRANSLATE(B6769,""en"",""de"")"),"Eine Frau wäscht Gegenstände durch einen Behälter im Regen, während andere Personen herumstehen.")</f>
        <v>Eine Frau wäscht Gegenstände durch einen Behälter im Regen, während andere Personen herumstehen.</v>
      </c>
    </row>
    <row r="6770">
      <c r="A6770" s="4" t="s">
        <v>8505</v>
      </c>
      <c r="B6770" s="4" t="s">
        <v>8508</v>
      </c>
      <c r="C6770" s="5" t="str">
        <f>IFERROR(__xludf.DUMMYFUNCTION("GOOGLETRANSLATE(B6770,""en"",""de"")"),"Eine Nahaufnahme eines Waschbeckens durch den Behälter wird gezeigt.")</f>
        <v>Eine Nahaufnahme eines Waschbeckens durch den Behälter wird gezeigt.</v>
      </c>
    </row>
    <row r="6771">
      <c r="A6771" s="4" t="s">
        <v>8509</v>
      </c>
      <c r="B6771" s="4" t="s">
        <v>8510</v>
      </c>
      <c r="C6771" s="5" t="str">
        <f>IFERROR(__xludf.DUMMYFUNCTION("GOOGLETRANSLATE(B6771,""en"",""de"")"),"Eine Frau steht auf einem Übungsgerät und bewegt sich um.")</f>
        <v>Eine Frau steht auf einem Übungsgerät und bewegt sich um.</v>
      </c>
    </row>
    <row r="6772">
      <c r="A6772" s="4" t="s">
        <v>8509</v>
      </c>
      <c r="B6772" s="4" t="s">
        <v>8511</v>
      </c>
      <c r="C6772" s="5" t="str">
        <f>IFERROR(__xludf.DUMMYFUNCTION("GOOGLETRANSLATE(B6772,""en"",""de"")"),"Die Frau bewegt ihre Füße auf der Maschine und zeigt, wie die Maschine funktioniert.")</f>
        <v>Die Frau bewegt ihre Füße auf der Maschine und zeigt, wie die Maschine funktioniert.</v>
      </c>
    </row>
    <row r="6773">
      <c r="A6773" s="4" t="s">
        <v>8509</v>
      </c>
      <c r="B6773" s="4" t="s">
        <v>8512</v>
      </c>
      <c r="C6773" s="5" t="str">
        <f>IFERROR(__xludf.DUMMYFUNCTION("GOOGLETRANSLATE(B6773,""en"",""de"")"),"Ein anderer Mann wird trainiert und endet mit Text auf dem Bildschirm.")</f>
        <v>Ein anderer Mann wird trainiert und endet mit Text auf dem Bildschirm.</v>
      </c>
    </row>
    <row r="6774">
      <c r="A6774" s="4" t="s">
        <v>8513</v>
      </c>
      <c r="B6774" s="4" t="s">
        <v>8514</v>
      </c>
      <c r="C6774" s="5" t="str">
        <f>IFERROR(__xludf.DUMMYFUNCTION("GOOGLETRANSLATE(B6774,""en"",""de"")"),"Eine Frau sitzt auf einem Stuhl, der mit anderen neben ihr nach unten schaut.")</f>
        <v>Eine Frau sitzt auf einem Stuhl, der mit anderen neben ihr nach unten schaut.</v>
      </c>
    </row>
    <row r="6775">
      <c r="A6775" s="4" t="s">
        <v>8513</v>
      </c>
      <c r="B6775" s="4" t="s">
        <v>8515</v>
      </c>
      <c r="C6775" s="5" t="str">
        <f>IFERROR(__xludf.DUMMYFUNCTION("GOOGLETRANSLATE(B6775,""en"",""de"")"),"Die Kamera schwenkt rund um die Menschen und führt dazu, dass man ein Objekt auf sein Bein legt.")</f>
        <v>Die Kamera schwenkt rund um die Menschen und führt dazu, dass man ein Objekt auf sein Bein legt.</v>
      </c>
    </row>
    <row r="6776">
      <c r="A6776" s="4" t="s">
        <v>8513</v>
      </c>
      <c r="B6776" s="4" t="s">
        <v>8516</v>
      </c>
      <c r="C6776" s="5" t="str">
        <f>IFERROR(__xludf.DUMMYFUNCTION("GOOGLETRANSLATE(B6776,""en"",""de"")"),"Sie zerreißt das Objekt, das die Haare sowie sein Bein und andere lachen.")</f>
        <v>Sie zerreißt das Objekt, das die Haare sowie sein Bein und andere lachen.</v>
      </c>
    </row>
    <row r="6777">
      <c r="A6777" s="4" t="s">
        <v>8517</v>
      </c>
      <c r="B6777" s="4" t="s">
        <v>8518</v>
      </c>
      <c r="C6777" s="5" t="str">
        <f>IFERROR(__xludf.DUMMYFUNCTION("GOOGLETRANSLATE(B6777,""en"",""de"")"),"Ein Polizist dreht sich beim Tanzen herum.")</f>
        <v>Ein Polizist dreht sich beim Tanzen herum.</v>
      </c>
    </row>
    <row r="6778">
      <c r="A6778" s="4" t="s">
        <v>8517</v>
      </c>
      <c r="B6778" s="4" t="s">
        <v>8519</v>
      </c>
      <c r="C6778" s="5" t="str">
        <f>IFERROR(__xludf.DUMMYFUNCTION("GOOGLETRANSLATE(B6778,""en"",""de"")"),"Der Junge steht.")</f>
        <v>Der Junge steht.</v>
      </c>
    </row>
    <row r="6779">
      <c r="A6779" s="4" t="s">
        <v>8517</v>
      </c>
      <c r="B6779" s="4" t="s">
        <v>8520</v>
      </c>
      <c r="C6779" s="5" t="str">
        <f>IFERROR(__xludf.DUMMYFUNCTION("GOOGLETRANSLATE(B6779,""en"",""de"")"),"Der Polizist tanzt eine Disco John Travolta.")</f>
        <v>Der Polizist tanzt eine Disco John Travolta.</v>
      </c>
    </row>
    <row r="6780">
      <c r="A6780" s="4" t="s">
        <v>8517</v>
      </c>
      <c r="B6780" s="4" t="s">
        <v>8521</v>
      </c>
      <c r="C6780" s="5" t="str">
        <f>IFERROR(__xludf.DUMMYFUNCTION("GOOGLETRANSLATE(B6780,""en"",""de"")"),"Der Polizeibeamte macht eine Pausen -Tanzroutine.")</f>
        <v>Der Polizeibeamte macht eine Pausen -Tanzroutine.</v>
      </c>
    </row>
    <row r="6781">
      <c r="A6781" s="4" t="s">
        <v>8517</v>
      </c>
      <c r="B6781" s="4" t="s">
        <v>8522</v>
      </c>
      <c r="C6781" s="5" t="str">
        <f>IFERROR(__xludf.DUMMYFUNCTION("GOOGLETRANSLATE(B6781,""en"",""de"")"),"Die Gruppe der Kinder geht zusammen auf dem Gras.")</f>
        <v>Die Gruppe der Kinder geht zusammen auf dem Gras.</v>
      </c>
    </row>
    <row r="6782">
      <c r="A6782" s="4" t="s">
        <v>8523</v>
      </c>
      <c r="B6782" s="4" t="s">
        <v>8524</v>
      </c>
      <c r="C6782" s="5" t="str">
        <f>IFERROR(__xludf.DUMMYFUNCTION("GOOGLETRANSLATE(B6782,""en"",""de"")"),"Eine große Gruppe von Menschen steht auf jeder Seite eines Seils, wobei viele Menschen an den Seiten zuschauen.")</f>
        <v>Eine große Gruppe von Menschen steht auf jeder Seite eines Seils, wobei viele Menschen an den Seiten zuschauen.</v>
      </c>
    </row>
    <row r="6783">
      <c r="A6783" s="4" t="s">
        <v>8523</v>
      </c>
      <c r="B6783" s="4" t="s">
        <v>8525</v>
      </c>
      <c r="C6783" s="5" t="str">
        <f>IFERROR(__xludf.DUMMYFUNCTION("GOOGLETRANSLATE(B6783,""en"",""de"")"),"Die Männer beginnen dann ein Tauziehen miteinander miteinander, wobei ein Mann Teams auf der Seite hilft, und endet damit, dass ein Team herunterfällt.")</f>
        <v>Die Männer beginnen dann ein Tauziehen miteinander miteinander, wobei ein Mann Teams auf der Seite hilft, und endet damit, dass ein Team herunterfällt.</v>
      </c>
    </row>
    <row r="6784">
      <c r="A6784" s="4" t="s">
        <v>8526</v>
      </c>
      <c r="B6784" s="4" t="s">
        <v>8527</v>
      </c>
      <c r="C6784" s="5" t="str">
        <f>IFERROR(__xludf.DUMMYFUNCTION("GOOGLETRANSLATE(B6784,""en"",""de"")"),"Ein Mann steht vor einem Netz.")</f>
        <v>Ein Mann steht vor einem Netz.</v>
      </c>
    </row>
    <row r="6785">
      <c r="A6785" s="4" t="s">
        <v>8526</v>
      </c>
      <c r="B6785" s="4" t="s">
        <v>8528</v>
      </c>
      <c r="C6785" s="5" t="str">
        <f>IFERROR(__xludf.DUMMYFUNCTION("GOOGLETRANSLATE(B6785,""en"",""de"")"),"Ein Mann steht vor einem Holzzaun.")</f>
        <v>Ein Mann steht vor einem Holzzaun.</v>
      </c>
    </row>
    <row r="6786">
      <c r="A6786" s="4" t="s">
        <v>8526</v>
      </c>
      <c r="B6786" s="4" t="s">
        <v>8529</v>
      </c>
      <c r="C6786" s="5" t="str">
        <f>IFERROR(__xludf.DUMMYFUNCTION("GOOGLETRANSLATE(B6786,""en"",""de"")"),"Männer spielen Lacrosse auf einem Feld.")</f>
        <v>Männer spielen Lacrosse auf einem Feld.</v>
      </c>
    </row>
    <row r="6787">
      <c r="A6787" s="4" t="s">
        <v>8530</v>
      </c>
      <c r="B6787" s="4" t="s">
        <v>8531</v>
      </c>
      <c r="C6787" s="5" t="str">
        <f>IFERROR(__xludf.DUMMYFUNCTION("GOOGLETRANSLATE(B6787,""en"",""de"")"),"Ein Mann fährt im Kreis ein Motorrad mit vier Rädern in einem Feld mit hohem Unkraut, während Staub.")</f>
        <v>Ein Mann fährt im Kreis ein Motorrad mit vier Rädern in einem Feld mit hohem Unkraut, während Staub.</v>
      </c>
    </row>
    <row r="6788">
      <c r="A6788" s="4" t="s">
        <v>8530</v>
      </c>
      <c r="B6788" s="4" t="s">
        <v>8532</v>
      </c>
      <c r="C6788" s="5" t="str">
        <f>IFERROR(__xludf.DUMMYFUNCTION("GOOGLETRANSLATE(B6788,""en"",""de"")"),"Dann geht der Mann an einen anderen Ort, um im Kreis weiter zu fahren.")</f>
        <v>Dann geht der Mann an einen anderen Ort, um im Kreis weiter zu fahren.</v>
      </c>
    </row>
    <row r="6789">
      <c r="A6789" s="4" t="s">
        <v>8533</v>
      </c>
      <c r="B6789" s="4" t="s">
        <v>8534</v>
      </c>
      <c r="C6789" s="5" t="str">
        <f>IFERROR(__xludf.DUMMYFUNCTION("GOOGLETRANSLATE(B6789,""en"",""de"")"),"Zwei Personen sitzen vor Kameras, die Instrumente spielen, während die Kamera zoomt.")</f>
        <v>Zwei Personen sitzen vor Kameras, die Instrumente spielen, während die Kamera zoomt.</v>
      </c>
    </row>
    <row r="6790">
      <c r="A6790" s="4" t="s">
        <v>8533</v>
      </c>
      <c r="B6790" s="4" t="s">
        <v>8535</v>
      </c>
      <c r="C6790" s="5" t="str">
        <f>IFERROR(__xludf.DUMMYFUNCTION("GOOGLETRANSLATE(B6790,""en"",""de"")"),"Der Mann singt dann zur Kamera, während er sein Instrument spielt, und spricht mit der Kamera und endet damit, dass die beiden wieder spielen.")</f>
        <v>Der Mann singt dann zur Kamera, während er sein Instrument spielt, und spricht mit der Kamera und endet damit, dass die beiden wieder spielen.</v>
      </c>
    </row>
    <row r="6791">
      <c r="A6791" s="4" t="s">
        <v>8536</v>
      </c>
      <c r="B6791" s="4" t="s">
        <v>8537</v>
      </c>
      <c r="C6791" s="5" t="str">
        <f>IFERROR(__xludf.DUMMYFUNCTION("GOOGLETRANSLATE(B6791,""en"",""de"")"),"Es gibt einen Mann, der ein blaues Hemd und einen anderen Mann in Schwarz trägt, der auf einem Felsen sitzt und über Klettern spricht.")</f>
        <v>Es gibt einen Mann, der ein blaues Hemd und einen anderen Mann in Schwarz trägt, der auf einem Felsen sitzt und über Klettern spricht.</v>
      </c>
    </row>
    <row r="6792">
      <c r="A6792" s="4" t="s">
        <v>8536</v>
      </c>
      <c r="B6792" s="4" t="s">
        <v>8538</v>
      </c>
      <c r="C6792" s="5" t="str">
        <f>IFERROR(__xludf.DUMMYFUNCTION("GOOGLETRANSLATE(B6792,""en"",""de"")"),"Sie sitzen in einer sehr hohen Höhe in den Bergen.")</f>
        <v>Sie sitzen in einer sehr hohen Höhe in den Bergen.</v>
      </c>
    </row>
    <row r="6793">
      <c r="A6793" s="4" t="s">
        <v>8536</v>
      </c>
      <c r="B6793" s="4" t="s">
        <v>8539</v>
      </c>
      <c r="C6793" s="5" t="str">
        <f>IFERROR(__xludf.DUMMYFUNCTION("GOOGLETRANSLATE(B6793,""en"",""de"")"),"Die Person in Blau zeigt, wie das Seil aus den Felsen befestigt ist.")</f>
        <v>Die Person in Blau zeigt, wie das Seil aus den Felsen befestigt ist.</v>
      </c>
    </row>
    <row r="6794">
      <c r="A6794" s="4" t="s">
        <v>8536</v>
      </c>
      <c r="B6794" s="4" t="s">
        <v>8540</v>
      </c>
      <c r="C6794" s="5" t="str">
        <f>IFERROR(__xludf.DUMMYFUNCTION("GOOGLETRANSLATE(B6794,""en"",""de"")"),"Er zeigt auch ein enges Seil, der von einem Ende zum anderen geht.")</f>
        <v>Er zeigt auch ein enges Seil, der von einem Ende zum anderen geht.</v>
      </c>
    </row>
    <row r="6795">
      <c r="A6795" s="4" t="s">
        <v>8536</v>
      </c>
      <c r="B6795" s="4" t="s">
        <v>8541</v>
      </c>
      <c r="C6795" s="5" t="str">
        <f>IFERROR(__xludf.DUMMYFUNCTION("GOOGLETRANSLATE(B6795,""en"",""de"")"),"Dann geht die Person in Schwarz auch auf einem engen Seil.")</f>
        <v>Dann geht die Person in Schwarz auch auf einem engen Seil.</v>
      </c>
    </row>
    <row r="6796">
      <c r="A6796" s="4" t="s">
        <v>8542</v>
      </c>
      <c r="B6796" s="4" t="s">
        <v>8543</v>
      </c>
      <c r="C6796" s="5" t="str">
        <f>IFERROR(__xludf.DUMMYFUNCTION("GOOGLETRANSLATE(B6796,""en"",""de"")"),"Ein Junge ist in einem Fitnessstudio.")</f>
        <v>Ein Junge ist in einem Fitnessstudio.</v>
      </c>
    </row>
    <row r="6797">
      <c r="A6797" s="4" t="s">
        <v>8542</v>
      </c>
      <c r="B6797" s="4" t="s">
        <v>8544</v>
      </c>
      <c r="C6797" s="5" t="str">
        <f>IFERROR(__xludf.DUMMYFUNCTION("GOOGLETRANSLATE(B6797,""en"",""de"")"),"Er hebt eine Langhantel an seine Brust.")</f>
        <v>Er hebt eine Langhantel an seine Brust.</v>
      </c>
    </row>
    <row r="6798">
      <c r="A6798" s="4" t="s">
        <v>8542</v>
      </c>
      <c r="B6798" s="4" t="s">
        <v>8545</v>
      </c>
      <c r="C6798" s="5" t="str">
        <f>IFERROR(__xludf.DUMMYFUNCTION("GOOGLETRANSLATE(B6798,""en"",""de"")"),"Er macht eine Pause und hebt es dann über seinen Kopf.")</f>
        <v>Er macht eine Pause und hebt es dann über seinen Kopf.</v>
      </c>
    </row>
    <row r="6799">
      <c r="A6799" s="4" t="s">
        <v>8546</v>
      </c>
      <c r="B6799" s="4" t="s">
        <v>8547</v>
      </c>
      <c r="C6799" s="5" t="str">
        <f>IFERROR(__xludf.DUMMYFUNCTION("GOOGLETRANSLATE(B6799,""en"",""de"")"),"Eine Gruppe von Jungen sitzt herum und spielt miteinander und spielt verschiedene Spiele.")</f>
        <v>Eine Gruppe von Jungen sitzt herum und spielt miteinander und spielt verschiedene Spiele.</v>
      </c>
    </row>
    <row r="6800">
      <c r="A6800" s="4" t="s">
        <v>8546</v>
      </c>
      <c r="B6800" s="4" t="s">
        <v>8548</v>
      </c>
      <c r="C6800" s="5" t="str">
        <f>IFERROR(__xludf.DUMMYFUNCTION("GOOGLETRANSLATE(B6800,""en"",""de"")"),"Die Männer schlugen sich gegenseitig, während sie den Platz wechseln und weiterhin mehr Spiele spielen.")</f>
        <v>Die Männer schlugen sich gegenseitig, während sie den Platz wechseln und weiterhin mehr Spiele spielen.</v>
      </c>
    </row>
    <row r="6801">
      <c r="A6801" s="4" t="s">
        <v>8549</v>
      </c>
      <c r="B6801" s="4" t="s">
        <v>8550</v>
      </c>
      <c r="C6801" s="5" t="str">
        <f>IFERROR(__xludf.DUMMYFUNCTION("GOOGLETRANSLATE(B6801,""en"",""de"")"),"Es wird gezeigt, dass eine Familie Mundwasser macht.")</f>
        <v>Es wird gezeigt, dass eine Familie Mundwasser macht.</v>
      </c>
    </row>
    <row r="6802">
      <c r="A6802" s="4" t="s">
        <v>8549</v>
      </c>
      <c r="B6802" s="4" t="s">
        <v>8551</v>
      </c>
      <c r="C6802" s="5" t="str">
        <f>IFERROR(__xludf.DUMMYFUNCTION("GOOGLETRANSLATE(B6802,""en"",""de"")"),"Eine Frau versucht zu lachen und ist erfolgreich, es nicht aufzuspucken.")</f>
        <v>Eine Frau versucht zu lachen und ist erfolgreich, es nicht aufzuspucken.</v>
      </c>
    </row>
    <row r="6803">
      <c r="A6803" s="4" t="s">
        <v>8552</v>
      </c>
      <c r="B6803" s="4" t="s">
        <v>8553</v>
      </c>
      <c r="C6803" s="5" t="str">
        <f>IFERROR(__xludf.DUMMYFUNCTION("GOOGLETRANSLATE(B6803,""en"",""de"")"),"Es werden mehrere Leichen Wasser gezeigt und ein Mann scheint ein kleines Boot zu paddeln.")</f>
        <v>Es werden mehrere Leichen Wasser gezeigt und ein Mann scheint ein kleines Boot zu paddeln.</v>
      </c>
    </row>
    <row r="6804">
      <c r="A6804" s="4" t="s">
        <v>8552</v>
      </c>
      <c r="B6804" s="4" t="s">
        <v>8554</v>
      </c>
      <c r="C6804" s="5" t="str">
        <f>IFERROR(__xludf.DUMMYFUNCTION("GOOGLETRANSLATE(B6804,""en"",""de"")"),"Mehrere andere Menschen werden dann in kleinen Booten in der ganzen Stadt gepaddelt und mehrere Bäume und Stadtgebäude vorbeikommen.")</f>
        <v>Mehrere andere Menschen werden dann in kleinen Booten in der ganzen Stadt gepaddelt und mehrere Bäume und Stadtgebäude vorbeikommen.</v>
      </c>
    </row>
    <row r="6805">
      <c r="A6805" s="4" t="s">
        <v>8552</v>
      </c>
      <c r="B6805" s="4" t="s">
        <v>8555</v>
      </c>
      <c r="C6805" s="5" t="str">
        <f>IFERROR(__xludf.DUMMYFUNCTION("GOOGLETRANSLATE(B6805,""en"",""de"")"),"Während sie dort weiterhin die Reise fortsetzen, gehen sie unter Brücken, Restaurants und anderen Sehenswürdigkeiten und dann erscheinen dort Namen auf dem Bildschirm.")</f>
        <v>Während sie dort weiterhin die Reise fortsetzen, gehen sie unter Brücken, Restaurants und anderen Sehenswürdigkeiten und dann erscheinen dort Namen auf dem Bildschirm.</v>
      </c>
    </row>
    <row r="6806">
      <c r="A6806" s="4" t="s">
        <v>8556</v>
      </c>
      <c r="B6806" s="4" t="s">
        <v>8557</v>
      </c>
      <c r="C6806" s="5" t="str">
        <f>IFERROR(__xludf.DUMMYFUNCTION("GOOGLETRANSLATE(B6806,""en"",""de"")"),"Eine Person führt einen großen Hund an der Leine zurück und viertens auf einem harten Holzboden.")</f>
        <v>Eine Person führt einen großen Hund an der Leine zurück und viertens auf einem harten Holzboden.</v>
      </c>
    </row>
    <row r="6807">
      <c r="A6807" s="4" t="s">
        <v>8556</v>
      </c>
      <c r="B6807" s="4" t="s">
        <v>8558</v>
      </c>
      <c r="C6807" s="5" t="str">
        <f>IFERROR(__xludf.DUMMYFUNCTION("GOOGLETRANSLATE(B6807,""en"",""de"")"),"Der Hund schleppt die Frau hinter sich und schaut aus der Tür und lächelt.")</f>
        <v>Der Hund schleppt die Frau hinter sich und schaut aus der Tür und lächelt.</v>
      </c>
    </row>
    <row r="6808">
      <c r="A6808" s="4" t="s">
        <v>8559</v>
      </c>
      <c r="B6808" s="4" t="s">
        <v>8560</v>
      </c>
      <c r="C6808" s="5" t="str">
        <f>IFERROR(__xludf.DUMMYFUNCTION("GOOGLETRANSLATE(B6808,""en"",""de"")"),"Zwei Menschen reiten auf einem schneebedeckten Pfad.")</f>
        <v>Zwei Menschen reiten auf einem schneebedeckten Pfad.</v>
      </c>
    </row>
    <row r="6809">
      <c r="A6809" s="4" t="s">
        <v>8559</v>
      </c>
      <c r="B6809" s="4" t="s">
        <v>8561</v>
      </c>
      <c r="C6809" s="5" t="str">
        <f>IFERROR(__xludf.DUMMYFUNCTION("GOOGLETRANSLATE(B6809,""en"",""de"")"),"Während sie reiten, passieren sie eine Reihe von Glas Iglos, die auf dem Anwesen gepflanzt sind.")</f>
        <v>Während sie reiten, passieren sie eine Reihe von Glas Iglos, die auf dem Anwesen gepflanzt sind.</v>
      </c>
    </row>
    <row r="6810">
      <c r="A6810" s="4" t="s">
        <v>8559</v>
      </c>
      <c r="B6810" s="4" t="s">
        <v>8562</v>
      </c>
      <c r="C6810" s="5" t="str">
        <f>IFERROR(__xludf.DUMMYFUNCTION("GOOGLETRANSLATE(B6810,""en"",""de"")"),"Sie erreichen eine Lichtung, wo es offenes Land und mehrere Bäume gibt.")</f>
        <v>Sie erreichen eine Lichtung, wo es offenes Land und mehrere Bäume gibt.</v>
      </c>
    </row>
    <row r="6811">
      <c r="A6811" s="4" t="s">
        <v>8563</v>
      </c>
      <c r="B6811" s="4" t="s">
        <v>8564</v>
      </c>
      <c r="C6811" s="5" t="str">
        <f>IFERROR(__xludf.DUMMYFUNCTION("GOOGLETRANSLATE(B6811,""en"",""de"")"),"Wir sehen eine Dame, die langsam eine Trommel spielt.")</f>
        <v>Wir sehen eine Dame, die langsam eine Trommel spielt.</v>
      </c>
    </row>
    <row r="6812">
      <c r="A6812" s="4" t="s">
        <v>8563</v>
      </c>
      <c r="B6812" s="4" t="s">
        <v>8565</v>
      </c>
      <c r="C6812" s="5" t="str">
        <f>IFERROR(__xludf.DUMMYFUNCTION("GOOGLETRANSLATE(B6812,""en"",""de"")"),"Wir schwenken nach rechts und sehen einen Mann am Schlagzeug.")</f>
        <v>Wir schwenken nach rechts und sehen einen Mann am Schlagzeug.</v>
      </c>
    </row>
    <row r="6813">
      <c r="A6813" s="4" t="s">
        <v>8563</v>
      </c>
      <c r="B6813" s="4" t="s">
        <v>8566</v>
      </c>
      <c r="C6813" s="5" t="str">
        <f>IFERROR(__xludf.DUMMYFUNCTION("GOOGLETRANSLATE(B6813,""en"",""de"")"),"Wir sehen eine Person in Orange eintreten.")</f>
        <v>Wir sehen eine Person in Orange eintreten.</v>
      </c>
    </row>
    <row r="6814">
      <c r="A6814" s="4" t="s">
        <v>8563</v>
      </c>
      <c r="B6814" s="4" t="s">
        <v>8567</v>
      </c>
      <c r="C6814" s="5" t="str">
        <f>IFERROR(__xludf.DUMMYFUNCTION("GOOGLETRANSLATE(B6814,""en"",""de"")"),"Die Dame hört auf zu trommeln und zeigt ihre Hände.")</f>
        <v>Die Dame hört auf zu trommeln und zeigt ihre Hände.</v>
      </c>
    </row>
    <row r="6815">
      <c r="A6815" s="4" t="s">
        <v>8563</v>
      </c>
      <c r="B6815" s="4" t="s">
        <v>8568</v>
      </c>
      <c r="C6815" s="5" t="str">
        <f>IFERROR(__xludf.DUMMYFUNCTION("GOOGLETRANSLATE(B6815,""en"",""de"")"),"Wir sehen dann den Kameratoperator.")</f>
        <v>Wir sehen dann den Kameratoperator.</v>
      </c>
    </row>
    <row r="6816">
      <c r="A6816" s="4" t="s">
        <v>8563</v>
      </c>
      <c r="B6816" s="4" t="s">
        <v>8569</v>
      </c>
      <c r="C6816" s="5" t="str">
        <f>IFERROR(__xludf.DUMMYFUNCTION("GOOGLETRANSLATE(B6816,""en"",""de"")"),"Die Dame und der Junge im orangefarbenen Kampf um ein Instrument.")</f>
        <v>Die Dame und der Junge im orangefarbenen Kampf um ein Instrument.</v>
      </c>
    </row>
    <row r="6817">
      <c r="A6817" s="4" t="s">
        <v>8563</v>
      </c>
      <c r="B6817" s="4" t="s">
        <v>8570</v>
      </c>
      <c r="C6817" s="5" t="str">
        <f>IFERROR(__xludf.DUMMYFUNCTION("GOOGLETRANSLATE(B6817,""en"",""de"")"),"Die Dame gibt vor, den Jungen zu beißen, und lacht dann.")</f>
        <v>Die Dame gibt vor, den Jungen zu beißen, und lacht dann.</v>
      </c>
    </row>
    <row r="6818">
      <c r="A6818" s="4" t="s">
        <v>8563</v>
      </c>
      <c r="B6818" s="4" t="s">
        <v>8571</v>
      </c>
      <c r="C6818" s="5" t="str">
        <f>IFERROR(__xludf.DUMMYFUNCTION("GOOGLETRANSLATE(B6818,""en"",""de"")"),"Wir sehen einen Mann, der den Raum betritt.")</f>
        <v>Wir sehen einen Mann, der den Raum betritt.</v>
      </c>
    </row>
    <row r="6819">
      <c r="A6819" s="4" t="s">
        <v>8572</v>
      </c>
      <c r="B6819" s="4" t="s">
        <v>8573</v>
      </c>
      <c r="C6819" s="5" t="str">
        <f>IFERROR(__xludf.DUMMYFUNCTION("GOOGLETRANSLATE(B6819,""en"",""de"")"),"Hockeyspieler bringen die Kommoden auf ein Feld.")</f>
        <v>Hockeyspieler bringen die Kommoden auf ein Feld.</v>
      </c>
    </row>
    <row r="6820">
      <c r="A6820" s="4" t="s">
        <v>8572</v>
      </c>
      <c r="B6820" s="4" t="s">
        <v>8574</v>
      </c>
      <c r="C6820" s="5" t="str">
        <f>IFERROR(__xludf.DUMMYFUNCTION("GOOGLETRANSLATE(B6820,""en"",""de"")"),"Hockeyspieler fuhren in einem Eisplatz in einem überdachten Fitnessstudio.")</f>
        <v>Hockeyspieler fuhren in einem Eisplatz in einem überdachten Fitnessstudio.</v>
      </c>
    </row>
    <row r="6821">
      <c r="A6821" s="4" t="s">
        <v>8572</v>
      </c>
      <c r="B6821" s="4" t="s">
        <v>8575</v>
      </c>
      <c r="C6821" s="5" t="str">
        <f>IFERROR(__xludf.DUMMYFUNCTION("GOOGLETRANSLATE(B6821,""en"",""de"")"),"Manis schweißt etwas in einem dunklen Raum und die Spieler spielen im Platz.")</f>
        <v>Manis schweißt etwas in einem dunklen Raum und die Spieler spielen im Platz.</v>
      </c>
    </row>
    <row r="6822">
      <c r="A6822" s="4" t="s">
        <v>8572</v>
      </c>
      <c r="B6822" s="4" t="s">
        <v>8576</v>
      </c>
      <c r="C6822" s="5" t="str">
        <f>IFERROR(__xludf.DUMMYFUNCTION("GOOGLETRANSLATE(B6822,""en"",""de"")"),"Männer sitzen im Bus und schauen auf seine Telefone und sehen durch das Fenster und in den Kommoden, die bereit sind, zu spielen und auf dem Feld.")</f>
        <v>Männer sitzen im Bus und schauen auf seine Telefone und sehen durch das Fenster und in den Kommoden, die bereit sind, zu spielen und auf dem Feld.</v>
      </c>
    </row>
    <row r="6823">
      <c r="A6823" s="4" t="s">
        <v>8577</v>
      </c>
      <c r="B6823" s="4" t="s">
        <v>8578</v>
      </c>
      <c r="C6823" s="5" t="str">
        <f>IFERROR(__xludf.DUMMYFUNCTION("GOOGLETRANSLATE(B6823,""en"",""de"")"),"Eine Person dreht eine andere Person über und wird in die Büsche geworfen.")</f>
        <v>Eine Person dreht eine andere Person über und wird in die Büsche geworfen.</v>
      </c>
    </row>
    <row r="6824">
      <c r="A6824" s="4" t="s">
        <v>8577</v>
      </c>
      <c r="B6824" s="4" t="s">
        <v>8579</v>
      </c>
      <c r="C6824" s="5" t="str">
        <f>IFERROR(__xludf.DUMMYFUNCTION("GOOGLETRANSLATE(B6824,""en"",""de"")"),"Eine Person in einem roten Hemd rennt auf sie zu.")</f>
        <v>Eine Person in einem roten Hemd rennt auf sie zu.</v>
      </c>
    </row>
    <row r="6825">
      <c r="A6825" s="4" t="s">
        <v>8580</v>
      </c>
      <c r="B6825" s="4" t="s">
        <v>8581</v>
      </c>
      <c r="C6825" s="5" t="str">
        <f>IFERROR(__xludf.DUMMYFUNCTION("GOOGLETRANSLATE(B6825,""en"",""de"")"),"Eine Frau hält eine schwarze Katze in einer lila Decke.")</f>
        <v>Eine Frau hält eine schwarze Katze in einer lila Decke.</v>
      </c>
    </row>
    <row r="6826">
      <c r="A6826" s="4" t="s">
        <v>8580</v>
      </c>
      <c r="B6826" s="4" t="s">
        <v>8582</v>
      </c>
      <c r="C6826" s="5" t="str">
        <f>IFERROR(__xludf.DUMMYFUNCTION("GOOGLETRANSLATE(B6826,""en"",""de"")"),"Die Katze mischt, als die Frau ihre Pfoten hält.")</f>
        <v>Die Katze mischt, als die Frau ihre Pfoten hält.</v>
      </c>
    </row>
    <row r="6827">
      <c r="A6827" s="4" t="s">
        <v>8580</v>
      </c>
      <c r="B6827" s="4" t="s">
        <v>8583</v>
      </c>
      <c r="C6827" s="5" t="str">
        <f>IFERROR(__xludf.DUMMYFUNCTION("GOOGLETRANSLATE(B6827,""en"",""de"")"),"Es gibt einen anderen Mann mit Nagelschneider, der die Nägel der Katze rutscht.")</f>
        <v>Es gibt einen anderen Mann mit Nagelschneider, der die Nägel der Katze rutscht.</v>
      </c>
    </row>
    <row r="6828">
      <c r="A6828" s="4" t="s">
        <v>8580</v>
      </c>
      <c r="B6828" s="4" t="s">
        <v>8584</v>
      </c>
      <c r="C6828" s="5" t="str">
        <f>IFERROR(__xludf.DUMMYFUNCTION("GOOGLETRANSLATE(B6828,""en"",""de"")"),"Die Katze miaut laut vor Schmerzen und die Frau küsst die Katze, um sie zu beruhigen.")</f>
        <v>Die Katze miaut laut vor Schmerzen und die Frau küsst die Katze, um sie zu beruhigen.</v>
      </c>
    </row>
    <row r="6829">
      <c r="A6829" s="4" t="s">
        <v>8580</v>
      </c>
      <c r="B6829" s="4" t="s">
        <v>8585</v>
      </c>
      <c r="C6829" s="5" t="str">
        <f>IFERROR(__xludf.DUMMYFUNCTION("GOOGLETRANSLATE(B6829,""en"",""de"")"),"Der Mann schneidet weiterhin die Nägel der Katze, als die Frau die Katze kennt und die Ohren der Katze küsst.")</f>
        <v>Der Mann schneidet weiterhin die Nägel der Katze, als die Frau die Katze kennt und die Ohren der Katze küsst.</v>
      </c>
    </row>
    <row r="6830">
      <c r="A6830" s="4" t="s">
        <v>8580</v>
      </c>
      <c r="B6830" s="4" t="s">
        <v>8586</v>
      </c>
      <c r="C6830" s="5" t="str">
        <f>IFERROR(__xludf.DUMMYFUNCTION("GOOGLETRANSLATE(B6830,""en"",""de"")"),"Der Mann schneidet die Nägel weiter aus, bis er fertig ist.")</f>
        <v>Der Mann schneidet die Nägel weiter aus, bis er fertig ist.</v>
      </c>
    </row>
    <row r="6831">
      <c r="A6831" s="4" t="s">
        <v>8587</v>
      </c>
      <c r="B6831" s="4" t="s">
        <v>8588</v>
      </c>
      <c r="C6831" s="5" t="str">
        <f>IFERROR(__xludf.DUMMYFUNCTION("GOOGLETRANSLATE(B6831,""en"",""de"")"),"Ein kleines Mädchen sitzt in einem Schaukelstuhl.")</f>
        <v>Ein kleines Mädchen sitzt in einem Schaukelstuhl.</v>
      </c>
    </row>
    <row r="6832">
      <c r="A6832" s="4" t="s">
        <v>8587</v>
      </c>
      <c r="B6832" s="4" t="s">
        <v>8589</v>
      </c>
      <c r="C6832" s="5" t="str">
        <f>IFERROR(__xludf.DUMMYFUNCTION("GOOGLETRANSLATE(B6832,""en"",""de"")"),"Sie stellt kompaktes Make -up aus einem Fall auf.")</f>
        <v>Sie stellt kompaktes Make -up aus einem Fall auf.</v>
      </c>
    </row>
    <row r="6833">
      <c r="A6833" s="4" t="s">
        <v>8587</v>
      </c>
      <c r="B6833" s="4" t="s">
        <v>8590</v>
      </c>
      <c r="C6833" s="5" t="str">
        <f>IFERROR(__xludf.DUMMYFUNCTION("GOOGLETRANSLATE(B6833,""en"",""de"")"),"Sie wendet dann Lidschatten und Lippenstift an.")</f>
        <v>Sie wendet dann Lidschatten und Lippenstift an.</v>
      </c>
    </row>
    <row r="6834">
      <c r="A6834" s="4" t="s">
        <v>8591</v>
      </c>
      <c r="B6834" s="4" t="s">
        <v>8592</v>
      </c>
      <c r="C6834" s="5" t="str">
        <f>IFERROR(__xludf.DUMMYFUNCTION("GOOGLETRANSLATE(B6834,""en"",""de"")"),"Es werden mehrere Schüsse von Fahrern, die um eine Sandgrube stehen, gefolgt von vielen Winkeln von Menschen, die über Sprünge fahren.")</f>
        <v>Es werden mehrere Schüsse von Fahrern, die um eine Sandgrube stehen, gefolgt von vielen Winkeln von Menschen, die über Sprünge fahren.</v>
      </c>
    </row>
    <row r="6835">
      <c r="A6835" s="4" t="s">
        <v>8591</v>
      </c>
      <c r="B6835" s="4" t="s">
        <v>8593</v>
      </c>
      <c r="C6835" s="5" t="str">
        <f>IFERROR(__xludf.DUMMYFUNCTION("GOOGLETRANSLATE(B6835,""en"",""de"")"),"Die Kamera erfasst mehrere Winkel der Menschen, die auf einer Fahrradstrecke reiten und sie zwischen den Schüssen interviewt.")</f>
        <v>Die Kamera erfasst mehrere Winkel der Menschen, die auf einer Fahrradstrecke reiten und sie zwischen den Schüssen interviewt.</v>
      </c>
    </row>
    <row r="6836">
      <c r="A6836" s="4" t="s">
        <v>8591</v>
      </c>
      <c r="B6836" s="4" t="s">
        <v>8594</v>
      </c>
      <c r="C6836" s="5" t="str">
        <f>IFERROR(__xludf.DUMMYFUNCTION("GOOGLETRANSLATE(B6836,""en"",""de"")"),"Am Ende werden alle Fahrer auf dem Bildschirm angezeigt und ein letztes Mal befragt und springen.")</f>
        <v>Am Ende werden alle Fahrer auf dem Bildschirm angezeigt und ein letztes Mal befragt und springen.</v>
      </c>
    </row>
    <row r="6837">
      <c r="A6837" s="4" t="s">
        <v>8595</v>
      </c>
      <c r="B6837" s="4" t="s">
        <v>8596</v>
      </c>
      <c r="C6837" s="5" t="str">
        <f>IFERROR(__xludf.DUMMYFUNCTION("GOOGLETRANSLATE(B6837,""en"",""de"")"),"Eine erwachsene Frau und eine junge Frau befindet sich am Strand, die erwachsene Frau lässt den Sand vom Eimer auf den Boden.")</f>
        <v>Eine erwachsene Frau und eine junge Frau befindet sich am Strand, die erwachsene Frau lässt den Sand vom Eimer auf den Boden.</v>
      </c>
    </row>
    <row r="6838">
      <c r="A6838" s="4" t="s">
        <v>8595</v>
      </c>
      <c r="B6838" s="4" t="s">
        <v>8597</v>
      </c>
      <c r="C6838" s="5" t="str">
        <f>IFERROR(__xludf.DUMMYFUNCTION("GOOGLETRANSLATE(B6838,""en"",""de"")"),"Die Frau in Polka -Punkten sitzt auf dem Boden und zeigt ihre Hose.")</f>
        <v>Die Frau in Polka -Punkten sitzt auf dem Boden und zeigt ihre Hose.</v>
      </c>
    </row>
    <row r="6839">
      <c r="A6839" s="4" t="s">
        <v>8595</v>
      </c>
      <c r="B6839" s="4" t="s">
        <v>8598</v>
      </c>
      <c r="C6839" s="5" t="str">
        <f>IFERROR(__xludf.DUMMYFUNCTION("GOOGLETRANSLATE(B6839,""en"",""de"")"),"Das junge Mädchen zeigt auf etwas und winkt in die Kamera.")</f>
        <v>Das junge Mädchen zeigt auf etwas und winkt in die Kamera.</v>
      </c>
    </row>
    <row r="6840">
      <c r="A6840" s="4" t="s">
        <v>8599</v>
      </c>
      <c r="B6840" s="4" t="s">
        <v>8600</v>
      </c>
      <c r="C6840" s="5" t="str">
        <f>IFERROR(__xludf.DUMMYFUNCTION("GOOGLETRANSLATE(B6840,""en"",""de"")"),"Drei Männer sitzen auf dem Boden und sprechen miteinander und führen in sie eine Straße hinunter.")</f>
        <v>Drei Männer sitzen auf dem Boden und sprechen miteinander und führen in sie eine Straße hinunter.</v>
      </c>
    </row>
    <row r="6841">
      <c r="A6841" s="4" t="s">
        <v>8599</v>
      </c>
      <c r="B6841" s="4" t="s">
        <v>8601</v>
      </c>
      <c r="C6841" s="5" t="str">
        <f>IFERROR(__xludf.DUMMYFUNCTION("GOOGLETRANSLATE(B6841,""en"",""de"")"),"Weitere Aufnahmen von Leuten, die eine Straße entlang skateboard, die mehrere Tricks durchführen und weggehen.")</f>
        <v>Weitere Aufnahmen von Leuten, die eine Straße entlang skateboard, die mehrere Tricks durchführen und weggehen.</v>
      </c>
    </row>
    <row r="6842">
      <c r="A6842" s="4" t="s">
        <v>8602</v>
      </c>
      <c r="B6842" s="4" t="s">
        <v>8603</v>
      </c>
      <c r="C6842" s="5" t="str">
        <f>IFERROR(__xludf.DUMMYFUNCTION("GOOGLETRANSLATE(B6842,""en"",""de"")"),"Eine Nahaufnahme eines Rasiermessers wird gezeigt und führt zu mehreren Clips von Hunden, die ihren Schnitt beschnitten werden.")</f>
        <v>Eine Nahaufnahme eines Rasiermessers wird gezeigt und führt zu mehreren Clips von Hunden, die ihren Schnitt beschnitten werden.</v>
      </c>
    </row>
    <row r="6843">
      <c r="A6843" s="4" t="s">
        <v>8602</v>
      </c>
      <c r="B6843" s="4" t="s">
        <v>8604</v>
      </c>
      <c r="C6843" s="5" t="str">
        <f>IFERROR(__xludf.DUMMYFUNCTION("GOOGLETRANSLATE(B6843,""en"",""de"")"),"Anschließend werden mehrere Werkzeuge auf Katzen angezeigt und sie werden als Haustier niedergelegt.")</f>
        <v>Anschließend werden mehrere Werkzeuge auf Katzen angezeigt und sie werden als Haustier niedergelegt.</v>
      </c>
    </row>
    <row r="6844">
      <c r="A6844" s="4" t="s">
        <v>8605</v>
      </c>
      <c r="B6844" s="4" t="s">
        <v>8606</v>
      </c>
      <c r="C6844" s="5" t="str">
        <f>IFERROR(__xludf.DUMMYFUNCTION("GOOGLETRANSLATE(B6844,""en"",""de"")"),"Ein Mann rennt eine Straße entlang.")</f>
        <v>Ein Mann rennt eine Straße entlang.</v>
      </c>
    </row>
    <row r="6845">
      <c r="A6845" s="4" t="s">
        <v>8605</v>
      </c>
      <c r="B6845" s="4" t="s">
        <v>8607</v>
      </c>
      <c r="C6845" s="5" t="str">
        <f>IFERROR(__xludf.DUMMYFUNCTION("GOOGLETRANSLATE(B6845,""en"",""de"")"),"Ein weißes Auto ist direkt hinter ihm auf der Straße.")</f>
        <v>Ein weißes Auto ist direkt hinter ihm auf der Straße.</v>
      </c>
    </row>
    <row r="6846">
      <c r="A6846" s="4" t="s">
        <v>8605</v>
      </c>
      <c r="B6846" s="4" t="s">
        <v>8608</v>
      </c>
      <c r="C6846" s="5" t="str">
        <f>IFERROR(__xludf.DUMMYFUNCTION("GOOGLETRANSLATE(B6846,""en"",""de"")"),"Die Leute fahren neben ihm Fahrräder.")</f>
        <v>Die Leute fahren neben ihm Fahrräder.</v>
      </c>
    </row>
    <row r="6847">
      <c r="A6847" s="4" t="s">
        <v>8609</v>
      </c>
      <c r="B6847" s="4" t="s">
        <v>8610</v>
      </c>
      <c r="C6847" s="5" t="str">
        <f>IFERROR(__xludf.DUMMYFUNCTION("GOOGLETRANSLATE(B6847,""en"",""de"")"),"Eine Kamera zeigt einen Schrank, der in zwei Mädchen schwenkt, die auf einer Elliptik reiten sehen.")</f>
        <v>Eine Kamera zeigt einen Schrank, der in zwei Mädchen schwenkt, die auf einer Elliptik reiten sehen.</v>
      </c>
    </row>
    <row r="6848">
      <c r="A6848" s="4" t="s">
        <v>8609</v>
      </c>
      <c r="B6848" s="4" t="s">
        <v>8611</v>
      </c>
      <c r="C6848" s="5" t="str">
        <f>IFERROR(__xludf.DUMMYFUNCTION("GOOGLETRANSLATE(B6848,""en"",""de"")"),"Ein Mädchen bewegt sich auf und ab auf die Maschine, während das andere vorne hängt und dazu führt, dass sie springen und mit der Kamera im Schrank versteckt sind.")</f>
        <v>Ein Mädchen bewegt sich auf und ab auf die Maschine, während das andere vorne hängt und dazu führt, dass sie springen und mit der Kamera im Schrank versteckt sind.</v>
      </c>
    </row>
    <row r="6849">
      <c r="A6849" s="4" t="s">
        <v>8612</v>
      </c>
      <c r="B6849" s="4" t="s">
        <v>8613</v>
      </c>
      <c r="C6849" s="5" t="str">
        <f>IFERROR(__xludf.DUMMYFUNCTION("GOOGLETRANSLATE(B6849,""en"",""de"")"),"Ein Logo wird mit Wassertropfengeräuschen im Hintergrund angezeigt.")</f>
        <v>Ein Logo wird mit Wassertropfengeräuschen im Hintergrund angezeigt.</v>
      </c>
    </row>
    <row r="6850">
      <c r="A6850" s="4" t="s">
        <v>8612</v>
      </c>
      <c r="B6850" s="4" t="s">
        <v>8614</v>
      </c>
      <c r="C6850" s="5" t="str">
        <f>IFERROR(__xludf.DUMMYFUNCTION("GOOGLETRANSLATE(B6850,""en"",""de"")"),"Ein Mann wird dann gezeigt, der Scubba -Ausrüstung trägt und der Kamera verschiedene Handsignale verleiht.")</f>
        <v>Ein Mann wird dann gezeigt, der Scubba -Ausrüstung trägt und der Kamera verschiedene Handsignale verleiht.</v>
      </c>
    </row>
    <row r="6851">
      <c r="A6851" s="4" t="s">
        <v>8612</v>
      </c>
      <c r="B6851" s="4" t="s">
        <v>8615</v>
      </c>
      <c r="C6851" s="5" t="str">
        <f>IFERROR(__xludf.DUMMYFUNCTION("GOOGLETRANSLATE(B6851,""en"",""de"")"),"Die Wassertöne spielen immer noch und der Mann zeigt Ihnen verschiedene Bewegungen und was sie unter Wasser bedeuten.")</f>
        <v>Die Wassertöne spielen immer noch und der Mann zeigt Ihnen verschiedene Bewegungen und was sie unter Wasser bedeuten.</v>
      </c>
    </row>
    <row r="6852">
      <c r="A6852" s="4" t="s">
        <v>8612</v>
      </c>
      <c r="B6852" s="4" t="s">
        <v>8616</v>
      </c>
      <c r="C6852" s="5" t="str">
        <f>IFERROR(__xludf.DUMMYFUNCTION("GOOGLETRANSLATE(B6852,""en"",""de"")"),"Das Logo erscheint dann wieder auf dem Bildschirm und das Video endet.")</f>
        <v>Das Logo erscheint dann wieder auf dem Bildschirm und das Video endet.</v>
      </c>
    </row>
    <row r="6853">
      <c r="A6853" s="4" t="s">
        <v>8617</v>
      </c>
      <c r="B6853" s="4" t="s">
        <v>8618</v>
      </c>
      <c r="C6853" s="5" t="str">
        <f>IFERROR(__xludf.DUMMYFUNCTION("GOOGLETRANSLATE(B6853,""en"",""de"")"),"Ein kleines Kind spielt Schlagzeug, während eine Gruppe von Menschen hinter ihm beobachtet und lächelt.")</f>
        <v>Ein kleines Kind spielt Schlagzeug, während eine Gruppe von Menschen hinter ihm beobachtet und lächelt.</v>
      </c>
    </row>
    <row r="6854">
      <c r="A6854" s="4" t="s">
        <v>8617</v>
      </c>
      <c r="B6854" s="4" t="s">
        <v>8619</v>
      </c>
      <c r="C6854" s="5" t="str">
        <f>IFERROR(__xludf.DUMMYFUNCTION("GOOGLETRANSLATE(B6854,""en"",""de"")"),"Der Junge spielt weiterhin Schlagzeug und ein Baby in den Armen eines Mannes hinter ihm steigt von seinem Schoß.")</f>
        <v>Der Junge spielt weiterhin Schlagzeug und ein Baby in den Armen eines Mannes hinter ihm steigt von seinem Schoß.</v>
      </c>
    </row>
    <row r="6855">
      <c r="A6855" s="4" t="s">
        <v>8620</v>
      </c>
      <c r="B6855" s="4" t="s">
        <v>8621</v>
      </c>
      <c r="C6855" s="5" t="str">
        <f>IFERROR(__xludf.DUMMYFUNCTION("GOOGLETRANSLATE(B6855,""en"",""de"")"),"Eine Nahaufnahme eines Kanus wird von einem Mann gezeigt, der das Kanu in verschiedenen Bereichen weiterschreibt.")</f>
        <v>Eine Nahaufnahme eines Kanus wird von einem Mann gezeigt, der das Kanu in verschiedenen Bereichen weiterschreibt.</v>
      </c>
    </row>
    <row r="6856">
      <c r="A6856" s="4" t="s">
        <v>8620</v>
      </c>
      <c r="B6856" s="4" t="s">
        <v>8622</v>
      </c>
      <c r="C6856" s="5" t="str">
        <f>IFERROR(__xludf.DUMMYFUNCTION("GOOGLETRANSLATE(B6856,""en"",""de"")"),"Sein Paddeln wird verlangsamt, um zu demonstrieren, wie man richtig paddelt, während mehr Schüsse des Mannes in der schnellen Bewegung angezeigt werden.")</f>
        <v>Sein Paddeln wird verlangsamt, um zu demonstrieren, wie man richtig paddelt, während mehr Schüsse des Mannes in der schnellen Bewegung angezeigt werden.</v>
      </c>
    </row>
    <row r="6857">
      <c r="A6857" s="4" t="s">
        <v>8620</v>
      </c>
      <c r="B6857" s="4" t="s">
        <v>8623</v>
      </c>
      <c r="C6857" s="5" t="str">
        <f>IFERROR(__xludf.DUMMYFUNCTION("GOOGLETRANSLATE(B6857,""en"",""de"")"),"Das Ende zeigt ein schönes Bild eines Sonnensatzes.")</f>
        <v>Das Ende zeigt ein schönes Bild eines Sonnensatzes.</v>
      </c>
    </row>
    <row r="6858">
      <c r="A6858" s="4" t="s">
        <v>8624</v>
      </c>
      <c r="B6858" s="4" t="s">
        <v>8625</v>
      </c>
      <c r="C6858" s="5" t="str">
        <f>IFERROR(__xludf.DUMMYFUNCTION("GOOGLETRANSLATE(B6858,""en"",""de"")"),"Eine Person schleppt einen Aufkleber von einem weißen Schuh.")</f>
        <v>Eine Person schleppt einen Aufkleber von einem weißen Schuh.</v>
      </c>
    </row>
    <row r="6859">
      <c r="A6859" s="4" t="s">
        <v>8624</v>
      </c>
      <c r="B6859" s="4" t="s">
        <v>8626</v>
      </c>
      <c r="C6859" s="5" t="str">
        <f>IFERROR(__xludf.DUMMYFUNCTION("GOOGLETRANSLATE(B6859,""en"",""de"")"),"Sie wischen den Schuh mit einem Handtuch ab.")</f>
        <v>Sie wischen den Schuh mit einem Handtuch ab.</v>
      </c>
    </row>
    <row r="6860">
      <c r="A6860" s="4" t="s">
        <v>8627</v>
      </c>
      <c r="B6860" s="4" t="s">
        <v>8628</v>
      </c>
      <c r="C6860" s="5" t="str">
        <f>IFERROR(__xludf.DUMMYFUNCTION("GOOGLETRANSLATE(B6860,""en"",""de"")"),"Eine Person nimmt Käse aus einer Schachtel heraus, dann nimmt er ein Glas, das mit zwei Servietten auf die Theke steckt und dann den Kühlschrank öffnet.")</f>
        <v>Eine Person nimmt Käse aus einer Schachtel heraus, dann nimmt er ein Glas, das mit zwei Servietten auf die Theke steckt und dann den Kühlschrank öffnet.</v>
      </c>
    </row>
    <row r="6861">
      <c r="A6861" s="4" t="s">
        <v>8627</v>
      </c>
      <c r="B6861" s="4" t="s">
        <v>8629</v>
      </c>
      <c r="C6861" s="5" t="str">
        <f>IFERROR(__xludf.DUMMYFUNCTION("GOOGLETRANSLATE(B6861,""en"",""de"")"),"Ein Mann legt Wasser auf sein Gesicht, während er einen Eimer hält, dann nimmt einen Schwamm und wirft über den Tisch.")</f>
        <v>Ein Mann legt Wasser auf sein Gesicht, während er einen Eimer hält, dann nimmt einen Schwamm und wirft über den Tisch.</v>
      </c>
    </row>
    <row r="6862">
      <c r="A6862" s="4" t="s">
        <v>8627</v>
      </c>
      <c r="B6862" s="4" t="s">
        <v>8630</v>
      </c>
      <c r="C6862" s="5" t="str">
        <f>IFERROR(__xludf.DUMMYFUNCTION("GOOGLETRANSLATE(B6862,""en"",""de"")"),"Die Person legt zwei Flaschen und zwei Scheiben Brot auf den Tisch, dann schneidet er den Käse.")</f>
        <v>Die Person legt zwei Flaschen und zwei Scheiben Brot auf den Tisch, dann schneidet er den Käse.</v>
      </c>
    </row>
    <row r="6863">
      <c r="A6863" s="4" t="s">
        <v>8627</v>
      </c>
      <c r="B6863" s="4" t="s">
        <v>8631</v>
      </c>
      <c r="C6863" s="5" t="str">
        <f>IFERROR(__xludf.DUMMYFUNCTION("GOOGLETRANSLATE(B6863,""en"",""de"")"),"Danach legt die Person den Käse und die Marmelade auf das Brot, dann isst er das Sandwich und trinkt Soda aus der Flasche.")</f>
        <v>Danach legt die Person den Käse und die Marmelade auf das Brot, dann isst er das Sandwich und trinkt Soda aus der Flasche.</v>
      </c>
    </row>
    <row r="6864">
      <c r="A6864" s="4" t="s">
        <v>8632</v>
      </c>
      <c r="B6864" s="4" t="s">
        <v>8633</v>
      </c>
      <c r="C6864" s="5" t="str">
        <f>IFERROR(__xludf.DUMMYFUNCTION("GOOGLETRANSLATE(B6864,""en"",""de"")"),"In einem Auditorium findet ein Fechtenspiel statt.")</f>
        <v>In einem Auditorium findet ein Fechtenspiel statt.</v>
      </c>
    </row>
    <row r="6865">
      <c r="A6865" s="4" t="s">
        <v>8632</v>
      </c>
      <c r="B6865" s="4" t="s">
        <v>8634</v>
      </c>
      <c r="C6865" s="5" t="str">
        <f>IFERROR(__xludf.DUMMYFUNCTION("GOOGLETRANSLATE(B6865,""en"",""de"")"),"Zwei Männer in vollem Zaunausrüstung beginnen zu kämpfen.")</f>
        <v>Zwei Männer in vollem Zaunausrüstung beginnen zu kämpfen.</v>
      </c>
    </row>
    <row r="6866">
      <c r="A6866" s="4" t="s">
        <v>8632</v>
      </c>
      <c r="B6866" s="4" t="s">
        <v>8635</v>
      </c>
      <c r="C6866" s="5" t="str">
        <f>IFERROR(__xludf.DUMMYFUNCTION("GOOGLETRANSLATE(B6866,""en"",""de"")"),"Sie stechen und schwingen und fechten für die Menge.")</f>
        <v>Sie stechen und schwingen und fechten für die Menge.</v>
      </c>
    </row>
    <row r="6867">
      <c r="A6867" s="4" t="s">
        <v>8632</v>
      </c>
      <c r="B6867" s="4" t="s">
        <v>8636</v>
      </c>
      <c r="C6867" s="5" t="str">
        <f>IFERROR(__xludf.DUMMYFUNCTION("GOOGLETRANSLATE(B6867,""en"",""de"")"),"In den Schlussbildern führen mehrere Personen verschiedene Sportarten aus.")</f>
        <v>In den Schlussbildern führen mehrere Personen verschiedene Sportarten aus.</v>
      </c>
    </row>
    <row r="6868">
      <c r="A6868" s="4" t="s">
        <v>8637</v>
      </c>
      <c r="B6868" s="4" t="s">
        <v>8638</v>
      </c>
      <c r="C6868" s="5" t="str">
        <f>IFERROR(__xludf.DUMMYFUNCTION("GOOGLETRANSLATE(B6868,""en"",""de"")"),"Ein Mann hält einen langen Trimmer.")</f>
        <v>Ein Mann hält einen langen Trimmer.</v>
      </c>
    </row>
    <row r="6869">
      <c r="A6869" s="4" t="s">
        <v>8637</v>
      </c>
      <c r="B6869" s="4" t="s">
        <v>8639</v>
      </c>
      <c r="C6869" s="5" t="str">
        <f>IFERROR(__xludf.DUMMYFUNCTION("GOOGLETRANSLATE(B6869,""en"",""de"")"),"Er benutzt den Trimmer, um die Büsche auszusetzen.")</f>
        <v>Er benutzt den Trimmer, um die Büsche auszusetzen.</v>
      </c>
    </row>
    <row r="6870">
      <c r="A6870" s="4" t="s">
        <v>8637</v>
      </c>
      <c r="B6870" s="4" t="s">
        <v>8640</v>
      </c>
      <c r="C6870" s="5" t="str">
        <f>IFERROR(__xludf.DUMMYFUNCTION("GOOGLETRANSLATE(B6870,""en"",""de"")"),"Die Blätter fallen in Scharen auf den Boden, während er nachdreht.")</f>
        <v>Die Blätter fallen in Scharen auf den Boden, während er nachdreht.</v>
      </c>
    </row>
    <row r="6871">
      <c r="A6871" s="4" t="s">
        <v>8641</v>
      </c>
      <c r="B6871" s="4" t="s">
        <v>1487</v>
      </c>
      <c r="C6871" s="5" t="str">
        <f>IFERROR(__xludf.DUMMYFUNCTION("GOOGLETRANSLATE(B6871,""en"",""de"")"),"Wir sehen einen Öffnungsbildschirm.")</f>
        <v>Wir sehen einen Öffnungsbildschirm.</v>
      </c>
    </row>
    <row r="6872">
      <c r="A6872" s="4" t="s">
        <v>8641</v>
      </c>
      <c r="B6872" s="4" t="s">
        <v>8642</v>
      </c>
      <c r="C6872" s="5" t="str">
        <f>IFERROR(__xludf.DUMMYFUNCTION("GOOGLETRANSLATE(B6872,""en"",""de"")"),"Ein Mann aus Mann und Jungen sitzt auf dem Schnee und dem Eisfisch.")</f>
        <v>Ein Mann aus Mann und Jungen sitzt auf dem Schnee und dem Eisfisch.</v>
      </c>
    </row>
    <row r="6873">
      <c r="A6873" s="4" t="s">
        <v>8641</v>
      </c>
      <c r="B6873" s="4" t="s">
        <v>8643</v>
      </c>
      <c r="C6873" s="5" t="str">
        <f>IFERROR(__xludf.DUMMYFUNCTION("GOOGLETRANSLATE(B6873,""en"",""de"")"),"Wir sehen einen Tittle -Bildschirm und ein Flugzeug fliegt über dem Himmel und wir sehen die Menschen auf dem Eis und einen Lastwagen in der Ferne.")</f>
        <v>Wir sehen einen Tittle -Bildschirm und ein Flugzeug fliegt über dem Himmel und wir sehen die Menschen auf dem Eis und einen Lastwagen in der Ferne.</v>
      </c>
    </row>
    <row r="6874">
      <c r="A6874" s="4" t="s">
        <v>8641</v>
      </c>
      <c r="B6874" s="4" t="s">
        <v>8644</v>
      </c>
      <c r="C6874" s="5" t="str">
        <f>IFERROR(__xludf.DUMMYFUNCTION("GOOGLETRANSLATE(B6874,""en"",""de"")"),"Ein Kinder geht zu dem Lastwagen, wo eine Dame Hot Dogs im LKW -Bett voller Essen kocht.")</f>
        <v>Ein Kinder geht zu dem Lastwagen, wo eine Dame Hot Dogs im LKW -Bett voller Essen kocht.</v>
      </c>
    </row>
    <row r="6875">
      <c r="A6875" s="4" t="s">
        <v>8641</v>
      </c>
      <c r="B6875" s="4" t="s">
        <v>8645</v>
      </c>
      <c r="C6875" s="5" t="str">
        <f>IFERROR(__xludf.DUMMYFUNCTION("GOOGLETRANSLATE(B6875,""en"",""de"")"),"Wir sehen einen Titelbildschirm und sehen gefrorene Fische im Schnee.")</f>
        <v>Wir sehen einen Titelbildschirm und sehen gefrorene Fische im Schnee.</v>
      </c>
    </row>
    <row r="6876">
      <c r="A6876" s="4" t="s">
        <v>8646</v>
      </c>
      <c r="B6876" s="4" t="s">
        <v>8647</v>
      </c>
      <c r="C6876" s="5" t="str">
        <f>IFERROR(__xludf.DUMMYFUNCTION("GOOGLETRANSLATE(B6876,""en"",""de"")"),"Eine Parade -Prozession geht die Straße entlang in einer Parade entlang.")</f>
        <v>Eine Parade -Prozession geht die Straße entlang in einer Parade entlang.</v>
      </c>
    </row>
    <row r="6877">
      <c r="A6877" s="4" t="s">
        <v>8646</v>
      </c>
      <c r="B6877" s="4" t="s">
        <v>8648</v>
      </c>
      <c r="C6877" s="5" t="str">
        <f>IFERROR(__xludf.DUMMYFUNCTION("GOOGLETRANSLATE(B6877,""en"",""de"")"),"Eine Gruppe von Mitgliedern in grünen Uniformen spazieren wehne Flaggen.")</f>
        <v>Eine Gruppe von Mitgliedern in grünen Uniformen spazieren wehne Flaggen.</v>
      </c>
    </row>
    <row r="6878">
      <c r="A6878" s="4" t="s">
        <v>8646</v>
      </c>
      <c r="B6878" s="4" t="s">
        <v>8649</v>
      </c>
      <c r="C6878" s="5" t="str">
        <f>IFERROR(__xludf.DUMMYFUNCTION("GOOGLETRANSLATE(B6878,""en"",""de"")"),"Mitglieder der Prozession gehen die Straße entlang und halten kleine Horn -Messinginstrumente.")</f>
        <v>Mitglieder der Prozession gehen die Straße entlang und halten kleine Horn -Messinginstrumente.</v>
      </c>
    </row>
    <row r="6879">
      <c r="A6879" s="4" t="s">
        <v>8646</v>
      </c>
      <c r="B6879" s="4" t="s">
        <v>8650</v>
      </c>
      <c r="C6879" s="5" t="str">
        <f>IFERROR(__xludf.DUMMYFUNCTION("GOOGLETRANSLATE(B6879,""en"",""de"")"),"Eine Drum -Linie geht vorbei, indem sie die Straße entlang spielt und ihre Instrumente spielt.")</f>
        <v>Eine Drum -Linie geht vorbei, indem sie die Straße entlang spielt und ihre Instrumente spielt.</v>
      </c>
    </row>
    <row r="6880">
      <c r="A6880" s="4" t="s">
        <v>8646</v>
      </c>
      <c r="B6880" s="4" t="s">
        <v>8651</v>
      </c>
      <c r="C6880" s="5" t="str">
        <f>IFERROR(__xludf.DUMMYFUNCTION("GOOGLETRANSLATE(B6880,""en"",""de"")"),"Mitglieder der Prozession gehen die Straße entlang und halten große, ausgestellte Horninstrumente.")</f>
        <v>Mitglieder der Prozession gehen die Straße entlang und halten große, ausgestellte Horninstrumente.</v>
      </c>
    </row>
    <row r="6881">
      <c r="A6881" s="4" t="s">
        <v>8652</v>
      </c>
      <c r="B6881" s="4" t="s">
        <v>8653</v>
      </c>
      <c r="C6881" s="5" t="str">
        <f>IFERROR(__xludf.DUMMYFUNCTION("GOOGLETRANSLATE(B6881,""en"",""de"")"),"Das Video ist sehr schlechter Qualität und zeigt einen Mann, der die Kamera hält, und er ist in einem Park mit anderen Menschen, zu denen ein anderes Erwachsener und ein kleines Kind wie ein Mädchen aussehen.")</f>
        <v>Das Video ist sehr schlechter Qualität und zeigt einen Mann, der die Kamera hält, und er ist in einem Park mit anderen Menschen, zu denen ein anderes Erwachsener und ein kleines Kind wie ein Mädchen aussehen.</v>
      </c>
    </row>
    <row r="6882">
      <c r="A6882" s="4" t="s">
        <v>8652</v>
      </c>
      <c r="B6882" s="4" t="s">
        <v>8654</v>
      </c>
      <c r="C6882" s="5" t="str">
        <f>IFERROR(__xludf.DUMMYFUNCTION("GOOGLETRANSLATE(B6882,""en"",""de"")"),"Der Mann steigt mit dem kleinen Mädchen auf die Parkausrüstung.")</f>
        <v>Der Mann steigt mit dem kleinen Mädchen auf die Parkausrüstung.</v>
      </c>
    </row>
    <row r="6883">
      <c r="A6883" s="4" t="s">
        <v>8652</v>
      </c>
      <c r="B6883" s="4" t="s">
        <v>8655</v>
      </c>
      <c r="C6883" s="5" t="str">
        <f>IFERROR(__xludf.DUMMYFUNCTION("GOOGLETRANSLATE(B6883,""en"",""de"")"),"Das Kind und der Mann erscheinen dann auf der Rutsche und das kleine Mädchen geht alleine durch die Rutsche, während er die ganze Zeit lächelt und der Mann bleibt oben auf der Rutsche.")</f>
        <v>Das Kind und der Mann erscheinen dann auf der Rutsche und das kleine Mädchen geht alleine durch die Rutsche, während er die ganze Zeit lächelt und der Mann bleibt oben auf der Rutsche.</v>
      </c>
    </row>
    <row r="6884">
      <c r="A6884" s="4" t="s">
        <v>8656</v>
      </c>
      <c r="B6884" s="4" t="s">
        <v>8657</v>
      </c>
      <c r="C6884" s="5" t="str">
        <f>IFERROR(__xludf.DUMMYFUNCTION("GOOGLETRANSLATE(B6884,""en"",""de"")"),"Eine Frau und ein kleiner Junge werden lächeln und waschen ihre Hände im Waschbecken, als die Frau beginnt, sein Gesicht zu waschen.")</f>
        <v>Eine Frau und ein kleiner Junge werden lächeln und waschen ihre Hände im Waschbecken, als die Frau beginnt, sein Gesicht zu waschen.</v>
      </c>
    </row>
    <row r="6885">
      <c r="A6885" s="4" t="s">
        <v>8656</v>
      </c>
      <c r="B6885" s="4" t="s">
        <v>8658</v>
      </c>
      <c r="C6885" s="5" t="str">
        <f>IFERROR(__xludf.DUMMYFUNCTION("GOOGLETRANSLATE(B6885,""en"",""de"")"),"Der Junge lächelt mit der Frau, die sein Gesicht wäscht und die Frau trocknet das Gesicht mit einem Papiertuch ab.")</f>
        <v>Der Junge lächelt mit der Frau, die sein Gesicht wäscht und die Frau trocknet das Gesicht mit einem Papiertuch ab.</v>
      </c>
    </row>
    <row r="6886">
      <c r="A6886" s="4" t="s">
        <v>8659</v>
      </c>
      <c r="B6886" s="4" t="s">
        <v>8660</v>
      </c>
      <c r="C6886" s="5" t="str">
        <f>IFERROR(__xludf.DUMMYFUNCTION("GOOGLETRANSLATE(B6886,""en"",""de"")"),"Es ist eine Aussicht auf einen Billardtisch, Bälle, die dreizig sind, und zahlreiche Leute schießen während eines Wettbewerbs die Bälle in die Ecktaschen.")</f>
        <v>Es ist eine Aussicht auf einen Billardtisch, Bälle, die dreizig sind, und zahlreiche Leute schießen während eines Wettbewerbs die Bälle in die Ecktaschen.</v>
      </c>
    </row>
    <row r="6887">
      <c r="A6887" s="4" t="s">
        <v>8659</v>
      </c>
      <c r="B6887" s="4" t="s">
        <v>8661</v>
      </c>
      <c r="C6887" s="5" t="str">
        <f>IFERROR(__xludf.DUMMYFUNCTION("GOOGLETRANSLATE(B6887,""en"",""de"")"),"Eine Frau geht herum und hält eine Scorecard, während sie spielen.")</f>
        <v>Eine Frau geht herum und hält eine Scorecard, während sie spielen.</v>
      </c>
    </row>
    <row r="6888">
      <c r="A6888" s="4" t="s">
        <v>8662</v>
      </c>
      <c r="B6888" s="4" t="s">
        <v>8663</v>
      </c>
      <c r="C6888" s="5" t="str">
        <f>IFERROR(__xludf.DUMMYFUNCTION("GOOGLETRANSLATE(B6888,""en"",""de"")"),"Die Leute fahren Stoßstangenautos auf einem braunen Boden.")</f>
        <v>Die Leute fahren Stoßstangenautos auf einem braunen Boden.</v>
      </c>
    </row>
    <row r="6889">
      <c r="A6889" s="4" t="s">
        <v>8662</v>
      </c>
      <c r="B6889" s="4" t="s">
        <v>8664</v>
      </c>
      <c r="C6889" s="5" t="str">
        <f>IFERROR(__xludf.DUMMYFUNCTION("GOOGLETRANSLATE(B6889,""en"",""de"")"),"Die Stoßstangenautos kollidieren miteinander.")</f>
        <v>Die Stoßstangenautos kollidieren miteinander.</v>
      </c>
    </row>
    <row r="6890">
      <c r="A6890" s="4" t="s">
        <v>8662</v>
      </c>
      <c r="B6890" s="4" t="s">
        <v>8665</v>
      </c>
      <c r="C6890" s="5" t="str">
        <f>IFERROR(__xludf.DUMMYFUNCTION("GOOGLETRANSLATE(B6890,""en"",""de"")"),"Ein Mädchen lacht laut.")</f>
        <v>Ein Mädchen lacht laut.</v>
      </c>
    </row>
    <row r="6891">
      <c r="A6891" s="4" t="s">
        <v>8666</v>
      </c>
      <c r="B6891" s="4" t="s">
        <v>8667</v>
      </c>
      <c r="C6891" s="5" t="str">
        <f>IFERROR(__xludf.DUMMYFUNCTION("GOOGLETRANSLATE(B6891,""en"",""de"")"),"Ein paar Leute reiten Kamele.")</f>
        <v>Ein paar Leute reiten Kamele.</v>
      </c>
    </row>
    <row r="6892">
      <c r="A6892" s="4" t="s">
        <v>8666</v>
      </c>
      <c r="B6892" s="4" t="s">
        <v>8668</v>
      </c>
      <c r="C6892" s="5" t="str">
        <f>IFERROR(__xludf.DUMMYFUNCTION("GOOGLETRANSLATE(B6892,""en"",""de"")"),"Das Kamel kommt runter und kniet.")</f>
        <v>Das Kamel kommt runter und kniet.</v>
      </c>
    </row>
    <row r="6893">
      <c r="A6893" s="4" t="s">
        <v>8669</v>
      </c>
      <c r="B6893" s="4" t="s">
        <v>8670</v>
      </c>
      <c r="C6893" s="5" t="str">
        <f>IFERROR(__xludf.DUMMYFUNCTION("GOOGLETRANSLATE(B6893,""en"",""de"")"),"Wir sehen eine Frau und ein Mädchen auf einem Floß auf einem schneebedeckten Hügel.")</f>
        <v>Wir sehen eine Frau und ein Mädchen auf einem Floß auf einem schneebedeckten Hügel.</v>
      </c>
    </row>
    <row r="6894">
      <c r="A6894" s="4" t="s">
        <v>8669</v>
      </c>
      <c r="B6894" s="4" t="s">
        <v>8671</v>
      </c>
      <c r="C6894" s="5" t="str">
        <f>IFERROR(__xludf.DUMMYFUNCTION("GOOGLETRANSLATE(B6894,""en"",""de"")"),"Die Dame und ein Mann schieben Menschen den Hügel hinunter.")</f>
        <v>Die Dame und ein Mann schieben Menschen den Hügel hinunter.</v>
      </c>
    </row>
    <row r="6895">
      <c r="A6895" s="4" t="s">
        <v>8669</v>
      </c>
      <c r="B6895" s="4" t="s">
        <v>8672</v>
      </c>
      <c r="C6895" s="5" t="str">
        <f>IFERROR(__xludf.DUMMYFUNCTION("GOOGLETRANSLATE(B6895,""en"",""de"")"),"Die Leute rutschen in Flößen den Hügel hinunter.")</f>
        <v>Die Leute rutschen in Flößen den Hügel hinunter.</v>
      </c>
    </row>
    <row r="6896">
      <c r="A6896" s="4" t="s">
        <v>8669</v>
      </c>
      <c r="B6896" s="4" t="s">
        <v>8673</v>
      </c>
      <c r="C6896" s="5" t="str">
        <f>IFERROR(__xludf.DUMMYFUNCTION("GOOGLETRANSLATE(B6896,""en"",""de"")"),"Das kleine Mädchen steht und schaut hinter sich.")</f>
        <v>Das kleine Mädchen steht und schaut hinter sich.</v>
      </c>
    </row>
    <row r="6897">
      <c r="A6897" s="4" t="s">
        <v>8674</v>
      </c>
      <c r="B6897" s="4" t="s">
        <v>8675</v>
      </c>
      <c r="C6897" s="5" t="str">
        <f>IFERROR(__xludf.DUMMYFUNCTION("GOOGLETRANSLATE(B6897,""en"",""de"")"),"Eine Gruppe von Menschen sitzt und klatschend, während Männer, die in Gi's entlang einer gespiegelten Wand stehen, durch verschiedene Bewegungen des Karate gehen.")</f>
        <v>Eine Gruppe von Menschen sitzt und klatschend, während Männer, die in Gi's entlang einer gespiegelten Wand stehen, durch verschiedene Bewegungen des Karate gehen.</v>
      </c>
    </row>
    <row r="6898">
      <c r="A6898" s="4" t="s">
        <v>8674</v>
      </c>
      <c r="B6898" s="4" t="s">
        <v>8676</v>
      </c>
      <c r="C6898" s="5" t="str">
        <f>IFERROR(__xludf.DUMMYFUNCTION("GOOGLETRANSLATE(B6898,""en"",""de"")"),"Elvis Presley ist jetzt in seiner Konzertkleidung gekleidet, steht auf der Bühne und macht seine Karate -Bewegungen und geht dann auf ihn zurück, der vor der gespiegelten Wand steht und seine Karate -Bewegungen demonstriert, während er seinen GI trägt.")</f>
        <v>Elvis Presley ist jetzt in seiner Konzertkleidung gekleidet, steht auf der Bühne und macht seine Karate -Bewegungen und geht dann auf ihn zurück, der vor der gespiegelten Wand steht und seine Karate -Bewegungen demonstriert, während er seinen GI trägt.</v>
      </c>
    </row>
    <row r="6899">
      <c r="A6899" s="4" t="s">
        <v>8674</v>
      </c>
      <c r="B6899" s="4" t="s">
        <v>8677</v>
      </c>
      <c r="C6899" s="5" t="str">
        <f>IFERROR(__xludf.DUMMYFUNCTION("GOOGLETRANSLATE(B6899,""en"",""de"")"),"Wieder einmal ist Elvis Presley in seiner Konzertkleidung wieder auf der Bühne. Das Video endet damit, dass er seine Karate -Bewegungen auf der Bühne macht.")</f>
        <v>Wieder einmal ist Elvis Presley in seiner Konzertkleidung wieder auf der Bühne. Das Video endet damit, dass er seine Karate -Bewegungen auf der Bühne macht.</v>
      </c>
    </row>
    <row r="6900">
      <c r="A6900" s="4" t="s">
        <v>8678</v>
      </c>
      <c r="B6900" s="4" t="s">
        <v>8679</v>
      </c>
      <c r="C6900" s="5" t="str">
        <f>IFERROR(__xludf.DUMMYFUNCTION("GOOGLETRANSLATE(B6900,""en"",""de"")"),"Ein Athlet, der ein weißes Hemd und rote Shorts trägt, läuft mit einem Speer in der Hand in einem Stadion mit mehreren Zuschauern.")</f>
        <v>Ein Athlet, der ein weißes Hemd und rote Shorts trägt, läuft mit einem Speer in der Hand in einem Stadion mit mehreren Zuschauern.</v>
      </c>
    </row>
    <row r="6901">
      <c r="A6901" s="4" t="s">
        <v>8678</v>
      </c>
      <c r="B6901" s="4" t="s">
        <v>8680</v>
      </c>
      <c r="C6901" s="5" t="str">
        <f>IFERROR(__xludf.DUMMYFUNCTION("GOOGLETRANSLATE(B6901,""en"",""de"")"),"Es gibt eine Person, die auf einer weißen Bank sitzt und eine blaue Uniform trägt und ihre Schnürsenkel bindet.")</f>
        <v>Es gibt eine Person, die auf einer weißen Bank sitzt und eine blaue Uniform trägt und ihre Schnürsenkel bindet.</v>
      </c>
    </row>
    <row r="6902">
      <c r="A6902" s="4" t="s">
        <v>8678</v>
      </c>
      <c r="B6902" s="4" t="s">
        <v>8681</v>
      </c>
      <c r="C6902" s="5" t="str">
        <f>IFERROR(__xludf.DUMMYFUNCTION("GOOGLETRANSLATE(B6902,""en"",""de"")"),"Der Speerwerfer läuft und wirft den Speer und fällt zu Boden.")</f>
        <v>Der Speerwerfer läuft und wirft den Speer und fällt zu Boden.</v>
      </c>
    </row>
    <row r="6903">
      <c r="A6903" s="4" t="s">
        <v>8678</v>
      </c>
      <c r="B6903" s="4" t="s">
        <v>8682</v>
      </c>
      <c r="C6903" s="5" t="str">
        <f>IFERROR(__xludf.DUMMYFUNCTION("GOOGLETRANSLATE(B6903,""en"",""de"")"),"Er steht auf und hebt seine Hände hoch im Sieg.")</f>
        <v>Er steht auf und hebt seine Hände hoch im Sieg.</v>
      </c>
    </row>
    <row r="6904">
      <c r="A6904" s="4" t="s">
        <v>8678</v>
      </c>
      <c r="B6904" s="4" t="s">
        <v>8683</v>
      </c>
      <c r="C6904" s="5" t="str">
        <f>IFERROR(__xludf.DUMMYFUNCTION("GOOGLETRANSLATE(B6904,""en"",""de"")"),"Er rennt wieder und wirft den Speer und fällt zu Boden.")</f>
        <v>Er rennt wieder und wirft den Speer und fällt zu Boden.</v>
      </c>
    </row>
    <row r="6905">
      <c r="A6905" s="4" t="s">
        <v>8678</v>
      </c>
      <c r="B6905" s="4" t="s">
        <v>8684</v>
      </c>
      <c r="C6905" s="5" t="str">
        <f>IFERROR(__xludf.DUMMYFUNCTION("GOOGLETRANSLATE(B6905,""en"",""de"")"),"Das dritte Mal wird seine Aktion in Zeitlupe wiederholt.")</f>
        <v>Das dritte Mal wird seine Aktion in Zeitlupe wiederholt.</v>
      </c>
    </row>
    <row r="6906">
      <c r="A6906" s="4" t="s">
        <v>8685</v>
      </c>
      <c r="B6906" s="4" t="s">
        <v>8686</v>
      </c>
      <c r="C6906" s="5" t="str">
        <f>IFERROR(__xludf.DUMMYFUNCTION("GOOGLETRANSLATE(B6906,""en"",""de"")"),"Spieler üben Lacrosse in einem Feld.")</f>
        <v>Spieler üben Lacrosse in einem Feld.</v>
      </c>
    </row>
    <row r="6907">
      <c r="A6907" s="4" t="s">
        <v>8685</v>
      </c>
      <c r="B6907" s="4" t="s">
        <v>8687</v>
      </c>
      <c r="C6907" s="5" t="str">
        <f>IFERROR(__xludf.DUMMYFUNCTION("GOOGLETRANSLATE(B6907,""en"",""de"")"),"Dann spielen die Teams Lacrosse und eine Spielerbewertung für sein Team.")</f>
        <v>Dann spielen die Teams Lacrosse und eine Spielerbewertung für sein Team.</v>
      </c>
    </row>
    <row r="6908">
      <c r="A6908" s="4" t="s">
        <v>8685</v>
      </c>
      <c r="B6908" s="4" t="s">
        <v>8688</v>
      </c>
      <c r="C6908" s="5" t="str">
        <f>IFERROR(__xludf.DUMMYFUNCTION("GOOGLETRANSLATE(B6908,""en"",""de"")"),"Ein Trainer macht sich Notizen und dann trainieren die Spieler Lacrosse.")</f>
        <v>Ein Trainer macht sich Notizen und dann trainieren die Spieler Lacrosse.</v>
      </c>
    </row>
    <row r="6909">
      <c r="A6909" s="4" t="s">
        <v>8685</v>
      </c>
      <c r="B6909" s="4" t="s">
        <v>8689</v>
      </c>
      <c r="C6909" s="5" t="str">
        <f>IFERROR(__xludf.DUMMYFUNCTION("GOOGLETRANSLATE(B6909,""en"",""de"")"),"Dann spielen zwei Teams Lacrosse in einem Feld und werfen den Anruf mit einem Stock.")</f>
        <v>Dann spielen zwei Teams Lacrosse in einem Feld und werfen den Anruf mit einem Stock.</v>
      </c>
    </row>
    <row r="6910">
      <c r="A6910" s="4" t="s">
        <v>8690</v>
      </c>
      <c r="B6910" s="4" t="s">
        <v>8691</v>
      </c>
      <c r="C6910" s="5" t="str">
        <f>IFERROR(__xludf.DUMMYFUNCTION("GOOGLETRANSLATE(B6910,""en"",""de"")"),"Ein Mann geht durch seinen Garten und holt ein Push -Blattgebläse.")</f>
        <v>Ein Mann geht durch seinen Garten und holt ein Push -Blattgebläse.</v>
      </c>
    </row>
    <row r="6911">
      <c r="A6911" s="4" t="s">
        <v>8690</v>
      </c>
      <c r="B6911" s="4" t="s">
        <v>8692</v>
      </c>
      <c r="C6911" s="5" t="str">
        <f>IFERROR(__xludf.DUMMYFUNCTION("GOOGLETRANSLATE(B6911,""en"",""de"")"),"Der Mann geht durch das Gebläse um den Hof und bläst Blätter zur Seite.")</f>
        <v>Der Mann geht durch das Gebläse um den Hof und bläst Blätter zur Seite.</v>
      </c>
    </row>
    <row r="6912">
      <c r="A6912" s="4" t="s">
        <v>8690</v>
      </c>
      <c r="B6912" s="4" t="s">
        <v>8693</v>
      </c>
      <c r="C6912" s="5" t="str">
        <f>IFERROR(__xludf.DUMMYFUNCTION("GOOGLETRANSLATE(B6912,""en"",""de"")"),"Der Mann beendet und schiebt das Blattgebläse neben den Zaun mit den anderen Maschinen und geht dann weg.")</f>
        <v>Der Mann beendet und schiebt das Blattgebläse neben den Zaun mit den anderen Maschinen und geht dann weg.</v>
      </c>
    </row>
    <row r="6913">
      <c r="A6913" s="4" t="s">
        <v>8694</v>
      </c>
      <c r="B6913" s="4" t="s">
        <v>8695</v>
      </c>
      <c r="C6913" s="5" t="str">
        <f>IFERROR(__xludf.DUMMYFUNCTION("GOOGLETRANSLATE(B6913,""en"",""de"")"),"Frau in rosa zeigt das Ziel.")</f>
        <v>Frau in rosa zeigt das Ziel.</v>
      </c>
    </row>
    <row r="6914">
      <c r="A6914" s="4" t="s">
        <v>8694</v>
      </c>
      <c r="B6914" s="4" t="s">
        <v>8696</v>
      </c>
      <c r="C6914" s="5" t="str">
        <f>IFERROR(__xludf.DUMMYFUNCTION("GOOGLETRANSLATE(B6914,""en"",""de"")"),"Mädchen in schwarzen Dreh- und Score -Tor.")</f>
        <v>Mädchen in schwarzen Dreh- und Score -Tor.</v>
      </c>
    </row>
    <row r="6915">
      <c r="A6915" s="4" t="s">
        <v>8694</v>
      </c>
      <c r="B6915" s="4" t="s">
        <v>8697</v>
      </c>
      <c r="C6915" s="5" t="str">
        <f>IFERROR(__xludf.DUMMYFUNCTION("GOOGLETRANSLATE(B6915,""en"",""de"")"),"Teamkollegen gratulieren dem Mädchen in Schwarz zu dem Ziel.")</f>
        <v>Teamkollegen gratulieren dem Mädchen in Schwarz zu dem Ziel.</v>
      </c>
    </row>
    <row r="6916">
      <c r="A6916" s="4" t="s">
        <v>8694</v>
      </c>
      <c r="B6916" s="4" t="s">
        <v>8698</v>
      </c>
      <c r="C6916" s="5" t="str">
        <f>IFERROR(__xludf.DUMMYFUNCTION("GOOGLETRANSLATE(B6916,""en"",""de"")"),"Die Spieler kommen in ihre Positionen.")</f>
        <v>Die Spieler kommen in ihre Positionen.</v>
      </c>
    </row>
    <row r="6917">
      <c r="A6917" s="4" t="s">
        <v>8694</v>
      </c>
      <c r="B6917" s="4" t="s">
        <v>8699</v>
      </c>
      <c r="C6917" s="5" t="str">
        <f>IFERROR(__xludf.DUMMYFUNCTION("GOOGLETRANSLATE(B6917,""en"",""de"")"),"Mädchen in Schwarz rennt nach dem Ball.")</f>
        <v>Mädchen in Schwarz rennt nach dem Ball.</v>
      </c>
    </row>
    <row r="6918">
      <c r="A6918" s="4" t="s">
        <v>8694</v>
      </c>
      <c r="B6918" s="4" t="s">
        <v>8700</v>
      </c>
      <c r="C6918" s="5" t="str">
        <f>IFERROR(__xludf.DUMMYFUNCTION("GOOGLETRANSLATE(B6918,""en"",""de"")"),"Mädchen in Schwarz trifft ihren Teamkollegen auf den Ball.")</f>
        <v>Mädchen in Schwarz trifft ihren Teamkollegen auf den Ball.</v>
      </c>
    </row>
    <row r="6919">
      <c r="A6919" s="4" t="s">
        <v>8694</v>
      </c>
      <c r="B6919" s="4" t="s">
        <v>8701</v>
      </c>
      <c r="C6919" s="5" t="str">
        <f>IFERROR(__xludf.DUMMYFUNCTION("GOOGLETRANSLATE(B6919,""en"",""de"")"),"Mädchen rennen nach dem Ball.")</f>
        <v>Mädchen rennen nach dem Ball.</v>
      </c>
    </row>
    <row r="6920">
      <c r="A6920" s="4" t="s">
        <v>8702</v>
      </c>
      <c r="B6920" s="4" t="s">
        <v>8703</v>
      </c>
      <c r="C6920" s="5" t="str">
        <f>IFERROR(__xludf.DUMMYFUNCTION("GOOGLETRANSLATE(B6920,""en"",""de"")"),"Ein Mann sitzt in einem Raum mit zwei Congas zwischen seinen Beinen.")</f>
        <v>Ein Mann sitzt in einem Raum mit zwei Congas zwischen seinen Beinen.</v>
      </c>
    </row>
    <row r="6921">
      <c r="A6921" s="4" t="s">
        <v>8702</v>
      </c>
      <c r="B6921" s="4" t="s">
        <v>8704</v>
      </c>
      <c r="C6921" s="5" t="str">
        <f>IFERROR(__xludf.DUMMYFUNCTION("GOOGLETRANSLATE(B6921,""en"",""de"")"),"Einer von ihnen ist etwas kleiner als der andere und er neigt dazu, das zu spielen, was alle alle paar Beats größer schlägt.")</f>
        <v>Einer von ihnen ist etwas kleiner als der andere und er neigt dazu, das zu spielen, was alle alle paar Beats größer schlägt.</v>
      </c>
    </row>
    <row r="6922">
      <c r="A6922" s="4" t="s">
        <v>8702</v>
      </c>
      <c r="B6922" s="4" t="s">
        <v>8705</v>
      </c>
      <c r="C6922" s="5" t="str">
        <f>IFERROR(__xludf.DUMMYFUNCTION("GOOGLETRANSLATE(B6922,""en"",""de"")"),"Sein ganzes Gesicht erscheint im Rahmen und Sie können sehen, wie er seinen Kopf bewegt und sich mehr auf seinen Klang konzentriert.")</f>
        <v>Sein ganzes Gesicht erscheint im Rahmen und Sie können sehen, wie er seinen Kopf bewegt und sich mehr auf seinen Klang konzentriert.</v>
      </c>
    </row>
    <row r="6923">
      <c r="A6923" s="4" t="s">
        <v>8706</v>
      </c>
      <c r="B6923" s="4" t="s">
        <v>8707</v>
      </c>
      <c r="C6923" s="5" t="str">
        <f>IFERROR(__xludf.DUMMYFUNCTION("GOOGLETRANSLATE(B6923,""en"",""de"")"),"Ein Intro führt zu einer Frau, die einen Hund und Frisbee hält und dann den Fribee für den Hund zum Fangen wirft.")</f>
        <v>Ein Intro führt zu einer Frau, die einen Hund und Frisbee hält und dann den Fribee für den Hund zum Fangen wirft.</v>
      </c>
    </row>
    <row r="6924">
      <c r="A6924" s="4" t="s">
        <v>8706</v>
      </c>
      <c r="B6924" s="4" t="s">
        <v>8708</v>
      </c>
      <c r="C6924" s="5" t="str">
        <f>IFERROR(__xludf.DUMMYFUNCTION("GOOGLETRANSLATE(B6924,""en"",""de"")"),"Der Hund bringt es zurück und das Mädchen wirft das Objekt noch mehrmals, wobei der Hund jedes Mal nachlässt und zurückkommt.")</f>
        <v>Der Hund bringt es zurück und das Mädchen wirft das Objekt noch mehrmals, wobei der Hund jedes Mal nachlässt und zurückkommt.</v>
      </c>
    </row>
    <row r="6925">
      <c r="A6925" s="4" t="s">
        <v>8709</v>
      </c>
      <c r="B6925" s="4" t="s">
        <v>1251</v>
      </c>
      <c r="C6925" s="5" t="str">
        <f>IFERROR(__xludf.DUMMYFUNCTION("GOOGLETRANSLATE(B6925,""en"",""de"")"),"Die Credits des Clips werden angezeigt.")</f>
        <v>Die Credits des Clips werden angezeigt.</v>
      </c>
    </row>
    <row r="6926">
      <c r="A6926" s="4" t="s">
        <v>8709</v>
      </c>
      <c r="B6926" s="4" t="s">
        <v>8710</v>
      </c>
      <c r="C6926" s="5" t="str">
        <f>IFERROR(__xludf.DUMMYFUNCTION("GOOGLETRANSLATE(B6926,""en"",""de"")"),"Die Dame steckt den Inhalt einer Flasche in ihre Handflächen, und die Dame reibt sie ins Gesicht.")</f>
        <v>Die Dame steckt den Inhalt einer Flasche in ihre Handflächen, und die Dame reibt sie ins Gesicht.</v>
      </c>
    </row>
    <row r="6927">
      <c r="A6927" s="4" t="s">
        <v>8709</v>
      </c>
      <c r="B6927" s="4" t="s">
        <v>8711</v>
      </c>
      <c r="C6927" s="5" t="str">
        <f>IFERROR(__xludf.DUMMYFUNCTION("GOOGLETRANSLATE(B6927,""en"",""de"")"),"Die Dame macht lustige Gesichter.")</f>
        <v>Die Dame macht lustige Gesichter.</v>
      </c>
    </row>
    <row r="6928">
      <c r="A6928" s="4" t="s">
        <v>8709</v>
      </c>
      <c r="B6928" s="4" t="s">
        <v>8712</v>
      </c>
      <c r="C6928" s="5" t="str">
        <f>IFERROR(__xludf.DUMMYFUNCTION("GOOGLETRANSLATE(B6928,""en"",""de"")"),"Die Dame wäscht ihr Gesicht.")</f>
        <v>Die Dame wäscht ihr Gesicht.</v>
      </c>
    </row>
    <row r="6929">
      <c r="A6929" s="4" t="s">
        <v>8709</v>
      </c>
      <c r="B6929" s="4" t="s">
        <v>8713</v>
      </c>
      <c r="C6929" s="5" t="str">
        <f>IFERROR(__xludf.DUMMYFUNCTION("GOOGLETRANSLATE(B6929,""en"",""de"")"),"Das Lady Handtuch trocknet ihr Gesicht.")</f>
        <v>Das Lady Handtuch trocknet ihr Gesicht.</v>
      </c>
    </row>
    <row r="6930">
      <c r="A6930" s="4" t="s">
        <v>8709</v>
      </c>
      <c r="B6930" s="4" t="s">
        <v>8714</v>
      </c>
      <c r="C6930" s="5" t="str">
        <f>IFERROR(__xludf.DUMMYFUNCTION("GOOGLETRANSLATE(B6930,""en"",""de"")"),"Die Dame legt Flecken der weißen Lotion in ihr Gesicht und reibt sie hinein.")</f>
        <v>Die Dame legt Flecken der weißen Lotion in ihr Gesicht und reibt sie hinein.</v>
      </c>
    </row>
    <row r="6931">
      <c r="A6931" s="4" t="s">
        <v>8709</v>
      </c>
      <c r="B6931" s="4" t="s">
        <v>8715</v>
      </c>
      <c r="C6931" s="5" t="str">
        <f>IFERROR(__xludf.DUMMYFUNCTION("GOOGLETRANSLATE(B6931,""en"",""de"")"),"Die Dame präsentiert ein kleines Rohrprodukt.")</f>
        <v>Die Dame präsentiert ein kleines Rohrprodukt.</v>
      </c>
    </row>
    <row r="6932">
      <c r="A6932" s="4" t="s">
        <v>8709</v>
      </c>
      <c r="B6932" s="4" t="s">
        <v>573</v>
      </c>
      <c r="C6932" s="5" t="str">
        <f>IFERROR(__xludf.DUMMYFUNCTION("GOOGLETRANSLATE(B6932,""en"",""de"")"),"Die Credits des Videos werden angezeigt.")</f>
        <v>Die Credits des Videos werden angezeigt.</v>
      </c>
    </row>
    <row r="6933">
      <c r="A6933" s="4" t="s">
        <v>8716</v>
      </c>
      <c r="B6933" s="4" t="s">
        <v>8717</v>
      </c>
      <c r="C6933" s="5" t="str">
        <f>IFERROR(__xludf.DUMMYFUNCTION("GOOGLETRANSLATE(B6933,""en"",""de"")"),"Ein junger Mensch hält an einem Seil fest, als er Boogie durch den Fluss biegt.")</f>
        <v>Ein junger Mensch hält an einem Seil fest, als er Boogie durch den Fluss biegt.</v>
      </c>
    </row>
    <row r="6934">
      <c r="A6934" s="4" t="s">
        <v>8716</v>
      </c>
      <c r="B6934" s="4" t="s">
        <v>8718</v>
      </c>
      <c r="C6934" s="5" t="str">
        <f>IFERROR(__xludf.DUMMYFUNCTION("GOOGLETRANSLATE(B6934,""en"",""de"")"),"Der junge Mensch macht dann einen 360 -Flip im Wasser und geht weiter und kurz danach macht er einen weiteren Trick.")</f>
        <v>Der junge Mensch macht dann einen 360 -Flip im Wasser und geht weiter und kurz danach macht er einen weiteren Trick.</v>
      </c>
    </row>
    <row r="6935">
      <c r="A6935" s="4" t="s">
        <v>8716</v>
      </c>
      <c r="B6935" s="4" t="s">
        <v>8719</v>
      </c>
      <c r="C6935" s="5" t="str">
        <f>IFERROR(__xludf.DUMMYFUNCTION("GOOGLETRANSLATE(B6935,""en"",""de"")"),"Dann wird eine andere Person gezeigt und beginnt strengere Tricks im Wasser.")</f>
        <v>Dann wird eine andere Person gezeigt und beginnt strengere Tricks im Wasser.</v>
      </c>
    </row>
    <row r="6936">
      <c r="A6936" s="4" t="s">
        <v>8716</v>
      </c>
      <c r="B6936" s="4" t="s">
        <v>8720</v>
      </c>
      <c r="C6936" s="5" t="str">
        <f>IFERROR(__xludf.DUMMYFUNCTION("GOOGLETRANSLATE(B6936,""en"",""de"")"),"Als nächstes wird eine Reihe von Bildern gezeigt, von denen andere Leute Tricks machen.")</f>
        <v>Als nächstes wird eine Reihe von Bildern gezeigt, von denen andere Leute Tricks machen.</v>
      </c>
    </row>
    <row r="6937">
      <c r="A6937" s="4" t="s">
        <v>8716</v>
      </c>
      <c r="B6937" s="4" t="s">
        <v>8721</v>
      </c>
      <c r="C6937" s="5" t="str">
        <f>IFERROR(__xludf.DUMMYFUNCTION("GOOGLETRANSLATE(B6937,""en"",""de"")"),"Als nächstes wird ein Snowboarder gezeigt und dann kommt sie mit einem Standbild von ihm und seinen Auszeichnungen zurück.")</f>
        <v>Als nächstes wird ein Snowboarder gezeigt und dann kommt sie mit einem Standbild von ihm und seinen Auszeichnungen zurück.</v>
      </c>
    </row>
    <row r="6938">
      <c r="A6938" s="4" t="s">
        <v>8722</v>
      </c>
      <c r="B6938" s="4" t="s">
        <v>8723</v>
      </c>
      <c r="C6938" s="5" t="str">
        <f>IFERROR(__xludf.DUMMYFUNCTION("GOOGLETRANSLATE(B6938,""en"",""de"")"),"Drei Frauen stehen in einem Park auf einem Feld und machen Yoga.")</f>
        <v>Drei Frauen stehen in einem Park auf einem Feld und machen Yoga.</v>
      </c>
    </row>
    <row r="6939">
      <c r="A6939" s="4" t="s">
        <v>8722</v>
      </c>
      <c r="B6939" s="4" t="s">
        <v>8724</v>
      </c>
      <c r="C6939" s="5" t="str">
        <f>IFERROR(__xludf.DUMMYFUNCTION("GOOGLETRANSLATE(B6939,""en"",""de"")"),"Der Mann läuft im Park hinter den Frauen.")</f>
        <v>Der Mann läuft im Park hinter den Frauen.</v>
      </c>
    </row>
    <row r="6940">
      <c r="A6940" s="4" t="s">
        <v>8722</v>
      </c>
      <c r="B6940" s="4" t="s">
        <v>8725</v>
      </c>
      <c r="C6940" s="5" t="str">
        <f>IFERROR(__xludf.DUMMYFUNCTION("GOOGLETRANSLATE(B6940,""en"",""de"")"),"Ein alter Mann geht schnell im Park.")</f>
        <v>Ein alter Mann geht schnell im Park.</v>
      </c>
    </row>
    <row r="6941">
      <c r="A6941" s="4" t="s">
        <v>8726</v>
      </c>
      <c r="B6941" s="4" t="s">
        <v>8727</v>
      </c>
      <c r="C6941" s="5" t="str">
        <f>IFERROR(__xludf.DUMMYFUNCTION("GOOGLETRANSLATE(B6941,""en"",""de"")"),"Ein Mann hält sich an einem Paar Schuhe fest, während er mit der Kamera spricht und sie niedersprüht.")</f>
        <v>Ein Mann hält sich an einem Paar Schuhe fest, während er mit der Kamera spricht und sie niedersprüht.</v>
      </c>
    </row>
    <row r="6942">
      <c r="A6942" s="4" t="s">
        <v>8726</v>
      </c>
      <c r="B6942" s="4" t="s">
        <v>8728</v>
      </c>
      <c r="C6942" s="5" t="str">
        <f>IFERROR(__xludf.DUMMYFUNCTION("GOOGLETRANSLATE(B6942,""en"",""de"")"),"Der Mann schrubbt die Schuhe mit einem Lappen, während er weiter mit der Kamera spricht.")</f>
        <v>Der Mann schrubbt die Schuhe mit einem Lappen, während er weiter mit der Kamera spricht.</v>
      </c>
    </row>
    <row r="6943">
      <c r="A6943" s="4" t="s">
        <v>8726</v>
      </c>
      <c r="B6943" s="4" t="s">
        <v>8729</v>
      </c>
      <c r="C6943" s="5" t="str">
        <f>IFERROR(__xludf.DUMMYFUNCTION("GOOGLETRANSLATE(B6943,""en"",""de"")"),"Am Ende hält er die Schuhe hoch, während er noch spricht und der Kamera einen Daumen hoch gibt.")</f>
        <v>Am Ende hält er die Schuhe hoch, während er noch spricht und der Kamera einen Daumen hoch gibt.</v>
      </c>
    </row>
    <row r="6944">
      <c r="A6944" s="4" t="s">
        <v>8730</v>
      </c>
      <c r="B6944" s="4" t="s">
        <v>8731</v>
      </c>
      <c r="C6944" s="5" t="str">
        <f>IFERROR(__xludf.DUMMYFUNCTION("GOOGLETRANSLATE(B6944,""en"",""de"")"),"Ein paar Teams sind auf einem offenen Feld.")</f>
        <v>Ein paar Teams sind auf einem offenen Feld.</v>
      </c>
    </row>
    <row r="6945">
      <c r="A6945" s="4" t="s">
        <v>8730</v>
      </c>
      <c r="B6945" s="4" t="s">
        <v>8732</v>
      </c>
      <c r="C6945" s="5" t="str">
        <f>IFERROR(__xludf.DUMMYFUNCTION("GOOGLETRANSLATE(B6945,""en"",""de"")"),"Sie spielen zusammen Lacrosse.")</f>
        <v>Sie spielen zusammen Lacrosse.</v>
      </c>
    </row>
    <row r="6946">
      <c r="A6946" s="4" t="s">
        <v>8730</v>
      </c>
      <c r="B6946" s="4" t="s">
        <v>8733</v>
      </c>
      <c r="C6946" s="5" t="str">
        <f>IFERROR(__xludf.DUMMYFUNCTION("GOOGLETRANSLATE(B6946,""en"",""de"")"),"Sie rennen herum und versuchen, den Ball zu schlagen.")</f>
        <v>Sie rennen herum und versuchen, den Ball zu schlagen.</v>
      </c>
    </row>
    <row r="6947">
      <c r="A6947" s="4" t="s">
        <v>8734</v>
      </c>
      <c r="B6947" s="4" t="s">
        <v>8735</v>
      </c>
      <c r="C6947" s="5" t="str">
        <f>IFERROR(__xludf.DUMMYFUNCTION("GOOGLETRANSLATE(B6947,""en"",""de"")"),"Eine kleine Gruppe von Kindern ist gesehen, wie sie auf einem Indoor -Feld herumläuft und einen Fußballball tritt.")</f>
        <v>Eine kleine Gruppe von Kindern ist gesehen, wie sie auf einem Indoor -Feld herumläuft und einen Fußballball tritt.</v>
      </c>
    </row>
    <row r="6948">
      <c r="A6948" s="4" t="s">
        <v>8734</v>
      </c>
      <c r="B6948" s="4" t="s">
        <v>8736</v>
      </c>
      <c r="C6948" s="5" t="str">
        <f>IFERROR(__xludf.DUMMYFUNCTION("GOOGLETRANSLATE(B6948,""en"",""de"")"),"Die Kinder bewegen sich zwischen Polen auf und ab und treten immer noch den Ball.")</f>
        <v>Die Kinder bewegen sich zwischen Polen auf und ab und treten immer noch den Ball.</v>
      </c>
    </row>
    <row r="6949">
      <c r="A6949" s="4" t="s">
        <v>8734</v>
      </c>
      <c r="B6949" s="4" t="s">
        <v>8737</v>
      </c>
      <c r="C6949" s="5" t="str">
        <f>IFERROR(__xludf.DUMMYFUNCTION("GOOGLETRANSLATE(B6949,""en"",""de"")"),"Den Kindern wird dann gezeigt, wie sie Bälle nacheinander in ein Tor treten.")</f>
        <v>Den Kindern wird dann gezeigt, wie sie Bälle nacheinander in ein Tor treten.</v>
      </c>
    </row>
    <row r="6950">
      <c r="A6950" s="4" t="s">
        <v>8738</v>
      </c>
      <c r="B6950" s="4" t="s">
        <v>8739</v>
      </c>
      <c r="C6950" s="5" t="str">
        <f>IFERROR(__xludf.DUMMYFUNCTION("GOOGLETRANSLATE(B6950,""en"",""de"")"),"Ein Mädchen steht im Hintergrund eines Raumes mit Papierluftballon, und sie beginnt zu tanzen, um ihre Beine hin und her zu bewegt und ihre Arme leicht zu bewegen.")</f>
        <v>Ein Mädchen steht im Hintergrund eines Raumes mit Papierluftballon, und sie beginnt zu tanzen, um ihre Beine hin und her zu bewegt und ihre Arme leicht zu bewegen.</v>
      </c>
    </row>
    <row r="6951">
      <c r="A6951" s="4" t="s">
        <v>8738</v>
      </c>
      <c r="B6951" s="4" t="s">
        <v>8740</v>
      </c>
      <c r="C6951" s="5" t="str">
        <f>IFERROR(__xludf.DUMMYFUNCTION("GOOGLETRANSLATE(B6951,""en"",""de"")"),"Das Mädchen nimmt es dann auf und beginnt, sich mehr von ihren Armen zusammen mit ihren Beinen zu bewegen und tanzt in einem kleinen Bereich im Raum, während sie der Kamera gegenübersteht.")</f>
        <v>Das Mädchen nimmt es dann auf und beginnt, sich mehr von ihren Armen zusammen mit ihren Beinen zu bewegen und tanzt in einem kleinen Bereich im Raum, während sie der Kamera gegenübersteht.</v>
      </c>
    </row>
    <row r="6952">
      <c r="A6952" s="4" t="s">
        <v>8738</v>
      </c>
      <c r="B6952" s="4" t="s">
        <v>8741</v>
      </c>
      <c r="C6952" s="5" t="str">
        <f>IFERROR(__xludf.DUMMYFUNCTION("GOOGLETRANSLATE(B6952,""en"",""de"")"),"Das Mädchen dreht sich dann zu ihrer Seite und wir sehen sie von der Seite tanzen, sie dreht sich in den Rücken und tanzt ein bisschen so und dreht sich dann immer wieder um, bis wir sie in alle Richtungen tanzen sehen.")</f>
        <v>Das Mädchen dreht sich dann zu ihrer Seite und wir sehen sie von der Seite tanzen, sie dreht sich in den Rücken und tanzt ein bisschen so und dreht sich dann immer wieder um, bis wir sie in alle Richtungen tanzen sehen.</v>
      </c>
    </row>
    <row r="6953">
      <c r="A6953" s="4" t="s">
        <v>8742</v>
      </c>
      <c r="B6953" s="4" t="s">
        <v>8743</v>
      </c>
      <c r="C6953" s="5" t="str">
        <f>IFERROR(__xludf.DUMMYFUNCTION("GOOGLETRANSLATE(B6953,""en"",""de"")"),"Vier Biker zu Beginn der Linie tragen verschiedene Farben von Uniformen und Helmen, sie werden im Begriff sind, das Rennen zu starten.")</f>
        <v>Vier Biker zu Beginn der Linie tragen verschiedene Farben von Uniformen und Helmen, sie werden im Begriff sind, das Rennen zu starten.</v>
      </c>
    </row>
    <row r="6954">
      <c r="A6954" s="4" t="s">
        <v>8742</v>
      </c>
      <c r="B6954" s="4" t="s">
        <v>8744</v>
      </c>
      <c r="C6954" s="5" t="str">
        <f>IFERROR(__xludf.DUMMYFUNCTION("GOOGLETRANSLATE(B6954,""en"",""de"")"),"Das Rennen begann, das Bikers -Fahrrad und das Rennen in der Rennstrecke, auf der sie sprangen und hüpften und zum Bordstein, dem einen Spieler, als er die Ziellinie erreichte, fiel er auf seine Seite und stand auf und ging auf die Menschen zu.")</f>
        <v>Das Rennen begann, das Bikers -Fahrrad und das Rennen in der Rennstrecke, auf der sie sprangen und hüpften und zum Bordstein, dem einen Spieler, als er die Ziellinie erreichte, fiel er auf seine Seite und stand auf und ging auf die Menschen zu.</v>
      </c>
    </row>
    <row r="6955">
      <c r="A6955" s="4" t="s">
        <v>8745</v>
      </c>
      <c r="B6955" s="4" t="s">
        <v>8746</v>
      </c>
      <c r="C6955" s="5" t="str">
        <f>IFERROR(__xludf.DUMMYFUNCTION("GOOGLETRANSLATE(B6955,""en"",""de"")"),"Eine Kamera schwenkt um eine Kommode, gefolgt von mehreren Objekten und Zutaten, die der Kamera angezeigt werden.")</f>
        <v>Eine Kamera schwenkt um eine Kommode, gefolgt von mehreren Objekten und Zutaten, die der Kamera angezeigt werden.</v>
      </c>
    </row>
    <row r="6956">
      <c r="A6956" s="4" t="s">
        <v>8745</v>
      </c>
      <c r="B6956" s="4" t="s">
        <v>8747</v>
      </c>
      <c r="C6956" s="5" t="str">
        <f>IFERROR(__xludf.DUMMYFUNCTION("GOOGLETRANSLATE(B6956,""en"",""de"")"),"Eine Frau wird dann gesehen, wie sie die Kommode mit mehreren Mänteln malt und sie abschleit.")</f>
        <v>Eine Frau wird dann gesehen, wie sie die Kommode mit mehreren Mänteln malt und sie abschleit.</v>
      </c>
    </row>
    <row r="6957">
      <c r="A6957" s="4" t="s">
        <v>8745</v>
      </c>
      <c r="B6957" s="4" t="s">
        <v>8748</v>
      </c>
      <c r="C6957" s="5" t="str">
        <f>IFERROR(__xludf.DUMMYFUNCTION("GOOGLETRANSLATE(B6957,""en"",""de"")"),"Sie legt die Teile zusammen und endet, indem sie zur Kamera lächelt.")</f>
        <v>Sie legt die Teile zusammen und endet, indem sie zur Kamera lächelt.</v>
      </c>
    </row>
    <row r="6958">
      <c r="A6958" s="4" t="s">
        <v>8749</v>
      </c>
      <c r="B6958" s="4" t="s">
        <v>8750</v>
      </c>
      <c r="C6958" s="5" t="str">
        <f>IFERROR(__xludf.DUMMYFUNCTION("GOOGLETRANSLATE(B6958,""en"",""de"")"),"Der Cartoon der Helden kämpft mit einem bösen Charakter.")</f>
        <v>Der Cartoon der Helden kämpft mit einem bösen Charakter.</v>
      </c>
    </row>
    <row r="6959">
      <c r="A6959" s="4" t="s">
        <v>8749</v>
      </c>
      <c r="B6959" s="4" t="s">
        <v>8751</v>
      </c>
      <c r="C6959" s="5" t="str">
        <f>IFERROR(__xludf.DUMMYFUNCTION("GOOGLETRANSLATE(B6959,""en"",""de"")"),"Die Helden kämpfen und sitzen dann auf einem Baumstamm auf der Vorderseite.")</f>
        <v>Die Helden kämpfen und sitzen dann auf einem Baumstamm auf der Vorderseite.</v>
      </c>
    </row>
    <row r="6960">
      <c r="A6960" s="4" t="s">
        <v>8752</v>
      </c>
      <c r="B6960" s="4" t="s">
        <v>8753</v>
      </c>
      <c r="C6960" s="5" t="str">
        <f>IFERROR(__xludf.DUMMYFUNCTION("GOOGLETRANSLATE(B6960,""en"",""de"")"),"Auf dem Bildschirm wird ein drehendes Logo mit einem lila Hintergrund angezeigt.")</f>
        <v>Auf dem Bildschirm wird ein drehendes Logo mit einem lila Hintergrund angezeigt.</v>
      </c>
    </row>
    <row r="6961">
      <c r="A6961" s="4" t="s">
        <v>8752</v>
      </c>
      <c r="B6961" s="4" t="s">
        <v>8754</v>
      </c>
      <c r="C6961" s="5" t="str">
        <f>IFERROR(__xludf.DUMMYFUNCTION("GOOGLETRANSLATE(B6961,""en"",""de"")"),"Eine Frau im blauen Kleid spielt eine Trommel in einem Studio.")</f>
        <v>Eine Frau im blauen Kleid spielt eine Trommel in einem Studio.</v>
      </c>
    </row>
    <row r="6962">
      <c r="A6962" s="4" t="s">
        <v>8755</v>
      </c>
      <c r="B6962" s="4" t="s">
        <v>8756</v>
      </c>
      <c r="C6962" s="5" t="str">
        <f>IFERROR(__xludf.DUMMYFUNCTION("GOOGLETRANSLATE(B6962,""en"",""de"")"),"Das Video beginnt mit dem Host, das mit lila Nagelbande ein Muster erstellt, langsam angewendet und sicherstellt, dass es gerade ist.")</f>
        <v>Das Video beginnt mit dem Host, das mit lila Nagelbande ein Muster erstellt, langsam angewendet und sicherstellt, dass es gerade ist.</v>
      </c>
    </row>
    <row r="6963">
      <c r="A6963" s="4" t="s">
        <v>8755</v>
      </c>
      <c r="B6963" s="4" t="s">
        <v>8757</v>
      </c>
      <c r="C6963" s="5" t="str">
        <f>IFERROR(__xludf.DUMMYFUNCTION("GOOGLETRANSLATE(B6963,""en"",""de"")"),"Als nächstes wird ein mattes Mantel über den Nagel und das Klebeband aufgetragen.")</f>
        <v>Als nächstes wird ein mattes Mantel über den Nagel und das Klebeband aufgetragen.</v>
      </c>
    </row>
    <row r="6964">
      <c r="A6964" s="4" t="s">
        <v>8755</v>
      </c>
      <c r="B6964" s="4" t="s">
        <v>8758</v>
      </c>
      <c r="C6964" s="5" t="str">
        <f>IFERROR(__xludf.DUMMYFUNCTION("GOOGLETRANSLATE(B6964,""en"",""de"")"),"Das Klebeband wird vorsichtig vom Nagel abgezogen, und ein Decklack wird auf die Schnittstelle der Linien aufgetragen.")</f>
        <v>Das Klebeband wird vorsichtig vom Nagel abgezogen, und ein Decklack wird auf die Schnittstelle der Linien aufgetragen.</v>
      </c>
    </row>
    <row r="6965">
      <c r="A6965" s="4" t="s">
        <v>8755</v>
      </c>
      <c r="B6965" s="4" t="s">
        <v>8759</v>
      </c>
      <c r="C6965" s="5" t="str">
        <f>IFERROR(__xludf.DUMMYFUNCTION("GOOGLETRANSLATE(B6965,""en"",""de"")"),"Als nächstes wird eine Mikroperle dort platziert, wo sich die Linien treffen.")</f>
        <v>Als nächstes wird eine Mikroperle dort platziert, wo sich die Linien treffen.</v>
      </c>
    </row>
    <row r="6966">
      <c r="A6966" s="4" t="s">
        <v>8755</v>
      </c>
      <c r="B6966" s="4" t="s">
        <v>8760</v>
      </c>
      <c r="C6966" s="5" t="str">
        <f>IFERROR(__xludf.DUMMYFUNCTION("GOOGLETRANSLATE(B6966,""en"",""de"")"),"Das nächste Nagelprojekt verfügt über einen weißen bemalten Nagel und Wirt macht zwei schwarze C, um das Chanel -Logo nachzuahmen.")</f>
        <v>Das nächste Nagelprojekt verfügt über einen weißen bemalten Nagel und Wirt macht zwei schwarze C, um das Chanel -Logo nachzuahmen.</v>
      </c>
    </row>
    <row r="6967">
      <c r="A6967" s="4" t="s">
        <v>8755</v>
      </c>
      <c r="B6967" s="4" t="s">
        <v>8761</v>
      </c>
      <c r="C6967" s="5" t="str">
        <f>IFERROR(__xludf.DUMMYFUNCTION("GOOGLETRANSLATE(B6967,""en"",""de"")"),"Allmählich wird das Logo mit mehr Anwendung mutiger gemacht.")</f>
        <v>Allmählich wird das Logo mit mehr Anwendung mutiger gemacht.</v>
      </c>
    </row>
    <row r="6968">
      <c r="A6968" s="4" t="s">
        <v>8755</v>
      </c>
      <c r="B6968" s="4" t="s">
        <v>8762</v>
      </c>
      <c r="C6968" s="5" t="str">
        <f>IFERROR(__xludf.DUMMYFUNCTION("GOOGLETRANSLATE(B6968,""en"",""de"")"),"Schließlich wird ein mattes Decklack aufgetragen, um ihn abzuschließen.")</f>
        <v>Schließlich wird ein mattes Decklack aufgetragen, um ihn abzuschließen.</v>
      </c>
    </row>
    <row r="6969">
      <c r="A6969" s="4" t="s">
        <v>8763</v>
      </c>
      <c r="B6969" s="4" t="s">
        <v>8764</v>
      </c>
      <c r="C6969" s="5" t="str">
        <f>IFERROR(__xludf.DUMMYFUNCTION("GOOGLETRANSLATE(B6969,""en"",""de"")"),"Ein Mopp steht neben einem Eimer aufrecht.")</f>
        <v>Ein Mopp steht neben einem Eimer aufrecht.</v>
      </c>
    </row>
    <row r="6970">
      <c r="A6970" s="4" t="s">
        <v>8763</v>
      </c>
      <c r="B6970" s="4" t="s">
        <v>8765</v>
      </c>
      <c r="C6970" s="5" t="str">
        <f>IFERROR(__xludf.DUMMYFUNCTION("GOOGLETRANSLATE(B6970,""en"",""de"")"),"Eine Person absorbiert das gesamte Wasser aus einer Schüssel mit einem Mopp.")</f>
        <v>Eine Person absorbiert das gesamte Wasser aus einer Schüssel mit einem Mopp.</v>
      </c>
    </row>
    <row r="6971">
      <c r="A6971" s="4" t="s">
        <v>8763</v>
      </c>
      <c r="B6971" s="4" t="s">
        <v>8766</v>
      </c>
      <c r="C6971" s="5" t="str">
        <f>IFERROR(__xludf.DUMMYFUNCTION("GOOGLETRANSLATE(B6971,""en"",""de"")"),"Wasser wird in einen großen Eimer gegossen.")</f>
        <v>Wasser wird in einen großen Eimer gegossen.</v>
      </c>
    </row>
    <row r="6972">
      <c r="A6972" s="4" t="s">
        <v>8763</v>
      </c>
      <c r="B6972" s="4" t="s">
        <v>8767</v>
      </c>
      <c r="C6972" s="5" t="str">
        <f>IFERROR(__xludf.DUMMYFUNCTION("GOOGLETRANSLATE(B6972,""en"",""de"")"),"Der Mopp in den Wasserschaufel tauchte und drehte sich dann trocken im Tablett.")</f>
        <v>Der Mopp in den Wasserschaufel tauchte und drehte sich dann trocken im Tablett.</v>
      </c>
    </row>
    <row r="6973">
      <c r="A6973" s="4" t="s">
        <v>8763</v>
      </c>
      <c r="B6973" s="4" t="s">
        <v>8768</v>
      </c>
      <c r="C6973" s="5" t="str">
        <f>IFERROR(__xludf.DUMMYFUNCTION("GOOGLETRANSLATE(B6973,""en"",""de"")"),"Eine verschmutzte Fläche eines Hartholzbodens ist sauber.")</f>
        <v>Eine verschmutzte Fläche eines Hartholzbodens ist sauber.</v>
      </c>
    </row>
    <row r="6974">
      <c r="A6974" s="4" t="s">
        <v>8763</v>
      </c>
      <c r="B6974" s="4" t="s">
        <v>8769</v>
      </c>
      <c r="C6974" s="5" t="str">
        <f>IFERROR(__xludf.DUMMYFUNCTION("GOOGLETRANSLATE(B6974,""en"",""de"")"),"Ein Mopp wird in verschiedenen Möbeln und Geräten verwendet, um in Räume Ecken zu gelangen.")</f>
        <v>Ein Mopp wird in verschiedenen Möbeln und Geräten verwendet, um in Räume Ecken zu gelangen.</v>
      </c>
    </row>
    <row r="6975">
      <c r="A6975" s="4" t="s">
        <v>8770</v>
      </c>
      <c r="B6975" s="4" t="s">
        <v>8771</v>
      </c>
      <c r="C6975" s="5" t="str">
        <f>IFERROR(__xludf.DUMMYFUNCTION("GOOGLETRANSLATE(B6975,""en"",""de"")"),"Ein Küchenchef spricht mit der Kamera und führt in ihn ein Brett, gefolgt von dem Schneiden von Teig.")</f>
        <v>Ein Küchenchef spricht mit der Kamera und führt in ihn ein Brett, gefolgt von dem Schneiden von Teig.</v>
      </c>
    </row>
    <row r="6976">
      <c r="A6976" s="4" t="s">
        <v>8770</v>
      </c>
      <c r="B6976" s="4" t="s">
        <v>8772</v>
      </c>
      <c r="C6976" s="5" t="str">
        <f>IFERROR(__xludf.DUMMYFUNCTION("GOOGLETRANSLATE(B6976,""en"",""de"")"),"Der Mann schält die Teigstücke mit einer Maschine und legt sie flach, um den Teig auszurollen.")</f>
        <v>Der Mann schält die Teigstücke mit einer Maschine und legt sie flach, um den Teig auszurollen.</v>
      </c>
    </row>
    <row r="6977">
      <c r="A6977" s="4" t="s">
        <v>8770</v>
      </c>
      <c r="B6977" s="4" t="s">
        <v>8773</v>
      </c>
      <c r="C6977" s="5" t="str">
        <f>IFERROR(__xludf.DUMMYFUNCTION("GOOGLETRANSLATE(B6977,""en"",""de"")"),"Der Mann rollt dann den abgeflachten Teig aus und zeigt seine fertigen Pasta.")</f>
        <v>Der Mann rollt dann den abgeflachten Teig aus und zeigt seine fertigen Pasta.</v>
      </c>
    </row>
    <row r="6978">
      <c r="A6978" s="4" t="s">
        <v>8774</v>
      </c>
      <c r="B6978" s="4" t="s">
        <v>8775</v>
      </c>
      <c r="C6978" s="5" t="str">
        <f>IFERROR(__xludf.DUMMYFUNCTION("GOOGLETRANSLATE(B6978,""en"",""de"")"),"Dieses Video zeigt Menschen, die an der Weltkünstlerpool -Meisterschaft teilnehmen.")</f>
        <v>Dieses Video zeigt Menschen, die an der Weltkünstlerpool -Meisterschaft teilnehmen.</v>
      </c>
    </row>
    <row r="6979">
      <c r="A6979" s="4" t="s">
        <v>8774</v>
      </c>
      <c r="B6979" s="4" t="s">
        <v>8776</v>
      </c>
      <c r="C6979" s="5" t="str">
        <f>IFERROR(__xludf.DUMMYFUNCTION("GOOGLETRANSLATE(B6979,""en"",""de"")"),"Smooth, aber spannende Musik spielt während des gesamten Videos, während die Leute Poolbälle alleine in die Löcher schießen.")</f>
        <v>Smooth, aber spannende Musik spielt während des gesamten Videos, während die Leute Poolbälle alleine in die Löcher schießen.</v>
      </c>
    </row>
    <row r="6980">
      <c r="A6980" s="4" t="s">
        <v>8774</v>
      </c>
      <c r="B6980" s="4" t="s">
        <v>8777</v>
      </c>
      <c r="C6980" s="5" t="str">
        <f>IFERROR(__xludf.DUMMYFUNCTION("GOOGLETRANSLATE(B6980,""en"",""de"")"),"Nicht jeder nimmt teil, manche Menschen sehen nur zu und andere gehen aus anderen Gründen herum.")</f>
        <v>Nicht jeder nimmt teil, manche Menschen sehen nur zu und andere gehen aus anderen Gründen herum.</v>
      </c>
    </row>
    <row r="6981">
      <c r="A6981" s="4" t="s">
        <v>8778</v>
      </c>
      <c r="B6981" s="4" t="s">
        <v>8779</v>
      </c>
      <c r="C6981" s="5" t="str">
        <f>IFERROR(__xludf.DUMMYFUNCTION("GOOGLETRANSLATE(B6981,""en"",""de"")"),"Eine Frau sitzt auf einem Stuhl stricken.")</f>
        <v>Eine Frau sitzt auf einem Stuhl stricken.</v>
      </c>
    </row>
    <row r="6982">
      <c r="A6982" s="4" t="s">
        <v>8778</v>
      </c>
      <c r="B6982" s="4" t="s">
        <v>8780</v>
      </c>
      <c r="C6982" s="5" t="str">
        <f>IFERROR(__xludf.DUMMYFUNCTION("GOOGLETRANSLATE(B6982,""en"",""de"")"),"Sie schaut auf und spricht mit jemandem.")</f>
        <v>Sie schaut auf und spricht mit jemandem.</v>
      </c>
    </row>
    <row r="6983">
      <c r="A6983" s="4" t="s">
        <v>8778</v>
      </c>
      <c r="B6983" s="4" t="s">
        <v>8781</v>
      </c>
      <c r="C6983" s="5" t="str">
        <f>IFERROR(__xludf.DUMMYFUNCTION("GOOGLETRANSLATE(B6983,""en"",""de"")"),"Sie strickt weiter in ihren Händen.")</f>
        <v>Sie strickt weiter in ihren Händen.</v>
      </c>
    </row>
    <row r="6984">
      <c r="A6984" s="4" t="s">
        <v>8782</v>
      </c>
      <c r="B6984" s="4" t="s">
        <v>3561</v>
      </c>
      <c r="C6984" s="5" t="str">
        <f>IFERROR(__xludf.DUMMYFUNCTION("GOOGLETRANSLATE(B6984,""en"",""de"")"),"Die Credits eines Clips werden angezeigt.")</f>
        <v>Die Credits eines Clips werden angezeigt.</v>
      </c>
    </row>
    <row r="6985">
      <c r="A6985" s="4" t="s">
        <v>8782</v>
      </c>
      <c r="B6985" s="4" t="s">
        <v>8783</v>
      </c>
      <c r="C6985" s="5" t="str">
        <f>IFERROR(__xludf.DUMMYFUNCTION("GOOGLETRANSLATE(B6985,""en"",""de"")"),"Ein Person Himmel und rutscht auf einer Plattform.")</f>
        <v>Ein Person Himmel und rutscht auf einer Plattform.</v>
      </c>
    </row>
    <row r="6986">
      <c r="A6986" s="4" t="s">
        <v>8782</v>
      </c>
      <c r="B6986" s="4" t="s">
        <v>8784</v>
      </c>
      <c r="C6986" s="5" t="str">
        <f>IFERROR(__xludf.DUMMYFUNCTION("GOOGLETRANSLATE(B6986,""en"",""de"")"),"Eine Person fällt auf das Eis.")</f>
        <v>Eine Person fällt auf das Eis.</v>
      </c>
    </row>
    <row r="6987">
      <c r="A6987" s="4" t="s">
        <v>8782</v>
      </c>
      <c r="B6987" s="4" t="s">
        <v>8785</v>
      </c>
      <c r="C6987" s="5" t="str">
        <f>IFERROR(__xludf.DUMMYFUNCTION("GOOGLETRANSLATE(B6987,""en"",""de"")"),"Ein Person Himmel und flieht.")</f>
        <v>Ein Person Himmel und flieht.</v>
      </c>
    </row>
    <row r="6988">
      <c r="A6988" s="4" t="s">
        <v>8782</v>
      </c>
      <c r="B6988" s="4" t="s">
        <v>8786</v>
      </c>
      <c r="C6988" s="5" t="str">
        <f>IFERROR(__xludf.DUMMYFUNCTION("GOOGLETRANSLATE(B6988,""en"",""de"")"),"Eine Person legt ihre Handschuhhand auf die Kamera.")</f>
        <v>Eine Person legt ihre Handschuhhand auf die Kamera.</v>
      </c>
    </row>
    <row r="6989">
      <c r="A6989" s="4" t="s">
        <v>8782</v>
      </c>
      <c r="B6989" s="4" t="s">
        <v>573</v>
      </c>
      <c r="C6989" s="5" t="str">
        <f>IFERROR(__xludf.DUMMYFUNCTION("GOOGLETRANSLATE(B6989,""en"",""de"")"),"Die Credits des Videos werden angezeigt.")</f>
        <v>Die Credits des Videos werden angezeigt.</v>
      </c>
    </row>
    <row r="6990">
      <c r="A6990" s="4" t="s">
        <v>8787</v>
      </c>
      <c r="B6990" s="4" t="s">
        <v>8788</v>
      </c>
      <c r="C6990" s="5" t="str">
        <f>IFERROR(__xludf.DUMMYFUNCTION("GOOGLETRANSLATE(B6990,""en"",""de"")"),"Ein Komiker spricht mit der Kamera und führt in einen Bullen in eine Grube und verschiedene Clips von Männern, die gegen Bulls kämpfen.")</f>
        <v>Ein Komiker spricht mit der Kamera und führt in einen Bullen in eine Grube und verschiedene Clips von Männern, die gegen Bulls kämpfen.</v>
      </c>
    </row>
    <row r="6991">
      <c r="A6991" s="4" t="s">
        <v>8787</v>
      </c>
      <c r="B6991" s="4" t="s">
        <v>8789</v>
      </c>
      <c r="C6991" s="5" t="str">
        <f>IFERROR(__xludf.DUMMYFUNCTION("GOOGLETRANSLATE(B6991,""en"",""de"")"),"Eine Nahaufnahme des Bullenkampfes wird gezeigt und zurück zum Komiker, der mit der Kamera spricht.")</f>
        <v>Eine Nahaufnahme des Bullenkampfes wird gezeigt und zurück zum Komiker, der mit der Kamera spricht.</v>
      </c>
    </row>
    <row r="6992">
      <c r="A6992" s="4" t="s">
        <v>8790</v>
      </c>
      <c r="B6992" s="4" t="s">
        <v>8791</v>
      </c>
      <c r="C6992" s="5" t="str">
        <f>IFERROR(__xludf.DUMMYFUNCTION("GOOGLETRANSLATE(B6992,""en"",""de"")"),"Zwei Menschen stehen am Boden eines schneebedeckten Hügels, der miteinander spricht, wenn eine Person auf eine Röhre reitet.")</f>
        <v>Zwei Menschen stehen am Boden eines schneebedeckten Hügels, der miteinander spricht, wenn eine Person auf eine Röhre reitet.</v>
      </c>
    </row>
    <row r="6993">
      <c r="A6993" s="4" t="s">
        <v>8790</v>
      </c>
      <c r="B6993" s="4" t="s">
        <v>8792</v>
      </c>
      <c r="C6993" s="5" t="str">
        <f>IFERROR(__xludf.DUMMYFUNCTION("GOOGLETRANSLATE(B6993,""en"",""de"")"),"Weitere Menschen werden gesehen, wie einer in einen anderen stößt und die Person aussteigt, um die Röhren zu ziehen.")</f>
        <v>Weitere Menschen werden gesehen, wie einer in einen anderen stößt und die Person aussteigt, um die Röhren zu ziehen.</v>
      </c>
    </row>
    <row r="6994">
      <c r="A6994" s="4" t="s">
        <v>8793</v>
      </c>
      <c r="B6994" s="4" t="s">
        <v>8794</v>
      </c>
      <c r="C6994" s="5" t="str">
        <f>IFERROR(__xludf.DUMMYFUNCTION("GOOGLETRANSLATE(B6994,""en"",""de"")"),"Eine Frau spricht in einem Büro zur Kamera und zeigt eine Gebärdensprache.")</f>
        <v>Eine Frau spricht in einem Büro zur Kamera und zeigt eine Gebärdensprache.</v>
      </c>
    </row>
    <row r="6995">
      <c r="A6995" s="4" t="s">
        <v>8793</v>
      </c>
      <c r="B6995" s="4" t="s">
        <v>8795</v>
      </c>
      <c r="C6995" s="5" t="str">
        <f>IFERROR(__xludf.DUMMYFUNCTION("GOOGLETRANSLATE(B6995,""en"",""de"")"),"Es erscheinen zwei Hände und zeigen mehrere Zeichen, die das Rock, das Papier und das Scherenspiel anzeigen.")</f>
        <v>Es erscheinen zwei Hände und zeigen mehrere Zeichen, die das Rock, das Papier und das Scherenspiel anzeigen.</v>
      </c>
    </row>
    <row r="6996">
      <c r="A6996" s="4" t="s">
        <v>8793</v>
      </c>
      <c r="B6996" s="4" t="s">
        <v>8796</v>
      </c>
      <c r="C6996" s="5" t="str">
        <f>IFERROR(__xludf.DUMMYFUNCTION("GOOGLETRANSLATE(B6996,""en"",""de"")"),"Die Frau spricht weiter über das Spiel und zeigt mehrere Clips verschiedener Leute, die das Spiel verwenden, um zu gewinnen oder Entscheidungen zu treffen.")</f>
        <v>Die Frau spricht weiter über das Spiel und zeigt mehrere Clips verschiedener Leute, die das Spiel verwenden, um zu gewinnen oder Entscheidungen zu treffen.</v>
      </c>
    </row>
    <row r="6997">
      <c r="A6997" s="4" t="s">
        <v>8793</v>
      </c>
      <c r="B6997" s="4" t="s">
        <v>8797</v>
      </c>
      <c r="C6997" s="5" t="str">
        <f>IFERROR(__xludf.DUMMYFUNCTION("GOOGLETRANSLATE(B6997,""en"",""de"")"),"Es schneidet einen Artikel über Tricks für den Gewinn des Spiels ab, bevor es mit der Frau abschließt, die das letzte Mal spricht.")</f>
        <v>Es schneidet einen Artikel über Tricks für den Gewinn des Spiels ab, bevor es mit der Frau abschließt, die das letzte Mal spricht.</v>
      </c>
    </row>
    <row r="6998">
      <c r="A6998" s="4" t="s">
        <v>8798</v>
      </c>
      <c r="B6998" s="4" t="s">
        <v>8799</v>
      </c>
      <c r="C6998" s="5" t="str">
        <f>IFERROR(__xludf.DUMMYFUNCTION("GOOGLETRANSLATE(B6998,""en"",""de"")"),"Ein Bild zeigt eine Tüte M &amp; Ms und eine Tüte Malterser, die in der Luft aufgehängt werden und auf einen Kuchen scheinen.")</f>
        <v>Ein Bild zeigt eine Tüte M &amp; Ms und eine Tüte Malterser, die in der Luft aufgehängt werden und auf einen Kuchen scheinen.</v>
      </c>
    </row>
    <row r="6999">
      <c r="A6999" s="4" t="s">
        <v>8798</v>
      </c>
      <c r="B6999" s="4" t="s">
        <v>8800</v>
      </c>
      <c r="C6999" s="5" t="str">
        <f>IFERROR(__xludf.DUMMYFUNCTION("GOOGLETRANSLATE(B6999,""en"",""de"")"),"Eine Frau backt einen runden Kuchen, hat ihn mit Schokoladebädern einfremdet und umgeben.")</f>
        <v>Eine Frau backt einen runden Kuchen, hat ihn mit Schokoladebädern einfremdet und umgeben.</v>
      </c>
    </row>
    <row r="7000">
      <c r="A7000" s="4" t="s">
        <v>8798</v>
      </c>
      <c r="B7000" s="4" t="s">
        <v>8801</v>
      </c>
      <c r="C7000" s="5" t="str">
        <f>IFERROR(__xludf.DUMMYFUNCTION("GOOGLETRANSLATE(B7000,""en"",""de"")"),"Sie gießt dann Malteser und M &amp; Ms in Schalen.")</f>
        <v>Sie gießt dann Malteser und M &amp; Ms in Schalen.</v>
      </c>
    </row>
    <row r="7001">
      <c r="A7001" s="4" t="s">
        <v>8798</v>
      </c>
      <c r="B7001" s="4" t="s">
        <v>8802</v>
      </c>
      <c r="C7001" s="5" t="str">
        <f>IFERROR(__xludf.DUMMYFUNCTION("GOOGLETRANSLATE(B7001,""en"",""de"")"),"Sie bereitet die Taschen vor und lässt sie ordentlich aussehen, bevor sie die Süßigkeiten auf die Oberseite des Kuchens besprüht und sie vollständig bedeckt.")</f>
        <v>Sie bereitet die Taschen vor und lässt sie ordentlich aussehen, bevor sie die Süßigkeiten auf die Oberseite des Kuchens besprüht und sie vollständig bedeckt.</v>
      </c>
    </row>
    <row r="7002">
      <c r="A7002" s="4" t="s">
        <v>8798</v>
      </c>
      <c r="B7002" s="4" t="s">
        <v>8803</v>
      </c>
      <c r="C7002" s="5" t="str">
        <f>IFERROR(__xludf.DUMMYFUNCTION("GOOGLETRANSLATE(B7002,""en"",""de"")"),"Sie steckt dann Sticks in den Kuchen und läuft die Seiten der Löschen auf, bevor sie die Kerzen an den Stöcken hält.")</f>
        <v>Sie steckt dann Sticks in den Kuchen und läuft die Seiten der Löschen auf, bevor sie die Kerzen an den Stöcken hält.</v>
      </c>
    </row>
    <row r="7003">
      <c r="A7003" s="4" t="s">
        <v>8798</v>
      </c>
      <c r="B7003" s="4" t="s">
        <v>8804</v>
      </c>
      <c r="C7003" s="5" t="str">
        <f>IFERROR(__xludf.DUMMYFUNCTION("GOOGLETRANSLATE(B7003,""en"",""de"")"),"Sie balanciert dann die Taschen auf den Stöcken.")</f>
        <v>Sie balanciert dann die Taschen auf den Stöcken.</v>
      </c>
    </row>
    <row r="7004">
      <c r="A7004" s="4" t="s">
        <v>8805</v>
      </c>
      <c r="B7004" s="4" t="s">
        <v>8806</v>
      </c>
      <c r="C7004" s="5" t="str">
        <f>IFERROR(__xludf.DUMMYFUNCTION("GOOGLETRANSLATE(B7004,""en"",""de"")"),"Mehrere Leute bereiten sich darauf vor, am Strand Volleyball zu spielen.")</f>
        <v>Mehrere Leute bereiten sich darauf vor, am Strand Volleyball zu spielen.</v>
      </c>
    </row>
    <row r="7005">
      <c r="A7005" s="4" t="s">
        <v>8805</v>
      </c>
      <c r="B7005" s="4" t="s">
        <v>8807</v>
      </c>
      <c r="C7005" s="5" t="str">
        <f>IFERROR(__xludf.DUMMYFUNCTION("GOOGLETRANSLATE(B7005,""en"",""de"")"),"Die Kamera vergrößert und die Leute beginnen, das Spiel zu spielen und den Ball zueinander zu werfen.")</f>
        <v>Die Kamera vergrößert und die Leute beginnen, das Spiel zu spielen und den Ball zueinander zu werfen.</v>
      </c>
    </row>
    <row r="7006">
      <c r="A7006" s="4" t="s">
        <v>8808</v>
      </c>
      <c r="B7006" s="4" t="s">
        <v>8809</v>
      </c>
      <c r="C7006" s="5" t="str">
        <f>IFERROR(__xludf.DUMMYFUNCTION("GOOGLETRANSLATE(B7006,""en"",""de"")"),"Ein Mann steht vor einer Hecke, die sich an einem Werkzeug festhält.")</f>
        <v>Ein Mann steht vor einer Hecke, die sich an einem Werkzeug festhält.</v>
      </c>
    </row>
    <row r="7007">
      <c r="A7007" s="4" t="s">
        <v>8808</v>
      </c>
      <c r="B7007" s="4" t="s">
        <v>8810</v>
      </c>
      <c r="C7007" s="5" t="str">
        <f>IFERROR(__xludf.DUMMYFUNCTION("GOOGLETRANSLATE(B7007,""en"",""de"")"),"Der Mann benutzt das Werkzeug entlang der Hecke, während er die Oberseite abschneidet.")</f>
        <v>Der Mann benutzt das Werkzeug entlang der Hecke, während er die Oberseite abschneidet.</v>
      </c>
    </row>
    <row r="7008">
      <c r="A7008" s="4" t="s">
        <v>8808</v>
      </c>
      <c r="B7008" s="4" t="s">
        <v>8811</v>
      </c>
      <c r="C7008" s="5" t="str">
        <f>IFERROR(__xludf.DUMMYFUNCTION("GOOGLETRANSLATE(B7008,""en"",""de"")"),"Er drückt das Werkzeug weiter über die Hecke, während er von der Kamera weggeht.")</f>
        <v>Er drückt das Werkzeug weiter über die Hecke, während er von der Kamera weggeht.</v>
      </c>
    </row>
    <row r="7009">
      <c r="A7009" s="4" t="s">
        <v>8812</v>
      </c>
      <c r="B7009" s="4" t="s">
        <v>8813</v>
      </c>
      <c r="C7009" s="5" t="str">
        <f>IFERROR(__xludf.DUMMYFUNCTION("GOOGLETRANSLATE(B7009,""en"",""de"")"),"Eine große Gruppe von Menschen fährt in Stoßstangenautos und stößt gegeneinander.")</f>
        <v>Eine große Gruppe von Menschen fährt in Stoßstangenautos und stößt gegeneinander.</v>
      </c>
    </row>
    <row r="7010">
      <c r="A7010" s="4" t="s">
        <v>8812</v>
      </c>
      <c r="B7010" s="4" t="s">
        <v>8814</v>
      </c>
      <c r="C7010" s="5" t="str">
        <f>IFERROR(__xludf.DUMMYFUNCTION("GOOGLETRANSLATE(B7010,""en"",""de"")"),"Die Leute krachen weiterhin gegeneinander, während sie lachen und aus dem Auto steigen.")</f>
        <v>Die Leute krachen weiterhin gegeneinander, während sie lachen und aus dem Auto steigen.</v>
      </c>
    </row>
    <row r="7011">
      <c r="A7011" s="4" t="s">
        <v>8815</v>
      </c>
      <c r="B7011" s="4" t="s">
        <v>8816</v>
      </c>
      <c r="C7011" s="5" t="str">
        <f>IFERROR(__xludf.DUMMYFUNCTION("GOOGLETRANSLATE(B7011,""en"",""de"")"),"Zwei Männer ringen Sumo auf einem Ring.")</f>
        <v>Zwei Männer ringen Sumo auf einem Ring.</v>
      </c>
    </row>
    <row r="7012">
      <c r="A7012" s="4" t="s">
        <v>8815</v>
      </c>
      <c r="B7012" s="4" t="s">
        <v>8817</v>
      </c>
      <c r="C7012" s="5" t="str">
        <f>IFERROR(__xludf.DUMMYFUNCTION("GOOGLETRANSLATE(B7012,""en"",""de"")"),"Ein Mann in einer Robe steht hinter ihnen.")</f>
        <v>Ein Mann in einer Robe steht hinter ihnen.</v>
      </c>
    </row>
    <row r="7013">
      <c r="A7013" s="4" t="s">
        <v>8815</v>
      </c>
      <c r="B7013" s="4" t="s">
        <v>8818</v>
      </c>
      <c r="C7013" s="5" t="str">
        <f>IFERROR(__xludf.DUMMYFUNCTION("GOOGLETRANSLATE(B7013,""en"",""de"")"),"Ein Mann stolpert und fällt ins Publikum.")</f>
        <v>Ein Mann stolpert und fällt ins Publikum.</v>
      </c>
    </row>
    <row r="7014">
      <c r="A7014" s="4" t="s">
        <v>8819</v>
      </c>
      <c r="B7014" s="4" t="s">
        <v>8820</v>
      </c>
      <c r="C7014" s="5" t="str">
        <f>IFERROR(__xludf.DUMMYFUNCTION("GOOGLETRANSLATE(B7014,""en"",""de"")"),"Eine Gruppe von Männern spielt bei einem sozialen Outdoor -Event auf einem großen, grasgedeckten Feld Krocket.")</f>
        <v>Eine Gruppe von Männern spielt bei einem sozialen Outdoor -Event auf einem großen, grasgedeckten Feld Krocket.</v>
      </c>
    </row>
    <row r="7015">
      <c r="A7015" s="4" t="s">
        <v>8819</v>
      </c>
      <c r="B7015" s="4" t="s">
        <v>8821</v>
      </c>
      <c r="C7015" s="5" t="str">
        <f>IFERROR(__xludf.DUMMYFUNCTION("GOOGLETRANSLATE(B7015,""en"",""de"")"),"Die Männer spielen Krocket mit einem Mann, der mit dem Krocketstock sexuelle Referenz macht, während die Menschen auf dem Gras vorbeigehen.")</f>
        <v>Die Männer spielen Krocket mit einem Mann, der mit dem Krocketstock sexuelle Referenz macht, während die Menschen auf dem Gras vorbeigehen.</v>
      </c>
    </row>
    <row r="7016">
      <c r="A7016" s="4" t="s">
        <v>8819</v>
      </c>
      <c r="B7016" s="4" t="s">
        <v>8822</v>
      </c>
      <c r="C7016" s="5" t="str">
        <f>IFERROR(__xludf.DUMMYFUNCTION("GOOGLETRANSLATE(B7016,""en"",""de"")"),"Die Gruppe von Männern wird von Zuschauern begleitet, während sie den Krocketball weiterhin mit ihren Schläfen manövrieren.")</f>
        <v>Die Gruppe von Männern wird von Zuschauern begleitet, während sie den Krocketball weiterhin mit ihren Schläfen manövrieren.</v>
      </c>
    </row>
    <row r="7017">
      <c r="A7017" s="4" t="s">
        <v>8819</v>
      </c>
      <c r="B7017" s="4" t="s">
        <v>8823</v>
      </c>
      <c r="C7017" s="5" t="str">
        <f>IFERROR(__xludf.DUMMYFUNCTION("GOOGLETRANSLATE(B7017,""en"",""de"")"),"Ein Krocket -Ziel wird im letzten Clip von einem Spieler in braunen Schuhen und einer blauen Hosen im Gras erreicht.")</f>
        <v>Ein Krocket -Ziel wird im letzten Clip von einem Spieler in braunen Schuhen und einer blauen Hosen im Gras erreicht.</v>
      </c>
    </row>
    <row r="7018">
      <c r="A7018" s="4" t="s">
        <v>8824</v>
      </c>
      <c r="B7018" s="4" t="s">
        <v>8825</v>
      </c>
      <c r="C7018" s="5" t="str">
        <f>IFERROR(__xludf.DUMMYFUNCTION("GOOGLETRANSLATE(B7018,""en"",""de"")"),"Ein Messband wird aus der Nähe gezeigt.")</f>
        <v>Ein Messband wird aus der Nähe gezeigt.</v>
      </c>
    </row>
    <row r="7019">
      <c r="A7019" s="4" t="s">
        <v>8824</v>
      </c>
      <c r="B7019" s="4" t="s">
        <v>8826</v>
      </c>
      <c r="C7019" s="5" t="str">
        <f>IFERROR(__xludf.DUMMYFUNCTION("GOOGLETRANSLATE(B7019,""en"",""de"")"),"Wir sehen eine Track -Person, die sich auf das Laufen vorbereitet.")</f>
        <v>Wir sehen eine Track -Person, die sich auf das Laufen vorbereitet.</v>
      </c>
    </row>
    <row r="7020">
      <c r="A7020" s="4" t="s">
        <v>8824</v>
      </c>
      <c r="B7020" s="4" t="s">
        <v>8827</v>
      </c>
      <c r="C7020" s="5" t="str">
        <f>IFERROR(__xludf.DUMMYFUNCTION("GOOGLETRANSLATE(B7020,""en"",""de"")"),"Er rennt, macht einen großen Sprung in den Sand und landet auf der Nummer 18.")</f>
        <v>Er rennt, macht einen großen Sprung in den Sand und landet auf der Nummer 18.</v>
      </c>
    </row>
    <row r="7021">
      <c r="A7021" s="4" t="s">
        <v>8828</v>
      </c>
      <c r="B7021" s="4" t="s">
        <v>8829</v>
      </c>
      <c r="C7021" s="5" t="str">
        <f>IFERROR(__xludf.DUMMYFUNCTION("GOOGLETRANSLATE(B7021,""en"",""de"")"),"Mehrere Leute von Menschen winken zur Kamera und beobachten, wie Menschen Fahrräder fahren.")</f>
        <v>Mehrere Leute von Menschen winken zur Kamera und beobachten, wie Menschen Fahrräder fahren.</v>
      </c>
    </row>
    <row r="7022">
      <c r="A7022" s="4" t="s">
        <v>8828</v>
      </c>
      <c r="B7022" s="4" t="s">
        <v>8830</v>
      </c>
      <c r="C7022" s="5" t="str">
        <f>IFERROR(__xludf.DUMMYFUNCTION("GOOGLETRANSLATE(B7022,""en"",""de"")"),"Viele Menschen werden gezeigt, die auf Fahrrädern rund um eine lange Strecke und die Kamera herumfahren.")</f>
        <v>Viele Menschen werden gezeigt, die auf Fahrrädern rund um eine lange Strecke und die Kamera herumfahren.</v>
      </c>
    </row>
    <row r="7023">
      <c r="A7023" s="4" t="s">
        <v>8831</v>
      </c>
      <c r="B7023" s="4" t="s">
        <v>8832</v>
      </c>
      <c r="C7023" s="5" t="str">
        <f>IFERROR(__xludf.DUMMYFUNCTION("GOOGLETRANSLATE(B7023,""en"",""de"")"),"Eine Dame sitzt in einer Wanne und reibt sich mit Wasser ihre Beine, während sie einen Peeling -Handschuh trägt.")</f>
        <v>Eine Dame sitzt in einer Wanne und reibt sich mit Wasser ihre Beine, während sie einen Peeling -Handschuh trägt.</v>
      </c>
    </row>
    <row r="7024">
      <c r="A7024" s="4" t="s">
        <v>8831</v>
      </c>
      <c r="B7024" s="4" t="s">
        <v>8833</v>
      </c>
      <c r="C7024" s="5" t="str">
        <f>IFERROR(__xludf.DUMMYFUNCTION("GOOGLETRANSLATE(B7024,""en"",""de"")"),"Die Kamera vergrößert und wir sehen, dass es sich um ein Set mit Kameraausrüstung handelt.")</f>
        <v>Die Kamera vergrößert und wir sehen, dass es sich um ein Set mit Kameraausrüstung handelt.</v>
      </c>
    </row>
    <row r="7025">
      <c r="A7025" s="4" t="s">
        <v>8831</v>
      </c>
      <c r="B7025" s="4" t="s">
        <v>8834</v>
      </c>
      <c r="C7025" s="5" t="str">
        <f>IFERROR(__xludf.DUMMYFUNCTION("GOOGLETRANSLATE(B7025,""en"",""de"")"),"Die Dame rasiert dann ihre Beine mit einem elektrischen Rasierer.")</f>
        <v>Die Dame rasiert dann ihre Beine mit einem elektrischen Rasierer.</v>
      </c>
    </row>
    <row r="7026">
      <c r="A7026" s="4" t="s">
        <v>8831</v>
      </c>
      <c r="B7026" s="4" t="s">
        <v>8835</v>
      </c>
      <c r="C7026" s="5" t="str">
        <f>IFERROR(__xludf.DUMMYFUNCTION("GOOGLETRANSLATE(B7026,""en"",""de"")"),"Wir sehen die Dame lächeln und rasieren weiterhin ihre Beine.")</f>
        <v>Wir sehen die Dame lächeln und rasieren weiterhin ihre Beine.</v>
      </c>
    </row>
    <row r="7027">
      <c r="A7027" s="4" t="s">
        <v>8836</v>
      </c>
      <c r="B7027" s="4" t="s">
        <v>8837</v>
      </c>
      <c r="C7027" s="5" t="str">
        <f>IFERROR(__xludf.DUMMYFUNCTION("GOOGLETRANSLATE(B7027,""en"",""de"")"),"Ein Mann spricht mit der Kamera, während er mit einer Gruppe von Spielern langsam auf das Feld geht.")</f>
        <v>Ein Mann spricht mit der Kamera, während er mit einer Gruppe von Spielern langsam auf das Feld geht.</v>
      </c>
    </row>
    <row r="7028">
      <c r="A7028" s="4" t="s">
        <v>8836</v>
      </c>
      <c r="B7028" s="4" t="s">
        <v>8838</v>
      </c>
      <c r="C7028" s="5" t="str">
        <f>IFERROR(__xludf.DUMMYFUNCTION("GOOGLETRANSLATE(B7028,""en"",""de"")"),"Verschiedene Spieler werden eins zu eins mit mehreren Stadionschüssen gezeigt und Städte werden gezeigt.")</f>
        <v>Verschiedene Spieler werden eins zu eins mit mehreren Stadionschüssen gezeigt und Städte werden gezeigt.</v>
      </c>
    </row>
    <row r="7029">
      <c r="A7029" s="4" t="s">
        <v>8836</v>
      </c>
      <c r="B7029" s="4" t="s">
        <v>8839</v>
      </c>
      <c r="C7029" s="5" t="str">
        <f>IFERROR(__xludf.DUMMYFUNCTION("GOOGLETRANSLATE(B7029,""en"",""de"")"),"Die Athleten bereiten sich auf das Match vor und werden auf dem Feld spielen.")</f>
        <v>Die Athleten bereiten sich auf das Match vor und werden auf dem Feld spielen.</v>
      </c>
    </row>
    <row r="7030">
      <c r="A7030" s="4" t="s">
        <v>8836</v>
      </c>
      <c r="B7030" s="4" t="s">
        <v>8840</v>
      </c>
      <c r="C7030" s="5" t="str">
        <f>IFERROR(__xludf.DUMMYFUNCTION("GOOGLETRANSLATE(B7030,""en"",""de"")"),"Die Männer jubeln, wenn sie ein Tor erzielen und auf der Bank sitzen, nachdem sie müde waren.")</f>
        <v>Die Männer jubeln, wenn sie ein Tor erzielen und auf der Bank sitzen, nachdem sie müde waren.</v>
      </c>
    </row>
    <row r="7031">
      <c r="A7031" s="4" t="s">
        <v>8836</v>
      </c>
      <c r="B7031" s="4" t="s">
        <v>8841</v>
      </c>
      <c r="C7031" s="5" t="str">
        <f>IFERROR(__xludf.DUMMYFUNCTION("GOOGLETRANSLATE(B7031,""en"",""de"")"),"Sie laufen durch Stadien und sprechen mit der Kamera über Profisportler.")</f>
        <v>Sie laufen durch Stadien und sprechen mit der Kamera über Profisportler.</v>
      </c>
    </row>
    <row r="7032">
      <c r="A7032" s="4" t="s">
        <v>8842</v>
      </c>
      <c r="B7032" s="4" t="s">
        <v>8843</v>
      </c>
      <c r="C7032" s="5" t="str">
        <f>IFERROR(__xludf.DUMMYFUNCTION("GOOGLETRANSLATE(B7032,""en"",""de"")"),"In ihrer Küche befindet sich eine Frau, die demonstriert, wie man Astra Clean Composite Waschbeckenreiniger verwendet.")</f>
        <v>In ihrer Küche befindet sich eine Frau, die demonstriert, wie man Astra Clean Composite Waschbeckenreiniger verwendet.</v>
      </c>
    </row>
    <row r="7033">
      <c r="A7033" s="4" t="s">
        <v>8842</v>
      </c>
      <c r="B7033" s="4" t="s">
        <v>8844</v>
      </c>
      <c r="C7033" s="5" t="str">
        <f>IFERROR(__xludf.DUMMYFUNCTION("GOOGLETRANSLATE(B7033,""en"",""de"")"),"Nachdem sie fertig ist, sieht sie beeindruckt aus über das funkelnde, saubere Spülbecken.")</f>
        <v>Nachdem sie fertig ist, sieht sie beeindruckt aus über das funkelnde, saubere Spülbecken.</v>
      </c>
    </row>
    <row r="7034">
      <c r="A7034" s="4" t="s">
        <v>8842</v>
      </c>
      <c r="B7034" s="4" t="s">
        <v>8845</v>
      </c>
      <c r="C7034" s="5" t="str">
        <f>IFERROR(__xludf.DUMMYFUNCTION("GOOGLETRANSLATE(B7034,""en"",""de"")"),"Sie legt die Flasche auf das Waschbecken und geht weg.")</f>
        <v>Sie legt die Flasche auf das Waschbecken und geht weg.</v>
      </c>
    </row>
    <row r="7035">
      <c r="A7035" s="4" t="s">
        <v>8846</v>
      </c>
      <c r="B7035" s="4" t="s">
        <v>8847</v>
      </c>
      <c r="C7035" s="5" t="str">
        <f>IFERROR(__xludf.DUMMYFUNCTION("GOOGLETRANSLATE(B7035,""en"",""de"")"),"Der Mann mit schwarzer Schürze bürstet die Theke.")</f>
        <v>Der Mann mit schwarzer Schürze bürstet die Theke.</v>
      </c>
    </row>
    <row r="7036">
      <c r="A7036" s="4" t="s">
        <v>8846</v>
      </c>
      <c r="B7036" s="4" t="s">
        <v>8848</v>
      </c>
      <c r="C7036" s="5" t="str">
        <f>IFERROR(__xludf.DUMMYFUNCTION("GOOGLETRANSLATE(B7036,""en"",""de"")"),"Der Mann in der Schürze glättete das Skigafel und wischte dann den Staub ab.")</f>
        <v>Der Mann in der Schürze glättete das Skigafel und wischte dann den Staub ab.</v>
      </c>
    </row>
    <row r="7037">
      <c r="A7037" s="4" t="s">
        <v>8846</v>
      </c>
      <c r="B7037" s="4" t="s">
        <v>8849</v>
      </c>
      <c r="C7037" s="5" t="str">
        <f>IFERROR(__xludf.DUMMYFUNCTION("GOOGLETRANSLATE(B7037,""en"",""de"")"),"Der Mann stellte Politur auf die Tafel und kratzen und bürsten weiterhin das Brett.")</f>
        <v>Der Mann stellte Politur auf die Tafel und kratzen und bürsten weiterhin das Brett.</v>
      </c>
    </row>
    <row r="7038">
      <c r="A7038" s="4" t="s">
        <v>8850</v>
      </c>
      <c r="B7038" s="4" t="s">
        <v>8851</v>
      </c>
      <c r="C7038" s="5" t="str">
        <f>IFERROR(__xludf.DUMMYFUNCTION("GOOGLETRANSLATE(B7038,""en"",""de"")"),"Ein Intro führt in mehrere Klammern einer Person, die einen schneebedeckten Hügel auf einem Snowboard hinunterfährt.")</f>
        <v>Ein Intro führt in mehrere Klammern einer Person, die einen schneebedeckten Hügel auf einem Snowboard hinunterfährt.</v>
      </c>
    </row>
    <row r="7039">
      <c r="A7039" s="4" t="s">
        <v>8850</v>
      </c>
      <c r="B7039" s="4" t="s">
        <v>8852</v>
      </c>
      <c r="C7039" s="5" t="str">
        <f>IFERROR(__xludf.DUMMYFUNCTION("GOOGLETRANSLATE(B7039,""en"",""de"")"),"Die Person reitet weiter durch den Schnee hinunter und fällt an einem Punkt, räumt aber seine Schutzbrille ab und spricht mit anderen.")</f>
        <v>Die Person reitet weiter durch den Schnee hinunter und fällt an einem Punkt, räumt aber seine Schutzbrille ab und spricht mit anderen.</v>
      </c>
    </row>
    <row r="7040">
      <c r="A7040" s="4" t="s">
        <v>8853</v>
      </c>
      <c r="B7040" s="4" t="s">
        <v>8854</v>
      </c>
      <c r="C7040" s="5" t="str">
        <f>IFERROR(__xludf.DUMMYFUNCTION("GOOGLETRANSLATE(B7040,""en"",""de"")"),"Ein großer Hof wird mit Blättern angezeigt und ein Mann, der mit der Kamera spricht.")</f>
        <v>Ein großer Hof wird mit Blättern angezeigt und ein Mann, der mit der Kamera spricht.</v>
      </c>
    </row>
    <row r="7041">
      <c r="A7041" s="4" t="s">
        <v>8853</v>
      </c>
      <c r="B7041" s="4" t="s">
        <v>8855</v>
      </c>
      <c r="C7041" s="5" t="str">
        <f>IFERROR(__xludf.DUMMYFUNCTION("GOOGLETRANSLATE(B7041,""en"",""de"")"),"Der Mann schiebt die Blätter um den Hof.")</f>
        <v>Der Mann schiebt die Blätter um den Hof.</v>
      </c>
    </row>
    <row r="7042">
      <c r="A7042" s="4" t="s">
        <v>8853</v>
      </c>
      <c r="B7042" s="4" t="s">
        <v>8856</v>
      </c>
      <c r="C7042" s="5" t="str">
        <f>IFERROR(__xludf.DUMMYFUNCTION("GOOGLETRANSLATE(B7042,""en"",""de"")"),"Der Mann hält die Blätter hoch und spricht mit der Kamera.")</f>
        <v>Der Mann hält die Blätter hoch und spricht mit der Kamera.</v>
      </c>
    </row>
    <row r="7043">
      <c r="A7043" s="4" t="s">
        <v>8857</v>
      </c>
      <c r="B7043" s="4" t="s">
        <v>8858</v>
      </c>
      <c r="C7043" s="5" t="str">
        <f>IFERROR(__xludf.DUMMYFUNCTION("GOOGLETRANSLATE(B7043,""en"",""de"")"),"Die Person in einem Hund geht außerhalb eines schneebedeckten Hauses.")</f>
        <v>Die Person in einem Hund geht außerhalb eines schneebedeckten Hauses.</v>
      </c>
    </row>
    <row r="7044">
      <c r="A7044" s="4" t="s">
        <v>8857</v>
      </c>
      <c r="B7044" s="4" t="s">
        <v>8859</v>
      </c>
      <c r="C7044" s="5" t="str">
        <f>IFERROR(__xludf.DUMMYFUNCTION("GOOGLETRANSLATE(B7044,""en"",""de"")"),"Person im Kostüm und überqueren Sie die Straße zu einem Auto.")</f>
        <v>Person im Kostüm und überqueren Sie die Straße zu einem Auto.</v>
      </c>
    </row>
    <row r="7045">
      <c r="A7045" s="4" t="s">
        <v>8857</v>
      </c>
      <c r="B7045" s="4" t="s">
        <v>8860</v>
      </c>
      <c r="C7045" s="5" t="str">
        <f>IFERROR(__xludf.DUMMYFUNCTION("GOOGLETRANSLATE(B7045,""en"",""de"")"),"Mann sart Reinigung er Schnee aus dem Fenster des Fahrers und im hinteren Fenster.")</f>
        <v>Mann sart Reinigung er Schnee aus dem Fenster des Fahrers und im hinteren Fenster.</v>
      </c>
    </row>
    <row r="7046">
      <c r="A7046" s="4" t="s">
        <v>8861</v>
      </c>
      <c r="B7046" s="4" t="s">
        <v>8862</v>
      </c>
      <c r="C7046" s="5" t="str">
        <f>IFERROR(__xludf.DUMMYFUNCTION("GOOGLETRANSLATE(B7046,""en"",""de"")"),"Eine Person steht auf einem Hochtauchbrett.")</f>
        <v>Eine Person steht auf einem Hochtauchbrett.</v>
      </c>
    </row>
    <row r="7047">
      <c r="A7047" s="4" t="s">
        <v>8861</v>
      </c>
      <c r="B7047" s="4" t="s">
        <v>8863</v>
      </c>
      <c r="C7047" s="5" t="str">
        <f>IFERROR(__xludf.DUMMYFUNCTION("GOOGLETRANSLATE(B7047,""en"",""de"")"),"Sie springen ab und drehen sich ins Wasser.")</f>
        <v>Sie springen ab und drehen sich ins Wasser.</v>
      </c>
    </row>
    <row r="7048">
      <c r="A7048" s="4" t="s">
        <v>8861</v>
      </c>
      <c r="B7048" s="4" t="s">
        <v>8864</v>
      </c>
      <c r="C7048" s="5" t="str">
        <f>IFERROR(__xludf.DUMMYFUNCTION("GOOGLETRANSLATE(B7048,""en"",""de"")"),"Die Menge beobachtet, wie die Person taucht.")</f>
        <v>Die Menge beobachtet, wie die Person taucht.</v>
      </c>
    </row>
    <row r="7049">
      <c r="A7049" s="4" t="s">
        <v>8865</v>
      </c>
      <c r="B7049" s="4" t="s">
        <v>8866</v>
      </c>
      <c r="C7049" s="5" t="str">
        <f>IFERROR(__xludf.DUMMYFUNCTION("GOOGLETRANSLATE(B7049,""en"",""de"")"),"Ein Mann sitzt auf einem Pferd und reitet in eine Grube, die ein Seil schwingt.")</f>
        <v>Ein Mann sitzt auf einem Pferd und reitet in eine Grube, die ein Seil schwingt.</v>
      </c>
    </row>
    <row r="7050">
      <c r="A7050" s="4" t="s">
        <v>8865</v>
      </c>
      <c r="B7050" s="4" t="s">
        <v>8867</v>
      </c>
      <c r="C7050" s="5" t="str">
        <f>IFERROR(__xludf.DUMMYFUNCTION("GOOGLETRANSLATE(B7050,""en"",""de"")"),"Der Mann wirft das Seil auf ein Kalb und springt vom Pferd.")</f>
        <v>Der Mann wirft das Seil auf ein Kalb und springt vom Pferd.</v>
      </c>
    </row>
    <row r="7051">
      <c r="A7051" s="4" t="s">
        <v>8865</v>
      </c>
      <c r="B7051" s="4" t="s">
        <v>8868</v>
      </c>
      <c r="C7051" s="5" t="str">
        <f>IFERROR(__xludf.DUMMYFUNCTION("GOOGLETRANSLATE(B7051,""en"",""de"")"),"Er fesselt das Kalb und endet, indem er zum Pferd zurückgeht.")</f>
        <v>Er fesselt das Kalb und endet, indem er zum Pferd zurückgeht.</v>
      </c>
    </row>
    <row r="7052">
      <c r="A7052" s="4" t="s">
        <v>8869</v>
      </c>
      <c r="B7052" s="4" t="s">
        <v>8870</v>
      </c>
      <c r="C7052" s="5" t="str">
        <f>IFERROR(__xludf.DUMMYFUNCTION("GOOGLETRANSLATE(B7052,""en"",""de"")"),"Ein Blick auf die Landschaft ist in mehreren Bildern zu sehen, darunter Gebäude, Bäume, Felder und Blumen in der Nähe des Ozeans.")</f>
        <v>Ein Blick auf die Landschaft ist in mehreren Bildern zu sehen, darunter Gebäude, Bäume, Felder und Blumen in der Nähe des Ozeans.</v>
      </c>
    </row>
    <row r="7053">
      <c r="A7053" s="4" t="s">
        <v>8869</v>
      </c>
      <c r="B7053" s="4" t="s">
        <v>8871</v>
      </c>
      <c r="C7053" s="5" t="str">
        <f>IFERROR(__xludf.DUMMYFUNCTION("GOOGLETRANSLATE(B7053,""en"",""de"")"),"Es wird ein Mann gezeigt, der Berg an der Seite einer Klippe hinaufklettert.")</f>
        <v>Es wird ein Mann gezeigt, der Berg an der Seite einer Klippe hinaufklettert.</v>
      </c>
    </row>
    <row r="7054">
      <c r="A7054" s="4" t="s">
        <v>8872</v>
      </c>
      <c r="B7054" s="4" t="s">
        <v>8873</v>
      </c>
      <c r="C7054" s="5" t="str">
        <f>IFERROR(__xludf.DUMMYFUNCTION("GOOGLETRANSLATE(B7054,""en"",""de"")"),"Der Mann wischt den Boden in einem Waschraum.")</f>
        <v>Der Mann wischt den Boden in einem Waschraum.</v>
      </c>
    </row>
    <row r="7055">
      <c r="A7055" s="4" t="s">
        <v>8872</v>
      </c>
      <c r="B7055" s="4" t="s">
        <v>8874</v>
      </c>
      <c r="C7055" s="5" t="str">
        <f>IFERROR(__xludf.DUMMYFUNCTION("GOOGLETRANSLATE(B7055,""en"",""de"")"),"Mann drückt den Mopp in einem Eimer aus.")</f>
        <v>Mann drückt den Mopp in einem Eimer aus.</v>
      </c>
    </row>
    <row r="7056">
      <c r="A7056" s="4" t="s">
        <v>8875</v>
      </c>
      <c r="B7056" s="4" t="s">
        <v>8876</v>
      </c>
      <c r="C7056" s="5" t="str">
        <f>IFERROR(__xludf.DUMMYFUNCTION("GOOGLETRANSLATE(B7056,""en"",""de"")"),"Eine Frau zeigt ein kleines Mädchen, um einen Griff zu drehen, und das kleine Mädchen schält eine orangefarbene orangefarbene, die den Griff der Maschine dreht.")</f>
        <v>Eine Frau zeigt ein kleines Mädchen, um einen Griff zu drehen, und das kleine Mädchen schält eine orangefarbene orangefarbene, die den Griff der Maschine dreht.</v>
      </c>
    </row>
    <row r="7057">
      <c r="A7057" s="4" t="s">
        <v>8875</v>
      </c>
      <c r="B7057" s="4" t="s">
        <v>8877</v>
      </c>
      <c r="C7057" s="5" t="str">
        <f>IFERROR(__xludf.DUMMYFUNCTION("GOOGLETRANSLATE(B7057,""en"",""de"")"),"Der Griff bleibt stecken und die Frau versucht dem Mädchen zu helfen.")</f>
        <v>Der Griff bleibt stecken und die Frau versucht dem Mädchen zu helfen.</v>
      </c>
    </row>
    <row r="7058">
      <c r="A7058" s="4" t="s">
        <v>8875</v>
      </c>
      <c r="B7058" s="4" t="s">
        <v>8878</v>
      </c>
      <c r="C7058" s="5" t="str">
        <f>IFERROR(__xludf.DUMMYFUNCTION("GOOGLETRANSLATE(B7058,""en"",""de"")"),"Danach dreht das Mädchen den Griff weiter, um die Orange zu schälen.")</f>
        <v>Danach dreht das Mädchen den Griff weiter, um die Orange zu schälen.</v>
      </c>
    </row>
    <row r="7059">
      <c r="A7059" s="4" t="s">
        <v>8879</v>
      </c>
      <c r="B7059" s="4" t="s">
        <v>8880</v>
      </c>
      <c r="C7059" s="5" t="str">
        <f>IFERROR(__xludf.DUMMYFUNCTION("GOOGLETRANSLATE(B7059,""en"",""de"")"),"Eine große Gruppe von Menschen ist gesehen, wie ein Feld herumläuft und ein Spiel miteinander spielt, während die Kamera in der Umgebung schwenkt.")</f>
        <v>Eine große Gruppe von Menschen ist gesehen, wie ein Feld herumläuft und ein Spiel miteinander spielt, während die Kamera in der Umgebung schwenkt.</v>
      </c>
    </row>
    <row r="7060">
      <c r="A7060" s="4" t="s">
        <v>8879</v>
      </c>
      <c r="B7060" s="4" t="s">
        <v>8881</v>
      </c>
      <c r="C7060" s="5" t="str">
        <f>IFERROR(__xludf.DUMMYFUNCTION("GOOGLETRANSLATE(B7060,""en"",""de"")"),"Die Spiele gehen weiter, während die Leute die Seiten anfeuern und die Männer weiter miteinander spielen.")</f>
        <v>Die Spiele gehen weiter, während die Leute die Seiten anfeuern und die Männer weiter miteinander spielen.</v>
      </c>
    </row>
    <row r="7061">
      <c r="A7061" s="4" t="s">
        <v>8882</v>
      </c>
      <c r="B7061" s="4" t="s">
        <v>8883</v>
      </c>
      <c r="C7061" s="5" t="str">
        <f>IFERROR(__xludf.DUMMYFUNCTION("GOOGLETRANSLATE(B7061,""en"",""de"")"),"Die Leute reiten Kamele im Sand, das Kamel knien runter und der Mann und die Frau gehen runter.")</f>
        <v>Die Leute reiten Kamele im Sand, das Kamel knien runter und der Mann und die Frau gehen runter.</v>
      </c>
    </row>
    <row r="7062">
      <c r="A7062" s="4" t="s">
        <v>8882</v>
      </c>
      <c r="B7062" s="4" t="s">
        <v>8884</v>
      </c>
      <c r="C7062" s="5" t="str">
        <f>IFERROR(__xludf.DUMMYFUNCTION("GOOGLETRANSLATE(B7062,""en"",""de"")"),"Kamel im Rücken knien runter und die Leute in den Rücken sind Autos und Leute, die auf dem Parkplatz gehen und Fotos machen.")</f>
        <v>Kamel im Rücken knien runter und die Leute in den Rücken sind Autos und Leute, die auf dem Parkplatz gehen und Fotos machen.</v>
      </c>
    </row>
    <row r="7063">
      <c r="A7063" s="4" t="s">
        <v>8882</v>
      </c>
      <c r="B7063" s="4" t="s">
        <v>8885</v>
      </c>
      <c r="C7063" s="5" t="str">
        <f>IFERROR(__xludf.DUMMYFUNCTION("GOOGLETRANSLATE(B7063,""en"",""de"")"),"Männer gehen auf ein Kamel und das Kamel steht auf.")</f>
        <v>Männer gehen auf ein Kamel und das Kamel steht auf.</v>
      </c>
    </row>
    <row r="7064">
      <c r="A7064" s="4" t="s">
        <v>8886</v>
      </c>
      <c r="B7064" s="4" t="s">
        <v>8887</v>
      </c>
      <c r="C7064" s="5" t="str">
        <f>IFERROR(__xludf.DUMMYFUNCTION("GOOGLETRANSLATE(B7064,""en"",""de"")"),"Ein Mann klettern einen Berg hinauf und versucht, die richtigen Stellen zu finden, um sich selbst zu ziehen.")</f>
        <v>Ein Mann klettern einen Berg hinauf und versucht, die richtigen Stellen zu finden, um sich selbst zu ziehen.</v>
      </c>
    </row>
    <row r="7065">
      <c r="A7065" s="4" t="s">
        <v>8886</v>
      </c>
      <c r="B7065" s="4" t="s">
        <v>8888</v>
      </c>
      <c r="C7065" s="5" t="str">
        <f>IFERROR(__xludf.DUMMYFUNCTION("GOOGLETRANSLATE(B7065,""en"",""de"")"),"Er findet einen guten Ort, um sein Seil am Berg zu hängen und beginnt wieder hoch zu klettern.")</f>
        <v>Er findet einen guten Ort, um sein Seil am Berg zu hängen und beginnt wieder hoch zu klettern.</v>
      </c>
    </row>
    <row r="7066">
      <c r="A7066" s="4" t="s">
        <v>8886</v>
      </c>
      <c r="B7066" s="4" t="s">
        <v>8889</v>
      </c>
      <c r="C7066" s="5" t="str">
        <f>IFERROR(__xludf.DUMMYFUNCTION("GOOGLETRANSLATE(B7066,""en"",""de"")"),"Er beschließt, es ein bisschen mehr an einen besseren Ort zu bringen.")</f>
        <v>Er beschließt, es ein bisschen mehr an einen besseren Ort zu bringen.</v>
      </c>
    </row>
    <row r="7067">
      <c r="A7067" s="4" t="s">
        <v>8886</v>
      </c>
      <c r="B7067" s="4" t="s">
        <v>8890</v>
      </c>
      <c r="C7067" s="5" t="str">
        <f>IFERROR(__xludf.DUMMYFUNCTION("GOOGLETRANSLATE(B7067,""en"",""de"")"),"Dann fängt er an, wieder ein bisschen zu kämpfen, bevor er es schließlich über die schwierige Stelle schafft.")</f>
        <v>Dann fängt er an, wieder ein bisschen zu kämpfen, bevor er es schließlich über die schwierige Stelle schafft.</v>
      </c>
    </row>
    <row r="7068">
      <c r="A7068" s="4" t="s">
        <v>8891</v>
      </c>
      <c r="B7068" s="4" t="s">
        <v>8892</v>
      </c>
      <c r="C7068" s="5" t="str">
        <f>IFERROR(__xludf.DUMMYFUNCTION("GOOGLETRANSLATE(B7068,""en"",""de"")"),"Ein Mann in einem schwarzen Hemd und weißen Handschuhen legt Billardkugeln auf einen Billardtisch.")</f>
        <v>Ein Mann in einem schwarzen Hemd und weißen Handschuhen legt Billardkugeln auf einen Billardtisch.</v>
      </c>
    </row>
    <row r="7069">
      <c r="A7069" s="4" t="s">
        <v>8891</v>
      </c>
      <c r="B7069" s="4" t="s">
        <v>8893</v>
      </c>
      <c r="C7069" s="5" t="str">
        <f>IFERROR(__xludf.DUMMYFUNCTION("GOOGLETRANSLATE(B7069,""en"",""de"")"),"Ein Mann mit hellblauem Hemd inspiziert die Position der Billardkugeln aus der Nähe.")</f>
        <v>Ein Mann mit hellblauem Hemd inspiziert die Position der Billardkugeln aus der Nähe.</v>
      </c>
    </row>
    <row r="7070">
      <c r="A7070" s="4" t="s">
        <v>8891</v>
      </c>
      <c r="B7070" s="4" t="s">
        <v>8894</v>
      </c>
      <c r="C7070" s="5" t="str">
        <f>IFERROR(__xludf.DUMMYFUNCTION("GOOGLETRANSLATE(B7070,""en"",""de"")"),"Der Mann im hellblauen Hemd kommt mit dem Cue -Stick in Position und bricht die Billardkugeln und die Bälle gehen in viele Richtungen.")</f>
        <v>Der Mann im hellblauen Hemd kommt mit dem Cue -Stick in Position und bricht die Billardkugeln und die Bälle gehen in viele Richtungen.</v>
      </c>
    </row>
    <row r="7071">
      <c r="A7071" s="4" t="s">
        <v>8891</v>
      </c>
      <c r="B7071" s="4" t="s">
        <v>8895</v>
      </c>
      <c r="C7071" s="5" t="str">
        <f>IFERROR(__xludf.DUMMYFUNCTION("GOOGLETRANSLATE(B7071,""en"",""de"")"),"Der Mann im schwarzen Hemd kehrt zurück und inspiziert den Tisch und tritt dann zurück.")</f>
        <v>Der Mann im schwarzen Hemd kehrt zurück und inspiziert den Tisch und tritt dann zurück.</v>
      </c>
    </row>
    <row r="7072">
      <c r="A7072" s="4" t="s">
        <v>8891</v>
      </c>
      <c r="B7072" s="4" t="s">
        <v>8896</v>
      </c>
      <c r="C7072" s="5" t="str">
        <f>IFERROR(__xludf.DUMMYFUNCTION("GOOGLETRANSLATE(B7072,""en"",""de"")"),"Der Mann im hellblauen Hemd bereitet sich auf seinen nächsten Schuss vor, indem er von einer Seite des Billardtisches zur anderen sucht, um seinen nächsten Schuss zu suchen.")</f>
        <v>Der Mann im hellblauen Hemd bereitet sich auf seinen nächsten Schuss vor, indem er von einer Seite des Billardtisches zur anderen sucht, um seinen nächsten Schuss zu suchen.</v>
      </c>
    </row>
    <row r="7073">
      <c r="A7073" s="4" t="s">
        <v>8891</v>
      </c>
      <c r="B7073" s="4" t="s">
        <v>8897</v>
      </c>
      <c r="C7073" s="5" t="str">
        <f>IFERROR(__xludf.DUMMYFUNCTION("GOOGLETRANSLATE(B7073,""en"",""de"")"),"Er kühlt die Spitze des Cue -Sticks, bevor er seinen Schuss macht.")</f>
        <v>Er kühlt die Spitze des Cue -Sticks, bevor er seinen Schuss macht.</v>
      </c>
    </row>
    <row r="7074">
      <c r="A7074" s="4" t="s">
        <v>8891</v>
      </c>
      <c r="B7074" s="4" t="s">
        <v>8898</v>
      </c>
      <c r="C7074" s="5" t="str">
        <f>IFERROR(__xludf.DUMMYFUNCTION("GOOGLETRANSLATE(B7074,""en"",""de"")"),"Dann bereitet er sich auf seinen nächsten Schuss vor, um den Billardtisch zu laufen.")</f>
        <v>Dann bereitet er sich auf seinen nächsten Schuss vor, um den Billardtisch zu laufen.</v>
      </c>
    </row>
    <row r="7075">
      <c r="A7075" s="4" t="s">
        <v>8899</v>
      </c>
      <c r="B7075" s="4" t="s">
        <v>8900</v>
      </c>
      <c r="C7075" s="5" t="str">
        <f>IFERROR(__xludf.DUMMYFUNCTION("GOOGLETRANSLATE(B7075,""en"",""de"")"),"Der Trainer trainiert sein Team.")</f>
        <v>Der Trainer trainiert sein Team.</v>
      </c>
    </row>
    <row r="7076">
      <c r="A7076" s="4" t="s">
        <v>8899</v>
      </c>
      <c r="B7076" s="4" t="s">
        <v>8901</v>
      </c>
      <c r="C7076" s="5" t="str">
        <f>IFERROR(__xludf.DUMMYFUNCTION("GOOGLETRANSLATE(B7076,""en"",""de"")"),"Der Typ im Schwarzen im Rücken geht weg.")</f>
        <v>Der Typ im Schwarzen im Rücken geht weg.</v>
      </c>
    </row>
    <row r="7077">
      <c r="A7077" s="4" t="s">
        <v>8899</v>
      </c>
      <c r="B7077" s="4" t="s">
        <v>8902</v>
      </c>
      <c r="C7077" s="5" t="str">
        <f>IFERROR(__xludf.DUMMYFUNCTION("GOOGLETRANSLATE(B7077,""en"",""de"")"),"Der Trainer spricht dann mit den Eltern.")</f>
        <v>Der Trainer spricht dann mit den Eltern.</v>
      </c>
    </row>
    <row r="7078">
      <c r="A7078" s="4" t="s">
        <v>8899</v>
      </c>
      <c r="B7078" s="4" t="s">
        <v>8903</v>
      </c>
      <c r="C7078" s="5" t="str">
        <f>IFERROR(__xludf.DUMMYFUNCTION("GOOGLETRANSLATE(B7078,""en"",""de"")"),"Zwei neue Jungs kommen hinten an.")</f>
        <v>Zwei neue Jungs kommen hinten an.</v>
      </c>
    </row>
    <row r="7079">
      <c r="A7079" s="4" t="s">
        <v>8899</v>
      </c>
      <c r="B7079" s="4" t="s">
        <v>8904</v>
      </c>
      <c r="C7079" s="5" t="str">
        <f>IFERROR(__xludf.DUMMYFUNCTION("GOOGLETRANSLATE(B7079,""en"",""de"")"),"Der Trainer ist mit den Teams auf dem Feld.")</f>
        <v>Der Trainer ist mit den Teams auf dem Feld.</v>
      </c>
    </row>
    <row r="7080">
      <c r="A7080" s="4" t="s">
        <v>8899</v>
      </c>
      <c r="B7080" s="4" t="s">
        <v>8905</v>
      </c>
      <c r="C7080" s="5" t="str">
        <f>IFERROR(__xludf.DUMMYFUNCTION("GOOGLETRANSLATE(B7080,""en"",""de"")"),"Der gelbe Bus fährt vorbei.")</f>
        <v>Der gelbe Bus fährt vorbei.</v>
      </c>
    </row>
    <row r="7081">
      <c r="A7081" s="4" t="s">
        <v>8899</v>
      </c>
      <c r="B7081" s="4" t="s">
        <v>8906</v>
      </c>
      <c r="C7081" s="5" t="str">
        <f>IFERROR(__xludf.DUMMYFUNCTION("GOOGLETRANSLATE(B7081,""en"",""de"")"),"Das Rote Team hört dem Trainer zu.")</f>
        <v>Das Rote Team hört dem Trainer zu.</v>
      </c>
    </row>
    <row r="7082">
      <c r="A7082" s="4" t="s">
        <v>8899</v>
      </c>
      <c r="B7082" s="4" t="s">
        <v>8907</v>
      </c>
      <c r="C7082" s="5" t="str">
        <f>IFERROR(__xludf.DUMMYFUNCTION("GOOGLETRANSLATE(B7082,""en"",""de"")"),"Die Kinder spielen das Spiel.")</f>
        <v>Die Kinder spielen das Spiel.</v>
      </c>
    </row>
    <row r="7083">
      <c r="A7083" s="4" t="s">
        <v>8899</v>
      </c>
      <c r="B7083" s="4" t="s">
        <v>8908</v>
      </c>
      <c r="C7083" s="5" t="str">
        <f>IFERROR(__xludf.DUMMYFUNCTION("GOOGLETRANSLATE(B7083,""en"",""de"")"),"Die Kinder hören dem Trainer zu.")</f>
        <v>Die Kinder hören dem Trainer zu.</v>
      </c>
    </row>
    <row r="7084">
      <c r="A7084" s="4" t="s">
        <v>8899</v>
      </c>
      <c r="B7084" s="4" t="s">
        <v>8909</v>
      </c>
      <c r="C7084" s="5" t="str">
        <f>IFERROR(__xludf.DUMMYFUNCTION("GOOGLETRANSLATE(B7084,""en"",""de"")"),"Das Spiel ist wieder eingeschaltet.")</f>
        <v>Das Spiel ist wieder eingeschaltet.</v>
      </c>
    </row>
    <row r="7085">
      <c r="A7085" s="4" t="s">
        <v>8899</v>
      </c>
      <c r="B7085" s="4" t="s">
        <v>8910</v>
      </c>
      <c r="C7085" s="5" t="str">
        <f>IFERROR(__xludf.DUMMYFUNCTION("GOOGLETRANSLATE(B7085,""en"",""de"")"),"Ein weißer Bus fährt vorbei.")</f>
        <v>Ein weißer Bus fährt vorbei.</v>
      </c>
    </row>
    <row r="7086">
      <c r="A7086" s="4" t="s">
        <v>8911</v>
      </c>
      <c r="B7086" s="4" t="s">
        <v>8912</v>
      </c>
      <c r="C7086" s="5" t="str">
        <f>IFERROR(__xludf.DUMMYFUNCTION("GOOGLETRANSLATE(B7086,""en"",""de"")"),"Das Wort Surfer ist auf dem Bildschirm.")</f>
        <v>Das Wort Surfer ist auf dem Bildschirm.</v>
      </c>
    </row>
    <row r="7087">
      <c r="A7087" s="4" t="s">
        <v>8911</v>
      </c>
      <c r="B7087" s="4" t="s">
        <v>8913</v>
      </c>
      <c r="C7087" s="5" t="str">
        <f>IFERROR(__xludf.DUMMYFUNCTION("GOOGLETRANSLATE(B7087,""en"",""de"")"),"Ein Surfer nimmt zur Kamera.")</f>
        <v>Ein Surfer nimmt zur Kamera.</v>
      </c>
    </row>
    <row r="7088">
      <c r="A7088" s="4" t="s">
        <v>8911</v>
      </c>
      <c r="B7088" s="4" t="s">
        <v>8914</v>
      </c>
      <c r="C7088" s="5" t="str">
        <f>IFERROR(__xludf.DUMMYFUNCTION("GOOGLETRANSLATE(B7088,""en"",""de"")"),"Ein Surfer geht am Strand.")</f>
        <v>Ein Surfer geht am Strand.</v>
      </c>
    </row>
    <row r="7089">
      <c r="A7089" s="4" t="s">
        <v>8911</v>
      </c>
      <c r="B7089" s="4" t="s">
        <v>8915</v>
      </c>
      <c r="C7089" s="5" t="str">
        <f>IFERROR(__xludf.DUMMYFUNCTION("GOOGLETRANSLATE(B7089,""en"",""de"")"),"Ein Mann surft im Wasser, während der Mann wieder nimmt.")</f>
        <v>Ein Mann surft im Wasser, während der Mann wieder nimmt.</v>
      </c>
    </row>
    <row r="7090">
      <c r="A7090" s="4" t="s">
        <v>8911</v>
      </c>
      <c r="B7090" s="4" t="s">
        <v>8916</v>
      </c>
      <c r="C7090" s="5" t="str">
        <f>IFERROR(__xludf.DUMMYFUNCTION("GOOGLETRANSLATE(B7090,""en"",""de"")"),"Es gibt eine Menge von Surfern auf der Insel.")</f>
        <v>Es gibt eine Menge von Surfern auf der Insel.</v>
      </c>
    </row>
    <row r="7091">
      <c r="A7091" s="4" t="s">
        <v>8911</v>
      </c>
      <c r="B7091" s="4" t="s">
        <v>8917</v>
      </c>
      <c r="C7091" s="5" t="str">
        <f>IFERROR(__xludf.DUMMYFUNCTION("GOOGLETRANSLATE(B7091,""en"",""de"")"),"Mehrere Surfer sind im Wasser und der Mann wird immer noch interviewt.")</f>
        <v>Mehrere Surfer sind im Wasser und der Mann wird immer noch interviewt.</v>
      </c>
    </row>
    <row r="7092">
      <c r="A7092" s="4" t="s">
        <v>8918</v>
      </c>
      <c r="B7092" s="4" t="s">
        <v>8919</v>
      </c>
      <c r="C7092" s="5" t="str">
        <f>IFERROR(__xludf.DUMMYFUNCTION("GOOGLETRANSLATE(B7092,""en"",""de"")"),"Zwei Personen sitzen vor einem Wellenbecken und einer führt ein weiteres auf das Wasser auf einem Brett.")</f>
        <v>Zwei Personen sitzen vor einem Wellenbecken und einer führt ein weiteres auf das Wasser auf einem Brett.</v>
      </c>
    </row>
    <row r="7093">
      <c r="A7093" s="4" t="s">
        <v>8918</v>
      </c>
      <c r="B7093" s="4" t="s">
        <v>8920</v>
      </c>
      <c r="C7093" s="5" t="str">
        <f>IFERROR(__xludf.DUMMYFUNCTION("GOOGLETRANSLATE(B7093,""en"",""de"")"),"Die Person fällt, wenn ein anderer versucht, das Brett auf dem Wasser zu fahren.")</f>
        <v>Die Person fällt, wenn ein anderer versucht, das Brett auf dem Wasser zu fahren.</v>
      </c>
    </row>
    <row r="7094">
      <c r="A7094" s="4" t="s">
        <v>8918</v>
      </c>
      <c r="B7094" s="4" t="s">
        <v>8921</v>
      </c>
      <c r="C7094" s="5" t="str">
        <f>IFERROR(__xludf.DUMMYFUNCTION("GOOGLETRANSLATE(B7094,""en"",""de"")"),"Die Person reitet weiter am Wasser und endet mit der Kamera, die in der Gegend schwenkt und der Junge fällt.")</f>
        <v>Die Person reitet weiter am Wasser und endet mit der Kamera, die in der Gegend schwenkt und der Junge fällt.</v>
      </c>
    </row>
    <row r="7095">
      <c r="A7095" s="4" t="s">
        <v>8922</v>
      </c>
      <c r="B7095" s="4" t="s">
        <v>8923</v>
      </c>
      <c r="C7095" s="5" t="str">
        <f>IFERROR(__xludf.DUMMYFUNCTION("GOOGLETRANSLATE(B7095,""en"",""de"")"),"Es werden mehrere Paare gezeigt, die draußen laufen und verschiedene Aktivitäten draußen in der Sonne durchführen.")</f>
        <v>Es werden mehrere Paare gezeigt, die draußen laufen und verschiedene Aktivitäten draußen in der Sonne durchführen.</v>
      </c>
    </row>
    <row r="7096">
      <c r="A7096" s="4" t="s">
        <v>8922</v>
      </c>
      <c r="B7096" s="4" t="s">
        <v>8924</v>
      </c>
      <c r="C7096" s="5" t="str">
        <f>IFERROR(__xludf.DUMMYFUNCTION("GOOGLETRANSLATE(B7096,""en"",""de"")"),"Immer mehr Menschen beginnen zu reden und jeder von ihnen hat eine Flasche Sonnenschirm und beginnt, sie auf ihre Arme zu spritzen, um ihre Haut zu schützen.")</f>
        <v>Immer mehr Menschen beginnen zu reden und jeder von ihnen hat eine Flasche Sonnenschirm und beginnt, sie auf ihre Arme zu spritzen, um ihre Haut zu schützen.</v>
      </c>
    </row>
    <row r="7097">
      <c r="A7097" s="4" t="s">
        <v>8922</v>
      </c>
      <c r="B7097" s="4" t="s">
        <v>8925</v>
      </c>
      <c r="C7097" s="5" t="str">
        <f>IFERROR(__xludf.DUMMYFUNCTION("GOOGLETRANSLATE(B7097,""en"",""de"")"),"Dann wird eine kleine blaue Flasche des Sonnenschirms gezeigt und einige weitere Personen beginnen über das Produkt zu sprechen.")</f>
        <v>Dann wird eine kleine blaue Flasche des Sonnenschirms gezeigt und einige weitere Personen beginnen über das Produkt zu sprechen.</v>
      </c>
    </row>
    <row r="7098">
      <c r="A7098" s="4" t="s">
        <v>8922</v>
      </c>
      <c r="B7098" s="4" t="s">
        <v>8926</v>
      </c>
      <c r="C7098" s="5" t="str">
        <f>IFERROR(__xludf.DUMMYFUNCTION("GOOGLETRANSLATE(B7098,""en"",""de"")"),"Die Website zum Kauf des Produkts wird angezeigt und das gesamte Video wird wieder so abgespielt, als ob es geschoben wäre.")</f>
        <v>Die Website zum Kauf des Produkts wird angezeigt und das gesamte Video wird wieder so abgespielt, als ob es geschoben wäre.</v>
      </c>
    </row>
    <row r="7099">
      <c r="A7099" s="4" t="s">
        <v>8927</v>
      </c>
      <c r="B7099" s="4" t="s">
        <v>8928</v>
      </c>
      <c r="C7099" s="5" t="str">
        <f>IFERROR(__xludf.DUMMYFUNCTION("GOOGLETRANSLATE(B7099,""en"",""de"")"),"Ein kleiner Junge hält ein Gericht, während er spricht.")</f>
        <v>Ein kleiner Junge hält ein Gericht, während er spricht.</v>
      </c>
    </row>
    <row r="7100">
      <c r="A7100" s="4" t="s">
        <v>8927</v>
      </c>
      <c r="B7100" s="4" t="s">
        <v>8929</v>
      </c>
      <c r="C7100" s="5" t="str">
        <f>IFERROR(__xludf.DUMMYFUNCTION("GOOGLETRANSLATE(B7100,""en"",""de"")"),"Er dreht sich in die Spüle hinter ihm, wo im Wasser Gerichte sitzen.")</f>
        <v>Er dreht sich in die Spüle hinter ihm, wo im Wasser Gerichte sitzen.</v>
      </c>
    </row>
    <row r="7101">
      <c r="A7101" s="4" t="s">
        <v>8927</v>
      </c>
      <c r="B7101" s="4" t="s">
        <v>8930</v>
      </c>
      <c r="C7101" s="5" t="str">
        <f>IFERROR(__xludf.DUMMYFUNCTION("GOOGLETRANSLATE(B7101,""en"",""de"")"),"Er lässt das Peeling in die Spüle fallen und legt ein Glas ab.")</f>
        <v>Er lässt das Peeling in die Spüle fallen und legt ein Glas ab.</v>
      </c>
    </row>
    <row r="7102">
      <c r="A7102" s="4" t="s">
        <v>8927</v>
      </c>
      <c r="B7102" s="4" t="s">
        <v>8931</v>
      </c>
      <c r="C7102" s="5" t="str">
        <f>IFERROR(__xludf.DUMMYFUNCTION("GOOGLETRANSLATE(B7102,""en"",""de"")"),"Er schnappt sich ein Handtuch und reinigt das Glas und bewegt sich auch, um das Glas zu schrubben.")</f>
        <v>Er schnappt sich ein Handtuch und reinigt das Glas und bewegt sich auch, um das Glas zu schrubben.</v>
      </c>
    </row>
    <row r="7103">
      <c r="A7103" s="4" t="s">
        <v>8927</v>
      </c>
      <c r="B7103" s="4" t="s">
        <v>8932</v>
      </c>
      <c r="C7103" s="5" t="str">
        <f>IFERROR(__xludf.DUMMYFUNCTION("GOOGLETRANSLATE(B7103,""en"",""de"")"),"Er legt das Peeling nieder und schnappt sich das Glas, um es auf die rechte Seite des Waschbeckens zu legen, wo er das Glas verschleiert und es in das Gericht steckt.")</f>
        <v>Er legt das Peeling nieder und schnappt sich das Glas, um es auf die rechte Seite des Waschbeckens zu legen, wo er das Glas verschleiert und es in das Gericht steckt.</v>
      </c>
    </row>
    <row r="7104">
      <c r="A7104" s="4" t="s">
        <v>8927</v>
      </c>
      <c r="B7104" s="4" t="s">
        <v>8933</v>
      </c>
      <c r="C7104" s="5" t="str">
        <f>IFERROR(__xludf.DUMMYFUNCTION("GOOGLETRANSLATE(B7104,""en"",""de"")"),"Er bewegt sich, um das Handtuch zu greifen und ein Gericht zu reinigen.")</f>
        <v>Er bewegt sich, um das Handtuch zu greifen und ein Gericht zu reinigen.</v>
      </c>
    </row>
    <row r="7105">
      <c r="A7105" s="4" t="s">
        <v>8927</v>
      </c>
      <c r="B7105" s="4" t="s">
        <v>8934</v>
      </c>
      <c r="C7105" s="5" t="str">
        <f>IFERROR(__xludf.DUMMYFUNCTION("GOOGLETRANSLATE(B7105,""en"",""de"")"),"Er tränkt das Gericht in Wasser und bewegt es in das Gericht.")</f>
        <v>Er tränkt das Gericht in Wasser und bewegt es in das Gericht.</v>
      </c>
    </row>
    <row r="7106">
      <c r="A7106" s="4" t="s">
        <v>8927</v>
      </c>
      <c r="B7106" s="4" t="s">
        <v>8935</v>
      </c>
      <c r="C7106" s="5" t="str">
        <f>IFERROR(__xludf.DUMMYFUNCTION("GOOGLETRANSLATE(B7106,""en"",""de"")"),"Er kehrt zurück, um das Handtuch zu benutzen und ein Messer zu reinigen.")</f>
        <v>Er kehrt zurück, um das Handtuch zu benutzen und ein Messer zu reinigen.</v>
      </c>
    </row>
    <row r="7107">
      <c r="A7107" s="4" t="s">
        <v>8927</v>
      </c>
      <c r="B7107" s="4" t="s">
        <v>8936</v>
      </c>
      <c r="C7107" s="5" t="str">
        <f>IFERROR(__xludf.DUMMYFUNCTION("GOOGLETRANSLATE(B7107,""en"",""de"")"),"Er tränkt das Messer im Wasser und bewegt es in das Gericht, der Junge, um eine Gabel mit dem Handtuch zu reinigen.")</f>
        <v>Er tränkt das Messer im Wasser und bewegt es in das Gericht, der Junge, um eine Gabel mit dem Handtuch zu reinigen.</v>
      </c>
    </row>
    <row r="7108">
      <c r="A7108" s="4" t="s">
        <v>8927</v>
      </c>
      <c r="B7108" s="4" t="s">
        <v>8937</v>
      </c>
      <c r="C7108" s="5" t="str">
        <f>IFERROR(__xludf.DUMMYFUNCTION("GOOGLETRANSLATE(B7108,""en"",""de"")"),"Er bewegt die Gabel ins Wasser, um die Seife abzuspülen.")</f>
        <v>Er bewegt die Gabel ins Wasser, um die Seife abzuspülen.</v>
      </c>
    </row>
    <row r="7109">
      <c r="A7109" s="4" t="s">
        <v>8927</v>
      </c>
      <c r="B7109" s="4" t="s">
        <v>8938</v>
      </c>
      <c r="C7109" s="5" t="str">
        <f>IFERROR(__xludf.DUMMYFUNCTION("GOOGLETRANSLATE(B7109,""en"",""de"")"),"Der Junge steht vor der Kamera und spricht.")</f>
        <v>Der Junge steht vor der Kamera und spricht.</v>
      </c>
    </row>
    <row r="7110">
      <c r="A7110" s="4" t="s">
        <v>8939</v>
      </c>
      <c r="B7110" s="4" t="s">
        <v>8940</v>
      </c>
      <c r="C7110" s="5" t="str">
        <f>IFERROR(__xludf.DUMMYFUNCTION("GOOGLETRANSLATE(B7110,""en"",""de"")"),"Ein Mann wird gesehen, wie er ein kleines Kind aufzeichnet, das ihre Haare von einer Frau kämmen lässt, die hinter ihr steht.")</f>
        <v>Ein Mann wird gesehen, wie er ein kleines Kind aufzeichnet, das ihre Haare von einer Frau kämmen lässt, die hinter ihr steht.</v>
      </c>
    </row>
    <row r="7111">
      <c r="A7111" s="4" t="s">
        <v>8939</v>
      </c>
      <c r="B7111" s="4" t="s">
        <v>8941</v>
      </c>
      <c r="C7111" s="5" t="str">
        <f>IFERROR(__xludf.DUMMYFUNCTION("GOOGLETRANSLATE(B7111,""en"",""de"")"),"Mehrere Menschen und Kinder beobachten nebenbei und die Frau steckt die Haarhaare in Pferdeschwänze.")</f>
        <v>Mehrere Menschen und Kinder beobachten nebenbei und die Frau steckt die Haarhaare in Pferdeschwänze.</v>
      </c>
    </row>
    <row r="7112">
      <c r="A7112" s="4" t="s">
        <v>8939</v>
      </c>
      <c r="B7112" s="4" t="s">
        <v>8942</v>
      </c>
      <c r="C7112" s="5" t="str">
        <f>IFERROR(__xludf.DUMMYFUNCTION("GOOGLETRANSLATE(B7112,""en"",""de"")"),"Sie spricht mit der Kamera und schneidet die Haare der Mädchen, als der Vater die Haare auf den Kopf legt und die Kinder zum Lachen bringt.")</f>
        <v>Sie spricht mit der Kamera und schneidet die Haare der Mädchen, als der Vater die Haare auf den Kopf legt und die Kinder zum Lachen bringt.</v>
      </c>
    </row>
    <row r="7113">
      <c r="A7113" s="4" t="s">
        <v>8939</v>
      </c>
      <c r="B7113" s="4" t="s">
        <v>8943</v>
      </c>
      <c r="C7113" s="5" t="str">
        <f>IFERROR(__xludf.DUMMYFUNCTION("GOOGLETRANSLATE(B7113,""en"",""de"")"),"Die Frau schneidet ihr Haar weiter, während andere zuschauen und mit der Kamera sprechen, gefolgt von der Frau, die das Haar glättet und es in Zeitlupe zeigt.")</f>
        <v>Die Frau schneidet ihr Haar weiter, während andere zuschauen und mit der Kamera sprechen, gefolgt von der Frau, die das Haar glättet und es in Zeitlupe zeigt.</v>
      </c>
    </row>
    <row r="7114">
      <c r="A7114" s="4" t="s">
        <v>8939</v>
      </c>
      <c r="B7114" s="4" t="s">
        <v>8944</v>
      </c>
      <c r="C7114" s="5" t="str">
        <f>IFERROR(__xludf.DUMMYFUNCTION("GOOGLETRANSLATE(B7114,""en"",""de"")"),"Das Mädchen hält ihre Haare und schreit vor Aufregung in der Kamera.")</f>
        <v>Das Mädchen hält ihre Haare und schreit vor Aufregung in der Kamera.</v>
      </c>
    </row>
    <row r="7115">
      <c r="A7115" s="4" t="s">
        <v>8945</v>
      </c>
      <c r="B7115" s="4" t="s">
        <v>8946</v>
      </c>
      <c r="C7115" s="5" t="str">
        <f>IFERROR(__xludf.DUMMYFUNCTION("GOOGLETRANSLATE(B7115,""en"",""de"")"),"Zwei Mädchen sprechen mit der Kamera, während sie Tassen in den Händen halten und miteinander lachen.")</f>
        <v>Zwei Mädchen sprechen mit der Kamera, während sie Tassen in den Händen halten und miteinander lachen.</v>
      </c>
    </row>
    <row r="7116">
      <c r="A7116" s="4" t="s">
        <v>8945</v>
      </c>
      <c r="B7116" s="4" t="s">
        <v>8947</v>
      </c>
      <c r="C7116" s="5" t="str">
        <f>IFERROR(__xludf.DUMMYFUNCTION("GOOGLETRANSLATE(B7116,""en"",""de"")"),"Die Kamera zoomt in die Tassen und das Mädchen lacht weiter, während sie endlich aus der Tasse trinken.")</f>
        <v>Die Kamera zoomt in die Tassen und das Mädchen lacht weiter, während sie endlich aus der Tasse trinken.</v>
      </c>
    </row>
    <row r="7117">
      <c r="A7117" s="4" t="s">
        <v>8945</v>
      </c>
      <c r="B7117" s="4" t="s">
        <v>8948</v>
      </c>
      <c r="C7117" s="5" t="str">
        <f>IFERROR(__xludf.DUMMYFUNCTION("GOOGLETRANSLATE(B7117,""en"",""de"")"),"Sie halten die Flüssigkeit in ihren Mund und spucken sie aus und lachen am Ende.")</f>
        <v>Sie halten die Flüssigkeit in ihren Mund und spucken sie aus und lachen am Ende.</v>
      </c>
    </row>
    <row r="7118">
      <c r="A7118" s="4" t="s">
        <v>8949</v>
      </c>
      <c r="B7118" s="4" t="s">
        <v>8950</v>
      </c>
      <c r="C7118" s="5" t="str">
        <f>IFERROR(__xludf.DUMMYFUNCTION("GOOGLETRANSLATE(B7118,""en"",""de"")"),"Ein Mann spricht mit der Kamera und verbeugt sich vor der Kamera.")</f>
        <v>Ein Mann spricht mit der Kamera und verbeugt sich vor der Kamera.</v>
      </c>
    </row>
    <row r="7119">
      <c r="A7119" s="4" t="s">
        <v>8949</v>
      </c>
      <c r="B7119" s="4" t="s">
        <v>8951</v>
      </c>
      <c r="C7119" s="5" t="str">
        <f>IFERROR(__xludf.DUMMYFUNCTION("GOOGLETRANSLATE(B7119,""en"",""de"")"),"Der Mann kniet sich mehrmals auf die Knie und bogt sich wieder.")</f>
        <v>Der Mann kniet sich mehrmals auf die Knie und bogt sich wieder.</v>
      </c>
    </row>
    <row r="7120">
      <c r="A7120" s="4" t="s">
        <v>8949</v>
      </c>
      <c r="B7120" s="4" t="s">
        <v>8952</v>
      </c>
      <c r="C7120" s="5" t="str">
        <f>IFERROR(__xludf.DUMMYFUNCTION("GOOGLETRANSLATE(B7120,""en"",""de"")"),"Er beugt sich immer noch herum und endet, indem er aufsteht.")</f>
        <v>Er beugt sich immer noch herum und endet, indem er aufsteht.</v>
      </c>
    </row>
    <row r="7121">
      <c r="A7121" s="4" t="s">
        <v>8953</v>
      </c>
      <c r="B7121" s="4" t="s">
        <v>8954</v>
      </c>
      <c r="C7121" s="5" t="str">
        <f>IFERROR(__xludf.DUMMYFUNCTION("GOOGLETRANSLATE(B7121,""en"",""de"")"),"Vor einem olympischen Gewichtsaufhebensereignis wird ein chinesischer Konkurrent gezeigt, indem er sich in einem Fitnessstudio vorbereitet.")</f>
        <v>Vor einem olympischen Gewichtsaufhebensereignis wird ein chinesischer Konkurrent gezeigt, indem er sich in einem Fitnessstudio vorbereitet.</v>
      </c>
    </row>
    <row r="7122">
      <c r="A7122" s="4" t="s">
        <v>8953</v>
      </c>
      <c r="B7122" s="4" t="s">
        <v>8955</v>
      </c>
      <c r="C7122" s="5" t="str">
        <f>IFERROR(__xludf.DUMMYFUNCTION("GOOGLETRANSLATE(B7122,""en"",""de"")"),"Er übt dann für die Veranstaltung, indem er die großen olympischen Gewichte hebt.")</f>
        <v>Er übt dann für die Veranstaltung, indem er die großen olympischen Gewichte hebt.</v>
      </c>
    </row>
    <row r="7123">
      <c r="A7123" s="4" t="s">
        <v>8953</v>
      </c>
      <c r="B7123" s="4" t="s">
        <v>8956</v>
      </c>
      <c r="C7123" s="5" t="str">
        <f>IFERROR(__xludf.DUMMYFUNCTION("GOOGLETRANSLATE(B7123,""en"",""de"")"),"Bei der Konkurrenz nimmt er die Gewichte von einer hockenden Position auf, bevor er aufsteigt und dann die Gewichte nach Abschluss steckt.")</f>
        <v>Bei der Konkurrenz nimmt er die Gewichte von einer hockenden Position auf, bevor er aufsteigt und dann die Gewichte nach Abschluss steckt.</v>
      </c>
    </row>
    <row r="7124">
      <c r="A7124" s="4" t="s">
        <v>8953</v>
      </c>
      <c r="B7124" s="4" t="s">
        <v>8957</v>
      </c>
      <c r="C7124" s="5" t="str">
        <f>IFERROR(__xludf.DUMMYFUNCTION("GOOGLETRANSLATE(B7124,""en"",""de"")"),"Es werden verschiedene erfolgreiche Aufzüge gezeigt und der Konkurrent umarmt seinen Trainer.")</f>
        <v>Es werden verschiedene erfolgreiche Aufzüge gezeigt und der Konkurrent umarmt seinen Trainer.</v>
      </c>
    </row>
    <row r="7125">
      <c r="A7125" s="4" t="s">
        <v>8958</v>
      </c>
      <c r="B7125" s="4" t="s">
        <v>8959</v>
      </c>
      <c r="C7125" s="5" t="str">
        <f>IFERROR(__xludf.DUMMYFUNCTION("GOOGLETRANSLATE(B7125,""en"",""de"")"),"Berge sind in der Ferne zu sehen, wobei sich Wolken am Nachmittag über die Oberseite bewegt.")</f>
        <v>Berge sind in der Ferne zu sehen, wobei sich Wolken am Nachmittag über die Oberseite bewegt.</v>
      </c>
    </row>
    <row r="7126">
      <c r="A7126" s="4" t="s">
        <v>8958</v>
      </c>
      <c r="B7126" s="4" t="s">
        <v>8960</v>
      </c>
      <c r="C7126" s="5" t="str">
        <f>IFERROR(__xludf.DUMMYFUNCTION("GOOGLETRANSLATE(B7126,""en"",""de"")"),"Bergkletterer benutzen Seile und Haken, um Metallklammern entlang von Rissen in einem bloßen Fels Gesicht hochzuhalten.")</f>
        <v>Bergkletterer benutzen Seile und Haken, um Metallklammern entlang von Rissen in einem bloßen Fels Gesicht hochzuhalten.</v>
      </c>
    </row>
    <row r="7127">
      <c r="A7127" s="4" t="s">
        <v>8958</v>
      </c>
      <c r="B7127" s="4" t="s">
        <v>8961</v>
      </c>
      <c r="C7127" s="5" t="str">
        <f>IFERROR(__xludf.DUMMYFUNCTION("GOOGLETRANSLATE(B7127,""en"",""de"")"),"Der Kletterer stellt einen metallrounden Klammern in den Riss des Fels Gesichts.")</f>
        <v>Der Kletterer stellt einen metallrounden Klammern in den Riss des Fels Gesichts.</v>
      </c>
    </row>
    <row r="7128">
      <c r="A7128" s="4" t="s">
        <v>8958</v>
      </c>
      <c r="B7128" s="4" t="s">
        <v>8962</v>
      </c>
      <c r="C7128" s="5" t="str">
        <f>IFERROR(__xludf.DUMMYFUNCTION("GOOGLETRANSLATE(B7128,""en"",""de"")"),"Wolken bewegen sich über eine Bergkette bei Sonnenuntergang.")</f>
        <v>Wolken bewegen sich über eine Bergkette bei Sonnenuntergang.</v>
      </c>
    </row>
    <row r="7129">
      <c r="A7129" s="4" t="s">
        <v>8963</v>
      </c>
      <c r="B7129" s="4" t="s">
        <v>8964</v>
      </c>
      <c r="C7129" s="5" t="str">
        <f>IFERROR(__xludf.DUMMYFUNCTION("GOOGLETRANSLATE(B7129,""en"",""de"")"),"Eine Frau veranstaltet ein Nachrichtensegment, das mit der Kamera spricht und sich in eine Gruppe von Männern übergeht, die in einer geraden Linie laufen.")</f>
        <v>Eine Frau veranstaltet ein Nachrichtensegment, das mit der Kamera spricht und sich in eine Gruppe von Männern übergeht, die in einer geraden Linie laufen.</v>
      </c>
    </row>
    <row r="7130">
      <c r="A7130" s="4" t="s">
        <v>8963</v>
      </c>
      <c r="B7130" s="4" t="s">
        <v>8965</v>
      </c>
      <c r="C7130" s="5" t="str">
        <f>IFERROR(__xludf.DUMMYFUNCTION("GOOGLETRANSLATE(B7130,""en"",""de"")"),"Die Leute treten dann vor einer großen Gruppe von Menschen auf und ein Darsteller wird dazwischen interviewt.")</f>
        <v>Die Leute treten dann vor einer großen Gruppe von Menschen auf und ein Darsteller wird dazwischen interviewt.</v>
      </c>
    </row>
    <row r="7131">
      <c r="A7131" s="4" t="s">
        <v>8963</v>
      </c>
      <c r="B7131" s="4" t="s">
        <v>8966</v>
      </c>
      <c r="C7131" s="5" t="str">
        <f>IFERROR(__xludf.DUMMYFUNCTION("GOOGLETRANSLATE(B7131,""en"",""de"")"),"Das Nachrichtensegment beginnt dann mit anderen Leuten im Studio zu sprechen, die ihre Meinung abgeben und mit dem Gastgeber endet, der lacht und lächelt.")</f>
        <v>Das Nachrichtensegment beginnt dann mit anderen Leuten im Studio zu sprechen, die ihre Meinung abgeben und mit dem Gastgeber endet, der lacht und lächelt.</v>
      </c>
    </row>
    <row r="7132">
      <c r="A7132" s="4" t="s">
        <v>8967</v>
      </c>
      <c r="B7132" s="4" t="s">
        <v>8968</v>
      </c>
      <c r="C7132" s="5" t="str">
        <f>IFERROR(__xludf.DUMMYFUNCTION("GOOGLETRANSLATE(B7132,""en"",""de"")"),"Eine Person wird vor einer großen Strecke bereit stehen, mit Menschen, die sitzen und herumstehen und ihn beobachten.")</f>
        <v>Eine Person wird vor einer großen Strecke bereit stehen, mit Menschen, die sitzen und herumstehen und ihn beobachten.</v>
      </c>
    </row>
    <row r="7133">
      <c r="A7133" s="4" t="s">
        <v>8967</v>
      </c>
      <c r="B7133" s="4" t="s">
        <v>8969</v>
      </c>
      <c r="C7133" s="5" t="str">
        <f>IFERROR(__xludf.DUMMYFUNCTION("GOOGLETRANSLATE(B7133,""en"",""de"")"),"Die Personen kreuzen die Arme aus und rennt die Strecke in die Sit -Grube hinunter und dreht sich um.")</f>
        <v>Die Personen kreuzen die Arme aus und rennt die Strecke in die Sit -Grube hinunter und dreht sich um.</v>
      </c>
    </row>
    <row r="7134">
      <c r="A7134" s="4" t="s">
        <v>8970</v>
      </c>
      <c r="B7134" s="4" t="s">
        <v>8971</v>
      </c>
      <c r="C7134" s="5" t="str">
        <f>IFERROR(__xludf.DUMMYFUNCTION("GOOGLETRANSLATE(B7134,""en"",""de"")"),"Ein Mann in einem weißen Hut hält einen schwarzen Ball und redet.")</f>
        <v>Ein Mann in einem weißen Hut hält einen schwarzen Ball und redet.</v>
      </c>
    </row>
    <row r="7135">
      <c r="A7135" s="4" t="s">
        <v>8970</v>
      </c>
      <c r="B7135" s="4" t="s">
        <v>8972</v>
      </c>
      <c r="C7135" s="5" t="str">
        <f>IFERROR(__xludf.DUMMYFUNCTION("GOOGLETRANSLATE(B7135,""en"",""de"")"),"Die Leute spielen ein Spiel im Innenfußball.")</f>
        <v>Die Leute spielen ein Spiel im Innenfußball.</v>
      </c>
    </row>
    <row r="7136">
      <c r="A7136" s="4" t="s">
        <v>8970</v>
      </c>
      <c r="B7136" s="4" t="s">
        <v>8973</v>
      </c>
      <c r="C7136" s="5" t="str">
        <f>IFERROR(__xludf.DUMMYFUNCTION("GOOGLETRANSLATE(B7136,""en"",""de"")"),"Ein Mann in einer weißen Jacke spricht mit der Kamera.")</f>
        <v>Ein Mann in einer weißen Jacke spricht mit der Kamera.</v>
      </c>
    </row>
    <row r="7137">
      <c r="A7137" s="4" t="s">
        <v>8974</v>
      </c>
      <c r="B7137" s="4" t="s">
        <v>8975</v>
      </c>
      <c r="C7137" s="5" t="str">
        <f>IFERROR(__xludf.DUMMYFUNCTION("GOOGLETRANSLATE(B7137,""en"",""de"")"),"Ein Mann macht eine Gymnastikroutine in parallelen Bars.")</f>
        <v>Ein Mann macht eine Gymnastikroutine in parallelen Bars.</v>
      </c>
    </row>
    <row r="7138">
      <c r="A7138" s="4" t="s">
        <v>8974</v>
      </c>
      <c r="B7138" s="4" t="s">
        <v>8976</v>
      </c>
      <c r="C7138" s="5" t="str">
        <f>IFERROR(__xludf.DUMMYFUNCTION("GOOGLETRANSLATE(B7138,""en"",""de"")"),"Er steigt und landet auf einer Matte.")</f>
        <v>Er steigt und landet auf einer Matte.</v>
      </c>
    </row>
    <row r="7139">
      <c r="A7139" s="4" t="s">
        <v>8974</v>
      </c>
      <c r="B7139" s="4" t="s">
        <v>8977</v>
      </c>
      <c r="C7139" s="5" t="str">
        <f>IFERROR(__xludf.DUMMYFUNCTION("GOOGLETRANSLATE(B7139,""en"",""de"")"),"Er gibt mehreren Menschen hohe Fünfer, als er von der Matte geht.")</f>
        <v>Er gibt mehreren Menschen hohe Fünfer, als er von der Matte geht.</v>
      </c>
    </row>
    <row r="7140">
      <c r="A7140" s="4" t="s">
        <v>8978</v>
      </c>
      <c r="B7140" s="4" t="s">
        <v>8979</v>
      </c>
      <c r="C7140" s="5" t="str">
        <f>IFERROR(__xludf.DUMMYFUNCTION("GOOGLETRANSLATE(B7140,""en"",""de"")"),"Eine ältere Frau spricht mit der Kamera und beginnt auf einer Couch zu stricken.")</f>
        <v>Eine ältere Frau spricht mit der Kamera und beginnt auf einer Couch zu stricken.</v>
      </c>
    </row>
    <row r="7141">
      <c r="A7141" s="4" t="s">
        <v>8978</v>
      </c>
      <c r="B7141" s="4" t="s">
        <v>8980</v>
      </c>
      <c r="C7141" s="5" t="str">
        <f>IFERROR(__xludf.DUMMYFUNCTION("GOOGLETRANSLATE(B7141,""en"",""de"")"),"Sie redet weiter mit der Kamera, während das Objektiv in die Hände zoom und weiter strickt.")</f>
        <v>Sie redet weiter mit der Kamera, während das Objektiv in die Hände zoom und weiter strickt.</v>
      </c>
    </row>
    <row r="7142">
      <c r="A7142" s="4" t="s">
        <v>8978</v>
      </c>
      <c r="B7142" s="4" t="s">
        <v>8981</v>
      </c>
      <c r="C7142" s="5" t="str">
        <f>IFERROR(__xludf.DUMMYFUNCTION("GOOGLETRANSLATE(B7142,""en"",""de"")"),"Sie zeigt ihren Pullover und legt schließlich ihre Strickausrüstung ab.")</f>
        <v>Sie zeigt ihren Pullover und legt schließlich ihre Strickausrüstung ab.</v>
      </c>
    </row>
    <row r="7143">
      <c r="A7143" s="4" t="s">
        <v>8982</v>
      </c>
      <c r="B7143" s="4" t="s">
        <v>8983</v>
      </c>
      <c r="C7143" s="5" t="str">
        <f>IFERROR(__xludf.DUMMYFUNCTION("GOOGLETRANSLATE(B7143,""en"",""de"")"),"In seiner Küche steht ein kleiner Junge mit einem Wasserkrug, einigen Zitronen und einigen Äpfeln hinter ihm auf der Theke.")</f>
        <v>In seiner Küche steht ein kleiner Junge mit einem Wasserkrug, einigen Zitronen und einigen Äpfeln hinter ihm auf der Theke.</v>
      </c>
    </row>
    <row r="7144">
      <c r="A7144" s="4" t="s">
        <v>8982</v>
      </c>
      <c r="B7144" s="4" t="s">
        <v>8984</v>
      </c>
      <c r="C7144" s="5" t="str">
        <f>IFERROR(__xludf.DUMMYFUNCTION("GOOGLETRANSLATE(B7144,""en"",""de"")"),"Er zeigt auf die Zitronen.")</f>
        <v>Er zeigt auf die Zitronen.</v>
      </c>
    </row>
    <row r="7145">
      <c r="A7145" s="4" t="s">
        <v>8982</v>
      </c>
      <c r="B7145" s="4" t="s">
        <v>8985</v>
      </c>
      <c r="C7145" s="5" t="str">
        <f>IFERROR(__xludf.DUMMYFUNCTION("GOOGLETRANSLATE(B7145,""en"",""de"")"),"Seine Mutter kommt und hilft ihm, den Saft aus den Zitronen herauszudrücken.")</f>
        <v>Seine Mutter kommt und hilft ihm, den Saft aus den Zitronen herauszudrücken.</v>
      </c>
    </row>
    <row r="7146">
      <c r="A7146" s="4" t="s">
        <v>8982</v>
      </c>
      <c r="B7146" s="4" t="s">
        <v>8986</v>
      </c>
      <c r="C7146" s="5" t="str">
        <f>IFERROR(__xludf.DUMMYFUNCTION("GOOGLETRANSLATE(B7146,""en"",""de"")"),"Sowohl die Mutter als auch der Sohn benutzen einen Zitronensaft, um den Saft zu quetschen und ihn zum Wasserkrüge hinzuzufügen.")</f>
        <v>Sowohl die Mutter als auch der Sohn benutzen einen Zitronensaft, um den Saft zu quetschen und ihn zum Wasserkrüge hinzuzufügen.</v>
      </c>
    </row>
    <row r="7147">
      <c r="A7147" s="4" t="s">
        <v>8982</v>
      </c>
      <c r="B7147" s="4" t="s">
        <v>8987</v>
      </c>
      <c r="C7147" s="5" t="str">
        <f>IFERROR(__xludf.DUMMYFUNCTION("GOOGLETRANSLATE(B7147,""en"",""de"")"),"Die Mutter sorgt dafür, dass der gesamte Saft richtig aus den Zitronen gepresst wird, also benutzt sie ihre Hände.")</f>
        <v>Die Mutter sorgt dafür, dass der gesamte Saft richtig aus den Zitronen gepresst wird, also benutzt sie ihre Hände.</v>
      </c>
    </row>
    <row r="7148">
      <c r="A7148" s="4" t="s">
        <v>8982</v>
      </c>
      <c r="B7148" s="4" t="s">
        <v>8988</v>
      </c>
      <c r="C7148" s="5" t="str">
        <f>IFERROR(__xludf.DUMMYFUNCTION("GOOGLETRANSLATE(B7148,""en"",""de"")"),"Dann fügt sie der Limonade etwas Lebensmittelfärbung hinzu und rührt sie gut.")</f>
        <v>Dann fügt sie der Limonade etwas Lebensmittelfärbung hinzu und rührt sie gut.</v>
      </c>
    </row>
    <row r="7149">
      <c r="A7149" s="4" t="s">
        <v>8982</v>
      </c>
      <c r="B7149" s="4" t="s">
        <v>8989</v>
      </c>
      <c r="C7149" s="5" t="str">
        <f>IFERROR(__xludf.DUMMYFUNCTION("GOOGLETRANSLATE(B7149,""en"",""de"")"),"Dann gießt sie die Limonade in ein Glas mit Eis und gibt sie ihrem Sohn.")</f>
        <v>Dann gießt sie die Limonade in ein Glas mit Eis und gibt sie ihrem Sohn.</v>
      </c>
    </row>
    <row r="7150">
      <c r="A7150" s="4" t="s">
        <v>8982</v>
      </c>
      <c r="B7150" s="4" t="s">
        <v>8990</v>
      </c>
      <c r="C7150" s="5" t="str">
        <f>IFERROR(__xludf.DUMMYFUNCTION("GOOGLETRANSLATE(B7150,""en"",""de"")"),"Er nimmt einen Schluck der Limonade und lächelt.")</f>
        <v>Er nimmt einen Schluck der Limonade und lächelt.</v>
      </c>
    </row>
    <row r="7151">
      <c r="A7151" s="4" t="s">
        <v>8991</v>
      </c>
      <c r="B7151" s="4" t="s">
        <v>8992</v>
      </c>
      <c r="C7151" s="5" t="str">
        <f>IFERROR(__xludf.DUMMYFUNCTION("GOOGLETRANSLATE(B7151,""en"",""de"")"),"Ein Bild eines Mannes wird gesehen und führt zu einem Mann, der sich auf einen Rasen beugt und verschiedene Tanzbewegungen ausführt.")</f>
        <v>Ein Bild eines Mannes wird gesehen und führt zu einem Mann, der sich auf einen Rasen beugt und verschiedene Tanzbewegungen ausführt.</v>
      </c>
    </row>
    <row r="7152">
      <c r="A7152" s="4" t="s">
        <v>8991</v>
      </c>
      <c r="B7152" s="4" t="s">
        <v>8993</v>
      </c>
      <c r="C7152" s="5" t="str">
        <f>IFERROR(__xludf.DUMMYFUNCTION("GOOGLETRANSLATE(B7152,""en"",""de"")"),"Der Mann singt mit seiner Routine mit und wird dann mit einem Rasenmäher über den Hof laufen.")</f>
        <v>Der Mann singt mit seiner Routine mit und wird dann mit einem Rasenmäher über den Hof laufen.</v>
      </c>
    </row>
    <row r="7153">
      <c r="A7153" s="4" t="s">
        <v>8991</v>
      </c>
      <c r="B7153" s="4" t="s">
        <v>8994</v>
      </c>
      <c r="C7153" s="5" t="str">
        <f>IFERROR(__xludf.DUMMYFUNCTION("GOOGLETRANSLATE(B7153,""en"",""de"")"),"Es ist mehr Tanzen und Gesang zu sehen, ein Bild des Haltens von Karten wird gezeigt und endet damit, dass er das Gras schneidet und mit einem Freund festhält.")</f>
        <v>Es ist mehr Tanzen und Gesang zu sehen, ein Bild des Haltens von Karten wird gezeigt und endet damit, dass er das Gras schneidet und mit einem Freund festhält.</v>
      </c>
    </row>
    <row r="7154">
      <c r="A7154" s="4" t="s">
        <v>8995</v>
      </c>
      <c r="B7154" s="4" t="s">
        <v>8996</v>
      </c>
      <c r="C7154" s="5" t="str">
        <f>IFERROR(__xludf.DUMMYFUNCTION("GOOGLETRANSLATE(B7154,""en"",""de"")"),"Eine Frau geht zu einem Blumenbett und einer Schubkarre, während sie spricht.")</f>
        <v>Eine Frau geht zu einem Blumenbett und einer Schubkarre, während sie spricht.</v>
      </c>
    </row>
    <row r="7155">
      <c r="A7155" s="4" t="s">
        <v>8995</v>
      </c>
      <c r="B7155" s="4" t="s">
        <v>8997</v>
      </c>
      <c r="C7155" s="5" t="str">
        <f>IFERROR(__xludf.DUMMYFUNCTION("GOOGLETRANSLATE(B7155,""en"",""de"")"),"Sie zeigt, wie man mulch, das Material aufnimmt und zeigt, wie man es um Pflanzen packt.")</f>
        <v>Sie zeigt, wie man mulch, das Material aufnimmt und zeigt, wie man es um Pflanzen packt.</v>
      </c>
    </row>
    <row r="7156">
      <c r="A7156" s="4" t="s">
        <v>8998</v>
      </c>
      <c r="B7156" s="4" t="s">
        <v>8999</v>
      </c>
      <c r="C7156" s="5" t="str">
        <f>IFERROR(__xludf.DUMMYFUNCTION("GOOGLETRANSLATE(B7156,""en"",""de"")"),"Zwei Mädchen befinden sich auf einem Basketballplatz in Indoor.")</f>
        <v>Zwei Mädchen befinden sich auf einem Basketballplatz in Indoor.</v>
      </c>
    </row>
    <row r="7157">
      <c r="A7157" s="4" t="s">
        <v>8998</v>
      </c>
      <c r="B7157" s="4" t="s">
        <v>9000</v>
      </c>
      <c r="C7157" s="5" t="str">
        <f>IFERROR(__xludf.DUMMYFUNCTION("GOOGLETRANSLATE(B7157,""en"",""de"")"),"Sie treten mit Schlagstöcken auf und tragen lila Kleider.")</f>
        <v>Sie treten mit Schlagstöcken auf und tragen lila Kleider.</v>
      </c>
    </row>
    <row r="7158">
      <c r="A7158" s="4" t="s">
        <v>8998</v>
      </c>
      <c r="B7158" s="4" t="s">
        <v>9001</v>
      </c>
      <c r="C7158" s="5" t="str">
        <f>IFERROR(__xludf.DUMMYFUNCTION("GOOGLETRANSLATE(B7158,""en"",""de"")"),"Sie drehen sich und werfen die Schlagstöcke in die Luft, während sie auftreten.")</f>
        <v>Sie drehen sich und werfen die Schlagstöcke in die Luft, während sie auftreten.</v>
      </c>
    </row>
    <row r="7159">
      <c r="A7159" s="4" t="s">
        <v>9002</v>
      </c>
      <c r="B7159" s="4" t="s">
        <v>9003</v>
      </c>
      <c r="C7159" s="5" t="str">
        <f>IFERROR(__xludf.DUMMYFUNCTION("GOOGLETRANSLATE(B7159,""en"",""de"")"),"Eine Kamera und ein Logo erscheinen kurz.")</f>
        <v>Eine Kamera und ein Logo erscheinen kurz.</v>
      </c>
    </row>
    <row r="7160">
      <c r="A7160" s="4" t="s">
        <v>9002</v>
      </c>
      <c r="B7160" s="4" t="s">
        <v>9004</v>
      </c>
      <c r="C7160" s="5" t="str">
        <f>IFERROR(__xludf.DUMMYFUNCTION("GOOGLETRANSLATE(B7160,""en"",""de"")"),"Eine Person weckt auf einem See, während er abgeschleppt wird.")</f>
        <v>Eine Person weckt auf einem See, während er abgeschleppt wird.</v>
      </c>
    </row>
    <row r="7161">
      <c r="A7161" s="4" t="s">
        <v>9002</v>
      </c>
      <c r="B7161" s="4" t="s">
        <v>9005</v>
      </c>
      <c r="C7161" s="5" t="str">
        <f>IFERROR(__xludf.DUMMYFUNCTION("GOOGLETRANSLATE(B7161,""en"",""de"")"),"Sie passieren eine Person im Wasser.")</f>
        <v>Sie passieren eine Person im Wasser.</v>
      </c>
    </row>
    <row r="7162">
      <c r="A7162" s="4" t="s">
        <v>9002</v>
      </c>
      <c r="B7162" s="4" t="s">
        <v>9006</v>
      </c>
      <c r="C7162" s="5" t="str">
        <f>IFERROR(__xludf.DUMMYFUNCTION("GOOGLETRANSLATE(B7162,""en"",""de"")"),"Sie kommen an einem Dock an.")</f>
        <v>Sie kommen an einem Dock an.</v>
      </c>
    </row>
    <row r="7163">
      <c r="A7163" s="4" t="s">
        <v>9007</v>
      </c>
      <c r="B7163" s="4" t="s">
        <v>9008</v>
      </c>
      <c r="C7163" s="5" t="str">
        <f>IFERROR(__xludf.DUMMYFUNCTION("GOOGLETRANSLATE(B7163,""en"",""de"")"),"Ein schwarzer Bildschirm wird mit grünen Wörtern angezeigt, und dann bewegt sich der Bildschirm mit schwarzen Wörtern zu einem weißen Papier.")</f>
        <v>Ein schwarzer Bildschirm wird mit grünen Wörtern angezeigt, und dann bewegt sich der Bildschirm mit schwarzen Wörtern zu einem weißen Papier.</v>
      </c>
    </row>
    <row r="7164">
      <c r="A7164" s="4" t="s">
        <v>9007</v>
      </c>
      <c r="B7164" s="4" t="s">
        <v>9009</v>
      </c>
      <c r="C7164" s="5" t="str">
        <f>IFERROR(__xludf.DUMMYFUNCTION("GOOGLETRANSLATE(B7164,""en"",""de"")"),"Danach erscheint ein grünes Lacrosse -Team und sie beginnen zu konkurrieren.")</f>
        <v>Danach erscheint ein grünes Lacrosse -Team und sie beginnen zu konkurrieren.</v>
      </c>
    </row>
    <row r="7165">
      <c r="A7165" s="4" t="s">
        <v>9007</v>
      </c>
      <c r="B7165" s="4" t="s">
        <v>9010</v>
      </c>
      <c r="C7165" s="5" t="str">
        <f>IFERROR(__xludf.DUMMYFUNCTION("GOOGLETRANSLATE(B7165,""en"",""de"")"),"Jemand macht ein Tor und dann wird der Ball mitten auf dem Feld zurückgelegt.")</f>
        <v>Jemand macht ein Tor und dann wird der Ball mitten auf dem Feld zurückgelegt.</v>
      </c>
    </row>
    <row r="7166">
      <c r="A7166" s="4" t="s">
        <v>9007</v>
      </c>
      <c r="B7166" s="4" t="s">
        <v>9011</v>
      </c>
      <c r="C7166" s="5" t="str">
        <f>IFERROR(__xludf.DUMMYFUNCTION("GOOGLETRANSLATE(B7166,""en"",""de"")"),"Wenn sie abgeschlossen sind, werden still -Bilder aus dem Spiel angezeigt.")</f>
        <v>Wenn sie abgeschlossen sind, werden still -Bilder aus dem Spiel angezeigt.</v>
      </c>
    </row>
    <row r="7167">
      <c r="A7167" s="4" t="s">
        <v>9007</v>
      </c>
      <c r="B7167" s="4" t="s">
        <v>9012</v>
      </c>
      <c r="C7167" s="5" t="str">
        <f>IFERROR(__xludf.DUMMYFUNCTION("GOOGLETRANSLATE(B7167,""en"",""de"")"),"Schließlich erscheint ein schwarzer Bildschirm und die Punktzahl wird in blauem und grünem Schreiben gezeigt.")</f>
        <v>Schließlich erscheint ein schwarzer Bildschirm und die Punktzahl wird in blauem und grünem Schreiben gezeigt.</v>
      </c>
    </row>
    <row r="7168">
      <c r="A7168" s="4" t="s">
        <v>9013</v>
      </c>
      <c r="B7168" s="4" t="s">
        <v>9014</v>
      </c>
      <c r="C7168" s="5" t="str">
        <f>IFERROR(__xludf.DUMMYFUNCTION("GOOGLETRANSLATE(B7168,""en"",""de"")"),"Die Leute spielen Instrumente, die eine Straße entlang marschieren.")</f>
        <v>Die Leute spielen Instrumente, die eine Straße entlang marschieren.</v>
      </c>
    </row>
    <row r="7169">
      <c r="A7169" s="4" t="s">
        <v>9013</v>
      </c>
      <c r="B7169" s="4" t="s">
        <v>9015</v>
      </c>
      <c r="C7169" s="5" t="str">
        <f>IFERROR(__xludf.DUMMYFUNCTION("GOOGLETRANSLATE(B7169,""en"",""de"")"),"Sie marschieren in einem Kreis in einem Raum.")</f>
        <v>Sie marschieren in einem Kreis in einem Raum.</v>
      </c>
    </row>
    <row r="7170">
      <c r="A7170" s="4" t="s">
        <v>9013</v>
      </c>
      <c r="B7170" s="4" t="s">
        <v>9016</v>
      </c>
      <c r="C7170" s="5" t="str">
        <f>IFERROR(__xludf.DUMMYFUNCTION("GOOGLETRANSLATE(B7170,""en"",""de"")"),"Eine Person, die einen Schlagstock hält, steht vor der Band.")</f>
        <v>Eine Person, die einen Schlagstock hält, steht vor der Band.</v>
      </c>
    </row>
    <row r="7171">
      <c r="A7171" s="4" t="s">
        <v>9017</v>
      </c>
      <c r="B7171" s="4" t="s">
        <v>9018</v>
      </c>
      <c r="C7171" s="5" t="str">
        <f>IFERROR(__xludf.DUMMYFUNCTION("GOOGLETRANSLATE(B7171,""en"",""de"")"),"Ein Mann steht auf dem Dach eines Gebäudes und zwei andere erscheinen.")</f>
        <v>Ein Mann steht auf dem Dach eines Gebäudes und zwei andere erscheinen.</v>
      </c>
    </row>
    <row r="7172">
      <c r="A7172" s="4" t="s">
        <v>9017</v>
      </c>
      <c r="B7172" s="4" t="s">
        <v>9019</v>
      </c>
      <c r="C7172" s="5" t="str">
        <f>IFERROR(__xludf.DUMMYFUNCTION("GOOGLETRANSLATE(B7172,""en"",""de"")"),"Sie fliegen Drachen in der Luft über dem Backsteingebäude.")</f>
        <v>Sie fliegen Drachen in der Luft über dem Backsteingebäude.</v>
      </c>
    </row>
    <row r="7173">
      <c r="A7173" s="4" t="s">
        <v>9017</v>
      </c>
      <c r="B7173" s="4" t="s">
        <v>9020</v>
      </c>
      <c r="C7173" s="5" t="str">
        <f>IFERROR(__xludf.DUMMYFUNCTION("GOOGLETRANSLATE(B7173,""en"",""de"")"),"Die Männer lassen die Drachen tauchen und tauchen, während sie sprechen und interagieren.")</f>
        <v>Die Männer lassen die Drachen tauchen und tauchen, während sie sprechen und interagieren.</v>
      </c>
    </row>
    <row r="7174">
      <c r="A7174" s="4" t="s">
        <v>9021</v>
      </c>
      <c r="B7174" s="4" t="s">
        <v>9022</v>
      </c>
      <c r="C7174" s="5" t="str">
        <f>IFERROR(__xludf.DUMMYFUNCTION("GOOGLETRANSLATE(B7174,""en"",""de"")"),"Eine Outdoor -Szene am Strand zeigt eine große Menge in der Nähe eines Resorts.")</f>
        <v>Eine Outdoor -Szene am Strand zeigt eine große Menge in der Nähe eines Resorts.</v>
      </c>
    </row>
    <row r="7175">
      <c r="A7175" s="4" t="s">
        <v>9021</v>
      </c>
      <c r="B7175" s="4" t="s">
        <v>9023</v>
      </c>
      <c r="C7175" s="5" t="str">
        <f>IFERROR(__xludf.DUMMYFUNCTION("GOOGLETRANSLATE(B7175,""en"",""de"")"),"Sie jubeln, da mehrere professionelle Skateboarder Stunts in einer Rampengrube durchführen.")</f>
        <v>Sie jubeln, da mehrere professionelle Skateboarder Stunts in einer Rampengrube durchführen.</v>
      </c>
    </row>
    <row r="7176">
      <c r="A7176" s="4" t="s">
        <v>9021</v>
      </c>
      <c r="B7176" s="4" t="s">
        <v>9024</v>
      </c>
      <c r="C7176" s="5" t="str">
        <f>IFERROR(__xludf.DUMMYFUNCTION("GOOGLETRANSLATE(B7176,""en"",""de"")"),"Der Flip und dreht sich in die Luft und geht die Rampe auf und ab.")</f>
        <v>Der Flip und dreht sich in die Luft und geht die Rampe auf und ab.</v>
      </c>
    </row>
    <row r="7177">
      <c r="A7177" s="4" t="s">
        <v>9021</v>
      </c>
      <c r="B7177" s="4" t="s">
        <v>9025</v>
      </c>
      <c r="C7177" s="5" t="str">
        <f>IFERROR(__xludf.DUMMYFUNCTION("GOOGLETRANSLATE(B7177,""en"",""de"")"),"Die Gewinner posieren für Fotos mit Kuchen, wenn sie fertig sind.")</f>
        <v>Die Gewinner posieren für Fotos mit Kuchen, wenn sie fertig sind.</v>
      </c>
    </row>
    <row r="7178">
      <c r="A7178" s="4" t="s">
        <v>9026</v>
      </c>
      <c r="B7178" s="4" t="s">
        <v>9027</v>
      </c>
      <c r="C7178" s="5" t="str">
        <f>IFERROR(__xludf.DUMMYFUNCTION("GOOGLETRANSLATE(B7178,""en"",""de"")"),"Kinder fahren mit Stoßstangenautos, die sich drehen und stoßen.")</f>
        <v>Kinder fahren mit Stoßstangenautos, die sich drehen und stoßen.</v>
      </c>
    </row>
    <row r="7179">
      <c r="A7179" s="4" t="s">
        <v>9026</v>
      </c>
      <c r="B7179" s="4" t="s">
        <v>9028</v>
      </c>
      <c r="C7179" s="5" t="str">
        <f>IFERROR(__xludf.DUMMYFUNCTION("GOOGLETRANSLATE(B7179,""en"",""de"")"),"Kid trägt blaues Hemd und Konflikt mit dem Zaun, der die Griffe mit beiden Händen hält.")</f>
        <v>Kid trägt blaues Hemd und Konflikt mit dem Zaun, der die Griffe mit beiden Händen hält.</v>
      </c>
    </row>
    <row r="7180">
      <c r="A7180" s="4" t="s">
        <v>9026</v>
      </c>
      <c r="B7180" s="4" t="s">
        <v>9029</v>
      </c>
      <c r="C7180" s="5" t="str">
        <f>IFERROR(__xludf.DUMMYFUNCTION("GOOGLETRANSLATE(B7180,""en"",""de"")"),"Mädchen trägt eine Lederjacke, die im Stoßfängerauto im Vergnügungsauto spricht.")</f>
        <v>Mädchen trägt eine Lederjacke, die im Stoßfängerauto im Vergnügungsauto spricht.</v>
      </c>
    </row>
    <row r="7181">
      <c r="A7181" s="4" t="s">
        <v>9030</v>
      </c>
      <c r="B7181" s="4" t="s">
        <v>9031</v>
      </c>
      <c r="C7181" s="5" t="str">
        <f>IFERROR(__xludf.DUMMYFUNCTION("GOOGLETRANSLATE(B7181,""en"",""de"")"),"Es gibt einen jungen Mann, der ein blaues Hemd und ein schwarzes Helm -Skateboard auf einer zweitwraigen Straße trägt.")</f>
        <v>Es gibt einen jungen Mann, der ein blaues Hemd und ein schwarzes Helm -Skateboard auf einer zweitwraigen Straße trägt.</v>
      </c>
    </row>
    <row r="7182">
      <c r="A7182" s="4" t="s">
        <v>9030</v>
      </c>
      <c r="B7182" s="4" t="s">
        <v>9032</v>
      </c>
      <c r="C7182" s="5" t="str">
        <f>IFERROR(__xludf.DUMMYFUNCTION("GOOGLETRANSLATE(B7182,""en"",""de"")"),"Er geht mit einer stetigen und schnellen Geschwindigkeit, als er durch ein paar Autos und viele Bäume geht.")</f>
        <v>Er geht mit einer stetigen und schnellen Geschwindigkeit, als er durch ein paar Autos und viele Bäume geht.</v>
      </c>
    </row>
    <row r="7183">
      <c r="A7183" s="4" t="s">
        <v>9030</v>
      </c>
      <c r="B7183" s="4" t="s">
        <v>9033</v>
      </c>
      <c r="C7183" s="5" t="str">
        <f>IFERROR(__xludf.DUMMYFUNCTION("GOOGLETRANSLATE(B7183,""en"",""de"")"),"Er durchläuft auch einige Wohngebiete, während er Skateboards.")</f>
        <v>Er durchläuft auch einige Wohngebiete, während er Skateboards.</v>
      </c>
    </row>
    <row r="7184">
      <c r="A7184" s="4" t="s">
        <v>9030</v>
      </c>
      <c r="B7184" s="4" t="s">
        <v>9034</v>
      </c>
      <c r="C7184" s="5" t="str">
        <f>IFERROR(__xludf.DUMMYFUNCTION("GOOGLETRANSLATE(B7184,""en"",""de"")"),"Er verlangsamt sich schließlich, als Kameramann einem grauen Auto nähert.")</f>
        <v>Er verlangsamt sich schließlich, als Kameramann einem grauen Auto nähert.</v>
      </c>
    </row>
    <row r="7185">
      <c r="A7185" s="4" t="s">
        <v>9030</v>
      </c>
      <c r="B7185" s="4" t="s">
        <v>9035</v>
      </c>
      <c r="C7185" s="5" t="str">
        <f>IFERROR(__xludf.DUMMYFUNCTION("GOOGLETRANSLATE(B7185,""en"",""de"")"),"Der Kameramann steigt ins Auto und nimmt das Skateboard weg.")</f>
        <v>Der Kameramann steigt ins Auto und nimmt das Skateboard weg.</v>
      </c>
    </row>
    <row r="7186">
      <c r="A7186" s="4" t="s">
        <v>9030</v>
      </c>
      <c r="B7186" s="4" t="s">
        <v>9036</v>
      </c>
      <c r="C7186" s="5" t="str">
        <f>IFERROR(__xludf.DUMMYFUNCTION("GOOGLETRANSLATE(B7186,""en"",""de"")"),"Der Skateboarder kniet an der Hauptstraße.")</f>
        <v>Der Skateboarder kniet an der Hauptstraße.</v>
      </c>
    </row>
    <row r="7187">
      <c r="A7187" s="4" t="s">
        <v>9030</v>
      </c>
      <c r="B7187" s="4" t="s">
        <v>9037</v>
      </c>
      <c r="C7187" s="5" t="str">
        <f>IFERROR(__xludf.DUMMYFUNCTION("GOOGLETRANSLATE(B7187,""en"",""de"")"),"Dann steht er auf und geht weg.")</f>
        <v>Dann steht er auf und geht weg.</v>
      </c>
    </row>
    <row r="7188">
      <c r="A7188" s="4" t="s">
        <v>9038</v>
      </c>
      <c r="B7188" s="4" t="s">
        <v>9039</v>
      </c>
      <c r="C7188" s="5" t="str">
        <f>IFERROR(__xludf.DUMMYFUNCTION("GOOGLETRANSLATE(B7188,""en"",""de"")"),"Wir sehen eine Zeitschrift auf schwarzem Hintergrund.")</f>
        <v>Wir sehen eine Zeitschrift auf schwarzem Hintergrund.</v>
      </c>
    </row>
    <row r="7189">
      <c r="A7189" s="4" t="s">
        <v>9038</v>
      </c>
      <c r="B7189" s="4" t="s">
        <v>9040</v>
      </c>
      <c r="C7189" s="5" t="str">
        <f>IFERROR(__xludf.DUMMYFUNCTION("GOOGLETRANSLATE(B7189,""en"",""de"")"),"Die Menschen rennen auf Landstraßen in einem Marathon.")</f>
        <v>Die Menschen rennen auf Landstraßen in einem Marathon.</v>
      </c>
    </row>
    <row r="7190">
      <c r="A7190" s="4" t="s">
        <v>9038</v>
      </c>
      <c r="B7190" s="4" t="s">
        <v>9041</v>
      </c>
      <c r="C7190" s="5" t="str">
        <f>IFERROR(__xludf.DUMMYFUNCTION("GOOGLETRANSLATE(B7190,""en"",""de"")"),"Wir sehen, dass sie an einem Tisch Getränke bekommen.")</f>
        <v>Wir sehen, dass sie an einem Tisch Getränke bekommen.</v>
      </c>
    </row>
    <row r="7191">
      <c r="A7191" s="4" t="s">
        <v>9038</v>
      </c>
      <c r="B7191" s="4" t="s">
        <v>9042</v>
      </c>
      <c r="C7191" s="5" t="str">
        <f>IFERROR(__xludf.DUMMYFUNCTION("GOOGLETRANSLATE(B7191,""en"",""de"")"),"Ein Mann rennt und hält eine Kamera gegenüber.")</f>
        <v>Ein Mann rennt und hält eine Kamera gegenüber.</v>
      </c>
    </row>
    <row r="7192">
      <c r="A7192" s="4" t="s">
        <v>9038</v>
      </c>
      <c r="B7192" s="4" t="s">
        <v>9043</v>
      </c>
      <c r="C7192" s="5" t="str">
        <f>IFERROR(__xludf.DUMMYFUNCTION("GOOGLETRANSLATE(B7192,""en"",""de"")"),"Der Mann, der läuft, ist wieder zu sehen.")</f>
        <v>Der Mann, der läuft, ist wieder zu sehen.</v>
      </c>
    </row>
    <row r="7193">
      <c r="A7193" s="4" t="s">
        <v>9038</v>
      </c>
      <c r="B7193" s="4" t="s">
        <v>9044</v>
      </c>
      <c r="C7193" s="5" t="str">
        <f>IFERROR(__xludf.DUMMYFUNCTION("GOOGLETRANSLATE(B7193,""en"",""de"")"),"Wir sehen eine Person auf einen See.")</f>
        <v>Wir sehen eine Person auf einen See.</v>
      </c>
    </row>
    <row r="7194">
      <c r="A7194" s="4" t="s">
        <v>9038</v>
      </c>
      <c r="B7194" s="4" t="s">
        <v>9045</v>
      </c>
      <c r="C7194" s="5" t="str">
        <f>IFERROR(__xludf.DUMMYFUNCTION("GOOGLETRANSLATE(B7194,""en"",""de"")"),"Wir überqueren die Ziellinie.")</f>
        <v>Wir überqueren die Ziellinie.</v>
      </c>
    </row>
    <row r="7195">
      <c r="A7195" s="4" t="s">
        <v>9038</v>
      </c>
      <c r="B7195" s="4" t="s">
        <v>9046</v>
      </c>
      <c r="C7195" s="5" t="str">
        <f>IFERROR(__xludf.DUMMYFUNCTION("GOOGLETRANSLATE(B7195,""en"",""de"")"),"Ein Mann ist in einem See abkühlt.")</f>
        <v>Ein Mann ist in einem See abkühlt.</v>
      </c>
    </row>
    <row r="7196">
      <c r="A7196" s="4" t="s">
        <v>9038</v>
      </c>
      <c r="B7196" s="4" t="s">
        <v>3608</v>
      </c>
      <c r="C7196" s="5" t="str">
        <f>IFERROR(__xludf.DUMMYFUNCTION("GOOGLETRANSLATE(B7196,""en"",""de"")"),"Wir sehen den Endbildschirm.")</f>
        <v>Wir sehen den Endbildschirm.</v>
      </c>
    </row>
    <row r="7197">
      <c r="A7197" s="4" t="s">
        <v>9047</v>
      </c>
      <c r="B7197" s="4" t="s">
        <v>9048</v>
      </c>
      <c r="C7197" s="5" t="str">
        <f>IFERROR(__xludf.DUMMYFUNCTION("GOOGLETRANSLATE(B7197,""en"",""de"")"),"Eine Nahaufnahme wird aus einem Raum mit einem Fenster angezeigt.")</f>
        <v>Eine Nahaufnahme wird aus einem Raum mit einem Fenster angezeigt.</v>
      </c>
    </row>
    <row r="7198">
      <c r="A7198" s="4" t="s">
        <v>9047</v>
      </c>
      <c r="B7198" s="4" t="s">
        <v>9049</v>
      </c>
      <c r="C7198" s="5" t="str">
        <f>IFERROR(__xludf.DUMMYFUNCTION("GOOGLETRANSLATE(B7198,""en"",""de"")"),"Ein Mann glättet Schlamm über der Wand.")</f>
        <v>Ein Mann glättet Schlamm über der Wand.</v>
      </c>
    </row>
    <row r="7199">
      <c r="A7199" s="4" t="s">
        <v>9047</v>
      </c>
      <c r="B7199" s="4" t="s">
        <v>9050</v>
      </c>
      <c r="C7199" s="5" t="str">
        <f>IFERROR(__xludf.DUMMYFUNCTION("GOOGLETRANSLATE(B7199,""en"",""de"")"),"Er misst und schneidet dann wieder.")</f>
        <v>Er misst und schneidet dann wieder.</v>
      </c>
    </row>
    <row r="7200">
      <c r="A7200" s="4" t="s">
        <v>9047</v>
      </c>
      <c r="B7200" s="4" t="s">
        <v>9051</v>
      </c>
      <c r="C7200" s="5" t="str">
        <f>IFERROR(__xludf.DUMMYFUNCTION("GOOGLETRANSLATE(B7200,""en"",""de"")"),"Wenn er fertig ist, ist die Wand völlig glatt.")</f>
        <v>Wenn er fertig ist, ist die Wand völlig glatt.</v>
      </c>
    </row>
    <row r="7201">
      <c r="A7201" s="4" t="s">
        <v>9052</v>
      </c>
      <c r="B7201" s="4" t="s">
        <v>9053</v>
      </c>
      <c r="C7201" s="5" t="str">
        <f>IFERROR(__xludf.DUMMYFUNCTION("GOOGLETRANSLATE(B7201,""en"",""de"")"),"Ein kleines Kind bewegt sich auf einer Schaukel, während sie lacht und zur Kamera lächelt.")</f>
        <v>Ein kleines Kind bewegt sich auf einer Schaukel, während sie lacht und zur Kamera lächelt.</v>
      </c>
    </row>
    <row r="7202">
      <c r="A7202" s="4" t="s">
        <v>9052</v>
      </c>
      <c r="B7202" s="4" t="s">
        <v>9054</v>
      </c>
      <c r="C7202" s="5" t="str">
        <f>IFERROR(__xludf.DUMMYFUNCTION("GOOGLETRANSLATE(B7202,""en"",""de"")"),"Das Kind pumpt weiterhin die Beine und ist dann steif, während sie in die Ferne schaut.")</f>
        <v>Das Kind pumpt weiterhin die Beine und ist dann steif, während sie in die Ferne schaut.</v>
      </c>
    </row>
    <row r="7203">
      <c r="A7203" s="4" t="s">
        <v>9055</v>
      </c>
      <c r="B7203" s="4" t="s">
        <v>9056</v>
      </c>
      <c r="C7203" s="5" t="str">
        <f>IFERROR(__xludf.DUMMYFUNCTION("GOOGLETRANSLATE(B7203,""en"",""de"")"),"Ein paar Leute spielen in verschiedenen Outfits Bierpong.")</f>
        <v>Ein paar Leute spielen in verschiedenen Outfits Bierpong.</v>
      </c>
    </row>
    <row r="7204">
      <c r="A7204" s="4" t="s">
        <v>9055</v>
      </c>
      <c r="B7204" s="4" t="s">
        <v>9057</v>
      </c>
      <c r="C7204" s="5" t="str">
        <f>IFERROR(__xludf.DUMMYFUNCTION("GOOGLETRANSLATE(B7204,""en"",""de"")"),"Dann bitten die Leute ein Bier.")</f>
        <v>Dann bitten die Leute ein Bier.</v>
      </c>
    </row>
    <row r="7205">
      <c r="A7205" s="4" t="s">
        <v>9055</v>
      </c>
      <c r="B7205" s="4" t="s">
        <v>9058</v>
      </c>
      <c r="C7205" s="5" t="str">
        <f>IFERROR(__xludf.DUMMYFUNCTION("GOOGLETRANSLATE(B7205,""en"",""de"")"),"Am Ende passiert viel Tanz.")</f>
        <v>Am Ende passiert viel Tanz.</v>
      </c>
    </row>
    <row r="7206">
      <c r="A7206" s="4" t="s">
        <v>9059</v>
      </c>
      <c r="B7206" s="4" t="s">
        <v>9060</v>
      </c>
      <c r="C7206" s="5" t="str">
        <f>IFERROR(__xludf.DUMMYFUNCTION("GOOGLETRANSLATE(B7206,""en"",""de"")"),"Frau sitzt vor einem weißen Tisch mit einem Halloween -Kürbis.")</f>
        <v>Frau sitzt vor einem weißen Tisch mit einem Halloween -Kürbis.</v>
      </c>
    </row>
    <row r="7207">
      <c r="A7207" s="4" t="s">
        <v>9059</v>
      </c>
      <c r="B7207" s="4" t="s">
        <v>9061</v>
      </c>
      <c r="C7207" s="5" t="str">
        <f>IFERROR(__xludf.DUMMYFUNCTION("GOOGLETRANSLATE(B7207,""en"",""de"")"),"Die Frau hält ein Messer und schneidet den Kürbiskopf und entzieht alle Samen von innen.")</f>
        <v>Die Frau hält ein Messer und schneidet den Kürbiskopf und entzieht alle Samen von innen.</v>
      </c>
    </row>
    <row r="7208">
      <c r="A7208" s="4" t="s">
        <v>9059</v>
      </c>
      <c r="B7208" s="4" t="s">
        <v>9062</v>
      </c>
      <c r="C7208" s="5" t="str">
        <f>IFERROR(__xludf.DUMMYFUNCTION("GOOGLETRANSLATE(B7208,""en"",""de"")"),"Frau treue das Gesicht mit schwarzen Markierungen und öffne die Löcher am Kürbis.")</f>
        <v>Frau treue das Gesicht mit schwarzen Markierungen und öffne die Löcher am Kürbis.</v>
      </c>
    </row>
    <row r="7209">
      <c r="A7209" s="4" t="s">
        <v>9063</v>
      </c>
      <c r="B7209" s="4" t="s">
        <v>9064</v>
      </c>
      <c r="C7209" s="5" t="str">
        <f>IFERROR(__xludf.DUMMYFUNCTION("GOOGLETRANSLATE(B7209,""en"",""de"")"),"Ein Mann im schwarzen Hemd verfolgt vor der Kamera, dann wird der Kalender und dann zeichnet gezeigt.")</f>
        <v>Ein Mann im schwarzen Hemd verfolgt vor der Kamera, dann wird der Kalender und dann zeichnet gezeigt.</v>
      </c>
    </row>
    <row r="7210">
      <c r="A7210" s="4" t="s">
        <v>9063</v>
      </c>
      <c r="B7210" s="4" t="s">
        <v>9065</v>
      </c>
      <c r="C7210" s="5" t="str">
        <f>IFERROR(__xludf.DUMMYFUNCTION("GOOGLETRANSLATE(B7210,""en"",""de"")"),"Der blonde Mann spricht vor der Kamera, während hinter ihm eine leere Rampe ist, dann das Mann Skateboard in einer Holzrampe, zeigt dann, wie man Skateboard skateboard zu reden und dann wieder Skateboard.")</f>
        <v>Der blonde Mann spricht vor der Kamera, während hinter ihm eine leere Rampe ist, dann das Mann Skateboard in einer Holzrampe, zeigt dann, wie man Skateboard skateboard zu reden und dann wieder Skateboard.</v>
      </c>
    </row>
    <row r="7211">
      <c r="A7211" s="4" t="s">
        <v>9066</v>
      </c>
      <c r="B7211" s="4" t="s">
        <v>9067</v>
      </c>
      <c r="C7211" s="5" t="str">
        <f>IFERROR(__xludf.DUMMYFUNCTION("GOOGLETRANSLATE(B7211,""en"",""de"")"),"Frau, die ein rotes Hemd trägt, ist Arm, der wieder auf dem Boden liegt.")</f>
        <v>Frau, die ein rotes Hemd trägt, ist Arm, der wieder auf dem Boden liegt.</v>
      </c>
    </row>
    <row r="7212">
      <c r="A7212" s="4" t="s">
        <v>9066</v>
      </c>
      <c r="B7212" s="4" t="s">
        <v>9068</v>
      </c>
      <c r="C7212" s="5" t="str">
        <f>IFERROR(__xludf.DUMMYFUNCTION("GOOGLETRANSLATE(B7212,""en"",""de"")"),"Eine blonde Frau, die graues Hemd trägt, ist Arm, der mit einer anderen Frau in einem Raum ringt.")</f>
        <v>Eine blonde Frau, die graues Hemd trägt, ist Arm, der mit einer anderen Frau in einem Raum ringt.</v>
      </c>
    </row>
    <row r="7213">
      <c r="A7213" s="4" t="s">
        <v>9066</v>
      </c>
      <c r="B7213" s="4" t="s">
        <v>9069</v>
      </c>
      <c r="C7213" s="5" t="str">
        <f>IFERROR(__xludf.DUMMYFUNCTION("GOOGLETRANSLATE(B7213,""en"",""de"")"),"Die Gewinnerin macht Posen auf dem Boden.")</f>
        <v>Die Gewinnerin macht Posen auf dem Boden.</v>
      </c>
    </row>
    <row r="7214">
      <c r="A7214" s="4" t="s">
        <v>9070</v>
      </c>
      <c r="B7214" s="4" t="s">
        <v>9071</v>
      </c>
      <c r="C7214" s="5" t="str">
        <f>IFERROR(__xludf.DUMMYFUNCTION("GOOGLETRANSLATE(B7214,""en"",""de"")"),"Eine junge Frau sieht in die Kamera, während sie etwas trinken und ihre Haare repariert.")</f>
        <v>Eine junge Frau sieht in die Kamera, während sie etwas trinken und ihre Haare repariert.</v>
      </c>
    </row>
    <row r="7215">
      <c r="A7215" s="4" t="s">
        <v>9070</v>
      </c>
      <c r="B7215" s="4" t="s">
        <v>9072</v>
      </c>
      <c r="C7215" s="5" t="str">
        <f>IFERROR(__xludf.DUMMYFUNCTION("GOOGLETRANSLATE(B7215,""en"",""de"")"),"Die Frau hält dann eine Packung Zigaretten und beginnt eine Zigarette zu rauchen.")</f>
        <v>Die Frau hält dann eine Packung Zigaretten und beginnt eine Zigarette zu rauchen.</v>
      </c>
    </row>
    <row r="7216">
      <c r="A7216" s="4" t="s">
        <v>9070</v>
      </c>
      <c r="B7216" s="4" t="s">
        <v>9073</v>
      </c>
      <c r="C7216" s="5" t="str">
        <f>IFERROR(__xludf.DUMMYFUNCTION("GOOGLETRANSLATE(B7216,""en"",""de"")"),"Die Frau raucht und trinkt nacheinander kontinuierlich und trinkt und schaut weiter in die Kamera.")</f>
        <v>Die Frau raucht und trinkt nacheinander kontinuierlich und trinkt und schaut weiter in die Kamera.</v>
      </c>
    </row>
    <row r="7217">
      <c r="A7217" s="4" t="s">
        <v>9074</v>
      </c>
      <c r="B7217" s="4" t="s">
        <v>9075</v>
      </c>
      <c r="C7217" s="5" t="str">
        <f>IFERROR(__xludf.DUMMYFUNCTION("GOOGLETRANSLATE(B7217,""en"",""de"")"),"Zu Beginn des Videos gibt es verschiedene Athleten, aber dann werden 2 Leute gezeigt, die ins Wasser tauchen, während eine riesige Menge sie beobachtet.")</f>
        <v>Zu Beginn des Videos gibt es verschiedene Athleten, aber dann werden 2 Leute gezeigt, die ins Wasser tauchen, während eine riesige Menge sie beobachtet.</v>
      </c>
    </row>
    <row r="7218">
      <c r="A7218" s="4" t="s">
        <v>9074</v>
      </c>
      <c r="B7218" s="4" t="s">
        <v>9076</v>
      </c>
      <c r="C7218" s="5" t="str">
        <f>IFERROR(__xludf.DUMMYFUNCTION("GOOGLETRANSLATE(B7218,""en"",""de"")"),"Am Ende findet die 10 -m -Synchro -Plattform der Männer statt.")</f>
        <v>Am Ende findet die 10 -m -Synchro -Plattform der Männer statt.</v>
      </c>
    </row>
    <row r="7219">
      <c r="A7219" s="4" t="s">
        <v>9077</v>
      </c>
      <c r="B7219" s="4" t="s">
        <v>9078</v>
      </c>
      <c r="C7219" s="5" t="str">
        <f>IFERROR(__xludf.DUMMYFUNCTION("GOOGLETRANSLATE(B7219,""en"",""de"")"),"Es werden verschiedene Schüsse von Landschaften gezeigt, dass Zerstörungen mit Menschen in einem großen Floß reiten.")</f>
        <v>Es werden verschiedene Schüsse von Landschaften gezeigt, dass Zerstörungen mit Menschen in einem großen Floß reiten.</v>
      </c>
    </row>
    <row r="7220">
      <c r="A7220" s="4" t="s">
        <v>9077</v>
      </c>
      <c r="B7220" s="4" t="s">
        <v>9079</v>
      </c>
      <c r="C7220" s="5" t="str">
        <f>IFERROR(__xludf.DUMMYFUNCTION("GOOGLETRANSLATE(B7220,""en"",""de"")"),"Irgendwann dreht das Floß die Männer über den Fluss hinunter.")</f>
        <v>Irgendwann dreht das Floß die Männer über den Fluss hinunter.</v>
      </c>
    </row>
    <row r="7221">
      <c r="A7221" s="4" t="s">
        <v>9077</v>
      </c>
      <c r="B7221" s="4" t="s">
        <v>9080</v>
      </c>
      <c r="C7221" s="5" t="str">
        <f>IFERROR(__xludf.DUMMYFUNCTION("GOOGLETRANSLATE(B7221,""en"",""de"")"),"Weitere Aufnahmen von Menschen, die den Fluss hinunterreiten, werden ebenso gezeigt und Menschen, die mit der Kamera sprechen.")</f>
        <v>Weitere Aufnahmen von Menschen, die den Fluss hinunterreiten, werden ebenso gezeigt und Menschen, die mit der Kamera sprechen.</v>
      </c>
    </row>
    <row r="7222">
      <c r="A7222" s="4" t="s">
        <v>9081</v>
      </c>
      <c r="B7222" s="4" t="s">
        <v>9082</v>
      </c>
      <c r="C7222" s="5" t="str">
        <f>IFERROR(__xludf.DUMMYFUNCTION("GOOGLETRANSLATE(B7222,""en"",""de"")"),"Eine Nachrichtenfrau spricht in einem Nachrichtenzimmer.")</f>
        <v>Eine Nachrichtenfrau spricht in einem Nachrichtenzimmer.</v>
      </c>
    </row>
    <row r="7223">
      <c r="A7223" s="4" t="s">
        <v>9081</v>
      </c>
      <c r="B7223" s="4" t="s">
        <v>9083</v>
      </c>
      <c r="C7223" s="5" t="str">
        <f>IFERROR(__xludf.DUMMYFUNCTION("GOOGLETRANSLATE(B7223,""en"",""de"")"),"Bullenkämpfe werden in einem Ring gezeigt.")</f>
        <v>Bullenkämpfe werden in einem Ring gezeigt.</v>
      </c>
    </row>
    <row r="7224">
      <c r="A7224" s="4" t="s">
        <v>9081</v>
      </c>
      <c r="B7224" s="4" t="s">
        <v>9084</v>
      </c>
      <c r="C7224" s="5" t="str">
        <f>IFERROR(__xludf.DUMMYFUNCTION("GOOGLETRANSLATE(B7224,""en"",""de"")"),"Sie versuchen, den Stier mit Umhängen zu locken.")</f>
        <v>Sie versuchen, den Stier mit Umhängen zu locken.</v>
      </c>
    </row>
    <row r="7225">
      <c r="A7225" s="4" t="s">
        <v>9085</v>
      </c>
      <c r="B7225" s="4" t="s">
        <v>9086</v>
      </c>
      <c r="C7225" s="5" t="str">
        <f>IFERROR(__xludf.DUMMYFUNCTION("GOOGLETRANSLATE(B7225,""en"",""de"")"),"Zwei Menschen tanzen in einem Raum.")</f>
        <v>Zwei Menschen tanzen in einem Raum.</v>
      </c>
    </row>
    <row r="7226">
      <c r="A7226" s="4" t="s">
        <v>9085</v>
      </c>
      <c r="B7226" s="4" t="s">
        <v>9087</v>
      </c>
      <c r="C7226" s="5" t="str">
        <f>IFERROR(__xludf.DUMMYFUNCTION("GOOGLETRANSLATE(B7226,""en"",""de"")"),"Sie wenden sich zur Seite und tanzen weiter.")</f>
        <v>Sie wenden sich zur Seite und tanzen weiter.</v>
      </c>
    </row>
    <row r="7227">
      <c r="A7227" s="4" t="s">
        <v>9085</v>
      </c>
      <c r="B7227" s="4" t="s">
        <v>9088</v>
      </c>
      <c r="C7227" s="5" t="str">
        <f>IFERROR(__xludf.DUMMYFUNCTION("GOOGLETRANSLATE(B7227,""en"",""de"")"),"Sie beenden und posieren am Ende.")</f>
        <v>Sie beenden und posieren am Ende.</v>
      </c>
    </row>
    <row r="7228">
      <c r="A7228" s="4" t="s">
        <v>9089</v>
      </c>
      <c r="B7228" s="4" t="s">
        <v>9090</v>
      </c>
      <c r="C7228" s="5" t="str">
        <f>IFERROR(__xludf.DUMMYFUNCTION("GOOGLETRANSLATE(B7228,""en"",""de"")"),"Eine Frau, die draußen auf dem Dach steht und eine Zigarette raucht.")</f>
        <v>Eine Frau, die draußen auf dem Dach steht und eine Zigarette raucht.</v>
      </c>
    </row>
    <row r="7229">
      <c r="A7229" s="4" t="s">
        <v>9089</v>
      </c>
      <c r="B7229" s="4" t="s">
        <v>9091</v>
      </c>
      <c r="C7229" s="5" t="str">
        <f>IFERROR(__xludf.DUMMYFUNCTION("GOOGLETRANSLATE(B7229,""en"",""de"")"),"Sie bläst Rauch und spielt mit ihren Haaren herum.")</f>
        <v>Sie bläst Rauch und spielt mit ihren Haaren herum.</v>
      </c>
    </row>
    <row r="7230">
      <c r="A7230" s="4" t="s">
        <v>9089</v>
      </c>
      <c r="B7230" s="4" t="s">
        <v>9092</v>
      </c>
      <c r="C7230" s="5" t="str">
        <f>IFERROR(__xludf.DUMMYFUNCTION("GOOGLETRANSLATE(B7230,""en"",""de"")"),"Sie raucht weiter und raucht beiläufig von ihrem einsamen Rauchen.")</f>
        <v>Sie raucht weiter und raucht beiläufig von ihrem einsamen Rauchen.</v>
      </c>
    </row>
    <row r="7231">
      <c r="A7231" s="4" t="s">
        <v>9089</v>
      </c>
      <c r="B7231" s="4" t="s">
        <v>9093</v>
      </c>
      <c r="C7231" s="5" t="str">
        <f>IFERROR(__xludf.DUMMYFUNCTION("GOOGLETRANSLATE(B7231,""en"",""de"")"),"Sie atmet ein letztes Mal aus und legte dann ihre Zigarette an eine Wand.")</f>
        <v>Sie atmet ein letztes Mal aus und legte dann ihre Zigarette an eine Wand.</v>
      </c>
    </row>
    <row r="7232">
      <c r="A7232" s="4" t="s">
        <v>9094</v>
      </c>
      <c r="B7232" s="4" t="s">
        <v>9095</v>
      </c>
      <c r="C7232" s="5" t="str">
        <f>IFERROR(__xludf.DUMMYFUNCTION("GOOGLETRANSLATE(B7232,""en"",""de"")"),"Ein paar Teams spielen Lacrosse auf einem offenen Feld.")</f>
        <v>Ein paar Teams spielen Lacrosse auf einem offenen Feld.</v>
      </c>
    </row>
    <row r="7233">
      <c r="A7233" s="4" t="s">
        <v>9094</v>
      </c>
      <c r="B7233" s="4" t="s">
        <v>9096</v>
      </c>
      <c r="C7233" s="5" t="str">
        <f>IFERROR(__xludf.DUMMYFUNCTION("GOOGLETRANSLATE(B7233,""en"",""de"")"),"Eine Menge beobachtet das Spiel aufmerksam.")</f>
        <v>Eine Menge beobachtet das Spiel aufmerksam.</v>
      </c>
    </row>
    <row r="7234">
      <c r="A7234" s="4" t="s">
        <v>9094</v>
      </c>
      <c r="B7234" s="4" t="s">
        <v>9097</v>
      </c>
      <c r="C7234" s="5" t="str">
        <f>IFERROR(__xludf.DUMMYFUNCTION("GOOGLETRANSLATE(B7234,""en"",""de"")"),"Die Spieler rennen über das Feld hin und her und schlagen den Ball in Tore.")</f>
        <v>Die Spieler rennen über das Feld hin und her und schlagen den Ball in Tore.</v>
      </c>
    </row>
    <row r="7235">
      <c r="A7235" s="4" t="s">
        <v>9098</v>
      </c>
      <c r="B7235" s="4" t="s">
        <v>9099</v>
      </c>
      <c r="C7235" s="5" t="str">
        <f>IFERROR(__xludf.DUMMYFUNCTION("GOOGLETRANSLATE(B7235,""en"",""de"")"),"Ein Mann spricht mit der Kamera, während er Kartoffeln schält und zur Kamera schaut.")</f>
        <v>Ein Mann spricht mit der Kamera, während er Kartoffeln schält und zur Kamera schaut.</v>
      </c>
    </row>
    <row r="7236">
      <c r="A7236" s="4" t="s">
        <v>9098</v>
      </c>
      <c r="B7236" s="4" t="s">
        <v>9100</v>
      </c>
      <c r="C7236" s="5" t="str">
        <f>IFERROR(__xludf.DUMMYFUNCTION("GOOGLETRANSLATE(B7236,""en"",""de"")"),"Die Kamera schwenkt kontinuierlich um den Mann, während er die Kartoffeln weiter schält und spricht.")</f>
        <v>Die Kamera schwenkt kontinuierlich um den Mann, während er die Kartoffeln weiter schält und spricht.</v>
      </c>
    </row>
    <row r="7237">
      <c r="A7237" s="4" t="s">
        <v>9101</v>
      </c>
      <c r="B7237" s="4" t="s">
        <v>9102</v>
      </c>
      <c r="C7237" s="5" t="str">
        <f>IFERROR(__xludf.DUMMYFUNCTION("GOOGLETRANSLATE(B7237,""en"",""de"")"),"Eine Frau spricht mit einer Webcam in ihrem Schlafzimmer.")</f>
        <v>Eine Frau spricht mit einer Webcam in ihrem Schlafzimmer.</v>
      </c>
    </row>
    <row r="7238">
      <c r="A7238" s="4" t="s">
        <v>9101</v>
      </c>
      <c r="B7238" s="4" t="s">
        <v>9103</v>
      </c>
      <c r="C7238" s="5" t="str">
        <f>IFERROR(__xludf.DUMMYFUNCTION("GOOGLETRANSLATE(B7238,""en"",""de"")"),"Sie beginnt mit ihren Haaren zu spielen, einen Teil davon zu trennen und es zu flechten.")</f>
        <v>Sie beginnt mit ihren Haaren zu spielen, einen Teil davon zu trennen und es zu flechten.</v>
      </c>
    </row>
    <row r="7239">
      <c r="A7239" s="4" t="s">
        <v>9101</v>
      </c>
      <c r="B7239" s="4" t="s">
        <v>9104</v>
      </c>
      <c r="C7239" s="5" t="str">
        <f>IFERROR(__xludf.DUMMYFUNCTION("GOOGLETRANSLATE(B7239,""en"",""de"")"),"Sie legt das erste Geflecht in ihren Mund, während sie einen anderen erstellt.")</f>
        <v>Sie legt das erste Geflecht in ihren Mund, während sie einen anderen erstellt.</v>
      </c>
    </row>
    <row r="7240">
      <c r="A7240" s="4" t="s">
        <v>9101</v>
      </c>
      <c r="B7240" s="4" t="s">
        <v>9105</v>
      </c>
      <c r="C7240" s="5" t="str">
        <f>IFERROR(__xludf.DUMMYFUNCTION("GOOGLETRANSLATE(B7240,""en"",""de"")"),"Sie kreuzt die Zöpfe und legt ein Gummiband darauf.")</f>
        <v>Sie kreuzt die Zöpfe und legt ein Gummiband darauf.</v>
      </c>
    </row>
    <row r="7241">
      <c r="A7241" s="4" t="s">
        <v>9101</v>
      </c>
      <c r="B7241" s="4" t="s">
        <v>9106</v>
      </c>
      <c r="C7241" s="5" t="str">
        <f>IFERROR(__xludf.DUMMYFUNCTION("GOOGLETRANSLATE(B7241,""en"",""de"")"),"Sie beginnt mit der anderen Seite ihres Haares den gleichen Prozess zu machen.")</f>
        <v>Sie beginnt mit der anderen Seite ihres Haares den gleichen Prozess zu machen.</v>
      </c>
    </row>
    <row r="7242">
      <c r="A7242" s="4" t="s">
        <v>9101</v>
      </c>
      <c r="B7242" s="4" t="s">
        <v>9107</v>
      </c>
      <c r="C7242" s="5" t="str">
        <f>IFERROR(__xludf.DUMMYFUNCTION("GOOGLETRANSLATE(B7242,""en"",""de"")"),"Das Video endet mit einem Standbild desselben Mädchens und dem Schwenk auf und ab.")</f>
        <v>Das Video endet mit einem Standbild desselben Mädchens und dem Schwenk auf und ab.</v>
      </c>
    </row>
    <row r="7243">
      <c r="A7243" s="4" t="s">
        <v>9108</v>
      </c>
      <c r="B7243" s="4" t="s">
        <v>9109</v>
      </c>
      <c r="C7243" s="5" t="str">
        <f>IFERROR(__xludf.DUMMYFUNCTION("GOOGLETRANSLATE(B7243,""en"",""de"")"),"Ein Mann steht vor einem weißen Bildschirm.")</f>
        <v>Ein Mann steht vor einem weißen Bildschirm.</v>
      </c>
    </row>
    <row r="7244">
      <c r="A7244" s="4" t="s">
        <v>9108</v>
      </c>
      <c r="B7244" s="4" t="s">
        <v>9110</v>
      </c>
      <c r="C7244" s="5" t="str">
        <f>IFERROR(__xludf.DUMMYFUNCTION("GOOGLETRANSLATE(B7244,""en"",""de"")"),"Er spricht über das Saxophon in seinen Händen und zeigt die richtigen Handpositionen.")</f>
        <v>Er spricht über das Saxophon in seinen Händen und zeigt die richtigen Handpositionen.</v>
      </c>
    </row>
    <row r="7245">
      <c r="A7245" s="4" t="s">
        <v>9108</v>
      </c>
      <c r="B7245" s="4" t="s">
        <v>9111</v>
      </c>
      <c r="C7245" s="5" t="str">
        <f>IFERROR(__xludf.DUMMYFUNCTION("GOOGLETRANSLATE(B7245,""en"",""de"")"),"Er zeigt, wie man das Instrument spielt.")</f>
        <v>Er zeigt, wie man das Instrument spielt.</v>
      </c>
    </row>
    <row r="7246">
      <c r="A7246" s="4" t="s">
        <v>9112</v>
      </c>
      <c r="B7246" s="4" t="s">
        <v>9113</v>
      </c>
      <c r="C7246" s="5" t="str">
        <f>IFERROR(__xludf.DUMMYFUNCTION("GOOGLETRANSLATE(B7246,""en"",""de"")"),"Eine Person, die einen großen weißen Anzug trägt, wird gezeigt, der einen Zaun mit Wasser absprüht.")</f>
        <v>Eine Person, die einen großen weißen Anzug trägt, wird gezeigt, der einen Zaun mit Wasser absprüht.</v>
      </c>
    </row>
    <row r="7247">
      <c r="A7247" s="4" t="s">
        <v>9112</v>
      </c>
      <c r="B7247" s="4" t="s">
        <v>9114</v>
      </c>
      <c r="C7247" s="5" t="str">
        <f>IFERROR(__xludf.DUMMYFUNCTION("GOOGLETRANSLATE(B7247,""en"",""de"")"),"Die Person wird aus verschiedenen Blickwinkeln gezeigt, die die Aufgabe ausführen, und lässt den Zaun brandneu aussehen.")</f>
        <v>Die Person wird aus verschiedenen Blickwinkeln gezeigt, die die Aufgabe ausführen, und lässt den Zaun brandneu aussehen.</v>
      </c>
    </row>
    <row r="7248">
      <c r="A7248" s="4" t="s">
        <v>9115</v>
      </c>
      <c r="B7248" s="4" t="s">
        <v>9116</v>
      </c>
      <c r="C7248" s="5" t="str">
        <f>IFERROR(__xludf.DUMMYFUNCTION("GOOGLETRANSLATE(B7248,""en"",""de"")"),"Eine Frau scheint Tricks mit einem Hula -Reifen zu machen und gleichzeitig sehr flexibel mit ihrem Körper zu sein.")</f>
        <v>Eine Frau scheint Tricks mit einem Hula -Reifen zu machen und gleichzeitig sehr flexibel mit ihrem Körper zu sein.</v>
      </c>
    </row>
    <row r="7249">
      <c r="A7249" s="4" t="s">
        <v>9115</v>
      </c>
      <c r="B7249" s="4" t="s">
        <v>9117</v>
      </c>
      <c r="C7249" s="5" t="str">
        <f>IFERROR(__xludf.DUMMYFUNCTION("GOOGLETRANSLATE(B7249,""en"",""de"")"),"Die Dame fährt auch ein Radfahrrad, während Hula äht.")</f>
        <v>Die Dame fährt auch ein Radfahrrad, während Hula äht.</v>
      </c>
    </row>
    <row r="7250">
      <c r="A7250" s="4" t="s">
        <v>9115</v>
      </c>
      <c r="B7250" s="4" t="s">
        <v>9118</v>
      </c>
      <c r="C7250" s="5" t="str">
        <f>IFERROR(__xludf.DUMMYFUNCTION("GOOGLETRANSLATE(B7250,""en"",""de"")"),"Das Mädchen, dann Hula Hoops, während er auf einer Matte steht und dann Hula mit zwei Hula -Reifen an derselben Stelle steht.")</f>
        <v>Das Mädchen, dann Hula Hoops, während er auf einer Matte steht und dann Hula mit zwei Hula -Reifen an derselben Stelle steht.</v>
      </c>
    </row>
    <row r="7251">
      <c r="A7251" s="4" t="s">
        <v>9115</v>
      </c>
      <c r="B7251" s="4" t="s">
        <v>9119</v>
      </c>
      <c r="C7251" s="5" t="str">
        <f>IFERROR(__xludf.DUMMYFUNCTION("GOOGLETRANSLATE(B7251,""en"",""de"")"),"Das Mädchen, dann hing Hula darauf, dass sie sich verkehrt herum hing, sie hängt auch Hula um ihre Hand, während sie eine Spaltung auf einer Matte macht.")</f>
        <v>Das Mädchen, dann hing Hula darauf, dass sie sich verkehrt herum hing, sie hängt auch Hula um ihre Hand, während sie eine Spaltung auf einer Matte macht.</v>
      </c>
    </row>
    <row r="7252">
      <c r="A7252" s="4" t="s">
        <v>9115</v>
      </c>
      <c r="B7252" s="4" t="s">
        <v>9120</v>
      </c>
      <c r="C7252" s="5" t="str">
        <f>IFERROR(__xludf.DUMMYFUNCTION("GOOGLETRANSLATE(B7252,""en"",""de"")"),"Das Mädchen Hula hob einen großen Reifen Hula Hoop, dann Hula Hoops mit drei Hula -Reifen mit ihren zwei Händen und einem Fuß in der Luft.")</f>
        <v>Das Mädchen Hula hob einen großen Reifen Hula Hoop, dann Hula Hoops mit drei Hula -Reifen mit ihren zwei Händen und einem Fuß in der Luft.</v>
      </c>
    </row>
    <row r="7253">
      <c r="A7253" s="4" t="s">
        <v>9115</v>
      </c>
      <c r="B7253" s="4" t="s">
        <v>9121</v>
      </c>
      <c r="C7253" s="5" t="str">
        <f>IFERROR(__xludf.DUMMYFUNCTION("GOOGLETRANSLATE(B7253,""en"",""de"")"),"Das Mädchen versucht dann, Hula zu einer Zeit zu Hula Hoops zu hüpfen, während andere Mädchen ihr immer mehr hinzufügen.")</f>
        <v>Das Mädchen versucht dann, Hula zu einer Zeit zu Hula Hoops zu hüpfen, während andere Mädchen ihr immer mehr hinzufügen.</v>
      </c>
    </row>
    <row r="7254">
      <c r="A7254" s="4" t="s">
        <v>9122</v>
      </c>
      <c r="B7254" s="4" t="s">
        <v>9123</v>
      </c>
      <c r="C7254" s="5" t="str">
        <f>IFERROR(__xludf.DUMMYFUNCTION("GOOGLETRANSLATE(B7254,""en"",""de"")"),"Drei Männer, die in Zaunausrüstung gekleidet sind, stehen in einem Fitnessstudio.")</f>
        <v>Drei Männer, die in Zaunausrüstung gekleidet sind, stehen in einem Fitnessstudio.</v>
      </c>
    </row>
    <row r="7255">
      <c r="A7255" s="4" t="s">
        <v>9122</v>
      </c>
      <c r="B7255" s="4" t="s">
        <v>9124</v>
      </c>
      <c r="C7255" s="5" t="str">
        <f>IFERROR(__xludf.DUMMYFUNCTION("GOOGLETRANSLATE(B7255,""en"",""de"")"),"Der Mann in der Mitte spricht und die anderen beiden bleiben still.")</f>
        <v>Der Mann in der Mitte spricht und die anderen beiden bleiben still.</v>
      </c>
    </row>
    <row r="7256">
      <c r="A7256" s="4" t="s">
        <v>9122</v>
      </c>
      <c r="B7256" s="4" t="s">
        <v>9125</v>
      </c>
      <c r="C7256" s="5" t="str">
        <f>IFERROR(__xludf.DUMMYFUNCTION("GOOGLETRANSLATE(B7256,""en"",""de"")"),"Die beiden Männer beginnen Bewegungen zu machen, während der Mann sie anweist, und zeigt die verschiedenen Zauntechniken.")</f>
        <v>Die beiden Männer beginnen Bewegungen zu machen, während der Mann sie anweist, und zeigt die verschiedenen Zauntechniken.</v>
      </c>
    </row>
    <row r="7257">
      <c r="A7257" s="4" t="s">
        <v>9122</v>
      </c>
      <c r="B7257" s="4" t="s">
        <v>9126</v>
      </c>
      <c r="C7257" s="5" t="str">
        <f>IFERROR(__xludf.DUMMYFUNCTION("GOOGLETRANSLATE(B7257,""en"",""de"")"),"Sie kämpfen langsam und zeigen jeden Schritt, bevor sie in die letzten Worte des Mannes auf dem Bildschirm gipfelten.")</f>
        <v>Sie kämpfen langsam und zeigen jeden Schritt, bevor sie in die letzten Worte des Mannes auf dem Bildschirm gipfelten.</v>
      </c>
    </row>
    <row r="7258">
      <c r="A7258" s="4" t="s">
        <v>9127</v>
      </c>
      <c r="B7258" s="4" t="s">
        <v>9128</v>
      </c>
      <c r="C7258" s="5" t="str">
        <f>IFERROR(__xludf.DUMMYFUNCTION("GOOGLETRANSLATE(B7258,""en"",""de"")"),"Ein Mann spricht in seiner Küche.")</f>
        <v>Ein Mann spricht in seiner Küche.</v>
      </c>
    </row>
    <row r="7259">
      <c r="A7259" s="4" t="s">
        <v>9127</v>
      </c>
      <c r="B7259" s="4" t="s">
        <v>9129</v>
      </c>
      <c r="C7259" s="5" t="str">
        <f>IFERROR(__xludf.DUMMYFUNCTION("GOOGLETRANSLATE(B7259,""en"",""de"")"),"Er zeigt, wie man eine Sauce in Pasta mischt und sie würzt.")</f>
        <v>Er zeigt, wie man eine Sauce in Pasta mischt und sie würzt.</v>
      </c>
    </row>
    <row r="7260">
      <c r="A7260" s="4" t="s">
        <v>9127</v>
      </c>
      <c r="B7260" s="4" t="s">
        <v>9130</v>
      </c>
      <c r="C7260" s="5" t="str">
        <f>IFERROR(__xludf.DUMMYFUNCTION("GOOGLETRANSLATE(B7260,""en"",""de"")"),"Dann zeigt er, wie man das Essen platte und serviert.")</f>
        <v>Dann zeigt er, wie man das Essen platte und serviert.</v>
      </c>
    </row>
    <row r="7261">
      <c r="A7261" s="4" t="s">
        <v>9131</v>
      </c>
      <c r="B7261" s="4" t="s">
        <v>9132</v>
      </c>
      <c r="C7261" s="5" t="str">
        <f>IFERROR(__xludf.DUMMYFUNCTION("GOOGLETRANSLATE(B7261,""en"",""de"")"),"Eine Frau wölbt sich über eine hohe Bar ab.")</f>
        <v>Eine Frau wölbt sich über eine hohe Bar ab.</v>
      </c>
    </row>
    <row r="7262">
      <c r="A7262" s="4" t="s">
        <v>9131</v>
      </c>
      <c r="B7262" s="4" t="s">
        <v>9133</v>
      </c>
      <c r="C7262" s="5" t="str">
        <f>IFERROR(__xludf.DUMMYFUNCTION("GOOGLETRANSLATE(B7262,""en"",""de"")"),"Sie landet auf einer gelben Matte unter ihr.")</f>
        <v>Sie landet auf einer gelben Matte unter ihr.</v>
      </c>
    </row>
    <row r="7263">
      <c r="A7263" s="4" t="s">
        <v>9131</v>
      </c>
      <c r="B7263" s="4" t="s">
        <v>2042</v>
      </c>
      <c r="C7263" s="5" t="str">
        <f>IFERROR(__xludf.DUMMYFUNCTION("GOOGLETRANSLATE(B7263,""en"",""de"")"),"Wörter kommen am Ende auf den Bildschirm.")</f>
        <v>Wörter kommen am Ende auf den Bildschirm.</v>
      </c>
    </row>
    <row r="7264">
      <c r="A7264" s="4" t="s">
        <v>9134</v>
      </c>
      <c r="B7264" s="4" t="s">
        <v>9135</v>
      </c>
      <c r="C7264" s="5" t="str">
        <f>IFERROR(__xludf.DUMMYFUNCTION("GOOGLETRANSLATE(B7264,""en"",""de"")"),"Ein junger Mann spricht über die Kamera.")</f>
        <v>Ein junger Mann spricht über die Kamera.</v>
      </c>
    </row>
    <row r="7265">
      <c r="A7265" s="4" t="s">
        <v>9134</v>
      </c>
      <c r="B7265" s="4" t="s">
        <v>9136</v>
      </c>
      <c r="C7265" s="5" t="str">
        <f>IFERROR(__xludf.DUMMYFUNCTION("GOOGLETRANSLATE(B7265,""en"",""de"")"),"Der Mann steht mit einem Stock in der Hand.")</f>
        <v>Der Mann steht mit einem Stock in der Hand.</v>
      </c>
    </row>
    <row r="7266">
      <c r="A7266" s="4" t="s">
        <v>9134</v>
      </c>
      <c r="B7266" s="4" t="s">
        <v>9137</v>
      </c>
      <c r="C7266" s="5" t="str">
        <f>IFERROR(__xludf.DUMMYFUNCTION("GOOGLETRANSLATE(B7266,""en"",""de"")"),"Der Mann zeigt von sich selbst weg.")</f>
        <v>Der Mann zeigt von sich selbst weg.</v>
      </c>
    </row>
    <row r="7267">
      <c r="A7267" s="4" t="s">
        <v>9134</v>
      </c>
      <c r="B7267" s="4" t="s">
        <v>9138</v>
      </c>
      <c r="C7267" s="5" t="str">
        <f>IFERROR(__xludf.DUMMYFUNCTION("GOOGLETRANSLATE(B7267,""en"",""de"")"),"Der Mann nimmt den Stock und schiebt Pucks um den Boden.")</f>
        <v>Der Mann nimmt den Stock und schiebt Pucks um den Boden.</v>
      </c>
    </row>
    <row r="7268">
      <c r="A7268" s="4" t="s">
        <v>9139</v>
      </c>
      <c r="B7268" s="4" t="s">
        <v>9140</v>
      </c>
      <c r="C7268" s="5" t="str">
        <f>IFERROR(__xludf.DUMMYFUNCTION("GOOGLETRANSLATE(B7268,""en"",""de"")"),"Frau legte ein Ei auf eine Schüssel und mischt es mit Vanille.")</f>
        <v>Frau legte ein Ei auf eine Schüssel und mischt es mit Vanille.</v>
      </c>
    </row>
    <row r="7269">
      <c r="A7269" s="4" t="s">
        <v>9139</v>
      </c>
      <c r="B7269" s="4" t="s">
        <v>9141</v>
      </c>
      <c r="C7269" s="5" t="str">
        <f>IFERROR(__xludf.DUMMYFUNCTION("GOOGLETRANSLATE(B7269,""en"",""de"")"),"Schneller Hafer und Backpulver, Kakaopulver und Salz werden in einer Schüssel gemischt.")</f>
        <v>Schneller Hafer und Backpulver, Kakaopulver und Salz werden in einer Schüssel gemischt.</v>
      </c>
    </row>
    <row r="7270">
      <c r="A7270" s="4" t="s">
        <v>9139</v>
      </c>
      <c r="B7270" s="4" t="s">
        <v>9142</v>
      </c>
      <c r="C7270" s="5" t="str">
        <f>IFERROR(__xludf.DUMMYFUNCTION("GOOGLETRANSLATE(B7270,""en"",""de"")"),"Ein Schokoladebiegel wird in Stücke mit Nüssen geschnitten und in eine Schüssel gegeben.")</f>
        <v>Ein Schokoladebiegel wird in Stücke mit Nüssen geschnitten und in eine Schüssel gegeben.</v>
      </c>
    </row>
    <row r="7271">
      <c r="A7271" s="4" t="s">
        <v>9139</v>
      </c>
      <c r="B7271" s="4" t="s">
        <v>9143</v>
      </c>
      <c r="C7271" s="5" t="str">
        <f>IFERROR(__xludf.DUMMYFUNCTION("GOOGLETRANSLATE(B7271,""en"",""de"")"),"Zucker und Butter werden in einer Schüssel bis Creme gemischt und die Vanille und die Pulverzutaten mit der Schokolade und den Nüssen gesteckt.")</f>
        <v>Zucker und Butter werden in einer Schüssel bis Creme gemischt und die Vanille und die Pulverzutaten mit der Schokolade und den Nüssen gesteckt.</v>
      </c>
    </row>
    <row r="7272">
      <c r="A7272" s="4" t="s">
        <v>9139</v>
      </c>
      <c r="B7272" s="4" t="s">
        <v>9144</v>
      </c>
      <c r="C7272" s="5" t="str">
        <f>IFERROR(__xludf.DUMMYFUNCTION("GOOGLETRANSLATE(B7272,""en"",""de"")"),"Das Themix ist ein Wickel und in einen Kühlschrank.")</f>
        <v>Das Themix ist ein Wickel und in einen Kühlschrank.</v>
      </c>
    </row>
    <row r="7273">
      <c r="A7273" s="4" t="s">
        <v>9139</v>
      </c>
      <c r="B7273" s="4" t="s">
        <v>9145</v>
      </c>
      <c r="C7273" s="5" t="str">
        <f>IFERROR(__xludf.DUMMYFUNCTION("GOOGLETRANSLATE(B7273,""en"",""de"")"),"Die Batch ist in einer Pfanne und AR bereit zu essen.")</f>
        <v>Die Batch ist in einer Pfanne und AR bereit zu essen.</v>
      </c>
    </row>
    <row r="7274">
      <c r="A7274" s="4" t="s">
        <v>9146</v>
      </c>
      <c r="B7274" s="4" t="s">
        <v>9147</v>
      </c>
      <c r="C7274" s="5" t="str">
        <f>IFERROR(__xludf.DUMMYFUNCTION("GOOGLETRANSLATE(B7274,""en"",""de"")"),"Ein Mann steht in einer Show, die Dudelsack spielt, während andere um ihn herum erstaunt zuschauen.")</f>
        <v>Ein Mann steht in einer Show, die Dudelsack spielt, während andere um ihn herum erstaunt zuschauen.</v>
      </c>
    </row>
    <row r="7275">
      <c r="A7275" s="4" t="s">
        <v>9146</v>
      </c>
      <c r="B7275" s="4" t="s">
        <v>9148</v>
      </c>
      <c r="C7275" s="5" t="str">
        <f>IFERROR(__xludf.DUMMYFUNCTION("GOOGLETRANSLATE(B7275,""en"",""de"")"),"Der Mann spielt weiter und das Publikum klatscht, wenn er fertig ist.")</f>
        <v>Der Mann spielt weiter und das Publikum klatscht, wenn er fertig ist.</v>
      </c>
    </row>
    <row r="7276">
      <c r="A7276" s="4" t="s">
        <v>9146</v>
      </c>
      <c r="B7276" s="4" t="s">
        <v>9149</v>
      </c>
      <c r="C7276" s="5" t="str">
        <f>IFERROR(__xludf.DUMMYFUNCTION("GOOGLETRANSLATE(B7276,""en"",""de"")"),"Er gibt das Instrument einem Mann, der hereinkommt und dem Wirt einen Händedruck gibt.")</f>
        <v>Er gibt das Instrument einem Mann, der hereinkommt und dem Wirt einen Händedruck gibt.</v>
      </c>
    </row>
    <row r="7277">
      <c r="A7277" s="4" t="s">
        <v>9146</v>
      </c>
      <c r="B7277" s="4" t="s">
        <v>9150</v>
      </c>
      <c r="C7277" s="5" t="str">
        <f>IFERROR(__xludf.DUMMYFUNCTION("GOOGLETRANSLATE(B7277,""en"",""de"")"),"Er spricht ein bisschen mit dem Gastgeber und schlägt eine Pose, bevor der Gastgeber mit dem Gast endet.")</f>
        <v>Er spricht ein bisschen mit dem Gastgeber und schlägt eine Pose, bevor der Gastgeber mit dem Gast endet.</v>
      </c>
    </row>
    <row r="7278">
      <c r="A7278" s="4" t="s">
        <v>9151</v>
      </c>
      <c r="B7278" s="4" t="s">
        <v>9152</v>
      </c>
      <c r="C7278" s="5" t="str">
        <f>IFERROR(__xludf.DUMMYFUNCTION("GOOGLETRANSLATE(B7278,""en"",""de"")"),"Eine Person übt das Dribbeln und schießt den Ball, der auf dem Platz spazieren oder rennt, während ein Mann das Training beobachtet.")</f>
        <v>Eine Person übt das Dribbeln und schießt den Ball, der auf dem Platz spazieren oder rennt, während ein Mann das Training beobachtet.</v>
      </c>
    </row>
    <row r="7279">
      <c r="A7279" s="4" t="s">
        <v>9151</v>
      </c>
      <c r="B7279" s="4" t="s">
        <v>9153</v>
      </c>
      <c r="C7279" s="5" t="str">
        <f>IFERROR(__xludf.DUMMYFUNCTION("GOOGLETRANSLATE(B7279,""en"",""de"")"),"Der Mann steht und verlässt das Gericht.")</f>
        <v>Der Mann steht und verlässt das Gericht.</v>
      </c>
    </row>
    <row r="7280">
      <c r="A7280" s="4" t="s">
        <v>9151</v>
      </c>
      <c r="B7280" s="4" t="s">
        <v>9154</v>
      </c>
      <c r="C7280" s="5" t="str">
        <f>IFERROR(__xludf.DUMMYFUNCTION("GOOGLETRANSLATE(B7280,""en"",""de"")"),"Danach üben mehrere Männer Basketball in einem Platz.")</f>
        <v>Danach üben mehrere Männer Basketball in einem Platz.</v>
      </c>
    </row>
    <row r="7281">
      <c r="A7281" s="4" t="s">
        <v>9155</v>
      </c>
      <c r="B7281" s="4" t="s">
        <v>9156</v>
      </c>
      <c r="C7281" s="5" t="str">
        <f>IFERROR(__xludf.DUMMYFUNCTION("GOOGLETRANSLATE(B7281,""en"",""de"")"),"Das Wort Happy ist in Kieselsteinen an der Seite des Sandes geschrieben.")</f>
        <v>Das Wort Happy ist in Kieselsteinen an der Seite des Sandes geschrieben.</v>
      </c>
    </row>
    <row r="7282">
      <c r="A7282" s="4" t="s">
        <v>9155</v>
      </c>
      <c r="B7282" s="4" t="s">
        <v>9157</v>
      </c>
      <c r="C7282" s="5" t="str">
        <f>IFERROR(__xludf.DUMMYFUNCTION("GOOGLETRANSLATE(B7282,""en"",""de"")"),"Ein großer Körper aus kristallblauem Wasser wird gezeigt und ein großes Boot mit Menschen ist darin.")</f>
        <v>Ein großer Körper aus kristallblauem Wasser wird gezeigt und ein großes Boot mit Menschen ist darin.</v>
      </c>
    </row>
    <row r="7283">
      <c r="A7283" s="4" t="s">
        <v>9155</v>
      </c>
      <c r="B7283" s="4" t="s">
        <v>9158</v>
      </c>
      <c r="C7283" s="5" t="str">
        <f>IFERROR(__xludf.DUMMYFUNCTION("GOOGLETRANSLATE(B7283,""en"",""de"")"),"Die Individuen begannen zu tanzen und vom Boot zu springen und amüsieren sich im Wasser.")</f>
        <v>Die Individuen begannen zu tanzen und vom Boot zu springen und amüsieren sich im Wasser.</v>
      </c>
    </row>
    <row r="7284">
      <c r="A7284" s="4" t="s">
        <v>9155</v>
      </c>
      <c r="B7284" s="4" t="s">
        <v>9159</v>
      </c>
      <c r="C7284" s="5" t="str">
        <f>IFERROR(__xludf.DUMMYFUNCTION("GOOGLETRANSLATE(B7284,""en"",""de"")"),"Während die Menschen weitergehen, schwimmen drei oder vier Menschen im Wasser mit Schutzbrillen.")</f>
        <v>Während die Menschen weitergehen, schwimmen drei oder vier Menschen im Wasser mit Schutzbrillen.</v>
      </c>
    </row>
    <row r="7285">
      <c r="A7285" s="4" t="s">
        <v>9160</v>
      </c>
      <c r="B7285" s="4" t="s">
        <v>9161</v>
      </c>
      <c r="C7285" s="5" t="str">
        <f>IFERROR(__xludf.DUMMYFUNCTION("GOOGLETRANSLATE(B7285,""en"",""de"")"),"Ein Mann in Rot steht auf einer Bühne.")</f>
        <v>Ein Mann in Rot steht auf einer Bühne.</v>
      </c>
    </row>
    <row r="7286">
      <c r="A7286" s="4" t="s">
        <v>9160</v>
      </c>
      <c r="B7286" s="4" t="s">
        <v>9162</v>
      </c>
      <c r="C7286" s="5" t="str">
        <f>IFERROR(__xludf.DUMMYFUNCTION("GOOGLETRANSLATE(B7286,""en"",""de"")"),"Er hebt eine Langhantel über seinen Kopf.")</f>
        <v>Er hebt eine Langhantel über seinen Kopf.</v>
      </c>
    </row>
    <row r="7287">
      <c r="A7287" s="4" t="s">
        <v>9160</v>
      </c>
      <c r="B7287" s="4" t="s">
        <v>9163</v>
      </c>
      <c r="C7287" s="5" t="str">
        <f>IFERROR(__xludf.DUMMYFUNCTION("GOOGLETRANSLATE(B7287,""en"",""de"")"),"Er lässt die Langhantel auf den Boden fallen.")</f>
        <v>Er lässt die Langhantel auf den Boden fallen.</v>
      </c>
    </row>
    <row r="7288">
      <c r="A7288" s="4" t="s">
        <v>9160</v>
      </c>
      <c r="B7288" s="4" t="s">
        <v>9164</v>
      </c>
      <c r="C7288" s="5" t="str">
        <f>IFERROR(__xludf.DUMMYFUNCTION("GOOGLETRANSLATE(B7288,""en"",""de"")"),"Mehrere Leute feuern ihn an.")</f>
        <v>Mehrere Leute feuern ihn an.</v>
      </c>
    </row>
    <row r="7289">
      <c r="A7289" s="4" t="s">
        <v>9165</v>
      </c>
      <c r="B7289" s="4" t="s">
        <v>9166</v>
      </c>
      <c r="C7289" s="5" t="str">
        <f>IFERROR(__xludf.DUMMYFUNCTION("GOOGLETRANSLATE(B7289,""en"",""de"")"),"Die Frau im weißen Hemd steht und knien dann neben einer großen Plastiktüte auf dem Boden.")</f>
        <v>Die Frau im weißen Hemd steht und knien dann neben einer großen Plastiktüte auf dem Boden.</v>
      </c>
    </row>
    <row r="7290">
      <c r="A7290" s="4" t="s">
        <v>9165</v>
      </c>
      <c r="B7290" s="4" t="s">
        <v>9167</v>
      </c>
      <c r="C7290" s="5" t="str">
        <f>IFERROR(__xludf.DUMMYFUNCTION("GOOGLETRANSLATE(B7290,""en"",""de"")"),"Sie öffnete die Tasche, legte den Inhalt der Tasche in das ungleichmäßige Loch auf den Boden und flach sie mit ihrer behandschuhten Hand ab.")</f>
        <v>Sie öffnete die Tasche, legte den Inhalt der Tasche in das ungleichmäßige Loch auf den Boden und flach sie mit ihrer behandschuhten Hand ab.</v>
      </c>
    </row>
    <row r="7291">
      <c r="A7291" s="4" t="s">
        <v>9165</v>
      </c>
      <c r="B7291" s="4" t="s">
        <v>9168</v>
      </c>
      <c r="C7291" s="5" t="str">
        <f>IFERROR(__xludf.DUMMYFUNCTION("GOOGLETRANSLATE(B7291,""en"",""de"")"),"Sie sah in die Kamera und redete, während sie neben den Plastiktüten kniet.")</f>
        <v>Sie sah in die Kamera und redete, während sie neben den Plastiktüten kniet.</v>
      </c>
    </row>
    <row r="7292">
      <c r="A7292" s="4" t="s">
        <v>9165</v>
      </c>
      <c r="B7292" s="4" t="s">
        <v>9169</v>
      </c>
      <c r="C7292" s="5" t="str">
        <f>IFERROR(__xludf.DUMMYFUNCTION("GOOGLETRANSLATE(B7292,""en"",""de"")"),"Sie legte eine weitere Tasche auf den Boden und flach sie mit ihrer Hand ab, bis der Bereich bedeckt ist.")</f>
        <v>Sie legte eine weitere Tasche auf den Boden und flach sie mit ihrer Hand ab, bis der Bereich bedeckt ist.</v>
      </c>
    </row>
    <row r="7293">
      <c r="A7293" s="4" t="s">
        <v>9165</v>
      </c>
      <c r="B7293" s="4" t="s">
        <v>9170</v>
      </c>
      <c r="C7293" s="5" t="str">
        <f>IFERROR(__xludf.DUMMYFUNCTION("GOOGLETRANSLATE(B7293,""en"",""de"")"),"Sie geht vorwärts und biegt sich Seite, um etwas mehr Schmutz zu flach.")</f>
        <v>Sie geht vorwärts und biegt sich Seite, um etwas mehr Schmutz zu flach.</v>
      </c>
    </row>
    <row r="7294">
      <c r="A7294" s="4" t="s">
        <v>9171</v>
      </c>
      <c r="B7294" s="4" t="s">
        <v>9172</v>
      </c>
      <c r="C7294" s="5" t="str">
        <f>IFERROR(__xludf.DUMMYFUNCTION("GOOGLETRANSLATE(B7294,""en"",""de"")"),"Zwei Frauen befinden sich an einem Tisch, der an einem Tisch anfängt, mit dem Wrestle zu arm.")</f>
        <v>Zwei Frauen befinden sich an einem Tisch, der an einem Tisch anfängt, mit dem Wrestle zu arm.</v>
      </c>
    </row>
    <row r="7295">
      <c r="A7295" s="4" t="s">
        <v>9171</v>
      </c>
      <c r="B7295" s="4" t="s">
        <v>9173</v>
      </c>
      <c r="C7295" s="5" t="str">
        <f>IFERROR(__xludf.DUMMYFUNCTION("GOOGLETRANSLATE(B7295,""en"",""de"")"),"Es gibt einen kurzen Halt, bevor sie beginnen, weil ihr Daumen ungenau ist.")</f>
        <v>Es gibt einen kurzen Halt, bevor sie beginnen, weil ihr Daumen ungenau ist.</v>
      </c>
    </row>
    <row r="7296">
      <c r="A7296" s="4" t="s">
        <v>9171</v>
      </c>
      <c r="B7296" s="4" t="s">
        <v>9174</v>
      </c>
      <c r="C7296" s="5" t="str">
        <f>IFERROR(__xludf.DUMMYFUNCTION("GOOGLETRANSLATE(B7296,""en"",""de"")"),"Sobald sie endlich beginnen, gewinnt das Mädchen auf der linken Seite, aber sie wird schnell gestoppt und sie müssen neu starten und das gleiche Mädchen gewinnt wieder.")</f>
        <v>Sobald sie endlich beginnen, gewinnt das Mädchen auf der linken Seite, aber sie wird schnell gestoppt und sie müssen neu starten und das gleiche Mädchen gewinnt wieder.</v>
      </c>
    </row>
    <row r="7297">
      <c r="A7297" s="4" t="s">
        <v>9175</v>
      </c>
      <c r="B7297" s="4" t="s">
        <v>9176</v>
      </c>
      <c r="C7297" s="5" t="str">
        <f>IFERROR(__xludf.DUMMYFUNCTION("GOOGLETRANSLATE(B7297,""en"",""de"")"),"Ein Kind spreizt Erdnussbutter in zwei Brotscheiben.")</f>
        <v>Ein Kind spreizt Erdnussbutter in zwei Brotscheiben.</v>
      </c>
    </row>
    <row r="7298">
      <c r="A7298" s="4" t="s">
        <v>9175</v>
      </c>
      <c r="B7298" s="4" t="s">
        <v>9177</v>
      </c>
      <c r="C7298" s="5" t="str">
        <f>IFERROR(__xludf.DUMMYFUNCTION("GOOGLETRANSLATE(B7298,""en"",""de"")"),"Dann fügt das Kind das Top -Gelee hinzu.")</f>
        <v>Dann fügt das Kind das Top -Gelee hinzu.</v>
      </c>
    </row>
    <row r="7299">
      <c r="A7299" s="4" t="s">
        <v>9175</v>
      </c>
      <c r="B7299" s="4" t="s">
        <v>9178</v>
      </c>
      <c r="C7299" s="5" t="str">
        <f>IFERROR(__xludf.DUMMYFUNCTION("GOOGLETRANSLATE(B7299,""en"",""de"")"),"Danach gibt das Kind das Erdnussbutter und das Gelee -Sandwich.")</f>
        <v>Danach gibt das Kind das Erdnussbutter und das Gelee -Sandwich.</v>
      </c>
    </row>
    <row r="7300">
      <c r="A7300" s="4" t="s">
        <v>9179</v>
      </c>
      <c r="B7300" s="4" t="s">
        <v>9180</v>
      </c>
      <c r="C7300" s="5" t="str">
        <f>IFERROR(__xludf.DUMMYFUNCTION("GOOGLETRANSLATE(B7300,""en"",""de"")"),"Es gibt eine Frau in einer weißen Bluse zusammen mit einem Mann in einem weißen Hemd in einem Studio, das Ballsaal tanzt.")</f>
        <v>Es gibt eine Frau in einer weißen Bluse zusammen mit einem Mann in einem weißen Hemd in einem Studio, das Ballsaal tanzt.</v>
      </c>
    </row>
    <row r="7301">
      <c r="A7301" s="4" t="s">
        <v>9179</v>
      </c>
      <c r="B7301" s="4" t="s">
        <v>9181</v>
      </c>
      <c r="C7301" s="5" t="str">
        <f>IFERROR(__xludf.DUMMYFUNCTION("GOOGLETRANSLATE(B7301,""en"",""de"")"),"Sie sind in einem Raum mit einer Wand voller Spiegel.")</f>
        <v>Sie sind in einem Raum mit einer Wand voller Spiegel.</v>
      </c>
    </row>
    <row r="7302">
      <c r="A7302" s="4" t="s">
        <v>9179</v>
      </c>
      <c r="B7302" s="4" t="s">
        <v>9182</v>
      </c>
      <c r="C7302" s="5" t="str">
        <f>IFERROR(__xludf.DUMMYFUNCTION("GOOGLETRANSLATE(B7302,""en"",""de"")"),"Die Dame erklärt die Schritte des Tanzes, als beide die Bewegungen und die Fußarbeit des Tanzes demonstrieren.")</f>
        <v>Die Dame erklärt die Schritte des Tanzes, als beide die Bewegungen und die Fußarbeit des Tanzes demonstrieren.</v>
      </c>
    </row>
    <row r="7303">
      <c r="A7303" s="4" t="s">
        <v>9179</v>
      </c>
      <c r="B7303" s="4" t="s">
        <v>9183</v>
      </c>
      <c r="C7303" s="5" t="str">
        <f>IFERROR(__xludf.DUMMYFUNCTION("GOOGLETRANSLATE(B7303,""en"",""de"")"),"Sie gehen hin und her, während sie ihre Schritte unternehmen, während sie sich gegenseitig die Hände halten.")</f>
        <v>Sie gehen hin und her, während sie ihre Schritte unternehmen, während sie sich gegenseitig die Hände halten.</v>
      </c>
    </row>
    <row r="7304">
      <c r="A7304" s="4" t="s">
        <v>9184</v>
      </c>
      <c r="B7304" s="4" t="s">
        <v>9185</v>
      </c>
      <c r="C7304" s="5" t="str">
        <f>IFERROR(__xludf.DUMMYFUNCTION("GOOGLETRANSLATE(B7304,""en"",""de"")"),"Ein Mann läuft an einem sich nähernden Sturm vorbei.")</f>
        <v>Ein Mann läuft an einem sich nähernden Sturm vorbei.</v>
      </c>
    </row>
    <row r="7305">
      <c r="A7305" s="4" t="s">
        <v>9184</v>
      </c>
      <c r="B7305" s="4" t="s">
        <v>9186</v>
      </c>
      <c r="C7305" s="5" t="str">
        <f>IFERROR(__xludf.DUMMYFUNCTION("GOOGLETRANSLATE(B7305,""en"",""de"")"),"Surfer sind im Wasser zu sehen, und die Menschen gehen mit ihren Surfbrettern.")</f>
        <v>Surfer sind im Wasser zu sehen, und die Menschen gehen mit ihren Surfbrettern.</v>
      </c>
    </row>
    <row r="7306">
      <c r="A7306" s="4" t="s">
        <v>9184</v>
      </c>
      <c r="B7306" s="4" t="s">
        <v>9187</v>
      </c>
      <c r="C7306" s="5" t="str">
        <f>IFERROR(__xludf.DUMMYFUNCTION("GOOGLETRANSLATE(B7306,""en"",""de"")"),"Eine Gruppe von Frauen versammelt sich und eine betete Mantis ist zu sehen.")</f>
        <v>Eine Gruppe von Frauen versammelt sich und eine betete Mantis ist zu sehen.</v>
      </c>
    </row>
    <row r="7307">
      <c r="A7307" s="4" t="s">
        <v>9184</v>
      </c>
      <c r="B7307" s="4" t="s">
        <v>9188</v>
      </c>
      <c r="C7307" s="5" t="str">
        <f>IFERROR(__xludf.DUMMYFUNCTION("GOOGLETRANSLATE(B7307,""en"",""de"")"),"Dann werden zahlreiche Surfer gezeigt, die durch und über verschiedene Wellen gehen.")</f>
        <v>Dann werden zahlreiche Surfer gezeigt, die durch und über verschiedene Wellen gehen.</v>
      </c>
    </row>
    <row r="7308">
      <c r="A7308" s="4" t="s">
        <v>9189</v>
      </c>
      <c r="B7308" s="4" t="s">
        <v>9190</v>
      </c>
      <c r="C7308" s="5" t="str">
        <f>IFERROR(__xludf.DUMMYFUNCTION("GOOGLETRANSLATE(B7308,""en"",""de"")"),"Frau malt in einem weißen Papier grüne Blätter in einem chinesischen Baum.")</f>
        <v>Frau malt in einem weißen Papier grüne Blätter in einem chinesischen Baum.</v>
      </c>
    </row>
    <row r="7309">
      <c r="A7309" s="4" t="s">
        <v>9189</v>
      </c>
      <c r="B7309" s="4" t="s">
        <v>9191</v>
      </c>
      <c r="C7309" s="5" t="str">
        <f>IFERROR(__xludf.DUMMYFUNCTION("GOOGLETRANSLATE(B7309,""en"",""de"")"),"Es wird eine rote Farbe gezeigt und Frau hat einen Stempel an die Ecke des Papiers gestellt.")</f>
        <v>Es wird eine rote Farbe gezeigt und Frau hat einen Stempel an die Ecke des Papiers gestellt.</v>
      </c>
    </row>
    <row r="7310">
      <c r="A7310" s="4" t="s">
        <v>9189</v>
      </c>
      <c r="B7310" s="4" t="s">
        <v>9192</v>
      </c>
      <c r="C7310" s="5" t="str">
        <f>IFERROR(__xludf.DUMMYFUNCTION("GOOGLETRANSLATE(B7310,""en"",""de"")"),"Frau malt eine blaue Werbepila -chinesische Blume.")</f>
        <v>Frau malt eine blaue Werbepila -chinesische Blume.</v>
      </c>
    </row>
    <row r="7311">
      <c r="A7311" s="4" t="s">
        <v>9189</v>
      </c>
      <c r="B7311" s="4" t="s">
        <v>9193</v>
      </c>
      <c r="C7311" s="5" t="str">
        <f>IFERROR(__xludf.DUMMYFUNCTION("GOOGLETRANSLATE(B7311,""en"",""de"")"),"Eine rote und schwarze Blumen werden auf einem weißen Papier mit sehr detailliertem Frauen in einem dunklen Raum gemalt.")</f>
        <v>Eine rote und schwarze Blumen werden auf einem weißen Papier mit sehr detailliertem Frauen in einem dunklen Raum gemalt.</v>
      </c>
    </row>
    <row r="7312">
      <c r="A7312" s="4" t="s">
        <v>9189</v>
      </c>
      <c r="B7312" s="4" t="s">
        <v>9194</v>
      </c>
      <c r="C7312" s="5" t="str">
        <f>IFERROR(__xludf.DUMMYFUNCTION("GOOGLETRANSLATE(B7312,""en"",""de"")"),"Frau benutzte schwarze Malerei, um Details zu machen, legte den roten Stempel in die Ecke und beendete das Gemälde mit gelbem und Reddetails auf den Blumen.")</f>
        <v>Frau benutzte schwarze Malerei, um Details zu machen, legte den roten Stempel in die Ecke und beendete das Gemälde mit gelbem und Reddetails auf den Blumen.</v>
      </c>
    </row>
    <row r="7313">
      <c r="A7313" s="4" t="s">
        <v>9195</v>
      </c>
      <c r="B7313" s="4" t="s">
        <v>9196</v>
      </c>
      <c r="C7313" s="5" t="str">
        <f>IFERROR(__xludf.DUMMYFUNCTION("GOOGLETRANSLATE(B7313,""en"",""de"")"),"Eine Nahaufnahme eines Mannes wird gezeigt, gefolgt von ihm, der einer Frau eine Frage am Strand stellt.")</f>
        <v>Eine Nahaufnahme eines Mannes wird gezeigt, gefolgt von ihm, der einer Frau eine Frage am Strand stellt.</v>
      </c>
    </row>
    <row r="7314">
      <c r="A7314" s="4" t="s">
        <v>9195</v>
      </c>
      <c r="B7314" s="4" t="s">
        <v>9197</v>
      </c>
      <c r="C7314" s="5" t="str">
        <f>IFERROR(__xludf.DUMMYFUNCTION("GOOGLETRANSLATE(B7314,""en"",""de"")"),"Dann wird er gezeigt, wie er mit mehreren verschiedenen Leuten spricht, die einen Frisbee halten und ein Spiel spielen.")</f>
        <v>Dann wird er gezeigt, wie er mit mehreren verschiedenen Leuten spricht, die einen Frisbee halten und ein Spiel spielen.</v>
      </c>
    </row>
    <row r="7315">
      <c r="A7315" s="4" t="s">
        <v>9195</v>
      </c>
      <c r="B7315" s="4" t="s">
        <v>9198</v>
      </c>
      <c r="C7315" s="5" t="str">
        <f>IFERROR(__xludf.DUMMYFUNCTION("GOOGLETRANSLATE(B7315,""en"",""de"")"),"Viele Frauen lachen mit den Männern und der Mann gibt einigen von ihnen einen Kuss.")</f>
        <v>Viele Frauen lachen mit den Männern und der Mann gibt einigen von ihnen einen Kuss.</v>
      </c>
    </row>
    <row r="7316">
      <c r="A7316" s="4" t="s">
        <v>9199</v>
      </c>
      <c r="B7316" s="4" t="s">
        <v>9200</v>
      </c>
      <c r="C7316" s="5" t="str">
        <f>IFERROR(__xludf.DUMMYFUNCTION("GOOGLETRANSLATE(B7316,""en"",""de"")"),"Zwei Männer sind gesehen, wie sie springen und sich umeinander treten und verschiedene Flips und Tricks durchführen.")</f>
        <v>Zwei Männer sind gesehen, wie sie springen und sich umeinander treten und verschiedene Flips und Tricks durchführen.</v>
      </c>
    </row>
    <row r="7317">
      <c r="A7317" s="4" t="s">
        <v>9199</v>
      </c>
      <c r="B7317" s="4" t="s">
        <v>9201</v>
      </c>
      <c r="C7317" s="5" t="str">
        <f>IFERROR(__xludf.DUMMYFUNCTION("GOOGLETRANSLATE(B7317,""en"",""de"")"),"Die Männer drehen sich weiterhin umeinander und führen an verschiedenen Orten Gymnastikbewegungen durch.")</f>
        <v>Die Männer drehen sich weiterhin umeinander und führen an verschiedenen Orten Gymnastikbewegungen durch.</v>
      </c>
    </row>
    <row r="7318">
      <c r="A7318" s="4" t="s">
        <v>9202</v>
      </c>
      <c r="B7318" s="4" t="s">
        <v>9203</v>
      </c>
      <c r="C7318" s="5" t="str">
        <f>IFERROR(__xludf.DUMMYFUNCTION("GOOGLETRANSLATE(B7318,""en"",""de"")"),"Vor einem Haus ist ein Pflanzer von Blumen zu sehen.")</f>
        <v>Vor einem Haus ist ein Pflanzer von Blumen zu sehen.</v>
      </c>
    </row>
    <row r="7319">
      <c r="A7319" s="4" t="s">
        <v>9202</v>
      </c>
      <c r="B7319" s="4" t="s">
        <v>9204</v>
      </c>
      <c r="C7319" s="5" t="str">
        <f>IFERROR(__xludf.DUMMYFUNCTION("GOOGLETRANSLATE(B7319,""en"",""de"")"),"Ein Dachdecker nägelt in die Dachstrahlen eines Hauses.")</f>
        <v>Ein Dachdecker nägelt in die Dachstrahlen eines Hauses.</v>
      </c>
    </row>
    <row r="7320">
      <c r="A7320" s="4" t="s">
        <v>9202</v>
      </c>
      <c r="B7320" s="4" t="s">
        <v>9205</v>
      </c>
      <c r="C7320" s="5" t="str">
        <f>IFERROR(__xludf.DUMMYFUNCTION("GOOGLETRANSLATE(B7320,""en"",""de"")"),"Der Bauarbeiter rutscht Fliesen auf einem Dach.")</f>
        <v>Der Bauarbeiter rutscht Fliesen auf einem Dach.</v>
      </c>
    </row>
    <row r="7321">
      <c r="A7321" s="4" t="s">
        <v>9202</v>
      </c>
      <c r="B7321" s="4" t="s">
        <v>9206</v>
      </c>
      <c r="C7321" s="5" t="str">
        <f>IFERROR(__xludf.DUMMYFUNCTION("GOOGLETRANSLATE(B7321,""en"",""de"")"),"Eine Besatzung von Bauarbeitern bringt Fliesen auf ein Dach.")</f>
        <v>Eine Besatzung von Bauarbeitern bringt Fliesen auf ein Dach.</v>
      </c>
    </row>
    <row r="7322">
      <c r="A7322" s="4" t="s">
        <v>9202</v>
      </c>
      <c r="B7322" s="4" t="s">
        <v>9207</v>
      </c>
      <c r="C7322" s="5" t="str">
        <f>IFERROR(__xludf.DUMMYFUNCTION("GOOGLETRANSLATE(B7322,""en"",""de"")"),"Ein fertiges Fliesendach ist zu sehen, wenn der Job erledigt ist.")</f>
        <v>Ein fertiges Fliesendach ist zu sehen, wenn der Job erledigt ist.</v>
      </c>
    </row>
    <row r="7323">
      <c r="A7323" s="4" t="s">
        <v>9202</v>
      </c>
      <c r="B7323" s="4" t="s">
        <v>9208</v>
      </c>
      <c r="C7323" s="5" t="str">
        <f>IFERROR(__xludf.DUMMYFUNCTION("GOOGLETRANSLATE(B7323,""en"",""de"")"),"Ein Arbeiter verwendet ein Spatel -Werkzeug, um Mörtel zwischen den Fliesen auf dem Dach anzuwenden.")</f>
        <v>Ein Arbeiter verwendet ein Spatel -Werkzeug, um Mörtel zwischen den Fliesen auf dem Dach anzuwenden.</v>
      </c>
    </row>
    <row r="7324">
      <c r="A7324" s="4" t="s">
        <v>9209</v>
      </c>
      <c r="B7324" s="4" t="s">
        <v>9210</v>
      </c>
      <c r="C7324" s="5" t="str">
        <f>IFERROR(__xludf.DUMMYFUNCTION("GOOGLETRANSLATE(B7324,""en"",""de"")"),"Ein Basketballplatz wird im Freien gezeigt.")</f>
        <v>Ein Basketballplatz wird im Freien gezeigt.</v>
      </c>
    </row>
    <row r="7325">
      <c r="A7325" s="4" t="s">
        <v>9209</v>
      </c>
      <c r="B7325" s="4" t="s">
        <v>9211</v>
      </c>
      <c r="C7325" s="5" t="str">
        <f>IFERROR(__xludf.DUMMYFUNCTION("GOOGLETRANSLATE(B7325,""en"",""de"")"),"Ein Mann rennt auf und macht mehrere aufeinanderfolgende Laien.")</f>
        <v>Ein Mann rennt auf und macht mehrere aufeinanderfolgende Laien.</v>
      </c>
    </row>
    <row r="7326">
      <c r="A7326" s="4" t="s">
        <v>9209</v>
      </c>
      <c r="B7326" s="4" t="s">
        <v>9212</v>
      </c>
      <c r="C7326" s="5" t="str">
        <f>IFERROR(__xludf.DUMMYFUNCTION("GOOGLETRANSLATE(B7326,""en"",""de"")"),"Er macht ein paar Körbe und versucht dann immer wieder.")</f>
        <v>Er macht ein paar Körbe und versucht dann immer wieder.</v>
      </c>
    </row>
    <row r="7327">
      <c r="A7327" s="4" t="s">
        <v>9209</v>
      </c>
      <c r="B7327" s="4" t="s">
        <v>9213</v>
      </c>
      <c r="C7327" s="5" t="str">
        <f>IFERROR(__xludf.DUMMYFUNCTION("GOOGLETRANSLATE(B7327,""en"",""de"")"),"Einige Kinder laufen vorbei und winken in die Kamera.")</f>
        <v>Einige Kinder laufen vorbei und winken in die Kamera.</v>
      </c>
    </row>
    <row r="7328">
      <c r="A7328" s="4" t="s">
        <v>9214</v>
      </c>
      <c r="B7328" s="4" t="s">
        <v>9215</v>
      </c>
      <c r="C7328" s="5" t="str">
        <f>IFERROR(__xludf.DUMMYFUNCTION("GOOGLETRANSLATE(B7328,""en"",""de"")"),"Ein Mann steht draußen und redet.")</f>
        <v>Ein Mann steht draußen und redet.</v>
      </c>
    </row>
    <row r="7329">
      <c r="A7329" s="4" t="s">
        <v>9214</v>
      </c>
      <c r="B7329" s="4" t="s">
        <v>9216</v>
      </c>
      <c r="C7329" s="5" t="str">
        <f>IFERROR(__xludf.DUMMYFUNCTION("GOOGLETRANSLATE(B7329,""en"",""de"")"),"Er steigt auf eine lockere Linie und beginnt sie zu überqueren.")</f>
        <v>Er steigt auf eine lockere Linie und beginnt sie zu überqueren.</v>
      </c>
    </row>
    <row r="7330">
      <c r="A7330" s="4" t="s">
        <v>9214</v>
      </c>
      <c r="B7330" s="4" t="s">
        <v>9217</v>
      </c>
      <c r="C7330" s="5" t="str">
        <f>IFERROR(__xludf.DUMMYFUNCTION("GOOGLETRANSLATE(B7330,""en"",""de"")"),"Er fällt ins Gras.")</f>
        <v>Er fällt ins Gras.</v>
      </c>
    </row>
    <row r="7331">
      <c r="A7331" s="4" t="s">
        <v>9218</v>
      </c>
      <c r="B7331" s="4" t="s">
        <v>9219</v>
      </c>
      <c r="C7331" s="5" t="str">
        <f>IFERROR(__xludf.DUMMYFUNCTION("GOOGLETRANSLATE(B7331,""en"",""de"")"),"Wir sehen eine Santa -Klausel unter Wasser im Meer.")</f>
        <v>Wir sehen eine Santa -Klausel unter Wasser im Meer.</v>
      </c>
    </row>
    <row r="7332">
      <c r="A7332" s="4" t="s">
        <v>9218</v>
      </c>
      <c r="B7332" s="4" t="s">
        <v>9220</v>
      </c>
      <c r="C7332" s="5" t="str">
        <f>IFERROR(__xludf.DUMMYFUNCTION("GOOGLETRANSLATE(B7332,""en"",""de"")"),"Wir sehen weiße und gelbe Fische um den Mann schwimmen.")</f>
        <v>Wir sehen weiße und gelbe Fische um den Mann schwimmen.</v>
      </c>
    </row>
    <row r="7333">
      <c r="A7333" s="4" t="s">
        <v>9218</v>
      </c>
      <c r="B7333" s="4" t="s">
        <v>9221</v>
      </c>
      <c r="C7333" s="5" t="str">
        <f>IFERROR(__xludf.DUMMYFUNCTION("GOOGLETRANSLATE(B7333,""en"",""de"")"),"Wir sitzen über dem Mann, der seine Blasen sieht.")</f>
        <v>Wir sitzen über dem Mann, der seine Blasen sieht.</v>
      </c>
    </row>
    <row r="7334">
      <c r="A7334" s="4" t="s">
        <v>9218</v>
      </c>
      <c r="B7334" s="4" t="s">
        <v>9222</v>
      </c>
      <c r="C7334" s="5" t="str">
        <f>IFERROR(__xludf.DUMMYFUNCTION("GOOGLETRANSLATE(B7334,""en"",""de"")"),"Der Mann schwimmt unter einem Felsbogen.")</f>
        <v>Der Mann schwimmt unter einem Felsbogen.</v>
      </c>
    </row>
    <row r="7335">
      <c r="A7335" s="4" t="s">
        <v>9223</v>
      </c>
      <c r="B7335" s="4" t="s">
        <v>9224</v>
      </c>
      <c r="C7335" s="5" t="str">
        <f>IFERROR(__xludf.DUMMYFUNCTION("GOOGLETRANSLATE(B7335,""en"",""de"")"),"Der Mensch steht im Botom einer Treppe und reinigt den Schnee Hil auf der Straße. Ein Schneepflug vorbei und der Mann putzt den Schnee und macht einen Weg.")</f>
        <v>Der Mensch steht im Botom einer Treppe und reinigt den Schnee Hil auf der Straße. Ein Schneepflug vorbei und der Mann putzt den Schnee und macht einen Weg.</v>
      </c>
    </row>
    <row r="7336">
      <c r="A7336" s="4" t="s">
        <v>9223</v>
      </c>
      <c r="B7336" s="4" t="s">
        <v>9225</v>
      </c>
      <c r="C7336" s="5" t="str">
        <f>IFERROR(__xludf.DUMMYFUNCTION("GOOGLETRANSLATE(B7336,""en"",""de"")"),"Der Mensch steht vor einem Auto und reinigt die Windschutzscheibe und alle Fenster.")</f>
        <v>Der Mensch steht vor einem Auto und reinigt die Windschutzscheibe und alle Fenster.</v>
      </c>
    </row>
    <row r="7337">
      <c r="A7337" s="4" t="s">
        <v>9226</v>
      </c>
      <c r="B7337" s="4" t="s">
        <v>9227</v>
      </c>
      <c r="C7337" s="5" t="str">
        <f>IFERROR(__xludf.DUMMYFUNCTION("GOOGLETRANSLATE(B7337,""en"",""de"")"),"Die Leute bereiten sich darauf vor, Kanufahren zu machen und dann ihre Boote zu starten.")</f>
        <v>Die Leute bereiten sich darauf vor, Kanufahren zu machen und dann ihre Boote zu starten.</v>
      </c>
    </row>
    <row r="7338">
      <c r="A7338" s="4" t="s">
        <v>9226</v>
      </c>
      <c r="B7338" s="4" t="s">
        <v>9228</v>
      </c>
      <c r="C7338" s="5" t="str">
        <f>IFERROR(__xludf.DUMMYFUNCTION("GOOGLETRANSLATE(B7338,""en"",""de"")"),"Die Leute gehen dann den Strom runter.")</f>
        <v>Die Leute gehen dann den Strom runter.</v>
      </c>
    </row>
    <row r="7339">
      <c r="A7339" s="4" t="s">
        <v>9229</v>
      </c>
      <c r="B7339" s="4" t="s">
        <v>9230</v>
      </c>
      <c r="C7339" s="5" t="str">
        <f>IFERROR(__xludf.DUMMYFUNCTION("GOOGLETRANSLATE(B7339,""en"",""de"")"),"Ein Mann in einem Batman -Hemd setzt sich zusammen und redet.")</f>
        <v>Ein Mann in einem Batman -Hemd setzt sich zusammen und redet.</v>
      </c>
    </row>
    <row r="7340">
      <c r="A7340" s="4" t="s">
        <v>9229</v>
      </c>
      <c r="B7340" s="4" t="s">
        <v>9231</v>
      </c>
      <c r="C7340" s="5" t="str">
        <f>IFERROR(__xludf.DUMMYFUNCTION("GOOGLETRANSLATE(B7340,""en"",""de"")"),"Eine Person beginnt ein Stück Metall zu schweißen.")</f>
        <v>Eine Person beginnt ein Stück Metall zu schweißen.</v>
      </c>
    </row>
    <row r="7341">
      <c r="A7341" s="4" t="s">
        <v>9229</v>
      </c>
      <c r="B7341" s="4" t="s">
        <v>9232</v>
      </c>
      <c r="C7341" s="5" t="str">
        <f>IFERROR(__xludf.DUMMYFUNCTION("GOOGLETRANSLATE(B7341,""en"",""de"")"),"Er nimmt einen Pinsel und streift das Stück Metall ab.")</f>
        <v>Er nimmt einen Pinsel und streift das Stück Metall ab.</v>
      </c>
    </row>
    <row r="7342">
      <c r="A7342" s="4" t="s">
        <v>9229</v>
      </c>
      <c r="B7342" s="4" t="s">
        <v>9233</v>
      </c>
      <c r="C7342" s="5" t="str">
        <f>IFERROR(__xludf.DUMMYFUNCTION("GOOGLETRANSLATE(B7342,""en"",""de"")"),"Er steckt alle Stücke in eine schwarze Tasche.")</f>
        <v>Er steckt alle Stücke in eine schwarze Tasche.</v>
      </c>
    </row>
    <row r="7343">
      <c r="A7343" s="4" t="s">
        <v>9234</v>
      </c>
      <c r="B7343" s="4" t="s">
        <v>9235</v>
      </c>
      <c r="C7343" s="5" t="str">
        <f>IFERROR(__xludf.DUMMYFUNCTION("GOOGLETRANSLATE(B7343,""en"",""de"")"),"Eine kleine Gruppe von Menschen steht auf zwei Seiten eines Netzes.")</f>
        <v>Eine kleine Gruppe von Menschen steht auf zwei Seiten eines Netzes.</v>
      </c>
    </row>
    <row r="7344">
      <c r="A7344" s="4" t="s">
        <v>9234</v>
      </c>
      <c r="B7344" s="4" t="s">
        <v>9236</v>
      </c>
      <c r="C7344" s="5" t="str">
        <f>IFERROR(__xludf.DUMMYFUNCTION("GOOGLETRANSLATE(B7344,""en"",""de"")"),"Die Leute spielen dann ein Badminton -Spiel miteinander.")</f>
        <v>Die Leute spielen dann ein Badminton -Spiel miteinander.</v>
      </c>
    </row>
    <row r="7345">
      <c r="A7345" s="4" t="s">
        <v>9234</v>
      </c>
      <c r="B7345" s="4" t="s">
        <v>9237</v>
      </c>
      <c r="C7345" s="5" t="str">
        <f>IFERROR(__xludf.DUMMYFUNCTION("GOOGLETRANSLATE(B7345,""en"",""de"")"),"Sie schlagen weiterhin den Birdie, während sie ihn auf die andere Seite servieren und ihn zurückschlagen.")</f>
        <v>Sie schlagen weiterhin den Birdie, während sie ihn auf die andere Seite servieren und ihn zurückschlagen.</v>
      </c>
    </row>
    <row r="7346">
      <c r="A7346" s="4" t="s">
        <v>9238</v>
      </c>
      <c r="B7346" s="4" t="s">
        <v>9239</v>
      </c>
      <c r="C7346" s="5" t="str">
        <f>IFERROR(__xludf.DUMMYFUNCTION("GOOGLETRANSLATE(B7346,""en"",""de"")"),"Eine Menge von ungefähr tausend Menschen befindet sich draußen und im Stadion und beobachtet einen Bullenkampf.")</f>
        <v>Eine Menge von ungefähr tausend Menschen befindet sich draußen und im Stadion und beobachtet einen Bullenkampf.</v>
      </c>
    </row>
    <row r="7347">
      <c r="A7347" s="4" t="s">
        <v>9238</v>
      </c>
      <c r="B7347" s="4" t="s">
        <v>9240</v>
      </c>
      <c r="C7347" s="5" t="str">
        <f>IFERROR(__xludf.DUMMYFUNCTION("GOOGLETRANSLATE(B7347,""en"",""de"")"),"Drei junge Männer sind in der Mitte und beginnen mit zwei schwarzen und weißen Bullen zu manipulieren.")</f>
        <v>Drei junge Männer sind in der Mitte und beginnen mit zwei schwarzen und weißen Bullen zu manipulieren.</v>
      </c>
    </row>
    <row r="7348">
      <c r="A7348" s="4" t="s">
        <v>9238</v>
      </c>
      <c r="B7348" s="4" t="s">
        <v>9241</v>
      </c>
      <c r="C7348" s="5" t="str">
        <f>IFERROR(__xludf.DUMMYFUNCTION("GOOGLETRANSLATE(B7348,""en"",""de"")"),"Die beiden Bullen kämpfen nun miteinander und die Menge beginnt sich an ihnen zu schließen, um die Aktion zu sehen.")</f>
        <v>Die beiden Bullen kämpfen nun miteinander und die Menge beginnt sich an ihnen zu schließen, um die Aktion zu sehen.</v>
      </c>
    </row>
    <row r="7349">
      <c r="A7349" s="4" t="s">
        <v>9242</v>
      </c>
      <c r="B7349" s="4" t="s">
        <v>9243</v>
      </c>
      <c r="C7349" s="5" t="str">
        <f>IFERROR(__xludf.DUMMYFUNCTION("GOOGLETRANSLATE(B7349,""en"",""de"")"),"Eine Kamera schwenkt um einen See und zeigt ein Boot entlang des Wassers.")</f>
        <v>Eine Kamera schwenkt um einen See und zeigt ein Boot entlang des Wassers.</v>
      </c>
    </row>
    <row r="7350">
      <c r="A7350" s="4" t="s">
        <v>9242</v>
      </c>
      <c r="B7350" s="4" t="s">
        <v>9244</v>
      </c>
      <c r="C7350" s="5" t="str">
        <f>IFERROR(__xludf.DUMMYFUNCTION("GOOGLETRANSLATE(B7350,""en"",""de"")"),"Eine Person fährt auf einem Paar Skier hinter dem Boot.")</f>
        <v>Eine Person fährt auf einem Paar Skier hinter dem Boot.</v>
      </c>
    </row>
    <row r="7351">
      <c r="A7351" s="4" t="s">
        <v>9242</v>
      </c>
      <c r="B7351" s="4" t="s">
        <v>9245</v>
      </c>
      <c r="C7351" s="5" t="str">
        <f>IFERROR(__xludf.DUMMYFUNCTION("GOOGLETRANSLATE(B7351,""en"",""de"")"),"Es werden mehr Schüsse von dem Boot gezeigt, das mit einer Person herumfährt, die im Rücken fährt.")</f>
        <v>Es werden mehr Schüsse von dem Boot gezeigt, das mit einer Person herumfährt, die im Rücken fährt.</v>
      </c>
    </row>
    <row r="7352">
      <c r="A7352" s="4" t="s">
        <v>9246</v>
      </c>
      <c r="B7352" s="4" t="s">
        <v>9247</v>
      </c>
      <c r="C7352" s="5" t="str">
        <f>IFERROR(__xludf.DUMMYFUNCTION("GOOGLETRANSLATE(B7352,""en"",""de"")"),"Eine große Gruppe von Menschen steht zusammen mit einem Mann, der in ein Mikrofon spricht und zeigt.")</f>
        <v>Eine große Gruppe von Menschen steht zusammen mit einem Mann, der in ein Mikrofon spricht und zeigt.</v>
      </c>
    </row>
    <row r="7353">
      <c r="A7353" s="4" t="s">
        <v>9246</v>
      </c>
      <c r="B7353" s="4" t="s">
        <v>9248</v>
      </c>
      <c r="C7353" s="5" t="str">
        <f>IFERROR(__xludf.DUMMYFUNCTION("GOOGLETRANSLATE(B7353,""en"",""de"")"),"Der Mann bricht dann in ein Lied aus und tanzt mit einem anderen Mann und zeigt allmählich auf den Bräutigam.")</f>
        <v>Der Mann bricht dann in ein Lied aus und tanzt mit einem anderen Mann und zeigt allmählich auf den Bräutigam.</v>
      </c>
    </row>
    <row r="7354">
      <c r="A7354" s="4" t="s">
        <v>9249</v>
      </c>
      <c r="B7354" s="4" t="s">
        <v>9250</v>
      </c>
      <c r="C7354" s="5" t="str">
        <f>IFERROR(__xludf.DUMMYFUNCTION("GOOGLETRANSLATE(B7354,""en"",""de"")"),"Geschäftsleute gehen durch eine vielbeschäftigte Menge.")</f>
        <v>Geschäftsleute gehen durch eine vielbeschäftigte Menge.</v>
      </c>
    </row>
    <row r="7355">
      <c r="A7355" s="4" t="s">
        <v>9249</v>
      </c>
      <c r="B7355" s="4" t="s">
        <v>9251</v>
      </c>
      <c r="C7355" s="5" t="str">
        <f>IFERROR(__xludf.DUMMYFUNCTION("GOOGLETRANSLATE(B7355,""en"",""de"")"),"Ein Geschäftsmann spielt gegen einen Tischtennisprofi.")</f>
        <v>Ein Geschäftsmann spielt gegen einen Tischtennisprofi.</v>
      </c>
    </row>
    <row r="7356">
      <c r="A7356" s="4" t="s">
        <v>9249</v>
      </c>
      <c r="B7356" s="4" t="s">
        <v>9252</v>
      </c>
      <c r="C7356" s="5" t="str">
        <f>IFERROR(__xludf.DUMMYFUNCTION("GOOGLETRANSLATE(B7356,""en"",""de"")"),"Zwei Geschäftsleute spielen in einem Team gegen den Tischtennis Pro.")</f>
        <v>Zwei Geschäftsleute spielen in einem Team gegen den Tischtennis Pro.</v>
      </c>
    </row>
    <row r="7357">
      <c r="A7357" s="4" t="s">
        <v>9249</v>
      </c>
      <c r="B7357" s="4" t="s">
        <v>9253</v>
      </c>
      <c r="C7357" s="5" t="str">
        <f>IFERROR(__xludf.DUMMYFUNCTION("GOOGLETRANSLATE(B7357,""en"",""de"")"),"Das Match endet und die Geschäftsleute schütteln dem Athleten die Hand.")</f>
        <v>Das Match endet und die Geschäftsleute schütteln dem Athleten die Hand.</v>
      </c>
    </row>
    <row r="7358">
      <c r="A7358" s="4" t="s">
        <v>9254</v>
      </c>
      <c r="B7358" s="4" t="s">
        <v>9255</v>
      </c>
      <c r="C7358" s="5" t="str">
        <f>IFERROR(__xludf.DUMMYFUNCTION("GOOGLETRANSLATE(B7358,""en"",""de"")"),"Ein junger Junge ist in einen offenen Park -Drehherausforderungen in Affenbars, die er links verweist.")</f>
        <v>Ein junger Junge ist in einen offenen Park -Drehherausforderungen in Affenbars, die er links verweist.</v>
      </c>
    </row>
    <row r="7359">
      <c r="A7359" s="4" t="s">
        <v>9254</v>
      </c>
      <c r="B7359" s="4" t="s">
        <v>9256</v>
      </c>
      <c r="C7359" s="5" t="str">
        <f>IFERROR(__xludf.DUMMYFUNCTION("GOOGLETRANSLATE(B7359,""en"",""de"")"),"Die Kamera schwenkt nach links, um die Rutsche in einem anderen Teil des Dschungel -Fitnessstudio zu zeigen.")</f>
        <v>Die Kamera schwenkt nach links, um die Rutsche in einem anderen Teil des Dschungel -Fitnessstudio zu zeigen.</v>
      </c>
    </row>
    <row r="7360">
      <c r="A7360" s="4" t="s">
        <v>9254</v>
      </c>
      <c r="B7360" s="4" t="s">
        <v>9257</v>
      </c>
      <c r="C7360" s="5" t="str">
        <f>IFERROR(__xludf.DUMMYFUNCTION("GOOGLETRANSLATE(B7360,""en"",""de"")"),"Die Kamera schwenkt zurück zu den Affenstangen.")</f>
        <v>Die Kamera schwenkt zurück zu den Affenstangen.</v>
      </c>
    </row>
    <row r="7361">
      <c r="A7361" s="4" t="s">
        <v>9254</v>
      </c>
      <c r="B7361" s="4" t="s">
        <v>9258</v>
      </c>
      <c r="C7361" s="5" t="str">
        <f>IFERROR(__xludf.DUMMYFUNCTION("GOOGLETRANSLATE(B7361,""en"",""de"")"),"Der Junge versucht, die Affenstangen ab dem zweiten von der oberen Sprosse der Leiter von innen und zu fällen, er steht auf und geht zur Leiter.")</f>
        <v>Der Junge versucht, die Affenstangen ab dem zweiten von der oberen Sprosse der Leiter von innen und zu fällen, er steht auf und geht zur Leiter.</v>
      </c>
    </row>
    <row r="7362">
      <c r="A7362" s="4" t="s">
        <v>9254</v>
      </c>
      <c r="B7362" s="4" t="s">
        <v>9259</v>
      </c>
      <c r="C7362" s="5" t="str">
        <f>IFERROR(__xludf.DUMMYFUNCTION("GOOGLETRANSLATE(B7362,""en"",""de"")"),"Der Junge versucht den Aufstieg erneut, diesmal von der oberen Sprosse der Leiter von innen und fällt auf und geht auf die Leiter.")</f>
        <v>Der Junge versucht den Aufstieg erneut, diesmal von der oberen Sprosse der Leiter von innen und fällt auf und geht auf die Leiter.</v>
      </c>
    </row>
    <row r="7363">
      <c r="A7363" s="4" t="s">
        <v>9254</v>
      </c>
      <c r="B7363" s="4" t="s">
        <v>9260</v>
      </c>
      <c r="C7363" s="5" t="str">
        <f>IFERROR(__xludf.DUMMYFUNCTION("GOOGLETRANSLATE(B7363,""en"",""de"")"),"Der Junge versucht wieder zu klettern, von der oberen Bar von innen und fällt wieder, er steht auf und geht wieder zur Leiter.")</f>
        <v>Der Junge versucht wieder zu klettern, von der oberen Bar von innen und fällt wieder, er steht auf und geht wieder zur Leiter.</v>
      </c>
    </row>
    <row r="7364">
      <c r="A7364" s="4" t="s">
        <v>9254</v>
      </c>
      <c r="B7364" s="4" t="s">
        <v>9261</v>
      </c>
      <c r="C7364" s="5" t="str">
        <f>IFERROR(__xludf.DUMMYFUNCTION("GOOGLETRANSLATE(B7364,""en"",""de"")"),"Der Junge versucht erneut zu klettern, diesmal passt er sich wieder auf den zweiten Sprossen an und fällt erneut, wenn er versucht zu klettern.")</f>
        <v>Der Junge versucht erneut zu klettern, diesmal passt er sich wieder auf den zweiten Sprossen an und fällt erneut, wenn er versucht zu klettern.</v>
      </c>
    </row>
    <row r="7365">
      <c r="A7365" s="4" t="s">
        <v>9254</v>
      </c>
      <c r="B7365" s="4" t="s">
        <v>9262</v>
      </c>
      <c r="C7365" s="5" t="str">
        <f>IFERROR(__xludf.DUMMYFUNCTION("GOOGLETRANSLATE(B7365,""en"",""de"")"),"Der Junge versucht, mit demselben Ausgangspunkt erneut zu klettern und fällt auf, er steht auf und geht in die Leiter, entscheidet sich jedoch, er ist fertig und verabschiedet sich.")</f>
        <v>Der Junge versucht, mit demselben Ausgangspunkt erneut zu klettern und fällt auf, er steht auf und geht in die Leiter, entscheidet sich jedoch, er ist fertig und verabschiedet sich.</v>
      </c>
    </row>
    <row r="7366">
      <c r="A7366" s="4" t="s">
        <v>9263</v>
      </c>
      <c r="B7366" s="4" t="s">
        <v>9264</v>
      </c>
      <c r="C7366" s="5" t="str">
        <f>IFERROR(__xludf.DUMMYFUNCTION("GOOGLETRANSLATE(B7366,""en"",""de"")"),"Ein Mann wird gesehen, wie er auf einem Pferd herumfährt, der einen Stock hält und dann hielt, um zu sitzen.")</f>
        <v>Ein Mann wird gesehen, wie er auf einem Pferd herumfährt, der einen Stock hält und dann hielt, um zu sitzen.</v>
      </c>
    </row>
    <row r="7367">
      <c r="A7367" s="4" t="s">
        <v>9263</v>
      </c>
      <c r="B7367" s="4" t="s">
        <v>9265</v>
      </c>
      <c r="C7367" s="5" t="str">
        <f>IFERROR(__xludf.DUMMYFUNCTION("GOOGLETRANSLATE(B7367,""en"",""de"")"),"Er wird dann wieder mit einer großen Gruppe von Menschen laufen, die Wasser trinken, und schüttelt dann mehrere Menschen, während er zurückgeht.")</f>
        <v>Er wird dann wieder mit einer großen Gruppe von Menschen laufen, die Wasser trinken, und schüttelt dann mehrere Menschen, während er zurückgeht.</v>
      </c>
    </row>
    <row r="7368">
      <c r="A7368" s="4" t="s">
        <v>9266</v>
      </c>
      <c r="B7368" s="4" t="s">
        <v>9267</v>
      </c>
      <c r="C7368" s="5" t="str">
        <f>IFERROR(__xludf.DUMMYFUNCTION("GOOGLETRANSLATE(B7368,""en"",""de"")"),"Eine Nahaufnahme eines Teigs wird gezeigt und führt zu einer Person, die Zuckerguss auf einem Gebäck verbreitet.")</f>
        <v>Eine Nahaufnahme eines Teigs wird gezeigt und führt zu einer Person, die Zuckerguss auf einem Gebäck verbreitet.</v>
      </c>
    </row>
    <row r="7369">
      <c r="A7369" s="4" t="s">
        <v>9266</v>
      </c>
      <c r="B7369" s="4" t="s">
        <v>9268</v>
      </c>
      <c r="C7369" s="5" t="str">
        <f>IFERROR(__xludf.DUMMYFUNCTION("GOOGLETRANSLATE(B7369,""en"",""de"")"),"Sie legt das Gebäck auf den Kuchen und legt weiterhin den Zuckerguss um den Kuchen.")</f>
        <v>Sie legt das Gebäck auf den Kuchen und legt weiterhin den Zuckerguss um den Kuchen.</v>
      </c>
    </row>
    <row r="7370">
      <c r="A7370" s="4" t="s">
        <v>9266</v>
      </c>
      <c r="B7370" s="4" t="s">
        <v>9269</v>
      </c>
      <c r="C7370" s="5" t="str">
        <f>IFERROR(__xludf.DUMMYFUNCTION("GOOGLETRANSLATE(B7370,""en"",""de"")"),"Die Kamera zoomt um den Kuchen und zeigt, dass die Frau ein Gesicht auf den Kuchen legt und das fertige Ergebnis zeigt.")</f>
        <v>Die Kamera zoomt um den Kuchen und zeigt, dass die Frau ein Gesicht auf den Kuchen legt und das fertige Ergebnis zeigt.</v>
      </c>
    </row>
    <row r="7371">
      <c r="A7371" s="4" t="s">
        <v>9270</v>
      </c>
      <c r="B7371" s="4" t="s">
        <v>9271</v>
      </c>
      <c r="C7371" s="5" t="str">
        <f>IFERROR(__xludf.DUMMYFUNCTION("GOOGLETRANSLATE(B7371,""en"",""de"")"),"Zwei Nachrichtenanker sprechen in einem Raum.")</f>
        <v>Zwei Nachrichtenanker sprechen in einem Raum.</v>
      </c>
    </row>
    <row r="7372">
      <c r="A7372" s="4" t="s">
        <v>9270</v>
      </c>
      <c r="B7372" s="4" t="s">
        <v>9272</v>
      </c>
      <c r="C7372" s="5" t="str">
        <f>IFERROR(__xludf.DUMMYFUNCTION("GOOGLETRANSLATE(B7372,""en"",""de"")"),"Ein Mann macht Essen in einer Küche.")</f>
        <v>Ein Mann macht Essen in einer Küche.</v>
      </c>
    </row>
    <row r="7373">
      <c r="A7373" s="4" t="s">
        <v>9270</v>
      </c>
      <c r="B7373" s="4" t="s">
        <v>9273</v>
      </c>
      <c r="C7373" s="5" t="str">
        <f>IFERROR(__xludf.DUMMYFUNCTION("GOOGLETRANSLATE(B7373,""en"",""de"")"),"Er kocht Pilze in einer Pfanne.")</f>
        <v>Er kocht Pilze in einer Pfanne.</v>
      </c>
    </row>
    <row r="7374">
      <c r="A7374" s="4" t="s">
        <v>9270</v>
      </c>
      <c r="B7374" s="4" t="s">
        <v>9274</v>
      </c>
      <c r="C7374" s="5" t="str">
        <f>IFERROR(__xludf.DUMMYFUNCTION("GOOGLETRANSLATE(B7374,""en"",""de"")"),"Er fügt das Essen in eine Schüssel.")</f>
        <v>Er fügt das Essen in eine Schüssel.</v>
      </c>
    </row>
    <row r="7375">
      <c r="A7375" s="4" t="s">
        <v>9275</v>
      </c>
      <c r="B7375" s="4" t="s">
        <v>9276</v>
      </c>
      <c r="C7375" s="5" t="str">
        <f>IFERROR(__xludf.DUMMYFUNCTION("GOOGLETRANSLATE(B7375,""en"",""de"")"),"Ein langer farbenfroher Schal läuft über Stühle.")</f>
        <v>Ein langer farbenfroher Schal läuft über Stühle.</v>
      </c>
    </row>
    <row r="7376">
      <c r="A7376" s="4" t="s">
        <v>9275</v>
      </c>
      <c r="B7376" s="4" t="s">
        <v>9277</v>
      </c>
      <c r="C7376" s="5" t="str">
        <f>IFERROR(__xludf.DUMMYFUNCTION("GOOGLETRANSLATE(B7376,""en"",""de"")"),"Eine Frau strickt den Schal in einem lila Kleid.")</f>
        <v>Eine Frau strickt den Schal in einem lila Kleid.</v>
      </c>
    </row>
    <row r="7377">
      <c r="A7377" s="4" t="s">
        <v>9275</v>
      </c>
      <c r="B7377" s="4" t="s">
        <v>9278</v>
      </c>
      <c r="C7377" s="5" t="str">
        <f>IFERROR(__xludf.DUMMYFUNCTION("GOOGLETRANSLATE(B7377,""en"",""de"")"),"Drei weitere Frau sitzen zusammen und stricken einen Abschnitt des Schals.")</f>
        <v>Drei weitere Frau sitzen zusammen und stricken einen Abschnitt des Schals.</v>
      </c>
    </row>
    <row r="7378">
      <c r="A7378" s="4" t="s">
        <v>9279</v>
      </c>
      <c r="B7378" s="4" t="s">
        <v>1487</v>
      </c>
      <c r="C7378" s="5" t="str">
        <f>IFERROR(__xludf.DUMMYFUNCTION("GOOGLETRANSLATE(B7378,""en"",""de"")"),"Wir sehen einen Öffnungsbildschirm.")</f>
        <v>Wir sehen einen Öffnungsbildschirm.</v>
      </c>
    </row>
    <row r="7379">
      <c r="A7379" s="4" t="s">
        <v>9279</v>
      </c>
      <c r="B7379" s="4" t="s">
        <v>9280</v>
      </c>
      <c r="C7379" s="5" t="str">
        <f>IFERROR(__xludf.DUMMYFUNCTION("GOOGLETRANSLATE(B7379,""en"",""de"")"),"Wir sehen Bilder eines Mannes, der Jalousien öffnet und ein Boarding draußen trägt.")</f>
        <v>Wir sehen Bilder eines Mannes, der Jalousien öffnet und ein Boarding draußen trägt.</v>
      </c>
    </row>
    <row r="7380">
      <c r="A7380" s="4" t="s">
        <v>9279</v>
      </c>
      <c r="B7380" s="4" t="s">
        <v>9281</v>
      </c>
      <c r="C7380" s="5" t="str">
        <f>IFERROR(__xludf.DUMMYFUNCTION("GOOGLETRANSLATE(B7380,""en"",""de"")"),"Wir sehen einen Mann, der Jet Skier reitet und Flips ausführt.")</f>
        <v>Wir sehen einen Mann, der Jet Skier reitet und Flips ausführt.</v>
      </c>
    </row>
    <row r="7381">
      <c r="A7381" s="4" t="s">
        <v>9279</v>
      </c>
      <c r="B7381" s="4" t="s">
        <v>9282</v>
      </c>
      <c r="C7381" s="5" t="str">
        <f>IFERROR(__xludf.DUMMYFUNCTION("GOOGLETRANSLATE(B7381,""en"",""de"")"),"Wir sehen einen Mann auf dem Dock sitzen.")</f>
        <v>Wir sehen einen Mann auf dem Dock sitzen.</v>
      </c>
    </row>
    <row r="7382">
      <c r="A7382" s="4" t="s">
        <v>9279</v>
      </c>
      <c r="B7382" s="4" t="s">
        <v>9283</v>
      </c>
      <c r="C7382" s="5" t="str">
        <f>IFERROR(__xludf.DUMMYFUNCTION("GOOGLETRANSLATE(B7382,""en"",""de"")"),"Wir sehen den Jet Skifahrer über eine Rampe.")</f>
        <v>Wir sehen den Jet Skifahrer über eine Rampe.</v>
      </c>
    </row>
    <row r="7383">
      <c r="A7383" s="4" t="s">
        <v>9279</v>
      </c>
      <c r="B7383" s="4" t="s">
        <v>9284</v>
      </c>
      <c r="C7383" s="5" t="str">
        <f>IFERROR(__xludf.DUMMYFUNCTION("GOOGLETRANSLATE(B7383,""en"",""de"")"),"Wir sehen kurz einen Schuh.")</f>
        <v>Wir sehen kurz einen Schuh.</v>
      </c>
    </row>
    <row r="7384">
      <c r="A7384" s="4" t="s">
        <v>9279</v>
      </c>
      <c r="B7384" s="4" t="s">
        <v>777</v>
      </c>
      <c r="C7384" s="5" t="str">
        <f>IFERROR(__xludf.DUMMYFUNCTION("GOOGLETRANSLATE(B7384,""en"",""de"")"),"Wir sehen den End -Titelbildschirm.")</f>
        <v>Wir sehen den End -Titelbildschirm.</v>
      </c>
    </row>
    <row r="7385">
      <c r="A7385" s="4" t="s">
        <v>9285</v>
      </c>
      <c r="B7385" s="4" t="s">
        <v>9286</v>
      </c>
      <c r="C7385" s="5" t="str">
        <f>IFERROR(__xludf.DUMMYFUNCTION("GOOGLETRANSLATE(B7385,""en"",""de"")"),"Individuen bocken auf ihren Gassen und schlagen Sie Stifte nieder.")</f>
        <v>Individuen bocken auf ihren Gassen und schlagen Sie Stifte nieder.</v>
      </c>
    </row>
    <row r="7386">
      <c r="A7386" s="4" t="s">
        <v>9285</v>
      </c>
      <c r="B7386" s="4" t="s">
        <v>9287</v>
      </c>
      <c r="C7386" s="5" t="str">
        <f>IFERROR(__xludf.DUMMYFUNCTION("GOOGLETRANSLATE(B7386,""en"",""de"")"),"Ein Kerl streikt einen Streik und öffnet den Mund, um Angst auszudrücken.")</f>
        <v>Ein Kerl streikt einen Streik und öffnet den Mund, um Angst auszudrücken.</v>
      </c>
    </row>
    <row r="7387">
      <c r="A7387" s="4" t="s">
        <v>9288</v>
      </c>
      <c r="B7387" s="4" t="s">
        <v>9289</v>
      </c>
      <c r="C7387" s="5" t="str">
        <f>IFERROR(__xludf.DUMMYFUNCTION("GOOGLETRANSLATE(B7387,""en"",""de"")"),"Die Schüler werden interviewt und führen dann ein Rennen.")</f>
        <v>Die Schüler werden interviewt und führen dann ein Rennen.</v>
      </c>
    </row>
    <row r="7388">
      <c r="A7388" s="4" t="s">
        <v>9288</v>
      </c>
      <c r="B7388" s="4" t="s">
        <v>9290</v>
      </c>
      <c r="C7388" s="5" t="str">
        <f>IFERROR(__xludf.DUMMYFUNCTION("GOOGLETRANSLATE(B7388,""en"",""de"")"),"Jeder scheint froh, am College of Charleston beteiligt zu sein.")</f>
        <v>Jeder scheint froh, am College of Charleston beteiligt zu sein.</v>
      </c>
    </row>
    <row r="7389">
      <c r="A7389" s="4" t="s">
        <v>9291</v>
      </c>
      <c r="B7389" s="4" t="s">
        <v>9292</v>
      </c>
      <c r="C7389" s="5" t="str">
        <f>IFERROR(__xludf.DUMMYFUNCTION("GOOGLETRANSLATE(B7389,""en"",""de"")"),"Ein Koch zeigt, wie man eine Kartoffel mit einem Kartoffelschäler und einer Kartoffel in einer Küche vor dem Schneidebrett schält.")</f>
        <v>Ein Koch zeigt, wie man eine Kartoffel mit einem Kartoffelschäler und einer Kartoffel in einer Küche vor dem Schneidebrett schält.</v>
      </c>
    </row>
    <row r="7390">
      <c r="A7390" s="4" t="s">
        <v>9291</v>
      </c>
      <c r="B7390" s="4" t="s">
        <v>9293</v>
      </c>
      <c r="C7390" s="5" t="str">
        <f>IFERROR(__xludf.DUMMYFUNCTION("GOOGLETRANSLATE(B7390,""en"",""de"")"),"Der Mann spricht mit der Kamera und beginnt, die Kartoffel zu schälen, wobei das Schälen von Hautscheiben und gestikuliert wird.")</f>
        <v>Der Mann spricht mit der Kamera und beginnt, die Kartoffel zu schälen, wobei das Schälen von Hautscheiben und gestikuliert wird.</v>
      </c>
    </row>
    <row r="7391">
      <c r="A7391" s="4" t="s">
        <v>9291</v>
      </c>
      <c r="B7391" s="4" t="s">
        <v>9294</v>
      </c>
      <c r="C7391" s="5" t="str">
        <f>IFERROR(__xludf.DUMMYFUNCTION("GOOGLETRANSLATE(B7391,""en"",""de"")"),"Der Mann schält die Kartoffel, bis sie keine Haut mehr hat.")</f>
        <v>Der Mann schält die Kartoffel, bis sie keine Haut mehr hat.</v>
      </c>
    </row>
    <row r="7392">
      <c r="A7392" s="4" t="s">
        <v>9295</v>
      </c>
      <c r="B7392" s="4" t="s">
        <v>9296</v>
      </c>
      <c r="C7392" s="5" t="str">
        <f>IFERROR(__xludf.DUMMYFUNCTION("GOOGLETRANSLATE(B7392,""en"",""de"")"),"Zwei Männer stehen zusammen auf einem Tisch mit der Faust, während der Schiedsrichter ihr Handgelenk hält.")</f>
        <v>Zwei Männer stehen zusammen auf einem Tisch mit der Faust, während der Schiedsrichter ihr Handgelenk hält.</v>
      </c>
    </row>
    <row r="7393">
      <c r="A7393" s="4" t="s">
        <v>9295</v>
      </c>
      <c r="B7393" s="4" t="s">
        <v>9297</v>
      </c>
      <c r="C7393" s="5" t="str">
        <f>IFERROR(__xludf.DUMMYFUNCTION("GOOGLETRANSLATE(B7393,""en"",""de"")"),"Der Schiedsrichter lässt dann los und fast augenblicklich ist das Arm -Wrestling -Match vorbei und ein Gewinner wird erklärt, der Gewinner geht weiter und einige weitere Spiele beginnen zu spielen, und auch sie werden abrupt beendet.")</f>
        <v>Der Schiedsrichter lässt dann los und fast augenblicklich ist das Arm -Wrestling -Match vorbei und ein Gewinner wird erklärt, der Gewinner geht weiter und einige weitere Spiele beginnen zu spielen, und auch sie werden abrupt beendet.</v>
      </c>
    </row>
    <row r="7394">
      <c r="A7394" s="4" t="s">
        <v>9295</v>
      </c>
      <c r="B7394" s="4" t="s">
        <v>9298</v>
      </c>
      <c r="C7394" s="5" t="str">
        <f>IFERROR(__xludf.DUMMYFUNCTION("GOOGLETRANSLATE(B7394,""en"",""de"")"),"Gegen Ende entspricht die Gegner jedoch endlich und es dauert ewig, um einen Gewinner zu erklären, während sie sich bemühen, ihre Hände zu bewegen.")</f>
        <v>Gegen Ende entspricht die Gegner jedoch endlich und es dauert ewig, um einen Gewinner zu erklären, während sie sich bemühen, ihre Hände zu bewegen.</v>
      </c>
    </row>
    <row r="7395">
      <c r="A7395" s="4" t="s">
        <v>9299</v>
      </c>
      <c r="B7395" s="4" t="s">
        <v>9300</v>
      </c>
      <c r="C7395" s="5" t="str">
        <f>IFERROR(__xludf.DUMMYFUNCTION("GOOGLETRANSLATE(B7395,""en"",""de"")"),"Männer spielen Korb in einem überdachten Holzplatz.")</f>
        <v>Männer spielen Korb in einem überdachten Holzplatz.</v>
      </c>
    </row>
    <row r="7396">
      <c r="A7396" s="4" t="s">
        <v>9299</v>
      </c>
      <c r="B7396" s="4" t="s">
        <v>9301</v>
      </c>
      <c r="C7396" s="5" t="str">
        <f>IFERROR(__xludf.DUMMYFUNCTION("GOOGLETRANSLATE(B7396,""en"",""de"")"),"Der Mensch allein legt den Korb.")</f>
        <v>Der Mensch allein legt den Korb.</v>
      </c>
    </row>
    <row r="7397">
      <c r="A7397" s="4" t="s">
        <v>9299</v>
      </c>
      <c r="B7397" s="4" t="s">
        <v>9302</v>
      </c>
      <c r="C7397" s="5" t="str">
        <f>IFERROR(__xludf.DUMMYFUNCTION("GOOGLETRANSLATE(B7397,""en"",""de"")"),"Ein anderer Mann kommt zum Platz und fängt an, zusammen zu spielen.")</f>
        <v>Ein anderer Mann kommt zum Platz und fängt an, zusammen zu spielen.</v>
      </c>
    </row>
    <row r="7398">
      <c r="A7398" s="4" t="s">
        <v>9303</v>
      </c>
      <c r="B7398" s="4" t="s">
        <v>9304</v>
      </c>
      <c r="C7398" s="5" t="str">
        <f>IFERROR(__xludf.DUMMYFUNCTION("GOOGLETRANSLATE(B7398,""en"",""de"")"),"Ein Firmenprotokoll befindet sich auf dem Bildschirm.")</f>
        <v>Ein Firmenprotokoll befindet sich auf dem Bildschirm.</v>
      </c>
    </row>
    <row r="7399">
      <c r="A7399" s="4" t="s">
        <v>9303</v>
      </c>
      <c r="B7399" s="4" t="s">
        <v>9305</v>
      </c>
      <c r="C7399" s="5" t="str">
        <f>IFERROR(__xludf.DUMMYFUNCTION("GOOGLETRANSLATE(B7399,""en"",""de"")"),"Ein Boot schwebt auf dem Wasser.")</f>
        <v>Ein Boot schwebt auf dem Wasser.</v>
      </c>
    </row>
    <row r="7400">
      <c r="A7400" s="4" t="s">
        <v>9303</v>
      </c>
      <c r="B7400" s="4" t="s">
        <v>9306</v>
      </c>
      <c r="C7400" s="5" t="str">
        <f>IFERROR(__xludf.DUMMYFUNCTION("GOOGLETRANSLATE(B7400,""en"",""de"")"),"Ein Röhrchen hat Wasser und es gibt Schwimmer auf dem Wasser.")</f>
        <v>Ein Röhrchen hat Wasser und es gibt Schwimmer auf dem Wasser.</v>
      </c>
    </row>
    <row r="7401">
      <c r="A7401" s="4" t="s">
        <v>9303</v>
      </c>
      <c r="B7401" s="4" t="s">
        <v>9307</v>
      </c>
      <c r="C7401" s="5" t="str">
        <f>IFERROR(__xludf.DUMMYFUNCTION("GOOGLETRANSLATE(B7401,""en"",""de"")"),"Die Kamera scannt das Boot.")</f>
        <v>Die Kamera scannt das Boot.</v>
      </c>
    </row>
    <row r="7402">
      <c r="A7402" s="4" t="s">
        <v>9303</v>
      </c>
      <c r="B7402" s="4" t="s">
        <v>9308</v>
      </c>
      <c r="C7402" s="5" t="str">
        <f>IFERROR(__xludf.DUMMYFUNCTION("GOOGLETRANSLATE(B7402,""en"",""de"")"),"Zwei Frauen sitzen auf dem Boot, einer steckt den anderen.")</f>
        <v>Zwei Frauen sitzen auf dem Boot, einer steckt den anderen.</v>
      </c>
    </row>
    <row r="7403">
      <c r="A7403" s="4" t="s">
        <v>9303</v>
      </c>
      <c r="B7403" s="4" t="s">
        <v>9309</v>
      </c>
      <c r="C7403" s="5" t="str">
        <f>IFERROR(__xludf.DUMMYFUNCTION("GOOGLETRANSLATE(B7403,""en"",""de"")"),"Ein Plastiksitz wird aufgeblasen, dann wird ein Brett ins Wasser gesteckt.")</f>
        <v>Ein Plastiksitz wird aufgeblasen, dann wird ein Brett ins Wasser gesteckt.</v>
      </c>
    </row>
    <row r="7404">
      <c r="A7404" s="4" t="s">
        <v>9303</v>
      </c>
      <c r="B7404" s="4" t="s">
        <v>9310</v>
      </c>
      <c r="C7404" s="5" t="str">
        <f>IFERROR(__xludf.DUMMYFUNCTION("GOOGLETRANSLATE(B7404,""en"",""de"")"),"Eine Frau ist auf dem Brett und hält sich an einer am Boot angeschlossenen Linie fest.")</f>
        <v>Eine Frau ist auf dem Brett und hält sich an einer am Boot angeschlossenen Linie fest.</v>
      </c>
    </row>
    <row r="7405">
      <c r="A7405" s="4" t="s">
        <v>9303</v>
      </c>
      <c r="B7405" s="4" t="s">
        <v>9311</v>
      </c>
      <c r="C7405" s="5" t="str">
        <f>IFERROR(__xludf.DUMMYFUNCTION("GOOGLETRANSLATE(B7405,""en"",""de"")"),"Eine Frau fährt das Boot, während die andere Frau hinter ihr einsteigen.")</f>
        <v>Eine Frau fährt das Boot, während die andere Frau hinter ihr einsteigen.</v>
      </c>
    </row>
    <row r="7406">
      <c r="A7406" s="4" t="s">
        <v>9303</v>
      </c>
      <c r="B7406" s="4" t="s">
        <v>9312</v>
      </c>
      <c r="C7406" s="5" t="str">
        <f>IFERROR(__xludf.DUMMYFUNCTION("GOOGLETRANSLATE(B7406,""en"",""de"")"),"Eine Frau nimmt ein Selfie auf dem Boot.")</f>
        <v>Eine Frau nimmt ein Selfie auf dem Boot.</v>
      </c>
    </row>
    <row r="7407">
      <c r="A7407" s="4" t="s">
        <v>9303</v>
      </c>
      <c r="B7407" s="4" t="s">
        <v>9313</v>
      </c>
      <c r="C7407" s="5" t="str">
        <f>IFERROR(__xludf.DUMMYFUNCTION("GOOGLETRANSLATE(B7407,""en"",""de"")"),"Die Frau macht Tricks mit dem Brett auf dem Wasser.")</f>
        <v>Die Frau macht Tricks mit dem Brett auf dem Wasser.</v>
      </c>
    </row>
    <row r="7408">
      <c r="A7408" s="4" t="s">
        <v>9303</v>
      </c>
      <c r="B7408" s="4" t="s">
        <v>9314</v>
      </c>
      <c r="C7408" s="5" t="str">
        <f>IFERROR(__xludf.DUMMYFUNCTION("GOOGLETRANSLATE(B7408,""en"",""de"")"),"Sie ließ die Linie los und schwebte frei.")</f>
        <v>Sie ließ die Linie los und schwebte frei.</v>
      </c>
    </row>
    <row r="7409">
      <c r="A7409" s="4" t="s">
        <v>9315</v>
      </c>
      <c r="B7409" s="4" t="s">
        <v>9316</v>
      </c>
      <c r="C7409" s="5" t="str">
        <f>IFERROR(__xludf.DUMMYFUNCTION("GOOGLETRANSLATE(B7409,""en"",""de"")"),"Eine Frau legt Make -up ins Gesicht und führt in mehrere Bilder von Make -up.")</f>
        <v>Eine Frau legt Make -up ins Gesicht und führt in mehrere Bilder von Make -up.</v>
      </c>
    </row>
    <row r="7410">
      <c r="A7410" s="4" t="s">
        <v>9315</v>
      </c>
      <c r="B7410" s="4" t="s">
        <v>9317</v>
      </c>
      <c r="C7410" s="5" t="str">
        <f>IFERROR(__xludf.DUMMYFUNCTION("GOOGLETRANSLATE(B7410,""en"",""de"")"),"Viele weitere Bilder von Produkten werden mit Text über dem Bildschirm angezeigt.")</f>
        <v>Viele weitere Bilder von Produkten werden mit Text über dem Bildschirm angezeigt.</v>
      </c>
    </row>
    <row r="7411">
      <c r="A7411" s="4" t="s">
        <v>9315</v>
      </c>
      <c r="B7411" s="4" t="s">
        <v>9318</v>
      </c>
      <c r="C7411" s="5" t="str">
        <f>IFERROR(__xludf.DUMMYFUNCTION("GOOGLETRANSLATE(B7411,""en"",""de"")"),"Weitere Bilder von Produkten werden angezeigt, die mit mehr Text und einer Frau enden, die Make -up wegschiebt.")</f>
        <v>Weitere Bilder von Produkten werden angezeigt, die mit mehr Text und einer Frau enden, die Make -up wegschiebt.</v>
      </c>
    </row>
    <row r="7412">
      <c r="A7412" s="4" t="s">
        <v>9319</v>
      </c>
      <c r="B7412" s="4" t="s">
        <v>9320</v>
      </c>
      <c r="C7412" s="5" t="str">
        <f>IFERROR(__xludf.DUMMYFUNCTION("GOOGLETRANSLATE(B7412,""en"",""de"")"),"Ein großer schneebedeckter Berg wird angesehen, wenn sich die Menschen auf dem Eis versammeln.")</f>
        <v>Ein großer schneebedeckter Berg wird angesehen, wenn sich die Menschen auf dem Eis versammeln.</v>
      </c>
    </row>
    <row r="7413">
      <c r="A7413" s="4" t="s">
        <v>9319</v>
      </c>
      <c r="B7413" s="4" t="s">
        <v>9321</v>
      </c>
      <c r="C7413" s="5" t="str">
        <f>IFERROR(__xludf.DUMMYFUNCTION("GOOGLETRANSLATE(B7413,""en"",""de"")"),"Sie schlugen mehrere Pucks und fegten sie in einem Spiel.")</f>
        <v>Sie schlugen mehrere Pucks und fegten sie in einem Spiel.</v>
      </c>
    </row>
    <row r="7414">
      <c r="A7414" s="4" t="s">
        <v>9322</v>
      </c>
      <c r="B7414" s="4" t="s">
        <v>9323</v>
      </c>
      <c r="C7414" s="5" t="str">
        <f>IFERROR(__xludf.DUMMYFUNCTION("GOOGLETRANSLATE(B7414,""en"",""de"")"),"Eine Turnerinnen demonstriert eine Gymnastikleistung in Bars.")</f>
        <v>Eine Turnerinnen demonstriert eine Gymnastikleistung in Bars.</v>
      </c>
    </row>
    <row r="7415">
      <c r="A7415" s="4" t="s">
        <v>9322</v>
      </c>
      <c r="B7415" s="4" t="s">
        <v>9324</v>
      </c>
      <c r="C7415" s="5" t="str">
        <f>IFERROR(__xludf.DUMMYFUNCTION("GOOGLETRANSLATE(B7415,""en"",""de"")"),"Andere Turner und ein Ausbilder beobachten, wie die weibliche Turnerin auftreten.")</f>
        <v>Andere Turner und ein Ausbilder beobachten, wie die weibliche Turnerin auftreten.</v>
      </c>
    </row>
    <row r="7416">
      <c r="A7416" s="4" t="s">
        <v>9322</v>
      </c>
      <c r="B7416" s="4" t="s">
        <v>9325</v>
      </c>
      <c r="C7416" s="5" t="str">
        <f>IFERROR(__xludf.DUMMYFUNCTION("GOOGLETRANSLATE(B7416,""en"",""de"")"),"Ein weiterer Turnerinnen übt im Hintergrund.")</f>
        <v>Ein weiterer Turnerinnen übt im Hintergrund.</v>
      </c>
    </row>
    <row r="7417">
      <c r="A7417" s="4" t="s">
        <v>9326</v>
      </c>
      <c r="B7417" s="4" t="s">
        <v>9327</v>
      </c>
      <c r="C7417" s="5" t="str">
        <f>IFERROR(__xludf.DUMMYFUNCTION("GOOGLETRANSLATE(B7417,""en"",""de"")"),"Ein Mann hebt Gewichte im Fitnessstudio.")</f>
        <v>Ein Mann hebt Gewichte im Fitnessstudio.</v>
      </c>
    </row>
    <row r="7418">
      <c r="A7418" s="4" t="s">
        <v>9326</v>
      </c>
      <c r="B7418" s="4" t="s">
        <v>9328</v>
      </c>
      <c r="C7418" s="5" t="str">
        <f>IFERROR(__xludf.DUMMYFUNCTION("GOOGLETRANSLATE(B7418,""en"",""de"")"),"Der Ball geht zum ersten Mal zur Brust des Mannes.")</f>
        <v>Der Ball geht zum ersten Mal zur Brust des Mannes.</v>
      </c>
    </row>
    <row r="7419">
      <c r="A7419" s="4" t="s">
        <v>9326</v>
      </c>
      <c r="B7419" s="4" t="s">
        <v>9329</v>
      </c>
      <c r="C7419" s="5" t="str">
        <f>IFERROR(__xludf.DUMMYFUNCTION("GOOGLETRANSLATE(B7419,""en"",""de"")"),"Der Mann macht eine Pause.")</f>
        <v>Der Mann macht eine Pause.</v>
      </c>
    </row>
    <row r="7420">
      <c r="A7420" s="4" t="s">
        <v>9330</v>
      </c>
      <c r="B7420" s="4" t="s">
        <v>9331</v>
      </c>
      <c r="C7420" s="5" t="str">
        <f>IFERROR(__xludf.DUMMYFUNCTION("GOOGLETRANSLATE(B7420,""en"",""de"")"),"Ein Mädchen hört Musik und übergeht in sie eine Tanzroutine draußen auf einem Wanderweg.")</f>
        <v>Ein Mädchen hört Musik und übergeht in sie eine Tanzroutine draußen auf einem Wanderweg.</v>
      </c>
    </row>
    <row r="7421">
      <c r="A7421" s="4" t="s">
        <v>9330</v>
      </c>
      <c r="B7421" s="4" t="s">
        <v>9332</v>
      </c>
      <c r="C7421" s="5" t="str">
        <f>IFERROR(__xludf.DUMMYFUNCTION("GOOGLETRANSLATE(B7421,""en"",""de"")"),"Sie tanzt weiter herum, während sie zur Kamera lächelt und endet, indem sie weggeht und der Kamera zwei Friedensschilder gibt.")</f>
        <v>Sie tanzt weiter herum, während sie zur Kamera lächelt und endet, indem sie weggeht und der Kamera zwei Friedensschilder gibt.</v>
      </c>
    </row>
    <row r="7422">
      <c r="A7422" s="4" t="s">
        <v>9333</v>
      </c>
      <c r="B7422" s="4" t="s">
        <v>9334</v>
      </c>
      <c r="C7422" s="5" t="str">
        <f>IFERROR(__xludf.DUMMYFUNCTION("GOOGLETRANSLATE(B7422,""en"",""de"")"),"Eine Person geht vor einem Paar Trommeln in den Rahmen.")</f>
        <v>Eine Person geht vor einem Paar Trommeln in den Rahmen.</v>
      </c>
    </row>
    <row r="7423">
      <c r="A7423" s="4" t="s">
        <v>9333</v>
      </c>
      <c r="B7423" s="4" t="s">
        <v>9335</v>
      </c>
      <c r="C7423" s="5" t="str">
        <f>IFERROR(__xludf.DUMMYFUNCTION("GOOGLETRANSLATE(B7423,""en"",""de"")"),"Dann beginnt er, die Schlagzeug zurück und den vierten Platz zu spielen.")</f>
        <v>Dann beginnt er, die Schlagzeug zurück und den vierten Platz zu spielen.</v>
      </c>
    </row>
    <row r="7424">
      <c r="A7424" s="4" t="s">
        <v>9333</v>
      </c>
      <c r="B7424" s="4" t="s">
        <v>9336</v>
      </c>
      <c r="C7424" s="5" t="str">
        <f>IFERROR(__xludf.DUMMYFUNCTION("GOOGLETRANSLATE(B7424,""en"",""de"")"),"Er spielt weiterhin am Schlagzeug und endet, indem er die Kamera ausschaltet.")</f>
        <v>Er spielt weiterhin am Schlagzeug und endet, indem er die Kamera ausschaltet.</v>
      </c>
    </row>
    <row r="7425">
      <c r="A7425" s="4" t="s">
        <v>9337</v>
      </c>
      <c r="B7425" s="4" t="s">
        <v>9338</v>
      </c>
      <c r="C7425" s="5" t="str">
        <f>IFERROR(__xludf.DUMMYFUNCTION("GOOGLETRANSLATE(B7425,""en"",""de"")"),"Ein junges Mädchen führt ihre Gymnastikroutine auf dem Balancestrahl durch.")</f>
        <v>Ein junges Mädchen führt ihre Gymnastikroutine auf dem Balancestrahl durch.</v>
      </c>
    </row>
    <row r="7426">
      <c r="A7426" s="4" t="s">
        <v>9337</v>
      </c>
      <c r="B7426" s="4" t="s">
        <v>9339</v>
      </c>
      <c r="C7426" s="5" t="str">
        <f>IFERROR(__xludf.DUMMYFUNCTION("GOOGLETRANSLATE(B7426,""en"",""de"")"),"Das junge Mädchen steigt auf den Balken und setzt ihre Routine fort.")</f>
        <v>Das junge Mädchen steigt auf den Balken und setzt ihre Routine fort.</v>
      </c>
    </row>
    <row r="7427">
      <c r="A7427" s="4" t="s">
        <v>9337</v>
      </c>
      <c r="B7427" s="4" t="s">
        <v>9340</v>
      </c>
      <c r="C7427" s="5" t="str">
        <f>IFERROR(__xludf.DUMMYFUNCTION("GOOGLETRANSLATE(B7427,""en"",""de"")"),"Das junge Mädchen fällt vom Strahl.")</f>
        <v>Das junge Mädchen fällt vom Strahl.</v>
      </c>
    </row>
    <row r="7428">
      <c r="A7428" s="4" t="s">
        <v>9337</v>
      </c>
      <c r="B7428" s="4" t="s">
        <v>9341</v>
      </c>
      <c r="C7428" s="5" t="str">
        <f>IFERROR(__xludf.DUMMYFUNCTION("GOOGLETRANSLATE(B7428,""en"",""de"")"),"Das junge Mädchen steigt wieder auf den Balken und beendet ihre Routine.")</f>
        <v>Das junge Mädchen steigt wieder auf den Balken und beendet ihre Routine.</v>
      </c>
    </row>
    <row r="7429">
      <c r="A7429" s="4" t="s">
        <v>9342</v>
      </c>
      <c r="B7429" s="4" t="s">
        <v>9343</v>
      </c>
      <c r="C7429" s="5" t="str">
        <f>IFERROR(__xludf.DUMMYFUNCTION("GOOGLETRANSLATE(B7429,""en"",""de"")"),"Ein Mann mit weißem Hemd steht vor einer Maschine.")</f>
        <v>Ein Mann mit weißem Hemd steht vor einer Maschine.</v>
      </c>
    </row>
    <row r="7430">
      <c r="A7430" s="4" t="s">
        <v>9342</v>
      </c>
      <c r="B7430" s="4" t="s">
        <v>9344</v>
      </c>
      <c r="C7430" s="5" t="str">
        <f>IFERROR(__xludf.DUMMYFUNCTION("GOOGLETRANSLATE(B7430,""en"",""de"")"),"Er drehte sich um und zeigte die Maschine.")</f>
        <v>Er drehte sich um und zeigte die Maschine.</v>
      </c>
    </row>
    <row r="7431">
      <c r="A7431" s="4" t="s">
        <v>9342</v>
      </c>
      <c r="B7431" s="4" t="s">
        <v>9345</v>
      </c>
      <c r="C7431" s="5" t="str">
        <f>IFERROR(__xludf.DUMMYFUNCTION("GOOGLETRANSLATE(B7431,""en"",""de"")"),"Die Maschine wird gezeigt.")</f>
        <v>Die Maschine wird gezeigt.</v>
      </c>
    </row>
    <row r="7432">
      <c r="A7432" s="4" t="s">
        <v>9342</v>
      </c>
      <c r="B7432" s="4" t="s">
        <v>9346</v>
      </c>
      <c r="C7432" s="5" t="str">
        <f>IFERROR(__xludf.DUMMYFUNCTION("GOOGLETRANSLATE(B7432,""en"",""de"")"),"Ein Mann, der ein weißes Hemd trägt, redet weiter, während hinter ihm ein Mann im grauen Hemd ging und etwas in der Maschine erreicht.")</f>
        <v>Ein Mann, der ein weißes Hemd trägt, redet weiter, während hinter ihm ein Mann im grauen Hemd ging und etwas in der Maschine erreicht.</v>
      </c>
    </row>
    <row r="7433">
      <c r="A7433" s="4" t="s">
        <v>9342</v>
      </c>
      <c r="B7433" s="4" t="s">
        <v>9347</v>
      </c>
      <c r="C7433" s="5" t="str">
        <f>IFERROR(__xludf.DUMMYFUNCTION("GOOGLETRANSLATE(B7433,""en"",""de"")"),"Der Mann im grauen Hemd legte ein pudriges Zeug in die Maschine.")</f>
        <v>Der Mann im grauen Hemd legte ein pudriges Zeug in die Maschine.</v>
      </c>
    </row>
    <row r="7434">
      <c r="A7434" s="4" t="s">
        <v>9342</v>
      </c>
      <c r="B7434" s="4" t="s">
        <v>9348</v>
      </c>
      <c r="C7434" s="5" t="str">
        <f>IFERROR(__xludf.DUMMYFUNCTION("GOOGLETRANSLATE(B7434,""en"",""de"")"),"Er schüttelt die Tasche.")</f>
        <v>Er schüttelt die Tasche.</v>
      </c>
    </row>
    <row r="7435">
      <c r="A7435" s="4" t="s">
        <v>9342</v>
      </c>
      <c r="B7435" s="4" t="s">
        <v>9349</v>
      </c>
      <c r="C7435" s="5" t="str">
        <f>IFERROR(__xludf.DUMMYFUNCTION("GOOGLETRANSLATE(B7435,""en"",""de"")"),"Der Mann im weißen Hemd legt Zement an die Wand.")</f>
        <v>Der Mann im weißen Hemd legt Zement an die Wand.</v>
      </c>
    </row>
    <row r="7436">
      <c r="A7436" s="4" t="s">
        <v>9342</v>
      </c>
      <c r="B7436" s="4" t="s">
        <v>9350</v>
      </c>
      <c r="C7436" s="5" t="str">
        <f>IFERROR(__xludf.DUMMYFUNCTION("GOOGLETRANSLATE(B7436,""en"",""de"")"),"Der Mann hält einen blauen langen Röhrchen an der Wand.")</f>
        <v>Der Mann hält einen blauen langen Röhrchen an der Wand.</v>
      </c>
    </row>
    <row r="7437">
      <c r="A7437" s="4" t="s">
        <v>9342</v>
      </c>
      <c r="B7437" s="4" t="s">
        <v>9351</v>
      </c>
      <c r="C7437" s="5" t="str">
        <f>IFERROR(__xludf.DUMMYFUNCTION("GOOGLETRANSLATE(B7437,""en"",""de"")"),"Der Mann in grauer Uniform verwendete die Röhre/Pumpe und sprühte den Zement an der Wand.")</f>
        <v>Der Mann in grauer Uniform verwendete die Röhre/Pumpe und sprühte den Zement an der Wand.</v>
      </c>
    </row>
    <row r="7438">
      <c r="A7438" s="4" t="s">
        <v>9342</v>
      </c>
      <c r="B7438" s="4" t="s">
        <v>9352</v>
      </c>
      <c r="C7438" s="5" t="str">
        <f>IFERROR(__xludf.DUMMYFUNCTION("GOOGLETRANSLATE(B7438,""en"",""de"")"),"Ein alter Mann glättet den Zement an der Wand.")</f>
        <v>Ein alter Mann glättet den Zement an der Wand.</v>
      </c>
    </row>
    <row r="7439">
      <c r="A7439" s="4" t="s">
        <v>9353</v>
      </c>
      <c r="B7439" s="4" t="s">
        <v>9354</v>
      </c>
      <c r="C7439" s="5" t="str">
        <f>IFERROR(__xludf.DUMMYFUNCTION("GOOGLETRANSLATE(B7439,""en"",""de"")"),"Eine Lady Hula Hoop mit fünf Hula -Reifen und nacheinander nimmt sie sie aus und wirft es, bis sie alle fünf Hula -Reifen weg warf, mit der sie Hula Hooping war.")</f>
        <v>Eine Lady Hula Hoop mit fünf Hula -Reifen und nacheinander nimmt sie sie aus und wirft es, bis sie alle fünf Hula -Reifen weg warf, mit der sie Hula Hooping war.</v>
      </c>
    </row>
    <row r="7440">
      <c r="A7440" s="4" t="s">
        <v>9353</v>
      </c>
      <c r="B7440" s="4" t="s">
        <v>9355</v>
      </c>
      <c r="C7440" s="5" t="str">
        <f>IFERROR(__xludf.DUMMYFUNCTION("GOOGLETRANSLATE(B7440,""en"",""de"")"),"Die Dame, dann Hula Hoops mit 300 Hula Hoops mit wird ein Weltrekord sein.")</f>
        <v>Die Dame, dann Hula Hoops mit 300 Hula Hoops mit wird ein Weltrekord sein.</v>
      </c>
    </row>
    <row r="7441">
      <c r="A7441" s="4" t="s">
        <v>9353</v>
      </c>
      <c r="B7441" s="4" t="s">
        <v>9356</v>
      </c>
      <c r="C7441" s="5" t="str">
        <f>IFERROR(__xludf.DUMMYFUNCTION("GOOGLETRANSLATE(B7441,""en"",""de"")"),"Die Dame beginnt zunächst die 300 Hula -Hoops um ihren Körper, als sie sich beugt, um sie gut zu packen, sie steht direkt nach oben und beginnt, alle 300 Hula -Reifen um ihren Körper um ihren Körper zu verdrehen.")</f>
        <v>Die Dame beginnt zunächst die 300 Hula -Hoops um ihren Körper, als sie sich beugt, um sie gut zu packen, sie steht direkt nach oben und beginnt, alle 300 Hula -Reifen um ihren Körper um ihren Körper zu verdrehen.</v>
      </c>
    </row>
    <row r="7442">
      <c r="A7442" s="4" t="s">
        <v>9353</v>
      </c>
      <c r="B7442" s="4" t="s">
        <v>9357</v>
      </c>
      <c r="C7442" s="5" t="str">
        <f>IFERROR(__xludf.DUMMYFUNCTION("GOOGLETRANSLATE(B7442,""en"",""de"")"),"Schließlich schafft sie es, den ganzen Hula -Hoop um ihren Lochkörper zu verdrehen und mit den Hula -Hoops auf dem Boden endet und sie zu den Menschen schmerzt, die sie beobachten.")</f>
        <v>Schließlich schafft sie es, den ganzen Hula -Hoop um ihren Lochkörper zu verdrehen und mit den Hula -Hoops auf dem Boden endet und sie zu den Menschen schmerzt, die sie beobachten.</v>
      </c>
    </row>
    <row r="7443">
      <c r="A7443" s="4" t="s">
        <v>9358</v>
      </c>
      <c r="B7443" s="4" t="s">
        <v>9359</v>
      </c>
      <c r="C7443" s="5" t="str">
        <f>IFERROR(__xludf.DUMMYFUNCTION("GOOGLETRANSLATE(B7443,""en"",""de"")"),"Ein Mann wird am Straßenrand joggen und mit der Kamera sprechen.")</f>
        <v>Ein Mann wird am Straßenrand joggen und mit der Kamera sprechen.</v>
      </c>
    </row>
    <row r="7444">
      <c r="A7444" s="4" t="s">
        <v>9358</v>
      </c>
      <c r="B7444" s="4" t="s">
        <v>9360</v>
      </c>
      <c r="C7444" s="5" t="str">
        <f>IFERROR(__xludf.DUMMYFUNCTION("GOOGLETRANSLATE(B7444,""en"",""de"")"),"Es werden Clips gezeigt, die sich auf der Seite aufwärmen und entlang der Berge entlang laufen.")</f>
        <v>Es werden Clips gezeigt, die sich auf der Seite aufwärmen und entlang der Berge entlang laufen.</v>
      </c>
    </row>
    <row r="7445">
      <c r="A7445" s="4" t="s">
        <v>9358</v>
      </c>
      <c r="B7445" s="4" t="s">
        <v>9361</v>
      </c>
      <c r="C7445" s="5" t="str">
        <f>IFERROR(__xludf.DUMMYFUNCTION("GOOGLETRANSLATE(B7445,""en"",""de"")"),"Er spricht weiter mit der Kamera, während er in einer Nachbarschaft herumläuft und Leute, die seine Bewegungen zeigen.")</f>
        <v>Er spricht weiter mit der Kamera, während er in einer Nachbarschaft herumläuft und Leute, die seine Bewegungen zeigen.</v>
      </c>
    </row>
    <row r="7446">
      <c r="A7446" s="4" t="s">
        <v>9362</v>
      </c>
      <c r="B7446" s="4" t="s">
        <v>9363</v>
      </c>
      <c r="C7446" s="5" t="str">
        <f>IFERROR(__xludf.DUMMYFUNCTION("GOOGLETRANSLATE(B7446,""en"",""de"")"),"Ein Mann steht hinter zwei umgekehrten Trommeln.")</f>
        <v>Ein Mann steht hinter zwei umgekehrten Trommeln.</v>
      </c>
    </row>
    <row r="7447">
      <c r="A7447" s="4" t="s">
        <v>9362</v>
      </c>
      <c r="B7447" s="4" t="s">
        <v>9364</v>
      </c>
      <c r="C7447" s="5" t="str">
        <f>IFERROR(__xludf.DUMMYFUNCTION("GOOGLETRANSLATE(B7447,""en"",""de"")"),"Er beginnt sie mit kleinen Stöcken zu spielen.")</f>
        <v>Er beginnt sie mit kleinen Stöcken zu spielen.</v>
      </c>
    </row>
    <row r="7448">
      <c r="A7448" s="4" t="s">
        <v>9362</v>
      </c>
      <c r="B7448" s="4" t="s">
        <v>9365</v>
      </c>
      <c r="C7448" s="5" t="str">
        <f>IFERROR(__xludf.DUMMYFUNCTION("GOOGLETRANSLATE(B7448,""en"",""de"")"),"Er beendet das Spielen und geht weg.")</f>
        <v>Er beendet das Spielen und geht weg.</v>
      </c>
    </row>
    <row r="7449">
      <c r="A7449" s="4" t="s">
        <v>9366</v>
      </c>
      <c r="B7449" s="4" t="s">
        <v>9367</v>
      </c>
      <c r="C7449" s="5" t="str">
        <f>IFERROR(__xludf.DUMMYFUNCTION("GOOGLETRANSLATE(B7449,""en"",""de"")"),"Ein sportlicher Mann steht vor einem Strahl und beginnt eine Gymnastikroutine durchzuführen.")</f>
        <v>Ein sportlicher Mann steht vor einem Strahl und beginnt eine Gymnastikroutine durchzuführen.</v>
      </c>
    </row>
    <row r="7450">
      <c r="A7450" s="4" t="s">
        <v>9366</v>
      </c>
      <c r="B7450" s="4" t="s">
        <v>9368</v>
      </c>
      <c r="C7450" s="5" t="str">
        <f>IFERROR(__xludf.DUMMYFUNCTION("GOOGLETRANSLATE(B7450,""en"",""de"")"),"Er schwingt sich um und herum und führt um Flips und Tricks und endet, indem er die Menge küsst und weggeht.")</f>
        <v>Er schwingt sich um und herum und führt um Flips und Tricks und endet, indem er die Menge küsst und weggeht.</v>
      </c>
    </row>
    <row r="7451">
      <c r="A7451" s="4" t="s">
        <v>9369</v>
      </c>
      <c r="B7451" s="4" t="s">
        <v>9370</v>
      </c>
      <c r="C7451" s="5" t="str">
        <f>IFERROR(__xludf.DUMMYFUNCTION("GOOGLETRANSLATE(B7451,""en"",""de"")"),"Ein Spezialeffekt -Intro -Bildschirm erscheint, der hauptsächlich blaue und weiße Wörter in der Mitte des Bildschirms erscheint, und sie lesen ""Seilspringen"".")</f>
        <v>Ein Spezialeffekt -Intro -Bildschirm erscheint, der hauptsächlich blaue und weiße Wörter in der Mitte des Bildschirms erscheint, und sie lesen "Seilspringen".</v>
      </c>
    </row>
    <row r="7452">
      <c r="A7452" s="4" t="s">
        <v>9369</v>
      </c>
      <c r="B7452" s="4" t="s">
        <v>9371</v>
      </c>
      <c r="C7452" s="5" t="str">
        <f>IFERROR(__xludf.DUMMYFUNCTION("GOOGLETRANSLATE(B7452,""en"",""de"")"),"Hinter den Worten gibt es 4 Mädchen mit eigenen Sprungseilen und sie sind alle separat und schließlich springen im Einklang.")</f>
        <v>Hinter den Worten gibt es 4 Mädchen mit eigenen Sprungseilen und sie sind alle separat und schließlich springen im Einklang.</v>
      </c>
    </row>
    <row r="7453">
      <c r="A7453" s="4" t="s">
        <v>9369</v>
      </c>
      <c r="B7453" s="4" t="s">
        <v>9372</v>
      </c>
      <c r="C7453" s="5" t="str">
        <f>IFERROR(__xludf.DUMMYFUNCTION("GOOGLETRANSLATE(B7453,""en"",""de"")"),"Auf dem Bildschirm erscheinen weiße Wörter mit der Aufschrift ""Klasse 7c/FR Leifels"", die Mädchen fallen auf den Boden, um ihre Routine zu beenden, und sie lächeln und sehen sich um.")</f>
        <v>Auf dem Bildschirm erscheinen weiße Wörter mit der Aufschrift "Klasse 7c/FR Leifels", die Mädchen fallen auf den Boden, um ihre Routine zu beenden, und sie lächeln und sehen sich um.</v>
      </c>
    </row>
    <row r="7454">
      <c r="A7454" s="4" t="s">
        <v>9373</v>
      </c>
      <c r="B7454" s="4" t="s">
        <v>9374</v>
      </c>
      <c r="C7454" s="5" t="str">
        <f>IFERROR(__xludf.DUMMYFUNCTION("GOOGLETRANSLATE(B7454,""en"",""de"")"),"Ein Mann in einem grauen Print -Hoodie steht an einer Wand und erklärt sich dann, dass er ein Tutorial für einige Tricks geben wird.")</f>
        <v>Ein Mann in einem grauen Print -Hoodie steht an einer Wand und erklärt sich dann, dass er ein Tutorial für einige Tricks geben wird.</v>
      </c>
    </row>
    <row r="7455">
      <c r="A7455" s="4" t="s">
        <v>9373</v>
      </c>
      <c r="B7455" s="4" t="s">
        <v>9375</v>
      </c>
      <c r="C7455" s="5" t="str">
        <f>IFERROR(__xludf.DUMMYFUNCTION("GOOGLETRANSLATE(B7455,""en"",""de"")"),"Eine Stop -Start -Animation mit einem Schreibtischkalender wird mit Flip -Animationszeichnungen angezeigt, die sich in eine gerahmte Animation einfügen, die zum Titel der Gruppe und des Skateboard -Tutorials führt, das sie erklären werden.")</f>
        <v>Eine Stop -Start -Animation mit einem Schreibtischkalender wird mit Flip -Animationszeichnungen angezeigt, die sich in eine gerahmte Animation einfügen, die zum Titel der Gruppe und des Skateboard -Tutorials führt, das sie erklären werden.</v>
      </c>
    </row>
    <row r="7456">
      <c r="A7456" s="4" t="s">
        <v>9373</v>
      </c>
      <c r="B7456" s="4" t="s">
        <v>9376</v>
      </c>
      <c r="C7456" s="5" t="str">
        <f>IFERROR(__xludf.DUMMYFUNCTION("GOOGLETRANSLATE(B7456,""en"",""de"")"),"Aufnahmen eines Skateboarders, der vor einer Kamera einen Trick macht, folgt der Mann im grauen Hoodie, der erklärt, dass er zeigen wird den Trick lernen.")</f>
        <v>Aufnahmen eines Skateboarders, der vor einer Kamera einen Trick macht, folgt der Mann im grauen Hoodie, der erklärt, dass er zeigen wird den Trick lernen.</v>
      </c>
    </row>
    <row r="7457">
      <c r="A7457" s="4" t="s">
        <v>9373</v>
      </c>
      <c r="B7457" s="4" t="s">
        <v>9377</v>
      </c>
      <c r="C7457" s="5" t="str">
        <f>IFERROR(__xludf.DUMMYFUNCTION("GOOGLETRANSLATE(B7457,""en"",""de"")"),"Anschließend geht er in die Erklärung ein, wie man den Trick ausführlich macht und dass Filmmaterial gezeigt wird, während er über den Trick spricht.")</f>
        <v>Anschließend geht er in die Erklärung ein, wie man den Trick ausführlich macht und dass Filmmaterial gezeigt wird, während er über den Trick spricht.</v>
      </c>
    </row>
    <row r="7458">
      <c r="A7458" s="4" t="s">
        <v>9373</v>
      </c>
      <c r="B7458" s="4" t="s">
        <v>9378</v>
      </c>
      <c r="C7458" s="5" t="str">
        <f>IFERROR(__xludf.DUMMYFUNCTION("GOOGLETRANSLATE(B7458,""en"",""de"")"),"Die Kamera schwenkt und ein schwarzer Bildschirm erscheint mit weißen Buchstaben und einer Website -Adresse, gefolgt von einem Filmunternehmen und einem Site -Kanal.")</f>
        <v>Die Kamera schwenkt und ein schwarzer Bildschirm erscheint mit weißen Buchstaben und einer Website -Adresse, gefolgt von einem Filmunternehmen und einem Site -Kanal.</v>
      </c>
    </row>
    <row r="7459">
      <c r="A7459" s="4" t="s">
        <v>9379</v>
      </c>
      <c r="B7459" s="4" t="s">
        <v>9380</v>
      </c>
      <c r="C7459" s="5" t="str">
        <f>IFERROR(__xludf.DUMMYFUNCTION("GOOGLETRANSLATE(B7459,""en"",""de"")"),"Ein Mann wird gezeigt, der eine Zigarette raucht, während mehrere Hunde an Ketten an seinem Gürtel befestigt sind.")</f>
        <v>Ein Mann wird gezeigt, der eine Zigarette raucht, während mehrere Hunde an Ketten an seinem Gürtel befestigt sind.</v>
      </c>
    </row>
    <row r="7460">
      <c r="A7460" s="4" t="s">
        <v>9379</v>
      </c>
      <c r="B7460" s="4" t="s">
        <v>9381</v>
      </c>
      <c r="C7460" s="5" t="str">
        <f>IFERROR(__xludf.DUMMYFUNCTION("GOOGLETRANSLATE(B7460,""en"",""de"")"),"Ein Mann spricht hinter einem Tisch.")</f>
        <v>Ein Mann spricht hinter einem Tisch.</v>
      </c>
    </row>
    <row r="7461">
      <c r="A7461" s="4" t="s">
        <v>9379</v>
      </c>
      <c r="B7461" s="4" t="s">
        <v>9382</v>
      </c>
      <c r="C7461" s="5" t="str">
        <f>IFERROR(__xludf.DUMMYFUNCTION("GOOGLETRANSLATE(B7461,""en"",""de"")"),"Anschließend werden vom Schauspieler mehrere Szenen gezeigt, während die Nachrichten Person über ihn spricht.")</f>
        <v>Anschließend werden vom Schauspieler mehrere Szenen gezeigt, während die Nachrichten Person über ihn spricht.</v>
      </c>
    </row>
    <row r="7462">
      <c r="A7462" s="4" t="s">
        <v>9383</v>
      </c>
      <c r="B7462" s="4" t="s">
        <v>9384</v>
      </c>
      <c r="C7462" s="5" t="str">
        <f>IFERROR(__xludf.DUMMYFUNCTION("GOOGLETRANSLATE(B7462,""en"",""de"")"),"Eine Frau bereitet sich bereit, ihren Hund in ihrem Vorgarten zu baden.")</f>
        <v>Eine Frau bereitet sich bereit, ihren Hund in ihrem Vorgarten zu baden.</v>
      </c>
    </row>
    <row r="7463">
      <c r="A7463" s="4" t="s">
        <v>9383</v>
      </c>
      <c r="B7463" s="4" t="s">
        <v>9385</v>
      </c>
      <c r="C7463" s="5" t="str">
        <f>IFERROR(__xludf.DUMMYFUNCTION("GOOGLETRANSLATE(B7463,""en"",""de"")"),"Sie nimmt einen Schlauch und trägt den Hund zuerst.")</f>
        <v>Sie nimmt einen Schlauch und trägt den Hund zuerst.</v>
      </c>
    </row>
    <row r="7464">
      <c r="A7464" s="4" t="s">
        <v>9383</v>
      </c>
      <c r="B7464" s="4" t="s">
        <v>9386</v>
      </c>
      <c r="C7464" s="5" t="str">
        <f>IFERROR(__xludf.DUMMYFUNCTION("GOOGLETRANSLATE(B7464,""en"",""de"")"),"Es gibt noch einen kleinen Welpen um den Hund und ein kleines Kätzchen.")</f>
        <v>Es gibt noch einen kleinen Welpen um den Hund und ein kleines Kätzchen.</v>
      </c>
    </row>
    <row r="7465">
      <c r="A7465" s="4" t="s">
        <v>9383</v>
      </c>
      <c r="B7465" s="4" t="s">
        <v>9387</v>
      </c>
      <c r="C7465" s="5" t="str">
        <f>IFERROR(__xludf.DUMMYFUNCTION("GOOGLETRANSLATE(B7465,""en"",""de"")"),"Die Frau nimmt eine flüssige Seife und schrubbt sie auf den Hund.")</f>
        <v>Die Frau nimmt eine flüssige Seife und schrubbt sie auf den Hund.</v>
      </c>
    </row>
    <row r="7466">
      <c r="A7466" s="4" t="s">
        <v>9383</v>
      </c>
      <c r="B7466" s="4" t="s">
        <v>9388</v>
      </c>
      <c r="C7466" s="5" t="str">
        <f>IFERROR(__xludf.DUMMYFUNCTION("GOOGLETRANSLATE(B7466,""en"",""de"")"),"Nachdem sie das Waschen abgeschlossen hat, wischt sie ihn mit einem Handtuch trocken.")</f>
        <v>Nachdem sie das Waschen abgeschlossen hat, wischt sie ihn mit einem Handtuch trocken.</v>
      </c>
    </row>
    <row r="7467">
      <c r="A7467" s="4" t="s">
        <v>9383</v>
      </c>
      <c r="B7467" s="4" t="s">
        <v>9389</v>
      </c>
      <c r="C7467" s="5" t="str">
        <f>IFERROR(__xludf.DUMMYFUNCTION("GOOGLETRANSLATE(B7467,""en"",""de"")"),"Dann badet sie den kleinen Welpen genauso mit Seife und Wasser.")</f>
        <v>Dann badet sie den kleinen Welpen genauso mit Seife und Wasser.</v>
      </c>
    </row>
    <row r="7468">
      <c r="A7468" s="4" t="s">
        <v>9383</v>
      </c>
      <c r="B7468" s="4" t="s">
        <v>9390</v>
      </c>
      <c r="C7468" s="5" t="str">
        <f>IFERROR(__xludf.DUMMYFUNCTION("GOOGLETRANSLATE(B7468,""en"",""de"")"),"Der Hund spielt auf einem Teppich, nachdem das Bad mit nassem Fell an seinem Körper vorbei ist.")</f>
        <v>Der Hund spielt auf einem Teppich, nachdem das Bad mit nassem Fell an seinem Körper vorbei ist.</v>
      </c>
    </row>
    <row r="7469">
      <c r="A7469" s="4" t="s">
        <v>9383</v>
      </c>
      <c r="B7469" s="4" t="s">
        <v>9391</v>
      </c>
      <c r="C7469" s="5" t="str">
        <f>IFERROR(__xludf.DUMMYFUNCTION("GOOGLETRANSLATE(B7469,""en"",""de"")"),"Der kleine Welpe rennt auch mit nassem Fell um den Hund.")</f>
        <v>Der kleine Welpe rennt auch mit nassem Fell um den Hund.</v>
      </c>
    </row>
    <row r="7470">
      <c r="A7470" s="4" t="s">
        <v>9392</v>
      </c>
      <c r="B7470" s="4" t="s">
        <v>9393</v>
      </c>
      <c r="C7470" s="5" t="str">
        <f>IFERROR(__xludf.DUMMYFUNCTION("GOOGLETRANSLATE(B7470,""en"",""de"")"),"Ein Tablett mit Keksen wird gezeigt, gefolgt von Butter in einer Schüssel geschlagen.")</f>
        <v>Ein Tablett mit Keksen wird gezeigt, gefolgt von Butter in einer Schüssel geschlagen.</v>
      </c>
    </row>
    <row r="7471">
      <c r="A7471" s="4" t="s">
        <v>9392</v>
      </c>
      <c r="B7471" s="4" t="s">
        <v>9394</v>
      </c>
      <c r="C7471" s="5" t="str">
        <f>IFERROR(__xludf.DUMMYFUNCTION("GOOGLETRANSLATE(B7471,""en"",""de"")"),"Zutaten werden einzeln hinzugefügt und mischen sie alle zusammen.")</f>
        <v>Zutaten werden einzeln hinzugefügt und mischen sie alle zusammen.</v>
      </c>
    </row>
    <row r="7472">
      <c r="A7472" s="4" t="s">
        <v>9392</v>
      </c>
      <c r="B7472" s="4" t="s">
        <v>9395</v>
      </c>
      <c r="C7472" s="5" t="str">
        <f>IFERROR(__xludf.DUMMYFUNCTION("GOOGLETRANSLATE(B7472,""en"",""de"")"),"Der Teig wird auf das Tablett gelobt und dann gebacken.")</f>
        <v>Der Teig wird auf das Tablett gelobt und dann gebacken.</v>
      </c>
    </row>
    <row r="7473">
      <c r="A7473" s="4" t="s">
        <v>9396</v>
      </c>
      <c r="B7473" s="4" t="s">
        <v>9397</v>
      </c>
      <c r="C7473" s="5" t="str">
        <f>IFERROR(__xludf.DUMMYFUNCTION("GOOGLETRANSLATE(B7473,""en"",""de"")"),"Eine Frau steht in einem Raum und redet.")</f>
        <v>Eine Frau steht in einem Raum und redet.</v>
      </c>
    </row>
    <row r="7474">
      <c r="A7474" s="4" t="s">
        <v>9396</v>
      </c>
      <c r="B7474" s="4" t="s">
        <v>9398</v>
      </c>
      <c r="C7474" s="5" t="str">
        <f>IFERROR(__xludf.DUMMYFUNCTION("GOOGLETRANSLATE(B7474,""en"",""de"")"),"Sie nimmt eine Plastikflasche auf.")</f>
        <v>Sie nimmt eine Plastikflasche auf.</v>
      </c>
    </row>
    <row r="7475">
      <c r="A7475" s="4" t="s">
        <v>9396</v>
      </c>
      <c r="B7475" s="4" t="s">
        <v>9399</v>
      </c>
      <c r="C7475" s="5" t="str">
        <f>IFERROR(__xludf.DUMMYFUNCTION("GOOGLETRANSLATE(B7475,""en"",""de"")"),"Sie fängt an, eine Kommode zu bestäuben.")</f>
        <v>Sie fängt an, eine Kommode zu bestäuben.</v>
      </c>
    </row>
    <row r="7476">
      <c r="A7476" s="4" t="s">
        <v>9396</v>
      </c>
      <c r="B7476" s="4" t="s">
        <v>9400</v>
      </c>
      <c r="C7476" s="5" t="str">
        <f>IFERROR(__xludf.DUMMYFUNCTION("GOOGLETRANSLATE(B7476,""en"",""de"")"),"Sie wischt es mit einem Handtuch ab.")</f>
        <v>Sie wischt es mit einem Handtuch ab.</v>
      </c>
    </row>
    <row r="7477">
      <c r="A7477" s="4" t="s">
        <v>9396</v>
      </c>
      <c r="B7477" s="4" t="s">
        <v>9401</v>
      </c>
      <c r="C7477" s="5" t="str">
        <f>IFERROR(__xludf.DUMMYFUNCTION("GOOGLETRANSLATE(B7477,""en"",""de"")"),"Sie wirft Olivenöl auf einen Lappen und reibt es auf die Kommode.")</f>
        <v>Sie wirft Olivenöl auf einen Lappen und reibt es auf die Kommode.</v>
      </c>
    </row>
    <row r="7478">
      <c r="A7478" s="4" t="s">
        <v>9402</v>
      </c>
      <c r="B7478" s="4" t="s">
        <v>9403</v>
      </c>
      <c r="C7478" s="5" t="str">
        <f>IFERROR(__xludf.DUMMYFUNCTION("GOOGLETRANSLATE(B7478,""en"",""de"")"),"Das Team befindet sich in einem Gericht, das Futsal spielt und durch das Platz läuft, während die Leute auf Ständen sitzen.")</f>
        <v>Das Team befindet sich in einem Gericht, das Futsal spielt und durch das Platz läuft, während die Leute auf Ständen sitzen.</v>
      </c>
    </row>
    <row r="7479">
      <c r="A7479" s="4" t="s">
        <v>9402</v>
      </c>
      <c r="B7479" s="4" t="s">
        <v>9404</v>
      </c>
      <c r="C7479" s="5" t="str">
        <f>IFERROR(__xludf.DUMMYFUNCTION("GOOGLETRANSLATE(B7479,""en"",""de"")"),"Das Team steht auf den Seiten, die eine Strafe verlangen.")</f>
        <v>Das Team steht auf den Seiten, die eine Strafe verlangen.</v>
      </c>
    </row>
    <row r="7480">
      <c r="A7480" s="4" t="s">
        <v>9402</v>
      </c>
      <c r="B7480" s="4" t="s">
        <v>9405</v>
      </c>
      <c r="C7480" s="5" t="str">
        <f>IFERROR(__xludf.DUMMYFUNCTION("GOOGLETRANSLATE(B7480,""en"",""de"")"),"Die Leute spielen in einem überdachten Fitnessstudio und wach das Spiel.")</f>
        <v>Die Leute spielen in einem überdachten Fitnessstudio und wach das Spiel.</v>
      </c>
    </row>
    <row r="7481">
      <c r="A7481" s="4" t="s">
        <v>9406</v>
      </c>
      <c r="B7481" s="4" t="s">
        <v>9407</v>
      </c>
      <c r="C7481" s="5" t="str">
        <f>IFERROR(__xludf.DUMMYFUNCTION("GOOGLETRANSLATE(B7481,""en"",""de"")"),"Wir sehen einen Mann reden, während wir durch ein Haus gehen.")</f>
        <v>Wir sehen einen Mann reden, während wir durch ein Haus gehen.</v>
      </c>
    </row>
    <row r="7482">
      <c r="A7482" s="4" t="s">
        <v>9406</v>
      </c>
      <c r="B7482" s="4" t="s">
        <v>9408</v>
      </c>
      <c r="C7482" s="5" t="str">
        <f>IFERROR(__xludf.DUMMYFUNCTION("GOOGLETRANSLATE(B7482,""en"",""de"")"),"Wir sehen einen anderen Mann, der auf dem Boden arbeitet.")</f>
        <v>Wir sehen einen anderen Mann, der auf dem Boden arbeitet.</v>
      </c>
    </row>
    <row r="7483">
      <c r="A7483" s="4" t="s">
        <v>9406</v>
      </c>
      <c r="B7483" s="4" t="s">
        <v>9409</v>
      </c>
      <c r="C7483" s="5" t="str">
        <f>IFERROR(__xludf.DUMMYFUNCTION("GOOGLETRANSLATE(B7483,""en"",""de"")"),"Wir sehen einen Mann, der Fliese in einem anderen Raum legt.")</f>
        <v>Wir sehen einen Mann, der Fliese in einem anderen Raum legt.</v>
      </c>
    </row>
    <row r="7484">
      <c r="A7484" s="4" t="s">
        <v>9406</v>
      </c>
      <c r="B7484" s="4" t="s">
        <v>9410</v>
      </c>
      <c r="C7484" s="5" t="str">
        <f>IFERROR(__xludf.DUMMYFUNCTION("GOOGLETRANSLATE(B7484,""en"",""de"")"),"Zwei Männer befinden sich im selben Raum, der an verschiedenen Projekten arbeitet.")</f>
        <v>Zwei Männer befinden sich im selben Raum, der an verschiedenen Projekten arbeitet.</v>
      </c>
    </row>
    <row r="7485">
      <c r="A7485" s="4" t="s">
        <v>9406</v>
      </c>
      <c r="B7485" s="4" t="s">
        <v>9411</v>
      </c>
      <c r="C7485" s="5" t="str">
        <f>IFERROR(__xludf.DUMMYFUNCTION("GOOGLETRANSLATE(B7485,""en"",""de"")"),"Wir sehen den Mann wieder mit der Kamera sprechen.")</f>
        <v>Wir sehen den Mann wieder mit der Kamera sprechen.</v>
      </c>
    </row>
    <row r="7486">
      <c r="A7486" s="4" t="s">
        <v>9412</v>
      </c>
      <c r="B7486" s="4" t="s">
        <v>9413</v>
      </c>
      <c r="C7486" s="5" t="str">
        <f>IFERROR(__xludf.DUMMYFUNCTION("GOOGLETRANSLATE(B7486,""en"",""de"")"),"Eine Website -Adresse wird eingegeben.")</f>
        <v>Eine Website -Adresse wird eingegeben.</v>
      </c>
    </row>
    <row r="7487">
      <c r="A7487" s="4" t="s">
        <v>9412</v>
      </c>
      <c r="B7487" s="4" t="s">
        <v>9414</v>
      </c>
      <c r="C7487" s="5" t="str">
        <f>IFERROR(__xludf.DUMMYFUNCTION("GOOGLETRANSLATE(B7487,""en"",""de"")"),"Skateboards skaten und trickten Tricks hinunter und auf Bänken in einer Stadt.")</f>
        <v>Skateboards skaten und trickten Tricks hinunter und auf Bänken in einer Stadt.</v>
      </c>
    </row>
    <row r="7488">
      <c r="A7488" s="4" t="s">
        <v>9412</v>
      </c>
      <c r="B7488" s="4" t="s">
        <v>9415</v>
      </c>
      <c r="C7488" s="5" t="str">
        <f>IFERROR(__xludf.DUMMYFUNCTION("GOOGLETRANSLATE(B7488,""en"",""de"")"),"Ein Skateboarder fährt eine Betonrampe in einem Skatepark.")</f>
        <v>Ein Skateboarder fährt eine Betonrampe in einem Skatepark.</v>
      </c>
    </row>
    <row r="7489">
      <c r="A7489" s="4" t="s">
        <v>9412</v>
      </c>
      <c r="B7489" s="4" t="s">
        <v>9416</v>
      </c>
      <c r="C7489" s="5" t="str">
        <f>IFERROR(__xludf.DUMMYFUNCTION("GOOGLETRANSLATE(B7489,""en"",""de"")"),"Skateboarder fahren die Ufer eines Entwässerungsgrabens.")</f>
        <v>Skateboarder fahren die Ufer eines Entwässerungsgrabens.</v>
      </c>
    </row>
    <row r="7490">
      <c r="A7490" s="4" t="s">
        <v>9412</v>
      </c>
      <c r="B7490" s="4" t="s">
        <v>9417</v>
      </c>
      <c r="C7490" s="5" t="str">
        <f>IFERROR(__xludf.DUMMYFUNCTION("GOOGLETRANSLATE(B7490,""en"",""de"")"),"Verschiedene Skateboarder fahren in einer Betonrampe und machen Tricks.")</f>
        <v>Verschiedene Skateboarder fahren in einer Betonrampe und machen Tricks.</v>
      </c>
    </row>
    <row r="7491">
      <c r="A7491" s="4" t="s">
        <v>9412</v>
      </c>
      <c r="B7491" s="4" t="s">
        <v>9418</v>
      </c>
      <c r="C7491" s="5" t="str">
        <f>IFERROR(__xludf.DUMMYFUNCTION("GOOGLETRANSLATE(B7491,""en"",""de"")"),"Die Stadtlichter sind nachts mit dem Verkehr in schneller Bewegung zu sehen.")</f>
        <v>Die Stadtlichter sind nachts mit dem Verkehr in schneller Bewegung zu sehen.</v>
      </c>
    </row>
    <row r="7492">
      <c r="A7492" s="4" t="s">
        <v>9419</v>
      </c>
      <c r="B7492" s="4" t="s">
        <v>9420</v>
      </c>
      <c r="C7492" s="5" t="str">
        <f>IFERROR(__xludf.DUMMYFUNCTION("GOOGLETRANSLATE(B7492,""en"",""de"")"),"Die Leute tanzen auf einer Bühne.")</f>
        <v>Die Leute tanzen auf einer Bühne.</v>
      </c>
    </row>
    <row r="7493">
      <c r="A7493" s="4" t="s">
        <v>9419</v>
      </c>
      <c r="B7493" s="4" t="s">
        <v>9421</v>
      </c>
      <c r="C7493" s="5" t="str">
        <f>IFERROR(__xludf.DUMMYFUNCTION("GOOGLETRANSLATE(B7493,""en"",""de"")"),"Die Menschen im Publikum heben ihre Hände.")</f>
        <v>Die Menschen im Publikum heben ihre Hände.</v>
      </c>
    </row>
    <row r="7494">
      <c r="A7494" s="4" t="s">
        <v>9419</v>
      </c>
      <c r="B7494" s="4" t="s">
        <v>9422</v>
      </c>
      <c r="C7494" s="5" t="str">
        <f>IFERROR(__xludf.DUMMYFUNCTION("GOOGLETRANSLATE(B7494,""en"",""de"")"),"Ein Mann in einem weißen Hemd singt und tanzt auf der Bühne.")</f>
        <v>Ein Mann in einem weißen Hemd singt und tanzt auf der Bühne.</v>
      </c>
    </row>
    <row r="7495">
      <c r="A7495" s="4" t="s">
        <v>9423</v>
      </c>
      <c r="B7495" s="4" t="s">
        <v>9424</v>
      </c>
      <c r="C7495" s="5" t="str">
        <f>IFERROR(__xludf.DUMMYFUNCTION("GOOGLETRANSLATE(B7495,""en"",""de"")"),"Ein Koch zeigt, wie man mehrere Gemüse schneidet und hackt, während er ein asiatisch inspiriertes Essen vorbereitet.")</f>
        <v>Ein Koch zeigt, wie man mehrere Gemüse schneidet und hackt, während er ein asiatisch inspiriertes Essen vorbereitet.</v>
      </c>
    </row>
    <row r="7496">
      <c r="A7496" s="4" t="s">
        <v>9423</v>
      </c>
      <c r="B7496" s="4" t="s">
        <v>9425</v>
      </c>
      <c r="C7496" s="5" t="str">
        <f>IFERROR(__xludf.DUMMYFUNCTION("GOOGLETRANSLATE(B7496,""en"",""de"")"),"Ein Koch in einem weißen Köche in einer Küche kocht Kartoffeln und Zwiebeln in einem Topf.")</f>
        <v>Ein Koch in einem weißen Köche in einer Küche kocht Kartoffeln und Zwiebeln in einem Topf.</v>
      </c>
    </row>
    <row r="7497">
      <c r="A7497" s="4" t="s">
        <v>9423</v>
      </c>
      <c r="B7497" s="4" t="s">
        <v>9426</v>
      </c>
      <c r="C7497" s="5" t="str">
        <f>IFERROR(__xludf.DUMMYFUNCTION("GOOGLETRANSLATE(B7497,""en"",""de"")"),"Der Küchenchef spricht mit der Kamera und nimmt eine Reihe von Gemüse auf und schüttelt sie auf eine Theke.")</f>
        <v>Der Küchenchef spricht mit der Kamera und nimmt eine Reihe von Gemüse auf und schüttelt sie auf eine Theke.</v>
      </c>
    </row>
    <row r="7498">
      <c r="A7498" s="4" t="s">
        <v>9423</v>
      </c>
      <c r="B7498" s="4" t="s">
        <v>9427</v>
      </c>
      <c r="C7498" s="5" t="str">
        <f>IFERROR(__xludf.DUMMYFUNCTION("GOOGLETRANSLATE(B7498,""en"",""de"")"),"Der Küchenchef steckt dann das Gemüse zusammen mit etwas Öl in eine Schüssel und steckt zwei große Essstäbchen ein, um das fertige Produkt zu präsentieren.")</f>
        <v>Der Küchenchef steckt dann das Gemüse zusammen mit etwas Öl in eine Schüssel und steckt zwei große Essstäbchen ein, um das fertige Produkt zu präsentieren.</v>
      </c>
    </row>
    <row r="7499">
      <c r="A7499" s="4" t="s">
        <v>9428</v>
      </c>
      <c r="B7499" s="4" t="s">
        <v>9429</v>
      </c>
      <c r="C7499" s="5" t="str">
        <f>IFERROR(__xludf.DUMMYFUNCTION("GOOGLETRANSLATE(B7499,""en"",""de"")"),"Eine Frau legt sich auf einen Tisch mit einem Mann, der sie von hinten tätowiert.")</f>
        <v>Eine Frau legt sich auf einen Tisch mit einem Mann, der sie von hinten tätowiert.</v>
      </c>
    </row>
    <row r="7500">
      <c r="A7500" s="4" t="s">
        <v>9428</v>
      </c>
      <c r="B7500" s="4" t="s">
        <v>9430</v>
      </c>
      <c r="C7500" s="5" t="str">
        <f>IFERROR(__xludf.DUMMYFUNCTION("GOOGLETRANSLATE(B7500,""en"",""de"")"),"Eine Frau sieht nebenbei zu, wie der Mann weiter tätowiert und die Frau ihn aufhört.")</f>
        <v>Eine Frau sieht nebenbei zu, wie der Mann weiter tätowiert und die Frau ihn aufhört.</v>
      </c>
    </row>
    <row r="7501">
      <c r="A7501" s="4" t="s">
        <v>9428</v>
      </c>
      <c r="B7501" s="4" t="s">
        <v>9431</v>
      </c>
      <c r="C7501" s="5" t="str">
        <f>IFERROR(__xludf.DUMMYFUNCTION("GOOGLETRANSLATE(B7501,""en"",""de"")"),"Die Frau versucht weiterhin, das Tattoo zu bekommen, hält aber an und spricht mit der Kamera, weil es so weh tat.")</f>
        <v>Die Frau versucht weiterhin, das Tattoo zu bekommen, hält aber an und spricht mit der Kamera, weil es so weh tat.</v>
      </c>
    </row>
    <row r="7502">
      <c r="A7502" s="4" t="s">
        <v>9432</v>
      </c>
      <c r="B7502" s="4" t="s">
        <v>9433</v>
      </c>
      <c r="C7502" s="5" t="str">
        <f>IFERROR(__xludf.DUMMYFUNCTION("GOOGLETRANSLATE(B7502,""en"",""de"")"),"Ein Mann steht auf einer Leiter und führt in mehrere Bilder von ihm auf der Leiter und malt die Wand mit einer anderen.")</f>
        <v>Ein Mann steht auf einer Leiter und führt in mehrere Bilder von ihm auf der Leiter und malt die Wand mit einer anderen.</v>
      </c>
    </row>
    <row r="7503">
      <c r="A7503" s="4" t="s">
        <v>9432</v>
      </c>
      <c r="B7503" s="4" t="s">
        <v>9434</v>
      </c>
      <c r="C7503" s="5" t="str">
        <f>IFERROR(__xludf.DUMMYFUNCTION("GOOGLETRANSLATE(B7503,""en"",""de"")"),"Sie haben gesehen, wie sie Plakate aufhalten, die Leitern auf und ab klettern und danach kariaber Lebensmittel auf einem großen Stock schneiden.")</f>
        <v>Sie haben gesehen, wie sie Plakate aufhalten, die Leitern auf und ab klettern und danach kariaber Lebensmittel auf einem großen Stock schneiden.</v>
      </c>
    </row>
    <row r="7504">
      <c r="A7504" s="4" t="s">
        <v>9435</v>
      </c>
      <c r="B7504" s="4" t="s">
        <v>9436</v>
      </c>
      <c r="C7504" s="5" t="str">
        <f>IFERROR(__xludf.DUMMYFUNCTION("GOOGLETRANSLATE(B7504,""en"",""de"")"),"Ein Mann sitzt auf einem Stuhl.")</f>
        <v>Ein Mann sitzt auf einem Stuhl.</v>
      </c>
    </row>
    <row r="7505">
      <c r="A7505" s="4" t="s">
        <v>9435</v>
      </c>
      <c r="B7505" s="4" t="s">
        <v>9437</v>
      </c>
      <c r="C7505" s="5" t="str">
        <f>IFERROR(__xludf.DUMMYFUNCTION("GOOGLETRANSLATE(B7505,""en"",""de"")"),"Er beginnt ein Akkordeon in seinem Schoß zu spielen.")</f>
        <v>Er beginnt ein Akkordeon in seinem Schoß zu spielen.</v>
      </c>
    </row>
    <row r="7506">
      <c r="A7506" s="4" t="s">
        <v>9435</v>
      </c>
      <c r="B7506" s="4" t="s">
        <v>9438</v>
      </c>
      <c r="C7506" s="5" t="str">
        <f>IFERROR(__xludf.DUMMYFUNCTION("GOOGLETRANSLATE(B7506,""en"",""de"")"),"Er hört auf zu spielen und schaut in die Kamera.")</f>
        <v>Er hört auf zu spielen und schaut in die Kamera.</v>
      </c>
    </row>
    <row r="7507">
      <c r="A7507" s="4" t="s">
        <v>9439</v>
      </c>
      <c r="B7507" s="4" t="s">
        <v>9440</v>
      </c>
      <c r="C7507" s="5" t="str">
        <f>IFERROR(__xludf.DUMMYFUNCTION("GOOGLETRANSLATE(B7507,""en"",""de"")"),"Ein Mann spricht vorwärts zur Kamera und beginnt ein Auto zu waschen.")</f>
        <v>Ein Mann spricht vorwärts zur Kamera und beginnt ein Auto zu waschen.</v>
      </c>
    </row>
    <row r="7508">
      <c r="A7508" s="4" t="s">
        <v>9439</v>
      </c>
      <c r="B7508" s="4" t="s">
        <v>9441</v>
      </c>
      <c r="C7508" s="5" t="str">
        <f>IFERROR(__xludf.DUMMYFUNCTION("GOOGLETRANSLATE(B7508,""en"",""de"")"),"Der Mann schrubbt rund um das Auto, während er immer noch mit der Kamera spricht.")</f>
        <v>Der Mann schrubbt rund um das Auto, während er immer noch mit der Kamera spricht.</v>
      </c>
    </row>
    <row r="7509">
      <c r="A7509" s="4" t="s">
        <v>9439</v>
      </c>
      <c r="B7509" s="4" t="s">
        <v>9442</v>
      </c>
      <c r="C7509" s="5" t="str">
        <f>IFERROR(__xludf.DUMMYFUNCTION("GOOGLETRANSLATE(B7509,""en"",""de"")"),"Er wäscht das Auto weiter und hält einen Moment an, um mit der Kamera zu sprechen.")</f>
        <v>Er wäscht das Auto weiter und hält einen Moment an, um mit der Kamera zu sprechen.</v>
      </c>
    </row>
    <row r="7510">
      <c r="A7510" s="4" t="s">
        <v>9443</v>
      </c>
      <c r="B7510" s="4" t="s">
        <v>9444</v>
      </c>
      <c r="C7510" s="5" t="str">
        <f>IFERROR(__xludf.DUMMYFUNCTION("GOOGLETRANSLATE(B7510,""en"",""de"")"),"Eine Frau versucht schlecht mitgeteilt zu spielen.")</f>
        <v>Eine Frau versucht schlecht mitgeteilt zu spielen.</v>
      </c>
    </row>
    <row r="7511">
      <c r="A7511" s="4" t="s">
        <v>9443</v>
      </c>
      <c r="B7511" s="4" t="s">
        <v>9445</v>
      </c>
      <c r="C7511" s="5" t="str">
        <f>IFERROR(__xludf.DUMMYFUNCTION("GOOGLETRANSLATE(B7511,""en"",""de"")"),"Sie schlägt den Shuttle -Schwanz.")</f>
        <v>Sie schlägt den Shuttle -Schwanz.</v>
      </c>
    </row>
    <row r="7512">
      <c r="A7512" s="4" t="s">
        <v>9443</v>
      </c>
      <c r="B7512" s="4" t="s">
        <v>9446</v>
      </c>
      <c r="C7512" s="5" t="str">
        <f>IFERROR(__xludf.DUMMYFUNCTION("GOOGLETRANSLATE(B7512,""en"",""de"")"),"Sie geht um den Platz und sieht sich um.")</f>
        <v>Sie geht um den Platz und sieht sich um.</v>
      </c>
    </row>
    <row r="7513">
      <c r="A7513" s="4" t="s">
        <v>9443</v>
      </c>
      <c r="B7513" s="4" t="s">
        <v>9447</v>
      </c>
      <c r="C7513" s="5" t="str">
        <f>IFERROR(__xludf.DUMMYFUNCTION("GOOGLETRANSLATE(B7513,""en"",""de"")"),"Sie versucht das Spiel mit nicht viel Aufwand zu spielen.")</f>
        <v>Sie versucht das Spiel mit nicht viel Aufwand zu spielen.</v>
      </c>
    </row>
    <row r="7514">
      <c r="A7514" s="4" t="s">
        <v>9443</v>
      </c>
      <c r="B7514" s="4" t="s">
        <v>9448</v>
      </c>
      <c r="C7514" s="5" t="str">
        <f>IFERROR(__xludf.DUMMYFUNCTION("GOOGLETRANSLATE(B7514,""en"",""de"")"),"Sie gibt einem Freund einen anderen Schläger.")</f>
        <v>Sie gibt einem Freund einen anderen Schläger.</v>
      </c>
    </row>
    <row r="7515">
      <c r="A7515" s="4" t="s">
        <v>9443</v>
      </c>
      <c r="B7515" s="4" t="s">
        <v>9449</v>
      </c>
      <c r="C7515" s="5" t="str">
        <f>IFERROR(__xludf.DUMMYFUNCTION("GOOGLETRANSLATE(B7515,""en"",""de"")"),"Sie spielt nicht wirklich.")</f>
        <v>Sie spielt nicht wirklich.</v>
      </c>
    </row>
    <row r="7516">
      <c r="A7516" s="4" t="s">
        <v>9443</v>
      </c>
      <c r="B7516" s="4" t="s">
        <v>9450</v>
      </c>
      <c r="C7516" s="5" t="str">
        <f>IFERROR(__xludf.DUMMYFUNCTION("GOOGLETRANSLATE(B7516,""en"",""de"")"),"Die andere Spielerin ist eine ernstere Spielerin, da sie dient.")</f>
        <v>Die andere Spielerin ist eine ernstere Spielerin, da sie dient.</v>
      </c>
    </row>
    <row r="7517">
      <c r="A7517" s="4" t="s">
        <v>9443</v>
      </c>
      <c r="B7517" s="4" t="s">
        <v>9451</v>
      </c>
      <c r="C7517" s="5" t="str">
        <f>IFERROR(__xludf.DUMMYFUNCTION("GOOGLETRANSLATE(B7517,""en"",""de"")"),"Das Spiel der schlechten Künste geht weiter, als der erste Spieler immer wieder verpasste.")</f>
        <v>Das Spiel der schlechten Künste geht weiter, als der erste Spieler immer wieder verpasste.</v>
      </c>
    </row>
    <row r="7518">
      <c r="A7518" s="4" t="s">
        <v>9443</v>
      </c>
      <c r="B7518" s="4" t="s">
        <v>9452</v>
      </c>
      <c r="C7518" s="5" t="str">
        <f>IFERROR(__xludf.DUMMYFUNCTION("GOOGLETRANSLATE(B7518,""en"",""de"")"),"Die Leute gehen vor der Kamera.")</f>
        <v>Die Leute gehen vor der Kamera.</v>
      </c>
    </row>
    <row r="7519">
      <c r="A7519" s="4" t="s">
        <v>9443</v>
      </c>
      <c r="B7519" s="4" t="s">
        <v>9453</v>
      </c>
      <c r="C7519" s="5" t="str">
        <f>IFERROR(__xludf.DUMMYFUNCTION("GOOGLETRANSLATE(B7519,""en"",""de"")"),"Die Kamera zeigt die anderen beiden Spieler.")</f>
        <v>Die Kamera zeigt die anderen beiden Spieler.</v>
      </c>
    </row>
    <row r="7520">
      <c r="A7520" s="4" t="s">
        <v>9443</v>
      </c>
      <c r="B7520" s="4" t="s">
        <v>9454</v>
      </c>
      <c r="C7520" s="5" t="str">
        <f>IFERROR(__xludf.DUMMYFUNCTION("GOOGLETRANSLATE(B7520,""en"",""de"")"),"Das Spiel dauert eine Weile länger, bevor es endet.")</f>
        <v>Das Spiel dauert eine Weile länger, bevor es endet.</v>
      </c>
    </row>
    <row r="7521">
      <c r="A7521" s="4" t="s">
        <v>9455</v>
      </c>
      <c r="B7521" s="4" t="s">
        <v>9456</v>
      </c>
      <c r="C7521" s="5" t="str">
        <f>IFERROR(__xludf.DUMMYFUNCTION("GOOGLETRANSLATE(B7521,""en"",""de"")"),"Eine Frau schaut in die Kamera und hält ein Stück Make -up hoch.")</f>
        <v>Eine Frau schaut in die Kamera und hält ein Stück Make -up hoch.</v>
      </c>
    </row>
    <row r="7522">
      <c r="A7522" s="4" t="s">
        <v>9455</v>
      </c>
      <c r="B7522" s="4" t="s">
        <v>9457</v>
      </c>
      <c r="C7522" s="5" t="str">
        <f>IFERROR(__xludf.DUMMYFUNCTION("GOOGLETRANSLATE(B7522,""en"",""de"")"),"Sie nimmt dann ihre Kontakte heraus und hält einen weiteren Behälter hoch.")</f>
        <v>Sie nimmt dann ihre Kontakte heraus und hält einen weiteren Behälter hoch.</v>
      </c>
    </row>
    <row r="7523">
      <c r="A7523" s="4" t="s">
        <v>9455</v>
      </c>
      <c r="B7523" s="4" t="s">
        <v>9458</v>
      </c>
      <c r="C7523" s="5" t="str">
        <f>IFERROR(__xludf.DUMMYFUNCTION("GOOGLETRANSLATE(B7523,""en"",""de"")"),"Sie setzt dann einen weiteren Satz von Kontakten ein und lächelt in die Kamera.")</f>
        <v>Sie setzt dann einen weiteren Satz von Kontakten ein und lächelt in die Kamera.</v>
      </c>
    </row>
    <row r="7524">
      <c r="A7524" s="4" t="s">
        <v>9459</v>
      </c>
      <c r="B7524" s="4" t="s">
        <v>9460</v>
      </c>
      <c r="C7524" s="5" t="str">
        <f>IFERROR(__xludf.DUMMYFUNCTION("GOOGLETRANSLATE(B7524,""en"",""de"")"),"Ein Mann passt seine Kamera ein und fängt eine Nahaufnahme seiner Hand und seines Gesichts ein.")</f>
        <v>Ein Mann passt seine Kamera ein und fängt eine Nahaufnahme seiner Hand und seines Gesichts ein.</v>
      </c>
    </row>
    <row r="7525">
      <c r="A7525" s="4" t="s">
        <v>9459</v>
      </c>
      <c r="B7525" s="4" t="s">
        <v>9461</v>
      </c>
      <c r="C7525" s="5" t="str">
        <f>IFERROR(__xludf.DUMMYFUNCTION("GOOGLETRANSLATE(B7525,""en"",""de"")"),"Ein kleines Kind, das ein grünes Hemd trägt, spielt einige Conga -Percussion -Instrumente.")</f>
        <v>Ein kleines Kind, das ein grünes Hemd trägt, spielt einige Conga -Percussion -Instrumente.</v>
      </c>
    </row>
    <row r="7526">
      <c r="A7526" s="4" t="s">
        <v>9459</v>
      </c>
      <c r="B7526" s="4" t="s">
        <v>9462</v>
      </c>
      <c r="C7526" s="5" t="str">
        <f>IFERROR(__xludf.DUMMYFUNCTION("GOOGLETRANSLATE(B7526,""en"",""de"")"),"Ein älterer Junge, der ein burgunderfarbenes Hemd trägt, bewegt sich in das Bild hinter dem Kind, das Conga spielt und zu tanzen beginnt.")</f>
        <v>Ein älterer Junge, der ein burgunderfarbenes Hemd trägt, bewegt sich in das Bild hinter dem Kind, das Conga spielt und zu tanzen beginnt.</v>
      </c>
    </row>
    <row r="7527">
      <c r="A7527" s="4" t="s">
        <v>9459</v>
      </c>
      <c r="B7527" s="4" t="s">
        <v>9463</v>
      </c>
      <c r="C7527" s="5" t="str">
        <f>IFERROR(__xludf.DUMMYFUNCTION("GOOGLETRANSLATE(B7527,""en"",""de"")"),"Der Junge im Burgunderhemd geht aus dem Bild, als der junge Conga -Spieler ebenfalls weggeht, als die Kamera ihm folgt.")</f>
        <v>Der Junge im Burgunderhemd geht aus dem Bild, als der junge Conga -Spieler ebenfalls weggeht, als die Kamera ihm folgt.</v>
      </c>
    </row>
    <row r="7528">
      <c r="A7528" s="4" t="s">
        <v>9459</v>
      </c>
      <c r="B7528" s="4" t="s">
        <v>9464</v>
      </c>
      <c r="C7528" s="5" t="str">
        <f>IFERROR(__xludf.DUMMYFUNCTION("GOOGLETRANSLATE(B7528,""en"",""de"")"),"Das kleine Kind kehrt zurück, um weiterhin Conga zu spielen, als ein Kind, das einen blauen Hemd -Spaziergänge hinter dem jungen Conga -Spieler trägt.")</f>
        <v>Das kleine Kind kehrt zurück, um weiterhin Conga zu spielen, als ein Kind, das einen blauen Hemd -Spaziergänge hinter dem jungen Conga -Spieler trägt.</v>
      </c>
    </row>
    <row r="7529">
      <c r="A7529" s="4" t="s">
        <v>9465</v>
      </c>
      <c r="B7529" s="4" t="s">
        <v>9466</v>
      </c>
      <c r="C7529" s="5" t="str">
        <f>IFERROR(__xludf.DUMMYFUNCTION("GOOGLETRANSLATE(B7529,""en"",""de"")"),"Ein großer Mann sitzt in der Mitte eines Kreises, der von der Kamera wegsieht.")</f>
        <v>Ein großer Mann sitzt in der Mitte eines Kreises, der von der Kamera wegsieht.</v>
      </c>
    </row>
    <row r="7530">
      <c r="A7530" s="4" t="s">
        <v>9465</v>
      </c>
      <c r="B7530" s="4" t="s">
        <v>9467</v>
      </c>
      <c r="C7530" s="5" t="str">
        <f>IFERROR(__xludf.DUMMYFUNCTION("GOOGLETRANSLATE(B7530,""en"",""de"")"),"Der Mann dreht sich dann mit einem Diskussion in seinen Händen herum.")</f>
        <v>Der Mann dreht sich dann mit einem Diskussion in seinen Händen herum.</v>
      </c>
    </row>
    <row r="7531">
      <c r="A7531" s="4" t="s">
        <v>9465</v>
      </c>
      <c r="B7531" s="4" t="s">
        <v>9468</v>
      </c>
      <c r="C7531" s="5" t="str">
        <f>IFERROR(__xludf.DUMMYFUNCTION("GOOGLETRANSLATE(B7531,""en"",""de"")"),"Schließlich wirft er das Objekt in die Ferne.")</f>
        <v>Schließlich wirft er das Objekt in die Ferne.</v>
      </c>
    </row>
    <row r="7532">
      <c r="A7532" s="4" t="s">
        <v>9469</v>
      </c>
      <c r="B7532" s="4" t="s">
        <v>9470</v>
      </c>
      <c r="C7532" s="5" t="str">
        <f>IFERROR(__xludf.DUMMYFUNCTION("GOOGLETRANSLATE(B7532,""en"",""de"")"),"Eine Frau gießt Zutaten in eine Küchenhilfe.")</f>
        <v>Eine Frau gießt Zutaten in eine Küchenhilfe.</v>
      </c>
    </row>
    <row r="7533">
      <c r="A7533" s="4" t="s">
        <v>9469</v>
      </c>
      <c r="B7533" s="4" t="s">
        <v>9471</v>
      </c>
      <c r="C7533" s="5" t="str">
        <f>IFERROR(__xludf.DUMMYFUNCTION("GOOGLETRANSLATE(B7533,""en"",""de"")"),"Sie schaltet es ein und mischt die Zutaten miteinander.")</f>
        <v>Sie schaltet es ein und mischt die Zutaten miteinander.</v>
      </c>
    </row>
    <row r="7534">
      <c r="A7534" s="4" t="s">
        <v>9469</v>
      </c>
      <c r="B7534" s="4" t="s">
        <v>9472</v>
      </c>
      <c r="C7534" s="5" t="str">
        <f>IFERROR(__xludf.DUMMYFUNCTION("GOOGLETRANSLATE(B7534,""en"",""de"")"),"Sie gießt die Mischung in Kuchenpfannen ein.")</f>
        <v>Sie gießt die Mischung in Kuchenpfannen ein.</v>
      </c>
    </row>
    <row r="7535">
      <c r="A7535" s="4" t="s">
        <v>9469</v>
      </c>
      <c r="B7535" s="4" t="s">
        <v>9473</v>
      </c>
      <c r="C7535" s="5" t="str">
        <f>IFERROR(__xludf.DUMMYFUNCTION("GOOGLETRANSLATE(B7535,""en"",""de"")"),"Ein Stück Kuchen wird auf einem Teller gezeigt.")</f>
        <v>Ein Stück Kuchen wird auf einem Teller gezeigt.</v>
      </c>
    </row>
    <row r="7536">
      <c r="A7536" s="4" t="s">
        <v>9474</v>
      </c>
      <c r="B7536" s="4" t="s">
        <v>9475</v>
      </c>
      <c r="C7536" s="5" t="str">
        <f>IFERROR(__xludf.DUMMYFUNCTION("GOOGLETRANSLATE(B7536,""en"",""de"")"),"Ein Mann wird gesehen, wie er auf einem Satz Eimer Schlagzeug spielt, während mehrere Leute an ihm vorbeigehen und andere ihn aufnehmen.")</f>
        <v>Ein Mann wird gesehen, wie er auf einem Satz Eimer Schlagzeug spielt, während mehrere Leute an ihm vorbeigehen und andere ihn aufnehmen.</v>
      </c>
    </row>
    <row r="7537">
      <c r="A7537" s="4" t="s">
        <v>9474</v>
      </c>
      <c r="B7537" s="4" t="s">
        <v>9476</v>
      </c>
      <c r="C7537" s="5" t="str">
        <f>IFERROR(__xludf.DUMMYFUNCTION("GOOGLETRANSLATE(B7537,""en"",""de"")"),"Der Mann spielt weiterhin, während die Kamera überall um ihn herum schwenkt und die Leute weiterhin um ihn herum laufen und die Gegend zeigen.")</f>
        <v>Der Mann spielt weiterhin, während die Kamera überall um ihn herum schwenkt und die Leute weiterhin um ihn herum laufen und die Gegend zeigen.</v>
      </c>
    </row>
    <row r="7538">
      <c r="A7538" s="4" t="s">
        <v>9477</v>
      </c>
      <c r="B7538" s="4" t="s">
        <v>9478</v>
      </c>
      <c r="C7538" s="5" t="str">
        <f>IFERROR(__xludf.DUMMYFUNCTION("GOOGLETRANSLATE(B7538,""en"",""de"")"),"Zwei Teams spielen im Freien Lacrosse.")</f>
        <v>Zwei Teams spielen im Freien Lacrosse.</v>
      </c>
    </row>
    <row r="7539">
      <c r="A7539" s="4" t="s">
        <v>9477</v>
      </c>
      <c r="B7539" s="4" t="s">
        <v>9479</v>
      </c>
      <c r="C7539" s="5" t="str">
        <f>IFERROR(__xludf.DUMMYFUNCTION("GOOGLETRANSLATE(B7539,""en"",""de"")"),"Die Spieler punkten und springen und rennen, um die Ergebnisse zu feiern.")</f>
        <v>Die Spieler punkten und springen und rennen, um die Ergebnisse zu feiern.</v>
      </c>
    </row>
    <row r="7540">
      <c r="A7540" s="4" t="s">
        <v>9477</v>
      </c>
      <c r="B7540" s="4" t="s">
        <v>9480</v>
      </c>
      <c r="C7540" s="5" t="str">
        <f>IFERROR(__xludf.DUMMYFUNCTION("GOOGLETRANSLATE(B7540,""en"",""de"")"),"Ein Spieler nimmt den Ball am Stock und rennt zum Tor, um zu punkten, wo ein Spieler erzielt wird.")</f>
        <v>Ein Spieler nimmt den Ball am Stock und rennt zum Tor, um zu punkten, wo ein Spieler erzielt wird.</v>
      </c>
    </row>
    <row r="7541">
      <c r="A7541" s="4" t="s">
        <v>9477</v>
      </c>
      <c r="B7541" s="4" t="s">
        <v>9481</v>
      </c>
      <c r="C7541" s="5" t="str">
        <f>IFERROR(__xludf.DUMMYFUNCTION("GOOGLETRANSLATE(B7541,""en"",""de"")"),"Das Board zeigt den Gewinner.")</f>
        <v>Das Board zeigt den Gewinner.</v>
      </c>
    </row>
    <row r="7542">
      <c r="A7542" s="4" t="s">
        <v>9482</v>
      </c>
      <c r="B7542" s="4" t="s">
        <v>9483</v>
      </c>
      <c r="C7542" s="5" t="str">
        <f>IFERROR(__xludf.DUMMYFUNCTION("GOOGLETRANSLATE(B7542,""en"",""de"")"),"Es gibt einen Mann, der das weiße Hemd trägt, das die Trommel in einem Raum spielt.")</f>
        <v>Es gibt einen Mann, der das weiße Hemd trägt, das die Trommel in einem Raum spielt.</v>
      </c>
    </row>
    <row r="7543">
      <c r="A7543" s="4" t="s">
        <v>9482</v>
      </c>
      <c r="B7543" s="4" t="s">
        <v>9484</v>
      </c>
      <c r="C7543" s="5" t="str">
        <f>IFERROR(__xludf.DUMMYFUNCTION("GOOGLETRANSLATE(B7543,""en"",""de"")"),"Er spielt mit der Snare -Drum und der Bassdrum.")</f>
        <v>Er spielt mit der Snare -Drum und der Bassdrum.</v>
      </c>
    </row>
    <row r="7544">
      <c r="A7544" s="4" t="s">
        <v>9482</v>
      </c>
      <c r="B7544" s="4" t="s">
        <v>9485</v>
      </c>
      <c r="C7544" s="5" t="str">
        <f>IFERROR(__xludf.DUMMYFUNCTION("GOOGLETRANSLATE(B7544,""en"",""de"")"),"Dann spielt er weiter, indem er die Becken und den Hi-Hat schlägt.")</f>
        <v>Dann spielt er weiter, indem er die Becken und den Hi-Hat schlägt.</v>
      </c>
    </row>
    <row r="7545">
      <c r="A7545" s="4" t="s">
        <v>9482</v>
      </c>
      <c r="B7545" s="4" t="s">
        <v>9486</v>
      </c>
      <c r="C7545" s="5" t="str">
        <f>IFERROR(__xludf.DUMMYFUNCTION("GOOGLETRANSLATE(B7545,""en"",""de"")"),"Er hält ein bisschen an und spielt dann das Spielen des Drum -Sets.")</f>
        <v>Er hält ein bisschen an und spielt dann das Spielen des Drum -Sets.</v>
      </c>
    </row>
    <row r="7546">
      <c r="A7546" s="4" t="s">
        <v>9482</v>
      </c>
      <c r="B7546" s="4" t="s">
        <v>9487</v>
      </c>
      <c r="C7546" s="5" t="str">
        <f>IFERROR(__xludf.DUMMYFUNCTION("GOOGLETRANSLATE(B7546,""en"",""de"")"),"Er spielt rhythmisch, als er Geschwindigkeit aufnimmt und das Drum -Set spielt.")</f>
        <v>Er spielt rhythmisch, als er Geschwindigkeit aufnimmt und das Drum -Set spielt.</v>
      </c>
    </row>
    <row r="7547">
      <c r="A7547" s="4" t="s">
        <v>9482</v>
      </c>
      <c r="B7547" s="4" t="s">
        <v>9488</v>
      </c>
      <c r="C7547" s="5" t="str">
        <f>IFERROR(__xludf.DUMMYFUNCTION("GOOGLETRANSLATE(B7547,""en"",""de"")"),"Dann hält er stehen und stellt sich auf, um die Kamera auszuschalten.")</f>
        <v>Dann hält er stehen und stellt sich auf, um die Kamera auszuschalten.</v>
      </c>
    </row>
    <row r="7548">
      <c r="A7548" s="4" t="s">
        <v>9489</v>
      </c>
      <c r="B7548" s="4" t="s">
        <v>9490</v>
      </c>
      <c r="C7548" s="5" t="str">
        <f>IFERROR(__xludf.DUMMYFUNCTION("GOOGLETRANSLATE(B7548,""en"",""de"")"),"Ein Mann greift in Wasser und wäscht sein Gesicht.")</f>
        <v>Ein Mann greift in Wasser und wäscht sein Gesicht.</v>
      </c>
    </row>
    <row r="7549">
      <c r="A7549" s="4" t="s">
        <v>9489</v>
      </c>
      <c r="B7549" s="4" t="s">
        <v>9491</v>
      </c>
      <c r="C7549" s="5" t="str">
        <f>IFERROR(__xludf.DUMMYFUNCTION("GOOGLETRANSLATE(B7549,""en"",""de"")"),"Eine Frau arbeitet an der anderen Wasser.")</f>
        <v>Eine Frau arbeitet an der anderen Wasser.</v>
      </c>
    </row>
    <row r="7550">
      <c r="A7550" s="4" t="s">
        <v>9489</v>
      </c>
      <c r="B7550" s="4" t="s">
        <v>9492</v>
      </c>
      <c r="C7550" s="5" t="str">
        <f>IFERROR(__xludf.DUMMYFUNCTION("GOOGLETRANSLATE(B7550,""en"",""de"")"),"Der Mann spritzt den Arbeiter mit Wasser.")</f>
        <v>Der Mann spritzt den Arbeiter mit Wasser.</v>
      </c>
    </row>
    <row r="7551">
      <c r="A7551" s="4" t="s">
        <v>9489</v>
      </c>
      <c r="B7551" s="4" t="s">
        <v>9493</v>
      </c>
      <c r="C7551" s="5" t="str">
        <f>IFERROR(__xludf.DUMMYFUNCTION("GOOGLETRANSLATE(B7551,""en"",""de"")"),"Eine Frau schaut zu und lacht den Mann aus.")</f>
        <v>Eine Frau schaut zu und lacht den Mann aus.</v>
      </c>
    </row>
    <row r="7552">
      <c r="A7552" s="4" t="s">
        <v>9494</v>
      </c>
      <c r="B7552" s="4" t="s">
        <v>9495</v>
      </c>
      <c r="C7552" s="5" t="str">
        <f>IFERROR(__xludf.DUMMYFUNCTION("GOOGLETRANSLATE(B7552,""en"",""de"")"),"Ein kleiner Collie steht auf einem Tisch.")</f>
        <v>Ein kleiner Collie steht auf einem Tisch.</v>
      </c>
    </row>
    <row r="7553">
      <c r="A7553" s="4" t="s">
        <v>9494</v>
      </c>
      <c r="B7553" s="4" t="s">
        <v>9496</v>
      </c>
      <c r="C7553" s="5" t="str">
        <f>IFERROR(__xludf.DUMMYFUNCTION("GOOGLETRANSLATE(B7553,""en"",""de"")"),"Er ist an Ort und Stelle gebunden und ein Mann beginnt ihn überall zu bürsten.")</f>
        <v>Er ist an Ort und Stelle gebunden und ein Mann beginnt ihn überall zu bürsten.</v>
      </c>
    </row>
    <row r="7554">
      <c r="A7554" s="4" t="s">
        <v>9494</v>
      </c>
      <c r="B7554" s="4" t="s">
        <v>9497</v>
      </c>
      <c r="C7554" s="5" t="str">
        <f>IFERROR(__xludf.DUMMYFUNCTION("GOOGLETRANSLATE(B7554,""en"",""de"")"),"Er steht still, als er gepflegt wird.")</f>
        <v>Er steht still, als er gepflegt wird.</v>
      </c>
    </row>
    <row r="7555">
      <c r="A7555" s="4" t="s">
        <v>9498</v>
      </c>
      <c r="B7555" s="4" t="s">
        <v>9499</v>
      </c>
      <c r="C7555" s="5" t="str">
        <f>IFERROR(__xludf.DUMMYFUNCTION("GOOGLETRANSLATE(B7555,""en"",""de"")"),"Eine Person zieht einen Schweißhelm an.")</f>
        <v>Eine Person zieht einen Schweißhelm an.</v>
      </c>
    </row>
    <row r="7556">
      <c r="A7556" s="4" t="s">
        <v>9498</v>
      </c>
      <c r="B7556" s="4" t="s">
        <v>9500</v>
      </c>
      <c r="C7556" s="5" t="str">
        <f>IFERROR(__xludf.DUMMYFUNCTION("GOOGLETRANSLATE(B7556,""en"",""de"")"),"Dann schweißt die Person ein Stück Metall.")</f>
        <v>Dann schweißt die Person ein Stück Metall.</v>
      </c>
    </row>
    <row r="7557">
      <c r="A7557" s="4" t="s">
        <v>9498</v>
      </c>
      <c r="B7557" s="4" t="s">
        <v>9501</v>
      </c>
      <c r="C7557" s="5" t="str">
        <f>IFERROR(__xludf.DUMMYFUNCTION("GOOGLETRANSLATE(B7557,""en"",""de"")"),"Dann beendet die Person, um seinen Helm zu schweißen und zu erheben, aber sie faltet sich nieder.")</f>
        <v>Dann beendet die Person, um seinen Helm zu schweißen und zu erheben, aber sie faltet sich nieder.</v>
      </c>
    </row>
    <row r="7558">
      <c r="A7558" s="4" t="s">
        <v>9502</v>
      </c>
      <c r="B7558" s="4" t="s">
        <v>9503</v>
      </c>
      <c r="C7558" s="5" t="str">
        <f>IFERROR(__xludf.DUMMYFUNCTION("GOOGLETRANSLATE(B7558,""en"",""de"")"),"Es gibt eine Dirtbike -Veranstaltung, die von Monster Energy Drink gesponsert wird.")</f>
        <v>Es gibt eine Dirtbike -Veranstaltung, die von Monster Energy Drink gesponsert wird.</v>
      </c>
    </row>
    <row r="7559">
      <c r="A7559" s="4" t="s">
        <v>9502</v>
      </c>
      <c r="B7559" s="4" t="s">
        <v>9504</v>
      </c>
      <c r="C7559" s="5" t="str">
        <f>IFERROR(__xludf.DUMMYFUNCTION("GOOGLETRANSLATE(B7559,""en"",""de"")"),"Es gibt mehrere Teilnehmer, die an der Veranstaltung teilnehmen.")</f>
        <v>Es gibt mehrere Teilnehmer, die an der Veranstaltung teilnehmen.</v>
      </c>
    </row>
    <row r="7560">
      <c r="A7560" s="4" t="s">
        <v>9502</v>
      </c>
      <c r="B7560" s="4" t="s">
        <v>9505</v>
      </c>
      <c r="C7560" s="5" t="str">
        <f>IFERROR(__xludf.DUMMYFUNCTION("GOOGLETRANSLATE(B7560,""en"",""de"")"),"Einer der Teilnehmer fällt von seinem Fahrrad und scheint verletzt zu sein.")</f>
        <v>Einer der Teilnehmer fällt von seinem Fahrrad und scheint verletzt zu sein.</v>
      </c>
    </row>
    <row r="7561">
      <c r="A7561" s="4" t="s">
        <v>9502</v>
      </c>
      <c r="B7561" s="4" t="s">
        <v>9506</v>
      </c>
      <c r="C7561" s="5" t="str">
        <f>IFERROR(__xludf.DUMMYFUNCTION("GOOGLETRANSLATE(B7561,""en"",""de"")"),"Er steht sofort auf und geht in die Ecke.")</f>
        <v>Er steht sofort auf und geht in die Ecke.</v>
      </c>
    </row>
    <row r="7562">
      <c r="A7562" s="4" t="s">
        <v>9507</v>
      </c>
      <c r="B7562" s="4" t="s">
        <v>9508</v>
      </c>
      <c r="C7562" s="5" t="str">
        <f>IFERROR(__xludf.DUMMYFUNCTION("GOOGLETRANSLATE(B7562,""en"",""de"")"),"Ein Mann spricht mit der Kamera, gefolgt von ihm, mit zufälligen Frauen am Strand zu sprechen.")</f>
        <v>Ein Mann spricht mit der Kamera, gefolgt von ihm, mit zufälligen Frauen am Strand zu sprechen.</v>
      </c>
    </row>
    <row r="7563">
      <c r="A7563" s="4" t="s">
        <v>9507</v>
      </c>
      <c r="B7563" s="4" t="s">
        <v>9509</v>
      </c>
      <c r="C7563" s="5" t="str">
        <f>IFERROR(__xludf.DUMMYFUNCTION("GOOGLETRANSLATE(B7563,""en"",""de"")"),"Sie spielen zusammen ein Spiel und wenn er gewinnt, gibt ihm das Mädchen einen Kuss.")</f>
        <v>Sie spielen zusammen ein Spiel und wenn er gewinnt, gibt ihm das Mädchen einen Kuss.</v>
      </c>
    </row>
    <row r="7564">
      <c r="A7564" s="4" t="s">
        <v>9507</v>
      </c>
      <c r="B7564" s="4" t="s">
        <v>9510</v>
      </c>
      <c r="C7564" s="5" t="str">
        <f>IFERROR(__xludf.DUMMYFUNCTION("GOOGLETRANSLATE(B7564,""en"",""de"")"),"Wenn sie das Mädchen verlieren, schlägt ihn.")</f>
        <v>Wenn sie das Mädchen verlieren, schlägt ihn.</v>
      </c>
    </row>
    <row r="7565">
      <c r="A7565" s="4" t="s">
        <v>9507</v>
      </c>
      <c r="B7565" s="4" t="s">
        <v>9511</v>
      </c>
      <c r="C7565" s="5" t="str">
        <f>IFERROR(__xludf.DUMMYFUNCTION("GOOGLETRANSLATE(B7565,""en"",""de"")"),"Mehrere Mädchen lachen und spielen mit, während sie einen Kuss bekommen oder den Mann schlagen.")</f>
        <v>Mehrere Mädchen lachen und spielen mit, während sie einen Kuss bekommen oder den Mann schlagen.</v>
      </c>
    </row>
    <row r="7566">
      <c r="A7566" s="4" t="s">
        <v>9512</v>
      </c>
      <c r="B7566" s="4" t="s">
        <v>9513</v>
      </c>
      <c r="C7566" s="5" t="str">
        <f>IFERROR(__xludf.DUMMYFUNCTION("GOOGLETRANSLATE(B7566,""en"",""de"")"),"Eine Person trägt ein lustiges Kostüm, während er sich an einem Stück Maschinen festhält.")</f>
        <v>Eine Person trägt ein lustiges Kostüm, während er sich an einem Stück Maschinen festhält.</v>
      </c>
    </row>
    <row r="7567">
      <c r="A7567" s="4" t="s">
        <v>9512</v>
      </c>
      <c r="B7567" s="4" t="s">
        <v>9514</v>
      </c>
      <c r="C7567" s="5" t="str">
        <f>IFERROR(__xludf.DUMMYFUNCTION("GOOGLETRANSLATE(B7567,""en"",""de"")"),"Der Mann schiebt die Maschinen um den Rasen, während er in die Kamera schaut.")</f>
        <v>Der Mann schiebt die Maschinen um den Rasen, während er in die Kamera schaut.</v>
      </c>
    </row>
    <row r="7568">
      <c r="A7568" s="4" t="s">
        <v>9512</v>
      </c>
      <c r="B7568" s="4" t="s">
        <v>9515</v>
      </c>
      <c r="C7568" s="5" t="str">
        <f>IFERROR(__xludf.DUMMYFUNCTION("GOOGLETRANSLATE(B7568,""en"",""de"")"),"Der Mann nutzt die Maschine weiter, während er in die Kamera schaut.")</f>
        <v>Der Mann nutzt die Maschine weiter, während er in die Kamera schaut.</v>
      </c>
    </row>
    <row r="7569">
      <c r="A7569" s="4" t="s">
        <v>9516</v>
      </c>
      <c r="B7569" s="4" t="s">
        <v>9517</v>
      </c>
      <c r="C7569" s="5" t="str">
        <f>IFERROR(__xludf.DUMMYFUNCTION("GOOGLETRANSLATE(B7569,""en"",""de"")"),"Eine Gruppe von Männern wird gezeigt, wie sie in Zeitlupe jubelt und springt.")</f>
        <v>Eine Gruppe von Männern wird gezeigt, wie sie in Zeitlupe jubelt und springt.</v>
      </c>
    </row>
    <row r="7570">
      <c r="A7570" s="4" t="s">
        <v>9516</v>
      </c>
      <c r="B7570" s="4" t="s">
        <v>9518</v>
      </c>
      <c r="C7570" s="5" t="str">
        <f>IFERROR(__xludf.DUMMYFUNCTION("GOOGLETRANSLATE(B7570,""en"",""de"")"),"Viele Menschen sind anwesend, wenn Trophäen angezeigt werden.")</f>
        <v>Viele Menschen sind anwesend, wenn Trophäen angezeigt werden.</v>
      </c>
    </row>
    <row r="7571">
      <c r="A7571" s="4" t="s">
        <v>9516</v>
      </c>
      <c r="B7571" s="4" t="s">
        <v>9519</v>
      </c>
      <c r="C7571" s="5" t="str">
        <f>IFERROR(__xludf.DUMMYFUNCTION("GOOGLETRANSLATE(B7571,""en"",""de"")"),"Ein paar Leute versammeln sich, um Bierpong zu spielen und zu trinken.")</f>
        <v>Ein paar Leute versammeln sich, um Bierpong zu spielen und zu trinken.</v>
      </c>
    </row>
    <row r="7572">
      <c r="A7572" s="4" t="s">
        <v>9516</v>
      </c>
      <c r="B7572" s="4" t="s">
        <v>9520</v>
      </c>
      <c r="C7572" s="5" t="str">
        <f>IFERROR(__xludf.DUMMYFUNCTION("GOOGLETRANSLATE(B7572,""en"",""de"")"),"Es werden verschiedene Aufnahmen der Aktion in verschiedenen Tabellen angezeigt und dann die Videoschnitte zu einer Internetadresse, um weitere Informationen zu erhalten.")</f>
        <v>Es werden verschiedene Aufnahmen der Aktion in verschiedenen Tabellen angezeigt und dann die Videoschnitte zu einer Internetadresse, um weitere Informationen zu erhalten.</v>
      </c>
    </row>
    <row r="7573">
      <c r="A7573" s="4" t="s">
        <v>9521</v>
      </c>
      <c r="B7573" s="4" t="s">
        <v>9522</v>
      </c>
      <c r="C7573" s="5" t="str">
        <f>IFERROR(__xludf.DUMMYFUNCTION("GOOGLETRANSLATE(B7573,""en"",""de"")"),"Es gibt zwei Frauen in einem Badezimmer, das Kleidung in blauen Eimern mit schaumigem Seifenwasser gewaschen hat.")</f>
        <v>Es gibt zwei Frauen in einem Badezimmer, das Kleidung in blauen Eimern mit schaumigem Seifenwasser gewaschen hat.</v>
      </c>
    </row>
    <row r="7574">
      <c r="A7574" s="4" t="s">
        <v>9521</v>
      </c>
      <c r="B7574" s="4" t="s">
        <v>9523</v>
      </c>
      <c r="C7574" s="5" t="str">
        <f>IFERROR(__xludf.DUMMYFUNCTION("GOOGLETRANSLATE(B7574,""en"",""de"")"),"Die Frauen tränken die Kleidung im Seifwasser und spülen sie aus, um sie zu reinigen.")</f>
        <v>Die Frauen tränken die Kleidung im Seifwasser und spülen sie aus, um sie zu reinigen.</v>
      </c>
    </row>
    <row r="7575">
      <c r="A7575" s="4" t="s">
        <v>9521</v>
      </c>
      <c r="B7575" s="4" t="s">
        <v>9524</v>
      </c>
      <c r="C7575" s="5" t="str">
        <f>IFERROR(__xludf.DUMMYFUNCTION("GOOGLETRANSLATE(B7575,""en"",""de"")"),"Dann legte sie die Kleidung in eine große Metalltrommel, die sich schnell dreht, um überschüssiges Wasser abzulassen.")</f>
        <v>Dann legte sie die Kleidung in eine große Metalltrommel, die sich schnell dreht, um überschüssiges Wasser abzulassen.</v>
      </c>
    </row>
    <row r="7576">
      <c r="A7576" s="4" t="s">
        <v>9521</v>
      </c>
      <c r="B7576" s="4" t="s">
        <v>9525</v>
      </c>
      <c r="C7576" s="5" t="str">
        <f>IFERROR(__xludf.DUMMYFUNCTION("GOOGLETRANSLATE(B7576,""en"",""de"")"),"Sie gehen dann auf ihrem Gebäude in einer offenen Terrasse, auf der Seile über die Wände gebunden sind.")</f>
        <v>Sie gehen dann auf ihrem Gebäude in einer offenen Terrasse, auf der Seile über die Wände gebunden sind.</v>
      </c>
    </row>
    <row r="7577">
      <c r="A7577" s="4" t="s">
        <v>9521</v>
      </c>
      <c r="B7577" s="4" t="s">
        <v>9526</v>
      </c>
      <c r="C7577" s="5" t="str">
        <f>IFERROR(__xludf.DUMMYFUNCTION("GOOGLETRANSLATE(B7577,""en"",""de"")"),"Sie fangen an, die Kleidung zum Trocknen an der Wäscheleine aufzuhängen.")</f>
        <v>Sie fangen an, die Kleidung zum Trocknen an der Wäscheleine aufzuhängen.</v>
      </c>
    </row>
    <row r="7578">
      <c r="A7578" s="4" t="s">
        <v>9527</v>
      </c>
      <c r="B7578" s="4" t="s">
        <v>9528</v>
      </c>
      <c r="C7578" s="5" t="str">
        <f>IFERROR(__xludf.DUMMYFUNCTION("GOOGLETRANSLATE(B7578,""en"",""de"")"),"Ein Junge hängt an Affenbars.")</f>
        <v>Ein Junge hängt an Affenbars.</v>
      </c>
    </row>
    <row r="7579">
      <c r="A7579" s="4" t="s">
        <v>9527</v>
      </c>
      <c r="B7579" s="4" t="s">
        <v>9529</v>
      </c>
      <c r="C7579" s="5" t="str">
        <f>IFERROR(__xludf.DUMMYFUNCTION("GOOGLETRANSLATE(B7579,""en"",""de"")"),"Er überquert das Hindernis leicht.")</f>
        <v>Er überquert das Hindernis leicht.</v>
      </c>
    </row>
    <row r="7580">
      <c r="A7580" s="4" t="s">
        <v>9527</v>
      </c>
      <c r="B7580" s="4" t="s">
        <v>9530</v>
      </c>
      <c r="C7580" s="5" t="str">
        <f>IFERROR(__xludf.DUMMYFUNCTION("GOOGLETRANSLATE(B7580,""en"",""de"")"),"Er sieht stolz auf sich.")</f>
        <v>Er sieht stolz auf sich.</v>
      </c>
    </row>
    <row r="7581">
      <c r="A7581" s="4" t="s">
        <v>9527</v>
      </c>
      <c r="B7581" s="4" t="s">
        <v>9531</v>
      </c>
      <c r="C7581" s="5" t="str">
        <f>IFERROR(__xludf.DUMMYFUNCTION("GOOGLETRANSLATE(B7581,""en"",""de"")"),"Er lächelt in die Kamera.")</f>
        <v>Er lächelt in die Kamera.</v>
      </c>
    </row>
    <row r="7582">
      <c r="A7582" s="4" t="s">
        <v>9532</v>
      </c>
      <c r="B7582" s="4" t="s">
        <v>9533</v>
      </c>
      <c r="C7582" s="5" t="str">
        <f>IFERROR(__xludf.DUMMYFUNCTION("GOOGLETRANSLATE(B7582,""en"",""de"")"),"Eine Frau, die einen Schal trägt, steht im Freien vor einer tropischen Pflanze.")</f>
        <v>Eine Frau, die einen Schal trägt, steht im Freien vor einer tropischen Pflanze.</v>
      </c>
    </row>
    <row r="7583">
      <c r="A7583" s="4" t="s">
        <v>9532</v>
      </c>
      <c r="B7583" s="4" t="s">
        <v>9534</v>
      </c>
      <c r="C7583" s="5" t="str">
        <f>IFERROR(__xludf.DUMMYFUNCTION("GOOGLETRANSLATE(B7583,""en"",""de"")"),"Eine Frau präsentiert eine Band auf der Bühne für eine Aufführung.")</f>
        <v>Eine Frau präsentiert eine Band auf der Bühne für eine Aufführung.</v>
      </c>
    </row>
    <row r="7584">
      <c r="A7584" s="4" t="s">
        <v>9532</v>
      </c>
      <c r="B7584" s="4" t="s">
        <v>9535</v>
      </c>
      <c r="C7584" s="5" t="str">
        <f>IFERROR(__xludf.DUMMYFUNCTION("GOOGLETRANSLATE(B7584,""en"",""de"")"),"Ein Flötenspieler spielt während der Aufführung einen Teil eines Songs.")</f>
        <v>Ein Flötenspieler spielt während der Aufführung einen Teil eines Songs.</v>
      </c>
    </row>
    <row r="7585">
      <c r="A7585" s="4" t="s">
        <v>9532</v>
      </c>
      <c r="B7585" s="4" t="s">
        <v>9536</v>
      </c>
      <c r="C7585" s="5" t="str">
        <f>IFERROR(__xludf.DUMMYFUNCTION("GOOGLETRANSLATE(B7585,""en"",""de"")"),"Die Band spielt während der Aufführung zusammen einen Song.")</f>
        <v>Die Band spielt während der Aufführung zusammen einen Song.</v>
      </c>
    </row>
    <row r="7586">
      <c r="A7586" s="4" t="s">
        <v>9537</v>
      </c>
      <c r="B7586" s="4" t="s">
        <v>9538</v>
      </c>
      <c r="C7586" s="5" t="str">
        <f>IFERROR(__xludf.DUMMYFUNCTION("GOOGLETRANSLATE(B7586,""en"",""de"")"),"Frau steht in einem Schießraum, der einen Bogen hält und den Pfeil in ein Brett wirft.")</f>
        <v>Frau steht in einem Schießraum, der einen Bogen hält und den Pfeil in ein Brett wirft.</v>
      </c>
    </row>
    <row r="7587">
      <c r="A7587" s="4" t="s">
        <v>9537</v>
      </c>
      <c r="B7587" s="4" t="s">
        <v>9539</v>
      </c>
      <c r="C7587" s="5" t="str">
        <f>IFERROR(__xludf.DUMMYFUNCTION("GOOGLETRANSLATE(B7587,""en"",""de"")"),"Die Frau steht in einem BG -großen Feld, der einen Bogen hält und den Balonen Pfeil trütet.")</f>
        <v>Die Frau steht in einem BG -großen Feld, der einen Bogen hält und den Balonen Pfeil trütet.</v>
      </c>
    </row>
    <row r="7588">
      <c r="A7588" s="4" t="s">
        <v>9537</v>
      </c>
      <c r="B7588" s="4" t="s">
        <v>9540</v>
      </c>
      <c r="C7588" s="5" t="str">
        <f>IFERROR(__xludf.DUMMYFUNCTION("GOOGLETRANSLATE(B7588,""en"",""de"")"),"Frau steht in einem kleinen Hof, der einen Bug hält und einen Apfel in den Kopf eines Mannes geworfen hat.")</f>
        <v>Frau steht in einem kleinen Hof, der einen Bug hält und einen Apfel in den Kopf eines Mannes geworfen hat.</v>
      </c>
    </row>
    <row r="7589">
      <c r="A7589" s="4" t="s">
        <v>9537</v>
      </c>
      <c r="B7589" s="4" t="s">
        <v>9541</v>
      </c>
      <c r="C7589" s="5" t="str">
        <f>IFERROR(__xludf.DUMMYFUNCTION("GOOGLETRANSLATE(B7589,""en"",""de"")"),"Der Mann steht in einem grün -feld und zeigt einer Frau, wie man einen Pfeil schießt, und die Frau zieht eine Waffe aus den Taschen heraus und schoss zum Brett.")</f>
        <v>Der Mann steht in einem grün -feld und zeigt einer Frau, wie man einen Pfeil schießt, und die Frau zieht eine Waffe aus den Taschen heraus und schoss zum Brett.</v>
      </c>
    </row>
    <row r="7590">
      <c r="A7590" s="4" t="s">
        <v>9537</v>
      </c>
      <c r="B7590" s="4" t="s">
        <v>9542</v>
      </c>
      <c r="C7590" s="5" t="str">
        <f>IFERROR(__xludf.DUMMYFUNCTION("GOOGLETRANSLATE(B7590,""en"",""de"")"),"Der Mann steht neben einem Baum, der eine Kamera hält.")</f>
        <v>Der Mann steht neben einem Baum, der eine Kamera hält.</v>
      </c>
    </row>
    <row r="7591">
      <c r="A7591" s="4" t="s">
        <v>9537</v>
      </c>
      <c r="B7591" s="4" t="s">
        <v>9543</v>
      </c>
      <c r="C7591" s="5" t="str">
        <f>IFERROR(__xludf.DUMMYFUNCTION("GOOGLETRANSLATE(B7591,""en"",""de"")"),"Frau wirft Arros in eine Wassermelone.")</f>
        <v>Frau wirft Arros in eine Wassermelone.</v>
      </c>
    </row>
    <row r="7592">
      <c r="A7592" s="4" t="s">
        <v>9537</v>
      </c>
      <c r="B7592" s="4" t="s">
        <v>9544</v>
      </c>
      <c r="C7592" s="5" t="str">
        <f>IFERROR(__xludf.DUMMYFUNCTION("GOOGLETRANSLATE(B7592,""en"",""de"")"),"Frau wirft Pfeile auf Filmplakate und spricht mit der Kamera.")</f>
        <v>Frau wirft Pfeile auf Filmplakate und spricht mit der Kamera.</v>
      </c>
    </row>
    <row r="7593">
      <c r="A7593" s="4" t="s">
        <v>9545</v>
      </c>
      <c r="B7593" s="4" t="s">
        <v>9546</v>
      </c>
      <c r="C7593" s="5" t="str">
        <f>IFERROR(__xludf.DUMMYFUNCTION("GOOGLETRANSLATE(B7593,""en"",""de"")"),"Der Mensch spricht mit der Kamera neben einer Box.")</f>
        <v>Der Mensch spricht mit der Kamera neben einer Box.</v>
      </c>
    </row>
    <row r="7594">
      <c r="A7594" s="4" t="s">
        <v>9545</v>
      </c>
      <c r="B7594" s="4" t="s">
        <v>9547</v>
      </c>
      <c r="C7594" s="5" t="str">
        <f>IFERROR(__xludf.DUMMYFUNCTION("GOOGLETRANSLATE(B7594,""en"",""de"")"),"Der Mensch versammelt einen Shuffleboard -Hof in einem Bürgersteig.")</f>
        <v>Der Mensch versammelt einen Shuffleboard -Hof in einem Bürgersteig.</v>
      </c>
    </row>
    <row r="7595">
      <c r="A7595" s="4" t="s">
        <v>9545</v>
      </c>
      <c r="B7595" s="4" t="s">
        <v>9548</v>
      </c>
      <c r="C7595" s="5" t="str">
        <f>IFERROR(__xludf.DUMMYFUNCTION("GOOGLETRANSLATE(B7595,""en"",""de"")"),"Der Mann fängt an, das Suffleboard zu spielen, um die Pucks zu treffen.")</f>
        <v>Der Mann fängt an, das Suffleboard zu spielen, um die Pucks zu treffen.</v>
      </c>
    </row>
    <row r="7596">
      <c r="A7596" s="4" t="s">
        <v>9549</v>
      </c>
      <c r="B7596" s="4" t="s">
        <v>9550</v>
      </c>
      <c r="C7596" s="5" t="str">
        <f>IFERROR(__xludf.DUMMYFUNCTION("GOOGLETRANSLATE(B7596,""en"",""de"")"),"Ein Mädchen geht zum Rand des Tauchbretts.")</f>
        <v>Ein Mädchen geht zum Rand des Tauchbretts.</v>
      </c>
    </row>
    <row r="7597">
      <c r="A7597" s="4" t="s">
        <v>9549</v>
      </c>
      <c r="B7597" s="4" t="s">
        <v>9551</v>
      </c>
      <c r="C7597" s="5" t="str">
        <f>IFERROR(__xludf.DUMMYFUNCTION("GOOGLETRANSLATE(B7597,""en"",""de"")"),"Das Mädchen erweitert ihre Hände.")</f>
        <v>Das Mädchen erweitert ihre Hände.</v>
      </c>
    </row>
    <row r="7598">
      <c r="A7598" s="4" t="s">
        <v>9549</v>
      </c>
      <c r="B7598" s="4" t="s">
        <v>9552</v>
      </c>
      <c r="C7598" s="5" t="str">
        <f>IFERROR(__xludf.DUMMYFUNCTION("GOOGLETRANSLATE(B7598,""en"",""de"")"),"Das Mädchen taucht in den Pool ein.")</f>
        <v>Das Mädchen taucht in den Pool ein.</v>
      </c>
    </row>
    <row r="7599">
      <c r="A7599" s="4" t="s">
        <v>9549</v>
      </c>
      <c r="B7599" s="4" t="s">
        <v>9553</v>
      </c>
      <c r="C7599" s="5" t="str">
        <f>IFERROR(__xludf.DUMMYFUNCTION("GOOGLETRANSLATE(B7599,""en"",""de"")"),"Das Mädchen schwimmt zum Rand des Pools.")</f>
        <v>Das Mädchen schwimmt zum Rand des Pools.</v>
      </c>
    </row>
    <row r="7600">
      <c r="A7600" s="4" t="s">
        <v>9554</v>
      </c>
      <c r="B7600" s="4" t="s">
        <v>9555</v>
      </c>
      <c r="C7600" s="5" t="str">
        <f>IFERROR(__xludf.DUMMYFUNCTION("GOOGLETRANSLATE(B7600,""en"",""de"")"),"Ein hohes Garagengebäude wird im Dunkeln gezeigt, und dann erscheinen mehrere Jungen im Teenageralter im Jugendlichen in der Innenseite.")</f>
        <v>Ein hohes Garagengebäude wird im Dunkeln gezeigt, und dann erscheinen mehrere Jungen im Teenageralter im Jugendlichen in der Innenseite.</v>
      </c>
    </row>
    <row r="7601">
      <c r="A7601" s="4" t="s">
        <v>9554</v>
      </c>
      <c r="B7601" s="4" t="s">
        <v>9556</v>
      </c>
      <c r="C7601" s="5" t="str">
        <f>IFERROR(__xludf.DUMMYFUNCTION("GOOGLETRANSLATE(B7601,""en"",""de"")"),"Als sie um die Ecke kommen, halten sie sich gegenseitig an Hemden fest und kommen in einer einzigen Dateilinie die schräge Straße hinunter, und ein Junge hält eine Kamera mit einem Selfie -Stick, der die Aktion aufzeichnet.")</f>
        <v>Als sie um die Ecke kommen, halten sie sich gegenseitig an Hemden fest und kommen in einer einzigen Dateilinie die schräge Straße hinunter, und ein Junge hält eine Kamera mit einem Selfie -Stick, der die Aktion aufzeichnet.</v>
      </c>
    </row>
    <row r="7602">
      <c r="A7602" s="4" t="s">
        <v>9554</v>
      </c>
      <c r="B7602" s="4" t="s">
        <v>9557</v>
      </c>
      <c r="C7602" s="5" t="str">
        <f>IFERROR(__xludf.DUMMYFUNCTION("GOOGLETRANSLATE(B7602,""en"",""de"")"),"Danach scheint ein schwarzer Mann im Auto zu sprechen, und die Jungen werden dann gezeigt, wie sie eine Treppe hinaufgehen.")</f>
        <v>Danach scheint ein schwarzer Mann im Auto zu sprechen, und die Jungen werden dann gezeigt, wie sie eine Treppe hinaufgehen.</v>
      </c>
    </row>
    <row r="7603">
      <c r="A7603" s="4" t="s">
        <v>9554</v>
      </c>
      <c r="B7603" s="4" t="s">
        <v>9558</v>
      </c>
      <c r="C7603" s="5" t="str">
        <f>IFERROR(__xludf.DUMMYFUNCTION("GOOGLETRANSLATE(B7603,""en"",""de"")"),"Die Aktion geht weiter und alle Jungen schließen sich gegenseitig in die Garage und der Mann, der im Video sprach, wird mit dem Rest der Jungen skaten.")</f>
        <v>Die Aktion geht weiter und alle Jungen schließen sich gegenseitig in die Garage und der Mann, der im Video sprach, wird mit dem Rest der Jungen skaten.</v>
      </c>
    </row>
    <row r="7604">
      <c r="A7604" s="4" t="s">
        <v>9559</v>
      </c>
      <c r="B7604" s="4" t="s">
        <v>9560</v>
      </c>
      <c r="C7604" s="5" t="str">
        <f>IFERROR(__xludf.DUMMYFUNCTION("GOOGLETRANSLATE(B7604,""en"",""de"")"),"Männer in einem Trikot stehen mit verschränkten Armen herum, nur irgendwie in den Weltraum.")</f>
        <v>Männer in einem Trikot stehen mit verschränkten Armen herum, nur irgendwie in den Weltraum.</v>
      </c>
    </row>
    <row r="7605">
      <c r="A7605" s="4" t="s">
        <v>9559</v>
      </c>
      <c r="B7605" s="4" t="s">
        <v>9561</v>
      </c>
      <c r="C7605" s="5" t="str">
        <f>IFERROR(__xludf.DUMMYFUNCTION("GOOGLETRANSLATE(B7605,""en"",""de"")"),"Dann sehen Sie sie auf dem Feld spielen und später ein bisschen darüber sprechen.")</f>
        <v>Dann sehen Sie sie auf dem Feld spielen und später ein bisschen darüber sprechen.</v>
      </c>
    </row>
    <row r="7606">
      <c r="A7606" s="4" t="s">
        <v>9559</v>
      </c>
      <c r="B7606" s="4" t="s">
        <v>9562</v>
      </c>
      <c r="C7606" s="5" t="str">
        <f>IFERROR(__xludf.DUMMYFUNCTION("GOOGLETRANSLATE(B7606,""en"",""de"")"),"Sie scheinen sich an ihre eigenen Erinnerungen an Male zu erinnern, in denen sie Medaille gewonnen und auf ihre Medaillen starren.")</f>
        <v>Sie scheinen sich an ihre eigenen Erinnerungen an Male zu erinnern, in denen sie Medaille gewonnen und auf ihre Medaillen starren.</v>
      </c>
    </row>
    <row r="7607">
      <c r="A7607" s="4" t="s">
        <v>9559</v>
      </c>
      <c r="B7607" s="4" t="s">
        <v>9563</v>
      </c>
      <c r="C7607" s="5" t="str">
        <f>IFERROR(__xludf.DUMMYFUNCTION("GOOGLETRANSLATE(B7607,""en"",""de"")"),"Sie stehen in einer kleinen Gruppe herum und Sie sehen, wie ein Publikum jubelt und klatscht.")</f>
        <v>Sie stehen in einer kleinen Gruppe herum und Sie sehen, wie ein Publikum jubelt und klatscht.</v>
      </c>
    </row>
    <row r="7608">
      <c r="A7608" s="4" t="s">
        <v>9564</v>
      </c>
      <c r="B7608" s="4" t="s">
        <v>9565</v>
      </c>
      <c r="C7608" s="5" t="str">
        <f>IFERROR(__xludf.DUMMYFUNCTION("GOOGLETRANSLATE(B7608,""en"",""de"")"),"Eine Person tanzt auf einer Bühne im Dunkeln mit einem LED Hula Hoop.")</f>
        <v>Eine Person tanzt auf einer Bühne im Dunkeln mit einem LED Hula Hoop.</v>
      </c>
    </row>
    <row r="7609">
      <c r="A7609" s="4" t="s">
        <v>9564</v>
      </c>
      <c r="B7609" s="4" t="s">
        <v>9566</v>
      </c>
      <c r="C7609" s="5" t="str">
        <f>IFERROR(__xludf.DUMMYFUNCTION("GOOGLETRANSLATE(B7609,""en"",""de"")"),"Während die Person tanzt, beginnt die LED -Leuchten auf dem Hula Hoop, die Farben zu ändern.")</f>
        <v>Während die Person tanzt, beginnt die LED -Leuchten auf dem Hula Hoop, die Farben zu ändern.</v>
      </c>
    </row>
    <row r="7610">
      <c r="A7610" s="4" t="s">
        <v>9564</v>
      </c>
      <c r="B7610" s="4" t="s">
        <v>9567</v>
      </c>
      <c r="C7610" s="5" t="str">
        <f>IFERROR(__xludf.DUMMYFUNCTION("GOOGLETRANSLATE(B7610,""en"",""de"")"),"Die Schließungspunkte werden auf dem Bildschirm angezeigt, wenn das Video endet.")</f>
        <v>Die Schließungspunkte werden auf dem Bildschirm angezeigt, wenn das Video endet.</v>
      </c>
    </row>
    <row r="7611">
      <c r="A7611" s="4" t="s">
        <v>9568</v>
      </c>
      <c r="B7611" s="4" t="s">
        <v>9569</v>
      </c>
      <c r="C7611" s="5" t="str">
        <f>IFERROR(__xludf.DUMMYFUNCTION("GOOGLETRANSLATE(B7611,""en"",""de"")"),"Kinder spielen auf dem Spielplatz auf dem Schulgelände.")</f>
        <v>Kinder spielen auf dem Spielplatz auf dem Schulgelände.</v>
      </c>
    </row>
    <row r="7612">
      <c r="A7612" s="4" t="s">
        <v>9568</v>
      </c>
      <c r="B7612" s="4" t="s">
        <v>9570</v>
      </c>
      <c r="C7612" s="5" t="str">
        <f>IFERROR(__xludf.DUMMYFUNCTION("GOOGLETRANSLATE(B7612,""en"",""de"")"),"Kinder schwingen in der Schaukel auf einer Seite.")</f>
        <v>Kinder schwingen in der Schaukel auf einer Seite.</v>
      </c>
    </row>
    <row r="7613">
      <c r="A7613" s="4" t="s">
        <v>9568</v>
      </c>
      <c r="B7613" s="4" t="s">
        <v>9571</v>
      </c>
      <c r="C7613" s="5" t="str">
        <f>IFERROR(__xludf.DUMMYFUNCTION("GOOGLETRANSLATE(B7613,""en"",""de"")"),"Little Kid steht am Rande der Folie.")</f>
        <v>Little Kid steht am Rande der Folie.</v>
      </c>
    </row>
    <row r="7614">
      <c r="A7614" s="4" t="s">
        <v>9572</v>
      </c>
      <c r="B7614" s="4" t="s">
        <v>9573</v>
      </c>
      <c r="C7614" s="5" t="str">
        <f>IFERROR(__xludf.DUMMYFUNCTION("GOOGLETRANSLATE(B7614,""en"",""de"")"),"Ein Koch in einem weißen Koch -Outfit zeigt, wie man Küchenmesser mit einem Werkzeug namens Rada Messer Sharpener schärft.")</f>
        <v>Ein Koch in einem weißen Koch -Outfit zeigt, wie man Küchenmesser mit einem Werkzeug namens Rada Messer Sharpener schärft.</v>
      </c>
    </row>
    <row r="7615">
      <c r="A7615" s="4" t="s">
        <v>9572</v>
      </c>
      <c r="B7615" s="4" t="s">
        <v>9574</v>
      </c>
      <c r="C7615" s="5" t="str">
        <f>IFERROR(__xludf.DUMMYFUNCTION("GOOGLETRANSLATE(B7615,""en"",""de"")"),"Er steht in einer Küche vor der Theke mit einer Vielzahl von rohem Gemüse.")</f>
        <v>Er steht in einer Küche vor der Theke mit einer Vielzahl von rohem Gemüse.</v>
      </c>
    </row>
    <row r="7616">
      <c r="A7616" s="4" t="s">
        <v>9572</v>
      </c>
      <c r="B7616" s="4" t="s">
        <v>9575</v>
      </c>
      <c r="C7616" s="5" t="str">
        <f>IFERROR(__xludf.DUMMYFUNCTION("GOOGLETRANSLATE(B7616,""en"",""de"")"),"Er legt ein Küchentuch auf die Theke und legt das Messer darauf.")</f>
        <v>Er legt ein Küchentuch auf die Theke und legt das Messer darauf.</v>
      </c>
    </row>
    <row r="7617">
      <c r="A7617" s="4" t="s">
        <v>9572</v>
      </c>
      <c r="B7617" s="4" t="s">
        <v>9576</v>
      </c>
      <c r="C7617" s="5" t="str">
        <f>IFERROR(__xludf.DUMMYFUNCTION("GOOGLETRANSLATE(B7617,""en"",""de"")"),"Anschließend zeigt er, wie man das Rada -Schärfen -Werkzeug verwendet, um das Küchenmesser zu schärfen, indem er in sanfter und stetiger Bewegung IIT hin und her läuft.")</f>
        <v>Anschließend zeigt er, wie man das Rada -Schärfen -Werkzeug verwendet, um das Küchenmesser zu schärfen, indem er in sanfter und stetiger Bewegung IIT hin und her läuft.</v>
      </c>
    </row>
    <row r="7618">
      <c r="A7618" s="4" t="s">
        <v>9577</v>
      </c>
      <c r="B7618" s="4" t="s">
        <v>9578</v>
      </c>
      <c r="C7618" s="5" t="str">
        <f>IFERROR(__xludf.DUMMYFUNCTION("GOOGLETRANSLATE(B7618,""en"",""de"")"),"Ein Mann steigt auf die Füße.")</f>
        <v>Ein Mann steigt auf die Füße.</v>
      </c>
    </row>
    <row r="7619">
      <c r="A7619" s="4" t="s">
        <v>9577</v>
      </c>
      <c r="B7619" s="4" t="s">
        <v>9579</v>
      </c>
      <c r="C7619" s="5" t="str">
        <f>IFERROR(__xludf.DUMMYFUNCTION("GOOGLETRANSLATE(B7619,""en"",""de"")"),"Der Typ geht auf einem engen Seil.")</f>
        <v>Der Typ geht auf einem engen Seil.</v>
      </c>
    </row>
    <row r="7620">
      <c r="A7620" s="4" t="s">
        <v>9577</v>
      </c>
      <c r="B7620" s="4" t="s">
        <v>9580</v>
      </c>
      <c r="C7620" s="5" t="str">
        <f>IFERROR(__xludf.DUMMYFUNCTION("GOOGLETRANSLATE(B7620,""en"",""de"")"),"Der Typ dreht sich um und geht zurück.")</f>
        <v>Der Typ dreht sich um und geht zurück.</v>
      </c>
    </row>
    <row r="7621">
      <c r="A7621" s="4" t="s">
        <v>9577</v>
      </c>
      <c r="B7621" s="4" t="s">
        <v>9581</v>
      </c>
      <c r="C7621" s="5" t="str">
        <f>IFERROR(__xludf.DUMMYFUNCTION("GOOGLETRANSLATE(B7621,""en"",""de"")"),"Der Typ geht auf dem engen Seil rückwärts.")</f>
        <v>Der Typ geht auf dem engen Seil rückwärts.</v>
      </c>
    </row>
    <row r="7622">
      <c r="A7622" s="4" t="s">
        <v>9577</v>
      </c>
      <c r="B7622" s="4" t="s">
        <v>9582</v>
      </c>
      <c r="C7622" s="5" t="str">
        <f>IFERROR(__xludf.DUMMYFUNCTION("GOOGLETRANSLATE(B7622,""en"",""de"")"),"Der Typ steigt vom engen Seil ab und lächelt.")</f>
        <v>Der Typ steigt vom engen Seil ab und lächelt.</v>
      </c>
    </row>
    <row r="7623">
      <c r="A7623" s="4" t="s">
        <v>9583</v>
      </c>
      <c r="B7623" s="4" t="s">
        <v>9584</v>
      </c>
      <c r="C7623" s="5" t="str">
        <f>IFERROR(__xludf.DUMMYFUNCTION("GOOGLETRANSLATE(B7623,""en"",""de"")"),"Ein Mann spricht mit der Kamera und führt zu verschiedenen Zutaten, und eine Person, die Käse schneidet.")</f>
        <v>Ein Mann spricht mit der Kamera und führt zu verschiedenen Zutaten, und eine Person, die Käse schneidet.</v>
      </c>
    </row>
    <row r="7624">
      <c r="A7624" s="4" t="s">
        <v>9583</v>
      </c>
      <c r="B7624" s="4" t="s">
        <v>9585</v>
      </c>
      <c r="C7624" s="5" t="str">
        <f>IFERROR(__xludf.DUMMYFUNCTION("GOOGLETRANSLATE(B7624,""en"",""de"")"),"Die Person mischt Zutaten zusammen und legt sie auf Brotscheiben, um ein Sandwich zu kreieren.")</f>
        <v>Die Person mischt Zutaten zusammen und legt sie auf Brotscheiben, um ein Sandwich zu kreieren.</v>
      </c>
    </row>
    <row r="7625">
      <c r="A7625" s="4" t="s">
        <v>9583</v>
      </c>
      <c r="B7625" s="4" t="s">
        <v>9586</v>
      </c>
      <c r="C7625" s="5" t="str">
        <f>IFERROR(__xludf.DUMMYFUNCTION("GOOGLETRANSLATE(B7625,""en"",""de"")"),"Die Person drückt das Essen in einen Drucker und nimmt danach einen großen Bissen.")</f>
        <v>Die Person drückt das Essen in einen Drucker und nimmt danach einen großen Bissen.</v>
      </c>
    </row>
    <row r="7626">
      <c r="A7626" s="4" t="s">
        <v>9587</v>
      </c>
      <c r="B7626" s="4" t="s">
        <v>9588</v>
      </c>
      <c r="C7626" s="5" t="str">
        <f>IFERROR(__xludf.DUMMYFUNCTION("GOOGLETRANSLATE(B7626,""en"",""de"")"),"Ein älterer Mann sitzt in einer Röhre, während eine ältere Frau auf den Rücken klettert.")</f>
        <v>Ein älterer Mann sitzt in einer Röhre, während eine ältere Frau auf den Rücken klettert.</v>
      </c>
    </row>
    <row r="7627">
      <c r="A7627" s="4" t="s">
        <v>9587</v>
      </c>
      <c r="B7627" s="4" t="s">
        <v>9589</v>
      </c>
      <c r="C7627" s="5" t="str">
        <f>IFERROR(__xludf.DUMMYFUNCTION("GOOGLETRANSLATE(B7627,""en"",""de"")"),"Der Mann in der Röhre trägt Skiis und reitet schließlich mit der Frau mit der Frau hinter dem Boot.")</f>
        <v>Der Mann in der Röhre trägt Skiis und reitet schließlich mit der Frau mit der Frau hinter dem Boot.</v>
      </c>
    </row>
    <row r="7628">
      <c r="A7628" s="4" t="s">
        <v>9587</v>
      </c>
      <c r="B7628" s="4" t="s">
        <v>9590</v>
      </c>
      <c r="C7628" s="5" t="str">
        <f>IFERROR(__xludf.DUMMYFUNCTION("GOOGLETRANSLATE(B7628,""en"",""de"")"),"Das Paar fährt weiterhin auf den Skiern, während die Kamera ein- und auszoomt, um die Bewegung zu erfassen.")</f>
        <v>Das Paar fährt weiterhin auf den Skiern, während die Kamera ein- und auszoomt, um die Bewegung zu erfassen.</v>
      </c>
    </row>
    <row r="7629">
      <c r="A7629" s="4" t="s">
        <v>9591</v>
      </c>
      <c r="B7629" s="4" t="s">
        <v>9592</v>
      </c>
      <c r="C7629" s="5" t="str">
        <f>IFERROR(__xludf.DUMMYFUNCTION("GOOGLETRANSLATE(B7629,""en"",""de"")"),"Eine Frau steht in einer Küche und starrt in die Kamera.")</f>
        <v>Eine Frau steht in einer Küche und starrt in die Kamera.</v>
      </c>
    </row>
    <row r="7630">
      <c r="A7630" s="4" t="s">
        <v>9591</v>
      </c>
      <c r="B7630" s="4" t="s">
        <v>9593</v>
      </c>
      <c r="C7630" s="5" t="str">
        <f>IFERROR(__xludf.DUMMYFUNCTION("GOOGLETRANSLATE(B7630,""en"",""de"")"),"Die Person öffnet einen Ofen und zieht ein Tablett mit Schokoladenkekse heraus.")</f>
        <v>Die Person öffnet einen Ofen und zieht ein Tablett mit Schokoladenkekse heraus.</v>
      </c>
    </row>
    <row r="7631">
      <c r="A7631" s="4" t="s">
        <v>9591</v>
      </c>
      <c r="B7631" s="4" t="s">
        <v>9594</v>
      </c>
      <c r="C7631" s="5" t="str">
        <f>IFERROR(__xludf.DUMMYFUNCTION("GOOGLETRANSLATE(B7631,""en"",""de"")"),"Die Frau starrt die Kekse an und eine zweite Charge wird überprüft.")</f>
        <v>Die Frau starrt die Kekse an und eine zweite Charge wird überprüft.</v>
      </c>
    </row>
    <row r="7632">
      <c r="A7632" s="4" t="s">
        <v>9591</v>
      </c>
      <c r="B7632" s="4" t="s">
        <v>9595</v>
      </c>
      <c r="C7632" s="5" t="str">
        <f>IFERROR(__xludf.DUMMYFUNCTION("GOOGLETRANSLATE(B7632,""en"",""de"")"),"Die Frau schaufelt die Kekse vom Tablett und lockert sie.")</f>
        <v>Die Frau schaufelt die Kekse vom Tablett und lockert sie.</v>
      </c>
    </row>
    <row r="7633">
      <c r="A7633" s="4" t="s">
        <v>9596</v>
      </c>
      <c r="B7633" s="4" t="s">
        <v>9597</v>
      </c>
      <c r="C7633" s="5" t="str">
        <f>IFERROR(__xludf.DUMMYFUNCTION("GOOGLETRANSLATE(B7633,""en"",""de"")"),"Ein kleiner Junge lächelt in der Nähe der Kamera.")</f>
        <v>Ein kleiner Junge lächelt in der Nähe der Kamera.</v>
      </c>
    </row>
    <row r="7634">
      <c r="A7634" s="4" t="s">
        <v>9596</v>
      </c>
      <c r="B7634" s="4" t="s">
        <v>9598</v>
      </c>
      <c r="C7634" s="5" t="str">
        <f>IFERROR(__xludf.DUMMYFUNCTION("GOOGLETRANSLATE(B7634,""en"",""de"")"),"Er verwendet einen Schraubenschlüssel, um die Schrauben aus einem Kinderradreifen zu entfernen.")</f>
        <v>Er verwendet einen Schraubenschlüssel, um die Schrauben aus einem Kinderradreifen zu entfernen.</v>
      </c>
    </row>
    <row r="7635">
      <c r="A7635" s="4" t="s">
        <v>9596</v>
      </c>
      <c r="B7635" s="4" t="s">
        <v>9599</v>
      </c>
      <c r="C7635" s="5" t="str">
        <f>IFERROR(__xludf.DUMMYFUNCTION("GOOGLETRANSLATE(B7635,""en"",""de"")"),"Wenn er fertig ist, lacht er laut.")</f>
        <v>Wenn er fertig ist, lacht er laut.</v>
      </c>
    </row>
    <row r="7636">
      <c r="A7636" s="4" t="s">
        <v>9600</v>
      </c>
      <c r="B7636" s="4" t="s">
        <v>9601</v>
      </c>
      <c r="C7636" s="5" t="str">
        <f>IFERROR(__xludf.DUMMYFUNCTION("GOOGLETRANSLATE(B7636,""en"",""de"")"),"Ein Mann und eine Frau, die auf der Bühne gekleidet war und darauf wartet, ihre Leistung zu beginnen.")</f>
        <v>Ein Mann und eine Frau, die auf der Bühne gekleidet war und darauf wartet, ihre Leistung zu beginnen.</v>
      </c>
    </row>
    <row r="7637">
      <c r="A7637" s="4" t="s">
        <v>9600</v>
      </c>
      <c r="B7637" s="4" t="s">
        <v>9602</v>
      </c>
      <c r="C7637" s="5" t="str">
        <f>IFERROR(__xludf.DUMMYFUNCTION("GOOGLETRANSLATE(B7637,""en"",""de"")"),"Die Aufführung beginnt und der Start tanzt sehr schön.")</f>
        <v>Die Aufführung beginnt und der Start tanzt sehr schön.</v>
      </c>
    </row>
    <row r="7638">
      <c r="A7638" s="4" t="s">
        <v>9600</v>
      </c>
      <c r="B7638" s="4" t="s">
        <v>9603</v>
      </c>
      <c r="C7638" s="5" t="str">
        <f>IFERROR(__xludf.DUMMYFUNCTION("GOOGLETRANSLATE(B7638,""en"",""de"")"),"Sie arbeiten sehr gut zusammen, er nimmt sie auf seinen Schultern ab.")</f>
        <v>Sie arbeiten sehr gut zusammen, er nimmt sie auf seinen Schultern ab.</v>
      </c>
    </row>
    <row r="7639">
      <c r="A7639" s="4" t="s">
        <v>9600</v>
      </c>
      <c r="B7639" s="4" t="s">
        <v>9604</v>
      </c>
      <c r="C7639" s="5" t="str">
        <f>IFERROR(__xludf.DUMMYFUNCTION("GOOGLETRANSLATE(B7639,""en"",""de"")"),"Sie benutzen den Stuhl als Requisite und tanzen, bis es an der Zeit ist, anzuhalten, und umarmen sie sich dann.")</f>
        <v>Sie benutzen den Stuhl als Requisite und tanzen, bis es an der Zeit ist, anzuhalten, und umarmen sie sich dann.</v>
      </c>
    </row>
    <row r="7640">
      <c r="A7640" s="4" t="s">
        <v>9605</v>
      </c>
      <c r="B7640" s="4" t="s">
        <v>1251</v>
      </c>
      <c r="C7640" s="5" t="str">
        <f>IFERROR(__xludf.DUMMYFUNCTION("GOOGLETRANSLATE(B7640,""en"",""de"")"),"Die Credits des Clips werden angezeigt.")</f>
        <v>Die Credits des Clips werden angezeigt.</v>
      </c>
    </row>
    <row r="7641">
      <c r="A7641" s="4" t="s">
        <v>9605</v>
      </c>
      <c r="B7641" s="4" t="s">
        <v>9606</v>
      </c>
      <c r="C7641" s="5" t="str">
        <f>IFERROR(__xludf.DUMMYFUNCTION("GOOGLETRANSLATE(B7641,""en"",""de"")"),"Eine Sportlerin klatscht in die Hände.")</f>
        <v>Eine Sportlerin klatscht in die Hände.</v>
      </c>
    </row>
    <row r="7642">
      <c r="A7642" s="4" t="s">
        <v>9605</v>
      </c>
      <c r="B7642" s="4" t="s">
        <v>9607</v>
      </c>
      <c r="C7642" s="5" t="str">
        <f>IFERROR(__xludf.DUMMYFUNCTION("GOOGLETRANSLATE(B7642,""en"",""de"")"),"Die Sportlerin rennt und erhöht ihren Körper über eine erhöhte Hürde.")</f>
        <v>Die Sportlerin rennt und erhöht ihren Körper über eine erhöhte Hürde.</v>
      </c>
    </row>
    <row r="7643">
      <c r="A7643" s="4" t="s">
        <v>9605</v>
      </c>
      <c r="B7643" s="4" t="s">
        <v>9608</v>
      </c>
      <c r="C7643" s="5" t="str">
        <f>IFERROR(__xludf.DUMMYFUNCTION("GOOGLETRANSLATE(B7643,""en"",""de"")"),"Die Sportlerin erhebt sich und schreit vor Freude.")</f>
        <v>Die Sportlerin erhebt sich und schreit vor Freude.</v>
      </c>
    </row>
    <row r="7644">
      <c r="A7644" s="4" t="s">
        <v>9605</v>
      </c>
      <c r="B7644" s="4" t="s">
        <v>9609</v>
      </c>
      <c r="C7644" s="5" t="str">
        <f>IFERROR(__xludf.DUMMYFUNCTION("GOOGLETRANSLATE(B7644,""en"",""de"")"),"Die Sportlerin tanzt und dreht sich.")</f>
        <v>Die Sportlerin tanzt und dreht sich.</v>
      </c>
    </row>
    <row r="7645">
      <c r="A7645" s="4" t="s">
        <v>9605</v>
      </c>
      <c r="B7645" s="4" t="s">
        <v>9610</v>
      </c>
      <c r="C7645" s="5" t="str">
        <f>IFERROR(__xludf.DUMMYFUNCTION("GOOGLETRANSLATE(B7645,""en"",""de"")"),"Die Sportlerin geht weg.")</f>
        <v>Die Sportlerin geht weg.</v>
      </c>
    </row>
    <row r="7646">
      <c r="A7646" s="4" t="s">
        <v>9605</v>
      </c>
      <c r="B7646" s="4" t="s">
        <v>573</v>
      </c>
      <c r="C7646" s="5" t="str">
        <f>IFERROR(__xludf.DUMMYFUNCTION("GOOGLETRANSLATE(B7646,""en"",""de"")"),"Die Credits des Videos werden angezeigt.")</f>
        <v>Die Credits des Videos werden angezeigt.</v>
      </c>
    </row>
    <row r="7647">
      <c r="A7647" s="4" t="s">
        <v>9611</v>
      </c>
      <c r="B7647" s="4" t="s">
        <v>9612</v>
      </c>
      <c r="C7647" s="5" t="str">
        <f>IFERROR(__xludf.DUMMYFUNCTION("GOOGLETRANSLATE(B7647,""en"",""de"")"),"Ein Indoor -Kurs wird in einer Lagerumgebung mit der Kamera geplant.")</f>
        <v>Ein Indoor -Kurs wird in einer Lagerumgebung mit der Kamera geplant.</v>
      </c>
    </row>
    <row r="7648">
      <c r="A7648" s="4" t="s">
        <v>9611</v>
      </c>
      <c r="B7648" s="4" t="s">
        <v>9613</v>
      </c>
      <c r="C7648" s="5" t="str">
        <f>IFERROR(__xludf.DUMMYFUNCTION("GOOGLETRANSLATE(B7648,""en"",""de"")"),"Ein Athlet läuft eine Strecke und Stabhölzer über eine hohe Stange auf ein gepolstertes Landepad.")</f>
        <v>Ein Athlet läuft eine Strecke und Stabhölzer über eine hohe Stange auf ein gepolstertes Landepad.</v>
      </c>
    </row>
    <row r="7649">
      <c r="A7649" s="4" t="s">
        <v>9611</v>
      </c>
      <c r="B7649" s="4" t="s">
        <v>9614</v>
      </c>
      <c r="C7649" s="5" t="str">
        <f>IFERROR(__xludf.DUMMYFUNCTION("GOOGLETRANSLATE(B7649,""en"",""de"")"),"Der Stangenvaul diskutiert Ereignisse und legt vor dem Gebrauch einige Holzpools fest.")</f>
        <v>Der Stangenvaul diskutiert Ereignisse und legt vor dem Gebrauch einige Holzpools fest.</v>
      </c>
    </row>
    <row r="7650">
      <c r="A7650" s="4" t="s">
        <v>9611</v>
      </c>
      <c r="B7650" s="4" t="s">
        <v>9615</v>
      </c>
      <c r="C7650" s="5" t="str">
        <f>IFERROR(__xludf.DUMMYFUNCTION("GOOGLETRANSLATE(B7650,""en"",""de"")"),"Der Athlet diskutiert mehr und ist auf Fernsehbildschirmen zu sehen, die frühere Stabhochsprunge machen.")</f>
        <v>Der Athlet diskutiert mehr und ist auf Fernsehbildschirmen zu sehen, die frühere Stabhochsprunge machen.</v>
      </c>
    </row>
    <row r="7651">
      <c r="A7651" s="4" t="s">
        <v>9611</v>
      </c>
      <c r="B7651" s="4" t="s">
        <v>9616</v>
      </c>
      <c r="C7651" s="5" t="str">
        <f>IFERROR(__xludf.DUMMYFUNCTION("GOOGLETRANSLATE(B7651,""en"",""de"")"),"Der Athlet sitzt mit einem Trainer und schaut sich einen Fernsehbildschirm an.")</f>
        <v>Der Athlet sitzt mit einem Trainer und schaut sich einen Fernsehbildschirm an.</v>
      </c>
    </row>
    <row r="7652">
      <c r="A7652" s="4" t="s">
        <v>9611</v>
      </c>
      <c r="B7652" s="4" t="s">
        <v>9617</v>
      </c>
      <c r="C7652" s="5" t="str">
        <f>IFERROR(__xludf.DUMMYFUNCTION("GOOGLETRANSLATE(B7652,""en"",""de"")"),"Der Athlet steht und spricht auf der Strecke und spricht auf die Matten.")</f>
        <v>Der Athlet steht und spricht auf der Strecke und spricht auf die Matten.</v>
      </c>
    </row>
    <row r="7653">
      <c r="A7653" s="4" t="s">
        <v>9611</v>
      </c>
      <c r="B7653" s="4" t="s">
        <v>9618</v>
      </c>
      <c r="C7653" s="5" t="str">
        <f>IFERROR(__xludf.DUMMYFUNCTION("GOOGLETRANSLATE(B7653,""en"",""de"")"),"Der Athlet liegt auf einer Matte neben einer Sportlerin und streckt sich.")</f>
        <v>Der Athlet liegt auf einer Matte neben einer Sportlerin und streckt sich.</v>
      </c>
    </row>
    <row r="7654">
      <c r="A7654" s="4" t="s">
        <v>9611</v>
      </c>
      <c r="B7654" s="4" t="s">
        <v>9619</v>
      </c>
      <c r="C7654" s="5" t="str">
        <f>IFERROR(__xludf.DUMMYFUNCTION("GOOGLETRANSLATE(B7654,""en"",""de"")"),"Der Athlet macht während des Trainings mehrere Stabsgewölbe.")</f>
        <v>Der Athlet macht während des Trainings mehrere Stabsgewölbe.</v>
      </c>
    </row>
    <row r="7655">
      <c r="A7655" s="4" t="s">
        <v>9611</v>
      </c>
      <c r="B7655" s="4" t="s">
        <v>9620</v>
      </c>
      <c r="C7655" s="5" t="str">
        <f>IFERROR(__xludf.DUMMYFUNCTION("GOOGLETRANSLATE(B7655,""en"",""de"")"),"Die Außenseite des Lagerhauses ist in einer Stadt zu sehen.")</f>
        <v>Die Außenseite des Lagerhauses ist in einer Stadt zu sehen.</v>
      </c>
    </row>
    <row r="7656">
      <c r="A7656" s="4" t="s">
        <v>9621</v>
      </c>
      <c r="B7656" s="4" t="s">
        <v>9622</v>
      </c>
      <c r="C7656" s="5" t="str">
        <f>IFERROR(__xludf.DUMMYFUNCTION("GOOGLETRANSLATE(B7656,""en"",""de"")"),"Eine Nahaufnahme einer Katze sitzt im Schoß einer Person.")</f>
        <v>Eine Nahaufnahme einer Katze sitzt im Schoß einer Person.</v>
      </c>
    </row>
    <row r="7657">
      <c r="A7657" s="4" t="s">
        <v>9621</v>
      </c>
      <c r="B7657" s="4" t="s">
        <v>9623</v>
      </c>
      <c r="C7657" s="5" t="str">
        <f>IFERROR(__xludf.DUMMYFUNCTION("GOOGLETRANSLATE(B7657,""en"",""de"")"),"Die Person schnappt sich dann ein Paar Clippers und schneidet die Nägel der Katze.")</f>
        <v>Die Person schnappt sich dann ein Paar Clippers und schneidet die Nägel der Katze.</v>
      </c>
    </row>
    <row r="7658">
      <c r="A7658" s="4" t="s">
        <v>9621</v>
      </c>
      <c r="B7658" s="4" t="s">
        <v>9624</v>
      </c>
      <c r="C7658" s="5" t="str">
        <f>IFERROR(__xludf.DUMMYFUNCTION("GOOGLETRANSLATE(B7658,""en"",""de"")"),"Er schneidet die Nägel weiter und zeigt am Ende die Katzenpfoten.")</f>
        <v>Er schneidet die Nägel weiter und zeigt am Ende die Katzenpfoten.</v>
      </c>
    </row>
    <row r="7659">
      <c r="A7659" s="4" t="s">
        <v>9625</v>
      </c>
      <c r="B7659" s="4" t="s">
        <v>9626</v>
      </c>
      <c r="C7659" s="5" t="str">
        <f>IFERROR(__xludf.DUMMYFUNCTION("GOOGLETRANSLATE(B7659,""en"",""de"")"),"Ein silberner Auto ist auf der Straße geparkt.")</f>
        <v>Ein silberner Auto ist auf der Straße geparkt.</v>
      </c>
    </row>
    <row r="7660">
      <c r="A7660" s="4" t="s">
        <v>9625</v>
      </c>
      <c r="B7660" s="4" t="s">
        <v>9627</v>
      </c>
      <c r="C7660" s="5" t="str">
        <f>IFERROR(__xludf.DUMMYFUNCTION("GOOGLETRANSLATE(B7660,""en"",""de"")"),"Ein Mann Power wäscht das Auto auf der Straße.")</f>
        <v>Ein Mann Power wäscht das Auto auf der Straße.</v>
      </c>
    </row>
    <row r="7661">
      <c r="A7661" s="4" t="s">
        <v>9625</v>
      </c>
      <c r="B7661" s="4" t="s">
        <v>9628</v>
      </c>
      <c r="C7661" s="5" t="str">
        <f>IFERROR(__xludf.DUMMYFUNCTION("GOOGLETRANSLATE(B7661,""en"",""de"")"),"Dann trocknet er es ab.")</f>
        <v>Dann trocknet er es ab.</v>
      </c>
    </row>
    <row r="7662">
      <c r="A7662" s="4" t="s">
        <v>9625</v>
      </c>
      <c r="B7662" s="4" t="s">
        <v>9629</v>
      </c>
      <c r="C7662" s="5" t="str">
        <f>IFERROR(__xludf.DUMMYFUNCTION("GOOGLETRANSLATE(B7662,""en"",""de"")"),"Das Auto ist jetzt völlig sauber.")</f>
        <v>Das Auto ist jetzt völlig sauber.</v>
      </c>
    </row>
    <row r="7663">
      <c r="A7663" s="4" t="s">
        <v>9630</v>
      </c>
      <c r="B7663" s="4" t="s">
        <v>9631</v>
      </c>
      <c r="C7663" s="5" t="str">
        <f>IFERROR(__xludf.DUMMYFUNCTION("GOOGLETRANSLATE(B7663,""en"",""de"")"),"Eine Frau spricht mit der Kamera in einer Straßenumgebung, während Fußgänger und Autos vorbeikommen.")</f>
        <v>Eine Frau spricht mit der Kamera in einer Straßenumgebung, während Fußgänger und Autos vorbeikommen.</v>
      </c>
    </row>
    <row r="7664">
      <c r="A7664" s="4" t="s">
        <v>9630</v>
      </c>
      <c r="B7664" s="4" t="s">
        <v>9632</v>
      </c>
      <c r="C7664" s="5" t="str">
        <f>IFERROR(__xludf.DUMMYFUNCTION("GOOGLETRANSLATE(B7664,""en"",""de"")"),"Die Frau schaut hinter einer Wand hinaus.")</f>
        <v>Die Frau schaut hinter einer Wand hinaus.</v>
      </c>
    </row>
    <row r="7665">
      <c r="A7665" s="4" t="s">
        <v>9630</v>
      </c>
      <c r="B7665" s="4" t="s">
        <v>9633</v>
      </c>
      <c r="C7665" s="5" t="str">
        <f>IFERROR(__xludf.DUMMYFUNCTION("GOOGLETRANSLATE(B7665,""en"",""de"")"),"Die Frau schaut auf einen Laptop -Bildschirm mit einem Mann.")</f>
        <v>Die Frau schaut auf einen Laptop -Bildschirm mit einem Mann.</v>
      </c>
    </row>
    <row r="7666">
      <c r="A7666" s="4" t="s">
        <v>9630</v>
      </c>
      <c r="B7666" s="4" t="s">
        <v>9634</v>
      </c>
      <c r="C7666" s="5" t="str">
        <f>IFERROR(__xludf.DUMMYFUNCTION("GOOGLETRANSLATE(B7666,""en"",""de"")"),"Der Mann wendet ein Tattoo -Muster auf den Oberarm der Frau an, wobei das Video manchmal in beschleunigter Zeit vergeht.")</f>
        <v>Der Mann wendet ein Tattoo -Muster auf den Oberarm der Frau an, wobei das Video manchmal in beschleunigter Zeit vergeht.</v>
      </c>
    </row>
    <row r="7667">
      <c r="A7667" s="4" t="s">
        <v>9630</v>
      </c>
      <c r="B7667" s="4" t="s">
        <v>9635</v>
      </c>
      <c r="C7667" s="5" t="str">
        <f>IFERROR(__xludf.DUMMYFUNCTION("GOOGLETRANSLATE(B7667,""en"",""de"")"),"Die Frau zeigt das fertige Tattoo, während er mit der Kamera spricht.")</f>
        <v>Die Frau zeigt das fertige Tattoo, während er mit der Kamera spricht.</v>
      </c>
    </row>
    <row r="7668">
      <c r="A7668" s="4" t="s">
        <v>9636</v>
      </c>
      <c r="B7668" s="4" t="s">
        <v>9637</v>
      </c>
      <c r="C7668" s="5" t="str">
        <f>IFERROR(__xludf.DUMMYFUNCTION("GOOGLETRANSLATE(B7668,""en"",""de"")"),"Eine riesige Ozeanansicht wird angezeigt, als eine Welle einstürzt.")</f>
        <v>Eine riesige Ozeanansicht wird angezeigt, als eine Welle einstürzt.</v>
      </c>
    </row>
    <row r="7669">
      <c r="A7669" s="4" t="s">
        <v>9636</v>
      </c>
      <c r="B7669" s="4" t="s">
        <v>9638</v>
      </c>
      <c r="C7669" s="5" t="str">
        <f>IFERROR(__xludf.DUMMYFUNCTION("GOOGLETRANSLATE(B7669,""en"",""de"")"),"Dies wird aus verschiedenen Winkeln wiederholt.")</f>
        <v>Dies wird aus verschiedenen Winkeln wiederholt.</v>
      </c>
    </row>
    <row r="7670">
      <c r="A7670" s="4" t="s">
        <v>9636</v>
      </c>
      <c r="B7670" s="4" t="s">
        <v>9639</v>
      </c>
      <c r="C7670" s="5" t="str">
        <f>IFERROR(__xludf.DUMMYFUNCTION("GOOGLETRANSLATE(B7670,""en"",""de"")"),"Den Menschen wird dann durch die Wellen surfen.")</f>
        <v>Den Menschen wird dann durch die Wellen surfen.</v>
      </c>
    </row>
    <row r="7671">
      <c r="A7671" s="4" t="s">
        <v>9640</v>
      </c>
      <c r="B7671" s="4" t="s">
        <v>9641</v>
      </c>
      <c r="C7671" s="5" t="str">
        <f>IFERROR(__xludf.DUMMYFUNCTION("GOOGLETRANSLATE(B7671,""en"",""de"")"),"Ein Mann steht vor einem Tisch.")</f>
        <v>Ein Mann steht vor einem Tisch.</v>
      </c>
    </row>
    <row r="7672">
      <c r="A7672" s="4" t="s">
        <v>9640</v>
      </c>
      <c r="B7672" s="4" t="s">
        <v>9642</v>
      </c>
      <c r="C7672" s="5" t="str">
        <f>IFERROR(__xludf.DUMMYFUNCTION("GOOGLETRANSLATE(B7672,""en"",""de"")"),"Er hält eine Kartoffel und schält über eine Schüssel.")</f>
        <v>Er hält eine Kartoffel und schält über eine Schüssel.</v>
      </c>
    </row>
    <row r="7673">
      <c r="A7673" s="4" t="s">
        <v>9640</v>
      </c>
      <c r="B7673" s="4" t="s">
        <v>9643</v>
      </c>
      <c r="C7673" s="5" t="str">
        <f>IFERROR(__xludf.DUMMYFUNCTION("GOOGLETRANSLATE(B7673,""en"",""de"")"),"Er schält den Kartoffelstreifen nach dem anderen.")</f>
        <v>Er schält den Kartoffelstreifen nach dem anderen.</v>
      </c>
    </row>
    <row r="7674">
      <c r="A7674" s="4" t="s">
        <v>9644</v>
      </c>
      <c r="B7674" s="4" t="s">
        <v>9645</v>
      </c>
      <c r="C7674" s="5" t="str">
        <f>IFERROR(__xludf.DUMMYFUNCTION("GOOGLETRANSLATE(B7674,""en"",""de"")"),"Autos werden bei einer Autowäsche gewaschen.")</f>
        <v>Autos werden bei einer Autowäsche gewaschen.</v>
      </c>
    </row>
    <row r="7675">
      <c r="A7675" s="4" t="s">
        <v>9644</v>
      </c>
      <c r="B7675" s="4" t="s">
        <v>9646</v>
      </c>
      <c r="C7675" s="5" t="str">
        <f>IFERROR(__xludf.DUMMYFUNCTION("GOOGLETRANSLATE(B7675,""en"",""de"")"),"Es wird ein Spielraum in der Autowäsche gezeigt.")</f>
        <v>Es wird ein Spielraum in der Autowäsche gezeigt.</v>
      </c>
    </row>
    <row r="7676">
      <c r="A7676" s="4" t="s">
        <v>9644</v>
      </c>
      <c r="B7676" s="4" t="s">
        <v>9647</v>
      </c>
      <c r="C7676" s="5" t="str">
        <f>IFERROR(__xludf.DUMMYFUNCTION("GOOGLETRANSLATE(B7676,""en"",""de"")"),"Die Außenseite des Autowaschgebäudes wird gezeigt.")</f>
        <v>Die Außenseite des Autowaschgebäudes wird gezeigt.</v>
      </c>
    </row>
    <row r="7677">
      <c r="A7677" s="4" t="s">
        <v>9648</v>
      </c>
      <c r="B7677" s="4" t="s">
        <v>9649</v>
      </c>
      <c r="C7677" s="5" t="str">
        <f>IFERROR(__xludf.DUMMYFUNCTION("GOOGLETRANSLATE(B7677,""en"",""de"")"),"Ein Intro zeigt die Produkte des Videos.")</f>
        <v>Ein Intro zeigt die Produkte des Videos.</v>
      </c>
    </row>
    <row r="7678">
      <c r="A7678" s="4" t="s">
        <v>9648</v>
      </c>
      <c r="B7678" s="4" t="s">
        <v>9650</v>
      </c>
      <c r="C7678" s="5" t="str">
        <f>IFERROR(__xludf.DUMMYFUNCTION("GOOGLETRANSLATE(B7678,""en"",""de"")"),"Der Gastgeber zeigt jedes Produkt und wie sie helfen, einen Schuh zu reinigen.")</f>
        <v>Der Gastgeber zeigt jedes Produkt und wie sie helfen, einen Schuh zu reinigen.</v>
      </c>
    </row>
    <row r="7679">
      <c r="A7679" s="4" t="s">
        <v>9648</v>
      </c>
      <c r="B7679" s="4" t="s">
        <v>9651</v>
      </c>
      <c r="C7679" s="5" t="str">
        <f>IFERROR(__xludf.DUMMYFUNCTION("GOOGLETRANSLATE(B7679,""en"",""de"")"),"Zuerst sehen wir, dass der Sneaker gereinigt wird.")</f>
        <v>Zuerst sehen wir, dass der Sneaker gereinigt wird.</v>
      </c>
    </row>
    <row r="7680">
      <c r="A7680" s="4" t="s">
        <v>9648</v>
      </c>
      <c r="B7680" s="4" t="s">
        <v>9652</v>
      </c>
      <c r="C7680" s="5" t="str">
        <f>IFERROR(__xludf.DUMMYFUNCTION("GOOGLETRANSLATE(B7680,""en"",""de"")"),"Als nächstes wird ein Basketballschuh gereinigt.")</f>
        <v>Als nächstes wird ein Basketballschuh gereinigt.</v>
      </c>
    </row>
    <row r="7681">
      <c r="A7681" s="4" t="s">
        <v>9648</v>
      </c>
      <c r="B7681" s="4" t="s">
        <v>9653</v>
      </c>
      <c r="C7681" s="5" t="str">
        <f>IFERROR(__xludf.DUMMYFUNCTION("GOOGLETRANSLATE(B7681,""en"",""de"")"),"Einige Anzeigen spielen das Video ab.")</f>
        <v>Einige Anzeigen spielen das Video ab.</v>
      </c>
    </row>
    <row r="7682">
      <c r="A7682" s="4" t="s">
        <v>9654</v>
      </c>
      <c r="B7682" s="4" t="s">
        <v>9655</v>
      </c>
      <c r="C7682" s="5" t="str">
        <f>IFERROR(__xludf.DUMMYFUNCTION("GOOGLETRANSLATE(B7682,""en"",""de"")"),"Ein paar tanzt in roten Outfits auf einer Bühne für ein großes Publikum auf einer Bühne, die mit farbenfrohen Beleuchtung beleuchtet ist.")</f>
        <v>Ein paar tanzt in roten Outfits auf einer Bühne für ein großes Publikum auf einer Bühne, die mit farbenfrohen Beleuchtung beleuchtet ist.</v>
      </c>
    </row>
    <row r="7683">
      <c r="A7683" s="4" t="s">
        <v>9654</v>
      </c>
      <c r="B7683" s="4" t="s">
        <v>9656</v>
      </c>
      <c r="C7683" s="5" t="str">
        <f>IFERROR(__xludf.DUMMYFUNCTION("GOOGLETRANSLATE(B7683,""en"",""de"")"),"Ein Mann und eine Frau halten sich leidenschaftlich gegenseitig still in einer Umarmung.")</f>
        <v>Ein Mann und eine Frau halten sich leidenschaftlich gegenseitig still in einer Umarmung.</v>
      </c>
    </row>
    <row r="7684">
      <c r="A7684" s="4" t="s">
        <v>9654</v>
      </c>
      <c r="B7684" s="4" t="s">
        <v>9657</v>
      </c>
      <c r="C7684" s="5" t="str">
        <f>IFERROR(__xludf.DUMMYFUNCTION("GOOGLETRANSLATE(B7684,""en"",""de"")"),"Der Mann taucht seinen weiblichen Partner ab, der am Ende des Tanzes die Spaltungen macht.")</f>
        <v>Der Mann taucht seinen weiblichen Partner ab, der am Ende des Tanzes die Spaltungen macht.</v>
      </c>
    </row>
    <row r="7685">
      <c r="A7685" s="4" t="s">
        <v>9658</v>
      </c>
      <c r="B7685" s="4" t="s">
        <v>9659</v>
      </c>
      <c r="C7685" s="5" t="str">
        <f>IFERROR(__xludf.DUMMYFUNCTION("GOOGLETRANSLATE(B7685,""en"",""de"")"),"Eine Frau mit langen Haaren malt auf einem großen Tafel in Time Rafse -Video.")</f>
        <v>Eine Frau mit langen Haaren malt auf einem großen Tafel in Time Rafse -Video.</v>
      </c>
    </row>
    <row r="7686">
      <c r="A7686" s="4" t="s">
        <v>9658</v>
      </c>
      <c r="B7686" s="4" t="s">
        <v>9660</v>
      </c>
      <c r="C7686" s="5" t="str">
        <f>IFERROR(__xludf.DUMMYFUNCTION("GOOGLETRANSLATE(B7686,""en"",""de"")"),"Die Frau malt das Panel immer noch, aber jetzt mit einem Kleidungswechsel.")</f>
        <v>Die Frau malt das Panel immer noch, aber jetzt mit einem Kleidungswechsel.</v>
      </c>
    </row>
    <row r="7687">
      <c r="A7687" s="4" t="s">
        <v>9658</v>
      </c>
      <c r="B7687" s="4" t="s">
        <v>9661</v>
      </c>
      <c r="C7687" s="5" t="str">
        <f>IFERROR(__xludf.DUMMYFUNCTION("GOOGLETRANSLATE(B7687,""en"",""de"")"),"Die Frau malt das Panel immer noch, aber mit einem weiteren Kleidungswechsel.")</f>
        <v>Die Frau malt das Panel immer noch, aber mit einem weiteren Kleidungswechsel.</v>
      </c>
    </row>
    <row r="7688">
      <c r="A7688" s="4" t="s">
        <v>9658</v>
      </c>
      <c r="B7688" s="4" t="s">
        <v>9662</v>
      </c>
      <c r="C7688" s="5" t="str">
        <f>IFERROR(__xludf.DUMMYFUNCTION("GOOGLETRANSLATE(B7688,""en"",""de"")"),"Die Frau malt mit einem vierten verschiedenen Kleidungsstück.")</f>
        <v>Die Frau malt mit einem vierten verschiedenen Kleidungsstück.</v>
      </c>
    </row>
    <row r="7689">
      <c r="A7689" s="4" t="s">
        <v>9658</v>
      </c>
      <c r="B7689" s="4" t="s">
        <v>9663</v>
      </c>
      <c r="C7689" s="5" t="str">
        <f>IFERROR(__xludf.DUMMYFUNCTION("GOOGLETRANSLATE(B7689,""en"",""de"")"),"Die Frau malt weiterhin mit einem fünften Kleidungsstück.")</f>
        <v>Die Frau malt weiterhin mit einem fünften Kleidungsstück.</v>
      </c>
    </row>
    <row r="7690">
      <c r="A7690" s="4" t="s">
        <v>9658</v>
      </c>
      <c r="B7690" s="4" t="s">
        <v>9664</v>
      </c>
      <c r="C7690" s="5" t="str">
        <f>IFERROR(__xludf.DUMMYFUNCTION("GOOGLETRANSLATE(B7690,""en"",""de"")"),"Die Frau malt weiter mit einem sechsten Kleidungsstück.")</f>
        <v>Die Frau malt weiter mit einem sechsten Kleidungsstück.</v>
      </c>
    </row>
    <row r="7691">
      <c r="A7691" s="4" t="s">
        <v>9658</v>
      </c>
      <c r="B7691" s="4" t="s">
        <v>9665</v>
      </c>
      <c r="C7691" s="5" t="str">
        <f>IFERROR(__xludf.DUMMYFUNCTION("GOOGLETRANSLATE(B7691,""en"",""de"")"),"Eine Nahaufnahme des fertigen Bildes wird angezeigt.")</f>
        <v>Eine Nahaufnahme des fertigen Bildes wird angezeigt.</v>
      </c>
    </row>
    <row r="7692">
      <c r="A7692" s="4" t="s">
        <v>9666</v>
      </c>
      <c r="B7692" s="4" t="s">
        <v>9667</v>
      </c>
      <c r="C7692" s="5" t="str">
        <f>IFERROR(__xludf.DUMMYFUNCTION("GOOGLETRANSLATE(B7692,""en"",""de"")"),"Ein ""IAAF"" -Logo erscheint mit den Worten ""Weitsprungmänner"".")</f>
        <v>Ein "IAAF" -Logo erscheint mit den Worten "Weitsprungmänner".</v>
      </c>
    </row>
    <row r="7693">
      <c r="A7693" s="4" t="s">
        <v>9666</v>
      </c>
      <c r="B7693" s="4" t="s">
        <v>9668</v>
      </c>
      <c r="C7693" s="5" t="str">
        <f>IFERROR(__xludf.DUMMYFUNCTION("GOOGLETRANSLATE(B7693,""en"",""de"")"),"Mehrere Männer laufen eine Strecke hinunter und spielen einen Weitsprung in einem professionellen Sportort.")</f>
        <v>Mehrere Männer laufen eine Strecke hinunter und spielen einen Weitsprung in einem professionellen Sportort.</v>
      </c>
    </row>
    <row r="7694">
      <c r="A7694" s="4" t="s">
        <v>9666</v>
      </c>
      <c r="B7694" s="4" t="s">
        <v>9669</v>
      </c>
      <c r="C7694" s="5" t="str">
        <f>IFERROR(__xludf.DUMMYFUNCTION("GOOGLETRANSLATE(B7694,""en"",""de"")"),"Für alle teilnehmenden Spieler wird eine Anzeigetafelgrafik angezeigt.")</f>
        <v>Für alle teilnehmenden Spieler wird eine Anzeigetafelgrafik angezeigt.</v>
      </c>
    </row>
    <row r="7695">
      <c r="A7695" s="4" t="s">
        <v>9670</v>
      </c>
      <c r="B7695" s="4" t="s">
        <v>9671</v>
      </c>
      <c r="C7695" s="5" t="str">
        <f>IFERROR(__xludf.DUMMYFUNCTION("GOOGLETRANSLATE(B7695,""en"",""de"")"),"Die Leute stehen auf einer blauen Matte.")</f>
        <v>Die Leute stehen auf einer blauen Matte.</v>
      </c>
    </row>
    <row r="7696">
      <c r="A7696" s="4" t="s">
        <v>9670</v>
      </c>
      <c r="B7696" s="4" t="s">
        <v>9672</v>
      </c>
      <c r="C7696" s="5" t="str">
        <f>IFERROR(__xludf.DUMMYFUNCTION("GOOGLETRANSLATE(B7696,""en"",""de"")"),"Sie beginnen eine Cheerleading -Routine auf der Matte.")</f>
        <v>Sie beginnen eine Cheerleading -Routine auf der Matte.</v>
      </c>
    </row>
    <row r="7697">
      <c r="A7697" s="4" t="s">
        <v>9670</v>
      </c>
      <c r="B7697" s="4" t="s">
        <v>9673</v>
      </c>
      <c r="C7697" s="5" t="str">
        <f>IFERROR(__xludf.DUMMYFUNCTION("GOOGLETRANSLATE(B7697,""en"",""de"")"),"Sie halten Schilder vor der Matte hoch.")</f>
        <v>Sie halten Schilder vor der Matte hoch.</v>
      </c>
    </row>
    <row r="7698">
      <c r="A7698" s="4" t="s">
        <v>9674</v>
      </c>
      <c r="B7698" s="4" t="s">
        <v>9675</v>
      </c>
      <c r="C7698" s="5" t="str">
        <f>IFERROR(__xludf.DUMMYFUNCTION("GOOGLETRANSLATE(B7698,""en"",""de"")"),"Es wird ein schwarzer Bildschirm angezeigt und verschiedene weiße Wörter werden angezeigt.")</f>
        <v>Es wird ein schwarzer Bildschirm angezeigt und verschiedene weiße Wörter werden angezeigt.</v>
      </c>
    </row>
    <row r="7699">
      <c r="A7699" s="4" t="s">
        <v>9674</v>
      </c>
      <c r="B7699" s="4" t="s">
        <v>9676</v>
      </c>
      <c r="C7699" s="5" t="str">
        <f>IFERROR(__xludf.DUMMYFUNCTION("GOOGLETRANSLATE(B7699,""en"",""de"")"),"Danach wird ein kaukasischer Mann gezeigt, der Handtrommeln spielt und seinen Fuß stampft.")</f>
        <v>Danach wird ein kaukasischer Mann gezeigt, der Handtrommeln spielt und seinen Fuß stampft.</v>
      </c>
    </row>
    <row r="7700">
      <c r="A7700" s="4" t="s">
        <v>9677</v>
      </c>
      <c r="B7700" s="4" t="s">
        <v>9678</v>
      </c>
      <c r="C7700" s="5" t="str">
        <f>IFERROR(__xludf.DUMMYFUNCTION("GOOGLETRANSLATE(B7700,""en"",""de"")"),"Eine Schaufel ärgert sich entlang des schneebedeckten Bodens eines Hofes.")</f>
        <v>Eine Schaufel ärgert sich entlang des schneebedeckten Bodens eines Hofes.</v>
      </c>
    </row>
    <row r="7701">
      <c r="A7701" s="4" t="s">
        <v>9677</v>
      </c>
      <c r="B7701" s="4" t="s">
        <v>9679</v>
      </c>
      <c r="C7701" s="5" t="str">
        <f>IFERROR(__xludf.DUMMYFUNCTION("GOOGLETRANSLATE(B7701,""en"",""de"")"),"Es zieht den Schnee in großen Mengen hoch.")</f>
        <v>Es zieht den Schnee in großen Mengen hoch.</v>
      </c>
    </row>
    <row r="7702">
      <c r="A7702" s="4" t="s">
        <v>9677</v>
      </c>
      <c r="B7702" s="4" t="s">
        <v>9680</v>
      </c>
      <c r="C7702" s="5" t="str">
        <f>IFERROR(__xludf.DUMMYFUNCTION("GOOGLETRANSLATE(B7702,""en"",""de"")"),"Ein Mann zieht die Schaufel hoch und legt sie beiseite.")</f>
        <v>Ein Mann zieht die Schaufel hoch und legt sie beiseite.</v>
      </c>
    </row>
    <row r="7703">
      <c r="A7703" s="4" t="s">
        <v>9681</v>
      </c>
      <c r="B7703" s="4" t="s">
        <v>9682</v>
      </c>
      <c r="C7703" s="5" t="str">
        <f>IFERROR(__xludf.DUMMYFUNCTION("GOOGLETRANSLATE(B7703,""en"",""de"")"),"Wir sehen einen blauen Intro -Bildschirm.")</f>
        <v>Wir sehen einen blauen Intro -Bildschirm.</v>
      </c>
    </row>
    <row r="7704">
      <c r="A7704" s="4" t="s">
        <v>9681</v>
      </c>
      <c r="B7704" s="4" t="s">
        <v>9683</v>
      </c>
      <c r="C7704" s="5" t="str">
        <f>IFERROR(__xludf.DUMMYFUNCTION("GOOGLETRANSLATE(B7704,""en"",""de"")"),"Wir sehen Kinder, die Dirt Bikes fahren.")</f>
        <v>Wir sehen Kinder, die Dirt Bikes fahren.</v>
      </c>
    </row>
    <row r="7705">
      <c r="A7705" s="4" t="s">
        <v>9681</v>
      </c>
      <c r="B7705" s="4" t="s">
        <v>9684</v>
      </c>
      <c r="C7705" s="5" t="str">
        <f>IFERROR(__xludf.DUMMYFUNCTION("GOOGLETRANSLATE(B7705,""en"",""de"")"),"Wir sehen einen anderen Titelbildschirm und die Zwischenfahrer werden gesehen.")</f>
        <v>Wir sehen einen anderen Titelbildschirm und die Zwischenfahrer werden gesehen.</v>
      </c>
    </row>
    <row r="7706">
      <c r="A7706" s="4" t="s">
        <v>9681</v>
      </c>
      <c r="B7706" s="4" t="s">
        <v>9685</v>
      </c>
      <c r="C7706" s="5" t="str">
        <f>IFERROR(__xludf.DUMMYFUNCTION("GOOGLETRANSLATE(B7706,""en"",""de"")"),"Wir sehen, dass der Bildschirm wieder blau wird und die Experten sehen.")</f>
        <v>Wir sehen, dass der Bildschirm wieder blau wird und die Experten sehen.</v>
      </c>
    </row>
    <row r="7707">
      <c r="A7707" s="4" t="s">
        <v>9681</v>
      </c>
      <c r="B7707" s="4" t="s">
        <v>9686</v>
      </c>
      <c r="C7707" s="5" t="str">
        <f>IFERROR(__xludf.DUMMYFUNCTION("GOOGLETRANSLATE(B7707,""en"",""de"")"),"Ein anderer Titelbildschirm wird angezeigt und wir sehen die Credits.")</f>
        <v>Ein anderer Titelbildschirm wird angezeigt und wir sehen die Credits.</v>
      </c>
    </row>
    <row r="7708">
      <c r="A7708" s="4" t="s">
        <v>9687</v>
      </c>
      <c r="B7708" s="4" t="s">
        <v>9688</v>
      </c>
      <c r="C7708" s="5" t="str">
        <f>IFERROR(__xludf.DUMMYFUNCTION("GOOGLETRANSLATE(B7708,""en"",""de"")"),"Ein schwarzer Bildschirm erscheint und handgeschrieben aussehender weißer Text wird auf dem Bildschirm angezeigt und sagt ""Bart Rollin"".")</f>
        <v>Ein schwarzer Bildschirm erscheint und handgeschrieben aussehender weißer Text wird auf dem Bildschirm angezeigt und sagt "Bart Rollin".</v>
      </c>
    </row>
    <row r="7709">
      <c r="A7709" s="4" t="s">
        <v>9687</v>
      </c>
      <c r="B7709" s="4" t="s">
        <v>9689</v>
      </c>
      <c r="C7709" s="5" t="str">
        <f>IFERROR(__xludf.DUMMYFUNCTION("GOOGLETRANSLATE(B7709,""en"",""de"")"),"Ein Mann ist im Freien in einem Stadt, der an verschiedenen Orten mit und ohne Hemd an verschiedenen Orten fällt, ein paar Mal fällt und sowohl Tag als auch Nacht sowohl an verschiedenen Orten zuschauen, und manchmal ist er allein.")</f>
        <v>Ein Mann ist im Freien in einem Stadt, der an verschiedenen Orten mit und ohne Hemd an verschiedenen Orten fällt, ein paar Mal fällt und sowohl Tag als auch Nacht sowohl an verschiedenen Orten zuschauen, und manchmal ist er allein.</v>
      </c>
    </row>
    <row r="7710">
      <c r="A7710" s="4" t="s">
        <v>9687</v>
      </c>
      <c r="B7710" s="4" t="s">
        <v>9690</v>
      </c>
      <c r="C7710" s="5" t="str">
        <f>IFERROR(__xludf.DUMMYFUNCTION("GOOGLETRANSLATE(B7710,""en"",""de"")"),"Wenn der Mann fertig ist, skatieren das Outro erscheint und er enthält einen Screenshot von einem blutigen Finger, einem weißen Bildschirm mit einem männlichen, der schwach gezeichnet ist, und schwarze Wörter scrollen Sie von unten nach oben, bis nur der "&amp;"weiße Bildschirm mit der männlichen Zeichnung ist nur sichtbar.")</f>
        <v>Wenn der Mann fertig ist, skatieren das Outro erscheint und er enthält einen Screenshot von einem blutigen Finger, einem weißen Bildschirm mit einem männlichen, der schwach gezeichnet ist, und schwarze Wörter scrollen Sie von unten nach oben, bis nur der weiße Bildschirm mit der männlichen Zeichnung ist nur sichtbar.</v>
      </c>
    </row>
    <row r="7711">
      <c r="A7711" s="4" t="s">
        <v>9691</v>
      </c>
      <c r="B7711" s="4" t="s">
        <v>9692</v>
      </c>
      <c r="C7711" s="5" t="str">
        <f>IFERROR(__xludf.DUMMYFUNCTION("GOOGLETRANSLATE(B7711,""en"",""de"")"),"Ein Mann spricht mit der Kamera und führt in Clips von ihm, die entlang einer Wand klettern.")</f>
        <v>Ein Mann spricht mit der Kamera und führt in Clips von ihm, die entlang einer Wand klettern.</v>
      </c>
    </row>
    <row r="7712">
      <c r="A7712" s="4" t="s">
        <v>9691</v>
      </c>
      <c r="B7712" s="4" t="s">
        <v>9693</v>
      </c>
      <c r="C7712" s="5" t="str">
        <f>IFERROR(__xludf.DUMMYFUNCTION("GOOGLETRANSLATE(B7712,""en"",""de"")"),"Der Mann klettern weiter entlang der Felswand und endet, indem er zur Kamera zurückblickt.")</f>
        <v>Der Mann klettern weiter entlang der Felswand und endet, indem er zur Kamera zurückblickt.</v>
      </c>
    </row>
    <row r="7713">
      <c r="A7713" s="4" t="s">
        <v>9694</v>
      </c>
      <c r="B7713" s="4" t="s">
        <v>9695</v>
      </c>
      <c r="C7713" s="5" t="str">
        <f>IFERROR(__xludf.DUMMYFUNCTION("GOOGLETRANSLATE(B7713,""en"",""de"")"),"Zwei Jungen sitzen in einem Stand in einem Gebäude.")</f>
        <v>Zwei Jungen sitzen in einem Stand in einem Gebäude.</v>
      </c>
    </row>
    <row r="7714">
      <c r="A7714" s="4" t="s">
        <v>9694</v>
      </c>
      <c r="B7714" s="4" t="s">
        <v>9696</v>
      </c>
      <c r="C7714" s="5" t="str">
        <f>IFERROR(__xludf.DUMMYFUNCTION("GOOGLETRANSLATE(B7714,""en"",""de"")"),"Sie sprechen von Clips.")</f>
        <v>Sie sprechen von Clips.</v>
      </c>
    </row>
    <row r="7715">
      <c r="A7715" s="4" t="s">
        <v>9694</v>
      </c>
      <c r="B7715" s="4" t="s">
        <v>9697</v>
      </c>
      <c r="C7715" s="5" t="str">
        <f>IFERROR(__xludf.DUMMYFUNCTION("GOOGLETRANSLATE(B7715,""en"",""de"")"),"Sie reden dann, während sie Schalen mit Vanilleeis essen.")</f>
        <v>Sie reden dann, während sie Schalen mit Vanilleeis essen.</v>
      </c>
    </row>
    <row r="7716">
      <c r="A7716" s="4" t="s">
        <v>9698</v>
      </c>
      <c r="B7716" s="4" t="s">
        <v>9699</v>
      </c>
      <c r="C7716" s="5" t="str">
        <f>IFERROR(__xludf.DUMMYFUNCTION("GOOGLETRANSLATE(B7716,""en"",""de"")"),"Eine Frau sitzt auf einem Stuhl.")</f>
        <v>Eine Frau sitzt auf einem Stuhl.</v>
      </c>
    </row>
    <row r="7717">
      <c r="A7717" s="4" t="s">
        <v>9698</v>
      </c>
      <c r="B7717" s="4" t="s">
        <v>9700</v>
      </c>
      <c r="C7717" s="5" t="str">
        <f>IFERROR(__xludf.DUMMYFUNCTION("GOOGLETRANSLATE(B7717,""en"",""de"")"),"Ein Junge streift ihr langes Haar.")</f>
        <v>Ein Junge streift ihr langes Haar.</v>
      </c>
    </row>
    <row r="7718">
      <c r="A7718" s="4" t="s">
        <v>9698</v>
      </c>
      <c r="B7718" s="4" t="s">
        <v>9701</v>
      </c>
      <c r="C7718" s="5" t="str">
        <f>IFERROR(__xludf.DUMMYFUNCTION("GOOGLETRANSLATE(B7718,""en"",""de"")"),"Sie lacht und bedeckt ihren Mund mit ihrer Hand.")</f>
        <v>Sie lacht und bedeckt ihren Mund mit ihrer Hand.</v>
      </c>
    </row>
    <row r="7719">
      <c r="A7719" s="4" t="s">
        <v>9702</v>
      </c>
      <c r="B7719" s="4" t="s">
        <v>9703</v>
      </c>
      <c r="C7719" s="5" t="str">
        <f>IFERROR(__xludf.DUMMYFUNCTION("GOOGLETRANSLATE(B7719,""en"",""de"")"),"Das Video beginnt mit einem kleinen Jungen in einem Motorradhelm in einem Restaurant.")</f>
        <v>Das Video beginnt mit einem kleinen Jungen in einem Motorradhelm in einem Restaurant.</v>
      </c>
    </row>
    <row r="7720">
      <c r="A7720" s="4" t="s">
        <v>9702</v>
      </c>
      <c r="B7720" s="4" t="s">
        <v>9704</v>
      </c>
      <c r="C7720" s="5" t="str">
        <f>IFERROR(__xludf.DUMMYFUNCTION("GOOGLETRANSLATE(B7720,""en"",""de"")"),"Der Kameramann gibt ihm Skier.")</f>
        <v>Der Kameramann gibt ihm Skier.</v>
      </c>
    </row>
    <row r="7721">
      <c r="A7721" s="4" t="s">
        <v>9702</v>
      </c>
      <c r="B7721" s="4" t="s">
        <v>9705</v>
      </c>
      <c r="C7721" s="5" t="str">
        <f>IFERROR(__xludf.DUMMYFUNCTION("GOOGLETRANSLATE(B7721,""en"",""de"")"),"Eine Frau und ein Baby kommen in seiner Nähe und er versucht zu laufen, nur um zu fallen.")</f>
        <v>Eine Frau und ein Baby kommen in seiner Nähe und er versucht zu laufen, nur um zu fallen.</v>
      </c>
    </row>
    <row r="7722">
      <c r="A7722" s="4" t="s">
        <v>9702</v>
      </c>
      <c r="B7722" s="4" t="s">
        <v>9706</v>
      </c>
      <c r="C7722" s="5" t="str">
        <f>IFERROR(__xludf.DUMMYFUNCTION("GOOGLETRANSLATE(B7722,""en"",""de"")"),"Als nächstes kommen Clips des kleinen Jungen mit seinem Vater einen schneebedeckten Hang hinunter.")</f>
        <v>Als nächstes kommen Clips des kleinen Jungen mit seinem Vater einen schneebedeckten Hang hinunter.</v>
      </c>
    </row>
    <row r="7723">
      <c r="A7723" s="4" t="s">
        <v>9702</v>
      </c>
      <c r="B7723" s="4" t="s">
        <v>9707</v>
      </c>
      <c r="C7723" s="5" t="str">
        <f>IFERROR(__xludf.DUMMYFUNCTION("GOOGLETRANSLATE(B7723,""en"",""de"")"),"Irgendwann gleitet er auf eine kleine Rampe.")</f>
        <v>Irgendwann gleitet er auf eine kleine Rampe.</v>
      </c>
    </row>
    <row r="7724">
      <c r="A7724" s="4" t="s">
        <v>9702</v>
      </c>
      <c r="B7724" s="4" t="s">
        <v>9708</v>
      </c>
      <c r="C7724" s="5" t="str">
        <f>IFERROR(__xludf.DUMMYFUNCTION("GOOGLETRANSLATE(B7724,""en"",""de"")"),"Er steht auch vor einem Sturz.")</f>
        <v>Er steht auch vor einem Sturz.</v>
      </c>
    </row>
    <row r="7725">
      <c r="A7725" s="4" t="s">
        <v>9702</v>
      </c>
      <c r="B7725" s="4" t="s">
        <v>9709</v>
      </c>
      <c r="C7725" s="5" t="str">
        <f>IFERROR(__xludf.DUMMYFUNCTION("GOOGLETRANSLATE(B7725,""en"",""de"")"),"Bald laden der Junge und seine Familie sein Fahrzeug, um zu gehen.")</f>
        <v>Bald laden der Junge und seine Familie sein Fahrzeug, um zu gehen.</v>
      </c>
    </row>
    <row r="7726">
      <c r="A7726" s="4" t="s">
        <v>9702</v>
      </c>
      <c r="B7726" s="4" t="s">
        <v>9710</v>
      </c>
      <c r="C7726" s="5" t="str">
        <f>IFERROR(__xludf.DUMMYFUNCTION("GOOGLETRANSLATE(B7726,""en"",""de"")"),"Das Video endet mit einem Bild des kleinen Jungen und seinem Vater.")</f>
        <v>Das Video endet mit einem Bild des kleinen Jungen und seinem Vater.</v>
      </c>
    </row>
    <row r="7727">
      <c r="A7727" s="4" t="s">
        <v>9711</v>
      </c>
      <c r="B7727" s="4" t="s">
        <v>9712</v>
      </c>
      <c r="C7727" s="5" t="str">
        <f>IFERROR(__xludf.DUMMYFUNCTION("GOOGLETRANSLATE(B7727,""en"",""de"")"),"Eine Frau ist gesehen, die neben einem Vakuum kniet, gefolgt von mehreren Bildern ihrer Staubsauger und sich um den Teppich.")</f>
        <v>Eine Frau ist gesehen, die neben einem Vakuum kniet, gefolgt von mehreren Bildern ihrer Staubsauger und sich um den Teppich.</v>
      </c>
    </row>
    <row r="7728">
      <c r="A7728" s="4" t="s">
        <v>9711</v>
      </c>
      <c r="B7728" s="4" t="s">
        <v>9713</v>
      </c>
      <c r="C7728" s="5" t="str">
        <f>IFERROR(__xludf.DUMMYFUNCTION("GOOGLETRANSLATE(B7728,""en"",""de"")"),"Weitere Bilder werden sowohl vom Teppich als auch aus dem Knien angezeigt und sie leert ein Vakuum, während sie immer noch mit der Kamera spricht.")</f>
        <v>Weitere Bilder werden sowohl vom Teppich als auch aus dem Knien angezeigt und sie leert ein Vakuum, während sie immer noch mit der Kamera spricht.</v>
      </c>
    </row>
    <row r="7729">
      <c r="A7729" s="4" t="s">
        <v>9714</v>
      </c>
      <c r="B7729" s="4" t="s">
        <v>9715</v>
      </c>
      <c r="C7729" s="5" t="str">
        <f>IFERROR(__xludf.DUMMYFUNCTION("GOOGLETRANSLATE(B7729,""en"",""de"")"),"Ein Mann steht neben einem Baum, der Weihnachtsdekorationen in seinen Händen hält.")</f>
        <v>Ein Mann steht neben einem Baum, der Weihnachtsdekorationen in seinen Händen hält.</v>
      </c>
    </row>
    <row r="7730">
      <c r="A7730" s="4" t="s">
        <v>9714</v>
      </c>
      <c r="B7730" s="4" t="s">
        <v>9716</v>
      </c>
      <c r="C7730" s="5" t="str">
        <f>IFERROR(__xludf.DUMMYFUNCTION("GOOGLETRANSLATE(B7730,""en"",""de"")"),"Dann hängt er die Dekorationen rund um den Baum, während er zurückblickt und mit der Kamera spricht.")</f>
        <v>Dann hängt er die Dekorationen rund um den Baum, während er zurückblickt und mit der Kamera spricht.</v>
      </c>
    </row>
    <row r="7731">
      <c r="A7731" s="4" t="s">
        <v>9717</v>
      </c>
      <c r="B7731" s="4" t="s">
        <v>9718</v>
      </c>
      <c r="C7731" s="5" t="str">
        <f>IFERROR(__xludf.DUMMYFUNCTION("GOOGLETRANSLATE(B7731,""en"",""de"")"),"Es gibt einen jungen Mann in einem roten Hemd, der eine akustische Gitarre spielt.")</f>
        <v>Es gibt einen jungen Mann in einem roten Hemd, der eine akustische Gitarre spielt.</v>
      </c>
    </row>
    <row r="7732">
      <c r="A7732" s="4" t="s">
        <v>9717</v>
      </c>
      <c r="B7732" s="4" t="s">
        <v>9719</v>
      </c>
      <c r="C7732" s="5" t="str">
        <f>IFERROR(__xludf.DUMMYFUNCTION("GOOGLETRANSLATE(B7732,""en"",""de"")"),"Er trennt die Gitarre mit seiner Wahl und bewegt seine Finger über die Akkorde.")</f>
        <v>Er trennt die Gitarre mit seiner Wahl und bewegt seine Finger über die Akkorde.</v>
      </c>
    </row>
    <row r="7733">
      <c r="A7733" s="4" t="s">
        <v>9717</v>
      </c>
      <c r="B7733" s="4" t="s">
        <v>9720</v>
      </c>
      <c r="C7733" s="5" t="str">
        <f>IFERROR(__xludf.DUMMYFUNCTION("GOOGLETRANSLATE(B7733,""en"",""de"")"),"Nachdem er fertig gespielt hat, schaut er auf und lächelt.")</f>
        <v>Nachdem er fertig gespielt hat, schaut er auf und lächelt.</v>
      </c>
    </row>
    <row r="7734">
      <c r="A7734" s="4" t="s">
        <v>9721</v>
      </c>
      <c r="B7734" s="4" t="s">
        <v>9722</v>
      </c>
      <c r="C7734" s="5" t="str">
        <f>IFERROR(__xludf.DUMMYFUNCTION("GOOGLETRANSLATE(B7734,""en"",""de"")"),"Eine Leiter lehnt sich gegen ein Haus.")</f>
        <v>Eine Leiter lehnt sich gegen ein Haus.</v>
      </c>
    </row>
    <row r="7735">
      <c r="A7735" s="4" t="s">
        <v>9721</v>
      </c>
      <c r="B7735" s="4" t="s">
        <v>9723</v>
      </c>
      <c r="C7735" s="5" t="str">
        <f>IFERROR(__xludf.DUMMYFUNCTION("GOOGLETRANSLATE(B7735,""en"",""de"")"),"Ein Stück Holz geht die Leiter hinauf und runter.")</f>
        <v>Ein Stück Holz geht die Leiter hinauf und runter.</v>
      </c>
    </row>
    <row r="7736">
      <c r="A7736" s="4" t="s">
        <v>9724</v>
      </c>
      <c r="B7736" s="4" t="s">
        <v>9725</v>
      </c>
      <c r="C7736" s="5" t="str">
        <f>IFERROR(__xludf.DUMMYFUNCTION("GOOGLETRANSLATE(B7736,""en"",""de"")"),"Ein Mann steht vor einem Set von Pull hoch und doppelte Riegel in einem Park.")</f>
        <v>Ein Mann steht vor einem Set von Pull hoch und doppelte Riegel in einem Park.</v>
      </c>
    </row>
    <row r="7737">
      <c r="A7737" s="4" t="s">
        <v>9724</v>
      </c>
      <c r="B7737" s="4" t="s">
        <v>9726</v>
      </c>
      <c r="C7737" s="5" t="str">
        <f>IFERROR(__xludf.DUMMYFUNCTION("GOOGLETRANSLATE(B7737,""en"",""de"")"),"Der Mann macht Schultertipps auf dem Satz paralleler Balken.")</f>
        <v>Der Mann macht Schultertipps auf dem Satz paralleler Balken.</v>
      </c>
    </row>
    <row r="7738">
      <c r="A7738" s="4" t="s">
        <v>9724</v>
      </c>
      <c r="B7738" s="4" t="s">
        <v>9727</v>
      </c>
      <c r="C7738" s="5" t="str">
        <f>IFERROR(__xludf.DUMMYFUNCTION("GOOGLETRANSLATE(B7738,""en"",""de"")"),"Der Mann schiebt sich mit den Füßen auf den parallelen Balken.")</f>
        <v>Der Mann schiebt sich mit den Füßen auf den parallelen Balken.</v>
      </c>
    </row>
    <row r="7739">
      <c r="A7739" s="4" t="s">
        <v>9724</v>
      </c>
      <c r="B7739" s="4" t="s">
        <v>9728</v>
      </c>
      <c r="C7739" s="5" t="str">
        <f>IFERROR(__xludf.DUMMYFUNCTION("GOOGLETRANSLATE(B7739,""en"",""de"")"),"Der Mann zieht hoch an einer der Bars.")</f>
        <v>Der Mann zieht hoch an einer der Bars.</v>
      </c>
    </row>
    <row r="7740">
      <c r="A7740" s="4" t="s">
        <v>9724</v>
      </c>
      <c r="B7740" s="4" t="s">
        <v>9729</v>
      </c>
      <c r="C7740" s="5" t="str">
        <f>IFERROR(__xludf.DUMMYFUNCTION("GOOGLETRANSLATE(B7740,""en"",""de"")"),"Der Mann geht nach der Routine wieder vor die Ausrüstung.")</f>
        <v>Der Mann geht nach der Routine wieder vor die Ausrüstung.</v>
      </c>
    </row>
    <row r="7741">
      <c r="A7741" s="4" t="s">
        <v>9730</v>
      </c>
      <c r="B7741" s="4" t="s">
        <v>9731</v>
      </c>
      <c r="C7741" s="5" t="str">
        <f>IFERROR(__xludf.DUMMYFUNCTION("GOOGLETRANSLATE(B7741,""en"",""de"")"),"Eine Person schnappt sich eine Festplatte von einem Haufen Scheiben.")</f>
        <v>Eine Person schnappt sich eine Festplatte von einem Haufen Scheiben.</v>
      </c>
    </row>
    <row r="7742">
      <c r="A7742" s="4" t="s">
        <v>9730</v>
      </c>
      <c r="B7742" s="4" t="s">
        <v>9732</v>
      </c>
      <c r="C7742" s="5" t="str">
        <f>IFERROR(__xludf.DUMMYFUNCTION("GOOGLETRANSLATE(B7742,""en"",""de"")"),"Sie werfen es ein Shuffle -Brett.")</f>
        <v>Sie werfen es ein Shuffle -Brett.</v>
      </c>
    </row>
    <row r="7743">
      <c r="A7743" s="4" t="s">
        <v>9730</v>
      </c>
      <c r="B7743" s="4" t="s">
        <v>9733</v>
      </c>
      <c r="C7743" s="5" t="str">
        <f>IFERROR(__xludf.DUMMYFUNCTION("GOOGLETRANSLATE(B7743,""en"",""de"")"),"Das wirf weiterhin Scheiben über den Shuffleboard.")</f>
        <v>Das wirf weiterhin Scheiben über den Shuffleboard.</v>
      </c>
    </row>
    <row r="7744">
      <c r="A7744" s="4" t="s">
        <v>9734</v>
      </c>
      <c r="B7744" s="4" t="s">
        <v>9735</v>
      </c>
      <c r="C7744" s="5" t="str">
        <f>IFERROR(__xludf.DUMMYFUNCTION("GOOGLETRANSLATE(B7744,""en"",""de"")"),"Eine Person spricht mit der Kamera und führt in eine Nahaufnahme des Bodens und eine andere Person, die auf der Seite sitzt.")</f>
        <v>Eine Person spricht mit der Kamera und führt in eine Nahaufnahme des Bodens und eine andere Person, die auf der Seite sitzt.</v>
      </c>
    </row>
    <row r="7745">
      <c r="A7745" s="4" t="s">
        <v>9734</v>
      </c>
      <c r="B7745" s="4" t="s">
        <v>9736</v>
      </c>
      <c r="C7745" s="5" t="str">
        <f>IFERROR(__xludf.DUMMYFUNCTION("GOOGLETRANSLATE(B7745,""en"",""de"")"),"Weitere Aufnahmen werden aus Baumstämmen und Stöcken sowie einer Feuerstelle und einem Jungen gezeigt, der einen Stock schneidet.")</f>
        <v>Weitere Aufnahmen werden aus Baumstämmen und Stöcken sowie einer Feuerstelle und einem Jungen gezeigt, der einen Stock schneidet.</v>
      </c>
    </row>
    <row r="7746">
      <c r="A7746" s="4" t="s">
        <v>9737</v>
      </c>
      <c r="B7746" s="4" t="s">
        <v>9738</v>
      </c>
      <c r="C7746" s="5" t="str">
        <f>IFERROR(__xludf.DUMMYFUNCTION("GOOGLETRANSLATE(B7746,""en"",""de"")"),"Ein Mann zeigt, wie man in seiner Küche ein Omelett mit drei Eiern macht.")</f>
        <v>Ein Mann zeigt, wie man in seiner Küche ein Omelett mit drei Eiern macht.</v>
      </c>
    </row>
    <row r="7747">
      <c r="A7747" s="4" t="s">
        <v>9737</v>
      </c>
      <c r="B7747" s="4" t="s">
        <v>9739</v>
      </c>
      <c r="C7747" s="5" t="str">
        <f>IFERROR(__xludf.DUMMYFUNCTION("GOOGLETRANSLATE(B7747,""en"",""de"")"),"Er beginnt damit, die Eier in einer klaren Glasschale zu knacken.")</f>
        <v>Er beginnt damit, die Eier in einer klaren Glasschale zu knacken.</v>
      </c>
    </row>
    <row r="7748">
      <c r="A7748" s="4" t="s">
        <v>9737</v>
      </c>
      <c r="B7748" s="4" t="s">
        <v>9740</v>
      </c>
      <c r="C7748" s="5" t="str">
        <f>IFERROR(__xludf.DUMMYFUNCTION("GOOGLETRANSLATE(B7748,""en"",""de"")"),"Dann schlägt er die Eier gut und fügt etwas Butter in den Topf hinzu.")</f>
        <v>Dann schlägt er die Eier gut und fügt etwas Butter in den Topf hinzu.</v>
      </c>
    </row>
    <row r="7749">
      <c r="A7749" s="4" t="s">
        <v>9737</v>
      </c>
      <c r="B7749" s="4" t="s">
        <v>9741</v>
      </c>
      <c r="C7749" s="5" t="str">
        <f>IFERROR(__xludf.DUMMYFUNCTION("GOOGLETRANSLATE(B7749,""en"",""de"")"),"Er gießt den rohen Eierteig in die Pfanne.")</f>
        <v>Er gießt den rohen Eierteig in die Pfanne.</v>
      </c>
    </row>
    <row r="7750">
      <c r="A7750" s="4" t="s">
        <v>9737</v>
      </c>
      <c r="B7750" s="4" t="s">
        <v>9742</v>
      </c>
      <c r="C7750" s="5" t="str">
        <f>IFERROR(__xludf.DUMMYFUNCTION("GOOGLETRANSLATE(B7750,""en"",""de"")"),"Er hebt die Pfanne und bewegt sie, um die Eier zu mischen.")</f>
        <v>Er hebt die Pfanne und bewegt sie, um die Eier zu mischen.</v>
      </c>
    </row>
    <row r="7751">
      <c r="A7751" s="4" t="s">
        <v>9737</v>
      </c>
      <c r="B7751" s="4" t="s">
        <v>9743</v>
      </c>
      <c r="C7751" s="5" t="str">
        <f>IFERROR(__xludf.DUMMYFUNCTION("GOOGLETRANSLATE(B7751,""en"",""de"")"),"Dann ist er mit etwas geriebenem Käse aus.")</f>
        <v>Dann ist er mit etwas geriebenem Käse aus.</v>
      </c>
    </row>
    <row r="7752">
      <c r="A7752" s="4" t="s">
        <v>9737</v>
      </c>
      <c r="B7752" s="4" t="s">
        <v>9744</v>
      </c>
      <c r="C7752" s="5" t="str">
        <f>IFERROR(__xludf.DUMMYFUNCTION("GOOGLETRANSLATE(B7752,""en"",""de"")"),"Er nimmt eine Gabel und schiebt das Omelett in eine weiße Platte.")</f>
        <v>Er nimmt eine Gabel und schiebt das Omelett in eine weiße Platte.</v>
      </c>
    </row>
    <row r="7753">
      <c r="A7753" s="4" t="s">
        <v>9737</v>
      </c>
      <c r="B7753" s="4" t="s">
        <v>9745</v>
      </c>
      <c r="C7753" s="5" t="str">
        <f>IFERROR(__xludf.DUMMYFUNCTION("GOOGLETRANSLATE(B7753,""en"",""de"")"),"Dann garniert er es mit ein paar Grüns auf der Oberseite, um eine gesunde Note zu erhalten.")</f>
        <v>Dann garniert er es mit ein paar Grüns auf der Oberseite, um eine gesunde Note zu erhalten.</v>
      </c>
    </row>
    <row r="7754">
      <c r="A7754" s="4" t="s">
        <v>9746</v>
      </c>
      <c r="B7754" s="4" t="s">
        <v>9747</v>
      </c>
      <c r="C7754" s="5" t="str">
        <f>IFERROR(__xludf.DUMMYFUNCTION("GOOGLETRANSLATE(B7754,""en"",""de"")"),"Ein Team ist auf einem Feld, während ein Läufer den Ball wirft, den der Schlagmann trifft und gefangen wird.")</f>
        <v>Ein Team ist auf einem Feld, während ein Läufer den Ball wirft, den der Schlagmann trifft und gefangen wird.</v>
      </c>
    </row>
    <row r="7755">
      <c r="A7755" s="4" t="s">
        <v>9746</v>
      </c>
      <c r="B7755" s="4" t="s">
        <v>9748</v>
      </c>
      <c r="C7755" s="5" t="str">
        <f>IFERROR(__xludf.DUMMYFUNCTION("GOOGLETRANSLATE(B7755,""en"",""de"")"),"Der Trainer weist die Spieler an, während sie das Spiel fortsetzen.")</f>
        <v>Der Trainer weist die Spieler an, während sie das Spiel fortsetzen.</v>
      </c>
    </row>
    <row r="7756">
      <c r="A7756" s="4" t="s">
        <v>9746</v>
      </c>
      <c r="B7756" s="4" t="s">
        <v>9749</v>
      </c>
      <c r="C7756" s="5" t="str">
        <f>IFERROR(__xludf.DUMMYFUNCTION("GOOGLETRANSLATE(B7756,""en"",""de"")"),"Die Spieler gehen weg, dann wird ein Blick auf den Ball, der auf die Fledermaus kommt, gezeigt.")</f>
        <v>Die Spieler gehen weg, dann wird ein Blick auf den Ball, der auf die Fledermaus kommt, gezeigt.</v>
      </c>
    </row>
    <row r="7757">
      <c r="A7757" s="4" t="s">
        <v>9750</v>
      </c>
      <c r="B7757" s="4" t="s">
        <v>9751</v>
      </c>
      <c r="C7757" s="5" t="str">
        <f>IFERROR(__xludf.DUMMYFUNCTION("GOOGLETRANSLATE(B7757,""en"",""de"")"),"Eine Wand wird gezeigt, mit hängenden Werkzeugen bedeckt.")</f>
        <v>Eine Wand wird gezeigt, mit hängenden Werkzeugen bedeckt.</v>
      </c>
    </row>
    <row r="7758">
      <c r="A7758" s="4" t="s">
        <v>9750</v>
      </c>
      <c r="B7758" s="4" t="s">
        <v>9752</v>
      </c>
      <c r="C7758" s="5" t="str">
        <f>IFERROR(__xludf.DUMMYFUNCTION("GOOGLETRANSLATE(B7758,""en"",""de"")"),"Ein Mann befindet sich in einer Werkstatt und spricht über Dachschindeln.")</f>
        <v>Ein Mann befindet sich in einer Werkstatt und spricht über Dachschindeln.</v>
      </c>
    </row>
    <row r="7759">
      <c r="A7759" s="4" t="s">
        <v>9750</v>
      </c>
      <c r="B7759" s="4" t="s">
        <v>9753</v>
      </c>
      <c r="C7759" s="5" t="str">
        <f>IFERROR(__xludf.DUMMYFUNCTION("GOOGLETRANSLATE(B7759,""en"",""de"")"),"Er zeigt, wie man Kleber, Fliesen aufträgt und dann die Fliesen hämmert und festnagelt.")</f>
        <v>Er zeigt, wie man Kleber, Fliesen aufträgt und dann die Fliesen hämmert und festnagelt.</v>
      </c>
    </row>
    <row r="7760">
      <c r="A7760" s="4" t="s">
        <v>9754</v>
      </c>
      <c r="B7760" s="4" t="s">
        <v>9755</v>
      </c>
      <c r="C7760" s="5" t="str">
        <f>IFERROR(__xludf.DUMMYFUNCTION("GOOGLETRANSLATE(B7760,""en"",""de"")"),"Es wird eine Flasche alternde Creme gezeigt und eine Frau beginnt, sie in ihre T-Zone auf ihr Gesicht aufzutragen.")</f>
        <v>Es wird eine Flasche alternde Creme gezeigt und eine Frau beginnt, sie in ihre T-Zone auf ihr Gesicht aufzutragen.</v>
      </c>
    </row>
    <row r="7761">
      <c r="A7761" s="4" t="s">
        <v>9754</v>
      </c>
      <c r="B7761" s="4" t="s">
        <v>9756</v>
      </c>
      <c r="C7761" s="5" t="str">
        <f>IFERROR(__xludf.DUMMYFUNCTION("GOOGLETRANSLATE(B7761,""en"",""de"")"),"Sobald es gleichmäßig angezeigt wird, werden mehrere Absätze über die Verwendung des Produkts und die jede Woche angezeigt.")</f>
        <v>Sobald es gleichmäßig angezeigt wird, werden mehrere Absätze über die Verwendung des Produkts und die jede Woche angezeigt.</v>
      </c>
    </row>
    <row r="7762">
      <c r="A7762" s="4" t="s">
        <v>9754</v>
      </c>
      <c r="B7762" s="4" t="s">
        <v>9757</v>
      </c>
      <c r="C7762" s="5" t="str">
        <f>IFERROR(__xludf.DUMMYFUNCTION("GOOGLETRANSLATE(B7762,""en"",""de"")"),"Danach erscheint ein kurzer Satz und fordert Sie auf, auf der Webseite zu gehen, um weitere Details zu erhalten.")</f>
        <v>Danach erscheint ein kurzer Satz und fordert Sie auf, auf der Webseite zu gehen, um weitere Details zu erhalten.</v>
      </c>
    </row>
    <row r="7763">
      <c r="A7763" s="4" t="s">
        <v>9758</v>
      </c>
      <c r="B7763" s="4" t="s">
        <v>9759</v>
      </c>
      <c r="C7763" s="5" t="str">
        <f>IFERROR(__xludf.DUMMYFUNCTION("GOOGLETRANSLATE(B7763,""en"",""de"")"),"Fitnessstudio stehen in einem Wettbewerbsraum.")</f>
        <v>Fitnessstudio stehen in einem Wettbewerbsraum.</v>
      </c>
    </row>
    <row r="7764">
      <c r="A7764" s="4" t="s">
        <v>9758</v>
      </c>
      <c r="B7764" s="4" t="s">
        <v>9760</v>
      </c>
      <c r="C7764" s="5" t="str">
        <f>IFERROR(__xludf.DUMMYFUNCTION("GOOGLETRANSLATE(B7764,""en"",""de"")"),"Ein Mann montiert einen Strahl.")</f>
        <v>Ein Mann montiert einen Strahl.</v>
      </c>
    </row>
    <row r="7765">
      <c r="A7765" s="4" t="s">
        <v>9758</v>
      </c>
      <c r="B7765" s="4" t="s">
        <v>9761</v>
      </c>
      <c r="C7765" s="5" t="str">
        <f>IFERROR(__xludf.DUMMYFUNCTION("GOOGLETRANSLATE(B7765,""en"",""de"")"),"Er beginnt sich zu drehen, umzudrehen und mehrere Tricks zu machen.")</f>
        <v>Er beginnt sich zu drehen, umzudrehen und mehrere Tricks zu machen.</v>
      </c>
    </row>
    <row r="7766">
      <c r="A7766" s="4" t="s">
        <v>9758</v>
      </c>
      <c r="B7766" s="4" t="s">
        <v>9762</v>
      </c>
      <c r="C7766" s="5" t="str">
        <f>IFERROR(__xludf.DUMMYFUNCTION("GOOGLETRANSLATE(B7766,""en"",""de"")"),"Er steigt ab, hebt seine Arme in die Luft und verbeugt sich.")</f>
        <v>Er steigt ab, hebt seine Arme in die Luft und verbeugt sich.</v>
      </c>
    </row>
    <row r="7767">
      <c r="A7767" s="4" t="s">
        <v>9763</v>
      </c>
      <c r="B7767" s="4" t="s">
        <v>9764</v>
      </c>
      <c r="C7767" s="5" t="str">
        <f>IFERROR(__xludf.DUMMYFUNCTION("GOOGLETRANSLATE(B7767,""en"",""de"")"),"Ein Baby schwingt und viertens auf einer Schaukel, während er lacht und zur Kamera lächelt.")</f>
        <v>Ein Baby schwingt und viertens auf einer Schaukel, während er lacht und zur Kamera lächelt.</v>
      </c>
    </row>
    <row r="7768">
      <c r="A7768" s="4" t="s">
        <v>9763</v>
      </c>
      <c r="B7768" s="4" t="s">
        <v>9765</v>
      </c>
      <c r="C7768" s="5" t="str">
        <f>IFERROR(__xludf.DUMMYFUNCTION("GOOGLETRANSLATE(B7768,""en"",""de"")"),"Das Baby bewegt sich weiter zurück und viertens, während sie zur Kamera aufblickt und lächelt.")</f>
        <v>Das Baby bewegt sich weiter zurück und viertens, während sie zur Kamera aufblickt und lächelt.</v>
      </c>
    </row>
    <row r="7769">
      <c r="A7769" s="4" t="s">
        <v>9766</v>
      </c>
      <c r="B7769" s="4" t="s">
        <v>9767</v>
      </c>
      <c r="C7769" s="5" t="str">
        <f>IFERROR(__xludf.DUMMYFUNCTION("GOOGLETRANSLATE(B7769,""en"",""de"")"),"Eine asiatische Frau sitzt, dann fährt sie mit dem Skateboard und begann auf der leeren Straße zu skaten.")</f>
        <v>Eine asiatische Frau sitzt, dann fährt sie mit dem Skateboard und begann auf der leeren Straße zu skaten.</v>
      </c>
    </row>
    <row r="7770">
      <c r="A7770" s="4" t="s">
        <v>9766</v>
      </c>
      <c r="B7770" s="4" t="s">
        <v>9768</v>
      </c>
      <c r="C7770" s="5" t="str">
        <f>IFERROR(__xludf.DUMMYFUNCTION("GOOGLETRANSLATE(B7770,""en"",""de"")"),"Das Mädchen skateboarding von einer Seite zur Seite und hält einen Selfie -Stick.")</f>
        <v>Das Mädchen skateboarding von einer Seite zur Seite und hält einen Selfie -Stick.</v>
      </c>
    </row>
    <row r="7771">
      <c r="A7771" s="4" t="s">
        <v>9766</v>
      </c>
      <c r="B7771" s="4" t="s">
        <v>9769</v>
      </c>
      <c r="C7771" s="5" t="str">
        <f>IFERROR(__xludf.DUMMYFUNCTION("GOOGLETRANSLATE(B7771,""en"",""de"")"),"Das Mädchen -Skateboard auf dem Bürgersteig, in der Nähe des Wassers, in einem schmalen Weg und Park.")</f>
        <v>Das Mädchen -Skateboard auf dem Bürgersteig, in der Nähe des Wassers, in einem schmalen Weg und Park.</v>
      </c>
    </row>
    <row r="7772">
      <c r="A7772" s="4" t="s">
        <v>9770</v>
      </c>
      <c r="B7772" s="4" t="s">
        <v>9771</v>
      </c>
      <c r="C7772" s="5" t="str">
        <f>IFERROR(__xludf.DUMMYFUNCTION("GOOGLETRANSLATE(B7772,""en"",""de"")"),"Eine Gruppe von Menschen, die auf erhöhten Tribünen sitzen, beobachten einen Mann auf einem Pferd, ein kleines schwarzes Kalb in einem, schmutzgedeckten, innen, im Innen- und Rodeo -Ring.")</f>
        <v>Eine Gruppe von Menschen, die auf erhöhten Tribünen sitzen, beobachten einen Mann auf einem Pferd, ein kleines schwarzes Kalb in einem, schmutzgedeckten, innen, im Innen- und Rodeo -Ring.</v>
      </c>
    </row>
    <row r="7773">
      <c r="A7773" s="4" t="s">
        <v>9770</v>
      </c>
      <c r="B7773" s="4" t="s">
        <v>9772</v>
      </c>
      <c r="C7773" s="5" t="str">
        <f>IFERROR(__xludf.DUMMYFUNCTION("GOOGLETRANSLATE(B7773,""en"",""de"")"),"Der Mann taucht aus einer Bodentür auf einem Pferd in den Ring auf und jagt nach einem kleinen schwarzen Kalb.")</f>
        <v>Der Mann taucht aus einer Bodentür auf einem Pferd in den Ring auf und jagt nach einem kleinen schwarzen Kalb.</v>
      </c>
    </row>
    <row r="7774">
      <c r="A7774" s="4" t="s">
        <v>9770</v>
      </c>
      <c r="B7774" s="4" t="s">
        <v>9773</v>
      </c>
      <c r="C7774" s="5" t="str">
        <f>IFERROR(__xludf.DUMMYFUNCTION("GOOGLETRANSLATE(B7774,""en"",""de"")"),"Der Mann wirft gleichzeitig ein Seil um den Wadenhals und steigt das Pferd ab, während das Pferd in Bewegung ist.")</f>
        <v>Der Mann wirft gleichzeitig ein Seil um den Wadenhals und steigt das Pferd ab, während das Pferd in Bewegung ist.</v>
      </c>
    </row>
    <row r="7775">
      <c r="A7775" s="4" t="s">
        <v>9770</v>
      </c>
      <c r="B7775" s="4" t="s">
        <v>9774</v>
      </c>
      <c r="C7775" s="5" t="str">
        <f>IFERROR(__xludf.DUMMYFUNCTION("GOOGLETRANSLATE(B7775,""en"",""de"")"),"Nach der Landung nach dem Ablösen rennt der Mann zum Kalb und bindet das Kalb im Seil und geht dann zum Pferd zurück und montiert das Pferd erneut, während zwei Männer den Ring betreten und nach dem gebundenen Kalb greifen.")</f>
        <v>Nach der Landung nach dem Ablösen rennt der Mann zum Kalb und bindet das Kalb im Seil und geht dann zum Pferd zurück und montiert das Pferd erneut, während zwei Männer den Ring betreten und nach dem gebundenen Kalb greifen.</v>
      </c>
    </row>
    <row r="7776">
      <c r="A7776" s="4" t="s">
        <v>9775</v>
      </c>
      <c r="B7776" s="4" t="s">
        <v>9776</v>
      </c>
      <c r="C7776" s="5" t="str">
        <f>IFERROR(__xludf.DUMMYFUNCTION("GOOGLETRANSLATE(B7776,""en"",""de"")"),"Ein Mann wird in einem Badezimmer gezeigt, das eine Zahnbürste auswählt.")</f>
        <v>Ein Mann wird in einem Badezimmer gezeigt, das eine Zahnbürste auswählt.</v>
      </c>
    </row>
    <row r="7777">
      <c r="A7777" s="4" t="s">
        <v>9775</v>
      </c>
      <c r="B7777" s="4" t="s">
        <v>9777</v>
      </c>
      <c r="C7777" s="5" t="str">
        <f>IFERROR(__xludf.DUMMYFUNCTION("GOOGLETRANSLATE(B7777,""en"",""de"")"),"Dann putzt er die Zähne und sieht Blut.")</f>
        <v>Dann putzt er die Zähne und sieht Blut.</v>
      </c>
    </row>
    <row r="7778">
      <c r="A7778" s="4" t="s">
        <v>9775</v>
      </c>
      <c r="B7778" s="4" t="s">
        <v>9778</v>
      </c>
      <c r="C7778" s="5" t="str">
        <f>IFERROR(__xludf.DUMMYFUNCTION("GOOGLETRANSLATE(B7778,""en"",""de"")"),"Er verwendet dreißig Sekunden lang Listerin -Mundwäsche, um die Keime zu töten.")</f>
        <v>Er verwendet dreißig Sekunden lang Listerin -Mundwäsche, um die Keime zu töten.</v>
      </c>
    </row>
    <row r="7779">
      <c r="A7779" s="4" t="s">
        <v>9779</v>
      </c>
      <c r="B7779" s="4" t="s">
        <v>9780</v>
      </c>
      <c r="C7779" s="5" t="str">
        <f>IFERROR(__xludf.DUMMYFUNCTION("GOOGLETRANSLATE(B7779,""en"",""de"")"),"Eine Nahaufnahme eines Tisches wird ebenso angezeigt wie ein Mann, der am Tisch steht und zur Seite zeigt.")</f>
        <v>Eine Nahaufnahme eines Tisches wird ebenso angezeigt wie ein Mann, der am Tisch steht und zur Seite zeigt.</v>
      </c>
    </row>
    <row r="7780">
      <c r="A7780" s="4" t="s">
        <v>9779</v>
      </c>
      <c r="B7780" s="4" t="s">
        <v>9781</v>
      </c>
      <c r="C7780" s="5" t="str">
        <f>IFERROR(__xludf.DUMMYFUNCTION("GOOGLETRANSLATE(B7780,""en"",""de"")"),"Zwei Männer beobachten nebenbei, während das Spiel weitergeht und ein anderer Mann auf seinem Handy aufzeichnet.")</f>
        <v>Zwei Männer beobachten nebenbei, während das Spiel weitergeht und ein anderer Mann auf seinem Handy aufzeichnet.</v>
      </c>
    </row>
    <row r="7781">
      <c r="A7781" s="4" t="s">
        <v>9782</v>
      </c>
      <c r="B7781" s="4" t="s">
        <v>9783</v>
      </c>
      <c r="C7781" s="5" t="str">
        <f>IFERROR(__xludf.DUMMYFUNCTION("GOOGLETRANSLATE(B7781,""en"",""de"")"),"Ein Junge sitzt ein Kamel.")</f>
        <v>Ein Junge sitzt ein Kamel.</v>
      </c>
    </row>
    <row r="7782">
      <c r="A7782" s="4" t="s">
        <v>9782</v>
      </c>
      <c r="B7782" s="4" t="s">
        <v>9784</v>
      </c>
      <c r="C7782" s="5" t="str">
        <f>IFERROR(__xludf.DUMMYFUNCTION("GOOGLETRANSLATE(B7782,""en"",""de"")"),"Das Kamel beginnt sich mit Hilfe eines Handlers zu bewegen.")</f>
        <v>Das Kamel beginnt sich mit Hilfe eines Handlers zu bewegen.</v>
      </c>
    </row>
    <row r="7783">
      <c r="A7783" s="4" t="s">
        <v>9782</v>
      </c>
      <c r="B7783" s="4" t="s">
        <v>9785</v>
      </c>
      <c r="C7783" s="5" t="str">
        <f>IFERROR(__xludf.DUMMYFUNCTION("GOOGLETRANSLATE(B7783,""en"",""de"")"),"Menschen erscheinen im Hintergrund.")</f>
        <v>Menschen erscheinen im Hintergrund.</v>
      </c>
    </row>
    <row r="7784">
      <c r="A7784" s="4" t="s">
        <v>9786</v>
      </c>
      <c r="B7784" s="4" t="s">
        <v>9787</v>
      </c>
      <c r="C7784" s="5" t="str">
        <f>IFERROR(__xludf.DUMMYFUNCTION("GOOGLETRANSLATE(B7784,""en"",""de"")"),"Eine Mutter und ein Kind in Schwimmanzügen bauen Sandburgen am Strand.")</f>
        <v>Eine Mutter und ein Kind in Schwimmanzügen bauen Sandburgen am Strand.</v>
      </c>
    </row>
    <row r="7785">
      <c r="A7785" s="4" t="s">
        <v>9786</v>
      </c>
      <c r="B7785" s="4" t="s">
        <v>9788</v>
      </c>
      <c r="C7785" s="5" t="str">
        <f>IFERROR(__xludf.DUMMYFUNCTION("GOOGLETRANSLATE(B7785,""en"",""de"")"),"Das Kind zerstört die Sandburgen.")</f>
        <v>Das Kind zerstört die Sandburgen.</v>
      </c>
    </row>
    <row r="7786">
      <c r="A7786" s="4" t="s">
        <v>9786</v>
      </c>
      <c r="B7786" s="4" t="s">
        <v>9789</v>
      </c>
      <c r="C7786" s="5" t="str">
        <f>IFERROR(__xludf.DUMMYFUNCTION("GOOGLETRANSLATE(B7786,""en"",""de"")"),"Die Mutter wirft die Plastikform frustriert.")</f>
        <v>Die Mutter wirft die Plastikform frustriert.</v>
      </c>
    </row>
    <row r="7787">
      <c r="A7787" s="4" t="s">
        <v>9790</v>
      </c>
      <c r="B7787" s="4" t="s">
        <v>9791</v>
      </c>
      <c r="C7787" s="5" t="str">
        <f>IFERROR(__xludf.DUMMYFUNCTION("GOOGLETRANSLATE(B7787,""en"",""de"")"),"Es wird gezeigt, dass eine Person einen großen Teppich mit einem grünen Staubsauger saugen.")</f>
        <v>Es wird gezeigt, dass eine Person einen großen Teppich mit einem grünen Staubsauger saugen.</v>
      </c>
    </row>
    <row r="7788">
      <c r="A7788" s="4" t="s">
        <v>9790</v>
      </c>
      <c r="B7788" s="4" t="s">
        <v>9792</v>
      </c>
      <c r="C7788" s="5" t="str">
        <f>IFERROR(__xludf.DUMMYFUNCTION("GOOGLETRANSLATE(B7788,""en"",""de"")"),"Eine Bildunterschrift kommt auf den Bildschirm auf, während der Mann das Vakuum über den ganzen Teppich weiter verwendet.")</f>
        <v>Eine Bildunterschrift kommt auf den Bildschirm auf, während der Mann das Vakuum über den ganzen Teppich weiter verwendet.</v>
      </c>
    </row>
    <row r="7789">
      <c r="A7789" s="4" t="s">
        <v>9793</v>
      </c>
      <c r="B7789" s="4" t="s">
        <v>9794</v>
      </c>
      <c r="C7789" s="5" t="str">
        <f>IFERROR(__xludf.DUMMYFUNCTION("GOOGLETRANSLATE(B7789,""en"",""de"")"),"Eine Nahaufnahme eines Billardtischs wird angezeigt, gefolgt von einer Person, die um die Seiten geht.")</f>
        <v>Eine Nahaufnahme eines Billardtischs wird angezeigt, gefolgt von einer Person, die um die Seiten geht.</v>
      </c>
    </row>
    <row r="7790">
      <c r="A7790" s="4" t="s">
        <v>9793</v>
      </c>
      <c r="B7790" s="4" t="s">
        <v>9795</v>
      </c>
      <c r="C7790" s="5" t="str">
        <f>IFERROR(__xludf.DUMMYFUNCTION("GOOGLETRANSLATE(B7790,""en"",""de"")"),"Die Person trifft dann kontinuierlich um den Tisch.")</f>
        <v>Die Person trifft dann kontinuierlich um den Tisch.</v>
      </c>
    </row>
    <row r="7791">
      <c r="A7791" s="4" t="s">
        <v>9793</v>
      </c>
      <c r="B7791" s="4" t="s">
        <v>9796</v>
      </c>
      <c r="C7791" s="5" t="str">
        <f>IFERROR(__xludf.DUMMYFUNCTION("GOOGLETRANSLATE(B7791,""en"",""de"")"),"Der Mann versinkt dann den letzten Ball und feiert mit einer Gruppe von Menschen.")</f>
        <v>Der Mann versinkt dann den letzten Ball und feiert mit einer Gruppe von Menschen.</v>
      </c>
    </row>
    <row r="7792">
      <c r="A7792" s="4" t="s">
        <v>9797</v>
      </c>
      <c r="B7792" s="4" t="s">
        <v>9798</v>
      </c>
      <c r="C7792" s="5" t="str">
        <f>IFERROR(__xludf.DUMMYFUNCTION("GOOGLETRANSLATE(B7792,""en"",""de"")"),"Ein Mann wirft einen Ball auf den Bürgersteig.")</f>
        <v>Ein Mann wirft einen Ball auf den Bürgersteig.</v>
      </c>
    </row>
    <row r="7793">
      <c r="A7793" s="4" t="s">
        <v>9797</v>
      </c>
      <c r="B7793" s="4" t="s">
        <v>9799</v>
      </c>
      <c r="C7793" s="5" t="str">
        <f>IFERROR(__xludf.DUMMYFUNCTION("GOOGLETRANSLATE(B7793,""en"",""de"")"),"Er spielt Hopscotch, um es abzuholen.")</f>
        <v>Er spielt Hopscotch, um es abzuholen.</v>
      </c>
    </row>
    <row r="7794">
      <c r="A7794" s="4" t="s">
        <v>9797</v>
      </c>
      <c r="B7794" s="4" t="s">
        <v>9800</v>
      </c>
      <c r="C7794" s="5" t="str">
        <f>IFERROR(__xludf.DUMMYFUNCTION("GOOGLETRANSLATE(B7794,""en"",""de"")"),"Ein kleines Kind rennt vor ihm herum.")</f>
        <v>Ein kleines Kind rennt vor ihm herum.</v>
      </c>
    </row>
    <row r="7795">
      <c r="A7795" s="4" t="s">
        <v>9801</v>
      </c>
      <c r="B7795" s="4" t="s">
        <v>9802</v>
      </c>
      <c r="C7795" s="5" t="str">
        <f>IFERROR(__xludf.DUMMYFUNCTION("GOOGLETRANSLATE(B7795,""en"",""de"")"),"Ein Mann, der einen Eiskratzer hält, drückt Eis von seinem Auto, während die Kamera eingreift.")</f>
        <v>Ein Mann, der einen Eiskratzer hält, drückt Eis von seinem Auto, während die Kamera eingreift.</v>
      </c>
    </row>
    <row r="7796">
      <c r="A7796" s="4" t="s">
        <v>9801</v>
      </c>
      <c r="B7796" s="4" t="s">
        <v>9803</v>
      </c>
      <c r="C7796" s="5" t="str">
        <f>IFERROR(__xludf.DUMMYFUNCTION("GOOGLETRANSLATE(B7796,""en"",""de"")"),"Die Kamera zeigt seine Hände, die allmählich das Stück für Eis aus dem Eis ausgeschöpft sind.")</f>
        <v>Die Kamera zeigt seine Hände, die allmählich das Stück für Eis aus dem Eis ausgeschöpft sind.</v>
      </c>
    </row>
    <row r="7797">
      <c r="A7797" s="4" t="s">
        <v>9804</v>
      </c>
      <c r="B7797" s="4" t="s">
        <v>9805</v>
      </c>
      <c r="C7797" s="5" t="str">
        <f>IFERROR(__xludf.DUMMYFUNCTION("GOOGLETRANSLATE(B7797,""en"",""de"")"),"Eine Frau ist in einem Wohnzimmer vor einem Feuer.")</f>
        <v>Eine Frau ist in einem Wohnzimmer vor einem Feuer.</v>
      </c>
    </row>
    <row r="7798">
      <c r="A7798" s="4" t="s">
        <v>9804</v>
      </c>
      <c r="B7798" s="4" t="s">
        <v>9806</v>
      </c>
      <c r="C7798" s="5" t="str">
        <f>IFERROR(__xludf.DUMMYFUNCTION("GOOGLETRANSLATE(B7798,""en"",""de"")"),"Sie schneidet ein Verpackungspapier in Streifen und schlang es dann ordentlich um eine Schachtel.")</f>
        <v>Sie schneidet ein Verpackungspapier in Streifen und schlang es dann ordentlich um eine Schachtel.</v>
      </c>
    </row>
    <row r="7799">
      <c r="A7799" s="4" t="s">
        <v>9804</v>
      </c>
      <c r="B7799" s="4" t="s">
        <v>9807</v>
      </c>
      <c r="C7799" s="5" t="str">
        <f>IFERROR(__xludf.DUMMYFUNCTION("GOOGLETRANSLATE(B7799,""en"",""de"")"),"Sie klebt die Box und legt sie sanft auf den Tisch.")</f>
        <v>Sie klebt die Box und legt sie sanft auf den Tisch.</v>
      </c>
    </row>
    <row r="7800">
      <c r="A7800" s="4" t="s">
        <v>9808</v>
      </c>
      <c r="B7800" s="4" t="s">
        <v>9809</v>
      </c>
      <c r="C7800" s="5" t="str">
        <f>IFERROR(__xludf.DUMMYFUNCTION("GOOGLETRANSLATE(B7800,""en"",""de"")"),"Eine Frau, die ein schwarzes Hemd trägt, beginnt zu reden und dann erscheint jemand, der ihre Beine wach, erscheint.")</f>
        <v>Eine Frau, die ein schwarzes Hemd trägt, beginnt zu reden und dann erscheint jemand, der ihre Beine wach, erscheint.</v>
      </c>
    </row>
    <row r="7801">
      <c r="A7801" s="4" t="s">
        <v>9808</v>
      </c>
      <c r="B7801" s="4" t="s">
        <v>9810</v>
      </c>
      <c r="C7801" s="5" t="str">
        <f>IFERROR(__xludf.DUMMYFUNCTION("GOOGLETRANSLATE(B7801,""en"",""de"")"),"Während sie spricht, wird eine Schicht Wachs auf das Bein und dann ein weißes Stück Papier gelegt.")</f>
        <v>Während sie spricht, wird eine Schicht Wachs auf das Bein und dann ein weißes Stück Papier gelegt.</v>
      </c>
    </row>
    <row r="7802">
      <c r="A7802" s="4" t="s">
        <v>9811</v>
      </c>
      <c r="B7802" s="4" t="s">
        <v>9812</v>
      </c>
      <c r="C7802" s="5" t="str">
        <f>IFERROR(__xludf.DUMMYFUNCTION("GOOGLETRANSLATE(B7802,""en"",""de"")"),"Ein Turner steht in einer Pose und wartet darauf, ihre Leistung zu beginnen.")</f>
        <v>Ein Turner steht in einer Pose und wartet darauf, ihre Leistung zu beginnen.</v>
      </c>
    </row>
    <row r="7803">
      <c r="A7803" s="4" t="s">
        <v>9811</v>
      </c>
      <c r="B7803" s="4" t="s">
        <v>9813</v>
      </c>
      <c r="C7803" s="5" t="str">
        <f>IFERROR(__xludf.DUMMYFUNCTION("GOOGLETRANSLATE(B7803,""en"",""de"")"),"Sie beginnt, ihren Schlagstock zu verdrehen und ihren Körper lange damit zu bewegen, um Flips und alles zu machen.")</f>
        <v>Sie beginnt, ihren Schlagstock zu verdrehen und ihren Körper lange damit zu bewegen, um Flips und alles zu machen.</v>
      </c>
    </row>
    <row r="7804">
      <c r="A7804" s="4" t="s">
        <v>9811</v>
      </c>
      <c r="B7804" s="4" t="s">
        <v>9814</v>
      </c>
      <c r="C7804" s="5" t="str">
        <f>IFERROR(__xludf.DUMMYFUNCTION("GOOGLETRANSLATE(B7804,""en"",""de"")"),"Sie beginnt eine Handwagenräder zu machen und den Staffelstab um den Hals zu schwingen.")</f>
        <v>Sie beginnt eine Handwagenräder zu machen und den Staffelstab um den Hals zu schwingen.</v>
      </c>
    </row>
    <row r="7805">
      <c r="A7805" s="4" t="s">
        <v>9811</v>
      </c>
      <c r="B7805" s="4" t="s">
        <v>9815</v>
      </c>
      <c r="C7805" s="5" t="str">
        <f>IFERROR(__xludf.DUMMYFUNCTION("GOOGLETRANSLATE(B7805,""en"",""de"")"),"Sie macht eine atemberaubende Leistung und sobald sie vorbei ist, friert sie vor Ort ein.")</f>
        <v>Sie macht eine atemberaubende Leistung und sobald sie vorbei ist, friert sie vor Ort ein.</v>
      </c>
    </row>
    <row r="7806">
      <c r="A7806" s="4" t="s">
        <v>9816</v>
      </c>
      <c r="B7806" s="4" t="s">
        <v>9817</v>
      </c>
      <c r="C7806" s="5" t="str">
        <f>IFERROR(__xludf.DUMMYFUNCTION("GOOGLETRANSLATE(B7806,""en"",""de"")"),"Ein Mann im Gang zeigt zwei Kanonen.")</f>
        <v>Ein Mann im Gang zeigt zwei Kanonen.</v>
      </c>
    </row>
    <row r="7807">
      <c r="A7807" s="4" t="s">
        <v>9816</v>
      </c>
      <c r="B7807" s="4" t="s">
        <v>9818</v>
      </c>
      <c r="C7807" s="5" t="str">
        <f>IFERROR(__xludf.DUMMYFUNCTION("GOOGLETRANSLATE(B7807,""en"",""de"")"),"Er versteckt sich hinter Felsen und schlich sich an andere Paintballspieler.")</f>
        <v>Er versteckt sich hinter Felsen und schlich sich an andere Paintballspieler.</v>
      </c>
    </row>
    <row r="7808">
      <c r="A7808" s="4" t="s">
        <v>9816</v>
      </c>
      <c r="B7808" s="4" t="s">
        <v>9819</v>
      </c>
      <c r="C7808" s="5" t="str">
        <f>IFERROR(__xludf.DUMMYFUNCTION("GOOGLETRANSLATE(B7808,""en"",""de"")"),"Sie schießen aufeinander, als er zurück hinter die Felsen geht, um sich zu verstecken.")</f>
        <v>Sie schießen aufeinander, als er zurück hinter die Felsen geht, um sich zu verstecken.</v>
      </c>
    </row>
    <row r="7809">
      <c r="A7809" s="4" t="s">
        <v>9820</v>
      </c>
      <c r="B7809" s="4" t="s">
        <v>9821</v>
      </c>
      <c r="C7809" s="5" t="str">
        <f>IFERROR(__xludf.DUMMYFUNCTION("GOOGLETRANSLATE(B7809,""en"",""de"")"),"Eine Person verwendet einen großen bewaffneten Fensterwaschmechanismus, um das Außen-, Vorder-, Glasfenster eines Sandwich -Ladens zu waschen.")</f>
        <v>Eine Person verwendet einen großen bewaffneten Fensterwaschmechanismus, um das Außen-, Vorder-, Glasfenster eines Sandwich -Ladens zu waschen.</v>
      </c>
    </row>
    <row r="7810">
      <c r="A7810" s="4" t="s">
        <v>9820</v>
      </c>
      <c r="B7810" s="4" t="s">
        <v>9822</v>
      </c>
      <c r="C7810" s="5" t="str">
        <f>IFERROR(__xludf.DUMMYFUNCTION("GOOGLETRANSLATE(B7810,""en"",""de"")"),"Die Person ist ein Mann mit grauem Haar und Brille, und er verwendet das Werkzeug, um die Oberseite des Fensters bis zur Basis des Glass zu waschen.")</f>
        <v>Die Person ist ein Mann mit grauem Haar und Brille, und er verwendet das Werkzeug, um die Oberseite des Fensters bis zur Basis des Glass zu waschen.</v>
      </c>
    </row>
    <row r="7811">
      <c r="A7811" s="4" t="s">
        <v>9820</v>
      </c>
      <c r="B7811" s="4" t="s">
        <v>9823</v>
      </c>
      <c r="C7811" s="5" t="str">
        <f>IFERROR(__xludf.DUMMYFUNCTION("GOOGLETRANSLATE(B7811,""en"",""de"")"),"Der Mann wäscht weiterhin alle vier Glasscheiben nacheinander, indem er wackelige Bewegungen mit dem Fenster verlässt und vom Laden weggeht.")</f>
        <v>Der Mann wäscht weiterhin alle vier Glasscheiben nacheinander, indem er wackelige Bewegungen mit dem Fenster verlässt und vom Laden weggeht.</v>
      </c>
    </row>
    <row r="7812">
      <c r="A7812" s="4" t="s">
        <v>9824</v>
      </c>
      <c r="B7812" s="4" t="s">
        <v>9825</v>
      </c>
      <c r="C7812" s="5" t="str">
        <f>IFERROR(__xludf.DUMMYFUNCTION("GOOGLETRANSLATE(B7812,""en"",""de"")"),"Ein kleines Mädchen sitzt an einem Drum -Set mit Kopfhörern.")</f>
        <v>Ein kleines Mädchen sitzt an einem Drum -Set mit Kopfhörern.</v>
      </c>
    </row>
    <row r="7813">
      <c r="A7813" s="4" t="s">
        <v>9824</v>
      </c>
      <c r="B7813" s="4" t="s">
        <v>9826</v>
      </c>
      <c r="C7813" s="5" t="str">
        <f>IFERROR(__xludf.DUMMYFUNCTION("GOOGLETRANSLATE(B7813,""en"",""de"")"),"Sie spielt Schlagzeug und Becken und hält einen schnellen Beat.")</f>
        <v>Sie spielt Schlagzeug und Becken und hält einen schnellen Beat.</v>
      </c>
    </row>
    <row r="7814">
      <c r="A7814" s="4" t="s">
        <v>9824</v>
      </c>
      <c r="B7814" s="4" t="s">
        <v>9827</v>
      </c>
      <c r="C7814" s="5" t="str">
        <f>IFERROR(__xludf.DUMMYFUNCTION("GOOGLETRANSLATE(B7814,""en"",""de"")"),"Sie schlägt den Kopf hin und her, als sie spielt.")</f>
        <v>Sie schlägt den Kopf hin und her, als sie spielt.</v>
      </c>
    </row>
    <row r="7815">
      <c r="A7815" s="4" t="s">
        <v>9828</v>
      </c>
      <c r="B7815" s="4" t="s">
        <v>9829</v>
      </c>
      <c r="C7815" s="5" t="str">
        <f>IFERROR(__xludf.DUMMYFUNCTION("GOOGLETRANSLATE(B7815,""en"",""de"")"),"Ein kleines Mädchen spielt im Sand.")</f>
        <v>Ein kleines Mädchen spielt im Sand.</v>
      </c>
    </row>
    <row r="7816">
      <c r="A7816" s="4" t="s">
        <v>9828</v>
      </c>
      <c r="B7816" s="4" t="s">
        <v>9830</v>
      </c>
      <c r="C7816" s="5" t="str">
        <f>IFERROR(__xludf.DUMMYFUNCTION("GOOGLETRANSLATE(B7816,""en"",""de"")"),"Das Mädchen schnappt sich eine Schaufel.")</f>
        <v>Das Mädchen schnappt sich eine Schaufel.</v>
      </c>
    </row>
    <row r="7817">
      <c r="A7817" s="4" t="s">
        <v>9828</v>
      </c>
      <c r="B7817" s="4" t="s">
        <v>9831</v>
      </c>
      <c r="C7817" s="5" t="str">
        <f>IFERROR(__xludf.DUMMYFUNCTION("GOOGLETRANSLATE(B7817,""en"",""de"")"),"Eine Person geht vor der Kamera.")</f>
        <v>Eine Person geht vor der Kamera.</v>
      </c>
    </row>
    <row r="7818">
      <c r="A7818" s="4" t="s">
        <v>9828</v>
      </c>
      <c r="B7818" s="4" t="s">
        <v>9832</v>
      </c>
      <c r="C7818" s="5" t="str">
        <f>IFERROR(__xludf.DUMMYFUNCTION("GOOGLETRANSLATE(B7818,""en"",""de"")"),"Die Kamera schwenkt am Wasser.")</f>
        <v>Die Kamera schwenkt am Wasser.</v>
      </c>
    </row>
    <row r="7819">
      <c r="A7819" s="4" t="s">
        <v>9828</v>
      </c>
      <c r="B7819" s="4" t="s">
        <v>9833</v>
      </c>
      <c r="C7819" s="5" t="str">
        <f>IFERROR(__xludf.DUMMYFUNCTION("GOOGLETRANSLATE(B7819,""en"",""de"")"),"Das Mädchen geht ins Wasser.")</f>
        <v>Das Mädchen geht ins Wasser.</v>
      </c>
    </row>
    <row r="7820">
      <c r="A7820" s="4" t="s">
        <v>9828</v>
      </c>
      <c r="B7820" s="4" t="s">
        <v>9834</v>
      </c>
      <c r="C7820" s="5" t="str">
        <f>IFERROR(__xludf.DUMMYFUNCTION("GOOGLETRANSLATE(B7820,""en"",""de"")"),"Das Mädchen geht ins Wasser.")</f>
        <v>Das Mädchen geht ins Wasser.</v>
      </c>
    </row>
    <row r="7821">
      <c r="A7821" s="4" t="s">
        <v>9835</v>
      </c>
      <c r="B7821" s="4" t="s">
        <v>9836</v>
      </c>
      <c r="C7821" s="5" t="str">
        <f>IFERROR(__xludf.DUMMYFUNCTION("GOOGLETRANSLATE(B7821,""en"",""de"")"),"Eine Einführung kommt auf den Bildschirm, um eine Präsentation über die automatische Reparatur zu erhalten.")</f>
        <v>Eine Einführung kommt auf den Bildschirm, um eine Präsentation über die automatische Reparatur zu erhalten.</v>
      </c>
    </row>
    <row r="7822">
      <c r="A7822" s="4" t="s">
        <v>9835</v>
      </c>
      <c r="B7822" s="4" t="s">
        <v>9837</v>
      </c>
      <c r="C7822" s="5" t="str">
        <f>IFERROR(__xludf.DUMMYFUNCTION("GOOGLETRANSLATE(B7822,""en"",""de"")"),"Das Video zeigt verschiedene Teile des Autos an, an dem gearbeitet wird.")</f>
        <v>Das Video zeigt verschiedene Teile des Autos an, an dem gearbeitet wird.</v>
      </c>
    </row>
    <row r="7823">
      <c r="A7823" s="4" t="s">
        <v>9835</v>
      </c>
      <c r="B7823" s="4" t="s">
        <v>9838</v>
      </c>
      <c r="C7823" s="5" t="str">
        <f>IFERROR(__xludf.DUMMYFUNCTION("GOOGLETRANSLATE(B7823,""en"",""de"")"),"Der A -Dent -Fixiermechanismus ist an den Autos angebracht, um zu zeigen, wie es sich zur Reparatur eines Rades befasst.")</f>
        <v>Der A -Dent -Fixiermechanismus ist an den Autos angebracht, um zu zeigen, wie es sich zur Reparatur eines Rades befasst.</v>
      </c>
    </row>
    <row r="7824">
      <c r="A7824" s="4" t="s">
        <v>9835</v>
      </c>
      <c r="B7824" s="4" t="s">
        <v>9839</v>
      </c>
      <c r="C7824" s="5" t="str">
        <f>IFERROR(__xludf.DUMMYFUNCTION("GOOGLETRANSLATE(B7824,""en"",""de"")"),"Dann zeigt es ein anderes Rad, das durch denselben Mechanismus repariert wird.")</f>
        <v>Dann zeigt es ein anderes Rad, das durch denselben Mechanismus repariert wird.</v>
      </c>
    </row>
    <row r="7825">
      <c r="A7825" s="4" t="s">
        <v>9835</v>
      </c>
      <c r="B7825" s="4" t="s">
        <v>9840</v>
      </c>
      <c r="C7825" s="5" t="str">
        <f>IFERROR(__xludf.DUMMYFUNCTION("GOOGLETRANSLATE(B7825,""en"",""de"")"),"Als nächstes wird der Abschluss für das Video auf dem Bildschirm angezeigt.")</f>
        <v>Als nächstes wird der Abschluss für das Video auf dem Bildschirm angezeigt.</v>
      </c>
    </row>
    <row r="7826">
      <c r="A7826" s="4" t="s">
        <v>9841</v>
      </c>
      <c r="B7826" s="4" t="s">
        <v>1487</v>
      </c>
      <c r="C7826" s="5" t="str">
        <f>IFERROR(__xludf.DUMMYFUNCTION("GOOGLETRANSLATE(B7826,""en"",""de"")"),"Wir sehen einen Öffnungsbildschirm.")</f>
        <v>Wir sehen einen Öffnungsbildschirm.</v>
      </c>
    </row>
    <row r="7827">
      <c r="A7827" s="4" t="s">
        <v>9841</v>
      </c>
      <c r="B7827" s="4" t="s">
        <v>9842</v>
      </c>
      <c r="C7827" s="5" t="str">
        <f>IFERROR(__xludf.DUMMYFUNCTION("GOOGLETRANSLATE(B7827,""en"",""de"")"),"Wir sehen zwei Damen auf einem Feld tanzen.")</f>
        <v>Wir sehen zwei Damen auf einem Feld tanzen.</v>
      </c>
    </row>
    <row r="7828">
      <c r="A7828" s="4" t="s">
        <v>9841</v>
      </c>
      <c r="B7828" s="4" t="s">
        <v>9843</v>
      </c>
      <c r="C7828" s="5" t="str">
        <f>IFERROR(__xludf.DUMMYFUNCTION("GOOGLETRANSLATE(B7828,""en"",""de"")"),"Wir wechseln zu Damen, die in einer Schale um einen Stier tanzen.")</f>
        <v>Wir wechseln zu Damen, die in einer Schale um einen Stier tanzen.</v>
      </c>
    </row>
    <row r="7829">
      <c r="A7829" s="4" t="s">
        <v>9841</v>
      </c>
      <c r="B7829" s="4" t="s">
        <v>9844</v>
      </c>
      <c r="C7829" s="5" t="str">
        <f>IFERROR(__xludf.DUMMYFUNCTION("GOOGLETRANSLATE(B7829,""en"",""de"")"),"Wir sehen, dass die Damen nebeneinander stehen.")</f>
        <v>Wir sehen, dass die Damen nebeneinander stehen.</v>
      </c>
    </row>
    <row r="7830">
      <c r="A7830" s="4" t="s">
        <v>9841</v>
      </c>
      <c r="B7830" s="4" t="s">
        <v>9845</v>
      </c>
      <c r="C7830" s="5" t="str">
        <f>IFERROR(__xludf.DUMMYFUNCTION("GOOGLETRANSLATE(B7830,""en"",""de"")"),"Wir sehen die Damen auf den Knien auf dem Feld.")</f>
        <v>Wir sehen die Damen auf den Knien auf dem Feld.</v>
      </c>
    </row>
    <row r="7831">
      <c r="A7831" s="4" t="s">
        <v>9841</v>
      </c>
      <c r="B7831" s="4" t="s">
        <v>9846</v>
      </c>
      <c r="C7831" s="5" t="str">
        <f>IFERROR(__xludf.DUMMYFUNCTION("GOOGLETRANSLATE(B7831,""en"",""de"")"),"Wir sehen drei Damen auf dem Feld.")</f>
        <v>Wir sehen drei Damen auf dem Feld.</v>
      </c>
    </row>
    <row r="7832">
      <c r="A7832" s="4" t="s">
        <v>9841</v>
      </c>
      <c r="B7832" s="4" t="s">
        <v>9847</v>
      </c>
      <c r="C7832" s="5" t="str">
        <f>IFERROR(__xludf.DUMMYFUNCTION("GOOGLETRANSLATE(B7832,""en"",""de"")"),"Wir sehen zwei Damen tanzen.")</f>
        <v>Wir sehen zwei Damen tanzen.</v>
      </c>
    </row>
    <row r="7833">
      <c r="A7833" s="4" t="s">
        <v>9841</v>
      </c>
      <c r="B7833" s="4" t="s">
        <v>9848</v>
      </c>
      <c r="C7833" s="5" t="str">
        <f>IFERROR(__xludf.DUMMYFUNCTION("GOOGLETRANSLATE(B7833,""en"",""de"")"),"Wir sehen die Schlussbildschirme.")</f>
        <v>Wir sehen die Schlussbildschirme.</v>
      </c>
    </row>
    <row r="7834">
      <c r="A7834" s="4" t="s">
        <v>9849</v>
      </c>
      <c r="B7834" s="4" t="s">
        <v>9850</v>
      </c>
      <c r="C7834" s="5" t="str">
        <f>IFERROR(__xludf.DUMMYFUNCTION("GOOGLETRANSLATE(B7834,""en"",""de"")"),"Die Leute klettern Steine ​​hinauf.")</f>
        <v>Die Leute klettern Steine ​​hinauf.</v>
      </c>
    </row>
    <row r="7835">
      <c r="A7835" s="4" t="s">
        <v>9849</v>
      </c>
      <c r="B7835" s="4" t="s">
        <v>9851</v>
      </c>
      <c r="C7835" s="5" t="str">
        <f>IFERROR(__xludf.DUMMYFUNCTION("GOOGLETRANSLATE(B7835,""en"",""de"")"),"Eine Person fällt vom Felsen ins Wasser.")</f>
        <v>Eine Person fällt vom Felsen ins Wasser.</v>
      </c>
    </row>
    <row r="7836">
      <c r="A7836" s="4" t="s">
        <v>9852</v>
      </c>
      <c r="B7836" s="4" t="s">
        <v>9853</v>
      </c>
      <c r="C7836" s="5" t="str">
        <f>IFERROR(__xludf.DUMMYFUNCTION("GOOGLETRANSLATE(B7836,""en"",""de"")"),"Ein Mann setzt sich mit seinem Bein auf einem Stuhl hin.")</f>
        <v>Ein Mann setzt sich mit seinem Bein auf einem Stuhl hin.</v>
      </c>
    </row>
    <row r="7837">
      <c r="A7837" s="4" t="s">
        <v>9852</v>
      </c>
      <c r="B7837" s="4" t="s">
        <v>9854</v>
      </c>
      <c r="C7837" s="5" t="str">
        <f>IFERROR(__xludf.DUMMYFUNCTION("GOOGLETRANSLATE(B7837,""en"",""de"")"),"Eine Person legt Wachsstreifen auf sein Bein und zieht das Haar ab.")</f>
        <v>Eine Person legt Wachsstreifen auf sein Bein und zieht das Haar ab.</v>
      </c>
    </row>
    <row r="7838">
      <c r="A7838" s="4" t="s">
        <v>9852</v>
      </c>
      <c r="B7838" s="4" t="s">
        <v>9855</v>
      </c>
      <c r="C7838" s="5" t="str">
        <f>IFERROR(__xludf.DUMMYFUNCTION("GOOGLETRANSLATE(B7838,""en"",""de"")"),"Er legt sein Hemd über sein Gesicht.")</f>
        <v>Er legt sein Hemd über sein Gesicht.</v>
      </c>
    </row>
    <row r="7839">
      <c r="A7839" s="4" t="s">
        <v>9856</v>
      </c>
      <c r="B7839" s="4" t="s">
        <v>9857</v>
      </c>
      <c r="C7839" s="5" t="str">
        <f>IFERROR(__xludf.DUMMYFUNCTION("GOOGLETRANSLATE(B7839,""en"",""de"")"),"Eine Person, die ein Kostüm trägt, wird in einem Kanu stehen und posiert und schiebt sich schließlich den Fluss hinunter.")</f>
        <v>Eine Person, die ein Kostüm trägt, wird in einem Kanu stehen und posiert und schiebt sich schließlich den Fluss hinunter.</v>
      </c>
    </row>
    <row r="7840">
      <c r="A7840" s="4" t="s">
        <v>9856</v>
      </c>
      <c r="B7840" s="4" t="s">
        <v>9858</v>
      </c>
      <c r="C7840" s="5" t="str">
        <f>IFERROR(__xludf.DUMMYFUNCTION("GOOGLETRANSLATE(B7840,""en"",""de"")"),"Die Person bewegt sich langsam in das Kanu und die Kamera folgt ihm, dass sie sich am Wasser im Kanu bewegt.")</f>
        <v>Die Person bewegt sich langsam in das Kanu und die Kamera folgt ihm, dass sie sich am Wasser im Kanu bewegt.</v>
      </c>
    </row>
    <row r="7841">
      <c r="A7841" s="4" t="s">
        <v>9859</v>
      </c>
      <c r="B7841" s="4" t="s">
        <v>9860</v>
      </c>
      <c r="C7841" s="5" t="str">
        <f>IFERROR(__xludf.DUMMYFUNCTION("GOOGLETRANSLATE(B7841,""en"",""de"")"),"Zwei Männer werden gesehen, wie sie sich gegenseitig Kampfkünste bewegt und zu einem Mann führt.")</f>
        <v>Zwei Männer werden gesehen, wie sie sich gegenseitig Kampfkünste bewegt und zu einem Mann führt.</v>
      </c>
    </row>
    <row r="7842">
      <c r="A7842" s="4" t="s">
        <v>9859</v>
      </c>
      <c r="B7842" s="4" t="s">
        <v>9861</v>
      </c>
      <c r="C7842" s="5" t="str">
        <f>IFERROR(__xludf.DUMMYFUNCTION("GOOGLETRANSLATE(B7842,""en"",""de"")"),"Der Mann demonstriert dann mehrere Kampfkunstbewegungen mit einem anderen Mann, während er immer noch mit der Kamera spricht.")</f>
        <v>Der Mann demonstriert dann mehrere Kampfkunstbewegungen mit einem anderen Mann, während er immer noch mit der Kamera spricht.</v>
      </c>
    </row>
    <row r="7843">
      <c r="A7843" s="4" t="s">
        <v>9859</v>
      </c>
      <c r="B7843" s="4" t="s">
        <v>9862</v>
      </c>
      <c r="C7843" s="5" t="str">
        <f>IFERROR(__xludf.DUMMYFUNCTION("GOOGLETRANSLATE(B7843,""en"",""de"")"),"Der Mann setzt diese Bewegungen fort, während er anhält, um zu demonstrieren, wie es richtig gemacht wird.")</f>
        <v>Der Mann setzt diese Bewegungen fort, während er anhält, um zu demonstrieren, wie es richtig gemacht wird.</v>
      </c>
    </row>
    <row r="7844">
      <c r="A7844" s="4" t="s">
        <v>9863</v>
      </c>
      <c r="B7844" s="4" t="s">
        <v>9864</v>
      </c>
      <c r="C7844" s="5" t="str">
        <f>IFERROR(__xludf.DUMMYFUNCTION("GOOGLETRANSLATE(B7844,""en"",""de"")"),"Die Leute spielen ein Fußballspiel in einer Indoor -Arena.")</f>
        <v>Die Leute spielen ein Fußballspiel in einer Indoor -Arena.</v>
      </c>
    </row>
    <row r="7845">
      <c r="A7845" s="4" t="s">
        <v>9863</v>
      </c>
      <c r="B7845" s="4" t="s">
        <v>9865</v>
      </c>
      <c r="C7845" s="5" t="str">
        <f>IFERROR(__xludf.DUMMYFUNCTION("GOOGLETRANSLATE(B7845,""en"",""de"")"),"Ein Mann nimmt den Ball auf und wirft ihn jemand anderem.")</f>
        <v>Ein Mann nimmt den Ball auf und wirft ihn jemand anderem.</v>
      </c>
    </row>
    <row r="7846">
      <c r="A7846" s="4" t="s">
        <v>9863</v>
      </c>
      <c r="B7846" s="4" t="s">
        <v>9866</v>
      </c>
      <c r="C7846" s="5" t="str">
        <f>IFERROR(__xludf.DUMMYFUNCTION("GOOGLETRANSLATE(B7846,""en"",""de"")"),"Die Leute fallen auf den Boden der Arena.")</f>
        <v>Die Leute fallen auf den Boden der Arena.</v>
      </c>
    </row>
    <row r="7847">
      <c r="A7847" s="4" t="s">
        <v>9867</v>
      </c>
      <c r="B7847" s="4" t="s">
        <v>9868</v>
      </c>
      <c r="C7847" s="5" t="str">
        <f>IFERROR(__xludf.DUMMYFUNCTION("GOOGLETRANSLATE(B7847,""en"",""de"")"),"Jungs stehen in einem Innenplatz herum.")</f>
        <v>Jungs stehen in einem Innenplatz herum.</v>
      </c>
    </row>
    <row r="7848">
      <c r="A7848" s="4" t="s">
        <v>9867</v>
      </c>
      <c r="B7848" s="4" t="s">
        <v>9869</v>
      </c>
      <c r="C7848" s="5" t="str">
        <f>IFERROR(__xludf.DUMMYFUNCTION("GOOGLETRANSLATE(B7848,""en"",""de"")"),"Zwei Jungs spielen Relay Soccer, ein Athlet berührt die Hände seines Gegners und eines Torwarts, bevor er einen servierten Ball tritt.")</f>
        <v>Zwei Jungs spielen Relay Soccer, ein Athlet berührt die Hände seines Gegners und eines Torwarts, bevor er einen servierten Ball tritt.</v>
      </c>
    </row>
    <row r="7849">
      <c r="A7849" s="4" t="s">
        <v>9867</v>
      </c>
      <c r="B7849" s="4" t="s">
        <v>9870</v>
      </c>
      <c r="C7849" s="5" t="str">
        <f>IFERROR(__xludf.DUMMYFUNCTION("GOOGLETRANSLATE(B7849,""en"",""de"")"),"Ein Spieler tritt den Ball vom Center Court auf den Torwart.")</f>
        <v>Ein Spieler tritt den Ball vom Center Court auf den Torwart.</v>
      </c>
    </row>
    <row r="7850">
      <c r="A7850" s="4" t="s">
        <v>9867</v>
      </c>
      <c r="B7850" s="4" t="s">
        <v>9871</v>
      </c>
      <c r="C7850" s="5" t="str">
        <f>IFERROR(__xludf.DUMMYFUNCTION("GOOGLETRANSLATE(B7850,""en"",""de"")"),"Die Jungs innehalten für eine kurze Zeit.")</f>
        <v>Die Jungs innehalten für eine kurze Zeit.</v>
      </c>
    </row>
    <row r="7851">
      <c r="A7851" s="4" t="s">
        <v>9872</v>
      </c>
      <c r="B7851" s="4" t="s">
        <v>9873</v>
      </c>
      <c r="C7851" s="5" t="str">
        <f>IFERROR(__xludf.DUMMYFUNCTION("GOOGLETRANSLATE(B7851,""en"",""de"")"),"Ein Mann drängt einen Rasenmäher, der ein hohes Stück Unkraut in einem Hof ​​fällt.")</f>
        <v>Ein Mann drängt einen Rasenmäher, der ein hohes Stück Unkraut in einem Hof ​​fällt.</v>
      </c>
    </row>
    <row r="7852">
      <c r="A7852" s="4" t="s">
        <v>9872</v>
      </c>
      <c r="B7852" s="4" t="s">
        <v>9874</v>
      </c>
      <c r="C7852" s="5" t="str">
        <f>IFERROR(__xludf.DUMMYFUNCTION("GOOGLETRANSLATE(B7852,""en"",""de"")"),"Der Mann dreht den Rasenmäher auf der Seite um und räumt dann verwickeltes Gras aus.")</f>
        <v>Der Mann dreht den Rasenmäher auf der Seite um und räumt dann verwickeltes Gras aus.</v>
      </c>
    </row>
    <row r="7853">
      <c r="A7853" s="4" t="s">
        <v>9872</v>
      </c>
      <c r="B7853" s="4" t="s">
        <v>9875</v>
      </c>
      <c r="C7853" s="5" t="str">
        <f>IFERROR(__xludf.DUMMYFUNCTION("GOOGLETRANSLATE(B7853,""en"",""de"")"),"Der Mann stützt sich und schwingt den Rasenmäher in einem Kreis herum und dreht den Rasenmäher in die entgegengesetzte Richtung.")</f>
        <v>Der Mann stützt sich und schwingt den Rasenmäher in einem Kreis herum und dreht den Rasenmäher in die entgegengesetzte Richtung.</v>
      </c>
    </row>
    <row r="7854">
      <c r="A7854" s="4" t="s">
        <v>9876</v>
      </c>
      <c r="B7854" s="4" t="s">
        <v>9877</v>
      </c>
      <c r="C7854" s="5" t="str">
        <f>IFERROR(__xludf.DUMMYFUNCTION("GOOGLETRANSLATE(B7854,""en"",""de"")"),"Verschiedene Cupcakes werden auf einem Teller sitzen und Schriftzugs erscheint, wie sie sie herstellen können.")</f>
        <v>Verschiedene Cupcakes werden auf einem Teller sitzen und Schriftzugs erscheint, wie sie sie herstellen können.</v>
      </c>
    </row>
    <row r="7855">
      <c r="A7855" s="4" t="s">
        <v>9876</v>
      </c>
      <c r="B7855" s="4" t="s">
        <v>9878</v>
      </c>
      <c r="C7855" s="5" t="str">
        <f>IFERROR(__xludf.DUMMYFUNCTION("GOOGLETRANSLATE(B7855,""en"",""de"")"),"Es werden mehrere Zutaten gezeigt und die Person, die die Zutaten in einer Schüssel zusammenmischt.")</f>
        <v>Es werden mehrere Zutaten gezeigt und die Person, die die Zutaten in einer Schüssel zusammenmischt.</v>
      </c>
    </row>
    <row r="7856">
      <c r="A7856" s="4" t="s">
        <v>9876</v>
      </c>
      <c r="B7856" s="4" t="s">
        <v>9879</v>
      </c>
      <c r="C7856" s="5" t="str">
        <f>IFERROR(__xludf.DUMMYFUNCTION("GOOGLETRANSLATE(B7856,""en"",""de"")"),"Die Person mischt alle Zutaten und steckt sie in eine Pfanne, um zu kochen.")</f>
        <v>Die Person mischt alle Zutaten und steckt sie in eine Pfanne, um zu kochen.</v>
      </c>
    </row>
    <row r="7857">
      <c r="A7857" s="4" t="s">
        <v>9876</v>
      </c>
      <c r="B7857" s="4" t="s">
        <v>9880</v>
      </c>
      <c r="C7857" s="5" t="str">
        <f>IFERROR(__xludf.DUMMYFUNCTION("GOOGLETRANSLATE(B7857,""en"",""de"")"),"Die Cupcakes werden endlich gekocht und auf einen Teller aufilt, um es zu genießen.")</f>
        <v>Die Cupcakes werden endlich gekocht und auf einen Teller aufilt, um es zu genießen.</v>
      </c>
    </row>
    <row r="7858">
      <c r="A7858" s="4" t="s">
        <v>9881</v>
      </c>
      <c r="B7858" s="4" t="s">
        <v>9882</v>
      </c>
      <c r="C7858" s="5" t="str">
        <f>IFERROR(__xludf.DUMMYFUNCTION("GOOGLETRANSLATE(B7858,""en"",""de"")"),"Mehrere Bilder werden von Nägeln in der Nähe gezeigt und führen zu einem Person, der Text auf einen Nagel malt.")</f>
        <v>Mehrere Bilder werden von Nägeln in der Nähe gezeigt und führen zu einem Person, der Text auf einen Nagel malt.</v>
      </c>
    </row>
    <row r="7859">
      <c r="A7859" s="4" t="s">
        <v>9881</v>
      </c>
      <c r="B7859" s="4" t="s">
        <v>9883</v>
      </c>
      <c r="C7859" s="5" t="str">
        <f>IFERROR(__xludf.DUMMYFUNCTION("GOOGLETRANSLATE(B7859,""en"",""de"")"),"Die Person zeigt Nahaufnahmen des Nagellacks und malt weiter auf dem Nagel.")</f>
        <v>Die Person zeigt Nahaufnahmen des Nagellacks und malt weiter auf dem Nagel.</v>
      </c>
    </row>
    <row r="7860">
      <c r="A7860" s="4" t="s">
        <v>9881</v>
      </c>
      <c r="B7860" s="4" t="s">
        <v>9884</v>
      </c>
      <c r="C7860" s="5" t="str">
        <f>IFERROR(__xludf.DUMMYFUNCTION("GOOGLETRANSLATE(B7860,""en"",""de"")"),"Die Frau beendet ihr Design und zeigt ein weiteres Bild von Nägeln.")</f>
        <v>Die Frau beendet ihr Design und zeigt ein weiteres Bild von Nägeln.</v>
      </c>
    </row>
    <row r="7861">
      <c r="A7861" s="4" t="s">
        <v>9885</v>
      </c>
      <c r="B7861" s="4" t="s">
        <v>9886</v>
      </c>
      <c r="C7861" s="5" t="str">
        <f>IFERROR(__xludf.DUMMYFUNCTION("GOOGLETRANSLATE(B7861,""en"",""de"")"),"Ein Mann sitzt in einem Kajak und hält sein Ruder in einem Fluss und zeigt, wie man ihn richtig benutzt.")</f>
        <v>Ein Mann sitzt in einem Kajak und hält sein Ruder in einem Fluss und zeigt, wie man ihn richtig benutzt.</v>
      </c>
    </row>
    <row r="7862">
      <c r="A7862" s="4" t="s">
        <v>9885</v>
      </c>
      <c r="B7862" s="4" t="s">
        <v>9887</v>
      </c>
      <c r="C7862" s="5" t="str">
        <f>IFERROR(__xludf.DUMMYFUNCTION("GOOGLETRANSLATE(B7862,""en"",""de"")"),"Der Mann lehnt sich in seinem Kajak zurück, um Gleichgewichtstechniken zu zeigen.")</f>
        <v>Der Mann lehnt sich in seinem Kajak zurück, um Gleichgewichtstechniken zu zeigen.</v>
      </c>
    </row>
    <row r="7863">
      <c r="A7863" s="4" t="s">
        <v>9885</v>
      </c>
      <c r="B7863" s="4" t="s">
        <v>9888</v>
      </c>
      <c r="C7863" s="5" t="str">
        <f>IFERROR(__xludf.DUMMYFUNCTION("GOOGLETRANSLATE(B7863,""en"",""de"")"),"Der Kajak -Fahrer padelt in die weiße Wäsche unter einem Wassersturz und richtet sich dann wieder selbst ein.")</f>
        <v>Der Kajak -Fahrer padelt in die weiße Wäsche unter einem Wassersturz und richtet sich dann wieder selbst ein.</v>
      </c>
    </row>
    <row r="7864">
      <c r="A7864" s="4" t="s">
        <v>9889</v>
      </c>
      <c r="B7864" s="4" t="s">
        <v>9890</v>
      </c>
      <c r="C7864" s="5" t="str">
        <f>IFERROR(__xludf.DUMMYFUNCTION("GOOGLETRANSLATE(B7864,""en"",""de"")"),"Ein Mann ist mit einem Stuhl zu Fuß zu gehen und setzt ihn in die Mitte einer Bowlingspur.")</f>
        <v>Ein Mann ist mit einem Stuhl zu Fuß zu gehen und setzt ihn in die Mitte einer Bowlingspur.</v>
      </c>
    </row>
    <row r="7865">
      <c r="A7865" s="4" t="s">
        <v>9889</v>
      </c>
      <c r="B7865" s="4" t="s">
        <v>9891</v>
      </c>
      <c r="C7865" s="5" t="str">
        <f>IFERROR(__xludf.DUMMYFUNCTION("GOOGLETRANSLATE(B7865,""en"",""de"")"),"Er hat das Publikum hoch und wirft den Ball über den Stuhl und trifft alle Stifte.")</f>
        <v>Er hat das Publikum hoch und wirft den Ball über den Stuhl und trifft alle Stifte.</v>
      </c>
    </row>
    <row r="7866">
      <c r="A7866" s="4" t="s">
        <v>9889</v>
      </c>
      <c r="B7866" s="4" t="s">
        <v>9892</v>
      </c>
      <c r="C7866" s="5" t="str">
        <f>IFERROR(__xludf.DUMMYFUNCTION("GOOGLETRANSLATE(B7866,""en"",""de"")"),"Der gleiche Schuss wird mehrmals gezeigt und er setzt sich in seinem Stuhl und lacht.")</f>
        <v>Der gleiche Schuss wird mehrmals gezeigt und er setzt sich in seinem Stuhl und lacht.</v>
      </c>
    </row>
    <row r="7867">
      <c r="A7867" s="4" t="s">
        <v>9893</v>
      </c>
      <c r="B7867" s="4" t="s">
        <v>9894</v>
      </c>
      <c r="C7867" s="5" t="str">
        <f>IFERROR(__xludf.DUMMYFUNCTION("GOOGLETRANSLATE(B7867,""en"",""de"")"),"Eine Titelseite schwenkt in Hände, die einen Pinsel mit einem Porträt im Hintergrund halten.")</f>
        <v>Eine Titelseite schwenkt in Hände, die einen Pinsel mit einem Porträt im Hintergrund halten.</v>
      </c>
    </row>
    <row r="7868">
      <c r="A7868" s="4" t="s">
        <v>9893</v>
      </c>
      <c r="B7868" s="4" t="s">
        <v>9895</v>
      </c>
      <c r="C7868" s="5" t="str">
        <f>IFERROR(__xludf.DUMMYFUNCTION("GOOGLETRANSLATE(B7868,""en"",""de"")"),"Sie hält ein anderes Bild neben sich und schiebt den Pinsel in die Farbe.")</f>
        <v>Sie hält ein anderes Bild neben sich und schiebt den Pinsel in die Farbe.</v>
      </c>
    </row>
    <row r="7869">
      <c r="A7869" s="4" t="s">
        <v>9893</v>
      </c>
      <c r="B7869" s="4" t="s">
        <v>9896</v>
      </c>
      <c r="C7869" s="5" t="str">
        <f>IFERROR(__xludf.DUMMYFUNCTION("GOOGLETRANSLATE(B7869,""en"",""de"")"),"Sie beginnt dann, das Bild zu malen und dem Porträt mehr Farbe hinzuzufügen.")</f>
        <v>Sie beginnt dann, das Bild zu malen und dem Porträt mehr Farbe hinzuzufügen.</v>
      </c>
    </row>
    <row r="7870">
      <c r="A7870" s="4" t="s">
        <v>9897</v>
      </c>
      <c r="B7870" s="4" t="s">
        <v>9898</v>
      </c>
      <c r="C7870" s="5" t="str">
        <f>IFERROR(__xludf.DUMMYFUNCTION("GOOGLETRANSLATE(B7870,""en"",""de"")"),"Eine große Gruppe von Menschen spielt Hockey in einer Arena, die verschiedene Tricks mit dem Puck aufführt.")</f>
        <v>Eine große Gruppe von Menschen spielt Hockey in einer Arena, die verschiedene Tricks mit dem Puck aufführt.</v>
      </c>
    </row>
    <row r="7871">
      <c r="A7871" s="4" t="s">
        <v>9897</v>
      </c>
      <c r="B7871" s="4" t="s">
        <v>9899</v>
      </c>
      <c r="C7871" s="5" t="str">
        <f>IFERROR(__xludf.DUMMYFUNCTION("GOOGLETRANSLATE(B7871,""en"",""de"")"),"Die Männer schlagen weiterhin den Puck umeinander, als die Kamera sie von mehreren Seiten erfasst.")</f>
        <v>Die Männer schlagen weiterhin den Puck umeinander, als die Kamera sie von mehreren Seiten erfasst.</v>
      </c>
    </row>
    <row r="7872">
      <c r="A7872" s="4" t="s">
        <v>9897</v>
      </c>
      <c r="B7872" s="4" t="s">
        <v>9900</v>
      </c>
      <c r="C7872" s="5" t="str">
        <f>IFERROR(__xludf.DUMMYFUNCTION("GOOGLETRANSLATE(B7872,""en"",""de"")"),"Der Mann schiebt den Puck mehr um und unter Hindernisse.")</f>
        <v>Der Mann schiebt den Puck mehr um und unter Hindernisse.</v>
      </c>
    </row>
    <row r="7873">
      <c r="A7873" s="4" t="s">
        <v>9901</v>
      </c>
      <c r="B7873" s="4" t="s">
        <v>9902</v>
      </c>
      <c r="C7873" s="5" t="str">
        <f>IFERROR(__xludf.DUMMYFUNCTION("GOOGLETRANSLATE(B7873,""en"",""de"")"),"Zunächst wird ein Bildschirm für eine kleine Menge Zeit angezeigt, in der die Zuschauer wissen lassen, worum es in diesem Video geht.")</f>
        <v>Zunächst wird ein Bildschirm für eine kleine Menge Zeit angezeigt, in der die Zuschauer wissen lassen, worum es in diesem Video geht.</v>
      </c>
    </row>
    <row r="7874">
      <c r="A7874" s="4" t="s">
        <v>9901</v>
      </c>
      <c r="B7874" s="4" t="s">
        <v>9903</v>
      </c>
      <c r="C7874" s="5" t="str">
        <f>IFERROR(__xludf.DUMMYFUNCTION("GOOGLETRANSLATE(B7874,""en"",""de"")"),"Dann fährt ein Mann in verschiedenen Umgebungen, in denen die Leute sie beobachten.")</f>
        <v>Dann fährt ein Mann in verschiedenen Umgebungen, in denen die Leute sie beobachten.</v>
      </c>
    </row>
    <row r="7875">
      <c r="A7875" s="4" t="s">
        <v>9901</v>
      </c>
      <c r="B7875" s="4" t="s">
        <v>9904</v>
      </c>
      <c r="C7875" s="5" t="str">
        <f>IFERROR(__xludf.DUMMYFUNCTION("GOOGLETRANSLATE(B7875,""en"",""de"")"),"In der ersten läuft das Pferd mit ihm auf dem Rücken und versucht, über ein Holzhindernis zu springen, scheitert aber und es gibt noch viele weitere Fehler.")</f>
        <v>In der ersten läuft das Pferd mit ihm auf dem Rücken und versucht, über ein Holzhindernis zu springen, scheitert aber und es gibt noch viele weitere Fehler.</v>
      </c>
    </row>
    <row r="7876">
      <c r="A7876" s="4" t="s">
        <v>9905</v>
      </c>
      <c r="B7876" s="4" t="s">
        <v>9906</v>
      </c>
      <c r="C7876" s="5" t="str">
        <f>IFERROR(__xludf.DUMMYFUNCTION("GOOGLETRANSLATE(B7876,""en"",""de"")"),"Ein Mann mit lockigem Haar spricht mit einer ernsthaften Überzeugung mit der Kamera.")</f>
        <v>Ein Mann mit lockigem Haar spricht mit einer ernsthaften Überzeugung mit der Kamera.</v>
      </c>
    </row>
    <row r="7877">
      <c r="A7877" s="4" t="s">
        <v>9905</v>
      </c>
      <c r="B7877" s="4" t="s">
        <v>9907</v>
      </c>
      <c r="C7877" s="5" t="str">
        <f>IFERROR(__xludf.DUMMYFUNCTION("GOOGLETRANSLATE(B7877,""en"",""de"")"),"Dann streift er sich mit einem Hund im Rahmen durch seine Haare und zeigt sein pussiges Haar.")</f>
        <v>Dann streift er sich mit einem Hund im Rahmen durch seine Haare und zeigt sein pussiges Haar.</v>
      </c>
    </row>
    <row r="7878">
      <c r="A7878" s="4" t="s">
        <v>9905</v>
      </c>
      <c r="B7878" s="4" t="s">
        <v>9908</v>
      </c>
      <c r="C7878" s="5" t="str">
        <f>IFERROR(__xludf.DUMMYFUNCTION("GOOGLETRANSLATE(B7878,""en"",""de"")"),"Er wird dann wieder mit nassen Haaren gesehen und schließt seine Augen an die Kamera.")</f>
        <v>Er wird dann wieder mit nassen Haaren gesehen und schließt seine Augen an die Kamera.</v>
      </c>
    </row>
    <row r="7879">
      <c r="A7879" s="4" t="s">
        <v>9909</v>
      </c>
      <c r="B7879" s="4" t="s">
        <v>9910</v>
      </c>
      <c r="C7879" s="5" t="str">
        <f>IFERROR(__xludf.DUMMYFUNCTION("GOOGLETRANSLATE(B7879,""en"",""de"")"),"Ein Mann springt auf einen Balancestrahl.")</f>
        <v>Ein Mann springt auf einen Balancestrahl.</v>
      </c>
    </row>
    <row r="7880">
      <c r="A7880" s="4" t="s">
        <v>9909</v>
      </c>
      <c r="B7880" s="4" t="s">
        <v>9911</v>
      </c>
      <c r="C7880" s="5" t="str">
        <f>IFERROR(__xludf.DUMMYFUNCTION("GOOGLETRANSLATE(B7880,""en"",""de"")"),"Sie beginnen, eine Gymnastikroutine auf dem Balancestrahl zu machen.")</f>
        <v>Sie beginnen, eine Gymnastikroutine auf dem Balancestrahl zu machen.</v>
      </c>
    </row>
    <row r="7881">
      <c r="A7881" s="4" t="s">
        <v>9909</v>
      </c>
      <c r="B7881" s="4" t="s">
        <v>9912</v>
      </c>
      <c r="C7881" s="5" t="str">
        <f>IFERROR(__xludf.DUMMYFUNCTION("GOOGLETRANSLATE(B7881,""en"",""de"")"),"Sie springen auf eine Matte daneben.")</f>
        <v>Sie springen auf eine Matte daneben.</v>
      </c>
    </row>
    <row r="7882">
      <c r="A7882" s="4" t="s">
        <v>9913</v>
      </c>
      <c r="B7882" s="4" t="s">
        <v>9914</v>
      </c>
      <c r="C7882" s="5" t="str">
        <f>IFERROR(__xludf.DUMMYFUNCTION("GOOGLETRANSLATE(B7882,""en"",""de"")"),"Ein Mann steht auf einem Seil und geht über das Seil.")</f>
        <v>Ein Mann steht auf einem Seil und geht über das Seil.</v>
      </c>
    </row>
    <row r="7883">
      <c r="A7883" s="4" t="s">
        <v>9913</v>
      </c>
      <c r="B7883" s="4" t="s">
        <v>9915</v>
      </c>
      <c r="C7883" s="5" t="str">
        <f>IFERROR(__xludf.DUMMYFUNCTION("GOOGLETRANSLATE(B7883,""en"",""de"")"),"Der Mann läuft weiter, während die Kamera seine Bewegungen erfasst.")</f>
        <v>Der Mann läuft weiter, während die Kamera seine Bewegungen erfasst.</v>
      </c>
    </row>
    <row r="7884">
      <c r="A7884" s="4" t="s">
        <v>9913</v>
      </c>
      <c r="B7884" s="4" t="s">
        <v>9916</v>
      </c>
      <c r="C7884" s="5" t="str">
        <f>IFERROR(__xludf.DUMMYFUNCTION("GOOGLETRANSLATE(B7884,""en"",""de"")"),"Er geht über das ganze Seil bis zum Ende und springt ab.")</f>
        <v>Er geht über das ganze Seil bis zum Ende und springt ab.</v>
      </c>
    </row>
    <row r="7885">
      <c r="A7885" s="4" t="s">
        <v>9917</v>
      </c>
      <c r="B7885" s="4" t="s">
        <v>9918</v>
      </c>
      <c r="C7885" s="5" t="str">
        <f>IFERROR(__xludf.DUMMYFUNCTION("GOOGLETRANSLATE(B7885,""en"",""de"")"),"Eine Nahaufnahme einer Veranda wird mit der Kamera gezeigt, die rundum schwenkt.")</f>
        <v>Eine Nahaufnahme einer Veranda wird mit der Kamera gezeigt, die rundum schwenkt.</v>
      </c>
    </row>
    <row r="7886">
      <c r="A7886" s="4" t="s">
        <v>9917</v>
      </c>
      <c r="B7886" s="4" t="s">
        <v>9919</v>
      </c>
      <c r="C7886" s="5" t="str">
        <f>IFERROR(__xludf.DUMMYFUNCTION("GOOGLETRANSLATE(B7886,""en"",""de"")"),"Die Kamera geht bis zum Ende der Veranda.")</f>
        <v>Die Kamera geht bis zum Ende der Veranda.</v>
      </c>
    </row>
    <row r="7887">
      <c r="A7887" s="4" t="s">
        <v>9917</v>
      </c>
      <c r="B7887" s="4" t="s">
        <v>9920</v>
      </c>
      <c r="C7887" s="5" t="str">
        <f>IFERROR(__xludf.DUMMYFUNCTION("GOOGLETRANSLATE(B7887,""en"",""de"")"),"Die Kamera dreht sich um, während sie noch die Veranda betrachtet.")</f>
        <v>Die Kamera dreht sich um, während sie noch die Veranda betrachtet.</v>
      </c>
    </row>
    <row r="7888">
      <c r="A7888" s="4" t="s">
        <v>9921</v>
      </c>
      <c r="B7888" s="4" t="s">
        <v>9922</v>
      </c>
      <c r="C7888" s="5" t="str">
        <f>IFERROR(__xludf.DUMMYFUNCTION("GOOGLETRANSLATE(B7888,""en"",""de"")"),"Kinder spielen am Strand.")</f>
        <v>Kinder spielen am Strand.</v>
      </c>
    </row>
    <row r="7889">
      <c r="A7889" s="4" t="s">
        <v>9921</v>
      </c>
      <c r="B7889" s="4" t="s">
        <v>9923</v>
      </c>
      <c r="C7889" s="5" t="str">
        <f>IFERROR(__xludf.DUMMYFUNCTION("GOOGLETRANSLATE(B7889,""en"",""de"")"),"Sie bauen eine Sandburg.")</f>
        <v>Sie bauen eine Sandburg.</v>
      </c>
    </row>
    <row r="7890">
      <c r="A7890" s="4" t="s">
        <v>9921</v>
      </c>
      <c r="B7890" s="4" t="s">
        <v>9924</v>
      </c>
      <c r="C7890" s="5" t="str">
        <f>IFERROR(__xludf.DUMMYFUNCTION("GOOGLETRANSLATE(B7890,""en"",""de"")"),"Ein Mädchen wirft einen Eimer voller Sand vor sich.")</f>
        <v>Ein Mädchen wirft einen Eimer voller Sand vor sich.</v>
      </c>
    </row>
    <row r="7891">
      <c r="A7891" s="4" t="s">
        <v>9925</v>
      </c>
      <c r="B7891" s="4" t="s">
        <v>9926</v>
      </c>
      <c r="C7891" s="5" t="str">
        <f>IFERROR(__xludf.DUMMYFUNCTION("GOOGLETRANSLATE(B7891,""en"",""de"")"),"Ein Mann in einem Hut spricht mit einer Kamera.")</f>
        <v>Ein Mann in einem Hut spricht mit einer Kamera.</v>
      </c>
    </row>
    <row r="7892">
      <c r="A7892" s="4" t="s">
        <v>9925</v>
      </c>
      <c r="B7892" s="4" t="s">
        <v>9927</v>
      </c>
      <c r="C7892" s="5" t="str">
        <f>IFERROR(__xludf.DUMMYFUNCTION("GOOGLETRANSLATE(B7892,""en"",""de"")"),"Er ist in einem Sumo -Wrestling -Outfit gekleidet und spielt Curling.")</f>
        <v>Er ist in einem Sumo -Wrestling -Outfit gekleidet und spielt Curling.</v>
      </c>
    </row>
    <row r="7893">
      <c r="A7893" s="4" t="s">
        <v>9925</v>
      </c>
      <c r="B7893" s="4" t="s">
        <v>9928</v>
      </c>
      <c r="C7893" s="5" t="str">
        <f>IFERROR(__xludf.DUMMYFUNCTION("GOOGLETRANSLATE(B7893,""en"",""de"")"),"Er spielt Tennis auf einem Tennisplatz.")</f>
        <v>Er spielt Tennis auf einem Tennisplatz.</v>
      </c>
    </row>
    <row r="7894">
      <c r="A7894" s="4" t="s">
        <v>9929</v>
      </c>
      <c r="B7894" s="4" t="s">
        <v>9930</v>
      </c>
      <c r="C7894" s="5" t="str">
        <f>IFERROR(__xludf.DUMMYFUNCTION("GOOGLETRANSLATE(B7894,""en"",""de"")"),"Eine Stadtansicht wird von einem Wolkenkratzer gesehen.")</f>
        <v>Eine Stadtansicht wird von einem Wolkenkratzer gesehen.</v>
      </c>
    </row>
    <row r="7895">
      <c r="A7895" s="4" t="s">
        <v>9929</v>
      </c>
      <c r="B7895" s="4" t="s">
        <v>9931</v>
      </c>
      <c r="C7895" s="5" t="str">
        <f>IFERROR(__xludf.DUMMYFUNCTION("GOOGLETRANSLATE(B7895,""en"",""de"")"),"Zwei Männer werden auf der Seite des Gebäudes Reinigungsfenster gezeigt.")</f>
        <v>Zwei Männer werden auf der Seite des Gebäudes Reinigungsfenster gezeigt.</v>
      </c>
    </row>
    <row r="7896">
      <c r="A7896" s="4" t="s">
        <v>9929</v>
      </c>
      <c r="B7896" s="4" t="s">
        <v>9932</v>
      </c>
      <c r="C7896" s="5" t="str">
        <f>IFERROR(__xludf.DUMMYFUNCTION("GOOGLETRANSLATE(B7896,""en"",""de"")"),"Sie sammeln und wischen das Glas professionell ab.")</f>
        <v>Sie sammeln und wischen das Glas professionell ab.</v>
      </c>
    </row>
    <row r="7897">
      <c r="A7897" s="4" t="s">
        <v>9929</v>
      </c>
      <c r="B7897" s="4" t="s">
        <v>9933</v>
      </c>
      <c r="C7897" s="5" t="str">
        <f>IFERROR(__xludf.DUMMYFUNCTION("GOOGLETRANSLATE(B7897,""en"",""de"")"),"Sie überprüfen dann ihre Arbeit, bevor sie fertig sind.")</f>
        <v>Sie überprüfen dann ihre Arbeit, bevor sie fertig sind.</v>
      </c>
    </row>
    <row r="7898">
      <c r="A7898" s="4" t="s">
        <v>9934</v>
      </c>
      <c r="B7898" s="4" t="s">
        <v>9935</v>
      </c>
      <c r="C7898" s="5" t="str">
        <f>IFERROR(__xludf.DUMMYFUNCTION("GOOGLETRANSLATE(B7898,""en"",""de"")"),"Dort fliegen einige Gänse am Himmel über einem Park.")</f>
        <v>Dort fliegen einige Gänse am Himmel über einem Park.</v>
      </c>
    </row>
    <row r="7899">
      <c r="A7899" s="4" t="s">
        <v>9934</v>
      </c>
      <c r="B7899" s="4" t="s">
        <v>9936</v>
      </c>
      <c r="C7899" s="5" t="str">
        <f>IFERROR(__xludf.DUMMYFUNCTION("GOOGLETRANSLATE(B7899,""en"",""de"")"),"Ein Mann spricht in seinem Mikrofon, als einige Männer im Park hinter ihm Cricket spielen.")</f>
        <v>Ein Mann spricht in seinem Mikrofon, als einige Männer im Park hinter ihm Cricket spielen.</v>
      </c>
    </row>
    <row r="7900">
      <c r="A7900" s="4" t="s">
        <v>9934</v>
      </c>
      <c r="B7900" s="4" t="s">
        <v>9937</v>
      </c>
      <c r="C7900" s="5" t="str">
        <f>IFERROR(__xludf.DUMMYFUNCTION("GOOGLETRANSLATE(B7900,""en"",""de"")"),"Es ist ein sonniger Tag, an dem Gänse durch den Park herumlaufen und die Leute ein ungezwungenes Cricketspiel genießen.")</f>
        <v>Es ist ein sonniger Tag, an dem Gänse durch den Park herumlaufen und die Leute ein ungezwungenes Cricketspiel genießen.</v>
      </c>
    </row>
    <row r="7901">
      <c r="A7901" s="4" t="s">
        <v>9934</v>
      </c>
      <c r="B7901" s="4" t="s">
        <v>9938</v>
      </c>
      <c r="C7901" s="5" t="str">
        <f>IFERROR(__xludf.DUMMYFUNCTION("GOOGLETRANSLATE(B7901,""en"",""de"")"),"Es gibt einen Mann, der mit seinem Cricketschläger den Ball schlägt, und eine andere Person, die versucht, seinen Ball zu fangen.")</f>
        <v>Es gibt einen Mann, der mit seinem Cricketschläger den Ball schlägt, und eine andere Person, die versucht, seinen Ball zu fangen.</v>
      </c>
    </row>
    <row r="7902">
      <c r="A7902" s="4" t="s">
        <v>9934</v>
      </c>
      <c r="B7902" s="4" t="s">
        <v>9939</v>
      </c>
      <c r="C7902" s="5" t="str">
        <f>IFERROR(__xludf.DUMMYFUNCTION("GOOGLETRANSLATE(B7902,""en"",""de"")"),"Ein Eichhörnchen sitzt auf der Parkbank und genießt auch den Sonnenschein.")</f>
        <v>Ein Eichhörnchen sitzt auf der Parkbank und genießt auch den Sonnenschein.</v>
      </c>
    </row>
    <row r="7903">
      <c r="A7903" s="4" t="s">
        <v>9940</v>
      </c>
      <c r="B7903" s="4" t="s">
        <v>9941</v>
      </c>
      <c r="C7903" s="5" t="str">
        <f>IFERROR(__xludf.DUMMYFUNCTION("GOOGLETRANSLATE(B7903,""en"",""de"")"),"Ein Mann spielt ein Saxophon in die Kamera und führt zu ihm und spricht.")</f>
        <v>Ein Mann spielt ein Saxophon in die Kamera und führt zu ihm und spricht.</v>
      </c>
    </row>
    <row r="7904">
      <c r="A7904" s="4" t="s">
        <v>9940</v>
      </c>
      <c r="B7904" s="4" t="s">
        <v>9942</v>
      </c>
      <c r="C7904" s="5" t="str">
        <f>IFERROR(__xludf.DUMMYFUNCTION("GOOGLETRANSLATE(B7904,""en"",""de"")"),"Es werden mehr Schüsse gezeigt, wie er das Instrument spielt, während er eine Pause macht, um mehr zu spielen.")</f>
        <v>Es werden mehr Schüsse gezeigt, wie er das Instrument spielt, während er eine Pause macht, um mehr zu spielen.</v>
      </c>
    </row>
    <row r="7905">
      <c r="A7905" s="4" t="s">
        <v>9940</v>
      </c>
      <c r="B7905" s="4" t="s">
        <v>9943</v>
      </c>
      <c r="C7905" s="5" t="str">
        <f>IFERROR(__xludf.DUMMYFUNCTION("GOOGLETRANSLATE(B7905,""en"",""de"")"),"Er spielt weiter und endet, indem er zur Kamera lächelt.")</f>
        <v>Er spielt weiter und endet, indem er zur Kamera lächelt.</v>
      </c>
    </row>
    <row r="7906">
      <c r="A7906" s="4" t="s">
        <v>9944</v>
      </c>
      <c r="B7906" s="4" t="s">
        <v>9945</v>
      </c>
      <c r="C7906" s="5" t="str">
        <f>IFERROR(__xludf.DUMMYFUNCTION("GOOGLETRANSLATE(B7906,""en"",""de"")"),"Mehrere Personen werden auf Fotos gezeigt, die im Winterausrüstung im Schnee zusammengekommen sind.")</f>
        <v>Mehrere Personen werden auf Fotos gezeigt, die im Winterausrüstung im Schnee zusammengekommen sind.</v>
      </c>
    </row>
    <row r="7907">
      <c r="A7907" s="4" t="s">
        <v>9944</v>
      </c>
      <c r="B7907" s="4" t="s">
        <v>9946</v>
      </c>
      <c r="C7907" s="5" t="str">
        <f>IFERROR(__xludf.DUMMYFUNCTION("GOOGLETRANSLATE(B7907,""en"",""de"")"),"Sie reiten zusammen in Gezeiten einen Hügel hinunter, lachen und reden miteinander.")</f>
        <v>Sie reiten zusammen in Gezeiten einen Hügel hinunter, lachen und reden miteinander.</v>
      </c>
    </row>
    <row r="7908">
      <c r="A7908" s="4" t="s">
        <v>9944</v>
      </c>
      <c r="B7908" s="4" t="s">
        <v>9947</v>
      </c>
      <c r="C7908" s="5" t="str">
        <f>IFERROR(__xludf.DUMMYFUNCTION("GOOGLETRANSLATE(B7908,""en"",""de"")"),"Sie werden dann nach feierlichen Fotos gezeigt, die zusammen posieren.")</f>
        <v>Sie werden dann nach feierlichen Fotos gezeigt, die zusammen posieren.</v>
      </c>
    </row>
    <row r="7909">
      <c r="A7909" s="4" t="s">
        <v>9948</v>
      </c>
      <c r="B7909" s="4" t="s">
        <v>9949</v>
      </c>
      <c r="C7909" s="5" t="str">
        <f>IFERROR(__xludf.DUMMYFUNCTION("GOOGLETRANSLATE(B7909,""en"",""de"")"),"Ein Kreuz erscheint im Stil der Fliese unter dem Wasser in einem Pool.")</f>
        <v>Ein Kreuz erscheint im Stil der Fliese unter dem Wasser in einem Pool.</v>
      </c>
    </row>
    <row r="7910">
      <c r="A7910" s="4" t="s">
        <v>9948</v>
      </c>
      <c r="B7910" s="4" t="s">
        <v>9950</v>
      </c>
      <c r="C7910" s="5" t="str">
        <f>IFERROR(__xludf.DUMMYFUNCTION("GOOGLETRANSLATE(B7910,""en"",""de"")"),"Ein Mann in einer Badekappe schwimmt durch das Wasser zur Kamera.")</f>
        <v>Ein Mann in einer Badekappe schwimmt durch das Wasser zur Kamera.</v>
      </c>
    </row>
    <row r="7911">
      <c r="A7911" s="4" t="s">
        <v>9948</v>
      </c>
      <c r="B7911" s="4" t="s">
        <v>9951</v>
      </c>
      <c r="C7911" s="5" t="str">
        <f>IFERROR(__xludf.DUMMYFUNCTION("GOOGLETRANSLATE(B7911,""en"",""de"")"),"Er wird aus zahlreichen Blickwinkeln schwimmen.")</f>
        <v>Er wird aus zahlreichen Blickwinkeln schwimmen.</v>
      </c>
    </row>
    <row r="7912">
      <c r="A7912" s="4" t="s">
        <v>9952</v>
      </c>
      <c r="B7912" s="4" t="s">
        <v>9953</v>
      </c>
      <c r="C7912" s="5" t="str">
        <f>IFERROR(__xludf.DUMMYFUNCTION("GOOGLETRANSLATE(B7912,""en"",""de"")"),"Zwei Menschen sind in ganz schwarz gekleidet, fährt die Fahrräder die Straße hinunter.")</f>
        <v>Zwei Menschen sind in ganz schwarz gekleidet, fährt die Fahrräder die Straße hinunter.</v>
      </c>
    </row>
    <row r="7913">
      <c r="A7913" s="4" t="s">
        <v>9952</v>
      </c>
      <c r="B7913" s="4" t="s">
        <v>9954</v>
      </c>
      <c r="C7913" s="5" t="str">
        <f>IFERROR(__xludf.DUMMYFUNCTION("GOOGLETRANSLATE(B7913,""en"",""de"")"),"Die beiden Jungen werden dann auf einem geteilten Bildschirm gegeneinander abgebildet und geben ihre Helme an.")</f>
        <v>Die beiden Jungen werden dann auf einem geteilten Bildschirm gegeneinander abgebildet und geben ihre Helme an.</v>
      </c>
    </row>
    <row r="7914">
      <c r="A7914" s="4" t="s">
        <v>9952</v>
      </c>
      <c r="B7914" s="4" t="s">
        <v>9955</v>
      </c>
      <c r="C7914" s="5" t="str">
        <f>IFERROR(__xludf.DUMMYFUNCTION("GOOGLETRANSLATE(B7914,""en"",""de"")"),"Die beiden zogen dann ihre grünen Radschuhe an und steigen wieder auf die Fahrräder.")</f>
        <v>Die beiden zogen dann ihre grünen Radschuhe an und steigen wieder auf die Fahrräder.</v>
      </c>
    </row>
    <row r="7915">
      <c r="A7915" s="4" t="s">
        <v>9952</v>
      </c>
      <c r="B7915" s="4" t="s">
        <v>9956</v>
      </c>
      <c r="C7915" s="5" t="str">
        <f>IFERROR(__xludf.DUMMYFUNCTION("GOOGLETRANSLATE(B7915,""en"",""de"")"),"Dann wird ein Skatepark gezeigt und einer der Jungen beginnt Tricks über die Unebenheiten.")</f>
        <v>Dann wird ein Skatepark gezeigt und einer der Jungen beginnt Tricks über die Unebenheiten.</v>
      </c>
    </row>
    <row r="7916">
      <c r="A7916" s="4" t="s">
        <v>9952</v>
      </c>
      <c r="B7916" s="4" t="s">
        <v>9957</v>
      </c>
      <c r="C7916" s="5" t="str">
        <f>IFERROR(__xludf.DUMMYFUNCTION("GOOGLETRANSLATE(B7916,""en"",""de"")"),"Nach Abschluss werden die Fahrräder übergegangen und die Jungen beginnen sich gegenseitig die Hand zu schütteln.")</f>
        <v>Nach Abschluss werden die Fahrräder übergegangen und die Jungen beginnen sich gegenseitig die Hand zu schütteln.</v>
      </c>
    </row>
    <row r="7917">
      <c r="A7917" s="4" t="s">
        <v>9952</v>
      </c>
      <c r="B7917" s="4" t="s">
        <v>9958</v>
      </c>
      <c r="C7917" s="5" t="str">
        <f>IFERROR(__xludf.DUMMYFUNCTION("GOOGLETRANSLATE(B7917,""en"",""de"")"),"Nach dem weiteren Trick und sie springen weiter und machen Tricks über den Hügeln.")</f>
        <v>Nach dem weiteren Trick und sie springen weiter und machen Tricks über den Hügeln.</v>
      </c>
    </row>
    <row r="7918">
      <c r="A7918" s="4" t="s">
        <v>9959</v>
      </c>
      <c r="B7918" s="4" t="s">
        <v>9960</v>
      </c>
      <c r="C7918" s="5" t="str">
        <f>IFERROR(__xludf.DUMMYFUNCTION("GOOGLETRANSLATE(B7918,""en"",""de"")"),"Die Leute warten in einem Indoor -Fitnessstudio, während der Ausbilder ausgeht.")</f>
        <v>Die Leute warten in einem Indoor -Fitnessstudio, während der Ausbilder ausgeht.</v>
      </c>
    </row>
    <row r="7919">
      <c r="A7919" s="4" t="s">
        <v>9959</v>
      </c>
      <c r="B7919" s="4" t="s">
        <v>9961</v>
      </c>
      <c r="C7919" s="5" t="str">
        <f>IFERROR(__xludf.DUMMYFUNCTION("GOOGLETRANSLATE(B7919,""en"",""de"")"),"Die Klasse startet eine SteperCize -Klasse mit schwarzen Kisten.")</f>
        <v>Die Klasse startet eine SteperCize -Klasse mit schwarzen Kisten.</v>
      </c>
    </row>
    <row r="7920">
      <c r="A7920" s="4" t="s">
        <v>9959</v>
      </c>
      <c r="B7920" s="4" t="s">
        <v>9962</v>
      </c>
      <c r="C7920" s="5" t="str">
        <f>IFERROR(__xludf.DUMMYFUNCTION("GOOGLETRANSLATE(B7920,""en"",""de"")"),"Die Klasse endet, indem sie mit den Armen schwenkt und der Ausbilder weggeht.")</f>
        <v>Die Klasse endet, indem sie mit den Armen schwenkt und der Ausbilder weggeht.</v>
      </c>
    </row>
    <row r="7921">
      <c r="A7921" s="4" t="s">
        <v>9963</v>
      </c>
      <c r="B7921" s="4" t="s">
        <v>9964</v>
      </c>
      <c r="C7921" s="5" t="str">
        <f>IFERROR(__xludf.DUMMYFUNCTION("GOOGLETRANSLATE(B7921,""en"",""de"")"),"Zwei Männer werden gesehen, wie Arm miteinander ringt, während sie ihre Arme bis zu den Seiten halten.")</f>
        <v>Zwei Männer werden gesehen, wie Arm miteinander ringt, während sie ihre Arme bis zu den Seiten halten.</v>
      </c>
    </row>
    <row r="7922">
      <c r="A7922" s="4" t="s">
        <v>9963</v>
      </c>
      <c r="B7922" s="4" t="s">
        <v>9965</v>
      </c>
      <c r="C7922" s="5" t="str">
        <f>IFERROR(__xludf.DUMMYFUNCTION("GOOGLETRANSLATE(B7922,""en"",""de"")"),"Sie fangen immer wieder an, bis einer von ihnen schließlich gewinnt.")</f>
        <v>Sie fangen immer wieder an, bis einer von ihnen schließlich gewinnt.</v>
      </c>
    </row>
    <row r="7923">
      <c r="A7923" s="4" t="s">
        <v>9966</v>
      </c>
      <c r="B7923" s="4" t="s">
        <v>9967</v>
      </c>
      <c r="C7923" s="5" t="str">
        <f>IFERROR(__xludf.DUMMYFUNCTION("GOOGLETRANSLATE(B7923,""en"",""de"")"),"Ein Mann steht unter einem Basketball -Tor.")</f>
        <v>Ein Mann steht unter einem Basketball -Tor.</v>
      </c>
    </row>
    <row r="7924">
      <c r="A7924" s="4" t="s">
        <v>9966</v>
      </c>
      <c r="B7924" s="4" t="s">
        <v>9968</v>
      </c>
      <c r="C7924" s="5" t="str">
        <f>IFERROR(__xludf.DUMMYFUNCTION("GOOGLETRANSLATE(B7924,""en"",""de"")"),"Eine Gruppe von Jungen hört dem Trainer zu.")</f>
        <v>Eine Gruppe von Jungen hört dem Trainer zu.</v>
      </c>
    </row>
    <row r="7925">
      <c r="A7925" s="4" t="s">
        <v>9966</v>
      </c>
      <c r="B7925" s="4" t="s">
        <v>9969</v>
      </c>
      <c r="C7925" s="5" t="str">
        <f>IFERROR(__xludf.DUMMYFUNCTION("GOOGLETRANSLATE(B7925,""en"",""de"")"),"Sie beginnen sich aufzuwärmen, indem sie Layups machen.")</f>
        <v>Sie beginnen sich aufzuwärmen, indem sie Layups machen.</v>
      </c>
    </row>
    <row r="7926">
      <c r="A7926" s="4" t="s">
        <v>9966</v>
      </c>
      <c r="B7926" s="4" t="s">
        <v>9970</v>
      </c>
      <c r="C7926" s="5" t="str">
        <f>IFERROR(__xludf.DUMMYFUNCTION("GOOGLETRANSLATE(B7926,""en"",""de"")"),"Die Jungs stellen sich auf und bereiteten sich darauf vor, das Spiel zu spielen.")</f>
        <v>Die Jungs stellen sich auf und bereiteten sich darauf vor, das Spiel zu spielen.</v>
      </c>
    </row>
    <row r="7927">
      <c r="A7927" s="4" t="s">
        <v>9971</v>
      </c>
      <c r="B7927" s="4" t="s">
        <v>9972</v>
      </c>
      <c r="C7927" s="5" t="str">
        <f>IFERROR(__xludf.DUMMYFUNCTION("GOOGLETRANSLATE(B7927,""en"",""de"")"),"Die Menschen sind in einem Seewakeboarden, der von einem Boot gezogen wird.")</f>
        <v>Die Menschen sind in einem Seewakeboarden, der von einem Boot gezogen wird.</v>
      </c>
    </row>
    <row r="7928">
      <c r="A7928" s="4" t="s">
        <v>9971</v>
      </c>
      <c r="B7928" s="4" t="s">
        <v>9973</v>
      </c>
      <c r="C7928" s="5" t="str">
        <f>IFERROR(__xludf.DUMMYFUNCTION("GOOGLETRANSLATE(B7928,""en"",""de"")"),"Viele Leute stehen auf einem Dock und beobachten den Wakeboardenwettbewerb.")</f>
        <v>Viele Leute stehen auf einem Dock und beobachten den Wakeboardenwettbewerb.</v>
      </c>
    </row>
    <row r="7929">
      <c r="A7929" s="4" t="s">
        <v>9971</v>
      </c>
      <c r="B7929" s="4" t="s">
        <v>9974</v>
      </c>
      <c r="C7929" s="5" t="str">
        <f>IFERROR(__xludf.DUMMYFUNCTION("GOOGLETRANSLATE(B7929,""en"",""de"")"),"Die Leute gehen auf dem Dock mit Winterkleidung.")</f>
        <v>Die Leute gehen auf dem Dock mit Winterkleidung.</v>
      </c>
    </row>
    <row r="7930">
      <c r="A7930" s="4" t="s">
        <v>9975</v>
      </c>
      <c r="B7930" s="4" t="s">
        <v>9976</v>
      </c>
      <c r="C7930" s="5" t="str">
        <f>IFERROR(__xludf.DUMMYFUNCTION("GOOGLETRANSLATE(B7930,""en"",""de"")"),"Es gibt eine Frau, die nichts als Shorts und ein T -Shirt trägt.")</f>
        <v>Es gibt eine Frau, die nichts als Shorts und ein T -Shirt trägt.</v>
      </c>
    </row>
    <row r="7931">
      <c r="A7931" s="4" t="s">
        <v>9975</v>
      </c>
      <c r="B7931" s="4" t="s">
        <v>9977</v>
      </c>
      <c r="C7931" s="5" t="str">
        <f>IFERROR(__xludf.DUMMYFUNCTION("GOOGLETRANSLATE(B7931,""en"",""de"")"),"Sie sitzt auf einem Felsen, während sie das kleine Stück Kleidung im Fluss wäscht.")</f>
        <v>Sie sitzt auf einem Felsen, während sie das kleine Stück Kleidung im Fluss wäscht.</v>
      </c>
    </row>
    <row r="7932">
      <c r="A7932" s="4" t="s">
        <v>9978</v>
      </c>
      <c r="B7932" s="4" t="s">
        <v>9979</v>
      </c>
      <c r="C7932" s="5" t="str">
        <f>IFERROR(__xludf.DUMMYFUNCTION("GOOGLETRANSLATE(B7932,""en"",""de"")"),"Jemand ist in der Kegelbahn auf einer Spur mit einem roten Ball.")</f>
        <v>Jemand ist in der Kegelbahn auf einer Spur mit einem roten Ball.</v>
      </c>
    </row>
    <row r="7933">
      <c r="A7933" s="4" t="s">
        <v>9978</v>
      </c>
      <c r="B7933" s="4" t="s">
        <v>9980</v>
      </c>
      <c r="C7933" s="5" t="str">
        <f>IFERROR(__xludf.DUMMYFUNCTION("GOOGLETRANSLATE(B7933,""en"",""de"")"),"Er wirft den Ball, sein Fuß geht hoch und der Ball rollt, um die Stifte zu treffen.")</f>
        <v>Er wirft den Ball, sein Fuß geht hoch und der Ball rollt, um die Stifte zu treffen.</v>
      </c>
    </row>
    <row r="7934">
      <c r="A7934" s="4" t="s">
        <v>9978</v>
      </c>
      <c r="B7934" s="4" t="s">
        <v>9981</v>
      </c>
      <c r="C7934" s="5" t="str">
        <f>IFERROR(__xludf.DUMMYFUNCTION("GOOGLETRANSLATE(B7934,""en"",""de"")"),"Mehrere Personen nehmen sich um die gleiche Haltung und alles mehr oder weniger.")</f>
        <v>Mehrere Personen nehmen sich um die gleiche Haltung und alles mehr oder weniger.</v>
      </c>
    </row>
    <row r="7935">
      <c r="A7935" s="4" t="s">
        <v>9978</v>
      </c>
      <c r="B7935" s="4" t="s">
        <v>9982</v>
      </c>
      <c r="C7935" s="5" t="str">
        <f>IFERROR(__xludf.DUMMYFUNCTION("GOOGLETRANSLATE(B7935,""en"",""de"")"),"Man sieht nie, dass die Bälle die Stifte getroffen haben, nur jeder, der den Ball wirft.")</f>
        <v>Man sieht nie, dass die Bälle die Stifte getroffen haben, nur jeder, der den Ball wirft.</v>
      </c>
    </row>
    <row r="7936">
      <c r="A7936" s="4" t="s">
        <v>9983</v>
      </c>
      <c r="B7936" s="4" t="s">
        <v>9984</v>
      </c>
      <c r="C7936" s="5" t="str">
        <f>IFERROR(__xludf.DUMMYFUNCTION("GOOGLETRANSLATE(B7936,""en"",""de"")"),"Ein Kameramann geht eine schneebedeckte Einfahrt hinunter, um ein kleines Kind zu fangen, das Schnee aufschauft.")</f>
        <v>Ein Kameramann geht eine schneebedeckte Einfahrt hinunter, um ein kleines Kind zu fangen, das Schnee aufschauft.</v>
      </c>
    </row>
    <row r="7937">
      <c r="A7937" s="4" t="s">
        <v>9983</v>
      </c>
      <c r="B7937" s="4" t="s">
        <v>9985</v>
      </c>
      <c r="C7937" s="5" t="str">
        <f>IFERROR(__xludf.DUMMYFUNCTION("GOOGLETRANSLATE(B7937,""en"",""de"")"),"Der Junge spricht in die Kamera und schiebt den Schnee mit einer Schaufel weiter.")</f>
        <v>Der Junge spricht in die Kamera und schiebt den Schnee mit einer Schaufel weiter.</v>
      </c>
    </row>
    <row r="7938">
      <c r="A7938" s="4" t="s">
        <v>9986</v>
      </c>
      <c r="B7938" s="4" t="s">
        <v>9987</v>
      </c>
      <c r="C7938" s="5" t="str">
        <f>IFERROR(__xludf.DUMMYFUNCTION("GOOGLETRANSLATE(B7938,""en"",""de"")"),"Fünf Frauen sind in einem Zimmertanz.")</f>
        <v>Fünf Frauen sind in einem Zimmertanz.</v>
      </c>
    </row>
    <row r="7939">
      <c r="A7939" s="4" t="s">
        <v>9986</v>
      </c>
      <c r="B7939" s="4" t="s">
        <v>9988</v>
      </c>
      <c r="C7939" s="5" t="str">
        <f>IFERROR(__xludf.DUMMYFUNCTION("GOOGLETRANSLATE(B7939,""en"",""de"")"),"Sie tanzen im Kreis herum.")</f>
        <v>Sie tanzen im Kreis herum.</v>
      </c>
    </row>
    <row r="7940">
      <c r="A7940" s="4" t="s">
        <v>9986</v>
      </c>
      <c r="B7940" s="4" t="s">
        <v>9989</v>
      </c>
      <c r="C7940" s="5" t="str">
        <f>IFERROR(__xludf.DUMMYFUNCTION("GOOGLETRANSLATE(B7940,""en"",""de"")"),"Sie tanzen weiter zusammen im Raum.")</f>
        <v>Sie tanzen weiter zusammen im Raum.</v>
      </c>
    </row>
    <row r="7941">
      <c r="A7941" s="4" t="s">
        <v>9990</v>
      </c>
      <c r="B7941" s="4" t="s">
        <v>9991</v>
      </c>
      <c r="C7941" s="5" t="str">
        <f>IFERROR(__xludf.DUMMYFUNCTION("GOOGLETRANSLATE(B7941,""en"",""de"")"),"Eine Frau, die Handschuhe trägt, steht vor einem Waschbecken.")</f>
        <v>Eine Frau, die Handschuhe trägt, steht vor einem Waschbecken.</v>
      </c>
    </row>
    <row r="7942">
      <c r="A7942" s="4" t="s">
        <v>9990</v>
      </c>
      <c r="B7942" s="4" t="s">
        <v>9992</v>
      </c>
      <c r="C7942" s="5" t="str">
        <f>IFERROR(__xludf.DUMMYFUNCTION("GOOGLETRANSLATE(B7942,""en"",""de"")"),"Sie sprüht es mit einer Reinigungslösung.")</f>
        <v>Sie sprüht es mit einer Reinigungslösung.</v>
      </c>
    </row>
    <row r="7943">
      <c r="A7943" s="4" t="s">
        <v>9990</v>
      </c>
      <c r="B7943" s="4" t="s">
        <v>9993</v>
      </c>
      <c r="C7943" s="5" t="str">
        <f>IFERROR(__xludf.DUMMYFUNCTION("GOOGLETRANSLATE(B7943,""en"",""de"")"),"Sie schrubbt dann das Waschbecken, bis es sauber ist.")</f>
        <v>Sie schrubbt dann das Waschbecken, bis es sauber ist.</v>
      </c>
    </row>
    <row r="7944">
      <c r="A7944" s="4" t="s">
        <v>9994</v>
      </c>
      <c r="B7944" s="4" t="s">
        <v>9995</v>
      </c>
      <c r="C7944" s="5" t="str">
        <f>IFERROR(__xludf.DUMMYFUNCTION("GOOGLETRANSLATE(B7944,""en"",""de"")"),"Ein Mann steht vor der Kamera und fängt dann an, sein Haar nach vorne zu kämmen.")</f>
        <v>Ein Mann steht vor der Kamera und fängt dann an, sein Haar nach vorne zu kämmen.</v>
      </c>
    </row>
    <row r="7945">
      <c r="A7945" s="4" t="s">
        <v>9994</v>
      </c>
      <c r="B7945" s="4" t="s">
        <v>9996</v>
      </c>
      <c r="C7945" s="5" t="str">
        <f>IFERROR(__xludf.DUMMYFUNCTION("GOOGLETRANSLATE(B7945,""en"",""de"")"),"Dann konzentriert er sich auf die Seiten und den Rücken seines Haares und kämmt erneut nieder.")</f>
        <v>Dann konzentriert er sich auf die Seiten und den Rücken seines Haares und kämmt erneut nieder.</v>
      </c>
    </row>
    <row r="7946">
      <c r="A7946" s="4" t="s">
        <v>9994</v>
      </c>
      <c r="B7946" s="4" t="s">
        <v>9997</v>
      </c>
      <c r="C7946" s="5" t="str">
        <f>IFERROR(__xludf.DUMMYFUNCTION("GOOGLETRANSLATE(B7946,""en"",""de"")"),"Er bringt die Bürste über seine Haare und fügt seine linke Hand hinzu, um mitzuschlagen.")</f>
        <v>Er bringt die Bürste über seine Haare und fügt seine linke Hand hinzu, um mitzuschlagen.</v>
      </c>
    </row>
    <row r="7947">
      <c r="A7947" s="4" t="s">
        <v>9998</v>
      </c>
      <c r="B7947" s="4" t="s">
        <v>9999</v>
      </c>
      <c r="C7947" s="5" t="str">
        <f>IFERROR(__xludf.DUMMYFUNCTION("GOOGLETRANSLATE(B7947,""en"",""de"")"),"Wir sehen, wie ein Mann die Kamera einstellt und sich die Haare schüttelt.")</f>
        <v>Wir sehen, wie ein Mann die Kamera einstellt und sich die Haare schüttelt.</v>
      </c>
    </row>
    <row r="7948">
      <c r="A7948" s="4" t="s">
        <v>9998</v>
      </c>
      <c r="B7948" s="4" t="s">
        <v>10000</v>
      </c>
      <c r="C7948" s="5" t="str">
        <f>IFERROR(__xludf.DUMMYFUNCTION("GOOGLETRANSLATE(B7948,""en"",""de"")"),"Wir sehen Kommentare auf dem Bildschirm.")</f>
        <v>Wir sehen Kommentare auf dem Bildschirm.</v>
      </c>
    </row>
    <row r="7949">
      <c r="A7949" s="4" t="s">
        <v>9998</v>
      </c>
      <c r="B7949" s="4" t="s">
        <v>10001</v>
      </c>
      <c r="C7949" s="5" t="str">
        <f>IFERROR(__xludf.DUMMYFUNCTION("GOOGLETRANSLATE(B7949,""en"",""de"")"),"Das Bild ist in Farbe und der Mann bläst seine Haare.")</f>
        <v>Das Bild ist in Farbe und der Mann bläst seine Haare.</v>
      </c>
    </row>
    <row r="7950">
      <c r="A7950" s="4" t="s">
        <v>9998</v>
      </c>
      <c r="B7950" s="4" t="s">
        <v>10002</v>
      </c>
      <c r="C7950" s="5" t="str">
        <f>IFERROR(__xludf.DUMMYFUNCTION("GOOGLETRANSLATE(B7950,""en"",""de"")"),"Der Mann verwendet einen Pinsel und Anweisungen werden angezeigt.")</f>
        <v>Der Mann verwendet einen Pinsel und Anweisungen werden angezeigt.</v>
      </c>
    </row>
    <row r="7951">
      <c r="A7951" s="4" t="s">
        <v>9998</v>
      </c>
      <c r="B7951" s="4" t="s">
        <v>10003</v>
      </c>
      <c r="C7951" s="5" t="str">
        <f>IFERROR(__xludf.DUMMYFUNCTION("GOOGLETRANSLATE(B7951,""en"",""de"")"),"Auf dem Bildschirm sehen wir weitere Anweisungen.")</f>
        <v>Auf dem Bildschirm sehen wir weitere Anweisungen.</v>
      </c>
    </row>
    <row r="7952">
      <c r="A7952" s="4" t="s">
        <v>9998</v>
      </c>
      <c r="B7952" s="4" t="s">
        <v>10004</v>
      </c>
      <c r="C7952" s="5" t="str">
        <f>IFERROR(__xludf.DUMMYFUNCTION("GOOGLETRANSLATE(B7952,""en"",""de"")"),"Anweisung Erzählen Sie die Aussicht zu Schimmel Haare.")</f>
        <v>Anweisung Erzählen Sie die Aussicht zu Schimmel Haare.</v>
      </c>
    </row>
    <row r="7953">
      <c r="A7953" s="4" t="s">
        <v>9998</v>
      </c>
      <c r="B7953" s="4" t="s">
        <v>10005</v>
      </c>
      <c r="C7953" s="5" t="str">
        <f>IFERROR(__xludf.DUMMYFUNCTION("GOOGLETRANSLATE(B7953,""en"",""de"")"),"Weitere Anweisungen werden auf dem Bildschirm angezeigt.")</f>
        <v>Weitere Anweisungen werden auf dem Bildschirm angezeigt.</v>
      </c>
    </row>
    <row r="7954">
      <c r="A7954" s="4" t="s">
        <v>9998</v>
      </c>
      <c r="B7954" s="4" t="s">
        <v>10006</v>
      </c>
      <c r="C7954" s="5" t="str">
        <f>IFERROR(__xludf.DUMMYFUNCTION("GOOGLETRANSLATE(B7954,""en"",""de"")"),"Der Mann fügt seinen Haaren Pomaden hinzu.")</f>
        <v>Der Mann fügt seinen Haaren Pomaden hinzu.</v>
      </c>
    </row>
    <row r="7955">
      <c r="A7955" s="4" t="s">
        <v>9998</v>
      </c>
      <c r="B7955" s="4" t="s">
        <v>10007</v>
      </c>
      <c r="C7955" s="5" t="str">
        <f>IFERROR(__xludf.DUMMYFUNCTION("GOOGLETRANSLATE(B7955,""en"",""de"")"),"Der Mann streift seine Haare mit einer Bürste.")</f>
        <v>Der Mann streift seine Haare mit einer Bürste.</v>
      </c>
    </row>
    <row r="7956">
      <c r="A7956" s="4" t="s">
        <v>9998</v>
      </c>
      <c r="B7956" s="4" t="s">
        <v>10008</v>
      </c>
      <c r="C7956" s="5" t="str">
        <f>IFERROR(__xludf.DUMMYFUNCTION("GOOGLETRANSLATE(B7956,""en"",""de"")"),"Wir sehen, dass die Szene dunkel wird und das Schreiben auf dem Bildschirm erscheint.")</f>
        <v>Wir sehen, dass die Szene dunkel wird und das Schreiben auf dem Bildschirm erscheint.</v>
      </c>
    </row>
    <row r="7957">
      <c r="A7957" s="4" t="s">
        <v>10009</v>
      </c>
      <c r="B7957" s="4" t="s">
        <v>10010</v>
      </c>
      <c r="C7957" s="5" t="str">
        <f>IFERROR(__xludf.DUMMYFUNCTION("GOOGLETRANSLATE(B7957,""en"",""de"")"),"Ein Pferd läuft wild mit einem Trainer, der danach jagt.")</f>
        <v>Ein Pferd läuft wild mit einem Trainer, der danach jagt.</v>
      </c>
    </row>
    <row r="7958">
      <c r="A7958" s="4" t="s">
        <v>10009</v>
      </c>
      <c r="B7958" s="4" t="s">
        <v>10011</v>
      </c>
      <c r="C7958" s="5" t="str">
        <f>IFERROR(__xludf.DUMMYFUNCTION("GOOGLETRANSLATE(B7958,""en"",""de"")"),"Ein Pferd läuft danach und bockelt einen Stier, der es mit seinen Hörnern belastet.")</f>
        <v>Ein Pferd läuft danach und bockelt einen Stier, der es mit seinen Hörnern belastet.</v>
      </c>
    </row>
    <row r="7959">
      <c r="A7959" s="4" t="s">
        <v>10009</v>
      </c>
      <c r="B7959" s="4" t="s">
        <v>10012</v>
      </c>
      <c r="C7959" s="5" t="str">
        <f>IFERROR(__xludf.DUMMYFUNCTION("GOOGLETRANSLATE(B7959,""en"",""de"")"),"Das Pferd wird von den Cowboys aus der Koralle entlassen.")</f>
        <v>Das Pferd wird von den Cowboys aus der Koralle entlassen.</v>
      </c>
    </row>
    <row r="7960">
      <c r="A7960" s="4" t="s">
        <v>10009</v>
      </c>
      <c r="B7960" s="4" t="s">
        <v>10013</v>
      </c>
      <c r="C7960" s="5" t="str">
        <f>IFERROR(__xludf.DUMMYFUNCTION("GOOGLETRANSLATE(B7960,""en"",""de"")"),"Der Pferdedarm hängt von der Verletzung an seinem Körper.")</f>
        <v>Der Pferdedarm hängt von der Verletzung an seinem Körper.</v>
      </c>
    </row>
    <row r="7961">
      <c r="A7961" s="4" t="s">
        <v>10009</v>
      </c>
      <c r="B7961" s="4" t="s">
        <v>10014</v>
      </c>
      <c r="C7961" s="5" t="str">
        <f>IFERROR(__xludf.DUMMYFUNCTION("GOOGLETRANSLATE(B7961,""en"",""de"")"),"Das Pferd liegt auf dem Boden mit einem Anfall.")</f>
        <v>Das Pferd liegt auf dem Boden mit einem Anfall.</v>
      </c>
    </row>
    <row r="7962">
      <c r="A7962" s="4" t="s">
        <v>10009</v>
      </c>
      <c r="B7962" s="4" t="s">
        <v>10015</v>
      </c>
      <c r="C7962" s="5" t="str">
        <f>IFERROR(__xludf.DUMMYFUNCTION("GOOGLETRANSLATE(B7962,""en"",""de"")"),"Ein Stier jagt nach einem Cowboy auf einem Pferd mit einem Lasso.")</f>
        <v>Ein Stier jagt nach einem Cowboy auf einem Pferd mit einem Lasso.</v>
      </c>
    </row>
    <row r="7963">
      <c r="A7963" s="4" t="s">
        <v>10016</v>
      </c>
      <c r="B7963" s="4" t="s">
        <v>10017</v>
      </c>
      <c r="C7963" s="5" t="str">
        <f>IFERROR(__xludf.DUMMYFUNCTION("GOOGLETRANSLATE(B7963,""en"",""de"")"),"Ein Motorradfahrer befindet sich im Bett und wird von einem Wecker geweckt.")</f>
        <v>Ein Motorradfahrer befindet sich im Bett und wird von einem Wecker geweckt.</v>
      </c>
    </row>
    <row r="7964">
      <c r="A7964" s="4" t="s">
        <v>10016</v>
      </c>
      <c r="B7964" s="4" t="s">
        <v>10018</v>
      </c>
      <c r="C7964" s="5" t="str">
        <f>IFERROR(__xludf.DUMMYFUNCTION("GOOGLETRANSLATE(B7964,""en"",""de"")"),"Der Motorradfahrer steigt aus dem Bett und bereitet sich darauf vor, durch das Bad zu baden und die Zeitung zu lesen.")</f>
        <v>Der Motorradfahrer steigt aus dem Bett und bereitet sich darauf vor, durch das Bad zu baden und die Zeitung zu lesen.</v>
      </c>
    </row>
    <row r="7965">
      <c r="A7965" s="4" t="s">
        <v>10016</v>
      </c>
      <c r="B7965" s="4" t="s">
        <v>10019</v>
      </c>
      <c r="C7965" s="5" t="str">
        <f>IFERROR(__xludf.DUMMYFUNCTION("GOOGLETRANSLATE(B7965,""en"",""de"")"),"Er fährt mit dem Motorrad den Flur hinunter in den Aufzug.")</f>
        <v>Er fährt mit dem Motorrad den Flur hinunter in den Aufzug.</v>
      </c>
    </row>
    <row r="7966">
      <c r="A7966" s="4" t="s">
        <v>10016</v>
      </c>
      <c r="B7966" s="4" t="s">
        <v>10020</v>
      </c>
      <c r="C7966" s="5" t="str">
        <f>IFERROR(__xludf.DUMMYFUNCTION("GOOGLETRANSLATE(B7966,""en"",""de"")"),"Er verlässt das Gebäude und fährt das Motorrad in ein Casino, wo er mehrere Tricks durchführt, wie die Leute zuschauen.")</f>
        <v>Er verlässt das Gebäude und fährt das Motorrad in ein Casino, wo er mehrere Tricks durchführt, wie die Leute zuschauen.</v>
      </c>
    </row>
    <row r="7967">
      <c r="A7967" s="4" t="s">
        <v>10016</v>
      </c>
      <c r="B7967" s="4" t="s">
        <v>10021</v>
      </c>
      <c r="C7967" s="5" t="str">
        <f>IFERROR(__xludf.DUMMYFUNCTION("GOOGLETRANSLATE(B7967,""en"",""de"")"),"Er verlässt das Casino und die Abspannkredite werden auf dem Bildschirm angezeigt.")</f>
        <v>Er verlässt das Casino und die Abspannkredite werden auf dem Bildschirm angezeigt.</v>
      </c>
    </row>
    <row r="7968">
      <c r="A7968" s="4" t="s">
        <v>10022</v>
      </c>
      <c r="B7968" s="4" t="s">
        <v>10023</v>
      </c>
      <c r="C7968" s="5" t="str">
        <f>IFERROR(__xludf.DUMMYFUNCTION("GOOGLETRANSLATE(B7968,""en"",""de"")"),"Eine Nahaufnahme eines Gewichts wird gezeigt.")</f>
        <v>Eine Nahaufnahme eines Gewichts wird gezeigt.</v>
      </c>
    </row>
    <row r="7969">
      <c r="A7969" s="4" t="s">
        <v>10022</v>
      </c>
      <c r="B7969" s="4" t="s">
        <v>10024</v>
      </c>
      <c r="C7969" s="5" t="str">
        <f>IFERROR(__xludf.DUMMYFUNCTION("GOOGLETRANSLATE(B7969,""en"",""de"")"),"Mehrere Personen werden gezeigt, dass sie in einem Fitnessstudio Hantel mit Gewichten auf verschiedene Weise heben, während andere Personen im Hintergrund zuschauen oder trainieren.")</f>
        <v>Mehrere Personen werden gezeigt, dass sie in einem Fitnessstudio Hantel mit Gewichten auf verschiedene Weise heben, während andere Personen im Hintergrund zuschauen oder trainieren.</v>
      </c>
    </row>
    <row r="7970">
      <c r="A7970" s="4" t="s">
        <v>10022</v>
      </c>
      <c r="B7970" s="4" t="s">
        <v>10025</v>
      </c>
      <c r="C7970" s="5" t="str">
        <f>IFERROR(__xludf.DUMMYFUNCTION("GOOGLETRANSLATE(B7970,""en"",""de"")"),"Ein Bildschirm mit Logo und Kontaktinformationen wird angezeigt.")</f>
        <v>Ein Bildschirm mit Logo und Kontaktinformationen wird angezeigt.</v>
      </c>
    </row>
    <row r="7971">
      <c r="A7971" s="4" t="s">
        <v>10026</v>
      </c>
      <c r="B7971" s="4" t="s">
        <v>10027</v>
      </c>
      <c r="C7971" s="5" t="str">
        <f>IFERROR(__xludf.DUMMYFUNCTION("GOOGLETRANSLATE(B7971,""en"",""de"")"),"Wir sehen eine Dame, die einen Hund spaziert.")</f>
        <v>Wir sehen eine Dame, die einen Hund spaziert.</v>
      </c>
    </row>
    <row r="7972">
      <c r="A7972" s="4" t="s">
        <v>10026</v>
      </c>
      <c r="B7972" s="4" t="s">
        <v>10028</v>
      </c>
      <c r="C7972" s="5" t="str">
        <f>IFERROR(__xludf.DUMMYFUNCTION("GOOGLETRANSLATE(B7972,""en"",""de"")"),"Wir sehen einen Mann, der mit dem Hund geht.")</f>
        <v>Wir sehen einen Mann, der mit dem Hund geht.</v>
      </c>
    </row>
    <row r="7973">
      <c r="A7973" s="4" t="s">
        <v>10026</v>
      </c>
      <c r="B7973" s="4" t="s">
        <v>10029</v>
      </c>
      <c r="C7973" s="5" t="str">
        <f>IFERROR(__xludf.DUMMYFUNCTION("GOOGLETRANSLATE(B7973,""en"",""de"")"),"Wir kehren zur Dame zurück, die mit dem Hund spazieren geht.")</f>
        <v>Wir kehren zur Dame zurück, die mit dem Hund spazieren geht.</v>
      </c>
    </row>
    <row r="7974">
      <c r="A7974" s="4" t="s">
        <v>10026</v>
      </c>
      <c r="B7974" s="4" t="s">
        <v>10030</v>
      </c>
      <c r="C7974" s="5" t="str">
        <f>IFERROR(__xludf.DUMMYFUNCTION("GOOGLETRANSLATE(B7974,""en"",""de"")"),"Der Hund zieht die Dame die Straße runter.")</f>
        <v>Der Hund zieht die Dame die Straße runter.</v>
      </c>
    </row>
    <row r="7975">
      <c r="A7975" s="4" t="s">
        <v>10026</v>
      </c>
      <c r="B7975" s="4" t="s">
        <v>10031</v>
      </c>
      <c r="C7975" s="5" t="str">
        <f>IFERROR(__xludf.DUMMYFUNCTION("GOOGLETRANSLATE(B7975,""en"",""de"")"),"Wir sehen die Dame und den Mann reden.")</f>
        <v>Wir sehen die Dame und den Mann reden.</v>
      </c>
    </row>
    <row r="7976">
      <c r="A7976" s="4" t="s">
        <v>10026</v>
      </c>
      <c r="B7976" s="4" t="s">
        <v>10032</v>
      </c>
      <c r="C7976" s="5" t="str">
        <f>IFERROR(__xludf.DUMMYFUNCTION("GOOGLETRANSLATE(B7976,""en"",""de"")"),"Der Mann geht mit dem Hund die Treppe hinauf und in der Einfahrt.")</f>
        <v>Der Mann geht mit dem Hund die Treppe hinauf und in der Einfahrt.</v>
      </c>
    </row>
    <row r="7977">
      <c r="A7977" s="4" t="s">
        <v>10026</v>
      </c>
      <c r="B7977" s="4" t="s">
        <v>10033</v>
      </c>
      <c r="C7977" s="5" t="str">
        <f>IFERROR(__xludf.DUMMYFUNCTION("GOOGLETRANSLATE(B7977,""en"",""de"")"),"Wir sehen, dass die Dame einen Gurtohn, den Hund, den Hund gestellt und ihn spazieren gehen, während der Mann zuschaut.")</f>
        <v>Wir sehen, dass die Dame einen Gurtohn, den Hund, den Hund gestellt und ihn spazieren gehen, während der Mann zuschaut.</v>
      </c>
    </row>
    <row r="7978">
      <c r="A7978" s="4" t="s">
        <v>10026</v>
      </c>
      <c r="B7978" s="4" t="s">
        <v>10034</v>
      </c>
      <c r="C7978" s="5" t="str">
        <f>IFERROR(__xludf.DUMMYFUNCTION("GOOGLETRANSLATE(B7978,""en"",""de"")"),"Wir sehen dann den schwarzen Schlussbildschirm.")</f>
        <v>Wir sehen dann den schwarzen Schlussbildschirm.</v>
      </c>
    </row>
    <row r="7979">
      <c r="A7979" s="4" t="s">
        <v>10035</v>
      </c>
      <c r="B7979" s="4" t="s">
        <v>10036</v>
      </c>
      <c r="C7979" s="5" t="str">
        <f>IFERROR(__xludf.DUMMYFUNCTION("GOOGLETRANSLATE(B7979,""en"",""de"")"),"Weibliche Schwimmerin springen bei einem Schwimmtreffen ins Wasser.")</f>
        <v>Weibliche Schwimmerin springen bei einem Schwimmtreffen ins Wasser.</v>
      </c>
    </row>
    <row r="7980">
      <c r="A7980" s="4" t="s">
        <v>10035</v>
      </c>
      <c r="B7980" s="4" t="s">
        <v>10037</v>
      </c>
      <c r="C7980" s="5" t="str">
        <f>IFERROR(__xludf.DUMMYFUNCTION("GOOGLETRANSLATE(B7980,""en"",""de"")"),"Sie rennen schnell die Schwimmspuren hinunter.")</f>
        <v>Sie rennen schnell die Schwimmspuren hinunter.</v>
      </c>
    </row>
    <row r="7981">
      <c r="A7981" s="4" t="s">
        <v>10035</v>
      </c>
      <c r="B7981" s="4" t="s">
        <v>10038</v>
      </c>
      <c r="C7981" s="5" t="str">
        <f>IFERROR(__xludf.DUMMYFUNCTION("GOOGLETRANSLATE(B7981,""en"",""de"")"),"Die Schwimmer gehen wiederholt mit verschiedenen Schwimmtechniken die Schwimmspuren hin und her.")</f>
        <v>Die Schwimmer gehen wiederholt mit verschiedenen Schwimmtechniken die Schwimmspuren hin und her.</v>
      </c>
    </row>
    <row r="7982">
      <c r="A7982" s="4" t="s">
        <v>10039</v>
      </c>
      <c r="B7982" s="4" t="s">
        <v>10040</v>
      </c>
      <c r="C7982" s="5" t="str">
        <f>IFERROR(__xludf.DUMMYFUNCTION("GOOGLETRANSLATE(B7982,""en"",""de"")"),"Es gibt einige Leute in einer Eisbahn in der Innenräume.")</f>
        <v>Es gibt einige Leute in einer Eisbahn in der Innenräume.</v>
      </c>
    </row>
    <row r="7983">
      <c r="A7983" s="4" t="s">
        <v>10039</v>
      </c>
      <c r="B7983" s="4" t="s">
        <v>10041</v>
      </c>
      <c r="C7983" s="5" t="str">
        <f>IFERROR(__xludf.DUMMYFUNCTION("GOOGLETRANSLATE(B7983,""en"",""de"")"),"Es gibt einige Mädchen, die sich mit den Lockenstöcken fertig machen und die Eisbahn vorbereiten, um Curling zu spielen.")</f>
        <v>Es gibt einige Mädchen, die sich mit den Lockenstöcken fertig machen und die Eisbahn vorbereiten, um Curling zu spielen.</v>
      </c>
    </row>
    <row r="7984">
      <c r="A7984" s="4" t="s">
        <v>10039</v>
      </c>
      <c r="B7984" s="4" t="s">
        <v>10042</v>
      </c>
      <c r="C7984" s="5" t="str">
        <f>IFERROR(__xludf.DUMMYFUNCTION("GOOGLETRANSLATE(B7984,""en"",""de"")"),"Zwei Mädchen, die in Black Gear gekleidet sind, spielen das Spiel, als sie mit ihren Lockenstöcken durch die Eisbahn gehen, die den Felsen schieben.")</f>
        <v>Zwei Mädchen, die in Black Gear gekleidet sind, spielen das Spiel, als sie mit ihren Lockenstöcken durch die Eisbahn gehen, die den Felsen schieben.</v>
      </c>
    </row>
    <row r="7985">
      <c r="A7985" s="4" t="s">
        <v>10039</v>
      </c>
      <c r="B7985" s="4" t="s">
        <v>10043</v>
      </c>
      <c r="C7985" s="5" t="str">
        <f>IFERROR(__xludf.DUMMYFUNCTION("GOOGLETRANSLATE(B7985,""en"",""de"")"),"Einer der Spieler gleitet durch den Boden und schiebt den Felsen bis zum Ende der Eisbahn.")</f>
        <v>Einer der Spieler gleitet durch den Boden und schiebt den Felsen bis zum Ende der Eisbahn.</v>
      </c>
    </row>
    <row r="7986">
      <c r="A7986" s="4" t="s">
        <v>10039</v>
      </c>
      <c r="B7986" s="4" t="s">
        <v>10044</v>
      </c>
      <c r="C7986" s="5" t="str">
        <f>IFERROR(__xludf.DUMMYFUNCTION("GOOGLETRANSLATE(B7986,""en"",""de"")"),"Die beiden Spieler spielen weiter, während sie durch die Eisbahn gehen und die Felsen bis zum Ende der Linie schieben.")</f>
        <v>Die beiden Spieler spielen weiter, während sie durch die Eisbahn gehen und die Felsen bis zum Ende der Linie schieben.</v>
      </c>
    </row>
    <row r="7987">
      <c r="A7987" s="4" t="s">
        <v>10039</v>
      </c>
      <c r="B7987" s="4" t="s">
        <v>10045</v>
      </c>
      <c r="C7987" s="5" t="str">
        <f>IFERROR(__xludf.DUMMYFUNCTION("GOOGLETRANSLATE(B7987,""en"",""de"")"),"Zwei weitere Spieler spielen das Spiel, die das Spiel tragen, als sie die Felsen durch die Eisbahn schieben.")</f>
        <v>Zwei weitere Spieler spielen das Spiel, die das Spiel tragen, als sie die Felsen durch die Eisbahn schieben.</v>
      </c>
    </row>
    <row r="7988">
      <c r="A7988" s="4" t="s">
        <v>10046</v>
      </c>
      <c r="B7988" s="4" t="s">
        <v>10047</v>
      </c>
      <c r="C7988" s="5" t="str">
        <f>IFERROR(__xludf.DUMMYFUNCTION("GOOGLETRANSLATE(B7988,""en"",""de"")"),"Die Dame in Black macht ein Frisur -Tutorial und demonstriert eine andere Frau, die neben ihr sitzt.")</f>
        <v>Die Dame in Black macht ein Frisur -Tutorial und demonstriert eine andere Frau, die neben ihr sitzt.</v>
      </c>
    </row>
    <row r="7989">
      <c r="A7989" s="4" t="s">
        <v>10046</v>
      </c>
      <c r="B7989" s="4" t="s">
        <v>10048</v>
      </c>
      <c r="C7989" s="5" t="str">
        <f>IFERROR(__xludf.DUMMYFUNCTION("GOOGLETRANSLATE(B7989,""en"",""de"")"),"Sie zeigt das Haarspray, das sie auf dem Modell verwendet hat.")</f>
        <v>Sie zeigt das Haarspray, das sie auf dem Modell verwendet hat.</v>
      </c>
    </row>
    <row r="7990">
      <c r="A7990" s="4" t="s">
        <v>10046</v>
      </c>
      <c r="B7990" s="4" t="s">
        <v>10049</v>
      </c>
      <c r="C7990" s="5" t="str">
        <f>IFERROR(__xludf.DUMMYFUNCTION("GOOGLETRANSLATE(B7990,""en"",""de"")"),"Sie verwendet das Haarspray am Haar des Modells und sprüht es.")</f>
        <v>Sie verwendet das Haarspray am Haar des Modells und sprüht es.</v>
      </c>
    </row>
    <row r="7991">
      <c r="A7991" s="4" t="s">
        <v>10046</v>
      </c>
      <c r="B7991" s="4" t="s">
        <v>10050</v>
      </c>
      <c r="C7991" s="5" t="str">
        <f>IFERROR(__xludf.DUMMYFUNCTION("GOOGLETRANSLATE(B7991,""en"",""de"")"),"Sie nimmt dann eine Schere und schneidet das Gummiband aus und sprüht ihr Haar erneut.")</f>
        <v>Sie nimmt dann eine Schere und schneidet das Gummiband aus und sprüht ihr Haar erneut.</v>
      </c>
    </row>
    <row r="7992">
      <c r="A7992" s="4" t="s">
        <v>10046</v>
      </c>
      <c r="B7992" s="4" t="s">
        <v>10051</v>
      </c>
      <c r="C7992" s="5" t="str">
        <f>IFERROR(__xludf.DUMMYFUNCTION("GOOGLETRANSLATE(B7992,""en"",""de"")"),"Sie zieht ihren Geflecht auseinander und reibt sich die Finger darüber.")</f>
        <v>Sie zieht ihren Geflecht auseinander und reibt sich die Finger darüber.</v>
      </c>
    </row>
    <row r="7993">
      <c r="A7993" s="4" t="s">
        <v>10046</v>
      </c>
      <c r="B7993" s="4" t="s">
        <v>10052</v>
      </c>
      <c r="C7993" s="5" t="str">
        <f>IFERROR(__xludf.DUMMYFUNCTION("GOOGLETRANSLATE(B7993,""en"",""de"")"),"Dann dreht sie das Geflecht und steckt es auf dem Kopf des Model.")</f>
        <v>Dann dreht sie das Geflecht und steckt es auf dem Kopf des Model.</v>
      </c>
    </row>
    <row r="7994">
      <c r="A7994" s="4" t="s">
        <v>10046</v>
      </c>
      <c r="B7994" s="4" t="s">
        <v>10053</v>
      </c>
      <c r="C7994" s="5" t="str">
        <f>IFERROR(__xludf.DUMMYFUNCTION("GOOGLETRANSLATE(B7994,""en"",""de"")"),"Sie dreht es erneut und zieht es fest und sichert es mit einer Stecknadel wieder.")</f>
        <v>Sie dreht es erneut und zieht es fest und sichert es mit einer Stecknadel wieder.</v>
      </c>
    </row>
    <row r="7995">
      <c r="A7995" s="4" t="s">
        <v>10046</v>
      </c>
      <c r="B7995" s="4" t="s">
        <v>10054</v>
      </c>
      <c r="C7995" s="5" t="str">
        <f>IFERROR(__xludf.DUMMYFUNCTION("GOOGLETRANSLATE(B7995,""en"",""de"")"),"Sie macht auch ein Brötchen aus dem Geflecht, um die Frisur zu vervollständigen.")</f>
        <v>Sie macht auch ein Brötchen aus dem Geflecht, um die Frisur zu vervollständigen.</v>
      </c>
    </row>
    <row r="7996">
      <c r="A7996" s="4" t="s">
        <v>10046</v>
      </c>
      <c r="B7996" s="4" t="s">
        <v>10055</v>
      </c>
      <c r="C7996" s="5" t="str">
        <f>IFERROR(__xludf.DUMMYFUNCTION("GOOGLETRANSLATE(B7996,""en"",""de"")"),"Sie zeigt die Haarspray -Flasche erneut, die sie auf dem Modell verwendet hat.")</f>
        <v>Sie zeigt die Haarspray -Flasche erneut, die sie auf dem Modell verwendet hat.</v>
      </c>
    </row>
    <row r="7997">
      <c r="A7997" s="4" t="s">
        <v>10056</v>
      </c>
      <c r="B7997" s="4" t="s">
        <v>10057</v>
      </c>
      <c r="C7997" s="5" t="str">
        <f>IFERROR(__xludf.DUMMYFUNCTION("GOOGLETRANSLATE(B7997,""en"",""de"")"),"Ein Mann und eine Frau stehen in einem starken weißen Raum.")</f>
        <v>Ein Mann und eine Frau stehen in einem starken weißen Raum.</v>
      </c>
    </row>
    <row r="7998">
      <c r="A7998" s="4" t="s">
        <v>10056</v>
      </c>
      <c r="B7998" s="4" t="s">
        <v>10058</v>
      </c>
      <c r="C7998" s="5" t="str">
        <f>IFERROR(__xludf.DUMMYFUNCTION("GOOGLETRANSLATE(B7998,""en"",""de"")"),"Sie legen Plastik auf den Boden und füllen eine Wanne mit weißer Farbe.")</f>
        <v>Sie legen Plastik auf den Boden und füllen eine Wanne mit weißer Farbe.</v>
      </c>
    </row>
    <row r="7999">
      <c r="A7999" s="4" t="s">
        <v>10056</v>
      </c>
      <c r="B7999" s="4" t="s">
        <v>10059</v>
      </c>
      <c r="C7999" s="5" t="str">
        <f>IFERROR(__xludf.DUMMYFUNCTION("GOOGLETRANSLATE(B7999,""en"",""de"")"),"Sie zeigen dann, wie man einen Tapetenstreifen an die Wand hängt.")</f>
        <v>Sie zeigen dann, wie man einen Tapetenstreifen an die Wand hängt.</v>
      </c>
    </row>
    <row r="8000">
      <c r="A8000" s="4" t="s">
        <v>10060</v>
      </c>
      <c r="B8000" s="4" t="s">
        <v>10061</v>
      </c>
      <c r="C8000" s="5" t="str">
        <f>IFERROR(__xludf.DUMMYFUNCTION("GOOGLETRANSLATE(B8000,""en"",""de"")"),"Ein Mann praktiziert seine Funkfunktionen, gefolgt von ihm, wie er das Spiel gegen eine andere Person spielt.")</f>
        <v>Ein Mann praktiziert seine Funkfunktionen, gefolgt von ihm, wie er das Spiel gegen eine andere Person spielt.</v>
      </c>
    </row>
    <row r="8001">
      <c r="A8001" s="4" t="s">
        <v>10060</v>
      </c>
      <c r="B8001" s="4" t="s">
        <v>10062</v>
      </c>
      <c r="C8001" s="5" t="str">
        <f>IFERROR(__xludf.DUMMYFUNCTION("GOOGLETRANSLATE(B8001,""en"",""de"")"),"Ein Mann schaut nebenbei an, während die Männer weiter mit mehr Menschen spielen, die anhalten, um zuzusehen.")</f>
        <v>Ein Mann schaut nebenbei an, während die Männer weiter mit mehr Menschen spielen, die anhalten, um zuzusehen.</v>
      </c>
    </row>
    <row r="8002">
      <c r="A8002" s="4" t="s">
        <v>10063</v>
      </c>
      <c r="B8002" s="4" t="s">
        <v>10064</v>
      </c>
      <c r="C8002" s="5" t="str">
        <f>IFERROR(__xludf.DUMMYFUNCTION("GOOGLETRANSLATE(B8002,""en"",""de"")"),"Eine Frau im Bikini steht in einem Raum.")</f>
        <v>Eine Frau im Bikini steht in einem Raum.</v>
      </c>
    </row>
    <row r="8003">
      <c r="A8003" s="4" t="s">
        <v>10063</v>
      </c>
      <c r="B8003" s="4" t="s">
        <v>10065</v>
      </c>
      <c r="C8003" s="5" t="str">
        <f>IFERROR(__xludf.DUMMYFUNCTION("GOOGLETRANSLATE(B8003,""en"",""de"")"),"Sie beginnt Hula Hoop mit einem beleuchteten Hula -Hoop.")</f>
        <v>Sie beginnt Hula Hoop mit einem beleuchteten Hula -Hoop.</v>
      </c>
    </row>
    <row r="8004">
      <c r="A8004" s="4" t="s">
        <v>10063</v>
      </c>
      <c r="B8004" s="4" t="s">
        <v>10066</v>
      </c>
      <c r="C8004" s="5" t="str">
        <f>IFERROR(__xludf.DUMMYFUNCTION("GOOGLETRANSLATE(B8004,""en"",""de"")"),"Der Hula Hoop sitzt neben einem Hemd.")</f>
        <v>Der Hula Hoop sitzt neben einem Hemd.</v>
      </c>
    </row>
    <row r="8005">
      <c r="A8005" s="4" t="s">
        <v>10067</v>
      </c>
      <c r="B8005" s="4" t="s">
        <v>10068</v>
      </c>
      <c r="C8005" s="5" t="str">
        <f>IFERROR(__xludf.DUMMYFUNCTION("GOOGLETRANSLATE(B8005,""en"",""de"")"),"Eine Person geht in den Rahmen, um ein Werkzeug zu halten und einen Baum auf und ab zu schneiden.")</f>
        <v>Eine Person geht in den Rahmen, um ein Werkzeug zu halten und einen Baum auf und ab zu schneiden.</v>
      </c>
    </row>
    <row r="8006">
      <c r="A8006" s="4" t="s">
        <v>10067</v>
      </c>
      <c r="B8006" s="4" t="s">
        <v>10069</v>
      </c>
      <c r="C8006" s="5" t="str">
        <f>IFERROR(__xludf.DUMMYFUNCTION("GOOGLETRANSLATE(B8006,""en"",""de"")"),"Die Person nutzt das Werkzeug am Baum weiter und verwendet eine kleine, um die Seiten zu beenden und am Ende einen kleinen Baum zu präsentieren.")</f>
        <v>Die Person nutzt das Werkzeug am Baum weiter und verwendet eine kleine, um die Seiten zu beenden und am Ende einen kleinen Baum zu präsentieren.</v>
      </c>
    </row>
    <row r="8007">
      <c r="A8007" s="4" t="s">
        <v>10070</v>
      </c>
      <c r="B8007" s="4" t="s">
        <v>10071</v>
      </c>
      <c r="C8007" s="5" t="str">
        <f>IFERROR(__xludf.DUMMYFUNCTION("GOOGLETRANSLATE(B8007,""en"",""de"")"),"Eine Frau steht vor einem Bügelbrett, während er redet.")</f>
        <v>Eine Frau steht vor einem Bügelbrett, während er redet.</v>
      </c>
    </row>
    <row r="8008">
      <c r="A8008" s="4" t="s">
        <v>10070</v>
      </c>
      <c r="B8008" s="4" t="s">
        <v>10072</v>
      </c>
      <c r="C8008" s="5" t="str">
        <f>IFERROR(__xludf.DUMMYFUNCTION("GOOGLETRANSLATE(B8008,""en"",""de"")"),"Sie zeigt ein weißes Hemd, das sie mit etwas in einer Dose sprüht.")</f>
        <v>Sie zeigt ein weißes Hemd, das sie mit etwas in einer Dose sprüht.</v>
      </c>
    </row>
    <row r="8009">
      <c r="A8009" s="4" t="s">
        <v>10070</v>
      </c>
      <c r="B8009" s="4" t="s">
        <v>10073</v>
      </c>
      <c r="C8009" s="5" t="str">
        <f>IFERROR(__xludf.DUMMYFUNCTION("GOOGLETRANSLATE(B8009,""en"",""de"")"),"Sie arrangiert das Hemd auf dem Bügelbrett und beginnt dann das Hemd zu bügeln.")</f>
        <v>Sie arrangiert das Hemd auf dem Bügelbrett und beginnt dann das Hemd zu bügeln.</v>
      </c>
    </row>
    <row r="8010">
      <c r="A8010" s="4" t="s">
        <v>10070</v>
      </c>
      <c r="B8010" s="4" t="s">
        <v>10074</v>
      </c>
      <c r="C8010" s="5" t="str">
        <f>IFERROR(__xludf.DUMMYFUNCTION("GOOGLETRANSLATE(B8010,""en"",""de"")"),"Nachdem sie das Hemd betäubt, geht der Bildschirm auf eine Werbung für Expertendorf.")</f>
        <v>Nachdem sie das Hemd betäubt, geht der Bildschirm auf eine Werbung für Expertendorf.</v>
      </c>
    </row>
    <row r="8011">
      <c r="A8011" s="4" t="s">
        <v>10075</v>
      </c>
      <c r="B8011" s="4" t="s">
        <v>10076</v>
      </c>
      <c r="C8011" s="5" t="str">
        <f>IFERROR(__xludf.DUMMYFUNCTION("GOOGLETRANSLATE(B8011,""en"",""de"")"),"Zwei Frauen sind im Carwash.")</f>
        <v>Zwei Frauen sind im Carwash.</v>
      </c>
    </row>
    <row r="8012">
      <c r="A8012" s="4" t="s">
        <v>10075</v>
      </c>
      <c r="B8012" s="4" t="s">
        <v>10077</v>
      </c>
      <c r="C8012" s="5" t="str">
        <f>IFERROR(__xludf.DUMMYFUNCTION("GOOGLETRANSLATE(B8012,""en"",""de"")"),"Ein Auto ist mit Seifenschaum bedeckt.")</f>
        <v>Ein Auto ist mit Seifenschaum bedeckt.</v>
      </c>
    </row>
    <row r="8013">
      <c r="A8013" s="4" t="s">
        <v>10075</v>
      </c>
      <c r="B8013" s="4" t="s">
        <v>10078</v>
      </c>
      <c r="C8013" s="5" t="str">
        <f>IFERROR(__xludf.DUMMYFUNCTION("GOOGLETRANSLATE(B8013,""en"",""de"")"),"Die Frauen beginnen mit einem Wasserschlauch, um die Seife abzuräumen.")</f>
        <v>Die Frauen beginnen mit einem Wasserschlauch, um die Seife abzuräumen.</v>
      </c>
    </row>
    <row r="8014">
      <c r="A8014" s="4" t="s">
        <v>10075</v>
      </c>
      <c r="B8014" s="4" t="s">
        <v>10079</v>
      </c>
      <c r="C8014" s="5" t="str">
        <f>IFERROR(__xludf.DUMMYFUNCTION("GOOGLETRANSLATE(B8014,""en"",""de"")"),"Sie arbeiten den Schlauch und bürsten über das gesamte Auto.")</f>
        <v>Sie arbeiten den Schlauch und bürsten über das gesamte Auto.</v>
      </c>
    </row>
    <row r="8015">
      <c r="A8015" s="4" t="s">
        <v>10075</v>
      </c>
      <c r="B8015" s="4" t="s">
        <v>10080</v>
      </c>
      <c r="C8015" s="5" t="str">
        <f>IFERROR(__xludf.DUMMYFUNCTION("GOOGLETRANSLATE(B8015,""en"",""de"")"),"Sie beenden es ab.")</f>
        <v>Sie beenden es ab.</v>
      </c>
    </row>
    <row r="8016">
      <c r="A8016" s="4" t="s">
        <v>10081</v>
      </c>
      <c r="B8016" s="4" t="s">
        <v>10082</v>
      </c>
      <c r="C8016" s="5" t="str">
        <f>IFERROR(__xludf.DUMMYFUNCTION("GOOGLETRANSLATE(B8016,""en"",""de"")"),"Ein junger Mann bereitet sich darauf vor, eine Routine an den parallelen Balken zu vervollständigen.")</f>
        <v>Ein junger Mann bereitet sich darauf vor, eine Routine an den parallelen Balken zu vervollständigen.</v>
      </c>
    </row>
    <row r="8017">
      <c r="A8017" s="4" t="s">
        <v>10081</v>
      </c>
      <c r="B8017" s="4" t="s">
        <v>10083</v>
      </c>
      <c r="C8017" s="5" t="str">
        <f>IFERROR(__xludf.DUMMYFUNCTION("GOOGLETRANSLATE(B8017,""en"",""de"")"),"Viele Menschen sind im Hintergrund in Tribünen, sitzen und zuschauen.")</f>
        <v>Viele Menschen sind im Hintergrund in Tribünen, sitzen und zuschauen.</v>
      </c>
    </row>
    <row r="8018">
      <c r="A8018" s="4" t="s">
        <v>10081</v>
      </c>
      <c r="B8018" s="4" t="s">
        <v>10084</v>
      </c>
      <c r="C8018" s="5" t="str">
        <f>IFERROR(__xludf.DUMMYFUNCTION("GOOGLETRANSLATE(B8018,""en"",""de"")"),"Der junge Mann benutzt ein Frühlingsbrett, um die Bars zu montieren.")</f>
        <v>Der junge Mann benutzt ein Frühlingsbrett, um die Bars zu montieren.</v>
      </c>
    </row>
    <row r="8019">
      <c r="A8019" s="4" t="s">
        <v>10081</v>
      </c>
      <c r="B8019" s="4" t="s">
        <v>10085</v>
      </c>
      <c r="C8019" s="5" t="str">
        <f>IFERROR(__xludf.DUMMYFUNCTION("GOOGLETRANSLATE(B8019,""en"",""de"")"),"Ein Mann, der in der Nähe steht, zieht das Frühlingsbrett aus dem Weg.")</f>
        <v>Ein Mann, der in der Nähe steht, zieht das Frühlingsbrett aus dem Weg.</v>
      </c>
    </row>
    <row r="8020">
      <c r="A8020" s="4" t="s">
        <v>10081</v>
      </c>
      <c r="B8020" s="4" t="s">
        <v>10086</v>
      </c>
      <c r="C8020" s="5" t="str">
        <f>IFERROR(__xludf.DUMMYFUNCTION("GOOGLETRANSLATE(B8020,""en"",""de"")"),"Mehrere Richter sitzen an einem Tisch vor den Tribünen.")</f>
        <v>Mehrere Richter sitzen an einem Tisch vor den Tribünen.</v>
      </c>
    </row>
    <row r="8021">
      <c r="A8021" s="4" t="s">
        <v>10081</v>
      </c>
      <c r="B8021" s="4" t="s">
        <v>10087</v>
      </c>
      <c r="C8021" s="5" t="str">
        <f>IFERROR(__xludf.DUMMYFUNCTION("GOOGLETRANSLATE(B8021,""en"",""de"")"),"Der junge Mann vervollständigt seine Parallel -Bar -Routine.")</f>
        <v>Der junge Mann vervollständigt seine Parallel -Bar -Routine.</v>
      </c>
    </row>
    <row r="8022">
      <c r="A8022" s="4" t="s">
        <v>10081</v>
      </c>
      <c r="B8022" s="4" t="s">
        <v>10088</v>
      </c>
      <c r="C8022" s="5" t="str">
        <f>IFERROR(__xludf.DUMMYFUNCTION("GOOGLETRANSLATE(B8022,""en"",""de"")"),"Der junge Mann steigt dann ab, landet und schleifen.")</f>
        <v>Der junge Mann steigt dann ab, landet und schleifen.</v>
      </c>
    </row>
    <row r="8023">
      <c r="A8023" s="4" t="s">
        <v>10081</v>
      </c>
      <c r="B8023" s="4" t="s">
        <v>10089</v>
      </c>
      <c r="C8023" s="5" t="str">
        <f>IFERROR(__xludf.DUMMYFUNCTION("GOOGLETRANSLATE(B8023,""en"",""de"")"),"Er geht weg, als ein anderer Mann in derselben Uniform nähert.")</f>
        <v>Er geht weg, als ein anderer Mann in derselben Uniform nähert.</v>
      </c>
    </row>
    <row r="8024">
      <c r="A8024" s="4" t="s">
        <v>10090</v>
      </c>
      <c r="B8024" s="4" t="s">
        <v>10091</v>
      </c>
      <c r="C8024" s="5" t="str">
        <f>IFERROR(__xludf.DUMMYFUNCTION("GOOGLETRANSLATE(B8024,""en"",""de"")"),"Eine Nahaufnahme eines Baumstammes ist zu sehen und eine Person, die eine Axt auf und ab schwingt.")</f>
        <v>Eine Nahaufnahme eines Baumstammes ist zu sehen und eine Person, die eine Axt auf und ab schwingt.</v>
      </c>
    </row>
    <row r="8025">
      <c r="A8025" s="4" t="s">
        <v>10090</v>
      </c>
      <c r="B8025" s="4" t="s">
        <v>10092</v>
      </c>
      <c r="C8025" s="5" t="str">
        <f>IFERROR(__xludf.DUMMYFUNCTION("GOOGLETRANSLATE(B8025,""en"",""de"")"),"Die Person schwingt die Axt gegen den Hund und schneidet sie in zwei Hälften.")</f>
        <v>Die Person schwingt die Axt gegen den Hund und schneidet sie in zwei Hälften.</v>
      </c>
    </row>
    <row r="8026">
      <c r="A8026" s="4" t="s">
        <v>10090</v>
      </c>
      <c r="B8026" s="4" t="s">
        <v>10093</v>
      </c>
      <c r="C8026" s="5" t="str">
        <f>IFERROR(__xludf.DUMMYFUNCTION("GOOGLETRANSLATE(B8026,""en"",""de"")"),"Die Person führt dies noch einmal durch.")</f>
        <v>Die Person führt dies noch einmal durch.</v>
      </c>
    </row>
    <row r="8027">
      <c r="A8027" s="4" t="s">
        <v>10094</v>
      </c>
      <c r="B8027" s="4" t="s">
        <v>10095</v>
      </c>
      <c r="C8027" s="5" t="str">
        <f>IFERROR(__xludf.DUMMYFUNCTION("GOOGLETRANSLATE(B8027,""en"",""de"")"),"Verschiedene Menschen werden mit Hilfe und Übergängen in mehreren Aufnahmen von Menschen gesehen, die anstrengende Aufgaben ausführen.")</f>
        <v>Verschiedene Menschen werden mit Hilfe und Übergängen in mehreren Aufnahmen von Menschen gesehen, die anstrengende Aufgaben ausführen.</v>
      </c>
    </row>
    <row r="8028">
      <c r="A8028" s="4" t="s">
        <v>10094</v>
      </c>
      <c r="B8028" s="4" t="s">
        <v>10096</v>
      </c>
      <c r="C8028" s="5" t="str">
        <f>IFERROR(__xludf.DUMMYFUNCTION("GOOGLETRANSLATE(B8028,""en"",""de"")"),"Ein Mann steigt an eine Wand und macht Push -Ups, während ein anderer von der Kamera interviewt wird und mehrere Leute eine Wand klettern.")</f>
        <v>Ein Mann steigt an eine Wand und macht Push -Ups, während ein anderer von der Kamera interviewt wird und mehrere Leute eine Wand klettern.</v>
      </c>
    </row>
    <row r="8029">
      <c r="A8029" s="4" t="s">
        <v>10094</v>
      </c>
      <c r="B8029" s="4" t="s">
        <v>10097</v>
      </c>
      <c r="C8029" s="5" t="str">
        <f>IFERROR(__xludf.DUMMYFUNCTION("GOOGLETRANSLATE(B8029,""en"",""de"")"),"Weitere Aufnahmen der Menschen, die trainieren, werden ebenso gezeigt, wie Felswände und mehrere Liegestütze.")</f>
        <v>Weitere Aufnahmen der Menschen, die trainieren, werden ebenso gezeigt, wie Felswände und mehrere Liegestütze.</v>
      </c>
    </row>
    <row r="8030">
      <c r="A8030" s="4" t="s">
        <v>10098</v>
      </c>
      <c r="B8030" s="4" t="s">
        <v>10099</v>
      </c>
      <c r="C8030" s="5" t="str">
        <f>IFERROR(__xludf.DUMMYFUNCTION("GOOGLETRANSLATE(B8030,""en"",""de"")"),"Ein Mann, der ein weißes Hemd und ein Froschmuster mit Kopfbedeckung trägt, berührt seine Brustwarzen, während er einen Rekorder hält.")</f>
        <v>Ein Mann, der ein weißes Hemd und ein Froschmuster mit Kopfbedeckung trägt, berührt seine Brustwarzen, während er einen Rekorder hält.</v>
      </c>
    </row>
    <row r="8031">
      <c r="A8031" s="4" t="s">
        <v>10098</v>
      </c>
      <c r="B8031" s="4" t="s">
        <v>10100</v>
      </c>
      <c r="C8031" s="5" t="str">
        <f>IFERROR(__xludf.DUMMYFUNCTION("GOOGLETRANSLATE(B8031,""en"",""de"")"),"Der Mann bringt den Rekorder zu seinem rechten Nasenloch.")</f>
        <v>Der Mann bringt den Rekorder zu seinem rechten Nasenloch.</v>
      </c>
    </row>
    <row r="8032">
      <c r="A8032" s="4" t="s">
        <v>10098</v>
      </c>
      <c r="B8032" s="4" t="s">
        <v>10101</v>
      </c>
      <c r="C8032" s="5" t="str">
        <f>IFERROR(__xludf.DUMMYFUNCTION("GOOGLETRANSLATE(B8032,""en"",""de"")"),"Der Mann beginnt den Rekorder zu spielen.")</f>
        <v>Der Mann beginnt den Rekorder zu spielen.</v>
      </c>
    </row>
    <row r="8033">
      <c r="A8033" s="4" t="s">
        <v>10098</v>
      </c>
      <c r="B8033" s="4" t="s">
        <v>10102</v>
      </c>
      <c r="C8033" s="5" t="str">
        <f>IFERROR(__xludf.DUMMYFUNCTION("GOOGLETRANSLATE(B8033,""en"",""de"")"),"Die Szene schneidet den Mann, nachdem er gespielt und beendet hat, während er seine Brustwarzen berührt.")</f>
        <v>Die Szene schneidet den Mann, nachdem er gespielt und beendet hat, während er seine Brustwarzen berührt.</v>
      </c>
    </row>
    <row r="8034">
      <c r="A8034" s="4" t="s">
        <v>10103</v>
      </c>
      <c r="B8034" s="4" t="s">
        <v>10104</v>
      </c>
      <c r="C8034" s="5" t="str">
        <f>IFERROR(__xludf.DUMMYFUNCTION("GOOGLETRANSLATE(B8034,""en"",""de"")"),"Die Leute spielen Billard in einem Raum.")</f>
        <v>Die Leute spielen Billard in einem Raum.</v>
      </c>
    </row>
    <row r="8035">
      <c r="A8035" s="4" t="s">
        <v>10103</v>
      </c>
      <c r="B8035" s="4" t="s">
        <v>10105</v>
      </c>
      <c r="C8035" s="5" t="str">
        <f>IFERROR(__xludf.DUMMYFUNCTION("GOOGLETRANSLATE(B8035,""en"",""de"")"),"Ein Mann schießt auf den Ball und schafft es in die Tasche.")</f>
        <v>Ein Mann schießt auf den Ball und schafft es in die Tasche.</v>
      </c>
    </row>
    <row r="8036">
      <c r="A8036" s="4" t="s">
        <v>10103</v>
      </c>
      <c r="B8036" s="4" t="s">
        <v>10106</v>
      </c>
      <c r="C8036" s="5" t="str">
        <f>IFERROR(__xludf.DUMMYFUNCTION("GOOGLETRANSLATE(B8036,""en"",""de"")"),"Die Leute stehen hinter ihm und spielen Pool auf einem anderen Tisch.")</f>
        <v>Die Leute stehen hinter ihm und spielen Pool auf einem anderen Tisch.</v>
      </c>
    </row>
    <row r="8037">
      <c r="A8037" s="4" t="s">
        <v>10107</v>
      </c>
      <c r="B8037" s="4" t="s">
        <v>10108</v>
      </c>
      <c r="C8037" s="5" t="str">
        <f>IFERROR(__xludf.DUMMYFUNCTION("GOOGLETRANSLATE(B8037,""en"",""de"")"),"Wir sehen, wie die Titelkarte verblasst.")</f>
        <v>Wir sehen, wie die Titelkarte verblasst.</v>
      </c>
    </row>
    <row r="8038">
      <c r="A8038" s="4" t="s">
        <v>10107</v>
      </c>
      <c r="B8038" s="4" t="s">
        <v>10109</v>
      </c>
      <c r="C8038" s="5" t="str">
        <f>IFERROR(__xludf.DUMMYFUNCTION("GOOGLETRANSLATE(B8038,""en"",""de"")"),"Wir sehen zwei Kinder auf einem Kamel in einem Karneval.")</f>
        <v>Wir sehen zwei Kinder auf einem Kamel in einem Karneval.</v>
      </c>
    </row>
    <row r="8039">
      <c r="A8039" s="4" t="s">
        <v>10107</v>
      </c>
      <c r="B8039" s="4" t="s">
        <v>10110</v>
      </c>
      <c r="C8039" s="5" t="str">
        <f>IFERROR(__xludf.DUMMYFUNCTION("GOOGLETRANSLATE(B8039,""en"",""de"")"),"Der Mann führt das Kamel aus dem Stift, als er eine Zigarette raucht.")</f>
        <v>Der Mann führt das Kamel aus dem Stift, als er eine Zigarette raucht.</v>
      </c>
    </row>
    <row r="8040">
      <c r="A8040" s="4" t="s">
        <v>10107</v>
      </c>
      <c r="B8040" s="4" t="s">
        <v>10111</v>
      </c>
      <c r="C8040" s="5" t="str">
        <f>IFERROR(__xludf.DUMMYFUNCTION("GOOGLETRANSLATE(B8040,""en"",""de"")"),"Sie passieren den Streichelzoo.")</f>
        <v>Sie passieren den Streichelzoo.</v>
      </c>
    </row>
    <row r="8041">
      <c r="A8041" s="4" t="s">
        <v>10107</v>
      </c>
      <c r="B8041" s="4" t="s">
        <v>10112</v>
      </c>
      <c r="C8041" s="5" t="str">
        <f>IFERROR(__xludf.DUMMYFUNCTION("GOOGLETRANSLATE(B8041,""en"",""de"")"),"Wir sehen, wie die Mutter Fotos von den Kindern macht.")</f>
        <v>Wir sehen, wie die Mutter Fotos von den Kindern macht.</v>
      </c>
    </row>
    <row r="8042">
      <c r="A8042" s="4" t="s">
        <v>10107</v>
      </c>
      <c r="B8042" s="4" t="s">
        <v>10113</v>
      </c>
      <c r="C8042" s="5" t="str">
        <f>IFERROR(__xludf.DUMMYFUNCTION("GOOGLETRANSLATE(B8042,""en"",""de"")"),"Die Endkarte wird angezeigt.")</f>
        <v>Die Endkarte wird angezeigt.</v>
      </c>
    </row>
    <row r="8043">
      <c r="A8043" s="4" t="s">
        <v>10114</v>
      </c>
      <c r="B8043" s="4" t="s">
        <v>10115</v>
      </c>
      <c r="C8043" s="5" t="str">
        <f>IFERROR(__xludf.DUMMYFUNCTION("GOOGLETRANSLATE(B8043,""en"",""de"")"),"Es gibt einen Mann, der mit zwei anderen Männern im Raum ist, und er hebt ein Wiegen, das über 400 Pfund wiegt.")</f>
        <v>Es gibt einen Mann, der mit zwei anderen Männern im Raum ist, und er hebt ein Wiegen, das über 400 Pfund wiegt.</v>
      </c>
    </row>
    <row r="8044">
      <c r="A8044" s="4" t="s">
        <v>10114</v>
      </c>
      <c r="B8044" s="4" t="s">
        <v>10116</v>
      </c>
      <c r="C8044" s="5" t="str">
        <f>IFERROR(__xludf.DUMMYFUNCTION("GOOGLETRANSLATE(B8044,""en"",""de"")"),"Als nächstes hebt er ein Gewicht, das schwerer ist als das letzte.")</f>
        <v>Als nächstes hebt er ein Gewicht, das schwerer ist als das letzte.</v>
      </c>
    </row>
    <row r="8045">
      <c r="A8045" s="4" t="s">
        <v>10114</v>
      </c>
      <c r="B8045" s="4" t="s">
        <v>10117</v>
      </c>
      <c r="C8045" s="5" t="str">
        <f>IFERROR(__xludf.DUMMYFUNCTION("GOOGLETRANSLATE(B8045,""en"",""de"")"),"Er bekommt einen Händedruck und eine Umarmung eines älteren Mannes.")</f>
        <v>Er bekommt einen Händedruck und eine Umarmung eines älteren Mannes.</v>
      </c>
    </row>
    <row r="8046">
      <c r="A8046" s="4" t="s">
        <v>10114</v>
      </c>
      <c r="B8046" s="4" t="s">
        <v>10118</v>
      </c>
      <c r="C8046" s="5" t="str">
        <f>IFERROR(__xludf.DUMMYFUNCTION("GOOGLETRANSLATE(B8046,""en"",""de"")"),"Dann gibt ihm jemand Geld und jemand anderes, der auf einem Stuhl sitzt, gibt ihm ein Hochfive.")</f>
        <v>Dann gibt ihm jemand Geld und jemand anderes, der auf einem Stuhl sitzt, gibt ihm ein Hochfive.</v>
      </c>
    </row>
    <row r="8047">
      <c r="A8047" s="4" t="s">
        <v>10119</v>
      </c>
      <c r="B8047" s="4" t="s">
        <v>10120</v>
      </c>
      <c r="C8047" s="5" t="str">
        <f>IFERROR(__xludf.DUMMYFUNCTION("GOOGLETRANSLATE(B8047,""en"",""de"")"),"Eine Gruppe von Kindern spielt auf Spielgeräten, die von den Eltern beobachtet werden.")</f>
        <v>Eine Gruppe von Kindern spielt auf Spielgeräten, die von den Eltern beobachtet werden.</v>
      </c>
    </row>
    <row r="8048">
      <c r="A8048" s="4" t="s">
        <v>10119</v>
      </c>
      <c r="B8048" s="4" t="s">
        <v>10121</v>
      </c>
      <c r="C8048" s="5" t="str">
        <f>IFERROR(__xludf.DUMMYFUNCTION("GOOGLETRANSLATE(B8048,""en"",""de"")"),"Ein Kind schwingt über die Affenbars.")</f>
        <v>Ein Kind schwingt über die Affenbars.</v>
      </c>
    </row>
    <row r="8049">
      <c r="A8049" s="4" t="s">
        <v>10119</v>
      </c>
      <c r="B8049" s="4" t="s">
        <v>10122</v>
      </c>
      <c r="C8049" s="5" t="str">
        <f>IFERROR(__xludf.DUMMYFUNCTION("GOOGLETRANSLATE(B8049,""en"",""de"")"),"Das Kind kommt auf die anderen Seitenbögen und rennt zurück zu den Affenstangen, die springen und lachen.")</f>
        <v>Das Kind kommt auf die anderen Seitenbögen und rennt zurück zu den Affenstangen, die springen und lachen.</v>
      </c>
    </row>
    <row r="8050">
      <c r="A8050" s="4" t="s">
        <v>10119</v>
      </c>
      <c r="B8050" s="4" t="s">
        <v>10123</v>
      </c>
      <c r="C8050" s="5" t="str">
        <f>IFERROR(__xludf.DUMMYFUNCTION("GOOGLETRANSLATE(B8050,""en"",""de"")"),"Das Kind springt glücklich herum und fällt runter, steigt aber gleich wieder auf.")</f>
        <v>Das Kind springt glücklich herum und fällt runter, steigt aber gleich wieder auf.</v>
      </c>
    </row>
    <row r="8051">
      <c r="A8051" s="4" t="s">
        <v>10124</v>
      </c>
      <c r="B8051" s="4" t="s">
        <v>10125</v>
      </c>
      <c r="C8051" s="5" t="str">
        <f>IFERROR(__xludf.DUMMYFUNCTION("GOOGLETRANSLATE(B8051,""en"",""de"")"),"Eine Frau wird in einer Anzeige auf einem elliptischen Trainer gesehen.")</f>
        <v>Eine Frau wird in einer Anzeige auf einem elliptischen Trainer gesehen.</v>
      </c>
    </row>
    <row r="8052">
      <c r="A8052" s="4" t="s">
        <v>10124</v>
      </c>
      <c r="B8052" s="4" t="s">
        <v>10126</v>
      </c>
      <c r="C8052" s="5" t="str">
        <f>IFERROR(__xludf.DUMMYFUNCTION("GOOGLETRANSLATE(B8052,""en"",""de"")"),"Anschließend sehen wir die verschiedenen Komponenten und Optionen für die Verwendung der Maschine.")</f>
        <v>Anschließend sehen wir die verschiedenen Komponenten und Optionen für die Verwendung der Maschine.</v>
      </c>
    </row>
    <row r="8053">
      <c r="A8053" s="4" t="s">
        <v>10124</v>
      </c>
      <c r="B8053" s="4" t="s">
        <v>10127</v>
      </c>
      <c r="C8053" s="5" t="str">
        <f>IFERROR(__xludf.DUMMYFUNCTION("GOOGLETRANSLATE(B8053,""en"",""de"")"),"Eine Frau scrollt durch einen digitalen Bildschirm und fährt dann mit dem Elliptik.")</f>
        <v>Eine Frau scrollt durch einen digitalen Bildschirm und fährt dann mit dem Elliptik.</v>
      </c>
    </row>
    <row r="8054">
      <c r="A8054" s="4" t="s">
        <v>10128</v>
      </c>
      <c r="B8054" s="4" t="s">
        <v>10129</v>
      </c>
      <c r="C8054" s="5" t="str">
        <f>IFERROR(__xludf.DUMMYFUNCTION("GOOGLETRANSLATE(B8054,""en"",""de"")"),"Ein Mann erledigt verschiedene Aufgaben, während er Crunches macht.")</f>
        <v>Ein Mann erledigt verschiedene Aufgaben, während er Crunches macht.</v>
      </c>
    </row>
    <row r="8055">
      <c r="A8055" s="4" t="s">
        <v>10128</v>
      </c>
      <c r="B8055" s="4" t="s">
        <v>5880</v>
      </c>
      <c r="C8055" s="5" t="str">
        <f>IFERROR(__xludf.DUMMYFUNCTION("GOOGLETRANSLATE(B8055,""en"",""de"")"),"Er stoppt und spricht mit der Kamera.")</f>
        <v>Er stoppt und spricht mit der Kamera.</v>
      </c>
    </row>
    <row r="8056">
      <c r="A8056" s="4" t="s">
        <v>10128</v>
      </c>
      <c r="B8056" s="4" t="s">
        <v>10130</v>
      </c>
      <c r="C8056" s="5" t="str">
        <f>IFERROR(__xludf.DUMMYFUNCTION("GOOGLETRANSLATE(B8056,""en"",""de"")"),"Er hebt den Rücken auf seiner Workout -Maschine und beginnt wieder Crunches zu machen.")</f>
        <v>Er hebt den Rücken auf seiner Workout -Maschine und beginnt wieder Crunches zu machen.</v>
      </c>
    </row>
    <row r="8057">
      <c r="A8057" s="4" t="s">
        <v>10128</v>
      </c>
      <c r="B8057" s="4" t="s">
        <v>10131</v>
      </c>
      <c r="C8057" s="5" t="str">
        <f>IFERROR(__xludf.DUMMYFUNCTION("GOOGLETRANSLATE(B8057,""en"",""de"")"),"Er setzt sich auf und spricht weiter mit der Kamera.")</f>
        <v>Er setzt sich auf und spricht weiter mit der Kamera.</v>
      </c>
    </row>
    <row r="8058">
      <c r="A8058" s="4" t="s">
        <v>10132</v>
      </c>
      <c r="B8058" s="4" t="s">
        <v>10133</v>
      </c>
      <c r="C8058" s="5" t="str">
        <f>IFERROR(__xludf.DUMMYFUNCTION("GOOGLETRANSLATE(B8058,""en"",""de"")"),"Zwei Männer stehen auf einem Tennisplatz, der Schläger hält und mit der Kamera sprechen.")</f>
        <v>Zwei Männer stehen auf einem Tennisplatz, der Schläger hält und mit der Kamera sprechen.</v>
      </c>
    </row>
    <row r="8059">
      <c r="A8059" s="4" t="s">
        <v>10132</v>
      </c>
      <c r="B8059" s="4" t="s">
        <v>10134</v>
      </c>
      <c r="C8059" s="5" t="str">
        <f>IFERROR(__xludf.DUMMYFUNCTION("GOOGLETRANSLATE(B8059,""en"",""de"")"),"Es werden mehrere Zeitlupenszenen gezeigt, die einen korrekten Tennis ausführen, der gleich danach demonstriert.")</f>
        <v>Es werden mehrere Zeitlupenszenen gezeigt, die einen korrekten Tennis ausführen, der gleich danach demonstriert.</v>
      </c>
    </row>
    <row r="8060">
      <c r="A8060" s="4" t="s">
        <v>10132</v>
      </c>
      <c r="B8060" s="4" t="s">
        <v>10135</v>
      </c>
      <c r="C8060" s="5" t="str">
        <f>IFERROR(__xludf.DUMMYFUNCTION("GOOGLETRANSLATE(B8060,""en"",""de"")"),"Die Männer tun dies für mehrere Kurven mit einer Zeitlupe eines Mannes, der den danach durchgeführten Trick ausführt.")</f>
        <v>Die Männer tun dies für mehrere Kurven mit einer Zeitlupe eines Mannes, der den danach durchgeführten Trick ausführt.</v>
      </c>
    </row>
    <row r="8061">
      <c r="A8061" s="4" t="s">
        <v>10136</v>
      </c>
      <c r="B8061" s="4" t="s">
        <v>10137</v>
      </c>
      <c r="C8061" s="5" t="str">
        <f>IFERROR(__xludf.DUMMYFUNCTION("GOOGLETRANSLATE(B8061,""en"",""de"")"),"Ein Mann spricht mit der Kamera und beginnt mit einem Pinsel einen schwarzen Schuh zu polieren.")</f>
        <v>Ein Mann spricht mit der Kamera und beginnt mit einem Pinsel einen schwarzen Schuh zu polieren.</v>
      </c>
    </row>
    <row r="8062">
      <c r="A8062" s="4" t="s">
        <v>10136</v>
      </c>
      <c r="B8062" s="4" t="s">
        <v>10138</v>
      </c>
      <c r="C8062" s="5" t="str">
        <f>IFERROR(__xludf.DUMMYFUNCTION("GOOGLETRANSLATE(B8062,""en"",""de"")"),"Er zeigt um den Schuh und dreht den Schuh mit seinen Händen um.")</f>
        <v>Er zeigt um den Schuh und dreht den Schuh mit seinen Händen um.</v>
      </c>
    </row>
    <row r="8063">
      <c r="A8063" s="4" t="s">
        <v>10139</v>
      </c>
      <c r="B8063" s="4" t="s">
        <v>10140</v>
      </c>
      <c r="C8063" s="5" t="str">
        <f>IFERROR(__xludf.DUMMYFUNCTION("GOOGLETRANSLATE(B8063,""en"",""de"")"),"Ein Junge spricht auf einem Feld, dann spielt er mit einer Person, die einen Stock benutzt, um einen Ball zu schlagen.")</f>
        <v>Ein Junge spricht auf einem Feld, dann spielt er mit einer Person, die einen Stock benutzt, um einen Ball zu schlagen.</v>
      </c>
    </row>
    <row r="8064">
      <c r="A8064" s="4" t="s">
        <v>10139</v>
      </c>
      <c r="B8064" s="4" t="s">
        <v>10141</v>
      </c>
      <c r="C8064" s="5" t="str">
        <f>IFERROR(__xludf.DUMMYFUNCTION("GOOGLETRANSLATE(B8064,""en"",""de"")"),"Der Junge wirft den Ball zum anderen Jungen und punktet.")</f>
        <v>Der Junge wirft den Ball zum anderen Jungen und punktet.</v>
      </c>
    </row>
    <row r="8065">
      <c r="A8065" s="4" t="s">
        <v>10139</v>
      </c>
      <c r="B8065" s="4" t="s">
        <v>10142</v>
      </c>
      <c r="C8065" s="5" t="str">
        <f>IFERROR(__xludf.DUMMYFUNCTION("GOOGLETRANSLATE(B8065,""en"",""de"")"),"Die Jungs reden auf dem Feld.")</f>
        <v>Die Jungs reden auf dem Feld.</v>
      </c>
    </row>
    <row r="8066">
      <c r="A8066" s="4" t="s">
        <v>10143</v>
      </c>
      <c r="B8066" s="4" t="s">
        <v>6097</v>
      </c>
      <c r="C8066" s="5" t="str">
        <f>IFERROR(__xludf.DUMMYFUNCTION("GOOGLETRANSLATE(B8066,""en"",""de"")"),"Wir sehen einen schwarzen Öffnungsbildschirm.")</f>
        <v>Wir sehen einen schwarzen Öffnungsbildschirm.</v>
      </c>
    </row>
    <row r="8067">
      <c r="A8067" s="4" t="s">
        <v>10143</v>
      </c>
      <c r="B8067" s="4" t="s">
        <v>10144</v>
      </c>
      <c r="C8067" s="5" t="str">
        <f>IFERROR(__xludf.DUMMYFUNCTION("GOOGLETRANSLATE(B8067,""en"",""de"")"),"Wir sehen, dass Menschen im Ozean surfen. Zwei Männer machen Bilder.")</f>
        <v>Wir sehen, dass Menschen im Ozean surfen. Zwei Männer machen Bilder.</v>
      </c>
    </row>
    <row r="8068">
      <c r="A8068" s="4" t="s">
        <v>10143</v>
      </c>
      <c r="B8068" s="4" t="s">
        <v>10145</v>
      </c>
      <c r="C8068" s="5" t="str">
        <f>IFERROR(__xludf.DUMMYFUNCTION("GOOGLETRANSLATE(B8068,""en"",""de"")"),"Wir sehen einen Titelbildschirm, dann stehen zwei Männer mit einer Kamera am Strand.")</f>
        <v>Wir sehen einen Titelbildschirm, dann stehen zwei Männer mit einer Kamera am Strand.</v>
      </c>
    </row>
    <row r="8069">
      <c r="A8069" s="4" t="s">
        <v>10143</v>
      </c>
      <c r="B8069" s="4" t="s">
        <v>10146</v>
      </c>
      <c r="C8069" s="5" t="str">
        <f>IFERROR(__xludf.DUMMYFUNCTION("GOOGLETRANSLATE(B8069,""en"",""de"")"),"Wir sehen die Surfer im Meer.")</f>
        <v>Wir sehen die Surfer im Meer.</v>
      </c>
    </row>
    <row r="8070">
      <c r="A8070" s="4" t="s">
        <v>10143</v>
      </c>
      <c r="B8070" s="4" t="s">
        <v>10147</v>
      </c>
      <c r="C8070" s="5" t="str">
        <f>IFERROR(__xludf.DUMMYFUNCTION("GOOGLETRANSLATE(B8070,""en"",""de"")"),"Wir sehen den dritten Titelbildschirm und zwei Männer am Strand mit einer Kamera.")</f>
        <v>Wir sehen den dritten Titelbildschirm und zwei Männer am Strand mit einer Kamera.</v>
      </c>
    </row>
    <row r="8071">
      <c r="A8071" s="4" t="s">
        <v>10143</v>
      </c>
      <c r="B8071" s="4" t="s">
        <v>10148</v>
      </c>
      <c r="C8071" s="5" t="str">
        <f>IFERROR(__xludf.DUMMYFUNCTION("GOOGLETRANSLATE(B8071,""en"",""de"")"),"Wir sehen dann die Surfer im Meer.")</f>
        <v>Wir sehen dann die Surfer im Meer.</v>
      </c>
    </row>
    <row r="8072">
      <c r="A8072" s="4" t="s">
        <v>10143</v>
      </c>
      <c r="B8072" s="4" t="s">
        <v>10149</v>
      </c>
      <c r="C8072" s="5" t="str">
        <f>IFERROR(__xludf.DUMMYFUNCTION("GOOGLETRANSLATE(B8072,""en"",""de"")"),"Wir sehen einen Mann auf einem Boot mit einer Kamera.")</f>
        <v>Wir sehen einen Mann auf einem Boot mit einer Kamera.</v>
      </c>
    </row>
    <row r="8073">
      <c r="A8073" s="4" t="s">
        <v>10143</v>
      </c>
      <c r="B8073" s="4" t="s">
        <v>10150</v>
      </c>
      <c r="C8073" s="5" t="str">
        <f>IFERROR(__xludf.DUMMYFUNCTION("GOOGLETRANSLATE(B8073,""en"",""de"")"),"Wir sehen dann den Schließbildbildschirm.")</f>
        <v>Wir sehen dann den Schließbildbildschirm.</v>
      </c>
    </row>
    <row r="8074">
      <c r="A8074" s="4" t="s">
        <v>10151</v>
      </c>
      <c r="B8074" s="4" t="s">
        <v>10152</v>
      </c>
      <c r="C8074" s="5" t="str">
        <f>IFERROR(__xludf.DUMMYFUNCTION("GOOGLETRANSLATE(B8074,""en"",""de"")"),"Ein Mann sitzt und spricht mit der Kamera.")</f>
        <v>Ein Mann sitzt und spricht mit der Kamera.</v>
      </c>
    </row>
    <row r="8075">
      <c r="A8075" s="4" t="s">
        <v>10151</v>
      </c>
      <c r="B8075" s="4" t="s">
        <v>10153</v>
      </c>
      <c r="C8075" s="5" t="str">
        <f>IFERROR(__xludf.DUMMYFUNCTION("GOOGLETRANSLATE(B8075,""en"",""de"")"),"Er trägt einen Anzug und eine Krawatte mit einem farbenfrohen Hintergrund.")</f>
        <v>Er trägt einen Anzug und eine Krawatte mit einem farbenfrohen Hintergrund.</v>
      </c>
    </row>
    <row r="8076">
      <c r="A8076" s="4" t="s">
        <v>10151</v>
      </c>
      <c r="B8076" s="4" t="s">
        <v>10154</v>
      </c>
      <c r="C8076" s="5" t="str">
        <f>IFERROR(__xludf.DUMMYFUNCTION("GOOGLETRANSLATE(B8076,""en"",""de"")"),"Er redet weiter und benutzt seine Hände, während er geht.")</f>
        <v>Er redet weiter und benutzt seine Hände, während er geht.</v>
      </c>
    </row>
    <row r="8077">
      <c r="A8077" s="4" t="s">
        <v>10155</v>
      </c>
      <c r="B8077" s="4" t="s">
        <v>10156</v>
      </c>
      <c r="C8077" s="5" t="str">
        <f>IFERROR(__xludf.DUMMYFUNCTION("GOOGLETRANSLATE(B8077,""en"",""de"")"),"Eine Frau läuft eine lange Strecke hinunter und springt in eine Grube.")</f>
        <v>Eine Frau läuft eine lange Strecke hinunter und springt in eine Grube.</v>
      </c>
    </row>
    <row r="8078">
      <c r="A8078" s="4" t="s">
        <v>10155</v>
      </c>
      <c r="B8078" s="4" t="s">
        <v>10157</v>
      </c>
      <c r="C8078" s="5" t="str">
        <f>IFERROR(__xludf.DUMMYFUNCTION("GOOGLETRANSLATE(B8078,""en"",""de"")"),"Die Kamera beobachtet sie, während sie weggeht und ihre Zunge zu einer anderen Person streckt.")</f>
        <v>Die Kamera beobachtet sie, während sie weggeht und ihre Zunge zu einer anderen Person streckt.</v>
      </c>
    </row>
    <row r="8079">
      <c r="A8079" s="4" t="s">
        <v>10158</v>
      </c>
      <c r="B8079" s="4" t="s">
        <v>10159</v>
      </c>
      <c r="C8079" s="5" t="str">
        <f>IFERROR(__xludf.DUMMYFUNCTION("GOOGLETRANSLATE(B8079,""en"",""de"")"),"Ein Junge schweißt ein Stück Metall in einem Innenladen, während er einen Schutzmantel, einen Helm, eine Schutzbrille und Handschuhe trägt.")</f>
        <v>Ein Junge schweißt ein Stück Metall in einem Innenladen, während er einen Schutzmantel, einen Helm, eine Schutzbrille und Handschuhe trägt.</v>
      </c>
    </row>
    <row r="8080">
      <c r="A8080" s="4" t="s">
        <v>10158</v>
      </c>
      <c r="B8080" s="4" t="s">
        <v>10160</v>
      </c>
      <c r="C8080" s="5" t="str">
        <f>IFERROR(__xludf.DUMMYFUNCTION("GOOGLETRANSLATE(B8080,""en"",""de"")"),"Ein Junge in einem Laden spricht mit der Kamera, während er vor einem Stück Metall und Schweißwerkzeugen zur Vorbereitung auf die Schweißnaht steht.")</f>
        <v>Ein Junge in einem Laden spricht mit der Kamera, während er vor einem Stück Metall und Schweißwerkzeugen zur Vorbereitung auf die Schweißnaht steht.</v>
      </c>
    </row>
    <row r="8081">
      <c r="A8081" s="4" t="s">
        <v>10158</v>
      </c>
      <c r="B8081" s="4" t="s">
        <v>10161</v>
      </c>
      <c r="C8081" s="5" t="str">
        <f>IFERROR(__xludf.DUMMYFUNCTION("GOOGLETRANSLATE(B8081,""en"",""de"")"),"Der Junge beginnt zu schweißen, dass extreme Feuerfunken wie Reaktionen vor ihm über das geschweißte Material vor ihm hergestellt werden.")</f>
        <v>Der Junge beginnt zu schweißen, dass extreme Feuerfunken wie Reaktionen vor ihm über das geschweißte Material vor ihm hergestellt werden.</v>
      </c>
    </row>
    <row r="8082">
      <c r="A8082" s="4" t="s">
        <v>10158</v>
      </c>
      <c r="B8082" s="4" t="s">
        <v>10162</v>
      </c>
      <c r="C8082" s="5" t="str">
        <f>IFERROR(__xludf.DUMMYFUNCTION("GOOGLETRANSLATE(B8082,""en"",""de"")"),"Der Junge zeigt eine Nahaufnahme der roten Spitze des Werkzeugs, beendet das Schweißen und schwenkt die Kamera zu einem anderen Jungen, der in derselben Schutzschweißausrüstung hinter ihm gekleidet ist.")</f>
        <v>Der Junge zeigt eine Nahaufnahme der roten Spitze des Werkzeugs, beendet das Schweißen und schwenkt die Kamera zu einem anderen Jungen, der in derselben Schutzschweißausrüstung hinter ihm gekleidet ist.</v>
      </c>
    </row>
    <row r="8083">
      <c r="A8083" s="4" t="s">
        <v>10163</v>
      </c>
      <c r="B8083" s="4" t="s">
        <v>10164</v>
      </c>
      <c r="C8083" s="5" t="str">
        <f>IFERROR(__xludf.DUMMYFUNCTION("GOOGLETRANSLATE(B8083,""en"",""de"")"),"Es werden mehrere Nahaufnahmen von einem Rasiermesser gezeigt, der in einen Mann führt, der das Gesicht eines anderen rasiert.")</f>
        <v>Es werden mehrere Nahaufnahmen von einem Rasiermesser gezeigt, der in einen Mann führt, der das Gesicht eines anderen rasiert.</v>
      </c>
    </row>
    <row r="8084">
      <c r="A8084" s="4" t="s">
        <v>10163</v>
      </c>
      <c r="B8084" s="4" t="s">
        <v>10165</v>
      </c>
      <c r="C8084" s="5" t="str">
        <f>IFERROR(__xludf.DUMMYFUNCTION("GOOGLETRANSLATE(B8084,""en"",""de"")"),"Der Mann zeigt wieder sein Gesicht, wobei der Rasierer Creme anzieht und sich zu rasieren beginnt.")</f>
        <v>Der Mann zeigt wieder sein Gesicht, wobei der Rasierer Creme anzieht und sich zu rasieren beginnt.</v>
      </c>
    </row>
    <row r="8085">
      <c r="A8085" s="4" t="s">
        <v>10163</v>
      </c>
      <c r="B8085" s="4" t="s">
        <v>10166</v>
      </c>
      <c r="C8085" s="5" t="str">
        <f>IFERROR(__xludf.DUMMYFUNCTION("GOOGLETRANSLATE(B8085,""en"",""de"")"),"Der Mann verwendet auf der anderen Seite verschiedene Werkzeuge, um sich zu rasieren und mit der Kamera zu sprechen.")</f>
        <v>Der Mann verwendet auf der anderen Seite verschiedene Werkzeuge, um sich zu rasieren und mit der Kamera zu sprechen.</v>
      </c>
    </row>
    <row r="8086">
      <c r="A8086" s="4" t="s">
        <v>10167</v>
      </c>
      <c r="B8086" s="4" t="s">
        <v>10168</v>
      </c>
      <c r="C8086" s="5" t="str">
        <f>IFERROR(__xludf.DUMMYFUNCTION("GOOGLETRANSLATE(B8086,""en"",""de"")"),"Eine junge Dame zeigt eine Schönheitscremeflasche.")</f>
        <v>Eine junge Dame zeigt eine Schönheitscremeflasche.</v>
      </c>
    </row>
    <row r="8087">
      <c r="A8087" s="4" t="s">
        <v>10167</v>
      </c>
      <c r="B8087" s="4" t="s">
        <v>10169</v>
      </c>
      <c r="C8087" s="5" t="str">
        <f>IFERROR(__xludf.DUMMYFUNCTION("GOOGLETRANSLATE(B8087,""en"",""de"")"),"Dann legt das junge Mädchen Creme auf HRS -Finger und reibt sich die Schulter.")</f>
        <v>Dann legt das junge Mädchen Creme auf HRS -Finger und reibt sich die Schulter.</v>
      </c>
    </row>
    <row r="8088">
      <c r="A8088" s="4" t="s">
        <v>10170</v>
      </c>
      <c r="B8088" s="4" t="s">
        <v>10171</v>
      </c>
      <c r="C8088" s="5" t="str">
        <f>IFERROR(__xludf.DUMMYFUNCTION("GOOGLETRANSLATE(B8088,""en"",""de"")"),"Ein Videospiel für WWE Professional Wrestling beginnt mit drei auf einem Match.")</f>
        <v>Ein Videospiel für WWE Professional Wrestling beginnt mit drei auf einem Match.</v>
      </c>
    </row>
    <row r="8089">
      <c r="A8089" s="4" t="s">
        <v>10170</v>
      </c>
      <c r="B8089" s="4" t="s">
        <v>10172</v>
      </c>
      <c r="C8089" s="5" t="str">
        <f>IFERROR(__xludf.DUMMYFUNCTION("GOOGLETRANSLATE(B8089,""en"",""de"")"),"Der Spieler, der Roman Reigns kontrolliert, macht seinen Gegner einen großen Schritt, und sein Team kommt für einen großen koordinierten Angriff herein.")</f>
        <v>Der Spieler, der Roman Reigns kontrolliert, macht seinen Gegner einen großen Schritt, und sein Team kommt für einen großen koordinierten Angriff herein.</v>
      </c>
    </row>
    <row r="8090">
      <c r="A8090" s="4" t="s">
        <v>10173</v>
      </c>
      <c r="B8090" s="4" t="s">
        <v>10174</v>
      </c>
      <c r="C8090" s="5" t="str">
        <f>IFERROR(__xludf.DUMMYFUNCTION("GOOGLETRANSLATE(B8090,""en"",""de"")"),"Der Mann reitet mit einem Pferd in einer Scheune und mit einem Seil einen Stier.")</f>
        <v>Der Mann reitet mit einem Pferd in einer Scheune und mit einem Seil einen Stier.</v>
      </c>
    </row>
    <row r="8091">
      <c r="A8091" s="4" t="s">
        <v>10173</v>
      </c>
      <c r="B8091" s="4" t="s">
        <v>10175</v>
      </c>
      <c r="C8091" s="5" t="str">
        <f>IFERROR(__xludf.DUMMYFUNCTION("GOOGLETRANSLATE(B8091,""en"",""de"")"),"Der Mensch steht auf Seite von Te Barn.")</f>
        <v>Der Mensch steht auf Seite von Te Barn.</v>
      </c>
    </row>
    <row r="8092">
      <c r="A8092" s="4" t="s">
        <v>10176</v>
      </c>
      <c r="B8092" s="4" t="s">
        <v>10177</v>
      </c>
      <c r="C8092" s="5" t="str">
        <f>IFERROR(__xludf.DUMMYFUNCTION("GOOGLETRANSLATE(B8092,""en"",""de"")"),"Ein Mann spricht mit einer Kamera und führt in die Flüssigkeit in eine Schüssel und rieb sie in ein Holzobjekt.")</f>
        <v>Ein Mann spricht mit einer Kamera und führt in die Flüssigkeit in eine Schüssel und rieb sie in ein Holzobjekt.</v>
      </c>
    </row>
    <row r="8093">
      <c r="A8093" s="4" t="s">
        <v>10176</v>
      </c>
      <c r="B8093" s="4" t="s">
        <v>10178</v>
      </c>
      <c r="C8093" s="5" t="str">
        <f>IFERROR(__xludf.DUMMYFUNCTION("GOOGLETRANSLATE(B8093,""en"",""de"")"),"Anschließend malt er den Bereich mit einem Pinsel und Nägeln auf dem Rücken, erstellt einen Stuhl und ließ die Kamera herunter.")</f>
        <v>Anschließend malt er den Bereich mit einem Pinsel und Nägeln auf dem Rücken, erstellt einen Stuhl und ließ die Kamera herunter.</v>
      </c>
    </row>
    <row r="8094">
      <c r="A8094" s="4" t="s">
        <v>10179</v>
      </c>
      <c r="B8094" s="4" t="s">
        <v>10180</v>
      </c>
      <c r="C8094" s="5" t="str">
        <f>IFERROR(__xludf.DUMMYFUNCTION("GOOGLETRANSLATE(B8094,""en"",""de"")"),"Eine Frau dreht einen Jungen im Kreis.")</f>
        <v>Eine Frau dreht einen Jungen im Kreis.</v>
      </c>
    </row>
    <row r="8095">
      <c r="A8095" s="4" t="s">
        <v>10179</v>
      </c>
      <c r="B8095" s="4" t="s">
        <v>10181</v>
      </c>
      <c r="C8095" s="5" t="str">
        <f>IFERROR(__xludf.DUMMYFUNCTION("GOOGLETRANSLATE(B8095,""en"",""de"")"),"Der Junge hält einen langen Stock und trägt eine Augenbinde.")</f>
        <v>Der Junge hält einen langen Stock und trägt eine Augenbinde.</v>
      </c>
    </row>
    <row r="8096">
      <c r="A8096" s="4" t="s">
        <v>10179</v>
      </c>
      <c r="B8096" s="4" t="s">
        <v>10182</v>
      </c>
      <c r="C8096" s="5" t="str">
        <f>IFERROR(__xludf.DUMMYFUNCTION("GOOGLETRANSLATE(B8096,""en"",""de"")"),"Die Frau hört auf, den Jungen zu drehen, und zielt ihn auf eine Pinata, die von der Decke hängt.")</f>
        <v>Die Frau hört auf, den Jungen zu drehen, und zielt ihn auf eine Pinata, die von der Decke hängt.</v>
      </c>
    </row>
    <row r="8097">
      <c r="A8097" s="4" t="s">
        <v>10179</v>
      </c>
      <c r="B8097" s="4" t="s">
        <v>10183</v>
      </c>
      <c r="C8097" s="5" t="str">
        <f>IFERROR(__xludf.DUMMYFUNCTION("GOOGLETRANSLATE(B8097,""en"",""de"")"),"Der Junge schwingt und schlägt einmal die Pinata.")</f>
        <v>Der Junge schwingt und schlägt einmal die Pinata.</v>
      </c>
    </row>
    <row r="8098">
      <c r="A8098" s="4" t="s">
        <v>10179</v>
      </c>
      <c r="B8098" s="4" t="s">
        <v>10184</v>
      </c>
      <c r="C8098" s="5" t="str">
        <f>IFERROR(__xludf.DUMMYFUNCTION("GOOGLETRANSLATE(B8098,""en"",""de"")"),"Dann schwingt und vermisst er viele Male.")</f>
        <v>Dann schwingt und vermisst er viele Male.</v>
      </c>
    </row>
    <row r="8099">
      <c r="A8099" s="4" t="s">
        <v>10179</v>
      </c>
      <c r="B8099" s="4" t="s">
        <v>10185</v>
      </c>
      <c r="C8099" s="5" t="str">
        <f>IFERROR(__xludf.DUMMYFUNCTION("GOOGLETRANSLATE(B8099,""en"",""de"")"),"Der Junge gibt schließlich auf und nimmt die Augenbinde ab.")</f>
        <v>Der Junge gibt schließlich auf und nimmt die Augenbinde ab.</v>
      </c>
    </row>
    <row r="8100">
      <c r="A8100" s="4" t="s">
        <v>10179</v>
      </c>
      <c r="B8100" s="4" t="s">
        <v>10186</v>
      </c>
      <c r="C8100" s="5" t="str">
        <f>IFERROR(__xludf.DUMMYFUNCTION("GOOGLETRANSLATE(B8100,""en"",""de"")"),"Eine andere Frau geht herein und hält in der Nähe der Pinata an.")</f>
        <v>Eine andere Frau geht herein und hält in der Nähe der Pinata an.</v>
      </c>
    </row>
    <row r="8101">
      <c r="A8101" s="4" t="s">
        <v>10187</v>
      </c>
      <c r="B8101" s="4" t="s">
        <v>10188</v>
      </c>
      <c r="C8101" s="5" t="str">
        <f>IFERROR(__xludf.DUMMYFUNCTION("GOOGLETRANSLATE(B8101,""en"",""de"")"),"Ein kleiner Junge läuft draußen über ein grünes Feld. Dann taucht er mit einem grünen Helm und einem Stock in der Hand wieder auf, der wie ein Paddel geformt ist.")</f>
        <v>Ein kleiner Junge läuft draußen über ein grünes Feld. Dann taucht er mit einem grünen Helm und einem Stock in der Hand wieder auf, der wie ein Paddel geformt ist.</v>
      </c>
    </row>
    <row r="8102">
      <c r="A8102" s="4" t="s">
        <v>10187</v>
      </c>
      <c r="B8102" s="4" t="s">
        <v>10189</v>
      </c>
      <c r="C8102" s="5" t="str">
        <f>IFERROR(__xludf.DUMMYFUNCTION("GOOGLETRANSLATE(B8102,""en"",""de"")"),"Der Junge versammelt sich dann mit dem Rest seines Teams, sie stehen in einer Linie und beginnt gegeneinander zu kranken.")</f>
        <v>Der Junge versammelt sich dann mit dem Rest seines Teams, sie stehen in einer Linie und beginnt gegeneinander zu kranken.</v>
      </c>
    </row>
    <row r="8103">
      <c r="A8103" s="4" t="s">
        <v>10187</v>
      </c>
      <c r="B8103" s="4" t="s">
        <v>10190</v>
      </c>
      <c r="C8103" s="5" t="str">
        <f>IFERROR(__xludf.DUMMYFUNCTION("GOOGLETRANSLATE(B8103,""en"",""de"")"),"Während des Spiels rennen die Kinder über das Feld hin und her und die Trainer gehen hinter ihnen zurück.")</f>
        <v>Während des Spiels rennen die Kinder über das Feld hin und her und die Trainer gehen hinter ihnen zurück.</v>
      </c>
    </row>
    <row r="8104">
      <c r="A8104" s="4" t="s">
        <v>10191</v>
      </c>
      <c r="B8104" s="4" t="s">
        <v>10192</v>
      </c>
      <c r="C8104" s="5" t="str">
        <f>IFERROR(__xludf.DUMMYFUNCTION("GOOGLETRANSLATE(B8104,""en"",""de"")"),"Ein Bildschirm sagt dreifach.")</f>
        <v>Ein Bildschirm sagt dreifach.</v>
      </c>
    </row>
    <row r="8105">
      <c r="A8105" s="4" t="s">
        <v>10191</v>
      </c>
      <c r="B8105" s="4" t="s">
        <v>10193</v>
      </c>
      <c r="C8105" s="5" t="str">
        <f>IFERROR(__xludf.DUMMYFUNCTION("GOOGLETRANSLATE(B8105,""en"",""de"")"),"Ein Mann steht in einem Feld, bevor er rennt und in ein Quadrat aus Schmutz springt.")</f>
        <v>Ein Mann steht in einem Feld, bevor er rennt und in ein Quadrat aus Schmutz springt.</v>
      </c>
    </row>
    <row r="8106">
      <c r="A8106" s="4" t="s">
        <v>10191</v>
      </c>
      <c r="B8106" s="4" t="s">
        <v>10194</v>
      </c>
      <c r="C8106" s="5" t="str">
        <f>IFERROR(__xludf.DUMMYFUNCTION("GOOGLETRANSLATE(B8106,""en"",""de"")"),"Er geht vom Sprung weg und spricht mit der Kamera.")</f>
        <v>Er geht vom Sprung weg und spricht mit der Kamera.</v>
      </c>
    </row>
    <row r="8107">
      <c r="A8107" s="4" t="s">
        <v>10191</v>
      </c>
      <c r="B8107" s="4" t="s">
        <v>10195</v>
      </c>
      <c r="C8107" s="5" t="str">
        <f>IFERROR(__xludf.DUMMYFUNCTION("GOOGLETRANSLATE(B8107,""en"",""de"")"),"Es wird in Zeitlupe erneut gezeigt.")</f>
        <v>Es wird in Zeitlupe erneut gezeigt.</v>
      </c>
    </row>
    <row r="8108">
      <c r="A8108" s="4" t="s">
        <v>10196</v>
      </c>
      <c r="B8108" s="4" t="s">
        <v>10197</v>
      </c>
      <c r="C8108" s="5" t="str">
        <f>IFERROR(__xludf.DUMMYFUNCTION("GOOGLETRANSLATE(B8108,""en"",""de"")"),"Ein in Blau gekleideter sportlicher Mann nähert sich dem Gymnastikpferd und steht dort und starrt es ein paar Sekunden lang an.")</f>
        <v>Ein in Blau gekleideter sportlicher Mann nähert sich dem Gymnastikpferd und steht dort und starrt es ein paar Sekunden lang an.</v>
      </c>
    </row>
    <row r="8109">
      <c r="A8109" s="4" t="s">
        <v>10196</v>
      </c>
      <c r="B8109" s="4" t="s">
        <v>10198</v>
      </c>
      <c r="C8109" s="5" t="str">
        <f>IFERROR(__xludf.DUMMYFUNCTION("GOOGLETRANSLATE(B8109,""en"",""de"")"),"Der Mann nähert sich dann ihm und legt seine zwei Hände darauf und beginnt verschiedene Schritte, wo er seinen Körper rund um das Gymnastik Pferd dreht, dreht und manövriert.")</f>
        <v>Der Mann nähert sich dann ihm und legt seine zwei Hände darauf und beginnt verschiedene Schritte, wo er seinen Körper rund um das Gymnastik Pferd dreht, dreht und manövriert.</v>
      </c>
    </row>
    <row r="8110">
      <c r="A8110" s="4" t="s">
        <v>10196</v>
      </c>
      <c r="B8110" s="4" t="s">
        <v>10199</v>
      </c>
      <c r="C8110" s="5" t="str">
        <f>IFERROR(__xludf.DUMMYFUNCTION("GOOGLETRANSLATE(B8110,""en"",""de"")"),"Der Mann beendet das Ende seiner Routine und springt von dem Gymnastikpferd auf seinen zwei Fuß, hält seine zwei Arme in die Luft, klatscht einmal in die Hände und nimmt dann einen Verbeugen.")</f>
        <v>Der Mann beendet das Ende seiner Routine und springt von dem Gymnastikpferd auf seinen zwei Fuß, hält seine zwei Arme in die Luft, klatscht einmal in die Hände und nimmt dann einen Verbeugen.</v>
      </c>
    </row>
    <row r="8111">
      <c r="A8111" s="4" t="s">
        <v>10200</v>
      </c>
      <c r="B8111" s="4" t="s">
        <v>10201</v>
      </c>
      <c r="C8111" s="5" t="str">
        <f>IFERROR(__xludf.DUMMYFUNCTION("GOOGLETRANSLATE(B8111,""en"",""de"")"),"Die Leute rennen Hindernisse herum, die ein Paintballspiel spielen.")</f>
        <v>Die Leute rennen Hindernisse herum, die ein Paintballspiel spielen.</v>
      </c>
    </row>
    <row r="8112">
      <c r="A8112" s="4" t="s">
        <v>10200</v>
      </c>
      <c r="B8112" s="4" t="s">
        <v>10202</v>
      </c>
      <c r="C8112" s="5" t="str">
        <f>IFERROR(__xludf.DUMMYFUNCTION("GOOGLETRANSLATE(B8112,""en"",""de"")"),"Ein Junge sieht sich um eine Ecke und geht auf den Boden.")</f>
        <v>Ein Junge sieht sich um eine Ecke und geht auf den Boden.</v>
      </c>
    </row>
    <row r="8113">
      <c r="A8113" s="4" t="s">
        <v>10200</v>
      </c>
      <c r="B8113" s="4" t="s">
        <v>10203</v>
      </c>
      <c r="C8113" s="5" t="str">
        <f>IFERROR(__xludf.DUMMYFUNCTION("GOOGLETRANSLATE(B8113,""en"",""de"")"),"Auf dem Bildschirm wird eine amerikanische Flagge angezeigt.")</f>
        <v>Auf dem Bildschirm wird eine amerikanische Flagge angezeigt.</v>
      </c>
    </row>
    <row r="8114">
      <c r="A8114" s="4" t="s">
        <v>10204</v>
      </c>
      <c r="B8114" s="4" t="s">
        <v>10205</v>
      </c>
      <c r="C8114" s="5" t="str">
        <f>IFERROR(__xludf.DUMMYFUNCTION("GOOGLETRANSLATE(B8114,""en"",""de"")"),"Es gibt einen Mann, der eine weiß gefärbte Weste und blaue Halhwut in einem gelben Reihenboot mit doppelseitiger Ruderung trägt.")</f>
        <v>Es gibt einen Mann, der eine weiß gefärbte Weste und blaue Halhwut in einem gelben Reihenboot mit doppelseitiger Ruderung trägt.</v>
      </c>
    </row>
    <row r="8115">
      <c r="A8115" s="4" t="s">
        <v>10204</v>
      </c>
      <c r="B8115" s="4" t="s">
        <v>10206</v>
      </c>
      <c r="C8115" s="5" t="str">
        <f>IFERROR(__xludf.DUMMYFUNCTION("GOOGLETRANSLATE(B8115,""en"",""de"")"),"Er zeigt den richtigen Weg, um das Boot zu rudern, während er am Leben bleibt.")</f>
        <v>Er zeigt den richtigen Weg, um das Boot zu rudern, während er am Leben bleibt.</v>
      </c>
    </row>
    <row r="8116">
      <c r="A8116" s="4" t="s">
        <v>10204</v>
      </c>
      <c r="B8116" s="4" t="s">
        <v>10207</v>
      </c>
      <c r="C8116" s="5" t="str">
        <f>IFERROR(__xludf.DUMMYFUNCTION("GOOGLETRANSLATE(B8116,""en"",""de"")"),"Er ist in einem Wasserkörper, der einige starke Wellen hat.")</f>
        <v>Er ist in einem Wasserkörper, der einige starke Wellen hat.</v>
      </c>
    </row>
    <row r="8117">
      <c r="A8117" s="4" t="s">
        <v>10204</v>
      </c>
      <c r="B8117" s="4" t="s">
        <v>10208</v>
      </c>
      <c r="C8117" s="5" t="str">
        <f>IFERROR(__xludf.DUMMYFUNCTION("GOOGLETRANSLATE(B8117,""en"",""de"")"),"Er zeigt, wie man die Striche mit den Rudern macht, um gegen den Wasserstrom zu gehen.")</f>
        <v>Er zeigt, wie man die Striche mit den Rudern macht, um gegen den Wasserstrom zu gehen.</v>
      </c>
    </row>
    <row r="8118">
      <c r="A8118" s="4" t="s">
        <v>10204</v>
      </c>
      <c r="B8118" s="4" t="s">
        <v>10209</v>
      </c>
      <c r="C8118" s="5" t="str">
        <f>IFERROR(__xludf.DUMMYFUNCTION("GOOGLETRANSLATE(B8118,""en"",""de"")"),"Er geht in Kreise, als er zeigt, wie man gegen mächtige Wellen rudern kann.")</f>
        <v>Er geht in Kreise, als er zeigt, wie man gegen mächtige Wellen rudern kann.</v>
      </c>
    </row>
    <row r="8119">
      <c r="A8119" s="4" t="s">
        <v>10210</v>
      </c>
      <c r="B8119" s="4" t="s">
        <v>10211</v>
      </c>
      <c r="C8119" s="5" t="str">
        <f>IFERROR(__xludf.DUMMYFUNCTION("GOOGLETRANSLATE(B8119,""en"",""de"")"),"Männer sind an den Seiten des Tisches und spielen Beerpong.")</f>
        <v>Männer sind an den Seiten des Tisches und spielen Beerpong.</v>
      </c>
    </row>
    <row r="8120">
      <c r="A8120" s="4" t="s">
        <v>10210</v>
      </c>
      <c r="B8120" s="4" t="s">
        <v>10212</v>
      </c>
      <c r="C8120" s="5" t="str">
        <f>IFERROR(__xludf.DUMMYFUNCTION("GOOGLETRANSLATE(B8120,""en"",""de"")"),"Ein Mann sitzt auf einem Stuhl neben dem Tisch und beobachtet die Männer, während sie spielen.")</f>
        <v>Ein Mann sitzt auf einem Stuhl neben dem Tisch und beobachtet die Männer, während sie spielen.</v>
      </c>
    </row>
    <row r="8121">
      <c r="A8121" s="4" t="s">
        <v>10210</v>
      </c>
      <c r="B8121" s="4" t="s">
        <v>10213</v>
      </c>
      <c r="C8121" s="5" t="str">
        <f>IFERROR(__xludf.DUMMYFUNCTION("GOOGLETRANSLATE(B8121,""en"",""de"")"),"Die Männer beherbergen die Tassen auf dem Tisch.")</f>
        <v>Die Männer beherbergen die Tassen auf dem Tisch.</v>
      </c>
    </row>
    <row r="8122">
      <c r="A8122" s="4" t="s">
        <v>10214</v>
      </c>
      <c r="B8122" s="4" t="s">
        <v>10215</v>
      </c>
      <c r="C8122" s="5" t="str">
        <f>IFERROR(__xludf.DUMMYFUNCTION("GOOGLETRANSLATE(B8122,""en"",""de"")"),"Verschiedene Menschen stehen in einem offenen Bereich, der mit ihren Hunden mehrere Tricks ausführt.")</f>
        <v>Verschiedene Menschen stehen in einem offenen Bereich, der mit ihren Hunden mehrere Tricks ausführt.</v>
      </c>
    </row>
    <row r="8123">
      <c r="A8123" s="4" t="s">
        <v>10214</v>
      </c>
      <c r="B8123" s="4" t="s">
        <v>10216</v>
      </c>
      <c r="C8123" s="5" t="str">
        <f>IFERROR(__xludf.DUMMYFUNCTION("GOOGLETRANSLATE(B8123,""en"",""de"")"),"Viele Menschen sehen am Rande zu und mehr Menschen zeigen weiterhin Tricks mit ihren Hunden.")</f>
        <v>Viele Menschen sehen am Rande zu und mehr Menschen zeigen weiterhin Tricks mit ihren Hunden.</v>
      </c>
    </row>
    <row r="8124">
      <c r="A8124" s="4" t="s">
        <v>10214</v>
      </c>
      <c r="B8124" s="4" t="s">
        <v>10217</v>
      </c>
      <c r="C8124" s="5" t="str">
        <f>IFERROR(__xludf.DUMMYFUNCTION("GOOGLETRANSLATE(B8124,""en"",""de"")"),"Mehrere Personen werden von der Kamera interviewt und führt zu noch mehr Tricks.")</f>
        <v>Mehrere Personen werden von der Kamera interviewt und führt zu noch mehr Tricks.</v>
      </c>
    </row>
    <row r="8125">
      <c r="A8125" s="4" t="s">
        <v>10218</v>
      </c>
      <c r="B8125" s="4" t="s">
        <v>10219</v>
      </c>
      <c r="C8125" s="5" t="str">
        <f>IFERROR(__xludf.DUMMYFUNCTION("GOOGLETRANSLATE(B8125,""en"",""de"")"),"Eine Reihe von Schlagzeuger spielen in einem Superdome.")</f>
        <v>Eine Reihe von Schlagzeuger spielen in einem Superdome.</v>
      </c>
    </row>
    <row r="8126">
      <c r="A8126" s="4" t="s">
        <v>10218</v>
      </c>
      <c r="B8126" s="4" t="s">
        <v>10220</v>
      </c>
      <c r="C8126" s="5" t="str">
        <f>IFERROR(__xludf.DUMMYFUNCTION("GOOGLETRANSLATE(B8126,""en"",""de"")"),"Mehrere Bassdrummer scheinen Trikots zu tragen.")</f>
        <v>Mehrere Bassdrummer scheinen Trikots zu tragen.</v>
      </c>
    </row>
    <row r="8127">
      <c r="A8127" s="4" t="s">
        <v>10218</v>
      </c>
      <c r="B8127" s="4" t="s">
        <v>10221</v>
      </c>
      <c r="C8127" s="5" t="str">
        <f>IFERROR(__xludf.DUMMYFUNCTION("GOOGLETRANSLATE(B8127,""en"",""de"")"),"Sie alle spielen einen Schlag, als Leute mit Kameras zwischen ihnen gehen.")</f>
        <v>Sie alle spielen einen Schlag, als Leute mit Kameras zwischen ihnen gehen.</v>
      </c>
    </row>
    <row r="8128">
      <c r="A8128" s="4" t="s">
        <v>10222</v>
      </c>
      <c r="B8128" s="4" t="s">
        <v>10223</v>
      </c>
      <c r="C8128" s="5" t="str">
        <f>IFERROR(__xludf.DUMMYFUNCTION("GOOGLETRANSLATE(B8128,""en"",""de"")"),"Ein schwarzer Bildschirm erscheint mit weißen Wörtern ""Sport Bez Barier Curling Na Wozkach"".")</f>
        <v>Ein schwarzer Bildschirm erscheint mit weißen Wörtern "Sport Bez Barier Curling Na Wozkach".</v>
      </c>
    </row>
    <row r="8129">
      <c r="A8129" s="4" t="s">
        <v>10222</v>
      </c>
      <c r="B8129" s="4" t="s">
        <v>10224</v>
      </c>
      <c r="C8129" s="5" t="str">
        <f>IFERROR(__xludf.DUMMYFUNCTION("GOOGLETRANSLATE(B8129,""en"",""de"")"),"Ein Eisreiniger fährt jetzt auf einer Eisbahn, und dann starten die Leute auf Rollstühlen auf die Eisbahn.")</f>
        <v>Ein Eisreiniger fährt jetzt auf einer Eisbahn, und dann starten die Leute auf Rollstühlen auf die Eisbahn.</v>
      </c>
    </row>
    <row r="8130">
      <c r="A8130" s="4" t="s">
        <v>10222</v>
      </c>
      <c r="B8130" s="4" t="s">
        <v>10225</v>
      </c>
      <c r="C8130" s="5" t="str">
        <f>IFERROR(__xludf.DUMMYFUNCTION("GOOGLETRANSLATE(B8130,""en"",""de"")"),"Eine Frau im Rollstuhl beginnt zu sprechen und die Worte auf dem Bildschirm sagen, sie heißt ""Agnieszka Kachel"".")</f>
        <v>Eine Frau im Rollstuhl beginnt zu sprechen und die Worte auf dem Bildschirm sagen, sie heißt "Agnieszka Kachel".</v>
      </c>
    </row>
    <row r="8131">
      <c r="A8131" s="4" t="s">
        <v>10222</v>
      </c>
      <c r="B8131" s="4" t="s">
        <v>10226</v>
      </c>
      <c r="C8131" s="5" t="str">
        <f>IFERROR(__xludf.DUMMYFUNCTION("GOOGLETRANSLATE(B8131,""en"",""de"")"),"Die Eisbahn wird erneut gezeigt und zeigt graue Objekte mit bunten Spitzen mit Stöcken auf das Eis, die die Menschen in Rollstühlen halten, und er wechselt auf die Frau, die alleine und die Menschen auf dem Eis spielt.")</f>
        <v>Die Eisbahn wird erneut gezeigt und zeigt graue Objekte mit bunten Spitzen mit Stöcken auf das Eis, die die Menschen in Rollstühlen halten, und er wechselt auf die Frau, die alleine und die Menschen auf dem Eis spielt.</v>
      </c>
    </row>
    <row r="8132">
      <c r="A8132" s="4" t="s">
        <v>10222</v>
      </c>
      <c r="B8132" s="4" t="s">
        <v>10227</v>
      </c>
      <c r="C8132" s="5" t="str">
        <f>IFERROR(__xludf.DUMMYFUNCTION("GOOGLETRANSLATE(B8132,""en"",""de"")"),"Ein weißer Outro -Bildschirm wird mit schwarzen Buchstaben angezeigt, die eine Liste von Namen, Websites und Logos enthalten.")</f>
        <v>Ein weißer Outro -Bildschirm wird mit schwarzen Buchstaben angezeigt, die eine Liste von Namen, Websites und Logos enthalten.</v>
      </c>
    </row>
    <row r="8133">
      <c r="A8133" s="4" t="s">
        <v>10228</v>
      </c>
      <c r="B8133" s="4" t="s">
        <v>10229</v>
      </c>
      <c r="C8133" s="5" t="str">
        <f>IFERROR(__xludf.DUMMYFUNCTION("GOOGLETRANSLATE(B8133,""en"",""de"")"),"Ein Turner ist zu sehen, wie er auf eine Reihe von ungleichmäßigen Stangen klettert und eine Routine durchführt, während viele nebenbei zuschauen.")</f>
        <v>Ein Turner ist zu sehen, wie er auf eine Reihe von ungleichmäßigen Stangen klettert und eine Routine durchführt, während viele nebenbei zuschauen.</v>
      </c>
    </row>
    <row r="8134">
      <c r="A8134" s="4" t="s">
        <v>10228</v>
      </c>
      <c r="B8134" s="4" t="s">
        <v>10230</v>
      </c>
      <c r="C8134" s="5" t="str">
        <f>IFERROR(__xludf.DUMMYFUNCTION("GOOGLETRANSLATE(B8134,""en"",""de"")"),"Er führt verschiedene Flips und Tricks und Enden durch, indem er herunterspringt und seine Arme hochlegt.")</f>
        <v>Er führt verschiedene Flips und Tricks und Enden durch, indem er herunterspringt und seine Arme hochlegt.</v>
      </c>
    </row>
    <row r="8135">
      <c r="A8135" s="4" t="s">
        <v>10231</v>
      </c>
      <c r="B8135" s="4" t="s">
        <v>10232</v>
      </c>
      <c r="C8135" s="5" t="str">
        <f>IFERROR(__xludf.DUMMYFUNCTION("GOOGLETRANSLATE(B8135,""en"",""de"")"),"Ein Mann wäscht sein Gesicht vor einem Spiegel.")</f>
        <v>Ein Mann wäscht sein Gesicht vor einem Spiegel.</v>
      </c>
    </row>
    <row r="8136">
      <c r="A8136" s="4" t="s">
        <v>10231</v>
      </c>
      <c r="B8136" s="4" t="s">
        <v>10233</v>
      </c>
      <c r="C8136" s="5" t="str">
        <f>IFERROR(__xludf.DUMMYFUNCTION("GOOGLETRANSLATE(B8136,""en"",""de"")"),"Er lacht über die Kamera.")</f>
        <v>Er lacht über die Kamera.</v>
      </c>
    </row>
    <row r="8137">
      <c r="A8137" s="4" t="s">
        <v>10231</v>
      </c>
      <c r="B8137" s="4" t="s">
        <v>10234</v>
      </c>
      <c r="C8137" s="5" t="str">
        <f>IFERROR(__xludf.DUMMYFUNCTION("GOOGLETRANSLATE(B8137,""en"",""de"")"),"Er reibt sich noch etwas Gesicht.")</f>
        <v>Er reibt sich noch etwas Gesicht.</v>
      </c>
    </row>
    <row r="8138">
      <c r="A8138" s="4" t="s">
        <v>10231</v>
      </c>
      <c r="B8138" s="4" t="s">
        <v>10235</v>
      </c>
      <c r="C8138" s="5" t="str">
        <f>IFERROR(__xludf.DUMMYFUNCTION("GOOGLETRANSLATE(B8138,""en"",""de"")"),"Er beugt sich in die Spüle, um es auszuspülen.")</f>
        <v>Er beugt sich in die Spüle, um es auszuspülen.</v>
      </c>
    </row>
    <row r="8139">
      <c r="A8139" s="4" t="s">
        <v>10236</v>
      </c>
      <c r="B8139" s="4" t="s">
        <v>10237</v>
      </c>
      <c r="C8139" s="5" t="str">
        <f>IFERROR(__xludf.DUMMYFUNCTION("GOOGLETRANSLATE(B8139,""en"",""de"")"),"Ein Mann schlägt aggressiv auf seiner Gitarre.")</f>
        <v>Ein Mann schlägt aggressiv auf seiner Gitarre.</v>
      </c>
    </row>
    <row r="8140">
      <c r="A8140" s="4" t="s">
        <v>10236</v>
      </c>
      <c r="B8140" s="4" t="s">
        <v>10238</v>
      </c>
      <c r="C8140" s="5" t="str">
        <f>IFERROR(__xludf.DUMMYFUNCTION("GOOGLETRANSLATE(B8140,""en"",""de"")"),"Ein anderer Mann mit einer blauen Gitarre spielt und klopft über seine Gitarre.")</f>
        <v>Ein anderer Mann mit einer blauen Gitarre spielt und klopft über seine Gitarre.</v>
      </c>
    </row>
    <row r="8141">
      <c r="A8141" s="4" t="s">
        <v>10236</v>
      </c>
      <c r="B8141" s="4" t="s">
        <v>10239</v>
      </c>
      <c r="C8141" s="5" t="str">
        <f>IFERROR(__xludf.DUMMYFUNCTION("GOOGLETRANSLATE(B8141,""en"",""de"")"),"Ein Mann in einem roten Hemd mit einer E -Gitarre klopft mit dem Fuß auf das Tempo und spielt eine Melodie.")</f>
        <v>Ein Mann in einem roten Hemd mit einer E -Gitarre klopft mit dem Fuß auf das Tempo und spielt eine Melodie.</v>
      </c>
    </row>
    <row r="8142">
      <c r="A8142" s="4" t="s">
        <v>10236</v>
      </c>
      <c r="B8142" s="4" t="s">
        <v>10240</v>
      </c>
      <c r="C8142" s="5" t="str">
        <f>IFERROR(__xludf.DUMMYFUNCTION("GOOGLETRANSLATE(B8142,""en"",""de"")"),"Er spielt eine Skala oder Melodie auf und ab.")</f>
        <v>Er spielt eine Skala oder Melodie auf und ab.</v>
      </c>
    </row>
    <row r="8143">
      <c r="A8143" s="4" t="s">
        <v>10241</v>
      </c>
      <c r="B8143" s="4" t="s">
        <v>10242</v>
      </c>
      <c r="C8143" s="5" t="str">
        <f>IFERROR(__xludf.DUMMYFUNCTION("GOOGLETRANSLATE(B8143,""en"",""de"")"),"Eine Frau, die ein rotes Outfit trägt, hebt ihre Hände und Füße und wechselt sie langsam und methodisch.")</f>
        <v>Eine Frau, die ein rotes Outfit trägt, hebt ihre Hände und Füße und wechselt sie langsam und methodisch.</v>
      </c>
    </row>
    <row r="8144">
      <c r="A8144" s="4" t="s">
        <v>10241</v>
      </c>
      <c r="B8144" s="4" t="s">
        <v>10243</v>
      </c>
      <c r="C8144" s="5" t="str">
        <f>IFERROR(__xludf.DUMMYFUNCTION("GOOGLETRANSLATE(B8144,""en"",""de"")"),"Sie macht eine Show auf einer Bühne und geht flüssig hin und her.")</f>
        <v>Sie macht eine Show auf einer Bühne und geht flüssig hin und her.</v>
      </c>
    </row>
    <row r="8145">
      <c r="A8145" s="4" t="s">
        <v>10241</v>
      </c>
      <c r="B8145" s="4" t="s">
        <v>10244</v>
      </c>
      <c r="C8145" s="5" t="str">
        <f>IFERROR(__xludf.DUMMYFUNCTION("GOOGLETRANSLATE(B8145,""en"",""de"")"),"Die Frau dreht sich in verschiedene Richtungen und liefert unterschiedliche Handlungen, bevor sie gerade stehen und immer noch ihr Finale.")</f>
        <v>Die Frau dreht sich in verschiedene Richtungen und liefert unterschiedliche Handlungen, bevor sie gerade stehen und immer noch ihr Finale.</v>
      </c>
    </row>
    <row r="8146">
      <c r="A8146" s="4" t="s">
        <v>10245</v>
      </c>
      <c r="B8146" s="4" t="s">
        <v>10246</v>
      </c>
      <c r="C8146" s="5" t="str">
        <f>IFERROR(__xludf.DUMMYFUNCTION("GOOGLETRANSLATE(B8146,""en"",""de"")"),"Ein schwarzer Bildschirm mit weißem Zoomtext einer Mädchenperformance auf den ungleichmäßigen Balken.")</f>
        <v>Ein schwarzer Bildschirm mit weißem Zoomtext einer Mädchenperformance auf den ungleichmäßigen Balken.</v>
      </c>
    </row>
    <row r="8147">
      <c r="A8147" s="4" t="s">
        <v>10245</v>
      </c>
      <c r="B8147" s="4" t="s">
        <v>10247</v>
      </c>
      <c r="C8147" s="5" t="str">
        <f>IFERROR(__xludf.DUMMYFUNCTION("GOOGLETRANSLATE(B8147,""en"",""de"")"),"Ein Turner beginnt in die ungleichmäßigen Bars von einem Brett und greift an den Bars und durchläuft ihre Routine.")</f>
        <v>Ein Turner beginnt in die ungleichmäßigen Bars von einem Brett und greift an den Bars und durchläuft ihre Routine.</v>
      </c>
    </row>
    <row r="8148">
      <c r="A8148" s="4" t="s">
        <v>10245</v>
      </c>
      <c r="B8148" s="4" t="s">
        <v>10248</v>
      </c>
      <c r="C8148" s="5" t="str">
        <f>IFERROR(__xludf.DUMMYFUNCTION("GOOGLETRANSLATE(B8148,""en"",""de"")"),"Es gibt Text, der auf dem Bildschirm angezeigt wird, das beschreibt, was sie zu tun hat.")</f>
        <v>Es gibt Text, der auf dem Bildschirm angezeigt wird, das beschreibt, was sie zu tun hat.</v>
      </c>
    </row>
    <row r="8149">
      <c r="A8149" s="4" t="s">
        <v>10245</v>
      </c>
      <c r="B8149" s="4" t="s">
        <v>10249</v>
      </c>
      <c r="C8149" s="5" t="str">
        <f>IFERROR(__xludf.DUMMYFUNCTION("GOOGLETRANSLATE(B8149,""en"",""de"")"),"Sie beendet ihre Routine und landet auf der Matte, während die Menge jubelt.")</f>
        <v>Sie beendet ihre Routine und landet auf der Matte, während die Menge jubelt.</v>
      </c>
    </row>
    <row r="8150">
      <c r="A8150" s="4" t="s">
        <v>10245</v>
      </c>
      <c r="B8150" s="4" t="s">
        <v>10250</v>
      </c>
      <c r="C8150" s="5" t="str">
        <f>IFERROR(__xludf.DUMMYFUNCTION("GOOGLETRANSLATE(B8150,""en"",""de"")"),"Ein schwarzer Bildschirm mit weißem Text erscheint, gefolgt von der Punktzahl der Turner.")</f>
        <v>Ein schwarzer Bildschirm mit weißem Text erscheint, gefolgt von der Punktzahl der Turner.</v>
      </c>
    </row>
    <row r="8151">
      <c r="A8151" s="4" t="s">
        <v>10251</v>
      </c>
      <c r="B8151" s="4" t="s">
        <v>10252</v>
      </c>
      <c r="C8151" s="5" t="str">
        <f>IFERROR(__xludf.DUMMYFUNCTION("GOOGLETRANSLATE(B8151,""en"",""de"")"),"Eine Gruppe von Menschen sitzt auf Fahrrädern und wartet vor einer Strecke.")</f>
        <v>Eine Gruppe von Menschen sitzt auf Fahrrädern und wartet vor einer Strecke.</v>
      </c>
    </row>
    <row r="8152">
      <c r="A8152" s="4" t="s">
        <v>10251</v>
      </c>
      <c r="B8152" s="4" t="s">
        <v>10253</v>
      </c>
      <c r="C8152" s="5" t="str">
        <f>IFERROR(__xludf.DUMMYFUNCTION("GOOGLETRANSLATE(B8152,""en"",""de"")"),"Eine Bar gehen wir gehen und die Männer reiten um einen langen Weg auf den Fahrrädern hintereinander.")</f>
        <v>Eine Bar gehen wir gehen und die Männer reiten um einen langen Weg auf den Fahrrädern hintereinander.</v>
      </c>
    </row>
    <row r="8153">
      <c r="A8153" s="4" t="s">
        <v>10254</v>
      </c>
      <c r="B8153" s="4" t="s">
        <v>10255</v>
      </c>
      <c r="C8153" s="5" t="str">
        <f>IFERROR(__xludf.DUMMYFUNCTION("GOOGLETRANSLATE(B8153,""en"",""de"")"),"Ein Mann steht vor einem Fahrrad, der mit der Kamera spricht und führt in Schüsse, von denen er herumfährt.")</f>
        <v>Ein Mann steht vor einem Fahrrad, der mit der Kamera spricht und führt in Schüsse, von denen er herumfährt.</v>
      </c>
    </row>
    <row r="8154">
      <c r="A8154" s="4" t="s">
        <v>10254</v>
      </c>
      <c r="B8154" s="4" t="s">
        <v>10256</v>
      </c>
      <c r="C8154" s="5" t="str">
        <f>IFERROR(__xludf.DUMMYFUNCTION("GOOGLETRANSLATE(B8154,""en"",""de"")"),"Der Mann spricht weiterhin mit der Kamera, da mehr Schüsse von ihm gezeigt werden, das mit dem Dirt -Fahrrad um eine Strecke fährt.")</f>
        <v>Der Mann spricht weiterhin mit der Kamera, da mehr Schüsse von ihm gezeigt werden, das mit dem Dirt -Fahrrad um eine Strecke fährt.</v>
      </c>
    </row>
    <row r="8155">
      <c r="A8155" s="4" t="s">
        <v>10257</v>
      </c>
      <c r="B8155" s="4" t="s">
        <v>10258</v>
      </c>
      <c r="C8155" s="5" t="str">
        <f>IFERROR(__xludf.DUMMYFUNCTION("GOOGLETRANSLATE(B8155,""en"",""de"")"),"Eine Frau spricht vor einem großen Busch mit der Kamera.")</f>
        <v>Eine Frau spricht vor einem großen Busch mit der Kamera.</v>
      </c>
    </row>
    <row r="8156">
      <c r="A8156" s="4" t="s">
        <v>10257</v>
      </c>
      <c r="B8156" s="4" t="s">
        <v>10259</v>
      </c>
      <c r="C8156" s="5" t="str">
        <f>IFERROR(__xludf.DUMMYFUNCTION("GOOGLETRANSLATE(B8156,""en"",""de"")"),"Die Frau benutzt dann eine Schaufel entlang etwas Schmutz.")</f>
        <v>Die Frau benutzt dann eine Schaufel entlang etwas Schmutz.</v>
      </c>
    </row>
    <row r="8157">
      <c r="A8157" s="4" t="s">
        <v>10257</v>
      </c>
      <c r="B8157" s="4" t="s">
        <v>10260</v>
      </c>
      <c r="C8157" s="5" t="str">
        <f>IFERROR(__xludf.DUMMYFUNCTION("GOOGLETRANSLATE(B8157,""en"",""de"")"),"Die Kamera schwenkt, wenn sie fertig ist.")</f>
        <v>Die Kamera schwenkt, wenn sie fertig ist.</v>
      </c>
    </row>
    <row r="8158">
      <c r="A8158" s="4" t="s">
        <v>10261</v>
      </c>
      <c r="B8158" s="4" t="s">
        <v>10262</v>
      </c>
      <c r="C8158" s="5" t="str">
        <f>IFERROR(__xludf.DUMMYFUNCTION("GOOGLETRANSLATE(B8158,""en"",""de"")"),"Ein älterer Mann mit Brillen und grauen Haaren sitzt und singt, während er Gitarre spielt.")</f>
        <v>Ein älterer Mann mit Brillen und grauen Haaren sitzt und singt, während er Gitarre spielt.</v>
      </c>
    </row>
    <row r="8159">
      <c r="A8159" s="4" t="s">
        <v>10261</v>
      </c>
      <c r="B8159" s="4" t="s">
        <v>10263</v>
      </c>
      <c r="C8159" s="5" t="str">
        <f>IFERROR(__xludf.DUMMYFUNCTION("GOOGLETRANSLATE(B8159,""en"",""de"")"),"Der Mann pausiert eine Sekunde.")</f>
        <v>Der Mann pausiert eine Sekunde.</v>
      </c>
    </row>
    <row r="8160">
      <c r="A8160" s="4" t="s">
        <v>10261</v>
      </c>
      <c r="B8160" s="4" t="s">
        <v>10264</v>
      </c>
      <c r="C8160" s="5" t="str">
        <f>IFERROR(__xludf.DUMMYFUNCTION("GOOGLETRANSLATE(B8160,""en"",""de"")"),"Der Mann beendet sein Lied und hört auf.")</f>
        <v>Der Mann beendet sein Lied und hört auf.</v>
      </c>
    </row>
    <row r="8161">
      <c r="A8161" s="4" t="s">
        <v>10261</v>
      </c>
      <c r="B8161" s="4" t="s">
        <v>10265</v>
      </c>
      <c r="C8161" s="5" t="str">
        <f>IFERROR(__xludf.DUMMYFUNCTION("GOOGLETRANSLATE(B8161,""en"",""de"")"),"Wir sehen den End -Titelbildschirm mit einer Katze.")</f>
        <v>Wir sehen den End -Titelbildschirm mit einer Katze.</v>
      </c>
    </row>
    <row r="8162">
      <c r="A8162" s="4" t="s">
        <v>10266</v>
      </c>
      <c r="B8162" s="4" t="s">
        <v>10267</v>
      </c>
      <c r="C8162" s="5" t="str">
        <f>IFERROR(__xludf.DUMMYFUNCTION("GOOGLETRANSLATE(B8162,""en"",""de"")"),"Ein kahles Mann steht neben der Theke mit Glas und Rührer vor ihm.")</f>
        <v>Ein kahles Mann steht neben der Theke mit Glas und Rührer vor ihm.</v>
      </c>
    </row>
    <row r="8163">
      <c r="A8163" s="4" t="s">
        <v>10266</v>
      </c>
      <c r="B8163" s="4" t="s">
        <v>10268</v>
      </c>
      <c r="C8163" s="5" t="str">
        <f>IFERROR(__xludf.DUMMYFUNCTION("GOOGLETRANSLATE(B8163,""en"",""de"")"),"Der Mann steckte Eis in das Glas, legte klare Flüssigkeit in das Glas, fügte Orangensaft hinzu, mischte den Inhalt, als er den Orangensaft gießt und dann rote Flüssigkeit fügte, die unter den Orangensaft fiel.")</f>
        <v>Der Mann steckte Eis in das Glas, legte klare Flüssigkeit in das Glas, fügte Orangensaft hinzu, mischte den Inhalt, als er den Orangensaft gießt und dann rote Flüssigkeit fügte, die unter den Orangensaft fiel.</v>
      </c>
    </row>
    <row r="8164">
      <c r="A8164" s="4" t="s">
        <v>10269</v>
      </c>
      <c r="B8164" s="4" t="s">
        <v>10270</v>
      </c>
      <c r="C8164" s="5" t="str">
        <f>IFERROR(__xludf.DUMMYFUNCTION("GOOGLETRANSLATE(B8164,""en"",""de"")"),"Eine junge Lady Roller Skate auf der Straße im Wald.")</f>
        <v>Eine junge Lady Roller Skate auf der Straße im Wald.</v>
      </c>
    </row>
    <row r="8165">
      <c r="A8165" s="4" t="s">
        <v>10269</v>
      </c>
      <c r="B8165" s="4" t="s">
        <v>10271</v>
      </c>
      <c r="C8165" s="5" t="str">
        <f>IFERROR(__xludf.DUMMYFUNCTION("GOOGLETRANSLATE(B8165,""en"",""de"")"),"Dann kommt sie an der Spitze eines verlassenen Autoes an.")</f>
        <v>Dann kommt sie an der Spitze eines verlassenen Autoes an.</v>
      </c>
    </row>
    <row r="8166">
      <c r="A8166" s="4" t="s">
        <v>10272</v>
      </c>
      <c r="B8166" s="4" t="s">
        <v>10273</v>
      </c>
      <c r="C8166" s="5" t="str">
        <f>IFERROR(__xludf.DUMMYFUNCTION("GOOGLETRANSLATE(B8166,""en"",""de"")"),"Ein Mann fährt auf einem Laufband, gefolgt von mehreren Bildern des Laufbandes und einem Mann, der Fotos macht.")</f>
        <v>Ein Mann fährt auf einem Laufband, gefolgt von mehreren Bildern des Laufbandes und einem Mann, der Fotos macht.</v>
      </c>
    </row>
    <row r="8167">
      <c r="A8167" s="4" t="s">
        <v>10272</v>
      </c>
      <c r="B8167" s="4" t="s">
        <v>10274</v>
      </c>
      <c r="C8167" s="5" t="str">
        <f>IFERROR(__xludf.DUMMYFUNCTION("GOOGLETRANSLATE(B8167,""en"",""de"")"),"Eine Person macht die Maschine rückgängig und reitet dann auf der Maschine und führt zu mehr Menschen, die Fotos von der Maschine und Personen machen.")</f>
        <v>Eine Person macht die Maschine rückgängig und reitet dann auf der Maschine und führt zu mehr Menschen, die Fotos von der Maschine und Personen machen.</v>
      </c>
    </row>
    <row r="8168">
      <c r="A8168" s="4" t="s">
        <v>10275</v>
      </c>
      <c r="B8168" s="4" t="s">
        <v>10276</v>
      </c>
      <c r="C8168" s="5" t="str">
        <f>IFERROR(__xludf.DUMMYFUNCTION("GOOGLETRANSLATE(B8168,""en"",""de"")"),"Zwei Männer sitzen mit den Armen auf dem Tisch am Tisch, sie sind für Armringen positioniert.")</f>
        <v>Zwei Männer sitzen mit den Armen auf dem Tisch am Tisch, sie sind für Armringen positioniert.</v>
      </c>
    </row>
    <row r="8169">
      <c r="A8169" s="4" t="s">
        <v>10275</v>
      </c>
      <c r="B8169" s="4" t="s">
        <v>10277</v>
      </c>
      <c r="C8169" s="5" t="str">
        <f>IFERROR(__xludf.DUMMYFUNCTION("GOOGLETRANSLATE(B8169,""en"",""de"")"),"In der Mitte steht ein im blaues Hemd und hält beide Hände des Spielers.")</f>
        <v>In der Mitte steht ein im blaues Hemd und hält beide Hände des Spielers.</v>
      </c>
    </row>
    <row r="8170">
      <c r="A8170" s="4" t="s">
        <v>10275</v>
      </c>
      <c r="B8170" s="4" t="s">
        <v>10278</v>
      </c>
      <c r="C8170" s="5" t="str">
        <f>IFERROR(__xludf.DUMMYFUNCTION("GOOGLETRANSLATE(B8170,""en"",""de"")"),"Der Mann mit dem Bären brach sich den Arm, nachdem der andere Mann ihn niedergeschlagen hatte.")</f>
        <v>Der Mann mit dem Bären brach sich den Arm, nachdem der andere Mann ihn niedergeschlagen hatte.</v>
      </c>
    </row>
    <row r="8171">
      <c r="A8171" s="4" t="s">
        <v>10279</v>
      </c>
      <c r="B8171" s="4" t="s">
        <v>10280</v>
      </c>
      <c r="C8171" s="5" t="str">
        <f>IFERROR(__xludf.DUMMYFUNCTION("GOOGLETRANSLATE(B8171,""en"",""de"")"),"Touristen fahren Kamele, während die Leute die Kamele mit einem Seil ziehen.")</f>
        <v>Touristen fahren Kamele, während die Leute die Kamele mit einem Seil ziehen.</v>
      </c>
    </row>
    <row r="8172">
      <c r="A8172" s="4" t="s">
        <v>10279</v>
      </c>
      <c r="B8172" s="4" t="s">
        <v>10281</v>
      </c>
      <c r="C8172" s="5" t="str">
        <f>IFERROR(__xludf.DUMMYFUNCTION("GOOGLETRANSLATE(B8172,""en"",""de"")"),"Männer helfen einem Paar, die Kamele zu entladen und zu füttern.")</f>
        <v>Männer helfen einem Paar, die Kamele zu entladen und zu füttern.</v>
      </c>
    </row>
    <row r="8173">
      <c r="A8173" s="4" t="s">
        <v>10282</v>
      </c>
      <c r="B8173" s="4" t="s">
        <v>10283</v>
      </c>
      <c r="C8173" s="5" t="str">
        <f>IFERROR(__xludf.DUMMYFUNCTION("GOOGLETRANSLATE(B8173,""en"",""de"")"),"Zwei Männer tanzen auf einer Bühne.")</f>
        <v>Zwei Männer tanzen auf einer Bühne.</v>
      </c>
    </row>
    <row r="8174">
      <c r="A8174" s="4" t="s">
        <v>10282</v>
      </c>
      <c r="B8174" s="4" t="s">
        <v>10284</v>
      </c>
      <c r="C8174" s="5" t="str">
        <f>IFERROR(__xludf.DUMMYFUNCTION("GOOGLETRANSLATE(B8174,""en"",""de"")"),"Sie legten ihre Hände neben ihr Gesicht.")</f>
        <v>Sie legten ihre Hände neben ihr Gesicht.</v>
      </c>
    </row>
    <row r="8175">
      <c r="A8175" s="4" t="s">
        <v>10282</v>
      </c>
      <c r="B8175" s="4" t="s">
        <v>10285</v>
      </c>
      <c r="C8175" s="5" t="str">
        <f>IFERROR(__xludf.DUMMYFUNCTION("GOOGLETRANSLATE(B8175,""en"",""de"")"),"Auf dem Bildschirm wird ein Album einer Frau angezeigt.")</f>
        <v>Auf dem Bildschirm wird ein Album einer Frau angezeigt.</v>
      </c>
    </row>
    <row r="8176">
      <c r="A8176" s="4" t="s">
        <v>10286</v>
      </c>
      <c r="B8176" s="4" t="s">
        <v>10287</v>
      </c>
      <c r="C8176" s="5" t="str">
        <f>IFERROR(__xludf.DUMMYFUNCTION("GOOGLETRANSLATE(B8176,""en"",""de"")"),"Ein Mann biegt sich nieder und nimmt ein großes Gewicht auf.")</f>
        <v>Ein Mann biegt sich nieder und nimmt ein großes Gewicht auf.</v>
      </c>
    </row>
    <row r="8177">
      <c r="A8177" s="4" t="s">
        <v>10286</v>
      </c>
      <c r="B8177" s="4" t="s">
        <v>10288</v>
      </c>
      <c r="C8177" s="5" t="str">
        <f>IFERROR(__xludf.DUMMYFUNCTION("GOOGLETRANSLATE(B8177,""en"",""de"")"),"Er hebt es über seinen Kopf.")</f>
        <v>Er hebt es über seinen Kopf.</v>
      </c>
    </row>
    <row r="8178">
      <c r="A8178" s="4" t="s">
        <v>10286</v>
      </c>
      <c r="B8178" s="4" t="s">
        <v>10289</v>
      </c>
      <c r="C8178" s="5" t="str">
        <f>IFERROR(__xludf.DUMMYFUNCTION("GOOGLETRANSLATE(B8178,""en"",""de"")"),"Dann lässt er es auf den Boden fallen.")</f>
        <v>Dann lässt er es auf den Boden fallen.</v>
      </c>
    </row>
    <row r="8179">
      <c r="A8179" s="4" t="s">
        <v>10290</v>
      </c>
      <c r="B8179" s="4" t="s">
        <v>10291</v>
      </c>
      <c r="C8179" s="5" t="str">
        <f>IFERROR(__xludf.DUMMYFUNCTION("GOOGLETRANSLATE(B8179,""en"",""de"")"),"Ein Mann und eine Frau ringen mitten in der Bühne auf einen Tisch und die Frau gewinnt.")</f>
        <v>Ein Mann und eine Frau ringen mitten in der Bühne auf einen Tisch und die Frau gewinnt.</v>
      </c>
    </row>
    <row r="8180">
      <c r="A8180" s="4" t="s">
        <v>10290</v>
      </c>
      <c r="B8180" s="4" t="s">
        <v>10292</v>
      </c>
      <c r="C8180" s="5" t="str">
        <f>IFERROR(__xludf.DUMMYFUNCTION("GOOGLETRANSLATE(B8180,""en"",""de"")"),"Die Menschen sind auf der Bühne auf der Bühne und beobachten den Wettbewerb.")</f>
        <v>Die Menschen sind auf der Bühne auf der Bühne und beobachten den Wettbewerb.</v>
      </c>
    </row>
    <row r="8181">
      <c r="A8181" s="4" t="s">
        <v>10293</v>
      </c>
      <c r="B8181" s="4" t="s">
        <v>10294</v>
      </c>
      <c r="C8181" s="5" t="str">
        <f>IFERROR(__xludf.DUMMYFUNCTION("GOOGLETRANSLATE(B8181,""en"",""de"")"),"Ein Howcast -Logo ist die Eröffnungsszene des Videos.")</f>
        <v>Ein Howcast -Logo ist die Eröffnungsszene des Videos.</v>
      </c>
    </row>
    <row r="8182">
      <c r="A8182" s="4" t="s">
        <v>10293</v>
      </c>
      <c r="B8182" s="4" t="s">
        <v>10295</v>
      </c>
      <c r="C8182" s="5" t="str">
        <f>IFERROR(__xludf.DUMMYFUNCTION("GOOGLETRANSLATE(B8182,""en"",""de"")"),"Eine Frau zeigt Gemälde ihrer Arbeit.")</f>
        <v>Eine Frau zeigt Gemälde ihrer Arbeit.</v>
      </c>
    </row>
    <row r="8183">
      <c r="A8183" s="4" t="s">
        <v>10293</v>
      </c>
      <c r="B8183" s="4" t="s">
        <v>10296</v>
      </c>
      <c r="C8183" s="5" t="str">
        <f>IFERROR(__xludf.DUMMYFUNCTION("GOOGLETRANSLATE(B8183,""en"",""de"")"),"Eine Anweisungsrutsche wird angezeigt.")</f>
        <v>Eine Anweisungsrutsche wird angezeigt.</v>
      </c>
    </row>
    <row r="8184">
      <c r="A8184" s="4" t="s">
        <v>10293</v>
      </c>
      <c r="B8184" s="4" t="s">
        <v>10297</v>
      </c>
      <c r="C8184" s="5" t="str">
        <f>IFERROR(__xludf.DUMMYFUNCTION("GOOGLETRANSLATE(B8184,""en"",""de"")"),"Die Frau erklärt die verwendeten Materialien.")</f>
        <v>Die Frau erklärt die verwendeten Materialien.</v>
      </c>
    </row>
    <row r="8185">
      <c r="A8185" s="4" t="s">
        <v>10293</v>
      </c>
      <c r="B8185" s="4" t="s">
        <v>10298</v>
      </c>
      <c r="C8185" s="5" t="str">
        <f>IFERROR(__xludf.DUMMYFUNCTION("GOOGLETRANSLATE(B8185,""en"",""de"")"),"Sie beschreibt dann die Pinsel, die sie verwendet.")</f>
        <v>Sie beschreibt dann die Pinsel, die sie verwendet.</v>
      </c>
    </row>
    <row r="8186">
      <c r="A8186" s="4" t="s">
        <v>10293</v>
      </c>
      <c r="B8186" s="4" t="s">
        <v>10299</v>
      </c>
      <c r="C8186" s="5" t="str">
        <f>IFERROR(__xludf.DUMMYFUNCTION("GOOGLETRANSLATE(B8186,""en"",""de"")"),"Sie zeigt die Lackpalette und verschiedene Farben der Farbe.")</f>
        <v>Sie zeigt die Lackpalette und verschiedene Farben der Farbe.</v>
      </c>
    </row>
    <row r="8187">
      <c r="A8187" s="4" t="s">
        <v>10293</v>
      </c>
      <c r="B8187" s="4" t="s">
        <v>10300</v>
      </c>
      <c r="C8187" s="5" t="str">
        <f>IFERROR(__xludf.DUMMYFUNCTION("GOOGLETRANSLATE(B8187,""en"",""de"")"),"Sie erklärt die Farbflaschen.")</f>
        <v>Sie erklärt die Farbflaschen.</v>
      </c>
    </row>
    <row r="8188">
      <c r="A8188" s="4" t="s">
        <v>10293</v>
      </c>
      <c r="B8188" s="4" t="s">
        <v>10301</v>
      </c>
      <c r="C8188" s="5" t="str">
        <f>IFERROR(__xludf.DUMMYFUNCTION("GOOGLETRANSLATE(B8188,""en"",""de"")"),"Sie weist dann an, wie man die Bürsten mit Flüssigkeit und Papiertüchern reinigt.")</f>
        <v>Sie weist dann an, wie man die Bürsten mit Flüssigkeit und Papiertüchern reinigt.</v>
      </c>
    </row>
    <row r="8189">
      <c r="A8189" s="4" t="s">
        <v>10293</v>
      </c>
      <c r="B8189" s="4" t="s">
        <v>10302</v>
      </c>
      <c r="C8189" s="5" t="str">
        <f>IFERROR(__xludf.DUMMYFUNCTION("GOOGLETRANSLATE(B8189,""en"",""de"")"),"Das Video endet mit dem gleichen Logo, mit dem es begann.")</f>
        <v>Das Video endet mit dem gleichen Logo, mit dem es begann.</v>
      </c>
    </row>
    <row r="8190">
      <c r="A8190" s="4" t="s">
        <v>10303</v>
      </c>
      <c r="B8190" s="4" t="s">
        <v>10304</v>
      </c>
      <c r="C8190" s="5" t="str">
        <f>IFERROR(__xludf.DUMMYFUNCTION("GOOGLETRANSLATE(B8190,""en"",""de"")"),"Eine Gruppe von Mädchen im Feldhockey -Outfits geht in einer Linie auf ein grünes Feld.")</f>
        <v>Eine Gruppe von Mädchen im Feldhockey -Outfits geht in einer Linie auf ein grünes Feld.</v>
      </c>
    </row>
    <row r="8191">
      <c r="A8191" s="4" t="s">
        <v>10303</v>
      </c>
      <c r="B8191" s="4" t="s">
        <v>10305</v>
      </c>
      <c r="C8191" s="5" t="str">
        <f>IFERROR(__xludf.DUMMYFUNCTION("GOOGLETRANSLATE(B8191,""en"",""de"")"),"Die Mädchen werden dann vor einem männlichen Trainer gesehen, der mit ihnen spricht und auf Plätze auf dem Feld hinweist.")</f>
        <v>Die Mädchen werden dann vor einem männlichen Trainer gesehen, der mit ihnen spricht und auf Plätze auf dem Feld hinweist.</v>
      </c>
    </row>
    <row r="8192">
      <c r="A8192" s="4" t="s">
        <v>10303</v>
      </c>
      <c r="B8192" s="4" t="s">
        <v>10306</v>
      </c>
      <c r="C8192" s="5" t="str">
        <f>IFERROR(__xludf.DUMMYFUNCTION("GOOGLETRANSLATE(B8192,""en"",""de"")"),"Mehrere Mädchen werden aus dem Feld und Tribünen vor und als Video der Mädchen, die Feldhockey praktizieren, werden gezeigt.")</f>
        <v>Mehrere Mädchen werden aus dem Feld und Tribünen vor und als Video der Mädchen, die Feldhockey praktizieren, werden gezeigt.</v>
      </c>
    </row>
    <row r="8193">
      <c r="A8193" s="4" t="s">
        <v>10303</v>
      </c>
      <c r="B8193" s="4" t="s">
        <v>10307</v>
      </c>
      <c r="C8193" s="5" t="str">
        <f>IFERROR(__xludf.DUMMYFUNCTION("GOOGLETRANSLATE(B8193,""en"",""de"")"),"Den Mädchen wird das Spielfeldhockey dann auf einem großen grünen Feld gezeigt, das mit einem Interview des Trainers durchsetzt ist.")</f>
        <v>Den Mädchen wird das Spielfeldhockey dann auf einem großen grünen Feld gezeigt, das mit einem Interview des Trainers durchsetzt ist.</v>
      </c>
    </row>
    <row r="8194">
      <c r="A8194" s="4" t="s">
        <v>10308</v>
      </c>
      <c r="B8194" s="4" t="s">
        <v>10309</v>
      </c>
      <c r="C8194" s="5" t="str">
        <f>IFERROR(__xludf.DUMMYFUNCTION("GOOGLETRANSLATE(B8194,""en"",""de"")"),"Der Mensch steht mit der Kamera und zeigt ein großes Metallstück.")</f>
        <v>Der Mensch steht mit der Kamera und zeigt ein großes Metallstück.</v>
      </c>
    </row>
    <row r="8195">
      <c r="A8195" s="4" t="s">
        <v>10308</v>
      </c>
      <c r="B8195" s="4" t="s">
        <v>10310</v>
      </c>
      <c r="C8195" s="5" t="str">
        <f>IFERROR(__xludf.DUMMYFUNCTION("GOOGLETRANSLATE(B8195,""en"",""de"")"),"Der Mann im Raum spielt die Mundharmonika.")</f>
        <v>Der Mann im Raum spielt die Mundharmonika.</v>
      </c>
    </row>
    <row r="8196">
      <c r="A8196" s="4" t="s">
        <v>10308</v>
      </c>
      <c r="B8196" s="4" t="s">
        <v>10311</v>
      </c>
      <c r="C8196" s="5" t="str">
        <f>IFERROR(__xludf.DUMMYFUNCTION("GOOGLETRANSLATE(B8196,""en"",""de"")"),"Der Mann hört auf zu spielen und spricht in einem kleinen weißen Raum weiter mit der Kamera.")</f>
        <v>Der Mann hört auf zu spielen und spricht in einem kleinen weißen Raum weiter mit der Kamera.</v>
      </c>
    </row>
    <row r="8197">
      <c r="A8197" s="4" t="s">
        <v>10312</v>
      </c>
      <c r="B8197" s="4" t="s">
        <v>10313</v>
      </c>
      <c r="C8197" s="5" t="str">
        <f>IFERROR(__xludf.DUMMYFUNCTION("GOOGLETRANSLATE(B8197,""en"",""de"")"),"Eine weiße BMW 3er befindet sich in einer Garage, die von zwei Männern gereinigt wird, die Sicherheitsjacken tragen.")</f>
        <v>Eine weiße BMW 3er befindet sich in einer Garage, die von zwei Männern gereinigt wird, die Sicherheitsjacken tragen.</v>
      </c>
    </row>
    <row r="8198">
      <c r="A8198" s="4" t="s">
        <v>10312</v>
      </c>
      <c r="B8198" s="4" t="s">
        <v>10314</v>
      </c>
      <c r="C8198" s="5" t="str">
        <f>IFERROR(__xludf.DUMMYFUNCTION("GOOGLETRANSLATE(B8198,""en"",""de"")"),"Sobald die Vorderseite gereinigt ist, bewegen sich die Männer in Richtung Rücken und sprühen das Fahrzeug und kehren zurück, um den Felgen zu sprühen und zurück zum Kofferraum, um alle Flecken zu erhalten.")</f>
        <v>Sobald die Vorderseite gereinigt ist, bewegen sich die Männer in Richtung Rücken und sprühen das Fahrzeug und kehren zurück, um den Felgen zu sprühen und zurück zum Kofferraum, um alle Flecken zu erhalten.</v>
      </c>
    </row>
    <row r="8199">
      <c r="A8199" s="4" t="s">
        <v>10315</v>
      </c>
      <c r="B8199" s="4" t="s">
        <v>10316</v>
      </c>
      <c r="C8199" s="5" t="str">
        <f>IFERROR(__xludf.DUMMYFUNCTION("GOOGLETRANSLATE(B8199,""en"",""de"")"),"Es gibt zwei Mädchen, die funkelnde blaue Tanktops und schwarze Röcke tragen, die einen koordinierten Tanz mit Stöcken in den Händen in einem Fitnessstudio machen.")</f>
        <v>Es gibt zwei Mädchen, die funkelnde blaue Tanktops und schwarze Röcke tragen, die einen koordinierten Tanz mit Stöcken in den Händen in einem Fitnessstudio machen.</v>
      </c>
    </row>
    <row r="8200">
      <c r="A8200" s="4" t="s">
        <v>10315</v>
      </c>
      <c r="B8200" s="4" t="s">
        <v>10317</v>
      </c>
      <c r="C8200" s="5" t="str">
        <f>IFERROR(__xludf.DUMMYFUNCTION("GOOGLETRANSLATE(B8200,""en"",""de"")"),"Sie beginnen sich zunächst mit dem Rücken zur Kamera und brechen in eine Tanzbewegung ein, indem sie ihre Stöcke in der Luft heben.")</f>
        <v>Sie beginnen sich zunächst mit dem Rücken zur Kamera und brechen in eine Tanzbewegung ein, indem sie ihre Stöcke in der Luft heben.</v>
      </c>
    </row>
    <row r="8201">
      <c r="A8201" s="4" t="s">
        <v>10315</v>
      </c>
      <c r="B8201" s="4" t="s">
        <v>10318</v>
      </c>
      <c r="C8201" s="5" t="str">
        <f>IFERROR(__xludf.DUMMYFUNCTION("GOOGLETRANSLATE(B8201,""en"",""de"")"),"Dann schleudern sie mit ihren Stöcken in die Luft und fangen sie und drehen sich zu der Kamera um.")</f>
        <v>Dann schleudern sie mit ihren Stöcken in die Luft und fangen sie und drehen sich zu der Kamera um.</v>
      </c>
    </row>
    <row r="8202">
      <c r="A8202" s="4" t="s">
        <v>10315</v>
      </c>
      <c r="B8202" s="4" t="s">
        <v>10319</v>
      </c>
      <c r="C8202" s="5" t="str">
        <f>IFERROR(__xludf.DUMMYFUNCTION("GOOGLETRANSLATE(B8202,""en"",""de"")"),"Sie tanzen weiterhin in Koordination, indem sie in Kreisen gehen und gleichzeitig ihre Körper drehen.")</f>
        <v>Sie tanzen weiterhin in Koordination, indem sie in Kreisen gehen und gleichzeitig ihre Körper drehen.</v>
      </c>
    </row>
    <row r="8203">
      <c r="A8203" s="4" t="s">
        <v>10315</v>
      </c>
      <c r="B8203" s="4" t="s">
        <v>10320</v>
      </c>
      <c r="C8203" s="5" t="str">
        <f>IFERROR(__xludf.DUMMYFUNCTION("GOOGLETRANSLATE(B8203,""en"",""de"")"),"Dann machen sie vorne zusammen und drehen weiterhin ihren Körper in kreisförmiger Bewegung.")</f>
        <v>Dann machen sie vorne zusammen und drehen weiterhin ihren Körper in kreisförmiger Bewegung.</v>
      </c>
    </row>
    <row r="8204">
      <c r="A8204" s="4" t="s">
        <v>10315</v>
      </c>
      <c r="B8204" s="4" t="s">
        <v>10321</v>
      </c>
      <c r="C8204" s="5" t="str">
        <f>IFERROR(__xludf.DUMMYFUNCTION("GOOGLETRANSLATE(B8204,""en"",""de"")"),"Einer der Tänzer macht einen vorderen Flip, während der andere den Stock in die Luft wirft und ihn fängt.")</f>
        <v>Einer der Tänzer macht einen vorderen Flip, während der andere den Stock in die Luft wirft und ihn fängt.</v>
      </c>
    </row>
    <row r="8205">
      <c r="A8205" s="4" t="s">
        <v>10315</v>
      </c>
      <c r="B8205" s="4" t="s">
        <v>10322</v>
      </c>
      <c r="C8205" s="5" t="str">
        <f>IFERROR(__xludf.DUMMYFUNCTION("GOOGLETRANSLATE(B8205,""en"",""de"")"),"Sie tanzen weiter, während sie ihre Stöcke schleudern und sie in ihren Händen fangen, während sie sich selbst koordinieren.")</f>
        <v>Sie tanzen weiter, während sie ihre Stöcke schleudern und sie in ihren Händen fangen, während sie sich selbst koordinieren.</v>
      </c>
    </row>
    <row r="8206">
      <c r="A8206" s="4" t="s">
        <v>10315</v>
      </c>
      <c r="B8206" s="4" t="s">
        <v>10323</v>
      </c>
      <c r="C8206" s="5" t="str">
        <f>IFERROR(__xludf.DUMMYFUNCTION("GOOGLETRANSLATE(B8206,""en"",""de"")"),"Nachdem sie mit dem Tanzen fertig sind, stehen sie zusammen und winken zur Kamera.")</f>
        <v>Nachdem sie mit dem Tanzen fertig sind, stehen sie zusammen und winken zur Kamera.</v>
      </c>
    </row>
    <row r="8207">
      <c r="A8207" s="4" t="s">
        <v>10324</v>
      </c>
      <c r="B8207" s="4" t="s">
        <v>10325</v>
      </c>
      <c r="C8207" s="5" t="str">
        <f>IFERROR(__xludf.DUMMYFUNCTION("GOOGLETRANSLATE(B8207,""en"",""de"")"),"Eine Frau mit kurzem Haar trägt ein Kopfhörer und eine Brille zeigt zwei Klammern, dann hat sie beide Seiten ihres Haares geschnitten, zeigte ihre blauen und weißen Kontaktlinsenbehälter und entfernte ihre Brille.")</f>
        <v>Eine Frau mit kurzem Haar trägt ein Kopfhörer und eine Brille zeigt zwei Klammern, dann hat sie beide Seiten ihres Haares geschnitten, zeigte ihre blauen und weißen Kontaktlinsenbehälter und entfernte ihre Brille.</v>
      </c>
    </row>
    <row r="8208">
      <c r="A8208" s="4" t="s">
        <v>10324</v>
      </c>
      <c r="B8208" s="4" t="s">
        <v>10326</v>
      </c>
      <c r="C8208" s="5" t="str">
        <f>IFERROR(__xludf.DUMMYFUNCTION("GOOGLETRANSLATE(B8208,""en"",""de"")"),"Sie zeigte ihre Hand, zeigte dann eine Sklera -Objektive und legte sie auf ihren prüfenden Auge, rannte näher an die Kamera, um ihr Auge zu zeigen, und entfernte dann die Kontaktlinse aus ihrem Auge, indem sie sie kneifen.")</f>
        <v>Sie zeigte ihre Hand, zeigte dann eine Sklera -Objektive und legte sie auf ihren prüfenden Auge, rannte näher an die Kamera, um ihr Auge zu zeigen, und entfernte dann die Kontaktlinse aus ihrem Auge, indem sie sie kneifen.</v>
      </c>
    </row>
    <row r="8209">
      <c r="A8209" s="4" t="s">
        <v>10327</v>
      </c>
      <c r="B8209" s="4" t="s">
        <v>10328</v>
      </c>
      <c r="C8209" s="5" t="str">
        <f>IFERROR(__xludf.DUMMYFUNCTION("GOOGLETRANSLATE(B8209,""en"",""de"")"),"Ein Mann wird in einem Fitnessstudio gezeigt, der sich an den Leuten anführt, als die Menschen auf ihre Stepper auf und ab gehen.")</f>
        <v>Ein Mann wird in einem Fitnessstudio gezeigt, der sich an den Leuten anführt, als die Menschen auf ihre Stepper auf und ab gehen.</v>
      </c>
    </row>
    <row r="8210">
      <c r="A8210" s="4" t="s">
        <v>10327</v>
      </c>
      <c r="B8210" s="4" t="s">
        <v>10329</v>
      </c>
      <c r="C8210" s="5" t="str">
        <f>IFERROR(__xludf.DUMMYFUNCTION("GOOGLETRANSLATE(B8210,""en"",""de"")"),"Der Mann springt sehr begeistert auf und ab und versucht, die Motivation am Laufen zu halten.")</f>
        <v>Der Mann springt sehr begeistert auf und ab und versucht, die Motivation am Laufen zu halten.</v>
      </c>
    </row>
    <row r="8211">
      <c r="A8211" s="4" t="s">
        <v>10327</v>
      </c>
      <c r="B8211" s="4" t="s">
        <v>10330</v>
      </c>
      <c r="C8211" s="5" t="str">
        <f>IFERROR(__xludf.DUMMYFUNCTION("GOOGLETRANSLATE(B8211,""en"",""de"")"),"Er ist sehr in die Klasse und sie tanzen synchron miteinander.")</f>
        <v>Er ist sehr in die Klasse und sie tanzen synchron miteinander.</v>
      </c>
    </row>
    <row r="8212">
      <c r="A8212" s="4" t="s">
        <v>10327</v>
      </c>
      <c r="B8212" s="4" t="s">
        <v>10331</v>
      </c>
      <c r="C8212" s="5" t="str">
        <f>IFERROR(__xludf.DUMMYFUNCTION("GOOGLETRANSLATE(B8212,""en"",""de"")"),"Sie schließen die Routine ab, indem sie ihre harte Arbeit klatschen und feiern.")</f>
        <v>Sie schließen die Routine ab, indem sie ihre harte Arbeit klatschen und feiern.</v>
      </c>
    </row>
    <row r="8213">
      <c r="A8213" s="4" t="s">
        <v>10332</v>
      </c>
      <c r="B8213" s="4" t="s">
        <v>10333</v>
      </c>
      <c r="C8213" s="5" t="str">
        <f>IFERROR(__xludf.DUMMYFUNCTION("GOOGLETRANSLATE(B8213,""en"",""de"")"),"Eine Nahaufnahme einer Bowlingspur ist mit einem Mann vorne zu sehen.")</f>
        <v>Eine Nahaufnahme einer Bowlingspur ist mit einem Mann vorne zu sehen.</v>
      </c>
    </row>
    <row r="8214">
      <c r="A8214" s="4" t="s">
        <v>10332</v>
      </c>
      <c r="B8214" s="4" t="s">
        <v>10334</v>
      </c>
      <c r="C8214" s="5" t="str">
        <f>IFERROR(__xludf.DUMMYFUNCTION("GOOGLETRANSLATE(B8214,""en"",""de"")"),"Der Mann wirft einen Ball auf die Fahrspur und trifft mehrere Stifte.")</f>
        <v>Der Mann wirft einen Ball auf die Fahrspur und trifft mehrere Stifte.</v>
      </c>
    </row>
    <row r="8215">
      <c r="A8215" s="4" t="s">
        <v>10332</v>
      </c>
      <c r="B8215" s="4" t="s">
        <v>10335</v>
      </c>
      <c r="C8215" s="5" t="str">
        <f>IFERROR(__xludf.DUMMYFUNCTION("GOOGLETRANSLATE(B8215,""en"",""de"")"),"Er geht schließlich wieder die Fahrspur hinauf.")</f>
        <v>Er geht schließlich wieder die Fahrspur hinauf.</v>
      </c>
    </row>
    <row r="8216">
      <c r="A8216" s="4" t="s">
        <v>10336</v>
      </c>
      <c r="B8216" s="4" t="s">
        <v>10337</v>
      </c>
      <c r="C8216" s="5" t="str">
        <f>IFERROR(__xludf.DUMMYFUNCTION("GOOGLETRANSLATE(B8216,""en"",""de"")"),"Der Mann, der ein grünes Hemd trägt, versammelt ein Fahrrad in der Mitte eines Wohnzimmers.")</f>
        <v>Der Mann, der ein grünes Hemd trägt, versammelt ein Fahrrad in der Mitte eines Wohnzimmers.</v>
      </c>
    </row>
    <row r="8217">
      <c r="A8217" s="4" t="s">
        <v>10336</v>
      </c>
      <c r="B8217" s="4" t="s">
        <v>10338</v>
      </c>
      <c r="C8217" s="5" t="str">
        <f>IFERROR(__xludf.DUMMYFUNCTION("GOOGLETRANSLATE(B8217,""en"",""de"")"),"Ein anderer Mann, der einen blauen Pullover trägt, hilft dem anderen Mann, die Fahrräder zu versammeln.")</f>
        <v>Ein anderer Mann, der einen blauen Pullover trägt, hilft dem anderen Mann, die Fahrräder zu versammeln.</v>
      </c>
    </row>
    <row r="8218">
      <c r="A8218" s="4" t="s">
        <v>10336</v>
      </c>
      <c r="B8218" s="4" t="s">
        <v>10339</v>
      </c>
      <c r="C8218" s="5" t="str">
        <f>IFERROR(__xludf.DUMMYFUNCTION("GOOGLETRANSLATE(B8218,""en"",""de"")"),"Männer versammeln drei Fahrräder im Wohnzimmer.")</f>
        <v>Männer versammeln drei Fahrräder im Wohnzimmer.</v>
      </c>
    </row>
    <row r="8219">
      <c r="A8219" s="4" t="s">
        <v>10340</v>
      </c>
      <c r="B8219" s="4" t="s">
        <v>10341</v>
      </c>
      <c r="C8219" s="5" t="str">
        <f>IFERROR(__xludf.DUMMYFUNCTION("GOOGLETRANSLATE(B8219,""en"",""de"")"),"Ein Mann steht mit den Armen und spaziert zwischen einem Satz ungleichmäßiger Stangen.")</f>
        <v>Ein Mann steht mit den Armen und spaziert zwischen einem Satz ungleichmäßiger Stangen.</v>
      </c>
    </row>
    <row r="8220">
      <c r="A8220" s="4" t="s">
        <v>10340</v>
      </c>
      <c r="B8220" s="4" t="s">
        <v>10342</v>
      </c>
      <c r="C8220" s="5" t="str">
        <f>IFERROR(__xludf.DUMMYFUNCTION("GOOGLETRANSLATE(B8220,""en"",""de"")"),"Der Mann hofft dann auf den Bars und beginnt sich zu drehen.")</f>
        <v>Der Mann hofft dann auf den Bars und beginnt sich zu drehen.</v>
      </c>
    </row>
    <row r="8221">
      <c r="A8221" s="4" t="s">
        <v>10340</v>
      </c>
      <c r="B8221" s="4" t="s">
        <v>10343</v>
      </c>
      <c r="C8221" s="5" t="str">
        <f>IFERROR(__xludf.DUMMYFUNCTION("GOOGLETRANSLATE(B8221,""en"",""de"")"),"Er dreht sich weiter an den Stangen und endet, indem er an die Seiten springt.")</f>
        <v>Er dreht sich weiter an den Stangen und endet, indem er an die Seiten springt.</v>
      </c>
    </row>
    <row r="8222">
      <c r="A8222" s="4" t="s">
        <v>10344</v>
      </c>
      <c r="B8222" s="4" t="s">
        <v>10345</v>
      </c>
      <c r="C8222" s="5" t="str">
        <f>IFERROR(__xludf.DUMMYFUNCTION("GOOGLETRANSLATE(B8222,""en"",""de"")"),"Die Spieler spielen in einem Eisplatz Curling.")</f>
        <v>Die Spieler spielen in einem Eisplatz Curling.</v>
      </c>
    </row>
    <row r="8223">
      <c r="A8223" s="4" t="s">
        <v>10344</v>
      </c>
      <c r="B8223" s="4" t="s">
        <v>10346</v>
      </c>
      <c r="C8223" s="5" t="str">
        <f>IFERROR(__xludf.DUMMYFUNCTION("GOOGLETRANSLATE(B8223,""en"",""de"")"),"Die Spieler haben den Stein geschoben und zwei Personen bürsten die Vorderseite des Steins, bis er das Ziel erreichte.")</f>
        <v>Die Spieler haben den Stein geschoben und zwei Personen bürsten die Vorderseite des Steins, bis er das Ziel erreichte.</v>
      </c>
    </row>
    <row r="8224">
      <c r="A8224" s="4" t="s">
        <v>10344</v>
      </c>
      <c r="B8224" s="4" t="s">
        <v>10347</v>
      </c>
      <c r="C8224" s="5" t="str">
        <f>IFERROR(__xludf.DUMMYFUNCTION("GOOGLETRANSLATE(B8224,""en"",""de"")"),"Ein asiatisches Mädchen schob den Stein und das andere Mädchen streift die Vorderseite des Steins, bis er andere Steine ​​traf.")</f>
        <v>Ein asiatisches Mädchen schob den Stein und das andere Mädchen streift die Vorderseite des Steins, bis er andere Steine ​​traf.</v>
      </c>
    </row>
    <row r="8225">
      <c r="A8225" s="4" t="s">
        <v>10348</v>
      </c>
      <c r="B8225" s="4" t="s">
        <v>10349</v>
      </c>
      <c r="C8225" s="5" t="str">
        <f>IFERROR(__xludf.DUMMYFUNCTION("GOOGLETRANSLATE(B8225,""en"",""de"")"),"Ein Mann wird gezeigt, der eine Bowlingkugel auf eine Fahrspur wirft.")</f>
        <v>Ein Mann wird gezeigt, der eine Bowlingkugel auf eine Fahrspur wirft.</v>
      </c>
    </row>
    <row r="8226">
      <c r="A8226" s="4" t="s">
        <v>10348</v>
      </c>
      <c r="B8226" s="4" t="s">
        <v>10350</v>
      </c>
      <c r="C8226" s="5" t="str">
        <f>IFERROR(__xludf.DUMMYFUNCTION("GOOGLETRANSLATE(B8226,""en"",""de"")"),"Es mischt sich dann zu einer Reihe verschiedener Kräfte des Balls in Richtung der Stifte.")</f>
        <v>Es mischt sich dann zu einer Reihe verschiedener Kräfte des Balls in Richtung der Stifte.</v>
      </c>
    </row>
    <row r="8227">
      <c r="A8227" s="4" t="s">
        <v>10348</v>
      </c>
      <c r="B8227" s="4" t="s">
        <v>10351</v>
      </c>
      <c r="C8227" s="5" t="str">
        <f>IFERROR(__xludf.DUMMYFUNCTION("GOOGLETRANSLATE(B8227,""en"",""de"")"),"Eine Frau interviewt den professionellen Bowler und legte einen Apparat am Handgelenk auf.")</f>
        <v>Eine Frau interviewt den professionellen Bowler und legte einen Apparat am Handgelenk auf.</v>
      </c>
    </row>
    <row r="8228">
      <c r="A8228" s="4" t="s">
        <v>10348</v>
      </c>
      <c r="B8228" s="4" t="s">
        <v>10352</v>
      </c>
      <c r="C8228" s="5" t="str">
        <f>IFERROR(__xludf.DUMMYFUNCTION("GOOGLETRANSLATE(B8228,""en"",""de"")"),"Er wird dann gezeigt, wie er den Ball packt und einen Abwurf in Zeitlupe macht.")</f>
        <v>Er wird dann gezeigt, wie er den Ball packt und einen Abwurf in Zeitlupe macht.</v>
      </c>
    </row>
    <row r="8229">
      <c r="A8229" s="4" t="s">
        <v>10348</v>
      </c>
      <c r="B8229" s="4" t="s">
        <v>10353</v>
      </c>
      <c r="C8229" s="5" t="str">
        <f>IFERROR(__xludf.DUMMYFUNCTION("GOOGLETRANSLATE(B8229,""en"",""de"")"),"Dies wird mehrmals aus verschiedenen Blickwinkeln gezeigt.")</f>
        <v>Dies wird mehrmals aus verschiedenen Blickwinkeln gezeigt.</v>
      </c>
    </row>
    <row r="8230">
      <c r="A8230" s="4" t="s">
        <v>10348</v>
      </c>
      <c r="B8230" s="4" t="s">
        <v>10354</v>
      </c>
      <c r="C8230" s="5" t="str">
        <f>IFERROR(__xludf.DUMMYFUNCTION("GOOGLETRANSLATE(B8230,""en"",""de"")"),"Nach einer Reihe dieser Action -Aufnahmen wechselt das Video dann zu einem Mann, der direkt in die Kamera spricht, wobei das Logo der Show nach dem Ende erscheint.")</f>
        <v>Nach einer Reihe dieser Action -Aufnahmen wechselt das Video dann zu einem Mann, der direkt in die Kamera spricht, wobei das Logo der Show nach dem Ende erscheint.</v>
      </c>
    </row>
    <row r="8231">
      <c r="A8231" s="4" t="s">
        <v>10355</v>
      </c>
      <c r="B8231" s="4" t="s">
        <v>10356</v>
      </c>
      <c r="C8231" s="5" t="str">
        <f>IFERROR(__xludf.DUMMYFUNCTION("GOOGLETRANSLATE(B8231,""en"",""de"")"),"Ein Mann auf einem Pferd durch einen Rodeo -Zaun.")</f>
        <v>Ein Mann auf einem Pferd durch einen Rodeo -Zaun.</v>
      </c>
    </row>
    <row r="8232">
      <c r="A8232" s="4" t="s">
        <v>10355</v>
      </c>
      <c r="B8232" s="4" t="s">
        <v>10357</v>
      </c>
      <c r="C8232" s="5" t="str">
        <f>IFERROR(__xludf.DUMMYFUNCTION("GOOGLETRANSLATE(B8232,""en"",""de"")"),"Er steigt ab, sucht und bindet ein Kalb.")</f>
        <v>Er steigt ab, sucht und bindet ein Kalb.</v>
      </c>
    </row>
    <row r="8233">
      <c r="A8233" s="4" t="s">
        <v>10355</v>
      </c>
      <c r="B8233" s="4" t="s">
        <v>10358</v>
      </c>
      <c r="C8233" s="5" t="str">
        <f>IFERROR(__xludf.DUMMYFUNCTION("GOOGLETRANSLATE(B8233,""en"",""de"")"),"Wenn er fertig ist, geht er zu seinem Pferd zurück und kommt wieder auf.")</f>
        <v>Wenn er fertig ist, geht er zu seinem Pferd zurück und kommt wieder auf.</v>
      </c>
    </row>
    <row r="8234">
      <c r="A8234" s="4" t="s">
        <v>10359</v>
      </c>
      <c r="B8234" s="4" t="s">
        <v>10360</v>
      </c>
      <c r="C8234" s="5" t="str">
        <f>IFERROR(__xludf.DUMMYFUNCTION("GOOGLETRANSLATE(B8234,""en"",""de"")"),"Eine Nahaufnahme eines Tätowierkünstlers ist zu sehen, wie sich das Bein einer Person entlang zeichnet.")</f>
        <v>Eine Nahaufnahme eines Tätowierkünstlers ist zu sehen, wie sich das Bein einer Person entlang zeichnet.</v>
      </c>
    </row>
    <row r="8235">
      <c r="A8235" s="4" t="s">
        <v>10359</v>
      </c>
      <c r="B8235" s="4" t="s">
        <v>10361</v>
      </c>
      <c r="C8235" s="5" t="str">
        <f>IFERROR(__xludf.DUMMYFUNCTION("GOOGLETRANSLATE(B8235,""en"",""de"")"),"Der Künstler zeichnet weiter über das gesamte Bein der Person und schaut ab und zu auf die Kamera.")</f>
        <v>Der Künstler zeichnet weiter über das gesamte Bein der Person und schaut ab und zu auf die Kamera.</v>
      </c>
    </row>
    <row r="8236">
      <c r="A8236" s="4" t="s">
        <v>10362</v>
      </c>
      <c r="B8236" s="4" t="s">
        <v>10363</v>
      </c>
      <c r="C8236" s="5" t="str">
        <f>IFERROR(__xludf.DUMMYFUNCTION("GOOGLETRANSLATE(B8236,""en"",""de"")"),"Ein kleines Kind geht zum Ende eines Tauchbretts und schaut in die Kamera.")</f>
        <v>Ein kleines Kind geht zum Ende eines Tauchbretts und schaut in die Kamera.</v>
      </c>
    </row>
    <row r="8237">
      <c r="A8237" s="4" t="s">
        <v>10362</v>
      </c>
      <c r="B8237" s="4" t="s">
        <v>10364</v>
      </c>
      <c r="C8237" s="5" t="str">
        <f>IFERROR(__xludf.DUMMYFUNCTION("GOOGLETRANSLATE(B8237,""en"",""de"")"),"Der Junge taucht dann ins Wasser ein und die Kamera fängt ihn ein, sich von Unterwasser zu bewegen.")</f>
        <v>Der Junge taucht dann ins Wasser ein und die Kamera fängt ihn ein, sich von Unterwasser zu bewegen.</v>
      </c>
    </row>
    <row r="8238">
      <c r="A8238" s="4" t="s">
        <v>10365</v>
      </c>
      <c r="B8238" s="4" t="s">
        <v>10366</v>
      </c>
      <c r="C8238" s="5" t="str">
        <f>IFERROR(__xludf.DUMMYFUNCTION("GOOGLETRANSLATE(B8238,""en"",""de"")"),"Frau steht mitten in der Bühne und spielt die Flöte.")</f>
        <v>Frau steht mitten in der Bühne und spielt die Flöte.</v>
      </c>
    </row>
    <row r="8239">
      <c r="A8239" s="4" t="s">
        <v>10365</v>
      </c>
      <c r="B8239" s="4" t="s">
        <v>10367</v>
      </c>
      <c r="C8239" s="5" t="str">
        <f>IFERROR(__xludf.DUMMYFUNCTION("GOOGLETRANSLATE(B8239,""en"",""de"")"),"Frauen stehen hinter der Frau in Salbei hinter der Frau, wobei die Flöte Mikrofone hält.")</f>
        <v>Frauen stehen hinter der Frau in Salbei hinter der Frau, wobei die Flöte Mikrofone hält.</v>
      </c>
    </row>
    <row r="8240">
      <c r="A8240" s="4" t="s">
        <v>10365</v>
      </c>
      <c r="B8240" s="4" t="s">
        <v>10368</v>
      </c>
      <c r="C8240" s="5" t="str">
        <f>IFERROR(__xludf.DUMMYFUNCTION("GOOGLETRANSLATE(B8240,""en"",""de"")"),"Männer stehen hinter den Frauen, die verschiedene Instrumente spielen.")</f>
        <v>Männer stehen hinter den Frauen, die verschiedene Instrumente spielen.</v>
      </c>
    </row>
    <row r="8241">
      <c r="A8241" s="4" t="s">
        <v>10369</v>
      </c>
      <c r="B8241" s="4" t="s">
        <v>10370</v>
      </c>
      <c r="C8241" s="5" t="str">
        <f>IFERROR(__xludf.DUMMYFUNCTION("GOOGLETRANSLATE(B8241,""en"",""de"")"),"Es gibt ein kleines Mädchen in einem rosa Hemd, schwarzen Strumpfhosen und rosa Schuhen, die auf einem Spielplatz Hop Scotch spielen.")</f>
        <v>Es gibt ein kleines Mädchen in einem rosa Hemd, schwarzen Strumpfhosen und rosa Schuhen, die auf einem Spielplatz Hop Scotch spielen.</v>
      </c>
    </row>
    <row r="8242">
      <c r="A8242" s="4" t="s">
        <v>10369</v>
      </c>
      <c r="B8242" s="4" t="s">
        <v>10371</v>
      </c>
      <c r="C8242" s="5" t="str">
        <f>IFERROR(__xludf.DUMMYFUNCTION("GOOGLETRANSLATE(B8242,""en"",""de"")"),"Sie springt auf den farbenfrohen Quadraten herum, als sie Spaß hat.")</f>
        <v>Sie springt auf den farbenfrohen Quadraten herum, als sie Spaß hat.</v>
      </c>
    </row>
    <row r="8243">
      <c r="A8243" s="4" t="s">
        <v>10369</v>
      </c>
      <c r="B8243" s="4" t="s">
        <v>10372</v>
      </c>
      <c r="C8243" s="5" t="str">
        <f>IFERROR(__xludf.DUMMYFUNCTION("GOOGLETRANSLATE(B8243,""en"",""de"")"),"Dann geht sie um einen kleinen Wasserbrunnen, der sich neben den Hop Scotch Quadrares befindet.")</f>
        <v>Dann geht sie um einen kleinen Wasserbrunnen, der sich neben den Hop Scotch Quadrares befindet.</v>
      </c>
    </row>
    <row r="8244">
      <c r="A8244" s="4" t="s">
        <v>10369</v>
      </c>
      <c r="B8244" s="4" t="s">
        <v>10373</v>
      </c>
      <c r="C8244" s="5" t="str">
        <f>IFERROR(__xludf.DUMMYFUNCTION("GOOGLETRANSLATE(B8244,""en"",""de"")"),"Sie hat sich am Spielen am Spielplatz amüsiert.")</f>
        <v>Sie hat sich am Spielen am Spielplatz amüsiert.</v>
      </c>
    </row>
    <row r="8245">
      <c r="A8245" s="4" t="s">
        <v>10374</v>
      </c>
      <c r="B8245" s="4" t="s">
        <v>10375</v>
      </c>
      <c r="C8245" s="5" t="str">
        <f>IFERROR(__xludf.DUMMYFUNCTION("GOOGLETRANSLATE(B8245,""en"",""de"")"),"Ein Mann sitzt an einem schwarzen Jacktisch.")</f>
        <v>Ein Mann sitzt an einem schwarzen Jacktisch.</v>
      </c>
    </row>
    <row r="8246">
      <c r="A8246" s="4" t="s">
        <v>10374</v>
      </c>
      <c r="B8246" s="4" t="s">
        <v>10376</v>
      </c>
      <c r="C8246" s="5" t="str">
        <f>IFERROR(__xludf.DUMMYFUNCTION("GOOGLETRANSLATE(B8246,""en"",""de"")"),"Er spricht über das Spiel und zeigt die Karten und Chips.")</f>
        <v>Er spricht über das Spiel und zeigt die Karten und Chips.</v>
      </c>
    </row>
    <row r="8247">
      <c r="A8247" s="4" t="s">
        <v>10374</v>
      </c>
      <c r="B8247" s="4" t="s">
        <v>10377</v>
      </c>
      <c r="C8247" s="5" t="str">
        <f>IFERROR(__xludf.DUMMYFUNCTION("GOOGLETRANSLATE(B8247,""en"",""de"")"),"Er zeigt, wie man jede Hand umgeht und wie man die Chips an die Gewinner abgibt.")</f>
        <v>Er zeigt, wie man jede Hand umgeht und wie man die Chips an die Gewinner abgibt.</v>
      </c>
    </row>
    <row r="8248">
      <c r="A8248" s="4" t="s">
        <v>10378</v>
      </c>
      <c r="B8248" s="4" t="s">
        <v>10379</v>
      </c>
      <c r="C8248" s="5" t="str">
        <f>IFERROR(__xludf.DUMMYFUNCTION("GOOGLETRANSLATE(B8248,""en"",""de"")"),"Ein männlicher Turner hüpft in Bars und führt eine Gymnastikroutine durch.")</f>
        <v>Ein männlicher Turner hüpft in Bars und führt eine Gymnastikroutine durch.</v>
      </c>
    </row>
    <row r="8249">
      <c r="A8249" s="4" t="s">
        <v>10378</v>
      </c>
      <c r="B8249" s="4" t="s">
        <v>10380</v>
      </c>
      <c r="C8249" s="5" t="str">
        <f>IFERROR(__xludf.DUMMYFUNCTION("GOOGLETRANSLATE(B8249,""en"",""de"")"),"Er schwingt immer wieder um die Bars herum, während die Richter beobachten und kritisieren.")</f>
        <v>Er schwingt immer wieder um die Bars herum, während die Richter beobachten und kritisieren.</v>
      </c>
    </row>
    <row r="8250">
      <c r="A8250" s="4" t="s">
        <v>10378</v>
      </c>
      <c r="B8250" s="4" t="s">
        <v>10381</v>
      </c>
      <c r="C8250" s="5" t="str">
        <f>IFERROR(__xludf.DUMMYFUNCTION("GOOGLETRANSLATE(B8250,""en"",""de"")"),"Der Mann springt schließlich ab und das Video verblasst in einen Effekt.")</f>
        <v>Der Mann springt schließlich ab und das Video verblasst in einen Effekt.</v>
      </c>
    </row>
    <row r="8251">
      <c r="A8251" s="4" t="s">
        <v>10382</v>
      </c>
      <c r="B8251" s="4" t="s">
        <v>10383</v>
      </c>
      <c r="C8251" s="5" t="str">
        <f>IFERROR(__xludf.DUMMYFUNCTION("GOOGLETRANSLATE(B8251,""en"",""de"")"),"Ein Mann, der Boxhandschuhe trägt, trifft eine Tasche in einem leeren Raum.")</f>
        <v>Ein Mann, der Boxhandschuhe trägt, trifft eine Tasche in einem leeren Raum.</v>
      </c>
    </row>
    <row r="8252">
      <c r="A8252" s="4" t="s">
        <v>10382</v>
      </c>
      <c r="B8252" s="4" t="s">
        <v>10384</v>
      </c>
      <c r="C8252" s="5" t="str">
        <f>IFERROR(__xludf.DUMMYFUNCTION("GOOGLETRANSLATE(B8252,""en"",""de"")"),"Er trifft immer wieder die Tasche, während er zwischen Schlägen hielt, um zu Atem zu kommen.")</f>
        <v>Er trifft immer wieder die Tasche, während er zwischen Schlägen hielt, um zu Atem zu kommen.</v>
      </c>
    </row>
    <row r="8253">
      <c r="A8253" s="4" t="s">
        <v>10385</v>
      </c>
      <c r="B8253" s="4" t="s">
        <v>10386</v>
      </c>
      <c r="C8253" s="5" t="str">
        <f>IFERROR(__xludf.DUMMYFUNCTION("GOOGLETRANSLATE(B8253,""en"",""de"")"),"Zwei Paare spielen in einem Platz Badminton.")</f>
        <v>Zwei Paare spielen in einem Platz Badminton.</v>
      </c>
    </row>
    <row r="8254">
      <c r="A8254" s="4" t="s">
        <v>10385</v>
      </c>
      <c r="B8254" s="4" t="s">
        <v>10387</v>
      </c>
      <c r="C8254" s="5" t="str">
        <f>IFERROR(__xludf.DUMMYFUNCTION("GOOGLETRANSLATE(B8254,""en"",""de"")"),"Ein Mann, der in den Gerichtshof eintritt und in Sit das Gericht mit einer anderen Person verließ.")</f>
        <v>Ein Mann, der in den Gerichtshof eintritt und in Sit das Gericht mit einer anderen Person verließ.</v>
      </c>
    </row>
    <row r="8255">
      <c r="A8255" s="4" t="s">
        <v>10388</v>
      </c>
      <c r="B8255" s="4" t="s">
        <v>10389</v>
      </c>
      <c r="C8255" s="5" t="str">
        <f>IFERROR(__xludf.DUMMYFUNCTION("GOOGLETRANSLATE(B8255,""en"",""de"")"),"Es gibt eine Frau, die lange schwarze Haare in einen Spiegel schauen und ihre Haare putzen.")</f>
        <v>Es gibt eine Frau, die lange schwarze Haare in einen Spiegel schauen und ihre Haare putzen.</v>
      </c>
    </row>
    <row r="8256">
      <c r="A8256" s="4" t="s">
        <v>10388</v>
      </c>
      <c r="B8256" s="4" t="s">
        <v>10390</v>
      </c>
      <c r="C8256" s="5" t="str">
        <f>IFERROR(__xludf.DUMMYFUNCTION("GOOGLETRANSLATE(B8256,""en"",""de"")"),"Es gibt eine andere Frau mit blonden Haaren, die ein Gesicht wütend und angewidert aussieht.")</f>
        <v>Es gibt eine andere Frau mit blonden Haaren, die ein Gesicht wütend und angewidert aussieht.</v>
      </c>
    </row>
    <row r="8257">
      <c r="A8257" s="4" t="s">
        <v>10391</v>
      </c>
      <c r="B8257" s="4" t="s">
        <v>10392</v>
      </c>
      <c r="C8257" s="5" t="str">
        <f>IFERROR(__xludf.DUMMYFUNCTION("GOOGLETRANSLATE(B8257,""en"",""de"")"),"Ein Barkeeper spricht mit der Kamera und gießt Eis in ein Glas.")</f>
        <v>Ein Barkeeper spricht mit der Kamera und gießt Eis in ein Glas.</v>
      </c>
    </row>
    <row r="8258">
      <c r="A8258" s="4" t="s">
        <v>10391</v>
      </c>
      <c r="B8258" s="4" t="s">
        <v>10393</v>
      </c>
      <c r="C8258" s="5" t="str">
        <f>IFERROR(__xludf.DUMMYFUNCTION("GOOGLETRANSLATE(B8258,""en"",""de"")"),"Sie glaubt, Rum und Zitronensaft in das Glas und eine Unze verschiedener Rum zu mischen.")</f>
        <v>Sie glaubt, Rum und Zitronensaft in das Glas und eine Unze verschiedener Rum zu mischen.</v>
      </c>
    </row>
    <row r="8259">
      <c r="A8259" s="4" t="s">
        <v>10391</v>
      </c>
      <c r="B8259" s="4" t="s">
        <v>10394</v>
      </c>
      <c r="C8259" s="5" t="str">
        <f>IFERROR(__xludf.DUMMYFUNCTION("GOOGLETRANSLATE(B8259,""en"",""de"")"),"Schließlich mischt sie Grenadine mit einer süßen und sauren Mischung mit Soda -Wasser.")</f>
        <v>Schließlich mischt sie Grenadine mit einer süßen und sauren Mischung mit Soda -Wasser.</v>
      </c>
    </row>
    <row r="8260">
      <c r="A8260" s="4" t="s">
        <v>10391</v>
      </c>
      <c r="B8260" s="4" t="s">
        <v>10395</v>
      </c>
      <c r="C8260" s="5" t="str">
        <f>IFERROR(__xludf.DUMMYFUNCTION("GOOGLETRANSLATE(B8260,""en"",""de"")"),"Schließlich mischt sie alle Komponenten zusammen und erstellt ein schönes alkoholisches Getränk.")</f>
        <v>Schließlich mischt sie alle Komponenten zusammen und erstellt ein schönes alkoholisches Getränk.</v>
      </c>
    </row>
    <row r="8261">
      <c r="A8261" s="4" t="s">
        <v>10396</v>
      </c>
      <c r="B8261" s="4" t="s">
        <v>10397</v>
      </c>
      <c r="C8261" s="5" t="str">
        <f>IFERROR(__xludf.DUMMYFUNCTION("GOOGLETRANSLATE(B8261,""en"",""de"")"),"Ein junges Mädchen steht auf einer Bühne vor 4 Richtern, die an einem Tisch sitzen und mit ihr sprechen.")</f>
        <v>Ein junges Mädchen steht auf einer Bühne vor 4 Richtern, die an einem Tisch sitzen und mit ihr sprechen.</v>
      </c>
    </row>
    <row r="8262">
      <c r="A8262" s="4" t="s">
        <v>10396</v>
      </c>
      <c r="B8262" s="4" t="s">
        <v>10398</v>
      </c>
      <c r="C8262" s="5" t="str">
        <f>IFERROR(__xludf.DUMMYFUNCTION("GOOGLETRANSLATE(B8262,""en"",""de"")"),"Das Mädchen beginnt dann ihre Leistung, in der sie Ballett tanzt und singt, und wenn sie zu den Richtern und dem Publikum schwenken, scheinen sie mit ihrer Leistung zufrieden zu sein.")</f>
        <v>Das Mädchen beginnt dann ihre Leistung, in der sie Ballett tanzt und singt, und wenn sie zu den Richtern und dem Publikum schwenken, scheinen sie mit ihrer Leistung zufrieden zu sein.</v>
      </c>
    </row>
    <row r="8263">
      <c r="A8263" s="4" t="s">
        <v>10396</v>
      </c>
      <c r="B8263" s="4" t="s">
        <v>10399</v>
      </c>
      <c r="C8263" s="5" t="str">
        <f>IFERROR(__xludf.DUMMYFUNCTION("GOOGLETRANSLATE(B8263,""en"",""de"")"),"Wenn das Mädchen mit der Aufführung fertig ist, bekommt sie stehende Ovationen vom Publikum und einigen der Richter.")</f>
        <v>Wenn das Mädchen mit der Aufführung fertig ist, bekommt sie stehende Ovationen vom Publikum und einigen der Richter.</v>
      </c>
    </row>
    <row r="8264">
      <c r="A8264" s="4" t="s">
        <v>10396</v>
      </c>
      <c r="B8264" s="4" t="s">
        <v>10400</v>
      </c>
      <c r="C8264" s="5" t="str">
        <f>IFERROR(__xludf.DUMMYFUNCTION("GOOGLETRANSLATE(B8264,""en"",""de"")"),"Die Richter wechseln sich dann abwechselnd mit ihr aus, in dem sie ihre Zustimmung zum Ausdruck bringen, und das Mädchen freut sich sehr darüber.")</f>
        <v>Die Richter wechseln sich dann abwechselnd mit ihr aus, in dem sie ihre Zustimmung zum Ausdruck bringen, und das Mädchen freut sich sehr darüber.</v>
      </c>
    </row>
    <row r="8265">
      <c r="A8265" s="4" t="s">
        <v>10396</v>
      </c>
      <c r="B8265" s="4" t="s">
        <v>10401</v>
      </c>
      <c r="C8265" s="5" t="str">
        <f>IFERROR(__xludf.DUMMYFUNCTION("GOOGLETRANSLATE(B8265,""en"",""de"")"),"Das Mädchen rennt dann von der Bühne und hinter den Vorhängen gibt sie einem Mann, der möglicherweise ihr Vater ist, einen Kuss und eine Umarmung.")</f>
        <v>Das Mädchen rennt dann von der Bühne und hinter den Vorhängen gibt sie einem Mann, der möglicherweise ihr Vater ist, einen Kuss und eine Umarmung.</v>
      </c>
    </row>
    <row r="8266">
      <c r="A8266" s="4" t="s">
        <v>10402</v>
      </c>
      <c r="B8266" s="4" t="s">
        <v>10403</v>
      </c>
      <c r="C8266" s="5" t="str">
        <f>IFERROR(__xludf.DUMMYFUNCTION("GOOGLETRANSLATE(B8266,""en"",""de"")"),"Eine Gruppe von Frauen ist gesehen, wie sie in einer sandigen Gegend herumläuft und miteinander ein Volleyballspiel spielen.")</f>
        <v>Eine Gruppe von Frauen ist gesehen, wie sie in einer sandigen Gegend herumläuft und miteinander ein Volleyballspiel spielen.</v>
      </c>
    </row>
    <row r="8267">
      <c r="A8267" s="4" t="s">
        <v>10402</v>
      </c>
      <c r="B8267" s="4" t="s">
        <v>10404</v>
      </c>
      <c r="C8267" s="5" t="str">
        <f>IFERROR(__xludf.DUMMYFUNCTION("GOOGLETRANSLATE(B8267,""en"",""de"")"),"Die Mädchen spielen weiterhin das Match, während andere am Rande zuschauen und am Ende langsam zurückgehen.")</f>
        <v>Die Mädchen spielen weiterhin das Match, während andere am Rande zuschauen und am Ende langsam zurückgehen.</v>
      </c>
    </row>
    <row r="8268">
      <c r="A8268" s="4" t="s">
        <v>10405</v>
      </c>
      <c r="B8268" s="4" t="s">
        <v>10406</v>
      </c>
      <c r="C8268" s="5" t="str">
        <f>IFERROR(__xludf.DUMMYFUNCTION("GOOGLETRANSLATE(B8268,""en"",""de"")"),"Ein Mädchen macht eine Balancestrahlroutine und springt herum.")</f>
        <v>Ein Mädchen macht eine Balancestrahlroutine und springt herum.</v>
      </c>
    </row>
    <row r="8269">
      <c r="A8269" s="4" t="s">
        <v>10405</v>
      </c>
      <c r="B8269" s="4" t="s">
        <v>10407</v>
      </c>
      <c r="C8269" s="5" t="str">
        <f>IFERROR(__xludf.DUMMYFUNCTION("GOOGLETRANSLATE(B8269,""en"",""de"")"),"Nach dem Dehnen macht die Frau vier Flips.")</f>
        <v>Nach dem Dehnen macht die Frau vier Flips.</v>
      </c>
    </row>
    <row r="8270">
      <c r="A8270" s="4" t="s">
        <v>10405</v>
      </c>
      <c r="B8270" s="4" t="s">
        <v>10408</v>
      </c>
      <c r="C8270" s="5" t="str">
        <f>IFERROR(__xludf.DUMMYFUNCTION("GOOGLETRANSLATE(B8270,""en"",""de"")"),"Die Frau steigt ab und beendet die Routine.")</f>
        <v>Die Frau steigt ab und beendet die Routine.</v>
      </c>
    </row>
    <row r="8271">
      <c r="A8271" s="4" t="s">
        <v>10409</v>
      </c>
      <c r="B8271" s="4" t="s">
        <v>10410</v>
      </c>
      <c r="C8271" s="5" t="str">
        <f>IFERROR(__xludf.DUMMYFUNCTION("GOOGLETRANSLATE(B8271,""en"",""de"")"),"Auf einem Fluss außerhalb der Jungs gehen die Straße entlang, als Autos vorbeikommen.")</f>
        <v>Auf einem Fluss außerhalb der Jungs gehen die Straße entlang, als Autos vorbeikommen.</v>
      </c>
    </row>
    <row r="8272">
      <c r="A8272" s="4" t="s">
        <v>10409</v>
      </c>
      <c r="B8272" s="4" t="s">
        <v>10411</v>
      </c>
      <c r="C8272" s="5" t="str">
        <f>IFERROR(__xludf.DUMMYFUNCTION("GOOGLETRANSLATE(B8272,""en"",""de"")"),"Es gibt viele Menschen, die viele verschiedene Aktivitäten auf dem Wasser machen.")</f>
        <v>Es gibt viele Menschen, die viele verschiedene Aktivitäten auf dem Wasser machen.</v>
      </c>
    </row>
    <row r="8273">
      <c r="A8273" s="4" t="s">
        <v>10409</v>
      </c>
      <c r="B8273" s="4" t="s">
        <v>10412</v>
      </c>
      <c r="C8273" s="5" t="str">
        <f>IFERROR(__xludf.DUMMYFUNCTION("GOOGLETRANSLATE(B8273,""en"",""de"")"),"Einige der Jungen springen von der Brücke und andere reiten hinter einem Boot.")</f>
        <v>Einige der Jungen springen von der Brücke und andere reiten hinter einem Boot.</v>
      </c>
    </row>
    <row r="8274">
      <c r="A8274" s="4" t="s">
        <v>10409</v>
      </c>
      <c r="B8274" s="4" t="s">
        <v>10413</v>
      </c>
      <c r="C8274" s="5" t="str">
        <f>IFERROR(__xludf.DUMMYFUNCTION("GOOGLETRANSLATE(B8274,""en"",""de"")"),"Es ist ein schöner Sommertag, draußen zu sein und Spaß in der Sonne am Wasser zu genießen.")</f>
        <v>Es ist ein schöner Sommertag, draußen zu sein und Spaß in der Sonne am Wasser zu genießen.</v>
      </c>
    </row>
    <row r="8275">
      <c r="A8275" s="4" t="s">
        <v>10414</v>
      </c>
      <c r="B8275" s="4" t="s">
        <v>10415</v>
      </c>
      <c r="C8275" s="5" t="str">
        <f>IFERROR(__xludf.DUMMYFUNCTION("GOOGLETRANSLATE(B8275,""en"",""de"")"),"Ein Mann zeigt Ihnen, wie Sie einen kleinen scharfen Endstock in der Hand und zwischen Ihren Fingern als Waffe verwenden können.")</f>
        <v>Ein Mann zeigt Ihnen, wie Sie einen kleinen scharfen Endstock in der Hand und zwischen Ihren Fingern als Waffe verwenden können.</v>
      </c>
    </row>
    <row r="8276">
      <c r="A8276" s="4" t="s">
        <v>10414</v>
      </c>
      <c r="B8276" s="4" t="s">
        <v>10416</v>
      </c>
      <c r="C8276" s="5" t="str">
        <f>IFERROR(__xludf.DUMMYFUNCTION("GOOGLETRANSLATE(B8276,""en"",""de"")"),"Der Mann zeigt Ihnen, wie man den scharfen Endstab in die Wand wirft und ihn aus verschiedenen Entfernungen kleben lässt.")</f>
        <v>Der Mann zeigt Ihnen, wie man den scharfen Endstab in die Wand wirft und ihn aus verschiedenen Entfernungen kleben lässt.</v>
      </c>
    </row>
    <row r="8277">
      <c r="A8277" s="4" t="s">
        <v>10417</v>
      </c>
      <c r="B8277" s="4" t="s">
        <v>10418</v>
      </c>
      <c r="C8277" s="5" t="str">
        <f>IFERROR(__xludf.DUMMYFUNCTION("GOOGLETRANSLATE(B8277,""en"",""de"")"),"Zwei Männer stehen zusammen mit einem, der mit der Kamera spricht und die andere auf dem Boden liegen.")</f>
        <v>Zwei Männer stehen zusammen mit einem, der mit der Kamera spricht und die andere auf dem Boden liegen.</v>
      </c>
    </row>
    <row r="8278">
      <c r="A8278" s="4" t="s">
        <v>10417</v>
      </c>
      <c r="B8278" s="4" t="s">
        <v>10419</v>
      </c>
      <c r="C8278" s="5" t="str">
        <f>IFERROR(__xludf.DUMMYFUNCTION("GOOGLETRANSLATE(B8278,""en"",""de"")"),"Der Mann kniet hinter sich und zeigt auf seinen Körper, während der Mann, der Tür legt, seine Arme und Beine bewegt, um die richtigen Übungen zu demonstrieren.")</f>
        <v>Der Mann kniet hinter sich und zeigt auf seinen Körper, während der Mann, der Tür legt, seine Arme und Beine bewegt, um die richtigen Übungen zu demonstrieren.</v>
      </c>
    </row>
    <row r="8279">
      <c r="A8279" s="4" t="s">
        <v>10420</v>
      </c>
      <c r="B8279" s="4" t="s">
        <v>10421</v>
      </c>
      <c r="C8279" s="5" t="str">
        <f>IFERROR(__xludf.DUMMYFUNCTION("GOOGLETRANSLATE(B8279,""en"",""de"")"),"Eine Nahaufnahme einer Strecke wird gezeigt, gefolgt von einer Frau, die langsam weggeht.")</f>
        <v>Eine Nahaufnahme einer Strecke wird gezeigt, gefolgt von einer Frau, die langsam weggeht.</v>
      </c>
    </row>
    <row r="8280">
      <c r="A8280" s="4" t="s">
        <v>10420</v>
      </c>
      <c r="B8280" s="4" t="s">
        <v>10422</v>
      </c>
      <c r="C8280" s="5" t="str">
        <f>IFERROR(__xludf.DUMMYFUNCTION("GOOGLETRANSLATE(B8280,""en"",""de"")"),"An verschiedenen Stellen werden dann mehrere Schüsse von ihren Langstöcken gezeigt.")</f>
        <v>An verschiedenen Stellen werden dann mehrere Schüsse von ihren Langstöcken gezeigt.</v>
      </c>
    </row>
    <row r="8281">
      <c r="A8281" s="4" t="s">
        <v>10420</v>
      </c>
      <c r="B8281" s="4" t="s">
        <v>10423</v>
      </c>
      <c r="C8281" s="5" t="str">
        <f>IFERROR(__xludf.DUMMYFUNCTION("GOOGLETRANSLATE(B8281,""en"",""de"")"),"Sie springt weiter in Zeitlupe und endet mit ihrer Landung in einer letzten Grube.")</f>
        <v>Sie springt weiter in Zeitlupe und endet mit ihrer Landung in einer letzten Grube.</v>
      </c>
    </row>
    <row r="8282">
      <c r="A8282" s="4" t="s">
        <v>10424</v>
      </c>
      <c r="B8282" s="4" t="s">
        <v>10425</v>
      </c>
      <c r="C8282" s="5" t="str">
        <f>IFERROR(__xludf.DUMMYFUNCTION("GOOGLETRANSLATE(B8282,""en"",""de"")"),"Es gibt eine Dame in Green, die die Theke schleift, die Tickets für Menschen ausgibt, die sie für Schneeschläuche kaufen.")</f>
        <v>Es gibt eine Dame in Green, die die Theke schleift, die Tickets für Menschen ausgibt, die sie für Schneeschläuche kaufen.</v>
      </c>
    </row>
    <row r="8283">
      <c r="A8283" s="4" t="s">
        <v>10424</v>
      </c>
      <c r="B8283" s="4" t="s">
        <v>10426</v>
      </c>
      <c r="C8283" s="5" t="str">
        <f>IFERROR(__xludf.DUMMYFUNCTION("GOOGLETRANSLATE(B8283,""en"",""de"")"),"Mehrere Menschen sind aus Schneeschläuchen in einem Schneeabhang.")</f>
        <v>Mehrere Menschen sind aus Schneeschläuchen in einem Schneeabhang.</v>
      </c>
    </row>
    <row r="8284">
      <c r="A8284" s="4" t="s">
        <v>10424</v>
      </c>
      <c r="B8284" s="4" t="s">
        <v>10427</v>
      </c>
      <c r="C8284" s="5" t="str">
        <f>IFERROR(__xludf.DUMMYFUNCTION("GOOGLETRANSLATE(B8284,""en"",""de"")"),"Die Leute gehen mit Winterausrüstung und Schutzbrillen bergab auf ihren Schneerohren.")</f>
        <v>Die Leute gehen mit Winterausrüstung und Schutzbrillen bergab auf ihren Schneerohren.</v>
      </c>
    </row>
    <row r="8285">
      <c r="A8285" s="4" t="s">
        <v>10424</v>
      </c>
      <c r="B8285" s="4" t="s">
        <v>10428</v>
      </c>
      <c r="C8285" s="5" t="str">
        <f>IFERROR(__xludf.DUMMYFUNCTION("GOOGLETRANSLATE(B8285,""en"",""de"")"),"Einige von ihnen sind Schneeschläuche in Gruppen von Drei.")</f>
        <v>Einige von ihnen sind Schneeschläuche in Gruppen von Drei.</v>
      </c>
    </row>
    <row r="8286">
      <c r="A8286" s="4" t="s">
        <v>10424</v>
      </c>
      <c r="B8286" s="4" t="s">
        <v>10429</v>
      </c>
      <c r="C8286" s="5" t="str">
        <f>IFERROR(__xludf.DUMMYFUNCTION("GOOGLETRANSLATE(B8286,""en"",""de"")"),"Sie amüsieren sich schnell den Hang hinunter.")</f>
        <v>Sie amüsieren sich schnell den Hang hinunter.</v>
      </c>
    </row>
    <row r="8287">
      <c r="A8287" s="4" t="s">
        <v>10430</v>
      </c>
      <c r="B8287" s="4" t="s">
        <v>10431</v>
      </c>
      <c r="C8287" s="5" t="str">
        <f>IFERROR(__xludf.DUMMYFUNCTION("GOOGLETRANSLATE(B8287,""en"",""de"")"),"Ein Athlet klettert auf das Pommel Horse, um Sprünge und Flips durchzuführen.")</f>
        <v>Ein Athlet klettert auf das Pommel Horse, um Sprünge und Flips durchzuführen.</v>
      </c>
    </row>
    <row r="8288">
      <c r="A8288" s="4" t="s">
        <v>10430</v>
      </c>
      <c r="B8288" s="4" t="s">
        <v>10432</v>
      </c>
      <c r="C8288" s="5" t="str">
        <f>IFERROR(__xludf.DUMMYFUNCTION("GOOGLETRANSLATE(B8288,""en"",""de"")"),"Der Athlet dreht nach hinten und setzt sich dann mit ihrer Routine fort.")</f>
        <v>Der Athlet dreht nach hinten und setzt sich dann mit ihrer Routine fort.</v>
      </c>
    </row>
    <row r="8289">
      <c r="A8289" s="4" t="s">
        <v>10430</v>
      </c>
      <c r="B8289" s="4" t="s">
        <v>10433</v>
      </c>
      <c r="C8289" s="5" t="str">
        <f>IFERROR(__xludf.DUMMYFUNCTION("GOOGLETRANSLATE(B8289,""en"",""de"")"),"Der Athlet steht an der Grenze des Pommel -Pferdes und rennt zum Springen, dreht sich dann um und stand auf dem Boden.")</f>
        <v>Der Athlet steht an der Grenze des Pommel -Pferdes und rennt zum Springen, dreht sich dann um und stand auf dem Boden.</v>
      </c>
    </row>
    <row r="8290">
      <c r="A8290" s="4" t="s">
        <v>10434</v>
      </c>
      <c r="B8290" s="4" t="s">
        <v>10435</v>
      </c>
      <c r="C8290" s="5" t="str">
        <f>IFERROR(__xludf.DUMMYFUNCTION("GOOGLETRANSLATE(B8290,""en"",""de"")"),"Zwei Männer und eine Frau sind gesehen, die auf eine Bühne gehen, während eine Gruppe von Menschen in den Spiegeln hinter ihnen zu sehen ist.")</f>
        <v>Zwei Männer und eine Frau sind gesehen, die auf eine Bühne gehen, während eine Gruppe von Menschen in den Spiegeln hinter ihnen zu sehen ist.</v>
      </c>
    </row>
    <row r="8291">
      <c r="A8291" s="4" t="s">
        <v>10434</v>
      </c>
      <c r="B8291" s="4" t="s">
        <v>10436</v>
      </c>
      <c r="C8291" s="5" t="str">
        <f>IFERROR(__xludf.DUMMYFUNCTION("GOOGLETRANSLATE(B8291,""en"",""de"")"),"Die drei führen dann eine Tanzroutine durch, während die Menschen im Publikum von hinten folgen.")</f>
        <v>Die drei führen dann eine Tanzroutine durch, während die Menschen im Publikum von hinten folgen.</v>
      </c>
    </row>
    <row r="8292">
      <c r="A8292" s="4" t="s">
        <v>10434</v>
      </c>
      <c r="B8292" s="4" t="s">
        <v>10437</v>
      </c>
      <c r="C8292" s="5" t="str">
        <f>IFERROR(__xludf.DUMMYFUNCTION("GOOGLETRANSLATE(B8292,""en"",""de"")"),"Der Mann pumpt die Menge auf und tanzt weiter, als die anderen im Spiegel folgen.")</f>
        <v>Der Mann pumpt die Menge auf und tanzt weiter, als die anderen im Spiegel folgen.</v>
      </c>
    </row>
    <row r="8293">
      <c r="A8293" s="4" t="s">
        <v>10438</v>
      </c>
      <c r="B8293" s="4" t="s">
        <v>10439</v>
      </c>
      <c r="C8293" s="5" t="str">
        <f>IFERROR(__xludf.DUMMYFUNCTION("GOOGLETRANSLATE(B8293,""en"",""de"")"),"Der alte Mann harkt im Herbst vor seinem Haus.")</f>
        <v>Der alte Mann harkt im Herbst vor seinem Haus.</v>
      </c>
    </row>
    <row r="8294">
      <c r="A8294" s="4" t="s">
        <v>10438</v>
      </c>
      <c r="B8294" s="4" t="s">
        <v>10440</v>
      </c>
      <c r="C8294" s="5" t="str">
        <f>IFERROR(__xludf.DUMMYFUNCTION("GOOGLETRANSLATE(B8294,""en"",""de"")"),"Der Mensch erzählt die Handlung.")</f>
        <v>Der Mensch erzählt die Handlung.</v>
      </c>
    </row>
    <row r="8295">
      <c r="A8295" s="4" t="s">
        <v>10438</v>
      </c>
      <c r="B8295" s="4" t="s">
        <v>10441</v>
      </c>
      <c r="C8295" s="5" t="str">
        <f>IFERROR(__xludf.DUMMYFUNCTION("GOOGLETRANSLATE(B8295,""en"",""de"")"),"Neben dem Haus befindet sich ein Fahrrad.")</f>
        <v>Neben dem Haus befindet sich ein Fahrrad.</v>
      </c>
    </row>
    <row r="8296">
      <c r="A8296" s="4" t="s">
        <v>10442</v>
      </c>
      <c r="B8296" s="4" t="s">
        <v>10443</v>
      </c>
      <c r="C8296" s="5" t="str">
        <f>IFERROR(__xludf.DUMMYFUNCTION("GOOGLETRANSLATE(B8296,""en"",""de"")"),"Ein Trainer und Jubelregisseur spricht mit der Kamera.")</f>
        <v>Ein Trainer und Jubelregisseur spricht mit der Kamera.</v>
      </c>
    </row>
    <row r="8297">
      <c r="A8297" s="4" t="s">
        <v>10442</v>
      </c>
      <c r="B8297" s="4" t="s">
        <v>10444</v>
      </c>
      <c r="C8297" s="5" t="str">
        <f>IFERROR(__xludf.DUMMYFUNCTION("GOOGLETRANSLATE(B8297,""en"",""de"")"),"Sie entdeckt dann ein kleines Mädchen durch einen Backflip.")</f>
        <v>Sie entdeckt dann ein kleines Mädchen durch einen Backflip.</v>
      </c>
    </row>
    <row r="8298">
      <c r="A8298" s="4" t="s">
        <v>10442</v>
      </c>
      <c r="B8298" s="4" t="s">
        <v>10445</v>
      </c>
      <c r="C8298" s="5" t="str">
        <f>IFERROR(__xludf.DUMMYFUNCTION("GOOGLETRANSLATE(B8298,""en"",""de"")"),"Sie hilft ihr, verschiedene Aufgaben zu erledigen und den Prozess so zu erklären, wie sie gehen.")</f>
        <v>Sie hilft ihr, verschiedene Aufgaben zu erledigen und den Prozess so zu erklären, wie sie gehen.</v>
      </c>
    </row>
    <row r="8299">
      <c r="A8299" s="4" t="s">
        <v>10446</v>
      </c>
      <c r="B8299" s="4" t="s">
        <v>10447</v>
      </c>
      <c r="C8299" s="5" t="str">
        <f>IFERROR(__xludf.DUMMYFUNCTION("GOOGLETRANSLATE(B8299,""en"",""de"")"),"Eine große Gruppe von Menschen steht an einem Strand, der in die Ferne schaut.")</f>
        <v>Eine große Gruppe von Menschen steht an einem Strand, der in die Ferne schaut.</v>
      </c>
    </row>
    <row r="8300">
      <c r="A8300" s="4" t="s">
        <v>10446</v>
      </c>
      <c r="B8300" s="4" t="s">
        <v>10448</v>
      </c>
      <c r="C8300" s="5" t="str">
        <f>IFERROR(__xludf.DUMMYFUNCTION("GOOGLETRANSLATE(B8300,""en"",""de"")"),"Es werden mehrere Schüsse von Menschen gezeigt, die auf einem Surfbrett fahren und andere nebenbei beobachten.")</f>
        <v>Es werden mehrere Schüsse von Menschen gezeigt, die auf einem Surfbrett fahren und andere nebenbei beobachten.</v>
      </c>
    </row>
    <row r="8301">
      <c r="A8301" s="4" t="s">
        <v>10446</v>
      </c>
      <c r="B8301" s="4" t="s">
        <v>10449</v>
      </c>
      <c r="C8301" s="5" t="str">
        <f>IFERROR(__xludf.DUMMYFUNCTION("GOOGLETRANSLATE(B8301,""en"",""de"")"),"Weitere Menschen werden in verschiedenen Schüssen mit den Wellen reiten.")</f>
        <v>Weitere Menschen werden in verschiedenen Schüssen mit den Wellen reiten.</v>
      </c>
    </row>
    <row r="8302">
      <c r="A8302" s="4" t="s">
        <v>10450</v>
      </c>
      <c r="B8302" s="4" t="s">
        <v>10451</v>
      </c>
      <c r="C8302" s="5" t="str">
        <f>IFERROR(__xludf.DUMMYFUNCTION("GOOGLETRANSLATE(B8302,""en"",""de"")"),"Ein großer Offroading-Lastwagen fährt entlang einer Schmutzstrecke neben einem Gewässer und wird zum Stillstand kommen.")</f>
        <v>Ein großer Offroading-Lastwagen fährt entlang einer Schmutzstrecke neben einem Gewässer und wird zum Stillstand kommen.</v>
      </c>
    </row>
    <row r="8303">
      <c r="A8303" s="4" t="s">
        <v>10450</v>
      </c>
      <c r="B8303" s="4" t="s">
        <v>10452</v>
      </c>
      <c r="C8303" s="5" t="str">
        <f>IFERROR(__xludf.DUMMYFUNCTION("GOOGLETRANSLATE(B8303,""en"",""de"")"),"Viele Zuschauer nähern sich dem Fahrzeug, während der Fahrer aus dem Fahrzeug steigt und versucht, einen Reifen von der Rückseite des Lastwagens zu entfernen.")</f>
        <v>Viele Zuschauer nähern sich dem Fahrzeug, während der Fahrer aus dem Fahrzeug steigt und versucht, einen Reifen von der Rückseite des Lastwagens zu entfernen.</v>
      </c>
    </row>
    <row r="8304">
      <c r="A8304" s="4" t="s">
        <v>10450</v>
      </c>
      <c r="B8304" s="4" t="s">
        <v>10453</v>
      </c>
      <c r="C8304" s="5" t="str">
        <f>IFERROR(__xludf.DUMMYFUNCTION("GOOGLETRANSLATE(B8304,""en"",""de"")"),"Ein Arbeiter und einige Assistenten nähern sich dem Fahrzeug mit einem Ersatzreifen, und einige Männer beginnen, die Rückseite des Lastwagens aufzugeben, um zu versuchen, den hinteren Beifahrerseite -Reifen zu ersetzen.")</f>
        <v>Ein Arbeiter und einige Assistenten nähern sich dem Fahrzeug mit einem Ersatzreifen, und einige Männer beginnen, die Rückseite des Lastwagens aufzugeben, um zu versuchen, den hinteren Beifahrerseite -Reifen zu ersetzen.</v>
      </c>
    </row>
    <row r="8305">
      <c r="A8305" s="4" t="s">
        <v>10450</v>
      </c>
      <c r="B8305" s="4" t="s">
        <v>10454</v>
      </c>
      <c r="C8305" s="5" t="str">
        <f>IFERROR(__xludf.DUMMYFUNCTION("GOOGLETRANSLATE(B8305,""en"",""de"")"),"Während der Reifen ausgetauscht wird, steigt der Fahrer zurück in den LKW und ein Specator macht ein Bild des Fahrzeugs.")</f>
        <v>Während der Reifen ausgetauscht wird, steigt der Fahrer zurück in den LKW und ein Specator macht ein Bild des Fahrzeugs.</v>
      </c>
    </row>
    <row r="8306">
      <c r="A8306" s="4" t="s">
        <v>10450</v>
      </c>
      <c r="B8306" s="4" t="s">
        <v>10455</v>
      </c>
      <c r="C8306" s="5" t="str">
        <f>IFERROR(__xludf.DUMMYFUNCTION("GOOGLETRANSLATE(B8306,""en"",""de"")"),"Andere Zuschauer kommen zur Fahrerseite, um mit dem Fahrer zu sprechen.")</f>
        <v>Andere Zuschauer kommen zur Fahrerseite, um mit dem Fahrer zu sprechen.</v>
      </c>
    </row>
    <row r="8307">
      <c r="A8307" s="4" t="s">
        <v>10450</v>
      </c>
      <c r="B8307" s="4" t="s">
        <v>10456</v>
      </c>
      <c r="C8307" s="5" t="str">
        <f>IFERROR(__xludf.DUMMYFUNCTION("GOOGLETRANSLATE(B8307,""en"",""de"")"),"Der Reifen wird ersetzt und der LKW fährt ab.")</f>
        <v>Der Reifen wird ersetzt und der LKW fährt ab.</v>
      </c>
    </row>
    <row r="8308">
      <c r="A8308" s="4" t="s">
        <v>10450</v>
      </c>
      <c r="B8308" s="4" t="s">
        <v>10457</v>
      </c>
      <c r="C8308" s="5" t="str">
        <f>IFERROR(__xludf.DUMMYFUNCTION("GOOGLETRANSLATE(B8308,""en"",""de"")"),"Ein detaillierter Blick auf den ersetzten Reifen wird gezeigt.")</f>
        <v>Ein detaillierter Blick auf den ersetzten Reifen wird gezeigt.</v>
      </c>
    </row>
    <row r="8309">
      <c r="A8309" s="4" t="s">
        <v>10458</v>
      </c>
      <c r="B8309" s="4" t="s">
        <v>10459</v>
      </c>
      <c r="C8309" s="5" t="str">
        <f>IFERROR(__xludf.DUMMYFUNCTION("GOOGLETRANSLATE(B8309,""en"",""de"")"),"Es gibt drei Auftragnehmer, die ein Haus umbauen, das zur Renovierung abgerissen wird.")</f>
        <v>Es gibt drei Auftragnehmer, die ein Haus umbauen, das zur Renovierung abgerissen wird.</v>
      </c>
    </row>
    <row r="8310">
      <c r="A8310" s="4" t="s">
        <v>10458</v>
      </c>
      <c r="B8310" s="4" t="s">
        <v>10460</v>
      </c>
      <c r="C8310" s="5" t="str">
        <f>IFERROR(__xludf.DUMMYFUNCTION("GOOGLETRANSLATE(B8310,""en"",""de"")"),"Einer der Auftragnehmer zementiert eine Mauer.")</f>
        <v>Einer der Auftragnehmer zementiert eine Mauer.</v>
      </c>
    </row>
    <row r="8311">
      <c r="A8311" s="4" t="s">
        <v>10458</v>
      </c>
      <c r="B8311" s="4" t="s">
        <v>10461</v>
      </c>
      <c r="C8311" s="5" t="str">
        <f>IFERROR(__xludf.DUMMYFUNCTION("GOOGLETRANSLATE(B8311,""en"",""de"")"),"Der andere Auftragnehmer bricht eine vorhandene Mauer im Wohnzimmer.")</f>
        <v>Der andere Auftragnehmer bricht eine vorhandene Mauer im Wohnzimmer.</v>
      </c>
    </row>
    <row r="8312">
      <c r="A8312" s="4" t="s">
        <v>10458</v>
      </c>
      <c r="B8312" s="4" t="s">
        <v>10462</v>
      </c>
      <c r="C8312" s="5" t="str">
        <f>IFERROR(__xludf.DUMMYFUNCTION("GOOGLETRANSLATE(B8312,""en"",""de"")"),"Das gesamte Haus renoviert mit Möbeln und Kisten, die mit Staub um das Haus liegen.")</f>
        <v>Das gesamte Haus renoviert mit Möbeln und Kisten, die mit Staub um das Haus liegen.</v>
      </c>
    </row>
    <row r="8313">
      <c r="A8313" s="4" t="s">
        <v>10463</v>
      </c>
      <c r="B8313" s="4" t="s">
        <v>10464</v>
      </c>
      <c r="C8313" s="5" t="str">
        <f>IFERROR(__xludf.DUMMYFUNCTION("GOOGLETRANSLATE(B8313,""en"",""de"")"),"Kid sitzt in einem roten Raum mit der Kamera.")</f>
        <v>Kid sitzt in einem roten Raum mit der Kamera.</v>
      </c>
    </row>
    <row r="8314">
      <c r="A8314" s="4" t="s">
        <v>10463</v>
      </c>
      <c r="B8314" s="4" t="s">
        <v>10465</v>
      </c>
      <c r="C8314" s="5" t="str">
        <f>IFERROR(__xludf.DUMMYFUNCTION("GOOGLETRANSLATE(B8314,""en"",""de"")"),"Das Kind schnappt sich eine Gitarre und fängt an, sie zu spielen und zu singen.")</f>
        <v>Das Kind schnappt sich eine Gitarre und fängt an, sie zu spielen und zu singen.</v>
      </c>
    </row>
    <row r="8315">
      <c r="A8315" s="4" t="s">
        <v>10463</v>
      </c>
      <c r="B8315" s="4" t="s">
        <v>10466</v>
      </c>
      <c r="C8315" s="5" t="str">
        <f>IFERROR(__xludf.DUMMYFUNCTION("GOOGLETRANSLATE(B8315,""en"",""de"")"),"Kid spielt Gitarre und spricht in einem kleinen Raum mit der Kamera.")</f>
        <v>Kid spielt Gitarre und spricht in einem kleinen Raum mit der Kamera.</v>
      </c>
    </row>
    <row r="8316">
      <c r="A8316" s="4" t="s">
        <v>10467</v>
      </c>
      <c r="B8316" s="4" t="s">
        <v>10468</v>
      </c>
      <c r="C8316" s="5" t="str">
        <f>IFERROR(__xludf.DUMMYFUNCTION("GOOGLETRANSLATE(B8316,""en"",""de"")"),"Ein kleines Mädchen wird in mehreren Bildern gezeigt, die einen Haarschnitt erhalten.")</f>
        <v>Ein kleines Mädchen wird in mehreren Bildern gezeigt, die einen Haarschnitt erhalten.</v>
      </c>
    </row>
    <row r="8317">
      <c r="A8317" s="4" t="s">
        <v>10467</v>
      </c>
      <c r="B8317" s="4" t="s">
        <v>10469</v>
      </c>
      <c r="C8317" s="5" t="str">
        <f>IFERROR(__xludf.DUMMYFUNCTION("GOOGLETRANSLATE(B8317,""en"",""de"")"),"Sie wird dann in Videoform gezeigt, da ihr langes Haar im Stil eines Pferdeschwanzes abgeschnitten ist, das an eine Gruppe namens Locks of Love gespendet werden soll.")</f>
        <v>Sie wird dann in Videoform gezeigt, da ihr langes Haar im Stil eines Pferdeschwanzes abgeschnitten ist, das an eine Gruppe namens Locks of Love gespendet werden soll.</v>
      </c>
    </row>
    <row r="8318">
      <c r="A8318" s="4" t="s">
        <v>10467</v>
      </c>
      <c r="B8318" s="4" t="s">
        <v>10470</v>
      </c>
      <c r="C8318" s="5" t="str">
        <f>IFERROR(__xludf.DUMMYFUNCTION("GOOGLETRANSLATE(B8318,""en"",""de"")"),"Das Mädchen wird auf verschiedenen Fotos gezeigt und hält die Haare, die sie spenden wird.")</f>
        <v>Das Mädchen wird auf verschiedenen Fotos gezeigt und hält die Haare, die sie spenden wird.</v>
      </c>
    </row>
    <row r="8319">
      <c r="A8319" s="4" t="s">
        <v>10471</v>
      </c>
      <c r="B8319" s="4" t="s">
        <v>1251</v>
      </c>
      <c r="C8319" s="5" t="str">
        <f>IFERROR(__xludf.DUMMYFUNCTION("GOOGLETRANSLATE(B8319,""en"",""de"")"),"Die Credits des Clips werden angezeigt.")</f>
        <v>Die Credits des Clips werden angezeigt.</v>
      </c>
    </row>
    <row r="8320">
      <c r="A8320" s="4" t="s">
        <v>10471</v>
      </c>
      <c r="B8320" s="4" t="s">
        <v>10472</v>
      </c>
      <c r="C8320" s="5" t="str">
        <f>IFERROR(__xludf.DUMMYFUNCTION("GOOGLETRANSLATE(B8320,""en"",""de"")"),"Jungs werfen Bälle auf ein Feld.")</f>
        <v>Jungs werfen Bälle auf ein Feld.</v>
      </c>
    </row>
    <row r="8321">
      <c r="A8321" s="4" t="s">
        <v>10471</v>
      </c>
      <c r="B8321" s="4" t="s">
        <v>10473</v>
      </c>
      <c r="C8321" s="5" t="str">
        <f>IFERROR(__xludf.DUMMYFUNCTION("GOOGLETRANSLATE(B8321,""en"",""de"")"),"Ein Mann hält ein paar Bälle und Gespräche.")</f>
        <v>Ein Mann hält ein paar Bälle und Gespräche.</v>
      </c>
    </row>
    <row r="8322">
      <c r="A8322" s="4" t="s">
        <v>10471</v>
      </c>
      <c r="B8322" s="4" t="s">
        <v>10474</v>
      </c>
      <c r="C8322" s="5" t="str">
        <f>IFERROR(__xludf.DUMMYFUNCTION("GOOGLETRANSLATE(B8322,""en"",""de"")"),"Ein Mann, der einen flachen Fledermaus hält, geht über das Feld, gefolgt von einem Mann, der einen Ball in jeder Hand hält.")</f>
        <v>Ein Mann, der einen flachen Fledermaus hält, geht über das Feld, gefolgt von einem Mann, der einen Ball in jeder Hand hält.</v>
      </c>
    </row>
    <row r="8323">
      <c r="A8323" s="4" t="s">
        <v>10471</v>
      </c>
      <c r="B8323" s="4" t="s">
        <v>10475</v>
      </c>
      <c r="C8323" s="5" t="str">
        <f>IFERROR(__xludf.DUMMYFUNCTION("GOOGLETRANSLATE(B8323,""en"",""de"")"),"Zwei Männer sitzen mit einem Mann, der einen flachen Schläger hält.")</f>
        <v>Zwei Männer sitzen mit einem Mann, der einen flachen Schläger hält.</v>
      </c>
    </row>
    <row r="8324">
      <c r="A8324" s="4" t="s">
        <v>10471</v>
      </c>
      <c r="B8324" s="4" t="s">
        <v>10476</v>
      </c>
      <c r="C8324" s="5" t="str">
        <f>IFERROR(__xludf.DUMMYFUNCTION("GOOGLETRANSLATE(B8324,""en"",""de"")"),"Jungs schlagen Bälle mit der flachen Schlampe.")</f>
        <v>Jungs schlagen Bälle mit der flachen Schlampe.</v>
      </c>
    </row>
    <row r="8325">
      <c r="A8325" s="4" t="s">
        <v>10471</v>
      </c>
      <c r="B8325" s="4" t="s">
        <v>573</v>
      </c>
      <c r="C8325" s="5" t="str">
        <f>IFERROR(__xludf.DUMMYFUNCTION("GOOGLETRANSLATE(B8325,""en"",""de"")"),"Die Credits des Videos werden angezeigt.")</f>
        <v>Die Credits des Videos werden angezeigt.</v>
      </c>
    </row>
    <row r="8326">
      <c r="A8326" s="4" t="s">
        <v>10477</v>
      </c>
      <c r="B8326" s="4" t="s">
        <v>10478</v>
      </c>
      <c r="C8326" s="5" t="str">
        <f>IFERROR(__xludf.DUMMYFUNCTION("GOOGLETRANSLATE(B8326,""en"",""de"")"),"Ein Mann spricht mit der Kamera hinter einem Tisch mit verschiedenen Zutaten und Brillen.")</f>
        <v>Ein Mann spricht mit der Kamera hinter einem Tisch mit verschiedenen Zutaten und Brillen.</v>
      </c>
    </row>
    <row r="8327">
      <c r="A8327" s="4" t="s">
        <v>10477</v>
      </c>
      <c r="B8327" s="4" t="s">
        <v>10479</v>
      </c>
      <c r="C8327" s="5" t="str">
        <f>IFERROR(__xludf.DUMMYFUNCTION("GOOGLETRANSLATE(B8327,""en"",""de"")"),"Der Mann mischt die Zutaten in ein Glas und sägt einen Limetten in das Glas.")</f>
        <v>Der Mann mischt die Zutaten in ein Glas und sägt einen Limetten in das Glas.</v>
      </c>
    </row>
    <row r="8328">
      <c r="A8328" s="4" t="s">
        <v>10477</v>
      </c>
      <c r="B8328" s="4" t="s">
        <v>10480</v>
      </c>
      <c r="C8328" s="5" t="str">
        <f>IFERROR(__xludf.DUMMYFUNCTION("GOOGLETRANSLATE(B8328,""en"",""de"")"),"Dann schiebt er die Zutaten herum und gießt Flüssigkeiten ins Glas, wodurch ein alkoholisches Getränk erzeugt wird.")</f>
        <v>Dann schiebt er die Zutaten herum und gießt Flüssigkeiten ins Glas, wodurch ein alkoholisches Getränk erzeugt wird.</v>
      </c>
    </row>
    <row r="8329">
      <c r="A8329" s="4" t="s">
        <v>10477</v>
      </c>
      <c r="B8329" s="4" t="s">
        <v>10481</v>
      </c>
      <c r="C8329" s="5" t="str">
        <f>IFERROR(__xludf.DUMMYFUNCTION("GOOGLETRANSLATE(B8329,""en"",""de"")"),"Er präsentiert das Glas, während die Zutatenliste angelegt ist und er vom Rahmen weggeht.")</f>
        <v>Er präsentiert das Glas, während die Zutatenliste angelegt ist und er vom Rahmen weggeht.</v>
      </c>
    </row>
    <row r="8330">
      <c r="A8330" s="4" t="s">
        <v>10482</v>
      </c>
      <c r="B8330" s="4" t="s">
        <v>10483</v>
      </c>
      <c r="C8330" s="5" t="str">
        <f>IFERROR(__xludf.DUMMYFUNCTION("GOOGLETRANSLATE(B8330,""en"",""de"")"),"Ein Mann trägt eine Apparatur, die seinen kleinen Sohn auf dem Rücken hält, während er im Wald wandert.")</f>
        <v>Ein Mann trägt eine Apparatur, die seinen kleinen Sohn auf dem Rücken hält, während er im Wald wandert.</v>
      </c>
    </row>
    <row r="8331">
      <c r="A8331" s="4" t="s">
        <v>10482</v>
      </c>
      <c r="B8331" s="4" t="s">
        <v>10484</v>
      </c>
      <c r="C8331" s="5" t="str">
        <f>IFERROR(__xludf.DUMMYFUNCTION("GOOGLETRANSLATE(B8331,""en"",""de"")"),"Wir sehen den Jungen in einer Indoor -Veranda im Haus spielen.")</f>
        <v>Wir sehen den Jungen in einer Indoor -Veranda im Haus spielen.</v>
      </c>
    </row>
    <row r="8332">
      <c r="A8332" s="4" t="s">
        <v>10482</v>
      </c>
      <c r="B8332" s="4" t="s">
        <v>10485</v>
      </c>
      <c r="C8332" s="5" t="str">
        <f>IFERROR(__xludf.DUMMYFUNCTION("GOOGLETRANSLATE(B8332,""en"",""de"")"),"Der Junge rennt in den Hof und sein Vater legt einen Helm auf ihn und hilft ihm beim Skateboard.")</f>
        <v>Der Junge rennt in den Hof und sein Vater legt einen Helm auf ihn und hilft ihm beim Skateboard.</v>
      </c>
    </row>
    <row r="8333">
      <c r="A8333" s="4" t="s">
        <v>10482</v>
      </c>
      <c r="B8333" s="4" t="s">
        <v>10486</v>
      </c>
      <c r="C8333" s="5" t="str">
        <f>IFERROR(__xludf.DUMMYFUNCTION("GOOGLETRANSLATE(B8333,""en"",""de"")"),"Der Vater Skateboards und hält den Jungen.")</f>
        <v>Der Vater Skateboards und hält den Jungen.</v>
      </c>
    </row>
    <row r="8334">
      <c r="A8334" s="4" t="s">
        <v>10482</v>
      </c>
      <c r="B8334" s="4" t="s">
        <v>10487</v>
      </c>
      <c r="C8334" s="5" t="str">
        <f>IFERROR(__xludf.DUMMYFUNCTION("GOOGLETRANSLATE(B8334,""en"",""de"")"),"Wir sehen dann den Endbildschirm und wechseln zu dem Jungen, der auf einem Felsen fünf sitzt, und wir kehren zum engen Bildschirm zurück.")</f>
        <v>Wir sehen dann den Endbildschirm und wechseln zu dem Jungen, der auf einem Felsen fünf sitzt, und wir kehren zum engen Bildschirm zurück.</v>
      </c>
    </row>
    <row r="8335">
      <c r="A8335" s="4" t="s">
        <v>10488</v>
      </c>
      <c r="B8335" s="4" t="s">
        <v>10489</v>
      </c>
      <c r="C8335" s="5" t="str">
        <f>IFERROR(__xludf.DUMMYFUNCTION("GOOGLETRANSLATE(B8335,""en"",""de"")"),"Ein Athlet geht auf ein Feld.")</f>
        <v>Ein Athlet geht auf ein Feld.</v>
      </c>
    </row>
    <row r="8336">
      <c r="A8336" s="4" t="s">
        <v>10488</v>
      </c>
      <c r="B8336" s="4" t="s">
        <v>10490</v>
      </c>
      <c r="C8336" s="5" t="str">
        <f>IFERROR(__xludf.DUMMYFUNCTION("GOOGLETRANSLATE(B8336,""en"",""de"")"),"Er dreht sich in Kreisen um eine Plattform.")</f>
        <v>Er dreht sich in Kreisen um eine Plattform.</v>
      </c>
    </row>
    <row r="8337">
      <c r="A8337" s="4" t="s">
        <v>10488</v>
      </c>
      <c r="B8337" s="4" t="s">
        <v>10491</v>
      </c>
      <c r="C8337" s="5" t="str">
        <f>IFERROR(__xludf.DUMMYFUNCTION("GOOGLETRANSLATE(B8337,""en"",""de"")"),"Er wirft einen Ball eine große Entfernung und geht weg.")</f>
        <v>Er wirft einen Ball eine große Entfernung und geht weg.</v>
      </c>
    </row>
    <row r="8338">
      <c r="A8338" s="4" t="s">
        <v>10492</v>
      </c>
      <c r="B8338" s="4" t="s">
        <v>10493</v>
      </c>
      <c r="C8338" s="5" t="str">
        <f>IFERROR(__xludf.DUMMYFUNCTION("GOOGLETRANSLATE(B8338,""en"",""de"")"),"Es gibt einen Teenager, der einen schwarzen Mützenhut -Skateboard durch die Straßen der Stadt trägt.")</f>
        <v>Es gibt einen Teenager, der einen schwarzen Mützenhut -Skateboard durch die Straßen der Stadt trägt.</v>
      </c>
    </row>
    <row r="8339">
      <c r="A8339" s="4" t="s">
        <v>10492</v>
      </c>
      <c r="B8339" s="4" t="s">
        <v>10494</v>
      </c>
      <c r="C8339" s="5" t="str">
        <f>IFERROR(__xludf.DUMMYFUNCTION("GOOGLETRANSLATE(B8339,""en"",""de"")"),"Er trug ein weißes Hemd, während er über eine kleine Zementwand springt.")</f>
        <v>Er trug ein weißes Hemd, während er über eine kleine Zementwand springt.</v>
      </c>
    </row>
    <row r="8340">
      <c r="A8340" s="4" t="s">
        <v>10492</v>
      </c>
      <c r="B8340" s="4" t="s">
        <v>10495</v>
      </c>
      <c r="C8340" s="5" t="str">
        <f>IFERROR(__xludf.DUMMYFUNCTION("GOOGLETRANSLATE(B8340,""en"",""de"")"),"Dann springt er über eine andere Wand, während er Skateboarding.")</f>
        <v>Dann springt er über eine andere Wand, während er Skateboarding.</v>
      </c>
    </row>
    <row r="8341">
      <c r="A8341" s="4" t="s">
        <v>10492</v>
      </c>
      <c r="B8341" s="4" t="s">
        <v>10496</v>
      </c>
      <c r="C8341" s="5" t="str">
        <f>IFERROR(__xludf.DUMMYFUNCTION("GOOGLETRANSLATE(B8341,""en"",""de"")"),"Dann in einem grünen Hemd über eine Schule vorbei, direkt in einen Basketballplatz und springt dann über ein Metallgeländer.")</f>
        <v>Dann in einem grünen Hemd über eine Schule vorbei, direkt in einen Basketballplatz und springt dann über ein Metallgeländer.</v>
      </c>
    </row>
    <row r="8342">
      <c r="A8342" s="4" t="s">
        <v>10492</v>
      </c>
      <c r="B8342" s="4" t="s">
        <v>10497</v>
      </c>
      <c r="C8342" s="5" t="str">
        <f>IFERROR(__xludf.DUMMYFUNCTION("GOOGLETRANSLATE(B8342,""en"",""de"")"),"Dann zurück in einem weißen Hemd versucht er Stunts, indem er auf sein Skateboard zu einer Handschiene auf der Metall springt.")</f>
        <v>Dann zurück in einem weißen Hemd versucht er Stunts, indem er auf sein Skateboard zu einer Handschiene auf der Metall springt.</v>
      </c>
    </row>
    <row r="8343">
      <c r="A8343" s="4" t="s">
        <v>10498</v>
      </c>
      <c r="B8343" s="4" t="s">
        <v>10499</v>
      </c>
      <c r="C8343" s="5" t="str">
        <f>IFERROR(__xludf.DUMMYFUNCTION("GOOGLETRANSLATE(B8343,""en"",""de"")"),"Eine Person trinkt aus einer Kaffeetasse und schaut von der Kamera weg.")</f>
        <v>Eine Person trinkt aus einer Kaffeetasse und schaut von der Kamera weg.</v>
      </c>
    </row>
    <row r="8344">
      <c r="A8344" s="4" t="s">
        <v>10498</v>
      </c>
      <c r="B8344" s="4" t="s">
        <v>10500</v>
      </c>
      <c r="C8344" s="5" t="str">
        <f>IFERROR(__xludf.DUMMYFUNCTION("GOOGLETRANSLATE(B8344,""en"",""de"")"),"Seine Augen steigen in der letzten Sekunde zur Kamera und lächelt.")</f>
        <v>Seine Augen steigen in der letzten Sekunde zur Kamera und lächelt.</v>
      </c>
    </row>
    <row r="8345">
      <c r="A8345" s="4" t="s">
        <v>10501</v>
      </c>
      <c r="B8345" s="4" t="s">
        <v>10502</v>
      </c>
      <c r="C8345" s="5" t="str">
        <f>IFERROR(__xludf.DUMMYFUNCTION("GOOGLETRANSLATE(B8345,""en"",""de"")"),"Eine Frau sitzt in einem Wohnzimmer auf einer Couch, die mit der Kamera spricht und erklärt, was sie gerade tun wird.")</f>
        <v>Eine Frau sitzt in einem Wohnzimmer auf einer Couch, die mit der Kamera spricht und erklärt, was sie gerade tun wird.</v>
      </c>
    </row>
    <row r="8346">
      <c r="A8346" s="4" t="s">
        <v>10501</v>
      </c>
      <c r="B8346" s="4" t="s">
        <v>10503</v>
      </c>
      <c r="C8346" s="5" t="str">
        <f>IFERROR(__xludf.DUMMYFUNCTION("GOOGLETRANSLATE(B8346,""en"",""de"")"),"Die Kamera schwenkt nach unten und die Dame zeigt wichtige Aspekte des Objekts, das sie strickt.")</f>
        <v>Die Kamera schwenkt nach unten und die Dame zeigt wichtige Aspekte des Objekts, das sie strickt.</v>
      </c>
    </row>
    <row r="8347">
      <c r="A8347" s="4" t="s">
        <v>10501</v>
      </c>
      <c r="B8347" s="4" t="s">
        <v>10504</v>
      </c>
      <c r="C8347" s="5" t="str">
        <f>IFERROR(__xludf.DUMMYFUNCTION("GOOGLETRANSLATE(B8347,""en"",""de"")"),"Wenn sie fertig ist, greift sie nach der Nadel, legt den Faden hinein und landet das Stricken.")</f>
        <v>Wenn sie fertig ist, greift sie nach der Nadel, legt den Faden hinein und landet das Stricken.</v>
      </c>
    </row>
    <row r="8348">
      <c r="A8348" s="4" t="s">
        <v>10505</v>
      </c>
      <c r="B8348" s="4" t="s">
        <v>10506</v>
      </c>
      <c r="C8348" s="5" t="str">
        <f>IFERROR(__xludf.DUMMYFUNCTION("GOOGLETRANSLATE(B8348,""en"",""de"")"),"Zuerst wird ein Junge gezeigt, der eine dünne Waffel isst.")</f>
        <v>Zuerst wird ein Junge gezeigt, der eine dünne Waffel isst.</v>
      </c>
    </row>
    <row r="8349">
      <c r="A8349" s="4" t="s">
        <v>10505</v>
      </c>
      <c r="B8349" s="4" t="s">
        <v>10507</v>
      </c>
      <c r="C8349" s="5" t="str">
        <f>IFERROR(__xludf.DUMMYFUNCTION("GOOGLETRANSLATE(B8349,""en"",""de"")"),"Dann wird eine ältere Dame Trinkwasser aus einem kleinen Glas gezeigt.")</f>
        <v>Dann wird eine ältere Dame Trinkwasser aus einem kleinen Glas gezeigt.</v>
      </c>
    </row>
    <row r="8350">
      <c r="A8350" s="4" t="s">
        <v>10505</v>
      </c>
      <c r="B8350" s="4" t="s">
        <v>10508</v>
      </c>
      <c r="C8350" s="5" t="str">
        <f>IFERROR(__xludf.DUMMYFUNCTION("GOOGLETRANSLATE(B8350,""en"",""de"")"),"Als nächstes wird ein kleiner Junge gezeigt, der seine Hand in einen Parfait taucht und dann einen Löffel von einem anderen Jungen schnappt und dann den Parfait isst.")</f>
        <v>Als nächstes wird ein kleiner Junge gezeigt, der seine Hand in einen Parfait taucht und dann einen Löffel von einem anderen Jungen schnappt und dann den Parfait isst.</v>
      </c>
    </row>
    <row r="8351">
      <c r="A8351" s="4" t="s">
        <v>10505</v>
      </c>
      <c r="B8351" s="4" t="s">
        <v>10509</v>
      </c>
      <c r="C8351" s="5" t="str">
        <f>IFERROR(__xludf.DUMMYFUNCTION("GOOGLETRANSLATE(B8351,""en"",""de"")"),"Schließlich wird ein Junge gezeigt, der einen Löffel Milchshake aus einem Glas isst, in dem Waffeln enthält.")</f>
        <v>Schließlich wird ein Junge gezeigt, der einen Löffel Milchshake aus einem Glas isst, in dem Waffeln enthält.</v>
      </c>
    </row>
    <row r="8352">
      <c r="A8352" s="4" t="s">
        <v>10510</v>
      </c>
      <c r="B8352" s="4" t="s">
        <v>10511</v>
      </c>
      <c r="C8352" s="5" t="str">
        <f>IFERROR(__xludf.DUMMYFUNCTION("GOOGLETRANSLATE(B8352,""en"",""de"")"),"Frauen mischen eine Vielzahl von alkoholischen Getränken für den Konsum.")</f>
        <v>Frauen mischen eine Vielzahl von alkoholischen Getränken für den Konsum.</v>
      </c>
    </row>
    <row r="8353">
      <c r="A8353" s="4" t="s">
        <v>10510</v>
      </c>
      <c r="B8353" s="4" t="s">
        <v>10512</v>
      </c>
      <c r="C8353" s="5" t="str">
        <f>IFERROR(__xludf.DUMMYFUNCTION("GOOGLETRANSLATE(B8353,""en"",""de"")"),"Schritte werden für einen schönen Whisky -Sauer angezeigt.")</f>
        <v>Schritte werden für einen schönen Whisky -Sauer angezeigt.</v>
      </c>
    </row>
    <row r="8354">
      <c r="A8354" s="4" t="s">
        <v>10513</v>
      </c>
      <c r="B8354" s="4" t="s">
        <v>10514</v>
      </c>
      <c r="C8354" s="5" t="str">
        <f>IFERROR(__xludf.DUMMYFUNCTION("GOOGLETRANSLATE(B8354,""en"",""de"")"),"Ein Mann steht mit den Händen vor Ausrüstung vor einer Theke.")</f>
        <v>Ein Mann steht mit den Händen vor Ausrüstung vor einer Theke.</v>
      </c>
    </row>
    <row r="8355">
      <c r="A8355" s="4" t="s">
        <v>10513</v>
      </c>
      <c r="B8355" s="4" t="s">
        <v>10515</v>
      </c>
      <c r="C8355" s="5" t="str">
        <f>IFERROR(__xludf.DUMMYFUNCTION("GOOGLETRANSLATE(B8355,""en"",""de"")"),"Er nutzt die Oberfläche, um eine Messerklinge hin und her zu reiben und sie zu schärfen.")</f>
        <v>Er nutzt die Oberfläche, um eine Messerklinge hin und her zu reiben und sie zu schärfen.</v>
      </c>
    </row>
    <row r="8356">
      <c r="A8356" s="4" t="s">
        <v>10513</v>
      </c>
      <c r="B8356" s="4" t="s">
        <v>10516</v>
      </c>
      <c r="C8356" s="5" t="str">
        <f>IFERROR(__xludf.DUMMYFUNCTION("GOOGLETRANSLATE(B8356,""en"",""de"")"),"Wenn er fertig ist, überprüft er die Klinge, bevor er das Messer zurücklügt.")</f>
        <v>Wenn er fertig ist, überprüft er die Klinge, bevor er das Messer zurücklügt.</v>
      </c>
    </row>
    <row r="8357">
      <c r="A8357" s="4" t="s">
        <v>10517</v>
      </c>
      <c r="B8357" s="4" t="s">
        <v>10518</v>
      </c>
      <c r="C8357" s="5" t="str">
        <f>IFERROR(__xludf.DUMMYFUNCTION("GOOGLETRANSLATE(B8357,""en"",""de"")"),"Eine kleine Gruppe von Menschen wird gesehen, wie sie sich an einem Seil festhalten und ein Tauziehen spielen.")</f>
        <v>Eine kleine Gruppe von Menschen wird gesehen, wie sie sich an einem Seil festhalten und ein Tauziehen spielen.</v>
      </c>
    </row>
    <row r="8358">
      <c r="A8358" s="4" t="s">
        <v>10517</v>
      </c>
      <c r="B8358" s="4" t="s">
        <v>10519</v>
      </c>
      <c r="C8358" s="5" t="str">
        <f>IFERROR(__xludf.DUMMYFUNCTION("GOOGLETRANSLATE(B8358,""en"",""de"")"),"Die Kamera schwenkt um das andere Team, das mit der Gruppe spielt, während andere nebenbei zuschauen.")</f>
        <v>Die Kamera schwenkt um das andere Team, das mit der Gruppe spielt, während andere nebenbei zuschauen.</v>
      </c>
    </row>
    <row r="8359">
      <c r="A8359" s="4" t="s">
        <v>10517</v>
      </c>
      <c r="B8359" s="4" t="s">
        <v>10520</v>
      </c>
      <c r="C8359" s="5" t="str">
        <f>IFERROR(__xludf.DUMMYFUNCTION("GOOGLETRANSLATE(B8359,""en"",""de"")"),"Die Leute spielen weiter und vierten und enden, indem sie zur Kamera lächeln.")</f>
        <v>Die Leute spielen weiter und vierten und enden, indem sie zur Kamera lächeln.</v>
      </c>
    </row>
    <row r="8360">
      <c r="A8360" s="4" t="s">
        <v>10521</v>
      </c>
      <c r="B8360" s="4" t="s">
        <v>10522</v>
      </c>
      <c r="C8360" s="5" t="str">
        <f>IFERROR(__xludf.DUMMYFUNCTION("GOOGLETRANSLATE(B8360,""en"",""de"")"),"Die Kamera folgt einem kleinen Kind auf den Skiern, während es eine Menge von Menschen vorbei manövriert.")</f>
        <v>Die Kamera folgt einem kleinen Kind auf den Skiern, während es eine Menge von Menschen vorbei manövriert.</v>
      </c>
    </row>
    <row r="8361">
      <c r="A8361" s="4" t="s">
        <v>10521</v>
      </c>
      <c r="B8361" s="4" t="s">
        <v>10523</v>
      </c>
      <c r="C8361" s="5" t="str">
        <f>IFERROR(__xludf.DUMMYFUNCTION("GOOGLETRANSLATE(B8361,""en"",""de"")"),"Das Kind fährt mit anderen Menschen an verschiedenen Stellen entlang des Weges einen Hang hinunter.")</f>
        <v>Das Kind fährt mit anderen Menschen an verschiedenen Stellen entlang des Weges einen Hang hinunter.</v>
      </c>
    </row>
    <row r="8362">
      <c r="A8362" s="4" t="s">
        <v>10521</v>
      </c>
      <c r="B8362" s="4" t="s">
        <v>10524</v>
      </c>
      <c r="C8362" s="5" t="str">
        <f>IFERROR(__xludf.DUMMYFUNCTION("GOOGLETRANSLATE(B8362,""en"",""de"")"),"Das Kind hält an, als sich der Kameraperson nähert.")</f>
        <v>Das Kind hält an, als sich der Kameraperson nähert.</v>
      </c>
    </row>
    <row r="8363">
      <c r="A8363" s="4" t="s">
        <v>10525</v>
      </c>
      <c r="B8363" s="4" t="s">
        <v>10526</v>
      </c>
      <c r="C8363" s="5" t="str">
        <f>IFERROR(__xludf.DUMMYFUNCTION("GOOGLETRANSLATE(B8363,""en"",""de"")"),"Frauen sind in ausgefallener Kleidung gekleidet.")</f>
        <v>Frauen sind in ausgefallener Kleidung gekleidet.</v>
      </c>
    </row>
    <row r="8364">
      <c r="A8364" s="4" t="s">
        <v>10525</v>
      </c>
      <c r="B8364" s="4" t="s">
        <v>10527</v>
      </c>
      <c r="C8364" s="5" t="str">
        <f>IFERROR(__xludf.DUMMYFUNCTION("GOOGLETRANSLATE(B8364,""en"",""de"")"),"Eine Frau legt etwas auf den Körper einer anderen Frau.")</f>
        <v>Eine Frau legt etwas auf den Körper einer anderen Frau.</v>
      </c>
    </row>
    <row r="8365">
      <c r="A8365" s="4" t="s">
        <v>10525</v>
      </c>
      <c r="B8365" s="4" t="s">
        <v>2018</v>
      </c>
      <c r="C8365" s="5" t="str">
        <f>IFERROR(__xludf.DUMMYFUNCTION("GOOGLETRANSLATE(B8365,""en"",""de"")"),"Wörter kommen auf dem Bildschirm.")</f>
        <v>Wörter kommen auf dem Bildschirm.</v>
      </c>
    </row>
    <row r="8366">
      <c r="A8366" s="4" t="s">
        <v>10528</v>
      </c>
      <c r="B8366" s="4" t="s">
        <v>10529</v>
      </c>
      <c r="C8366" s="5" t="str">
        <f>IFERROR(__xludf.DUMMYFUNCTION("GOOGLETRANSLATE(B8366,""en"",""de"")"),"Ein Mann und eine Frau stehen draußen, während er sie mit Sonnencreme sprüht.")</f>
        <v>Ein Mann und eine Frau stehen draußen, während er sie mit Sonnencreme sprüht.</v>
      </c>
    </row>
    <row r="8367">
      <c r="A8367" s="4" t="s">
        <v>10528</v>
      </c>
      <c r="B8367" s="4" t="s">
        <v>10530</v>
      </c>
      <c r="C8367" s="5" t="str">
        <f>IFERROR(__xludf.DUMMYFUNCTION("GOOGLETRANSLATE(B8367,""en"",""de"")"),"Sie lachen beide und haben eine gute Zeit.")</f>
        <v>Sie lachen beide und haben eine gute Zeit.</v>
      </c>
    </row>
    <row r="8368">
      <c r="A8368" s="4" t="s">
        <v>10528</v>
      </c>
      <c r="B8368" s="4" t="s">
        <v>10531</v>
      </c>
      <c r="C8368" s="5" t="str">
        <f>IFERROR(__xludf.DUMMYFUNCTION("GOOGLETRANSLATE(B8368,""en"",""de"")"),"Sie dreht sich um, damit er sie gründlich zurückbekommen kann, während beide spielerisch miteinander flirten.")</f>
        <v>Sie dreht sich um, damit er sie gründlich zurückbekommen kann, während beide spielerisch miteinander flirten.</v>
      </c>
    </row>
    <row r="8369">
      <c r="A8369" s="4" t="s">
        <v>10528</v>
      </c>
      <c r="B8369" s="4" t="s">
        <v>10532</v>
      </c>
      <c r="C8369" s="5" t="str">
        <f>IFERROR(__xludf.DUMMYFUNCTION("GOOGLETRANSLATE(B8369,""en"",""de"")"),"Er beginnt sie zu sprühen und sie gibt ihm Anweisungen, wo er es verpasst hat, sie aufzutragen.")</f>
        <v>Er beginnt sie zu sprühen und sie gibt ihm Anweisungen, wo er es verpasst hat, sie aufzutragen.</v>
      </c>
    </row>
    <row r="8370">
      <c r="A8370" s="4" t="s">
        <v>10528</v>
      </c>
      <c r="B8370" s="4" t="s">
        <v>10533</v>
      </c>
      <c r="C8370" s="5" t="str">
        <f>IFERROR(__xludf.DUMMYFUNCTION("GOOGLETRANSLATE(B8370,""en"",""de"")"),"Sie dreht sich dann um, damit er ihre Arme, das Gesicht und alle anderen Bereiche, die er vermisst hat, holen.")</f>
        <v>Sie dreht sich dann um, damit er ihre Arme, das Gesicht und alle anderen Bereiche, die er vermisst hat, holen.</v>
      </c>
    </row>
    <row r="8371">
      <c r="A8371" s="4" t="s">
        <v>10534</v>
      </c>
      <c r="B8371" s="4" t="s">
        <v>10535</v>
      </c>
      <c r="C8371" s="5" t="str">
        <f>IFERROR(__xludf.DUMMYFUNCTION("GOOGLETRANSLATE(B8371,""en"",""de"")"),"Der Familientag am Strand, Vater und Sohn gehen herum und spielen dann im Sand.")</f>
        <v>Der Familientag am Strand, Vater und Sohn gehen herum und spielen dann im Sand.</v>
      </c>
    </row>
    <row r="8372">
      <c r="A8372" s="4" t="s">
        <v>10534</v>
      </c>
      <c r="B8372" s="4" t="s">
        <v>10536</v>
      </c>
      <c r="C8372" s="5" t="str">
        <f>IFERROR(__xludf.DUMMYFUNCTION("GOOGLETRANSLATE(B8372,""en"",""de"")"),"Sie haben einen Sand in Eimern, der versucht, Sandburgen zu bauen.")</f>
        <v>Sie haben einen Sand in Eimern, der versucht, Sandburgen zu bauen.</v>
      </c>
    </row>
    <row r="8373">
      <c r="A8373" s="4" t="s">
        <v>10534</v>
      </c>
      <c r="B8373" s="4" t="s">
        <v>10537</v>
      </c>
      <c r="C8373" s="5" t="str">
        <f>IFERROR(__xludf.DUMMYFUNCTION("GOOGLETRANSLATE(B8373,""en"",""de"")"),"Wenn sie den Eimer hoch nehmen, ist der Sand überhaupt nicht sehr stabil.")</f>
        <v>Wenn sie den Eimer hoch nehmen, ist der Sand überhaupt nicht sehr stabil.</v>
      </c>
    </row>
    <row r="8374">
      <c r="A8374" s="4" t="s">
        <v>10534</v>
      </c>
      <c r="B8374" s="4" t="s">
        <v>10538</v>
      </c>
      <c r="C8374" s="5" t="str">
        <f>IFERROR(__xludf.DUMMYFUNCTION("GOOGLETRANSLATE(B8374,""en"",""de"")"),"Der kleine Junge geht und tritt alle Schlossteile nieder, die er kreierte.")</f>
        <v>Der kleine Junge geht und tritt alle Schlossteile nieder, die er kreierte.</v>
      </c>
    </row>
    <row r="8375">
      <c r="A8375" s="4" t="s">
        <v>10539</v>
      </c>
      <c r="B8375" s="4" t="s">
        <v>10540</v>
      </c>
      <c r="C8375" s="5" t="str">
        <f>IFERROR(__xludf.DUMMYFUNCTION("GOOGLETRANSLATE(B8375,""en"",""de"")"),"Ein Mann spielt ein Saxophon und wechselt von verschiedenen Orten der Person, die das Instrument spielt.")</f>
        <v>Ein Mann spielt ein Saxophon und wechselt von verschiedenen Orten der Person, die das Instrument spielt.</v>
      </c>
    </row>
    <row r="8376">
      <c r="A8376" s="4" t="s">
        <v>10539</v>
      </c>
      <c r="B8376" s="4" t="s">
        <v>10541</v>
      </c>
      <c r="C8376" s="5" t="str">
        <f>IFERROR(__xludf.DUMMYFUNCTION("GOOGLETRANSLATE(B8376,""en"",""de"")"),"Der Mann wird dann neben sich selbst und mehr Aufnahmen von ihm in einem Raum gesehen.")</f>
        <v>Der Mann wird dann neben sich selbst und mehr Aufnahmen von ihm in einem Raum gesehen.</v>
      </c>
    </row>
    <row r="8377">
      <c r="A8377" s="4" t="s">
        <v>10542</v>
      </c>
      <c r="B8377" s="4" t="s">
        <v>10543</v>
      </c>
      <c r="C8377" s="5" t="str">
        <f>IFERROR(__xludf.DUMMYFUNCTION("GOOGLETRANSLATE(B8377,""en"",""de"")"),"Ein Mann hängt an einer Felswand und spricht mit der Kamera.")</f>
        <v>Ein Mann hängt an einer Felswand und spricht mit der Kamera.</v>
      </c>
    </row>
    <row r="8378">
      <c r="A8378" s="4" t="s">
        <v>10542</v>
      </c>
      <c r="B8378" s="4" t="s">
        <v>10544</v>
      </c>
      <c r="C8378" s="5" t="str">
        <f>IFERROR(__xludf.DUMMYFUNCTION("GOOGLETRANSLATE(B8378,""en"",""de"")"),"Der Mann schwingt zurück und viertens und wie man beim Klettern das Gleichgewicht behält.")</f>
        <v>Der Mann schwingt zurück und viertens und wie man beim Klettern das Gleichgewicht behält.</v>
      </c>
    </row>
    <row r="8379">
      <c r="A8379" s="4" t="s">
        <v>10542</v>
      </c>
      <c r="B8379" s="4" t="s">
        <v>10545</v>
      </c>
      <c r="C8379" s="5" t="str">
        <f>IFERROR(__xludf.DUMMYFUNCTION("GOOGLETRANSLATE(B8379,""en"",""de"")"),"Er beginnt die Wand hinauf und redet über die Aufbewahrung gerader Arme.")</f>
        <v>Er beginnt die Wand hinauf und redet über die Aufbewahrung gerader Arme.</v>
      </c>
    </row>
    <row r="8380">
      <c r="A8380" s="4" t="s">
        <v>10542</v>
      </c>
      <c r="B8380" s="4" t="s">
        <v>10546</v>
      </c>
      <c r="C8380" s="5" t="str">
        <f>IFERROR(__xludf.DUMMYFUNCTION("GOOGLETRANSLATE(B8380,""en"",""de"")"),"Er klettern weiterhin die Wand hinauf und wo sie Ihre Füße positionieren und wie man drückt.")</f>
        <v>Er klettern weiterhin die Wand hinauf und wo sie Ihre Füße positionieren und wie man drückt.</v>
      </c>
    </row>
    <row r="8381">
      <c r="A8381" s="4" t="s">
        <v>10542</v>
      </c>
      <c r="B8381" s="4" t="s">
        <v>10547</v>
      </c>
      <c r="C8381" s="5" t="str">
        <f>IFERROR(__xludf.DUMMYFUNCTION("GOOGLETRANSLATE(B8381,""en"",""de"")"),"Er schafft es schließlich an die Spitze der Felswand und steht vor der Kamera.")</f>
        <v>Er schafft es schließlich an die Spitze der Felswand und steht vor der Kamera.</v>
      </c>
    </row>
    <row r="8382">
      <c r="A8382" s="4" t="s">
        <v>10548</v>
      </c>
      <c r="B8382" s="4" t="s">
        <v>10549</v>
      </c>
      <c r="C8382" s="5" t="str">
        <f>IFERROR(__xludf.DUMMYFUNCTION("GOOGLETRANSLATE(B8382,""en"",""de"")"),"Es wird ein Tutorial darüber gegeben, wie man eine perfekte französische Maniküre macht.")</f>
        <v>Es wird ein Tutorial darüber gegeben, wie man eine perfekte französische Maniküre macht.</v>
      </c>
    </row>
    <row r="8383">
      <c r="A8383" s="4" t="s">
        <v>10548</v>
      </c>
      <c r="B8383" s="4" t="s">
        <v>10550</v>
      </c>
      <c r="C8383" s="5" t="str">
        <f>IFERROR(__xludf.DUMMYFUNCTION("GOOGLETRANSLATE(B8383,""en"",""de"")"),"Am Ende wird eine Anzeige gezeigt.")</f>
        <v>Am Ende wird eine Anzeige gezeigt.</v>
      </c>
    </row>
    <row r="8384">
      <c r="A8384" s="4" t="s">
        <v>10551</v>
      </c>
      <c r="B8384" s="4" t="s">
        <v>10552</v>
      </c>
      <c r="C8384" s="5" t="str">
        <f>IFERROR(__xludf.DUMMYFUNCTION("GOOGLETRANSLATE(B8384,""en"",""de"")"),"Eine Frau in einem schwarzen Hemd, das die Firma Bents repräsentiert, steht in einem Garten und zeigt, wie man Cellophan verwendet, um eine Pflanze für Geschenkzwecke zu wickeln.")</f>
        <v>Eine Frau in einem schwarzen Hemd, das die Firma Bents repräsentiert, steht in einem Garten und zeigt, wie man Cellophan verwendet, um eine Pflanze für Geschenkzwecke zu wickeln.</v>
      </c>
    </row>
    <row r="8385">
      <c r="A8385" s="4" t="s">
        <v>10551</v>
      </c>
      <c r="B8385" s="4" t="s">
        <v>10553</v>
      </c>
      <c r="C8385" s="5" t="str">
        <f>IFERROR(__xludf.DUMMYFUNCTION("GOOGLETRANSLATE(B8385,""en"",""de"")"),"Sie schneidet ein rechteckiges Stück des Zellophans und legt den Topf in die Mitte.")</f>
        <v>Sie schneidet ein rechteckiges Stück des Zellophans und legt den Topf in die Mitte.</v>
      </c>
    </row>
    <row r="8386">
      <c r="A8386" s="4" t="s">
        <v>10551</v>
      </c>
      <c r="B8386" s="4" t="s">
        <v>10554</v>
      </c>
      <c r="C8386" s="5" t="str">
        <f>IFERROR(__xludf.DUMMYFUNCTION("GOOGLETRANSLATE(B8386,""en"",""de"")"),"Dann bringt sie die Ränder des Cellophans zur Spitze der Pflanze zusammen.")</f>
        <v>Dann bringt sie die Ränder des Cellophans zur Spitze der Pflanze zusammen.</v>
      </c>
    </row>
    <row r="8387">
      <c r="A8387" s="4" t="s">
        <v>10551</v>
      </c>
      <c r="B8387" s="4" t="s">
        <v>10555</v>
      </c>
      <c r="C8387" s="5" t="str">
        <f>IFERROR(__xludf.DUMMYFUNCTION("GOOGLETRANSLATE(B8387,""en"",""de"")"),"Sie nimmt ein dekoriertes Stück Band, um das zerkleinerte Cellophan zusammenzubinden, damit es wie ein Bogen darüber aussieht.")</f>
        <v>Sie nimmt ein dekoriertes Stück Band, um das zerkleinerte Cellophan zusammenzubinden, damit es wie ein Bogen darüber aussieht.</v>
      </c>
    </row>
    <row r="8388">
      <c r="A8388" s="4" t="s">
        <v>10556</v>
      </c>
      <c r="B8388" s="4" t="s">
        <v>10557</v>
      </c>
      <c r="C8388" s="5" t="str">
        <f>IFERROR(__xludf.DUMMYFUNCTION("GOOGLETRANSLATE(B8388,""en"",""de"")"),"Jungen steigen aus einem Zug und gehen auf der Straße mit Surfbrettern.")</f>
        <v>Jungen steigen aus einem Zug und gehen auf der Straße mit Surfbrettern.</v>
      </c>
    </row>
    <row r="8389">
      <c r="A8389" s="4" t="s">
        <v>10556</v>
      </c>
      <c r="B8389" s="4" t="s">
        <v>10558</v>
      </c>
      <c r="C8389" s="5" t="str">
        <f>IFERROR(__xludf.DUMMYFUNCTION("GOOGLETRANSLATE(B8389,""en"",""de"")"),"Sie, die Jungen surfen in einem abgehackten Fluss in einer Stadt.")</f>
        <v>Sie, die Jungen surfen in einem abgehackten Fluss in einer Stadt.</v>
      </c>
    </row>
    <row r="8390">
      <c r="A8390" s="4" t="s">
        <v>10556</v>
      </c>
      <c r="B8390" s="4" t="s">
        <v>10559</v>
      </c>
      <c r="C8390" s="5" t="str">
        <f>IFERROR(__xludf.DUMMYFUNCTION("GOOGLETRANSLATE(B8390,""en"",""de"")"),"Ein Junge legte sein Surfbrett auf die Rives, sprang auf und surft, fiel dann, auch andere Jungen surfen.")</f>
        <v>Ein Junge legte sein Surfbrett auf die Rives, sprang auf und surft, fiel dann, auch andere Jungen surfen.</v>
      </c>
    </row>
    <row r="8391">
      <c r="A8391" s="4" t="s">
        <v>10556</v>
      </c>
      <c r="B8391" s="4" t="s">
        <v>10560</v>
      </c>
      <c r="C8391" s="5" t="str">
        <f>IFERROR(__xludf.DUMMYFUNCTION("GOOGLETRANSLATE(B8391,""en"",""de"")"),"Danach sind die Jungs in einem Zug.")</f>
        <v>Danach sind die Jungs in einem Zug.</v>
      </c>
    </row>
    <row r="8392">
      <c r="A8392" s="4" t="s">
        <v>10561</v>
      </c>
      <c r="B8392" s="4" t="s">
        <v>10562</v>
      </c>
      <c r="C8392" s="5" t="str">
        <f>IFERROR(__xludf.DUMMYFUNCTION("GOOGLETRANSLATE(B8392,""en"",""de"")"),"Es gibt ein Bonfeuer, das in einem offenen Boden neben einigen Zelten und Fahrrädern beleuchtet ist.")</f>
        <v>Es gibt ein Bonfeuer, das in einem offenen Boden neben einigen Zelten und Fahrrädern beleuchtet ist.</v>
      </c>
    </row>
    <row r="8393">
      <c r="A8393" s="4" t="s">
        <v>10561</v>
      </c>
      <c r="B8393" s="4" t="s">
        <v>10563</v>
      </c>
      <c r="C8393" s="5" t="str">
        <f>IFERROR(__xludf.DUMMYFUNCTION("GOOGLETRANSLATE(B8393,""en"",""de"")"),"Es gibt eine Person in einem Bikeranzug, der auftaucht und einen Haufen Holzstöcke feuert.")</f>
        <v>Es gibt eine Person in einem Bikeranzug, der auftaucht und einen Haufen Holzstöcke feuert.</v>
      </c>
    </row>
    <row r="8394">
      <c r="A8394" s="4" t="s">
        <v>10561</v>
      </c>
      <c r="B8394" s="4" t="s">
        <v>10564</v>
      </c>
      <c r="C8394" s="5" t="str">
        <f>IFERROR(__xludf.DUMMYFUNCTION("GOOGLETRANSLATE(B8394,""en"",""de"")"),"Das Feuer beginnt sich durch die Zweige und Holzstäbe auszubreiten und platzt in große Flammen.")</f>
        <v>Das Feuer beginnt sich durch die Zweige und Holzstäbe auszubreiten und platzt in große Flammen.</v>
      </c>
    </row>
    <row r="8395">
      <c r="A8395" s="4" t="s">
        <v>10565</v>
      </c>
      <c r="B8395" s="4" t="s">
        <v>10566</v>
      </c>
      <c r="C8395" s="5" t="str">
        <f>IFERROR(__xludf.DUMMYFUNCTION("GOOGLETRANSLATE(B8395,""en"",""de"")"),"Eine Dame namens Linda, Schöpferin von Farben, zeigt, wie man ein Acrylmalerei macht.")</f>
        <v>Eine Dame namens Linda, Schöpferin von Farben, zeigt, wie man ein Acrylmalerei macht.</v>
      </c>
    </row>
    <row r="8396">
      <c r="A8396" s="4" t="s">
        <v>10565</v>
      </c>
      <c r="B8396" s="4" t="s">
        <v>10567</v>
      </c>
      <c r="C8396" s="5" t="str">
        <f>IFERROR(__xludf.DUMMYFUNCTION("GOOGLETRANSLATE(B8396,""en"",""de"")"),"Sie beginnt mit einer Flachpinsel und einer gelben und weißen Acrylfarbe.")</f>
        <v>Sie beginnt mit einer Flachpinsel und einer gelben und weißen Acrylfarbe.</v>
      </c>
    </row>
    <row r="8397">
      <c r="A8397" s="4" t="s">
        <v>10565</v>
      </c>
      <c r="B8397" s="4" t="s">
        <v>10568</v>
      </c>
      <c r="C8397" s="5" t="str">
        <f>IFERROR(__xludf.DUMMYFUNCTION("GOOGLETRANSLATE(B8397,""en"",""de"")"),"Sie macht X -Muster über die Leinwand mit der gelben Farbe.")</f>
        <v>Sie macht X -Muster über die Leinwand mit der gelben Farbe.</v>
      </c>
    </row>
    <row r="8398">
      <c r="A8398" s="4" t="s">
        <v>10565</v>
      </c>
      <c r="B8398" s="4" t="s">
        <v>10569</v>
      </c>
      <c r="C8398" s="5" t="str">
        <f>IFERROR(__xludf.DUMMYFUNCTION("GOOGLETRANSLATE(B8398,""en"",""de"")"),"Sie setzt das gleiche Muster im oberen Teil der Leinwand fort.")</f>
        <v>Sie setzt das gleiche Muster im oberen Teil der Leinwand fort.</v>
      </c>
    </row>
    <row r="8399">
      <c r="A8399" s="4" t="s">
        <v>10565</v>
      </c>
      <c r="B8399" s="4" t="s">
        <v>10570</v>
      </c>
      <c r="C8399" s="5" t="str">
        <f>IFERROR(__xludf.DUMMYFUNCTION("GOOGLETRANSLATE(B8399,""en"",""de"")"),"Dann zeichnet sie gerade Linien über die Leinwand mit einer orangefarbenen Farbe.")</f>
        <v>Dann zeichnet sie gerade Linien über die Leinwand mit einer orangefarbenen Farbe.</v>
      </c>
    </row>
    <row r="8400">
      <c r="A8400" s="4" t="s">
        <v>10565</v>
      </c>
      <c r="B8400" s="4" t="s">
        <v>10571</v>
      </c>
      <c r="C8400" s="5" t="str">
        <f>IFERROR(__xludf.DUMMYFUNCTION("GOOGLETRANSLATE(B8400,""en"",""de"")"),"Sie nimmt dann einen Liner -Pinsel, um einige detailliertere Details auf dem Gemälde wie Zweige eines Baumes durchzuführen.")</f>
        <v>Sie nimmt dann einen Liner -Pinsel, um einige detailliertere Details auf dem Gemälde wie Zweige eines Baumes durchzuführen.</v>
      </c>
    </row>
    <row r="8401">
      <c r="A8401" s="4" t="s">
        <v>10565</v>
      </c>
      <c r="B8401" s="4" t="s">
        <v>10572</v>
      </c>
      <c r="C8401" s="5" t="str">
        <f>IFERROR(__xludf.DUMMYFUNCTION("GOOGLETRANSLATE(B8401,""en"",""de"")"),"Sie nimmt einen flacheren Pinsel, um eine Tupfertechnik mit überschüssiger Farbe zu demonstrieren, um Blütenblätter zu zeigen.")</f>
        <v>Sie nimmt einen flacheren Pinsel, um eine Tupfertechnik mit überschüssiger Farbe zu demonstrieren, um Blütenblätter zu zeigen.</v>
      </c>
    </row>
    <row r="8402">
      <c r="A8402" s="4" t="s">
        <v>10565</v>
      </c>
      <c r="B8402" s="4" t="s">
        <v>10573</v>
      </c>
      <c r="C8402" s="5" t="str">
        <f>IFERROR(__xludf.DUMMYFUNCTION("GOOGLETRANSLATE(B8402,""en"",""de"")"),"Sie beendet das Video mit der abstrakten Maltechnik.")</f>
        <v>Sie beendet das Video mit der abstrakten Maltechnik.</v>
      </c>
    </row>
    <row r="8403">
      <c r="A8403" s="4" t="s">
        <v>10574</v>
      </c>
      <c r="B8403" s="4" t="s">
        <v>10575</v>
      </c>
      <c r="C8403" s="5" t="str">
        <f>IFERROR(__xludf.DUMMYFUNCTION("GOOGLETRANSLATE(B8403,""en"",""de"")"),"Wir sehen einen Mann in einem Pool, der ein Spiel spielt, während ein Mann in Weiß an der Seitenlinie steht, die seinen Arm winkt.")</f>
        <v>Wir sehen einen Mann in einem Pool, der ein Spiel spielt, während ein Mann in Weiß an der Seitenlinie steht, die seinen Arm winkt.</v>
      </c>
    </row>
    <row r="8404">
      <c r="A8404" s="4" t="s">
        <v>10574</v>
      </c>
      <c r="B8404" s="4" t="s">
        <v>10576</v>
      </c>
      <c r="C8404" s="5" t="str">
        <f>IFERROR(__xludf.DUMMYFUNCTION("GOOGLETRANSLATE(B8404,""en"",""de"")"),"Der Ball wird geworfen und der Torwart vor dem Netz springt, um den Ball zu stoppen.")</f>
        <v>Der Ball wird geworfen und der Torwart vor dem Netz springt, um den Ball zu stoppen.</v>
      </c>
    </row>
    <row r="8405">
      <c r="A8405" s="4" t="s">
        <v>10574</v>
      </c>
      <c r="B8405" s="4" t="s">
        <v>10577</v>
      </c>
      <c r="C8405" s="5" t="str">
        <f>IFERROR(__xludf.DUMMYFUNCTION("GOOGLETRANSLATE(B8405,""en"",""de"")"),"Der Torwart taucht dann tief unter Wasser ab.")</f>
        <v>Der Torwart taucht dann tief unter Wasser ab.</v>
      </c>
    </row>
    <row r="8406">
      <c r="A8406" s="4" t="s">
        <v>10578</v>
      </c>
      <c r="B8406" s="4" t="s">
        <v>10579</v>
      </c>
      <c r="C8406" s="5" t="str">
        <f>IFERROR(__xludf.DUMMYFUNCTION("GOOGLETRANSLATE(B8406,""en"",""de"")"),"Eine asiatische Frau mit schwarzem Haar in beige Jacke und bedruckter Bluse spricht vor der Kamera.")</f>
        <v>Eine asiatische Frau mit schwarzem Haar in beige Jacke und bedruckter Bluse spricht vor der Kamera.</v>
      </c>
    </row>
    <row r="8407">
      <c r="A8407" s="4" t="s">
        <v>10578</v>
      </c>
      <c r="B8407" s="4" t="s">
        <v>10580</v>
      </c>
      <c r="C8407" s="5" t="str">
        <f>IFERROR(__xludf.DUMMYFUNCTION("GOOGLETRANSLATE(B8407,""en"",""de"")"),"Vier schwarze und weiße Drachen mit blauem und gelbem Diamantdruck auf ihnen fliegen vom Boden, ein grünes Tintenfisch, Drachen und andere Kite -Formen fliegen am Himmel, während Männer in rotem Drachen an den Drachen ziehen.")</f>
        <v>Vier schwarze und weiße Drachen mit blauem und gelbem Diamantdruck auf ihnen fliegen vom Boden, ein grünes Tintenfisch, Drachen und andere Kite -Formen fliegen am Himmel, während Männer in rotem Drachen an den Drachen ziehen.</v>
      </c>
    </row>
    <row r="8408">
      <c r="A8408" s="4" t="s">
        <v>10581</v>
      </c>
      <c r="B8408" s="4" t="s">
        <v>10582</v>
      </c>
      <c r="C8408" s="5" t="str">
        <f>IFERROR(__xludf.DUMMYFUNCTION("GOOGLETRANSLATE(B8408,""en"",""de"")"),"Eine junge Frau wird gezeigt, die sich hinsetzt und mit der Kamera weiß, die ein Hemd hält.")</f>
        <v>Eine junge Frau wird gezeigt, die sich hinsetzt und mit der Kamera weiß, die ein Hemd hält.</v>
      </c>
    </row>
    <row r="8409">
      <c r="A8409" s="4" t="s">
        <v>10581</v>
      </c>
      <c r="B8409" s="4" t="s">
        <v>10583</v>
      </c>
      <c r="C8409" s="5" t="str">
        <f>IFERROR(__xludf.DUMMYFUNCTION("GOOGLETRANSLATE(B8409,""en"",""de"")"),"Sie bindet das Hemd um ihren Arm und taucht es ins Wasser und schrubbt es mit ihren Händen.")</f>
        <v>Sie bindet das Hemd um ihren Arm und taucht es ins Wasser und schrubbt es mit ihren Händen.</v>
      </c>
    </row>
    <row r="8410">
      <c r="A8410" s="4" t="s">
        <v>10584</v>
      </c>
      <c r="B8410" s="4" t="s">
        <v>10585</v>
      </c>
      <c r="C8410" s="5" t="str">
        <f>IFERROR(__xludf.DUMMYFUNCTION("GOOGLETRANSLATE(B8410,""en"",""de"")"),"Ein Mann sitzt auf einem Stuhl und hält ein Saxophon.")</f>
        <v>Ein Mann sitzt auf einem Stuhl und hält ein Saxophon.</v>
      </c>
    </row>
    <row r="8411">
      <c r="A8411" s="4" t="s">
        <v>10584</v>
      </c>
      <c r="B8411" s="4" t="s">
        <v>10586</v>
      </c>
      <c r="C8411" s="5" t="str">
        <f>IFERROR(__xludf.DUMMYFUNCTION("GOOGLETRANSLATE(B8411,""en"",""de"")"),"Er steht während des Spiels, und seine Finger bewegt sich auf und ab im Instrument.")</f>
        <v>Er steht während des Spiels, und seine Finger bewegt sich auf und ab im Instrument.</v>
      </c>
    </row>
    <row r="8412">
      <c r="A8412" s="4" t="s">
        <v>10584</v>
      </c>
      <c r="B8412" s="4" t="s">
        <v>10587</v>
      </c>
      <c r="C8412" s="5" t="str">
        <f>IFERROR(__xludf.DUMMYFUNCTION("GOOGLETRANSLATE(B8412,""en"",""de"")"),"Der Bildschirm schneidet Schwarzweißtext.")</f>
        <v>Der Bildschirm schneidet Schwarzweißtext.</v>
      </c>
    </row>
    <row r="8413">
      <c r="A8413" s="4" t="s">
        <v>10588</v>
      </c>
      <c r="B8413" s="4" t="s">
        <v>10589</v>
      </c>
      <c r="C8413" s="5" t="str">
        <f>IFERROR(__xludf.DUMMYFUNCTION("GOOGLETRANSLATE(B8413,""en"",""de"")"),"Die Statistiken eines Spielers zeigen auf dem Bildschirm.")</f>
        <v>Die Statistiken eines Spielers zeigen auf dem Bildschirm.</v>
      </c>
    </row>
    <row r="8414">
      <c r="A8414" s="4" t="s">
        <v>10588</v>
      </c>
      <c r="B8414" s="4" t="s">
        <v>10590</v>
      </c>
      <c r="C8414" s="5" t="str">
        <f>IFERROR(__xludf.DUMMYFUNCTION("GOOGLETRANSLATE(B8414,""en"",""de"")"),"Montagen mehrerer Indoor -Fußballspiele.")</f>
        <v>Montagen mehrerer Indoor -Fußballspiele.</v>
      </c>
    </row>
    <row r="8415">
      <c r="A8415" s="4" t="s">
        <v>10588</v>
      </c>
      <c r="B8415" s="4" t="s">
        <v>10591</v>
      </c>
      <c r="C8415" s="5" t="str">
        <f>IFERROR(__xludf.DUMMYFUNCTION("GOOGLETRANSLATE(B8415,""en"",""de"")"),"Die Statistiken des Spielers werden erneut angezeigt.")</f>
        <v>Die Statistiken des Spielers werden erneut angezeigt.</v>
      </c>
    </row>
    <row r="8416">
      <c r="A8416" s="4" t="s">
        <v>10592</v>
      </c>
      <c r="B8416" s="4" t="s">
        <v>10593</v>
      </c>
      <c r="C8416" s="5" t="str">
        <f>IFERROR(__xludf.DUMMYFUNCTION("GOOGLETRANSLATE(B8416,""en"",""de"")"),"Wir sehen Zahlenschlitze auf Asphalt.")</f>
        <v>Wir sehen Zahlenschlitze auf Asphalt.</v>
      </c>
    </row>
    <row r="8417">
      <c r="A8417" s="4" t="s">
        <v>10592</v>
      </c>
      <c r="B8417" s="4" t="s">
        <v>10594</v>
      </c>
      <c r="C8417" s="5" t="str">
        <f>IFERROR(__xludf.DUMMYFUNCTION("GOOGLETRANSLATE(B8417,""en"",""de"")"),"Wir sehen dann Kinder, die BMX -Fahrräder reiten, die mit Szenen anderer Dinge geschnitten sind.")</f>
        <v>Wir sehen dann Kinder, die BMX -Fahrräder reiten, die mit Szenen anderer Dinge geschnitten sind.</v>
      </c>
    </row>
    <row r="8418">
      <c r="A8418" s="4" t="s">
        <v>10592</v>
      </c>
      <c r="B8418" s="4" t="s">
        <v>10595</v>
      </c>
      <c r="C8418" s="5" t="str">
        <f>IFERROR(__xludf.DUMMYFUNCTION("GOOGLETRANSLATE(B8418,""en"",""de"")"),"Wir sehen Kinder mit der Kamera sprechen.")</f>
        <v>Wir sehen Kinder mit der Kamera sprechen.</v>
      </c>
    </row>
    <row r="8419">
      <c r="A8419" s="4" t="s">
        <v>10592</v>
      </c>
      <c r="B8419" s="4" t="s">
        <v>10596</v>
      </c>
      <c r="C8419" s="5" t="str">
        <f>IFERROR(__xludf.DUMMYFUNCTION("GOOGLETRANSLATE(B8419,""en"",""de"")"),"Wir sehen ein Tor offen und Kinder fangen an zu fahren.")</f>
        <v>Wir sehen ein Tor offen und Kinder fangen an zu fahren.</v>
      </c>
    </row>
    <row r="8420">
      <c r="A8420" s="4" t="s">
        <v>10592</v>
      </c>
      <c r="B8420" s="4" t="s">
        <v>10597</v>
      </c>
      <c r="C8420" s="5" t="str">
        <f>IFERROR(__xludf.DUMMYFUNCTION("GOOGLETRANSLATE(B8420,""en"",""de"")"),"Wir sehen einen Trainer mit Kindern.")</f>
        <v>Wir sehen einen Trainer mit Kindern.</v>
      </c>
    </row>
    <row r="8421">
      <c r="A8421" s="4" t="s">
        <v>10592</v>
      </c>
      <c r="B8421" s="4" t="s">
        <v>10598</v>
      </c>
      <c r="C8421" s="5" t="str">
        <f>IFERROR(__xludf.DUMMYFUNCTION("GOOGLETRANSLATE(B8421,""en"",""de"")"),"Wir sehen einen anderen Trainer mit Kindern.")</f>
        <v>Wir sehen einen anderen Trainer mit Kindern.</v>
      </c>
    </row>
    <row r="8422">
      <c r="A8422" s="4" t="s">
        <v>10592</v>
      </c>
      <c r="B8422" s="4" t="s">
        <v>10599</v>
      </c>
      <c r="C8422" s="5" t="str">
        <f>IFERROR(__xludf.DUMMYFUNCTION("GOOGLETRANSLATE(B8422,""en"",""de"")"),"Wir sehen, wie Kinder die Ziellinie passieren.")</f>
        <v>Wir sehen, wie Kinder die Ziellinie passieren.</v>
      </c>
    </row>
    <row r="8423">
      <c r="A8423" s="4" t="s">
        <v>10592</v>
      </c>
      <c r="B8423" s="4" t="s">
        <v>10600</v>
      </c>
      <c r="C8423" s="5" t="str">
        <f>IFERROR(__xludf.DUMMYFUNCTION("GOOGLETRANSLATE(B8423,""en"",""de"")"),"Wir sehen das Emblem auf dem Bildschirm mit Kindern, die auf ihren Fahrrädern sitzen.")</f>
        <v>Wir sehen das Emblem auf dem Bildschirm mit Kindern, die auf ihren Fahrrädern sitzen.</v>
      </c>
    </row>
    <row r="8424">
      <c r="A8424" s="4" t="s">
        <v>10592</v>
      </c>
      <c r="B8424" s="4" t="s">
        <v>10601</v>
      </c>
      <c r="C8424" s="5" t="str">
        <f>IFERROR(__xludf.DUMMYFUNCTION("GOOGLETRANSLATE(B8424,""en"",""de"")"),"Wir sehen dann den schließen Bildschirm.")</f>
        <v>Wir sehen dann den schließen Bildschirm.</v>
      </c>
    </row>
    <row r="8425">
      <c r="A8425" s="4" t="s">
        <v>10602</v>
      </c>
      <c r="B8425" s="4" t="s">
        <v>10603</v>
      </c>
      <c r="C8425" s="5" t="str">
        <f>IFERROR(__xludf.DUMMYFUNCTION("GOOGLETRANSLATE(B8425,""en"",""de"")"),"Ein Mann, der einen Hut trägt, steht draußen.")</f>
        <v>Ein Mann, der einen Hut trägt, steht draußen.</v>
      </c>
    </row>
    <row r="8426">
      <c r="A8426" s="4" t="s">
        <v>10602</v>
      </c>
      <c r="B8426" s="4" t="s">
        <v>10604</v>
      </c>
      <c r="C8426" s="5" t="str">
        <f>IFERROR(__xludf.DUMMYFUNCTION("GOOGLETRANSLATE(B8426,""en"",""de"")"),"Er nimmt eine Kettensäge vom Boden ab.")</f>
        <v>Er nimmt eine Kettensäge vom Boden ab.</v>
      </c>
    </row>
    <row r="8427">
      <c r="A8427" s="4" t="s">
        <v>10602</v>
      </c>
      <c r="B8427" s="4" t="s">
        <v>10605</v>
      </c>
      <c r="C8427" s="5" t="str">
        <f>IFERROR(__xludf.DUMMYFUNCTION("GOOGLETRANSLATE(B8427,""en"",""de"")"),"Er beginnt einen Busch neben ihm zu hacken.")</f>
        <v>Er beginnt einen Busch neben ihm zu hacken.</v>
      </c>
    </row>
    <row r="8428">
      <c r="A8428" s="4" t="s">
        <v>10606</v>
      </c>
      <c r="B8428" s="4" t="s">
        <v>10607</v>
      </c>
      <c r="C8428" s="5" t="str">
        <f>IFERROR(__xludf.DUMMYFUNCTION("GOOGLETRANSLATE(B8428,""en"",""de"")"),"Es stehen ein paar Kinder an einem Tisch und der Hauptaugenmerk liegt auf einem Jungen, der Sachen auf ein blaues Tablett schneidet.")</f>
        <v>Es stehen ein paar Kinder an einem Tisch und der Hauptaugenmerk liegt auf einem Jungen, der Sachen auf ein blaues Tablett schneidet.</v>
      </c>
    </row>
    <row r="8429">
      <c r="A8429" s="4" t="s">
        <v>10606</v>
      </c>
      <c r="B8429" s="4" t="s">
        <v>10608</v>
      </c>
      <c r="C8429" s="5" t="str">
        <f>IFERROR(__xludf.DUMMYFUNCTION("GOOGLETRANSLATE(B8429,""en"",""de"")"),"Der Junge geht vom Tablett weg und ein Erwachsener beginnt zu schneiden.")</f>
        <v>Der Junge geht vom Tablett weg und ein Erwachsener beginnt zu schneiden.</v>
      </c>
    </row>
    <row r="8430">
      <c r="A8430" s="4" t="s">
        <v>10606</v>
      </c>
      <c r="B8430" s="4" t="s">
        <v>10609</v>
      </c>
      <c r="C8430" s="5" t="str">
        <f>IFERROR(__xludf.DUMMYFUNCTION("GOOGLETRANSLATE(B8430,""en"",""de"")"),"Der Erwachsene hört auf zu schneiden und ein anderer Junge beginnt, die Objekte sehr langsam zu schneiden, der Erwachsene unterbricht das Kind, um zu demonstrieren, wie man schneidet, und das Kind geht weg.")</f>
        <v>Der Erwachsene hört auf zu schneiden und ein anderer Junge beginnt, die Objekte sehr langsam zu schneiden, der Erwachsene unterbricht das Kind, um zu demonstrieren, wie man schneidet, und das Kind geht weg.</v>
      </c>
    </row>
    <row r="8431">
      <c r="A8431" s="4" t="s">
        <v>10610</v>
      </c>
      <c r="B8431" s="4" t="s">
        <v>10611</v>
      </c>
      <c r="C8431" s="5" t="str">
        <f>IFERROR(__xludf.DUMMYFUNCTION("GOOGLETRANSLATE(B8431,""en"",""de"")"),"Zwei Personen sprechen mit der Kamera, gefolgt von mehreren Getränken.")</f>
        <v>Zwei Personen sprechen mit der Kamera, gefolgt von mehreren Getränken.</v>
      </c>
    </row>
    <row r="8432">
      <c r="A8432" s="4" t="s">
        <v>10610</v>
      </c>
      <c r="B8432" s="4" t="s">
        <v>10612</v>
      </c>
      <c r="C8432" s="5" t="str">
        <f>IFERROR(__xludf.DUMMYFUNCTION("GOOGLETRANSLATE(B8432,""en"",""de"")"),"Die Leute beginnen dann, Zutaten miteinander zu mischen und miteinander zu sprechen.")</f>
        <v>Die Leute beginnen dann, Zutaten miteinander zu mischen und miteinander zu sprechen.</v>
      </c>
    </row>
    <row r="8433">
      <c r="A8433" s="4" t="s">
        <v>10610</v>
      </c>
      <c r="B8433" s="4" t="s">
        <v>10613</v>
      </c>
      <c r="C8433" s="5" t="str">
        <f>IFERROR(__xludf.DUMMYFUNCTION("GOOGLETRANSLATE(B8433,""en"",""de"")"),"Die Leute mischen weiterhin Getränke miteinander und präsentieren sie der Kamera.")</f>
        <v>Die Leute mischen weiterhin Getränke miteinander und präsentieren sie der Kamera.</v>
      </c>
    </row>
    <row r="8434">
      <c r="A8434" s="4" t="s">
        <v>10614</v>
      </c>
      <c r="B8434" s="4" t="s">
        <v>10615</v>
      </c>
      <c r="C8434" s="5" t="str">
        <f>IFERROR(__xludf.DUMMYFUNCTION("GOOGLETRANSLATE(B8434,""en"",""de"")"),"Auf einem Pferd wartet ein Mann, der auf die Zeit wartet, um zu beginnen.")</f>
        <v>Auf einem Pferd wartet ein Mann, der auf die Zeit wartet, um zu beginnen.</v>
      </c>
    </row>
    <row r="8435">
      <c r="A8435" s="4" t="s">
        <v>10614</v>
      </c>
      <c r="B8435" s="4" t="s">
        <v>10616</v>
      </c>
      <c r="C8435" s="5" t="str">
        <f>IFERROR(__xludf.DUMMYFUNCTION("GOOGLETRANSLATE(B8435,""en"",""de"")"),"Sobald die Tore öffnen, beginnt eine Kuh zu rennen und der Mann auf dem Pferd jagt danach mit einem Quasten.")</f>
        <v>Sobald die Tore öffnen, beginnt eine Kuh zu rennen und der Mann auf dem Pferd jagt danach mit einem Quasten.</v>
      </c>
    </row>
    <row r="8436">
      <c r="A8436" s="4" t="s">
        <v>10614</v>
      </c>
      <c r="B8436" s="4" t="s">
        <v>10617</v>
      </c>
      <c r="C8436" s="5" t="str">
        <f>IFERROR(__xludf.DUMMYFUNCTION("GOOGLETRANSLATE(B8436,""en"",""de"")"),"Er schwingt ein paar Mal in die Luft in die Luft und wirft sie die Kuh und fängt ihn dann ein.")</f>
        <v>Er schwingt ein paar Mal in die Luft in die Luft und wirft sie die Kuh und fängt ihn dann ein.</v>
      </c>
    </row>
    <row r="8437">
      <c r="A8437" s="4" t="s">
        <v>10614</v>
      </c>
      <c r="B8437" s="4" t="s">
        <v>10618</v>
      </c>
      <c r="C8437" s="5" t="str">
        <f>IFERROR(__xludf.DUMMYFUNCTION("GOOGLETRANSLATE(B8437,""en"",""de"")"),"Es gibt ein Publikum auf der Tribüne, der den Mann beobachtet, der dies tut, und es wartet ein anderer Mann auf einem anderen Pferd.")</f>
        <v>Es gibt ein Publikum auf der Tribüne, der den Mann beobachtet, der dies tut, und es wartet ein anderer Mann auf einem anderen Pferd.</v>
      </c>
    </row>
    <row r="8438">
      <c r="A8438" s="4" t="s">
        <v>10619</v>
      </c>
      <c r="B8438" s="4" t="s">
        <v>10620</v>
      </c>
      <c r="C8438" s="5" t="str">
        <f>IFERROR(__xludf.DUMMYFUNCTION("GOOGLETRANSLATE(B8438,""en"",""de"")"),"Eine Menge versammelt sich mit einem Volleyballspiel.")</f>
        <v>Eine Menge versammelt sich mit einem Volleyballspiel.</v>
      </c>
    </row>
    <row r="8439">
      <c r="A8439" s="4" t="s">
        <v>10619</v>
      </c>
      <c r="B8439" s="4" t="s">
        <v>10621</v>
      </c>
      <c r="C8439" s="5" t="str">
        <f>IFERROR(__xludf.DUMMYFUNCTION("GOOGLETRANSLATE(B8439,""en"",""de"")"),"Ein Volleyballspieler trifft den Ball.")</f>
        <v>Ein Volleyballspieler trifft den Ball.</v>
      </c>
    </row>
    <row r="8440">
      <c r="A8440" s="4" t="s">
        <v>10619</v>
      </c>
      <c r="B8440" s="4" t="s">
        <v>10622</v>
      </c>
      <c r="C8440" s="5" t="str">
        <f>IFERROR(__xludf.DUMMYFUNCTION("GOOGLETRANSLATE(B8440,""en"",""de"")"),"Der Teamkollegen des Spielers trifft auch den Ball.")</f>
        <v>Der Teamkollegen des Spielers trifft auch den Ball.</v>
      </c>
    </row>
    <row r="8441">
      <c r="A8441" s="4" t="s">
        <v>10619</v>
      </c>
      <c r="B8441" s="4" t="s">
        <v>10623</v>
      </c>
      <c r="C8441" s="5" t="str">
        <f>IFERROR(__xludf.DUMMYFUNCTION("GOOGLETRANSLATE(B8441,""en"",""de"")"),"Der Spieler trifft den Ball noch dreimal.")</f>
        <v>Der Spieler trifft den Ball noch dreimal.</v>
      </c>
    </row>
    <row r="8442">
      <c r="A8442" s="4" t="s">
        <v>10619</v>
      </c>
      <c r="B8442" s="4" t="s">
        <v>10624</v>
      </c>
      <c r="C8442" s="5" t="str">
        <f>IFERROR(__xludf.DUMMYFUNCTION("GOOGLETRANSLATE(B8442,""en"",""de"")"),"Der Teamkollegen des Spielers trifft den Ball.")</f>
        <v>Der Teamkollegen des Spielers trifft den Ball.</v>
      </c>
    </row>
    <row r="8443">
      <c r="A8443" s="4" t="s">
        <v>10619</v>
      </c>
      <c r="B8443" s="4" t="s">
        <v>10625</v>
      </c>
      <c r="C8443" s="5" t="str">
        <f>IFERROR(__xludf.DUMMYFUNCTION("GOOGLETRANSLATE(B8443,""en"",""de"")"),"Der andere Spieler schlägt den Ball über das Netz.")</f>
        <v>Der andere Spieler schlägt den Ball über das Netz.</v>
      </c>
    </row>
    <row r="8444">
      <c r="A8444" s="4" t="s">
        <v>10619</v>
      </c>
      <c r="B8444" s="4" t="s">
        <v>10626</v>
      </c>
      <c r="C8444" s="5" t="str">
        <f>IFERROR(__xludf.DUMMYFUNCTION("GOOGLETRANSLATE(B8444,""en"",""de"")"),"Der Ball kehrt zurück und einer der Spieler schlägt den Ball.")</f>
        <v>Der Ball kehrt zurück und einer der Spieler schlägt den Ball.</v>
      </c>
    </row>
    <row r="8445">
      <c r="A8445" s="4" t="s">
        <v>10619</v>
      </c>
      <c r="B8445" s="4" t="s">
        <v>10627</v>
      </c>
      <c r="C8445" s="5" t="str">
        <f>IFERROR(__xludf.DUMMYFUNCTION("GOOGLETRANSLATE(B8445,""en"",""de"")"),"Die Spieler -Teamkollegen tauchen auf, um den Ball zu schlagen.")</f>
        <v>Die Spieler -Teamkollegen tauchen auf, um den Ball zu schlagen.</v>
      </c>
    </row>
    <row r="8446">
      <c r="A8446" s="4" t="s">
        <v>10619</v>
      </c>
      <c r="B8446" s="4" t="s">
        <v>10628</v>
      </c>
      <c r="C8446" s="5" t="str">
        <f>IFERROR(__xludf.DUMMYFUNCTION("GOOGLETRANSLATE(B8446,""en"",""de"")"),"Der andere Spieler trifft den Ball zum anderen Team.")</f>
        <v>Der andere Spieler trifft den Ball zum anderen Team.</v>
      </c>
    </row>
    <row r="8447">
      <c r="A8447" s="4" t="s">
        <v>10619</v>
      </c>
      <c r="B8447" s="4" t="s">
        <v>10629</v>
      </c>
      <c r="C8447" s="5" t="str">
        <f>IFERROR(__xludf.DUMMYFUNCTION("GOOGLETRANSLATE(B8447,""en"",""de"")"),"Der Ball kehrt zurück und einer der Spieler schlägt den Ball aus den Grenzen.")</f>
        <v>Der Ball kehrt zurück und einer der Spieler schlägt den Ball aus den Grenzen.</v>
      </c>
    </row>
    <row r="8448">
      <c r="A8448" s="4" t="s">
        <v>10630</v>
      </c>
      <c r="B8448" s="4" t="s">
        <v>10631</v>
      </c>
      <c r="C8448" s="5" t="str">
        <f>IFERROR(__xludf.DUMMYFUNCTION("GOOGLETRANSLATE(B8448,""en"",""de"")"),"Ein Mädchen dreht sich über eine Matte.")</f>
        <v>Ein Mädchen dreht sich über eine Matte.</v>
      </c>
    </row>
    <row r="8449">
      <c r="A8449" s="4" t="s">
        <v>10630</v>
      </c>
      <c r="B8449" s="4" t="s">
        <v>10632</v>
      </c>
      <c r="C8449" s="5" t="str">
        <f>IFERROR(__xludf.DUMMYFUNCTION("GOOGLETRANSLATE(B8449,""en"",""de"")"),"Die Matte ist schwarz und rot.")</f>
        <v>Die Matte ist schwarz und rot.</v>
      </c>
    </row>
    <row r="8450">
      <c r="A8450" s="4" t="s">
        <v>10630</v>
      </c>
      <c r="B8450" s="4" t="s">
        <v>10633</v>
      </c>
      <c r="C8450" s="5" t="str">
        <f>IFERROR(__xludf.DUMMYFUNCTION("GOOGLETRANSLATE(B8450,""en"",""de"")"),"Mehrere Mädchen beobachten sie und klatschen.")</f>
        <v>Mehrere Mädchen beobachten sie und klatschen.</v>
      </c>
    </row>
    <row r="8451">
      <c r="A8451" s="4" t="s">
        <v>10630</v>
      </c>
      <c r="B8451" s="4" t="s">
        <v>10634</v>
      </c>
      <c r="C8451" s="5" t="str">
        <f>IFERROR(__xludf.DUMMYFUNCTION("GOOGLETRANSLATE(B8451,""en"",""de"")"),"Sie macht dann ein paar Backflips.")</f>
        <v>Sie macht dann ein paar Backflips.</v>
      </c>
    </row>
    <row r="8452">
      <c r="A8452" s="4" t="s">
        <v>10635</v>
      </c>
      <c r="B8452" s="4" t="s">
        <v>10636</v>
      </c>
      <c r="C8452" s="5" t="str">
        <f>IFERROR(__xludf.DUMMYFUNCTION("GOOGLETRANSLATE(B8452,""en"",""de"")"),"Eine Frau spielt eine Geige auf der Straße, während verschiedene Leute hier und hinter ihr herumlaufen.")</f>
        <v>Eine Frau spielt eine Geige auf der Straße, während verschiedene Leute hier und hinter ihr herumlaufen.</v>
      </c>
    </row>
    <row r="8453">
      <c r="A8453" s="4" t="s">
        <v>10635</v>
      </c>
      <c r="B8453" s="4" t="s">
        <v>10637</v>
      </c>
      <c r="C8453" s="5" t="str">
        <f>IFERROR(__xludf.DUMMYFUNCTION("GOOGLETRANSLATE(B8453,""en"",""de"")"),"Sie lächelt in die Kamera, während sie spielt und spielt das Lied weiter, während sich mehrere Leute sich biegen, um sie zu kippen und um sie herum zu gehen.")</f>
        <v>Sie lächelt in die Kamera, während sie spielt und spielt das Lied weiter, während sich mehrere Leute sich biegen, um sie zu kippen und um sie herum zu gehen.</v>
      </c>
    </row>
    <row r="8454">
      <c r="A8454" s="4" t="s">
        <v>10638</v>
      </c>
      <c r="B8454" s="4" t="s">
        <v>10639</v>
      </c>
      <c r="C8454" s="5" t="str">
        <f>IFERROR(__xludf.DUMMYFUNCTION("GOOGLETRANSLATE(B8454,""en"",""de"")"),"Eine kleine Gruppe von Menschen steht auf einem Feld, das sich an einem Seil festhält.")</f>
        <v>Eine kleine Gruppe von Menschen steht auf einem Feld, das sich an einem Seil festhält.</v>
      </c>
    </row>
    <row r="8455">
      <c r="A8455" s="4" t="s">
        <v>10638</v>
      </c>
      <c r="B8455" s="4" t="s">
        <v>10640</v>
      </c>
      <c r="C8455" s="5" t="str">
        <f>IFERROR(__xludf.DUMMYFUNCTION("GOOGLETRANSLATE(B8455,""en"",""de"")"),"Ein Mann steht vorne, als die Gruppe das Seil zur Seite zieht.")</f>
        <v>Ein Mann steht vorne, als die Gruppe das Seil zur Seite zieht.</v>
      </c>
    </row>
    <row r="8456">
      <c r="A8456" s="4" t="s">
        <v>10638</v>
      </c>
      <c r="B8456" s="4" t="s">
        <v>10641</v>
      </c>
      <c r="C8456" s="5" t="str">
        <f>IFERROR(__xludf.DUMMYFUNCTION("GOOGLETRANSLATE(B8456,""en"",""de"")"),"Die Menschen ziehen weiter, bis man danach herunterfällt.")</f>
        <v>Die Menschen ziehen weiter, bis man danach herunterfällt.</v>
      </c>
    </row>
    <row r="8457">
      <c r="A8457" s="4" t="s">
        <v>10642</v>
      </c>
      <c r="B8457" s="4" t="s">
        <v>10643</v>
      </c>
      <c r="C8457" s="5" t="str">
        <f>IFERROR(__xludf.DUMMYFUNCTION("GOOGLETRANSLATE(B8457,""en"",""de"")"),"Eine Person Ski auf dem Pfahl eines mit Schnee bedeckten Hügels.")</f>
        <v>Eine Person Ski auf dem Pfahl eines mit Schnee bedeckten Hügels.</v>
      </c>
    </row>
    <row r="8458">
      <c r="A8458" s="4" t="s">
        <v>10642</v>
      </c>
      <c r="B8458" s="4" t="s">
        <v>10644</v>
      </c>
      <c r="C8458" s="5" t="str">
        <f>IFERROR(__xludf.DUMMYFUNCTION("GOOGLETRANSLATE(B8458,""en"",""de"")"),"Dann kommt die Person in einen flachen Bereich, in dem es vier Personen gibt.")</f>
        <v>Dann kommt die Person in einen flachen Bereich, in dem es vier Personen gibt.</v>
      </c>
    </row>
    <row r="8459">
      <c r="A8459" s="4" t="s">
        <v>10645</v>
      </c>
      <c r="B8459" s="4" t="s">
        <v>10646</v>
      </c>
      <c r="C8459" s="5" t="str">
        <f>IFERROR(__xludf.DUMMYFUNCTION("GOOGLETRANSLATE(B8459,""en"",""de"")"),"Ein Mann steht in einem Raum mit einem großen Instrument.")</f>
        <v>Ein Mann steht in einem Raum mit einem großen Instrument.</v>
      </c>
    </row>
    <row r="8460">
      <c r="A8460" s="4" t="s">
        <v>10645</v>
      </c>
      <c r="B8460" s="4" t="s">
        <v>10647</v>
      </c>
      <c r="C8460" s="5" t="str">
        <f>IFERROR(__xludf.DUMMYFUNCTION("GOOGLETRANSLATE(B8460,""en"",""de"")"),"Er beginnt das Instrument hinter einem Mikrofon zu spielen.")</f>
        <v>Er beginnt das Instrument hinter einem Mikrofon zu spielen.</v>
      </c>
    </row>
    <row r="8461">
      <c r="A8461" s="4" t="s">
        <v>10645</v>
      </c>
      <c r="B8461" s="4" t="s">
        <v>10648</v>
      </c>
      <c r="C8461" s="5" t="str">
        <f>IFERROR(__xludf.DUMMYFUNCTION("GOOGLETRANSLATE(B8461,""en"",""de"")"),"Ein Mann in einem grünen Hemd spricht in ein Mikrofon.")</f>
        <v>Ein Mann in einem grünen Hemd spricht in ein Mikrofon.</v>
      </c>
    </row>
    <row r="8462">
      <c r="A8462" s="4" t="s">
        <v>10649</v>
      </c>
      <c r="B8462" s="4" t="s">
        <v>10650</v>
      </c>
      <c r="C8462" s="5" t="str">
        <f>IFERROR(__xludf.DUMMYFUNCTION("GOOGLETRANSLATE(B8462,""en"",""de"")"),"Es sieht so aus, als wäre dies eine arabische Sprache, die geschrieben wird oder so.")</f>
        <v>Es sieht so aus, als wäre dies eine arabische Sprache, die geschrieben wird oder so.</v>
      </c>
    </row>
    <row r="8463">
      <c r="A8463" s="4" t="s">
        <v>10649</v>
      </c>
      <c r="B8463" s="4" t="s">
        <v>10651</v>
      </c>
      <c r="C8463" s="5" t="str">
        <f>IFERROR(__xludf.DUMMYFUNCTION("GOOGLETRANSLATE(B8463,""en"",""de"")"),"Dann gibt es auf einem Feld Männer, die ein Spiel spielen und den Ball werfen.")</f>
        <v>Dann gibt es auf einem Feld Männer, die ein Spiel spielen und den Ball werfen.</v>
      </c>
    </row>
    <row r="8464">
      <c r="A8464" s="4" t="s">
        <v>10649</v>
      </c>
      <c r="B8464" s="4" t="s">
        <v>10652</v>
      </c>
      <c r="C8464" s="5" t="str">
        <f>IFERROR(__xludf.DUMMYFUNCTION("GOOGLETRANSLATE(B8464,""en"",""de"")"),"Einige Trainer gehen mit Hüten herum, um die Sonne aus ihren Augen herauszuhalten.")</f>
        <v>Einige Trainer gehen mit Hüten herum, um die Sonne aus ihren Augen herauszuhalten.</v>
      </c>
    </row>
    <row r="8465">
      <c r="A8465" s="4" t="s">
        <v>10649</v>
      </c>
      <c r="B8465" s="4" t="s">
        <v>10653</v>
      </c>
      <c r="C8465" s="5" t="str">
        <f>IFERROR(__xludf.DUMMYFUNCTION("GOOGLETRANSLATE(B8465,""en"",""de"")"),"Das Spiel sieht ziemlich intensiv aus, ein Mann steckt alle seine Macht in einen der Würfe, die er macht.")</f>
        <v>Das Spiel sieht ziemlich intensiv aus, ein Mann steckt alle seine Macht in einen der Würfe, die er macht.</v>
      </c>
    </row>
    <row r="8466">
      <c r="A8466" s="4" t="s">
        <v>10654</v>
      </c>
      <c r="B8466" s="4" t="s">
        <v>10655</v>
      </c>
      <c r="C8466" s="5" t="str">
        <f>IFERROR(__xludf.DUMMYFUNCTION("GOOGLETRANSLATE(B8466,""en"",""de"")"),"Die Szene wird in den Fokus geraten, das die Außenseite eines Gebäudes zeigt, wobei ein Text unten eine Schule zum Breakdancing ist.")</f>
        <v>Die Szene wird in den Fokus geraten, das die Außenseite eines Gebäudes zeigt, wobei ein Text unten eine Schule zum Breakdancing ist.</v>
      </c>
    </row>
    <row r="8467">
      <c r="A8467" s="4" t="s">
        <v>10654</v>
      </c>
      <c r="B8467" s="4" t="s">
        <v>10656</v>
      </c>
      <c r="C8467" s="5" t="str">
        <f>IFERROR(__xludf.DUMMYFUNCTION("GOOGLETRANSLATE(B8467,""en"",""de"")"),"Ein Mann macht etwas Papierkram, während einige andere Männer neben einem Projektorbildschirm im Hintergrund stehen.")</f>
        <v>Ein Mann macht etwas Papierkram, während einige andere Männer neben einem Projektorbildschirm im Hintergrund stehen.</v>
      </c>
    </row>
    <row r="8468">
      <c r="A8468" s="4" t="s">
        <v>10654</v>
      </c>
      <c r="B8468" s="4" t="s">
        <v>10657</v>
      </c>
      <c r="C8468" s="5" t="str">
        <f>IFERROR(__xludf.DUMMYFUNCTION("GOOGLETRANSLATE(B8468,""en"",""de"")"),"Eine große Anzahl von Kindern in einem Fitnessstudio übt Breakdancing.")</f>
        <v>Eine große Anzahl von Kindern in einem Fitnessstudio übt Breakdancing.</v>
      </c>
    </row>
    <row r="8469">
      <c r="A8469" s="4" t="s">
        <v>10654</v>
      </c>
      <c r="B8469" s="4" t="s">
        <v>10658</v>
      </c>
      <c r="C8469" s="5" t="str">
        <f>IFERROR(__xludf.DUMMYFUNCTION("GOOGLETRANSLATE(B8469,""en"",""de"")"),"Die Kinder befinden sich im Klassenzimmer und sehen sich eine Präsentation des Mannes an, das zuvor gesehen wurde.")</f>
        <v>Die Kinder befinden sich im Klassenzimmer und sehen sich eine Präsentation des Mannes an, das zuvor gesehen wurde.</v>
      </c>
    </row>
    <row r="8470">
      <c r="A8470" s="4" t="s">
        <v>10654</v>
      </c>
      <c r="B8470" s="4" t="s">
        <v>10659</v>
      </c>
      <c r="C8470" s="5" t="str">
        <f>IFERROR(__xludf.DUMMYFUNCTION("GOOGLETRANSLATE(B8470,""en"",""de"")"),"Die Kinder werden wieder im Fitnessstudio gesehen und üben ihre Breakdancing -Bewegungen.")</f>
        <v>Die Kinder werden wieder im Fitnessstudio gesehen und üben ihre Breakdancing -Bewegungen.</v>
      </c>
    </row>
    <row r="8471">
      <c r="A8471" s="4" t="s">
        <v>10654</v>
      </c>
      <c r="B8471" s="4" t="s">
        <v>10660</v>
      </c>
      <c r="C8471" s="5" t="str">
        <f>IFERROR(__xludf.DUMMYFUNCTION("GOOGLETRANSLATE(B8471,""en"",""de"")"),"Der Bildschirm wird schwarz und eine Grafik wird auf dem Bildschirm angezeigt, das das Logo- und YouTube -Kanalinformationen des Unternehmens zeigt.")</f>
        <v>Der Bildschirm wird schwarz und eine Grafik wird auf dem Bildschirm angezeigt, das das Logo- und YouTube -Kanalinformationen des Unternehmens zeigt.</v>
      </c>
    </row>
    <row r="8472">
      <c r="A8472" s="4" t="s">
        <v>10661</v>
      </c>
      <c r="B8472" s="4" t="s">
        <v>10662</v>
      </c>
      <c r="C8472" s="5" t="str">
        <f>IFERROR(__xludf.DUMMYFUNCTION("GOOGLETRANSLATE(B8472,""en"",""de"")"),"Ein Junge auf einem Pferd wird von einem Tor entlassen.")</f>
        <v>Ein Junge auf einem Pferd wird von einem Tor entlassen.</v>
      </c>
    </row>
    <row r="8473">
      <c r="A8473" s="4" t="s">
        <v>10661</v>
      </c>
      <c r="B8473" s="4" t="s">
        <v>10663</v>
      </c>
      <c r="C8473" s="5" t="str">
        <f>IFERROR(__xludf.DUMMYFUNCTION("GOOGLETRANSLATE(B8473,""en"",""de"")"),"Er seilt ein Kalb und schleppt es zu Boden.")</f>
        <v>Er seilt ein Kalb und schleppt es zu Boden.</v>
      </c>
    </row>
    <row r="8474">
      <c r="A8474" s="4" t="s">
        <v>10661</v>
      </c>
      <c r="B8474" s="4" t="s">
        <v>10664</v>
      </c>
      <c r="C8474" s="5" t="str">
        <f>IFERROR(__xludf.DUMMYFUNCTION("GOOGLETRANSLATE(B8474,""en"",""de"")"),"Er steigt ab und verbindet das Kalb mit Seil, bevor er wieder auf sein Pferd stieg.")</f>
        <v>Er steigt ab und verbindet das Kalb mit Seil, bevor er wieder auf sein Pferd stieg.</v>
      </c>
    </row>
    <row r="8475">
      <c r="A8475" s="4" t="s">
        <v>10665</v>
      </c>
      <c r="B8475" s="4" t="s">
        <v>10666</v>
      </c>
      <c r="C8475" s="5" t="str">
        <f>IFERROR(__xludf.DUMMYFUNCTION("GOOGLETRANSLATE(B8475,""en"",""de"")"),"Ein Intro führt in ein kleines Kind, das auf einem Schmutzweg mit einem Dirtrad fährt.")</f>
        <v>Ein Intro führt in ein kleines Kind, das auf einem Schmutzweg mit einem Dirtrad fährt.</v>
      </c>
    </row>
    <row r="8476">
      <c r="A8476" s="4" t="s">
        <v>10665</v>
      </c>
      <c r="B8476" s="4" t="s">
        <v>10667</v>
      </c>
      <c r="C8476" s="5" t="str">
        <f>IFERROR(__xludf.DUMMYFUNCTION("GOOGLETRANSLATE(B8476,""en"",""de"")"),"Mehrere Aufnahmen des erwachsenen Jungen werden gezeigt, gefolgt von mehr Filmmaterial des Jungen, der mit einem Dirtrad fährt.")</f>
        <v>Mehrere Aufnahmen des erwachsenen Jungen werden gezeigt, gefolgt von mehr Filmmaterial des Jungen, der mit einem Dirtrad fährt.</v>
      </c>
    </row>
    <row r="8477">
      <c r="A8477" s="4" t="s">
        <v>10668</v>
      </c>
      <c r="B8477" s="4" t="s">
        <v>10669</v>
      </c>
      <c r="C8477" s="5" t="str">
        <f>IFERROR(__xludf.DUMMYFUNCTION("GOOGLETRANSLATE(B8477,""en"",""de"")"),"Wir sehen eine Menge von Menschen, die sich eine Veranstaltung ansehen.")</f>
        <v>Wir sehen eine Menge von Menschen, die sich eine Veranstaltung ansehen.</v>
      </c>
    </row>
    <row r="8478">
      <c r="A8478" s="4" t="s">
        <v>10668</v>
      </c>
      <c r="B8478" s="4" t="s">
        <v>10670</v>
      </c>
      <c r="C8478" s="5" t="str">
        <f>IFERROR(__xludf.DUMMYFUNCTION("GOOGLETRANSLATE(B8478,""en"",""de"")"),"Die Männer fummeln mit einem Metallgriff.")</f>
        <v>Die Männer fummeln mit einem Metallgriff.</v>
      </c>
    </row>
    <row r="8479">
      <c r="A8479" s="4" t="s">
        <v>10668</v>
      </c>
      <c r="B8479" s="4" t="s">
        <v>10671</v>
      </c>
      <c r="C8479" s="5" t="str">
        <f>IFERROR(__xludf.DUMMYFUNCTION("GOOGLETRANSLATE(B8479,""en"",""de"")"),"Sie halten die Hände in Vorbereitung auf das Match und der Richter berührt ihre Hände.")</f>
        <v>Sie halten die Hände in Vorbereitung auf das Match und der Richter berührt ihre Hände.</v>
      </c>
    </row>
    <row r="8480">
      <c r="A8480" s="4" t="s">
        <v>10668</v>
      </c>
      <c r="B8480" s="4" t="s">
        <v>10672</v>
      </c>
      <c r="C8480" s="5" t="str">
        <f>IFERROR(__xludf.DUMMYFUNCTION("GOOGLETRANSLATE(B8480,""en"",""de"")"),"Die Männer beginnen ihr Arm -Wrestling -Match und der Typ auf der rechten Seite gewinnt.")</f>
        <v>Die Männer beginnen ihr Arm -Wrestling -Match und der Typ auf der rechten Seite gewinnt.</v>
      </c>
    </row>
    <row r="8481">
      <c r="A8481" s="4" t="s">
        <v>10668</v>
      </c>
      <c r="B8481" s="4" t="s">
        <v>10673</v>
      </c>
      <c r="C8481" s="5" t="str">
        <f>IFERROR(__xludf.DUMMYFUNCTION("GOOGLETRANSLATE(B8481,""en"",""de"")"),"Die Jungs schütteln die Hand und umarmen.")</f>
        <v>Die Jungs schütteln die Hand und umarmen.</v>
      </c>
    </row>
    <row r="8482">
      <c r="A8482" s="4" t="s">
        <v>10668</v>
      </c>
      <c r="B8482" s="4" t="s">
        <v>10674</v>
      </c>
      <c r="C8482" s="5" t="str">
        <f>IFERROR(__xludf.DUMMYFUNCTION("GOOGLETRANSLATE(B8482,""en"",""de"")"),"Wir sehen einen Schuss eines der Teilnehmer.")</f>
        <v>Wir sehen einen Schuss eines der Teilnehmer.</v>
      </c>
    </row>
    <row r="8483">
      <c r="A8483" s="4" t="s">
        <v>10675</v>
      </c>
      <c r="B8483" s="4" t="s">
        <v>10676</v>
      </c>
      <c r="C8483" s="5" t="str">
        <f>IFERROR(__xludf.DUMMYFUNCTION("GOOGLETRANSLATE(B8483,""en"",""de"")"),"Zwei Männer spielen in einem Innenplatz einen Schlägerball.")</f>
        <v>Zwei Männer spielen in einem Innenplatz einen Schlägerball.</v>
      </c>
    </row>
    <row r="8484">
      <c r="A8484" s="4" t="s">
        <v>10675</v>
      </c>
      <c r="B8484" s="4" t="s">
        <v>10677</v>
      </c>
      <c r="C8484" s="5" t="str">
        <f>IFERROR(__xludf.DUMMYFUNCTION("GOOGLETRANSLATE(B8484,""en"",""de"")"),"Die beiden Männer, einer in Schwarz und der andere in einem roten Hemd, der Schlägerball gegeneinander spielt.")</f>
        <v>Die beiden Männer, einer in Schwarz und der andere in einem roten Hemd, der Schlägerball gegeneinander spielt.</v>
      </c>
    </row>
    <row r="8485">
      <c r="A8485" s="4" t="s">
        <v>10675</v>
      </c>
      <c r="B8485" s="4" t="s">
        <v>10678</v>
      </c>
      <c r="C8485" s="5" t="str">
        <f>IFERROR(__xludf.DUMMYFUNCTION("GOOGLETRANSLATE(B8485,""en"",""de"")"),"Der Mann in Schwarz beginnt mit dem ersten Aufschlag und der Mann im roten Hemd kehrt seinen Aufschlag zurück.")</f>
        <v>Der Mann in Schwarz beginnt mit dem ersten Aufschlag und der Mann im roten Hemd kehrt seinen Aufschlag zurück.</v>
      </c>
    </row>
    <row r="8486">
      <c r="A8486" s="4" t="s">
        <v>10675</v>
      </c>
      <c r="B8486" s="4" t="s">
        <v>10679</v>
      </c>
      <c r="C8486" s="5" t="str">
        <f>IFERROR(__xludf.DUMMYFUNCTION("GOOGLETRANSLATE(B8486,""en"",""de"")"),"Sie spielen weiterhin Schlägerball.")</f>
        <v>Sie spielen weiterhin Schlägerball.</v>
      </c>
    </row>
    <row r="8487">
      <c r="A8487" s="4" t="s">
        <v>10675</v>
      </c>
      <c r="B8487" s="4" t="s">
        <v>10680</v>
      </c>
      <c r="C8487" s="5" t="str">
        <f>IFERROR(__xludf.DUMMYFUNCTION("GOOGLETRANSLATE(B8487,""en"",""de"")"),"Dann spielen die gleichen Spieler bei einer anderen Gelegenheit einen Schlägerball, der Schwarz und das andere mit einem gelben Hemd trägt.")</f>
        <v>Dann spielen die gleichen Spieler bei einer anderen Gelegenheit einen Schlägerball, der Schwarz und das andere mit einem gelben Hemd trägt.</v>
      </c>
    </row>
    <row r="8488">
      <c r="A8488" s="4" t="s">
        <v>10675</v>
      </c>
      <c r="B8488" s="4" t="s">
        <v>10681</v>
      </c>
      <c r="C8488" s="5" t="str">
        <f>IFERROR(__xludf.DUMMYFUNCTION("GOOGLETRANSLATE(B8488,""en"",""de"")"),"Sie dienen weiter und schlagen den Ball gegen die Wand.")</f>
        <v>Sie dienen weiter und schlagen den Ball gegen die Wand.</v>
      </c>
    </row>
    <row r="8489">
      <c r="A8489" s="4" t="s">
        <v>10675</v>
      </c>
      <c r="B8489" s="4" t="s">
        <v>10682</v>
      </c>
      <c r="C8489" s="5" t="str">
        <f>IFERROR(__xludf.DUMMYFUNCTION("GOOGLETRANSLATE(B8489,""en"",""de"")"),"Sie spielen mehrere Runden im Spiel.")</f>
        <v>Sie spielen mehrere Runden im Spiel.</v>
      </c>
    </row>
    <row r="8490">
      <c r="A8490" s="4" t="s">
        <v>10675</v>
      </c>
      <c r="B8490" s="4" t="s">
        <v>10683</v>
      </c>
      <c r="C8490" s="5" t="str">
        <f>IFERROR(__xludf.DUMMYFUNCTION("GOOGLETRANSLATE(B8490,""en"",""de"")"),"Sie sind wieder in den roten und schwarzen Hemden zurück, die Schlägerball spielen.")</f>
        <v>Sie sind wieder in den roten und schwarzen Hemden zurück, die Schlägerball spielen.</v>
      </c>
    </row>
    <row r="8491">
      <c r="A8491" s="4" t="s">
        <v>10675</v>
      </c>
      <c r="B8491" s="4" t="s">
        <v>10684</v>
      </c>
      <c r="C8491" s="5" t="str">
        <f>IFERROR(__xludf.DUMMYFUNCTION("GOOGLETRANSLATE(B8491,""en"",""de"")"),"Sie rennen zum Schlagen und der Ball, der vom Gegner serviert wird, während sie weiter spielen.")</f>
        <v>Sie rennen zum Schlagen und der Ball, der vom Gegner serviert wird, während sie weiter spielen.</v>
      </c>
    </row>
    <row r="8492">
      <c r="A8492" s="4" t="s">
        <v>10685</v>
      </c>
      <c r="B8492" s="4" t="s">
        <v>10686</v>
      </c>
      <c r="C8492" s="5" t="str">
        <f>IFERROR(__xludf.DUMMYFUNCTION("GOOGLETRANSLATE(B8492,""en"",""de"")"),"Ein Mädchen gibt Tipps, wie Sie Ihre Haare mit einer Rundenbürste putzen können.")</f>
        <v>Ein Mädchen gibt Tipps, wie Sie Ihre Haare mit einer Rundenbürste putzen können.</v>
      </c>
    </row>
    <row r="8493">
      <c r="A8493" s="4" t="s">
        <v>10685</v>
      </c>
      <c r="B8493" s="4" t="s">
        <v>10687</v>
      </c>
      <c r="C8493" s="5" t="str">
        <f>IFERROR(__xludf.DUMMYFUNCTION("GOOGLETRANSLATE(B8493,""en"",""de"")"),"Sie streichelt die Haare vor sich und bedeckt ihr Gesicht.")</f>
        <v>Sie streichelt die Haare vor sich und bedeckt ihr Gesicht.</v>
      </c>
    </row>
    <row r="8494">
      <c r="A8494" s="4" t="s">
        <v>10685</v>
      </c>
      <c r="B8494" s="4" t="s">
        <v>10688</v>
      </c>
      <c r="C8494" s="5" t="str">
        <f>IFERROR(__xludf.DUMMYFUNCTION("GOOGLETRANSLATE(B8494,""en"",""de"")"),"Sie dreht ihre Haare hoch und beendet dann, was sie tun muss.")</f>
        <v>Sie dreht ihre Haare hoch und beendet dann, was sie tun muss.</v>
      </c>
    </row>
    <row r="8495">
      <c r="A8495" s="4" t="s">
        <v>10689</v>
      </c>
      <c r="B8495" s="4" t="s">
        <v>10690</v>
      </c>
      <c r="C8495" s="5" t="str">
        <f>IFERROR(__xludf.DUMMYFUNCTION("GOOGLETRANSLATE(B8495,""en"",""de"")"),"Wir sehen, dass ein Mann einer Frau eine Rose gibt.")</f>
        <v>Wir sehen, dass ein Mann einer Frau eine Rose gibt.</v>
      </c>
    </row>
    <row r="8496">
      <c r="A8496" s="4" t="s">
        <v>10689</v>
      </c>
      <c r="B8496" s="4" t="s">
        <v>10691</v>
      </c>
      <c r="C8496" s="5" t="str">
        <f>IFERROR(__xludf.DUMMYFUNCTION("GOOGLETRANSLATE(B8496,""en"",""de"")"),"Der Mann und die Frau führen dann vor einer Menge einen Tanz aus.")</f>
        <v>Der Mann und die Frau führen dann vor einer Menge einen Tanz aus.</v>
      </c>
    </row>
    <row r="8497">
      <c r="A8497" s="4" t="s">
        <v>10689</v>
      </c>
      <c r="B8497" s="4" t="s">
        <v>10692</v>
      </c>
      <c r="C8497" s="5" t="str">
        <f>IFERROR(__xludf.DUMMYFUNCTION("GOOGLETRANSLATE(B8497,""en"",""de"")"),"35 Der Mann dreht die Dame, die ihr Kleid zum Flagg und in ihre Brust schaut.")</f>
        <v>35 Der Mann dreht die Dame, die ihr Kleid zum Flagg und in ihre Brust schaut.</v>
      </c>
    </row>
    <row r="8498">
      <c r="A8498" s="4" t="s">
        <v>10689</v>
      </c>
      <c r="B8498" s="4" t="s">
        <v>10693</v>
      </c>
      <c r="C8498" s="5" t="str">
        <f>IFERROR(__xludf.DUMMYFUNCTION("GOOGLETRANSLATE(B8498,""en"",""de"")"),"Der Tanz wiederholt sich immer wieder.")</f>
        <v>Der Tanz wiederholt sich immer wieder.</v>
      </c>
    </row>
    <row r="8499">
      <c r="A8499" s="4" t="s">
        <v>10689</v>
      </c>
      <c r="B8499" s="4" t="s">
        <v>10694</v>
      </c>
      <c r="C8499" s="5" t="str">
        <f>IFERROR(__xludf.DUMMYFUNCTION("GOOGLETRANSLATE(B8499,""en"",""de"")"),"Der Mann biegt die Frau, die zweimal auf ihre Brust schaut und fast seine Hand auf ihren Hals legt.")</f>
        <v>Der Mann biegt die Frau, die zweimal auf ihre Brust schaut und fast seine Hand auf ihren Hals legt.</v>
      </c>
    </row>
    <row r="8500">
      <c r="A8500" s="4" t="s">
        <v>10695</v>
      </c>
      <c r="B8500" s="4" t="s">
        <v>10696</v>
      </c>
      <c r="C8500" s="5" t="str">
        <f>IFERROR(__xludf.DUMMYFUNCTION("GOOGLETRANSLATE(B8500,""en"",""de"")"),"Ein schwarzer Mann streichelt seinen Bart und das Gesicht auf liebevolle Weise.")</f>
        <v>Ein schwarzer Mann streichelt seinen Bart und das Gesicht auf liebevolle Weise.</v>
      </c>
    </row>
    <row r="8501">
      <c r="A8501" s="4" t="s">
        <v>10695</v>
      </c>
      <c r="B8501" s="4" t="s">
        <v>10697</v>
      </c>
      <c r="C8501" s="5" t="str">
        <f>IFERROR(__xludf.DUMMYFUNCTION("GOOGLETRANSLATE(B8501,""en"",""de"")"),"Der schwarze Mann benutzt einen Clipper -Trimmer, um seinen Bart und sein Gesicht zu schneiden.")</f>
        <v>Der schwarze Mann benutzt einen Clipper -Trimmer, um seinen Bart und sein Gesicht zu schneiden.</v>
      </c>
    </row>
    <row r="8502">
      <c r="A8502" s="4" t="s">
        <v>10695</v>
      </c>
      <c r="B8502" s="4" t="s">
        <v>10698</v>
      </c>
      <c r="C8502" s="5" t="str">
        <f>IFERROR(__xludf.DUMMYFUNCTION("GOOGLETRANSLATE(B8502,""en"",""de"")"),"Der schwarze Mann befestigt eine orangefarbene Befestigung an den Clippers und trimmt seinen Bart weiter.")</f>
        <v>Der schwarze Mann befestigt eine orangefarbene Befestigung an den Clippers und trimmt seinen Bart weiter.</v>
      </c>
    </row>
    <row r="8503">
      <c r="A8503" s="4" t="s">
        <v>10695</v>
      </c>
      <c r="B8503" s="4" t="s">
        <v>10699</v>
      </c>
      <c r="C8503" s="5" t="str">
        <f>IFERROR(__xludf.DUMMYFUNCTION("GOOGLETRANSLATE(B8503,""en"",""de"")"),"Der schwarze Mann wäscht sein Gesicht und Bart und zeigt eine Reihe von Zubehör und wendet sie auf sein Gesicht und sein Bart auf.")</f>
        <v>Der schwarze Mann wäscht sein Gesicht und Bart und zeigt eine Reihe von Zubehör und wendet sie auf sein Gesicht und sein Bart auf.</v>
      </c>
    </row>
    <row r="8504">
      <c r="A8504" s="4" t="s">
        <v>10700</v>
      </c>
      <c r="B8504" s="4" t="s">
        <v>10701</v>
      </c>
      <c r="C8504" s="5" t="str">
        <f>IFERROR(__xludf.DUMMYFUNCTION("GOOGLETRANSLATE(B8504,""en"",""de"")"),"Eine große Gruppe von Menschen wird gesehen, wie sie sich um ein Festival wandern und mit Schüssen von Menschen sprechen und Häkeln spielen.")</f>
        <v>Eine große Gruppe von Menschen wird gesehen, wie sie sich um ein Festival wandern und mit Schüssen von Menschen sprechen und Häkeln spielen.</v>
      </c>
    </row>
    <row r="8505">
      <c r="A8505" s="4" t="s">
        <v>10700</v>
      </c>
      <c r="B8505" s="4" t="s">
        <v>10702</v>
      </c>
      <c r="C8505" s="5" t="str">
        <f>IFERROR(__xludf.DUMMYFUNCTION("GOOGLETRANSLATE(B8505,""en"",""de"")"),"Weitere Leute spielen das Spiel, während mehrere andere am Rande und Kritik sehen.")</f>
        <v>Weitere Leute spielen das Spiel, während mehrere andere am Rande und Kritik sehen.</v>
      </c>
    </row>
    <row r="8506">
      <c r="A8506" s="4" t="s">
        <v>10703</v>
      </c>
      <c r="B8506" s="4" t="s">
        <v>10704</v>
      </c>
      <c r="C8506" s="5" t="str">
        <f>IFERROR(__xludf.DUMMYFUNCTION("GOOGLETRANSLATE(B8506,""en"",""de"")"),"Eine Person, die ein blaues Hemd trägt, sitzt auf dem Bodenschweiß.")</f>
        <v>Eine Person, die ein blaues Hemd trägt, sitzt auf dem Bodenschweiß.</v>
      </c>
    </row>
    <row r="8507">
      <c r="A8507" s="4" t="s">
        <v>10703</v>
      </c>
      <c r="B8507" s="4" t="s">
        <v>10705</v>
      </c>
      <c r="C8507" s="5" t="str">
        <f>IFERROR(__xludf.DUMMYFUNCTION("GOOGLETRANSLATE(B8507,""en"",""de"")"),"Er trägt Schutzausrüstung, um sein Gesicht und seine Augen zu bedecken.")</f>
        <v>Er trägt Schutzausrüstung, um sein Gesicht und seine Augen zu bedecken.</v>
      </c>
    </row>
    <row r="8508">
      <c r="A8508" s="4" t="s">
        <v>10703</v>
      </c>
      <c r="B8508" s="4" t="s">
        <v>10706</v>
      </c>
      <c r="C8508" s="5" t="str">
        <f>IFERROR(__xludf.DUMMYFUNCTION("GOOGLETRANSLATE(B8508,""en"",""de"")"),"Er hat auch Schutzhandschuhe, die braun sind.")</f>
        <v>Er hat auch Schutzhandschuhe, die braun sind.</v>
      </c>
    </row>
    <row r="8509">
      <c r="A8509" s="4" t="s">
        <v>10703</v>
      </c>
      <c r="B8509" s="4" t="s">
        <v>10707</v>
      </c>
      <c r="C8509" s="5" t="str">
        <f>IFERROR(__xludf.DUMMYFUNCTION("GOOGLETRANSLATE(B8509,""en"",""de"")"),"Er schweißt weiter eine lange Metallstange mit Schweißwerkzeug, die in Richtung der Stange gerichtet ist.")</f>
        <v>Er schweißt weiter eine lange Metallstange mit Schweißwerkzeug, die in Richtung der Stange gerichtet ist.</v>
      </c>
    </row>
    <row r="8510">
      <c r="A8510" s="4" t="s">
        <v>10708</v>
      </c>
      <c r="B8510" s="4" t="s">
        <v>10709</v>
      </c>
      <c r="C8510" s="5" t="str">
        <f>IFERROR(__xludf.DUMMYFUNCTION("GOOGLETRANSLATE(B8510,""en"",""de"")"),"Ein großes Stück Maschinerie sitzt in einem Raum.")</f>
        <v>Ein großes Stück Maschinerie sitzt in einem Raum.</v>
      </c>
    </row>
    <row r="8511">
      <c r="A8511" s="4" t="s">
        <v>10708</v>
      </c>
      <c r="B8511" s="4" t="s">
        <v>10710</v>
      </c>
      <c r="C8511" s="5" t="str">
        <f>IFERROR(__xludf.DUMMYFUNCTION("GOOGLETRANSLATE(B8511,""en"",""de"")"),"Ein Roboterarm bewegt sich dann in einen Rahmen, der versucht, Dinge herumzuschieben.")</f>
        <v>Ein Roboterarm bewegt sich dann in einen Rahmen, der versucht, Dinge herumzuschieben.</v>
      </c>
    </row>
    <row r="8512">
      <c r="A8512" s="4" t="s">
        <v>10708</v>
      </c>
      <c r="B8512" s="4" t="s">
        <v>10711</v>
      </c>
      <c r="C8512" s="5" t="str">
        <f>IFERROR(__xludf.DUMMYFUNCTION("GOOGLETRANSLATE(B8512,""en"",""de"")"),"Der Roboter versagt und zieht seinen Arm zurück.")</f>
        <v>Der Roboter versagt und zieht seinen Arm zurück.</v>
      </c>
    </row>
    <row r="8513">
      <c r="A8513" s="4" t="s">
        <v>10712</v>
      </c>
      <c r="B8513" s="4" t="s">
        <v>1664</v>
      </c>
      <c r="C8513" s="5" t="str">
        <f>IFERROR(__xludf.DUMMYFUNCTION("GOOGLETRANSLATE(B8513,""en"",""de"")"),"Ein Mann und eine Frau sprechen mit der Kamera in einer Nachrichtensendung.")</f>
        <v>Ein Mann und eine Frau sprechen mit der Kamera in einer Nachrichtensendung.</v>
      </c>
    </row>
    <row r="8514">
      <c r="A8514" s="4" t="s">
        <v>10712</v>
      </c>
      <c r="B8514" s="4" t="s">
        <v>10713</v>
      </c>
      <c r="C8514" s="5" t="str">
        <f>IFERROR(__xludf.DUMMYFUNCTION("GOOGLETRANSLATE(B8514,""en"",""de"")"),"Die Szene wechselt zu verschiedenen Menschen, die in der Gymnastik trainieren.")</f>
        <v>Die Szene wechselt zu verschiedenen Menschen, die in der Gymnastik trainieren.</v>
      </c>
    </row>
    <row r="8515">
      <c r="A8515" s="4" t="s">
        <v>10712</v>
      </c>
      <c r="B8515" s="4" t="s">
        <v>10714</v>
      </c>
      <c r="C8515" s="5" t="str">
        <f>IFERROR(__xludf.DUMMYFUNCTION("GOOGLETRANSLATE(B8515,""en"",""de"")"),"Zwei Frauen werden nacheinander vor der Kamera interviewt.")</f>
        <v>Zwei Frauen werden nacheinander vor der Kamera interviewt.</v>
      </c>
    </row>
    <row r="8516">
      <c r="A8516" s="4" t="s">
        <v>10712</v>
      </c>
      <c r="B8516" s="4" t="s">
        <v>10715</v>
      </c>
      <c r="C8516" s="5" t="str">
        <f>IFERROR(__xludf.DUMMYFUNCTION("GOOGLETRANSLATE(B8516,""en"",""de"")"),"Die Szene wechselt zu Gymnastik -Übungssegmenten.")</f>
        <v>Die Szene wechselt zu Gymnastik -Übungssegmenten.</v>
      </c>
    </row>
    <row r="8517">
      <c r="A8517" s="4" t="s">
        <v>10716</v>
      </c>
      <c r="B8517" s="4" t="s">
        <v>10717</v>
      </c>
      <c r="C8517" s="5" t="str">
        <f>IFERROR(__xludf.DUMMYFUNCTION("GOOGLETRANSLATE(B8517,""en"",""de"")"),"Ein Paar Lenker wird vom Fahrrad abgelöst und liegt flach auf einem Tisch.")</f>
        <v>Ein Paar Lenker wird vom Fahrrad abgelöst und liegt flach auf einem Tisch.</v>
      </c>
    </row>
    <row r="8518">
      <c r="A8518" s="4" t="s">
        <v>10716</v>
      </c>
      <c r="B8518" s="4" t="s">
        <v>10718</v>
      </c>
      <c r="C8518" s="5" t="str">
        <f>IFERROR(__xludf.DUMMYFUNCTION("GOOGLETRANSLATE(B8518,""en"",""de"")"),"Der Mann nimmt dann den Lenker auf und steckt sie wieder in das Fahrrad, das sie mit einem Schlüssel anzieht.")</f>
        <v>Der Mann nimmt dann den Lenker auf und steckt sie wieder in das Fahrrad, das sie mit einem Schlüssel anzieht.</v>
      </c>
    </row>
    <row r="8519">
      <c r="A8519" s="4" t="s">
        <v>10719</v>
      </c>
      <c r="B8519" s="4" t="s">
        <v>10720</v>
      </c>
      <c r="C8519" s="5" t="str">
        <f>IFERROR(__xludf.DUMMYFUNCTION("GOOGLETRANSLATE(B8519,""en"",""de"")"),"Eine Person wird gesehen, die Karten sowie mehrere Aufnahmen eines Casino -Tisches und Poker -Chips behandeln.")</f>
        <v>Eine Person wird gesehen, die Karten sowie mehrere Aufnahmen eines Casino -Tisches und Poker -Chips behandeln.</v>
      </c>
    </row>
    <row r="8520">
      <c r="A8520" s="4" t="s">
        <v>10719</v>
      </c>
      <c r="B8520" s="4" t="s">
        <v>10721</v>
      </c>
      <c r="C8520" s="5" t="str">
        <f>IFERROR(__xludf.DUMMYFUNCTION("GOOGLETRANSLATE(B8520,""en"",""de"")"),"Eine Band spielt, eine Person wird gesehen, wie sie eine Zigarette raucht, sowie Menschen, die bartendend und miteinander sprechen.")</f>
        <v>Eine Band spielt, eine Person wird gesehen, wie sie eine Zigarette raucht, sowie Menschen, die bartendend und miteinander sprechen.</v>
      </c>
    </row>
    <row r="8521">
      <c r="A8521" s="4" t="s">
        <v>10719</v>
      </c>
      <c r="B8521" s="4" t="s">
        <v>10722</v>
      </c>
      <c r="C8521" s="5" t="str">
        <f>IFERROR(__xludf.DUMMYFUNCTION("GOOGLETRANSLATE(B8521,""en"",""de"")"),"Am Ende sehen mehr Menschen das Casino und bewegen sich.")</f>
        <v>Am Ende sehen mehr Menschen das Casino und bewegen sich.</v>
      </c>
    </row>
    <row r="8522">
      <c r="A8522" s="4" t="s">
        <v>10723</v>
      </c>
      <c r="B8522" s="4" t="s">
        <v>10724</v>
      </c>
      <c r="C8522" s="5" t="str">
        <f>IFERROR(__xludf.DUMMYFUNCTION("GOOGLETRANSLATE(B8522,""en"",""de"")"),"Ein Mann mit verbundenen Augen, der Boxhandschuhe trägt, trifft einen Schlagsack, während viele ihn an den Seiten beobachten.")</f>
        <v>Ein Mann mit verbundenen Augen, der Boxhandschuhe trägt, trifft einen Schlagsack, während viele ihn an den Seiten beobachten.</v>
      </c>
    </row>
    <row r="8523">
      <c r="A8523" s="4" t="s">
        <v>10723</v>
      </c>
      <c r="B8523" s="4" t="s">
        <v>10725</v>
      </c>
      <c r="C8523" s="5" t="str">
        <f>IFERROR(__xludf.DUMMYFUNCTION("GOOGLETRANSLATE(B8523,""en"",""de"")"),"Er schlägt weiter, wenn eine Person auf dem Dach den Beutel höher zieht.")</f>
        <v>Er schlägt weiter, wenn eine Person auf dem Dach den Beutel höher zieht.</v>
      </c>
    </row>
    <row r="8524">
      <c r="A8524" s="4" t="s">
        <v>10726</v>
      </c>
      <c r="B8524" s="4" t="s">
        <v>10727</v>
      </c>
      <c r="C8524" s="5" t="str">
        <f>IFERROR(__xludf.DUMMYFUNCTION("GOOGLETRANSLATE(B8524,""en"",""de"")"),"Ein Lastwagen wird vor einem Haus mit mehreren Aufnahmen des gezeigten Hauses geparkt.")</f>
        <v>Ein Lastwagen wird vor einem Haus mit mehreren Aufnahmen des gezeigten Hauses geparkt.</v>
      </c>
    </row>
    <row r="8525">
      <c r="A8525" s="4" t="s">
        <v>10726</v>
      </c>
      <c r="B8525" s="4" t="s">
        <v>10728</v>
      </c>
      <c r="C8525" s="5" t="str">
        <f>IFERROR(__xludf.DUMMYFUNCTION("GOOGLETRANSLATE(B8525,""en"",""de"")"),"Ein Mann wird dann auf dem Dach stehen sehen, der oben und wieder vor dem Haus bewässert wird.")</f>
        <v>Ein Mann wird dann auf dem Dach stehen sehen, der oben und wieder vor dem Haus bewässert wird.</v>
      </c>
    </row>
    <row r="8526">
      <c r="A8526" s="4" t="s">
        <v>10726</v>
      </c>
      <c r="B8526" s="4" t="s">
        <v>10729</v>
      </c>
      <c r="C8526" s="5" t="str">
        <f>IFERROR(__xludf.DUMMYFUNCTION("GOOGLETRANSLATE(B8526,""en"",""de"")"),"Die Kamera zeigt den Lastwagen, der wieder vorne geparkt ist, und das Endprodukt des Daches.")</f>
        <v>Die Kamera zeigt den Lastwagen, der wieder vorne geparkt ist, und das Endprodukt des Daches.</v>
      </c>
    </row>
    <row r="8527">
      <c r="A8527" s="4" t="s">
        <v>10730</v>
      </c>
      <c r="B8527" s="4" t="s">
        <v>10731</v>
      </c>
      <c r="C8527" s="5" t="str">
        <f>IFERROR(__xludf.DUMMYFUNCTION("GOOGLETRANSLATE(B8527,""en"",""de"")"),"Eine Frau in einem lila Kleid sitzt und spricht mit der Kamera.")</f>
        <v>Eine Frau in einem lila Kleid sitzt und spricht mit der Kamera.</v>
      </c>
    </row>
    <row r="8528">
      <c r="A8528" s="4" t="s">
        <v>10730</v>
      </c>
      <c r="B8528" s="4" t="s">
        <v>10732</v>
      </c>
      <c r="C8528" s="5" t="str">
        <f>IFERROR(__xludf.DUMMYFUNCTION("GOOGLETRANSLATE(B8528,""en"",""de"")"),"Sie wird gezeigt, wie sie Creme in ihr Gesicht massiert, dann mit Wasser abspült und mit einem Handtuch trocken tätschelt.")</f>
        <v>Sie wird gezeigt, wie sie Creme in ihr Gesicht massiert, dann mit Wasser abspült und mit einem Handtuch trocken tätschelt.</v>
      </c>
    </row>
    <row r="8529">
      <c r="A8529" s="4" t="s">
        <v>10730</v>
      </c>
      <c r="B8529" s="4" t="s">
        <v>10733</v>
      </c>
      <c r="C8529" s="5" t="str">
        <f>IFERROR(__xludf.DUMMYFUNCTION("GOOGLETRANSLATE(B8529,""en"",""de"")"),"Sie spricht dann wieder mit der Kamera.")</f>
        <v>Sie spricht dann wieder mit der Kamera.</v>
      </c>
    </row>
    <row r="8530">
      <c r="A8530" s="4" t="s">
        <v>10734</v>
      </c>
      <c r="B8530" s="4" t="s">
        <v>10735</v>
      </c>
      <c r="C8530" s="5" t="str">
        <f>IFERROR(__xludf.DUMMYFUNCTION("GOOGLETRANSLATE(B8530,""en"",""de"")"),"Drei Mädchen sitzen am Strand und machen einen Hügel mit Sand und Wasser.")</f>
        <v>Drei Mädchen sitzen am Strand und machen einen Hügel mit Sand und Wasser.</v>
      </c>
    </row>
    <row r="8531">
      <c r="A8531" s="4" t="s">
        <v>10734</v>
      </c>
      <c r="B8531" s="4" t="s">
        <v>10736</v>
      </c>
      <c r="C8531" s="5" t="str">
        <f>IFERROR(__xludf.DUMMYFUNCTION("GOOGLETRANSLATE(B8531,""en"",""de"")"),"Sie verwenden eine Schüssel, um eine Form zu bilden.")</f>
        <v>Sie verwenden eine Schüssel, um eine Form zu bilden.</v>
      </c>
    </row>
    <row r="8532">
      <c r="A8532" s="4" t="s">
        <v>10737</v>
      </c>
      <c r="B8532" s="4" t="s">
        <v>10738</v>
      </c>
      <c r="C8532" s="5" t="str">
        <f>IFERROR(__xludf.DUMMYFUNCTION("GOOGLETRANSLATE(B8532,""en"",""de"")"),"Ein kleiner Junge ist im Haus und spielt in seinem Hemd und Windel.")</f>
        <v>Ein kleiner Junge ist im Haus und spielt in seinem Hemd und Windel.</v>
      </c>
    </row>
    <row r="8533">
      <c r="A8533" s="4" t="s">
        <v>10737</v>
      </c>
      <c r="B8533" s="4" t="s">
        <v>10739</v>
      </c>
      <c r="C8533" s="5" t="str">
        <f>IFERROR(__xludf.DUMMYFUNCTION("GOOGLETRANSLATE(B8533,""en"",""de"")"),"Er hat einen kleinen Hockeystock und er nutzt ihn, um einen Rolling -Rücken zu schwingen.")</f>
        <v>Er hat einen kleinen Hockeystock und er nutzt ihn, um einen Rolling -Rücken zu schwingen.</v>
      </c>
    </row>
    <row r="8534">
      <c r="A8534" s="4" t="s">
        <v>10737</v>
      </c>
      <c r="B8534" s="4" t="s">
        <v>10740</v>
      </c>
      <c r="C8534" s="5" t="str">
        <f>IFERROR(__xludf.DUMMYFUNCTION("GOOGLETRANSLATE(B8534,""en"",""de"")"),"Der Ball kommt immer wieder auf ihn zu und er schwingt weiter und versucht, ihn zu treffen.")</f>
        <v>Der Ball kommt immer wieder auf ihn zu und er schwingt weiter und versucht, ihn zu treffen.</v>
      </c>
    </row>
    <row r="8535">
      <c r="A8535" s="4" t="s">
        <v>10737</v>
      </c>
      <c r="B8535" s="4" t="s">
        <v>10741</v>
      </c>
      <c r="C8535" s="5" t="str">
        <f>IFERROR(__xludf.DUMMYFUNCTION("GOOGLETRANSLATE(B8535,""en"",""de"")"),"Er hat viel Spaß und bleibt unterhalten, alleine im Inneren zu spielen.")</f>
        <v>Er hat viel Spaß und bleibt unterhalten, alleine im Inneren zu spielen.</v>
      </c>
    </row>
    <row r="8536">
      <c r="A8536" s="4" t="s">
        <v>10742</v>
      </c>
      <c r="B8536" s="4" t="s">
        <v>10743</v>
      </c>
      <c r="C8536" s="5" t="str">
        <f>IFERROR(__xludf.DUMMYFUNCTION("GOOGLETRANSLATE(B8536,""en"",""de"")"),"Der Mann geht aus seinem Haus heraus und öffnet seine Autotür an einem schneebedeckten Tag.")</f>
        <v>Der Mann geht aus seinem Haus heraus und öffnet seine Autotür an einem schneebedeckten Tag.</v>
      </c>
    </row>
    <row r="8537">
      <c r="A8537" s="4" t="s">
        <v>10742</v>
      </c>
      <c r="B8537" s="4" t="s">
        <v>10744</v>
      </c>
      <c r="C8537" s="5" t="str">
        <f>IFERROR(__xludf.DUMMYFUNCTION("GOOGLETRANSLATE(B8537,""en"",""de"")"),"Der Mann hebt die Scheibenwischer seines Autos hoch.")</f>
        <v>Der Mann hebt die Scheibenwischer seines Autos hoch.</v>
      </c>
    </row>
    <row r="8538">
      <c r="A8538" s="4" t="s">
        <v>10742</v>
      </c>
      <c r="B8538" s="4" t="s">
        <v>10745</v>
      </c>
      <c r="C8538" s="5" t="str">
        <f>IFERROR(__xludf.DUMMYFUNCTION("GOOGLETRANSLATE(B8538,""en"",""de"")"),"Der Mann benutzt einen Hausbesen, um Schnee von seinem Auto zu fegen.")</f>
        <v>Der Mann benutzt einen Hausbesen, um Schnee von seinem Auto zu fegen.</v>
      </c>
    </row>
    <row r="8539">
      <c r="A8539" s="4" t="s">
        <v>10742</v>
      </c>
      <c r="B8539" s="4" t="s">
        <v>10746</v>
      </c>
      <c r="C8539" s="5" t="str">
        <f>IFERROR(__xludf.DUMMYFUNCTION("GOOGLETRANSLATE(B8539,""en"",""de"")"),"Der Hund spielt mit den Besitzern.")</f>
        <v>Der Hund spielt mit den Besitzern.</v>
      </c>
    </row>
    <row r="8540">
      <c r="A8540" s="4" t="s">
        <v>10742</v>
      </c>
      <c r="B8540" s="4" t="s">
        <v>10747</v>
      </c>
      <c r="C8540" s="5" t="str">
        <f>IFERROR(__xludf.DUMMYFUNCTION("GOOGLETRANSLATE(B8540,""en"",""de"")"),"Der Mann steigt in sein Auto und unterstützt es in Richtung des Hauses in einen Parkplatz.")</f>
        <v>Der Mann steigt in sein Auto und unterstützt es in Richtung des Hauses in einen Parkplatz.</v>
      </c>
    </row>
    <row r="8541">
      <c r="A8541" s="4" t="s">
        <v>10748</v>
      </c>
      <c r="B8541" s="4" t="s">
        <v>10749</v>
      </c>
      <c r="C8541" s="5" t="str">
        <f>IFERROR(__xludf.DUMMYFUNCTION("GOOGLETRANSLATE(B8541,""en"",""de"")"),"Eine Frau steht in einer Küche auf der Insel vor einem Mixer und verschiedenen Zutaten.")</f>
        <v>Eine Frau steht in einer Küche auf der Insel vor einem Mixer und verschiedenen Zutaten.</v>
      </c>
    </row>
    <row r="8542">
      <c r="A8542" s="4" t="s">
        <v>10748</v>
      </c>
      <c r="B8542" s="4" t="s">
        <v>10750</v>
      </c>
      <c r="C8542" s="5" t="str">
        <f>IFERROR(__xludf.DUMMYFUNCTION("GOOGLETRANSLATE(B8542,""en"",""de"")"),"Sie legt Äpfel und Zucker mit Eis in den Mixer und mischt sie zusammen.")</f>
        <v>Sie legt Äpfel und Zucker mit Eis in den Mixer und mischt sie zusammen.</v>
      </c>
    </row>
    <row r="8543">
      <c r="A8543" s="4" t="s">
        <v>10748</v>
      </c>
      <c r="B8543" s="4" t="s">
        <v>10751</v>
      </c>
      <c r="C8543" s="5" t="str">
        <f>IFERROR(__xludf.DUMMYFUNCTION("GOOGLETRANSLATE(B8543,""en"",""de"")"),"Dann gießt sie die Mischung in zwei Brillen, während sie weiter spricht.")</f>
        <v>Dann gießt sie die Mischung in zwei Brillen, während sie weiter spricht.</v>
      </c>
    </row>
    <row r="8544">
      <c r="A8544" s="4" t="s">
        <v>10752</v>
      </c>
      <c r="B8544" s="4" t="s">
        <v>10753</v>
      </c>
      <c r="C8544" s="5" t="str">
        <f>IFERROR(__xludf.DUMMYFUNCTION("GOOGLETRANSLATE(B8544,""en"",""de"")"),"Ein Mann hat ein Werkzeug, mit dem er Katzenkrallen trimmte, er macht ein wenig damit herum und dann steht er auf, um seine Katze zu finden.")</f>
        <v>Ein Mann hat ein Werkzeug, mit dem er Katzenkrallen trimmte, er macht ein wenig damit herum und dann steht er auf, um seine Katze zu finden.</v>
      </c>
    </row>
    <row r="8545">
      <c r="A8545" s="4" t="s">
        <v>10752</v>
      </c>
      <c r="B8545" s="4" t="s">
        <v>10754</v>
      </c>
      <c r="C8545" s="5" t="str">
        <f>IFERROR(__xludf.DUMMYFUNCTION("GOOGLETRANSLATE(B8545,""en"",""de"")"),"Er streichelt die Katze ein wenig, um sie nicht so misstrauisch und ängstlich zu machen.")</f>
        <v>Er streichelt die Katze ein wenig, um sie nicht so misstrauisch und ängstlich zu machen.</v>
      </c>
    </row>
    <row r="8546">
      <c r="A8546" s="4" t="s">
        <v>10752</v>
      </c>
      <c r="B8546" s="4" t="s">
        <v>10755</v>
      </c>
      <c r="C8546" s="5" t="str">
        <f>IFERROR(__xludf.DUMMYFUNCTION("GOOGLETRANSLATE(B8546,""en"",""de"")"),"Er bekommt das Kätzchen in eine gute Position und beginnt sich für ihre Krallen zu fühlen, und nacheinander beginnt sie zu klemmen.")</f>
        <v>Er bekommt das Kätzchen in eine gute Position und beginnt sich für ihre Krallen zu fühlen, und nacheinander beginnt sie zu klemmen.</v>
      </c>
    </row>
    <row r="8547">
      <c r="A8547" s="4" t="s">
        <v>10752</v>
      </c>
      <c r="B8547" s="4" t="s">
        <v>10756</v>
      </c>
      <c r="C8547" s="5" t="str">
        <f>IFERROR(__xludf.DUMMYFUNCTION("GOOGLETRANSLATE(B8547,""en"",""de"")"),"Dann bewegt er ihr die anderen Arme und streichelt ihr noch etwas, was den Unterschied zwischen ihren krallen und deklawten Nägeln zeigt.")</f>
        <v>Dann bewegt er ihr die anderen Arme und streichelt ihr noch etwas, was den Unterschied zwischen ihren krallen und deklawten Nägeln zeigt.</v>
      </c>
    </row>
    <row r="8548">
      <c r="A8548" s="4" t="s">
        <v>10757</v>
      </c>
      <c r="B8548" s="4" t="s">
        <v>10758</v>
      </c>
      <c r="C8548" s="5" t="str">
        <f>IFERROR(__xludf.DUMMYFUNCTION("GOOGLETRANSLATE(B8548,""en"",""de"")"),"Es stehen Menschen auf einem gefrorenen Gewässer und schauen in ein kleines Loch, das einen Angeldraht enthält, und sie beobachten es, wenn es auf und ab bat.")</f>
        <v>Es stehen Menschen auf einem gefrorenen Gewässer und schauen in ein kleines Loch, das einen Angeldraht enthält, und sie beobachten es, wenn es auf und ab bat.</v>
      </c>
    </row>
    <row r="8549">
      <c r="A8549" s="4" t="s">
        <v>10757</v>
      </c>
      <c r="B8549" s="4" t="s">
        <v>10759</v>
      </c>
      <c r="C8549" s="5" t="str">
        <f>IFERROR(__xludf.DUMMYFUNCTION("GOOGLETRANSLATE(B8549,""en"",""de"")"),"Der stehende Mann zieht die Stange und verdraht sich höher und der Mann kniet auf dem Eis den Fisch aus dem Eiswasser und legt ihn auf das Eis.")</f>
        <v>Der stehende Mann zieht die Stange und verdraht sich höher und der Mann kniet auf dem Eis den Fisch aus dem Eiswasser und legt ihn auf das Eis.</v>
      </c>
    </row>
    <row r="8550">
      <c r="A8550" s="4" t="s">
        <v>10757</v>
      </c>
      <c r="B8550" s="4" t="s">
        <v>10760</v>
      </c>
      <c r="C8550" s="5" t="str">
        <f>IFERROR(__xludf.DUMMYFUNCTION("GOOGLETRANSLATE(B8550,""en"",""de"")"),"Ein anderer Mann macht ein Foto von dem Fisch, der kniende Mann löst ihn aus und der stehende Mann hält ihn auf, hält ihn an seinen Kiemen und posiert damit.")</f>
        <v>Ein anderer Mann macht ein Foto von dem Fisch, der kniende Mann löst ihn aus und der stehende Mann hält ihn auf, hält ihn an seinen Kiemen und posiert damit.</v>
      </c>
    </row>
    <row r="8551">
      <c r="A8551" s="4" t="s">
        <v>10761</v>
      </c>
      <c r="B8551" s="4" t="s">
        <v>10762</v>
      </c>
      <c r="C8551" s="5" t="str">
        <f>IFERROR(__xludf.DUMMYFUNCTION("GOOGLETRANSLATE(B8551,""en"",""de"")"),"Die Leute tanzen am Strand.")</f>
        <v>Die Leute tanzen am Strand.</v>
      </c>
    </row>
    <row r="8552">
      <c r="A8552" s="4" t="s">
        <v>10761</v>
      </c>
      <c r="B8552" s="4" t="s">
        <v>10763</v>
      </c>
      <c r="C8552" s="5" t="str">
        <f>IFERROR(__xludf.DUMMYFUNCTION("GOOGLETRANSLATE(B8552,""en"",""de"")"),"Eine Frau legt sich auf ein rotes Handtuch.")</f>
        <v>Eine Frau legt sich auf ein rotes Handtuch.</v>
      </c>
    </row>
    <row r="8553">
      <c r="A8553" s="4" t="s">
        <v>10761</v>
      </c>
      <c r="B8553" s="4" t="s">
        <v>10764</v>
      </c>
      <c r="C8553" s="5" t="str">
        <f>IFERROR(__xludf.DUMMYFUNCTION("GOOGLETRANSLATE(B8553,""en"",""de"")"),"Ein Mann liegt auf einem grünen Handtuch.")</f>
        <v>Ein Mann liegt auf einem grünen Handtuch.</v>
      </c>
    </row>
    <row r="8554">
      <c r="A8554" s="4" t="s">
        <v>10761</v>
      </c>
      <c r="B8554" s="4" t="s">
        <v>10765</v>
      </c>
      <c r="C8554" s="5" t="str">
        <f>IFERROR(__xludf.DUMMYFUNCTION("GOOGLETRANSLATE(B8554,""en"",""de"")"),"Zwei Hunde stehen neben ihnen am Strand.")</f>
        <v>Zwei Hunde stehen neben ihnen am Strand.</v>
      </c>
    </row>
    <row r="8555">
      <c r="A8555" s="4" t="s">
        <v>10766</v>
      </c>
      <c r="B8555" s="4" t="s">
        <v>10767</v>
      </c>
      <c r="C8555" s="5" t="str">
        <f>IFERROR(__xludf.DUMMYFUNCTION("GOOGLETRANSLATE(B8555,""en"",""de"")"),"Ein Segelboot segelt durch raue Wasser im Meer.")</f>
        <v>Ein Segelboot segelt durch raue Wasser im Meer.</v>
      </c>
    </row>
    <row r="8556">
      <c r="A8556" s="4" t="s">
        <v>10766</v>
      </c>
      <c r="B8556" s="4" t="s">
        <v>10768</v>
      </c>
      <c r="C8556" s="5" t="str">
        <f>IFERROR(__xludf.DUMMYFUNCTION("GOOGLETRANSLATE(B8556,""en"",""de"")"),"Der Skipper sieht das Lenkrad auf der Rückseite des Bootes.")</f>
        <v>Der Skipper sieht das Lenkrad auf der Rückseite des Bootes.</v>
      </c>
    </row>
    <row r="8557">
      <c r="A8557" s="4" t="s">
        <v>10766</v>
      </c>
      <c r="B8557" s="4" t="s">
        <v>10769</v>
      </c>
      <c r="C8557" s="5" t="str">
        <f>IFERROR(__xludf.DUMMYFUNCTION("GOOGLETRANSLATE(B8557,""en"",""de"")"),"Der Mast des Schiffes ist in voller Sicht zu sehen.")</f>
        <v>Der Mast des Schiffes ist in voller Sicht zu sehen.</v>
      </c>
    </row>
    <row r="8558">
      <c r="A8558" s="4" t="s">
        <v>10770</v>
      </c>
      <c r="B8558" s="4" t="s">
        <v>10771</v>
      </c>
      <c r="C8558" s="5" t="str">
        <f>IFERROR(__xludf.DUMMYFUNCTION("GOOGLETRANSLATE(B8558,""en"",""de"")"),"Der Junge öffnet die Schachtel.")</f>
        <v>Der Junge öffnet die Schachtel.</v>
      </c>
    </row>
    <row r="8559">
      <c r="A8559" s="4" t="s">
        <v>10770</v>
      </c>
      <c r="B8559" s="4" t="s">
        <v>10772</v>
      </c>
      <c r="C8559" s="5" t="str">
        <f>IFERROR(__xludf.DUMMYFUNCTION("GOOGLETRANSLATE(B8559,""en"",""de"")"),"Dann entfernt er das Fahrrad.")</f>
        <v>Dann entfernt er das Fahrrad.</v>
      </c>
    </row>
    <row r="8560">
      <c r="A8560" s="4" t="s">
        <v>10770</v>
      </c>
      <c r="B8560" s="4" t="s">
        <v>10773</v>
      </c>
      <c r="C8560" s="5" t="str">
        <f>IFERROR(__xludf.DUMMYFUNCTION("GOOGLETRANSLATE(B8560,""en"",""de"")"),"Er entfernt die Verpackung.")</f>
        <v>Er entfernt die Verpackung.</v>
      </c>
    </row>
    <row r="8561">
      <c r="A8561" s="4" t="s">
        <v>10770</v>
      </c>
      <c r="B8561" s="4" t="s">
        <v>10774</v>
      </c>
      <c r="C8561" s="5" t="str">
        <f>IFERROR(__xludf.DUMMYFUNCTION("GOOGLETRANSLATE(B8561,""en"",""de"")"),"Er versammelt das Fahrrad.")</f>
        <v>Er versammelt das Fahrrad.</v>
      </c>
    </row>
    <row r="8562">
      <c r="A8562" s="4" t="s">
        <v>10770</v>
      </c>
      <c r="B8562" s="4" t="s">
        <v>10775</v>
      </c>
      <c r="C8562" s="5" t="str">
        <f>IFERROR(__xludf.DUMMYFUNCTION("GOOGLETRANSLATE(B8562,""en"",""de"")"),"Wir sehen Bilder des Fahrrads.")</f>
        <v>Wir sehen Bilder des Fahrrads.</v>
      </c>
    </row>
    <row r="8563">
      <c r="A8563" s="4" t="s">
        <v>10770</v>
      </c>
      <c r="B8563" s="4" t="s">
        <v>10776</v>
      </c>
      <c r="C8563" s="5" t="str">
        <f>IFERROR(__xludf.DUMMYFUNCTION("GOOGLETRANSLATE(B8563,""en"",""de"")"),"Die Abonnement -Seite wird angezeigt.")</f>
        <v>Die Abonnement -Seite wird angezeigt.</v>
      </c>
    </row>
    <row r="8564">
      <c r="A8564" s="4" t="s">
        <v>10777</v>
      </c>
      <c r="B8564" s="4" t="s">
        <v>10778</v>
      </c>
      <c r="C8564" s="5" t="str">
        <f>IFERROR(__xludf.DUMMYFUNCTION("GOOGLETRANSLATE(B8564,""en"",""de"")"),"Ein weiblicher Gewichtheber bereitet sich darauf vor, eine Langhantel zu heben.")</f>
        <v>Ein weiblicher Gewichtheber bereitet sich darauf vor, eine Langhantel zu heben.</v>
      </c>
    </row>
    <row r="8565">
      <c r="A8565" s="4" t="s">
        <v>10777</v>
      </c>
      <c r="B8565" s="4" t="s">
        <v>10779</v>
      </c>
      <c r="C8565" s="5" t="str">
        <f>IFERROR(__xludf.DUMMYFUNCTION("GOOGLETRANSLATE(B8565,""en"",""de"")"),"Sie hebt mit den Knien und hebt die Bar an ihre Brust.")</f>
        <v>Sie hebt mit den Knien und hebt die Bar an ihre Brust.</v>
      </c>
    </row>
    <row r="8566">
      <c r="A8566" s="4" t="s">
        <v>10777</v>
      </c>
      <c r="B8566" s="4" t="s">
        <v>10780</v>
      </c>
      <c r="C8566" s="5" t="str">
        <f>IFERROR(__xludf.DUMMYFUNCTION("GOOGLETRANSLATE(B8566,""en"",""de"")"),"Sie steht dann auf und hebt ihn über ihren Kopf, bevor sie die Langhantel zurück auf den Boden fallen lässt.")</f>
        <v>Sie steht dann auf und hebt ihn über ihren Kopf, bevor sie die Langhantel zurück auf den Boden fallen lässt.</v>
      </c>
    </row>
    <row r="8567">
      <c r="A8567" s="4" t="s">
        <v>10781</v>
      </c>
      <c r="B8567" s="4" t="s">
        <v>10782</v>
      </c>
      <c r="C8567" s="5" t="str">
        <f>IFERROR(__xludf.DUMMYFUNCTION("GOOGLETRANSLATE(B8567,""en"",""de"")"),"Der Mann steht über dem Wasser, bevor er Tauchen geht.")</f>
        <v>Der Mann steht über dem Wasser, bevor er Tauchen geht.</v>
      </c>
    </row>
    <row r="8568">
      <c r="A8568" s="4" t="s">
        <v>10781</v>
      </c>
      <c r="B8568" s="4" t="s">
        <v>10783</v>
      </c>
      <c r="C8568" s="5" t="str">
        <f>IFERROR(__xludf.DUMMYFUNCTION("GOOGLETRANSLATE(B8568,""en"",""de"")"),"Er ist unter Wasser zusammen mit ein paar anderen Menschen, in denen sich Muscheln und Steine ​​im Sand befinden.")</f>
        <v>Er ist unter Wasser zusammen mit ein paar anderen Menschen, in denen sich Muscheln und Steine ​​im Sand befinden.</v>
      </c>
    </row>
    <row r="8569">
      <c r="A8569" s="4" t="s">
        <v>10781</v>
      </c>
      <c r="B8569" s="4" t="s">
        <v>10784</v>
      </c>
      <c r="C8569" s="5" t="str">
        <f>IFERROR(__xludf.DUMMYFUNCTION("GOOGLETRANSLATE(B8569,""en"",""de"")"),"Es gibt auch Holzstämme und kleine Hummer, die herumkriechen.")</f>
        <v>Es gibt auch Holzstämme und kleine Hummer, die herumkriechen.</v>
      </c>
    </row>
    <row r="8570">
      <c r="A8570" s="4" t="s">
        <v>10785</v>
      </c>
      <c r="B8570" s="4" t="s">
        <v>10786</v>
      </c>
      <c r="C8570" s="5" t="str">
        <f>IFERROR(__xludf.DUMMYFUNCTION("GOOGLETRANSLATE(B8570,""en"",""de"")"),"Eine Gruppe spielt Eishockey zum Spaß in einer Innenbahn, als ein Mann mit der Kamera spricht.")</f>
        <v>Eine Gruppe spielt Eishockey zum Spaß in einer Innenbahn, als ein Mann mit der Kamera spricht.</v>
      </c>
    </row>
    <row r="8571">
      <c r="A8571" s="4" t="s">
        <v>10785</v>
      </c>
      <c r="B8571" s="4" t="s">
        <v>10787</v>
      </c>
      <c r="C8571" s="5" t="str">
        <f>IFERROR(__xludf.DUMMYFUNCTION("GOOGLETRANSLATE(B8571,""en"",""de"")"),"Zwei Frauen fegen und kämpfen um den Puck, während eine Frau mit der Kamera spricht.")</f>
        <v>Zwei Frauen fegen und kämpfen um den Puck, während eine Frau mit der Kamera spricht.</v>
      </c>
    </row>
    <row r="8572">
      <c r="A8572" s="4" t="s">
        <v>10788</v>
      </c>
      <c r="B8572" s="4" t="s">
        <v>10789</v>
      </c>
      <c r="C8572" s="5" t="str">
        <f>IFERROR(__xludf.DUMMYFUNCTION("GOOGLETRANSLATE(B8572,""en"",""de"")"),"Ein Mann spricht mit einem Mikrofon mit der Kamera und beginnt ein Fenster abzuwischen.")</f>
        <v>Ein Mann spricht mit einem Mikrofon mit der Kamera und beginnt ein Fenster abzuwischen.</v>
      </c>
    </row>
    <row r="8573">
      <c r="A8573" s="4" t="s">
        <v>10788</v>
      </c>
      <c r="B8573" s="4" t="s">
        <v>10790</v>
      </c>
      <c r="C8573" s="5" t="str">
        <f>IFERROR(__xludf.DUMMYFUNCTION("GOOGLETRANSLATE(B8573,""en"",""de"")"),"Er verwendet mehrere Werkzeuge und Objekte, um das Glas zu reinigen, und wischt weiter nach unten, während er die Kamera betrachtet.")</f>
        <v>Er verwendet mehrere Werkzeuge und Objekte, um das Glas zu reinigen, und wischt weiter nach unten, während er die Kamera betrachtet.</v>
      </c>
    </row>
    <row r="8574">
      <c r="A8574" s="4" t="s">
        <v>10791</v>
      </c>
      <c r="B8574" s="4" t="s">
        <v>10792</v>
      </c>
      <c r="C8574" s="5" t="str">
        <f>IFERROR(__xludf.DUMMYFUNCTION("GOOGLETRANSLATE(B8574,""en"",""de"")"),"Eine Frau sitzt auf einem Stuhl.")</f>
        <v>Eine Frau sitzt auf einem Stuhl.</v>
      </c>
    </row>
    <row r="8575">
      <c r="A8575" s="4" t="s">
        <v>10791</v>
      </c>
      <c r="B8575" s="4" t="s">
        <v>10793</v>
      </c>
      <c r="C8575" s="5" t="str">
        <f>IFERROR(__xludf.DUMMYFUNCTION("GOOGLETRANSLATE(B8575,""en"",""de"")"),"Eine andere Frau legt etwas in die Nase.")</f>
        <v>Eine andere Frau legt etwas in die Nase.</v>
      </c>
    </row>
    <row r="8576">
      <c r="A8576" s="4" t="s">
        <v>10791</v>
      </c>
      <c r="B8576" s="4" t="s">
        <v>10794</v>
      </c>
      <c r="C8576" s="5" t="str">
        <f>IFERROR(__xludf.DUMMYFUNCTION("GOOGLETRANSLATE(B8576,""en"",""de"")"),"Sie durchbohrt es dann mit einer Nadel.")</f>
        <v>Sie durchbohrt es dann mit einer Nadel.</v>
      </c>
    </row>
    <row r="8577">
      <c r="A8577" s="4" t="s">
        <v>10791</v>
      </c>
      <c r="B8577" s="4" t="s">
        <v>10795</v>
      </c>
      <c r="C8577" s="5" t="str">
        <f>IFERROR(__xludf.DUMMYFUNCTION("GOOGLETRANSLATE(B8577,""en"",""de"")"),"Sie legt als nächstes ein Schmuckstück darauf.")</f>
        <v>Sie legt als nächstes ein Schmuckstück darauf.</v>
      </c>
    </row>
    <row r="8578">
      <c r="A8578" s="4" t="s">
        <v>10796</v>
      </c>
      <c r="B8578" s="4" t="s">
        <v>10797</v>
      </c>
      <c r="C8578" s="5" t="str">
        <f>IFERROR(__xludf.DUMMYFUNCTION("GOOGLETRANSLATE(B8578,""en"",""de"")"),"Ein Mädchen spricht sowohl mit der Kamera als auch mit dem Tanzen und spielt dann die Geige.")</f>
        <v>Ein Mädchen spricht sowohl mit der Kamera als auch mit dem Tanzen und spielt dann die Geige.</v>
      </c>
    </row>
    <row r="8579">
      <c r="A8579" s="4" t="s">
        <v>10796</v>
      </c>
      <c r="B8579" s="4" t="s">
        <v>10798</v>
      </c>
      <c r="C8579" s="5" t="str">
        <f>IFERROR(__xludf.DUMMYFUNCTION("GOOGLETRANSLATE(B8579,""en"",""de"")"),"Sie spielt das Instrument, während sie gleichzeitig tanzt und endet damit, dass sie mit der Kamera spricht.")</f>
        <v>Sie spielt das Instrument, während sie gleichzeitig tanzt und endet damit, dass sie mit der Kamera spricht.</v>
      </c>
    </row>
    <row r="8580">
      <c r="A8580" s="4" t="s">
        <v>10799</v>
      </c>
      <c r="B8580" s="4" t="s">
        <v>10800</v>
      </c>
      <c r="C8580" s="5" t="str">
        <f>IFERROR(__xludf.DUMMYFUNCTION("GOOGLETRANSLATE(B8580,""en"",""de"")"),"Mehrere Männer werden auf einen Kran -Boom -Eimer geladen.")</f>
        <v>Mehrere Männer werden auf einen Kran -Boom -Eimer geladen.</v>
      </c>
    </row>
    <row r="8581">
      <c r="A8581" s="4" t="s">
        <v>10799</v>
      </c>
      <c r="B8581" s="4" t="s">
        <v>10801</v>
      </c>
      <c r="C8581" s="5" t="str">
        <f>IFERROR(__xludf.DUMMYFUNCTION("GOOGLETRANSLATE(B8581,""en"",""de"")"),"Wenn drei Männer sicher an Bord sind, beginnt der Kran, sie langsam in die Luft zu heben.")</f>
        <v>Wenn drei Männer sicher an Bord sind, beginnt der Kran, sie langsam in die Luft zu heben.</v>
      </c>
    </row>
    <row r="8582">
      <c r="A8582" s="4" t="s">
        <v>10799</v>
      </c>
      <c r="B8582" s="4" t="s">
        <v>10802</v>
      </c>
      <c r="C8582" s="5" t="str">
        <f>IFERROR(__xludf.DUMMYFUNCTION("GOOGLETRANSLATE(B8582,""en"",""de"")"),"Sobald sie die Oberseite des Kranes erreicht haben, schalt die Ansicht und sie können über die Landschaft schauen.")</f>
        <v>Sobald sie die Oberseite des Kranes erreicht haben, schalt die Ansicht und sie können über die Landschaft schauen.</v>
      </c>
    </row>
    <row r="8583">
      <c r="A8583" s="4" t="s">
        <v>10799</v>
      </c>
      <c r="B8583" s="4" t="s">
        <v>10803</v>
      </c>
      <c r="C8583" s="5" t="str">
        <f>IFERROR(__xludf.DUMMYFUNCTION("GOOGLETRANSLATE(B8583,""en"",""de"")"),"Der Mann, der sich auf den Bungee -Sprung vorbereitet, sieht sich nervös um.")</f>
        <v>Der Mann, der sich auf den Bungee -Sprung vorbereitet, sieht sich nervös um.</v>
      </c>
    </row>
    <row r="8584">
      <c r="A8584" s="4" t="s">
        <v>10799</v>
      </c>
      <c r="B8584" s="4" t="s">
        <v>10804</v>
      </c>
      <c r="C8584" s="5" t="str">
        <f>IFERROR(__xludf.DUMMYFUNCTION("GOOGLETRANSLATE(B8584,""en"",""de"")"),"Einer nach dem anderen springen die Männer aus dem Ausleger und hängen über einem kleinen Gewässer.")</f>
        <v>Einer nach dem anderen springen die Männer aus dem Ausleger und hängen über einem kleinen Gewässer.</v>
      </c>
    </row>
    <row r="8585">
      <c r="A8585" s="4" t="s">
        <v>10799</v>
      </c>
      <c r="B8585" s="4" t="s">
        <v>10805</v>
      </c>
      <c r="C8585" s="5" t="str">
        <f>IFERROR(__xludf.DUMMYFUNCTION("GOOGLETRANSLATE(B8585,""en"",""de"")"),"Dort beendet das Video -Zertifikat das Video.")</f>
        <v>Dort beendet das Video -Zertifikat das Video.</v>
      </c>
    </row>
    <row r="8586">
      <c r="A8586" s="4" t="s">
        <v>10806</v>
      </c>
      <c r="B8586" s="4" t="s">
        <v>10807</v>
      </c>
      <c r="C8586" s="5" t="str">
        <f>IFERROR(__xludf.DUMMYFUNCTION("GOOGLETRANSLATE(B8586,""en"",""de"")"),"Die Worte ""Der Shotover River in Flood"" erscheinen auf dem Bildschirm.")</f>
        <v>Die Worte "Der Shotover River in Flood" erscheinen auf dem Bildschirm.</v>
      </c>
    </row>
    <row r="8587">
      <c r="A8587" s="4" t="s">
        <v>10806</v>
      </c>
      <c r="B8587" s="4" t="s">
        <v>10808</v>
      </c>
      <c r="C8587" s="5" t="str">
        <f>IFERROR(__xludf.DUMMYFUNCTION("GOOGLETRANSLATE(B8587,""en"",""de"")"),"First Person Video zeigt ein Floß voller Menschen, die nach unten gehen und einen extrem rauen Fluss zwischen felsigen Klippen.")</f>
        <v>First Person Video zeigt ein Floß voller Menschen, die nach unten gehen und einen extrem rauen Fluss zwischen felsigen Klippen.</v>
      </c>
    </row>
    <row r="8588">
      <c r="A8588" s="4" t="s">
        <v>10806</v>
      </c>
      <c r="B8588" s="4" t="s">
        <v>10809</v>
      </c>
      <c r="C8588" s="5" t="str">
        <f>IFERROR(__xludf.DUMMYFUNCTION("GOOGLETRANSLATE(B8588,""en"",""de"")"),"Die Wörter ""groß danke dem River Guide J-Rod"" erscheinen auf dem Bildschirm.")</f>
        <v>Die Wörter "groß danke dem River Guide J-Rod" erscheinen auf dem Bildschirm.</v>
      </c>
    </row>
    <row r="8589">
      <c r="A8589" s="4" t="s">
        <v>10810</v>
      </c>
      <c r="B8589" s="4" t="s">
        <v>10811</v>
      </c>
      <c r="C8589" s="5" t="str">
        <f>IFERROR(__xludf.DUMMYFUNCTION("GOOGLETRANSLATE(B8589,""en"",""de"")"),"Eine Person kämpft mit der Lösung eines Würfelrätsels hinter einem Chronometer, während eine Frau Notizen macht und die Person beobachtet.")</f>
        <v>Eine Person kämpft mit der Lösung eines Würfelrätsels hinter einem Chronometer, während eine Frau Notizen macht und die Person beobachtet.</v>
      </c>
    </row>
    <row r="8590">
      <c r="A8590" s="4" t="s">
        <v>10810</v>
      </c>
      <c r="B8590" s="4" t="s">
        <v>10812</v>
      </c>
      <c r="C8590" s="5" t="str">
        <f>IFERROR(__xludf.DUMMYFUNCTION("GOOGLETRANSLATE(B8590,""en"",""de"")"),"Die Person löst das Rätsel, dann steht er, hebt seine Arme und wandet.")</f>
        <v>Die Person löst das Rätsel, dann steht er, hebt seine Arme und wandet.</v>
      </c>
    </row>
    <row r="8591">
      <c r="A8591" s="4" t="s">
        <v>10810</v>
      </c>
      <c r="B8591" s="4" t="s">
        <v>10813</v>
      </c>
      <c r="C8591" s="5" t="str">
        <f>IFERROR(__xludf.DUMMYFUNCTION("GOOGLETRANSLATE(B8591,""en"",""de"")"),"Die Person schüttelt den Menschen im Raum die Hand.")</f>
        <v>Die Person schüttelt den Menschen im Raum die Hand.</v>
      </c>
    </row>
    <row r="8592">
      <c r="A8592" s="4" t="s">
        <v>10810</v>
      </c>
      <c r="B8592" s="4" t="s">
        <v>10814</v>
      </c>
      <c r="C8592" s="5" t="str">
        <f>IFERROR(__xludf.DUMMYFUNCTION("GOOGLETRANSLATE(B8592,""en"",""de"")"),"Plötzlich läuft die Person und macht ein Bild auf und posiert für ein Bild.")</f>
        <v>Plötzlich läuft die Person und macht ein Bild auf und posiert für ein Bild.</v>
      </c>
    </row>
    <row r="8593">
      <c r="A8593" s="4" t="s">
        <v>10815</v>
      </c>
      <c r="B8593" s="4" t="s">
        <v>10816</v>
      </c>
      <c r="C8593" s="5" t="str">
        <f>IFERROR(__xludf.DUMMYFUNCTION("GOOGLETRANSLATE(B8593,""en"",""de"")"),"Ein Junge mit einem Gartentopf bewässert ihren Busch draußen im Hof.")</f>
        <v>Ein Junge mit einem Gartentopf bewässert ihren Busch draußen im Hof.</v>
      </c>
    </row>
    <row r="8594">
      <c r="A8594" s="4" t="s">
        <v>10815</v>
      </c>
      <c r="B8594" s="4" t="s">
        <v>10817</v>
      </c>
      <c r="C8594" s="5" t="str">
        <f>IFERROR(__xludf.DUMMYFUNCTION("GOOGLETRANSLATE(B8594,""en"",""de"")"),"Er und ein anderer Junge treffen sich und der andere Junge beginnt, Krocket zu spielen, während er spricht.")</f>
        <v>Er und ein anderer Junge treffen sich und der andere Junge beginnt, Krocket zu spielen, während er spricht.</v>
      </c>
    </row>
    <row r="8595">
      <c r="A8595" s="4" t="s">
        <v>10815</v>
      </c>
      <c r="B8595" s="4" t="s">
        <v>10818</v>
      </c>
      <c r="C8595" s="5" t="str">
        <f>IFERROR(__xludf.DUMMYFUNCTION("GOOGLETRANSLATE(B8595,""en"",""de"")"),"Ein weiterer größerer Junge kommt und schließt sich ihnen an und spricht über das Spiel.")</f>
        <v>Ein weiterer größerer Junge kommt und schließt sich ihnen an und spricht über das Spiel.</v>
      </c>
    </row>
    <row r="8596">
      <c r="A8596" s="4" t="s">
        <v>10815</v>
      </c>
      <c r="B8596" s="4" t="s">
        <v>10819</v>
      </c>
      <c r="C8596" s="5" t="str">
        <f>IFERROR(__xludf.DUMMYFUNCTION("GOOGLETRANSLATE(B8596,""en"",""de"")"),"Dann fangen sie an, Bälle zu schlagen, die durch die Hindernisse geschafft werden.")</f>
        <v>Dann fangen sie an, Bälle zu schlagen, die durch die Hindernisse geschafft werden.</v>
      </c>
    </row>
    <row r="8597">
      <c r="A8597" s="4" t="s">
        <v>10820</v>
      </c>
      <c r="B8597" s="4" t="s">
        <v>10821</v>
      </c>
      <c r="C8597" s="5" t="str">
        <f>IFERROR(__xludf.DUMMYFUNCTION("GOOGLETRANSLATE(B8597,""en"",""de"")"),"Drei Menschen springen Seil und machen Tricks.")</f>
        <v>Drei Menschen springen Seil und machen Tricks.</v>
      </c>
    </row>
    <row r="8598">
      <c r="A8598" s="4" t="s">
        <v>10820</v>
      </c>
      <c r="B8598" s="4" t="s">
        <v>10822</v>
      </c>
      <c r="C8598" s="5" t="str">
        <f>IFERROR(__xludf.DUMMYFUNCTION("GOOGLETRANSLATE(B8598,""en"",""de"")"),"Andere Leute sitzen und stehen an Tischen im Hintergrund und schauen oder filmen die Jump -Roper an.")</f>
        <v>Andere Leute sitzen und stehen an Tischen im Hintergrund und schauen oder filmen die Jump -Roper an.</v>
      </c>
    </row>
    <row r="8599">
      <c r="A8599" s="4" t="s">
        <v>10820</v>
      </c>
      <c r="B8599" s="4" t="s">
        <v>10823</v>
      </c>
      <c r="C8599" s="5" t="str">
        <f>IFERROR(__xludf.DUMMYFUNCTION("GOOGLETRANSLATE(B8599,""en"",""de"")"),"Vier verschiedene Leute springen jetzt Seil und machen Tricks.")</f>
        <v>Vier verschiedene Leute springen jetzt Seil und machen Tricks.</v>
      </c>
    </row>
    <row r="8600">
      <c r="A8600" s="4" t="s">
        <v>10820</v>
      </c>
      <c r="B8600" s="4" t="s">
        <v>10824</v>
      </c>
      <c r="C8600" s="5" t="str">
        <f>IFERROR(__xludf.DUMMYFUNCTION("GOOGLETRANSLATE(B8600,""en"",""de"")"),"Eine andere Gruppe von drei Personen zeigt ihre Sprungseilfähigkeiten.")</f>
        <v>Eine andere Gruppe von drei Personen zeigt ihre Sprungseilfähigkeiten.</v>
      </c>
    </row>
    <row r="8601">
      <c r="A8601" s="4" t="s">
        <v>10820</v>
      </c>
      <c r="B8601" s="4" t="s">
        <v>10825</v>
      </c>
      <c r="C8601" s="5" t="str">
        <f>IFERROR(__xludf.DUMMYFUNCTION("GOOGLETRANSLATE(B8601,""en"",""de"")"),"Eine weitere Gruppe von drei in roten Shorts springt Seil.")</f>
        <v>Eine weitere Gruppe von drei in roten Shorts springt Seil.</v>
      </c>
    </row>
    <row r="8602">
      <c r="A8602" s="4" t="s">
        <v>10820</v>
      </c>
      <c r="B8602" s="4" t="s">
        <v>10826</v>
      </c>
      <c r="C8602" s="5" t="str">
        <f>IFERROR(__xludf.DUMMYFUNCTION("GOOGLETRANSLATE(B8602,""en"",""de"")"),"Menschen im Hintergrund gehen herum.")</f>
        <v>Menschen im Hintergrund gehen herum.</v>
      </c>
    </row>
    <row r="8603">
      <c r="A8603" s="4" t="s">
        <v>10820</v>
      </c>
      <c r="B8603" s="4" t="s">
        <v>10827</v>
      </c>
      <c r="C8603" s="5" t="str">
        <f>IFERROR(__xludf.DUMMYFUNCTION("GOOGLETRANSLATE(B8603,""en"",""de"")"),"Eine Gruppe von vier Mädchensprungseil.")</f>
        <v>Eine Gruppe von vier Mädchensprungseil.</v>
      </c>
    </row>
    <row r="8604">
      <c r="A8604" s="4" t="s">
        <v>10820</v>
      </c>
      <c r="B8604" s="4" t="s">
        <v>10828</v>
      </c>
      <c r="C8604" s="5" t="str">
        <f>IFERROR(__xludf.DUMMYFUNCTION("GOOGLETRANSLATE(B8604,""en"",""de"")"),"Die erste Gruppe von Menschen springt mit einer vierten Person Seil.")</f>
        <v>Die erste Gruppe von Menschen springt mit einer vierten Person Seil.</v>
      </c>
    </row>
    <row r="8605">
      <c r="A8605" s="4" t="s">
        <v>10820</v>
      </c>
      <c r="B8605" s="4" t="s">
        <v>10829</v>
      </c>
      <c r="C8605" s="5" t="str">
        <f>IFERROR(__xludf.DUMMYFUNCTION("GOOGLETRANSLATE(B8605,""en"",""de"")"),"Eine andere Gruppe von vier im roten und schwarzen Sprungseil.")</f>
        <v>Eine andere Gruppe von vier im roten und schwarzen Sprungseil.</v>
      </c>
    </row>
    <row r="8606">
      <c r="A8606" s="4" t="s">
        <v>10820</v>
      </c>
      <c r="B8606" s="4" t="s">
        <v>10830</v>
      </c>
      <c r="C8606" s="5" t="str">
        <f>IFERROR(__xludf.DUMMYFUNCTION("GOOGLETRANSLATE(B8606,""en"",""de"")"),"Ein anderes Team von Jump Ropers sieht im Hintergrund zu.")</f>
        <v>Ein anderes Team von Jump Ropers sieht im Hintergrund zu.</v>
      </c>
    </row>
    <row r="8607">
      <c r="A8607" s="4" t="s">
        <v>10820</v>
      </c>
      <c r="B8607" s="4" t="s">
        <v>10831</v>
      </c>
      <c r="C8607" s="5" t="str">
        <f>IFERROR(__xludf.DUMMYFUNCTION("GOOGLETRANSLATE(B8607,""en"",""de"")"),"Ein Team von vier im schwarzen und gelben Sprung.")</f>
        <v>Ein Team von vier im schwarzen und gelben Sprung.</v>
      </c>
    </row>
    <row r="8608">
      <c r="A8608" s="4" t="s">
        <v>10832</v>
      </c>
      <c r="B8608" s="4" t="s">
        <v>10833</v>
      </c>
      <c r="C8608" s="5" t="str">
        <f>IFERROR(__xludf.DUMMYFUNCTION("GOOGLETRANSLATE(B8608,""en"",""de"")"),"Ein Cowboy auf einem Pferd rannte auf das Feld und jagte ein Vieh.")</f>
        <v>Ein Cowboy auf einem Pferd rannte auf das Feld und jagte ein Vieh.</v>
      </c>
    </row>
    <row r="8609">
      <c r="A8609" s="4" t="s">
        <v>10832</v>
      </c>
      <c r="B8609" s="4" t="s">
        <v>10834</v>
      </c>
      <c r="C8609" s="5" t="str">
        <f>IFERROR(__xludf.DUMMYFUNCTION("GOOGLETRANSLATE(B8609,""en"",""de"")"),"Der Cowboy stieg vom Pferd und verfolgte das Vieh nach, als er das Vieh fing, das er das Vieh band.")</f>
        <v>Der Cowboy stieg vom Pferd und verfolgte das Vieh nach, als er das Vieh fing, das er das Vieh band.</v>
      </c>
    </row>
    <row r="8610">
      <c r="A8610" s="4" t="s">
        <v>10835</v>
      </c>
      <c r="B8610" s="4" t="s">
        <v>10836</v>
      </c>
      <c r="C8610" s="5" t="str">
        <f>IFERROR(__xludf.DUMMYFUNCTION("GOOGLETRANSLATE(B8610,""en"",""de"")"),"Ein Mann steht vor einer Fahrspur mit Ausbreitungen der Beine, und dann geht ein anderer Mann einen Bowlingkugel zwischen seinen Beinen und er trifft versehentlich seine Faust in die privaten Teile des Mannes und beide beginnen zu lachen .")</f>
        <v>Ein Mann steht vor einer Fahrspur mit Ausbreitungen der Beine, und dann geht ein anderer Mann einen Bowlingkugel zwischen seinen Beinen und er trifft versehentlich seine Faust in die privaten Teile des Mannes und beide beginnen zu lachen .</v>
      </c>
    </row>
    <row r="8611">
      <c r="A8611" s="4" t="s">
        <v>10835</v>
      </c>
      <c r="B8611" s="4" t="s">
        <v>10837</v>
      </c>
      <c r="C8611" s="5" t="str">
        <f>IFERROR(__xludf.DUMMYFUNCTION("GOOGLETRANSLATE(B8611,""en"",""de"")"),"Ein blauer Bildschirm wird angezeigt und der Text auf dem Bildschirm wird angezeigt und Says ""Bowling fails failCorporation"".")</f>
        <v>Ein blauer Bildschirm wird angezeigt und der Text auf dem Bildschirm wird angezeigt und Says "Bowling fails failCorporation".</v>
      </c>
    </row>
    <row r="8612">
      <c r="A8612" s="4" t="s">
        <v>10835</v>
      </c>
      <c r="B8612" s="4" t="s">
        <v>10838</v>
      </c>
      <c r="C8612" s="5" t="str">
        <f>IFERROR(__xludf.DUMMYFUNCTION("GOOGLETRANSLATE(B8612,""en"",""de"")"),"Verschiedene Clips verschiedener Menschen, die fielen, während sie versuchten, den Ball zu rollen, zu lachen und sogar versehentlich den Ball in die Decke zu werfen.")</f>
        <v>Verschiedene Clips verschiedener Menschen, die fielen, während sie versuchten, den Ball zu rollen, zu lachen und sogar versehentlich den Ball in die Decke zu werfen.</v>
      </c>
    </row>
    <row r="8613">
      <c r="A8613" s="4" t="s">
        <v>10835</v>
      </c>
      <c r="B8613" s="4" t="s">
        <v>10839</v>
      </c>
      <c r="C8613" s="5" t="str">
        <f>IFERROR(__xludf.DUMMYFUNCTION("GOOGLETRANSLATE(B8613,""en"",""de"")"),"Ein blauer Bildschirm wird mit Logos angezeigt, und Text mit ""FailCorporation -Abonnieren -Video"" wird angezeigt.")</f>
        <v>Ein blauer Bildschirm wird mit Logos angezeigt, und Text mit "FailCorporation -Abonnieren -Video" wird angezeigt.</v>
      </c>
    </row>
    <row r="8614">
      <c r="A8614" s="4" t="s">
        <v>10840</v>
      </c>
      <c r="B8614" s="4" t="s">
        <v>10841</v>
      </c>
      <c r="C8614" s="5" t="str">
        <f>IFERROR(__xludf.DUMMYFUNCTION("GOOGLETRANSLATE(B8614,""en"",""de"")"),"Eine Frau wäscht Geschirr mit Seife und einem Peeling in ihrem Spülbecken.")</f>
        <v>Eine Frau wäscht Geschirr mit Seife und einem Peeling in ihrem Spülbecken.</v>
      </c>
    </row>
    <row r="8615">
      <c r="A8615" s="4" t="s">
        <v>10840</v>
      </c>
      <c r="B8615" s="4" t="s">
        <v>10842</v>
      </c>
      <c r="C8615" s="5" t="str">
        <f>IFERROR(__xludf.DUMMYFUNCTION("GOOGLETRANSLATE(B8615,""en"",""de"")"),"Sie nimmt das Peeling, das in flüssige Seife eingeweicht ist, und schrubbt es auf der Schüssel, um sie gründlich zu reinigen.")</f>
        <v>Sie nimmt das Peeling, das in flüssige Seife eingeweicht ist, und schrubbt es auf der Schüssel, um sie gründlich zu reinigen.</v>
      </c>
    </row>
    <row r="8616">
      <c r="A8616" s="4" t="s">
        <v>10840</v>
      </c>
      <c r="B8616" s="4" t="s">
        <v>10843</v>
      </c>
      <c r="C8616" s="5" t="str">
        <f>IFERROR(__xludf.DUMMYFUNCTION("GOOGLETRANSLATE(B8616,""en"",""de"")"),"Sie legt die Teller und Schalen aufeinander in die Spüle, während sie sie wäscht.")</f>
        <v>Sie legt die Teller und Schalen aufeinander in die Spüle, während sie sie wäscht.</v>
      </c>
    </row>
    <row r="8617">
      <c r="A8617" s="4" t="s">
        <v>10844</v>
      </c>
      <c r="B8617" s="4" t="s">
        <v>10845</v>
      </c>
      <c r="C8617" s="5" t="str">
        <f>IFERROR(__xludf.DUMMYFUNCTION("GOOGLETRANSLATE(B8617,""en"",""de"")"),"Ein Mann reitet einen Vierrad auf einem Feld.")</f>
        <v>Ein Mann reitet einen Vierrad auf einem Feld.</v>
      </c>
    </row>
    <row r="8618">
      <c r="A8618" s="4" t="s">
        <v>10844</v>
      </c>
      <c r="B8618" s="4" t="s">
        <v>10846</v>
      </c>
      <c r="C8618" s="5" t="str">
        <f>IFERROR(__xludf.DUMMYFUNCTION("GOOGLETRANSLATE(B8618,""en"",""de"")"),"Der Mann steht auf dem Vier Wheeler und trifft seine Bruchlichter, um ein Ziel zu inspizieren.")</f>
        <v>Der Mann steht auf dem Vier Wheeler und trifft seine Bruchlichter, um ein Ziel zu inspizieren.</v>
      </c>
    </row>
    <row r="8619">
      <c r="A8619" s="4" t="s">
        <v>10844</v>
      </c>
      <c r="B8619" s="4" t="s">
        <v>10847</v>
      </c>
      <c r="C8619" s="5" t="str">
        <f>IFERROR(__xludf.DUMMYFUNCTION("GOOGLETRANSLATE(B8619,""en"",""de"")"),"Ein Mann, der einen Bogen und Pfeil hält, redet und demonstriert Merkmale auf dem Bogen, den er hält.")</f>
        <v>Ein Mann, der einen Bogen und Pfeil hält, redet und demonstriert Merkmale auf dem Bogen, den er hält.</v>
      </c>
    </row>
    <row r="8620">
      <c r="A8620" s="4" t="s">
        <v>10844</v>
      </c>
      <c r="B8620" s="4" t="s">
        <v>10848</v>
      </c>
      <c r="C8620" s="5" t="str">
        <f>IFERROR(__xludf.DUMMYFUNCTION("GOOGLETRANSLATE(B8620,""en"",""de"")"),"Eine Website rollt über den Bildschirm, während der Mann den Bogen auf ein Ziel abfeuert.")</f>
        <v>Eine Website rollt über den Bildschirm, während der Mann den Bogen auf ein Ziel abfeuert.</v>
      </c>
    </row>
    <row r="8621">
      <c r="A8621" s="4" t="s">
        <v>10844</v>
      </c>
      <c r="B8621" s="4" t="s">
        <v>10849</v>
      </c>
      <c r="C8621" s="5" t="str">
        <f>IFERROR(__xludf.DUMMYFUNCTION("GOOGLETRANSLATE(B8621,""en"",""de"")"),"Die Kamera vergrößert sich dann mit dem Ziel.")</f>
        <v>Die Kamera vergrößert sich dann mit dem Ziel.</v>
      </c>
    </row>
    <row r="8622">
      <c r="A8622" s="4" t="s">
        <v>10844</v>
      </c>
      <c r="B8622" s="4" t="s">
        <v>10850</v>
      </c>
      <c r="C8622" s="5" t="str">
        <f>IFERROR(__xludf.DUMMYFUNCTION("GOOGLETRANSLATE(B8622,""en"",""de"")"),"Die Website rollt erneut über den Bildschirm und der Mann feuert drei weitere Pfeile aus.")</f>
        <v>Die Website rollt erneut über den Bildschirm und der Mann feuert drei weitere Pfeile aus.</v>
      </c>
    </row>
    <row r="8623">
      <c r="A8623" s="4" t="s">
        <v>10844</v>
      </c>
      <c r="B8623" s="4" t="s">
        <v>10851</v>
      </c>
      <c r="C8623" s="5" t="str">
        <f>IFERROR(__xludf.DUMMYFUNCTION("GOOGLETRANSLATE(B8623,""en"",""de"")"),"Der Bildschirm ändert sich zu Grau und der Mann zeigt, dass die Marke von Bow ein Bowtech ist.")</f>
        <v>Der Bildschirm ändert sich zu Grau und der Mann zeigt, dass die Marke von Bow ein Bowtech ist.</v>
      </c>
    </row>
    <row r="8624">
      <c r="A8624" s="4" t="s">
        <v>10852</v>
      </c>
      <c r="B8624" s="4" t="s">
        <v>10853</v>
      </c>
      <c r="C8624" s="5" t="str">
        <f>IFERROR(__xludf.DUMMYFUNCTION("GOOGLETRANSLATE(B8624,""en"",""de"")"),"Frau ist im Studio und spricht in den Nachrichten mit einer Paintballpistole und schoss eine Wand.")</f>
        <v>Frau ist im Studio und spricht in den Nachrichten mit einer Paintballpistole und schoss eine Wand.</v>
      </c>
    </row>
    <row r="8625">
      <c r="A8625" s="4" t="s">
        <v>10852</v>
      </c>
      <c r="B8625" s="4" t="s">
        <v>10854</v>
      </c>
      <c r="C8625" s="5" t="str">
        <f>IFERROR(__xludf.DUMMYFUNCTION("GOOGLETRANSLATE(B8625,""en"",""de"")"),"Ein Mann und eine Frau sind auf einem Feld und spielen mit den kleinen Schmerzbällen.")</f>
        <v>Ein Mann und eine Frau sind auf einem Feld und spielen mit den kleinen Schmerzbällen.</v>
      </c>
    </row>
    <row r="8626">
      <c r="A8626" s="4" t="s">
        <v>10852</v>
      </c>
      <c r="B8626" s="4" t="s">
        <v>10855</v>
      </c>
      <c r="C8626" s="5" t="str">
        <f>IFERROR(__xludf.DUMMYFUNCTION("GOOGLETRANSLATE(B8626,""en"",""de"")"),"Sie laden die Waffen auf und spielen in einem grünen Gartenpaintball, der Schüsse und Masken trägt.")</f>
        <v>Sie laden die Waffen auf und spielen in einem grünen Gartenpaintball, der Schüsse und Masken trägt.</v>
      </c>
    </row>
    <row r="8627">
      <c r="A8627" s="4" t="s">
        <v>10856</v>
      </c>
      <c r="B8627" s="4" t="s">
        <v>10857</v>
      </c>
      <c r="C8627" s="5" t="str">
        <f>IFERROR(__xludf.DUMMYFUNCTION("GOOGLETRANSLATE(B8627,""en"",""de"")"),"Eine Frau spielt eine Tanzroutine mit einem Reifen auf einer Bühne.")</f>
        <v>Eine Frau spielt eine Tanzroutine mit einem Reifen auf einer Bühne.</v>
      </c>
    </row>
    <row r="8628">
      <c r="A8628" s="4" t="s">
        <v>10856</v>
      </c>
      <c r="B8628" s="4" t="s">
        <v>10858</v>
      </c>
      <c r="C8628" s="5" t="str">
        <f>IFERROR(__xludf.DUMMYFUNCTION("GOOGLETRANSLATE(B8628,""en"",""de"")"),"Die Frau führt die Routine mit zwei Reifen durch.")</f>
        <v>Die Frau führt die Routine mit zwei Reifen durch.</v>
      </c>
    </row>
    <row r="8629">
      <c r="A8629" s="4" t="s">
        <v>10856</v>
      </c>
      <c r="B8629" s="4" t="s">
        <v>10859</v>
      </c>
      <c r="C8629" s="5" t="str">
        <f>IFERROR(__xludf.DUMMYFUNCTION("GOOGLETRANSLATE(B8629,""en"",""de"")"),"Die Frau kehrt zur Aufführung mit einem Reifen zurück.")</f>
        <v>Die Frau kehrt zur Aufführung mit einem Reifen zurück.</v>
      </c>
    </row>
    <row r="8630">
      <c r="A8630" s="4" t="s">
        <v>10860</v>
      </c>
      <c r="B8630" s="4" t="s">
        <v>10861</v>
      </c>
      <c r="C8630" s="5" t="str">
        <f>IFERROR(__xludf.DUMMYFUNCTION("GOOGLETRANSLATE(B8630,""en"",""de"")"),"Ein schwarzer Bildschirm erscheint mit rot -weißen Buchstaben, in denen ""Discus -Wurfbeispiel für die Korrektur eines Lieferproblems für einen Anfänger"" heißt.")</f>
        <v>Ein schwarzer Bildschirm erscheint mit rot -weißen Buchstaben, in denen "Discus -Wurfbeispiel für die Korrektur eines Lieferproblems für einen Anfänger" heißt.</v>
      </c>
    </row>
    <row r="8631">
      <c r="A8631" s="4" t="s">
        <v>10860</v>
      </c>
      <c r="B8631" s="4" t="s">
        <v>10862</v>
      </c>
      <c r="C8631" s="5" t="str">
        <f>IFERROR(__xludf.DUMMYFUNCTION("GOOGLETRANSLATE(B8631,""en"",""de"")"),"Eine junge Dame steht jetzt auf einem konkreten Kreis und sie schwingt ihren roten Diskus, schwingt dann ihren Körper und wirft ihn dann.")</f>
        <v>Eine junge Dame steht jetzt auf einem konkreten Kreis und sie schwingt ihren roten Diskus, schwingt dann ihren Körper und wirft ihn dann.</v>
      </c>
    </row>
    <row r="8632">
      <c r="A8632" s="4" t="s">
        <v>10860</v>
      </c>
      <c r="B8632" s="4" t="s">
        <v>10863</v>
      </c>
      <c r="C8632" s="5" t="str">
        <f>IFERROR(__xludf.DUMMYFUNCTION("GOOGLETRANSLATE(B8632,""en"",""de"")"),"Ein schwarzer Bildschirm wird mit weißen Buchstaben angezeigt, in denen ""Aus mehreren Fehlern ein Problem ausgewählt"" heißt, und das Video zeigt weiterhin das Problem und Wörter werden auf dem Bildschirm angezeigt, um sie zu erklären.")</f>
        <v>Ein schwarzer Bildschirm wird mit weißen Buchstaben angezeigt, in denen "Aus mehreren Fehlern ein Problem ausgewählt" heißt, und das Video zeigt weiterhin das Problem und Wörter werden auf dem Bildschirm angezeigt, um sie zu erklären.</v>
      </c>
    </row>
    <row r="8633">
      <c r="A8633" s="4" t="s">
        <v>10860</v>
      </c>
      <c r="B8633" s="4" t="s">
        <v>10864</v>
      </c>
      <c r="C8633" s="5" t="str">
        <f>IFERROR(__xludf.DUMMYFUNCTION("GOOGLETRANSLATE(B8633,""en"",""de"")"),"Die gleiche junge Dame steht jetzt in einem anderen Bereich, in dem sie ein Handtuch hält, während sie ihre Schaukeln und Worte auf dem Bildschirm tippt.")</f>
        <v>Die gleiche junge Dame steht jetzt in einem anderen Bereich, in dem sie ein Handtuch hält, während sie ihre Schaukeln und Worte auf dem Bildschirm tippt.</v>
      </c>
    </row>
    <row r="8634">
      <c r="A8634" s="4" t="s">
        <v>10860</v>
      </c>
      <c r="B8634" s="4" t="s">
        <v>10865</v>
      </c>
      <c r="C8634" s="5" t="str">
        <f>IFERROR(__xludf.DUMMYFUNCTION("GOOGLETRANSLATE(B8634,""en"",""de"")"),"Das Mädchen ist wieder auf dem konkreten Kreis und schwingt ihre Scheibe und sie wirft dann die Scheibe.")</f>
        <v>Das Mädchen ist wieder auf dem konkreten Kreis und schwingt ihre Scheibe und sie wirft dann die Scheibe.</v>
      </c>
    </row>
    <row r="8635">
      <c r="A8635" s="4" t="s">
        <v>10860</v>
      </c>
      <c r="B8635" s="4" t="s">
        <v>10866</v>
      </c>
      <c r="C8635" s="5" t="str">
        <f>IFERROR(__xludf.DUMMYFUNCTION("GOOGLETRANSLATE(B8635,""en"",""de"")"),"Ein schwarzer Bildschirm erscheint erneut mit rot -weißen Wörtern, in denen ""andere ähnliche Übungen zur gleichen Idee: Konzentrieren Sie sich auf den Tiefpunkt der Implementierungstrajektorie.")</f>
        <v>Ein schwarzer Bildschirm erscheint erneut mit rot -weißen Wörtern, in denen "andere ähnliche Übungen zur gleichen Idee: Konzentrieren Sie sich auf den Tiefpunkt der Implementierungstrajektorie.</v>
      </c>
    </row>
    <row r="8636">
      <c r="A8636" s="4" t="s">
        <v>10860</v>
      </c>
      <c r="B8636" s="4" t="s">
        <v>10867</v>
      </c>
      <c r="C8636" s="5" t="str">
        <f>IFERROR(__xludf.DUMMYFUNCTION("GOOGLETRANSLATE(B8636,""en"",""de"")"),"Ein Junge steht jetzt auf dem konkreten Kreis und praktiziert seine Schaukeln mit einem Hemd.")</f>
        <v>Ein Junge steht jetzt auf dem konkreten Kreis und praktiziert seine Schaukeln mit einem Hemd.</v>
      </c>
    </row>
    <row r="8637">
      <c r="A8637" s="4" t="s">
        <v>10860</v>
      </c>
      <c r="B8637" s="4" t="s">
        <v>10868</v>
      </c>
      <c r="C8637" s="5" t="str">
        <f>IFERROR(__xludf.DUMMYFUNCTION("GOOGLETRANSLATE(B8637,""en"",""de"")"),"Ein Mann ist jetzt drinnen und er übt seine Schaukeln mit einem Golfclub.")</f>
        <v>Ein Mann ist jetzt drinnen und er übt seine Schaukeln mit einem Golfclub.</v>
      </c>
    </row>
    <row r="8638">
      <c r="A8638" s="4" t="s">
        <v>10860</v>
      </c>
      <c r="B8638" s="4" t="s">
        <v>10869</v>
      </c>
      <c r="C8638" s="5" t="str">
        <f>IFERROR(__xludf.DUMMYFUNCTION("GOOGLETRANSLATE(B8638,""en"",""de"")"),"Der Outro -Bildschirm ist hauptsächlich weiß mit einem schwarzen Design und dem Namen des Unternehmens und einer Person.")</f>
        <v>Der Outro -Bildschirm ist hauptsächlich weiß mit einem schwarzen Design und dem Namen des Unternehmens und einer Person.</v>
      </c>
    </row>
    <row r="8639">
      <c r="A8639" s="4" t="s">
        <v>10870</v>
      </c>
      <c r="B8639" s="4" t="s">
        <v>10871</v>
      </c>
      <c r="C8639" s="5" t="str">
        <f>IFERROR(__xludf.DUMMYFUNCTION("GOOGLETRANSLATE(B8639,""en"",""de"")"),"Eine Person beginnt, einen Rubix -Würfel zu lösen.")</f>
        <v>Eine Person beginnt, einen Rubix -Würfel zu lösen.</v>
      </c>
    </row>
    <row r="8640">
      <c r="A8640" s="4" t="s">
        <v>10870</v>
      </c>
      <c r="B8640" s="4" t="s">
        <v>10872</v>
      </c>
      <c r="C8640" s="5" t="str">
        <f>IFERROR(__xludf.DUMMYFUNCTION("GOOGLETRANSLATE(B8640,""en"",""de"")"),"Sie fangen an, es in alle Richtungen zu drehen.")</f>
        <v>Sie fangen an, es in alle Richtungen zu drehen.</v>
      </c>
    </row>
    <row r="8641">
      <c r="A8641" s="4" t="s">
        <v>10870</v>
      </c>
      <c r="B8641" s="4" t="s">
        <v>10873</v>
      </c>
      <c r="C8641" s="5" t="str">
        <f>IFERROR(__xludf.DUMMYFUNCTION("GOOGLETRANSLATE(B8641,""en"",""de"")"),"Sie haben den Rubix -Würfel gelöst.")</f>
        <v>Sie haben den Rubix -Würfel gelöst.</v>
      </c>
    </row>
    <row r="8642">
      <c r="A8642" s="4" t="s">
        <v>10874</v>
      </c>
      <c r="B8642" s="4" t="s">
        <v>10875</v>
      </c>
      <c r="C8642" s="5" t="str">
        <f>IFERROR(__xludf.DUMMYFUNCTION("GOOGLETRANSLATE(B8642,""en"",""de"")"),"Eine Gruppe von Menschen spielt Wasservolleyball in einem Outdoor -Pool.")</f>
        <v>Eine Gruppe von Menschen spielt Wasservolleyball in einem Outdoor -Pool.</v>
      </c>
    </row>
    <row r="8643">
      <c r="A8643" s="4" t="s">
        <v>10874</v>
      </c>
      <c r="B8643" s="4" t="s">
        <v>10876</v>
      </c>
      <c r="C8643" s="5" t="str">
        <f>IFERROR(__xludf.DUMMYFUNCTION("GOOGLETRANSLATE(B8643,""en"",""de"")"),"Die Leute beginnen, mit Volleyball im Wasser wettbewerbsfähig zu spielen.")</f>
        <v>Die Leute beginnen, mit Volleyball im Wasser wettbewerbsfähig zu spielen.</v>
      </c>
    </row>
    <row r="8644">
      <c r="A8644" s="4" t="s">
        <v>10874</v>
      </c>
      <c r="B8644" s="4" t="s">
        <v>10877</v>
      </c>
      <c r="C8644" s="5" t="str">
        <f>IFERROR(__xludf.DUMMYFUNCTION("GOOGLETRANSLATE(B8644,""en"",""de"")"),"Die Kamera ändert den Winkel und fängt die Leute auf, die von hinten mit dem Netz zwischen den Menschen und der Kamera spielen.")</f>
        <v>Die Kamera ändert den Winkel und fängt die Leute auf, die von hinten mit dem Netz zwischen den Menschen und der Kamera spielen.</v>
      </c>
    </row>
    <row r="8645">
      <c r="A8645" s="4" t="s">
        <v>10878</v>
      </c>
      <c r="B8645" s="4" t="s">
        <v>10879</v>
      </c>
      <c r="C8645" s="5" t="str">
        <f>IFERROR(__xludf.DUMMYFUNCTION("GOOGLETRANSLATE(B8645,""en"",""de"")"),"Eine Person kniet neben einem Eisloch und in einem Fisch.")</f>
        <v>Eine Person kniet neben einem Eisloch und in einem Fisch.</v>
      </c>
    </row>
    <row r="8646">
      <c r="A8646" s="4" t="s">
        <v>10878</v>
      </c>
      <c r="B8646" s="4" t="s">
        <v>10880</v>
      </c>
      <c r="C8646" s="5" t="str">
        <f>IFERROR(__xludf.DUMMYFUNCTION("GOOGLETRANSLATE(B8646,""en"",""de"")"),"Die Person setzt sich weiter auf die Stange ein, während die Kamera auf das Loch zoomt.")</f>
        <v>Die Person setzt sich weiter auf die Stange ein, während die Kamera auf das Loch zoomt.</v>
      </c>
    </row>
    <row r="8647">
      <c r="A8647" s="4" t="s">
        <v>10878</v>
      </c>
      <c r="B8647" s="4" t="s">
        <v>10881</v>
      </c>
      <c r="C8647" s="5" t="str">
        <f>IFERROR(__xludf.DUMMYFUNCTION("GOOGLETRANSLATE(B8647,""en"",""de"")"),"Schließlich greift die Person den Fisch und präsentiert ihn der Kamera.")</f>
        <v>Schließlich greift die Person den Fisch und präsentiert ihn der Kamera.</v>
      </c>
    </row>
    <row r="8648">
      <c r="A8648" s="4" t="s">
        <v>10882</v>
      </c>
      <c r="B8648" s="4" t="s">
        <v>10883</v>
      </c>
      <c r="C8648" s="5" t="str">
        <f>IFERROR(__xludf.DUMMYFUNCTION("GOOGLETRANSLATE(B8648,""en"",""de"")"),"Eine Nahaufnahme eines Stuhls ist zu sehen, gefolgt von einer Frau, die in den Rahmen geht.")</f>
        <v>Eine Nahaufnahme eines Stuhls ist zu sehen, gefolgt von einer Frau, die in den Rahmen geht.</v>
      </c>
    </row>
    <row r="8649">
      <c r="A8649" s="4" t="s">
        <v>10882</v>
      </c>
      <c r="B8649" s="4" t="s">
        <v>10884</v>
      </c>
      <c r="C8649" s="5" t="str">
        <f>IFERROR(__xludf.DUMMYFUNCTION("GOOGLETRANSLATE(B8649,""en"",""de"")"),"Die Frau sitzt auf dem Stuhl und beginnt ein Paar Schuhe anzuziehen.")</f>
        <v>Die Frau sitzt auf dem Stuhl und beginnt ein Paar Schuhe anzuziehen.</v>
      </c>
    </row>
    <row r="8650">
      <c r="A8650" s="4" t="s">
        <v>10882</v>
      </c>
      <c r="B8650" s="4" t="s">
        <v>10885</v>
      </c>
      <c r="C8650" s="5" t="str">
        <f>IFERROR(__xludf.DUMMYFUNCTION("GOOGLETRANSLATE(B8650,""en"",""de"")"),"Sie setzt sich beide an und steht auf, um ihre Füße herumzutragen.")</f>
        <v>Sie setzt sich beide an und steht auf, um ihre Füße herumzutragen.</v>
      </c>
    </row>
    <row r="8651">
      <c r="A8651" s="4" t="s">
        <v>10886</v>
      </c>
      <c r="B8651" s="4" t="s">
        <v>10887</v>
      </c>
      <c r="C8651" s="5" t="str">
        <f>IFERROR(__xludf.DUMMYFUNCTION("GOOGLETRANSLATE(B8651,""en"",""de"")"),"Ein Mann steht vor einem Spiel von Hopscotch, der herausgezogen wird und beginnt den Weg hinunter, während andere folgen.")</f>
        <v>Ein Mann steht vor einem Spiel von Hopscotch, der herausgezogen wird und beginnt den Weg hinunter, während andere folgen.</v>
      </c>
    </row>
    <row r="8652">
      <c r="A8652" s="4" t="s">
        <v>10886</v>
      </c>
      <c r="B8652" s="4" t="s">
        <v>10888</v>
      </c>
      <c r="C8652" s="5" t="str">
        <f>IFERROR(__xludf.DUMMYFUNCTION("GOOGLETRANSLATE(B8652,""en"",""de"")"),"Die Kamera folgt dem Mann weiterhin, als er den Weg hinunterspringt und einige andere erfasst, die auch das Gleiche tun.")</f>
        <v>Die Kamera folgt dem Mann weiterhin, als er den Weg hinunterspringt und einige andere erfasst, die auch das Gleiche tun.</v>
      </c>
    </row>
    <row r="8653">
      <c r="A8653" s="4" t="s">
        <v>10889</v>
      </c>
      <c r="B8653" s="4" t="s">
        <v>10890</v>
      </c>
      <c r="C8653" s="5" t="str">
        <f>IFERROR(__xludf.DUMMYFUNCTION("GOOGLETRANSLATE(B8653,""en"",""de"")"),"Eine Person rollt im Bett und schaut auf ihr Telefon.")</f>
        <v>Eine Person rollt im Bett und schaut auf ihr Telefon.</v>
      </c>
    </row>
    <row r="8654">
      <c r="A8654" s="4" t="s">
        <v>10889</v>
      </c>
      <c r="B8654" s="4" t="s">
        <v>10891</v>
      </c>
      <c r="C8654" s="5" t="str">
        <f>IFERROR(__xludf.DUMMYFUNCTION("GOOGLETRANSLATE(B8654,""en"",""de"")"),"Sie setzen sich auf ihr Bett und reiben ihr Gesicht.")</f>
        <v>Sie setzen sich auf ihr Bett und reiben ihr Gesicht.</v>
      </c>
    </row>
    <row r="8655">
      <c r="A8655" s="4" t="s">
        <v>10889</v>
      </c>
      <c r="B8655" s="4" t="s">
        <v>10892</v>
      </c>
      <c r="C8655" s="5" t="str">
        <f>IFERROR(__xludf.DUMMYFUNCTION("GOOGLETRANSLATE(B8655,""en"",""de"")"),"Sie waschen ihre Hände und das Gesicht.")</f>
        <v>Sie waschen ihre Hände und das Gesicht.</v>
      </c>
    </row>
    <row r="8656">
      <c r="A8656" s="4" t="s">
        <v>10889</v>
      </c>
      <c r="B8656" s="4" t="s">
        <v>10893</v>
      </c>
      <c r="C8656" s="5" t="str">
        <f>IFERROR(__xludf.DUMMYFUNCTION("GOOGLETRANSLATE(B8656,""en"",""de"")"),"Sie beginnen mit Rollerblading und machen Tricks.")</f>
        <v>Sie beginnen mit Rollerblading und machen Tricks.</v>
      </c>
    </row>
    <row r="8657">
      <c r="A8657" s="4" t="s">
        <v>10894</v>
      </c>
      <c r="B8657" s="4" t="s">
        <v>10895</v>
      </c>
      <c r="C8657" s="5" t="str">
        <f>IFERROR(__xludf.DUMMYFUNCTION("GOOGLETRANSLATE(B8657,""en"",""de"")"),"Wir sehen einen Girl -Turner auf einem Balance -Strahl, der auftritt.")</f>
        <v>Wir sehen einen Girl -Turner auf einem Balance -Strahl, der auftritt.</v>
      </c>
    </row>
    <row r="8658">
      <c r="A8658" s="4" t="s">
        <v>10894</v>
      </c>
      <c r="B8658" s="4" t="s">
        <v>10896</v>
      </c>
      <c r="C8658" s="5" t="str">
        <f>IFERROR(__xludf.DUMMYFUNCTION("GOOGLETRANSLATE(B8658,""en"",""de"")"),"Das Mädchen bereitet sich auf einen Flip vor und fällt auf die Bar und verletzt sich.")</f>
        <v>Das Mädchen bereitet sich auf einen Flip vor und fällt auf die Bar und verletzt sich.</v>
      </c>
    </row>
    <row r="8659">
      <c r="A8659" s="4" t="s">
        <v>10894</v>
      </c>
      <c r="B8659" s="4" t="s">
        <v>10897</v>
      </c>
      <c r="C8659" s="5" t="str">
        <f>IFERROR(__xludf.DUMMYFUNCTION("GOOGLETRANSLATE(B8659,""en"",""de"")"),"Das Mädchen steht weinend und eine Dame kommt, um ihr zu helfen.")</f>
        <v>Das Mädchen steht weinend und eine Dame kommt, um ihr zu helfen.</v>
      </c>
    </row>
    <row r="8660">
      <c r="A8660" s="4" t="s">
        <v>10898</v>
      </c>
      <c r="B8660" s="4" t="s">
        <v>10899</v>
      </c>
      <c r="C8660" s="5" t="str">
        <f>IFERROR(__xludf.DUMMYFUNCTION("GOOGLETRANSLATE(B8660,""en"",""de"")"),"Make -up wird auf einer Tabelle angezeigt.")</f>
        <v>Make -up wird auf einer Tabelle angezeigt.</v>
      </c>
    </row>
    <row r="8661">
      <c r="A8661" s="4" t="s">
        <v>10898</v>
      </c>
      <c r="B8661" s="4" t="s">
        <v>10900</v>
      </c>
      <c r="C8661" s="5" t="str">
        <f>IFERROR(__xludf.DUMMYFUNCTION("GOOGLETRANSLATE(B8661,""en"",""de"")"),"Eine Frau sitzt auf ihrem Bett und bringt Make -up auf ihr Gesicht.")</f>
        <v>Eine Frau sitzt auf ihrem Bett und bringt Make -up auf ihr Gesicht.</v>
      </c>
    </row>
    <row r="8662">
      <c r="A8662" s="4" t="s">
        <v>10898</v>
      </c>
      <c r="B8662" s="4" t="s">
        <v>10901</v>
      </c>
      <c r="C8662" s="5" t="str">
        <f>IFERROR(__xludf.DUMMYFUNCTION("GOOGLETRANSLATE(B8662,""en"",""de"")"),"Sie verwendet eine große Bürste, um Pulver auf ihr Gesicht aufzutragen.")</f>
        <v>Sie verwendet eine große Bürste, um Pulver auf ihr Gesicht aufzutragen.</v>
      </c>
    </row>
    <row r="8663">
      <c r="A8663" s="4" t="s">
        <v>10898</v>
      </c>
      <c r="B8663" s="4" t="s">
        <v>1972</v>
      </c>
      <c r="C8663" s="5" t="str">
        <f>IFERROR(__xludf.DUMMYFUNCTION("GOOGLETRANSLATE(B8663,""en"",""de"")"),"Sie legt Mascara auf ihre Wimpern.")</f>
        <v>Sie legt Mascara auf ihre Wimpern.</v>
      </c>
    </row>
    <row r="8664">
      <c r="A8664" s="4" t="s">
        <v>10898</v>
      </c>
      <c r="B8664" s="4" t="s">
        <v>1971</v>
      </c>
      <c r="C8664" s="5" t="str">
        <f>IFERROR(__xludf.DUMMYFUNCTION("GOOGLETRANSLATE(B8664,""en"",""de"")"),"Sie legt Lippenstift auf ihre Lippen.")</f>
        <v>Sie legt Lippenstift auf ihre Lippen.</v>
      </c>
    </row>
    <row r="8665">
      <c r="A8665" s="4" t="s">
        <v>10898</v>
      </c>
      <c r="B8665" s="4" t="s">
        <v>10902</v>
      </c>
      <c r="C8665" s="5" t="str">
        <f>IFERROR(__xludf.DUMMYFUNCTION("GOOGLETRANSLATE(B8665,""en"",""de"")"),"Sie legt einen Rucksack an und geht aus der Tür.")</f>
        <v>Sie legt einen Rucksack an und geht aus der Tür.</v>
      </c>
    </row>
    <row r="8666">
      <c r="A8666" s="4" t="s">
        <v>10903</v>
      </c>
      <c r="B8666" s="4" t="s">
        <v>10904</v>
      </c>
      <c r="C8666" s="5" t="str">
        <f>IFERROR(__xludf.DUMMYFUNCTION("GOOGLETRANSLATE(B8666,""en"",""de"")"),"Ein Mann nähert sich einem großen Berg mit Freunden und steigt an ein grünes Seil, bis er die Spitze erreicht.")</f>
        <v>Ein Mann nähert sich einem großen Berg mit Freunden und steigt an ein grünes Seil, bis er die Spitze erreicht.</v>
      </c>
    </row>
    <row r="8667">
      <c r="A8667" s="4" t="s">
        <v>10903</v>
      </c>
      <c r="B8667" s="4" t="s">
        <v>10905</v>
      </c>
      <c r="C8667" s="5" t="str">
        <f>IFERROR(__xludf.DUMMYFUNCTION("GOOGLETRANSLATE(B8667,""en"",""de"")"),"Eine Gruppe junger Menschen nähert sich der Basis eines Berges und setzte ihre Sachen, in denen sie lächeln und sich darauf vorbereiten, den Berg zu besteigen.")</f>
        <v>Eine Gruppe junger Menschen nähert sich der Basis eines Berges und setzte ihre Sachen, in denen sie lächeln und sich darauf vorbereiten, den Berg zu besteigen.</v>
      </c>
    </row>
    <row r="8668">
      <c r="A8668" s="4" t="s">
        <v>10903</v>
      </c>
      <c r="B8668" s="4" t="s">
        <v>10906</v>
      </c>
      <c r="C8668" s="5" t="str">
        <f>IFERROR(__xludf.DUMMYFUNCTION("GOOGLETRANSLATE(B8668,""en"",""de"")"),"Auf einem großen Felsen wird ein langes grünes Seil gezeigt, wonach ein Mann in Gläser einen Berg mit Metallhaken auf dem Berg und seinen Füßen zum Klettern auf den Berg zu besteigen.")</f>
        <v>Auf einem großen Felsen wird ein langes grünes Seil gezeigt, wonach ein Mann in Gläser einen Berg mit Metallhaken auf dem Berg und seinen Füßen zum Klettern auf den Berg zu besteigen.</v>
      </c>
    </row>
    <row r="8669">
      <c r="A8669" s="4" t="s">
        <v>10903</v>
      </c>
      <c r="B8669" s="4" t="s">
        <v>10907</v>
      </c>
      <c r="C8669" s="5" t="str">
        <f>IFERROR(__xludf.DUMMYFUNCTION("GOOGLETRANSLATE(B8669,""en"",""de"")"),"Der Mann lächelt und gibt der Kamera einen Daumen hoch, wenn er an die Spitze des Berges kommt.")</f>
        <v>Der Mann lächelt und gibt der Kamera einen Daumen hoch, wenn er an die Spitze des Berges kommt.</v>
      </c>
    </row>
    <row r="8670">
      <c r="A8670" s="4" t="s">
        <v>10908</v>
      </c>
      <c r="B8670" s="4" t="s">
        <v>10909</v>
      </c>
      <c r="C8670" s="5" t="str">
        <f>IFERROR(__xludf.DUMMYFUNCTION("GOOGLETRANSLATE(B8670,""en"",""de"")"),"Ein Mann und eine Frau gehen auf den Pier eines Bootes.")</f>
        <v>Ein Mann und eine Frau gehen auf den Pier eines Bootes.</v>
      </c>
    </row>
    <row r="8671">
      <c r="A8671" s="4" t="s">
        <v>10908</v>
      </c>
      <c r="B8671" s="4" t="s">
        <v>10910</v>
      </c>
      <c r="C8671" s="5" t="str">
        <f>IFERROR(__xludf.DUMMYFUNCTION("GOOGLETRANSLATE(B8671,""en"",""de"")"),"Sie spielen ein umfassendes Spiel.")</f>
        <v>Sie spielen ein umfassendes Spiel.</v>
      </c>
    </row>
    <row r="8672">
      <c r="A8672" s="4" t="s">
        <v>10908</v>
      </c>
      <c r="B8672" s="4" t="s">
        <v>10911</v>
      </c>
      <c r="C8672" s="5" t="str">
        <f>IFERROR(__xludf.DUMMYFUNCTION("GOOGLETRANSLATE(B8672,""en"",""de"")"),"Die Frau schiebt den Puck, der in die Kamera gleitet.")</f>
        <v>Die Frau schiebt den Puck, der in die Kamera gleitet.</v>
      </c>
    </row>
    <row r="8673">
      <c r="A8673" s="4" t="s">
        <v>10908</v>
      </c>
      <c r="B8673" s="4" t="s">
        <v>10912</v>
      </c>
      <c r="C8673" s="5" t="str">
        <f>IFERROR(__xludf.DUMMYFUNCTION("GOOGLETRANSLATE(B8673,""en"",""de"")"),"Die Szene wird in Zeitlupe wiederholt.")</f>
        <v>Die Szene wird in Zeitlupe wiederholt.</v>
      </c>
    </row>
    <row r="8674">
      <c r="A8674" s="4" t="s">
        <v>10913</v>
      </c>
      <c r="B8674" s="4" t="s">
        <v>10914</v>
      </c>
      <c r="C8674" s="5" t="str">
        <f>IFERROR(__xludf.DUMMYFUNCTION("GOOGLETRANSLATE(B8674,""en"",""de"")"),"Ein Mann in einem weißen Hemd steht neben parallelen Bars.")</f>
        <v>Ein Mann in einem weißen Hemd steht neben parallelen Bars.</v>
      </c>
    </row>
    <row r="8675">
      <c r="A8675" s="4" t="s">
        <v>10913</v>
      </c>
      <c r="B8675" s="4" t="s">
        <v>10915</v>
      </c>
      <c r="C8675" s="5" t="str">
        <f>IFERROR(__xludf.DUMMYFUNCTION("GOOGLETRANSLATE(B8675,""en"",""de"")"),"Ein Junge springt auf die parallelen Balken und beginnt hin und her zu schwingen.")</f>
        <v>Ein Junge springt auf die parallelen Balken und beginnt hin und her zu schwingen.</v>
      </c>
    </row>
    <row r="8676">
      <c r="A8676" s="4" t="s">
        <v>10913</v>
      </c>
      <c r="B8676" s="4" t="s">
        <v>10916</v>
      </c>
      <c r="C8676" s="5" t="str">
        <f>IFERROR(__xludf.DUMMYFUNCTION("GOOGLETRANSLATE(B8676,""en"",""de"")"),"Der Junge beginnt eine Routine in den parallelen Bars.")</f>
        <v>Der Junge beginnt eine Routine in den parallelen Bars.</v>
      </c>
    </row>
    <row r="8677">
      <c r="A8677" s="4" t="s">
        <v>10917</v>
      </c>
      <c r="B8677" s="4" t="s">
        <v>10918</v>
      </c>
      <c r="C8677" s="5" t="str">
        <f>IFERROR(__xludf.DUMMYFUNCTION("GOOGLETRANSLATE(B8677,""en"",""de"")"),"Ein Mann wird gesehen, wie ein nasses Lappen auf einem Fenster verwendet wird und den Reiniger rund um das Glas bewegt.")</f>
        <v>Ein Mann wird gesehen, wie ein nasses Lappen auf einem Fenster verwendet wird und den Reiniger rund um das Glas bewegt.</v>
      </c>
    </row>
    <row r="8678">
      <c r="A8678" s="4" t="s">
        <v>10917</v>
      </c>
      <c r="B8678" s="4" t="s">
        <v>10919</v>
      </c>
      <c r="C8678" s="5" t="str">
        <f>IFERROR(__xludf.DUMMYFUNCTION("GOOGLETRANSLATE(B8678,""en"",""de"")"),"Er taucht das Objekt kontinuierlich in Reiniger ein und reinigt rund um das Glas, während er einen Lappen dicht dahinter benutzt.")</f>
        <v>Er taucht das Objekt kontinuierlich in Reiniger ein und reinigt rund um das Glas, während er einen Lappen dicht dahinter benutzt.</v>
      </c>
    </row>
    <row r="8679">
      <c r="A8679" s="4" t="s">
        <v>10920</v>
      </c>
      <c r="B8679" s="4" t="s">
        <v>10921</v>
      </c>
      <c r="C8679" s="5" t="str">
        <f>IFERROR(__xludf.DUMMYFUNCTION("GOOGLETRANSLATE(B8679,""en"",""de"")"),"Ein Mann, der sein Kajak hält, spricht mit der Kamera.")</f>
        <v>Ein Mann, der sein Kajak hält, spricht mit der Kamera.</v>
      </c>
    </row>
    <row r="8680">
      <c r="A8680" s="4" t="s">
        <v>10920</v>
      </c>
      <c r="B8680" s="4" t="s">
        <v>10922</v>
      </c>
      <c r="C8680" s="5" t="str">
        <f>IFERROR(__xludf.DUMMYFUNCTION("GOOGLETRANSLATE(B8680,""en"",""de"")"),"Er ist in seinem Kajak stromabwärts paddelt.")</f>
        <v>Er ist in seinem Kajak stromabwärts paddelt.</v>
      </c>
    </row>
    <row r="8681">
      <c r="A8681" s="4" t="s">
        <v>10920</v>
      </c>
      <c r="B8681" s="4" t="s">
        <v>10923</v>
      </c>
      <c r="C8681" s="5" t="str">
        <f>IFERROR(__xludf.DUMMYFUNCTION("GOOGLETRANSLATE(B8681,""en"",""de"")"),"Ein anderer Ruderer geht an ihn vorbei und macht einen Flip.")</f>
        <v>Ein anderer Ruderer geht an ihn vorbei und macht einen Flip.</v>
      </c>
    </row>
    <row r="8682">
      <c r="A8682" s="4" t="s">
        <v>10920</v>
      </c>
      <c r="B8682" s="4" t="s">
        <v>10924</v>
      </c>
      <c r="C8682" s="5" t="str">
        <f>IFERROR(__xludf.DUMMYFUNCTION("GOOGLETRANSLATE(B8682,""en"",""de"")"),"Er spricht wieder mit der Kamera.")</f>
        <v>Er spricht wieder mit der Kamera.</v>
      </c>
    </row>
    <row r="8683">
      <c r="A8683" s="4" t="s">
        <v>10920</v>
      </c>
      <c r="B8683" s="4" t="s">
        <v>10925</v>
      </c>
      <c r="C8683" s="5" t="str">
        <f>IFERROR(__xludf.DUMMYFUNCTION("GOOGLETRANSLATE(B8683,""en"",""de"")"),"Wir sehen den Parkplatz von der Kamera.")</f>
        <v>Wir sehen den Parkplatz von der Kamera.</v>
      </c>
    </row>
    <row r="8684">
      <c r="A8684" s="4" t="s">
        <v>10920</v>
      </c>
      <c r="B8684" s="4" t="s">
        <v>10926</v>
      </c>
      <c r="C8684" s="5" t="str">
        <f>IFERROR(__xludf.DUMMYFUNCTION("GOOGLETRANSLATE(B8684,""en"",""de"")"),"Zurück im Wasser vorbei an einem Wasserfall.")</f>
        <v>Zurück im Wasser vorbei an einem Wasserfall.</v>
      </c>
    </row>
    <row r="8685">
      <c r="A8685" s="4" t="s">
        <v>10920</v>
      </c>
      <c r="B8685" s="4" t="s">
        <v>10927</v>
      </c>
      <c r="C8685" s="5" t="str">
        <f>IFERROR(__xludf.DUMMYFUNCTION("GOOGLETRANSLATE(B8685,""en"",""de"")"),"Nochmals mit der Kamera sprechen.")</f>
        <v>Nochmals mit der Kamera sprechen.</v>
      </c>
    </row>
    <row r="8686">
      <c r="A8686" s="4" t="s">
        <v>10920</v>
      </c>
      <c r="B8686" s="4" t="s">
        <v>10928</v>
      </c>
      <c r="C8686" s="5" t="str">
        <f>IFERROR(__xludf.DUMMYFUNCTION("GOOGLETRANSLATE(B8686,""en"",""de"")"),"Standpunkte von seinem Kajak.")</f>
        <v>Standpunkte von seinem Kajak.</v>
      </c>
    </row>
    <row r="8687">
      <c r="A8687" s="4" t="s">
        <v>10920</v>
      </c>
      <c r="B8687" s="4" t="s">
        <v>10929</v>
      </c>
      <c r="C8687" s="5" t="str">
        <f>IFERROR(__xludf.DUMMYFUNCTION("GOOGLETRANSLATE(B8687,""en"",""de"")"),"Sprechender Kopf, als er sehr animiert mit der Kamera spricht.")</f>
        <v>Sprechender Kopf, als er sehr animiert mit der Kamera spricht.</v>
      </c>
    </row>
    <row r="8688">
      <c r="A8688" s="4" t="s">
        <v>10920</v>
      </c>
      <c r="B8688" s="4" t="s">
        <v>10930</v>
      </c>
      <c r="C8688" s="5" t="str">
        <f>IFERROR(__xludf.DUMMYFUNCTION("GOOGLETRANSLATE(B8688,""en"",""de"")"),"Sicht aus dem Boot nach einem anderen Ruderer.")</f>
        <v>Sicht aus dem Boot nach einem anderen Ruderer.</v>
      </c>
    </row>
    <row r="8689">
      <c r="A8689" s="4" t="s">
        <v>10920</v>
      </c>
      <c r="B8689" s="4" t="s">
        <v>10931</v>
      </c>
      <c r="C8689" s="5" t="str">
        <f>IFERROR(__xludf.DUMMYFUNCTION("GOOGLETRANSLATE(B8689,""en"",""de"")"),"Der sprechende Kopf durchsetzt mit Schüssen aus dem Wasser und veranschaulicht die Techniken, über die er in seinen sprechenden Kopfschüssen spricht.")</f>
        <v>Der sprechende Kopf durchsetzt mit Schüssen aus dem Wasser und veranschaulicht die Techniken, über die er in seinen sprechenden Kopfschüssen spricht.</v>
      </c>
    </row>
    <row r="8690">
      <c r="A8690" s="4" t="s">
        <v>10932</v>
      </c>
      <c r="B8690" s="4" t="s">
        <v>10933</v>
      </c>
      <c r="C8690" s="5" t="str">
        <f>IFERROR(__xludf.DUMMYFUNCTION("GOOGLETRANSLATE(B8690,""en"",""de"")"),"Zwei Menschen sprechen miteinander und führen zu einem Mann, der am Rand steht und springt.")</f>
        <v>Zwei Menschen sprechen miteinander und führen zu einem Mann, der am Rand steht und springt.</v>
      </c>
    </row>
    <row r="8691">
      <c r="A8691" s="4" t="s">
        <v>10932</v>
      </c>
      <c r="B8691" s="4" t="s">
        <v>10934</v>
      </c>
      <c r="C8691" s="5" t="str">
        <f>IFERROR(__xludf.DUMMYFUNCTION("GOOGLETRANSLATE(B8691,""en"",""de"")"),"Der Sprung des Mannes wird mehrmals von einer anderen Kamera gezeigt, als er von der Seite springt und wieder hoch aufspringt.")</f>
        <v>Der Sprung des Mannes wird mehrmals von einer anderen Kamera gezeigt, als er von der Seite springt und wieder hoch aufspringt.</v>
      </c>
    </row>
    <row r="8692">
      <c r="A8692" s="4" t="s">
        <v>10935</v>
      </c>
      <c r="B8692" s="4" t="s">
        <v>10936</v>
      </c>
      <c r="C8692" s="5" t="str">
        <f>IFERROR(__xludf.DUMMYFUNCTION("GOOGLETRANSLATE(B8692,""en"",""de"")"),"Eine Gruppe von Menschen baut Sandburgen am Strand.")</f>
        <v>Eine Gruppe von Menschen baut Sandburgen am Strand.</v>
      </c>
    </row>
    <row r="8693">
      <c r="A8693" s="4" t="s">
        <v>10935</v>
      </c>
      <c r="B8693" s="4" t="s">
        <v>10937</v>
      </c>
      <c r="C8693" s="5" t="str">
        <f>IFERROR(__xludf.DUMMYFUNCTION("GOOGLETRANSLATE(B8693,""en"",""de"")"),"Ein Mädchen winkt zur Kamera.")</f>
        <v>Ein Mädchen winkt zur Kamera.</v>
      </c>
    </row>
    <row r="8694">
      <c r="A8694" s="4" t="s">
        <v>10935</v>
      </c>
      <c r="B8694" s="4" t="s">
        <v>10938</v>
      </c>
      <c r="C8694" s="5" t="str">
        <f>IFERROR(__xludf.DUMMYFUNCTION("GOOGLETRANSLATE(B8694,""en"",""de"")"),"Ein Mann wird im Sand graben.")</f>
        <v>Ein Mann wird im Sand graben.</v>
      </c>
    </row>
    <row r="8695">
      <c r="A8695" s="4" t="s">
        <v>10935</v>
      </c>
      <c r="B8695" s="4" t="s">
        <v>10939</v>
      </c>
      <c r="C8695" s="5" t="str">
        <f>IFERROR(__xludf.DUMMYFUNCTION("GOOGLETRANSLATE(B8695,""en"",""de"")"),"Ein Mädchen schaut durch eine Strandtasche.")</f>
        <v>Ein Mädchen schaut durch eine Strandtasche.</v>
      </c>
    </row>
    <row r="8696">
      <c r="A8696" s="4" t="s">
        <v>10935</v>
      </c>
      <c r="B8696" s="4" t="s">
        <v>10940</v>
      </c>
      <c r="C8696" s="5" t="str">
        <f>IFERROR(__xludf.DUMMYFUNCTION("GOOGLETRANSLATE(B8696,""en"",""de"")"),"Das Mädchen findet, wonach sie sucht.")</f>
        <v>Das Mädchen findet, wonach sie sucht.</v>
      </c>
    </row>
    <row r="8697">
      <c r="A8697" s="4" t="s">
        <v>10941</v>
      </c>
      <c r="B8697" s="4" t="s">
        <v>10942</v>
      </c>
      <c r="C8697" s="5" t="str">
        <f>IFERROR(__xludf.DUMMYFUNCTION("GOOGLETRANSLATE(B8697,""en"",""de"")"),"Wir sehen zwei Dachbilder nebeneinander.")</f>
        <v>Wir sehen zwei Dachbilder nebeneinander.</v>
      </c>
    </row>
    <row r="8698">
      <c r="A8698" s="4" t="s">
        <v>10941</v>
      </c>
      <c r="B8698" s="4" t="s">
        <v>10943</v>
      </c>
      <c r="C8698" s="5" t="str">
        <f>IFERROR(__xludf.DUMMYFUNCTION("GOOGLETRANSLATE(B8698,""en"",""de"")"),"Wir sehen dann Bilder von einem Dach.")</f>
        <v>Wir sehen dann Bilder von einem Dach.</v>
      </c>
    </row>
    <row r="8699">
      <c r="A8699" s="4" t="s">
        <v>10941</v>
      </c>
      <c r="B8699" s="4" t="s">
        <v>10944</v>
      </c>
      <c r="C8699" s="5" t="str">
        <f>IFERROR(__xludf.DUMMYFUNCTION("GOOGLETRANSLATE(B8699,""en"",""de"")"),"Wir sehen das Dach aus der Nähe und sehen, dass Moos darauf wachsen.")</f>
        <v>Wir sehen das Dach aus der Nähe und sehen, dass Moos darauf wachsen.</v>
      </c>
    </row>
    <row r="8700">
      <c r="A8700" s="4" t="s">
        <v>10941</v>
      </c>
      <c r="B8700" s="4" t="s">
        <v>10945</v>
      </c>
      <c r="C8700" s="5" t="str">
        <f>IFERROR(__xludf.DUMMYFUNCTION("GOOGLETRANSLATE(B8700,""en"",""de"")"),"Wir sehen die Isolierung und das Dach, während es installiert wird.")</f>
        <v>Wir sehen die Isolierung und das Dach, während es installiert wird.</v>
      </c>
    </row>
    <row r="8701">
      <c r="A8701" s="4" t="s">
        <v>10941</v>
      </c>
      <c r="B8701" s="4" t="s">
        <v>10946</v>
      </c>
      <c r="C8701" s="5" t="str">
        <f>IFERROR(__xludf.DUMMYFUNCTION("GOOGLETRANSLATE(B8701,""en"",""de"")"),"Ein Mann schraubt das Dach an Ort und Stelle.")</f>
        <v>Ein Mann schraubt das Dach an Ort und Stelle.</v>
      </c>
    </row>
    <row r="8702">
      <c r="A8702" s="4" t="s">
        <v>10941</v>
      </c>
      <c r="B8702" s="4" t="s">
        <v>10947</v>
      </c>
      <c r="C8702" s="5" t="str">
        <f>IFERROR(__xludf.DUMMYFUNCTION("GOOGLETRANSLATE(B8702,""en"",""de"")"),"Wir sehen das fertige neue Dach.")</f>
        <v>Wir sehen das fertige neue Dach.</v>
      </c>
    </row>
    <row r="8703">
      <c r="A8703" s="4" t="s">
        <v>10941</v>
      </c>
      <c r="B8703" s="4" t="s">
        <v>10948</v>
      </c>
      <c r="C8703" s="5" t="str">
        <f>IFERROR(__xludf.DUMMYFUNCTION("GOOGLETRANSLATE(B8703,""en"",""de"")"),"Wir sehen die Endbildschirm -Credits.")</f>
        <v>Wir sehen die Endbildschirm -Credits.</v>
      </c>
    </row>
    <row r="8704">
      <c r="A8704" s="4" t="s">
        <v>10949</v>
      </c>
      <c r="B8704" s="4" t="s">
        <v>10950</v>
      </c>
      <c r="C8704" s="5" t="str">
        <f>IFERROR(__xludf.DUMMYFUNCTION("GOOGLETRANSLATE(B8704,""en"",""de"")"),"Eine Person steht auf einem Trampolin über einem Schwimmbad auf den Händen, dann dreht der Junge in die Luft und taucht ins Wasser ein.")</f>
        <v>Eine Person steht auf einem Trampolin über einem Schwimmbad auf den Händen, dann dreht der Junge in die Luft und taucht ins Wasser ein.</v>
      </c>
    </row>
    <row r="8705">
      <c r="A8705" s="4" t="s">
        <v>10949</v>
      </c>
      <c r="B8705" s="4" t="s">
        <v>10951</v>
      </c>
      <c r="C8705" s="5" t="str">
        <f>IFERROR(__xludf.DUMMYFUNCTION("GOOGLETRANSLATE(B8705,""en"",""de"")"),"Danach steht der Junge auf dem Trampolin mit dem Rücken in den Pool, springt dann, flippt und tauche ins Wasser.")</f>
        <v>Danach steht der Junge auf dem Trampolin mit dem Rücken in den Pool, springt dann, flippt und tauche ins Wasser.</v>
      </c>
    </row>
    <row r="8706">
      <c r="A8706" s="4" t="s">
        <v>10949</v>
      </c>
      <c r="B8706" s="4" t="s">
        <v>10952</v>
      </c>
      <c r="C8706" s="5" t="str">
        <f>IFERROR(__xludf.DUMMYFUNCTION("GOOGLETRANSLATE(B8706,""en"",""de"")"),"Jetzt steht der Junge auf dem Trampolin mit Blick auf den Pool, springt dann, flieht und tauche ins Wasser, dann tun Sie das Gleiche, aber diesmal mit der Rückseite gegenüber dem Pool.")</f>
        <v>Jetzt steht der Junge auf dem Trampolin mit Blick auf den Pool, springt dann, flieht und tauche ins Wasser, dann tun Sie das Gleiche, aber diesmal mit der Rückseite gegenüber dem Pool.</v>
      </c>
    </row>
    <row r="8707">
      <c r="A8707" s="4" t="s">
        <v>10949</v>
      </c>
      <c r="B8707" s="4" t="s">
        <v>10953</v>
      </c>
      <c r="C8707" s="5" t="str">
        <f>IFERROR(__xludf.DUMMYFUNCTION("GOOGLETRANSLATE(B8707,""en"",""de"")"),"Am Ende tritt der Junge in das Trampolin in die Luft ein und dreht sich in die Luft, dann steht er auf dem Trampolin und flippt und beendet das Tauchen im Wasser.")</f>
        <v>Am Ende tritt der Junge in das Trampolin in die Luft ein und dreht sich in die Luft, dann steht er auf dem Trampolin und flippt und beendet das Tauchen im Wasser.</v>
      </c>
    </row>
    <row r="8708">
      <c r="A8708" s="4" t="s">
        <v>10954</v>
      </c>
      <c r="B8708" s="4" t="s">
        <v>10955</v>
      </c>
      <c r="C8708" s="5" t="str">
        <f>IFERROR(__xludf.DUMMYFUNCTION("GOOGLETRANSLATE(B8708,""en"",""de"")"),"Ein Mann spricht mit der Kamera und führt zu verschiedenen Bildern des Sprechens und des Rauchens.")</f>
        <v>Ein Mann spricht mit der Kamera und führt zu verschiedenen Bildern des Sprechens und des Rauchens.</v>
      </c>
    </row>
    <row r="8709">
      <c r="A8709" s="4" t="s">
        <v>10954</v>
      </c>
      <c r="B8709" s="4" t="s">
        <v>10956</v>
      </c>
      <c r="C8709" s="5" t="str">
        <f>IFERROR(__xludf.DUMMYFUNCTION("GOOGLETRANSLATE(B8709,""en"",""de"")"),"Der Mann spricht weiter und zeigt zeitweise Bilder von Rauchen und Zigaretten in der Nähe.")</f>
        <v>Der Mann spricht weiter und zeigt zeitweise Bilder von Rauchen und Zigaretten in der Nähe.</v>
      </c>
    </row>
    <row r="8710">
      <c r="A8710" s="4" t="s">
        <v>10957</v>
      </c>
      <c r="B8710" s="4" t="s">
        <v>10958</v>
      </c>
      <c r="C8710" s="5" t="str">
        <f>IFERROR(__xludf.DUMMYFUNCTION("GOOGLETRANSLATE(B8710,""en"",""de"")"),"Ein Mann steht an seinem eisgefahrenen Auto.")</f>
        <v>Ein Mann steht an seinem eisgefahrenen Auto.</v>
      </c>
    </row>
    <row r="8711">
      <c r="A8711" s="4" t="s">
        <v>10957</v>
      </c>
      <c r="B8711" s="4" t="s">
        <v>10959</v>
      </c>
      <c r="C8711" s="5" t="str">
        <f>IFERROR(__xludf.DUMMYFUNCTION("GOOGLETRANSLATE(B8711,""en"",""de"")"),"Er retelt das gesamte Blatt auf den Boden und beobachtet, wie es zerbricht.")</f>
        <v>Er retelt das gesamte Blatt auf den Boden und beobachtet, wie es zerbricht.</v>
      </c>
    </row>
    <row r="8712">
      <c r="A8712" s="4" t="s">
        <v>10960</v>
      </c>
      <c r="B8712" s="4" t="s">
        <v>10961</v>
      </c>
      <c r="C8712" s="5" t="str">
        <f>IFERROR(__xludf.DUMMYFUNCTION("GOOGLETRANSLATE(B8712,""en"",""de"")"),"Ein Turner führt in einem professionellen Sportveranstaltungen mit einem Publikum in den Tribünen eine Balance Beam -Gymnastik -Routine durch.")</f>
        <v>Ein Turner führt in einem professionellen Sportveranstaltungen mit einem Publikum in den Tribünen eine Balance Beam -Gymnastik -Routine durch.</v>
      </c>
    </row>
    <row r="8713">
      <c r="A8713" s="4" t="s">
        <v>10960</v>
      </c>
      <c r="B8713" s="4" t="s">
        <v>10962</v>
      </c>
      <c r="C8713" s="5" t="str">
        <f>IFERROR(__xludf.DUMMYFUNCTION("GOOGLETRANSLATE(B8713,""en"",""de"")"),"Ein Mädchen steht vor einem Balancestrahl in einem Turner -Outfit und springt auf den Strahl, wo sie beginnt, eine Gymnastikroutine auf dem Balancestrahl auszuführen.")</f>
        <v>Ein Mädchen steht vor einem Balancestrahl in einem Turner -Outfit und springt auf den Strahl, wo sie beginnt, eine Gymnastikroutine auf dem Balancestrahl auszuführen.</v>
      </c>
    </row>
    <row r="8714">
      <c r="A8714" s="4" t="s">
        <v>10960</v>
      </c>
      <c r="B8714" s="4" t="s">
        <v>10963</v>
      </c>
      <c r="C8714" s="5" t="str">
        <f>IFERROR(__xludf.DUMMYFUNCTION("GOOGLETRANSLATE(B8714,""en"",""de"")"),"Das Mädchen steht auf dem Strahl und führt Rückenflips auf dem Strahl durch, bevor sie einen letzten Rückenflip von dem Strahl landet, wo sie auf einer Matte landet und die Gegend vor einem Publikum in Tribünen verlässt.")</f>
        <v>Das Mädchen steht auf dem Strahl und führt Rückenflips auf dem Strahl durch, bevor sie einen letzten Rückenflip von dem Strahl landet, wo sie auf einer Matte landet und die Gegend vor einem Publikum in Tribünen verlässt.</v>
      </c>
    </row>
    <row r="8715">
      <c r="A8715" s="4" t="s">
        <v>10964</v>
      </c>
      <c r="B8715" s="4" t="s">
        <v>10965</v>
      </c>
      <c r="C8715" s="5" t="str">
        <f>IFERROR(__xludf.DUMMYFUNCTION("GOOGLETRANSLATE(B8715,""en"",""de"")"),"Eine Frau spricht vor einem Platz in einem Basketball -Fitnessstudio.")</f>
        <v>Eine Frau spricht vor einem Platz in einem Basketball -Fitnessstudio.</v>
      </c>
    </row>
    <row r="8716">
      <c r="A8716" s="4" t="s">
        <v>10964</v>
      </c>
      <c r="B8716" s="4" t="s">
        <v>10966</v>
      </c>
      <c r="C8716" s="5" t="str">
        <f>IFERROR(__xludf.DUMMYFUNCTION("GOOGLETRANSLATE(B8716,""en"",""de"")"),"Sie ist eine Majorette, umdreht und wirft ihren Staffelstab in die Luft.")</f>
        <v>Sie ist eine Majorette, umdreht und wirft ihren Staffelstab in die Luft.</v>
      </c>
    </row>
    <row r="8717">
      <c r="A8717" s="4" t="s">
        <v>10964</v>
      </c>
      <c r="B8717" s="4" t="s">
        <v>10967</v>
      </c>
      <c r="C8717" s="5" t="str">
        <f>IFERROR(__xludf.DUMMYFUNCTION("GOOGLETRANSLATE(B8717,""en"",""de"")"),"Die Menge sieht zu, wie sie umdreht, wirft und dreht.")</f>
        <v>Die Menge sieht zu, wie sie umdreht, wirft und dreht.</v>
      </c>
    </row>
    <row r="8718">
      <c r="A8718" s="4" t="s">
        <v>10968</v>
      </c>
      <c r="B8718" s="4" t="s">
        <v>10969</v>
      </c>
      <c r="C8718" s="5" t="str">
        <f>IFERROR(__xludf.DUMMYFUNCTION("GOOGLETRANSLATE(B8718,""en"",""de"")"),"Mehrere Kurzclips spielen verschiedene Hockeybewegungen und die Namen der Bewegungen werden damit auf dem Bildschirm angezeigt.")</f>
        <v>Mehrere Kurzclips spielen verschiedene Hockeybewegungen und die Namen der Bewegungen werden damit auf dem Bildschirm angezeigt.</v>
      </c>
    </row>
    <row r="8719">
      <c r="A8719" s="4" t="s">
        <v>10968</v>
      </c>
      <c r="B8719" s="4" t="s">
        <v>10970</v>
      </c>
      <c r="C8719" s="5" t="str">
        <f>IFERROR(__xludf.DUMMYFUNCTION("GOOGLETRANSLATE(B8719,""en"",""de"")"),"Wenn die Clips im Intro -Bildschirm mit einer Cloud und dem Hockeyboden als Hintergrund, dem NHL -Logo und den Wörtern ""Hockeyfähigkeiten"" erscheint.")</f>
        <v>Wenn die Clips im Intro -Bildschirm mit einer Cloud und dem Hockeyboden als Hintergrund, dem NHL -Logo und den Wörtern "Hockeyfähigkeiten" erscheint.</v>
      </c>
    </row>
    <row r="8720">
      <c r="A8720" s="4" t="s">
        <v>10968</v>
      </c>
      <c r="B8720" s="4" t="s">
        <v>10971</v>
      </c>
      <c r="C8720" s="5" t="str">
        <f>IFERROR(__xludf.DUMMYFUNCTION("GOOGLETRANSLATE(B8720,""en"",""de"")"),"Eine Gruppe von Menschen, die all ihre Hockeyausrüstung tragen, stehen auf dem Boden, während der Blick auf einen Mann, der ohne Helm auf dem Kopf steht und spricht, und die Worte auf dem Bildschirm sagen, sein Name ist ""Kevin Weekes"".")</f>
        <v>Eine Gruppe von Menschen, die all ihre Hockeyausrüstung tragen, stehen auf dem Boden, während der Blick auf einen Mann, der ohne Helm auf dem Kopf steht und spricht, und die Worte auf dem Bildschirm sagen, sein Name ist "Kevin Weekes".</v>
      </c>
    </row>
    <row r="8721">
      <c r="A8721" s="4" t="s">
        <v>10968</v>
      </c>
      <c r="B8721" s="4" t="s">
        <v>10972</v>
      </c>
      <c r="C8721" s="5" t="str">
        <f>IFERROR(__xludf.DUMMYFUNCTION("GOOGLETRANSLATE(B8721,""en"",""de"")"),"Der Mann beginnt, in der Nähe des Ziels mehrere verschiedene Bewegungen zu demonstrieren, und er spricht weiterhin alle Demonstrationen, während der Rest der Menschen ihn beobachtet.")</f>
        <v>Der Mann beginnt, in der Nähe des Ziels mehrere verschiedene Bewegungen zu demonstrieren, und er spricht weiterhin alle Demonstrationen, während der Rest der Menschen ihn beobachtet.</v>
      </c>
    </row>
    <row r="8722">
      <c r="A8722" s="4" t="s">
        <v>10968</v>
      </c>
      <c r="B8722" s="4" t="s">
        <v>10973</v>
      </c>
      <c r="C8722" s="5" t="str">
        <f>IFERROR(__xludf.DUMMYFUNCTION("GOOGLETRANSLATE(B8722,""en"",""de"")"),"Wenn der Mann fertig ist, zu reden und andere Leute in der Gruppe zu demonstrieren, gehen sie separat zum Ziel und sie tun jeweils das, was sie dem Menschen demonstriert haben.")</f>
        <v>Wenn der Mann fertig ist, zu reden und andere Leute in der Gruppe zu demonstrieren, gehen sie separat zum Ziel und sie tun jeweils das, was sie dem Menschen demonstriert haben.</v>
      </c>
    </row>
    <row r="8723">
      <c r="A8723" s="4" t="s">
        <v>10968</v>
      </c>
      <c r="B8723" s="4" t="s">
        <v>10974</v>
      </c>
      <c r="C8723" s="5" t="str">
        <f>IFERROR(__xludf.DUMMYFUNCTION("GOOGLETRANSLATE(B8723,""en"",""de"")"),"Ein Bildschirm erscheint mit einem Hintergrund von Wolken oben und Hockeybahn unten mit dem Logo in der Mitte und den Wörtern ""Hockeyfähigkeiten"".")</f>
        <v>Ein Bildschirm erscheint mit einem Hintergrund von Wolken oben und Hockeybahn unten mit dem Logo in der Mitte und den Wörtern "Hockeyfähigkeiten".</v>
      </c>
    </row>
    <row r="8724">
      <c r="A8724" s="4" t="s">
        <v>10975</v>
      </c>
      <c r="B8724" s="4" t="s">
        <v>10976</v>
      </c>
      <c r="C8724" s="5" t="str">
        <f>IFERROR(__xludf.DUMMYFUNCTION("GOOGLETRANSLATE(B8724,""en"",""de"")"),"Eine Frau zeigt ein Glas Honig.")</f>
        <v>Eine Frau zeigt ein Glas Honig.</v>
      </c>
    </row>
    <row r="8725">
      <c r="A8725" s="4" t="s">
        <v>10975</v>
      </c>
      <c r="B8725" s="4" t="s">
        <v>10977</v>
      </c>
      <c r="C8725" s="5" t="str">
        <f>IFERROR(__xludf.DUMMYFUNCTION("GOOGLETRANSLATE(B8725,""en"",""de"")"),"Sie zeigt die Flasche Honig sowie eine Wasserschale und ein Handtuch.")</f>
        <v>Sie zeigt die Flasche Honig sowie eine Wasserschale und ein Handtuch.</v>
      </c>
    </row>
    <row r="8726">
      <c r="A8726" s="4" t="s">
        <v>10975</v>
      </c>
      <c r="B8726" s="4" t="s">
        <v>10978</v>
      </c>
      <c r="C8726" s="5" t="str">
        <f>IFERROR(__xludf.DUMMYFUNCTION("GOOGLETRANSLATE(B8726,""en"",""de"")"),"Sie zeigt, dass ihre Haare zurückgezogen sind.")</f>
        <v>Sie zeigt, dass ihre Haare zurückgezogen sind.</v>
      </c>
    </row>
    <row r="8727">
      <c r="A8727" s="4" t="s">
        <v>10975</v>
      </c>
      <c r="B8727" s="4" t="s">
        <v>10979</v>
      </c>
      <c r="C8727" s="5" t="str">
        <f>IFERROR(__xludf.DUMMYFUNCTION("GOOGLETRANSLATE(B8727,""en"",""de"")"),"Sie öffnet die Flasche Honig und latert sie über ihr Gesicht.")</f>
        <v>Sie öffnet die Flasche Honig und latert sie über ihr Gesicht.</v>
      </c>
    </row>
    <row r="8728">
      <c r="A8728" s="4" t="s">
        <v>10975</v>
      </c>
      <c r="B8728" s="4" t="s">
        <v>10980</v>
      </c>
      <c r="C8728" s="5" t="str">
        <f>IFERROR(__xludf.DUMMYFUNCTION("GOOGLETRANSLATE(B8728,""en"",""de"")"),"Sie hält eine Katze hoch.")</f>
        <v>Sie hält eine Katze hoch.</v>
      </c>
    </row>
    <row r="8729">
      <c r="A8729" s="4" t="s">
        <v>10975</v>
      </c>
      <c r="B8729" s="4" t="s">
        <v>10981</v>
      </c>
      <c r="C8729" s="5" t="str">
        <f>IFERROR(__xludf.DUMMYFUNCTION("GOOGLETRANSLATE(B8729,""en"",""de"")"),"Sie kehrt zurück, um ihr Gesicht zu schrägen und wartet in Erwartung.")</f>
        <v>Sie kehrt zurück, um ihr Gesicht zu schrägen und wartet in Erwartung.</v>
      </c>
    </row>
    <row r="8730">
      <c r="A8730" s="4" t="s">
        <v>10975</v>
      </c>
      <c r="B8730" s="4" t="s">
        <v>10982</v>
      </c>
      <c r="C8730" s="5" t="str">
        <f>IFERROR(__xludf.DUMMYFUNCTION("GOOGLETRANSLATE(B8730,""en"",""de"")"),"Während sie wartet, spielt sie ein paar Instrumente und mit ihrer Katze.")</f>
        <v>Während sie wartet, spielt sie ein paar Instrumente und mit ihrer Katze.</v>
      </c>
    </row>
    <row r="8731">
      <c r="A8731" s="4" t="s">
        <v>10975</v>
      </c>
      <c r="B8731" s="4" t="s">
        <v>10983</v>
      </c>
      <c r="C8731" s="5" t="str">
        <f>IFERROR(__xludf.DUMMYFUNCTION("GOOGLETRANSLATE(B8731,""en"",""de"")"),"Schließlich spült sie ihr Gesicht mit Wasser und trocknet ihr Gesicht mit einem Handtuch ab.")</f>
        <v>Schließlich spült sie ihr Gesicht mit Wasser und trocknet ihr Gesicht mit einem Handtuch ab.</v>
      </c>
    </row>
    <row r="8732">
      <c r="A8732" s="4" t="s">
        <v>10975</v>
      </c>
      <c r="B8732" s="4" t="s">
        <v>10984</v>
      </c>
      <c r="C8732" s="5" t="str">
        <f>IFERROR(__xludf.DUMMYFUNCTION("GOOGLETRANSLATE(B8732,""en"",""de"")"),"Sie zeigt stolz ihre Flasche Honig.")</f>
        <v>Sie zeigt stolz ihre Flasche Honig.</v>
      </c>
    </row>
    <row r="8733">
      <c r="A8733" s="4" t="s">
        <v>10985</v>
      </c>
      <c r="B8733" s="4" t="s">
        <v>10986</v>
      </c>
      <c r="C8733" s="5" t="str">
        <f>IFERROR(__xludf.DUMMYFUNCTION("GOOGLETRANSLATE(B8733,""en"",""de"")"),"Ein Turner steht in der Nähe einer Bar mit den Händen in der Luft.")</f>
        <v>Ein Turner steht in der Nähe einer Bar mit den Händen in der Luft.</v>
      </c>
    </row>
    <row r="8734">
      <c r="A8734" s="4" t="s">
        <v>10985</v>
      </c>
      <c r="B8734" s="4" t="s">
        <v>10987</v>
      </c>
      <c r="C8734" s="5" t="str">
        <f>IFERROR(__xludf.DUMMYFUNCTION("GOOGLETRANSLATE(B8734,""en"",""de"")"),"Das Mädchen steigt in die Bar und tritt auf.")</f>
        <v>Das Mädchen steigt in die Bar und tritt auf.</v>
      </c>
    </row>
    <row r="8735">
      <c r="A8735" s="4" t="s">
        <v>10985</v>
      </c>
      <c r="B8735" s="4" t="s">
        <v>10988</v>
      </c>
      <c r="C8735" s="5" t="str">
        <f>IFERROR(__xludf.DUMMYFUNCTION("GOOGLETRANSLATE(B8735,""en"",""de"")"),"Das Mädchen dreht sich auf die Bar.")</f>
        <v>Das Mädchen dreht sich auf die Bar.</v>
      </c>
    </row>
    <row r="8736">
      <c r="A8736" s="4" t="s">
        <v>10985</v>
      </c>
      <c r="B8736" s="4" t="s">
        <v>10989</v>
      </c>
      <c r="C8736" s="5" t="str">
        <f>IFERROR(__xludf.DUMMYFUNCTION("GOOGLETRANSLATE(B8736,""en"",""de"")"),"Das Mädchen führt 2 Flips durch und fällt fast von der Bar.")</f>
        <v>Das Mädchen führt 2 Flips durch und fällt fast von der Bar.</v>
      </c>
    </row>
    <row r="8737">
      <c r="A8737" s="4" t="s">
        <v>10985</v>
      </c>
      <c r="B8737" s="4" t="s">
        <v>10990</v>
      </c>
      <c r="C8737" s="5" t="str">
        <f>IFERROR(__xludf.DUMMYFUNCTION("GOOGLETRANSLATE(B8737,""en"",""de"")"),"Das Mädchen macht 2 perfekte Flips.")</f>
        <v>Das Mädchen macht 2 perfekte Flips.</v>
      </c>
    </row>
    <row r="8738">
      <c r="A8738" s="4" t="s">
        <v>10985</v>
      </c>
      <c r="B8738" s="4" t="s">
        <v>10991</v>
      </c>
      <c r="C8738" s="5" t="str">
        <f>IFERROR(__xludf.DUMMYFUNCTION("GOOGLETRANSLATE(B8738,""en"",""de"")"),"Die Mädchen fliehen, rennt, flips und steigt ab.")</f>
        <v>Die Mädchen fliehen, rennt, flips und steigt ab.</v>
      </c>
    </row>
    <row r="8739">
      <c r="A8739" s="4" t="s">
        <v>10985</v>
      </c>
      <c r="B8739" s="4" t="s">
        <v>10992</v>
      </c>
      <c r="C8739" s="5" t="str">
        <f>IFERROR(__xludf.DUMMYFUNCTION("GOOGLETRANSLATE(B8739,""en"",""de"")"),"Die Wolke klatscht, als sie weggeht.")</f>
        <v>Die Wolke klatscht, als sie weggeht.</v>
      </c>
    </row>
    <row r="8740">
      <c r="A8740" s="4" t="s">
        <v>10993</v>
      </c>
      <c r="B8740" s="4" t="s">
        <v>10994</v>
      </c>
      <c r="C8740" s="5" t="str">
        <f>IFERROR(__xludf.DUMMYFUNCTION("GOOGLETRANSLATE(B8740,""en"",""de"")"),"Eine blonde Frau liegt auf einem Tisch, da ein Tätowierer ein Design auf ihr Becken legt.")</f>
        <v>Eine blonde Frau liegt auf einem Tisch, da ein Tätowierer ein Design auf ihr Becken legt.</v>
      </c>
    </row>
    <row r="8741">
      <c r="A8741" s="4" t="s">
        <v>10993</v>
      </c>
      <c r="B8741" s="4" t="s">
        <v>10995</v>
      </c>
      <c r="C8741" s="5" t="str">
        <f>IFERROR(__xludf.DUMMYFUNCTION("GOOGLETRANSLATE(B8741,""en"",""de"")"),"Sie krampft vor Schmerzen, während er arbeitet.")</f>
        <v>Sie krampft vor Schmerzen, während er arbeitet.</v>
      </c>
    </row>
    <row r="8742">
      <c r="A8742" s="4" t="s">
        <v>10993</v>
      </c>
      <c r="B8742" s="4" t="s">
        <v>10996</v>
      </c>
      <c r="C8742" s="5" t="str">
        <f>IFERROR(__xludf.DUMMYFUNCTION("GOOGLETRANSLATE(B8742,""en"",""de"")"),"Wir sehen eine vorübergehende Nahaufnahme ihres häufigen Bauches, während er fortfährt.")</f>
        <v>Wir sehen eine vorübergehende Nahaufnahme ihres häufigen Bauches, während er fortfährt.</v>
      </c>
    </row>
    <row r="8743">
      <c r="A8743" s="4" t="s">
        <v>10997</v>
      </c>
      <c r="B8743" s="4" t="s">
        <v>10998</v>
      </c>
      <c r="C8743" s="5" t="str">
        <f>IFERROR(__xludf.DUMMYFUNCTION("GOOGLETRANSLATE(B8743,""en"",""de"")"),"Der Text wird auf dem Bildschirm angezeigt, gefolgt von einem Mann, der in Schmutz niederkniet.")</f>
        <v>Der Text wird auf dem Bildschirm angezeigt, gefolgt von einem Mann, der in Schmutz niederkniet.</v>
      </c>
    </row>
    <row r="8744">
      <c r="A8744" s="4" t="s">
        <v>10997</v>
      </c>
      <c r="B8744" s="4" t="s">
        <v>10999</v>
      </c>
      <c r="C8744" s="5" t="str">
        <f>IFERROR(__xludf.DUMMYFUNCTION("GOOGLETRANSLATE(B8744,""en"",""de"")"),"Der Mann benutzt eine Taschenlampe, um einen Funken auf der Maschine vor ihm zu beleuchten.")</f>
        <v>Der Mann benutzt eine Taschenlampe, um einen Funken auf der Maschine vor ihm zu beleuchten.</v>
      </c>
    </row>
    <row r="8745">
      <c r="A8745" s="4" t="s">
        <v>10997</v>
      </c>
      <c r="B8745" s="4" t="s">
        <v>11000</v>
      </c>
      <c r="C8745" s="5" t="str">
        <f>IFERROR(__xludf.DUMMYFUNCTION("GOOGLETRANSLATE(B8745,""en"",""de"")"),"Er hält an, um auf die Kamera zurückzublicken.")</f>
        <v>Er hält an, um auf die Kamera zurückzublicken.</v>
      </c>
    </row>
    <row r="8746">
      <c r="A8746" s="4" t="s">
        <v>11001</v>
      </c>
      <c r="B8746" s="4" t="s">
        <v>11002</v>
      </c>
      <c r="C8746" s="5" t="str">
        <f>IFERROR(__xludf.DUMMYFUNCTION("GOOGLETRANSLATE(B8746,""en"",""de"")"),"Ein Dart -Board wird gegen eine Wand angezeigt.")</f>
        <v>Ein Dart -Board wird gegen eine Wand angezeigt.</v>
      </c>
    </row>
    <row r="8747">
      <c r="A8747" s="4" t="s">
        <v>11001</v>
      </c>
      <c r="B8747" s="4" t="s">
        <v>11003</v>
      </c>
      <c r="C8747" s="5" t="str">
        <f>IFERROR(__xludf.DUMMYFUNCTION("GOOGLETRANSLATE(B8747,""en"",""de"")"),"Ein Mann hebt seinen Arm in Zeitlupe und wirft einen Dart nacheinander auf das Brett.")</f>
        <v>Ein Mann hebt seinen Arm in Zeitlupe und wirft einen Dart nacheinander auf das Brett.</v>
      </c>
    </row>
    <row r="8748">
      <c r="A8748" s="4" t="s">
        <v>11001</v>
      </c>
      <c r="B8748" s="4" t="s">
        <v>11004</v>
      </c>
      <c r="C8748" s="5" t="str">
        <f>IFERROR(__xludf.DUMMYFUNCTION("GOOGLETRANSLATE(B8748,""en"",""de"")"),"Er geht zum Vorstand und greift danach.")</f>
        <v>Er geht zum Vorstand und greift danach.</v>
      </c>
    </row>
    <row r="8749">
      <c r="A8749" s="4" t="s">
        <v>11005</v>
      </c>
      <c r="B8749" s="4" t="s">
        <v>11006</v>
      </c>
      <c r="C8749" s="5" t="str">
        <f>IFERROR(__xludf.DUMMYFUNCTION("GOOGLETRANSLATE(B8749,""en"",""de"")"),"Ein rotes Auto wird mit den Wörtern eindeutig gezeigt.")</f>
        <v>Ein rotes Auto wird mit den Wörtern eindeutig gezeigt.</v>
      </c>
    </row>
    <row r="8750">
      <c r="A8750" s="4" t="s">
        <v>11005</v>
      </c>
      <c r="B8750" s="4" t="s">
        <v>11007</v>
      </c>
      <c r="C8750" s="5" t="str">
        <f>IFERROR(__xludf.DUMMYFUNCTION("GOOGLETRANSLATE(B8750,""en"",""de"")"),"Männer werden in einer Autogarage gezeigt, die mit einem Schwamm ein Auto hinunterfiefen.")</f>
        <v>Männer werden in einer Autogarage gezeigt, die mit einem Schwamm ein Auto hinunterfiefen.</v>
      </c>
    </row>
    <row r="8751">
      <c r="A8751" s="4" t="s">
        <v>11005</v>
      </c>
      <c r="B8751" s="4" t="s">
        <v>11008</v>
      </c>
      <c r="C8751" s="5" t="str">
        <f>IFERROR(__xludf.DUMMYFUNCTION("GOOGLETRANSLATE(B8751,""en"",""de"")"),"Sie werden dann mit einem Sprühgerät gesehen, um die Reifen zu reinigen und den Rückstand vom Fahrzeug zu sprühen.")</f>
        <v>Sie werden dann mit einem Sprühgerät gesehen, um die Reifen zu reinigen und den Rückstand vom Fahrzeug zu sprühen.</v>
      </c>
    </row>
    <row r="8752">
      <c r="A8752" s="4" t="s">
        <v>11005</v>
      </c>
      <c r="B8752" s="4" t="s">
        <v>11009</v>
      </c>
      <c r="C8752" s="5" t="str">
        <f>IFERROR(__xludf.DUMMYFUNCTION("GOOGLETRANSLATE(B8752,""en"",""de"")"),"Sie verwenden Lappen, um es sauber zu wischen und das Innere des Autos zu detaillieren.")</f>
        <v>Sie verwenden Lappen, um es sauber zu wischen und das Innere des Autos zu detaillieren.</v>
      </c>
    </row>
    <row r="8753">
      <c r="A8753" s="4" t="s">
        <v>11010</v>
      </c>
      <c r="B8753" s="4" t="s">
        <v>11011</v>
      </c>
      <c r="C8753" s="5" t="str">
        <f>IFERROR(__xludf.DUMMYFUNCTION("GOOGLETRANSLATE(B8753,""en"",""de"")"),"Das Pinta -Ruderteam arbeitet zusammen, um das Weißwasser zu schaffen.")</f>
        <v>Das Pinta -Ruderteam arbeitet zusammen, um das Weißwasser zu schaffen.</v>
      </c>
    </row>
    <row r="8754">
      <c r="A8754" s="4" t="s">
        <v>11010</v>
      </c>
      <c r="B8754" s="4" t="s">
        <v>11012</v>
      </c>
      <c r="C8754" s="5" t="str">
        <f>IFERROR(__xludf.DUMMYFUNCTION("GOOGLETRANSLATE(B8754,""en"",""de"")"),"Sie haben einen erfrischenden Einbruch unter einem Wasserfall, um sich abzukühlen.")</f>
        <v>Sie haben einen erfrischenden Einbruch unter einem Wasserfall, um sich abzukühlen.</v>
      </c>
    </row>
    <row r="8755">
      <c r="A8755" s="4" t="s">
        <v>11010</v>
      </c>
      <c r="B8755" s="4" t="s">
        <v>11013</v>
      </c>
      <c r="C8755" s="5" t="str">
        <f>IFERROR(__xludf.DUMMYFUNCTION("GOOGLETRANSLATE(B8755,""en"",""de"")"),"Sie posieren zusammen mit anderen Sparren.")</f>
        <v>Sie posieren zusammen mit anderen Sparren.</v>
      </c>
    </row>
    <row r="8756">
      <c r="A8756" s="4" t="s">
        <v>11010</v>
      </c>
      <c r="B8756" s="4" t="s">
        <v>11014</v>
      </c>
      <c r="C8756" s="5" t="str">
        <f>IFERROR(__xludf.DUMMYFUNCTION("GOOGLETRANSLATE(B8756,""en"",""de"")"),"Ein Fall unter Wasser kann ein gruseliges Unterfangen sein.")</f>
        <v>Ein Fall unter Wasser kann ein gruseliges Unterfangen sein.</v>
      </c>
    </row>
    <row r="8757">
      <c r="A8757" s="4" t="s">
        <v>11010</v>
      </c>
      <c r="B8757" s="4" t="s">
        <v>11015</v>
      </c>
      <c r="C8757" s="5" t="str">
        <f>IFERROR(__xludf.DUMMYFUNCTION("GOOGLETRANSLATE(B8757,""en"",""de"")"),"Alles in allem macht es eine lustige und entspannende Zeit.")</f>
        <v>Alles in allem macht es eine lustige und entspannende Zeit.</v>
      </c>
    </row>
    <row r="8758">
      <c r="A8758" s="4" t="s">
        <v>11016</v>
      </c>
      <c r="B8758" s="4" t="s">
        <v>11017</v>
      </c>
      <c r="C8758" s="5" t="str">
        <f>IFERROR(__xludf.DUMMYFUNCTION("GOOGLETRANSLATE(B8758,""en"",""de"")"),"Zwei Männer gehen in der Straße und halten eine Schachtel und versammeln dann einen Fußballtisch.")</f>
        <v>Zwei Männer gehen in der Straße und halten eine Schachtel und versammeln dann einen Fußballtisch.</v>
      </c>
    </row>
    <row r="8759">
      <c r="A8759" s="4" t="s">
        <v>11016</v>
      </c>
      <c r="B8759" s="4" t="s">
        <v>11018</v>
      </c>
      <c r="C8759" s="5" t="str">
        <f>IFERROR(__xludf.DUMMYFUNCTION("GOOGLETRANSLATE(B8759,""en"",""de"")"),"Die Leute spielen Fußballtisch auf der Straße.")</f>
        <v>Die Leute spielen Fußballtisch auf der Straße.</v>
      </c>
    </row>
    <row r="8760">
      <c r="A8760" s="4" t="s">
        <v>11016</v>
      </c>
      <c r="B8760" s="4" t="s">
        <v>11019</v>
      </c>
      <c r="C8760" s="5" t="str">
        <f>IFERROR(__xludf.DUMMYFUNCTION("GOOGLETRANSLATE(B8760,""en"",""de"")"),"Danach tragen die Männer den Tisch und betreten einen Zug, in dem sie weiter spielen.")</f>
        <v>Danach tragen die Männer den Tisch und betreten einen Zug, in dem sie weiter spielen.</v>
      </c>
    </row>
    <row r="8761">
      <c r="A8761" s="4" t="s">
        <v>11016</v>
      </c>
      <c r="B8761" s="4" t="s">
        <v>11020</v>
      </c>
      <c r="C8761" s="5" t="str">
        <f>IFERROR(__xludf.DUMMYFUNCTION("GOOGLETRANSLATE(B8761,""en"",""de"")"),"Nachdem der Mann den Fußballtisch zu einem Park und an anderen Orten getragen hat, an denen die Leute ihn spielen und malen.")</f>
        <v>Nachdem der Mann den Fußballtisch zu einem Park und an anderen Orten getragen hat, an denen die Leute ihn spielen und malen.</v>
      </c>
    </row>
    <row r="8762">
      <c r="A8762" s="4" t="s">
        <v>11021</v>
      </c>
      <c r="B8762" s="4" t="s">
        <v>11022</v>
      </c>
      <c r="C8762" s="5" t="str">
        <f>IFERROR(__xludf.DUMMYFUNCTION("GOOGLETRANSLATE(B8762,""en"",""de"")"),"Eine Frau zeigt eine Jacke an, gefolgt von ihren Schnittteilen der Weste und hält ein Eisen hoch.")</f>
        <v>Eine Frau zeigt eine Jacke an, gefolgt von ihren Schnittteilen der Weste und hält ein Eisen hoch.</v>
      </c>
    </row>
    <row r="8763">
      <c r="A8763" s="4" t="s">
        <v>11021</v>
      </c>
      <c r="B8763" s="4" t="s">
        <v>11023</v>
      </c>
      <c r="C8763" s="5" t="str">
        <f>IFERROR(__xludf.DUMMYFUNCTION("GOOGLETRANSLATE(B8763,""en"",""de"")"),"Sie feiern dann die Hemden und endet, indem sie die Weste anzieht.")</f>
        <v>Sie feiern dann die Hemden und endet, indem sie die Weste anzieht.</v>
      </c>
    </row>
    <row r="8764">
      <c r="A8764" s="4" t="s">
        <v>11024</v>
      </c>
      <c r="B8764" s="4" t="s">
        <v>11025</v>
      </c>
      <c r="C8764" s="5" t="str">
        <f>IFERROR(__xludf.DUMMYFUNCTION("GOOGLETRANSLATE(B8764,""en"",""de"")"),"Ein Mann in einem schwarzen Smoking spricht mit der Kamera.")</f>
        <v>Ein Mann in einem schwarzen Smoking spricht mit der Kamera.</v>
      </c>
    </row>
    <row r="8765">
      <c r="A8765" s="4" t="s">
        <v>11024</v>
      </c>
      <c r="B8765" s="4" t="s">
        <v>11026</v>
      </c>
      <c r="C8765" s="5" t="str">
        <f>IFERROR(__xludf.DUMMYFUNCTION("GOOGLETRANSLATE(B8765,""en"",""de"")"),"Eine Person geht im Hintergrund vorbei.")</f>
        <v>Eine Person geht im Hintergrund vorbei.</v>
      </c>
    </row>
    <row r="8766">
      <c r="A8766" s="4" t="s">
        <v>11024</v>
      </c>
      <c r="B8766" s="4" t="s">
        <v>11027</v>
      </c>
      <c r="C8766" s="5" t="str">
        <f>IFERROR(__xludf.DUMMYFUNCTION("GOOGLETRANSLATE(B8766,""en"",""de"")"),"Eine Gruppe von Menschen geht im Hintergrund vorbei.")</f>
        <v>Eine Gruppe von Menschen geht im Hintergrund vorbei.</v>
      </c>
    </row>
    <row r="8767">
      <c r="A8767" s="4" t="s">
        <v>11024</v>
      </c>
      <c r="B8767" s="4" t="s">
        <v>11028</v>
      </c>
      <c r="C8767" s="5" t="str">
        <f>IFERROR(__xludf.DUMMYFUNCTION("GOOGLETRANSLATE(B8767,""en"",""de"")"),"Wir sehen, dass ein Pokerspiel gespielt wird.")</f>
        <v>Wir sehen, dass ein Pokerspiel gespielt wird.</v>
      </c>
    </row>
    <row r="8768">
      <c r="A8768" s="4" t="s">
        <v>11024</v>
      </c>
      <c r="B8768" s="4" t="s">
        <v>11029</v>
      </c>
      <c r="C8768" s="5" t="str">
        <f>IFERROR(__xludf.DUMMYFUNCTION("GOOGLETRANSLATE(B8768,""en"",""de"")"),"Ein seltsamer Mann erscheint vor der Kamera.")</f>
        <v>Ein seltsamer Mann erscheint vor der Kamera.</v>
      </c>
    </row>
    <row r="8769">
      <c r="A8769" s="4" t="s">
        <v>11024</v>
      </c>
      <c r="B8769" s="4" t="s">
        <v>11030</v>
      </c>
      <c r="C8769" s="5" t="str">
        <f>IFERROR(__xludf.DUMMYFUNCTION("GOOGLETRANSLATE(B8769,""en"",""de"")"),"Wir sehen den ersten Mann, dann werden Karten behandelt und verblassen zu einem schwarzen Bildschirm.")</f>
        <v>Wir sehen den ersten Mann, dann werden Karten behandelt und verblassen zu einem schwarzen Bildschirm.</v>
      </c>
    </row>
    <row r="8770">
      <c r="A8770" s="4" t="s">
        <v>11031</v>
      </c>
      <c r="B8770" s="4" t="s">
        <v>11032</v>
      </c>
      <c r="C8770" s="5" t="str">
        <f>IFERROR(__xludf.DUMMYFUNCTION("GOOGLETRANSLATE(B8770,""en"",""de"")"),"Viele Menschen sitzen auf einem großen Feld auf Terrassen und die Leute gehen am Eingang eines großen Stadions.")</f>
        <v>Viele Menschen sitzen auf einem großen Feld auf Terrassen und die Leute gehen am Eingang eines großen Stadions.</v>
      </c>
    </row>
    <row r="8771">
      <c r="A8771" s="4" t="s">
        <v>11031</v>
      </c>
      <c r="B8771" s="4" t="s">
        <v>11033</v>
      </c>
      <c r="C8771" s="5" t="str">
        <f>IFERROR(__xludf.DUMMYFUNCTION("GOOGLETRANSLATE(B8771,""en"",""de"")"),"Männer stehen in einem sandigen Gebiet, der spazieren geht.")</f>
        <v>Männer stehen in einem sandigen Gebiet, der spazieren geht.</v>
      </c>
    </row>
    <row r="8772">
      <c r="A8772" s="4" t="s">
        <v>11031</v>
      </c>
      <c r="B8772" s="4" t="s">
        <v>11034</v>
      </c>
      <c r="C8772" s="5" t="str">
        <f>IFERROR(__xludf.DUMMYFUNCTION("GOOGLETRANSLATE(B8772,""en"",""de"")"),"Der Mensch spricht mit der Kamera im Sand.")</f>
        <v>Der Mensch spricht mit der Kamera im Sand.</v>
      </c>
    </row>
    <row r="8773">
      <c r="A8773" s="4" t="s">
        <v>11031</v>
      </c>
      <c r="B8773" s="4" t="s">
        <v>11035</v>
      </c>
      <c r="C8773" s="5" t="str">
        <f>IFERROR(__xludf.DUMMYFUNCTION("GOOGLETRANSLATE(B8773,""en"",""de"")"),"Männer stehen auf Motorrädern, die sich auf einen Motocross -Wettbewerb vorbereiten.")</f>
        <v>Männer stehen auf Motorrädern, die sich auf einen Motocross -Wettbewerb vorbereiten.</v>
      </c>
    </row>
    <row r="8774">
      <c r="A8774" s="4" t="s">
        <v>11031</v>
      </c>
      <c r="B8774" s="4" t="s">
        <v>11036</v>
      </c>
      <c r="C8774" s="5" t="str">
        <f>IFERROR(__xludf.DUMMYFUNCTION("GOOGLETRANSLATE(B8774,""en"",""de"")"),"Der Mensch spricht mit der Kamera und steht auf einem Podium.")</f>
        <v>Der Mensch spricht mit der Kamera und steht auf einem Podium.</v>
      </c>
    </row>
    <row r="8775">
      <c r="A8775" s="4" t="s">
        <v>11037</v>
      </c>
      <c r="B8775" s="4" t="s">
        <v>11038</v>
      </c>
      <c r="C8775" s="5" t="str">
        <f>IFERROR(__xludf.DUMMYFUNCTION("GOOGLETRANSLATE(B8775,""en"",""de"")"),"Ein paar Leute befinden sich in einem schwach beleuchteten Fitnessstudio.")</f>
        <v>Ein paar Leute befinden sich in einem schwach beleuchteten Fitnessstudio.</v>
      </c>
    </row>
    <row r="8776">
      <c r="A8776" s="4" t="s">
        <v>11037</v>
      </c>
      <c r="B8776" s="4" t="s">
        <v>11039</v>
      </c>
      <c r="C8776" s="5" t="str">
        <f>IFERROR(__xludf.DUMMYFUNCTION("GOOGLETRANSLATE(B8776,""en"",""de"")"),"Sie reiten liegende Fahrräder, während sie geführt werden.")</f>
        <v>Sie reiten liegende Fahrräder, während sie geführt werden.</v>
      </c>
    </row>
    <row r="8777">
      <c r="A8777" s="4" t="s">
        <v>11037</v>
      </c>
      <c r="B8777" s="4" t="s">
        <v>11040</v>
      </c>
      <c r="C8777" s="5" t="str">
        <f>IFERROR(__xludf.DUMMYFUNCTION("GOOGLETRANSLATE(B8777,""en"",""de"")"),"Sie klatschen in die Hände und treten schnell.")</f>
        <v>Sie klatschen in die Hände und treten schnell.</v>
      </c>
    </row>
    <row r="8778">
      <c r="A8778" s="4" t="s">
        <v>11041</v>
      </c>
      <c r="B8778" s="4" t="s">
        <v>11042</v>
      </c>
      <c r="C8778" s="5" t="str">
        <f>IFERROR(__xludf.DUMMYFUNCTION("GOOGLETRANSLATE(B8778,""en"",""de"")"),"Ein kleines Kind hält einen Stock und schlägt den Pinata mit dem Stock.")</f>
        <v>Ein kleines Kind hält einen Stock und schlägt den Pinata mit dem Stock.</v>
      </c>
    </row>
    <row r="8779">
      <c r="A8779" s="4" t="s">
        <v>11041</v>
      </c>
      <c r="B8779" s="4" t="s">
        <v>11043</v>
      </c>
      <c r="C8779" s="5" t="str">
        <f>IFERROR(__xludf.DUMMYFUNCTION("GOOGLETRANSLATE(B8779,""en"",""de"")"),"Ältere Frauen bringen die HR zurück und haben ihre Hand den Stock an ein anderes Kind.")</f>
        <v>Ältere Frauen bringen die HR zurück und haben ihre Hand den Stock an ein anderes Kind.</v>
      </c>
    </row>
    <row r="8780">
      <c r="A8780" s="4" t="s">
        <v>11044</v>
      </c>
      <c r="B8780" s="4" t="s">
        <v>11045</v>
      </c>
      <c r="C8780" s="5" t="str">
        <f>IFERROR(__xludf.DUMMYFUNCTION("GOOGLETRANSLATE(B8780,""en"",""de"")"),"Eine Frau steht auf und hält einen blauen Mopp.")</f>
        <v>Eine Frau steht auf und hält einen blauen Mopp.</v>
      </c>
    </row>
    <row r="8781">
      <c r="A8781" s="4" t="s">
        <v>11044</v>
      </c>
      <c r="B8781" s="4" t="s">
        <v>11046</v>
      </c>
      <c r="C8781" s="5" t="str">
        <f>IFERROR(__xludf.DUMMYFUNCTION("GOOGLETRANSLATE(B8781,""en"",""de"")"),"Sie zeigt den Boden des Mopps.")</f>
        <v>Sie zeigt den Boden des Mopps.</v>
      </c>
    </row>
    <row r="8782">
      <c r="A8782" s="4" t="s">
        <v>11044</v>
      </c>
      <c r="B8782" s="4" t="s">
        <v>11047</v>
      </c>
      <c r="C8782" s="5" t="str">
        <f>IFERROR(__xludf.DUMMYFUNCTION("GOOGLETRANSLATE(B8782,""en"",""de"")"),"Eine Flasche Essig wird auf einem Tisch neben Alkohol und Seife gezeigt.")</f>
        <v>Eine Flasche Essig wird auf einem Tisch neben Alkohol und Seife gezeigt.</v>
      </c>
    </row>
    <row r="8783">
      <c r="A8783" s="4" t="s">
        <v>11044</v>
      </c>
      <c r="B8783" s="4" t="s">
        <v>11048</v>
      </c>
      <c r="C8783" s="5" t="str">
        <f>IFERROR(__xludf.DUMMYFUNCTION("GOOGLETRANSLATE(B8783,""en"",""de"")"),"Sie beginnt den Hartholzboden zu wischen.")</f>
        <v>Sie beginnt den Hartholzboden zu wischen.</v>
      </c>
    </row>
    <row r="8784">
      <c r="A8784" s="4" t="s">
        <v>11044</v>
      </c>
      <c r="B8784" s="4" t="s">
        <v>11049</v>
      </c>
      <c r="C8784" s="5" t="str">
        <f>IFERROR(__xludf.DUMMYFUNCTION("GOOGLETRANSLATE(B8784,""en"",""de"")"),"Ein Hund legt sich auf ein Bett.")</f>
        <v>Ein Hund legt sich auf ein Bett.</v>
      </c>
    </row>
    <row r="8785">
      <c r="A8785" s="4" t="s">
        <v>11050</v>
      </c>
      <c r="B8785" s="4" t="s">
        <v>11051</v>
      </c>
      <c r="C8785" s="5" t="str">
        <f>IFERROR(__xludf.DUMMYFUNCTION("GOOGLETRANSLATE(B8785,""en"",""de"")"),"Ein Mann in einem blauen Hemd nimmt ein Kind auf.")</f>
        <v>Ein Mann in einem blauen Hemd nimmt ein Kind auf.</v>
      </c>
    </row>
    <row r="8786">
      <c r="A8786" s="4" t="s">
        <v>11050</v>
      </c>
      <c r="B8786" s="4" t="s">
        <v>11052</v>
      </c>
      <c r="C8786" s="5" t="str">
        <f>IFERROR(__xludf.DUMMYFUNCTION("GOOGLETRANSLATE(B8786,""en"",""de"")"),"Er hebt ihn hoch, um auf seine Schulter zu sitzen.")</f>
        <v>Er hebt ihn hoch, um auf seine Schulter zu sitzen.</v>
      </c>
    </row>
    <row r="8787">
      <c r="A8787" s="4" t="s">
        <v>11050</v>
      </c>
      <c r="B8787" s="4" t="s">
        <v>11053</v>
      </c>
      <c r="C8787" s="5" t="str">
        <f>IFERROR(__xludf.DUMMYFUNCTION("GOOGLETRANSLATE(B8787,""en"",""de"")"),"Er wirft das Kind auf den Rücken auf ein Bett.")</f>
        <v>Er wirft das Kind auf den Rücken auf ein Bett.</v>
      </c>
    </row>
    <row r="8788">
      <c r="A8788" s="4" t="s">
        <v>11054</v>
      </c>
      <c r="B8788" s="4" t="s">
        <v>11055</v>
      </c>
      <c r="C8788" s="5" t="str">
        <f>IFERROR(__xludf.DUMMYFUNCTION("GOOGLETRANSLATE(B8788,""en"",""de"")"),"Der Mann wird zu den beiden weißen Stangen gesprungen und steht auf seinen Armen.")</f>
        <v>Der Mann wird zu den beiden weißen Stangen gesprungen und steht auf seinen Armen.</v>
      </c>
    </row>
    <row r="8789">
      <c r="A8789" s="4" t="s">
        <v>11054</v>
      </c>
      <c r="B8789" s="4" t="s">
        <v>11056</v>
      </c>
      <c r="C8789" s="5" t="str">
        <f>IFERROR(__xludf.DUMMYFUNCTION("GOOGLETRANSLATE(B8789,""en"",""de"")"),"Der Mann im roten Hemd vor dem Platz beobachtet den Athleten, während er auf der Stange schwingt.")</f>
        <v>Der Mann im roten Hemd vor dem Platz beobachtet den Athleten, während er auf der Stange schwingt.</v>
      </c>
    </row>
    <row r="8790">
      <c r="A8790" s="4" t="s">
        <v>11054</v>
      </c>
      <c r="B8790" s="4" t="s">
        <v>11057</v>
      </c>
      <c r="C8790" s="5" t="str">
        <f>IFERROR(__xludf.DUMMYFUNCTION("GOOGLETRANSLATE(B8790,""en"",""de"")"),"Der Athlet schwang und sprang dann von der Stange und schwang nach oben und die Luft und landete auf der Matte.")</f>
        <v>Der Athlet schwang und sprang dann von der Stange und schwang nach oben und die Luft und landete auf der Matte.</v>
      </c>
    </row>
    <row r="8791">
      <c r="A8791" s="4" t="s">
        <v>11058</v>
      </c>
      <c r="B8791" s="4" t="s">
        <v>11059</v>
      </c>
      <c r="C8791" s="5" t="str">
        <f>IFERROR(__xludf.DUMMYFUNCTION("GOOGLETRANSLATE(B8791,""en"",""de"")"),"Ein Team ist auf einem Feld und versucht, den Ball von ihren Gegnern zu bekommen.")</f>
        <v>Ein Team ist auf einem Feld und versucht, den Ball von ihren Gegnern zu bekommen.</v>
      </c>
    </row>
    <row r="8792">
      <c r="A8792" s="4" t="s">
        <v>11058</v>
      </c>
      <c r="B8792" s="4" t="s">
        <v>11060</v>
      </c>
      <c r="C8792" s="5" t="str">
        <f>IFERROR(__xludf.DUMMYFUNCTION("GOOGLETRANSLATE(B8792,""en"",""de"")"),"Sie spielen ein Lacrosse -Spiel.")</f>
        <v>Sie spielen ein Lacrosse -Spiel.</v>
      </c>
    </row>
    <row r="8793">
      <c r="A8793" s="4" t="s">
        <v>11058</v>
      </c>
      <c r="B8793" s="4" t="s">
        <v>11061</v>
      </c>
      <c r="C8793" s="5" t="str">
        <f>IFERROR(__xludf.DUMMYFUNCTION("GOOGLETRANSLATE(B8793,""en"",""de"")"),"Sie kämpfen um den Ball und versuchen, es in ein Tor zu bringen.")</f>
        <v>Sie kämpfen um den Ball und versuchen, es in ein Tor zu bringen.</v>
      </c>
    </row>
    <row r="8794">
      <c r="A8794" s="4" t="s">
        <v>11062</v>
      </c>
      <c r="B8794" s="4" t="s">
        <v>11063</v>
      </c>
      <c r="C8794" s="5" t="str">
        <f>IFERROR(__xludf.DUMMYFUNCTION("GOOGLETRANSLATE(B8794,""en"",""de"")"),"Eine Frau fährt mit dem Fahrrad die Straße hinunter, dann werden auch andere gezeigt.")</f>
        <v>Eine Frau fährt mit dem Fahrrad die Straße hinunter, dann werden auch andere gezeigt.</v>
      </c>
    </row>
    <row r="8795">
      <c r="A8795" s="4" t="s">
        <v>11062</v>
      </c>
      <c r="B8795" s="4" t="s">
        <v>11064</v>
      </c>
      <c r="C8795" s="5" t="str">
        <f>IFERROR(__xludf.DUMMYFUNCTION("GOOGLETRANSLATE(B8795,""en"",""de"")"),"Die Leute sprechen mit der Kamera zwischen den Fahrrädern auf Stadtstraßen.")</f>
        <v>Die Leute sprechen mit der Kamera zwischen den Fahrrädern auf Stadtstraßen.</v>
      </c>
    </row>
    <row r="8796">
      <c r="A8796" s="4" t="s">
        <v>11062</v>
      </c>
      <c r="B8796" s="4" t="s">
        <v>11065</v>
      </c>
      <c r="C8796" s="5" t="str">
        <f>IFERROR(__xludf.DUMMYFUNCTION("GOOGLETRANSLATE(B8796,""en"",""de"")"),"Das Fahrrad wird als Elliptico bezeichnet, sodass sie beim Fahren stehen und pedal werden können.")</f>
        <v>Das Fahrrad wird als Elliptico bezeichnet, sodass sie beim Fahren stehen und pedal werden können.</v>
      </c>
    </row>
    <row r="8797">
      <c r="A8797" s="4" t="s">
        <v>11066</v>
      </c>
      <c r="B8797" s="4" t="s">
        <v>11067</v>
      </c>
      <c r="C8797" s="5" t="str">
        <f>IFERROR(__xludf.DUMMYFUNCTION("GOOGLETRANSLATE(B8797,""en"",""de"")"),"Eine Person spricht mit der Kamera, während er ein Snowboard hält, und führt in ihn einen schneebedeckten Hügel hinunter.")</f>
        <v>Eine Person spricht mit der Kamera, während er ein Snowboard hält, und führt in ihn einen schneebedeckten Hügel hinunter.</v>
      </c>
    </row>
    <row r="8798">
      <c r="A8798" s="4" t="s">
        <v>11066</v>
      </c>
      <c r="B8798" s="4" t="s">
        <v>11068</v>
      </c>
      <c r="C8798" s="5" t="str">
        <f>IFERROR(__xludf.DUMMYFUNCTION("GOOGLETRANSLATE(B8798,""en"",""de"")"),"Der Mann reitet weiter mit dem Snowboard den Hügel hinunter und endet damit, dass er am Boden anhält.")</f>
        <v>Der Mann reitet weiter mit dem Snowboard den Hügel hinunter und endet damit, dass er am Boden anhält.</v>
      </c>
    </row>
    <row r="8799">
      <c r="A8799" s="4" t="s">
        <v>11069</v>
      </c>
      <c r="B8799" s="4" t="s">
        <v>11070</v>
      </c>
      <c r="C8799" s="5" t="str">
        <f>IFERROR(__xludf.DUMMYFUNCTION("GOOGLETRANSLATE(B8799,""en"",""de"")"),"Ein Mann spricht in ein Mikrofon mit einem anderen Mann auf der Bühne.")</f>
        <v>Ein Mann spricht in ein Mikrofon mit einem anderen Mann auf der Bühne.</v>
      </c>
    </row>
    <row r="8800">
      <c r="A8800" s="4" t="s">
        <v>11069</v>
      </c>
      <c r="B8800" s="4" t="s">
        <v>11071</v>
      </c>
      <c r="C8800" s="5" t="str">
        <f>IFERROR(__xludf.DUMMYFUNCTION("GOOGLETRANSLATE(B8800,""en"",""de"")"),"Ein Mann führt dann auf der Bühne in Mundharmonika, während andere nebenbei zuschauen.")</f>
        <v>Ein Mann führt dann auf der Bühne in Mundharmonika, während andere nebenbei zuschauen.</v>
      </c>
    </row>
    <row r="8801">
      <c r="A8801" s="4" t="s">
        <v>11069</v>
      </c>
      <c r="B8801" s="4" t="s">
        <v>11072</v>
      </c>
      <c r="C8801" s="5" t="str">
        <f>IFERROR(__xludf.DUMMYFUNCTION("GOOGLETRANSLATE(B8801,""en"",""de"")"),"Der Mann spielt weiter, während andere sowohl in den Rahmen und aus dem Rahmen gehen und spielen.")</f>
        <v>Der Mann spielt weiter, während andere sowohl in den Rahmen und aus dem Rahmen gehen und spielen.</v>
      </c>
    </row>
    <row r="8802">
      <c r="A8802" s="4" t="s">
        <v>11073</v>
      </c>
      <c r="B8802" s="4" t="s">
        <v>11074</v>
      </c>
      <c r="C8802" s="5" t="str">
        <f>IFERROR(__xludf.DUMMYFUNCTION("GOOGLETRANSLATE(B8802,""en"",""de"")"),"Ein älterer Mann steht hinter einem Schaukel, während er ein kleines Mädchen zurück und vierten drückt.")</f>
        <v>Ein älterer Mann steht hinter einem Schaukel, während er ein kleines Mädchen zurück und vierten drückt.</v>
      </c>
    </row>
    <row r="8803">
      <c r="A8803" s="4" t="s">
        <v>11073</v>
      </c>
      <c r="B8803" s="4" t="s">
        <v>11075</v>
      </c>
      <c r="C8803" s="5" t="str">
        <f>IFERROR(__xludf.DUMMYFUNCTION("GOOGLETRANSLATE(B8803,""en"",""de"")"),"Er greift und hält das Mädchen und gibt ihr mehrere Schiebungen, während das Mädchen ihren Kopf zurückstickt und lächelt.")</f>
        <v>Er greift und hält das Mädchen und gibt ihr mehrere Schiebungen, während das Mädchen ihren Kopf zurückstickt und lächelt.</v>
      </c>
    </row>
    <row r="8804">
      <c r="A8804" s="4" t="s">
        <v>11076</v>
      </c>
      <c r="B8804" s="4" t="s">
        <v>11077</v>
      </c>
      <c r="C8804" s="5" t="str">
        <f>IFERROR(__xludf.DUMMYFUNCTION("GOOGLETRANSLATE(B8804,""en"",""de"")"),"Ein junges Mädchen hat Make -up nach außen angelegt, während andere Leute auf der Seite zuschauen und auch mit Make -up spielen.")</f>
        <v>Ein junges Mädchen hat Make -up nach außen angelegt, während andere Leute auf der Seite zuschauen und auch mit Make -up spielen.</v>
      </c>
    </row>
    <row r="8805">
      <c r="A8805" s="4" t="s">
        <v>11076</v>
      </c>
      <c r="B8805" s="4" t="s">
        <v>11078</v>
      </c>
      <c r="C8805" s="5" t="str">
        <f>IFERROR(__xludf.DUMMYFUNCTION("GOOGLETRANSLATE(B8805,""en"",""de"")"),"Die Mädchen versuchen weiterhin, Make -up anzuzeigen, während die Kamera nach hinten und vierten zwischen den beiden schwenkt.")</f>
        <v>Die Mädchen versuchen weiterhin, Make -up anzuzeigen, während die Kamera nach hinten und vierten zwischen den beiden schwenkt.</v>
      </c>
    </row>
    <row r="8806">
      <c r="A8806" s="4" t="s">
        <v>11079</v>
      </c>
      <c r="B8806" s="4" t="s">
        <v>11080</v>
      </c>
      <c r="C8806" s="5" t="str">
        <f>IFERROR(__xludf.DUMMYFUNCTION("GOOGLETRANSLATE(B8806,""en"",""de"")"),"Eine kommerzielle Auswahl zeigt eine unterschiedliche Auswahl an Schweißgeräten und zeigt, wie man mit der Ausrüstung schweißt.")</f>
        <v>Eine kommerzielle Auswahl zeigt eine unterschiedliche Auswahl an Schweißgeräten und zeigt, wie man mit der Ausrüstung schweißt.</v>
      </c>
    </row>
    <row r="8807">
      <c r="A8807" s="4" t="s">
        <v>11079</v>
      </c>
      <c r="B8807" s="4" t="s">
        <v>11081</v>
      </c>
      <c r="C8807" s="5" t="str">
        <f>IFERROR(__xludf.DUMMYFUNCTION("GOOGLETRANSLATE(B8807,""en"",""de"")"),"Ein Schweißhelm, Klemmen, Schweißset und Handschuhe sind in einem weißen Hintergrund in der Reihe.")</f>
        <v>Ein Schweißhelm, Klemmen, Schweißset und Handschuhe sind in einem weißen Hintergrund in der Reihe.</v>
      </c>
    </row>
    <row r="8808">
      <c r="A8808" s="4" t="s">
        <v>11079</v>
      </c>
      <c r="B8808" s="4" t="s">
        <v>11082</v>
      </c>
      <c r="C8808" s="5" t="str">
        <f>IFERROR(__xludf.DUMMYFUNCTION("GOOGLETRANSLATE(B8808,""en"",""de"")"),"Eine Person beginnt, die Schweißwerkzeuge zu verwenden, um in einem Auto zu schweißen, das Feuerfunken erzeugt, wenn das Schweißen stattfindet.")</f>
        <v>Eine Person beginnt, die Schweißwerkzeuge zu verwenden, um in einem Auto zu schweißen, das Feuerfunken erzeugt, wenn das Schweißen stattfindet.</v>
      </c>
    </row>
    <row r="8809">
      <c r="A8809" s="4" t="s">
        <v>11079</v>
      </c>
      <c r="B8809" s="4" t="s">
        <v>11083</v>
      </c>
      <c r="C8809" s="5" t="str">
        <f>IFERROR(__xludf.DUMMYFUNCTION("GOOGLETRANSLATE(B8809,""en"",""de"")"),"Eine Nahaufnahme des geschweißten Bereichs wird angezeigt, bevor eine Marketingvorlage über dem Bildschirm vorliegt.")</f>
        <v>Eine Nahaufnahme des geschweißten Bereichs wird angezeigt, bevor eine Marketingvorlage über dem Bildschirm vorliegt.</v>
      </c>
    </row>
    <row r="8810">
      <c r="A8810" s="4" t="s">
        <v>11084</v>
      </c>
      <c r="B8810" s="4" t="s">
        <v>11085</v>
      </c>
      <c r="C8810" s="5" t="str">
        <f>IFERROR(__xludf.DUMMYFUNCTION("GOOGLETRANSLATE(B8810,""en"",""de"")"),"Eine Person ist ohne Hemd in einer Küche zu sehen und hält einen Mopp.")</f>
        <v>Eine Person ist ohne Hemd in einer Küche zu sehen und hält einen Mopp.</v>
      </c>
    </row>
    <row r="8811">
      <c r="A8811" s="4" t="s">
        <v>11084</v>
      </c>
      <c r="B8811" s="4" t="s">
        <v>11086</v>
      </c>
      <c r="C8811" s="5" t="str">
        <f>IFERROR(__xludf.DUMMYFUNCTION("GOOGLETRANSLATE(B8811,""en"",""de"")"),"Der Mann schaut zurück und lacht zur Kamera, während er den Mopp hält.")</f>
        <v>Der Mann schaut zurück und lacht zur Kamera, während er den Mopp hält.</v>
      </c>
    </row>
    <row r="8812">
      <c r="A8812" s="4" t="s">
        <v>11084</v>
      </c>
      <c r="B8812" s="4" t="s">
        <v>11087</v>
      </c>
      <c r="C8812" s="5" t="str">
        <f>IFERROR(__xludf.DUMMYFUNCTION("GOOGLETRANSLATE(B8812,""en"",""de"")"),"Er lacht weiter und tanzt herum, während er den Mopp herumschreibt.")</f>
        <v>Er lacht weiter und tanzt herum, während er den Mopp herumschreibt.</v>
      </c>
    </row>
    <row r="8813">
      <c r="A8813" s="4" t="s">
        <v>11088</v>
      </c>
      <c r="B8813" s="4" t="s">
        <v>11089</v>
      </c>
      <c r="C8813" s="5" t="str">
        <f>IFERROR(__xludf.DUMMYFUNCTION("GOOGLETRANSLATE(B8813,""en"",""de"")"),"Ein kleines Segelboot mit zwei Männern zieht einen Wasserfahrer dahinter.")</f>
        <v>Ein kleines Segelboot mit zwei Männern zieht einen Wasserfahrer dahinter.</v>
      </c>
    </row>
    <row r="8814">
      <c r="A8814" s="4" t="s">
        <v>11088</v>
      </c>
      <c r="B8814" s="4" t="s">
        <v>11090</v>
      </c>
      <c r="C8814" s="5" t="str">
        <f>IFERROR(__xludf.DUMMYFUNCTION("GOOGLETRANSLATE(B8814,""en"",""de"")"),"Ein Wind Surfer geht vorbei.")</f>
        <v>Ein Wind Surfer geht vorbei.</v>
      </c>
    </row>
    <row r="8815">
      <c r="A8815" s="4" t="s">
        <v>11088</v>
      </c>
      <c r="B8815" s="4" t="s">
        <v>11091</v>
      </c>
      <c r="C8815" s="5" t="str">
        <f>IFERROR(__xludf.DUMMYFUNCTION("GOOGLETRANSLATE(B8815,""en"",""de"")"),"Ein Mann im Segelboot lehnt sich zurück, um das Segel im Boot zu ziehen.")</f>
        <v>Ein Mann im Segelboot lehnt sich zurück, um das Segel im Boot zu ziehen.</v>
      </c>
    </row>
    <row r="8816">
      <c r="A8816" s="4" t="s">
        <v>11088</v>
      </c>
      <c r="B8816" s="4" t="s">
        <v>11092</v>
      </c>
      <c r="C8816" s="5" t="str">
        <f>IFERROR(__xludf.DUMMYFUNCTION("GOOGLETRANSLATE(B8816,""en"",""de"")"),"Ein anderer Wind Surfer geht vorbei.")</f>
        <v>Ein anderer Wind Surfer geht vorbei.</v>
      </c>
    </row>
    <row r="8817">
      <c r="A8817" s="4" t="s">
        <v>11093</v>
      </c>
      <c r="B8817" s="4" t="s">
        <v>11094</v>
      </c>
      <c r="C8817" s="5" t="str">
        <f>IFERROR(__xludf.DUMMYFUNCTION("GOOGLETRANSLATE(B8817,""en"",""de"")"),"Ein Drachen fliegt am Himmel.")</f>
        <v>Ein Drachen fliegt am Himmel.</v>
      </c>
    </row>
    <row r="8818">
      <c r="A8818" s="4" t="s">
        <v>11093</v>
      </c>
      <c r="B8818" s="4" t="s">
        <v>11095</v>
      </c>
      <c r="C8818" s="5" t="str">
        <f>IFERROR(__xludf.DUMMYFUNCTION("GOOGLETRANSLATE(B8818,""en"",""de"")"),"Ein kleines Mädchen hält die Kite -Schnur.")</f>
        <v>Ein kleines Mädchen hält die Kite -Schnur.</v>
      </c>
    </row>
    <row r="8819">
      <c r="A8819" s="4" t="s">
        <v>11093</v>
      </c>
      <c r="B8819" s="4" t="s">
        <v>11096</v>
      </c>
      <c r="C8819" s="5" t="str">
        <f>IFERROR(__xludf.DUMMYFUNCTION("GOOGLETRANSLATE(B8819,""en"",""de"")"),"Sie geht rückwärts und redet mit jemandem, während sie den Drachen beobachtet.")</f>
        <v>Sie geht rückwärts und redet mit jemandem, während sie den Drachen beobachtet.</v>
      </c>
    </row>
    <row r="8820">
      <c r="A8820" s="4" t="s">
        <v>11097</v>
      </c>
      <c r="B8820" s="4" t="s">
        <v>11098</v>
      </c>
      <c r="C8820" s="5" t="str">
        <f>IFERROR(__xludf.DUMMYFUNCTION("GOOGLETRANSLATE(B8820,""en"",""de"")"),"Ein Mann befindet sich in einem Tanzraum mit Spiegeln entlang der Wände, Holzböden und tanzt alleine.")</f>
        <v>Ein Mann befindet sich in einem Tanzraum mit Spiegeln entlang der Wände, Holzböden und tanzt alleine.</v>
      </c>
    </row>
    <row r="8821">
      <c r="A8821" s="4" t="s">
        <v>11097</v>
      </c>
      <c r="B8821" s="4" t="s">
        <v>11099</v>
      </c>
      <c r="C8821" s="5" t="str">
        <f>IFERROR(__xludf.DUMMYFUNCTION("GOOGLETRANSLATE(B8821,""en"",""de"")"),"Es gibt eine Frau, die in der Ecke steht und ihn die ganze Zeit aufzeichnet.")</f>
        <v>Es gibt eine Frau, die in der Ecke steht und ihn die ganze Zeit aufzeichnet.</v>
      </c>
    </row>
    <row r="8822">
      <c r="A8822" s="4" t="s">
        <v>11097</v>
      </c>
      <c r="B8822" s="4" t="s">
        <v>11100</v>
      </c>
      <c r="C8822" s="5" t="str">
        <f>IFERROR(__xludf.DUMMYFUNCTION("GOOGLETRANSLATE(B8822,""en"",""de"")"),"Wenn er sich während des Tanzens mehr auf die andere Seite des Raumes bewegt, werden mehr Leute enthüllt und aufnehmen.")</f>
        <v>Wenn er sich während des Tanzens mehr auf die andere Seite des Raumes bewegt, werden mehr Leute enthüllt und aufnehmen.</v>
      </c>
    </row>
    <row r="8823">
      <c r="A8823" s="4" t="s">
        <v>11097</v>
      </c>
      <c r="B8823" s="4" t="s">
        <v>11101</v>
      </c>
      <c r="C8823" s="5" t="str">
        <f>IFERROR(__xludf.DUMMYFUNCTION("GOOGLETRANSLATE(B8823,""en"",""de"")"),"Der Mann macht ihn letzte Tanzbewegung, lächelt, unternimmt ein paar Schritte und nimmt dann einen Verbeugerchen.")</f>
        <v>Der Mann macht ihn letzte Tanzbewegung, lächelt, unternimmt ein paar Schritte und nimmt dann einen Verbeugerchen.</v>
      </c>
    </row>
    <row r="8824">
      <c r="A8824" s="4" t="s">
        <v>11102</v>
      </c>
      <c r="B8824" s="4" t="s">
        <v>11103</v>
      </c>
      <c r="C8824" s="5" t="str">
        <f>IFERROR(__xludf.DUMMYFUNCTION("GOOGLETRANSLATE(B8824,""en"",""de"")"),"Der Himmel wird gezeigt, der zu einem Mann führt, der mit seinem Freund zur Kamera spricht.")</f>
        <v>Der Himmel wird gezeigt, der zu einem Mann führt, der mit seinem Freund zur Kamera spricht.</v>
      </c>
    </row>
    <row r="8825">
      <c r="A8825" s="4" t="s">
        <v>11102</v>
      </c>
      <c r="B8825" s="4" t="s">
        <v>11104</v>
      </c>
      <c r="C8825" s="5" t="str">
        <f>IFERROR(__xludf.DUMMYFUNCTION("GOOGLETRANSLATE(B8825,""en"",""de"")"),"Mehrere Menschen sitzen in Röhren, die einen Fluss hinunterfahren, aneinander vorbei.")</f>
        <v>Mehrere Menschen sitzen in Röhren, die einen Fluss hinunterfahren, aneinander vorbei.</v>
      </c>
    </row>
    <row r="8826">
      <c r="A8826" s="4" t="s">
        <v>11102</v>
      </c>
      <c r="B8826" s="4" t="s">
        <v>11105</v>
      </c>
      <c r="C8826" s="5" t="str">
        <f>IFERROR(__xludf.DUMMYFUNCTION("GOOGLETRANSLATE(B8826,""en"",""de"")"),"Die Menschen reiten weiter durch Tunnel und Wege den Fluss hinunter, während der Mann immer noch mit der Kamera spricht.")</f>
        <v>Die Menschen reiten weiter durch Tunnel und Wege den Fluss hinunter, während der Mann immer noch mit der Kamera spricht.</v>
      </c>
    </row>
    <row r="8827">
      <c r="A8827" s="4" t="s">
        <v>11106</v>
      </c>
      <c r="B8827" s="4" t="s">
        <v>11107</v>
      </c>
      <c r="C8827" s="5" t="str">
        <f>IFERROR(__xludf.DUMMYFUNCTION("GOOGLETRANSLATE(B8827,""en"",""de"")"),"Ein Athlet rennt mit einem Stock, dann schießt er auf den Speer und geht in einem Stadion weg.")</f>
        <v>Ein Athlet rennt mit einem Stock, dann schießt er auf den Speer und geht in einem Stadion weg.</v>
      </c>
    </row>
    <row r="8828">
      <c r="A8828" s="4" t="s">
        <v>11106</v>
      </c>
      <c r="B8828" s="4" t="s">
        <v>11108</v>
      </c>
      <c r="C8828" s="5" t="str">
        <f>IFERROR(__xludf.DUMMYFUNCTION("GOOGLETRANSLATE(B8828,""en"",""de"")"),"Dann hält ein Mann einen Speer und rennt den Speer, dann schießt auch ein anderer Athlet den Speer.")</f>
        <v>Dann hält ein Mann einen Speer und rennt den Speer, dann schießt auch ein anderer Athlet den Speer.</v>
      </c>
    </row>
    <row r="8829">
      <c r="A8829" s="4" t="s">
        <v>11109</v>
      </c>
      <c r="B8829" s="4" t="s">
        <v>11110</v>
      </c>
      <c r="C8829" s="5" t="str">
        <f>IFERROR(__xludf.DUMMYFUNCTION("GOOGLETRANSLATE(B8829,""en"",""de"")"),"Ein Mann sitzt auf der Treppe und redet.")</f>
        <v>Ein Mann sitzt auf der Treppe und redet.</v>
      </c>
    </row>
    <row r="8830">
      <c r="A8830" s="4" t="s">
        <v>11109</v>
      </c>
      <c r="B8830" s="4" t="s">
        <v>11111</v>
      </c>
      <c r="C8830" s="5" t="str">
        <f>IFERROR(__xludf.DUMMYFUNCTION("GOOGLETRANSLATE(B8830,""en"",""de"")"),"Er steht über einem Waschbecken.")</f>
        <v>Er steht über einem Waschbecken.</v>
      </c>
    </row>
    <row r="8831">
      <c r="A8831" s="4" t="s">
        <v>11109</v>
      </c>
      <c r="B8831" s="4" t="s">
        <v>11112</v>
      </c>
      <c r="C8831" s="5" t="str">
        <f>IFERROR(__xludf.DUMMYFUNCTION("GOOGLETRANSLATE(B8831,""en"",""de"")"),"Er sprüht das Waschbecken mit einem Reinigungsmittel.")</f>
        <v>Er sprüht das Waschbecken mit einem Reinigungsmittel.</v>
      </c>
    </row>
    <row r="8832">
      <c r="A8832" s="4" t="s">
        <v>11109</v>
      </c>
      <c r="B8832" s="4" t="s">
        <v>11113</v>
      </c>
      <c r="C8832" s="5" t="str">
        <f>IFERROR(__xludf.DUMMYFUNCTION("GOOGLETRANSLATE(B8832,""en"",""de"")"),"Er nimmt einen Schwamm und schrubbt die Innenseite der Waschbecken.")</f>
        <v>Er nimmt einen Schwamm und schrubbt die Innenseite der Waschbecken.</v>
      </c>
    </row>
    <row r="8833">
      <c r="A8833" s="4" t="s">
        <v>11109</v>
      </c>
      <c r="B8833" s="4" t="s">
        <v>11114</v>
      </c>
      <c r="C8833" s="5" t="str">
        <f>IFERROR(__xludf.DUMMYFUNCTION("GOOGLETRANSLATE(B8833,""en"",""de"")"),"Er schaltet das Wasser ein und sprüht den Schlauch um das Waschbecken.")</f>
        <v>Er schaltet das Wasser ein und sprüht den Schlauch um das Waschbecken.</v>
      </c>
    </row>
    <row r="8834">
      <c r="A8834" s="4" t="s">
        <v>11109</v>
      </c>
      <c r="B8834" s="4" t="s">
        <v>11115</v>
      </c>
      <c r="C8834" s="5" t="str">
        <f>IFERROR(__xludf.DUMMYFUNCTION("GOOGLETRANSLATE(B8834,""en"",""de"")"),"Er wischt das Waschbecken mit einem Handtuch ab.")</f>
        <v>Er wischt das Waschbecken mit einem Handtuch ab.</v>
      </c>
    </row>
    <row r="8835">
      <c r="A8835" s="4" t="s">
        <v>11109</v>
      </c>
      <c r="B8835" s="4" t="s">
        <v>11116</v>
      </c>
      <c r="C8835" s="5" t="str">
        <f>IFERROR(__xludf.DUMMYFUNCTION("GOOGLETRANSLATE(B8835,""en"",""de"")"),"Der Mann sitzt wieder auf der Treppe.")</f>
        <v>Der Mann sitzt wieder auf der Treppe.</v>
      </c>
    </row>
    <row r="8836">
      <c r="A8836" s="4" t="s">
        <v>11117</v>
      </c>
      <c r="B8836" s="4" t="s">
        <v>11118</v>
      </c>
      <c r="C8836" s="5" t="str">
        <f>IFERROR(__xludf.DUMMYFUNCTION("GOOGLETRANSLATE(B8836,""en"",""de"")"),"Wir sehen einen Öffnungsbildschirm eine Karte und Standbilder.")</f>
        <v>Wir sehen einen Öffnungsbildschirm eine Karte und Standbilder.</v>
      </c>
    </row>
    <row r="8837">
      <c r="A8837" s="4" t="s">
        <v>11117</v>
      </c>
      <c r="B8837" s="4" t="s">
        <v>11119</v>
      </c>
      <c r="C8837" s="5" t="str">
        <f>IFERROR(__xludf.DUMMYFUNCTION("GOOGLETRANSLATE(B8837,""en"",""de"")"),"Männer hämmern Dachfliesen auf einer Dachscheibe im Inneren.")</f>
        <v>Männer hämmern Dachfliesen auf einer Dachscheibe im Inneren.</v>
      </c>
    </row>
    <row r="8838">
      <c r="A8838" s="4" t="s">
        <v>11117</v>
      </c>
      <c r="B8838" s="4" t="s">
        <v>6208</v>
      </c>
      <c r="C8838" s="5" t="str">
        <f>IFERROR(__xludf.DUMMYFUNCTION("GOOGLETRANSLATE(B8838,""en"",""de"")"),"Wir sehen einen Titelbildschirm.")</f>
        <v>Wir sehen einen Titelbildschirm.</v>
      </c>
    </row>
    <row r="8839">
      <c r="A8839" s="4" t="s">
        <v>11117</v>
      </c>
      <c r="B8839" s="4" t="s">
        <v>11120</v>
      </c>
      <c r="C8839" s="5" t="str">
        <f>IFERROR(__xludf.DUMMYFUNCTION("GOOGLETRANSLATE(B8839,""en"",""de"")"),"Wir sehen, dass ein Mann einen Haken in das Holz klopft.")</f>
        <v>Wir sehen, dass ein Mann einen Haken in das Holz klopft.</v>
      </c>
    </row>
    <row r="8840">
      <c r="A8840" s="4" t="s">
        <v>11117</v>
      </c>
      <c r="B8840" s="4" t="s">
        <v>11121</v>
      </c>
      <c r="C8840" s="5" t="str">
        <f>IFERROR(__xludf.DUMMYFUNCTION("GOOGLETRANSLATE(B8840,""en"",""de"")"),"Wir sehen wieder einen Titelbildschirm.")</f>
        <v>Wir sehen wieder einen Titelbildschirm.</v>
      </c>
    </row>
    <row r="8841">
      <c r="A8841" s="4" t="s">
        <v>11117</v>
      </c>
      <c r="B8841" s="4" t="s">
        <v>11122</v>
      </c>
      <c r="C8841" s="5" t="str">
        <f>IFERROR(__xludf.DUMMYFUNCTION("GOOGLETRANSLATE(B8841,""en"",""de"")"),"Wir sehen die Männer, die auf Dächern arbeiten.")</f>
        <v>Wir sehen die Männer, die auf Dächern arbeiten.</v>
      </c>
    </row>
    <row r="8842">
      <c r="A8842" s="4" t="s">
        <v>11117</v>
      </c>
      <c r="B8842" s="4" t="s">
        <v>11123</v>
      </c>
      <c r="C8842" s="5" t="str">
        <f>IFERROR(__xludf.DUMMYFUNCTION("GOOGLETRANSLATE(B8842,""en"",""de"")"),"Wir sehen zwei Bildschirme mit Männern, die nebeneinander auf dem Dach arbeiten.")</f>
        <v>Wir sehen zwei Bildschirme mit Männern, die nebeneinander auf dem Dach arbeiten.</v>
      </c>
    </row>
    <row r="8843">
      <c r="A8843" s="4" t="s">
        <v>11117</v>
      </c>
      <c r="B8843" s="4" t="s">
        <v>11124</v>
      </c>
      <c r="C8843" s="5" t="str">
        <f>IFERROR(__xludf.DUMMYFUNCTION("GOOGLETRANSLATE(B8843,""en"",""de"")"),"Wir sehen die Endtitelbildschirme.")</f>
        <v>Wir sehen die Endtitelbildschirme.</v>
      </c>
    </row>
    <row r="8844">
      <c r="A8844" s="4" t="s">
        <v>11125</v>
      </c>
      <c r="B8844" s="4" t="s">
        <v>11126</v>
      </c>
      <c r="C8844" s="5" t="str">
        <f>IFERROR(__xludf.DUMMYFUNCTION("GOOGLETRANSLATE(B8844,""en"",""de"")"),"Eine große Gruppe von Menschen wird in einer Klasse zusammen mit einem Mann trainiert, der sie voranführt.")</f>
        <v>Eine große Gruppe von Menschen wird in einer Klasse zusammen mit einem Mann trainiert, der sie voranführt.</v>
      </c>
    </row>
    <row r="8845">
      <c r="A8845" s="4" t="s">
        <v>11125</v>
      </c>
      <c r="B8845" s="4" t="s">
        <v>11127</v>
      </c>
      <c r="C8845" s="5" t="str">
        <f>IFERROR(__xludf.DUMMYFUNCTION("GOOGLETRANSLATE(B8845,""en"",""de"")"),"Die Gruppe bewegt sich weiter zusammen über eine Balken und endet mit Text über dem Bildschirm.")</f>
        <v>Die Gruppe bewegt sich weiter zusammen über eine Balken und endet mit Text über dem Bildschirm.</v>
      </c>
    </row>
    <row r="8846">
      <c r="A8846" s="4" t="s">
        <v>11128</v>
      </c>
      <c r="B8846" s="4" t="s">
        <v>11129</v>
      </c>
      <c r="C8846" s="5" t="str">
        <f>IFERROR(__xludf.DUMMYFUNCTION("GOOGLETRANSLATE(B8846,""en"",""de"")"),"Ein Mann spricht in einem Autohändler.")</f>
        <v>Ein Mann spricht in einem Autohändler.</v>
      </c>
    </row>
    <row r="8847">
      <c r="A8847" s="4" t="s">
        <v>11128</v>
      </c>
      <c r="B8847" s="4" t="s">
        <v>11130</v>
      </c>
      <c r="C8847" s="5" t="str">
        <f>IFERROR(__xludf.DUMMYFUNCTION("GOOGLETRANSLATE(B8847,""en"",""de"")"),"Danach verlässt ein Auto eine Autowaschanlage.")</f>
        <v>Danach verlässt ein Auto eine Autowaschanlage.</v>
      </c>
    </row>
    <row r="8848">
      <c r="A8848" s="4" t="s">
        <v>11128</v>
      </c>
      <c r="B8848" s="4" t="s">
        <v>11131</v>
      </c>
      <c r="C8848" s="5" t="str">
        <f>IFERROR(__xludf.DUMMYFUNCTION("GOOGLETRANSLATE(B8848,""en"",""de"")"),"Eine Besatzung von Menschen reinigt ein Auto von Hand.")</f>
        <v>Eine Besatzung von Menschen reinigt ein Auto von Hand.</v>
      </c>
    </row>
    <row r="8849">
      <c r="A8849" s="4" t="s">
        <v>11132</v>
      </c>
      <c r="B8849" s="4" t="s">
        <v>11133</v>
      </c>
      <c r="C8849" s="5" t="str">
        <f>IFERROR(__xludf.DUMMYFUNCTION("GOOGLETRANSLATE(B8849,""en"",""de"")"),"Ein Mann schweißt einen Abschnitt eines Stahlstrahls in einer Werkstatt.")</f>
        <v>Ein Mann schweißt einen Abschnitt eines Stahlstrahls in einer Werkstatt.</v>
      </c>
    </row>
    <row r="8850">
      <c r="A8850" s="4" t="s">
        <v>11132</v>
      </c>
      <c r="B8850" s="4" t="s">
        <v>11134</v>
      </c>
      <c r="C8850" s="5" t="str">
        <f>IFERROR(__xludf.DUMMYFUNCTION("GOOGLETRANSLATE(B8850,""en"",""de"")"),"Die Spitze der Schweißpistole wird mit der Zange eingestellt.")</f>
        <v>Die Spitze der Schweißpistole wird mit der Zange eingestellt.</v>
      </c>
    </row>
    <row r="8851">
      <c r="A8851" s="4" t="s">
        <v>11132</v>
      </c>
      <c r="B8851" s="4" t="s">
        <v>11135</v>
      </c>
      <c r="C8851" s="5" t="str">
        <f>IFERROR(__xludf.DUMMYFUNCTION("GOOGLETRANSLATE(B8851,""en"",""de"")"),"Der Mann markiert und misst Plattenmetallstücke zwischen der Herstellung von Schweißnähten.")</f>
        <v>Der Mann markiert und misst Plattenmetallstücke zwischen der Herstellung von Schweißnähten.</v>
      </c>
    </row>
    <row r="8852">
      <c r="A8852" s="4" t="s">
        <v>11132</v>
      </c>
      <c r="B8852" s="4" t="s">
        <v>11136</v>
      </c>
      <c r="C8852" s="5" t="str">
        <f>IFERROR(__xludf.DUMMYFUNCTION("GOOGLETRANSLATE(B8852,""en"",""de"")"),"Der Mann demonstriert den Winkel, um das Stück Plattenmetall zu schweißen.")</f>
        <v>Der Mann demonstriert den Winkel, um das Stück Plattenmetall zu schweißen.</v>
      </c>
    </row>
    <row r="8853">
      <c r="A8853" s="4" t="s">
        <v>11137</v>
      </c>
      <c r="B8853" s="4" t="s">
        <v>11138</v>
      </c>
      <c r="C8853" s="5" t="str">
        <f>IFERROR(__xludf.DUMMYFUNCTION("GOOGLETRANSLATE(B8853,""en"",""de"")"),"Eine teleskopische Ansicht mehrerer Personen, die in Radläufen gekleidet sind, wird gezeigt.")</f>
        <v>Eine teleskopische Ansicht mehrerer Personen, die in Radläufen gekleidet sind, wird gezeigt.</v>
      </c>
    </row>
    <row r="8854">
      <c r="A8854" s="4" t="s">
        <v>11137</v>
      </c>
      <c r="B8854" s="4" t="s">
        <v>11139</v>
      </c>
      <c r="C8854" s="5" t="str">
        <f>IFERROR(__xludf.DUMMYFUNCTION("GOOGLETRANSLATE(B8854,""en"",""de"")"),"Die Menge breitet sich aus und geht mit Waffen in der Hand herum.")</f>
        <v>Die Menge breitet sich aus und geht mit Waffen in der Hand herum.</v>
      </c>
    </row>
    <row r="8855">
      <c r="A8855" s="4" t="s">
        <v>11137</v>
      </c>
      <c r="B8855" s="4" t="s">
        <v>11140</v>
      </c>
      <c r="C8855" s="5" t="str">
        <f>IFERROR(__xludf.DUMMYFUNCTION("GOOGLETRANSLATE(B8855,""en"",""de"")"),"Sie zielen auf verschiedene Objekte.")</f>
        <v>Sie zielen auf verschiedene Objekte.</v>
      </c>
    </row>
    <row r="8856">
      <c r="A8856" s="4" t="s">
        <v>11137</v>
      </c>
      <c r="B8856" s="4" t="s">
        <v>11141</v>
      </c>
      <c r="C8856" s="5" t="str">
        <f>IFERROR(__xludf.DUMMYFUNCTION("GOOGLETRANSLATE(B8856,""en"",""de"")"),"Die Männer verstecken sich hinter einer Wand und schießen sich gegenseitig auf, während sie vorbeifahren.")</f>
        <v>Die Männer verstecken sich hinter einer Wand und schießen sich gegenseitig auf, während sie vorbeifahren.</v>
      </c>
    </row>
    <row r="8857">
      <c r="A8857" s="4" t="s">
        <v>11142</v>
      </c>
      <c r="B8857" s="4" t="s">
        <v>11143</v>
      </c>
      <c r="C8857" s="5" t="str">
        <f>IFERROR(__xludf.DUMMYFUNCTION("GOOGLETRANSLATE(B8857,""en"",""de"")"),"Eine große Gruppe von Menschen wird mit einem Mann vor einem Mann in einem Tanzstudio herumwandern.")</f>
        <v>Eine große Gruppe von Menschen wird mit einem Mann vor einem Mann in einem Tanzstudio herumwandern.</v>
      </c>
    </row>
    <row r="8858">
      <c r="A8858" s="4" t="s">
        <v>11142</v>
      </c>
      <c r="B8858" s="4" t="s">
        <v>11144</v>
      </c>
      <c r="C8858" s="5" t="str">
        <f>IFERROR(__xludf.DUMMYFUNCTION("GOOGLETRANSLATE(B8858,""en"",""de"")"),"Der Mann leitet dann eine Tanzklasse vor der Gruppe der Menschen.")</f>
        <v>Der Mann leitet dann eine Tanzklasse vor der Gruppe der Menschen.</v>
      </c>
    </row>
    <row r="8859">
      <c r="A8859" s="4" t="s">
        <v>11142</v>
      </c>
      <c r="B8859" s="4" t="s">
        <v>11145</v>
      </c>
      <c r="C8859" s="5" t="str">
        <f>IFERROR(__xludf.DUMMYFUNCTION("GOOGLETRANSLATE(B8859,""en"",""de"")"),"Die Menschen tanzen weiter herum dem Mann und bewegen ihre Arme und Beine herum.")</f>
        <v>Die Menschen tanzen weiter herum dem Mann und bewegen ihre Arme und Beine herum.</v>
      </c>
    </row>
    <row r="8860">
      <c r="A8860" s="4" t="s">
        <v>11146</v>
      </c>
      <c r="B8860" s="4" t="s">
        <v>11147</v>
      </c>
      <c r="C8860" s="5" t="str">
        <f>IFERROR(__xludf.DUMMYFUNCTION("GOOGLETRANSLATE(B8860,""en"",""de"")"),"Zwei Männer bereiten sich auf ein Fechtenspiel vor.")</f>
        <v>Zwei Männer bereiten sich auf ein Fechtenspiel vor.</v>
      </c>
    </row>
    <row r="8861">
      <c r="A8861" s="4" t="s">
        <v>11146</v>
      </c>
      <c r="B8861" s="4" t="s">
        <v>11148</v>
      </c>
      <c r="C8861" s="5" t="str">
        <f>IFERROR(__xludf.DUMMYFUNCTION("GOOGLETRANSLATE(B8861,""en"",""de"")"),"Das Video zeigt mehrere Highlights der Menschen in verschiedenen Spielen.")</f>
        <v>Das Video zeigt mehrere Highlights der Menschen in verschiedenen Spielen.</v>
      </c>
    </row>
    <row r="8862">
      <c r="A8862" s="4" t="s">
        <v>11146</v>
      </c>
      <c r="B8862" s="4" t="s">
        <v>11149</v>
      </c>
      <c r="C8862" s="5" t="str">
        <f>IFERROR(__xludf.DUMMYFUNCTION("GOOGLETRANSLATE(B8862,""en"",""de"")"),"Einige gewinnen die Spiele ziemlich schnell.")</f>
        <v>Einige gewinnen die Spiele ziemlich schnell.</v>
      </c>
    </row>
    <row r="8863">
      <c r="A8863" s="4" t="s">
        <v>11146</v>
      </c>
      <c r="B8863" s="4" t="s">
        <v>11150</v>
      </c>
      <c r="C8863" s="5" t="str">
        <f>IFERROR(__xludf.DUMMYFUNCTION("GOOGLETRANSLATE(B8863,""en"",""de"")"),"Zwei Männer gehen ständig zurück und vierten zueinander.")</f>
        <v>Zwei Männer gehen ständig zurück und vierten zueinander.</v>
      </c>
    </row>
    <row r="8864">
      <c r="A8864" s="4" t="s">
        <v>11146</v>
      </c>
      <c r="B8864" s="4" t="s">
        <v>11151</v>
      </c>
      <c r="C8864" s="5" t="str">
        <f>IFERROR(__xludf.DUMMYFUNCTION("GOOGLETRANSLATE(B8864,""en"",""de"")"),"Der Mann gewinnt immer wieder.")</f>
        <v>Der Mann gewinnt immer wieder.</v>
      </c>
    </row>
    <row r="8865">
      <c r="A8865" s="4" t="s">
        <v>11146</v>
      </c>
      <c r="B8865" s="4" t="s">
        <v>11152</v>
      </c>
      <c r="C8865" s="5" t="str">
        <f>IFERROR(__xludf.DUMMYFUNCTION("GOOGLETRANSLATE(B8865,""en"",""de"")"),"Er praktiziert für seine bevorstehenden Spiele gegen einen anderen.")</f>
        <v>Er praktiziert für seine bevorstehenden Spiele gegen einen anderen.</v>
      </c>
    </row>
    <row r="8866">
      <c r="A8866" s="4" t="s">
        <v>11146</v>
      </c>
      <c r="B8866" s="4" t="s">
        <v>11153</v>
      </c>
      <c r="C8866" s="5" t="str">
        <f>IFERROR(__xludf.DUMMYFUNCTION("GOOGLETRANSLATE(B8866,""en"",""de"")"),"Er scheint immer wieder zu gewinnen.")</f>
        <v>Er scheint immer wieder zu gewinnen.</v>
      </c>
    </row>
    <row r="8867">
      <c r="A8867" s="4" t="s">
        <v>11154</v>
      </c>
      <c r="B8867" s="4" t="s">
        <v>11155</v>
      </c>
      <c r="C8867" s="5" t="str">
        <f>IFERROR(__xludf.DUMMYFUNCTION("GOOGLETRANSLATE(B8867,""en"",""de"")"),"Die Menschen stehen in einem Friseursalon, der auf Stühlen sitzt.")</f>
        <v>Die Menschen stehen in einem Friseursalon, der auf Stühlen sitzt.</v>
      </c>
    </row>
    <row r="8868">
      <c r="A8868" s="4" t="s">
        <v>11154</v>
      </c>
      <c r="B8868" s="4" t="s">
        <v>11156</v>
      </c>
      <c r="C8868" s="5" t="str">
        <f>IFERROR(__xludf.DUMMYFUNCTION("GOOGLETRANSLATE(B8868,""en"",""de"")"),"Frau steht hinter Anoter -Trocknen, die ihr Haar trocknen und mit der Kamera sprechen.")</f>
        <v>Frau steht hinter Anoter -Trocknen, die ihr Haar trocknen und mit der Kamera sprechen.</v>
      </c>
    </row>
    <row r="8869">
      <c r="A8869" s="4" t="s">
        <v>11154</v>
      </c>
      <c r="B8869" s="4" t="s">
        <v>11157</v>
      </c>
      <c r="C8869" s="5" t="str">
        <f>IFERROR(__xludf.DUMMYFUNCTION("GOOGLETRANSLATE(B8869,""en"",""de"")"),"Frau sitzt auf einem Stuhl, während Frau hinter ihr ihre Haare trocknet.")</f>
        <v>Frau sitzt auf einem Stuhl, während Frau hinter ihr ihre Haare trocknet.</v>
      </c>
    </row>
    <row r="8870">
      <c r="A8870" s="4" t="s">
        <v>11158</v>
      </c>
      <c r="B8870" s="4" t="s">
        <v>11159</v>
      </c>
      <c r="C8870" s="5" t="str">
        <f>IFERROR(__xludf.DUMMYFUNCTION("GOOGLETRANSLATE(B8870,""en"",""de"")"),"Die Führung in einen Mann, der vor einem Zuhause eine lange Gitarre spielt, während er seine Finger auf und ab bewegt.")</f>
        <v>Die Führung in einen Mann, der vor einem Zuhause eine lange Gitarre spielt, während er seine Finger auf und ab bewegt.</v>
      </c>
    </row>
    <row r="8871">
      <c r="A8871" s="4" t="s">
        <v>11158</v>
      </c>
      <c r="B8871" s="4" t="s">
        <v>11160</v>
      </c>
      <c r="C8871" s="5" t="str">
        <f>IFERROR(__xludf.DUMMYFUNCTION("GOOGLETRANSLATE(B8871,""en"",""de"")"),"Der Mann spielt weiter und das Video führt zu Text über seinem Kopf.")</f>
        <v>Der Mann spielt weiter und das Video führt zu Text über seinem Kopf.</v>
      </c>
    </row>
    <row r="8872">
      <c r="A8872" s="4" t="s">
        <v>11161</v>
      </c>
      <c r="B8872" s="4" t="s">
        <v>11162</v>
      </c>
      <c r="C8872" s="5" t="str">
        <f>IFERROR(__xludf.DUMMYFUNCTION("GOOGLETRANSLATE(B8872,""en"",""de"")"),"Ein männlicher Spieler im gelben und schwarzen Hemd trägt ein kleines Kind, das das gleiche Hemd trägt, während sie von dem Reporter interviewt werden, der weißes Hemd trägt und ein Mikrofon hält.")</f>
        <v>Ein männlicher Spieler im gelben und schwarzen Hemd trägt ein kleines Kind, das das gleiche Hemd trägt, während sie von dem Reporter interviewt werden, der weißes Hemd trägt und ein Mikrofon hält.</v>
      </c>
    </row>
    <row r="8873">
      <c r="A8873" s="4" t="s">
        <v>11161</v>
      </c>
      <c r="B8873" s="4" t="s">
        <v>11163</v>
      </c>
      <c r="C8873" s="5" t="str">
        <f>IFERROR(__xludf.DUMMYFUNCTION("GOOGLETRANSLATE(B8873,""en"",""de"")"),"Verschiedene Teams in unterschiedlichen Uniformfarben spielen im Tisch Fußball.")</f>
        <v>Verschiedene Teams in unterschiedlichen Uniformfarben spielen im Tisch Fußball.</v>
      </c>
    </row>
    <row r="8874">
      <c r="A8874" s="4" t="s">
        <v>11164</v>
      </c>
      <c r="B8874" s="4" t="s">
        <v>11165</v>
      </c>
      <c r="C8874" s="5" t="str">
        <f>IFERROR(__xludf.DUMMYFUNCTION("GOOGLETRANSLATE(B8874,""en"",""de"")"),"Es werden verschiedene Schüsse eines schneebedeckten Berges sowie eine Person gezeigt, die einen Hügel hinauffährt.")</f>
        <v>Es werden verschiedene Schüsse eines schneebedeckten Berges sowie eine Person gezeigt, die einen Hügel hinauffährt.</v>
      </c>
    </row>
    <row r="8875">
      <c r="A8875" s="4" t="s">
        <v>11164</v>
      </c>
      <c r="B8875" s="4" t="s">
        <v>11166</v>
      </c>
      <c r="C8875" s="5" t="str">
        <f>IFERROR(__xludf.DUMMYFUNCTION("GOOGLETRANSLATE(B8875,""en"",""de"")"),"Die Person schaut zu anderen um ihn herum und wird gesehen, wie er den Berg entlang reitet.")</f>
        <v>Die Person schaut zu anderen um ihn herum und wird gesehen, wie er den Berg entlang reitet.</v>
      </c>
    </row>
    <row r="8876">
      <c r="A8876" s="4" t="s">
        <v>11164</v>
      </c>
      <c r="B8876" s="4" t="s">
        <v>11167</v>
      </c>
      <c r="C8876" s="5" t="str">
        <f>IFERROR(__xludf.DUMMYFUNCTION("GOOGLETRANSLATE(B8876,""en"",""de"")"),"Die Person fährt mehrmals mit Menschen an den Seiten runter.")</f>
        <v>Die Person fährt mehrmals mit Menschen an den Seiten runter.</v>
      </c>
    </row>
    <row r="8877">
      <c r="A8877" s="4" t="s">
        <v>11168</v>
      </c>
      <c r="B8877" s="4" t="s">
        <v>11169</v>
      </c>
      <c r="C8877" s="5" t="str">
        <f>IFERROR(__xludf.DUMMYFUNCTION("GOOGLETRANSLATE(B8877,""en"",""de"")"),"Eine russische Turnerin befindet sich auf einer Matte vor einer großen Arena, in der mehrere Leute sie beobachten.")</f>
        <v>Eine russische Turnerin befindet sich auf einer Matte vor einer großen Arena, in der mehrere Leute sie beobachten.</v>
      </c>
    </row>
    <row r="8878">
      <c r="A8878" s="4" t="s">
        <v>11168</v>
      </c>
      <c r="B8878" s="4" t="s">
        <v>11170</v>
      </c>
      <c r="C8878" s="5" t="str">
        <f>IFERROR(__xludf.DUMMYFUNCTION("GOOGLETRANSLATE(B8878,""en"",""de"")"),"Das Mädchen beginnt dann eine Reihe von Wagenrädern und springt am Ende auf den Balancestrahl, um ihre Routine durchzuführen.")</f>
        <v>Das Mädchen beginnt dann eine Reihe von Wagenrädern und springt am Ende auf den Balancestrahl, um ihre Routine durchzuführen.</v>
      </c>
    </row>
    <row r="8879">
      <c r="A8879" s="4" t="s">
        <v>11168</v>
      </c>
      <c r="B8879" s="4" t="s">
        <v>11171</v>
      </c>
      <c r="C8879" s="5" t="str">
        <f>IFERROR(__xludf.DUMMYFUNCTION("GOOGLETRANSLATE(B8879,""en"",""de"")"),"Sobald sie fertig ist, beendet das Mädchen mehrere Tricks und geht zur Seite.")</f>
        <v>Sobald sie fertig ist, beendet das Mädchen mehrere Tricks und geht zur Seite.</v>
      </c>
    </row>
    <row r="8880">
      <c r="A8880" s="4" t="s">
        <v>11168</v>
      </c>
      <c r="B8880" s="4" t="s">
        <v>11172</v>
      </c>
      <c r="C8880" s="5" t="str">
        <f>IFERROR(__xludf.DUMMYFUNCTION("GOOGLETRANSLATE(B8880,""en"",""de"")"),"Die Leute fangen an, sie zu jubeln und ihre Wiederholung wird gezeigt, und ihre Punktzahl von ungefähr 28 wird über dem Bildschirmrand angezeigt.")</f>
        <v>Die Leute fangen an, sie zu jubeln und ihre Wiederholung wird gezeigt, und ihre Punktzahl von ungefähr 28 wird über dem Bildschirmrand angezeigt.</v>
      </c>
    </row>
    <row r="8881">
      <c r="A8881" s="4" t="s">
        <v>11173</v>
      </c>
      <c r="B8881" s="4" t="s">
        <v>11174</v>
      </c>
      <c r="C8881" s="5" t="str">
        <f>IFERROR(__xludf.DUMMYFUNCTION("GOOGLETRANSLATE(B8881,""en"",""de"")"),"Ein Mädchen in einer Baseballuniform steht am Ende eines Hopscotch -Spiels.")</f>
        <v>Ein Mädchen in einer Baseballuniform steht am Ende eines Hopscotch -Spiels.</v>
      </c>
    </row>
    <row r="8882">
      <c r="A8882" s="4" t="s">
        <v>11173</v>
      </c>
      <c r="B8882" s="4" t="s">
        <v>11175</v>
      </c>
      <c r="C8882" s="5" t="str">
        <f>IFERROR(__xludf.DUMMYFUNCTION("GOOGLETRANSLATE(B8882,""en"",""de"")"),"Ein Mädchen in einem roten Hemd spielt Hopscotch.")</f>
        <v>Ein Mädchen in einem roten Hemd spielt Hopscotch.</v>
      </c>
    </row>
    <row r="8883">
      <c r="A8883" s="4" t="s">
        <v>11173</v>
      </c>
      <c r="B8883" s="4" t="s">
        <v>11176</v>
      </c>
      <c r="C8883" s="5" t="str">
        <f>IFERROR(__xludf.DUMMYFUNCTION("GOOGLETRANSLATE(B8883,""en"",""de"")"),"Ein Ballspieler spielt Hopscotch.")</f>
        <v>Ein Ballspieler spielt Hopscotch.</v>
      </c>
    </row>
    <row r="8884">
      <c r="A8884" s="4" t="s">
        <v>11173</v>
      </c>
      <c r="B8884" s="4" t="s">
        <v>11177</v>
      </c>
      <c r="C8884" s="5" t="str">
        <f>IFERROR(__xludf.DUMMYFUNCTION("GOOGLETRANSLATE(B8884,""en"",""de"")"),"Die Mädchen lachen übereinander.")</f>
        <v>Die Mädchen lachen übereinander.</v>
      </c>
    </row>
    <row r="8885">
      <c r="A8885" s="4" t="s">
        <v>11178</v>
      </c>
      <c r="B8885" s="4" t="s">
        <v>11179</v>
      </c>
      <c r="C8885" s="5" t="str">
        <f>IFERROR(__xludf.DUMMYFUNCTION("GOOGLETRANSLATE(B8885,""en"",""de"")"),"Drei Mädchen halten ein Seil mit einem weg, der weggeht und zwei Kriegsschlepper spielen.")</f>
        <v>Drei Mädchen halten ein Seil mit einem weg, der weggeht und zwei Kriegsschlepper spielen.</v>
      </c>
    </row>
    <row r="8886">
      <c r="A8886" s="4" t="s">
        <v>11178</v>
      </c>
      <c r="B8886" s="4" t="s">
        <v>11180</v>
      </c>
      <c r="C8886" s="5" t="str">
        <f>IFERROR(__xludf.DUMMYFUNCTION("GOOGLETRANSLATE(B8886,""en"",""de"")"),"Zwei Mädchen wechseln die Plätze und die letzten beiden treten gegeneinander gegeneinander an und spielen den vierten Platz.")</f>
        <v>Zwei Mädchen wechseln die Plätze und die letzten beiden treten gegeneinander gegeneinander an und spielen den vierten Platz.</v>
      </c>
    </row>
    <row r="8887">
      <c r="A8887" s="4" t="s">
        <v>11181</v>
      </c>
      <c r="B8887" s="4" t="s">
        <v>11182</v>
      </c>
      <c r="C8887" s="5" t="str">
        <f>IFERROR(__xludf.DUMMYFUNCTION("GOOGLETRANSLATE(B8887,""en"",""de"")"),"Ein Mädchen wird gesehen, wie sie eine lange Straße hinunter Rollerblading mit mehreren Menschen herumläuft.")</f>
        <v>Ein Mädchen wird gesehen, wie sie eine lange Straße hinunter Rollerblading mit mehreren Menschen herumläuft.</v>
      </c>
    </row>
    <row r="8888">
      <c r="A8888" s="4" t="s">
        <v>11181</v>
      </c>
      <c r="B8888" s="4" t="s">
        <v>11183</v>
      </c>
      <c r="C8888" s="5" t="str">
        <f>IFERROR(__xludf.DUMMYFUNCTION("GOOGLETRANSLATE(B8888,""en"",""de"")"),"Die Kamera zoomt in ihr Gesicht und zeigt alle Menschen in der Gegend, gefolgt von den Füßen des Kameramanns.")</f>
        <v>Die Kamera zoomt in ihr Gesicht und zeigt alle Menschen in der Gegend, gefolgt von den Füßen des Kameramanns.</v>
      </c>
    </row>
    <row r="8889">
      <c r="A8889" s="4" t="s">
        <v>11184</v>
      </c>
      <c r="B8889" s="4" t="s">
        <v>11185</v>
      </c>
      <c r="C8889" s="5" t="str">
        <f>IFERROR(__xludf.DUMMYFUNCTION("GOOGLETRANSLATE(B8889,""en"",""de"")"),"Dieser Mann trägt ein roter Tanktop, schwarze Shorts und Schuhe.")</f>
        <v>Dieser Mann trägt ein roter Tanktop, schwarze Shorts und Schuhe.</v>
      </c>
    </row>
    <row r="8890">
      <c r="A8890" s="4" t="s">
        <v>11184</v>
      </c>
      <c r="B8890" s="4" t="s">
        <v>11186</v>
      </c>
      <c r="C8890" s="5" t="str">
        <f>IFERROR(__xludf.DUMMYFUNCTION("GOOGLETRANSLATE(B8890,""en"",""de"")"),"Er läuft auf der Rennstrecke und er macht den Dreifachsprung, in dem er es fast bis zum Ende schafft.")</f>
        <v>Er läuft auf der Rennstrecke und er macht den Dreifachsprung, in dem er es fast bis zum Ende schafft.</v>
      </c>
    </row>
    <row r="8891">
      <c r="A8891" s="4" t="s">
        <v>11187</v>
      </c>
      <c r="B8891" s="4" t="s">
        <v>11188</v>
      </c>
      <c r="C8891" s="5" t="str">
        <f>IFERROR(__xludf.DUMMYFUNCTION("GOOGLETRANSLATE(B8891,""en"",""de"")"),"Eine Kamera schwenkt in einer Stadt und führt zu mehreren Klammern von Leuten, die in einem Casino spielen.")</f>
        <v>Eine Kamera schwenkt in einer Stadt und führt zu mehreren Klammern von Leuten, die in einem Casino spielen.</v>
      </c>
    </row>
    <row r="8892">
      <c r="A8892" s="4" t="s">
        <v>11187</v>
      </c>
      <c r="B8892" s="4" t="s">
        <v>11189</v>
      </c>
      <c r="C8892" s="5" t="str">
        <f>IFERROR(__xludf.DUMMYFUNCTION("GOOGLETRANSLATE(B8892,""en"",""de"")"),"Ein Mann spricht mit der Kamera und wird von den Nachrichten interviewt.")</f>
        <v>Ein Mann spricht mit der Kamera und wird von den Nachrichten interviewt.</v>
      </c>
    </row>
    <row r="8893">
      <c r="A8893" s="4" t="s">
        <v>11187</v>
      </c>
      <c r="B8893" s="4" t="s">
        <v>11190</v>
      </c>
      <c r="C8893" s="5" t="str">
        <f>IFERROR(__xludf.DUMMYFUNCTION("GOOGLETRANSLATE(B8893,""en"",""de"")"),"Weitere Männer werden gesehen, während sie Clips des Casinos zeigen.")</f>
        <v>Weitere Männer werden gesehen, während sie Clips des Casinos zeigen.</v>
      </c>
    </row>
    <row r="8894">
      <c r="A8894" s="4" t="s">
        <v>11191</v>
      </c>
      <c r="B8894" s="4" t="s">
        <v>11192</v>
      </c>
      <c r="C8894" s="5" t="str">
        <f>IFERROR(__xludf.DUMMYFUNCTION("GOOGLETRANSLATE(B8894,""en"",""de"")"),"Eine Nahaufnahme eines Waschbeckens ist mit Reinigungsmittel oben zu sehen, während die Kamera auf der Spüle zoomt.")</f>
        <v>Eine Nahaufnahme eines Waschbeckens ist mit Reinigungsmittel oben zu sehen, während die Kamera auf der Spüle zoomt.</v>
      </c>
    </row>
    <row r="8895">
      <c r="A8895" s="4" t="s">
        <v>11191</v>
      </c>
      <c r="B8895" s="4" t="s">
        <v>11193</v>
      </c>
      <c r="C8895" s="5" t="str">
        <f>IFERROR(__xludf.DUMMYFUNCTION("GOOGLETRANSLATE(B8895,""en"",""de"")"),"Eine Frau wird dann mit einem Lappen über das Waschbecken rieben und zeigt am Ende das Waschbecken.")</f>
        <v>Eine Frau wird dann mit einem Lappen über das Waschbecken rieben und zeigt am Ende das Waschbecken.</v>
      </c>
    </row>
    <row r="8896">
      <c r="A8896" s="4" t="s">
        <v>11194</v>
      </c>
      <c r="B8896" s="4" t="s">
        <v>11195</v>
      </c>
      <c r="C8896" s="5" t="str">
        <f>IFERROR(__xludf.DUMMYFUNCTION("GOOGLETRANSLATE(B8896,""en"",""de"")"),"Eine Person schiebt einen Rasenmäher über den ganzen Hof.")</f>
        <v>Eine Person schiebt einen Rasenmäher über den ganzen Hof.</v>
      </c>
    </row>
    <row r="8897">
      <c r="A8897" s="4" t="s">
        <v>11194</v>
      </c>
      <c r="B8897" s="4" t="s">
        <v>11196</v>
      </c>
      <c r="C8897" s="5" t="str">
        <f>IFERROR(__xludf.DUMMYFUNCTION("GOOGLETRANSLATE(B8897,""en"",""de"")"),"Die Person schiebt den Mäher am Rand des Gras und durch den Rest des Grass.")</f>
        <v>Die Person schiebt den Mäher am Rand des Gras und durch den Rest des Grass.</v>
      </c>
    </row>
    <row r="8898">
      <c r="A8898" s="4" t="s">
        <v>11194</v>
      </c>
      <c r="B8898" s="4" t="s">
        <v>11197</v>
      </c>
      <c r="C8898" s="5" t="str">
        <f>IFERROR(__xludf.DUMMYFUNCTION("GOOGLETRANSLATE(B8898,""en"",""de"")"),"Der Mann schnappt sich dann einen Unkrautverrücktheit und schneidet das Unkraut entlang der Kante.")</f>
        <v>Der Mann schnappt sich dann einen Unkrautverrücktheit und schneidet das Unkraut entlang der Kante.</v>
      </c>
    </row>
    <row r="8899">
      <c r="A8899" s="4" t="s">
        <v>11198</v>
      </c>
      <c r="B8899" s="4" t="s">
        <v>11199</v>
      </c>
      <c r="C8899" s="5" t="str">
        <f>IFERROR(__xludf.DUMMYFUNCTION("GOOGLETRANSLATE(B8899,""en"",""de"")"),"Ein Mann bewegt einen Fooseball -Tisch schnell wie möglich herum, während ein anderer Mann nebenbei beobachtet.")</f>
        <v>Ein Mann bewegt einen Fooseball -Tisch schnell wie möglich herum, während ein anderer Mann nebenbei beobachtet.</v>
      </c>
    </row>
    <row r="8900">
      <c r="A8900" s="4" t="s">
        <v>11198</v>
      </c>
      <c r="B8900" s="4" t="s">
        <v>11200</v>
      </c>
      <c r="C8900" s="5" t="str">
        <f>IFERROR(__xludf.DUMMYFUNCTION("GOOGLETRANSLATE(B8900,""en"",""de"")"),"Die Männer spielen dann ein Spiel gegeneinander, während man die Polen schnell bewegt.")</f>
        <v>Die Männer spielen dann ein Spiel gegeneinander, während man die Polen schnell bewegt.</v>
      </c>
    </row>
    <row r="8901">
      <c r="A8901" s="4" t="s">
        <v>11201</v>
      </c>
      <c r="B8901" s="4" t="s">
        <v>11202</v>
      </c>
      <c r="C8901" s="5" t="str">
        <f>IFERROR(__xludf.DUMMYFUNCTION("GOOGLETRANSLATE(B8901,""en"",""de"")"),"Eine große Gruppe von Tänzern steht auf einer Bühne und beginnt eine Routine durchzuführen.")</f>
        <v>Eine große Gruppe von Tänzern steht auf einer Bühne und beginnt eine Routine durchzuführen.</v>
      </c>
    </row>
    <row r="8902">
      <c r="A8902" s="4" t="s">
        <v>11201</v>
      </c>
      <c r="B8902" s="4" t="s">
        <v>11203</v>
      </c>
      <c r="C8902" s="5" t="str">
        <f>IFERROR(__xludf.DUMMYFUNCTION("GOOGLETRANSLATE(B8902,""en"",""de"")"),"Die Mädchen tanzen weiter miteinander und enden mit einer Pose.")</f>
        <v>Die Mädchen tanzen weiter miteinander und enden mit einer Pose.</v>
      </c>
    </row>
    <row r="8903">
      <c r="A8903" s="4" t="s">
        <v>11204</v>
      </c>
      <c r="B8903" s="4" t="s">
        <v>11205</v>
      </c>
      <c r="C8903" s="5" t="str">
        <f>IFERROR(__xludf.DUMMYFUNCTION("GOOGLETRANSLATE(B8903,""en"",""de"")"),"Ein Mann sitzt mit einem Akkordeian auf seinem Schoß.")</f>
        <v>Ein Mann sitzt mit einem Akkordeian auf seinem Schoß.</v>
      </c>
    </row>
    <row r="8904">
      <c r="A8904" s="4" t="s">
        <v>11204</v>
      </c>
      <c r="B8904" s="4" t="s">
        <v>11206</v>
      </c>
      <c r="C8904" s="5" t="str">
        <f>IFERROR(__xludf.DUMMYFUNCTION("GOOGLETRANSLATE(B8904,""en"",""de"")"),"Er zieht es hinein und aus, als er mit seiner anderen Hand die Tastatur spielt.")</f>
        <v>Er zieht es hinein und aus, als er mit seiner anderen Hand die Tastatur spielt.</v>
      </c>
    </row>
    <row r="8905">
      <c r="A8905" s="4" t="s">
        <v>11204</v>
      </c>
      <c r="B8905" s="4" t="s">
        <v>11207</v>
      </c>
      <c r="C8905" s="5" t="str">
        <f>IFERROR(__xludf.DUMMYFUNCTION("GOOGLETRANSLATE(B8905,""en"",""de"")"),"Er wird mit zwei verschiedenen Akkord gezeigt, während er weiter spielt.")</f>
        <v>Er wird mit zwei verschiedenen Akkord gezeigt, während er weiter spielt.</v>
      </c>
    </row>
    <row r="8906">
      <c r="A8906" s="4" t="s">
        <v>11208</v>
      </c>
      <c r="B8906" s="4" t="s">
        <v>11209</v>
      </c>
      <c r="C8906" s="5" t="str">
        <f>IFERROR(__xludf.DUMMYFUNCTION("GOOGLETRANSLATE(B8906,""en"",""de"")"),"Ein Wrestler ist in der Mitte des Rings und wartet auf seinen Gegner.")</f>
        <v>Ein Wrestler ist in der Mitte des Rings und wartet auf seinen Gegner.</v>
      </c>
    </row>
    <row r="8907">
      <c r="A8907" s="4" t="s">
        <v>11208</v>
      </c>
      <c r="B8907" s="4" t="s">
        <v>11210</v>
      </c>
      <c r="C8907" s="5" t="str">
        <f>IFERROR(__xludf.DUMMYFUNCTION("GOOGLETRANSLATE(B8907,""en"",""de"")"),"Sobald er hereinkommt, greifen sie ein Seil und beginnen, damit ein Schlepper zu spielen und sich gegenseitig zu ziehen.")</f>
        <v>Sobald er hereinkommt, greifen sie ein Seil und beginnen, damit ein Schlepper zu spielen und sich gegenseitig zu ziehen.</v>
      </c>
    </row>
    <row r="8908">
      <c r="A8908" s="4" t="s">
        <v>11208</v>
      </c>
      <c r="B8908" s="4" t="s">
        <v>11211</v>
      </c>
      <c r="C8908" s="5" t="str">
        <f>IFERROR(__xludf.DUMMYFUNCTION("GOOGLETRANSLATE(B8908,""en"",""de"")"),"Sie haben Schwierigkeiten, den anderen zu schlagen, als der rote Kopf Wrestler den anderen Fall lässt.")</f>
        <v>Sie haben Schwierigkeiten, den anderen zu schlagen, als der rote Kopf Wrestler den anderen Fall lässt.</v>
      </c>
    </row>
    <row r="8909">
      <c r="A8909" s="4" t="s">
        <v>11208</v>
      </c>
      <c r="B8909" s="4" t="s">
        <v>11212</v>
      </c>
      <c r="C8909" s="5" t="str">
        <f>IFERROR(__xludf.DUMMYFUNCTION("GOOGLETRANSLATE(B8909,""en"",""de"")"),"Er schüttelt sich, springt auf und ab und schlägt seine Hände gegen seine Brust.")</f>
        <v>Er schüttelt sich, springt auf und ab und schlägt seine Hände gegen seine Brust.</v>
      </c>
    </row>
    <row r="8910">
      <c r="A8910" s="4" t="s">
        <v>11213</v>
      </c>
      <c r="B8910" s="4" t="s">
        <v>11214</v>
      </c>
      <c r="C8910" s="5" t="str">
        <f>IFERROR(__xludf.DUMMYFUNCTION("GOOGLETRANSLATE(B8910,""en"",""de"")"),"Ein Mann kauert in einem Tanzstudio.")</f>
        <v>Ein Mann kauert in einem Tanzstudio.</v>
      </c>
    </row>
    <row r="8911">
      <c r="A8911" s="4" t="s">
        <v>11213</v>
      </c>
      <c r="B8911" s="4" t="s">
        <v>11215</v>
      </c>
      <c r="C8911" s="5" t="str">
        <f>IFERROR(__xludf.DUMMYFUNCTION("GOOGLETRANSLATE(B8911,""en"",""de"")"),"Er hebt sich auf seine Hände.")</f>
        <v>Er hebt sich auf seine Hände.</v>
      </c>
    </row>
    <row r="8912">
      <c r="A8912" s="4" t="s">
        <v>11213</v>
      </c>
      <c r="B8912" s="4" t="s">
        <v>11216</v>
      </c>
      <c r="C8912" s="5" t="str">
        <f>IFERROR(__xludf.DUMMYFUNCTION("GOOGLETRANSLATE(B8912,""en"",""de"")"),"Er hält seine Füße in die Luft.")</f>
        <v>Er hält seine Füße in die Luft.</v>
      </c>
    </row>
    <row r="8913">
      <c r="A8913" s="4" t="s">
        <v>11213</v>
      </c>
      <c r="B8913" s="4" t="s">
        <v>11217</v>
      </c>
      <c r="C8913" s="5" t="str">
        <f>IFERROR(__xludf.DUMMYFUNCTION("GOOGLETRANSLATE(B8913,""en"",""de"")"),"Dann legt er auf dem Boden auf dem Rücken.")</f>
        <v>Dann legt er auf dem Boden auf dem Rücken.</v>
      </c>
    </row>
    <row r="8914">
      <c r="A8914" s="4" t="s">
        <v>11218</v>
      </c>
      <c r="B8914" s="4" t="s">
        <v>11219</v>
      </c>
      <c r="C8914" s="5" t="str">
        <f>IFERROR(__xludf.DUMMYFUNCTION("GOOGLETRANSLATE(B8914,""en"",""de"")"),"Eine blonde Frau spielt mit Hunden, sie küsst sie und zieht sie eine Dusche, die Frau hält eine Schere und schneidet die Haare des Hundes.")</f>
        <v>Eine blonde Frau spielt mit Hunden, sie küsst sie und zieht sie eine Dusche, die Frau hält eine Schere und schneidet die Haare des Hundes.</v>
      </c>
    </row>
    <row r="8915">
      <c r="A8915" s="4" t="s">
        <v>11218</v>
      </c>
      <c r="B8915" s="4" t="s">
        <v>11220</v>
      </c>
      <c r="C8915" s="5" t="str">
        <f>IFERROR(__xludf.DUMMYFUNCTION("GOOGLETRANSLATE(B8915,""en"",""de"")"),"Die blonde Frau ist mit einem schlagfulischen weißen Hund in einem Tisch ein Tierarztpraxis.")</f>
        <v>Die blonde Frau ist mit einem schlagfulischen weißen Hund in einem Tisch ein Tierarztpraxis.</v>
      </c>
    </row>
    <row r="8916">
      <c r="A8916" s="4" t="s">
        <v>11218</v>
      </c>
      <c r="B8916" s="4" t="s">
        <v>11221</v>
      </c>
      <c r="C8916" s="5" t="str">
        <f>IFERROR(__xludf.DUMMYFUNCTION("GOOGLETRANSLATE(B8916,""en"",""de"")"),"Die Frau ist mit dem schwarzen Hund und stylt die Haare des Hundes.")</f>
        <v>Die Frau ist mit dem schwarzen Hund und stylt die Haare des Hundes.</v>
      </c>
    </row>
    <row r="8917">
      <c r="A8917" s="4" t="s">
        <v>11218</v>
      </c>
      <c r="B8917" s="4" t="s">
        <v>11222</v>
      </c>
      <c r="C8917" s="5" t="str">
        <f>IFERROR(__xludf.DUMMYFUNCTION("GOOGLETRANSLATE(B8917,""en"",""de"")"),"Frau zeigt ihre Diplome und Auszeichnungen und ist mit einem weißen Pfütze, der ihre Haare kämmt.")</f>
        <v>Frau zeigt ihre Diplome und Auszeichnungen und ist mit einem weißen Pfütze, der ihre Haare kämmt.</v>
      </c>
    </row>
    <row r="8918">
      <c r="A8918" s="4" t="s">
        <v>11218</v>
      </c>
      <c r="B8918" s="4" t="s">
        <v>11223</v>
      </c>
      <c r="C8918" s="5" t="str">
        <f>IFERROR(__xludf.DUMMYFUNCTION("GOOGLETRANSLATE(B8918,""en"",""de"")"),"Frau kämmt die Haare des schwarzen Hundes und spielt damit.")</f>
        <v>Frau kämmt die Haare des schwarzen Hundes und spielt damit.</v>
      </c>
    </row>
    <row r="8919">
      <c r="A8919" s="4" t="s">
        <v>11218</v>
      </c>
      <c r="B8919" s="4" t="s">
        <v>11224</v>
      </c>
      <c r="C8919" s="5" t="str">
        <f>IFERROR(__xludf.DUMMYFUNCTION("GOOGLETRANSLATE(B8919,""en"",""de"")"),"Frau hält die weiße Hundebote und schneidet ihre Nägel.")</f>
        <v>Frau hält die weiße Hundebote und schneidet ihre Nägel.</v>
      </c>
    </row>
    <row r="8920">
      <c r="A8920" s="4" t="s">
        <v>11218</v>
      </c>
      <c r="B8920" s="4" t="s">
        <v>11225</v>
      </c>
      <c r="C8920" s="5" t="str">
        <f>IFERROR(__xludf.DUMMYFUNCTION("GOOGLETRANSLATE(B8920,""en"",""de"")"),"Frau ist mit dem schwarzen Hund, der ihm dusche und seine Haare stylen.")</f>
        <v>Frau ist mit dem schwarzen Hund, der ihm dusche und seine Haare stylen.</v>
      </c>
    </row>
    <row r="8921">
      <c r="A8921" s="4" t="s">
        <v>11218</v>
      </c>
      <c r="B8921" s="4" t="s">
        <v>11226</v>
      </c>
      <c r="C8921" s="5" t="str">
        <f>IFERROR(__xludf.DUMMYFUNCTION("GOOGLETRANSLATE(B8921,""en"",""de"")"),"Frau spricht im Boden, während eine blonde Frau eine weiße Pfütze kämmt.")</f>
        <v>Frau spricht im Boden, während eine blonde Frau eine weiße Pfütze kämmt.</v>
      </c>
    </row>
    <row r="8922">
      <c r="A8922" s="4" t="s">
        <v>11218</v>
      </c>
      <c r="B8922" s="4" t="s">
        <v>11227</v>
      </c>
      <c r="C8922" s="5" t="str">
        <f>IFERROR(__xludf.DUMMYFUNCTION("GOOGLETRANSLATE(B8922,""en"",""de"")"),"Die blonde Frau hält die weiße Pfütze und spricht mit der Kamera, die dem Hundesalon weiß, wie die Hunde kämmen und duschen.")</f>
        <v>Die blonde Frau hält die weiße Pfütze und spricht mit der Kamera, die dem Hundesalon weiß, wie die Hunde kämmen und duschen.</v>
      </c>
    </row>
    <row r="8923">
      <c r="A8923" s="4" t="s">
        <v>11228</v>
      </c>
      <c r="B8923" s="4" t="s">
        <v>11229</v>
      </c>
      <c r="C8923" s="5" t="str">
        <f>IFERROR(__xludf.DUMMYFUNCTION("GOOGLETRANSLATE(B8923,""en"",""de"")"),"Ein Athlet steht bereit, einen Stangen zu halten, und läuft über einen Strahl über eine große Strecke hinunter.")</f>
        <v>Ein Athlet steht bereit, einen Stangen zu halten, und läuft über einen Strahl über eine große Strecke hinunter.</v>
      </c>
    </row>
    <row r="8924">
      <c r="A8924" s="4" t="s">
        <v>11228</v>
      </c>
      <c r="B8924" s="4" t="s">
        <v>11230</v>
      </c>
      <c r="C8924" s="5" t="str">
        <f>IFERROR(__xludf.DUMMYFUNCTION("GOOGLETRANSLATE(B8924,""en"",""de"")"),"Die Frau springt dann über den Balken und wirft ihre Arme in die Luft, um das Feld zu feiern und zu rennen.")</f>
        <v>Die Frau springt dann über den Balken und wirft ihre Arme in die Luft, um das Feld zu feiern und zu rennen.</v>
      </c>
    </row>
    <row r="8925">
      <c r="A8925" s="4" t="s">
        <v>11228</v>
      </c>
      <c r="B8925" s="4" t="s">
        <v>11231</v>
      </c>
      <c r="C8925" s="5" t="str">
        <f>IFERROR(__xludf.DUMMYFUNCTION("GOOGLETRANSLATE(B8925,""en"",""de"")"),"Die Frau feiert auf der Matte, während sie feiert und endet mit ihrem erneut gezeigten Sprung und ihr vor ihrer Punktzahl.")</f>
        <v>Die Frau feiert auf der Matte, während sie feiert und endet mit ihrem erneut gezeigten Sprung und ihr vor ihrer Punktzahl.</v>
      </c>
    </row>
    <row r="8926">
      <c r="A8926" s="4" t="s">
        <v>11232</v>
      </c>
      <c r="B8926" s="4" t="s">
        <v>11233</v>
      </c>
      <c r="C8926" s="5" t="str">
        <f>IFERROR(__xludf.DUMMYFUNCTION("GOOGLETRANSLATE(B8926,""en"",""de"")"),"Eine junge Frau steht neben einem Pferd und spricht mit einer kleinen Gruppe.")</f>
        <v>Eine junge Frau steht neben einem Pferd und spricht mit einer kleinen Gruppe.</v>
      </c>
    </row>
    <row r="8927">
      <c r="A8927" s="4" t="s">
        <v>11232</v>
      </c>
      <c r="B8927" s="4" t="s">
        <v>11234</v>
      </c>
      <c r="C8927" s="5" t="str">
        <f>IFERROR(__xludf.DUMMYFUNCTION("GOOGLETRANSLATE(B8927,""en"",""de"")"),"Sie schiebt das Pferd ein wenig und beginnt, es Schwanz zu bürsten, während sie immer noch mit der Gruppe spricht.")</f>
        <v>Sie schiebt das Pferd ein wenig und beginnt, es Schwanz zu bürsten, während sie immer noch mit der Gruppe spricht.</v>
      </c>
    </row>
    <row r="8928">
      <c r="A8928" s="4" t="s">
        <v>11232</v>
      </c>
      <c r="B8928" s="4" t="s">
        <v>11235</v>
      </c>
      <c r="C8928" s="5" t="str">
        <f>IFERROR(__xludf.DUMMYFUNCTION("GOOGLETRANSLATE(B8928,""en"",""de"")"),"Sie hört auf, während sie mit der Gruppe zu bürsten und weggeht.")</f>
        <v>Sie hört auf, während sie mit der Gruppe zu bürsten und weggeht.</v>
      </c>
    </row>
    <row r="8929">
      <c r="A8929" s="4" t="s">
        <v>11236</v>
      </c>
      <c r="B8929" s="4" t="s">
        <v>11237</v>
      </c>
      <c r="C8929" s="5" t="str">
        <f>IFERROR(__xludf.DUMMYFUNCTION("GOOGLETRANSLATE(B8929,""en"",""de"")"),"Ein leicht rotender Mann steht in einer Küche und hält eine Dose Getränk.")</f>
        <v>Ein leicht rotender Mann steht in einer Küche und hält eine Dose Getränk.</v>
      </c>
    </row>
    <row r="8930">
      <c r="A8930" s="4" t="s">
        <v>11236</v>
      </c>
      <c r="B8930" s="4" t="s">
        <v>11238</v>
      </c>
      <c r="C8930" s="5" t="str">
        <f>IFERROR(__xludf.DUMMYFUNCTION("GOOGLETRANSLATE(B8930,""en"",""de"")"),"Der Mann lacht und spricht mit der Kamera über die Dose in seiner Hand.")</f>
        <v>Der Mann lacht und spricht mit der Kamera über die Dose in seiner Hand.</v>
      </c>
    </row>
    <row r="8931">
      <c r="A8931" s="4" t="s">
        <v>11236</v>
      </c>
      <c r="B8931" s="4" t="s">
        <v>11239</v>
      </c>
      <c r="C8931" s="5" t="str">
        <f>IFERROR(__xludf.DUMMYFUNCTION("GOOGLETRANSLATE(B8931,""en"",""de"")"),"Er gießt das Getränk in ein Glas und trinkt es zusammen mit einem männlichen Freund.")</f>
        <v>Er gießt das Getränk in ein Glas und trinkt es zusammen mit einem männlichen Freund.</v>
      </c>
    </row>
    <row r="8932">
      <c r="A8932" s="4" t="s">
        <v>11236</v>
      </c>
      <c r="B8932" s="4" t="s">
        <v>11240</v>
      </c>
      <c r="C8932" s="5" t="str">
        <f>IFERROR(__xludf.DUMMYFUNCTION("GOOGLETRANSLATE(B8932,""en"",""de"")"),"Die beiden Männer trinken den Inhalt ihrer Brille, während sie sprechen.")</f>
        <v>Die beiden Männer trinken den Inhalt ihrer Brille, während sie sprechen.</v>
      </c>
    </row>
    <row r="8933">
      <c r="A8933" s="4" t="s">
        <v>11241</v>
      </c>
      <c r="B8933" s="4" t="s">
        <v>11242</v>
      </c>
      <c r="C8933" s="5" t="str">
        <f>IFERROR(__xludf.DUMMYFUNCTION("GOOGLETRANSLATE(B8933,""en"",""de"")"),"Eine Frau spricht mit der Kamera und legt ihre Hände über eine Hose auf einem Bügeltisch.")</f>
        <v>Eine Frau spricht mit der Kamera und legt ihre Hände über eine Hose auf einem Bügeltisch.</v>
      </c>
    </row>
    <row r="8934">
      <c r="A8934" s="4" t="s">
        <v>11241</v>
      </c>
      <c r="B8934" s="4" t="s">
        <v>11243</v>
      </c>
      <c r="C8934" s="5" t="str">
        <f>IFERROR(__xludf.DUMMYFUNCTION("GOOGLETRANSLATE(B8934,""en"",""de"")"),"Sie beginnt die Hose und endet, indem sie die Falte zeigt, die sie in der Mitte gemacht hat.")</f>
        <v>Sie beginnt die Hose und endet, indem sie die Falte zeigt, die sie in der Mitte gemacht hat.</v>
      </c>
    </row>
    <row r="8935">
      <c r="A8935" s="4" t="s">
        <v>11244</v>
      </c>
      <c r="B8935" s="4" t="s">
        <v>11245</v>
      </c>
      <c r="C8935" s="5" t="str">
        <f>IFERROR(__xludf.DUMMYFUNCTION("GOOGLETRANSLATE(B8935,""en"",""de"")"),"In einer Küche steht ein Mann und wäscht seine Hände im Stahlspülbecken.")</f>
        <v>In einer Küche steht ein Mann und wäscht seine Hände im Stahlspülbecken.</v>
      </c>
    </row>
    <row r="8936">
      <c r="A8936" s="4" t="s">
        <v>11244</v>
      </c>
      <c r="B8936" s="4" t="s">
        <v>11246</v>
      </c>
      <c r="C8936" s="5" t="str">
        <f>IFERROR(__xludf.DUMMYFUNCTION("GOOGLETRANSLATE(B8936,""en"",""de"")"),"Er nimmt eine Pumpe aus der flüssigen Handseife aus dem Waschbecken.")</f>
        <v>Er nimmt eine Pumpe aus der flüssigen Handseife aus dem Waschbecken.</v>
      </c>
    </row>
    <row r="8937">
      <c r="A8937" s="4" t="s">
        <v>11244</v>
      </c>
      <c r="B8937" s="4" t="s">
        <v>11247</v>
      </c>
      <c r="C8937" s="5" t="str">
        <f>IFERROR(__xludf.DUMMYFUNCTION("GOOGLETRANSLATE(B8937,""en"",""de"")"),"Dann schaltet er das Wasser ein und wäscht seine Hände.")</f>
        <v>Dann schaltet er das Wasser ein und wäscht seine Hände.</v>
      </c>
    </row>
    <row r="8938">
      <c r="A8938" s="4" t="s">
        <v>11244</v>
      </c>
      <c r="B8938" s="4" t="s">
        <v>11248</v>
      </c>
      <c r="C8938" s="5" t="str">
        <f>IFERROR(__xludf.DUMMYFUNCTION("GOOGLETRANSLATE(B8938,""en"",""de"")"),"Nachdem er das Waschen abgeschlossen hat, benutzt er ein weißes Handtuch, das neben dem Waschbecken auf der Theke liegt.")</f>
        <v>Nachdem er das Waschen abgeschlossen hat, benutzt er ein weißes Handtuch, das neben dem Waschbecken auf der Theke liegt.</v>
      </c>
    </row>
    <row r="8939">
      <c r="A8939" s="4" t="s">
        <v>11249</v>
      </c>
      <c r="B8939" s="4" t="s">
        <v>11250</v>
      </c>
      <c r="C8939" s="5" t="str">
        <f>IFERROR(__xludf.DUMMYFUNCTION("GOOGLETRANSLATE(B8939,""en"",""de"")"),"Ein Mann benutzt eine Shisha in einem Raum.")</f>
        <v>Ein Mann benutzt eine Shisha in einem Raum.</v>
      </c>
    </row>
    <row r="8940">
      <c r="A8940" s="4" t="s">
        <v>11249</v>
      </c>
      <c r="B8940" s="4" t="s">
        <v>11251</v>
      </c>
      <c r="C8940" s="5" t="str">
        <f>IFERROR(__xludf.DUMMYFUNCTION("GOOGLETRANSLATE(B8940,""en"",""de"")"),"Er dreht sich um und bläst eine Rauchsäule.")</f>
        <v>Er dreht sich um und bläst eine Rauchsäule.</v>
      </c>
    </row>
    <row r="8941">
      <c r="A8941" s="4" t="s">
        <v>11249</v>
      </c>
      <c r="B8941" s="4" t="s">
        <v>11252</v>
      </c>
      <c r="C8941" s="5" t="str">
        <f>IFERROR(__xludf.DUMMYFUNCTION("GOOGLETRANSLATE(B8941,""en"",""de"")"),"Ein anderer Mann nimmt die Shisha und nimmt ebenfalls einen Treffer.")</f>
        <v>Ein anderer Mann nimmt die Shisha und nimmt ebenfalls einen Treffer.</v>
      </c>
    </row>
    <row r="8942">
      <c r="A8942" s="4" t="s">
        <v>11253</v>
      </c>
      <c r="B8942" s="4" t="s">
        <v>11254</v>
      </c>
      <c r="C8942" s="5" t="str">
        <f>IFERROR(__xludf.DUMMYFUNCTION("GOOGLETRANSLATE(B8942,""en"",""de"")"),"Ein Mädchen demonstriert mehrere fortgeschrittene Tanz und Gymnastikbewegungen an vielen verschiedenen Orten in einer Stadt.")</f>
        <v>Ein Mädchen demonstriert mehrere fortgeschrittene Tanz und Gymnastikbewegungen an vielen verschiedenen Orten in einer Stadt.</v>
      </c>
    </row>
    <row r="8943">
      <c r="A8943" s="4" t="s">
        <v>11253</v>
      </c>
      <c r="B8943" s="4" t="s">
        <v>11255</v>
      </c>
      <c r="C8943" s="5" t="str">
        <f>IFERROR(__xludf.DUMMYFUNCTION("GOOGLETRANSLATE(B8943,""en"",""de"")"),"Ein Mädchen steht auf einem grasgedeckten Feld und asphaltierten Bürgersteig und führt mehrere Gymnastikflips und Cheerleaderbewegungen durch.")</f>
        <v>Ein Mädchen steht auf einem grasgedeckten Feld und asphaltierten Bürgersteig und führt mehrere Gymnastikflips und Cheerleaderbewegungen durch.</v>
      </c>
    </row>
    <row r="8944">
      <c r="A8944" s="4" t="s">
        <v>11253</v>
      </c>
      <c r="B8944" s="4" t="s">
        <v>11256</v>
      </c>
      <c r="C8944" s="5" t="str">
        <f>IFERROR(__xludf.DUMMYFUNCTION("GOOGLETRANSLATE(B8944,""en"",""de"")"),"Das Mädchen kehrt dann ins Gras zurück und macht mehrere fortgeschrittene Backflips.")</f>
        <v>Das Mädchen kehrt dann ins Gras zurück und macht mehrere fortgeschrittene Backflips.</v>
      </c>
    </row>
    <row r="8945">
      <c r="A8945" s="4" t="s">
        <v>11253</v>
      </c>
      <c r="B8945" s="4" t="s">
        <v>11257</v>
      </c>
      <c r="C8945" s="5" t="str">
        <f>IFERROR(__xludf.DUMMYFUNCTION("GOOGLETRANSLATE(B8945,""en"",""de"")"),"Das Mädchen kommt zu einem hölzernen Gehweg und führt Tanzbewegungen durch und führt einen wandelnden Handstand an einem anderen Ort aus.")</f>
        <v>Das Mädchen kommt zu einem hölzernen Gehweg und führt Tanzbewegungen durch und führt einen wandelnden Handstand an einem anderen Ort aus.</v>
      </c>
    </row>
    <row r="8946">
      <c r="A8946" s="4" t="s">
        <v>11253</v>
      </c>
      <c r="B8946" s="4" t="s">
        <v>11258</v>
      </c>
      <c r="C8946" s="5" t="str">
        <f>IFERROR(__xludf.DUMMYFUNCTION("GOOGLETRANSLATE(B8946,""en"",""de"")"),"Das Video endet schließlich mit dem Mädchen, das Tanzbewegungen in einem Tunnel und Bürgersteig ausführt.")</f>
        <v>Das Video endet schließlich mit dem Mädchen, das Tanzbewegungen in einem Tunnel und Bürgersteig ausführt.</v>
      </c>
    </row>
    <row r="8947">
      <c r="A8947" s="4" t="s">
        <v>11259</v>
      </c>
      <c r="B8947" s="4" t="s">
        <v>11260</v>
      </c>
      <c r="C8947" s="5" t="str">
        <f>IFERROR(__xludf.DUMMYFUNCTION("GOOGLETRANSLATE(B8947,""en"",""de"")"),"Ein Mann schneidet seinen Bart mit einer Schere.")</f>
        <v>Ein Mann schneidet seinen Bart mit einer Schere.</v>
      </c>
    </row>
    <row r="8948">
      <c r="A8948" s="4" t="s">
        <v>11259</v>
      </c>
      <c r="B8948" s="4" t="s">
        <v>11261</v>
      </c>
      <c r="C8948" s="5" t="str">
        <f>IFERROR(__xludf.DUMMYFUNCTION("GOOGLETRANSLATE(B8948,""en"",""de"")"),"Er benutzt einen Rasierer, um den Bart abzuwehren.")</f>
        <v>Er benutzt einen Rasierer, um den Bart abzuwehren.</v>
      </c>
    </row>
    <row r="8949">
      <c r="A8949" s="4" t="s">
        <v>11259</v>
      </c>
      <c r="B8949" s="4" t="s">
        <v>11262</v>
      </c>
      <c r="C8949" s="5" t="str">
        <f>IFERROR(__xludf.DUMMYFUNCTION("GOOGLETRANSLATE(B8949,""en"",""de"")"),"Er sammelt die Haare im Waschbecken.")</f>
        <v>Er sammelt die Haare im Waschbecken.</v>
      </c>
    </row>
    <row r="8950">
      <c r="A8950" s="4" t="s">
        <v>11259</v>
      </c>
      <c r="B8950" s="4" t="s">
        <v>11263</v>
      </c>
      <c r="C8950" s="5" t="str">
        <f>IFERROR(__xludf.DUMMYFUNCTION("GOOGLETRANSLATE(B8950,""en"",""de"")"),"Er legt Rasiercreme ins Gesicht und benutzt einen Rasierer, um das Rasur zu beenden.")</f>
        <v>Er legt Rasiercreme ins Gesicht und benutzt einen Rasierer, um das Rasur zu beenden.</v>
      </c>
    </row>
    <row r="8951">
      <c r="A8951" s="4" t="s">
        <v>11259</v>
      </c>
      <c r="B8951" s="4" t="s">
        <v>11264</v>
      </c>
      <c r="C8951" s="5" t="str">
        <f>IFERROR(__xludf.DUMMYFUNCTION("GOOGLETRANSLATE(B8951,""en"",""de"")"),"Er wischt sich das Gesicht mit einem Handtuch ab.")</f>
        <v>Er wischt sich das Gesicht mit einem Handtuch ab.</v>
      </c>
    </row>
    <row r="8952">
      <c r="A8952" s="4" t="s">
        <v>11259</v>
      </c>
      <c r="B8952" s="4" t="s">
        <v>11265</v>
      </c>
      <c r="C8952" s="5" t="str">
        <f>IFERROR(__xludf.DUMMYFUNCTION("GOOGLETRANSLATE(B8952,""en"",""de"")"),"Er lächelt und gibt einen Daumen hoch.")</f>
        <v>Er lächelt und gibt einen Daumen hoch.</v>
      </c>
    </row>
    <row r="8953">
      <c r="A8953" s="4" t="s">
        <v>11266</v>
      </c>
      <c r="B8953" s="4" t="s">
        <v>11267</v>
      </c>
      <c r="C8953" s="5" t="str">
        <f>IFERROR(__xludf.DUMMYFUNCTION("GOOGLETRANSLATE(B8953,""en"",""de"")"),"Ein Mann läuft zwei Straßen in einem Marathon in einer Stadt, als Zuschauer von der Seitenlinie Jubel und Klatschen.")</f>
        <v>Ein Mann läuft zwei Straßen in einem Marathon in einer Stadt, als Zuschauer von der Seitenlinie Jubel und Klatschen.</v>
      </c>
    </row>
    <row r="8954">
      <c r="A8954" s="4" t="s">
        <v>11266</v>
      </c>
      <c r="B8954" s="4" t="s">
        <v>11268</v>
      </c>
      <c r="C8954" s="5" t="str">
        <f>IFERROR(__xludf.DUMMYFUNCTION("GOOGLETRANSLATE(B8954,""en"",""de"")"),"Ein Mann in schwarzen Shorts mit einer Zahl, die an seiner Brust festgehalten wird, läuft in einem Marathon eine Stadtstraße entlang.")</f>
        <v>Ein Mann in schwarzen Shorts mit einer Zahl, die an seiner Brust festgehalten wird, läuft in einem Marathon eine Stadtstraße entlang.</v>
      </c>
    </row>
    <row r="8955">
      <c r="A8955" s="4" t="s">
        <v>11266</v>
      </c>
      <c r="B8955" s="4" t="s">
        <v>11269</v>
      </c>
      <c r="C8955" s="5" t="str">
        <f>IFERROR(__xludf.DUMMYFUNCTION("GOOGLETRANSLATE(B8955,""en"",""de"")"),"Menschen am Rande klatschen für den Mann und lächeln, während er weiter rennt.")</f>
        <v>Menschen am Rande klatschen für den Mann und lächeln, während er weiter rennt.</v>
      </c>
    </row>
    <row r="8956">
      <c r="A8956" s="4" t="s">
        <v>11266</v>
      </c>
      <c r="B8956" s="4" t="s">
        <v>11270</v>
      </c>
      <c r="C8956" s="5" t="str">
        <f>IFERROR(__xludf.DUMMYFUNCTION("GOOGLETRANSLATE(B8956,""en"",""de"")"),"Der Mann läuft eine andere Straße hinunter, in der er eine kurze Zeit hinter einem Fahrradfahrer läuft, und als Motorradfahrer hinter ihm in der Nähe des Bürgersteigs, der eine Metallbarriere hat, läuft über die Länge.")</f>
        <v>Der Mann läuft eine andere Straße hinunter, in der er eine kurze Zeit hinter einem Fahrradfahrer läuft, und als Motorradfahrer hinter ihm in der Nähe des Bürgersteigs, der eine Metallbarriere hat, läuft über die Länge.</v>
      </c>
    </row>
    <row r="8957">
      <c r="A8957" s="4" t="s">
        <v>11271</v>
      </c>
      <c r="B8957" s="4" t="s">
        <v>11272</v>
      </c>
      <c r="C8957" s="5" t="str">
        <f>IFERROR(__xludf.DUMMYFUNCTION("GOOGLETRANSLATE(B8957,""en"",""de"")"),"Lindsay Stirling, ein Geiger, spielt live mit einigen anderen Teilnehmern auf einer Bühne vor dem Publikum.")</f>
        <v>Lindsay Stirling, ein Geiger, spielt live mit einigen anderen Teilnehmern auf einer Bühne vor dem Publikum.</v>
      </c>
    </row>
    <row r="8958">
      <c r="A8958" s="4" t="s">
        <v>11271</v>
      </c>
      <c r="B8958" s="4" t="s">
        <v>11273</v>
      </c>
      <c r="C8958" s="5" t="str">
        <f>IFERROR(__xludf.DUMMYFUNCTION("GOOGLETRANSLATE(B8958,""en"",""de"")"),"Sie beginnt damit, die Geige zu spielen, während die anderen Darsteller choreografiert tanzen.")</f>
        <v>Sie beginnt damit, die Geige zu spielen, während die anderen Darsteller choreografiert tanzen.</v>
      </c>
    </row>
    <row r="8959">
      <c r="A8959" s="4" t="s">
        <v>11271</v>
      </c>
      <c r="B8959" s="4" t="s">
        <v>11274</v>
      </c>
      <c r="C8959" s="5" t="str">
        <f>IFERROR(__xludf.DUMMYFUNCTION("GOOGLETRANSLATE(B8959,""en"",""de"")"),"Die Geigerin tanzt, als sie zusammen mit fünf anderen Tänzern das Instrument spielt.")</f>
        <v>Die Geigerin tanzt, als sie zusammen mit fünf anderen Tänzern das Instrument spielt.</v>
      </c>
    </row>
    <row r="8960">
      <c r="A8960" s="4" t="s">
        <v>11271</v>
      </c>
      <c r="B8960" s="4" t="s">
        <v>11275</v>
      </c>
      <c r="C8960" s="5" t="str">
        <f>IFERROR(__xludf.DUMMYFUNCTION("GOOGLETRANSLATE(B8960,""en"",""de"")"),"Sie tanzen in einem modernen und Hip -Hop -Stil des Tanzes.")</f>
        <v>Sie tanzen in einem modernen und Hip -Hop -Stil des Tanzes.</v>
      </c>
    </row>
    <row r="8961">
      <c r="A8961" s="4" t="s">
        <v>11271</v>
      </c>
      <c r="B8961" s="4" t="s">
        <v>11276</v>
      </c>
      <c r="C8961" s="5" t="str">
        <f>IFERROR(__xludf.DUMMYFUNCTION("GOOGLETRANSLATE(B8961,""en"",""de"")"),"Dann bleiben nur zwei der Tänzer mit dem Geiger auf der Bühne und tanzen im Salsa -Stil.")</f>
        <v>Dann bleiben nur zwei der Tänzer mit dem Geiger auf der Bühne und tanzen im Salsa -Stil.</v>
      </c>
    </row>
    <row r="8962">
      <c r="A8962" s="4" t="s">
        <v>11271</v>
      </c>
      <c r="B8962" s="4" t="s">
        <v>11277</v>
      </c>
      <c r="C8962" s="5" t="str">
        <f>IFERROR(__xludf.DUMMYFUNCTION("GOOGLETRANSLATE(B8962,""en"",""de"")"),"Nachdem sie die Bühne verlassen haben, macht einer der männlichen Tänzer einen modernen Tanzstil, als er sich auf den Knien dreht.")</f>
        <v>Nachdem sie die Bühne verlassen haben, macht einer der männlichen Tänzer einen modernen Tanzstil, als er sich auf den Knien dreht.</v>
      </c>
    </row>
    <row r="8963">
      <c r="A8963" s="4" t="s">
        <v>11271</v>
      </c>
      <c r="B8963" s="4" t="s">
        <v>11278</v>
      </c>
      <c r="C8963" s="5" t="str">
        <f>IFERROR(__xludf.DUMMYFUNCTION("GOOGLETRANSLATE(B8963,""en"",""de"")"),"Dann kommt das gesamte Tanzteam auf die Bühne und tanzt weiter in koordinierten Schritten, während der Geiger zusammen mit ihnen spielt und tanzt.")</f>
        <v>Dann kommt das gesamte Tanzteam auf die Bühne und tanzt weiter in koordinierten Schritten, während der Geiger zusammen mit ihnen spielt und tanzt.</v>
      </c>
    </row>
    <row r="8964">
      <c r="A8964" s="4" t="s">
        <v>11271</v>
      </c>
      <c r="B8964" s="4" t="s">
        <v>11279</v>
      </c>
      <c r="C8964" s="5" t="str">
        <f>IFERROR(__xludf.DUMMYFUNCTION("GOOGLETRANSLATE(B8964,""en"",""de"")"),"Dann verlassen sie die Bühne mit nur der Geigerin, die auftritt, während sie weiter tanzt und das Instrument spielt.")</f>
        <v>Dann verlassen sie die Bühne mit nur der Geigerin, die auftritt, während sie weiter tanzt und das Instrument spielt.</v>
      </c>
    </row>
    <row r="8965">
      <c r="A8965" s="4" t="s">
        <v>11280</v>
      </c>
      <c r="B8965" s="4" t="s">
        <v>11281</v>
      </c>
      <c r="C8965" s="5" t="str">
        <f>IFERROR(__xludf.DUMMYFUNCTION("GOOGLETRANSLATE(B8965,""en"",""de"")"),"Ein Gewichtheber bereitet sich auf seinen ersten Aufzug vor.")</f>
        <v>Ein Gewichtheber bereitet sich auf seinen ersten Aufzug vor.</v>
      </c>
    </row>
    <row r="8966">
      <c r="A8966" s="4" t="s">
        <v>11280</v>
      </c>
      <c r="B8966" s="4" t="s">
        <v>11282</v>
      </c>
      <c r="C8966" s="5" t="str">
        <f>IFERROR(__xludf.DUMMYFUNCTION("GOOGLETRANSLATE(B8966,""en"",""de"")"),"Freunde schauen sich an und ein Filme.")</f>
        <v>Freunde schauen sich an und ein Filme.</v>
      </c>
    </row>
    <row r="8967">
      <c r="A8967" s="4" t="s">
        <v>11280</v>
      </c>
      <c r="B8967" s="4" t="s">
        <v>11283</v>
      </c>
      <c r="C8967" s="5" t="str">
        <f>IFERROR(__xludf.DUMMYFUNCTION("GOOGLETRANSLATE(B8967,""en"",""de"")"),"Er hockt und hebt die Bar.")</f>
        <v>Er hockt und hebt die Bar.</v>
      </c>
    </row>
    <row r="8968">
      <c r="A8968" s="4" t="s">
        <v>11280</v>
      </c>
      <c r="B8968" s="4" t="s">
        <v>11284</v>
      </c>
      <c r="C8968" s="5" t="str">
        <f>IFERROR(__xludf.DUMMYFUNCTION("GOOGLETRANSLATE(B8968,""en"",""de"")"),"Er hält es für einen Moment und lässt es dann fallen.")</f>
        <v>Er hält es für einen Moment und lässt es dann fallen.</v>
      </c>
    </row>
    <row r="8969">
      <c r="A8969" s="4" t="s">
        <v>11280</v>
      </c>
      <c r="B8969" s="4" t="s">
        <v>11285</v>
      </c>
      <c r="C8969" s="5" t="str">
        <f>IFERROR(__xludf.DUMMYFUNCTION("GOOGLETRANSLATE(B8969,""en"",""de"")"),"Er beginnt von vorne und vervollständigt einen zweiten Aufzug.")</f>
        <v>Er beginnt von vorne und vervollständigt einen zweiten Aufzug.</v>
      </c>
    </row>
    <row r="8970">
      <c r="A8970" s="4" t="s">
        <v>11286</v>
      </c>
      <c r="B8970" s="4" t="s">
        <v>11287</v>
      </c>
      <c r="C8970" s="5" t="str">
        <f>IFERROR(__xludf.DUMMYFUNCTION("GOOGLETRANSLATE(B8970,""en"",""de"")"),"Eine Gruppe von Menschen steht auf einem Feld, als ein Mann mit einem Fußball auf eine Frau auftritt.")</f>
        <v>Eine Gruppe von Menschen steht auf einem Feld, als ein Mann mit einem Fußball auf eine Frau auftritt.</v>
      </c>
    </row>
    <row r="8971">
      <c r="A8971" s="4" t="s">
        <v>11286</v>
      </c>
      <c r="B8971" s="4" t="s">
        <v>11288</v>
      </c>
      <c r="C8971" s="5" t="str">
        <f>IFERROR(__xludf.DUMMYFUNCTION("GOOGLETRANSLATE(B8971,""en"",""de"")"),"Ein Mädchen schwingt einen anderen herum, während ein Mann einen Ball schnappt und ihn zum anderen wirft.")</f>
        <v>Ein Mädchen schwingt einen anderen herum, während ein Mann einen Ball schnappt und ihn zum anderen wirft.</v>
      </c>
    </row>
    <row r="8972">
      <c r="A8972" s="4" t="s">
        <v>11289</v>
      </c>
      <c r="B8972" s="4" t="s">
        <v>11290</v>
      </c>
      <c r="C8972" s="5" t="str">
        <f>IFERROR(__xludf.DUMMYFUNCTION("GOOGLETRANSLATE(B8972,""en"",""de"")"),"Eine Frau hält eine Katze in ihrem Schoß.")</f>
        <v>Eine Frau hält eine Katze in ihrem Schoß.</v>
      </c>
    </row>
    <row r="8973">
      <c r="A8973" s="4" t="s">
        <v>11289</v>
      </c>
      <c r="B8973" s="4" t="s">
        <v>11291</v>
      </c>
      <c r="C8973" s="5" t="str">
        <f>IFERROR(__xludf.DUMMYFUNCTION("GOOGLETRANSLATE(B8973,""en"",""de"")"),"Die Katze schlägt auf das Paar Trimmer in der Hand.")</f>
        <v>Die Katze schlägt auf das Paar Trimmer in der Hand.</v>
      </c>
    </row>
    <row r="8974">
      <c r="A8974" s="4" t="s">
        <v>11289</v>
      </c>
      <c r="B8974" s="4" t="s">
        <v>11292</v>
      </c>
      <c r="C8974" s="5" t="str">
        <f>IFERROR(__xludf.DUMMYFUNCTION("GOOGLETRANSLATE(B8974,""en"",""de"")"),"Sie benutzt die Trimmer, um die Nägel der Katze einzeln zu schneiden.")</f>
        <v>Sie benutzt die Trimmer, um die Nägel der Katze einzeln zu schneiden.</v>
      </c>
    </row>
    <row r="8975">
      <c r="A8975" s="4" t="s">
        <v>11293</v>
      </c>
      <c r="B8975" s="4" t="s">
        <v>11294</v>
      </c>
      <c r="C8975" s="5" t="str">
        <f>IFERROR(__xludf.DUMMYFUNCTION("GOOGLETRANSLATE(B8975,""en"",""de"")"),"Eine Person geht zu einem Staubsauger und nimmt den Zauberstab auf.")</f>
        <v>Eine Person geht zu einem Staubsauger und nimmt den Zauberstab auf.</v>
      </c>
    </row>
    <row r="8976">
      <c r="A8976" s="4" t="s">
        <v>11293</v>
      </c>
      <c r="B8976" s="4" t="s">
        <v>11295</v>
      </c>
      <c r="C8976" s="5" t="str">
        <f>IFERROR(__xludf.DUMMYFUNCTION("GOOGLETRANSLATE(B8976,""en"",""de"")"),"Die Person sehnt einen Teppich im Flur eines Hauses.")</f>
        <v>Die Person sehnt einen Teppich im Flur eines Hauses.</v>
      </c>
    </row>
    <row r="8977">
      <c r="A8977" s="4" t="s">
        <v>11293</v>
      </c>
      <c r="B8977" s="4" t="s">
        <v>11296</v>
      </c>
      <c r="C8977" s="5" t="str">
        <f>IFERROR(__xludf.DUMMYFUNCTION("GOOGLETRANSLATE(B8977,""en"",""de"")"),"Die Person schaltet das Vakuum aus und ersetzt den Befestigung durch eine größere für Teppiche.")</f>
        <v>Die Person schaltet das Vakuum aus und ersetzt den Befestigung durch eine größere für Teppiche.</v>
      </c>
    </row>
    <row r="8978">
      <c r="A8978" s="4" t="s">
        <v>11293</v>
      </c>
      <c r="B8978" s="4" t="s">
        <v>11297</v>
      </c>
      <c r="C8978" s="5" t="str">
        <f>IFERROR(__xludf.DUMMYFUNCTION("GOOGLETRANSLATE(B8978,""en"",""de"")"),"Die Person passt einen Knopf am Staubsauger ein.")</f>
        <v>Die Person passt einen Knopf am Staubsauger ein.</v>
      </c>
    </row>
    <row r="8979">
      <c r="A8979" s="4" t="s">
        <v>11298</v>
      </c>
      <c r="B8979" s="4" t="s">
        <v>11299</v>
      </c>
      <c r="C8979" s="5" t="str">
        <f>IFERROR(__xludf.DUMMYFUNCTION("GOOGLETRANSLATE(B8979,""en"",""de"")"),"Ein Mann kniet in einem Raum auf einem Knie und spricht mit der Kamera.")</f>
        <v>Ein Mann kniet in einem Raum auf einem Knie und spricht mit der Kamera.</v>
      </c>
    </row>
    <row r="8980">
      <c r="A8980" s="4" t="s">
        <v>11298</v>
      </c>
      <c r="B8980" s="4" t="s">
        <v>11300</v>
      </c>
      <c r="C8980" s="5" t="str">
        <f>IFERROR(__xludf.DUMMYFUNCTION("GOOGLETRANSLATE(B8980,""en"",""de"")"),"Der Mann hebt seinen rechten Arm und greift mit seiner linken Hand auf den Boden.")</f>
        <v>Der Mann hebt seinen rechten Arm und greift mit seiner linken Hand auf den Boden.</v>
      </c>
    </row>
    <row r="8981">
      <c r="A8981" s="4" t="s">
        <v>11298</v>
      </c>
      <c r="B8981" s="4" t="s">
        <v>11301</v>
      </c>
      <c r="C8981" s="5" t="str">
        <f>IFERROR(__xludf.DUMMYFUNCTION("GOOGLETRANSLATE(B8981,""en"",""de"")"),"Der Mann wechselt und macht die andere Seite.")</f>
        <v>Der Mann wechselt und macht die andere Seite.</v>
      </c>
    </row>
    <row r="8982">
      <c r="A8982" s="4" t="s">
        <v>11302</v>
      </c>
      <c r="B8982" s="4" t="s">
        <v>11303</v>
      </c>
      <c r="C8982" s="5" t="str">
        <f>IFERROR(__xludf.DUMMYFUNCTION("GOOGLETRANSLATE(B8982,""en"",""de"")"),"Ein großer Hof wird mit Schnee bedeckt, wobei eine Person in den Rahmen geht.")</f>
        <v>Ein großer Hof wird mit Schnee bedeckt, wobei eine Person in den Rahmen geht.</v>
      </c>
    </row>
    <row r="8983">
      <c r="A8983" s="4" t="s">
        <v>11302</v>
      </c>
      <c r="B8983" s="4" t="s">
        <v>11304</v>
      </c>
      <c r="C8983" s="5" t="str">
        <f>IFERROR(__xludf.DUMMYFUNCTION("GOOGLETRANSLATE(B8983,""en"",""de"")"),"Der Mann hält eine Schaufel und schiebt sie durch die Gegend.")</f>
        <v>Der Mann hält eine Schaufel und schiebt sie durch die Gegend.</v>
      </c>
    </row>
    <row r="8984">
      <c r="A8984" s="4" t="s">
        <v>11302</v>
      </c>
      <c r="B8984" s="4" t="s">
        <v>11305</v>
      </c>
      <c r="C8984" s="5" t="str">
        <f>IFERROR(__xludf.DUMMYFUNCTION("GOOGLETRANSLATE(B8984,""en"",""de"")"),"Der Mann räumt den ganzen Schnee aus und zeigt am Ende einen Weg.")</f>
        <v>Der Mann räumt den ganzen Schnee aus und zeigt am Ende einen Weg.</v>
      </c>
    </row>
    <row r="8985">
      <c r="A8985" s="4" t="s">
        <v>11306</v>
      </c>
      <c r="B8985" s="4" t="s">
        <v>11307</v>
      </c>
      <c r="C8985" s="5" t="str">
        <f>IFERROR(__xludf.DUMMYFUNCTION("GOOGLETRANSLATE(B8985,""en"",""de"")"),"Ein Mann mäht seinen Rasen um einen Baum vor seinem Haus.")</f>
        <v>Ein Mann mäht seinen Rasen um einen Baum vor seinem Haus.</v>
      </c>
    </row>
    <row r="8986">
      <c r="A8986" s="4" t="s">
        <v>11306</v>
      </c>
      <c r="B8986" s="4" t="s">
        <v>11308</v>
      </c>
      <c r="C8986" s="5" t="str">
        <f>IFERROR(__xludf.DUMMYFUNCTION("GOOGLETRANSLATE(B8986,""en"",""de"")"),"Er geht hin und her und meidet die Felsen.")</f>
        <v>Er geht hin und her und meidet die Felsen.</v>
      </c>
    </row>
    <row r="8987">
      <c r="A8987" s="4" t="s">
        <v>11306</v>
      </c>
      <c r="B8987" s="4" t="s">
        <v>11309</v>
      </c>
      <c r="C8987" s="5" t="str">
        <f>IFERROR(__xludf.DUMMYFUNCTION("GOOGLETRANSLATE(B8987,""en"",""de"")"),"Er dreht sich um die Einfahrt und kehrt wieder zurück.")</f>
        <v>Er dreht sich um die Einfahrt und kehrt wieder zurück.</v>
      </c>
    </row>
    <row r="8988">
      <c r="A8988" s="4" t="s">
        <v>11310</v>
      </c>
      <c r="B8988" s="4" t="s">
        <v>11311</v>
      </c>
      <c r="C8988" s="5" t="str">
        <f>IFERROR(__xludf.DUMMYFUNCTION("GOOGLETRANSLATE(B8988,""en"",""de"")"),"Eine Frau in einem Kleid mit einer Geige spricht ein Publikum an.")</f>
        <v>Eine Frau in einem Kleid mit einer Geige spricht ein Publikum an.</v>
      </c>
    </row>
    <row r="8989">
      <c r="A8989" s="4" t="s">
        <v>11310</v>
      </c>
      <c r="B8989" s="4" t="s">
        <v>11312</v>
      </c>
      <c r="C8989" s="5" t="str">
        <f>IFERROR(__xludf.DUMMYFUNCTION("GOOGLETRANSLATE(B8989,""en"",""de"")"),"Die Frau spielt die Geige, wie andere Musiker zuschauen.")</f>
        <v>Die Frau spielt die Geige, wie andere Musiker zuschauen.</v>
      </c>
    </row>
    <row r="8990">
      <c r="A8990" s="4" t="s">
        <v>11310</v>
      </c>
      <c r="B8990" s="4" t="s">
        <v>11313</v>
      </c>
      <c r="C8990" s="5" t="str">
        <f>IFERROR(__xludf.DUMMYFUNCTION("GOOGLETRANSLATE(B8990,""en"",""de"")"),"Die Frau beendet sie und alle applaudieren.")</f>
        <v>Die Frau beendet sie und alle applaudieren.</v>
      </c>
    </row>
    <row r="8991">
      <c r="A8991" s="4" t="s">
        <v>11314</v>
      </c>
      <c r="B8991" s="4" t="s">
        <v>11315</v>
      </c>
      <c r="C8991" s="5" t="str">
        <f>IFERROR(__xludf.DUMMYFUNCTION("GOOGLETRANSLATE(B8991,""en"",""de"")"),"Ein Mann hält eine Kettensäge über seinem Kopf.")</f>
        <v>Ein Mann hält eine Kettensäge über seinem Kopf.</v>
      </c>
    </row>
    <row r="8992">
      <c r="A8992" s="4" t="s">
        <v>11314</v>
      </c>
      <c r="B8992" s="4" t="s">
        <v>11316</v>
      </c>
      <c r="C8992" s="5" t="str">
        <f>IFERROR(__xludf.DUMMYFUNCTION("GOOGLETRANSLATE(B8992,""en"",""de"")"),"Er beginnt die Oberseite der Hecke.")</f>
        <v>Er beginnt die Oberseite der Hecke.</v>
      </c>
    </row>
    <row r="8993">
      <c r="A8993" s="4" t="s">
        <v>11314</v>
      </c>
      <c r="B8993" s="4" t="s">
        <v>11317</v>
      </c>
      <c r="C8993" s="5" t="str">
        <f>IFERROR(__xludf.DUMMYFUNCTION("GOOGLETRANSLATE(B8993,""en"",""de"")"),"Die Leute gehen auf dem Bürgersteig hinter ihm.")</f>
        <v>Die Leute gehen auf dem Bürgersteig hinter ihm.</v>
      </c>
    </row>
    <row r="8994">
      <c r="A8994" s="4" t="s">
        <v>11318</v>
      </c>
      <c r="B8994" s="4" t="s">
        <v>11319</v>
      </c>
      <c r="C8994" s="5" t="str">
        <f>IFERROR(__xludf.DUMMYFUNCTION("GOOGLETRANSLATE(B8994,""en"",""de"")"),"Ein Mann in einer orangefarbenen Jacke, die Skier hält, geht auf dem Schnee zu einem Hügel.")</f>
        <v>Ein Mann in einer orangefarbenen Jacke, die Skier hält, geht auf dem Schnee zu einem Hügel.</v>
      </c>
    </row>
    <row r="8995">
      <c r="A8995" s="4" t="s">
        <v>11318</v>
      </c>
      <c r="B8995" s="4" t="s">
        <v>11320</v>
      </c>
      <c r="C8995" s="5" t="str">
        <f>IFERROR(__xludf.DUMMYFUNCTION("GOOGLETRANSLATE(B8995,""en"",""de"")"),"Die Person, die die Kamera hält, legt ihre Skier fest und hält die Stangen.")</f>
        <v>Die Person, die die Kamera hält, legt ihre Skier fest und hält die Stangen.</v>
      </c>
    </row>
    <row r="8996">
      <c r="A8996" s="4" t="s">
        <v>11318</v>
      </c>
      <c r="B8996" s="4" t="s">
        <v>11321</v>
      </c>
      <c r="C8996" s="5" t="str">
        <f>IFERROR(__xludf.DUMMYFUNCTION("GOOGLETRANSLATE(B8996,""en"",""de"")"),"Der Mann in der Orangenjacke fährt den Hügel hinunter.")</f>
        <v>Der Mann in der Orangenjacke fährt den Hügel hinunter.</v>
      </c>
    </row>
    <row r="8997">
      <c r="A8997" s="4" t="s">
        <v>11318</v>
      </c>
      <c r="B8997" s="4" t="s">
        <v>11322</v>
      </c>
      <c r="C8997" s="5" t="str">
        <f>IFERROR(__xludf.DUMMYFUNCTION("GOOGLETRANSLATE(B8997,""en"",""de"")"),"Der Mann, der die Kamera hält, folgt.")</f>
        <v>Der Mann, der die Kamera hält, folgt.</v>
      </c>
    </row>
    <row r="8998">
      <c r="A8998" s="4" t="s">
        <v>11318</v>
      </c>
      <c r="B8998" s="4" t="s">
        <v>11323</v>
      </c>
      <c r="C8998" s="5" t="str">
        <f>IFERROR(__xludf.DUMMYFUNCTION("GOOGLETRANSLATE(B8998,""en"",""de"")"),"Sie fahren den schneebedeckten Hügel hinunter.")</f>
        <v>Sie fahren den schneebedeckten Hügel hinunter.</v>
      </c>
    </row>
    <row r="8999">
      <c r="A8999" s="4" t="s">
        <v>11318</v>
      </c>
      <c r="B8999" s="4" t="s">
        <v>11324</v>
      </c>
      <c r="C8999" s="5" t="str">
        <f>IFERROR(__xludf.DUMMYFUNCTION("GOOGLETRANSLATE(B8999,""en"",""de"")"),"Der Mann in der orangefarbenen Jacke ist vor ihm Skifahren zu sehen.")</f>
        <v>Der Mann in der orangefarbenen Jacke ist vor ihm Skifahren zu sehen.</v>
      </c>
    </row>
    <row r="9000">
      <c r="A9000" s="4" t="s">
        <v>11318</v>
      </c>
      <c r="B9000" s="4" t="s">
        <v>11325</v>
      </c>
      <c r="C9000" s="5" t="str">
        <f>IFERROR(__xludf.DUMMYFUNCTION("GOOGLETRANSLATE(B9000,""en"",""de"")"),"Sie halten beide an und sprechen mit einer Dame am Fuße des Hügels.")</f>
        <v>Sie halten beide an und sprechen mit einer Dame am Fuße des Hügels.</v>
      </c>
    </row>
    <row r="9001">
      <c r="A9001" s="4" t="s">
        <v>11318</v>
      </c>
      <c r="B9001" s="4" t="s">
        <v>11326</v>
      </c>
      <c r="C9001" s="5" t="str">
        <f>IFERROR(__xludf.DUMMYFUNCTION("GOOGLETRANSLATE(B9001,""en"",""de"")"),"Er zieht seinen Handschuh aus und zieht sein Handy heraus.")</f>
        <v>Er zieht seinen Handschuh aus und zieht sein Handy heraus.</v>
      </c>
    </row>
    <row r="9002">
      <c r="A9002" s="4" t="s">
        <v>11318</v>
      </c>
      <c r="B9002" s="4" t="s">
        <v>11327</v>
      </c>
      <c r="C9002" s="5" t="str">
        <f>IFERROR(__xludf.DUMMYFUNCTION("GOOGLETRANSLATE(B9002,""en"",""de"")"),"Ein Mann in einem blauen Mantel geht auf sie zu und spricht mit ihnen.")</f>
        <v>Ein Mann in einem blauen Mantel geht auf sie zu und spricht mit ihnen.</v>
      </c>
    </row>
    <row r="9003">
      <c r="A9003" s="4" t="s">
        <v>11328</v>
      </c>
      <c r="B9003" s="4" t="s">
        <v>11329</v>
      </c>
      <c r="C9003" s="5" t="str">
        <f>IFERROR(__xludf.DUMMYFUNCTION("GOOGLETRANSLATE(B9003,""en"",""de"")"),"Eine kleine Gruppe von Kindern spielt mit zwei Erwachsenen am Strand, der Sand in einen Haufen schob.")</f>
        <v>Eine kleine Gruppe von Kindern spielt mit zwei Erwachsenen am Strand, der Sand in einen Haufen schob.</v>
      </c>
    </row>
    <row r="9004">
      <c r="A9004" s="4" t="s">
        <v>11328</v>
      </c>
      <c r="B9004" s="4" t="s">
        <v>11330</v>
      </c>
      <c r="C9004" s="5" t="str">
        <f>IFERROR(__xludf.DUMMYFUNCTION("GOOGLETRANSLATE(B9004,""en"",""de"")"),"Die Kinder packen weiterhin Wasser, während die Kamera um die anderen Menschen schwimmen, die in der Gegend schwimmen.")</f>
        <v>Die Kinder packen weiterhin Wasser, während die Kamera um die anderen Menschen schwimmen, die in der Gegend schwimmen.</v>
      </c>
    </row>
    <row r="9005">
      <c r="A9005" s="4" t="s">
        <v>11331</v>
      </c>
      <c r="B9005" s="4" t="s">
        <v>11332</v>
      </c>
      <c r="C9005" s="5" t="str">
        <f>IFERROR(__xludf.DUMMYFUNCTION("GOOGLETRANSLATE(B9005,""en"",""de"")"),"Eine Frau sitzt vor einer Kamera.")</f>
        <v>Eine Frau sitzt vor einer Kamera.</v>
      </c>
    </row>
    <row r="9006">
      <c r="A9006" s="4" t="s">
        <v>11331</v>
      </c>
      <c r="B9006" s="4" t="s">
        <v>11333</v>
      </c>
      <c r="C9006" s="5" t="str">
        <f>IFERROR(__xludf.DUMMYFUNCTION("GOOGLETRANSLATE(B9006,""en"",""de"")"),"Ihr Haar ist in spiralförmigen Lockenlern.")</f>
        <v>Ihr Haar ist in spiralförmigen Lockenlern.</v>
      </c>
    </row>
    <row r="9007">
      <c r="A9007" s="4" t="s">
        <v>11331</v>
      </c>
      <c r="B9007" s="4" t="s">
        <v>11334</v>
      </c>
      <c r="C9007" s="5" t="str">
        <f>IFERROR(__xludf.DUMMYFUNCTION("GOOGLETRANSLATE(B9007,""en"",""de"")"),"Sie zeigt, wie man sie entzieht und zeigt das Endergebnis.")</f>
        <v>Sie zeigt, wie man sie entzieht und zeigt das Endergebnis.</v>
      </c>
    </row>
    <row r="9008">
      <c r="A9008" s="4" t="s">
        <v>11335</v>
      </c>
      <c r="B9008" s="4" t="s">
        <v>11336</v>
      </c>
      <c r="C9008" s="5" t="str">
        <f>IFERROR(__xludf.DUMMYFUNCTION("GOOGLETRANSLATE(B9008,""en"",""de"")"),"Der Videoausbilder, Stephanie, spricht über ein Haar -Tutorial.")</f>
        <v>Der Videoausbilder, Stephanie, spricht über ein Haar -Tutorial.</v>
      </c>
    </row>
    <row r="9009">
      <c r="A9009" s="4" t="s">
        <v>11335</v>
      </c>
      <c r="B9009" s="4" t="s">
        <v>11337</v>
      </c>
      <c r="C9009" s="5" t="str">
        <f>IFERROR(__xludf.DUMMYFUNCTION("GOOGLETRANSLATE(B9009,""en"",""de"")"),"Sie zeigt, wie man lange Haare auf Männer schneidet.")</f>
        <v>Sie zeigt, wie man lange Haare auf Männer schneidet.</v>
      </c>
    </row>
    <row r="9010">
      <c r="A9010" s="4" t="s">
        <v>11335</v>
      </c>
      <c r="B9010" s="4" t="s">
        <v>11338</v>
      </c>
      <c r="C9010" s="5" t="str">
        <f>IFERROR(__xludf.DUMMYFUNCTION("GOOGLETRANSLATE(B9010,""en"",""de"")"),"Ihr Model sitzt auf einem Stuhl neben sich, als sie sein nasses Haar kämmt.")</f>
        <v>Ihr Model sitzt auf einem Stuhl neben sich, als sie sein nasses Haar kämmt.</v>
      </c>
    </row>
    <row r="9011">
      <c r="A9011" s="4" t="s">
        <v>11335</v>
      </c>
      <c r="B9011" s="4" t="s">
        <v>11339</v>
      </c>
      <c r="C9011" s="5" t="str">
        <f>IFERROR(__xludf.DUMMYFUNCTION("GOOGLETRANSLATE(B9011,""en"",""de"")"),"Sie zeigt, wie das Haar geteilt und geschnitten wird, bevor sie das Haar schneidet, in dem sie eine Schere verwendet, um die Spitzen der Haare des Modells zu schneiden.")</f>
        <v>Sie zeigt, wie das Haar geteilt und geschnitten wird, bevor sie das Haar schneidet, in dem sie eine Schere verwendet, um die Spitzen der Haare des Modells zu schneiden.</v>
      </c>
    </row>
    <row r="9012">
      <c r="A9012" s="4" t="s">
        <v>11335</v>
      </c>
      <c r="B9012" s="4" t="s">
        <v>11340</v>
      </c>
      <c r="C9012" s="5" t="str">
        <f>IFERROR(__xludf.DUMMYFUNCTION("GOOGLETRANSLATE(B9012,""en"",""de"")"),"Sie setzt das Verfahren am Haar des Modells fort.")</f>
        <v>Sie setzt das Verfahren am Haar des Modells fort.</v>
      </c>
    </row>
    <row r="9013">
      <c r="A9013" s="4" t="s">
        <v>11335</v>
      </c>
      <c r="B9013" s="4" t="s">
        <v>11341</v>
      </c>
      <c r="C9013" s="5" t="str">
        <f>IFERROR(__xludf.DUMMYFUNCTION("GOOGLETRANSLATE(B9013,""en"",""de"")"),"Sie erklärt dann, wie man das Haar flopft, um das fertige Aussehen des Modells zu verleihen.")</f>
        <v>Sie erklärt dann, wie man das Haar flopft, um das fertige Aussehen des Modells zu verleihen.</v>
      </c>
    </row>
    <row r="9014">
      <c r="A9014" s="4" t="s">
        <v>11335</v>
      </c>
      <c r="B9014" s="4" t="s">
        <v>11342</v>
      </c>
      <c r="C9014" s="5" t="str">
        <f>IFERROR(__xludf.DUMMYFUNCTION("GOOGLETRANSLATE(B9014,""en"",""de"")"),"Sie gibt schließlich Informationen über ihre Website.")</f>
        <v>Sie gibt schließlich Informationen über ihre Website.</v>
      </c>
    </row>
    <row r="9015">
      <c r="A9015" s="4" t="s">
        <v>11343</v>
      </c>
      <c r="B9015" s="4" t="s">
        <v>11344</v>
      </c>
      <c r="C9015" s="5" t="str">
        <f>IFERROR(__xludf.DUMMYFUNCTION("GOOGLETRANSLATE(B9015,""en"",""de"")"),"Ein Mann macht einen Scheibenwurf.")</f>
        <v>Ein Mann macht einen Scheibenwurf.</v>
      </c>
    </row>
    <row r="9016">
      <c r="A9016" s="4" t="s">
        <v>11343</v>
      </c>
      <c r="B9016" s="4" t="s">
        <v>11345</v>
      </c>
      <c r="C9016" s="5" t="str">
        <f>IFERROR(__xludf.DUMMYFUNCTION("GOOGLETRANSLATE(B9016,""en"",""de"")"),"Er dreht sich herum und wirft die Festplatte.")</f>
        <v>Er dreht sich herum und wirft die Festplatte.</v>
      </c>
    </row>
    <row r="9017">
      <c r="A9017" s="4" t="s">
        <v>11346</v>
      </c>
      <c r="B9017" s="4" t="s">
        <v>11347</v>
      </c>
      <c r="C9017" s="5" t="str">
        <f>IFERROR(__xludf.DUMMYFUNCTION("GOOGLETRANSLATE(B9017,""en"",""de"")"),"Ein Mann sitzt auf einem Stuhl und spricht, während er eine Mundharmonika hält und sie gelegentlich in einer Vorderseite der grünen Stoffkulisse spielt.")</f>
        <v>Ein Mann sitzt auf einem Stuhl und spricht, während er eine Mundharmonika hält und sie gelegentlich in einer Vorderseite der grünen Stoffkulisse spielt.</v>
      </c>
    </row>
    <row r="9018">
      <c r="A9018" s="4" t="s">
        <v>11346</v>
      </c>
      <c r="B9018" s="4" t="s">
        <v>11348</v>
      </c>
      <c r="C9018" s="5" t="str">
        <f>IFERROR(__xludf.DUMMYFUNCTION("GOOGLETRANSLATE(B9018,""en"",""de"")"),"Ein kahlköpfiger Mann sitzt in einem Holzstuhl und spricht mit der Kamera, während er sich hält, zeigt und gelegentlich eine Mundharmonika in seinen Händen.")</f>
        <v>Ein kahlköpfiger Mann sitzt in einem Holzstuhl und spricht mit der Kamera, während er sich hält, zeigt und gelegentlich eine Mundharmonika in seinen Händen.</v>
      </c>
    </row>
    <row r="9019">
      <c r="A9019" s="4" t="s">
        <v>11346</v>
      </c>
      <c r="B9019" s="4" t="s">
        <v>11349</v>
      </c>
      <c r="C9019" s="5" t="str">
        <f>IFERROR(__xludf.DUMMYFUNCTION("GOOGLETRANSLATE(B9019,""en"",""de"")"),"Die Kamera zoomt zu einem engeren Schuss des Mannes, während er spricht und bevor der Mann die Mundharmonika direkt ins Gesicht zieht und die Mundharmonika kurz spielt, bevor er die Mundharmonika wegzieht und in die Kamera schaut.")</f>
        <v>Die Kamera zoomt zu einem engeren Schuss des Mannes, während er spricht und bevor der Mann die Mundharmonika direkt ins Gesicht zieht und die Mundharmonika kurz spielt, bevor er die Mundharmonika wegzieht und in die Kamera schaut.</v>
      </c>
    </row>
    <row r="9020">
      <c r="A9020" s="4" t="s">
        <v>11350</v>
      </c>
      <c r="B9020" s="4" t="s">
        <v>11351</v>
      </c>
      <c r="C9020" s="5" t="str">
        <f>IFERROR(__xludf.DUMMYFUNCTION("GOOGLETRANSLATE(B9020,""en"",""de"")"),"Ein Mann in der Sesamstraßenkostüm fährt mit einem Liegerrad.")</f>
        <v>Ein Mann in der Sesamstraßenkostüm fährt mit einem Liegerrad.</v>
      </c>
    </row>
    <row r="9021">
      <c r="A9021" s="4" t="s">
        <v>11350</v>
      </c>
      <c r="B9021" s="4" t="s">
        <v>11352</v>
      </c>
      <c r="C9021" s="5" t="str">
        <f>IFERROR(__xludf.DUMMYFUNCTION("GOOGLETRANSLATE(B9021,""en"",""de"")"),"Ein Mann, der als Ernie verkleidet ist, schließt sich BOLT BERT an.")</f>
        <v>Ein Mann, der als Ernie verkleidet ist, schließt sich BOLT BERT an.</v>
      </c>
    </row>
    <row r="9022">
      <c r="A9022" s="4" t="s">
        <v>11350</v>
      </c>
      <c r="B9022" s="4" t="s">
        <v>11353</v>
      </c>
      <c r="C9022" s="5" t="str">
        <f>IFERROR(__xludf.DUMMYFUNCTION("GOOGLETRANSLATE(B9022,""en"",""de"")"),"Sie radeln zusammen, wie in einem Rennen.")</f>
        <v>Sie radeln zusammen, wie in einem Rennen.</v>
      </c>
    </row>
    <row r="9023">
      <c r="A9023" s="4" t="s">
        <v>11350</v>
      </c>
      <c r="B9023" s="4" t="s">
        <v>11354</v>
      </c>
      <c r="C9023" s="5" t="str">
        <f>IFERROR(__xludf.DUMMYFUNCTION("GOOGLETRANSLATE(B9023,""en"",""de"")"),"Sie stehen beide auf und gehen weg.")</f>
        <v>Sie stehen beide auf und gehen weg.</v>
      </c>
    </row>
    <row r="9024">
      <c r="A9024" s="4" t="s">
        <v>11355</v>
      </c>
      <c r="B9024" s="4" t="s">
        <v>11356</v>
      </c>
      <c r="C9024" s="5" t="str">
        <f>IFERROR(__xludf.DUMMYFUNCTION("GOOGLETRANSLATE(B9024,""en"",""de"")"),"Eine Person wird gesehen, wie sie mit einer Nahaufnahme eines Paddels am Wasser sitzt.")</f>
        <v>Eine Person wird gesehen, wie sie mit einer Nahaufnahme eines Paddels am Wasser sitzt.</v>
      </c>
    </row>
    <row r="9025">
      <c r="A9025" s="4" t="s">
        <v>11355</v>
      </c>
      <c r="B9025" s="4" t="s">
        <v>11357</v>
      </c>
      <c r="C9025" s="5" t="str">
        <f>IFERROR(__xludf.DUMMYFUNCTION("GOOGLETRANSLATE(B9025,""en"",""de"")"),"Die Kamera schwenkt zu einer anderen Gruppe von Menschen, die in einem Kanu gegenüber sitzen.")</f>
        <v>Die Kamera schwenkt zu einer anderen Gruppe von Menschen, die in einem Kanu gegenüber sitzen.</v>
      </c>
    </row>
    <row r="9026">
      <c r="A9026" s="4" t="s">
        <v>11355</v>
      </c>
      <c r="B9026" s="4" t="s">
        <v>11358</v>
      </c>
      <c r="C9026" s="5" t="str">
        <f>IFERROR(__xludf.DUMMYFUNCTION("GOOGLETRANSLATE(B9026,""en"",""de"")"),"Weitere Menschen sitzen im Wasser sowie Boote entlang des Wassers.")</f>
        <v>Weitere Menschen sitzen im Wasser sowie Boote entlang des Wassers.</v>
      </c>
    </row>
    <row r="9027">
      <c r="A9027" s="4" t="s">
        <v>11359</v>
      </c>
      <c r="B9027" s="4" t="s">
        <v>11360</v>
      </c>
      <c r="C9027" s="5" t="str">
        <f>IFERROR(__xludf.DUMMYFUNCTION("GOOGLETRANSLATE(B9027,""en"",""de"")"),"Eine Gruppe von Fußballspieler wartet auf die Rückkehr eines Fußballs auf das Feld.")</f>
        <v>Eine Gruppe von Fußballspieler wartet auf die Rückkehr eines Fußballs auf das Feld.</v>
      </c>
    </row>
    <row r="9028">
      <c r="A9028" s="4" t="s">
        <v>11359</v>
      </c>
      <c r="B9028" s="4" t="s">
        <v>11361</v>
      </c>
      <c r="C9028" s="5" t="str">
        <f>IFERROR(__xludf.DUMMYFUNCTION("GOOGLETRANSLATE(B9028,""en"",""de"")"),"Ein Fußballspieler tritt den Ball ins Feld.")</f>
        <v>Ein Fußballspieler tritt den Ball ins Feld.</v>
      </c>
    </row>
    <row r="9029">
      <c r="A9029" s="4" t="s">
        <v>11359</v>
      </c>
      <c r="B9029" s="4" t="s">
        <v>11362</v>
      </c>
      <c r="C9029" s="5" t="str">
        <f>IFERROR(__xludf.DUMMYFUNCTION("GOOGLETRANSLATE(B9029,""en"",""de"")"),"Ein anderer Fußballspieler ergriff den Ball und gibt ihn an einen anderen Fußballspieler weiter.")</f>
        <v>Ein anderer Fußballspieler ergriff den Ball und gibt ihn an einen anderen Fußballspieler weiter.</v>
      </c>
    </row>
    <row r="9030">
      <c r="A9030" s="4" t="s">
        <v>11359</v>
      </c>
      <c r="B9030" s="4" t="s">
        <v>11363</v>
      </c>
      <c r="C9030" s="5" t="str">
        <f>IFERROR(__xludf.DUMMYFUNCTION("GOOGLETRANSLATE(B9030,""en"",""de"")"),"Die Fußballspieler treten es dem Torwart auf.")</f>
        <v>Die Fußballspieler treten es dem Torwart auf.</v>
      </c>
    </row>
    <row r="9031">
      <c r="A9031" s="4" t="s">
        <v>11359</v>
      </c>
      <c r="B9031" s="4" t="s">
        <v>11364</v>
      </c>
      <c r="C9031" s="5" t="str">
        <f>IFERROR(__xludf.DUMMYFUNCTION("GOOGLETRANSLATE(B9031,""en"",""de"")"),"Der Torwart tritt es an einen nahe gelegenen Fußballspieler.")</f>
        <v>Der Torwart tritt es an einen nahe gelegenen Fußballspieler.</v>
      </c>
    </row>
    <row r="9032">
      <c r="A9032" s="4" t="s">
        <v>11359</v>
      </c>
      <c r="B9032" s="4" t="s">
        <v>11365</v>
      </c>
      <c r="C9032" s="5" t="str">
        <f>IFERROR(__xludf.DUMMYFUNCTION("GOOGLETRANSLATE(B9032,""en"",""de"")"),"Der Fußballspieler tritt es zu einem anderen Fußballspieler.")</f>
        <v>Der Fußballspieler tritt es zu einem anderen Fußballspieler.</v>
      </c>
    </row>
    <row r="9033">
      <c r="A9033" s="4" t="s">
        <v>11366</v>
      </c>
      <c r="B9033" s="4" t="s">
        <v>11367</v>
      </c>
      <c r="C9033" s="5" t="str">
        <f>IFERROR(__xludf.DUMMYFUNCTION("GOOGLETRANSLATE(B9033,""en"",""de"")"),"Zwei Männer summeln die Seite einer steilen Felsklippe hinauf.")</f>
        <v>Zwei Männer summeln die Seite einer steilen Felsklippe hinauf.</v>
      </c>
    </row>
    <row r="9034">
      <c r="A9034" s="4" t="s">
        <v>11366</v>
      </c>
      <c r="B9034" s="4" t="s">
        <v>11368</v>
      </c>
      <c r="C9034" s="5" t="str">
        <f>IFERROR(__xludf.DUMMYFUNCTION("GOOGLETRANSLATE(B9034,""en"",""de"")"),"Einer der Männer klettert ungefähr auf halber Strecke, bevor er loslässt und sich zurück zum Boden gibt.")</f>
        <v>Einer der Männer klettert ungefähr auf halber Strecke, bevor er loslässt und sich zurück zum Boden gibt.</v>
      </c>
    </row>
    <row r="9035">
      <c r="A9035" s="4" t="s">
        <v>11369</v>
      </c>
      <c r="B9035" s="4" t="s">
        <v>11370</v>
      </c>
      <c r="C9035" s="5" t="str">
        <f>IFERROR(__xludf.DUMMYFUNCTION("GOOGLETRANSLATE(B9035,""en"",""de"")"),"Ein Mann drängt einen Rasenmäher auf einen Rasen.")</f>
        <v>Ein Mann drängt einen Rasenmäher auf einen Rasen.</v>
      </c>
    </row>
    <row r="9036">
      <c r="A9036" s="4" t="s">
        <v>11369</v>
      </c>
      <c r="B9036" s="4" t="s">
        <v>11371</v>
      </c>
      <c r="C9036" s="5" t="str">
        <f>IFERROR(__xludf.DUMMYFUNCTION("GOOGLETRANSLATE(B9036,""en"",""de"")"),"Zwei Kinder helfen ihm, es zu schieben.")</f>
        <v>Zwei Kinder helfen ihm, es zu schieben.</v>
      </c>
    </row>
    <row r="9037">
      <c r="A9037" s="4" t="s">
        <v>11369</v>
      </c>
      <c r="B9037" s="4" t="s">
        <v>11372</v>
      </c>
      <c r="C9037" s="5" t="str">
        <f>IFERROR(__xludf.DUMMYFUNCTION("GOOGLETRANSLATE(B9037,""en"",""de"")"),"Sie machen mehrere Pässe auf dem Rasen.")</f>
        <v>Sie machen mehrere Pässe auf dem Rasen.</v>
      </c>
    </row>
    <row r="9038">
      <c r="A9038" s="4" t="s">
        <v>11369</v>
      </c>
      <c r="B9038" s="4" t="s">
        <v>11373</v>
      </c>
      <c r="C9038" s="5" t="str">
        <f>IFERROR(__xludf.DUMMYFUNCTION("GOOGLETRANSLATE(B9038,""en"",""de"")"),"Mehrere Autos fahren an ihnen vorbei.")</f>
        <v>Mehrere Autos fahren an ihnen vorbei.</v>
      </c>
    </row>
    <row r="9039">
      <c r="A9039" s="4" t="s">
        <v>11374</v>
      </c>
      <c r="B9039" s="4" t="s">
        <v>11375</v>
      </c>
      <c r="C9039" s="5" t="str">
        <f>IFERROR(__xludf.DUMMYFUNCTION("GOOGLETRANSLATE(B9039,""en"",""de"")"),"Mann mit einem Rasengebläse bläst den Staub im Bürgersteig auf der Straße.")</f>
        <v>Mann mit einem Rasengebläse bläst den Staub im Bürgersteig auf der Straße.</v>
      </c>
    </row>
    <row r="9040">
      <c r="A9040" s="4" t="s">
        <v>11374</v>
      </c>
      <c r="B9040" s="4" t="s">
        <v>11376</v>
      </c>
      <c r="C9040" s="5" t="str">
        <f>IFERROR(__xludf.DUMMYFUNCTION("GOOGLETRANSLATE(B9040,""en"",""de"")"),"Der Mann putzt den Bürgersteig von den trockenen Blättern, die den Bürgersteig ausströmen.")</f>
        <v>Der Mann putzt den Bürgersteig von den trockenen Blättern, die den Bürgersteig ausströmen.</v>
      </c>
    </row>
    <row r="9041">
      <c r="A9041" s="4" t="s">
        <v>11374</v>
      </c>
      <c r="B9041" s="4" t="s">
        <v>11377</v>
      </c>
      <c r="C9041" s="5" t="str">
        <f>IFERROR(__xludf.DUMMYFUNCTION("GOOGLETRANSLATE(B9041,""en"",""de"")"),"Der Mann geht auf Bürgersteig und beobachtet den Mann, der das Gebläse trägt.")</f>
        <v>Der Mann geht auf Bürgersteig und beobachtet den Mann, der das Gebläse trägt.</v>
      </c>
    </row>
    <row r="9042">
      <c r="A9042" s="4" t="s">
        <v>11378</v>
      </c>
      <c r="B9042" s="4" t="s">
        <v>11379</v>
      </c>
      <c r="C9042" s="5" t="str">
        <f>IFERROR(__xludf.DUMMYFUNCTION("GOOGLETRANSLATE(B9042,""en"",""de"")"),"Ein Mann in einem roten Hemd spricht und zeigt, wie man Darts gegen ein Dartbrett wirft, während drei andere Leute in roten Hemden hinter ihm schauen.")</f>
        <v>Ein Mann in einem roten Hemd spricht und zeigt, wie man Darts gegen ein Dartbrett wirft, während drei andere Leute in roten Hemden hinter ihm schauen.</v>
      </c>
    </row>
    <row r="9043">
      <c r="A9043" s="4" t="s">
        <v>11378</v>
      </c>
      <c r="B9043" s="4" t="s">
        <v>11380</v>
      </c>
      <c r="C9043" s="5" t="str">
        <f>IFERROR(__xludf.DUMMYFUNCTION("GOOGLETRANSLATE(B9043,""en"",""de"")"),"Ein Mann in einem roten Hemd steht vor der Kamera und spricht zu reden, während sie in der Hand hält und während drei Männer hinter ihm zuschauen.")</f>
        <v>Ein Mann in einem roten Hemd steht vor der Kamera und spricht zu reden, während sie in der Hand hält und während drei Männer hinter ihm zuschauen.</v>
      </c>
    </row>
    <row r="9044">
      <c r="A9044" s="4" t="s">
        <v>11378</v>
      </c>
      <c r="B9044" s="4" t="s">
        <v>11381</v>
      </c>
      <c r="C9044" s="5" t="str">
        <f>IFERROR(__xludf.DUMMYFUNCTION("GOOGLETRANSLATE(B9044,""en"",""de"")"),"Der Mann wendet sich von der Kamera ab, steht an einer Profilansicht und gegenüber einer an einer Wand befestigten Dartbrett. Er zielt mit den Darts in der Hand auf das Dartboard.")</f>
        <v>Der Mann wendet sich von der Kamera ab, steht an einer Profilansicht und gegenüber einer an einer Wand befestigten Dartbrett. Er zielt mit den Darts in der Hand auf das Dartboard.</v>
      </c>
    </row>
    <row r="9045">
      <c r="A9045" s="4" t="s">
        <v>11378</v>
      </c>
      <c r="B9045" s="4" t="s">
        <v>11382</v>
      </c>
      <c r="C9045" s="5" t="str">
        <f>IFERROR(__xludf.DUMMYFUNCTION("GOOGLETRANSLATE(B9045,""en"",""de"")"),"Der Mann wirft dann drei Darts gegen das Dartboard, von denen zwei an der Tafel haften. Der Mann geht, um einen Pfeil aus dem Brett zu holen und mit seiner Faust und einem Lächeln zu gesten.")</f>
        <v>Der Mann wirft dann drei Darts gegen das Dartboard, von denen zwei an der Tafel haften. Der Mann geht, um einen Pfeil aus dem Brett zu holen und mit seiner Faust und einem Lächeln zu gesten.</v>
      </c>
    </row>
    <row r="9046">
      <c r="A9046" s="4" t="s">
        <v>11383</v>
      </c>
      <c r="B9046" s="4" t="s">
        <v>11384</v>
      </c>
      <c r="C9046" s="5" t="str">
        <f>IFERROR(__xludf.DUMMYFUNCTION("GOOGLETRANSLATE(B9046,""en"",""de"")"),"Eine Hand gießt Flüssigkeit in ein Martini -Glas und weiße Worte links vom Bildschirm erscheinen ""Mädchen, die Getränke dot com"" und ""Keylime Pie With Lee"" mischen.")</f>
        <v>Eine Hand gießt Flüssigkeit in ein Martini -Glas und weiße Worte links vom Bildschirm erscheinen "Mädchen, die Getränke dot com" und "Keylime Pie With Lee" mischen.</v>
      </c>
    </row>
    <row r="9047">
      <c r="A9047" s="4" t="s">
        <v>11383</v>
      </c>
      <c r="B9047" s="4" t="s">
        <v>11385</v>
      </c>
      <c r="C9047" s="5" t="str">
        <f>IFERROR(__xludf.DUMMYFUNCTION("GOOGLETRANSLATE(B9047,""en"",""de"")"),"Eine blonde Frau erscheint in einer Bar und die Website erscheint zu zufälligen Zeiten, während die Frau Tassen, Alkohol und Eis greift, während sie sie in einem Martini -Glas trinken lässt.")</f>
        <v>Eine blonde Frau erscheint in einer Bar und die Website erscheint zu zufälligen Zeiten, während die Frau Tassen, Alkohol und Eis greift, während sie sie in einem Martini -Glas trinken lässt.</v>
      </c>
    </row>
    <row r="9048">
      <c r="A9048" s="4" t="s">
        <v>11383</v>
      </c>
      <c r="B9048" s="4" t="s">
        <v>11386</v>
      </c>
      <c r="C9048" s="5" t="str">
        <f>IFERROR(__xludf.DUMMYFUNCTION("GOOGLETRANSLATE(B9048,""en"",""de"")"),"Die Frau füllt das Martini -Glas mit Eis und Wasser.")</f>
        <v>Die Frau füllt das Martini -Glas mit Eis und Wasser.</v>
      </c>
    </row>
    <row r="9049">
      <c r="A9049" s="4" t="s">
        <v>11383</v>
      </c>
      <c r="B9049" s="4" t="s">
        <v>11387</v>
      </c>
      <c r="C9049" s="5" t="str">
        <f>IFERROR(__xludf.DUMMYFUNCTION("GOOGLETRANSLATE(B9049,""en"",""de"")"),"Die Frau bewegt sich dann auf einen großen silbernen Schüttler und beginnt Alkohol und andere Flüssigkeiten, bedeckt ihn mit einer kleinen klaren Tasse und beginnt den Inhalt zu zittern.")</f>
        <v>Die Frau bewegt sich dann auf einen großen silbernen Schüttler und beginnt Alkohol und andere Flüssigkeiten, bedeckt ihn mit einer kleinen klaren Tasse und beginnt den Inhalt zu zittern.</v>
      </c>
    </row>
    <row r="9050">
      <c r="A9050" s="4" t="s">
        <v>11383</v>
      </c>
      <c r="B9050" s="4" t="s">
        <v>11388</v>
      </c>
      <c r="C9050" s="5" t="str">
        <f>IFERROR(__xludf.DUMMYFUNCTION("GOOGLETRANSLATE(B9050,""en"",""de"")"),"Als sie die Flüssigkeit erschüttert hat, leert sie das Eis und Wasser aus dem Martini -Tasse, füllt es dann mit der Flüssigkeit aus dem Shaker, legt eine Limette an die Kante, schiebt das Martini -Glas nach vorne und lächelt.")</f>
        <v>Als sie die Flüssigkeit erschüttert hat, leert sie das Eis und Wasser aus dem Martini -Tasse, füllt es dann mit der Flüssigkeit aus dem Shaker, legt eine Limette an die Kante, schiebt das Martini -Glas nach vorne und lächelt.</v>
      </c>
    </row>
    <row r="9051">
      <c r="A9051" s="4" t="s">
        <v>11383</v>
      </c>
      <c r="B9051" s="4" t="s">
        <v>11389</v>
      </c>
      <c r="C9051" s="5" t="str">
        <f>IFERROR(__xludf.DUMMYFUNCTION("GOOGLETRANSLATE(B9051,""en"",""de"")"),"Der letzte Bildschirm wird mit einem roten Hintergrund und der in der Mitte angezeigten Website angezeigt.")</f>
        <v>Der letzte Bildschirm wird mit einem roten Hintergrund und der in der Mitte angezeigten Website angezeigt.</v>
      </c>
    </row>
    <row r="9052">
      <c r="A9052" s="4" t="s">
        <v>11390</v>
      </c>
      <c r="B9052" s="4" t="s">
        <v>11391</v>
      </c>
      <c r="C9052" s="5" t="str">
        <f>IFERROR(__xludf.DUMMYFUNCTION("GOOGLETRANSLATE(B9052,""en"",""de"")"),"Es wird ein Stapel von Glühen von Felsen gezeigt.")</f>
        <v>Es wird ein Stapel von Glühen von Felsen gezeigt.</v>
      </c>
    </row>
    <row r="9053">
      <c r="A9053" s="4" t="s">
        <v>11390</v>
      </c>
      <c r="B9053" s="4" t="s">
        <v>11392</v>
      </c>
      <c r="C9053" s="5" t="str">
        <f>IFERROR(__xludf.DUMMYFUNCTION("GOOGLETRANSLATE(B9053,""en"",""de"")"),"Das Aufzügen wird mit einer Taschenlampe beleuchtet.")</f>
        <v>Das Aufzügen wird mit einer Taschenlampe beleuchtet.</v>
      </c>
    </row>
    <row r="9054">
      <c r="A9054" s="4" t="s">
        <v>11390</v>
      </c>
      <c r="B9054" s="4" t="s">
        <v>11393</v>
      </c>
      <c r="C9054" s="5" t="str">
        <f>IFERROR(__xludf.DUMMYFUNCTION("GOOGLETRANSLATE(B9054,""en"",""de"")"),"Das Feuer wird begonnen und wir beobachten, wie es zu brennen beginnt.")</f>
        <v>Das Feuer wird begonnen und wir beobachten, wie es zu brennen beginnt.</v>
      </c>
    </row>
    <row r="9055">
      <c r="A9055" s="4" t="s">
        <v>11394</v>
      </c>
      <c r="B9055" s="4" t="s">
        <v>11395</v>
      </c>
      <c r="C9055" s="5" t="str">
        <f>IFERROR(__xludf.DUMMYFUNCTION("GOOGLETRANSLATE(B9055,""en"",""de"")"),"Ein Mann spricht mit der Kamera, während die Leute zeitweise Basketballübungen üben.")</f>
        <v>Ein Mann spricht mit der Kamera, während die Leute zeitweise Basketballübungen üben.</v>
      </c>
    </row>
    <row r="9056">
      <c r="A9056" s="4" t="s">
        <v>11394</v>
      </c>
      <c r="B9056" s="4" t="s">
        <v>11396</v>
      </c>
      <c r="C9056" s="5" t="str">
        <f>IFERROR(__xludf.DUMMYFUNCTION("GOOGLETRANSLATE(B9056,""en"",""de"")"),"Der Mann bindet ein Seil um einen Ball und lässt ihn weiterhin Layups auf dem Platz durchführen.")</f>
        <v>Der Mann bindet ein Seil um einen Ball und lässt ihn weiterhin Layups auf dem Platz durchführen.</v>
      </c>
    </row>
    <row r="9057">
      <c r="A9057" s="4" t="s">
        <v>11394</v>
      </c>
      <c r="B9057" s="4" t="s">
        <v>11397</v>
      </c>
      <c r="C9057" s="5" t="str">
        <f>IFERROR(__xludf.DUMMYFUNCTION("GOOGLETRANSLATE(B9057,""en"",""de"")"),"Es werden mehr Clips gezeigt, die üben, während der Mann mit der Kamera spricht.")</f>
        <v>Es werden mehr Clips gezeigt, die üben, während der Mann mit der Kamera spricht.</v>
      </c>
    </row>
    <row r="9058">
      <c r="A9058" s="4" t="s">
        <v>11398</v>
      </c>
      <c r="B9058" s="4" t="s">
        <v>11399</v>
      </c>
      <c r="C9058" s="5" t="str">
        <f>IFERROR(__xludf.DUMMYFUNCTION("GOOGLETRANSLATE(B9058,""en"",""de"")"),"Ein Mädchen spielt während einer Aufführung eine Messingflöte auf der Bühne.")</f>
        <v>Ein Mädchen spielt während einer Aufführung eine Messingflöte auf der Bühne.</v>
      </c>
    </row>
    <row r="9059">
      <c r="A9059" s="4" t="s">
        <v>11398</v>
      </c>
      <c r="B9059" s="4" t="s">
        <v>11400</v>
      </c>
      <c r="C9059" s="5" t="str">
        <f>IFERROR(__xludf.DUMMYFUNCTION("GOOGLETRANSLATE(B9059,""en"",""de"")"),"Das Mädchen beendet die Leistung und senkt ihr Instrument.")</f>
        <v>Das Mädchen beendet die Leistung und senkt ihr Instrument.</v>
      </c>
    </row>
    <row r="9060">
      <c r="A9060" s="4" t="s">
        <v>11401</v>
      </c>
      <c r="B9060" s="4" t="s">
        <v>11402</v>
      </c>
      <c r="C9060" s="5" t="str">
        <f>IFERROR(__xludf.DUMMYFUNCTION("GOOGLETRANSLATE(B9060,""en"",""de"")"),"Zwei Teams von Jungen spielen in einem Grasfeld ein Spiel.")</f>
        <v>Zwei Teams von Jungen spielen in einem Grasfeld ein Spiel.</v>
      </c>
    </row>
    <row r="9061">
      <c r="A9061" s="4" t="s">
        <v>11401</v>
      </c>
      <c r="B9061" s="4" t="s">
        <v>11403</v>
      </c>
      <c r="C9061" s="5" t="str">
        <f>IFERROR(__xludf.DUMMYFUNCTION("GOOGLETRANSLATE(B9061,""en"",""de"")"),"Sie haben kleine Stangen mit Netzen, mit denen sie die Bälle fangen und werfen.")</f>
        <v>Sie haben kleine Stangen mit Netzen, mit denen sie die Bälle fangen und werfen.</v>
      </c>
    </row>
    <row r="9062">
      <c r="A9062" s="4" t="s">
        <v>11401</v>
      </c>
      <c r="B9062" s="4" t="s">
        <v>11404</v>
      </c>
      <c r="C9062" s="5" t="str">
        <f>IFERROR(__xludf.DUMMYFUNCTION("GOOGLETRANSLATE(B9062,""en"",""de"")"),"Einer der Jungs aus der Roten Mannschaft wirft den Ball auf die andere Seite.")</f>
        <v>Einer der Jungs aus der Roten Mannschaft wirft den Ball auf die andere Seite.</v>
      </c>
    </row>
    <row r="9063">
      <c r="A9063" s="4" t="s">
        <v>11401</v>
      </c>
      <c r="B9063" s="4" t="s">
        <v>11405</v>
      </c>
      <c r="C9063" s="5" t="str">
        <f>IFERROR(__xludf.DUMMYFUNCTION("GOOGLETRANSLATE(B9063,""en"",""de"")"),"Dann kommt eine der Kinder in der schwarzen Uniform zurück und wirft den Ball.")</f>
        <v>Dann kommt eine der Kinder in der schwarzen Uniform zurück und wirft den Ball.</v>
      </c>
    </row>
    <row r="9064">
      <c r="A9064" s="4" t="s">
        <v>11406</v>
      </c>
      <c r="B9064" s="4" t="s">
        <v>11407</v>
      </c>
      <c r="C9064" s="5" t="str">
        <f>IFERROR(__xludf.DUMMYFUNCTION("GOOGLETRANSLATE(B9064,""en"",""de"")"),"Zwei Männer spielen Pingpong mit verschiedenen Tricks.")</f>
        <v>Zwei Männer spielen Pingpong mit verschiedenen Tricks.</v>
      </c>
    </row>
    <row r="9065">
      <c r="A9065" s="4" t="s">
        <v>11406</v>
      </c>
      <c r="B9065" s="4" t="s">
        <v>11408</v>
      </c>
      <c r="C9065" s="5" t="str">
        <f>IFERROR(__xludf.DUMMYFUNCTION("GOOGLETRANSLATE(B9065,""en"",""de"")"),"Ein Mann zeigt eine Kamera -Box, und der Ping -Pong -Player verwendet sie.")</f>
        <v>Ein Mann zeigt eine Kamera -Box, und der Ping -Pong -Player verwendet sie.</v>
      </c>
    </row>
    <row r="9066">
      <c r="A9066" s="4" t="s">
        <v>11406</v>
      </c>
      <c r="B9066" s="4" t="s">
        <v>11409</v>
      </c>
      <c r="C9066" s="5" t="str">
        <f>IFERROR(__xludf.DUMMYFUNCTION("GOOGLETRANSLATE(B9066,""en"",""de"")"),"Die Box -Büsten öffnen sich, sodass der Player eine Kamera -Part zum Spielen verwendet.")</f>
        <v>Die Box -Büsten öffnen sich, sodass der Player eine Kamera -Part zum Spielen verwendet.</v>
      </c>
    </row>
    <row r="9067">
      <c r="A9067" s="4" t="s">
        <v>11406</v>
      </c>
      <c r="B9067" s="4" t="s">
        <v>11410</v>
      </c>
      <c r="C9067" s="5" t="str">
        <f>IFERROR(__xludf.DUMMYFUNCTION("GOOGLETRANSLATE(B9067,""en"",""de"")"),"Er verwendet eine Batterie, um zurück zu schlagen, und verwendet dann ein anderes Werkzeug.")</f>
        <v>Er verwendet eine Batterie, um zurück zu schlagen, und verwendet dann ein anderes Werkzeug.</v>
      </c>
    </row>
    <row r="9068">
      <c r="A9068" s="4" t="s">
        <v>11406</v>
      </c>
      <c r="B9068" s="4" t="s">
        <v>11411</v>
      </c>
      <c r="C9068" s="5" t="str">
        <f>IFERROR(__xludf.DUMMYFUNCTION("GOOGLETRANSLATE(B9068,""en"",""de"")"),"Verschiedene seltsame Objekte werden verwendet, um das Spiel zu spielen.")</f>
        <v>Verschiedene seltsame Objekte werden verwendet, um das Spiel zu spielen.</v>
      </c>
    </row>
    <row r="9069">
      <c r="A9069" s="4" t="s">
        <v>11406</v>
      </c>
      <c r="B9069" s="4" t="s">
        <v>11412</v>
      </c>
      <c r="C9069" s="5" t="str">
        <f>IFERROR(__xludf.DUMMYFUNCTION("GOOGLETRANSLATE(B9069,""en"",""de"")"),"Der Mann bricht ein Ei mit dem Ball.")</f>
        <v>Der Mann bricht ein Ei mit dem Ball.</v>
      </c>
    </row>
    <row r="9070">
      <c r="A9070" s="4" t="s">
        <v>11406</v>
      </c>
      <c r="B9070" s="4" t="s">
        <v>11413</v>
      </c>
      <c r="C9070" s="5" t="str">
        <f>IFERROR(__xludf.DUMMYFUNCTION("GOOGLETRANSLATE(B9070,""en"",""de"")"),"Weitere seltsame Gegenstände wie eine Fledermaus-, Uhr- und Süßigkeiten -Bar werden verwendet.")</f>
        <v>Weitere seltsame Gegenstände wie eine Fledermaus-, Uhr- und Süßigkeiten -Bar werden verwendet.</v>
      </c>
    </row>
    <row r="9071">
      <c r="A9071" s="4" t="s">
        <v>11406</v>
      </c>
      <c r="B9071" s="4" t="s">
        <v>11414</v>
      </c>
      <c r="C9071" s="5" t="str">
        <f>IFERROR(__xludf.DUMMYFUNCTION("GOOGLETRANSLATE(B9071,""en"",""de"")"),"Der Mann wird gefilmt und das Video auf YouTube hochgeladen.")</f>
        <v>Der Mann wird gefilmt und das Video auf YouTube hochgeladen.</v>
      </c>
    </row>
    <row r="9072">
      <c r="A9072" s="4" t="s">
        <v>11415</v>
      </c>
      <c r="B9072" s="4" t="s">
        <v>11416</v>
      </c>
      <c r="C9072" s="5" t="str">
        <f>IFERROR(__xludf.DUMMYFUNCTION("GOOGLETRANSLATE(B9072,""en"",""de"")"),"Eine Frau versucht einem Kind Eis zu essen, aber das Kind weigert sich, das Eis zu essen, dann isst die Frau das Eis im Löffel.")</f>
        <v>Eine Frau versucht einem Kind Eis zu essen, aber das Kind weigert sich, das Eis zu essen, dann isst die Frau das Eis im Löffel.</v>
      </c>
    </row>
    <row r="9073">
      <c r="A9073" s="4" t="s">
        <v>11415</v>
      </c>
      <c r="B9073" s="4" t="s">
        <v>11417</v>
      </c>
      <c r="C9073" s="5" t="str">
        <f>IFERROR(__xludf.DUMMYFUNCTION("GOOGLETRANSLATE(B9073,""en"",""de"")"),"Danach gibt die Frau dem Kind Eis Eis, und dann reinigt die Frau den Mund des Kindes.")</f>
        <v>Danach gibt die Frau dem Kind Eis Eis, und dann reinigt die Frau den Mund des Kindes.</v>
      </c>
    </row>
    <row r="9074">
      <c r="A9074" s="4" t="s">
        <v>11415</v>
      </c>
      <c r="B9074" s="4" t="s">
        <v>11418</v>
      </c>
      <c r="C9074" s="5" t="str">
        <f>IFERROR(__xludf.DUMMYFUNCTION("GOOGLETRANSLATE(B9074,""en"",""de"")"),"Eine alte Frau füttert ein Jungeneis.")</f>
        <v>Eine alte Frau füttert ein Jungeneis.</v>
      </c>
    </row>
    <row r="9075">
      <c r="A9075" s="4" t="s">
        <v>11419</v>
      </c>
      <c r="B9075" s="4" t="s">
        <v>11420</v>
      </c>
      <c r="C9075" s="5" t="str">
        <f>IFERROR(__xludf.DUMMYFUNCTION("GOOGLETRANSLATE(B9075,""en"",""de"")"),"Eine Blaskapelle spielt auf einem Feld.")</f>
        <v>Eine Blaskapelle spielt auf einem Feld.</v>
      </c>
    </row>
    <row r="9076">
      <c r="A9076" s="4" t="s">
        <v>11419</v>
      </c>
      <c r="B9076" s="4" t="s">
        <v>11421</v>
      </c>
      <c r="C9076" s="5" t="str">
        <f>IFERROR(__xludf.DUMMYFUNCTION("GOOGLETRANSLATE(B9076,""en"",""de"")"),"Ein Mann in einem Trenchcoat spricht in ein Mikrofon.")</f>
        <v>Ein Mann in einem Trenchcoat spricht in ein Mikrofon.</v>
      </c>
    </row>
    <row r="9077">
      <c r="A9077" s="4" t="s">
        <v>11419</v>
      </c>
      <c r="B9077" s="4" t="s">
        <v>11422</v>
      </c>
      <c r="C9077" s="5" t="str">
        <f>IFERROR(__xludf.DUMMYFUNCTION("GOOGLETRANSLATE(B9077,""en"",""de"")"),"Ein Team spielt Lacrosse auf einem Grasfeld.")</f>
        <v>Ein Team spielt Lacrosse auf einem Grasfeld.</v>
      </c>
    </row>
    <row r="9078">
      <c r="A9078" s="4" t="s">
        <v>11423</v>
      </c>
      <c r="B9078" s="4" t="s">
        <v>11424</v>
      </c>
      <c r="C9078" s="5" t="str">
        <f>IFERROR(__xludf.DUMMYFUNCTION("GOOGLETRANSLATE(B9078,""en"",""de"")"),"Ein Mann spricht in verschiedenen Clips mit der Kamera und schießt einen Pfeil und einen Pfeil.")</f>
        <v>Ein Mann spricht in verschiedenen Clips mit der Kamera und schießt einen Pfeil und einen Pfeil.</v>
      </c>
    </row>
    <row r="9079">
      <c r="A9079" s="4" t="s">
        <v>11423</v>
      </c>
      <c r="B9079" s="4" t="s">
        <v>11425</v>
      </c>
      <c r="C9079" s="5" t="str">
        <f>IFERROR(__xludf.DUMMYFUNCTION("GOOGLETRANSLATE(B9079,""en"",""de"")"),"Der Mann demonstriert mehrmals, wie man einen Bogen an verschiedenen Orten richtig schießt, während sie zurückblickt, um mit der Kamera zu sprechen.")</f>
        <v>Der Mann demonstriert mehrmals, wie man einen Bogen an verschiedenen Orten richtig schießt, während sie zurückblickt, um mit der Kamera zu sprechen.</v>
      </c>
    </row>
    <row r="9080">
      <c r="A9080" s="4" t="s">
        <v>11426</v>
      </c>
      <c r="B9080" s="4" t="s">
        <v>11427</v>
      </c>
      <c r="C9080" s="5" t="str">
        <f>IFERROR(__xludf.DUMMYFUNCTION("GOOGLETRANSLATE(B9080,""en"",""de"")"),"Zwei Fußballteams spielen vor einem überfüllten Publikum in Bleachers ein Fußballspiel, bei dem das Team mit den blauen und weißen Uniformen eine Reihe von Toren erzielt.")</f>
        <v>Zwei Fußballteams spielen vor einem überfüllten Publikum in Bleachers ein Fußballspiel, bei dem das Team mit den blauen und weißen Uniformen eine Reihe von Toren erzielt.</v>
      </c>
    </row>
    <row r="9081">
      <c r="A9081" s="4" t="s">
        <v>11426</v>
      </c>
      <c r="B9081" s="4" t="s">
        <v>11428</v>
      </c>
      <c r="C9081" s="5" t="str">
        <f>IFERROR(__xludf.DUMMYFUNCTION("GOOGLETRANSLATE(B9081,""en"",""de"")"),"Das Team mit den gelben und blauen Uniformen gewinnt ein Tor auf dem Feld gegen das schwarze und weiße Team und reagiert, indem sie sich gegenseitig umarmen und lächeln.")</f>
        <v>Das Team mit den gelben und blauen Uniformen gewinnt ein Tor auf dem Feld gegen das schwarze und weiße Team und reagiert, indem sie sich gegenseitig umarmen und lächeln.</v>
      </c>
    </row>
    <row r="9082">
      <c r="A9082" s="4" t="s">
        <v>11426</v>
      </c>
      <c r="B9082" s="4" t="s">
        <v>11429</v>
      </c>
      <c r="C9082" s="5" t="str">
        <f>IFERROR(__xludf.DUMMYFUNCTION("GOOGLETRANSLATE(B9082,""en"",""de"")"),"Das gelbe und blaue Team erzielt eine Reihe von Toren, die manchmal nach dem letzten Kick rutschen, wobei das Publikum jedes Mal für sie steht, wenn ein Tor erzielt wird und gelbe Hemden trägt.")</f>
        <v>Das gelbe und blaue Team erzielt eine Reihe von Toren, die manchmal nach dem letzten Kick rutschen, wobei das Publikum jedes Mal für sie steht, wenn ein Tor erzielt wird und gelbe Hemden trägt.</v>
      </c>
    </row>
    <row r="9083">
      <c r="A9083" s="4" t="s">
        <v>11426</v>
      </c>
      <c r="B9083" s="4" t="s">
        <v>11430</v>
      </c>
      <c r="C9083" s="5" t="str">
        <f>IFERROR(__xludf.DUMMYFUNCTION("GOOGLETRANSLATE(B9083,""en"",""de"")"),"Mit der Punktzahl wird eine digitale Anzeigetafel angezeigt, da das gelbe und blaue Team mehr Tore erzielt.")</f>
        <v>Mit der Punktzahl wird eine digitale Anzeigetafel angezeigt, da das gelbe und blaue Team mehr Tore erzielt.</v>
      </c>
    </row>
    <row r="9084">
      <c r="A9084" s="4" t="s">
        <v>11431</v>
      </c>
      <c r="B9084" s="4" t="s">
        <v>11432</v>
      </c>
      <c r="C9084" s="5" t="str">
        <f>IFERROR(__xludf.DUMMYFUNCTION("GOOGLETRANSLATE(B9084,""en"",""de"")"),"Eine Eisbahn wird mit einem Hockeyspiel gezeigt, das mit dem ersten langen Tor erzielt wird, gefolgt von einer Wiederholung.")</f>
        <v>Eine Eisbahn wird mit einem Hockeyspiel gezeigt, das mit dem ersten langen Tor erzielt wird, gefolgt von einer Wiederholung.</v>
      </c>
    </row>
    <row r="9085">
      <c r="A9085" s="4" t="s">
        <v>11431</v>
      </c>
      <c r="B9085" s="4" t="s">
        <v>11433</v>
      </c>
      <c r="C9085" s="5" t="str">
        <f>IFERROR(__xludf.DUMMYFUNCTION("GOOGLETRANSLATE(B9085,""en"",""de"")"),"Ein Ziel des anderen Teams in Red Shows zweimal.")</f>
        <v>Ein Ziel des anderen Teams in Red Shows zweimal.</v>
      </c>
    </row>
    <row r="9086">
      <c r="A9086" s="4" t="s">
        <v>11431</v>
      </c>
      <c r="B9086" s="4" t="s">
        <v>11434</v>
      </c>
      <c r="C9086" s="5" t="str">
        <f>IFERROR(__xludf.DUMMYFUNCTION("GOOGLETRANSLATE(B9086,""en"",""de"")"),"Eine hitzige Schlacht von zwei Teams endet mit einem orangefarbenen Teamplayer.")</f>
        <v>Eine hitzige Schlacht von zwei Teams endet mit einem orangefarbenen Teamplayer.</v>
      </c>
    </row>
    <row r="9087">
      <c r="A9087" s="4" t="s">
        <v>11431</v>
      </c>
      <c r="B9087" s="4" t="s">
        <v>11435</v>
      </c>
      <c r="C9087" s="5" t="str">
        <f>IFERROR(__xludf.DUMMYFUNCTION("GOOGLETRANSLATE(B9087,""en"",""de"")"),"Zwei weitere Teams machen lange Wertschüsse von links nach rechts.")</f>
        <v>Zwei weitere Teams machen lange Wertschüsse von links nach rechts.</v>
      </c>
    </row>
    <row r="9088">
      <c r="A9088" s="4" t="s">
        <v>11431</v>
      </c>
      <c r="B9088" s="4" t="s">
        <v>11436</v>
      </c>
      <c r="C9088" s="5" t="str">
        <f>IFERROR(__xludf.DUMMYFUNCTION("GOOGLETRANSLATE(B9088,""en"",""de"")"),"Ein weißes Team erzielt, nachdem ein Spieler auf die Eisbahn fällt.")</f>
        <v>Ein weißes Team erzielt, nachdem ein Spieler auf die Eisbahn fällt.</v>
      </c>
    </row>
    <row r="9089">
      <c r="A9089" s="4" t="s">
        <v>11431</v>
      </c>
      <c r="B9089" s="4" t="s">
        <v>11437</v>
      </c>
      <c r="C9089" s="5" t="str">
        <f>IFERROR(__xludf.DUMMYFUNCTION("GOOGLETRANSLATE(B9089,""en"",""de"")"),"Weitere Spiele und ein zweiter Spieler fällt vor einem Tor.")</f>
        <v>Weitere Spiele und ein zweiter Spieler fällt vor einem Tor.</v>
      </c>
    </row>
    <row r="9090">
      <c r="A9090" s="4" t="s">
        <v>11431</v>
      </c>
      <c r="B9090" s="4" t="s">
        <v>11438</v>
      </c>
      <c r="C9090" s="5" t="str">
        <f>IFERROR(__xludf.DUMMYFUNCTION("GOOGLETRANSLATE(B9090,""en"",""de"")"),"Eine höhere Luftansicht ist des letzten Spiels zu sehen.")</f>
        <v>Eine höhere Luftansicht ist des letzten Spiels zu sehen.</v>
      </c>
    </row>
    <row r="9091">
      <c r="A9091" s="4" t="s">
        <v>11439</v>
      </c>
      <c r="B9091" s="4" t="s">
        <v>11440</v>
      </c>
      <c r="C9091" s="5" t="str">
        <f>IFERROR(__xludf.DUMMYFUNCTION("GOOGLETRANSLATE(B9091,""en"",""de"")"),"Eine Dame benutzt während des Sitzens eine Shisha -Pfeife.")</f>
        <v>Eine Dame benutzt während des Sitzens eine Shisha -Pfeife.</v>
      </c>
    </row>
    <row r="9092">
      <c r="A9092" s="4" t="s">
        <v>11439</v>
      </c>
      <c r="B9092" s="4" t="s">
        <v>11441</v>
      </c>
      <c r="C9092" s="5" t="str">
        <f>IFERROR(__xludf.DUMMYFUNCTION("GOOGLETRANSLATE(B9092,""en"",""de"")"),"Die Dame bläst den Rauch in eine Schnitt -Seifenflasche halb.")</f>
        <v>Die Dame bläst den Rauch in eine Schnitt -Seifenflasche halb.</v>
      </c>
    </row>
    <row r="9093">
      <c r="A9093" s="4" t="s">
        <v>11439</v>
      </c>
      <c r="B9093" s="4" t="s">
        <v>11442</v>
      </c>
      <c r="C9093" s="5" t="str">
        <f>IFERROR(__xludf.DUMMYFUNCTION("GOOGLETRANSLATE(B9093,""en"",""de"")"),"Die Blase knallt den Rauch.")</f>
        <v>Die Blase knallt den Rauch.</v>
      </c>
    </row>
    <row r="9094">
      <c r="A9094" s="4" t="s">
        <v>11439</v>
      </c>
      <c r="B9094" s="4" t="s">
        <v>11443</v>
      </c>
      <c r="C9094" s="5" t="str">
        <f>IFERROR(__xludf.DUMMYFUNCTION("GOOGLETRANSLATE(B9094,""en"",""de"")"),"Die Blase schwebt mit dem noch geschlossenen Rauch davon und fällt zu Boden.")</f>
        <v>Die Blase schwebt mit dem noch geschlossenen Rauch davon und fällt zu Boden.</v>
      </c>
    </row>
    <row r="9095">
      <c r="A9095" s="4" t="s">
        <v>11444</v>
      </c>
      <c r="B9095" s="4" t="s">
        <v>11445</v>
      </c>
      <c r="C9095" s="5" t="str">
        <f>IFERROR(__xludf.DUMMYFUNCTION("GOOGLETRANSLATE(B9095,""en"",""de"")"),"Eine Kamera schwenkt rund um einen Bier -Pong -Tisch sowie Leute, die in ein Mikrofon sprechen und sprechen.")</f>
        <v>Eine Kamera schwenkt rund um einen Bier -Pong -Tisch sowie Leute, die in ein Mikrofon sprechen und sprechen.</v>
      </c>
    </row>
    <row r="9096">
      <c r="A9096" s="4" t="s">
        <v>11444</v>
      </c>
      <c r="B9096" s="4" t="s">
        <v>11446</v>
      </c>
      <c r="C9096" s="5" t="str">
        <f>IFERROR(__xludf.DUMMYFUNCTION("GOOGLETRANSLATE(B9096,""en"",""de"")"),"Weitere Leute spielen die Bier -Pong, während ein Mann in das Mikrofon klappt und andere reagieren.")</f>
        <v>Weitere Leute spielen die Bier -Pong, während ein Mann in das Mikrofon klappt und andere reagieren.</v>
      </c>
    </row>
    <row r="9097">
      <c r="A9097" s="4" t="s">
        <v>11444</v>
      </c>
      <c r="B9097" s="4" t="s">
        <v>11447</v>
      </c>
      <c r="C9097" s="5" t="str">
        <f>IFERROR(__xludf.DUMMYFUNCTION("GOOGLETRANSLATE(B9097,""en"",""de"")"),"Es werden mehrere Schüsse gezeigt, wie Leute das Spiel spielen und miteinander jubeln.")</f>
        <v>Es werden mehrere Schüsse gezeigt, wie Leute das Spiel spielen und miteinander jubeln.</v>
      </c>
    </row>
    <row r="9098">
      <c r="A9098" s="4" t="s">
        <v>11448</v>
      </c>
      <c r="B9098" s="4" t="s">
        <v>11449</v>
      </c>
      <c r="C9098" s="5" t="str">
        <f>IFERROR(__xludf.DUMMYFUNCTION("GOOGLETRANSLATE(B9098,""en"",""de"")"),"Eine Gruppe von Männern, die nebeneinander stehen, sind durch sehr lange Strohhalme nach vorne gebeugt.")</f>
        <v>Eine Gruppe von Männern, die nebeneinander stehen, sind durch sehr lange Strohhalme nach vorne gebeugt.</v>
      </c>
    </row>
    <row r="9099">
      <c r="A9099" s="4" t="s">
        <v>11448</v>
      </c>
      <c r="B9099" s="4" t="s">
        <v>11450</v>
      </c>
      <c r="C9099" s="5" t="str">
        <f>IFERROR(__xludf.DUMMYFUNCTION("GOOGLETRANSLATE(B9099,""en"",""de"")"),"Es gibt Leute vor sich, die sie beobachten und auf sie zeigen, während sie tuckern.")</f>
        <v>Es gibt Leute vor sich, die sie beobachten und auf sie zeigen, während sie tuckern.</v>
      </c>
    </row>
    <row r="9100">
      <c r="A9100" s="4" t="s">
        <v>11448</v>
      </c>
      <c r="B9100" s="4" t="s">
        <v>11451</v>
      </c>
      <c r="C9100" s="5" t="str">
        <f>IFERROR(__xludf.DUMMYFUNCTION("GOOGLETRANSLATE(B9100,""en"",""de"")"),"Sie machten es zu einem Spiel, das sie rennen, um zu sehen, wer zuerst fertig werden kann.")</f>
        <v>Sie machten es zu einem Spiel, das sie rennen, um zu sehen, wer zuerst fertig werden kann.</v>
      </c>
    </row>
    <row r="9101">
      <c r="A9101" s="4" t="s">
        <v>11448</v>
      </c>
      <c r="B9101" s="4" t="s">
        <v>11452</v>
      </c>
      <c r="C9101" s="5" t="str">
        <f>IFERROR(__xludf.DUMMYFUNCTION("GOOGLETRANSLATE(B9101,""en"",""de"")"),"Sie alle hören ungefähr zur gleichen Zeit auf und die Leute, die zuschauen, sind weiterhin sehr Rowdy.")</f>
        <v>Sie alle hören ungefähr zur gleichen Zeit auf und die Leute, die zuschauen, sind weiterhin sehr Rowdy.</v>
      </c>
    </row>
    <row r="9102">
      <c r="A9102" s="4" t="s">
        <v>11453</v>
      </c>
      <c r="B9102" s="4" t="s">
        <v>11454</v>
      </c>
      <c r="C9102" s="5" t="str">
        <f>IFERROR(__xludf.DUMMYFUNCTION("GOOGLETRANSLATE(B9102,""en"",""de"")"),"Ein achtjähriges Mädchen spielt eine Mundharmonika auf einer Bühne.")</f>
        <v>Ein achtjähriges Mädchen spielt eine Mundharmonika auf einer Bühne.</v>
      </c>
    </row>
    <row r="9103">
      <c r="A9103" s="4" t="s">
        <v>11453</v>
      </c>
      <c r="B9103" s="4" t="s">
        <v>11455</v>
      </c>
      <c r="C9103" s="5" t="str">
        <f>IFERROR(__xludf.DUMMYFUNCTION("GOOGLETRANSLATE(B9103,""en"",""de"")"),"Die Kamera zoomt auf das Mädchen, während das Mädchen immer härter spielt und immer tiefer atmete.")</f>
        <v>Die Kamera zoomt auf das Mädchen, während das Mädchen immer härter spielt und immer tiefer atmete.</v>
      </c>
    </row>
    <row r="9104">
      <c r="A9104" s="4" t="s">
        <v>11453</v>
      </c>
      <c r="B9104" s="4" t="s">
        <v>11456</v>
      </c>
      <c r="C9104" s="5" t="str">
        <f>IFERROR(__xludf.DUMMYFUNCTION("GOOGLETRANSLATE(B9104,""en"",""de"")"),"Das Mädchen hört auf zu spielen, wirft sehr schnell nach links an, dann zum Lächeln, während sie in die Kamera schaut und klatscht.")</f>
        <v>Das Mädchen hört auf zu spielen, wirft sehr schnell nach links an, dann zum Lächeln, während sie in die Kamera schaut und klatscht.</v>
      </c>
    </row>
    <row r="9105">
      <c r="A9105" s="4" t="s">
        <v>11457</v>
      </c>
      <c r="B9105" s="4" t="s">
        <v>11458</v>
      </c>
      <c r="C9105" s="5" t="str">
        <f>IFERROR(__xludf.DUMMYFUNCTION("GOOGLETRANSLATE(B9105,""en"",""de"")"),"Die Armee ist aufgereiht, sie sind in vier Gruppen unterteilt, sie begannen, Kriegsübungen durch Schießen nach Gruppen mit Farbpistole zu führen, sie verstecken sich zwischen Steinmauern und freien Autos.")</f>
        <v>Die Armee ist aufgereiht, sie sind in vier Gruppen unterteilt, sie begannen, Kriegsübungen durch Schießen nach Gruppen mit Farbpistole zu führen, sie verstecken sich zwischen Steinmauern und freien Autos.</v>
      </c>
    </row>
    <row r="9106">
      <c r="A9106" s="4" t="s">
        <v>11457</v>
      </c>
      <c r="B9106" s="4" t="s">
        <v>11459</v>
      </c>
      <c r="C9106" s="5" t="str">
        <f>IFERROR(__xludf.DUMMYFUNCTION("GOOGLETRANSLATE(B9106,""en"",""de"")"),"Die Armee greift ihre Farbpistolen auf dem Tisch und lud sie mit Farbkugeln.")</f>
        <v>Die Armee greift ihre Farbpistolen auf dem Tisch und lud sie mit Farbkugeln.</v>
      </c>
    </row>
    <row r="9107">
      <c r="A9107" s="4" t="s">
        <v>11460</v>
      </c>
      <c r="B9107" s="4" t="s">
        <v>11461</v>
      </c>
      <c r="C9107" s="5" t="str">
        <f>IFERROR(__xludf.DUMMYFUNCTION("GOOGLETRANSLATE(B9107,""en"",""de"")"),"Ein Mädchen trägt ein rosa und schwarzes Outfit, das in einem Raum spricht, der auf einer blauen Yogamatte liegt.")</f>
        <v>Ein Mädchen trägt ein rosa und schwarzes Outfit, das in einem Raum spricht, der auf einer blauen Yogamatte liegt.</v>
      </c>
    </row>
    <row r="9108">
      <c r="A9108" s="4" t="s">
        <v>11460</v>
      </c>
      <c r="B9108" s="4" t="s">
        <v>11462</v>
      </c>
      <c r="C9108" s="5" t="str">
        <f>IFERROR(__xludf.DUMMYFUNCTION("GOOGLETRANSLATE(B9108,""en"",""de"")"),"Die Dame legt sich dann auf ihren Rücken und legt ihre Hand über ihre Brust.")</f>
        <v>Die Dame legt sich dann auf ihren Rücken und legt ihre Hand über ihre Brust.</v>
      </c>
    </row>
    <row r="9109">
      <c r="A9109" s="4" t="s">
        <v>11460</v>
      </c>
      <c r="B9109" s="4" t="s">
        <v>11463</v>
      </c>
      <c r="C9109" s="5" t="str">
        <f>IFERROR(__xludf.DUMMYFUNCTION("GOOGLETRANSLATE(B9109,""en"",""de"")"),"Bevor sie beginnt, spricht sie über ihren Bauch und wie Sie Ihre Hände auf die richtige Art und Weise hinter Ihren Hals legen können.")</f>
        <v>Bevor sie beginnt, spricht sie über ihren Bauch und wie Sie Ihre Hände auf die richtige Art und Weise hinter Ihren Hals legen können.</v>
      </c>
    </row>
    <row r="9110">
      <c r="A9110" s="4" t="s">
        <v>11460</v>
      </c>
      <c r="B9110" s="4" t="s">
        <v>11464</v>
      </c>
      <c r="C9110" s="5" t="str">
        <f>IFERROR(__xludf.DUMMYFUNCTION("GOOGLETRANSLATE(B9110,""en"",""de"")"),"Schließlich macht sie ungefähr vier Crunches und zeigt, dass Ihr Kopf aufliegen sollte und ebenso wie Ihr Körper, bevor sie ihre Crunches beendet.")</f>
        <v>Schließlich macht sie ungefähr vier Crunches und zeigt, dass Ihr Kopf aufliegen sollte und ebenso wie Ihr Körper, bevor sie ihre Crunches beendet.</v>
      </c>
    </row>
    <row r="9111">
      <c r="A9111" s="4" t="s">
        <v>11465</v>
      </c>
      <c r="B9111" s="4" t="s">
        <v>11466</v>
      </c>
      <c r="C9111" s="5" t="str">
        <f>IFERROR(__xludf.DUMMYFUNCTION("GOOGLETRANSLATE(B9111,""en"",""de"")"),"Eine Frau trainiert in einer Cardio -Maschine, die in einem Fitnessstudio einen Griff zieht.")</f>
        <v>Eine Frau trainiert in einer Cardio -Maschine, die in einem Fitnessstudio einen Griff zieht.</v>
      </c>
    </row>
    <row r="9112">
      <c r="A9112" s="4" t="s">
        <v>11465</v>
      </c>
      <c r="B9112" s="4" t="s">
        <v>11467</v>
      </c>
      <c r="C9112" s="5" t="str">
        <f>IFERROR(__xludf.DUMMYFUNCTION("GOOGLETRANSLATE(B9112,""en"",""de"")"),"Eine Person betritt das Fitnessstudio.")</f>
        <v>Eine Person betritt das Fitnessstudio.</v>
      </c>
    </row>
    <row r="9113">
      <c r="A9113" s="4" t="s">
        <v>11468</v>
      </c>
      <c r="B9113" s="4" t="s">
        <v>11469</v>
      </c>
      <c r="C9113" s="5" t="str">
        <f>IFERROR(__xludf.DUMMYFUNCTION("GOOGLETRANSLATE(B9113,""en"",""de"")"),"Ein männliches und weibliches Tanz -Duo befindet sich mitten in einem Ballsaalboden, umgeben von Menschen, die sich auf den Tanz vorbereiten. Die Musik beginnt jedoch nicht und sie werden verzögert.")</f>
        <v>Ein männliches und weibliches Tanz -Duo befindet sich mitten in einem Ballsaalboden, umgeben von Menschen, die sich auf den Tanz vorbereiten. Die Musik beginnt jedoch nicht und sie werden verzögert.</v>
      </c>
    </row>
    <row r="9114">
      <c r="A9114" s="4" t="s">
        <v>11468</v>
      </c>
      <c r="B9114" s="4" t="s">
        <v>11470</v>
      </c>
      <c r="C9114" s="5" t="str">
        <f>IFERROR(__xludf.DUMMYFUNCTION("GOOGLETRANSLATE(B9114,""en"",""de"")"),"Dann fangen sie an zu tanzen und ihre Füße über die Fliese zu mischen und sich gegenseitig herumzudrehen.")</f>
        <v>Dann fangen sie an zu tanzen und ihre Füße über die Fliese zu mischen und sich gegenseitig herumzudrehen.</v>
      </c>
    </row>
    <row r="9115">
      <c r="A9115" s="4" t="s">
        <v>11468</v>
      </c>
      <c r="B9115" s="4" t="s">
        <v>11471</v>
      </c>
      <c r="C9115" s="5" t="str">
        <f>IFERROR(__xludf.DUMMYFUNCTION("GOOGLETRANSLATE(B9115,""en"",""de"")"),"Die beiden machen dann eine Trennung, beenden die Routine und gehen mit der Menge, um sich mit der Menge zu mischen.")</f>
        <v>Die beiden machen dann eine Trennung, beenden die Routine und gehen mit der Menge, um sich mit der Menge zu mischen.</v>
      </c>
    </row>
    <row r="9116">
      <c r="A9116" s="4" t="s">
        <v>11472</v>
      </c>
      <c r="B9116" s="4" t="s">
        <v>11473</v>
      </c>
      <c r="C9116" s="5" t="str">
        <f>IFERROR(__xludf.DUMMYFUNCTION("GOOGLETRANSLATE(B9116,""en"",""de"")"),"Ein Mann steht vor einem Tisch, der eine Stange Wachs und andere Objekte hochhält.")</f>
        <v>Ein Mann steht vor einem Tisch, der eine Stange Wachs und andere Objekte hochhält.</v>
      </c>
    </row>
    <row r="9117">
      <c r="A9117" s="4" t="s">
        <v>11472</v>
      </c>
      <c r="B9117" s="4" t="s">
        <v>11474</v>
      </c>
      <c r="C9117" s="5" t="str">
        <f>IFERROR(__xludf.DUMMYFUNCTION("GOOGLETRANSLATE(B9117,""en"",""de"")"),"Er schiebt das Wachs in einen Schleifer und beginnt es auf einem Skigebett zu verwenden.")</f>
        <v>Er schiebt das Wachs in einen Schleifer und beginnt es auf einem Skigebett zu verwenden.</v>
      </c>
    </row>
    <row r="9118">
      <c r="A9118" s="4" t="s">
        <v>11472</v>
      </c>
      <c r="B9118" s="4" t="s">
        <v>11475</v>
      </c>
      <c r="C9118" s="5" t="str">
        <f>IFERROR(__xludf.DUMMYFUNCTION("GOOGLETRANSLATE(B9118,""en"",""de"")"),"Er bewegt den Schleifer entlang des Bretts und endet, indem er ihn in die Kamera zeigt.")</f>
        <v>Er bewegt den Schleifer entlang des Bretts und endet, indem er ihn in die Kamera zeigt.</v>
      </c>
    </row>
    <row r="9119">
      <c r="A9119" s="4" t="s">
        <v>11476</v>
      </c>
      <c r="B9119" s="4" t="s">
        <v>11477</v>
      </c>
      <c r="C9119" s="5" t="str">
        <f>IFERROR(__xludf.DUMMYFUNCTION("GOOGLETRANSLATE(B9119,""en"",""de"")"),"Wir sehen einen Mann, der einen Lockenstein wirft.")</f>
        <v>Wir sehen einen Mann, der einen Lockenstein wirft.</v>
      </c>
    </row>
    <row r="9120">
      <c r="A9120" s="4" t="s">
        <v>11476</v>
      </c>
      <c r="B9120" s="4" t="s">
        <v>11478</v>
      </c>
      <c r="C9120" s="5" t="str">
        <f>IFERROR(__xludf.DUMMYFUNCTION("GOOGLETRANSLATE(B9120,""en"",""de"")"),"Wir sehen einen Mann, 2 Mädchen, dann ein älterer Mann interviewt.")</f>
        <v>Wir sehen einen Mann, 2 Mädchen, dann ein älterer Mann interviewt.</v>
      </c>
    </row>
    <row r="9121">
      <c r="A9121" s="4" t="s">
        <v>11476</v>
      </c>
      <c r="B9121" s="4" t="s">
        <v>11479</v>
      </c>
      <c r="C9121" s="5" t="str">
        <f>IFERROR(__xludf.DUMMYFUNCTION("GOOGLETRANSLATE(B9121,""en"",""de"")"),"Wir sehen einen Mann, der den Stein wirft.")</f>
        <v>Wir sehen einen Mann, der den Stein wirft.</v>
      </c>
    </row>
    <row r="9122">
      <c r="A9122" s="4" t="s">
        <v>11476</v>
      </c>
      <c r="B9122" s="4" t="s">
        <v>11480</v>
      </c>
      <c r="C9122" s="5" t="str">
        <f>IFERROR(__xludf.DUMMYFUNCTION("GOOGLETRANSLATE(B9122,""en"",""de"")"),"Wir sehen den älteren Mann interviewt.")</f>
        <v>Wir sehen den älteren Mann interviewt.</v>
      </c>
    </row>
    <row r="9123">
      <c r="A9123" s="4" t="s">
        <v>11476</v>
      </c>
      <c r="B9123" s="4" t="s">
        <v>11481</v>
      </c>
      <c r="C9123" s="5" t="str">
        <f>IFERROR(__xludf.DUMMYFUNCTION("GOOGLETRANSLATE(B9123,""en"",""de"")"),"Wir sehen zwei Jungen in der Eisbahn.")</f>
        <v>Wir sehen zwei Jungen in der Eisbahn.</v>
      </c>
    </row>
    <row r="9124">
      <c r="A9124" s="4" t="s">
        <v>11476</v>
      </c>
      <c r="B9124" s="4" t="s">
        <v>11482</v>
      </c>
      <c r="C9124" s="5" t="str">
        <f>IFERROR(__xludf.DUMMYFUNCTION("GOOGLETRANSLATE(B9124,""en"",""de"")"),"Wir sehen einen jungen Mann mit längerem Haar, gefolgt von zwei Mädchen.")</f>
        <v>Wir sehen einen jungen Mann mit längerem Haar, gefolgt von zwei Mädchen.</v>
      </c>
    </row>
    <row r="9125">
      <c r="A9125" s="4" t="s">
        <v>11476</v>
      </c>
      <c r="B9125" s="4" t="s">
        <v>11483</v>
      </c>
      <c r="C9125" s="5" t="str">
        <f>IFERROR(__xludf.DUMMYFUNCTION("GOOGLETRANSLATE(B9125,""en"",""de"")"),"Wir sehen den Jungen Curl, werden dann interviewt und ein Mädchen interviewt.")</f>
        <v>Wir sehen den Jungen Curl, werden dann interviewt und ein Mädchen interviewt.</v>
      </c>
    </row>
    <row r="9126">
      <c r="A9126" s="4" t="s">
        <v>11476</v>
      </c>
      <c r="B9126" s="4" t="s">
        <v>11484</v>
      </c>
      <c r="C9126" s="5" t="str">
        <f>IFERROR(__xludf.DUMMYFUNCTION("GOOGLETRANSLATE(B9126,""en"",""de"")"),"Wir sehen, wie sich die Menschen zusammenkrümmen, ein Mädchen spricht und eine Gruppe von Mädchen spricht, bevor sie weggehen.")</f>
        <v>Wir sehen, wie sich die Menschen zusammenkrümmen, ein Mädchen spricht und eine Gruppe von Mädchen spricht, bevor sie weggehen.</v>
      </c>
    </row>
    <row r="9127">
      <c r="A9127" s="4" t="s">
        <v>11485</v>
      </c>
      <c r="B9127" s="4" t="s">
        <v>11486</v>
      </c>
      <c r="C9127" s="5" t="str">
        <f>IFERROR(__xludf.DUMMYFUNCTION("GOOGLETRANSLATE(B9127,""en"",""de"")"),"Es werden verschiedene Schüsse von verschiedenen Schneeboardern gezeigt, die Schienen in Schnee schleifen, wobei einer fällt und sich selbst verletzt.")</f>
        <v>Es werden verschiedene Schüsse von verschiedenen Schneeboardern gezeigt, die Schienen in Schnee schleifen, wobei einer fällt und sich selbst verletzt.</v>
      </c>
    </row>
    <row r="9128">
      <c r="A9128" s="4" t="s">
        <v>11485</v>
      </c>
      <c r="B9128" s="4" t="s">
        <v>11487</v>
      </c>
      <c r="C9128" s="5" t="str">
        <f>IFERROR(__xludf.DUMMYFUNCTION("GOOGLETRANSLATE(B9128,""en"",""de"")"),"Weitere Aufnahmen von Menschen, die sich am Ende auslenken, werden ebenso gezeigt und Menschen, die im Kreis miteinander sprechen.")</f>
        <v>Weitere Aufnahmen von Menschen, die sich am Ende auslenken, werden ebenso gezeigt und Menschen, die im Kreis miteinander sprechen.</v>
      </c>
    </row>
    <row r="9129">
      <c r="A9129" s="4" t="s">
        <v>11488</v>
      </c>
      <c r="B9129" s="4" t="s">
        <v>11489</v>
      </c>
      <c r="C9129" s="5" t="str">
        <f>IFERROR(__xludf.DUMMYFUNCTION("GOOGLETRANSLATE(B9129,""en"",""de"")"),"Eine große Gruppe von Menschen sah, wie ein Seil voneinander wegzog.")</f>
        <v>Eine große Gruppe von Menschen sah, wie ein Seil voneinander wegzog.</v>
      </c>
    </row>
    <row r="9130">
      <c r="A9130" s="4" t="s">
        <v>11488</v>
      </c>
      <c r="B9130" s="4" t="s">
        <v>11490</v>
      </c>
      <c r="C9130" s="5" t="str">
        <f>IFERROR(__xludf.DUMMYFUNCTION("GOOGLETRANSLATE(B9130,""en"",""de"")"),"Weitere Spiele werden von Menschen gezeigt, die ein Schlepper des Krieges spielen.")</f>
        <v>Weitere Spiele werden von Menschen gezeigt, die ein Schlepper des Krieges spielen.</v>
      </c>
    </row>
    <row r="9131">
      <c r="A9131" s="4" t="s">
        <v>11488</v>
      </c>
      <c r="B9131" s="4" t="s">
        <v>11491</v>
      </c>
      <c r="C9131" s="5" t="str">
        <f>IFERROR(__xludf.DUMMYFUNCTION("GOOGLETRANSLATE(B9131,""en"",""de"")"),"Die Leute beobachten an den Seiten, während die Männer weiterhin miteinander spielen.")</f>
        <v>Die Leute beobachten an den Seiten, während die Männer weiterhin miteinander spielen.</v>
      </c>
    </row>
    <row r="9132">
      <c r="A9132" s="4" t="s">
        <v>11492</v>
      </c>
      <c r="B9132" s="4" t="s">
        <v>11493</v>
      </c>
      <c r="C9132" s="5" t="str">
        <f>IFERROR(__xludf.DUMMYFUNCTION("GOOGLETRANSLATE(B9132,""en"",""de"")"),"Ein Turner wird vor einer großen Menge mit ihren Armen in der Luft bereit stehen.")</f>
        <v>Ein Turner wird vor einer großen Menge mit ihren Armen in der Luft bereit stehen.</v>
      </c>
    </row>
    <row r="9133">
      <c r="A9133" s="4" t="s">
        <v>11492</v>
      </c>
      <c r="B9133" s="4" t="s">
        <v>11494</v>
      </c>
      <c r="C9133" s="5" t="str">
        <f>IFERROR(__xludf.DUMMYFUNCTION("GOOGLETRANSLATE(B9133,""en"",""de"")"),"Das Mädchen springt dann auf einen Strahl und beginnt Gymnastic Tricks.")</f>
        <v>Das Mädchen springt dann auf einen Strahl und beginnt Gymnastic Tricks.</v>
      </c>
    </row>
    <row r="9134">
      <c r="A9134" s="4" t="s">
        <v>11492</v>
      </c>
      <c r="B9134" s="4" t="s">
        <v>11495</v>
      </c>
      <c r="C9134" s="5" t="str">
        <f>IFERROR(__xludf.DUMMYFUNCTION("GOOGLETRANSLATE(B9134,""en"",""de"")"),"Das Mädchen flippt weiter und dreht sich und endet damit, dass sie zur Seite springt.")</f>
        <v>Das Mädchen flippt weiter und dreht sich und endet damit, dass sie zur Seite springt.</v>
      </c>
    </row>
    <row r="9135">
      <c r="A9135" s="4" t="s">
        <v>11496</v>
      </c>
      <c r="B9135" s="4" t="s">
        <v>11497</v>
      </c>
      <c r="C9135" s="5" t="str">
        <f>IFERROR(__xludf.DUMMYFUNCTION("GOOGLETRANSLATE(B9135,""en"",""de"")"),"Ein junger Mann rennt und springt mehrmals über eine Bar auf eine Matte.")</f>
        <v>Ein junger Mann rennt und springt mehrmals über eine Bar auf eine Matte.</v>
      </c>
    </row>
    <row r="9136">
      <c r="A9136" s="4" t="s">
        <v>11496</v>
      </c>
      <c r="B9136" s="4" t="s">
        <v>11498</v>
      </c>
      <c r="C9136" s="5" t="str">
        <f>IFERROR(__xludf.DUMMYFUNCTION("GOOGLETRANSLATE(B9136,""en"",""de"")"),"Die Leute rennen und gehen im Hintergrund um eine Strecke.")</f>
        <v>Die Leute rennen und gehen im Hintergrund um eine Strecke.</v>
      </c>
    </row>
    <row r="9137">
      <c r="A9137" s="4" t="s">
        <v>11496</v>
      </c>
      <c r="B9137" s="4" t="s">
        <v>11499</v>
      </c>
      <c r="C9137" s="5" t="str">
        <f>IFERROR(__xludf.DUMMYFUNCTION("GOOGLETRANSLATE(B9137,""en"",""de"")"),"Der gleiche junge Mann springt dann mehrmals über die Stange mit einem Sprungbrett auf der Matte.")</f>
        <v>Der gleiche junge Mann springt dann mehrmals über die Stange mit einem Sprungbrett auf der Matte.</v>
      </c>
    </row>
    <row r="9138">
      <c r="A9138" s="4" t="s">
        <v>11496</v>
      </c>
      <c r="B9138" s="4" t="s">
        <v>11500</v>
      </c>
      <c r="C9138" s="5" t="str">
        <f>IFERROR(__xludf.DUMMYFUNCTION("GOOGLETRANSLATE(B9138,""en"",""de"")"),"Die Leute gehen um ein Feldhaus in der Nähe der Strecke.")</f>
        <v>Die Leute gehen um ein Feldhaus in der Nähe der Strecke.</v>
      </c>
    </row>
    <row r="9139">
      <c r="A9139" s="4" t="s">
        <v>11501</v>
      </c>
      <c r="B9139" s="4" t="s">
        <v>11502</v>
      </c>
      <c r="C9139" s="5" t="str">
        <f>IFERROR(__xludf.DUMMYFUNCTION("GOOGLETRANSLATE(B9139,""en"",""de"")"),"Mehrere Kinder fahren in einer Gruppe auf einer Gruppe Stoßstangenautos.")</f>
        <v>Mehrere Kinder fahren in einer Gruppe auf einer Gruppe Stoßstangenautos.</v>
      </c>
    </row>
    <row r="9140">
      <c r="A9140" s="4" t="s">
        <v>11501</v>
      </c>
      <c r="B9140" s="4" t="s">
        <v>11503</v>
      </c>
      <c r="C9140" s="5" t="str">
        <f>IFERROR(__xludf.DUMMYFUNCTION("GOOGLETRANSLATE(B9140,""en"",""de"")"),"Ein jüngeres Mädchen bleibt stecken und ein Mann geht rüber, um ihr zu helfen.")</f>
        <v>Ein jüngeres Mädchen bleibt stecken und ein Mann geht rüber, um ihr zu helfen.</v>
      </c>
    </row>
    <row r="9141">
      <c r="A9141" s="4" t="s">
        <v>11501</v>
      </c>
      <c r="B9141" s="4" t="s">
        <v>11504</v>
      </c>
      <c r="C9141" s="5" t="str">
        <f>IFERROR(__xludf.DUMMYFUNCTION("GOOGLETRANSLATE(B9141,""en"",""de"")"),"Die Gruppenzeit läuft ab und alle Kinder stehen auf und verlassen den Stoßfängerauto.")</f>
        <v>Die Gruppenzeit läuft ab und alle Kinder stehen auf und verlassen den Stoßfängerauto.</v>
      </c>
    </row>
    <row r="9142">
      <c r="A9142" s="4" t="s">
        <v>11501</v>
      </c>
      <c r="B9142" s="4" t="s">
        <v>11505</v>
      </c>
      <c r="C9142" s="5" t="str">
        <f>IFERROR(__xludf.DUMMYFUNCTION("GOOGLETRANSLATE(B9142,""en"",""de"")"),"Die Kinder gehen alle die Treppe hinunter und zurück in die Messe.")</f>
        <v>Die Kinder gehen alle die Treppe hinunter und zurück in die Messe.</v>
      </c>
    </row>
    <row r="9143">
      <c r="A9143" s="4" t="s">
        <v>11501</v>
      </c>
      <c r="B9143" s="4" t="s">
        <v>11506</v>
      </c>
      <c r="C9143" s="5" t="str">
        <f>IFERROR(__xludf.DUMMYFUNCTION("GOOGLETRANSLATE(B9143,""en"",""de"")"),"Es gibt viele Menschen jeden Alters, um auf der Messe verschiedene Dinge zu tun.")</f>
        <v>Es gibt viele Menschen jeden Alters, um auf der Messe verschiedene Dinge zu tun.</v>
      </c>
    </row>
    <row r="9144">
      <c r="A9144" s="4" t="s">
        <v>11507</v>
      </c>
      <c r="B9144" s="4" t="s">
        <v>11508</v>
      </c>
      <c r="C9144" s="5" t="str">
        <f>IFERROR(__xludf.DUMMYFUNCTION("GOOGLETRANSLATE(B9144,""en"",""de"")"),"Schießziele werden im Gras angezeigt.")</f>
        <v>Schießziele werden im Gras angezeigt.</v>
      </c>
    </row>
    <row r="9145">
      <c r="A9145" s="4" t="s">
        <v>11507</v>
      </c>
      <c r="B9145" s="4" t="s">
        <v>11509</v>
      </c>
      <c r="C9145" s="5" t="str">
        <f>IFERROR(__xludf.DUMMYFUNCTION("GOOGLETRANSLATE(B9145,""en"",""de"")"),"Ein Mann benutzt einen Bogen und einen Pfeil, um die Ziele zu treffen.")</f>
        <v>Ein Mann benutzt einen Bogen und einen Pfeil, um die Ziele zu treffen.</v>
      </c>
    </row>
    <row r="9146">
      <c r="A9146" s="4" t="s">
        <v>11507</v>
      </c>
      <c r="B9146" s="4" t="s">
        <v>1599</v>
      </c>
      <c r="C9146" s="5" t="str">
        <f>IFERROR(__xludf.DUMMYFUNCTION("GOOGLETRANSLATE(B9146,""en"",""de"")"),"Wörter werden auf dem Bildschirm angezeigt.")</f>
        <v>Wörter werden auf dem Bildschirm angezeigt.</v>
      </c>
    </row>
    <row r="9147">
      <c r="A9147" s="4" t="s">
        <v>11507</v>
      </c>
      <c r="B9147" s="4" t="s">
        <v>11510</v>
      </c>
      <c r="C9147" s="5" t="str">
        <f>IFERROR(__xludf.DUMMYFUNCTION("GOOGLETRANSLATE(B9147,""en"",""de"")"),"Ein Mann schießt einen Bogen hinter einen Stöckenhaufen.")</f>
        <v>Ein Mann schießt einen Bogen hinter einen Stöckenhaufen.</v>
      </c>
    </row>
    <row r="9148">
      <c r="A9148" s="4" t="s">
        <v>11511</v>
      </c>
      <c r="B9148" s="4" t="s">
        <v>11512</v>
      </c>
      <c r="C9148" s="5" t="str">
        <f>IFERROR(__xludf.DUMMYFUNCTION("GOOGLETRANSLATE(B9148,""en"",""de"")"),"Ein kleines Kind steht hinter einer Reihe von Trommeln und beginnt dann, Schlagzeug zu spielen.")</f>
        <v>Ein kleines Kind steht hinter einer Reihe von Trommeln und beginnt dann, Schlagzeug zu spielen.</v>
      </c>
    </row>
    <row r="9149">
      <c r="A9149" s="4" t="s">
        <v>11511</v>
      </c>
      <c r="B9149" s="4" t="s">
        <v>11513</v>
      </c>
      <c r="C9149" s="5" t="str">
        <f>IFERROR(__xludf.DUMMYFUNCTION("GOOGLETRANSLATE(B9149,""en"",""de"")"),"Die Jungs spielen weiter am Schlagzeug und endet damit, dass er seine Finger küsst und ein Friedenszeichen gibt.")</f>
        <v>Die Jungs spielen weiter am Schlagzeug und endet damit, dass er seine Finger küsst und ein Friedenszeichen gibt.</v>
      </c>
    </row>
    <row r="9150">
      <c r="A9150" s="4" t="s">
        <v>11514</v>
      </c>
      <c r="B9150" s="4" t="s">
        <v>11515</v>
      </c>
      <c r="C9150" s="5" t="str">
        <f>IFERROR(__xludf.DUMMYFUNCTION("GOOGLETRANSLATE(B9150,""en"",""de"")"),"Ein junger Mann im blauen T-Shirt geht durch ein kleines Tanzstudio-Raum.")</f>
        <v>Ein junger Mann im blauen T-Shirt geht durch ein kleines Tanzstudio-Raum.</v>
      </c>
    </row>
    <row r="9151">
      <c r="A9151" s="4" t="s">
        <v>11514</v>
      </c>
      <c r="B9151" s="4" t="s">
        <v>11516</v>
      </c>
      <c r="C9151" s="5" t="str">
        <f>IFERROR(__xludf.DUMMYFUNCTION("GOOGLETRANSLATE(B9151,""en"",""de"")"),"Der junge Mann setzt seine Stereoanlage auf einen Stuhl.")</f>
        <v>Der junge Mann setzt seine Stereoanlage auf einen Stuhl.</v>
      </c>
    </row>
    <row r="9152">
      <c r="A9152" s="4" t="s">
        <v>11514</v>
      </c>
      <c r="B9152" s="4" t="s">
        <v>11517</v>
      </c>
      <c r="C9152" s="5" t="str">
        <f>IFERROR(__xludf.DUMMYFUNCTION("GOOGLETRANSLATE(B9152,""en"",""de"")"),"Der junge Mann erwärmt sich und macht einen einhande Handstand.")</f>
        <v>Der junge Mann erwärmt sich und macht einen einhande Handstand.</v>
      </c>
    </row>
    <row r="9153">
      <c r="A9153" s="4" t="s">
        <v>11514</v>
      </c>
      <c r="B9153" s="4" t="s">
        <v>11518</v>
      </c>
      <c r="C9153" s="5" t="str">
        <f>IFERROR(__xludf.DUMMYFUNCTION("GOOGLETRANSLATE(B9153,""en"",""de"")"),"Der Mann macht eine Break -Tanzroutine, die Handstände und Drehungen macht.")</f>
        <v>Der Mann macht eine Break -Tanzroutine, die Handstände und Drehungen macht.</v>
      </c>
    </row>
    <row r="9154">
      <c r="A9154" s="4" t="s">
        <v>11514</v>
      </c>
      <c r="B9154" s="4" t="s">
        <v>11519</v>
      </c>
      <c r="C9154" s="5" t="str">
        <f>IFERROR(__xludf.DUMMYFUNCTION("GOOGLETRANSLATE(B9154,""en"",""de"")"),"Endkredite werden mit in Kursiv geschriebenen Namen angezeigt.")</f>
        <v>Endkredite werden mit in Kursiv geschriebenen Namen angezeigt.</v>
      </c>
    </row>
    <row r="9155">
      <c r="A9155" s="4" t="s">
        <v>11520</v>
      </c>
      <c r="B9155" s="4" t="s">
        <v>11521</v>
      </c>
      <c r="C9155" s="5" t="str">
        <f>IFERROR(__xludf.DUMMYFUNCTION("GOOGLETRANSLATE(B9155,""en"",""de"")"),"Es gibt Menschen in einer Garage um einen langen Holztisch, der viele rote Solo -Tassen enthält.")</f>
        <v>Es gibt Menschen in einer Garage um einen langen Holztisch, der viele rote Solo -Tassen enthält.</v>
      </c>
    </row>
    <row r="9156">
      <c r="A9156" s="4" t="s">
        <v>11520</v>
      </c>
      <c r="B9156" s="4" t="s">
        <v>11522</v>
      </c>
      <c r="C9156" s="5" t="str">
        <f>IFERROR(__xludf.DUMMYFUNCTION("GOOGLETRANSLATE(B9156,""en"",""de"")"),"Sie alle beginnen, Ping -Pong -Bälle zu werfen, um sie in einen roten Solo -Becher zu landen.")</f>
        <v>Sie alle beginnen, Ping -Pong -Bälle zu werfen, um sie in einen roten Solo -Becher zu landen.</v>
      </c>
    </row>
    <row r="9157">
      <c r="A9157" s="4" t="s">
        <v>11520</v>
      </c>
      <c r="B9157" s="4" t="s">
        <v>11523</v>
      </c>
      <c r="C9157" s="5" t="str">
        <f>IFERROR(__xludf.DUMMYFUNCTION("GOOGLETRANSLATE(B9157,""en"",""de"")"),"Plötzlich fällt einer von ihnen rückwärts in den Tisch und der Tisch fällt.")</f>
        <v>Plötzlich fällt einer von ihnen rückwärts in den Tisch und der Tisch fällt.</v>
      </c>
    </row>
    <row r="9158">
      <c r="A9158" s="4" t="s">
        <v>11520</v>
      </c>
      <c r="B9158" s="4" t="s">
        <v>11524</v>
      </c>
      <c r="C9158" s="5" t="str">
        <f>IFERROR(__xludf.DUMMYFUNCTION("GOOGLETRANSLATE(B9158,""en"",""de"")"),"Alle Männer beginnen zu lachen, ziehen den Tisch vom Mann ab, und nur einer der Männer, um der Person zu helfen.")</f>
        <v>Alle Männer beginnen zu lachen, ziehen den Tisch vom Mann ab, und nur einer der Männer, um der Person zu helfen.</v>
      </c>
    </row>
    <row r="9159">
      <c r="A9159" s="4" t="s">
        <v>11525</v>
      </c>
      <c r="B9159" s="4" t="s">
        <v>11526</v>
      </c>
      <c r="C9159" s="5" t="str">
        <f>IFERROR(__xludf.DUMMYFUNCTION("GOOGLETRANSLATE(B9159,""en"",""de"")"),"Ein Mann wird gesehen, wie ein anderer Mann vor der Kamera interviewt wird und führt zu mehreren Gruppen von Menschen, die Shuffle Board spielen.")</f>
        <v>Ein Mann wird gesehen, wie ein anderer Mann vor der Kamera interviewt wird und führt zu mehreren Gruppen von Menschen, die Shuffle Board spielen.</v>
      </c>
    </row>
    <row r="9160">
      <c r="A9160" s="4" t="s">
        <v>11525</v>
      </c>
      <c r="B9160" s="4" t="s">
        <v>11527</v>
      </c>
      <c r="C9160" s="5" t="str">
        <f>IFERROR(__xludf.DUMMYFUNCTION("GOOGLETRANSLATE(B9160,""en"",""de"")"),"Die Kamera schwenkt zurück zu dem Mann, der interviewt wird, und endet mit dem Host, der ein letztes Wort für die Kamera hat.")</f>
        <v>Die Kamera schwenkt zurück zu dem Mann, der interviewt wird, und endet mit dem Host, der ein letztes Wort für die Kamera hat.</v>
      </c>
    </row>
    <row r="9161">
      <c r="A9161" s="4" t="s">
        <v>11528</v>
      </c>
      <c r="B9161" s="4" t="s">
        <v>11529</v>
      </c>
      <c r="C9161" s="5" t="str">
        <f>IFERROR(__xludf.DUMMYFUNCTION("GOOGLETRANSLATE(B9161,""en"",""de"")"),"Zwei Frau sind außerhalb eines Gebäudes im Freien und spielen auf zementiertem Boden Hopscotch.")</f>
        <v>Zwei Frau sind außerhalb eines Gebäudes im Freien und spielen auf zementiertem Boden Hopscotch.</v>
      </c>
    </row>
    <row r="9162">
      <c r="A9162" s="4" t="s">
        <v>11528</v>
      </c>
      <c r="B9162" s="4" t="s">
        <v>11530</v>
      </c>
      <c r="C9162" s="5" t="str">
        <f>IFERROR(__xludf.DUMMYFUNCTION("GOOGLETRANSLATE(B9162,""en"",""de"")"),"Auf dem Bildschirm befindet sich weißer Text.")</f>
        <v>Auf dem Bildschirm befindet sich weißer Text.</v>
      </c>
    </row>
    <row r="9163">
      <c r="A9163" s="4" t="s">
        <v>11528</v>
      </c>
      <c r="B9163" s="4" t="s">
        <v>11531</v>
      </c>
      <c r="C9163" s="5" t="str">
        <f>IFERROR(__xludf.DUMMYFUNCTION("GOOGLETRANSLATE(B9163,""en"",""de"")"),"Die jüngere Frau in Shorts springt auf die Quadrate und eine ältere Frau, die ein Kleid trägt, springt auch auf die Quadrate.")</f>
        <v>Die jüngere Frau in Shorts springt auf die Quadrate und eine ältere Frau, die ein Kleid trägt, springt auch auf die Quadrate.</v>
      </c>
    </row>
    <row r="9164">
      <c r="A9164" s="4" t="s">
        <v>11528</v>
      </c>
      <c r="B9164" s="4" t="s">
        <v>11532</v>
      </c>
      <c r="C9164" s="5" t="str">
        <f>IFERROR(__xludf.DUMMYFUNCTION("GOOGLETRANSLATE(B9164,""en"",""de"")"),"Das junge Mädchen fällt um.")</f>
        <v>Das junge Mädchen fällt um.</v>
      </c>
    </row>
    <row r="9165">
      <c r="A9165" s="4" t="s">
        <v>11528</v>
      </c>
      <c r="B9165" s="4" t="s">
        <v>11533</v>
      </c>
      <c r="C9165" s="5" t="str">
        <f>IFERROR(__xludf.DUMMYFUNCTION("GOOGLETRANSLATE(B9165,""en"",""de"")"),"Die ältere Frau geht und feiert ihre Arme.")</f>
        <v>Die ältere Frau geht und feiert ihre Arme.</v>
      </c>
    </row>
    <row r="9166">
      <c r="A9166" s="4" t="s">
        <v>11528</v>
      </c>
      <c r="B9166" s="4" t="s">
        <v>11534</v>
      </c>
      <c r="C9166" s="5" t="str">
        <f>IFERROR(__xludf.DUMMYFUNCTION("GOOGLETRANSLATE(B9166,""en"",""de"")"),"Die beiden sehen die Kamera und geben einen Daumen hoch.")</f>
        <v>Die beiden sehen die Kamera und geben einen Daumen hoch.</v>
      </c>
    </row>
    <row r="9167">
      <c r="A9167" s="4" t="s">
        <v>11535</v>
      </c>
      <c r="B9167" s="4" t="s">
        <v>11536</v>
      </c>
      <c r="C9167" s="5" t="str">
        <f>IFERROR(__xludf.DUMMYFUNCTION("GOOGLETRANSLATE(B9167,""en"",""de"")"),"Eine Nahaufnahme der U -Bahn ist zu sehen und führt zu einer Frau, die zur Kamera spricht und ein Stück Brot aufschneidet.")</f>
        <v>Eine Nahaufnahme der U -Bahn ist zu sehen und führt zu einer Frau, die zur Kamera spricht und ein Stück Brot aufschneidet.</v>
      </c>
    </row>
    <row r="9168">
      <c r="A9168" s="4" t="s">
        <v>11535</v>
      </c>
      <c r="B9168" s="4" t="s">
        <v>11537</v>
      </c>
      <c r="C9168" s="5" t="str">
        <f>IFERROR(__xludf.DUMMYFUNCTION("GOOGLETRANSLATE(B9168,""en"",""de"")"),"Die Frau legt dann verschiedene Zutaten auf dem Brot aus und rollt es in einem Wrap auf.")</f>
        <v>Die Frau legt dann verschiedene Zutaten auf dem Brot aus und rollt es in einem Wrap auf.</v>
      </c>
    </row>
    <row r="9169">
      <c r="A9169" s="4" t="s">
        <v>11535</v>
      </c>
      <c r="B9169" s="4" t="s">
        <v>11538</v>
      </c>
      <c r="C9169" s="5" t="str">
        <f>IFERROR(__xludf.DUMMYFUNCTION("GOOGLETRANSLATE(B9169,""en"",""de"")"),"Am Ende des Sandwichs werden dann mehrere Bilder bereit und die Leute, die das Sandwich genießen.")</f>
        <v>Am Ende des Sandwichs werden dann mehrere Bilder bereit und die Leute, die das Sandwich genießen.</v>
      </c>
    </row>
    <row r="9170">
      <c r="A9170" s="4" t="s">
        <v>11539</v>
      </c>
      <c r="B9170" s="4" t="s">
        <v>11540</v>
      </c>
      <c r="C9170" s="5" t="str">
        <f>IFERROR(__xludf.DUMMYFUNCTION("GOOGLETRANSLATE(B9170,""en"",""de"")"),"Ein Mann steht in einem Fitnessstudio.")</f>
        <v>Ein Mann steht in einem Fitnessstudio.</v>
      </c>
    </row>
    <row r="9171">
      <c r="A9171" s="4" t="s">
        <v>11539</v>
      </c>
      <c r="B9171" s="4" t="s">
        <v>11541</v>
      </c>
      <c r="C9171" s="5" t="str">
        <f>IFERROR(__xludf.DUMMYFUNCTION("GOOGLETRANSLATE(B9171,""en"",""de"")"),"Er springt auf und aus einem Trainingstepper von vorne nach hinten und von Seite zur Seite.")</f>
        <v>Er springt auf und aus einem Trainingstepper von vorne nach hinten und von Seite zur Seite.</v>
      </c>
    </row>
    <row r="9172">
      <c r="A9172" s="4" t="s">
        <v>11539</v>
      </c>
      <c r="B9172" s="4" t="s">
        <v>11542</v>
      </c>
      <c r="C9172" s="5" t="str">
        <f>IFERROR(__xludf.DUMMYFUNCTION("GOOGLETRANSLATE(B9172,""en"",""de"")"),"Er dreht sich, als er sich weiter und aus steigt.")</f>
        <v>Er dreht sich, als er sich weiter und aus steigt.</v>
      </c>
    </row>
    <row r="9173">
      <c r="A9173" s="4" t="s">
        <v>11543</v>
      </c>
      <c r="B9173" s="4" t="s">
        <v>11544</v>
      </c>
      <c r="C9173" s="5" t="str">
        <f>IFERROR(__xludf.DUMMYFUNCTION("GOOGLETRANSLATE(B9173,""en"",""de"")"),"Zwei Sumo -Wrestler werden an einem Set gezeigt, wobei Hunderte von Leuten im Rücken fotografieren.")</f>
        <v>Zwei Sumo -Wrestler werden an einem Set gezeigt, wobei Hunderte von Leuten im Rücken fotografieren.</v>
      </c>
    </row>
    <row r="9174">
      <c r="A9174" s="4" t="s">
        <v>11543</v>
      </c>
      <c r="B9174" s="4" t="s">
        <v>11545</v>
      </c>
      <c r="C9174" s="5" t="str">
        <f>IFERROR(__xludf.DUMMYFUNCTION("GOOGLETRANSLATE(B9174,""en"",""de"")"),"Das Video zeigt weiterhin mehrere verschiedene Athleten, die in einem Ring kämpfen und innerhalb von Sekunden nach unten die anderen nach unten ziehen.")</f>
        <v>Das Video zeigt weiterhin mehrere verschiedene Athleten, die in einem Ring kämpfen und innerhalb von Sekunden nach unten die anderen nach unten ziehen.</v>
      </c>
    </row>
    <row r="9175">
      <c r="A9175" s="4" t="s">
        <v>11546</v>
      </c>
      <c r="B9175" s="4" t="s">
        <v>11547</v>
      </c>
      <c r="C9175" s="5" t="str">
        <f>IFERROR(__xludf.DUMMYFUNCTION("GOOGLETRANSLATE(B9175,""en"",""de"")"),"Zwei Personen sprechen mit der Kamera und führen in den Mann, der eine Birne schält und die Seiten herausschreibt.")</f>
        <v>Zwei Personen sprechen mit der Kamera und führen in den Mann, der eine Birne schält und die Seiten herausschreibt.</v>
      </c>
    </row>
    <row r="9176">
      <c r="A9176" s="4" t="s">
        <v>11546</v>
      </c>
      <c r="B9176" s="4" t="s">
        <v>11548</v>
      </c>
      <c r="C9176" s="5" t="str">
        <f>IFERROR(__xludf.DUMMYFUNCTION("GOOGLETRANSLATE(B9176,""en"",""de"")"),"Der Mann schneidet dann die Früchte und präsentiert sie auf einen Teller, während er immer noch mit der Kamera spricht.")</f>
        <v>Der Mann schneidet dann die Früchte und präsentiert sie auf einen Teller, während er immer noch mit der Kamera spricht.</v>
      </c>
    </row>
    <row r="9177">
      <c r="A9177" s="4" t="s">
        <v>11549</v>
      </c>
      <c r="B9177" s="4" t="s">
        <v>11550</v>
      </c>
      <c r="C9177" s="5" t="str">
        <f>IFERROR(__xludf.DUMMYFUNCTION("GOOGLETRANSLATE(B9177,""en"",""de"")"),"Eine Gruppe von Freunden befindet sich im Badezimmer und hat Spaß daran, sich von den Jungs zu wagen, sich das Bein zu rasieren.")</f>
        <v>Eine Gruppe von Freunden befindet sich im Badezimmer und hat Spaß daran, sich von den Jungs zu wagen, sich das Bein zu rasieren.</v>
      </c>
    </row>
    <row r="9178">
      <c r="A9178" s="4" t="s">
        <v>11549</v>
      </c>
      <c r="B9178" s="4" t="s">
        <v>11551</v>
      </c>
      <c r="C9178" s="5" t="str">
        <f>IFERROR(__xludf.DUMMYFUNCTION("GOOGLETRANSLATE(B9178,""en"",""de"")"),"Die Kamera schwenkt zum Bein des Jungen und zeigt einen seiner Freunde mit einem elektrischen Rasiermesser das Haar von seinem Bein.")</f>
        <v>Die Kamera schwenkt zum Bein des Jungen und zeigt einen seiner Freunde mit einem elektrischen Rasiermesser das Haar von seinem Bein.</v>
      </c>
    </row>
    <row r="9179">
      <c r="A9179" s="4" t="s">
        <v>11552</v>
      </c>
      <c r="B9179" s="4" t="s">
        <v>11553</v>
      </c>
      <c r="C9179" s="5" t="str">
        <f>IFERROR(__xludf.DUMMYFUNCTION("GOOGLETRANSLATE(B9179,""en"",""de"")"),"Eine Person legt einen Rubik -Würfel auf einen Ordner.")</f>
        <v>Eine Person legt einen Rubik -Würfel auf einen Ordner.</v>
      </c>
    </row>
    <row r="9180">
      <c r="A9180" s="4" t="s">
        <v>11552</v>
      </c>
      <c r="B9180" s="4" t="s">
        <v>11554</v>
      </c>
      <c r="C9180" s="5" t="str">
        <f>IFERROR(__xludf.DUMMYFUNCTION("GOOGLETRANSLATE(B9180,""en"",""de"")"),"Das Puzzle wird dann in 11 Sekunden gelöst.")</f>
        <v>Das Puzzle wird dann in 11 Sekunden gelöst.</v>
      </c>
    </row>
    <row r="9181">
      <c r="A9181" s="4" t="s">
        <v>11555</v>
      </c>
      <c r="B9181" s="4" t="s">
        <v>11556</v>
      </c>
      <c r="C9181" s="5" t="str">
        <f>IFERROR(__xludf.DUMMYFUNCTION("GOOGLETRANSLATE(B9181,""en"",""de"")"),"Eine Familie ist im Wohnzimmer, ich versuche rauszukommen, nachdem ich eingeschneit wurde.")</f>
        <v>Eine Familie ist im Wohnzimmer, ich versuche rauszukommen, nachdem ich eingeschneit wurde.</v>
      </c>
    </row>
    <row r="9182">
      <c r="A9182" s="4" t="s">
        <v>11555</v>
      </c>
      <c r="B9182" s="4" t="s">
        <v>11557</v>
      </c>
      <c r="C9182" s="5" t="str">
        <f>IFERROR(__xludf.DUMMYFUNCTION("GOOGLETRANSLATE(B9182,""en"",""de"")"),"Ein Mann öffnet die Tür und versucht, über den Schnee zu springen, der im Weg ist.")</f>
        <v>Ein Mann öffnet die Tür und versucht, über den Schnee zu springen, der im Weg ist.</v>
      </c>
    </row>
    <row r="9183">
      <c r="A9183" s="4" t="s">
        <v>11555</v>
      </c>
      <c r="B9183" s="4" t="s">
        <v>11558</v>
      </c>
      <c r="C9183" s="5" t="str">
        <f>IFERROR(__xludf.DUMMYFUNCTION("GOOGLETRANSLATE(B9183,""en"",""de"")"),"Er steckt im Schnee fest und seine Familie versucht ihm zu helfen, auszusteigen.")</f>
        <v>Er steckt im Schnee fest und seine Familie versucht ihm zu helfen, auszusteigen.</v>
      </c>
    </row>
    <row r="9184">
      <c r="A9184" s="4" t="s">
        <v>11555</v>
      </c>
      <c r="B9184" s="4" t="s">
        <v>11559</v>
      </c>
      <c r="C9184" s="5" t="str">
        <f>IFERROR(__xludf.DUMMYFUNCTION("GOOGLETRANSLATE(B9184,""en"",""de"")"),"Sobald er aussteigt, wirft er ihnen eine Schaufel, um den Schnee auf den Boden zu schaufeln.")</f>
        <v>Sobald er aussteigt, wirft er ihnen eine Schaufel, um den Schnee auf den Boden zu schaufeln.</v>
      </c>
    </row>
    <row r="9185">
      <c r="A9185" s="4" t="s">
        <v>11555</v>
      </c>
      <c r="B9185" s="4" t="s">
        <v>11560</v>
      </c>
      <c r="C9185" s="5" t="str">
        <f>IFERROR(__xludf.DUMMYFUNCTION("GOOGLETRANSLATE(B9185,""en"",""de"")"),"Das Video endet mit den auf dem Bildschirm angezeigten Credits.")</f>
        <v>Das Video endet mit den auf dem Bildschirm angezeigten Credits.</v>
      </c>
    </row>
    <row r="9186">
      <c r="A9186" s="4" t="s">
        <v>11561</v>
      </c>
      <c r="B9186" s="4" t="s">
        <v>11562</v>
      </c>
      <c r="C9186" s="5" t="str">
        <f>IFERROR(__xludf.DUMMYFUNCTION("GOOGLETRANSLATE(B9186,""en"",""de"")"),"Die Menschen schweben in Flößen einen Fluss hinunter.")</f>
        <v>Die Menschen schweben in Flößen einen Fluss hinunter.</v>
      </c>
    </row>
    <row r="9187">
      <c r="A9187" s="4" t="s">
        <v>11561</v>
      </c>
      <c r="B9187" s="4" t="s">
        <v>11563</v>
      </c>
      <c r="C9187" s="5" t="str">
        <f>IFERROR(__xludf.DUMMYFUNCTION("GOOGLETRANSLATE(B9187,""en"",""de"")"),"Wir sehen dann Leute, die in einem Gebäude Flöße bekommen.")</f>
        <v>Wir sehen dann Leute, die in einem Gebäude Flöße bekommen.</v>
      </c>
    </row>
    <row r="9188">
      <c r="A9188" s="4" t="s">
        <v>11561</v>
      </c>
      <c r="B9188" s="4" t="s">
        <v>11564</v>
      </c>
      <c r="C9188" s="5" t="str">
        <f>IFERROR(__xludf.DUMMYFUNCTION("GOOGLETRANSLATE(B9188,""en"",""de"")"),"Ein Mann befindet sich in einem Bootsleuten, die in einem Floß schweben.")</f>
        <v>Ein Mann befindet sich in einem Bootsleuten, die in einem Floß schweben.</v>
      </c>
    </row>
    <row r="9189">
      <c r="A9189" s="4" t="s">
        <v>11561</v>
      </c>
      <c r="B9189" s="4" t="s">
        <v>11565</v>
      </c>
      <c r="C9189" s="5" t="str">
        <f>IFERROR(__xludf.DUMMYFUNCTION("GOOGLETRANSLATE(B9189,""en"",""de"")"),"Ein Bus sitzt vor der Rafting -Einrichtung und Männer stapeln Flöße, während andere Männer mit ihren Flößen laufen.")</f>
        <v>Ein Bus sitzt vor der Rafting -Einrichtung und Männer stapeln Flöße, während andere Männer mit ihren Flößen laufen.</v>
      </c>
    </row>
    <row r="9190">
      <c r="A9190" s="4" t="s">
        <v>11561</v>
      </c>
      <c r="B9190" s="4" t="s">
        <v>11566</v>
      </c>
      <c r="C9190" s="5" t="str">
        <f>IFERROR(__xludf.DUMMYFUNCTION("GOOGLETRANSLATE(B9190,""en"",""de"")"),"Ein Mann und eine Frau schweben in getrennten Flößen den Fluss hinunter.")</f>
        <v>Ein Mann und eine Frau schweben in getrennten Flößen den Fluss hinunter.</v>
      </c>
    </row>
    <row r="9191">
      <c r="A9191" s="4" t="s">
        <v>11567</v>
      </c>
      <c r="B9191" s="4" t="s">
        <v>11568</v>
      </c>
      <c r="C9191" s="5" t="str">
        <f>IFERROR(__xludf.DUMMYFUNCTION("GOOGLETRANSLATE(B9191,""en"",""de"")"),"Wir sehen eine Dame und zwei Männer in einem See.")</f>
        <v>Wir sehen eine Dame und zwei Männer in einem See.</v>
      </c>
    </row>
    <row r="9192">
      <c r="A9192" s="4" t="s">
        <v>11567</v>
      </c>
      <c r="B9192" s="4" t="s">
        <v>11569</v>
      </c>
      <c r="C9192" s="5" t="str">
        <f>IFERROR(__xludf.DUMMYFUNCTION("GOOGLETRANSLATE(B9192,""en"",""de"")"),"Die Dame dann Jet Skier.")</f>
        <v>Die Dame dann Jet Skier.</v>
      </c>
    </row>
    <row r="9193">
      <c r="A9193" s="4" t="s">
        <v>11567</v>
      </c>
      <c r="B9193" s="4" t="s">
        <v>11570</v>
      </c>
      <c r="C9193" s="5" t="str">
        <f>IFERROR(__xludf.DUMMYFUNCTION("GOOGLETRANSLATE(B9193,""en"",""de"")"),"Wir sehen den Kopf der Person auf dem Boot links Bob in und aus dem Schuss.")</f>
        <v>Wir sehen den Kopf der Person auf dem Boot links Bob in und aus dem Schuss.</v>
      </c>
    </row>
    <row r="9194">
      <c r="A9194" s="4" t="s">
        <v>11567</v>
      </c>
      <c r="B9194" s="4" t="s">
        <v>11571</v>
      </c>
      <c r="C9194" s="5" t="str">
        <f>IFERROR(__xludf.DUMMYFUNCTION("GOOGLETRANSLATE(B9194,""en"",""de"")"),"Das Boot dreht sich und wir sehen kein Land mehr im Hintergrund.")</f>
        <v>Das Boot dreht sich und wir sehen kein Land mehr im Hintergrund.</v>
      </c>
    </row>
    <row r="9195">
      <c r="A9195" s="4" t="s">
        <v>11567</v>
      </c>
      <c r="B9195" s="4" t="s">
        <v>11572</v>
      </c>
      <c r="C9195" s="5" t="str">
        <f>IFERROR(__xludf.DUMMYFUNCTION("GOOGLETRANSLATE(B9195,""en"",""de"")"),"Die Dame fällt vom Ski.")</f>
        <v>Die Dame fällt vom Ski.</v>
      </c>
    </row>
    <row r="9196">
      <c r="A9196" s="4" t="s">
        <v>11567</v>
      </c>
      <c r="B9196" s="4" t="s">
        <v>11573</v>
      </c>
      <c r="C9196" s="5" t="str">
        <f>IFERROR(__xludf.DUMMYFUNCTION("GOOGLETRANSLATE(B9196,""en"",""de"")"),"Ein Mann geht hinüber, um der Dame im See zu helfen.")</f>
        <v>Ein Mann geht hinüber, um der Dame im See zu helfen.</v>
      </c>
    </row>
    <row r="9197">
      <c r="A9197" s="4" t="s">
        <v>11574</v>
      </c>
      <c r="B9197" s="4" t="s">
        <v>11575</v>
      </c>
      <c r="C9197" s="5" t="str">
        <f>IFERROR(__xludf.DUMMYFUNCTION("GOOGLETRANSLATE(B9197,""en"",""de"")"),"Auf der Messe werden die Stoßstangenautos verwendet.")</f>
        <v>Auf der Messe werden die Stoßstangenautos verwendet.</v>
      </c>
    </row>
    <row r="9198">
      <c r="A9198" s="4" t="s">
        <v>11574</v>
      </c>
      <c r="B9198" s="4" t="s">
        <v>11576</v>
      </c>
      <c r="C9198" s="5" t="str">
        <f>IFERROR(__xludf.DUMMYFUNCTION("GOOGLETRANSLATE(B9198,""en"",""de"")"),"Eine Reihe verschiedener Leute reiten ineinander.")</f>
        <v>Eine Reihe verschiedener Leute reiten ineinander.</v>
      </c>
    </row>
    <row r="9199">
      <c r="A9199" s="4" t="s">
        <v>11574</v>
      </c>
      <c r="B9199" s="4" t="s">
        <v>11577</v>
      </c>
      <c r="C9199" s="5" t="str">
        <f>IFERROR(__xludf.DUMMYFUNCTION("GOOGLETRANSLATE(B9199,""en"",""de"")"),"Sie fahren nur ziellos im Kreis herum, während sie von anderen Fahrern getroffen und heiß werden.")</f>
        <v>Sie fahren nur ziellos im Kreis herum, während sie von anderen Fahrern getroffen und heiß werden.</v>
      </c>
    </row>
    <row r="9200">
      <c r="A9200" s="4" t="s">
        <v>11574</v>
      </c>
      <c r="B9200" s="4" t="s">
        <v>11578</v>
      </c>
      <c r="C9200" s="5" t="str">
        <f>IFERROR(__xludf.DUMMYFUNCTION("GOOGLETRANSLATE(B9200,""en"",""de"")"),"Dies ist unschuldiger Spaß in Sommernächten, in denen Sie sich langweilen und die Messe in der Stadt ist.")</f>
        <v>Dies ist unschuldiger Spaß in Sommernächten, in denen Sie sich langweilen und die Messe in der Stadt ist.</v>
      </c>
    </row>
    <row r="9201">
      <c r="A9201" s="4" t="s">
        <v>11579</v>
      </c>
      <c r="B9201" s="4" t="s">
        <v>11580</v>
      </c>
      <c r="C9201" s="5" t="str">
        <f>IFERROR(__xludf.DUMMYFUNCTION("GOOGLETRANSLATE(B9201,""en"",""de"")"),"Ein Mann und eine Frau spielen Rockpapierschere.")</f>
        <v>Ein Mann und eine Frau spielen Rockpapierschere.</v>
      </c>
    </row>
    <row r="9202">
      <c r="A9202" s="4" t="s">
        <v>11579</v>
      </c>
      <c r="B9202" s="4" t="s">
        <v>11581</v>
      </c>
      <c r="C9202" s="5" t="str">
        <f>IFERROR(__xludf.DUMMYFUNCTION("GOOGLETRANSLATE(B9202,""en"",""de"")"),"Die Frau gewinnt und lächelt.")</f>
        <v>Die Frau gewinnt und lächelt.</v>
      </c>
    </row>
    <row r="9203">
      <c r="A9203" s="4" t="s">
        <v>11579</v>
      </c>
      <c r="B9203" s="4" t="s">
        <v>11582</v>
      </c>
      <c r="C9203" s="5" t="str">
        <f>IFERROR(__xludf.DUMMYFUNCTION("GOOGLETRANSLATE(B9203,""en"",""de"")"),"Die Frau legt einen blinden Falten an.")</f>
        <v>Die Frau legt einen blinden Falten an.</v>
      </c>
    </row>
    <row r="9204">
      <c r="A9204" s="4" t="s">
        <v>11579</v>
      </c>
      <c r="B9204" s="4" t="s">
        <v>11583</v>
      </c>
      <c r="C9204" s="5" t="str">
        <f>IFERROR(__xludf.DUMMYFUNCTION("GOOGLETRANSLATE(B9204,""en"",""de"")"),"Die Frau umarmt dem Mann.")</f>
        <v>Die Frau umarmt dem Mann.</v>
      </c>
    </row>
    <row r="9205">
      <c r="A9205" s="4" t="s">
        <v>11584</v>
      </c>
      <c r="B9205" s="4" t="s">
        <v>11585</v>
      </c>
      <c r="C9205" s="5" t="str">
        <f>IFERROR(__xludf.DUMMYFUNCTION("GOOGLETRANSLATE(B9205,""en"",""de"")"),"Ein junges Mädchen spricht mit der Kamera und führt in sie im Internet, dann auf dem Weg in einem Hof.")</f>
        <v>Ein junges Mädchen spricht mit der Kamera und führt in sie im Internet, dann auf dem Weg in einem Hof.</v>
      </c>
    </row>
    <row r="9206">
      <c r="A9206" s="4" t="s">
        <v>11584</v>
      </c>
      <c r="B9206" s="4" t="s">
        <v>11586</v>
      </c>
      <c r="C9206" s="5" t="str">
        <f>IFERROR(__xludf.DUMMYFUNCTION("GOOGLETRANSLATE(B9206,""en"",""de"")"),"Das Mädchen wird dann in den Blättern sitzen und übergeht in die Sprechen mit ihrer Mutter in der Küche.")</f>
        <v>Das Mädchen wird dann in den Blättern sitzen und übergeht in die Sprechen mit ihrer Mutter in der Küche.</v>
      </c>
    </row>
    <row r="9207">
      <c r="A9207" s="4" t="s">
        <v>11584</v>
      </c>
      <c r="B9207" s="4" t="s">
        <v>11587</v>
      </c>
      <c r="C9207" s="5" t="str">
        <f>IFERROR(__xludf.DUMMYFUNCTION("GOOGLETRANSLATE(B9207,""en"",""de"")"),"Sie spricht noch einmal mit der Kamera und endet mit verschiedenen Bildern von Kindern.")</f>
        <v>Sie spricht noch einmal mit der Kamera und endet mit verschiedenen Bildern von Kindern.</v>
      </c>
    </row>
    <row r="9208">
      <c r="A9208" s="4" t="s">
        <v>11588</v>
      </c>
      <c r="B9208" s="4" t="s">
        <v>11589</v>
      </c>
      <c r="C9208" s="5" t="str">
        <f>IFERROR(__xludf.DUMMYFUNCTION("GOOGLETRANSLATE(B9208,""en"",""de"")"),"Eine große Arena beherbergt viele Menschen.")</f>
        <v>Eine große Arena beherbergt viele Menschen.</v>
      </c>
    </row>
    <row r="9209">
      <c r="A9209" s="4" t="s">
        <v>11588</v>
      </c>
      <c r="B9209" s="4" t="s">
        <v>11590</v>
      </c>
      <c r="C9209" s="5" t="str">
        <f>IFERROR(__xludf.DUMMYFUNCTION("GOOGLETRANSLATE(B9209,""en"",""de"")"),"Stangen sind in der Arena eingerichtet.")</f>
        <v>Stangen sind in der Arena eingerichtet.</v>
      </c>
    </row>
    <row r="9210">
      <c r="A9210" s="4" t="s">
        <v>11588</v>
      </c>
      <c r="B9210" s="4" t="s">
        <v>11591</v>
      </c>
      <c r="C9210" s="5" t="str">
        <f>IFERROR(__xludf.DUMMYFUNCTION("GOOGLETRANSLATE(B9210,""en"",""de"")"),"Turner treten auf den Stangen auf.")</f>
        <v>Turner treten auf den Stangen auf.</v>
      </c>
    </row>
    <row r="9211">
      <c r="A9211" s="4" t="s">
        <v>11588</v>
      </c>
      <c r="B9211" s="4" t="s">
        <v>11592</v>
      </c>
      <c r="C9211" s="5" t="str">
        <f>IFERROR(__xludf.DUMMYFUNCTION("GOOGLETRANSLATE(B9211,""en"",""de"")"),"Sie machen viele Tricks auf sie.")</f>
        <v>Sie machen viele Tricks auf sie.</v>
      </c>
    </row>
    <row r="9212">
      <c r="A9212" s="4" t="s">
        <v>11593</v>
      </c>
      <c r="B9212" s="4" t="s">
        <v>11594</v>
      </c>
      <c r="C9212" s="5" t="str">
        <f>IFERROR(__xludf.DUMMYFUNCTION("GOOGLETRANSLATE(B9212,""en"",""de"")"),"Ein Mann bürstet den Boden eines Ski.")</f>
        <v>Ein Mann bürstet den Boden eines Ski.</v>
      </c>
    </row>
    <row r="9213">
      <c r="A9213" s="4" t="s">
        <v>11593</v>
      </c>
      <c r="B9213" s="4" t="s">
        <v>11595</v>
      </c>
      <c r="C9213" s="5" t="str">
        <f>IFERROR(__xludf.DUMMYFUNCTION("GOOGLETRANSLATE(B9213,""en"",""de"")"),"Er schmilzt das Wachs auf den Boden des Ski und irons.")</f>
        <v>Er schmilzt das Wachs auf den Boden des Ski und irons.</v>
      </c>
    </row>
    <row r="9214">
      <c r="A9214" s="4" t="s">
        <v>11593</v>
      </c>
      <c r="B9214" s="4" t="s">
        <v>11596</v>
      </c>
      <c r="C9214" s="5" t="str">
        <f>IFERROR(__xludf.DUMMYFUNCTION("GOOGLETRANSLATE(B9214,""en"",""de"")"),"Dann kratzt er das Wachs mit einem Werkzeug.")</f>
        <v>Dann kratzt er das Wachs mit einem Werkzeug.</v>
      </c>
    </row>
    <row r="9215">
      <c r="A9215" s="4" t="s">
        <v>11593</v>
      </c>
      <c r="B9215" s="4" t="s">
        <v>11597</v>
      </c>
      <c r="C9215" s="5" t="str">
        <f>IFERROR(__xludf.DUMMYFUNCTION("GOOGLETRANSLATE(B9215,""en"",""de"")"),"Er verwendet einen Pinsel, um den Boden des Ski zu putzen.")</f>
        <v>Er verwendet einen Pinsel, um den Boden des Ski zu putzen.</v>
      </c>
    </row>
    <row r="9216">
      <c r="A9216" s="4" t="s">
        <v>11598</v>
      </c>
      <c r="B9216" s="4" t="s">
        <v>11599</v>
      </c>
      <c r="C9216" s="5" t="str">
        <f>IFERROR(__xludf.DUMMYFUNCTION("GOOGLETRANSLATE(B9216,""en"",""de"")"),"Ein Athlet wird gezeigt, der sich vor einem Pol aufwärmen, während mehrere andere im Hintergrund um eine Strecke laufen.")</f>
        <v>Ein Athlet wird gezeigt, der sich vor einem Pol aufwärmen, während mehrere andere im Hintergrund um eine Strecke laufen.</v>
      </c>
    </row>
    <row r="9217">
      <c r="A9217" s="4" t="s">
        <v>11598</v>
      </c>
      <c r="B9217" s="4" t="s">
        <v>11600</v>
      </c>
      <c r="C9217" s="5" t="str">
        <f>IFERROR(__xludf.DUMMYFUNCTION("GOOGLETRANSLATE(B9217,""en"",""de"")"),"Der Mann bereitet sich schließlich auf seinen Sprung vor und springt über die Stange.")</f>
        <v>Der Mann bereitet sich schließlich auf seinen Sprung vor und springt über die Stange.</v>
      </c>
    </row>
    <row r="9218">
      <c r="A9218" s="4" t="s">
        <v>11598</v>
      </c>
      <c r="B9218" s="4" t="s">
        <v>11601</v>
      </c>
      <c r="C9218" s="5" t="str">
        <f>IFERROR(__xludf.DUMMYFUNCTION("GOOGLETRANSLATE(B9218,""en"",""de"")"),"Er schwingt die Arme hoch, um zu feiern, und andere um ihn herum klatschen für ihn.")</f>
        <v>Er schwingt die Arme hoch, um zu feiern, und andere um ihn herum klatschen für ihn.</v>
      </c>
    </row>
    <row r="9219">
      <c r="A9219" s="4" t="s">
        <v>11602</v>
      </c>
      <c r="B9219" s="4" t="s">
        <v>11603</v>
      </c>
      <c r="C9219" s="5" t="str">
        <f>IFERROR(__xludf.DUMMYFUNCTION("GOOGLETRANSLATE(B9219,""en"",""de"")"),"Eine Dame steht mit einem Topf und zeigt einen Wandbereich.")</f>
        <v>Eine Dame steht mit einem Topf und zeigt einen Wandbereich.</v>
      </c>
    </row>
    <row r="9220">
      <c r="A9220" s="4" t="s">
        <v>11602</v>
      </c>
      <c r="B9220" s="4" t="s">
        <v>11604</v>
      </c>
      <c r="C9220" s="5" t="str">
        <f>IFERROR(__xludf.DUMMYFUNCTION("GOOGLETRANSLATE(B9220,""en"",""de"")"),"Die Wand wird mit einem nassen Handtuch mit der Lösung im Topf gereinigt.")</f>
        <v>Die Wand wird mit einem nassen Handtuch mit der Lösung im Topf gereinigt.</v>
      </c>
    </row>
    <row r="9221">
      <c r="A9221" s="4" t="s">
        <v>11602</v>
      </c>
      <c r="B9221" s="4" t="s">
        <v>11605</v>
      </c>
      <c r="C9221" s="5" t="str">
        <f>IFERROR(__xludf.DUMMYFUNCTION("GOOGLETRANSLATE(B9221,""en"",""de"")"),"Die Dame zeigt auf einen Bereich der Wand, der verfärbt ist.")</f>
        <v>Die Dame zeigt auf einen Bereich der Wand, der verfärbt ist.</v>
      </c>
    </row>
    <row r="9222">
      <c r="A9222" s="4" t="s">
        <v>11606</v>
      </c>
      <c r="B9222" s="4" t="s">
        <v>11607</v>
      </c>
      <c r="C9222" s="5" t="str">
        <f>IFERROR(__xludf.DUMMYFUNCTION("GOOGLETRANSLATE(B9222,""en"",""de"")"),"Ein Bild wird von einem Album -Cover gezeigt, das zu einem jungen Mann führt, der langsam eine Mundharmonika spielt.")</f>
        <v>Ein Bild wird von einem Album -Cover gezeigt, das zu einem jungen Mann führt, der langsam eine Mundharmonika spielt.</v>
      </c>
    </row>
    <row r="9223">
      <c r="A9223" s="4" t="s">
        <v>11606</v>
      </c>
      <c r="B9223" s="4" t="s">
        <v>11608</v>
      </c>
      <c r="C9223" s="5" t="str">
        <f>IFERROR(__xludf.DUMMYFUNCTION("GOOGLETRANSLATE(B9223,""en"",""de"")"),"Der Mann rockt zurück und den vierten Platz zu dem Lied und den Einschnitten zwischen Bildern einer Band und dem Spielen.")</f>
        <v>Der Mann rockt zurück und den vierten Platz zu dem Lied und den Einschnitten zwischen Bildern einer Band und dem Spielen.</v>
      </c>
    </row>
    <row r="9224">
      <c r="A9224" s="4" t="s">
        <v>11609</v>
      </c>
      <c r="B9224" s="4" t="s">
        <v>11610</v>
      </c>
      <c r="C9224" s="5" t="str">
        <f>IFERROR(__xludf.DUMMYFUNCTION("GOOGLETRANSLATE(B9224,""en"",""de"")"),"Der Mensch steht vor einer Theke, die zeigt, wie ein Messer schärft.")</f>
        <v>Der Mensch steht vor einer Theke, die zeigt, wie ein Messer schärft.</v>
      </c>
    </row>
    <row r="9225">
      <c r="A9225" s="4" t="s">
        <v>11609</v>
      </c>
      <c r="B9225" s="4" t="s">
        <v>11611</v>
      </c>
      <c r="C9225" s="5" t="str">
        <f>IFERROR(__xludf.DUMMYFUNCTION("GOOGLETRANSLATE(B9225,""en"",""de"")"),"Im Hintergrund kocht der Mensch im hinteren Ztereiger.")</f>
        <v>Im Hintergrund kocht der Mensch im hinteren Ztereiger.</v>
      </c>
    </row>
    <row r="9226">
      <c r="A9226" s="4" t="s">
        <v>11609</v>
      </c>
      <c r="B9226" s="4" t="s">
        <v>11612</v>
      </c>
      <c r="C9226" s="5" t="str">
        <f>IFERROR(__xludf.DUMMYFUNCTION("GOOGLETRANSLATE(B9226,""en"",""de"")"),"Der Mensch erklärt und überprüft die Bereiche des Messers.")</f>
        <v>Der Mensch erklärt und überprüft die Bereiche des Messers.</v>
      </c>
    </row>
    <row r="9227">
      <c r="A9227" s="4" t="s">
        <v>11613</v>
      </c>
      <c r="B9227" s="4" t="s">
        <v>11614</v>
      </c>
      <c r="C9227" s="5" t="str">
        <f>IFERROR(__xludf.DUMMYFUNCTION("GOOGLETRANSLATE(B9227,""en"",""de"")"),"Drei Wrestler waren im Ring und war aufmerksam.")</f>
        <v>Drei Wrestler waren im Ring und war aufmerksam.</v>
      </c>
    </row>
    <row r="9228">
      <c r="A9228" s="4" t="s">
        <v>11613</v>
      </c>
      <c r="B9228" s="4" t="s">
        <v>11615</v>
      </c>
      <c r="C9228" s="5" t="str">
        <f>IFERROR(__xludf.DUMMYFUNCTION("GOOGLETRANSLATE(B9228,""en"",""de"")"),"Ein Wrestler namens östlich von Angeles, zurück weg und auf die Leiter klettern.")</f>
        <v>Ein Wrestler namens östlich von Angeles, zurück weg und auf die Leiter klettern.</v>
      </c>
    </row>
    <row r="9229">
      <c r="A9229" s="4" t="s">
        <v>11613</v>
      </c>
      <c r="B9229" s="4" t="s">
        <v>11616</v>
      </c>
      <c r="C9229" s="5" t="str">
        <f>IFERROR(__xludf.DUMMYFUNCTION("GOOGLETRANSLATE(B9229,""en"",""de"")"),"Ein anderer Wrestler, Tandumisgrat, steht auf und steigt auf die andere Seite der Leiter.")</f>
        <v>Ein anderer Wrestler, Tandumisgrat, steht auf und steigt auf die andere Seite der Leiter.</v>
      </c>
    </row>
    <row r="9230">
      <c r="A9230" s="4" t="s">
        <v>11613</v>
      </c>
      <c r="B9230" s="4" t="s">
        <v>11617</v>
      </c>
      <c r="C9230" s="5" t="str">
        <f>IFERROR(__xludf.DUMMYFUNCTION("GOOGLETRANSLATE(B9230,""en"",""de"")"),"Sie fingen an, sich gegenseitig auf die Leiter zu schlagen.")</f>
        <v>Sie fingen an, sich gegenseitig auf die Leiter zu schlagen.</v>
      </c>
    </row>
    <row r="9231">
      <c r="A9231" s="4" t="s">
        <v>11613</v>
      </c>
      <c r="B9231" s="4" t="s">
        <v>11618</v>
      </c>
      <c r="C9231" s="5" t="str">
        <f>IFERROR(__xludf.DUMMYFUNCTION("GOOGLETRANSLATE(B9231,""en"",""de"")"),"Tandumisgrat klettern auf der Rückseite von Osten von Angeles und beide fallen von der Leiter und klopfen östlich von Angeles.")</f>
        <v>Tandumisgrat klettern auf der Rückseite von Osten von Angeles und beide fallen von der Leiter und klopfen östlich von Angeles.</v>
      </c>
    </row>
    <row r="9232">
      <c r="A9232" s="4" t="s">
        <v>11613</v>
      </c>
      <c r="B9232" s="4" t="s">
        <v>11619</v>
      </c>
      <c r="C9232" s="5" t="str">
        <f>IFERROR(__xludf.DUMMYFUNCTION("GOOGLETRANSLATE(B9232,""en"",""de"")"),"Tandumisgrat klettert erneut auf die Oberseite der Leiter und hält die hängende Geldbank.")</f>
        <v>Tandumisgrat klettert erneut auf die Oberseite der Leiter und hält die hängende Geldbank.</v>
      </c>
    </row>
    <row r="9233">
      <c r="A9233" s="4" t="s">
        <v>11620</v>
      </c>
      <c r="B9233" s="4" t="s">
        <v>11621</v>
      </c>
      <c r="C9233" s="5" t="str">
        <f>IFERROR(__xludf.DUMMYFUNCTION("GOOGLETRANSLATE(B9233,""en"",""de"")"),"Verschiedene Schüsse werden von großer Menge gezeigt, die in der Ferne feiert und die Menschen mit Motorrädern herumfahren.")</f>
        <v>Verschiedene Schüsse werden von großer Menge gezeigt, die in der Ferne feiert und die Menschen mit Motorrädern herumfahren.</v>
      </c>
    </row>
    <row r="9234">
      <c r="A9234" s="4" t="s">
        <v>11620</v>
      </c>
      <c r="B9234" s="4" t="s">
        <v>11622</v>
      </c>
      <c r="C9234" s="5" t="str">
        <f>IFERROR(__xludf.DUMMYFUNCTION("GOOGLETRANSLATE(B9234,""en"",""de"")"),"Die Menschen reiten weiter in Zeitlupe herum, als die Kamera ihre Bewegungen erfasst.")</f>
        <v>Die Menschen reiten weiter in Zeitlupe herum, als die Kamera ihre Bewegungen erfasst.</v>
      </c>
    </row>
    <row r="9235">
      <c r="A9235" s="4" t="s">
        <v>11623</v>
      </c>
      <c r="B9235" s="4" t="s">
        <v>11624</v>
      </c>
      <c r="C9235" s="5" t="str">
        <f>IFERROR(__xludf.DUMMYFUNCTION("GOOGLETRANSLATE(B9235,""en"",""de"")"),"Eine Cartoon -Animation wird mit verschiedenen Händen und Hummer angezeigt und zeigt, wie man Rockpapierschere spielt.")</f>
        <v>Eine Cartoon -Animation wird mit verschiedenen Händen und Hummer angezeigt und zeigt, wie man Rockpapierschere spielt.</v>
      </c>
    </row>
    <row r="9236">
      <c r="A9236" s="4" t="s">
        <v>11623</v>
      </c>
      <c r="B9236" s="4" t="s">
        <v>11625</v>
      </c>
      <c r="C9236" s="5" t="str">
        <f>IFERROR(__xludf.DUMMYFUNCTION("GOOGLETRANSLATE(B9236,""en"",""de"")"),"Weitere Text werden ebenso wie Hände und Tiere angezeigt und zeigt Schritte zum Spielen des Spiels.")</f>
        <v>Weitere Text werden ebenso wie Hände und Tiere angezeigt und zeigt Schritte zum Spielen des Spiels.</v>
      </c>
    </row>
    <row r="9237">
      <c r="A9237" s="4" t="s">
        <v>11626</v>
      </c>
      <c r="B9237" s="4" t="s">
        <v>11627</v>
      </c>
      <c r="C9237" s="5" t="str">
        <f>IFERROR(__xludf.DUMMYFUNCTION("GOOGLETRANSLATE(B9237,""en"",""de"")"),"Wir sehen eine animierte Eröffnungssequenz.")</f>
        <v>Wir sehen eine animierte Eröffnungssequenz.</v>
      </c>
    </row>
    <row r="9238">
      <c r="A9238" s="4" t="s">
        <v>11626</v>
      </c>
      <c r="B9238" s="4" t="s">
        <v>11628</v>
      </c>
      <c r="C9238" s="5" t="str">
        <f>IFERROR(__xludf.DUMMYFUNCTION("GOOGLETRANSLATE(B9238,""en"",""de"")"),"Wir sehen Männer, die Snowboards auf einem Skihang reiten.")</f>
        <v>Wir sehen Männer, die Snowboards auf einem Skihang reiten.</v>
      </c>
    </row>
    <row r="9239">
      <c r="A9239" s="4" t="s">
        <v>11626</v>
      </c>
      <c r="B9239" s="4" t="s">
        <v>11629</v>
      </c>
      <c r="C9239" s="5" t="str">
        <f>IFERROR(__xludf.DUMMYFUNCTION("GOOGLETRANSLATE(B9239,""en"",""de"")"),"Wir sehen einen Mann im hinteren Teil des Snowboards.")</f>
        <v>Wir sehen einen Mann im hinteren Teil des Snowboards.</v>
      </c>
    </row>
    <row r="9240">
      <c r="A9240" s="4" t="s">
        <v>11626</v>
      </c>
      <c r="B9240" s="4" t="s">
        <v>11630</v>
      </c>
      <c r="C9240" s="5" t="str">
        <f>IFERROR(__xludf.DUMMYFUNCTION("GOOGLETRANSLATE(B9240,""en"",""de"")"),"Wir sehen eine Person in einer leuchtend rosa Jacke.")</f>
        <v>Wir sehen eine Person in einer leuchtend rosa Jacke.</v>
      </c>
    </row>
    <row r="9241">
      <c r="A9241" s="4" t="s">
        <v>11626</v>
      </c>
      <c r="B9241" s="4" t="s">
        <v>11631</v>
      </c>
      <c r="C9241" s="5" t="str">
        <f>IFERROR(__xludf.DUMMYFUNCTION("GOOGLETRANSLATE(B9241,""en"",""de"")"),"Ein Mann snowboarden mit nackten Armen.")</f>
        <v>Ein Mann snowboarden mit nackten Armen.</v>
      </c>
    </row>
    <row r="9242">
      <c r="A9242" s="4" t="s">
        <v>11626</v>
      </c>
      <c r="B9242" s="4" t="s">
        <v>11632</v>
      </c>
      <c r="C9242" s="5" t="str">
        <f>IFERROR(__xludf.DUMMYFUNCTION("GOOGLETRANSLATE(B9242,""en"",""de"")"),"Ein anderer Mann ohne Mantel ist ein Snowboarden.")</f>
        <v>Ein anderer Mann ohne Mantel ist ein Snowboarden.</v>
      </c>
    </row>
    <row r="9243">
      <c r="A9243" s="4" t="s">
        <v>11626</v>
      </c>
      <c r="B9243" s="4" t="s">
        <v>11633</v>
      </c>
      <c r="C9243" s="5" t="str">
        <f>IFERROR(__xludf.DUMMYFUNCTION("GOOGLETRANSLATE(B9243,""en"",""de"")"),"Wir sehen die Endsequenz.")</f>
        <v>Wir sehen die Endsequenz.</v>
      </c>
    </row>
    <row r="9244">
      <c r="A9244" s="4" t="s">
        <v>11634</v>
      </c>
      <c r="B9244" s="4" t="s">
        <v>11635</v>
      </c>
      <c r="C9244" s="5" t="str">
        <f>IFERROR(__xludf.DUMMYFUNCTION("GOOGLETRANSLATE(B9244,""en"",""de"")"),"Die Leute werfen Kugeln in Plastikbecher.")</f>
        <v>Die Leute werfen Kugeln in Plastikbecher.</v>
      </c>
    </row>
    <row r="9245">
      <c r="A9245" s="4" t="s">
        <v>11634</v>
      </c>
      <c r="B9245" s="4" t="s">
        <v>11636</v>
      </c>
      <c r="C9245" s="5" t="str">
        <f>IFERROR(__xludf.DUMMYFUNCTION("GOOGLETRANSLATE(B9245,""en"",""de"")"),"Eine Hand klopft über einen roten Plastikbecher und verschwendet die Flüssigkeit im Inneren.")</f>
        <v>Eine Hand klopft über einen roten Plastikbecher und verschwendet die Flüssigkeit im Inneren.</v>
      </c>
    </row>
    <row r="9246">
      <c r="A9246" s="4" t="s">
        <v>11634</v>
      </c>
      <c r="B9246" s="4" t="s">
        <v>11637</v>
      </c>
      <c r="C9246" s="5" t="str">
        <f>IFERROR(__xludf.DUMMYFUNCTION("GOOGLETRANSLATE(B9246,""en"",""de"")"),"Ein Mann greift nach einem Ball, der unter einem Tisch rollt.")</f>
        <v>Ein Mann greift nach einem Ball, der unter einem Tisch rollt.</v>
      </c>
    </row>
    <row r="9247">
      <c r="A9247" s="4" t="s">
        <v>11634</v>
      </c>
      <c r="B9247" s="4" t="s">
        <v>11638</v>
      </c>
      <c r="C9247" s="5" t="str">
        <f>IFERROR(__xludf.DUMMYFUNCTION("GOOGLETRANSLATE(B9247,""en"",""de"")"),"Ein Plastikbecher hat eine weiße Suspension im Inneren.")</f>
        <v>Ein Plastikbecher hat eine weiße Suspension im Inneren.</v>
      </c>
    </row>
    <row r="9248">
      <c r="A9248" s="4" t="s">
        <v>11634</v>
      </c>
      <c r="B9248" s="4" t="s">
        <v>11639</v>
      </c>
      <c r="C9248" s="5" t="str">
        <f>IFERROR(__xludf.DUMMYFUNCTION("GOOGLETRANSLATE(B9248,""en"",""de"")"),"Ein Mann schweißt und Maschine schnitzt ein Holzbrett.")</f>
        <v>Ein Mann schweißt und Maschine schnitzt ein Holzbrett.</v>
      </c>
    </row>
    <row r="9249">
      <c r="A9249" s="4" t="s">
        <v>11634</v>
      </c>
      <c r="B9249" s="4" t="s">
        <v>11640</v>
      </c>
      <c r="C9249" s="5" t="str">
        <f>IFERROR(__xludf.DUMMYFUNCTION("GOOGLETRANSLATE(B9249,""en"",""de"")"),"Ein Mann trägt eine Dame, während sie gestikulieren und jubeln.")</f>
        <v>Ein Mann trägt eine Dame, während sie gestikulieren und jubeln.</v>
      </c>
    </row>
    <row r="9250">
      <c r="A9250" s="4" t="s">
        <v>11641</v>
      </c>
      <c r="B9250" s="4" t="s">
        <v>11642</v>
      </c>
      <c r="C9250" s="5" t="str">
        <f>IFERROR(__xludf.DUMMYFUNCTION("GOOGLETRANSLATE(B9250,""en"",""de"")"),"Ein Zähler wird mit Bierdosen dargestellt.")</f>
        <v>Ein Zähler wird mit Bierdosen dargestellt.</v>
      </c>
    </row>
    <row r="9251">
      <c r="A9251" s="4" t="s">
        <v>11641</v>
      </c>
      <c r="B9251" s="4" t="s">
        <v>11643</v>
      </c>
      <c r="C9251" s="5" t="str">
        <f>IFERROR(__xludf.DUMMYFUNCTION("GOOGLETRANSLATE(B9251,""en"",""de"")"),"Ein Mann ist in einem Badezimmer und benutzt eine Toilette.")</f>
        <v>Ein Mann ist in einem Badezimmer und benutzt eine Toilette.</v>
      </c>
    </row>
    <row r="9252">
      <c r="A9252" s="4" t="s">
        <v>11641</v>
      </c>
      <c r="B9252" s="4" t="s">
        <v>11644</v>
      </c>
      <c r="C9252" s="5" t="str">
        <f>IFERROR(__xludf.DUMMYFUNCTION("GOOGLETRANSLATE(B9252,""en"",""de"")"),"Er spült sich, lächelt und spricht mit der Kamera.")</f>
        <v>Er spült sich, lächelt und spricht mit der Kamera.</v>
      </c>
    </row>
    <row r="9253">
      <c r="A9253" s="4" t="s">
        <v>11645</v>
      </c>
      <c r="B9253" s="4" t="s">
        <v>11646</v>
      </c>
      <c r="C9253" s="5" t="str">
        <f>IFERROR(__xludf.DUMMYFUNCTION("GOOGLETRANSLATE(B9253,""en"",""de"")"),"Der Skifahrer passt das Seil mit seinen roten und schwarzen Skier an, die sich vor ihm über dem Wasser erstrecken, während er sich auf Ski zubereitet.")</f>
        <v>Der Skifahrer passt das Seil mit seinen roten und schwarzen Skier an, die sich vor ihm über dem Wasser erstrecken, während er sich auf Ski zubereitet.</v>
      </c>
    </row>
    <row r="9254">
      <c r="A9254" s="4" t="s">
        <v>11645</v>
      </c>
      <c r="B9254" s="4" t="s">
        <v>11647</v>
      </c>
      <c r="C9254" s="5" t="str">
        <f>IFERROR(__xludf.DUMMYFUNCTION("GOOGLETRANSLATE(B9254,""en"",""de"")"),"Das Boot zieht ihn vom Dock und ins Wasser, als er aufrecht ruht und seine Skier vor ihm draußen.")</f>
        <v>Das Boot zieht ihn vom Dock und ins Wasser, als er aufrecht ruht und seine Skier vor ihm draußen.</v>
      </c>
    </row>
    <row r="9255">
      <c r="A9255" s="4" t="s">
        <v>11645</v>
      </c>
      <c r="B9255" s="4" t="s">
        <v>11648</v>
      </c>
      <c r="C9255" s="5" t="str">
        <f>IFERROR(__xludf.DUMMYFUNCTION("GOOGLETRANSLATE(B9255,""en"",""de"")"),"Während das Boot die Geschwindigkeit aufnimmt, steigt der Skifahrer und hält sich am Seil fest und lenkt nach links und rechts.")</f>
        <v>Während das Boot die Geschwindigkeit aufnimmt, steigt der Skifahrer und hält sich am Seil fest und lenkt nach links und rechts.</v>
      </c>
    </row>
    <row r="9256">
      <c r="A9256" s="4" t="s">
        <v>11645</v>
      </c>
      <c r="B9256" s="4" t="s">
        <v>11649</v>
      </c>
      <c r="C9256" s="5" t="str">
        <f>IFERROR(__xludf.DUMMYFUNCTION("GOOGLETRANSLATE(B9256,""en"",""de"")"),"Er scheint nur eine Boje zu vermissen, als er durch Wasser und das Boot des Bootes schneidet.")</f>
        <v>Er scheint nur eine Boje zu vermissen, als er durch Wasser und das Boot des Bootes schneidet.</v>
      </c>
    </row>
    <row r="9257">
      <c r="A9257" s="4" t="s">
        <v>11645</v>
      </c>
      <c r="B9257" s="4" t="s">
        <v>11650</v>
      </c>
      <c r="C9257" s="5" t="str">
        <f>IFERROR(__xludf.DUMMYFUNCTION("GOOGLETRANSLATE(B9257,""en"",""de"")"),"Das Boot dreht sich mit großen Gebäuden in Richtung Land, und langsam wird er zum Dock zurückgebracht.")</f>
        <v>Das Boot dreht sich mit großen Gebäuden in Richtung Land, und langsam wird er zum Dock zurückgebracht.</v>
      </c>
    </row>
    <row r="9258">
      <c r="A9258" s="4" t="s">
        <v>11651</v>
      </c>
      <c r="B9258" s="4" t="s">
        <v>11652</v>
      </c>
      <c r="C9258" s="5" t="str">
        <f>IFERROR(__xludf.DUMMYFUNCTION("GOOGLETRANSLATE(B9258,""en"",""de"")"),"Eine kleine Gruppe von Kindern spielt miteinander Handspiele und schlägt schließlich den Verlierer mit einer Flasche auf den Kopf.")</f>
        <v>Eine kleine Gruppe von Kindern spielt miteinander Handspiele und schlägt schließlich den Verlierer mit einer Flasche auf den Kopf.</v>
      </c>
    </row>
    <row r="9259">
      <c r="A9259" s="4" t="s">
        <v>11651</v>
      </c>
      <c r="B9259" s="4" t="s">
        <v>11653</v>
      </c>
      <c r="C9259" s="5" t="str">
        <f>IFERROR(__xludf.DUMMYFUNCTION("GOOGLETRANSLATE(B9259,""en"",""de"")"),"Die Kinder spielen weiterhin das Handspiel miteinander, das mit einer Flasche in die andere schlägt.")</f>
        <v>Die Kinder spielen weiterhin das Handspiel miteinander, das mit einer Flasche in die andere schlägt.</v>
      </c>
    </row>
    <row r="9260">
      <c r="A9260" s="4" t="s">
        <v>11654</v>
      </c>
      <c r="B9260" s="4" t="s">
        <v>11655</v>
      </c>
      <c r="C9260" s="5" t="str">
        <f>IFERROR(__xludf.DUMMYFUNCTION("GOOGLETRANSLATE(B9260,""en"",""de"")"),"Ein Mann klatscht nach einem Hochsprung auf dem Feld.")</f>
        <v>Ein Mann klatscht nach einem Hochsprung auf dem Feld.</v>
      </c>
    </row>
    <row r="9261">
      <c r="A9261" s="4" t="s">
        <v>11654</v>
      </c>
      <c r="B9261" s="4" t="s">
        <v>11656</v>
      </c>
      <c r="C9261" s="5" t="str">
        <f>IFERROR(__xludf.DUMMYFUNCTION("GOOGLETRANSLATE(B9261,""en"",""de"")"),"Es wird uns ein paar Mal die sofortige Wiederholung in Zeitlupe angezeigt.")</f>
        <v>Es wird uns ein paar Mal die sofortige Wiederholung in Zeitlupe angezeigt.</v>
      </c>
    </row>
    <row r="9262">
      <c r="A9262" s="4" t="s">
        <v>11654</v>
      </c>
      <c r="B9262" s="4" t="s">
        <v>11657</v>
      </c>
      <c r="C9262" s="5" t="str">
        <f>IFERROR(__xludf.DUMMYFUNCTION("GOOGLETRANSLATE(B9262,""en"",""de"")"),"Er geht auf das Feld und schüttelt mit seinen Konkurrenten die Hände.")</f>
        <v>Er geht auf das Feld und schüttelt mit seinen Konkurrenten die Hände.</v>
      </c>
    </row>
    <row r="9263">
      <c r="A9263" s="4" t="s">
        <v>11658</v>
      </c>
      <c r="B9263" s="4" t="s">
        <v>11659</v>
      </c>
      <c r="C9263" s="5" t="str">
        <f>IFERROR(__xludf.DUMMYFUNCTION("GOOGLETRANSLATE(B9263,""en"",""de"")"),"In Wasser und Landschaften rund um eine Insel und Menschen reiten und bewegen sich in einem Boot.")</f>
        <v>In Wasser und Landschaften rund um eine Insel und Menschen reiten und bewegen sich in einem Boot.</v>
      </c>
    </row>
    <row r="9264">
      <c r="A9264" s="4" t="s">
        <v>11658</v>
      </c>
      <c r="B9264" s="4" t="s">
        <v>11660</v>
      </c>
      <c r="C9264" s="5" t="str">
        <f>IFERROR(__xludf.DUMMYFUNCTION("GOOGLETRANSLATE(B9264,""en"",""de"")"),"Weitere Aufnahmen von Menschen, die Tauchen tauchen, werden ebenso gezeigt, wie Fische herumschwimmen und Menschen im Meer.")</f>
        <v>Weitere Aufnahmen von Menschen, die Tauchen tauchen, werden ebenso gezeigt, wie Fische herumschwimmen und Menschen im Meer.</v>
      </c>
    </row>
    <row r="9265">
      <c r="A9265" s="4" t="s">
        <v>11658</v>
      </c>
      <c r="B9265" s="4" t="s">
        <v>11661</v>
      </c>
      <c r="C9265" s="5" t="str">
        <f>IFERROR(__xludf.DUMMYFUNCTION("GOOGLETRANSLATE(B9265,""en"",""de"")"),"Am Ende zeigt die Kamera mehrere Aufnahmen des Bootes und Leute, die sich auf einem kleineren Boot entfernen.")</f>
        <v>Am Ende zeigt die Kamera mehrere Aufnahmen des Bootes und Leute, die sich auf einem kleineren Boot entfernen.</v>
      </c>
    </row>
    <row r="9266">
      <c r="A9266" s="4" t="s">
        <v>11662</v>
      </c>
      <c r="B9266" s="4" t="s">
        <v>11663</v>
      </c>
      <c r="C9266" s="5" t="str">
        <f>IFERROR(__xludf.DUMMYFUNCTION("GOOGLETRANSLATE(B9266,""en"",""de"")"),"Eine Gruppe von Kindern praktiziert verschiedene jubelste Moves in einem Fitnessstudio sowie eine Frau, die mit der Kamera spricht.")</f>
        <v>Eine Gruppe von Kindern praktiziert verschiedene jubelste Moves in einem Fitnessstudio sowie eine Frau, die mit der Kamera spricht.</v>
      </c>
    </row>
    <row r="9267">
      <c r="A9267" s="4" t="s">
        <v>11662</v>
      </c>
      <c r="B9267" s="4" t="s">
        <v>11664</v>
      </c>
      <c r="C9267" s="5" t="str">
        <f>IFERROR(__xludf.DUMMYFUNCTION("GOOGLETRANSLATE(B9267,""en"",""de"")"),"Es werden mehrere Schüsse von den Outfits des Mädchens angezeigt und sie zeigen Bewegungen.")</f>
        <v>Es werden mehrere Schüsse von den Outfits des Mädchens angezeigt und sie zeigen Bewegungen.</v>
      </c>
    </row>
    <row r="9268">
      <c r="A9268" s="4" t="s">
        <v>11665</v>
      </c>
      <c r="B9268" s="4" t="s">
        <v>11666</v>
      </c>
      <c r="C9268" s="5" t="str">
        <f>IFERROR(__xludf.DUMMYFUNCTION("GOOGLETRANSLATE(B9268,""en"",""de"")"),"Diese Frau läuft, springt und dreht sich auf den Balancestrahl.")</f>
        <v>Diese Frau läuft, springt und dreht sich auf den Balancestrahl.</v>
      </c>
    </row>
    <row r="9269">
      <c r="A9269" s="4" t="s">
        <v>11665</v>
      </c>
      <c r="B9269" s="4" t="s">
        <v>11667</v>
      </c>
      <c r="C9269" s="5" t="str">
        <f>IFERROR(__xludf.DUMMYFUNCTION("GOOGLETRANSLATE(B9269,""en"",""de"")"),"Als sie fertig ist, geht sie von der Bühne und geht zu ihrem Vater.")</f>
        <v>Als sie fertig ist, geht sie von der Bühne und geht zu ihrem Vater.</v>
      </c>
    </row>
    <row r="9270">
      <c r="A9270" s="4" t="s">
        <v>11668</v>
      </c>
      <c r="B9270" s="4" t="s">
        <v>11669</v>
      </c>
      <c r="C9270" s="5" t="str">
        <f>IFERROR(__xludf.DUMMYFUNCTION("GOOGLETRANSLATE(B9270,""en"",""de"")"),"Ein Garten wird gezeigt, als ein Mann, der auf einem elektrischen Rasenmäher sitzt, das Gras schneiden beginnt.")</f>
        <v>Ein Garten wird gezeigt, als ein Mann, der auf einem elektrischen Rasenmäher sitzt, das Gras schneiden beginnt.</v>
      </c>
    </row>
    <row r="9271">
      <c r="A9271" s="4" t="s">
        <v>11668</v>
      </c>
      <c r="B9271" s="4" t="s">
        <v>11670</v>
      </c>
      <c r="C9271" s="5" t="str">
        <f>IFERROR(__xludf.DUMMYFUNCTION("GOOGLETRANSLATE(B9271,""en"",""de"")"),"Er schafft es auf die andere Seite, beginnt aber dann in den Baum zu rennen.")</f>
        <v>Er schafft es auf die andere Seite, beginnt aber dann in den Baum zu rennen.</v>
      </c>
    </row>
    <row r="9272">
      <c r="A9272" s="4" t="s">
        <v>11668</v>
      </c>
      <c r="B9272" s="4" t="s">
        <v>11671</v>
      </c>
      <c r="C9272" s="5" t="str">
        <f>IFERROR(__xludf.DUMMYFUNCTION("GOOGLETRANSLATE(B9272,""en"",""de"")"),"Danach rennt er wieder in den Baum und schneidet ihn um.")</f>
        <v>Danach rennt er wieder in den Baum und schneidet ihn um.</v>
      </c>
    </row>
    <row r="9273">
      <c r="A9273" s="4" t="s">
        <v>11672</v>
      </c>
      <c r="B9273" s="4" t="s">
        <v>11673</v>
      </c>
      <c r="C9273" s="5" t="str">
        <f>IFERROR(__xludf.DUMMYFUNCTION("GOOGLETRANSLATE(B9273,""en"",""de"")"),"Ein Stier kommt bei einem Rodeo aus dem Tor und Mann im Ring springt dann von seinem Rücken weiter.")</f>
        <v>Ein Stier kommt bei einem Rodeo aus dem Tor und Mann im Ring springt dann von seinem Rücken weiter.</v>
      </c>
    </row>
    <row r="9274">
      <c r="A9274" s="4" t="s">
        <v>11672</v>
      </c>
      <c r="B9274" s="4" t="s">
        <v>11674</v>
      </c>
      <c r="C9274" s="5" t="str">
        <f>IFERROR(__xludf.DUMMYFUNCTION("GOOGLETRANSLATE(B9274,""en"",""de"")"),"Der Mann nimmt seinen gefallenen Hut im Ring auf.")</f>
        <v>Der Mann nimmt seinen gefallenen Hut im Ring auf.</v>
      </c>
    </row>
    <row r="9275">
      <c r="A9275" s="4" t="s">
        <v>11672</v>
      </c>
      <c r="B9275" s="4" t="s">
        <v>11675</v>
      </c>
      <c r="C9275" s="5" t="str">
        <f>IFERROR(__xludf.DUMMYFUNCTION("GOOGLETRANSLATE(B9275,""en"",""de"")"),"Der Mann läuft herum und weicht dem Ladelbullen aus.")</f>
        <v>Der Mann läuft herum und weicht dem Ladelbullen aus.</v>
      </c>
    </row>
    <row r="9276">
      <c r="A9276" s="4" t="s">
        <v>11672</v>
      </c>
      <c r="B9276" s="4" t="s">
        <v>11676</v>
      </c>
      <c r="C9276" s="5" t="str">
        <f>IFERROR(__xludf.DUMMYFUNCTION("GOOGLETRANSLATE(B9276,""en"",""de"")"),"Der Mann lässt seinen Hut in den Ring fallen.")</f>
        <v>Der Mann lässt seinen Hut in den Ring fallen.</v>
      </c>
    </row>
    <row r="9277">
      <c r="A9277" s="4" t="s">
        <v>11672</v>
      </c>
      <c r="B9277" s="4" t="s">
        <v>11677</v>
      </c>
      <c r="C9277" s="5" t="str">
        <f>IFERROR(__xludf.DUMMYFUNCTION("GOOGLETRANSLATE(B9277,""en"",""de"")"),"Der Mann springt an die Wand, um den Stier zu vermeiden.")</f>
        <v>Der Mann springt an die Wand, um den Stier zu vermeiden.</v>
      </c>
    </row>
    <row r="9278">
      <c r="A9278" s="4" t="s">
        <v>11672</v>
      </c>
      <c r="B9278" s="4" t="s">
        <v>11678</v>
      </c>
      <c r="C9278" s="5" t="str">
        <f>IFERROR(__xludf.DUMMYFUNCTION("GOOGLETRANSLATE(B9278,""en"",""de"")"),"Ein anderer Mann öffnet das Tor und ruft zum Stier auf, um den Pin zu betreten.")</f>
        <v>Ein anderer Mann öffnet das Tor und ruft zum Stier auf, um den Pin zu betreten.</v>
      </c>
    </row>
    <row r="9279">
      <c r="A9279" s="4" t="s">
        <v>11679</v>
      </c>
      <c r="B9279" s="4" t="s">
        <v>11680</v>
      </c>
      <c r="C9279" s="5" t="str">
        <f>IFERROR(__xludf.DUMMYFUNCTION("GOOGLETRANSLATE(B9279,""en"",""de"")"),"Wir sehen Leute, die eine Tanzroutine in einem Basketballplatz machen.")</f>
        <v>Wir sehen Leute, die eine Tanzroutine in einem Basketballplatz machen.</v>
      </c>
    </row>
    <row r="9280">
      <c r="A9280" s="4" t="s">
        <v>11679</v>
      </c>
      <c r="B9280" s="4" t="s">
        <v>11681</v>
      </c>
      <c r="C9280" s="5" t="str">
        <f>IFERROR(__xludf.DUMMYFUNCTION("GOOGLETRANSLATE(B9280,""en"",""de"")"),"Die Menschen winken ihre Hände in der Luft.")</f>
        <v>Die Menschen winken ihre Hände in der Luft.</v>
      </c>
    </row>
    <row r="9281">
      <c r="A9281" s="4" t="s">
        <v>11679</v>
      </c>
      <c r="B9281" s="4" t="s">
        <v>11682</v>
      </c>
      <c r="C9281" s="5" t="str">
        <f>IFERROR(__xludf.DUMMYFUNCTION("GOOGLETRANSLATE(B9281,""en"",""de"")"),"Die Kamerapfannen ließen andere, um anderen zu zeigen.")</f>
        <v>Die Kamerapfannen ließen andere, um anderen zu zeigen.</v>
      </c>
    </row>
    <row r="9282">
      <c r="A9282" s="4" t="s">
        <v>11679</v>
      </c>
      <c r="B9282" s="4" t="s">
        <v>11683</v>
      </c>
      <c r="C9282" s="5" t="str">
        <f>IFERROR(__xludf.DUMMYFUNCTION("GOOGLETRANSLATE(B9282,""en"",""de"")"),"Die Kamera schwenkt richtig und wir sehen andere.")</f>
        <v>Die Kamera schwenkt richtig und wir sehen andere.</v>
      </c>
    </row>
    <row r="9283">
      <c r="A9283" s="4" t="s">
        <v>11679</v>
      </c>
      <c r="B9283" s="4" t="s">
        <v>11684</v>
      </c>
      <c r="C9283" s="5" t="str">
        <f>IFERROR(__xludf.DUMMYFUNCTION("GOOGLETRANSLATE(B9283,""en"",""de"")"),"Die Damen stehen still und winken ihre Arme in die Luft.")</f>
        <v>Die Damen stehen still und winken ihre Arme in die Luft.</v>
      </c>
    </row>
    <row r="9284">
      <c r="A9284" s="4" t="s">
        <v>11679</v>
      </c>
      <c r="B9284" s="4" t="s">
        <v>11685</v>
      </c>
      <c r="C9284" s="5" t="str">
        <f>IFERROR(__xludf.DUMMYFUNCTION("GOOGLETRANSLATE(B9284,""en"",""de"")"),"Die Kamera schwenkt zu Boden.")</f>
        <v>Die Kamera schwenkt zu Boden.</v>
      </c>
    </row>
    <row r="9285">
      <c r="A9285" s="4" t="s">
        <v>11686</v>
      </c>
      <c r="B9285" s="4" t="s">
        <v>11687</v>
      </c>
      <c r="C9285" s="5" t="str">
        <f>IFERROR(__xludf.DUMMYFUNCTION("GOOGLETRANSLATE(B9285,""en"",""de"")"),"Jemand rennt am Strand in Richtung so Sandburgwettbewerbe.")</f>
        <v>Jemand rennt am Strand in Richtung so Sandburgwettbewerbe.</v>
      </c>
    </row>
    <row r="9286">
      <c r="A9286" s="4" t="s">
        <v>11686</v>
      </c>
      <c r="B9286" s="4" t="s">
        <v>11688</v>
      </c>
      <c r="C9286" s="5" t="str">
        <f>IFERROR(__xludf.DUMMYFUNCTION("GOOGLETRANSLATE(B9286,""en"",""de"")"),"Ein Hund springt in etwas Sanddreck und freut sich so darüber.")</f>
        <v>Ein Hund springt in etwas Sanddreck und freut sich so darüber.</v>
      </c>
    </row>
    <row r="9287">
      <c r="A9287" s="4" t="s">
        <v>11686</v>
      </c>
      <c r="B9287" s="4" t="s">
        <v>11689</v>
      </c>
      <c r="C9287" s="5" t="str">
        <f>IFERROR(__xludf.DUMMYFUNCTION("GOOGLETRANSLATE(B9287,""en"",""de"")"),"Es gibt so viele großartige und verschiedene Dinge aus Sand, dass es so aussieht, als würde es viel Zeit und Energie brauchen.")</f>
        <v>Es gibt so viele großartige und verschiedene Dinge aus Sand, dass es so aussieht, als würde es viel Zeit und Energie brauchen.</v>
      </c>
    </row>
    <row r="9288">
      <c r="A9288" s="4" t="s">
        <v>11686</v>
      </c>
      <c r="B9288" s="4" t="s">
        <v>11690</v>
      </c>
      <c r="C9288" s="5" t="str">
        <f>IFERROR(__xludf.DUMMYFUNCTION("GOOGLETRANSLATE(B9288,""en"",""de"")"),"Es gibt Leute herum und schauen sich alle an.")</f>
        <v>Es gibt Leute herum und schauen sich alle an.</v>
      </c>
    </row>
    <row r="9289">
      <c r="A9289" s="4" t="s">
        <v>11691</v>
      </c>
      <c r="B9289" s="4" t="s">
        <v>11692</v>
      </c>
      <c r="C9289" s="5" t="str">
        <f>IFERROR(__xludf.DUMMYFUNCTION("GOOGLETRANSLATE(B9289,""en"",""de"")"),"Es werden einige Bilder eines Highschool -Feldhockeyteams gezeigt.")</f>
        <v>Es werden einige Bilder eines Highschool -Feldhockeyteams gezeigt.</v>
      </c>
    </row>
    <row r="9290">
      <c r="A9290" s="4" t="s">
        <v>11691</v>
      </c>
      <c r="B9290" s="4" t="s">
        <v>11693</v>
      </c>
      <c r="C9290" s="5" t="str">
        <f>IFERROR(__xludf.DUMMYFUNCTION("GOOGLETRANSLATE(B9290,""en"",""de"")"),"Zwei Teams junger Mädchen sind Spielfeldhockey.")</f>
        <v>Zwei Teams junger Mädchen sind Spielfeldhockey.</v>
      </c>
    </row>
    <row r="9291">
      <c r="A9291" s="4" t="s">
        <v>11691</v>
      </c>
      <c r="B9291" s="4" t="s">
        <v>11694</v>
      </c>
      <c r="C9291" s="5" t="str">
        <f>IFERROR(__xludf.DUMMYFUNCTION("GOOGLETRANSLATE(B9291,""en"",""de"")"),"Der Torwart wird gezeigt, dass er zu Boden fällt, während er rettet.")</f>
        <v>Der Torwart wird gezeigt, dass er zu Boden fällt, während er rettet.</v>
      </c>
    </row>
    <row r="9292">
      <c r="A9292" s="4" t="s">
        <v>11691</v>
      </c>
      <c r="B9292" s="4" t="s">
        <v>11695</v>
      </c>
      <c r="C9292" s="5" t="str">
        <f>IFERROR(__xludf.DUMMYFUNCTION("GOOGLETRANSLATE(B9292,""en"",""de"")"),"Der Torwart rettet ein weiteres Schieben.")</f>
        <v>Der Torwart rettet ein weiteres Schieben.</v>
      </c>
    </row>
    <row r="9293">
      <c r="A9293" s="4" t="s">
        <v>11691</v>
      </c>
      <c r="B9293" s="4" t="s">
        <v>11696</v>
      </c>
      <c r="C9293" s="5" t="str">
        <f>IFERROR(__xludf.DUMMYFUNCTION("GOOGLETRANSLATE(B9293,""en"",""de"")"),"Der Torwart tritt den Ball vom Netz weg.")</f>
        <v>Der Torwart tritt den Ball vom Netz weg.</v>
      </c>
    </row>
    <row r="9294">
      <c r="A9294" s="4" t="s">
        <v>11691</v>
      </c>
      <c r="B9294" s="4" t="s">
        <v>11697</v>
      </c>
      <c r="C9294" s="5" t="str">
        <f>IFERROR(__xludf.DUMMYFUNCTION("GOOGLETRANSLATE(B9294,""en"",""de"")"),"Das Spiel endet und die Mädchen geben hohe Fünfer.")</f>
        <v>Das Spiel endet und die Mädchen geben hohe Fünfer.</v>
      </c>
    </row>
    <row r="9295">
      <c r="A9295" s="4" t="s">
        <v>11698</v>
      </c>
      <c r="B9295" s="4" t="s">
        <v>11699</v>
      </c>
      <c r="C9295" s="5" t="str">
        <f>IFERROR(__xludf.DUMMYFUNCTION("GOOGLETRANSLATE(B9295,""en"",""de"")"),"Ein Mann steht mit seinem Mäher draußen in seinem Rasen.")</f>
        <v>Ein Mann steht mit seinem Mäher draußen in seinem Rasen.</v>
      </c>
    </row>
    <row r="9296">
      <c r="A9296" s="4" t="s">
        <v>11698</v>
      </c>
      <c r="B9296" s="4" t="s">
        <v>11700</v>
      </c>
      <c r="C9296" s="5" t="str">
        <f>IFERROR(__xludf.DUMMYFUNCTION("GOOGLETRANSLATE(B9296,""en"",""de"")"),"Er spricht eine Weile über verschiedene Graslängen und beugt sich dann zu seinem Mäher.")</f>
        <v>Er spricht eine Weile über verschiedene Graslängen und beugt sich dann zu seinem Mäher.</v>
      </c>
    </row>
    <row r="9297">
      <c r="A9297" s="4" t="s">
        <v>11698</v>
      </c>
      <c r="B9297" s="4" t="s">
        <v>11701</v>
      </c>
      <c r="C9297" s="5" t="str">
        <f>IFERROR(__xludf.DUMMYFUNCTION("GOOGLETRANSLATE(B9297,""en"",""de"")"),"Er benutzt ein Lineal, um detaillierter zu zeigen, und bewegt dann den Mäher auf den Bürgersteig, um mehr zu sprechen.")</f>
        <v>Er benutzt ein Lineal, um detaillierter zu zeigen, und bewegt dann den Mäher auf den Bürgersteig, um mehr zu sprechen.</v>
      </c>
    </row>
    <row r="9298">
      <c r="A9298" s="4" t="s">
        <v>11698</v>
      </c>
      <c r="B9298" s="4" t="s">
        <v>11702</v>
      </c>
      <c r="C9298" s="5" t="str">
        <f>IFERROR(__xludf.DUMMYFUNCTION("GOOGLETRANSLATE(B9298,""en"",""de"")"),"Er beginnt seinen Rasen zu mähen, der schließlich den Rasen auf und ab geht.")</f>
        <v>Er beginnt seinen Rasen zu mähen, der schließlich den Rasen auf und ab geht.</v>
      </c>
    </row>
    <row r="9299">
      <c r="A9299" s="4" t="s">
        <v>11703</v>
      </c>
      <c r="B9299" s="4" t="s">
        <v>11704</v>
      </c>
      <c r="C9299" s="5" t="str">
        <f>IFERROR(__xludf.DUMMYFUNCTION("GOOGLETRANSLATE(B9299,""en"",""de"")"),"Zwei Frauen werden hinter einem Shuffle Board -Tisch stehen, wenn man einen Puck auf die Tafel drückt.")</f>
        <v>Zwei Frauen werden hinter einem Shuffle Board -Tisch stehen, wenn man einen Puck auf die Tafel drückt.</v>
      </c>
    </row>
    <row r="9300">
      <c r="A9300" s="4" t="s">
        <v>11703</v>
      </c>
      <c r="B9300" s="4" t="s">
        <v>11705</v>
      </c>
      <c r="C9300" s="5" t="str">
        <f>IFERROR(__xludf.DUMMYFUNCTION("GOOGLETRANSLATE(B9300,""en"",""de"")"),"Die andere Frau bereitet ihren Schub vor und schickt ihn an einen Mann, der auf der anderen Seite steht.")</f>
        <v>Die andere Frau bereitet ihren Schub vor und schickt ihn an einen Mann, der auf der anderen Seite steht.</v>
      </c>
    </row>
    <row r="9301">
      <c r="A9301" s="4" t="s">
        <v>11703</v>
      </c>
      <c r="B9301" s="4" t="s">
        <v>11706</v>
      </c>
      <c r="C9301" s="5" t="str">
        <f>IFERROR(__xludf.DUMMYFUNCTION("GOOGLETRANSLATE(B9301,""en"",""de"")"),"Sie schieben den Puck noch mehrmals, während die Kamera ihren Bewegungen folgt.")</f>
        <v>Sie schieben den Puck noch mehrmals, während die Kamera ihren Bewegungen folgt.</v>
      </c>
    </row>
    <row r="9302">
      <c r="A9302" s="4" t="s">
        <v>11707</v>
      </c>
      <c r="B9302" s="4" t="s">
        <v>11708</v>
      </c>
      <c r="C9302" s="5" t="str">
        <f>IFERROR(__xludf.DUMMYFUNCTION("GOOGLETRANSLATE(B9302,""en"",""de"")"),"Eine Person mit einer weißen Maske und einem Blatt über dem Kopf geht von der Kamera zurück und schnappt sich einen Kürbis.")</f>
        <v>Eine Person mit einer weißen Maske und einem Blatt über dem Kopf geht von der Kamera zurück und schnappt sich einen Kürbis.</v>
      </c>
    </row>
    <row r="9303">
      <c r="A9303" s="4" t="s">
        <v>11707</v>
      </c>
      <c r="B9303" s="4" t="s">
        <v>11709</v>
      </c>
      <c r="C9303" s="5" t="str">
        <f>IFERROR(__xludf.DUMMYFUNCTION("GOOGLETRANSLATE(B9303,""en"",""de"")"),"Die min beginnt dann den Kürbis zu schnitzen und nimmt den Kürbis aus.")</f>
        <v>Die min beginnt dann den Kürbis zu schnitzen und nimmt den Kürbis aus.</v>
      </c>
    </row>
    <row r="9304">
      <c r="A9304" s="4" t="s">
        <v>11707</v>
      </c>
      <c r="B9304" s="4" t="s">
        <v>11710</v>
      </c>
      <c r="C9304" s="5" t="str">
        <f>IFERROR(__xludf.DUMMYFUNCTION("GOOGLETRANSLATE(B9304,""en"",""de"")"),"Wenn sie alle gereinigt und herausgenommen und in den Ofen gelegt werden, wie der Mann einen Schluck Alkohol nimmt.")</f>
        <v>Wenn sie alle gereinigt und herausgenommen und in den Ofen gelegt werden, wie der Mann einen Schluck Alkohol nimmt.</v>
      </c>
    </row>
    <row r="9305">
      <c r="A9305" s="4" t="s">
        <v>11711</v>
      </c>
      <c r="B9305" s="4" t="s">
        <v>11712</v>
      </c>
      <c r="C9305" s="5" t="str">
        <f>IFERROR(__xludf.DUMMYFUNCTION("GOOGLETRANSLATE(B9305,""en"",""de"")"),"Dies ist ein Dokumentarfilm zu Reiten.")</f>
        <v>Dies ist ein Dokumentarfilm zu Reiten.</v>
      </c>
    </row>
    <row r="9306">
      <c r="A9306" s="4" t="s">
        <v>11711</v>
      </c>
      <c r="B9306" s="4" t="s">
        <v>11713</v>
      </c>
      <c r="C9306" s="5" t="str">
        <f>IFERROR(__xludf.DUMMYFUNCTION("GOOGLETRANSLATE(B9306,""en"",""de"")"),"Sie erklären die Kraft, Nervenkitzel, Spaß, Anmut, Fliegen, Freunde, Freiheit und Liebe zum Reiten.")</f>
        <v>Sie erklären die Kraft, Nervenkitzel, Spaß, Anmut, Fliegen, Freunde, Freiheit und Liebe zum Reiten.</v>
      </c>
    </row>
    <row r="9307">
      <c r="A9307" s="4" t="s">
        <v>11711</v>
      </c>
      <c r="B9307" s="4" t="s">
        <v>11714</v>
      </c>
      <c r="C9307" s="5" t="str">
        <f>IFERROR(__xludf.DUMMYFUNCTION("GOOGLETRANSLATE(B9307,""en"",""de"")"),"Sie zeigen dann die Schwierigkeiten bei der Ausbildung von Pferden, den Gefahren, sie zu fahren, und den Nachteil des Wettbewerbs.")</f>
        <v>Sie zeigen dann die Schwierigkeiten bei der Ausbildung von Pferden, den Gefahren, sie zu fahren, und den Nachteil des Wettbewerbs.</v>
      </c>
    </row>
    <row r="9308">
      <c r="A9308" s="4" t="s">
        <v>11711</v>
      </c>
      <c r="B9308" s="4" t="s">
        <v>11715</v>
      </c>
      <c r="C9308" s="5" t="str">
        <f>IFERROR(__xludf.DUMMYFUNCTION("GOOGLETRANSLATE(B9308,""en"",""de"")"),"Dann zeigen sie die Höhepunkte des Wettbewerbsreitens.")</f>
        <v>Dann zeigen sie die Höhepunkte des Wettbewerbsreitens.</v>
      </c>
    </row>
    <row r="9309">
      <c r="A9309" s="4" t="s">
        <v>11716</v>
      </c>
      <c r="B9309" s="4" t="s">
        <v>11717</v>
      </c>
      <c r="C9309" s="5" t="str">
        <f>IFERROR(__xludf.DUMMYFUNCTION("GOOGLETRANSLATE(B9309,""en"",""de"")"),"Ein kleines Kind steht vor einer Reihe von Affenstangen.")</f>
        <v>Ein kleines Kind steht vor einer Reihe von Affenstangen.</v>
      </c>
    </row>
    <row r="9310">
      <c r="A9310" s="4" t="s">
        <v>11716</v>
      </c>
      <c r="B9310" s="4" t="s">
        <v>11718</v>
      </c>
      <c r="C9310" s="5" t="str">
        <f>IFERROR(__xludf.DUMMYFUNCTION("GOOGLETRANSLATE(B9310,""en"",""de"")"),"Der Junge schiebt sich dann über die Affenbars.")</f>
        <v>Der Junge schiebt sich dann über die Affenbars.</v>
      </c>
    </row>
    <row r="9311">
      <c r="A9311" s="4" t="s">
        <v>11716</v>
      </c>
      <c r="B9311" s="4" t="s">
        <v>11719</v>
      </c>
      <c r="C9311" s="5" t="str">
        <f>IFERROR(__xludf.DUMMYFUNCTION("GOOGLETRANSLATE(B9311,""en"",""de"")"),"Er springt am Ende runter und geht über eine Brücke.")</f>
        <v>Er springt am Ende runter und geht über eine Brücke.</v>
      </c>
    </row>
    <row r="9312">
      <c r="A9312" s="4" t="s">
        <v>11720</v>
      </c>
      <c r="B9312" s="4" t="s">
        <v>11721</v>
      </c>
      <c r="C9312" s="5" t="str">
        <f>IFERROR(__xludf.DUMMYFUNCTION("GOOGLETRANSLATE(B9312,""en"",""de"")"),"Eine junge Frau spricht mit der Kamera, während sie sich an einem Feldhockeystock festhält.")</f>
        <v>Eine junge Frau spricht mit der Kamera, während sie sich an einem Feldhockeystock festhält.</v>
      </c>
    </row>
    <row r="9313">
      <c r="A9313" s="4" t="s">
        <v>11720</v>
      </c>
      <c r="B9313" s="4" t="s">
        <v>11722</v>
      </c>
      <c r="C9313" s="5" t="str">
        <f>IFERROR(__xludf.DUMMYFUNCTION("GOOGLETRANSLATE(B9313,""en"",""de"")"),"Das Mädchen trifft dann den Ball um den Hof, während die Kamera folgt.")</f>
        <v>Das Mädchen trifft dann den Ball um den Hof, während die Kamera folgt.</v>
      </c>
    </row>
    <row r="9314">
      <c r="A9314" s="4" t="s">
        <v>11720</v>
      </c>
      <c r="B9314" s="4" t="s">
        <v>11723</v>
      </c>
      <c r="C9314" s="5" t="str">
        <f>IFERROR(__xludf.DUMMYFUNCTION("GOOGLETRANSLATE(B9314,""en"",""de"")"),"Sie schlägt den Ball weiter und hält an, um in die Kamera zu schauen.")</f>
        <v>Sie schlägt den Ball weiter und hält an, um in die Kamera zu schauen.</v>
      </c>
    </row>
    <row r="9315">
      <c r="A9315" s="4" t="s">
        <v>11724</v>
      </c>
      <c r="B9315" s="4" t="s">
        <v>11725</v>
      </c>
      <c r="C9315" s="5" t="str">
        <f>IFERROR(__xludf.DUMMYFUNCTION("GOOGLETRANSLATE(B9315,""en"",""de"")"),"Eine Pinata hängt an einem Baum, und eine Frau bringt ein Mädchen mit einem Stock.")</f>
        <v>Eine Pinata hängt an einem Baum, und eine Frau bringt ein Mädchen mit einem Stock.</v>
      </c>
    </row>
    <row r="9316">
      <c r="A9316" s="4" t="s">
        <v>11724</v>
      </c>
      <c r="B9316" s="4" t="s">
        <v>11726</v>
      </c>
      <c r="C9316" s="5" t="str">
        <f>IFERROR(__xludf.DUMMYFUNCTION("GOOGLETRANSLATE(B9316,""en"",""de"")"),"Sie hilft ihr mehrmals die Pinata.")</f>
        <v>Sie hilft ihr mehrmals die Pinata.</v>
      </c>
    </row>
    <row r="9317">
      <c r="A9317" s="4" t="s">
        <v>11727</v>
      </c>
      <c r="B9317" s="4" t="s">
        <v>11728</v>
      </c>
      <c r="C9317" s="5" t="str">
        <f>IFERROR(__xludf.DUMMYFUNCTION("GOOGLETRANSLATE(B9317,""en"",""de"")"),"Ein Intro -Bildschirm scheint ein Logo und die Wörter ""Expertendorfgeschenke"" zu sehen.")</f>
        <v>Ein Intro -Bildschirm scheint ein Logo und die Wörter "Expertendorfgeschenke" zu sehen.</v>
      </c>
    </row>
    <row r="9318">
      <c r="A9318" s="4" t="s">
        <v>11727</v>
      </c>
      <c r="B9318" s="4" t="s">
        <v>11729</v>
      </c>
      <c r="C9318" s="5" t="str">
        <f>IFERROR(__xludf.DUMMYFUNCTION("GOOGLETRANSLATE(B9318,""en"",""de"")"),"Eine Frau sitzt und redet jetzt, während sie eine Klarinette hält.")</f>
        <v>Eine Frau sitzt und redet jetzt, während sie eine Klarinette hält.</v>
      </c>
    </row>
    <row r="9319">
      <c r="A9319" s="4" t="s">
        <v>11727</v>
      </c>
      <c r="B9319" s="4" t="s">
        <v>11730</v>
      </c>
      <c r="C9319" s="5" t="str">
        <f>IFERROR(__xludf.DUMMYFUNCTION("GOOGLETRANSLATE(B9319,""en"",""de"")"),"Die Frau legt dann die Klarinette in den Mund und spielt ein paar Sekunden.")</f>
        <v>Die Frau legt dann die Klarinette in den Mund und spielt ein paar Sekunden.</v>
      </c>
    </row>
    <row r="9320">
      <c r="A9320" s="4" t="s">
        <v>11727</v>
      </c>
      <c r="B9320" s="4" t="s">
        <v>11731</v>
      </c>
      <c r="C9320" s="5" t="str">
        <f>IFERROR(__xludf.DUMMYFUNCTION("GOOGLETRANSLATE(B9320,""en"",""de"")"),"Die Frau hört auf zu spielen und nutzt das Reden und nutzt viel Hand und nimmt dann das Spielen auf.")</f>
        <v>Die Frau hört auf zu spielen und nutzt das Reden und nutzt viel Hand und nimmt dann das Spielen auf.</v>
      </c>
    </row>
    <row r="9321">
      <c r="A9321" s="4" t="s">
        <v>11727</v>
      </c>
      <c r="B9321" s="4" t="s">
        <v>11732</v>
      </c>
      <c r="C9321" s="5" t="str">
        <f>IFERROR(__xludf.DUMMYFUNCTION("GOOGLETRANSLATE(B9321,""en"",""de"")"),"Die Frau hört erneut auf zu spielen und beginnt zu reden, während sie viel Hände benutzt und sie vor ihrem Gesicht und etc. hält.")</f>
        <v>Die Frau hört erneut auf zu spielen und beginnt zu reden, während sie viel Hände benutzt und sie vor ihrem Gesicht und etc. hält.</v>
      </c>
    </row>
    <row r="9322">
      <c r="A9322" s="4" t="s">
        <v>11727</v>
      </c>
      <c r="B9322" s="4" t="s">
        <v>11733</v>
      </c>
      <c r="C9322" s="5" t="str">
        <f>IFERROR(__xludf.DUMMYFUNCTION("GOOGLETRANSLATE(B9322,""en"",""de"")"),"Die Frau beginnt noch einmal zu spielen, bis das Outro eines weißen Bildschirms erscheint und ein Logo und Informationen für: Urheberrecht, Rechte und Website enthält.")</f>
        <v>Die Frau beginnt noch einmal zu spielen, bis das Outro eines weißen Bildschirms erscheint und ein Logo und Informationen für: Urheberrecht, Rechte und Website enthält.</v>
      </c>
    </row>
    <row r="9323">
      <c r="A9323" s="4" t="s">
        <v>11734</v>
      </c>
      <c r="B9323" s="4" t="s">
        <v>11735</v>
      </c>
      <c r="C9323" s="5" t="str">
        <f>IFERROR(__xludf.DUMMYFUNCTION("GOOGLETRANSLATE(B9323,""en"",""de"")"),"Eine Gruppe von sechs ist auf einem kleinen Boot und wartet darauf, dass die Pfeife blasen.")</f>
        <v>Eine Gruppe von sechs ist auf einem kleinen Boot und wartet darauf, dass die Pfeife blasen.</v>
      </c>
    </row>
    <row r="9324">
      <c r="A9324" s="4" t="s">
        <v>11734</v>
      </c>
      <c r="B9324" s="4" t="s">
        <v>11736</v>
      </c>
      <c r="C9324" s="5" t="str">
        <f>IFERROR(__xludf.DUMMYFUNCTION("GOOGLETRANSLATE(B9324,""en"",""de"")"),"Sobald es geblasen ist, paddeln sie so schnell wie möglich und arbeiten sehr gut zusammen.")</f>
        <v>Sobald es geblasen ist, paddeln sie so schnell wie möglich und arbeiten sehr gut zusammen.</v>
      </c>
    </row>
    <row r="9325">
      <c r="A9325" s="4" t="s">
        <v>11734</v>
      </c>
      <c r="B9325" s="4" t="s">
        <v>11737</v>
      </c>
      <c r="C9325" s="5" t="str">
        <f>IFERROR(__xludf.DUMMYFUNCTION("GOOGLETRANSLATE(B9325,""en"",""de"")"),"Sie haben fast eine Felderwand getroffen, können sich aber rechtzeitig drehen, um sie nicht und können auf der Route fortgesetzt werden.")</f>
        <v>Sie haben fast eine Felderwand getroffen, können sich aber rechtzeitig drehen, um sie nicht und können auf der Route fortgesetzt werden.</v>
      </c>
    </row>
    <row r="9326">
      <c r="A9326" s="4" t="s">
        <v>11734</v>
      </c>
      <c r="B9326" s="4" t="s">
        <v>11738</v>
      </c>
      <c r="C9326" s="5" t="str">
        <f>IFERROR(__xludf.DUMMYFUNCTION("GOOGLETRANSLATE(B9326,""en"",""de"")"),"Wellen, nehmen Sie auf und dann treffen sie eine andere Felswand, wo sie sich umdrehen, um zurück zu gehen.")</f>
        <v>Wellen, nehmen Sie auf und dann treffen sie eine andere Felswand, wo sie sich umdrehen, um zurück zu gehen.</v>
      </c>
    </row>
    <row r="9327">
      <c r="A9327" s="4" t="s">
        <v>11739</v>
      </c>
      <c r="B9327" s="4" t="s">
        <v>11740</v>
      </c>
      <c r="C9327" s="5" t="str">
        <f>IFERROR(__xludf.DUMMYFUNCTION("GOOGLETRANSLATE(B9327,""en"",""de"")"),"Ein Mann in Grey Long Sleeves spricht in einer Bühne der Ultimate Guinness World Records.")</f>
        <v>Ein Mann in Grey Long Sleeves spricht in einer Bühne der Ultimate Guinness World Records.</v>
      </c>
    </row>
    <row r="9328">
      <c r="A9328" s="4" t="s">
        <v>11739</v>
      </c>
      <c r="B9328" s="4" t="s">
        <v>11741</v>
      </c>
      <c r="C9328" s="5" t="str">
        <f>IFERROR(__xludf.DUMMYFUNCTION("GOOGLETRANSLATE(B9328,""en"",""de"")"),"Ein junger Tischtennisspieler steht mit Zuschauern hinter sich vor dem Tisch.")</f>
        <v>Ein junger Tischtennisspieler steht mit Zuschauern hinter sich vor dem Tisch.</v>
      </c>
    </row>
    <row r="9329">
      <c r="A9329" s="4" t="s">
        <v>11739</v>
      </c>
      <c r="B9329" s="4" t="s">
        <v>11742</v>
      </c>
      <c r="C9329" s="5" t="str">
        <f>IFERROR(__xludf.DUMMYFUNCTION("GOOGLETRANSLATE(B9329,""en"",""de"")"),"Zwei Spieler spielen Tischtennis und spielen für eine Minute weiter und Rekord von 173 Treffern.")</f>
        <v>Zwei Spieler spielen Tischtennis und spielen für eine Minute weiter und Rekord von 173 Treffern.</v>
      </c>
    </row>
    <row r="9330">
      <c r="A9330" s="4" t="s">
        <v>11739</v>
      </c>
      <c r="B9330" s="4" t="s">
        <v>11743</v>
      </c>
      <c r="C9330" s="5" t="str">
        <f>IFERROR(__xludf.DUMMYFUNCTION("GOOGLETRANSLATE(B9330,""en"",""de"")"),"Das Stück wird überprüft und der junge Spieler wurde als AI Fukuhara mit einem Rekord der meisten Tischtennis -Zählerhits vorgestellt.")</f>
        <v>Das Stück wird überprüft und der junge Spieler wurde als AI Fukuhara mit einem Rekord der meisten Tischtennis -Zählerhits vorgestellt.</v>
      </c>
    </row>
    <row r="9331">
      <c r="A9331" s="4" t="s">
        <v>11739</v>
      </c>
      <c r="B9331" s="4" t="s">
        <v>11744</v>
      </c>
      <c r="C9331" s="5" t="str">
        <f>IFERROR(__xludf.DUMMYFUNCTION("GOOGLETRANSLATE(B9331,""en"",""de"")"),"Der Mann in der Bühne spricht wieder, während er durch die Bühne geht.")</f>
        <v>Der Mann in der Bühne spricht wieder, während er durch die Bühne geht.</v>
      </c>
    </row>
    <row r="9332">
      <c r="A9332" s="4" t="s">
        <v>11745</v>
      </c>
      <c r="B9332" s="4" t="s">
        <v>11746</v>
      </c>
      <c r="C9332" s="5" t="str">
        <f>IFERROR(__xludf.DUMMYFUNCTION("GOOGLETRANSLATE(B9332,""en"",""de"")"),"Eine Frau hält sich an einem Wind -Surfbrett im Wasser fest.")</f>
        <v>Eine Frau hält sich an einem Wind -Surfbrett im Wasser fest.</v>
      </c>
    </row>
    <row r="9333">
      <c r="A9333" s="4" t="s">
        <v>11745</v>
      </c>
      <c r="B9333" s="4" t="s">
        <v>11747</v>
      </c>
      <c r="C9333" s="5" t="str">
        <f>IFERROR(__xludf.DUMMYFUNCTION("GOOGLETRANSLATE(B9333,""en"",""de"")"),"Sie tritt auf das Brett und beginnt Wind zu surfen.")</f>
        <v>Sie tritt auf das Brett und beginnt Wind zu surfen.</v>
      </c>
    </row>
    <row r="9334">
      <c r="A9334" s="4" t="s">
        <v>11745</v>
      </c>
      <c r="B9334" s="4" t="s">
        <v>11748</v>
      </c>
      <c r="C9334" s="5" t="str">
        <f>IFERROR(__xludf.DUMMYFUNCTION("GOOGLETRANSLATE(B9334,""en"",""de"")"),"Sie hält den Drachen der Windbranche fest.")</f>
        <v>Sie hält den Drachen der Windbranche fest.</v>
      </c>
    </row>
    <row r="9335">
      <c r="A9335" s="4" t="s">
        <v>11749</v>
      </c>
      <c r="B9335" s="4" t="s">
        <v>11750</v>
      </c>
      <c r="C9335" s="5" t="str">
        <f>IFERROR(__xludf.DUMMYFUNCTION("GOOGLETRANSLATE(B9335,""en"",""de"")"),"Eine große Gruppe von Menschen wird gezeigt, dass sie zusammen mit einer Frau, die vordert, eine Tanzroutine durchführt.")</f>
        <v>Eine große Gruppe von Menschen wird gezeigt, dass sie zusammen mit einer Frau, die vordert, eine Tanzroutine durchführt.</v>
      </c>
    </row>
    <row r="9336">
      <c r="A9336" s="4" t="s">
        <v>11749</v>
      </c>
      <c r="B9336" s="4" t="s">
        <v>11751</v>
      </c>
      <c r="C9336" s="5" t="str">
        <f>IFERROR(__xludf.DUMMYFUNCTION("GOOGLETRANSLATE(B9336,""en"",""de"")"),"Die Menschen bewegen ihre Arme und Beine weiter zusammen, um ihren Körper zu bewegen und Bewegung zu erhalten.")</f>
        <v>Die Menschen bewegen ihre Arme und Beine weiter zusammen, um ihren Körper zu bewegen und Bewegung zu erhalten.</v>
      </c>
    </row>
    <row r="9337">
      <c r="A9337" s="4" t="s">
        <v>11752</v>
      </c>
      <c r="B9337" s="4" t="s">
        <v>11753</v>
      </c>
      <c r="C9337" s="5" t="str">
        <f>IFERROR(__xludf.DUMMYFUNCTION("GOOGLETRANSLATE(B9337,""en"",""de"")"),"Ein Mann spricht mit dem Publikum, während er vor einer Aufführung auf der Bühne sitzt.")</f>
        <v>Ein Mann spricht mit dem Publikum, während er vor einer Aufführung auf der Bühne sitzt.</v>
      </c>
    </row>
    <row r="9338">
      <c r="A9338" s="4" t="s">
        <v>11752</v>
      </c>
      <c r="B9338" s="4" t="s">
        <v>11754</v>
      </c>
      <c r="C9338" s="5" t="str">
        <f>IFERROR(__xludf.DUMMYFUNCTION("GOOGLETRANSLATE(B9338,""en"",""de"")"),"Ein Mann spielt die Schlüssel eines Akkordeons, während er die Luftbox öffnet und schließt.")</f>
        <v>Ein Mann spielt die Schlüssel eines Akkordeons, während er die Luftbox öffnet und schließt.</v>
      </c>
    </row>
    <row r="9339">
      <c r="A9339" s="4" t="s">
        <v>11752</v>
      </c>
      <c r="B9339" s="4" t="s">
        <v>11755</v>
      </c>
      <c r="C9339" s="5" t="str">
        <f>IFERROR(__xludf.DUMMYFUNCTION("GOOGLETRANSLATE(B9339,""en"",""de"")"),"Der Mann singt ein paar Verse laut vor Aufregung.")</f>
        <v>Der Mann singt ein paar Verse laut vor Aufregung.</v>
      </c>
    </row>
    <row r="9340">
      <c r="A9340" s="4" t="s">
        <v>11752</v>
      </c>
      <c r="B9340" s="4" t="s">
        <v>11756</v>
      </c>
      <c r="C9340" s="5" t="str">
        <f>IFERROR(__xludf.DUMMYFUNCTION("GOOGLETRANSLATE(B9340,""en"",""de"")"),"Der Mann beendet das Lied und sammelt seine Notizen aus dem Podium.")</f>
        <v>Der Mann beendet das Lied und sammelt seine Notizen aus dem Podium.</v>
      </c>
    </row>
    <row r="9341">
      <c r="A9341" s="4" t="s">
        <v>11757</v>
      </c>
      <c r="B9341" s="4" t="s">
        <v>11758</v>
      </c>
      <c r="C9341" s="5" t="str">
        <f>IFERROR(__xludf.DUMMYFUNCTION("GOOGLETRANSLATE(B9341,""en"",""de"")"),"Es gibt ein Team von Spielern, die auf einem Feld im Freien geschleudert werden.")</f>
        <v>Es gibt ein Team von Spielern, die auf einem Feld im Freien geschleudert werden.</v>
      </c>
    </row>
    <row r="9342">
      <c r="A9342" s="4" t="s">
        <v>11757</v>
      </c>
      <c r="B9342" s="4" t="s">
        <v>11759</v>
      </c>
      <c r="C9342" s="5" t="str">
        <f>IFERROR(__xludf.DUMMYFUNCTION("GOOGLETRANSLATE(B9342,""en"",""de"")"),"Eine Person namens Donal Cusack erklärt, was Hurling ist und was besteht.")</f>
        <v>Eine Person namens Donal Cusack erklärt, was Hurling ist und was besteht.</v>
      </c>
    </row>
    <row r="9343">
      <c r="A9343" s="4" t="s">
        <v>11757</v>
      </c>
      <c r="B9343" s="4" t="s">
        <v>11760</v>
      </c>
      <c r="C9343" s="5" t="str">
        <f>IFERROR(__xludf.DUMMYFUNCTION("GOOGLETRANSLATE(B9343,""en"",""de"")"),"Die Teamspieler spielen ein Spiel mit ihren Fledermäusen, als sie versuchen, den Ball in das Tor zu schlagen.")</f>
        <v>Die Teamspieler spielen ein Spiel mit ihren Fledermäusen, als sie versuchen, den Ball in das Tor zu schlagen.</v>
      </c>
    </row>
    <row r="9344">
      <c r="A9344" s="4" t="s">
        <v>11761</v>
      </c>
      <c r="B9344" s="4" t="s">
        <v>11762</v>
      </c>
      <c r="C9344" s="5" t="str">
        <f>IFERROR(__xludf.DUMMYFUNCTION("GOOGLETRANSLATE(B9344,""en"",""de"")"),"Eine Dame in schwarzer Jacke posiert für die Kamera, dann wird ein Mann mit mittlerem Haar gezeigt, der Mann hat ihr Haar berührt, um sie zu überprüfen, dann trocknete das Mädchen ihre Haare.")</f>
        <v>Eine Dame in schwarzer Jacke posiert für die Kamera, dann wird ein Mann mit mittlerem Haar gezeigt, der Mann hat ihr Haar berührt, um sie zu überprüfen, dann trocknete das Mädchen ihre Haare.</v>
      </c>
    </row>
    <row r="9345">
      <c r="A9345" s="4" t="s">
        <v>11761</v>
      </c>
      <c r="B9345" s="4" t="s">
        <v>11763</v>
      </c>
      <c r="C9345" s="5" t="str">
        <f>IFERROR(__xludf.DUMMYFUNCTION("GOOGLETRANSLATE(B9345,""en"",""de"")"),"Die Dame saß mit ihren nassen Haaren in der Mitte des Studios, sie legte eine weiße Creme auf ihre Hand und reiste sie an ihren Haaren.")</f>
        <v>Die Dame saß mit ihren nassen Haaren in der Mitte des Studios, sie legte eine weiße Creme auf ihre Hand und reiste sie an ihren Haaren.</v>
      </c>
    </row>
    <row r="9346">
      <c r="A9346" s="4" t="s">
        <v>11761</v>
      </c>
      <c r="B9346" s="4" t="s">
        <v>11764</v>
      </c>
      <c r="C9346" s="5" t="str">
        <f>IFERROR(__xludf.DUMMYFUNCTION("GOOGLETRANSLATE(B9346,""en"",""de"")"),"Das Mädchen trocknete ihre Haare mit weißem Gebläse aus, schneidete ihr Haar und streichelte ihr Haar mit einer Rollenpinsel, während sie gleichzeitig trocknete. Sie rollte die Bürste nach unten und nach oben.")</f>
        <v>Das Mädchen trocknete ihre Haare mit weißem Gebläse aus, schneidete ihr Haar und streichelte ihr Haar mit einer Rollenpinsel, während sie gleichzeitig trocknete. Sie rollte die Bürste nach unten und nach oben.</v>
      </c>
    </row>
    <row r="9347">
      <c r="A9347" s="4" t="s">
        <v>11761</v>
      </c>
      <c r="B9347" s="4" t="s">
        <v>11765</v>
      </c>
      <c r="C9347" s="5" t="str">
        <f>IFERROR(__xludf.DUMMYFUNCTION("GOOGLETRANSLATE(B9347,""en"",""de"")"),"Sie stygelte ihre Haare, indem sie sie bürstete und kämmte, um mehr Volumen zu verleihen.")</f>
        <v>Sie stygelte ihre Haare, indem sie sie bürstete und kämmte, um mehr Volumen zu verleihen.</v>
      </c>
    </row>
    <row r="9348">
      <c r="A9348" s="4" t="s">
        <v>11766</v>
      </c>
      <c r="B9348" s="4" t="s">
        <v>11767</v>
      </c>
      <c r="C9348" s="5" t="str">
        <f>IFERROR(__xludf.DUMMYFUNCTION("GOOGLETRANSLATE(B9348,""en"",""de"")"),"Mehrere Menschen sitzen in Röhren oben auf einem Hügel.")</f>
        <v>Mehrere Menschen sitzen in Röhren oben auf einem Hügel.</v>
      </c>
    </row>
    <row r="9349">
      <c r="A9349" s="4" t="s">
        <v>11766</v>
      </c>
      <c r="B9349" s="4" t="s">
        <v>11768</v>
      </c>
      <c r="C9349" s="5" t="str">
        <f>IFERROR(__xludf.DUMMYFUNCTION("GOOGLETRANSLATE(B9349,""en"",""de"")"),"Die Männer sprechen miteinander, während man einsteigt.")</f>
        <v>Die Männer sprechen miteinander, während man einsteigt.</v>
      </c>
    </row>
    <row r="9350">
      <c r="A9350" s="4" t="s">
        <v>11766</v>
      </c>
      <c r="B9350" s="4" t="s">
        <v>11769</v>
      </c>
      <c r="C9350" s="5" t="str">
        <f>IFERROR(__xludf.DUMMYFUNCTION("GOOGLETRANSLATE(B9350,""en"",""de"")"),"Die Männer reiten alle endlich zusammen den Hügel hinunter, während sie am Ende raus und lachen miteinander.")</f>
        <v>Die Männer reiten alle endlich zusammen den Hügel hinunter, während sie am Ende raus und lachen miteinander.</v>
      </c>
    </row>
    <row r="9351">
      <c r="A9351" s="4" t="s">
        <v>11770</v>
      </c>
      <c r="B9351" s="4" t="s">
        <v>11771</v>
      </c>
      <c r="C9351" s="5" t="str">
        <f>IFERROR(__xludf.DUMMYFUNCTION("GOOGLETRANSLATE(B9351,""en"",""de"")"),"Ein männliches Kleinkind sitzt auf dem Boden in der Nähe eines weiblichen Kleinkindes und spielt Miniaturboden -Foosball.")</f>
        <v>Ein männliches Kleinkind sitzt auf dem Boden in der Nähe eines weiblichen Kleinkindes und spielt Miniaturboden -Foosball.</v>
      </c>
    </row>
    <row r="9352">
      <c r="A9352" s="4" t="s">
        <v>11770</v>
      </c>
      <c r="B9352" s="4" t="s">
        <v>11772</v>
      </c>
      <c r="C9352" s="5" t="str">
        <f>IFERROR(__xludf.DUMMYFUNCTION("GOOGLETRANSLATE(B9352,""en"",""de"")"),"Der junge Mann nimmt seine Hand und greift nach innen, um den Fußball zu greifen.")</f>
        <v>Der junge Mann nimmt seine Hand und greift nach innen, um den Fußball zu greifen.</v>
      </c>
    </row>
    <row r="9353">
      <c r="A9353" s="4" t="s">
        <v>11770</v>
      </c>
      <c r="B9353" s="4" t="s">
        <v>11773</v>
      </c>
      <c r="C9353" s="5" t="str">
        <f>IFERROR(__xludf.DUMMYFUNCTION("GOOGLETRANSLATE(B9353,""en"",""de"")"),"Während sie weiter spielen, erscheinen eine Reihe von Füßen und halten das Ende des Bretts fest.")</f>
        <v>Während sie weiter spielen, erscheinen eine Reihe von Füßen und halten das Ende des Bretts fest.</v>
      </c>
    </row>
    <row r="9354">
      <c r="A9354" s="4" t="s">
        <v>11770</v>
      </c>
      <c r="B9354" s="4" t="s">
        <v>11774</v>
      </c>
      <c r="C9354" s="5" t="str">
        <f>IFERROR(__xludf.DUMMYFUNCTION("GOOGLETRANSLATE(B9354,""en"",""de"")"),"Sobald sie entfernt sind, spielen die beiden Kinder weiterhin das Spiel und bewegen die Griffe an den Bars.")</f>
        <v>Sobald sie entfernt sind, spielen die beiden Kinder weiterhin das Spiel und bewegen die Griffe an den Bars.</v>
      </c>
    </row>
    <row r="9355">
      <c r="A9355" s="4" t="s">
        <v>11770</v>
      </c>
      <c r="B9355" s="4" t="s">
        <v>11775</v>
      </c>
      <c r="C9355" s="5" t="str">
        <f>IFERROR(__xludf.DUMMYFUNCTION("GOOGLETRANSLATE(B9355,""en"",""de"")"),"Die Kamera zoomt dann den Jungen und dann das Mädchen, das ihre Gefühle ausdrückt.")</f>
        <v>Die Kamera zoomt dann den Jungen und dann das Mädchen, das ihre Gefühle ausdrückt.</v>
      </c>
    </row>
    <row r="9356">
      <c r="A9356" s="4" t="s">
        <v>11770</v>
      </c>
      <c r="B9356" s="4" t="s">
        <v>11776</v>
      </c>
      <c r="C9356" s="5" t="str">
        <f>IFERROR(__xludf.DUMMYFUNCTION("GOOGLETRANSLATE(B9356,""en"",""de"")"),"Jeder von ihnen spielt weiter und passt ihre Körperposition an, wenn sie sich stärker konzentrieren.")</f>
        <v>Jeder von ihnen spielt weiter und passt ihre Körperposition an, wenn sie sich stärker konzentrieren.</v>
      </c>
    </row>
    <row r="9357">
      <c r="A9357" s="4" t="s">
        <v>11770</v>
      </c>
      <c r="B9357" s="4" t="s">
        <v>11777</v>
      </c>
      <c r="C9357" s="5" t="str">
        <f>IFERROR(__xludf.DUMMYFUNCTION("GOOGLETRANSLATE(B9357,""en"",""de"")"),"Endlich wird ein Ziel erzielt und das Mädchen geht in das Tor und nimmt den Ball heraus.")</f>
        <v>Endlich wird ein Ziel erzielt und das Mädchen geht in das Tor und nimmt den Ball heraus.</v>
      </c>
    </row>
    <row r="9358">
      <c r="A9358" s="4" t="s">
        <v>11778</v>
      </c>
      <c r="B9358" s="4" t="s">
        <v>11779</v>
      </c>
      <c r="C9358" s="5" t="str">
        <f>IFERROR(__xludf.DUMMYFUNCTION("GOOGLETRANSLATE(B9358,""en"",""de"")"),"Eine Gruppe von Surfern befindet sich in ihren Boards Surfenwellen.")</f>
        <v>Eine Gruppe von Surfern befindet sich in ihren Boards Surfenwellen.</v>
      </c>
    </row>
    <row r="9359">
      <c r="A9359" s="4" t="s">
        <v>11778</v>
      </c>
      <c r="B9359" s="4" t="s">
        <v>11780</v>
      </c>
      <c r="C9359" s="5" t="str">
        <f>IFERROR(__xludf.DUMMYFUNCTION("GOOGLETRANSLATE(B9359,""en"",""de"")"),"Einer der Surfer wird von einer der Wellen verschluckt.")</f>
        <v>Einer der Surfer wird von einer der Wellen verschluckt.</v>
      </c>
    </row>
    <row r="9360">
      <c r="A9360" s="4" t="s">
        <v>11778</v>
      </c>
      <c r="B9360" s="4" t="s">
        <v>11781</v>
      </c>
      <c r="C9360" s="5" t="str">
        <f>IFERROR(__xludf.DUMMYFUNCTION("GOOGLETRANSLATE(B9360,""en"",""de"")"),"Zwei Surfer surfen nahe beieinander und werden von einer Welle niedergeschlagen.")</f>
        <v>Zwei Surfer surfen nahe beieinander und werden von einer Welle niedergeschlagen.</v>
      </c>
    </row>
    <row r="9361">
      <c r="A9361" s="4" t="s">
        <v>11778</v>
      </c>
      <c r="B9361" s="4" t="s">
        <v>11782</v>
      </c>
      <c r="C9361" s="5" t="str">
        <f>IFERROR(__xludf.DUMMYFUNCTION("GOOGLETRANSLATE(B9361,""en"",""de"")"),"Ein Surfer schwimmt beiläufig, wenn eine Welle direkt in ihn stürzt.")</f>
        <v>Ein Surfer schwimmt beiläufig, wenn eine Welle direkt in ihn stürzt.</v>
      </c>
    </row>
    <row r="9362">
      <c r="A9362" s="4" t="s">
        <v>11778</v>
      </c>
      <c r="B9362" s="4" t="s">
        <v>11783</v>
      </c>
      <c r="C9362" s="5" t="str">
        <f>IFERROR(__xludf.DUMMYFUNCTION("GOOGLETRANSLATE(B9362,""en"",""de"")"),"Ein Surfer versucht zu surfen, wird aber schnell von einer Welle von seinem Vorstand geworfen.")</f>
        <v>Ein Surfer versucht zu surfen, wird aber schnell von einer Welle von seinem Vorstand geworfen.</v>
      </c>
    </row>
    <row r="9363">
      <c r="A9363" s="4" t="s">
        <v>11784</v>
      </c>
      <c r="B9363" s="4" t="s">
        <v>11785</v>
      </c>
      <c r="C9363" s="5" t="str">
        <f>IFERROR(__xludf.DUMMYFUNCTION("GOOGLETRANSLATE(B9363,""en"",""de"")"),"Ein kleines Mädchen spielt mit einem Spielzeughaartrockner.")</f>
        <v>Ein kleines Mädchen spielt mit einem Spielzeughaartrockner.</v>
      </c>
    </row>
    <row r="9364">
      <c r="A9364" s="4" t="s">
        <v>11784</v>
      </c>
      <c r="B9364" s="4" t="s">
        <v>7820</v>
      </c>
      <c r="C9364" s="5" t="str">
        <f>IFERROR(__xludf.DUMMYFUNCTION("GOOGLETRANSLATE(B9364,""en"",""de"")"),"Sie dreht sich um und lächelt.")</f>
        <v>Sie dreht sich um und lächelt.</v>
      </c>
    </row>
    <row r="9365">
      <c r="A9365" s="4" t="s">
        <v>11784</v>
      </c>
      <c r="B9365" s="4" t="s">
        <v>11786</v>
      </c>
      <c r="C9365" s="5" t="str">
        <f>IFERROR(__xludf.DUMMYFUNCTION("GOOGLETRANSLATE(B9365,""en"",""de"")"),"Sie spielt weiter mit dem Spielzeughaartrockner und redet.")</f>
        <v>Sie spielt weiter mit dem Spielzeughaartrockner und redet.</v>
      </c>
    </row>
    <row r="9366">
      <c r="A9366" s="4" t="s">
        <v>11784</v>
      </c>
      <c r="B9366" s="4" t="s">
        <v>11787</v>
      </c>
      <c r="C9366" s="5" t="str">
        <f>IFERROR(__xludf.DUMMYFUNCTION("GOOGLETRANSLATE(B9366,""en"",""de"")"),"Sie nimmt einen Spielzeugblockler auf und stellt ihn vor ihr auf den Schreibtisch.")</f>
        <v>Sie nimmt einen Spielzeugblockler auf und stellt ihn vor ihr auf den Schreibtisch.</v>
      </c>
    </row>
    <row r="9367">
      <c r="A9367" s="4" t="s">
        <v>11788</v>
      </c>
      <c r="B9367" s="4" t="s">
        <v>11789</v>
      </c>
      <c r="C9367" s="5" t="str">
        <f>IFERROR(__xludf.DUMMYFUNCTION("GOOGLETRANSLATE(B9367,""en"",""de"")"),"Zwei Personen Ski fahren und halten ein Seil.")</f>
        <v>Zwei Personen Ski fahren und halten ein Seil.</v>
      </c>
    </row>
    <row r="9368">
      <c r="A9368" s="4" t="s">
        <v>11788</v>
      </c>
      <c r="B9368" s="4" t="s">
        <v>11790</v>
      </c>
      <c r="C9368" s="5" t="str">
        <f>IFERROR(__xludf.DUMMYFUNCTION("GOOGLETRANSLATE(B9368,""en"",""de"")"),"Wellen werden in ihrem Wappen geöffnet.")</f>
        <v>Wellen werden in ihrem Wappen geöffnet.</v>
      </c>
    </row>
    <row r="9369">
      <c r="A9369" s="4" t="s">
        <v>11788</v>
      </c>
      <c r="B9369" s="4" t="s">
        <v>11791</v>
      </c>
      <c r="C9369" s="5" t="str">
        <f>IFERROR(__xludf.DUMMYFUNCTION("GOOGLETRANSLATE(B9369,""en"",""de"")"),"Sie bewegen sich unter eine kleine Brücke.")</f>
        <v>Sie bewegen sich unter eine kleine Brücke.</v>
      </c>
    </row>
    <row r="9370">
      <c r="A9370" s="4" t="s">
        <v>11788</v>
      </c>
      <c r="B9370" s="4" t="s">
        <v>11792</v>
      </c>
      <c r="C9370" s="5" t="str">
        <f>IFERROR(__xludf.DUMMYFUNCTION("GOOGLETRANSLATE(B9370,""en"",""de"")"),"Der Junge in grünem Biegungen biegt sich.")</f>
        <v>Der Junge in grünem Biegungen biegt sich.</v>
      </c>
    </row>
    <row r="9371">
      <c r="A9371" s="4" t="s">
        <v>11788</v>
      </c>
      <c r="B9371" s="4" t="s">
        <v>11793</v>
      </c>
      <c r="C9371" s="5" t="str">
        <f>IFERROR(__xludf.DUMMYFUNCTION("GOOGLETRANSLATE(B9371,""en"",""de"")"),"Der Junge in Green zoomt zur Seite.")</f>
        <v>Der Junge in Green zoomt zur Seite.</v>
      </c>
    </row>
    <row r="9372">
      <c r="A9372" s="4" t="s">
        <v>11788</v>
      </c>
      <c r="B9372" s="4" t="s">
        <v>11794</v>
      </c>
      <c r="C9372" s="5" t="str">
        <f>IFERROR(__xludf.DUMMYFUNCTION("GOOGLETRANSLATE(B9372,""en"",""de"")"),"Der Junge bewegt sich zur Seite des Bootes und dreht sich dann über den zweiten Skifahrer.")</f>
        <v>Der Junge bewegt sich zur Seite des Bootes und dreht sich dann über den zweiten Skifahrer.</v>
      </c>
    </row>
    <row r="9373">
      <c r="A9373" s="4" t="s">
        <v>11788</v>
      </c>
      <c r="B9373" s="4" t="s">
        <v>11795</v>
      </c>
      <c r="C9373" s="5" t="str">
        <f>IFERROR(__xludf.DUMMYFUNCTION("GOOGLETRANSLATE(B9373,""en"",""de"")"),"Der Junge lehnt sich zurück auf sein Brett und dreht sich über den anderen Skifahrer zurück.")</f>
        <v>Der Junge lehnt sich zurück auf sein Brett und dreht sich über den anderen Skifahrer zurück.</v>
      </c>
    </row>
    <row r="9374">
      <c r="A9374" s="4" t="s">
        <v>11788</v>
      </c>
      <c r="B9374" s="4" t="s">
        <v>11796</v>
      </c>
      <c r="C9374" s="5" t="str">
        <f>IFERROR(__xludf.DUMMYFUNCTION("GOOGLETRANSLATE(B9374,""en"",""de"")"),"Der Junge in grüner schwingt wieder heraus und dreht sich über den Skifahrer und gibt ihm eine hohe fünf.")</f>
        <v>Der Junge in grüner schwingt wieder heraus und dreht sich über den Skifahrer und gibt ihm eine hohe fünf.</v>
      </c>
    </row>
    <row r="9375">
      <c r="A9375" s="4" t="s">
        <v>11788</v>
      </c>
      <c r="B9375" s="4" t="s">
        <v>11797</v>
      </c>
      <c r="C9375" s="5" t="str">
        <f>IFERROR(__xludf.DUMMYFUNCTION("GOOGLETRANSLATE(B9375,""en"",""de"")"),"Die beiden Skifahrer führen während des Fahrens ein Gespräch.")</f>
        <v>Die beiden Skifahrer führen während des Fahrens ein Gespräch.</v>
      </c>
    </row>
    <row r="9376">
      <c r="A9376" s="4" t="s">
        <v>11788</v>
      </c>
      <c r="B9376" s="4" t="s">
        <v>11798</v>
      </c>
      <c r="C9376" s="5" t="str">
        <f>IFERROR(__xludf.DUMMYFUNCTION("GOOGLETRANSLATE(B9376,""en"",""de"")"),"Beide Skifahrer schwingen aus und schwingen auf die andere Seite des Bootes.")</f>
        <v>Beide Skifahrer schwingen aus und schwingen auf die andere Seite des Bootes.</v>
      </c>
    </row>
    <row r="9377">
      <c r="A9377" s="4" t="s">
        <v>11788</v>
      </c>
      <c r="B9377" s="4" t="s">
        <v>11799</v>
      </c>
      <c r="C9377" s="5" t="str">
        <f>IFERROR(__xludf.DUMMYFUNCTION("GOOGLETRANSLATE(B9377,""en"",""de"")"),"Die Jungs winken weiter und reden.")</f>
        <v>Die Jungs winken weiter und reden.</v>
      </c>
    </row>
    <row r="9378">
      <c r="A9378" s="4" t="s">
        <v>11800</v>
      </c>
      <c r="B9378" s="4" t="s">
        <v>11801</v>
      </c>
      <c r="C9378" s="5" t="str">
        <f>IFERROR(__xludf.DUMMYFUNCTION("GOOGLETRANSLATE(B9378,""en"",""de"")"),"Eine Frau tanzt mit einem Hulahoop.")</f>
        <v>Eine Frau tanzt mit einem Hulahoop.</v>
      </c>
    </row>
    <row r="9379">
      <c r="A9379" s="4" t="s">
        <v>11800</v>
      </c>
      <c r="B9379" s="4" t="s">
        <v>11802</v>
      </c>
      <c r="C9379" s="5" t="str">
        <f>IFERROR(__xludf.DUMMYFUNCTION("GOOGLETRANSLATE(B9379,""en"",""de"")"),"Sie wirft es auf, fängt es auf und tanzt durch den Raum.")</f>
        <v>Sie wirft es auf, fängt es auf und tanzt durch den Raum.</v>
      </c>
    </row>
    <row r="9380">
      <c r="A9380" s="4" t="s">
        <v>11803</v>
      </c>
      <c r="B9380" s="4" t="s">
        <v>11804</v>
      </c>
      <c r="C9380" s="5" t="str">
        <f>IFERROR(__xludf.DUMMYFUNCTION("GOOGLETRANSLATE(B9380,""en"",""de"")"),"Ein junger Mann legt Zement an die Decke und sogar mit einem flachen Werkzeug.")</f>
        <v>Ein junger Mann legt Zement an die Decke und sogar mit einem flachen Werkzeug.</v>
      </c>
    </row>
    <row r="9381">
      <c r="A9381" s="4" t="s">
        <v>11803</v>
      </c>
      <c r="B9381" s="4" t="s">
        <v>11805</v>
      </c>
      <c r="C9381" s="5" t="str">
        <f>IFERROR(__xludf.DUMMYFUNCTION("GOOGLETRANSLATE(B9381,""en"",""de"")"),"Der Mann trägt Stelzen an seinen Füßen.")</f>
        <v>Der Mann trägt Stelzen an seinen Füßen.</v>
      </c>
    </row>
    <row r="9382">
      <c r="A9382" s="4" t="s">
        <v>11803</v>
      </c>
      <c r="B9382" s="4" t="s">
        <v>11806</v>
      </c>
      <c r="C9382" s="5" t="str">
        <f>IFERROR(__xludf.DUMMYFUNCTION("GOOGLETRANSLATE(B9382,""en"",""de"")"),"Der Mann legt Zement auf die leeren Räume und Striche mit dem Werkzeug an die Decke.")</f>
        <v>Der Mann legt Zement auf die leeren Räume und Striche mit dem Werkzeug an die Decke.</v>
      </c>
    </row>
    <row r="9383">
      <c r="A9383" s="4" t="s">
        <v>11807</v>
      </c>
      <c r="B9383" s="4" t="s">
        <v>11808</v>
      </c>
      <c r="C9383" s="5" t="str">
        <f>IFERROR(__xludf.DUMMYFUNCTION("GOOGLETRANSLATE(B9383,""en"",""de"")"),"Dirt Bikes Rennen über eine holprige Strecke.")</f>
        <v>Dirt Bikes Rennen über eine holprige Strecke.</v>
      </c>
    </row>
    <row r="9384">
      <c r="A9384" s="4" t="s">
        <v>11807</v>
      </c>
      <c r="B9384" s="4" t="s">
        <v>11809</v>
      </c>
      <c r="C9384" s="5" t="str">
        <f>IFERROR(__xludf.DUMMYFUNCTION("GOOGLETRANSLATE(B9384,""en"",""de"")"),"Ein Fahrer fällt von seinem Fahrrad und ein nachfolgendes Fahrrad schlägt ihn und schlägt ihn zurück auf den Boden.")</f>
        <v>Ein Fahrer fällt von seinem Fahrrad und ein nachfolgendes Fahrrad schlägt ihn und schlägt ihn zurück auf den Boden.</v>
      </c>
    </row>
    <row r="9385">
      <c r="A9385" s="4" t="s">
        <v>11807</v>
      </c>
      <c r="B9385" s="4" t="s">
        <v>11810</v>
      </c>
      <c r="C9385" s="5" t="str">
        <f>IFERROR(__xludf.DUMMYFUNCTION("GOOGLETRANSLATE(B9385,""en"",""de"")"),"Die Wörter ""2014 Fim Motocross World Championship MXGP"" erscheinen auf dem Bildschirm, gefolgt von sozialen Links.")</f>
        <v>Die Wörter "2014 Fim Motocross World Championship MXGP" erscheinen auf dem Bildschirm, gefolgt von sozialen Links.</v>
      </c>
    </row>
    <row r="9386">
      <c r="A9386" s="4" t="s">
        <v>11811</v>
      </c>
      <c r="B9386" s="4" t="s">
        <v>11812</v>
      </c>
      <c r="C9386" s="5" t="str">
        <f>IFERROR(__xludf.DUMMYFUNCTION("GOOGLETRANSLATE(B9386,""en"",""de"")"),"Es wird ein Blick auf eine sehr große Tauchplattform mit unterschiedlichen Höhen gezeigt, und Menschen im Pool gehen.")</f>
        <v>Es wird ein Blick auf eine sehr große Tauchplattform mit unterschiedlichen Höhen gezeigt, und Menschen im Pool gehen.</v>
      </c>
    </row>
    <row r="9387">
      <c r="A9387" s="4" t="s">
        <v>11811</v>
      </c>
      <c r="B9387" s="4" t="s">
        <v>11813</v>
      </c>
      <c r="C9387" s="5" t="str">
        <f>IFERROR(__xludf.DUMMYFUNCTION("GOOGLETRANSLATE(B9387,""en"",""de"")"),"Eine Person auf einer der Plattformen tauchen in den Pool ein.")</f>
        <v>Eine Person auf einer der Plattformen tauchen in den Pool ein.</v>
      </c>
    </row>
    <row r="9388">
      <c r="A9388" s="4" t="s">
        <v>11811</v>
      </c>
      <c r="B9388" s="4" t="s">
        <v>11814</v>
      </c>
      <c r="C9388" s="5" t="str">
        <f>IFERROR(__xludf.DUMMYFUNCTION("GOOGLETRANSLATE(B9388,""en"",""de"")"),"Der Taucher, der auf den Pool schlägt, verursacht einen kleinen Spritzer.")</f>
        <v>Der Taucher, der auf den Pool schlägt, verursacht einen kleinen Spritzer.</v>
      </c>
    </row>
    <row r="9389">
      <c r="A9389" s="4" t="s">
        <v>11811</v>
      </c>
      <c r="B9389" s="4" t="s">
        <v>11815</v>
      </c>
      <c r="C9389" s="5" t="str">
        <f>IFERROR(__xludf.DUMMYFUNCTION("GOOGLETRANSLATE(B9389,""en"",""de"")"),"Video friert dann ein und es gibt keine Bewegungen.")</f>
        <v>Video friert dann ein und es gibt keine Bewegungen.</v>
      </c>
    </row>
    <row r="9390">
      <c r="A9390" s="4" t="s">
        <v>11816</v>
      </c>
      <c r="B9390" s="4" t="s">
        <v>11817</v>
      </c>
      <c r="C9390" s="5" t="str">
        <f>IFERROR(__xludf.DUMMYFUNCTION("GOOGLETRANSLATE(B9390,""en"",""de"")"),"Ein Auto fährt mit Passagieren eine Straße hinunter.")</f>
        <v>Ein Auto fährt mit Passagieren eine Straße hinunter.</v>
      </c>
    </row>
    <row r="9391">
      <c r="A9391" s="4" t="s">
        <v>11816</v>
      </c>
      <c r="B9391" s="4" t="s">
        <v>11818</v>
      </c>
      <c r="C9391" s="5" t="str">
        <f>IFERROR(__xludf.DUMMYFUNCTION("GOOGLETRANSLATE(B9391,""en"",""de"")"),"Die Männer versammeln sich auf einer Brücke und schmücken Geräte.")</f>
        <v>Die Männer versammeln sich auf einer Brücke und schmücken Geräte.</v>
      </c>
    </row>
    <row r="9392">
      <c r="A9392" s="4" t="s">
        <v>11816</v>
      </c>
      <c r="B9392" s="4" t="s">
        <v>11819</v>
      </c>
      <c r="C9392" s="5" t="str">
        <f>IFERROR(__xludf.DUMMYFUNCTION("GOOGLETRANSLATE(B9392,""en"",""de"")"),"Ein Mann in einem Gorilla -Kostüm geht die Brücke entlang.")</f>
        <v>Ein Mann in einem Gorilla -Kostüm geht die Brücke entlang.</v>
      </c>
    </row>
    <row r="9393">
      <c r="A9393" s="4" t="s">
        <v>11816</v>
      </c>
      <c r="B9393" s="4" t="s">
        <v>11820</v>
      </c>
      <c r="C9393" s="5" t="str">
        <f>IFERROR(__xludf.DUMMYFUNCTION("GOOGLETRANSLATE(B9393,""en"",""de"")"),"Die Männer wechseln abwechselnd von der Brücke aus.")</f>
        <v>Die Männer wechseln abwechselnd von der Brücke aus.</v>
      </c>
    </row>
    <row r="9394">
      <c r="A9394" s="4" t="s">
        <v>11816</v>
      </c>
      <c r="B9394" s="4" t="s">
        <v>11821</v>
      </c>
      <c r="C9394" s="5" t="str">
        <f>IFERROR(__xludf.DUMMYFUNCTION("GOOGLETRANSLATE(B9394,""en"",""de"")"),"Die Menschen winken beim Fahren und werden dann für ein Bild posieren.")</f>
        <v>Die Menschen winken beim Fahren und werden dann für ein Bild posieren.</v>
      </c>
    </row>
    <row r="9395">
      <c r="A9395" s="4" t="s">
        <v>11822</v>
      </c>
      <c r="B9395" s="4" t="s">
        <v>11823</v>
      </c>
      <c r="C9395" s="5" t="str">
        <f>IFERROR(__xludf.DUMMYFUNCTION("GOOGLETRANSLATE(B9395,""en"",""de"")"),"Eine Frau redet und ist aufgeregt.")</f>
        <v>Eine Frau redet und ist aufgeregt.</v>
      </c>
    </row>
    <row r="9396">
      <c r="A9396" s="4" t="s">
        <v>11822</v>
      </c>
      <c r="B9396" s="4" t="s">
        <v>11824</v>
      </c>
      <c r="C9396" s="5" t="str">
        <f>IFERROR(__xludf.DUMMYFUNCTION("GOOGLETRANSLATE(B9396,""en"",""de"")"),"Sie zieht einen rosa Pullover zum Eisen heraus.")</f>
        <v>Sie zieht einen rosa Pullover zum Eisen heraus.</v>
      </c>
    </row>
    <row r="9397">
      <c r="A9397" s="4" t="s">
        <v>11822</v>
      </c>
      <c r="B9397" s="4" t="s">
        <v>11825</v>
      </c>
      <c r="C9397" s="5" t="str">
        <f>IFERROR(__xludf.DUMMYFUNCTION("GOOGLETRANSLATE(B9397,""en"",""de"")"),"Sie feiern den rosa Pullover.")</f>
        <v>Sie feiern den rosa Pullover.</v>
      </c>
    </row>
    <row r="9398">
      <c r="A9398" s="4" t="s">
        <v>11826</v>
      </c>
      <c r="B9398" s="4" t="s">
        <v>11827</v>
      </c>
      <c r="C9398" s="5" t="str">
        <f>IFERROR(__xludf.DUMMYFUNCTION("GOOGLETRANSLATE(B9398,""en"",""de"")"),"Es gibt zwei Spieler, die ein rot -weißes Hemd tragen und das andere schwarz -weiße Hemd tragen und mit ein paar Zuschauern einen Schlägerball in einem Innenplatz spielen.")</f>
        <v>Es gibt zwei Spieler, die ein rot -weißes Hemd tragen und das andere schwarz -weiße Hemd tragen und mit ein paar Zuschauern einen Schlägerball in einem Innenplatz spielen.</v>
      </c>
    </row>
    <row r="9399">
      <c r="A9399" s="4" t="s">
        <v>11826</v>
      </c>
      <c r="B9399" s="4" t="s">
        <v>11828</v>
      </c>
      <c r="C9399" s="5" t="str">
        <f>IFERROR(__xludf.DUMMYFUNCTION("GOOGLETRANSLATE(B9399,""en"",""de"")"),"Der Spieler in Red trifft den Ball mit einer vorderen Handschwung und sein Gegner springt nach vorne, um den Ball zurückzugeben.")</f>
        <v>Der Spieler in Red trifft den Ball mit einer vorderen Handschwung und sein Gegner springt nach vorne, um den Ball zurückzugeben.</v>
      </c>
    </row>
    <row r="9400">
      <c r="A9400" s="4" t="s">
        <v>11826</v>
      </c>
      <c r="B9400" s="4" t="s">
        <v>11829</v>
      </c>
      <c r="C9400" s="5" t="str">
        <f>IFERROR(__xludf.DUMMYFUNCTION("GOOGLETRANSLATE(B9400,""en"",""de"")"),"Der Spieler in Red schwingt weiterhin seinen Schläger in einer vorderen Hand, da er einen einzigen Schuss nie verpasst.")</f>
        <v>Der Spieler in Red schwingt weiterhin seinen Schläger in einer vorderen Hand, da er einen einzigen Schuss nie verpasst.</v>
      </c>
    </row>
    <row r="9401">
      <c r="A9401" s="4" t="s">
        <v>11826</v>
      </c>
      <c r="B9401" s="4" t="s">
        <v>11830</v>
      </c>
      <c r="C9401" s="5" t="str">
        <f>IFERROR(__xludf.DUMMYFUNCTION("GOOGLETRANSLATE(B9401,""en"",""de"")"),"Der Spieler in Black vermisst einen Schuss, aber er greift sofort den Ball und sie spielen weiter.")</f>
        <v>Der Spieler in Black vermisst einen Schuss, aber er greift sofort den Ball und sie spielen weiter.</v>
      </c>
    </row>
    <row r="9402">
      <c r="A9402" s="4" t="s">
        <v>11826</v>
      </c>
      <c r="B9402" s="4" t="s">
        <v>11831</v>
      </c>
      <c r="C9402" s="5" t="str">
        <f>IFERROR(__xludf.DUMMYFUNCTION("GOOGLETRANSLATE(B9402,""en"",""de"")"),"Beide Spieler setzen eine großartige Rallye fort, ohne einen Schuss zu verpassen.")</f>
        <v>Beide Spieler setzen eine großartige Rallye fort, ohne einen Schuss zu verpassen.</v>
      </c>
    </row>
    <row r="9403">
      <c r="A9403" s="4" t="s">
        <v>11826</v>
      </c>
      <c r="B9403" s="4" t="s">
        <v>11832</v>
      </c>
      <c r="C9403" s="5" t="str">
        <f>IFERROR(__xludf.DUMMYFUNCTION("GOOGLETRANSLATE(B9403,""en"",""de"")"),"Der Spieler in Red läuft schnell über den Platz, um den Ball zurück zu schlagen.")</f>
        <v>Der Spieler in Red läuft schnell über den Platz, um den Ball zurück zu schlagen.</v>
      </c>
    </row>
    <row r="9404">
      <c r="A9404" s="4" t="s">
        <v>11826</v>
      </c>
      <c r="B9404" s="4" t="s">
        <v>11833</v>
      </c>
      <c r="C9404" s="5" t="str">
        <f>IFERROR(__xludf.DUMMYFUNCTION("GOOGLETRANSLATE(B9404,""en"",""de"")"),"Dann spielen sie fünf Runden kontinuierlich mit den Backhand -Schwankungen, bis der Spieler in Schwarz einen Schuss verpasst.")</f>
        <v>Dann spielen sie fünf Runden kontinuierlich mit den Backhand -Schwankungen, bis der Spieler in Schwarz einen Schuss verpasst.</v>
      </c>
    </row>
    <row r="9405">
      <c r="A9405" s="4" t="s">
        <v>11826</v>
      </c>
      <c r="B9405" s="4" t="s">
        <v>11834</v>
      </c>
      <c r="C9405" s="5" t="str">
        <f>IFERROR(__xludf.DUMMYFUNCTION("GOOGLETRANSLATE(B9405,""en"",""de"")"),"Dann beginnen sie ihre letzte Runde, in der der Spieler in Schwarz und Weiß den letzten Schuss beendet.")</f>
        <v>Dann beginnen sie ihre letzte Runde, in der der Spieler in Schwarz und Weiß den letzten Schuss beendet.</v>
      </c>
    </row>
    <row r="9406">
      <c r="A9406" s="4" t="s">
        <v>11826</v>
      </c>
      <c r="B9406" s="4" t="s">
        <v>11835</v>
      </c>
      <c r="C9406" s="5" t="str">
        <f>IFERROR(__xludf.DUMMYFUNCTION("GOOGLETRANSLATE(B9406,""en"",""de"")"),"Sie beenden das Spiel, indem sie die Hand schütteln und aus dem Platz gehen.")</f>
        <v>Sie beenden das Spiel, indem sie die Hand schütteln und aus dem Platz gehen.</v>
      </c>
    </row>
    <row r="9407">
      <c r="A9407" s="4" t="s">
        <v>11836</v>
      </c>
      <c r="B9407" s="4" t="s">
        <v>11837</v>
      </c>
      <c r="C9407" s="5" t="str">
        <f>IFERROR(__xludf.DUMMYFUNCTION("GOOGLETRANSLATE(B9407,""en"",""de"")"),"Ein Mann spricht in einem großen Feld mit der Kamera, während er einen Lacrosse -Stick hält.")</f>
        <v>Ein Mann spricht in einem großen Feld mit der Kamera, während er einen Lacrosse -Stick hält.</v>
      </c>
    </row>
    <row r="9408">
      <c r="A9408" s="4" t="s">
        <v>11836</v>
      </c>
      <c r="B9408" s="4" t="s">
        <v>11838</v>
      </c>
      <c r="C9408" s="5" t="str">
        <f>IFERROR(__xludf.DUMMYFUNCTION("GOOGLETRANSLATE(B9408,""en"",""de"")"),"Er zeigt auf sich selbst, während er den Stock hochhält und spricht weiterhin mit der Kamera und wie man den Stock richtig hält.")</f>
        <v>Er zeigt auf sich selbst, während er den Stock hochhält und spricht weiterhin mit der Kamera und wie man den Stock richtig hält.</v>
      </c>
    </row>
    <row r="9409">
      <c r="A9409" s="4" t="s">
        <v>11839</v>
      </c>
      <c r="B9409" s="4" t="s">
        <v>11840</v>
      </c>
      <c r="C9409" s="5" t="str">
        <f>IFERROR(__xludf.DUMMYFUNCTION("GOOGLETRANSLATE(B9409,""en"",""de"")"),"Ein Mädchen schwingt sie an einer Pinata.")</f>
        <v>Ein Mädchen schwingt sie an einer Pinata.</v>
      </c>
    </row>
    <row r="9410">
      <c r="A9410" s="4" t="s">
        <v>11839</v>
      </c>
      <c r="B9410" s="4" t="s">
        <v>11841</v>
      </c>
      <c r="C9410" s="5" t="str">
        <f>IFERROR(__xludf.DUMMYFUNCTION("GOOGLETRANSLATE(B9410,""en"",""de"")"),"Eine Gruppe von Menschen beobachtet sie von hinten und jubelt sie an.")</f>
        <v>Eine Gruppe von Menschen beobachtet sie von hinten und jubelt sie an.</v>
      </c>
    </row>
    <row r="9411">
      <c r="A9411" s="4" t="s">
        <v>11839</v>
      </c>
      <c r="B9411" s="4" t="s">
        <v>11842</v>
      </c>
      <c r="C9411" s="5" t="str">
        <f>IFERROR(__xludf.DUMMYFUNCTION("GOOGLETRANSLATE(B9411,""en"",""de"")"),"Sie schwingt weiter in die Pinata und das Objekt bewegt sich zurück und vierten im Wind.")</f>
        <v>Sie schwingt weiter in die Pinata und das Objekt bewegt sich zurück und vierten im Wind.</v>
      </c>
    </row>
    <row r="9412">
      <c r="A9412" s="4" t="s">
        <v>11843</v>
      </c>
      <c r="B9412" s="4" t="s">
        <v>11844</v>
      </c>
      <c r="C9412" s="5" t="str">
        <f>IFERROR(__xludf.DUMMYFUNCTION("GOOGLETRANSLATE(B9412,""en"",""de"")"),"Eine Kamera schwenkt um ein großes Gymnasium und führt in zwei Künstler, die in die Mitte der Bühne gehen.")</f>
        <v>Eine Kamera schwenkt um ein großes Gymnasium und führt in zwei Künstler, die in die Mitte der Bühne gehen.</v>
      </c>
    </row>
    <row r="9413">
      <c r="A9413" s="4" t="s">
        <v>11843</v>
      </c>
      <c r="B9413" s="4" t="s">
        <v>11845</v>
      </c>
      <c r="C9413" s="5" t="str">
        <f>IFERROR(__xludf.DUMMYFUNCTION("GOOGLETRANSLATE(B9413,""en"",""de"")"),"Die Mädchen führen eine Tanzroutine aus und enden Sie mit einer Pose.")</f>
        <v>Die Mädchen führen eine Tanzroutine aus und enden Sie mit einer Pose.</v>
      </c>
    </row>
    <row r="9414">
      <c r="A9414" s="4" t="s">
        <v>11846</v>
      </c>
      <c r="B9414" s="4" t="s">
        <v>11847</v>
      </c>
      <c r="C9414" s="5" t="str">
        <f>IFERROR(__xludf.DUMMYFUNCTION("GOOGLETRANSLATE(B9414,""en"",""de"")"),"Eine Frau und zwei Männer, die weiße Hosen, weißes Hemd und schwarz -weiße Gürtel tragen, zeigen Kampfkünste, barfuß, auf einem großen Grasstück vor einem Gewässer und einer Stadtviertel von Gebäuden.")</f>
        <v>Eine Frau und zwei Männer, die weiße Hosen, weißes Hemd und schwarz -weiße Gürtel tragen, zeigen Kampfkünste, barfuß, auf einem großen Grasstück vor einem Gewässer und einer Stadtviertel von Gebäuden.</v>
      </c>
    </row>
    <row r="9415">
      <c r="A9415" s="4" t="s">
        <v>11846</v>
      </c>
      <c r="B9415" s="4" t="s">
        <v>11848</v>
      </c>
      <c r="C9415" s="5" t="str">
        <f>IFERROR(__xludf.DUMMYFUNCTION("GOOGLETRANSLATE(B9415,""en"",""de"")"),"Eine Frau mit blonden Haaren in einem Pferdeschwanz und einem schwarzen Gürtel zeigt, dass Kampfkünste zuerst Schulter- und Armbewegungen und Beinarbeit ausstellen.")</f>
        <v>Eine Frau mit blonden Haaren in einem Pferdeschwanz und einem schwarzen Gürtel zeigt, dass Kampfkünste zuerst Schulter- und Armbewegungen und Beinarbeit ausstellen.</v>
      </c>
    </row>
    <row r="9416">
      <c r="A9416" s="4" t="s">
        <v>11846</v>
      </c>
      <c r="B9416" s="4" t="s">
        <v>11849</v>
      </c>
      <c r="C9416" s="5" t="str">
        <f>IFERROR(__xludf.DUMMYFUNCTION("GOOGLETRANSLATE(B9416,""en"",""de"")"),"Ein Mann in einem weißen Gürtel demonstriert Kampfkunstbewegungen mit Kniebiegungen.")</f>
        <v>Ein Mann in einem weißen Gürtel demonstriert Kampfkunstbewegungen mit Kniebiegungen.</v>
      </c>
    </row>
    <row r="9417">
      <c r="A9417" s="4" t="s">
        <v>11846</v>
      </c>
      <c r="B9417" s="4" t="s">
        <v>11850</v>
      </c>
      <c r="C9417" s="5" t="str">
        <f>IFERROR(__xludf.DUMMYFUNCTION("GOOGLETRANSLATE(B9417,""en"",""de"")"),"Ein dritter Mann in einem schwarzen Gürtel demonstriert Kampfkunstbewegungen, die Bodenarbeiten, Beinwipfen und hohe Tritte ausstellen.")</f>
        <v>Ein dritter Mann in einem schwarzen Gürtel demonstriert Kampfkunstbewegungen, die Bodenarbeiten, Beinwipfen und hohe Tritte ausstellen.</v>
      </c>
    </row>
    <row r="9418">
      <c r="A9418" s="4" t="s">
        <v>11851</v>
      </c>
      <c r="B9418" s="4" t="s">
        <v>11852</v>
      </c>
      <c r="C9418" s="5" t="str">
        <f>IFERROR(__xludf.DUMMYFUNCTION("GOOGLETRANSLATE(B9418,""en"",""de"")"),"Ein Koch der Frau zeigt, wie man Pasta im Restaurantstil macht.")</f>
        <v>Ein Koch der Frau zeigt, wie man Pasta im Restaurantstil macht.</v>
      </c>
    </row>
    <row r="9419">
      <c r="A9419" s="4" t="s">
        <v>11851</v>
      </c>
      <c r="B9419" s="4" t="s">
        <v>11853</v>
      </c>
      <c r="C9419" s="5" t="str">
        <f>IFERROR(__xludf.DUMMYFUNCTION("GOOGLETRANSLATE(B9419,""en"",""de"")"),"Sie beginnt damit, Spaghetti in einem großen Topf mit kochendem Wasser hinzuzufügen.")</f>
        <v>Sie beginnt damit, Spaghetti in einem großen Topf mit kochendem Wasser hinzuzufügen.</v>
      </c>
    </row>
    <row r="9420">
      <c r="A9420" s="4" t="s">
        <v>11851</v>
      </c>
      <c r="B9420" s="4" t="s">
        <v>11854</v>
      </c>
      <c r="C9420" s="5" t="str">
        <f>IFERROR(__xludf.DUMMYFUNCTION("GOOGLETRANSLATE(B9420,""en"",""de"")"),"Sie sautiert gehackte Zwiebeln und etwas italienisches Dressing zusammen mit Knoblauch auf einem Topf.")</f>
        <v>Sie sautiert gehackte Zwiebeln und etwas italienisches Dressing zusammen mit Knoblauch auf einem Topf.</v>
      </c>
    </row>
    <row r="9421">
      <c r="A9421" s="4" t="s">
        <v>11851</v>
      </c>
      <c r="B9421" s="4" t="s">
        <v>11855</v>
      </c>
      <c r="C9421" s="5" t="str">
        <f>IFERROR(__xludf.DUMMYFUNCTION("GOOGLETRANSLATE(B9421,""en"",""de"")"),"Sie fügt dann eine Tasse Traubentomaten hinzu.")</f>
        <v>Sie fügt dann eine Tasse Traubentomaten hinzu.</v>
      </c>
    </row>
    <row r="9422">
      <c r="A9422" s="4" t="s">
        <v>11851</v>
      </c>
      <c r="B9422" s="4" t="s">
        <v>11856</v>
      </c>
      <c r="C9422" s="5" t="str">
        <f>IFERROR(__xludf.DUMMYFUNCTION("GOOGLETRANSLATE(B9422,""en"",""de"")"),"Sie überprüft die Nudeln auf seine Weichheit.")</f>
        <v>Sie überprüft die Nudeln auf seine Weichheit.</v>
      </c>
    </row>
    <row r="9423">
      <c r="A9423" s="4" t="s">
        <v>11851</v>
      </c>
      <c r="B9423" s="4" t="s">
        <v>11857</v>
      </c>
      <c r="C9423" s="5" t="str">
        <f>IFERROR(__xludf.DUMMYFUNCTION("GOOGLETRANSLATE(B9423,""en"",""de"")"),"Sie entfernt die gekochten Nudeln vom Gas und gießt sie in einen Teller.")</f>
        <v>Sie entfernt die gekochten Nudeln vom Gas und gießt sie in einen Teller.</v>
      </c>
    </row>
    <row r="9424">
      <c r="A9424" s="4" t="s">
        <v>11851</v>
      </c>
      <c r="B9424" s="4" t="s">
        <v>11858</v>
      </c>
      <c r="C9424" s="5" t="str">
        <f>IFERROR(__xludf.DUMMYFUNCTION("GOOGLETRANSLATE(B9424,""en"",""de"")"),"Dann fügt sie die gekochte Sauce direkt über die Nudeln hinzu.")</f>
        <v>Dann fügt sie die gekochte Sauce direkt über die Nudeln hinzu.</v>
      </c>
    </row>
    <row r="9425">
      <c r="A9425" s="4" t="s">
        <v>11851</v>
      </c>
      <c r="B9425" s="4" t="s">
        <v>11859</v>
      </c>
      <c r="C9425" s="5" t="str">
        <f>IFERROR(__xludf.DUMMYFUNCTION("GOOGLETRANSLATE(B9425,""en"",""de"")"),"Sie kocht frische Basilikum mit einer Schere und garniert es zusammen mit etwas Käse über die Nudeln, dann zeigt sie ein Rezept für Alfredo -Sauce.")</f>
        <v>Sie kocht frische Basilikum mit einer Schere und garniert es zusammen mit etwas Käse über die Nudeln, dann zeigt sie ein Rezept für Alfredo -Sauce.</v>
      </c>
    </row>
    <row r="9426">
      <c r="A9426" s="4" t="s">
        <v>11851</v>
      </c>
      <c r="B9426" s="4" t="s">
        <v>11860</v>
      </c>
      <c r="C9426" s="5" t="str">
        <f>IFERROR(__xludf.DUMMYFUNCTION("GOOGLETRANSLATE(B9426,""en"",""de"")"),"Sie streut geriebene Parmesankäse über die Alfredo -Pasta, um fertig zu werden.")</f>
        <v>Sie streut geriebene Parmesankäse über die Alfredo -Pasta, um fertig zu werden.</v>
      </c>
    </row>
    <row r="9427">
      <c r="A9427" s="4" t="s">
        <v>11861</v>
      </c>
      <c r="B9427" s="4" t="s">
        <v>11862</v>
      </c>
      <c r="C9427" s="5" t="str">
        <f>IFERROR(__xludf.DUMMYFUNCTION("GOOGLETRANSLATE(B9427,""en"",""de"")"),"Eine Gruppe von Schwimmern bereitet sich auf die Durchführung vor.")</f>
        <v>Eine Gruppe von Schwimmern bereitet sich auf die Durchführung vor.</v>
      </c>
    </row>
    <row r="9428">
      <c r="A9428" s="4" t="s">
        <v>11861</v>
      </c>
      <c r="B9428" s="4" t="s">
        <v>11863</v>
      </c>
      <c r="C9428" s="5" t="str">
        <f>IFERROR(__xludf.DUMMYFUNCTION("GOOGLETRANSLATE(B9428,""en"",""de"")"),"Die Menge sieht zu, wie sich die Mädchen fertig machen.")</f>
        <v>Die Menge sieht zu, wie sich die Mädchen fertig machen.</v>
      </c>
    </row>
    <row r="9429">
      <c r="A9429" s="4" t="s">
        <v>11861</v>
      </c>
      <c r="B9429" s="4" t="s">
        <v>11864</v>
      </c>
      <c r="C9429" s="5" t="str">
        <f>IFERROR(__xludf.DUMMYFUNCTION("GOOGLETRANSLATE(B9429,""en"",""de"")"),"Ein Mädchen taucht vom Tauchbrett ab und die Leute jubeln.")</f>
        <v>Ein Mädchen taucht vom Tauchbrett ab und die Leute jubeln.</v>
      </c>
    </row>
    <row r="9430">
      <c r="A9430" s="4" t="s">
        <v>11861</v>
      </c>
      <c r="B9430" s="4" t="s">
        <v>11865</v>
      </c>
      <c r="C9430" s="5" t="str">
        <f>IFERROR(__xludf.DUMMYFUNCTION("GOOGLETRANSLATE(B9430,""en"",""de"")"),"Sie klettert aus dem Pool, während ein anderer Schwimmer sich bereit macht zu springen.")</f>
        <v>Sie klettert aus dem Pool, während ein anderer Schwimmer sich bereit macht zu springen.</v>
      </c>
    </row>
    <row r="9431">
      <c r="A9431" s="4" t="s">
        <v>11866</v>
      </c>
      <c r="B9431" s="4" t="s">
        <v>11867</v>
      </c>
      <c r="C9431" s="5" t="str">
        <f>IFERROR(__xludf.DUMMYFUNCTION("GOOGLETRANSLATE(B9431,""en"",""de"")"),"Zusammen mit der Vielzahl der Zutaten wird ein großer mehrschichtiger roter Samtkuchen gezeigt.")</f>
        <v>Zusammen mit der Vielzahl der Zutaten wird ein großer mehrschichtiger roter Samtkuchen gezeigt.</v>
      </c>
    </row>
    <row r="9432">
      <c r="A9432" s="4" t="s">
        <v>11866</v>
      </c>
      <c r="B9432" s="4" t="s">
        <v>11868</v>
      </c>
      <c r="C9432" s="5" t="str">
        <f>IFERROR(__xludf.DUMMYFUNCTION("GOOGLETRANSLATE(B9432,""en"",""de"")"),"Eine Hand macht einen Ofen ein, bevor die Zutaten in einer Schüssel zusammen mischen.")</f>
        <v>Eine Hand macht einen Ofen ein, bevor die Zutaten in einer Schüssel zusammen mischen.</v>
      </c>
    </row>
    <row r="9433">
      <c r="A9433" s="4" t="s">
        <v>11866</v>
      </c>
      <c r="B9433" s="4" t="s">
        <v>11869</v>
      </c>
      <c r="C9433" s="5" t="str">
        <f>IFERROR(__xludf.DUMMYFUNCTION("GOOGLETRANSLATE(B9433,""en"",""de"")"),"Währenddessen werden einige zufällige Leckerbissen und Fakten geteilt.")</f>
        <v>Währenddessen werden einige zufällige Leckerbissen und Fakten geteilt.</v>
      </c>
    </row>
    <row r="9434">
      <c r="A9434" s="4" t="s">
        <v>11870</v>
      </c>
      <c r="B9434" s="4" t="s">
        <v>11871</v>
      </c>
      <c r="C9434" s="5" t="str">
        <f>IFERROR(__xludf.DUMMYFUNCTION("GOOGLETRANSLATE(B9434,""en"",""de"")"),"Ein Mann ist auf einer Bühne zwischen hellen Blinklichtern und Musik.")</f>
        <v>Ein Mann ist auf einer Bühne zwischen hellen Blinklichtern und Musik.</v>
      </c>
    </row>
    <row r="9435">
      <c r="A9435" s="4" t="s">
        <v>11870</v>
      </c>
      <c r="B9435" s="4" t="s">
        <v>11872</v>
      </c>
      <c r="C9435" s="5" t="str">
        <f>IFERROR(__xludf.DUMMYFUNCTION("GOOGLETRANSLATE(B9435,""en"",""de"")"),"Er spielt schnell eine Geige für das Publikum.")</f>
        <v>Er spielt schnell eine Geige für das Publikum.</v>
      </c>
    </row>
    <row r="9436">
      <c r="A9436" s="4" t="s">
        <v>11870</v>
      </c>
      <c r="B9436" s="4" t="s">
        <v>11873</v>
      </c>
      <c r="C9436" s="5" t="str">
        <f>IFERROR(__xludf.DUMMYFUNCTION("GOOGLETRANSLATE(B9436,""en"",""de"")"),"Er macht eine Pause, um zu tanzen, und geht dann wieder zum Spielen, während sie klatschen und jubeln.")</f>
        <v>Er macht eine Pause, um zu tanzen, und geht dann wieder zum Spielen, während sie klatschen und jubeln.</v>
      </c>
    </row>
    <row r="9437">
      <c r="A9437" s="4" t="s">
        <v>11874</v>
      </c>
      <c r="B9437" s="4" t="s">
        <v>11875</v>
      </c>
      <c r="C9437" s="5" t="str">
        <f>IFERROR(__xludf.DUMMYFUNCTION("GOOGLETRANSLATE(B9437,""en"",""de"")"),"Es gibt zwei Frauen in schwarzen und blauen Tanktops, die zeigen, wie man den Hula -Hoop benutzt.")</f>
        <v>Es gibt zwei Frauen in schwarzen und blauen Tanktops, die zeigen, wie man den Hula -Hoop benutzt.</v>
      </c>
    </row>
    <row r="9438">
      <c r="A9438" s="4" t="s">
        <v>11874</v>
      </c>
      <c r="B9438" s="4" t="s">
        <v>11876</v>
      </c>
      <c r="C9438" s="5" t="str">
        <f>IFERROR(__xludf.DUMMYFUNCTION("GOOGLETRANSLATE(B9438,""en"",""de"")"),"Beide beginnen sich mit blau und silbernen Hula -Reifen zu drehen.")</f>
        <v>Beide beginnen sich mit blau und silbernen Hula -Reifen zu drehen.</v>
      </c>
    </row>
    <row r="9439">
      <c r="A9439" s="4" t="s">
        <v>11874</v>
      </c>
      <c r="B9439" s="4" t="s">
        <v>11877</v>
      </c>
      <c r="C9439" s="5" t="str">
        <f>IFERROR(__xludf.DUMMYFUNCTION("GOOGLETRANSLATE(B9439,""en"",""de"")"),"Sie befinden sich in einem geräumigen Raum mit kleinen Möbeln und Holzböden.")</f>
        <v>Sie befinden sich in einem geräumigen Raum mit kleinen Möbeln und Holzböden.</v>
      </c>
    </row>
    <row r="9440">
      <c r="A9440" s="4" t="s">
        <v>11874</v>
      </c>
      <c r="B9440" s="4" t="s">
        <v>11878</v>
      </c>
      <c r="C9440" s="5" t="str">
        <f>IFERROR(__xludf.DUMMYFUNCTION("GOOGLETRANSLATE(B9440,""en"",""de"")"),"Die Frau im blauen Tank -Top zeigt, wie Hula in schneller Bewegung äht.")</f>
        <v>Die Frau im blauen Tank -Top zeigt, wie Hula in schneller Bewegung äht.</v>
      </c>
    </row>
    <row r="9441">
      <c r="A9441" s="4" t="s">
        <v>11874</v>
      </c>
      <c r="B9441" s="4" t="s">
        <v>11879</v>
      </c>
      <c r="C9441" s="5" t="str">
        <f>IFERROR(__xludf.DUMMYFUNCTION("GOOGLETRANSLATE(B9441,""en"",""de"")"),"Dann zeigen beide Frauen, wie man den Reifen dreht, indem sie ihn hoch über ihren Köpfen heben.")</f>
        <v>Dann zeigen beide Frauen, wie man den Reifen dreht, indem sie ihn hoch über ihren Köpfen heben.</v>
      </c>
    </row>
    <row r="9442">
      <c r="A9442" s="4" t="s">
        <v>11874</v>
      </c>
      <c r="B9442" s="4" t="s">
        <v>11880</v>
      </c>
      <c r="C9442" s="5" t="str">
        <f>IFERROR(__xludf.DUMMYFUNCTION("GOOGLETRANSLATE(B9442,""en"",""de"")"),"Sie beugen sich den Rücken, um sich zu senken, während sie weiterhin Hula Hoop haben.")</f>
        <v>Sie beugen sich den Rücken, um sich zu senken, während sie weiterhin Hula Hoop haben.</v>
      </c>
    </row>
    <row r="9443">
      <c r="A9443" s="4" t="s">
        <v>11874</v>
      </c>
      <c r="B9443" s="4" t="s">
        <v>11881</v>
      </c>
      <c r="C9443" s="5" t="str">
        <f>IFERROR(__xludf.DUMMYFUNCTION("GOOGLETRANSLATE(B9443,""en"",""de"")"),"Sie sprechen miteinander, während sie Tipps über Möglichkeiten für Hula Hoop teilen.")</f>
        <v>Sie sprechen miteinander, während sie Tipps über Möglichkeiten für Hula Hoop teilen.</v>
      </c>
    </row>
    <row r="9444">
      <c r="A9444" s="4" t="s">
        <v>11882</v>
      </c>
      <c r="B9444" s="4" t="s">
        <v>11883</v>
      </c>
      <c r="C9444" s="5" t="str">
        <f>IFERROR(__xludf.DUMMYFUNCTION("GOOGLETRANSLATE(B9444,""en"",""de"")"),"Die Männer wechseln abwechselnd ein Protokoll in zwei.")</f>
        <v>Die Männer wechseln abwechselnd ein Protokoll in zwei.</v>
      </c>
    </row>
    <row r="9445">
      <c r="A9445" s="4" t="s">
        <v>11882</v>
      </c>
      <c r="B9445" s="4" t="s">
        <v>11884</v>
      </c>
      <c r="C9445" s="5" t="str">
        <f>IFERROR(__xludf.DUMMYFUNCTION("GOOGLETRANSLATE(B9445,""en"",""de"")"),"Das immer und immer wieder hacken.")</f>
        <v>Das immer und immer wieder hacken.</v>
      </c>
    </row>
    <row r="9446">
      <c r="A9446" s="4" t="s">
        <v>11882</v>
      </c>
      <c r="B9446" s="4" t="s">
        <v>11885</v>
      </c>
      <c r="C9446" s="5" t="str">
        <f>IFERROR(__xludf.DUMMYFUNCTION("GOOGLETRANSLATE(B9446,""en"",""de"")"),"Das Protokoll bricht in zwei Teile.")</f>
        <v>Das Protokoll bricht in zwei Teile.</v>
      </c>
    </row>
    <row r="9447">
      <c r="A9447" s="4" t="s">
        <v>11886</v>
      </c>
      <c r="B9447" s="4" t="s">
        <v>11887</v>
      </c>
      <c r="C9447" s="5" t="str">
        <f>IFERROR(__xludf.DUMMYFUNCTION("GOOGLETRANSLATE(B9447,""en"",""de"")"),"Eine Frau, die eine braune Schürze trägt, hält ein Messer und redet.")</f>
        <v>Eine Frau, die eine braune Schürze trägt, hält ein Messer und redet.</v>
      </c>
    </row>
    <row r="9448">
      <c r="A9448" s="4" t="s">
        <v>11886</v>
      </c>
      <c r="B9448" s="4" t="s">
        <v>11888</v>
      </c>
      <c r="C9448" s="5" t="str">
        <f>IFERROR(__xludf.DUMMYFUNCTION("GOOGLETRANSLATE(B9448,""en"",""de"")"),"Sie zeigt dann ein Gerät auf dem Tisch und neigt es nach oben.")</f>
        <v>Sie zeigt dann ein Gerät auf dem Tisch und neigt es nach oben.</v>
      </c>
    </row>
    <row r="9449">
      <c r="A9449" s="4" t="s">
        <v>11886</v>
      </c>
      <c r="B9449" s="4" t="s">
        <v>11889</v>
      </c>
      <c r="C9449" s="5" t="str">
        <f>IFERROR(__xludf.DUMMYFUNCTION("GOOGLETRANSLATE(B9449,""en"",""de"")"),"Sie schaltet ein Zifferblatt in das Gerät aus und setzt es wieder ein.")</f>
        <v>Sie schaltet ein Zifferblatt in das Gerät aus und setzt es wieder ein.</v>
      </c>
    </row>
    <row r="9450">
      <c r="A9450" s="4" t="s">
        <v>11886</v>
      </c>
      <c r="B9450" s="4" t="s">
        <v>11890</v>
      </c>
      <c r="C9450" s="5" t="str">
        <f>IFERROR(__xludf.DUMMYFUNCTION("GOOGLETRANSLATE(B9450,""en"",""de"")"),"Sie nimmt das Messer wieder auf und legt es in das Gerät.")</f>
        <v>Sie nimmt das Messer wieder auf und legt es in das Gerät.</v>
      </c>
    </row>
    <row r="9451">
      <c r="A9451" s="4" t="s">
        <v>11886</v>
      </c>
      <c r="B9451" s="4" t="s">
        <v>11891</v>
      </c>
      <c r="C9451" s="5" t="str">
        <f>IFERROR(__xludf.DUMMYFUNCTION("GOOGLETRANSLATE(B9451,""en"",""de"")"),"Sie dreht das Zifferblatt erneut in das Gerät.")</f>
        <v>Sie dreht das Zifferblatt erneut in das Gerät.</v>
      </c>
    </row>
    <row r="9452">
      <c r="A9452" s="4" t="s">
        <v>11886</v>
      </c>
      <c r="B9452" s="4" t="s">
        <v>11892</v>
      </c>
      <c r="C9452" s="5" t="str">
        <f>IFERROR(__xludf.DUMMYFUNCTION("GOOGLETRANSLATE(B9452,""en"",""de"")"),"Sie nimmt das Messer wieder auf und legt es in das Gerät und zieht es langsam mehrmals zurück.")</f>
        <v>Sie nimmt das Messer wieder auf und legt es in das Gerät und zieht es langsam mehrmals zurück.</v>
      </c>
    </row>
    <row r="9453">
      <c r="A9453" s="4" t="s">
        <v>11886</v>
      </c>
      <c r="B9453" s="4" t="s">
        <v>11893</v>
      </c>
      <c r="C9453" s="5" t="str">
        <f>IFERROR(__xludf.DUMMYFUNCTION("GOOGLETRANSLATE(B9453,""en"",""de"")"),"Sie schneidet eine Tomate auf einen Holzblock mit dem Messer.")</f>
        <v>Sie schneidet eine Tomate auf einen Holzblock mit dem Messer.</v>
      </c>
    </row>
    <row r="9454">
      <c r="A9454" s="4" t="s">
        <v>11886</v>
      </c>
      <c r="B9454" s="4" t="s">
        <v>11894</v>
      </c>
      <c r="C9454" s="5" t="str">
        <f>IFERROR(__xludf.DUMMYFUNCTION("GOOGLETRANSLATE(B9454,""en"",""de"")"),"Sie schnappt sich ein zweites Messer und steckt es in das Gerät.")</f>
        <v>Sie schnappt sich ein zweites Messer und steckt es in das Gerät.</v>
      </c>
    </row>
    <row r="9455">
      <c r="A9455" s="4" t="s">
        <v>11895</v>
      </c>
      <c r="B9455" s="4" t="s">
        <v>11896</v>
      </c>
      <c r="C9455" s="5" t="str">
        <f>IFERROR(__xludf.DUMMYFUNCTION("GOOGLETRANSLATE(B9455,""en"",""de"")"),"Eine Nahaufnahme einer Hecke wird gezeigt, gefolgt von einem Mann, der mit Werkzeugen in Frames geht und die Hecke schneidet.")</f>
        <v>Eine Nahaufnahme einer Hecke wird gezeigt, gefolgt von einem Mann, der mit Werkzeugen in Frames geht und die Hecke schneidet.</v>
      </c>
    </row>
    <row r="9456">
      <c r="A9456" s="4" t="s">
        <v>11895</v>
      </c>
      <c r="B9456" s="4" t="s">
        <v>11897</v>
      </c>
      <c r="C9456" s="5" t="str">
        <f>IFERROR(__xludf.DUMMYFUNCTION("GOOGLETRANSLATE(B9456,""en"",""de"")"),"Der Mann schneidet weiter entlang der Hecke, während er sich in und aus dem Rahmen bewegt.")</f>
        <v>Der Mann schneidet weiter entlang der Hecke, während er sich in und aus dem Rahmen bewegt.</v>
      </c>
    </row>
    <row r="9457">
      <c r="A9457" s="4" t="s">
        <v>11898</v>
      </c>
      <c r="B9457" s="4" t="s">
        <v>11899</v>
      </c>
      <c r="C9457" s="5" t="str">
        <f>IFERROR(__xludf.DUMMYFUNCTION("GOOGLETRANSLATE(B9457,""en"",""de"")"),"Wir sehen einen Mann in einem Hof ​​mit einem Titel auf dem Bildschirm.")</f>
        <v>Wir sehen einen Mann in einem Hof ​​mit einem Titel auf dem Bildschirm.</v>
      </c>
    </row>
    <row r="9458">
      <c r="A9458" s="4" t="s">
        <v>11898</v>
      </c>
      <c r="B9458" s="4" t="s">
        <v>11900</v>
      </c>
      <c r="C9458" s="5" t="str">
        <f>IFERROR(__xludf.DUMMYFUNCTION("GOOGLETRANSLATE(B9458,""en"",""de"")"),"Wir sehen einen Baumstamm und Blätter fallen.")</f>
        <v>Wir sehen einen Baumstamm und Blätter fallen.</v>
      </c>
    </row>
    <row r="9459">
      <c r="A9459" s="4" t="s">
        <v>11898</v>
      </c>
      <c r="B9459" s="4" t="s">
        <v>11901</v>
      </c>
      <c r="C9459" s="5" t="str">
        <f>IFERROR(__xludf.DUMMYFUNCTION("GOOGLETRANSLATE(B9459,""en"",""de"")"),"Wir sehen den Mann reden und sehen den Hof, während er rems.")</f>
        <v>Wir sehen den Mann reden und sehen den Hof, während er rems.</v>
      </c>
    </row>
    <row r="9460">
      <c r="A9460" s="4" t="s">
        <v>11898</v>
      </c>
      <c r="B9460" s="4" t="s">
        <v>11902</v>
      </c>
      <c r="C9460" s="5" t="str">
        <f>IFERROR(__xludf.DUMMYFUNCTION("GOOGLETRANSLATE(B9460,""en"",""de"")"),"Wir sehen dann den Mann, als er ihn mit einem Blattgebläse und einem Vakuum bläst.")</f>
        <v>Wir sehen dann den Mann, als er ihn mit einem Blattgebläse und einem Vakuum bläst.</v>
      </c>
    </row>
    <row r="9461">
      <c r="A9461" s="4" t="s">
        <v>11903</v>
      </c>
      <c r="B9461" s="4" t="s">
        <v>11904</v>
      </c>
      <c r="C9461" s="5" t="str">
        <f>IFERROR(__xludf.DUMMYFUNCTION("GOOGLETRANSLATE(B9461,""en"",""de"")"),"Mehrere Bilder von Hunden werden draußen im Feld angezeigt.")</f>
        <v>Mehrere Bilder von Hunden werden draußen im Feld angezeigt.</v>
      </c>
    </row>
    <row r="9462">
      <c r="A9462" s="4" t="s">
        <v>11903</v>
      </c>
      <c r="B9462" s="4" t="s">
        <v>11905</v>
      </c>
      <c r="C9462" s="5" t="str">
        <f>IFERROR(__xludf.DUMMYFUNCTION("GOOGLETRANSLATE(B9462,""en"",""de"")"),"Eine junge Frau erscheint dann in einem Grasfeld und spielt mit ihrem Hund und wirft ihm eine rote Frisbee.")</f>
        <v>Eine junge Frau erscheint dann in einem Grasfeld und spielt mit ihrem Hund und wirft ihm eine rote Frisbee.</v>
      </c>
    </row>
    <row r="9463">
      <c r="A9463" s="4" t="s">
        <v>11903</v>
      </c>
      <c r="B9463" s="4" t="s">
        <v>11906</v>
      </c>
      <c r="C9463" s="5" t="str">
        <f>IFERROR(__xludf.DUMMYFUNCTION("GOOGLETRANSLATE(B9463,""en"",""de"")"),"Das Mädchen kniet dann im Gras und hält die Frisbee über ihren Kopf und gratuliert ihrem Hund, um den Trick abgeschlossen zu haben, und sie tun es immer wieder.")</f>
        <v>Das Mädchen kniet dann im Gras und hält die Frisbee über ihren Kopf und gratuliert ihrem Hund, um den Trick abgeschlossen zu haben, und sie tun es immer wieder.</v>
      </c>
    </row>
    <row r="9464">
      <c r="A9464" s="4" t="s">
        <v>11907</v>
      </c>
      <c r="B9464" s="4" t="s">
        <v>11908</v>
      </c>
      <c r="C9464" s="5" t="str">
        <f>IFERROR(__xludf.DUMMYFUNCTION("GOOGLETRANSLATE(B9464,""en"",""de"")"),"Ein kleiner Junge kniet draußen und wäscht sein Gesicht und seine Hände aus kleinen Gerichten vor ihm, gefüllt mit Wasser und Seife.")</f>
        <v>Ein kleiner Junge kniet draußen und wäscht sein Gesicht und seine Hände aus kleinen Gerichten vor ihm, gefüllt mit Wasser und Seife.</v>
      </c>
    </row>
    <row r="9465">
      <c r="A9465" s="4" t="s">
        <v>11907</v>
      </c>
      <c r="B9465" s="4" t="s">
        <v>11909</v>
      </c>
      <c r="C9465" s="5" t="str">
        <f>IFERROR(__xludf.DUMMYFUNCTION("GOOGLETRANSLATE(B9465,""en"",""de"")"),"Ein Junge kniet in einer Ecke einer Außenterrasse vor einer Reihe von Schalen.")</f>
        <v>Ein Junge kniet in einer Ecke einer Außenterrasse vor einer Reihe von Schalen.</v>
      </c>
    </row>
    <row r="9466">
      <c r="A9466" s="4" t="s">
        <v>11907</v>
      </c>
      <c r="B9466" s="4" t="s">
        <v>11910</v>
      </c>
      <c r="C9466" s="5" t="str">
        <f>IFERROR(__xludf.DUMMYFUNCTION("GOOGLETRANSLATE(B9466,""en"",""de"")"),"Der Junge spritzt Wasser auf sein Gesicht und latert mit Seifenwasser aus den Geschirr.")</f>
        <v>Der Junge spritzt Wasser auf sein Gesicht und latert mit Seifenwasser aus den Geschirr.</v>
      </c>
    </row>
    <row r="9467">
      <c r="A9467" s="4" t="s">
        <v>11907</v>
      </c>
      <c r="B9467" s="4" t="s">
        <v>11911</v>
      </c>
      <c r="C9467" s="5" t="str">
        <f>IFERROR(__xludf.DUMMYFUNCTION("GOOGLETRANSLATE(B9467,""en"",""de"")"),"Der Junge wäscht sein Gesicht weiter, als eine Frau in einem leichten Kleidungskleid an ihm vorbeikommt.")</f>
        <v>Der Junge wäscht sein Gesicht weiter, als eine Frau in einem leichten Kleidungskleid an ihm vorbeikommt.</v>
      </c>
    </row>
    <row r="9468">
      <c r="A9468" s="4" t="s">
        <v>11912</v>
      </c>
      <c r="B9468" s="4" t="s">
        <v>11913</v>
      </c>
      <c r="C9468" s="5" t="str">
        <f>IFERROR(__xludf.DUMMYFUNCTION("GOOGLETRANSLATE(B9468,""en"",""de"")"),"Eine Person verwendet ein Blatt und bläst Blatt.")</f>
        <v>Eine Person verwendet ein Blatt und bläst Blatt.</v>
      </c>
    </row>
    <row r="9469">
      <c r="A9469" s="4" t="s">
        <v>11912</v>
      </c>
      <c r="B9469" s="4" t="s">
        <v>11914</v>
      </c>
      <c r="C9469" s="5" t="str">
        <f>IFERROR(__xludf.DUMMYFUNCTION("GOOGLETRANSLATE(B9469,""en"",""de"")"),"Der Hund rennt nach rechts und aus dem Weg.")</f>
        <v>Der Hund rennt nach rechts und aus dem Weg.</v>
      </c>
    </row>
    <row r="9470">
      <c r="A9470" s="4" t="s">
        <v>11912</v>
      </c>
      <c r="B9470" s="4" t="s">
        <v>11915</v>
      </c>
      <c r="C9470" s="5" t="str">
        <f>IFERROR(__xludf.DUMMYFUNCTION("GOOGLETRANSLATE(B9470,""en"",""de"")"),"Der Hund rennt zurück und Fort vor dem Blattgebläse.")</f>
        <v>Der Hund rennt zurück und Fort vor dem Blattgebläse.</v>
      </c>
    </row>
    <row r="9471">
      <c r="A9471" s="4" t="s">
        <v>11916</v>
      </c>
      <c r="B9471" s="4" t="s">
        <v>11917</v>
      </c>
      <c r="C9471" s="5" t="str">
        <f>IFERROR(__xludf.DUMMYFUNCTION("GOOGLETRANSLATE(B9471,""en"",""de"")"),"Zwei Güter sperren Hörner in einem Kampf um die Dominanz.")</f>
        <v>Zwei Güter sperren Hörner in einem Kampf um die Dominanz.</v>
      </c>
    </row>
    <row r="9472">
      <c r="A9472" s="4" t="s">
        <v>11916</v>
      </c>
      <c r="B9472" s="4" t="s">
        <v>11918</v>
      </c>
      <c r="C9472" s="5" t="str">
        <f>IFERROR(__xludf.DUMMYFUNCTION("GOOGLETRANSLATE(B9472,""en"",""de"")"),"Der Kampf setzt sich mit dem Rest der wilden Herde fort, die zuschaut.")</f>
        <v>Der Kampf setzt sich mit dem Rest der wilden Herde fort, die zuschaut.</v>
      </c>
    </row>
    <row r="9473">
      <c r="A9473" s="4" t="s">
        <v>11916</v>
      </c>
      <c r="B9473" s="4" t="s">
        <v>11919</v>
      </c>
      <c r="C9473" s="5" t="str">
        <f>IFERROR(__xludf.DUMMYFUNCTION("GOOGLETRANSLATE(B9473,""en"",""de"")"),"Der Kampf geht weiter, als ein Wildabeast den anderen von der Herde in der Nähe eines Flusses wegschreibt.")</f>
        <v>Der Kampf geht weiter, als ein Wildabeast den anderen von der Herde in der Nähe eines Flusses wegschreibt.</v>
      </c>
    </row>
    <row r="9474">
      <c r="A9474" s="4" t="s">
        <v>11916</v>
      </c>
      <c r="B9474" s="4" t="s">
        <v>11920</v>
      </c>
      <c r="C9474" s="5" t="str">
        <f>IFERROR(__xludf.DUMMYFUNCTION("GOOGLETRANSLATE(B9474,""en"",""de"")"),"Ein Güter gibt auf und läuft davon, wie der andere Güterjagd.")</f>
        <v>Ein Güter gibt auf und läuft davon, wie der andere Güterjagd.</v>
      </c>
    </row>
    <row r="9475">
      <c r="A9475" s="4" t="s">
        <v>11921</v>
      </c>
      <c r="B9475" s="4" t="s">
        <v>11922</v>
      </c>
      <c r="C9475" s="5" t="str">
        <f>IFERROR(__xludf.DUMMYFUNCTION("GOOGLETRANSLATE(B9475,""en"",""de"")"),"Die Hände einer Person sind an einem Pokertisch zu sehen, der Karten greift, während ein weiterer Angebot.")</f>
        <v>Die Hände einer Person sind an einem Pokertisch zu sehen, der Karten greift, während ein weiterer Angebot.</v>
      </c>
    </row>
    <row r="9476">
      <c r="A9476" s="4" t="s">
        <v>11921</v>
      </c>
      <c r="B9476" s="4" t="s">
        <v>11923</v>
      </c>
      <c r="C9476" s="5" t="str">
        <f>IFERROR(__xludf.DUMMYFUNCTION("GOOGLETRANSLATE(B9476,""en"",""de"")"),"Der Händler wirft kontinuierlich Karten aus und setzt gleichzeitig Chips ein.")</f>
        <v>Der Händler wirft kontinuierlich Karten aus und setzt gleichzeitig Chips ein.</v>
      </c>
    </row>
    <row r="9477">
      <c r="A9477" s="4" t="s">
        <v>11921</v>
      </c>
      <c r="B9477" s="4" t="s">
        <v>11924</v>
      </c>
      <c r="C9477" s="5" t="str">
        <f>IFERROR(__xludf.DUMMYFUNCTION("GOOGLETRANSLATE(B9477,""en"",""de"")"),"Die Person, die spielt, macht das gleiche mehrmals.")</f>
        <v>Die Person, die spielt, macht das gleiche mehrmals.</v>
      </c>
    </row>
    <row r="9478">
      <c r="A9478" s="4" t="s">
        <v>11925</v>
      </c>
      <c r="B9478" s="4" t="s">
        <v>11926</v>
      </c>
      <c r="C9478" s="5" t="str">
        <f>IFERROR(__xludf.DUMMYFUNCTION("GOOGLETRANSLATE(B9478,""en"",""de"")"),"Ein Intro führt zu einem Pferd, das mit einem Mann mit einem Seil um das Tier an einem Kalb gebunden ist.")</f>
        <v>Ein Intro führt zu einem Pferd, das mit einem Mann mit einem Seil um das Tier an einem Kalb gebunden ist.</v>
      </c>
    </row>
    <row r="9479">
      <c r="A9479" s="4" t="s">
        <v>11925</v>
      </c>
      <c r="B9479" s="4" t="s">
        <v>11927</v>
      </c>
      <c r="C9479" s="5" t="str">
        <f>IFERROR(__xludf.DUMMYFUNCTION("GOOGLETRANSLATE(B9479,""en"",""de"")"),"Ein Mann wird dann gezeigt, dass er vor der Kamera sowie eine andere Frau neben ihm interviewt wird.")</f>
        <v>Ein Mann wird dann gezeigt, dass er vor der Kamera sowie eine andere Frau neben ihm interviewt wird.</v>
      </c>
    </row>
    <row r="9480">
      <c r="A9480" s="4" t="s">
        <v>11928</v>
      </c>
      <c r="B9480" s="4" t="s">
        <v>11929</v>
      </c>
      <c r="C9480" s="5" t="str">
        <f>IFERROR(__xludf.DUMMYFUNCTION("GOOGLETRANSLATE(B9480,""en"",""de"")"),"Ein Mann, der ein Geisterhemd trägt, spielt ein Spiel Bierpong.")</f>
        <v>Ein Mann, der ein Geisterhemd trägt, spielt ein Spiel Bierpong.</v>
      </c>
    </row>
    <row r="9481">
      <c r="A9481" s="4" t="s">
        <v>11928</v>
      </c>
      <c r="B9481" s="4" t="s">
        <v>11930</v>
      </c>
      <c r="C9481" s="5" t="str">
        <f>IFERROR(__xludf.DUMMYFUNCTION("GOOGLETRANSLATE(B9481,""en"",""de"")"),"Er stellt vier Tassen auf und wirft die Bälle in die Tassen.")</f>
        <v>Er stellt vier Tassen auf und wirft die Bälle in die Tassen.</v>
      </c>
    </row>
    <row r="9482">
      <c r="A9482" s="4" t="s">
        <v>11928</v>
      </c>
      <c r="B9482" s="4" t="s">
        <v>11931</v>
      </c>
      <c r="C9482" s="5" t="str">
        <f>IFERROR(__xludf.DUMMYFUNCTION("GOOGLETRANSLATE(B9482,""en"",""de"")"),"Er fährt fort, bis alle Bälle perfekt in die Tassen gegangen sind.")</f>
        <v>Er fährt fort, bis alle Bälle perfekt in die Tassen gegangen sind.</v>
      </c>
    </row>
    <row r="9483">
      <c r="A9483" s="4" t="s">
        <v>11932</v>
      </c>
      <c r="B9483" s="4" t="s">
        <v>11933</v>
      </c>
      <c r="C9483" s="5" t="str">
        <f>IFERROR(__xludf.DUMMYFUNCTION("GOOGLETRANSLATE(B9483,""en"",""de"")"),"Eine Gruppe von Männern wird alle an einem Strand umeinander herum stehen, während sie miteinander sprechen und lachen.")</f>
        <v>Eine Gruppe von Männern wird alle an einem Strand umeinander herum stehen, während sie miteinander sprechen und lachen.</v>
      </c>
    </row>
    <row r="9484">
      <c r="A9484" s="4" t="s">
        <v>11932</v>
      </c>
      <c r="B9484" s="4" t="s">
        <v>11934</v>
      </c>
      <c r="C9484" s="5" t="str">
        <f>IFERROR(__xludf.DUMMYFUNCTION("GOOGLETRANSLATE(B9484,""en"",""de"")"),"Dann fangen Männer an, Sonnencreme aufeinander zu legen.")</f>
        <v>Dann fangen Männer an, Sonnencreme aufeinander zu legen.</v>
      </c>
    </row>
    <row r="9485">
      <c r="A9485" s="4" t="s">
        <v>11935</v>
      </c>
      <c r="B9485" s="4" t="s">
        <v>11936</v>
      </c>
      <c r="C9485" s="5" t="str">
        <f>IFERROR(__xludf.DUMMYFUNCTION("GOOGLETRANSLATE(B9485,""en"",""de"")"),"Ein hohes Gebäude wird mit einem Turm gezeigt.")</f>
        <v>Ein hohes Gebäude wird mit einem Turm gezeigt.</v>
      </c>
    </row>
    <row r="9486">
      <c r="A9486" s="4" t="s">
        <v>11935</v>
      </c>
      <c r="B9486" s="4" t="s">
        <v>11937</v>
      </c>
      <c r="C9486" s="5" t="str">
        <f>IFERROR(__xludf.DUMMYFUNCTION("GOOGLETRANSLATE(B9486,""en"",""de"")"),"Die Menschen applauden für Menschen, die von der Spitze des Gebäudes springen.")</f>
        <v>Die Menschen applauden für Menschen, die von der Spitze des Gebäudes springen.</v>
      </c>
    </row>
    <row r="9487">
      <c r="A9487" s="4" t="s">
        <v>11938</v>
      </c>
      <c r="B9487" s="4" t="s">
        <v>11939</v>
      </c>
      <c r="C9487" s="5" t="str">
        <f>IFERROR(__xludf.DUMMYFUNCTION("GOOGLETRANSLATE(B9487,""en"",""de"")"),"Eine Frau wickelt mehrere Weihnachtsgeschenke.")</f>
        <v>Eine Frau wickelt mehrere Weihnachtsgeschenke.</v>
      </c>
    </row>
    <row r="9488">
      <c r="A9488" s="4" t="s">
        <v>11938</v>
      </c>
      <c r="B9488" s="4" t="s">
        <v>11940</v>
      </c>
      <c r="C9488" s="5" t="str">
        <f>IFERROR(__xludf.DUMMYFUNCTION("GOOGLETRANSLATE(B9488,""en"",""de"")"),"Eine Frau lächelt und schneidet ein Packpapier mit einer Schere.")</f>
        <v>Eine Frau lächelt und schneidet ein Packpapier mit einer Schere.</v>
      </c>
    </row>
    <row r="9489">
      <c r="A9489" s="4" t="s">
        <v>11938</v>
      </c>
      <c r="B9489" s="4" t="s">
        <v>11941</v>
      </c>
      <c r="C9489" s="5" t="str">
        <f>IFERROR(__xludf.DUMMYFUNCTION("GOOGLETRANSLATE(B9489,""en"",""de"")"),"Die Frau legt einen Teddybär in eine Schüssel.")</f>
        <v>Die Frau legt einen Teddybär in eine Schüssel.</v>
      </c>
    </row>
    <row r="9490">
      <c r="A9490" s="4" t="s">
        <v>11938</v>
      </c>
      <c r="B9490" s="4" t="s">
        <v>11942</v>
      </c>
      <c r="C9490" s="5" t="str">
        <f>IFERROR(__xludf.DUMMYFUNCTION("GOOGLETRANSLATE(B9490,""en"",""de"")"),"Eine Frau steckt zwei Kristallgeschenke in eine weiße und rosa Schachtel.")</f>
        <v>Eine Frau steckt zwei Kristallgeschenke in eine weiße und rosa Schachtel.</v>
      </c>
    </row>
    <row r="9491">
      <c r="A9491" s="4" t="s">
        <v>11938</v>
      </c>
      <c r="B9491" s="4" t="s">
        <v>11943</v>
      </c>
      <c r="C9491" s="5" t="str">
        <f>IFERROR(__xludf.DUMMYFUNCTION("GOOGLETRANSLATE(B9491,""en"",""de"")"),"Eine Frau hält ein überdachtes Geschenk in Silberpapier.")</f>
        <v>Eine Frau hält ein überdachtes Geschenk in Silberpapier.</v>
      </c>
    </row>
    <row r="9492">
      <c r="A9492" s="4" t="s">
        <v>11938</v>
      </c>
      <c r="B9492" s="4" t="s">
        <v>11944</v>
      </c>
      <c r="C9492" s="5" t="str">
        <f>IFERROR(__xludf.DUMMYFUNCTION("GOOGLETRANSLATE(B9492,""en"",""de"")"),"Eine Frau legt eine Schmuckschachtel in eine Schachtel.")</f>
        <v>Eine Frau legt eine Schmuckschachtel in eine Schachtel.</v>
      </c>
    </row>
    <row r="9493">
      <c r="A9493" s="4" t="s">
        <v>11938</v>
      </c>
      <c r="B9493" s="4" t="s">
        <v>11945</v>
      </c>
      <c r="C9493" s="5" t="str">
        <f>IFERROR(__xludf.DUMMYFUNCTION("GOOGLETRANSLATE(B9493,""en"",""de"")"),"Die Frau präsentiert eine goldene Schüssel.")</f>
        <v>Die Frau präsentiert eine goldene Schüssel.</v>
      </c>
    </row>
    <row r="9494">
      <c r="A9494" s="4" t="s">
        <v>11938</v>
      </c>
      <c r="B9494" s="4" t="s">
        <v>11946</v>
      </c>
      <c r="C9494" s="5" t="str">
        <f>IFERROR(__xludf.DUMMYFUNCTION("GOOGLETRANSLATE(B9494,""en"",""de"")"),"Die Frau hält gestapelte, gewickelte Geschenke mit ihren Händen.")</f>
        <v>Die Frau hält gestapelte, gewickelte Geschenke mit ihren Händen.</v>
      </c>
    </row>
    <row r="9495">
      <c r="A9495" s="4" t="s">
        <v>11938</v>
      </c>
      <c r="B9495" s="4" t="s">
        <v>11947</v>
      </c>
      <c r="C9495" s="5" t="str">
        <f>IFERROR(__xludf.DUMMYFUNCTION("GOOGLETRANSLATE(B9495,""en"",""de"")"),"Die Frau bläst Glitzerpapiere aus der Handfläche.")</f>
        <v>Die Frau bläst Glitzerpapiere aus der Handfläche.</v>
      </c>
    </row>
    <row r="9496">
      <c r="A9496" s="4" t="s">
        <v>11938</v>
      </c>
      <c r="B9496" s="4" t="s">
        <v>11948</v>
      </c>
      <c r="C9496" s="5" t="str">
        <f>IFERROR(__xludf.DUMMYFUNCTION("GOOGLETRANSLATE(B9496,""en"",""de"")"),"Der Sponsor der Clips wird auf dem Bildschirm eingeführt und angezeigt.")</f>
        <v>Der Sponsor der Clips wird auf dem Bildschirm eingeführt und angezeigt.</v>
      </c>
    </row>
    <row r="9497">
      <c r="A9497" s="4" t="s">
        <v>11949</v>
      </c>
      <c r="B9497" s="4" t="s">
        <v>11950</v>
      </c>
      <c r="C9497" s="5" t="str">
        <f>IFERROR(__xludf.DUMMYFUNCTION("GOOGLETRANSLATE(B9497,""en"",""de"")"),"Es gibt einen Mann, der ein weißes Grafikhemd trägt und mit Bongo -Schlagzeug sitzt und einen Schlag auf die Trommeln trommelt.")</f>
        <v>Es gibt einen Mann, der ein weißes Grafikhemd trägt und mit Bongo -Schlagzeug sitzt und einen Schlag auf die Trommeln trommelt.</v>
      </c>
    </row>
    <row r="9498">
      <c r="A9498" s="4" t="s">
        <v>11949</v>
      </c>
      <c r="B9498" s="4" t="s">
        <v>11951</v>
      </c>
      <c r="C9498" s="5" t="str">
        <f>IFERROR(__xludf.DUMMYFUNCTION("GOOGLETRANSLATE(B9498,""en"",""de"")"),"Er trägt Kopfhörer, als er einen Schlag am Schlagzeug trommelt.")</f>
        <v>Er trägt Kopfhörer, als er einen Schlag am Schlagzeug trommelt.</v>
      </c>
    </row>
    <row r="9499">
      <c r="A9499" s="4" t="s">
        <v>11949</v>
      </c>
      <c r="B9499" s="4" t="s">
        <v>11952</v>
      </c>
      <c r="C9499" s="5" t="str">
        <f>IFERROR(__xludf.DUMMYFUNCTION("GOOGLETRANSLATE(B9499,""en"",""de"")"),"Er spielt weiter Schlagzeug.")</f>
        <v>Er spielt weiter Schlagzeug.</v>
      </c>
    </row>
    <row r="9500">
      <c r="A9500" s="4" t="s">
        <v>11949</v>
      </c>
      <c r="B9500" s="4" t="s">
        <v>11953</v>
      </c>
      <c r="C9500" s="5" t="str">
        <f>IFERROR(__xludf.DUMMYFUNCTION("GOOGLETRANSLATE(B9500,""en"",""de"")"),"Nach einer Weile ändert er den Takt, nachdem er für ein wenig Zeit innehielt.")</f>
        <v>Nach einer Weile ändert er den Takt, nachdem er für ein wenig Zeit innehielt.</v>
      </c>
    </row>
    <row r="9501">
      <c r="A9501" s="4" t="s">
        <v>11949</v>
      </c>
      <c r="B9501" s="4" t="s">
        <v>11954</v>
      </c>
      <c r="C9501" s="5" t="str">
        <f>IFERROR(__xludf.DUMMYFUNCTION("GOOGLETRANSLATE(B9501,""en"",""de"")"),"Dann spielt weiterhin ein weiterer Beat auf dem Schlagzeug.")</f>
        <v>Dann spielt weiterhin ein weiterer Beat auf dem Schlagzeug.</v>
      </c>
    </row>
    <row r="9502">
      <c r="A9502" s="4" t="s">
        <v>11949</v>
      </c>
      <c r="B9502" s="4" t="s">
        <v>11955</v>
      </c>
      <c r="C9502" s="5" t="str">
        <f>IFERROR(__xludf.DUMMYFUNCTION("GOOGLETRANSLATE(B9502,""en"",""de"")"),"Dann hält er ein bisschen an und ordnet die Trommeln um, um wieder zu spielen.")</f>
        <v>Dann hält er ein bisschen an und ordnet die Trommeln um, um wieder zu spielen.</v>
      </c>
    </row>
    <row r="9503">
      <c r="A9503" s="4" t="s">
        <v>11949</v>
      </c>
      <c r="B9503" s="4" t="s">
        <v>11956</v>
      </c>
      <c r="C9503" s="5" t="str">
        <f>IFERROR(__xludf.DUMMYFUNCTION("GOOGLETRANSLATE(B9503,""en"",""de"")"),"Eine andere Person trommelt Beats auf einem elektrischen Drum -Set mit mehreren Trommeln.")</f>
        <v>Eine andere Person trommelt Beats auf einem elektrischen Drum -Set mit mehreren Trommeln.</v>
      </c>
    </row>
    <row r="9504">
      <c r="A9504" s="4" t="s">
        <v>11957</v>
      </c>
      <c r="B9504" s="4" t="s">
        <v>11958</v>
      </c>
      <c r="C9504" s="5" t="str">
        <f>IFERROR(__xludf.DUMMYFUNCTION("GOOGLETRANSLATE(B9504,""en"",""de"")"),"Ein Mann ist zu sehen, der zu einem jungen Mädchen geht, das auf einer Bühne steht und Kampfkünste aufführt.")</f>
        <v>Ein Mann ist zu sehen, der zu einem jungen Mädchen geht, das auf einer Bühne steht und Kampfkünste aufführt.</v>
      </c>
    </row>
    <row r="9505">
      <c r="A9505" s="4" t="s">
        <v>11957</v>
      </c>
      <c r="B9505" s="4" t="s">
        <v>11959</v>
      </c>
      <c r="C9505" s="5" t="str">
        <f>IFERROR(__xludf.DUMMYFUNCTION("GOOGLETRANSLATE(B9505,""en"",""de"")"),"Sie führt am Ende mehrere Flips und Tricks und Bögen für einen Mann aus, während alle für sie klatschen.")</f>
        <v>Sie führt am Ende mehrere Flips und Tricks und Bögen für einen Mann aus, während alle für sie klatschen.</v>
      </c>
    </row>
    <row r="9506">
      <c r="A9506" s="4" t="s">
        <v>11960</v>
      </c>
      <c r="B9506" s="4" t="s">
        <v>11961</v>
      </c>
      <c r="C9506" s="5" t="str">
        <f>IFERROR(__xludf.DUMMYFUNCTION("GOOGLETRANSLATE(B9506,""en"",""de"")"),"Der Mann in schwarzem Hemd und blaue Jeans rollt einen alten roten Teppich und staubsaugt den Boden.")</f>
        <v>Der Mann in schwarzem Hemd und blaue Jeans rollt einen alten roten Teppich und staubsaugt den Boden.</v>
      </c>
    </row>
    <row r="9507">
      <c r="A9507" s="4" t="s">
        <v>11960</v>
      </c>
      <c r="B9507" s="4" t="s">
        <v>11962</v>
      </c>
      <c r="C9507" s="5" t="str">
        <f>IFERROR(__xludf.DUMMYFUNCTION("GOOGLETRANSLATE(B9507,""en"",""de"")"),"Dann füllt er den neuen grauen Teppich aus, installiert ihn, indem er ihn schneidet und den Teppich auf dem Boden festnagelte. Er entfernte den überschüssigen Teppich an der Wand, flach ihn mit einem Werkzeug ab und vakuum, sobald die Installation abgesch"&amp;"lossen ist.")</f>
        <v>Dann füllt er den neuen grauen Teppich aus, installiert ihn, indem er ihn schneidet und den Teppich auf dem Boden festnagelte. Er entfernte den überschüssigen Teppich an der Wand, flach ihn mit einem Werkzeug ab und vakuum, sobald die Installation abgeschlossen ist.</v>
      </c>
    </row>
    <row r="9508">
      <c r="A9508" s="4" t="s">
        <v>11963</v>
      </c>
      <c r="B9508" s="4" t="s">
        <v>11964</v>
      </c>
      <c r="C9508" s="5" t="str">
        <f>IFERROR(__xludf.DUMMYFUNCTION("GOOGLETRANSLATE(B9508,""en"",""de"")"),"Ein Intro führt zu einer Kamera, die sich an verschiedenen Schneestellen umsetzt, wobei sich Menschen bewegen und Pflüge bewegt.")</f>
        <v>Ein Intro führt zu einer Kamera, die sich an verschiedenen Schneestellen umsetzt, wobei sich Menschen bewegen und Pflüge bewegt.</v>
      </c>
    </row>
    <row r="9509">
      <c r="A9509" s="4" t="s">
        <v>11963</v>
      </c>
      <c r="B9509" s="4" t="s">
        <v>11965</v>
      </c>
      <c r="C9509" s="5" t="str">
        <f>IFERROR(__xludf.DUMMYFUNCTION("GOOGLETRANSLATE(B9509,""en"",""de"")"),"Die Kamera zeigt mehrere verschiedene Menschen, die sich dehnen und aufwärmen, gefolgt von zwei Menschen, die überfallen und aufstehen.")</f>
        <v>Die Kamera zeigt mehrere verschiedene Menschen, die sich dehnen und aufwärmen, gefolgt von zwei Menschen, die überfallen und aufstehen.</v>
      </c>
    </row>
    <row r="9510">
      <c r="A9510" s="4" t="s">
        <v>11963</v>
      </c>
      <c r="B9510" s="4" t="s">
        <v>11966</v>
      </c>
      <c r="C9510" s="5" t="str">
        <f>IFERROR(__xludf.DUMMYFUNCTION("GOOGLETRANSLATE(B9510,""en"",""de"")"),"Es werden mehrere Clips von Schneeboardern gezeigt, die Tricks auf einem Berg sowie Sprünge und Mahlen ausführen.")</f>
        <v>Es werden mehrere Clips von Schneeboardern gezeigt, die Tricks auf einem Berg sowie Sprünge und Mahlen ausführen.</v>
      </c>
    </row>
    <row r="9511">
      <c r="A9511" s="4" t="s">
        <v>11967</v>
      </c>
      <c r="B9511" s="4" t="s">
        <v>11968</v>
      </c>
      <c r="C9511" s="5" t="str">
        <f>IFERROR(__xludf.DUMMYFUNCTION("GOOGLETRANSLATE(B9511,""en"",""de"")"),"Ein Mann rennt auf dem Feld eines Sportspiels.")</f>
        <v>Ein Mann rennt auf dem Feld eines Sportspiels.</v>
      </c>
    </row>
    <row r="9512">
      <c r="A9512" s="4" t="s">
        <v>11967</v>
      </c>
      <c r="B9512" s="4" t="s">
        <v>11969</v>
      </c>
      <c r="C9512" s="5" t="str">
        <f>IFERROR(__xludf.DUMMYFUNCTION("GOOGLETRANSLATE(B9512,""en"",""de"")"),"Cricket -Spieler sind während eines Spiels in einem großen Stadion Bälle.")</f>
        <v>Cricket -Spieler sind während eines Spiels in einem großen Stadion Bälle.</v>
      </c>
    </row>
    <row r="9513">
      <c r="A9513" s="4" t="s">
        <v>11967</v>
      </c>
      <c r="B9513" s="4" t="s">
        <v>11970</v>
      </c>
      <c r="C9513" s="5" t="str">
        <f>IFERROR(__xludf.DUMMYFUNCTION("GOOGLETRANSLATE(B9513,""en"",""de"")"),"Der Cricket -Spieler trifft eine Hoch -Pop -Fliege, die gefangen wird.")</f>
        <v>Der Cricket -Spieler trifft eine Hoch -Pop -Fliege, die gefangen wird.</v>
      </c>
    </row>
    <row r="9514">
      <c r="A9514" s="4" t="s">
        <v>11967</v>
      </c>
      <c r="B9514" s="4" t="s">
        <v>11971</v>
      </c>
      <c r="C9514" s="5" t="str">
        <f>IFERROR(__xludf.DUMMYFUNCTION("GOOGLETRANSLATE(B9514,""en"",""de"")"),"Die Cricket -Spieler posieren für Fotos.")</f>
        <v>Die Cricket -Spieler posieren für Fotos.</v>
      </c>
    </row>
    <row r="9515">
      <c r="A9515" s="4" t="s">
        <v>11967</v>
      </c>
      <c r="B9515" s="4" t="s">
        <v>11972</v>
      </c>
      <c r="C9515" s="5" t="str">
        <f>IFERROR(__xludf.DUMMYFUNCTION("GOOGLETRANSLATE(B9515,""en"",""de"")"),"Die Spieler stehen alle für ein Rennen auf der angrenzenden Strecke.")</f>
        <v>Die Spieler stehen alle für ein Rennen auf der angrenzenden Strecke.</v>
      </c>
    </row>
    <row r="9516">
      <c r="A9516" s="4" t="s">
        <v>11973</v>
      </c>
      <c r="B9516" s="4" t="s">
        <v>11974</v>
      </c>
      <c r="C9516" s="5" t="str">
        <f>IFERROR(__xludf.DUMMYFUNCTION("GOOGLETRANSLATE(B9516,""en"",""de"")"),"Ein Intro von Text führt zu mehreren Clips von Athleten, die Speer in die Ferne werfen.")</f>
        <v>Ein Intro von Text führt zu mehreren Clips von Athleten, die Speer in die Ferne werfen.</v>
      </c>
    </row>
    <row r="9517">
      <c r="A9517" s="4" t="s">
        <v>11973</v>
      </c>
      <c r="B9517" s="4" t="s">
        <v>11975</v>
      </c>
      <c r="C9517" s="5" t="str">
        <f>IFERROR(__xludf.DUMMYFUNCTION("GOOGLETRANSLATE(B9517,""en"",""de"")"),"Das Video setzt sich fort, wobei mehrere weitere Athleten gezeigt werden, die beeindruckende Würfe mit dem Speer führen.")</f>
        <v>Das Video setzt sich fort, wobei mehrere weitere Athleten gezeigt werden, die beeindruckende Würfe mit dem Speer führen.</v>
      </c>
    </row>
    <row r="9518">
      <c r="A9518" s="4" t="s">
        <v>11976</v>
      </c>
      <c r="B9518" s="4" t="s">
        <v>11977</v>
      </c>
      <c r="C9518" s="5" t="str">
        <f>IFERROR(__xludf.DUMMYFUNCTION("GOOGLETRANSLATE(B9518,""en"",""de"")"),"Ein Mann in einer roten Jacke spricht auf einer Eisbahn.")</f>
        <v>Ein Mann in einer roten Jacke spricht auf einer Eisbahn.</v>
      </c>
    </row>
    <row r="9519">
      <c r="A9519" s="4" t="s">
        <v>11976</v>
      </c>
      <c r="B9519" s="4" t="s">
        <v>11978</v>
      </c>
      <c r="C9519" s="5" t="str">
        <f>IFERROR(__xludf.DUMMYFUNCTION("GOOGLETRANSLATE(B9519,""en"",""de"")"),"Mehrere Leute spielen Hockey auf dem Eis.")</f>
        <v>Mehrere Leute spielen Hockey auf dem Eis.</v>
      </c>
    </row>
    <row r="9520">
      <c r="A9520" s="4" t="s">
        <v>11976</v>
      </c>
      <c r="B9520" s="4" t="s">
        <v>11979</v>
      </c>
      <c r="C9520" s="5" t="str">
        <f>IFERROR(__xludf.DUMMYFUNCTION("GOOGLETRANSLATE(B9520,""en"",""de"")"),"Er umarmt einen anderen Spieler.")</f>
        <v>Er umarmt einen anderen Spieler.</v>
      </c>
    </row>
    <row r="9521">
      <c r="A9521" s="4" t="s">
        <v>11980</v>
      </c>
      <c r="B9521" s="4" t="s">
        <v>11981</v>
      </c>
      <c r="C9521" s="5" t="str">
        <f>IFERROR(__xludf.DUMMYFUNCTION("GOOGLETRANSLATE(B9521,""en"",""de"")"),"Der Mensch fährt ein Motorrad in einem staubigen Pfad in einer Kuppel.")</f>
        <v>Der Mensch fährt ein Motorrad in einem staubigen Pfad in einer Kuppel.</v>
      </c>
    </row>
    <row r="9522">
      <c r="A9522" s="4" t="s">
        <v>11980</v>
      </c>
      <c r="B9522" s="4" t="s">
        <v>11982</v>
      </c>
      <c r="C9522" s="5" t="str">
        <f>IFERROR(__xludf.DUMMYFUNCTION("GOOGLETRANSLATE(B9522,""en"",""de"")"),"Motorräder fahren Fahrräder, die Motocross in einem Feld in einer Kuppel machen.")</f>
        <v>Motorräder fahren Fahrräder, die Motocross in einem Feld in einer Kuppel machen.</v>
      </c>
    </row>
    <row r="9523">
      <c r="A9523" s="4" t="s">
        <v>11980</v>
      </c>
      <c r="B9523" s="4" t="s">
        <v>11983</v>
      </c>
      <c r="C9523" s="5" t="str">
        <f>IFERROR(__xludf.DUMMYFUNCTION("GOOGLETRANSLATE(B9523,""en"",""de"")"),"Die Menschen sind in einem Wettbewerb in Fahrrädern.")</f>
        <v>Die Menschen sind in einem Wettbewerb in Fahrrädern.</v>
      </c>
    </row>
    <row r="9524">
      <c r="A9524" s="4" t="s">
        <v>11984</v>
      </c>
      <c r="B9524" s="4" t="s">
        <v>11985</v>
      </c>
      <c r="C9524" s="5" t="str">
        <f>IFERROR(__xludf.DUMMYFUNCTION("GOOGLETRANSLATE(B9524,""en"",""de"")"),"Ein Mann steht neben einem Haufen Holzhalterwerkzeuge auf seinen Schultern.")</f>
        <v>Ein Mann steht neben einem Haufen Holzhalterwerkzeuge auf seinen Schultern.</v>
      </c>
    </row>
    <row r="9525">
      <c r="A9525" s="4" t="s">
        <v>11984</v>
      </c>
      <c r="B9525" s="4" t="s">
        <v>11986</v>
      </c>
      <c r="C9525" s="5" t="str">
        <f>IFERROR(__xludf.DUMMYFUNCTION("GOOGLETRANSLATE(B9525,""en"",""de"")"),"Der Mann benutzt eine große Axt, um Baumstämme zu hacken, die in einem grasbewachsenen Bereich aufrecht stehen.")</f>
        <v>Der Mann benutzt eine große Axt, um Baumstämme zu hacken, die in einem grasbewachsenen Bereich aufrecht stehen.</v>
      </c>
    </row>
    <row r="9526">
      <c r="A9526" s="4" t="s">
        <v>11987</v>
      </c>
      <c r="B9526" s="4" t="s">
        <v>11988</v>
      </c>
      <c r="C9526" s="5" t="str">
        <f>IFERROR(__xludf.DUMMYFUNCTION("GOOGLETRANSLATE(B9526,""en"",""de"")"),"Zwei Männer spielen zusammen Ping Pong, ein Mann trägt einen schwarzen Anzug, der Typ im schwarzen Anzug hat einen einzigartigen Stil.")</f>
        <v>Zwei Männer spielen zusammen Ping Pong, ein Mann trägt einen schwarzen Anzug, der Typ im schwarzen Anzug hat einen einzigartigen Stil.</v>
      </c>
    </row>
    <row r="9527">
      <c r="A9527" s="4" t="s">
        <v>11987</v>
      </c>
      <c r="B9527" s="4" t="s">
        <v>11989</v>
      </c>
      <c r="C9527" s="5" t="str">
        <f>IFERROR(__xludf.DUMMYFUNCTION("GOOGLETRANSLATE(B9527,""en"",""de"")"),"Der Mann im schwarzen Anzug verspannt den Ping -Pong -Ball und feiert.")</f>
        <v>Der Mann im schwarzen Anzug verspannt den Ping -Pong -Ball und feiert.</v>
      </c>
    </row>
    <row r="9528">
      <c r="A9528" s="4" t="s">
        <v>11987</v>
      </c>
      <c r="B9528" s="4" t="s">
        <v>11990</v>
      </c>
      <c r="C9528" s="5" t="str">
        <f>IFERROR(__xludf.DUMMYFUNCTION("GOOGLETRANSLATE(B9528,""en"",""de"")"),"Die Kamera -Szene wechselt, um die Spieler aus einer anderen Perspektive zu zeigen. Der Player im schwarzen Anzug macht einen weiteren Spike auf dem Ball.")</f>
        <v>Die Kamera -Szene wechselt, um die Spieler aus einer anderen Perspektive zu zeigen. Der Player im schwarzen Anzug macht einen weiteren Spike auf dem Ball.</v>
      </c>
    </row>
    <row r="9529">
      <c r="A9529" s="4" t="s">
        <v>11987</v>
      </c>
      <c r="B9529" s="4" t="s">
        <v>11991</v>
      </c>
      <c r="C9529" s="5" t="str">
        <f>IFERROR(__xludf.DUMMYFUNCTION("GOOGLETRANSLATE(B9529,""en"",""de"")"),"Jetzt spielen zwei Spieler den Spieler gleichzeitig im schwarzen Anzug, er hat den Ball auf beide Spieler versetzt.")</f>
        <v>Jetzt spielen zwei Spieler den Spieler gleichzeitig im schwarzen Anzug, er hat den Ball auf beide Spieler versetzt.</v>
      </c>
    </row>
    <row r="9530">
      <c r="A9530" s="4" t="s">
        <v>11987</v>
      </c>
      <c r="B9530" s="4" t="s">
        <v>11992</v>
      </c>
      <c r="C9530" s="5" t="str">
        <f>IFERROR(__xludf.DUMMYFUNCTION("GOOGLETRANSLATE(B9530,""en"",""de"")"),"Der Mann im schwarzen Anzug nutzt Nunchucks, um Ping -Pong zu spielen. Sie haben jetzt 4 Spieler gegen ihn spielen, der Mann im schwarzen Anzug verspottet sie, indem er beim Spielen ein Buch liest. Er macht auch die Ping -Pong -Bälle, nimmt einen Schluck "&amp;"von Wasser und nimmt wieder auf, der Mann beginnt über sie zu lachen, und die Männer sind frustriert.")</f>
        <v>Der Mann im schwarzen Anzug nutzt Nunchucks, um Ping -Pong zu spielen. Sie haben jetzt 4 Spieler gegen ihn spielen, der Mann im schwarzen Anzug verspottet sie, indem er beim Spielen ein Buch liest. Er macht auch die Ping -Pong -Bälle, nimmt einen Schluck von Wasser und nimmt wieder auf, der Mann beginnt über sie zu lachen, und die Männer sind frustriert.</v>
      </c>
    </row>
    <row r="9531">
      <c r="A9531" s="4" t="s">
        <v>11987</v>
      </c>
      <c r="B9531" s="4" t="s">
        <v>11993</v>
      </c>
      <c r="C9531" s="5" t="str">
        <f>IFERROR(__xludf.DUMMYFUNCTION("GOOGLETRANSLATE(B9531,""en"",""de"")"),"Ein letzter Herausforderer kommt und geht auf ihn zu.")</f>
        <v>Ein letzter Herausforderer kommt und geht auf ihn zu.</v>
      </c>
    </row>
    <row r="9532">
      <c r="A9532" s="4" t="s">
        <v>11987</v>
      </c>
      <c r="B9532" s="4" t="s">
        <v>11994</v>
      </c>
      <c r="C9532" s="5" t="str">
        <f>IFERROR(__xludf.DUMMYFUNCTION("GOOGLETRANSLATE(B9532,""en"",""de"")"),"Der Herausforderer verspannt den Ball so hart, dass er ihn tötet.")</f>
        <v>Der Herausforderer verspannt den Ball so hart, dass er ihn tötet.</v>
      </c>
    </row>
    <row r="9533">
      <c r="A9533" s="4" t="s">
        <v>11995</v>
      </c>
      <c r="B9533" s="4" t="s">
        <v>11996</v>
      </c>
      <c r="C9533" s="5" t="str">
        <f>IFERROR(__xludf.DUMMYFUNCTION("GOOGLETRANSLATE(B9533,""en"",""de"")"),"Zwei Personen von vorne nach vorne auf dem Boden mit einem Stock in einem Fitnessstudio.")</f>
        <v>Zwei Personen von vorne nach vorne auf dem Boden mit einem Stock in einem Fitnessstudio.</v>
      </c>
    </row>
    <row r="9534">
      <c r="A9534" s="4" t="s">
        <v>11995</v>
      </c>
      <c r="B9534" s="4" t="s">
        <v>11997</v>
      </c>
      <c r="C9534" s="5" t="str">
        <f>IFERROR(__xludf.DUMMYFUNCTION("GOOGLETRANSLATE(B9534,""en"",""de"")"),"Ein Mann passieren vor einer Uhr vor der Vorderseite.")</f>
        <v>Ein Mann passieren vor einer Uhr vor der Vorderseite.</v>
      </c>
    </row>
    <row r="9535">
      <c r="A9535" s="4" t="s">
        <v>11998</v>
      </c>
      <c r="B9535" s="4" t="s">
        <v>11999</v>
      </c>
      <c r="C9535" s="5" t="str">
        <f>IFERROR(__xludf.DUMMYFUNCTION("GOOGLETRANSLATE(B9535,""en"",""de"")"),"Eine Dame sitzt und diskutiert drinnen.")</f>
        <v>Eine Dame sitzt und diskutiert drinnen.</v>
      </c>
    </row>
    <row r="9536">
      <c r="A9536" s="4" t="s">
        <v>11998</v>
      </c>
      <c r="B9536" s="4" t="s">
        <v>12000</v>
      </c>
      <c r="C9536" s="5" t="str">
        <f>IFERROR(__xludf.DUMMYFUNCTION("GOOGLETRANSLATE(B9536,""en"",""de"")"),"Die Dame zeigt ihre bemalten Nägel.")</f>
        <v>Die Dame zeigt ihre bemalten Nägel.</v>
      </c>
    </row>
    <row r="9537">
      <c r="A9537" s="4" t="s">
        <v>11998</v>
      </c>
      <c r="B9537" s="4" t="s">
        <v>12001</v>
      </c>
      <c r="C9537" s="5" t="str">
        <f>IFERROR(__xludf.DUMMYFUNCTION("GOOGLETRANSLATE(B9537,""en"",""de"")"),"Die Dame präsentiert ihre Nagellacke.")</f>
        <v>Die Dame präsentiert ihre Nagellacke.</v>
      </c>
    </row>
    <row r="9538">
      <c r="A9538" s="4" t="s">
        <v>11998</v>
      </c>
      <c r="B9538" s="4" t="s">
        <v>12002</v>
      </c>
      <c r="C9538" s="5" t="str">
        <f>IFERROR(__xludf.DUMMYFUNCTION("GOOGLETRANSLATE(B9538,""en"",""de"")"),"Die Dame malt ihr Fingernagel.")</f>
        <v>Die Dame malt ihr Fingernagel.</v>
      </c>
    </row>
    <row r="9539">
      <c r="A9539" s="4" t="s">
        <v>11998</v>
      </c>
      <c r="B9539" s="4" t="s">
        <v>12003</v>
      </c>
      <c r="C9539" s="5" t="str">
        <f>IFERROR(__xludf.DUMMYFUNCTION("GOOGLETRANSLATE(B9539,""en"",""de"")"),"Der Nagellack auf einen Ordner und verwendet sie, um ihren Fingernagel zu verschönern.")</f>
        <v>Der Nagellack auf einen Ordner und verwendet sie, um ihren Fingernagel zu verschönern.</v>
      </c>
    </row>
    <row r="9540">
      <c r="A9540" s="4" t="s">
        <v>11998</v>
      </c>
      <c r="B9540" s="4" t="s">
        <v>12004</v>
      </c>
      <c r="C9540" s="5" t="str">
        <f>IFERROR(__xludf.DUMMYFUNCTION("GOOGLETRANSLATE(B9540,""en"",""de"")"),"Die Dame hebt ihren Fuß und zeigt ihre Socke.")</f>
        <v>Die Dame hebt ihren Fuß und zeigt ihre Socke.</v>
      </c>
    </row>
    <row r="9541">
      <c r="A9541" s="4" t="s">
        <v>11998</v>
      </c>
      <c r="B9541" s="4" t="s">
        <v>1251</v>
      </c>
      <c r="C9541" s="5" t="str">
        <f>IFERROR(__xludf.DUMMYFUNCTION("GOOGLETRANSLATE(B9541,""en"",""de"")"),"Die Credits des Clips werden angezeigt.")</f>
        <v>Die Credits des Clips werden angezeigt.</v>
      </c>
    </row>
    <row r="9542">
      <c r="A9542" s="4" t="s">
        <v>12005</v>
      </c>
      <c r="B9542" s="4" t="s">
        <v>12006</v>
      </c>
      <c r="C9542" s="5" t="str">
        <f>IFERROR(__xludf.DUMMYFUNCTION("GOOGLETRANSLATE(B9542,""en"",""de"")"),"Das Thema des Videos zeigt, wie man Foosball spielt.")</f>
        <v>Das Thema des Videos zeigt, wie man Foosball spielt.</v>
      </c>
    </row>
    <row r="9543">
      <c r="A9543" s="4" t="s">
        <v>12005</v>
      </c>
      <c r="B9543" s="4" t="s">
        <v>12007</v>
      </c>
      <c r="C9543" s="5" t="str">
        <f>IFERROR(__xludf.DUMMYFUNCTION("GOOGLETRANSLATE(B9543,""en"",""de"")"),"Es beginnt mit einem Titelbildschirm.")</f>
        <v>Es beginnt mit einem Titelbildschirm.</v>
      </c>
    </row>
    <row r="9544">
      <c r="A9544" s="4" t="s">
        <v>12005</v>
      </c>
      <c r="B9544" s="4" t="s">
        <v>12008</v>
      </c>
      <c r="C9544" s="5" t="str">
        <f>IFERROR(__xludf.DUMMYFUNCTION("GOOGLETRANSLATE(B9544,""en"",""de"")"),"Dann wird ein Clip von einem kleinen Jungen gezeigt, der eine Kugel wie ein Augapfel auf einen Tischstofftisch setzt.")</f>
        <v>Dann wird ein Clip von einem kleinen Jungen gezeigt, der eine Kugel wie ein Augapfel auf einen Tischstofftisch setzt.</v>
      </c>
    </row>
    <row r="9545">
      <c r="A9545" s="4" t="s">
        <v>12005</v>
      </c>
      <c r="B9545" s="4" t="s">
        <v>12009</v>
      </c>
      <c r="C9545" s="5" t="str">
        <f>IFERROR(__xludf.DUMMYFUNCTION("GOOGLETRANSLATE(B9545,""en"",""de"")"),"Ein Bildschirm mit Wörtern wird angezeigt.")</f>
        <v>Ein Bildschirm mit Wörtern wird angezeigt.</v>
      </c>
    </row>
    <row r="9546">
      <c r="A9546" s="4" t="s">
        <v>12005</v>
      </c>
      <c r="B9546" s="4" t="s">
        <v>12010</v>
      </c>
      <c r="C9546" s="5" t="str">
        <f>IFERROR(__xludf.DUMMYFUNCTION("GOOGLETRANSLATE(B9546,""en"",""de"")"),"Dann wird ein Clip aus zwei Jungen gezeigt, die mit dem Foosballtisch spielen, von denen einer während des Spielens eine Zeitschrift liest.")</f>
        <v>Dann wird ein Clip aus zwei Jungen gezeigt, die mit dem Foosballtisch spielen, von denen einer während des Spielens eine Zeitschrift liest.</v>
      </c>
    </row>
    <row r="9547">
      <c r="A9547" s="4" t="s">
        <v>12005</v>
      </c>
      <c r="B9547" s="4" t="s">
        <v>12011</v>
      </c>
      <c r="C9547" s="5" t="str">
        <f>IFERROR(__xludf.DUMMYFUNCTION("GOOGLETRANSLATE(B9547,""en"",""de"")"),"Mehrere zusätzliche Clips zeigen, wie die Jungen auf unterschiedliche Weise Foosball spielen.")</f>
        <v>Mehrere zusätzliche Clips zeigen, wie die Jungen auf unterschiedliche Weise Foosball spielen.</v>
      </c>
    </row>
    <row r="9548">
      <c r="A9548" s="4" t="s">
        <v>12005</v>
      </c>
      <c r="B9548" s="4" t="s">
        <v>12012</v>
      </c>
      <c r="C9548" s="5" t="str">
        <f>IFERROR(__xludf.DUMMYFUNCTION("GOOGLETRANSLATE(B9548,""en"",""de"")"),"Das Video endet damit, dass einer der Jungen beim Spielen einschläft.")</f>
        <v>Das Video endet damit, dass einer der Jungen beim Spielen einschläft.</v>
      </c>
    </row>
    <row r="9549">
      <c r="A9549" s="4" t="s">
        <v>12013</v>
      </c>
      <c r="B9549" s="4" t="s">
        <v>12014</v>
      </c>
      <c r="C9549" s="5" t="str">
        <f>IFERROR(__xludf.DUMMYFUNCTION("GOOGLETRANSLATE(B9549,""en"",""de"")"),"Eine Gruppe von Kindern posiert mit den Armen in der Luft.")</f>
        <v>Eine Gruppe von Kindern posiert mit den Armen in der Luft.</v>
      </c>
    </row>
    <row r="9550">
      <c r="A9550" s="4" t="s">
        <v>12013</v>
      </c>
      <c r="B9550" s="4" t="s">
        <v>12015</v>
      </c>
      <c r="C9550" s="5" t="str">
        <f>IFERROR(__xludf.DUMMYFUNCTION("GOOGLETRANSLATE(B9550,""en"",""de"")"),"Eine andere Gruppe von Kindern Posen hält Friedenszeichen auf.")</f>
        <v>Eine andere Gruppe von Kindern Posen hält Friedenszeichen auf.</v>
      </c>
    </row>
    <row r="9551">
      <c r="A9551" s="4" t="s">
        <v>12013</v>
      </c>
      <c r="B9551" s="4" t="s">
        <v>12016</v>
      </c>
      <c r="C9551" s="5" t="str">
        <f>IFERROR(__xludf.DUMMYFUNCTION("GOOGLETRANSLATE(B9551,""en"",""de"")"),"Eine dritte Gruppe von Kindern posiert mit ihren Armen umeinander.")</f>
        <v>Eine dritte Gruppe von Kindern posiert mit ihren Armen umeinander.</v>
      </c>
    </row>
    <row r="9552">
      <c r="A9552" s="4" t="s">
        <v>12013</v>
      </c>
      <c r="B9552" s="4" t="s">
        <v>12017</v>
      </c>
      <c r="C9552" s="5" t="str">
        <f>IFERROR(__xludf.DUMMYFUNCTION("GOOGLETRANSLATE(B9552,""en"",""de"")"),"Eine vierte Gruppe von Kindern posiert mit offenem Mund.")</f>
        <v>Eine vierte Gruppe von Kindern posiert mit offenem Mund.</v>
      </c>
    </row>
    <row r="9553">
      <c r="A9553" s="4" t="s">
        <v>12013</v>
      </c>
      <c r="B9553" s="4" t="s">
        <v>12018</v>
      </c>
      <c r="C9553" s="5" t="str">
        <f>IFERROR(__xludf.DUMMYFUNCTION("GOOGLETRANSLATE(B9553,""en"",""de"")"),"Eine fünfte Gruppe von Kindern posiert lächelnd.")</f>
        <v>Eine fünfte Gruppe von Kindern posiert lächelnd.</v>
      </c>
    </row>
    <row r="9554">
      <c r="A9554" s="4" t="s">
        <v>12013</v>
      </c>
      <c r="B9554" s="4" t="s">
        <v>12019</v>
      </c>
      <c r="C9554" s="5" t="str">
        <f>IFERROR(__xludf.DUMMYFUNCTION("GOOGLETRANSLATE(B9554,""en"",""de"")"),"Eine Gruppe von Kindern steht in einem Fitnessstudio auf einer Reihe.")</f>
        <v>Eine Gruppe von Kindern steht in einem Fitnessstudio auf einer Reihe.</v>
      </c>
    </row>
    <row r="9555">
      <c r="A9555" s="4" t="s">
        <v>12013</v>
      </c>
      <c r="B9555" s="4" t="s">
        <v>12020</v>
      </c>
      <c r="C9555" s="5" t="str">
        <f>IFERROR(__xludf.DUMMYFUNCTION("GOOGLETRANSLATE(B9555,""en"",""de"")"),"Ein Mädchen dreht sich über das Fitnessstudio.")</f>
        <v>Ein Mädchen dreht sich über das Fitnessstudio.</v>
      </c>
    </row>
    <row r="9556">
      <c r="A9556" s="4" t="s">
        <v>12013</v>
      </c>
      <c r="B9556" s="4" t="s">
        <v>12021</v>
      </c>
      <c r="C9556" s="5" t="str">
        <f>IFERROR(__xludf.DUMMYFUNCTION("GOOGLETRANSLATE(B9556,""en"",""de"")"),"Ein kleiner Junge springt auf einen Dodge -Ball.")</f>
        <v>Ein kleiner Junge springt auf einen Dodge -Ball.</v>
      </c>
    </row>
    <row r="9557">
      <c r="A9557" s="4" t="s">
        <v>12013</v>
      </c>
      <c r="B9557" s="4" t="s">
        <v>12022</v>
      </c>
      <c r="C9557" s="5" t="str">
        <f>IFERROR(__xludf.DUMMYFUNCTION("GOOGLETRANSLATE(B9557,""en"",""de"")"),"Eine Gruppe von Kindern in Blau rennt alle in die Mitte des Fitnessstudio.")</f>
        <v>Eine Gruppe von Kindern in Blau rennt alle in die Mitte des Fitnessstudio.</v>
      </c>
    </row>
    <row r="9558">
      <c r="A9558" s="4" t="s">
        <v>12013</v>
      </c>
      <c r="B9558" s="4" t="s">
        <v>12023</v>
      </c>
      <c r="C9558" s="5" t="str">
        <f>IFERROR(__xludf.DUMMYFUNCTION("GOOGLETRANSLATE(B9558,""en"",""de"")"),"Ein kleiner Junge zielt auf einen Dodge -Ball auf eine Gruppe von Kindern auf der gegenüberliegenden Seite des Fitnessstudio und wirft den Ball, der einen von ihnen schlägt.")</f>
        <v>Ein kleiner Junge zielt auf einen Dodge -Ball auf eine Gruppe von Kindern auf der gegenüberliegenden Seite des Fitnessstudio und wirft den Ball, der einen von ihnen schlägt.</v>
      </c>
    </row>
    <row r="9559">
      <c r="A9559" s="4" t="s">
        <v>12013</v>
      </c>
      <c r="B9559" s="4" t="s">
        <v>12024</v>
      </c>
      <c r="C9559" s="5" t="str">
        <f>IFERROR(__xludf.DUMMYFUNCTION("GOOGLETRANSLATE(B9559,""en"",""de"")"),"Ein kleiner Junge in Blau feiert.")</f>
        <v>Ein kleiner Junge in Blau feiert.</v>
      </c>
    </row>
    <row r="9560">
      <c r="A9560" s="4" t="s">
        <v>12013</v>
      </c>
      <c r="B9560" s="4" t="s">
        <v>12025</v>
      </c>
      <c r="C9560" s="5" t="str">
        <f>IFERROR(__xludf.DUMMYFUNCTION("GOOGLETRANSLATE(B9560,""en"",""de"")"),"Ein anderer älterer Junge in Blue wirft einen Dodge -Ball.")</f>
        <v>Ein anderer älterer Junge in Blue wirft einen Dodge -Ball.</v>
      </c>
    </row>
    <row r="9561">
      <c r="A9561" s="4" t="s">
        <v>12013</v>
      </c>
      <c r="B9561" s="4" t="s">
        <v>12026</v>
      </c>
      <c r="C9561" s="5" t="str">
        <f>IFERROR(__xludf.DUMMYFUNCTION("GOOGLETRANSLATE(B9561,""en"",""de"")"),"Ein kleiner Junge rennt zur Linie und hält zwei Bälle und wirft einen von ihnen.")</f>
        <v>Ein kleiner Junge rennt zur Linie und hält zwei Bälle und wirft einen von ihnen.</v>
      </c>
    </row>
    <row r="9562">
      <c r="A9562" s="4" t="s">
        <v>12013</v>
      </c>
      <c r="B9562" s="4" t="s">
        <v>12027</v>
      </c>
      <c r="C9562" s="5" t="str">
        <f>IFERROR(__xludf.DUMMYFUNCTION("GOOGLETRANSLATE(B9562,""en"",""de"")"),"Ein Junge in Blue wirft einen Ball, während ein Junge hinter ihm rennt.")</f>
        <v>Ein Junge in Blue wirft einen Ball, während ein Junge hinter ihm rennt.</v>
      </c>
    </row>
    <row r="9563">
      <c r="A9563" s="4" t="s">
        <v>12013</v>
      </c>
      <c r="B9563" s="4" t="s">
        <v>12028</v>
      </c>
      <c r="C9563" s="5" t="str">
        <f>IFERROR(__xludf.DUMMYFUNCTION("GOOGLETRANSLATE(B9563,""en"",""de"")"),"Ein Junge in Pink wirft einen Ball.")</f>
        <v>Ein Junge in Pink wirft einen Ball.</v>
      </c>
    </row>
    <row r="9564">
      <c r="A9564" s="4" t="s">
        <v>12013</v>
      </c>
      <c r="B9564" s="4" t="s">
        <v>12029</v>
      </c>
      <c r="C9564" s="5" t="str">
        <f>IFERROR(__xludf.DUMMYFUNCTION("GOOGLETRANSLATE(B9564,""en"",""de"")"),"Ein kleiner Junge in Weiß taucht ab und ein Ball fliegt über seinen Kopf.")</f>
        <v>Ein kleiner Junge in Weiß taucht ab und ein Ball fliegt über seinen Kopf.</v>
      </c>
    </row>
    <row r="9565">
      <c r="A9565" s="4" t="s">
        <v>12013</v>
      </c>
      <c r="B9565" s="4" t="s">
        <v>12030</v>
      </c>
      <c r="C9565" s="5" t="str">
        <f>IFERROR(__xludf.DUMMYFUNCTION("GOOGLETRANSLATE(B9565,""en"",""de"")"),"Ein Junge in Pink und dann ein Mädchen in Pink werfen einen Ball.")</f>
        <v>Ein Junge in Pink und dann ein Mädchen in Pink werfen einen Ball.</v>
      </c>
    </row>
    <row r="9566">
      <c r="A9566" s="4" t="s">
        <v>12013</v>
      </c>
      <c r="B9566" s="4" t="s">
        <v>12031</v>
      </c>
      <c r="C9566" s="5" t="str">
        <f>IFERROR(__xludf.DUMMYFUNCTION("GOOGLETRANSLATE(B9566,""en"",""de"")"),"Mehrere Kinder in Weiß feiern.")</f>
        <v>Mehrere Kinder in Weiß feiern.</v>
      </c>
    </row>
    <row r="9567">
      <c r="A9567" s="4" t="s">
        <v>12013</v>
      </c>
      <c r="B9567" s="4" t="s">
        <v>12032</v>
      </c>
      <c r="C9567" s="5" t="str">
        <f>IFERROR(__xludf.DUMMYFUNCTION("GOOGLETRANSLATE(B9567,""en"",""de"")"),"Eine Gruppe von Kindern rennt in die Mitte des Fitnessstudio.")</f>
        <v>Eine Gruppe von Kindern rennt in die Mitte des Fitnessstudio.</v>
      </c>
    </row>
    <row r="9568">
      <c r="A9568" s="4" t="s">
        <v>12013</v>
      </c>
      <c r="B9568" s="4" t="s">
        <v>12033</v>
      </c>
      <c r="C9568" s="5" t="str">
        <f>IFERROR(__xludf.DUMMYFUNCTION("GOOGLETRANSLATE(B9568,""en"",""de"")"),"Das weiße Team spielt und ein sehr junger Spieler wirft den Ball.")</f>
        <v>Das weiße Team spielt und ein sehr junger Spieler wirft den Ball.</v>
      </c>
    </row>
    <row r="9569">
      <c r="A9569" s="4" t="s">
        <v>12013</v>
      </c>
      <c r="B9569" s="4" t="s">
        <v>12034</v>
      </c>
      <c r="C9569" s="5" t="str">
        <f>IFERROR(__xludf.DUMMYFUNCTION("GOOGLETRANSLATE(B9569,""en"",""de"")"),"Ein Junge in Green wirft den Ball und das blaue Team rennt mehrere Bälle zurück.")</f>
        <v>Ein Junge in Green wirft den Ball und das blaue Team rennt mehrere Bälle zurück.</v>
      </c>
    </row>
    <row r="9570">
      <c r="A9570" s="4" t="s">
        <v>12013</v>
      </c>
      <c r="B9570" s="4" t="s">
        <v>12035</v>
      </c>
      <c r="C9570" s="5" t="str">
        <f>IFERROR(__xludf.DUMMYFUNCTION("GOOGLETRANSLATE(B9570,""en"",""de"")"),"Ein anderer Junge und Mädchen rennen und werfen gleichzeitig einen Ball.")</f>
        <v>Ein anderer Junge und Mädchen rennen und werfen gleichzeitig einen Ball.</v>
      </c>
    </row>
    <row r="9571">
      <c r="A9571" s="4" t="s">
        <v>12013</v>
      </c>
      <c r="B9571" s="4" t="s">
        <v>12036</v>
      </c>
      <c r="C9571" s="5" t="str">
        <f>IFERROR(__xludf.DUMMYFUNCTION("GOOGLETRANSLATE(B9571,""en"",""de"")"),"Ein Junge in Weiß wirft einen Ball.")</f>
        <v>Ein Junge in Weiß wirft einen Ball.</v>
      </c>
    </row>
    <row r="9572">
      <c r="A9572" s="4" t="s">
        <v>12013</v>
      </c>
      <c r="B9572" s="4" t="s">
        <v>12037</v>
      </c>
      <c r="C9572" s="5" t="str">
        <f>IFERROR(__xludf.DUMMYFUNCTION("GOOGLETRANSLATE(B9572,""en"",""de"")"),"Eine Gruppe von Erwachsenen steht im Fitnessstudio auf der Linie.")</f>
        <v>Eine Gruppe von Erwachsenen steht im Fitnessstudio auf der Linie.</v>
      </c>
    </row>
    <row r="9573">
      <c r="A9573" s="4" t="s">
        <v>12013</v>
      </c>
      <c r="B9573" s="4" t="s">
        <v>12038</v>
      </c>
      <c r="C9573" s="5" t="str">
        <f>IFERROR(__xludf.DUMMYFUNCTION("GOOGLETRANSLATE(B9573,""en"",""de"")"),"Die Erwachsenen spielen DO0DGE Ball.")</f>
        <v>Die Erwachsenen spielen DO0DGE Ball.</v>
      </c>
    </row>
    <row r="9574">
      <c r="A9574" s="4" t="s">
        <v>12013</v>
      </c>
      <c r="B9574" s="4" t="s">
        <v>12039</v>
      </c>
      <c r="C9574" s="5" t="str">
        <f>IFERROR(__xludf.DUMMYFUNCTION("GOOGLETRANSLATE(B9574,""en"",""de"")"),"Eine Gruppe von Kindern und Erwachsenen hält Trophy und Welle auf.")</f>
        <v>Eine Gruppe von Kindern und Erwachsenen hält Trophy und Welle auf.</v>
      </c>
    </row>
    <row r="9575">
      <c r="A9575" s="4" t="s">
        <v>12040</v>
      </c>
      <c r="B9575" s="4" t="s">
        <v>12041</v>
      </c>
      <c r="C9575" s="5" t="str">
        <f>IFERROR(__xludf.DUMMYFUNCTION("GOOGLETRANSLATE(B9575,""en"",""de"")"),"Ein Teenager -Skateboard eine Straße hinunter, während sie sich umdreht und dreht.")</f>
        <v>Ein Teenager -Skateboard eine Straße hinunter, während sie sich umdreht und dreht.</v>
      </c>
    </row>
    <row r="9576">
      <c r="A9576" s="4" t="s">
        <v>12040</v>
      </c>
      <c r="B9576" s="4" t="s">
        <v>12042</v>
      </c>
      <c r="C9576" s="5" t="str">
        <f>IFERROR(__xludf.DUMMYFUNCTION("GOOGLETRANSLATE(B9576,""en"",""de"")"),"Ein weiteres Jugend -Skateboard auf der Straße, während er sich dreht.")</f>
        <v>Ein weiteres Jugend -Skateboard auf der Straße, während er sich dreht.</v>
      </c>
    </row>
    <row r="9577">
      <c r="A9577" s="4" t="s">
        <v>12040</v>
      </c>
      <c r="B9577" s="4" t="s">
        <v>12043</v>
      </c>
      <c r="C9577" s="5" t="str">
        <f>IFERROR(__xludf.DUMMYFUNCTION("GOOGLETRANSLATE(B9577,""en"",""de"")"),"Ein Junge hält ein Skateboard an der Hand.")</f>
        <v>Ein Junge hält ein Skateboard an der Hand.</v>
      </c>
    </row>
    <row r="9578">
      <c r="A9578" s="4" t="s">
        <v>12040</v>
      </c>
      <c r="B9578" s="4" t="s">
        <v>12044</v>
      </c>
      <c r="C9578" s="5" t="str">
        <f>IFERROR(__xludf.DUMMYFUNCTION("GOOGLETRANSLATE(B9578,""en"",""de"")"),"Ein junger Mann Skateboard bis eine belebte Straße, dann der Teenager skateboarding weiter.")</f>
        <v>Ein junger Mann Skateboard bis eine belebte Straße, dann der Teenager skateboarding weiter.</v>
      </c>
    </row>
    <row r="9579">
      <c r="A9579" s="4" t="s">
        <v>12045</v>
      </c>
      <c r="B9579" s="4" t="s">
        <v>12046</v>
      </c>
      <c r="C9579" s="5" t="str">
        <f>IFERROR(__xludf.DUMMYFUNCTION("GOOGLETRANSLATE(B9579,""en"",""de"")"),"Ein Mann zieht Paintball -Ausrüstung in einem Spiegel an seine Waffe und rennt durch den Schnee.")</f>
        <v>Ein Mann zieht Paintball -Ausrüstung in einem Spiegel an seine Waffe und rennt durch den Schnee.</v>
      </c>
    </row>
    <row r="9580">
      <c r="A9580" s="4" t="s">
        <v>12045</v>
      </c>
      <c r="B9580" s="4" t="s">
        <v>12047</v>
      </c>
      <c r="C9580" s="5" t="str">
        <f>IFERROR(__xludf.DUMMYFUNCTION("GOOGLETRANSLATE(B9580,""en"",""de"")"),"Männer ducken sich hinter Bäumen, Sperrholzmauern und Zäunen auf einem Paintballfeld.")</f>
        <v>Männer ducken sich hinter Bäumen, Sperrholzmauern und Zäunen auf einem Paintballfeld.</v>
      </c>
    </row>
    <row r="9581">
      <c r="A9581" s="4" t="s">
        <v>12045</v>
      </c>
      <c r="B9581" s="4" t="s">
        <v>12048</v>
      </c>
      <c r="C9581" s="5" t="str">
        <f>IFERROR(__xludf.DUMMYFUNCTION("GOOGLETRANSLATE(B9581,""en"",""de"")"),"Männer schießen sich gegenseitig hin und her.")</f>
        <v>Männer schießen sich gegenseitig hin und her.</v>
      </c>
    </row>
    <row r="9582">
      <c r="A9582" s="4" t="s">
        <v>12045</v>
      </c>
      <c r="B9582" s="4" t="s">
        <v>12049</v>
      </c>
      <c r="C9582" s="5" t="str">
        <f>IFERROR(__xludf.DUMMYFUNCTION("GOOGLETRANSLATE(B9582,""en"",""de"")"),"Männer rennen und Enten suchen nach einem Ort, an dem sie sich verstecken können.")</f>
        <v>Männer rennen und Enten suchen nach einem Ort, an dem sie sich verstecken können.</v>
      </c>
    </row>
    <row r="9583">
      <c r="A9583" s="4" t="s">
        <v>12045</v>
      </c>
      <c r="B9583" s="4" t="s">
        <v>12050</v>
      </c>
      <c r="C9583" s="5" t="str">
        <f>IFERROR(__xludf.DUMMYFUNCTION("GOOGLETRANSLATE(B9583,""en"",""de"")"),"Die Männer sitzen auf beiden Seiten der Wand und suchen nacheinander und stehen auf und stehen sich gegenseitig.")</f>
        <v>Die Männer sitzen auf beiden Seiten der Wand und suchen nacheinander und stehen auf und stehen sich gegenseitig.</v>
      </c>
    </row>
    <row r="9584">
      <c r="A9584" s="4" t="s">
        <v>12045</v>
      </c>
      <c r="B9584" s="4" t="s">
        <v>12051</v>
      </c>
      <c r="C9584" s="5" t="str">
        <f>IFERROR(__xludf.DUMMYFUNCTION("GOOGLETRANSLATE(B9584,""en"",""de"")"),"Ein Mann spricht vor einem Paintball -Parkschild.")</f>
        <v>Ein Mann spricht vor einem Paintball -Parkschild.</v>
      </c>
    </row>
    <row r="9585">
      <c r="A9585" s="4" t="s">
        <v>12052</v>
      </c>
      <c r="B9585" s="4" t="s">
        <v>12053</v>
      </c>
      <c r="C9585" s="5" t="str">
        <f>IFERROR(__xludf.DUMMYFUNCTION("GOOGLETRANSLATE(B9585,""en"",""de"")"),"Mehrere Fahrräder sind in einem Geschäft aufgestellt.")</f>
        <v>Mehrere Fahrräder sind in einem Geschäft aufgestellt.</v>
      </c>
    </row>
    <row r="9586">
      <c r="A9586" s="4" t="s">
        <v>12052</v>
      </c>
      <c r="B9586" s="4" t="s">
        <v>12054</v>
      </c>
      <c r="C9586" s="5" t="str">
        <f>IFERROR(__xludf.DUMMYFUNCTION("GOOGLETRANSLATE(B9586,""en"",""de"")"),"Wir sehen Leute, die auf die Fahrräder schauen, und eine große Schachtel mit einer.")</f>
        <v>Wir sehen Leute, die auf die Fahrräder schauen, und eine große Schachtel mit einer.</v>
      </c>
    </row>
    <row r="9587">
      <c r="A9587" s="4" t="s">
        <v>12052</v>
      </c>
      <c r="B9587" s="4" t="s">
        <v>12055</v>
      </c>
      <c r="C9587" s="5" t="str">
        <f>IFERROR(__xludf.DUMMYFUNCTION("GOOGLETRANSLATE(B9587,""en"",""de"")"),"Ein Mann öffnet die Schachtel und entfernt das Fahrrad, er zeigt die Teile der Kamera.")</f>
        <v>Ein Mann öffnet die Schachtel und entfernt das Fahrrad, er zeigt die Teile der Kamera.</v>
      </c>
    </row>
    <row r="9588">
      <c r="A9588" s="4" t="s">
        <v>12056</v>
      </c>
      <c r="B9588" s="4" t="s">
        <v>12057</v>
      </c>
      <c r="C9588" s="5" t="str">
        <f>IFERROR(__xludf.DUMMYFUNCTION("GOOGLETRANSLATE(B9588,""en"",""de"")"),"EHOW und STIL sind auf dem Bildschirm.")</f>
        <v>EHOW und STIL sind auf dem Bildschirm.</v>
      </c>
    </row>
    <row r="9589">
      <c r="A9589" s="4" t="s">
        <v>12056</v>
      </c>
      <c r="B9589" s="4" t="s">
        <v>12058</v>
      </c>
      <c r="C9589" s="5" t="str">
        <f>IFERROR(__xludf.DUMMYFUNCTION("GOOGLETRANSLATE(B9589,""en"",""de"")"),"Eine Frau steht an einem Tisch mit einem Schuh und einer Dose Haarspray.")</f>
        <v>Eine Frau steht an einem Tisch mit einem Schuh und einer Dose Haarspray.</v>
      </c>
    </row>
    <row r="9590">
      <c r="A9590" s="4" t="s">
        <v>12056</v>
      </c>
      <c r="B9590" s="4" t="s">
        <v>12059</v>
      </c>
      <c r="C9590" s="5" t="str">
        <f>IFERROR(__xludf.DUMMYFUNCTION("GOOGLETRANSLATE(B9590,""en"",""de"")"),"Die Frau sprüht Haarspray auf einen Abnutzungsmarke am Schuh und nimmt eine Baumwollspitze und reibt den Abnutzungszeichen aus.")</f>
        <v>Die Frau sprüht Haarspray auf einen Abnutzungsmarke am Schuh und nimmt eine Baumwollspitze und reibt den Abnutzungszeichen aus.</v>
      </c>
    </row>
    <row r="9591">
      <c r="A9591" s="4" t="s">
        <v>12056</v>
      </c>
      <c r="B9591" s="4" t="s">
        <v>12060</v>
      </c>
      <c r="C9591" s="5" t="str">
        <f>IFERROR(__xludf.DUMMYFUNCTION("GOOGLETRANSLATE(B9591,""en"",""de"")"),"Die Abnutzungsmarke ist weg und sie spricht mit der Kamera.")</f>
        <v>Die Abnutzungsmarke ist weg und sie spricht mit der Kamera.</v>
      </c>
    </row>
    <row r="9592">
      <c r="A9592" s="4" t="s">
        <v>12056</v>
      </c>
      <c r="B9592" s="4" t="s">
        <v>12061</v>
      </c>
      <c r="C9592" s="5" t="str">
        <f>IFERROR(__xludf.DUMMYFUNCTION("GOOGLETRANSLATE(B9592,""en"",""de"")"),"Das Video endet mit einer Ehow -Promo.")</f>
        <v>Das Video endet mit einer Ehow -Promo.</v>
      </c>
    </row>
    <row r="9593">
      <c r="A9593" s="4" t="s">
        <v>12062</v>
      </c>
      <c r="B9593" s="4" t="s">
        <v>12063</v>
      </c>
      <c r="C9593" s="5" t="str">
        <f>IFERROR(__xludf.DUMMYFUNCTION("GOOGLETRANSLATE(B9593,""en"",""de"")"),"Eine Gruppe von Männern steht ein Feld und ein Mann rollt dem anderen Team einen roten Ball und er wird rausgeschmissen.")</f>
        <v>Eine Gruppe von Männern steht ein Feld und ein Mann rollt dem anderen Team einen roten Ball und er wird rausgeschmissen.</v>
      </c>
    </row>
    <row r="9594">
      <c r="A9594" s="4" t="s">
        <v>12062</v>
      </c>
      <c r="B9594" s="4" t="s">
        <v>12064</v>
      </c>
      <c r="C9594" s="5" t="str">
        <f>IFERROR(__xludf.DUMMYFUNCTION("GOOGLETRANSLATE(B9594,""en"",""de"")"),"Danach wechselt das Team und spielt weiterhin Kickball -Spiele.")</f>
        <v>Danach wechselt das Team und spielt weiterhin Kickball -Spiele.</v>
      </c>
    </row>
    <row r="9595">
      <c r="A9595" s="4" t="s">
        <v>12062</v>
      </c>
      <c r="B9595" s="4" t="s">
        <v>12065</v>
      </c>
      <c r="C9595" s="5" t="str">
        <f>IFERROR(__xludf.DUMMYFUNCTION("GOOGLETRANSLATE(B9595,""en"",""de"")"),"Jetzt nähern sich zwei weitere Teams und die Captains spielen Rock, Papier und Schere, um festzustellen, wer das Spiel starten wird.")</f>
        <v>Jetzt nähern sich zwei weitere Teams und die Captains spielen Rock, Papier und Schere, um festzustellen, wer das Spiel starten wird.</v>
      </c>
    </row>
    <row r="9596">
      <c r="A9596" s="4" t="s">
        <v>12062</v>
      </c>
      <c r="B9596" s="4" t="s">
        <v>12066</v>
      </c>
      <c r="C9596" s="5" t="str">
        <f>IFERROR(__xludf.DUMMYFUNCTION("GOOGLETRANSLATE(B9596,""en"",""de"")"),"Die Frau verliert und die Männer beginnen zu spielen, den Ball zu treten und zu den Basen zu rennen.")</f>
        <v>Die Frau verliert und die Männer beginnen zu spielen, den Ball zu treten und zu den Basen zu rennen.</v>
      </c>
    </row>
    <row r="9597">
      <c r="A9597" s="4" t="s">
        <v>12067</v>
      </c>
      <c r="B9597" s="4" t="s">
        <v>12068</v>
      </c>
      <c r="C9597" s="5" t="str">
        <f>IFERROR(__xludf.DUMMYFUNCTION("GOOGLETRANSLATE(B9597,""en"",""de"")"),"Ein Mann geht neben einem Jungen, der den Rasen mäht.")</f>
        <v>Ein Mann geht neben einem Jungen, der den Rasen mäht.</v>
      </c>
    </row>
    <row r="9598">
      <c r="A9598" s="4" t="s">
        <v>12067</v>
      </c>
      <c r="B9598" s="4" t="s">
        <v>12069</v>
      </c>
      <c r="C9598" s="5" t="str">
        <f>IFERROR(__xludf.DUMMYFUNCTION("GOOGLETRANSLATE(B9598,""en"",""de"")"),"Er weist den Jungen an, wie man den Mäher dreht und einen kleinen Baum umgeht.")</f>
        <v>Er weist den Jungen an, wie man den Mäher dreht und einen kleinen Baum umgeht.</v>
      </c>
    </row>
    <row r="9599">
      <c r="A9599" s="4" t="s">
        <v>12067</v>
      </c>
      <c r="B9599" s="4" t="s">
        <v>12070</v>
      </c>
      <c r="C9599" s="5" t="str">
        <f>IFERROR(__xludf.DUMMYFUNCTION("GOOGLETRANSLATE(B9599,""en"",""de"")"),"Er geht weiter und führt den Jungen.")</f>
        <v>Er geht weiter und führt den Jungen.</v>
      </c>
    </row>
    <row r="9600">
      <c r="A9600" s="4" t="s">
        <v>12071</v>
      </c>
      <c r="B9600" s="4" t="s">
        <v>12072</v>
      </c>
      <c r="C9600" s="5" t="str">
        <f>IFERROR(__xludf.DUMMYFUNCTION("GOOGLETRANSLATE(B9600,""en"",""de"")"),"Eine Frau, die eine Puppe hält, lehnt Locken von den Puppenhaaren ab.")</f>
        <v>Eine Frau, die eine Puppe hält, lehnt Locken von den Puppenhaaren ab.</v>
      </c>
    </row>
    <row r="9601">
      <c r="A9601" s="4" t="s">
        <v>12071</v>
      </c>
      <c r="B9601" s="4" t="s">
        <v>12073</v>
      </c>
      <c r="C9601" s="5" t="str">
        <f>IFERROR(__xludf.DUMMYFUNCTION("GOOGLETRANSLATE(B9601,""en"",""de"")"),"Die Frau schuht von den Puppenhaaren.")</f>
        <v>Die Frau schuht von den Puppenhaaren.</v>
      </c>
    </row>
    <row r="9602">
      <c r="A9602" s="4" t="s">
        <v>12071</v>
      </c>
      <c r="B9602" s="4" t="s">
        <v>12074</v>
      </c>
      <c r="C9602" s="5" t="str">
        <f>IFERROR(__xludf.DUMMYFUNCTION("GOOGLETRANSLATE(B9602,""en"",""de"")"),"Die Frau dreht die Puppe um, um den hinteren Teil des Puppenkopfes zu zeigen.")</f>
        <v>Die Frau dreht die Puppe um, um den hinteren Teil des Puppenkopfes zu zeigen.</v>
      </c>
    </row>
    <row r="9603">
      <c r="A9603" s="4" t="s">
        <v>12071</v>
      </c>
      <c r="B9603" s="4" t="s">
        <v>12075</v>
      </c>
      <c r="C9603" s="5" t="str">
        <f>IFERROR(__xludf.DUMMYFUNCTION("GOOGLETRANSLATE(B9603,""en"",""de"")"),"Die Frau zeigt weiterhin die Puppenhaare.")</f>
        <v>Die Frau zeigt weiterhin die Puppenhaare.</v>
      </c>
    </row>
    <row r="9604">
      <c r="A9604" s="4" t="s">
        <v>12076</v>
      </c>
      <c r="B9604" s="4" t="s">
        <v>12077</v>
      </c>
      <c r="C9604" s="5" t="str">
        <f>IFERROR(__xludf.DUMMYFUNCTION("GOOGLETRANSLATE(B9604,""en"",""de"")"),"Eine Person wird gesehen, wie eine Frau, die eine Bar über ihren Kopf hebt, anschließt.")</f>
        <v>Eine Person wird gesehen, wie eine Frau, die eine Bar über ihren Kopf hebt, anschließt.</v>
      </c>
    </row>
    <row r="9605">
      <c r="A9605" s="4" t="s">
        <v>12076</v>
      </c>
      <c r="B9605" s="4" t="s">
        <v>12078</v>
      </c>
      <c r="C9605" s="5" t="str">
        <f>IFERROR(__xludf.DUMMYFUNCTION("GOOGLETRANSLATE(B9605,""en"",""de"")"),"Eine andere Person ist zu sehen, nachdem sie einen großen Satz Gewichte über ihren Köpfen angehoben hat.")</f>
        <v>Eine andere Person ist zu sehen, nachdem sie einen großen Satz Gewichte über ihren Köpfen angehoben hat.</v>
      </c>
    </row>
    <row r="9606">
      <c r="A9606" s="4" t="s">
        <v>12076</v>
      </c>
      <c r="B9606" s="4" t="s">
        <v>12079</v>
      </c>
      <c r="C9606" s="5" t="str">
        <f>IFERROR(__xludf.DUMMYFUNCTION("GOOGLETRANSLATE(B9606,""en"",""de"")"),"Einige weitere Menschen sehen schwere Gewichte über ihren Köpfen, während andere nebenbei zuschauen.")</f>
        <v>Einige weitere Menschen sehen schwere Gewichte über ihren Köpfen, während andere nebenbei zuschauen.</v>
      </c>
    </row>
    <row r="9607">
      <c r="A9607" s="4" t="s">
        <v>12080</v>
      </c>
      <c r="B9607" s="4" t="s">
        <v>12081</v>
      </c>
      <c r="C9607" s="5" t="str">
        <f>IFERROR(__xludf.DUMMYFUNCTION("GOOGLETRANSLATE(B9607,""en"",""de"")"),"Ein Mann spricht mit der Kamera, während er Schwamm und einen Schleifer in jeder Hand hält.")</f>
        <v>Ein Mann spricht mit der Kamera, während er Schwamm und einen Schleifer in jeder Hand hält.</v>
      </c>
    </row>
    <row r="9608">
      <c r="A9608" s="4" t="s">
        <v>12080</v>
      </c>
      <c r="B9608" s="4" t="s">
        <v>12082</v>
      </c>
      <c r="C9608" s="5" t="str">
        <f>IFERROR(__xludf.DUMMYFUNCTION("GOOGLETRANSLATE(B9608,""en"",""de"")"),"Der Mann benimmt dann den Schleifer und benutzt ihn entlang einer Reihe von Skiern.")</f>
        <v>Der Mann benimmt dann den Schleifer und benutzt ihn entlang einer Reihe von Skiern.</v>
      </c>
    </row>
    <row r="9609">
      <c r="A9609" s="4" t="s">
        <v>12080</v>
      </c>
      <c r="B9609" s="4" t="s">
        <v>12083</v>
      </c>
      <c r="C9609" s="5" t="str">
        <f>IFERROR(__xludf.DUMMYFUNCTION("GOOGLETRANSLATE(B9609,""en"",""de"")"),"Er führt es am Ski und hält an, um mit der Kamera zu sprechen und zu lächeln.")</f>
        <v>Er führt es am Ski und hält an, um mit der Kamera zu sprechen und zu lächeln.</v>
      </c>
    </row>
    <row r="9610">
      <c r="A9610" s="4" t="s">
        <v>12084</v>
      </c>
      <c r="B9610" s="4" t="s">
        <v>2480</v>
      </c>
      <c r="C9610" s="5" t="str">
        <f>IFERROR(__xludf.DUMMYFUNCTION("GOOGLETRANSLATE(B9610,""en"",""de"")"),"Wir sehen zwei Eröffnungs -Titelbildschirme.")</f>
        <v>Wir sehen zwei Eröffnungs -Titelbildschirme.</v>
      </c>
    </row>
    <row r="9611">
      <c r="A9611" s="4" t="s">
        <v>12084</v>
      </c>
      <c r="B9611" s="4" t="s">
        <v>12085</v>
      </c>
      <c r="C9611" s="5" t="str">
        <f>IFERROR(__xludf.DUMMYFUNCTION("GOOGLETRANSLATE(B9611,""en"",""de"")"),"Eine Dame sitzt auf einer Badewanne und spricht beim Spielen mit einem Hund.")</f>
        <v>Eine Dame sitzt auf einer Badewanne und spricht beim Spielen mit einem Hund.</v>
      </c>
    </row>
    <row r="9612">
      <c r="A9612" s="4" t="s">
        <v>12084</v>
      </c>
      <c r="B9612" s="4" t="s">
        <v>12086</v>
      </c>
      <c r="C9612" s="5" t="str">
        <f>IFERROR(__xludf.DUMMYFUNCTION("GOOGLETRANSLATE(B9612,""en"",""de"")"),"Die Dame legt den Hund ins Wasser und wäscht ihn.")</f>
        <v>Die Dame legt den Hund ins Wasser und wäscht ihn.</v>
      </c>
    </row>
    <row r="9613">
      <c r="A9613" s="4" t="s">
        <v>12084</v>
      </c>
      <c r="B9613" s="4" t="s">
        <v>12087</v>
      </c>
      <c r="C9613" s="5" t="str">
        <f>IFERROR(__xludf.DUMMYFUNCTION("GOOGLETRANSLATE(B9613,""en"",""de"")"),"Die Dame fügt mehr Seife hinzu.")</f>
        <v>Die Dame fügt mehr Seife hinzu.</v>
      </c>
    </row>
    <row r="9614">
      <c r="A9614" s="4" t="s">
        <v>12084</v>
      </c>
      <c r="B9614" s="4" t="s">
        <v>12088</v>
      </c>
      <c r="C9614" s="5" t="str">
        <f>IFERROR(__xludf.DUMMYFUNCTION("GOOGLETRANSLATE(B9614,""en"",""de"")"),"Die Dame spült den Hund und wickelt ihn in ein Senforange Handtuch.")</f>
        <v>Die Dame spült den Hund und wickelt ihn in ein Senforange Handtuch.</v>
      </c>
    </row>
    <row r="9615">
      <c r="A9615" s="4" t="s">
        <v>12084</v>
      </c>
      <c r="B9615" s="4" t="s">
        <v>12089</v>
      </c>
      <c r="C9615" s="5" t="str">
        <f>IFERROR(__xludf.DUMMYFUNCTION("GOOGLETRANSLATE(B9615,""en"",""de"")"),"Die Dame sitzt und spricht, als der Hund auf ihrem Schoß sitzt.")</f>
        <v>Die Dame sitzt und spricht, als der Hund auf ihrem Schoß sitzt.</v>
      </c>
    </row>
    <row r="9616">
      <c r="A9616" s="4" t="s">
        <v>12084</v>
      </c>
      <c r="B9616" s="4" t="s">
        <v>12090</v>
      </c>
      <c r="C9616" s="5" t="str">
        <f>IFERROR(__xludf.DUMMYFUNCTION("GOOGLETRANSLATE(B9616,""en"",""de"")"),"Die Endgutschrift rollen den Bildschirm auf.")</f>
        <v>Die Endgutschrift rollen den Bildschirm auf.</v>
      </c>
    </row>
    <row r="9617">
      <c r="A9617" s="4" t="s">
        <v>12091</v>
      </c>
      <c r="B9617" s="4" t="s">
        <v>12092</v>
      </c>
      <c r="C9617" s="5" t="str">
        <f>IFERROR(__xludf.DUMMYFUNCTION("GOOGLETRANSLATE(B9617,""en"",""de"")"),"Ein Kreis von grünem Gras wird mit einer Spur aus ihm umgebenden Felsen, einer Mauer und einigen Bäumen gezeigt.")</f>
        <v>Ein Kreis von grünem Gras wird mit einer Spur aus ihm umgebenden Felsen, einer Mauer und einigen Bäumen gezeigt.</v>
      </c>
    </row>
    <row r="9618">
      <c r="A9618" s="4" t="s">
        <v>12091</v>
      </c>
      <c r="B9618" s="4" t="s">
        <v>12093</v>
      </c>
      <c r="C9618" s="5" t="str">
        <f>IFERROR(__xludf.DUMMYFUNCTION("GOOGLETRANSLATE(B9618,""en"",""de"")"),"Ein Mann kommt dann und beginnt, das Gras um seinen Umfang zu schneiden.")</f>
        <v>Ein Mann kommt dann und beginnt, das Gras um seinen Umfang zu schneiden.</v>
      </c>
    </row>
    <row r="9619">
      <c r="A9619" s="4" t="s">
        <v>12091</v>
      </c>
      <c r="B9619" s="4" t="s">
        <v>12094</v>
      </c>
      <c r="C9619" s="5" t="str">
        <f>IFERROR(__xludf.DUMMYFUNCTION("GOOGLETRANSLATE(B9619,""en"",""de"")"),"Danach nimmt er den Rasenmäher und geht vertikal über das Gras, bis das Ganze abgeschlossen ist.")</f>
        <v>Danach nimmt er den Rasenmäher und geht vertikal über das Gras, bis das Ganze abgeschlossen ist.</v>
      </c>
    </row>
    <row r="9620">
      <c r="A9620" s="4" t="s">
        <v>12095</v>
      </c>
      <c r="B9620" s="4" t="s">
        <v>12096</v>
      </c>
      <c r="C9620" s="5" t="str">
        <f>IFERROR(__xludf.DUMMYFUNCTION("GOOGLETRANSLATE(B9620,""en"",""de"")"),"Zwei Personen demonstrieren Tai Chi.")</f>
        <v>Zwei Personen demonstrieren Tai Chi.</v>
      </c>
    </row>
    <row r="9621">
      <c r="A9621" s="4" t="s">
        <v>12095</v>
      </c>
      <c r="B9621" s="4" t="s">
        <v>12097</v>
      </c>
      <c r="C9621" s="5" t="str">
        <f>IFERROR(__xludf.DUMMYFUNCTION("GOOGLETRANSLATE(B9621,""en"",""de"")"),"Es gibt einen Garten mit farbenfrohen Blumen, die außerhalb des Tai Chi School -Gebäudes gezeigt sind.")</f>
        <v>Es gibt einen Garten mit farbenfrohen Blumen, die außerhalb des Tai Chi School -Gebäudes gezeigt sind.</v>
      </c>
    </row>
    <row r="9622">
      <c r="A9622" s="4" t="s">
        <v>12095</v>
      </c>
      <c r="B9622" s="4" t="s">
        <v>12098</v>
      </c>
      <c r="C9622" s="5" t="str">
        <f>IFERROR(__xludf.DUMMYFUNCTION("GOOGLETRANSLATE(B9622,""en"",""de"")"),"Die Ausbilder, die blaue Roben tragen, zeigen die grundlegenden Bewegungen, die in Tai Chi verwendet werden.")</f>
        <v>Die Ausbilder, die blaue Roben tragen, zeigen die grundlegenden Bewegungen, die in Tai Chi verwendet werden.</v>
      </c>
    </row>
    <row r="9623">
      <c r="A9623" s="4" t="s">
        <v>12095</v>
      </c>
      <c r="B9623" s="4" t="s">
        <v>12099</v>
      </c>
      <c r="C9623" s="5" t="str">
        <f>IFERROR(__xludf.DUMMYFUNCTION("GOOGLETRANSLATE(B9623,""en"",""de"")"),"Sie schwanken ihre Hände über ihre Köpfe von links nach rechts.")</f>
        <v>Sie schwanken ihre Hände über ihre Köpfe von links nach rechts.</v>
      </c>
    </row>
    <row r="9624">
      <c r="A9624" s="4" t="s">
        <v>12095</v>
      </c>
      <c r="B9624" s="4" t="s">
        <v>12100</v>
      </c>
      <c r="C9624" s="5" t="str">
        <f>IFERROR(__xludf.DUMMYFUNCTION("GOOGLETRANSLATE(B9624,""en"",""de"")"),"Dann zeigt der Ausbilder die Armstärke, indem er seinen rechten Arm über seinen ausgedehnten linken Arm klopft.")</f>
        <v>Dann zeigt der Ausbilder die Armstärke, indem er seinen rechten Arm über seinen ausgedehnten linken Arm klopft.</v>
      </c>
    </row>
    <row r="9625">
      <c r="A9625" s="4" t="s">
        <v>12095</v>
      </c>
      <c r="B9625" s="4" t="s">
        <v>12101</v>
      </c>
      <c r="C9625" s="5" t="str">
        <f>IFERROR(__xludf.DUMMYFUNCTION("GOOGLETRANSLATE(B9625,""en"",""de"")"),"Beide Ausbilder stehen gegenseitig gegenüber, während sie langsame und allmähliche Handbewegungen zeigen.")</f>
        <v>Beide Ausbilder stehen gegenseitig gegenüber, während sie langsame und allmähliche Handbewegungen zeigen.</v>
      </c>
    </row>
    <row r="9626">
      <c r="A9626" s="4" t="s">
        <v>12102</v>
      </c>
      <c r="B9626" s="4" t="s">
        <v>12103</v>
      </c>
      <c r="C9626" s="5" t="str">
        <f>IFERROR(__xludf.DUMMYFUNCTION("GOOGLETRANSLATE(B9626,""en"",""de"")"),"Ein Mann schießt einen Bogen und einen Pfeil.")</f>
        <v>Ein Mann schießt einen Bogen und einen Pfeil.</v>
      </c>
    </row>
    <row r="9627">
      <c r="A9627" s="4" t="s">
        <v>12102</v>
      </c>
      <c r="B9627" s="4" t="s">
        <v>12104</v>
      </c>
      <c r="C9627" s="5" t="str">
        <f>IFERROR(__xludf.DUMMYFUNCTION("GOOGLETRANSLATE(B9627,""en"",""de"")"),"Das Dart -Board, auf dem sie schießen, wird gezeigt.")</f>
        <v>Das Dart -Board, auf dem sie schießen, wird gezeigt.</v>
      </c>
    </row>
    <row r="9628">
      <c r="A9628" s="4" t="s">
        <v>12102</v>
      </c>
      <c r="B9628" s="4" t="s">
        <v>12105</v>
      </c>
      <c r="C9628" s="5" t="str">
        <f>IFERROR(__xludf.DUMMYFUNCTION("GOOGLETRANSLATE(B9628,""en"",""de"")"),"Die Leute feiern und klatschen die Hände.")</f>
        <v>Die Leute feiern und klatschen die Hände.</v>
      </c>
    </row>
    <row r="9629">
      <c r="A9629" s="4" t="s">
        <v>12106</v>
      </c>
      <c r="B9629" s="4" t="s">
        <v>12107</v>
      </c>
      <c r="C9629" s="5" t="str">
        <f>IFERROR(__xludf.DUMMYFUNCTION("GOOGLETRANSLATE(B9629,""en"",""de"")"),"Ein Mann ist vorne mit einem Waschbecken und spricht ein Gericht, dann legt er es auf die Theke.")</f>
        <v>Ein Mann ist vorne mit einem Waschbecken und spricht ein Gericht, dann legt er es auf die Theke.</v>
      </c>
    </row>
    <row r="9630">
      <c r="A9630" s="4" t="s">
        <v>12106</v>
      </c>
      <c r="B9630" s="4" t="s">
        <v>12108</v>
      </c>
      <c r="C9630" s="5" t="str">
        <f>IFERROR(__xludf.DUMMYFUNCTION("GOOGLETRANSLATE(B9630,""en"",""de"")"),"Der Mann legte eine Gerichtsseife auf ein Gericht und schrubbte es beim Spülen mit Wasser.")</f>
        <v>Der Mann legte eine Gerichtsseife auf ein Gericht und schrubbte es beim Spülen mit Wasser.</v>
      </c>
    </row>
    <row r="9631">
      <c r="A9631" s="4" t="s">
        <v>12106</v>
      </c>
      <c r="B9631" s="4" t="s">
        <v>12109</v>
      </c>
      <c r="C9631" s="5" t="str">
        <f>IFERROR(__xludf.DUMMYFUNCTION("GOOGLETRANSLATE(B9631,""en"",""de"")"),"Dann zeigt der Mann seine tätowierten Arme und waschen dann weiter das Geschirr.")</f>
        <v>Dann zeigt der Mann seine tätowierten Arme und waschen dann weiter das Geschirr.</v>
      </c>
    </row>
    <row r="9632">
      <c r="A9632" s="4" t="s">
        <v>12110</v>
      </c>
      <c r="B9632" s="4" t="s">
        <v>12111</v>
      </c>
      <c r="C9632" s="5" t="str">
        <f>IFERROR(__xludf.DUMMYFUNCTION("GOOGLETRANSLATE(B9632,""en"",""de"")"),"Die beiden Bullen rennen sich gegenseitig und stoßen die Köpfe an, bis sie sich gegenseitig niederschlagen.")</f>
        <v>Die beiden Bullen rennen sich gegenseitig und stoßen die Köpfe an, bis sie sich gegenseitig niederschlagen.</v>
      </c>
    </row>
    <row r="9633">
      <c r="A9633" s="4" t="s">
        <v>12110</v>
      </c>
      <c r="B9633" s="4" t="s">
        <v>12112</v>
      </c>
      <c r="C9633" s="5" t="str">
        <f>IFERROR(__xludf.DUMMYFUNCTION("GOOGLETRANSLATE(B9633,""en"",""de"")"),"Dann rennen die Leute zu ihnen und einige halten ein Seil, während man den blutigen Kopf überprüft.")</f>
        <v>Dann rennen die Leute zu ihnen und einige halten ein Seil, während man den blutigen Kopf überprüft.</v>
      </c>
    </row>
    <row r="9634">
      <c r="A9634" s="4" t="s">
        <v>12113</v>
      </c>
      <c r="B9634" s="4" t="s">
        <v>5444</v>
      </c>
      <c r="C9634" s="5" t="str">
        <f>IFERROR(__xludf.DUMMYFUNCTION("GOOGLETRANSLATE(B9634,""en"",""de"")"),"Zwei Männer ringen auf einem Tisch Arm.")</f>
        <v>Zwei Männer ringen auf einem Tisch Arm.</v>
      </c>
    </row>
    <row r="9635">
      <c r="A9635" s="4" t="s">
        <v>12113</v>
      </c>
      <c r="B9635" s="4" t="s">
        <v>12114</v>
      </c>
      <c r="C9635" s="5" t="str">
        <f>IFERROR(__xludf.DUMMYFUNCTION("GOOGLETRANSLATE(B9635,""en"",""de"")"),"Die Tür öffnet sich und ein anderer Mann kommt herein und Armringe.")</f>
        <v>Die Tür öffnet sich und ein anderer Mann kommt herein und Armringe.</v>
      </c>
    </row>
    <row r="9636">
      <c r="A9636" s="4" t="s">
        <v>12113</v>
      </c>
      <c r="B9636" s="4" t="s">
        <v>12115</v>
      </c>
      <c r="C9636" s="5" t="str">
        <f>IFERROR(__xludf.DUMMYFUNCTION("GOOGLETRANSLATE(B9636,""en"",""de"")"),"Sie fangen an, im Raum zu kämpfen.")</f>
        <v>Sie fangen an, im Raum zu kämpfen.</v>
      </c>
    </row>
    <row r="9637">
      <c r="A9637" s="4" t="s">
        <v>12113</v>
      </c>
      <c r="B9637" s="4" t="s">
        <v>12116</v>
      </c>
      <c r="C9637" s="5" t="str">
        <f>IFERROR(__xludf.DUMMYFUNCTION("GOOGLETRANSLATE(B9637,""en"",""de"")"),"Sie ringen wieder am Tisch.")</f>
        <v>Sie ringen wieder am Tisch.</v>
      </c>
    </row>
    <row r="9638">
      <c r="A9638" s="4" t="s">
        <v>12117</v>
      </c>
      <c r="B9638" s="4" t="s">
        <v>12118</v>
      </c>
      <c r="C9638" s="5" t="str">
        <f>IFERROR(__xludf.DUMMYFUNCTION("GOOGLETRANSLATE(B9638,""en"",""de"")"),"Die Dame in Pink tanzt auf der Bühne.")</f>
        <v>Die Dame in Pink tanzt auf der Bühne.</v>
      </c>
    </row>
    <row r="9639">
      <c r="A9639" s="4" t="s">
        <v>12117</v>
      </c>
      <c r="B9639" s="4" t="s">
        <v>12119</v>
      </c>
      <c r="C9639" s="5" t="str">
        <f>IFERROR(__xludf.DUMMYFUNCTION("GOOGLETRANSLATE(B9639,""en"",""de"")"),"Der Mann spielt eine Tastatur, während der andere Mann die Drum spielt.")</f>
        <v>Der Mann spielt eine Tastatur, während der andere Mann die Drum spielt.</v>
      </c>
    </row>
    <row r="9640">
      <c r="A9640" s="4" t="s">
        <v>12117</v>
      </c>
      <c r="B9640" s="4" t="s">
        <v>12120</v>
      </c>
      <c r="C9640" s="5" t="str">
        <f>IFERROR(__xludf.DUMMYFUNCTION("GOOGLETRANSLATE(B9640,""en"",""de"")"),"Die Dame drehte sich um, wirbelte um die Bühne und schüttelte ihre Hüften.")</f>
        <v>Die Dame drehte sich um, wirbelte um die Bühne und schüttelte ihre Hüften.</v>
      </c>
    </row>
    <row r="9641">
      <c r="A9641" s="4" t="s">
        <v>12121</v>
      </c>
      <c r="B9641" s="4" t="s">
        <v>12122</v>
      </c>
      <c r="C9641" s="5" t="str">
        <f>IFERROR(__xludf.DUMMYFUNCTION("GOOGLETRANSLATE(B9641,""en"",""de"")"),"Wir sehen einen tanzenden Mann auf dem Cover eines Buches dann auf einer Straße.")</f>
        <v>Wir sehen einen tanzenden Mann auf dem Cover eines Buches dann auf einer Straße.</v>
      </c>
    </row>
    <row r="9642">
      <c r="A9642" s="4" t="s">
        <v>12121</v>
      </c>
      <c r="B9642" s="4" t="s">
        <v>12123</v>
      </c>
      <c r="C9642" s="5" t="str">
        <f>IFERROR(__xludf.DUMMYFUNCTION("GOOGLETRANSLATE(B9642,""en"",""de"")"),"Wir sehen, wie der Mann auf dem Boden sitzt, mit einer Kamera.")</f>
        <v>Wir sehen, wie der Mann auf dem Boden sitzt, mit einer Kamera.</v>
      </c>
    </row>
    <row r="9643">
      <c r="A9643" s="4" t="s">
        <v>12121</v>
      </c>
      <c r="B9643" s="4" t="s">
        <v>12124</v>
      </c>
      <c r="C9643" s="5" t="str">
        <f>IFERROR(__xludf.DUMMYFUNCTION("GOOGLETRANSLATE(B9643,""en"",""de"")"),"Wir sehen den Mann, der Break Dance Moves illustriert.")</f>
        <v>Wir sehen den Mann, der Break Dance Moves illustriert.</v>
      </c>
    </row>
    <row r="9644">
      <c r="A9644" s="4" t="s">
        <v>12121</v>
      </c>
      <c r="B9644" s="4" t="s">
        <v>12125</v>
      </c>
      <c r="C9644" s="5" t="str">
        <f>IFERROR(__xludf.DUMMYFUNCTION("GOOGLETRANSLATE(B9644,""en"",""de"")"),"Der Mann redet und sitzt still.")</f>
        <v>Der Mann redet und sitzt still.</v>
      </c>
    </row>
    <row r="9645">
      <c r="A9645" s="4" t="s">
        <v>12121</v>
      </c>
      <c r="B9645" s="4" t="s">
        <v>12126</v>
      </c>
      <c r="C9645" s="5" t="str">
        <f>IFERROR(__xludf.DUMMYFUNCTION("GOOGLETRANSLATE(B9645,""en"",""de"")"),"Wir sehen den Mann schnell tanzen.")</f>
        <v>Wir sehen den Mann schnell tanzen.</v>
      </c>
    </row>
    <row r="9646">
      <c r="A9646" s="4" t="s">
        <v>12121</v>
      </c>
      <c r="B9646" s="4" t="s">
        <v>12127</v>
      </c>
      <c r="C9646" s="5" t="str">
        <f>IFERROR(__xludf.DUMMYFUNCTION("GOOGLETRANSLATE(B9646,""en"",""de"")"),"Wir sehen, dass der Mann einen Bein -Sweep -Bewegung ausführt.")</f>
        <v>Wir sehen, dass der Mann einen Bein -Sweep -Bewegung ausführt.</v>
      </c>
    </row>
    <row r="9647">
      <c r="A9647" s="4" t="s">
        <v>12121</v>
      </c>
      <c r="B9647" s="4" t="s">
        <v>12128</v>
      </c>
      <c r="C9647" s="5" t="str">
        <f>IFERROR(__xludf.DUMMYFUNCTION("GOOGLETRANSLATE(B9647,""en"",""de"")"),"Wir sehen eine animierte enge Szene und eine Abonnement -Seite.")</f>
        <v>Wir sehen eine animierte enge Szene und eine Abonnement -Seite.</v>
      </c>
    </row>
    <row r="9648">
      <c r="A9648" s="4" t="s">
        <v>12129</v>
      </c>
      <c r="B9648" s="4" t="s">
        <v>12130</v>
      </c>
      <c r="C9648" s="5" t="str">
        <f>IFERROR(__xludf.DUMMYFUNCTION("GOOGLETRANSLATE(B9648,""en"",""de"")"),"Ein Mann kniet neben einem Reifen und hält verschiedene Werkzeuge hoch.")</f>
        <v>Ein Mann kniet neben einem Reifen und hält verschiedene Werkzeuge hoch.</v>
      </c>
    </row>
    <row r="9649">
      <c r="A9649" s="4" t="s">
        <v>12129</v>
      </c>
      <c r="B9649" s="4" t="s">
        <v>12131</v>
      </c>
      <c r="C9649" s="5" t="str">
        <f>IFERROR(__xludf.DUMMYFUNCTION("GOOGLETRANSLATE(B9649,""en"",""de"")"),"Der Mann nimmt dann einen Hubcap aus und legt ihn wieder auf den Reifen.")</f>
        <v>Der Mann nimmt dann einen Hubcap aus und legt ihn wieder auf den Reifen.</v>
      </c>
    </row>
    <row r="9650">
      <c r="A9650" s="4" t="s">
        <v>12129</v>
      </c>
      <c r="B9650" s="4" t="s">
        <v>12132</v>
      </c>
      <c r="C9650" s="5" t="str">
        <f>IFERROR(__xludf.DUMMYFUNCTION("GOOGLETRANSLATE(B9650,""en"",""de"")"),"Er dreht sich um und spricht mit der Kamera.")</f>
        <v>Er dreht sich um und spricht mit der Kamera.</v>
      </c>
    </row>
    <row r="9651">
      <c r="A9651" s="4" t="s">
        <v>12133</v>
      </c>
      <c r="B9651" s="4" t="s">
        <v>12134</v>
      </c>
      <c r="C9651" s="5" t="str">
        <f>IFERROR(__xludf.DUMMYFUNCTION("GOOGLETRANSLATE(B9651,""en"",""de"")"),"Ein weißes Putzwerkzeug wird mit einem braunen Holzgriff dargestellt.")</f>
        <v>Ein weißes Putzwerkzeug wird mit einem braunen Holzgriff dargestellt.</v>
      </c>
    </row>
    <row r="9652">
      <c r="A9652" s="4" t="s">
        <v>12133</v>
      </c>
      <c r="B9652" s="4" t="s">
        <v>12135</v>
      </c>
      <c r="C9652" s="5" t="str">
        <f>IFERROR(__xludf.DUMMYFUNCTION("GOOGLETRANSLATE(B9652,""en"",""de"")"),"Eine Person nimmt es dann auf und beginnt es zu beugen, wie das Objekt funktioniert.")</f>
        <v>Eine Person nimmt es dann auf und beginnt es zu beugen, wie das Objekt funktioniert.</v>
      </c>
    </row>
    <row r="9653">
      <c r="A9653" s="4" t="s">
        <v>12133</v>
      </c>
      <c r="B9653" s="4" t="s">
        <v>12136</v>
      </c>
      <c r="C9653" s="5" t="str">
        <f>IFERROR(__xludf.DUMMYFUNCTION("GOOGLETRANSLATE(B9653,""en"",""de"")"),"Danach wird das Objekt an der Ecke der Wände demonstriert und dann wird der Gips im Gras abgewaschen.")</f>
        <v>Danach wird das Objekt an der Ecke der Wände demonstriert und dann wird der Gips im Gras abgewaschen.</v>
      </c>
    </row>
    <row r="9654">
      <c r="A9654" s="4" t="s">
        <v>12137</v>
      </c>
      <c r="B9654" s="4" t="s">
        <v>12138</v>
      </c>
      <c r="C9654" s="5" t="str">
        <f>IFERROR(__xludf.DUMMYFUNCTION("GOOGLETRANSLATE(B9654,""en"",""de"")"),"Ein Mann tritt an einem starken Mann Wettbewerb an und steht auf einem Baumstamm, das mit einer Axt in der Hand hackt.")</f>
        <v>Ein Mann tritt an einem starken Mann Wettbewerb an und steht auf einem Baumstamm, das mit einer Axt in der Hand hackt.</v>
      </c>
    </row>
    <row r="9655">
      <c r="A9655" s="4" t="s">
        <v>12137</v>
      </c>
      <c r="B9655" s="4" t="s">
        <v>12139</v>
      </c>
      <c r="C9655" s="5" t="str">
        <f>IFERROR(__xludf.DUMMYFUNCTION("GOOGLETRANSLATE(B9655,""en"",""de"")"),"Der Mann spaltet schließlich den Baumstamm unter seine Füße.")</f>
        <v>Der Mann spaltet schließlich den Baumstamm unter seine Füße.</v>
      </c>
    </row>
    <row r="9656">
      <c r="A9656" s="4" t="s">
        <v>12137</v>
      </c>
      <c r="B9656" s="4" t="s">
        <v>12140</v>
      </c>
      <c r="C9656" s="5" t="str">
        <f>IFERROR(__xludf.DUMMYFUNCTION("GOOGLETRANSLATE(B9656,""en"",""de"")"),"Ein zweiter Mann im Wettbewerb in Weste nimmt wiederholt ein großes kugelförmiges Gewicht auf einen Reifen ab.")</f>
        <v>Ein zweiter Mann im Wettbewerb in Weste nimmt wiederholt ein großes kugelförmiges Gewicht auf einen Reifen ab.</v>
      </c>
    </row>
    <row r="9657">
      <c r="A9657" s="4" t="s">
        <v>12137</v>
      </c>
      <c r="B9657" s="4" t="s">
        <v>12141</v>
      </c>
      <c r="C9657" s="5" t="str">
        <f>IFERROR(__xludf.DUMMYFUNCTION("GOOGLETRANSLATE(B9657,""en"",""de"")"),"Ein Mann in roten Schritten auf ein Protokoll und erhält eine Axt von einem Schiedsrichter.")</f>
        <v>Ein Mann in roten Schritten auf ein Protokoll und erhält eine Axt von einem Schiedsrichter.</v>
      </c>
    </row>
    <row r="9658">
      <c r="A9658" s="4" t="s">
        <v>12142</v>
      </c>
      <c r="B9658" s="4" t="s">
        <v>12143</v>
      </c>
      <c r="C9658" s="5" t="str">
        <f>IFERROR(__xludf.DUMMYFUNCTION("GOOGLETRANSLATE(B9658,""en"",""de"")"),"Ein Mann spricht in einem Raum in einem Haus.")</f>
        <v>Ein Mann spricht in einem Raum in einem Haus.</v>
      </c>
    </row>
    <row r="9659">
      <c r="A9659" s="4" t="s">
        <v>12142</v>
      </c>
      <c r="B9659" s="4" t="s">
        <v>12144</v>
      </c>
      <c r="C9659" s="5" t="str">
        <f>IFERROR(__xludf.DUMMYFUNCTION("GOOGLETRANSLATE(B9659,""en"",""de"")"),"Er hält einen Stock und Geige.")</f>
        <v>Er hält einen Stock und Geige.</v>
      </c>
    </row>
    <row r="9660">
      <c r="A9660" s="4" t="s">
        <v>12142</v>
      </c>
      <c r="B9660" s="4" t="s">
        <v>12145</v>
      </c>
      <c r="C9660" s="5" t="str">
        <f>IFERROR(__xludf.DUMMYFUNCTION("GOOGLETRANSLATE(B9660,""en"",""de"")"),"Dann zeigt er, wie man die Geige spielt.")</f>
        <v>Dann zeigt er, wie man die Geige spielt.</v>
      </c>
    </row>
    <row r="9661">
      <c r="A9661" s="4" t="s">
        <v>12146</v>
      </c>
      <c r="B9661" s="4" t="s">
        <v>12147</v>
      </c>
      <c r="C9661" s="5" t="str">
        <f>IFERROR(__xludf.DUMMYFUNCTION("GOOGLETRANSLATE(B9661,""en"",""de"")"),"Zwei professionelle Biker fahren im Peckham BMX Club.")</f>
        <v>Zwei professionelle Biker fahren im Peckham BMX Club.</v>
      </c>
    </row>
    <row r="9662">
      <c r="A9662" s="4" t="s">
        <v>12146</v>
      </c>
      <c r="B9662" s="4" t="s">
        <v>12148</v>
      </c>
      <c r="C9662" s="5" t="str">
        <f>IFERROR(__xludf.DUMMYFUNCTION("GOOGLETRANSLATE(B9662,""en"",""de"")"),"Die Biker gehen mit voller Geschwindigkeit über eine Benzinoberfläche.")</f>
        <v>Die Biker gehen mit voller Geschwindigkeit über eine Benzinoberfläche.</v>
      </c>
    </row>
    <row r="9663">
      <c r="A9663" s="4" t="s">
        <v>12146</v>
      </c>
      <c r="B9663" s="4" t="s">
        <v>12149</v>
      </c>
      <c r="C9663" s="5" t="str">
        <f>IFERROR(__xludf.DUMMYFUNCTION("GOOGLETRANSLATE(B9663,""en"",""de"")"),"Es gibt mehrere andere Biker, die die gleiche Aktivität auf einer anderen gekrümmten Oberfläche ausführen.")</f>
        <v>Es gibt mehrere andere Biker, die die gleiche Aktivität auf einer anderen gekrümmten Oberfläche ausführen.</v>
      </c>
    </row>
    <row r="9664">
      <c r="A9664" s="4" t="s">
        <v>12146</v>
      </c>
      <c r="B9664" s="4" t="s">
        <v>12150</v>
      </c>
      <c r="C9664" s="5" t="str">
        <f>IFERROR(__xludf.DUMMYFUNCTION("GOOGLETRANSLATE(B9664,""en"",""de"")"),"Es gibt fünf Biker, die Helme tragen, die bereit sind, ein Rennen zu beginnen.")</f>
        <v>Es gibt fünf Biker, die Helme tragen, die bereit sind, ein Rennen zu beginnen.</v>
      </c>
    </row>
    <row r="9665">
      <c r="A9665" s="4" t="s">
        <v>12146</v>
      </c>
      <c r="B9665" s="4" t="s">
        <v>12151</v>
      </c>
      <c r="C9665" s="5" t="str">
        <f>IFERROR(__xludf.DUMMYFUNCTION("GOOGLETRANSLATE(B9665,""en"",""de"")"),"Sie beginnen mit hoher Geschwindigkeit über eine gekrümmte Straße zu rennen.")</f>
        <v>Sie beginnen mit hoher Geschwindigkeit über eine gekrümmte Straße zu rennen.</v>
      </c>
    </row>
    <row r="9666">
      <c r="A9666" s="4" t="s">
        <v>12146</v>
      </c>
      <c r="B9666" s="4" t="s">
        <v>12152</v>
      </c>
      <c r="C9666" s="5" t="str">
        <f>IFERROR(__xludf.DUMMYFUNCTION("GOOGLETRANSLATE(B9666,""en"",""de"")"),"Zwei weitere Chargen von Rennfahrern beginnen das gleiche Rennen.")</f>
        <v>Zwei weitere Chargen von Rennfahrern beginnen das gleiche Rennen.</v>
      </c>
    </row>
    <row r="9667">
      <c r="A9667" s="4" t="s">
        <v>12146</v>
      </c>
      <c r="B9667" s="4" t="s">
        <v>12153</v>
      </c>
      <c r="C9667" s="5" t="str">
        <f>IFERROR(__xludf.DUMMYFUNCTION("GOOGLETRANSLATE(B9667,""en"",""de"")"),"Ein einzelner Biker geht mit sehr hoher Geschwindigkeit durch die gekrümmte Straße.")</f>
        <v>Ein einzelner Biker geht mit sehr hoher Geschwindigkeit durch die gekrümmte Straße.</v>
      </c>
    </row>
    <row r="9668">
      <c r="A9668" s="4" t="s">
        <v>12154</v>
      </c>
      <c r="B9668" s="4" t="s">
        <v>12155</v>
      </c>
      <c r="C9668" s="5" t="str">
        <f>IFERROR(__xludf.DUMMYFUNCTION("GOOGLETRANSLATE(B9668,""en"",""de"")"),"Eine Person führt Wake Board mit einem Ski -Wasserseil durch.")</f>
        <v>Eine Person führt Wake Board mit einem Ski -Wasserseil durch.</v>
      </c>
    </row>
    <row r="9669">
      <c r="A9669" s="4" t="s">
        <v>12154</v>
      </c>
      <c r="B9669" s="4" t="s">
        <v>12156</v>
      </c>
      <c r="C9669" s="5" t="str">
        <f>IFERROR(__xludf.DUMMYFUNCTION("GOOGLETRANSLATE(B9669,""en"",""de"")"),"Der Mann springt mehrmals ein Hindernis und landet im Wasser.")</f>
        <v>Der Mann springt mehrmals ein Hindernis und landet im Wasser.</v>
      </c>
    </row>
    <row r="9670">
      <c r="A9670" s="4" t="s">
        <v>12154</v>
      </c>
      <c r="B9670" s="4" t="s">
        <v>12157</v>
      </c>
      <c r="C9670" s="5" t="str">
        <f>IFERROR(__xludf.DUMMYFUNCTION("GOOGLETRANSLATE(B9670,""en"",""de"")"),"Dann springt der Mann das Hindernis und dreht sich.")</f>
        <v>Dann springt der Mann das Hindernis und dreht sich.</v>
      </c>
    </row>
    <row r="9671">
      <c r="A9671" s="4" t="s">
        <v>12154</v>
      </c>
      <c r="B9671" s="4" t="s">
        <v>12158</v>
      </c>
      <c r="C9671" s="5" t="str">
        <f>IFERROR(__xludf.DUMMYFUNCTION("GOOGLETRANSLATE(B9671,""en"",""de"")"),"Dann rutscht der Mann auf Rampen, während er in die Luft flippt.")</f>
        <v>Dann rutscht der Mann auf Rampen, während er in die Luft flippt.</v>
      </c>
    </row>
    <row r="9672">
      <c r="A9672" s="4" t="s">
        <v>12159</v>
      </c>
      <c r="B9672" s="4" t="s">
        <v>12160</v>
      </c>
      <c r="C9672" s="5" t="str">
        <f>IFERROR(__xludf.DUMMYFUNCTION("GOOGLETRANSLATE(B9672,""en"",""de"")"),"Ein Mann trainiert, indem er animierte Strecken in einer Tür macht, während er einen Tennisschläger hält.")</f>
        <v>Ein Mann trainiert, indem er animierte Strecken in einer Tür macht, während er einen Tennisschläger hält.</v>
      </c>
    </row>
    <row r="9673">
      <c r="A9673" s="4" t="s">
        <v>12159</v>
      </c>
      <c r="B9673" s="4" t="s">
        <v>12161</v>
      </c>
      <c r="C9673" s="5" t="str">
        <f>IFERROR(__xludf.DUMMYFUNCTION("GOOGLETRANSLATE(B9673,""en"",""de"")"),"Eine Frau nähert sich ihm und die beiden beginnen zu reden.")</f>
        <v>Eine Frau nähert sich ihm und die beiden beginnen zu reden.</v>
      </c>
    </row>
    <row r="9674">
      <c r="A9674" s="4" t="s">
        <v>12159</v>
      </c>
      <c r="B9674" s="4" t="s">
        <v>12162</v>
      </c>
      <c r="C9674" s="5" t="str">
        <f>IFERROR(__xludf.DUMMYFUNCTION("GOOGLETRANSLATE(B9674,""en"",""de"")"),"Der Mann und die Frau spielen in einem geschlossenen Fitnessraum Tennis, indem er mit ihrem Tennisschläger den Tennisball gegen eine Wand schlägt.")</f>
        <v>Der Mann und die Frau spielen in einem geschlossenen Fitnessraum Tennis, indem er mit ihrem Tennisschläger den Tennisball gegen eine Wand schlägt.</v>
      </c>
    </row>
    <row r="9675">
      <c r="A9675" s="4" t="s">
        <v>12159</v>
      </c>
      <c r="B9675" s="4" t="s">
        <v>12163</v>
      </c>
      <c r="C9675" s="5" t="str">
        <f>IFERROR(__xludf.DUMMYFUNCTION("GOOGLETRANSLATE(B9675,""en"",""de"")"),"Der Mann wird wütend, während er spielt und beginnt zu stampfen, zu schreien, wild gestikuliert und die Frau auf den Boden zu schieben, wenn sie fällt, während sie das Spiel spielen.")</f>
        <v>Der Mann wird wütend, während er spielt und beginnt zu stampfen, zu schreien, wild gestikuliert und die Frau auf den Boden zu schieben, wenn sie fällt, während sie das Spiel spielen.</v>
      </c>
    </row>
    <row r="9676">
      <c r="A9676" s="4" t="s">
        <v>12159</v>
      </c>
      <c r="B9676" s="4" t="s">
        <v>12164</v>
      </c>
      <c r="C9676" s="5" t="str">
        <f>IFERROR(__xludf.DUMMYFUNCTION("GOOGLETRANSLATE(B9676,""en"",""de"")"),"Wenn das Spiel endet, geht die Frau und sieht verärgert aus und der Mann sieht zufrieden aus, als er wilde Strecken vor der Tür macht und mit einer anderen Person spricht.")</f>
        <v>Wenn das Spiel endet, geht die Frau und sieht verärgert aus und der Mann sieht zufrieden aus, als er wilde Strecken vor der Tür macht und mit einer anderen Person spricht.</v>
      </c>
    </row>
    <row r="9677">
      <c r="A9677" s="4" t="s">
        <v>12165</v>
      </c>
      <c r="B9677" s="4" t="s">
        <v>12166</v>
      </c>
      <c r="C9677" s="5" t="str">
        <f>IFERROR(__xludf.DUMMYFUNCTION("GOOGLETRANSLATE(B9677,""en"",""de"")"),"Ein Mädchen steht auf einem Balancestrahl.")</f>
        <v>Ein Mädchen steht auf einem Balancestrahl.</v>
      </c>
    </row>
    <row r="9678">
      <c r="A9678" s="4" t="s">
        <v>12165</v>
      </c>
      <c r="B9678" s="4" t="s">
        <v>12167</v>
      </c>
      <c r="C9678" s="5" t="str">
        <f>IFERROR(__xludf.DUMMYFUNCTION("GOOGLETRANSLATE(B9678,""en"",""de"")"),"Sie spielt auf dem Strahl.")</f>
        <v>Sie spielt auf dem Strahl.</v>
      </c>
    </row>
    <row r="9679">
      <c r="A9679" s="4" t="s">
        <v>12165</v>
      </c>
      <c r="B9679" s="4" t="s">
        <v>12168</v>
      </c>
      <c r="C9679" s="5" t="str">
        <f>IFERROR(__xludf.DUMMYFUNCTION("GOOGLETRANSLATE(B9679,""en"",""de"")"),"Sie beobachtet, wie andere Mädchen dasselbe tun.")</f>
        <v>Sie beobachtet, wie andere Mädchen dasselbe tun.</v>
      </c>
    </row>
    <row r="9680">
      <c r="A9680" s="4" t="s">
        <v>12169</v>
      </c>
      <c r="B9680" s="4" t="s">
        <v>12170</v>
      </c>
      <c r="C9680" s="5" t="str">
        <f>IFERROR(__xludf.DUMMYFUNCTION("GOOGLETRANSLATE(B9680,""en"",""de"")"),"In seinem Vorgarten spielt ein kleiner Junge Lacrosse.")</f>
        <v>In seinem Vorgarten spielt ein kleiner Junge Lacrosse.</v>
      </c>
    </row>
    <row r="9681">
      <c r="A9681" s="4" t="s">
        <v>12169</v>
      </c>
      <c r="B9681" s="4" t="s">
        <v>12171</v>
      </c>
      <c r="C9681" s="5" t="str">
        <f>IFERROR(__xludf.DUMMYFUNCTION("GOOGLETRANSLATE(B9681,""en"",""de"")"),"Er hält einen gelben Lacrosse -Stock.")</f>
        <v>Er hält einen gelben Lacrosse -Stock.</v>
      </c>
    </row>
    <row r="9682">
      <c r="A9682" s="4" t="s">
        <v>12169</v>
      </c>
      <c r="B9682" s="4" t="s">
        <v>12172</v>
      </c>
      <c r="C9682" s="5" t="str">
        <f>IFERROR(__xludf.DUMMYFUNCTION("GOOGLETRANSLATE(B9682,""en"",""de"")"),"Er ist aufgeregt, als er das Spiel spielt, während seine Mutter ihn zum Spielen jubelt.")</f>
        <v>Er ist aufgeregt, als er das Spiel spielt, während seine Mutter ihn zum Spielen jubelt.</v>
      </c>
    </row>
    <row r="9683">
      <c r="A9683" s="4" t="s">
        <v>12169</v>
      </c>
      <c r="B9683" s="4" t="s">
        <v>12173</v>
      </c>
      <c r="C9683" s="5" t="str">
        <f>IFERROR(__xludf.DUMMYFUNCTION("GOOGLETRANSLATE(B9683,""en"",""de"")"),"Er nimmt den gelben Ball auf und wirft ihn zu seinem Vater.")</f>
        <v>Er nimmt den gelben Ball auf und wirft ihn zu seinem Vater.</v>
      </c>
    </row>
    <row r="9684">
      <c r="A9684" s="4" t="s">
        <v>12169</v>
      </c>
      <c r="B9684" s="4" t="s">
        <v>12174</v>
      </c>
      <c r="C9684" s="5" t="str">
        <f>IFERROR(__xludf.DUMMYFUNCTION("GOOGLETRANSLATE(B9684,""en"",""de"")"),"Als sein Vater den Ball zu ihm wirft, fängt er ihn mit dem Lacrosse -Stick.")</f>
        <v>Als sein Vater den Ball zu ihm wirft, fängt er ihn mit dem Lacrosse -Stick.</v>
      </c>
    </row>
    <row r="9685">
      <c r="A9685" s="4" t="s">
        <v>12169</v>
      </c>
      <c r="B9685" s="4" t="s">
        <v>12175</v>
      </c>
      <c r="C9685" s="5" t="str">
        <f>IFERROR(__xludf.DUMMYFUNCTION("GOOGLETRANSLATE(B9685,""en"",""de"")"),"Seine Mutter ist aufgeregt und ruft nach ihm.")</f>
        <v>Seine Mutter ist aufgeregt und ruft nach ihm.</v>
      </c>
    </row>
    <row r="9686">
      <c r="A9686" s="4" t="s">
        <v>12176</v>
      </c>
      <c r="B9686" s="4" t="s">
        <v>12177</v>
      </c>
      <c r="C9686" s="5" t="str">
        <f>IFERROR(__xludf.DUMMYFUNCTION("GOOGLETRANSLATE(B9686,""en"",""de"")"),"Eine Frau versucht, ihren Kaffee aus einem Handschuhfach zu entfernen, aber es wird sich nicht rühren.")</f>
        <v>Eine Frau versucht, ihren Kaffee aus einem Handschuhfach zu entfernen, aber es wird sich nicht rühren.</v>
      </c>
    </row>
    <row r="9687">
      <c r="A9687" s="4" t="s">
        <v>12176</v>
      </c>
      <c r="B9687" s="4" t="s">
        <v>12178</v>
      </c>
      <c r="C9687" s="5" t="str">
        <f>IFERROR(__xludf.DUMMYFUNCTION("GOOGLETRANSLATE(B9687,""en"",""de"")"),"Sie beugt sich vor und winkt den Kameramann weg, als sie versucht, etwas zu trinken.")</f>
        <v>Sie beugt sich vor und winkt den Kameramann weg, als sie versucht, etwas zu trinken.</v>
      </c>
    </row>
    <row r="9688">
      <c r="A9688" s="4" t="s">
        <v>12176</v>
      </c>
      <c r="B9688" s="4" t="s">
        <v>12179</v>
      </c>
      <c r="C9688" s="5" t="str">
        <f>IFERROR(__xludf.DUMMYFUNCTION("GOOGLETRANSLATE(B9688,""en"",""de"")"),"Sie kann schließlich die Tasse entfernen.")</f>
        <v>Sie kann schließlich die Tasse entfernen.</v>
      </c>
    </row>
    <row r="9689">
      <c r="A9689" s="4" t="s">
        <v>12180</v>
      </c>
      <c r="B9689" s="4" t="s">
        <v>12181</v>
      </c>
      <c r="C9689" s="5" t="str">
        <f>IFERROR(__xludf.DUMMYFUNCTION("GOOGLETRANSLATE(B9689,""en"",""de"")"),"Ein Mann packt einen Puck und rollt vor anderen am Eis entlang.")</f>
        <v>Ein Mann packt einen Puck und rollt vor anderen am Eis entlang.</v>
      </c>
    </row>
    <row r="9690">
      <c r="A9690" s="4" t="s">
        <v>12180</v>
      </c>
      <c r="B9690" s="4" t="s">
        <v>12182</v>
      </c>
      <c r="C9690" s="5" t="str">
        <f>IFERROR(__xludf.DUMMYFUNCTION("GOOGLETRANSLATE(B9690,""en"",""de"")"),"Die Leute schieben den Puck das Eis hinunter und feiern miteinander.")</f>
        <v>Die Leute schieben den Puck das Eis hinunter und feiern miteinander.</v>
      </c>
    </row>
    <row r="9691">
      <c r="A9691" s="4" t="s">
        <v>12180</v>
      </c>
      <c r="B9691" s="4" t="s">
        <v>12183</v>
      </c>
      <c r="C9691" s="5" t="str">
        <f>IFERROR(__xludf.DUMMYFUNCTION("GOOGLETRANSLATE(B9691,""en"",""de"")"),"Menschen am Rande jubeln und die Männer gehen weg.")</f>
        <v>Menschen am Rande jubeln und die Männer gehen weg.</v>
      </c>
    </row>
    <row r="9692">
      <c r="A9692" s="4" t="s">
        <v>12184</v>
      </c>
      <c r="B9692" s="4" t="s">
        <v>12185</v>
      </c>
      <c r="C9692" s="5" t="str">
        <f>IFERROR(__xludf.DUMMYFUNCTION("GOOGLETRANSLATE(B9692,""en"",""de"")"),"Eine Gruppe von Männern spricht Freestyle, die durch die Stadt springt.")</f>
        <v>Eine Gruppe von Männern spricht Freestyle, die durch die Stadt springt.</v>
      </c>
    </row>
    <row r="9693">
      <c r="A9693" s="4" t="s">
        <v>12184</v>
      </c>
      <c r="B9693" s="4" t="s">
        <v>12186</v>
      </c>
      <c r="C9693" s="5" t="str">
        <f>IFERROR(__xludf.DUMMYFUNCTION("GOOGLETRANSLATE(B9693,""en"",""de"")"),"Die Männer rennen zusammen in einer Gruppe.")</f>
        <v>Die Männer rennen zusammen in einer Gruppe.</v>
      </c>
    </row>
    <row r="9694">
      <c r="A9694" s="4" t="s">
        <v>12184</v>
      </c>
      <c r="B9694" s="4" t="s">
        <v>12187</v>
      </c>
      <c r="C9694" s="5" t="str">
        <f>IFERROR(__xludf.DUMMYFUNCTION("GOOGLETRANSLATE(B9694,""en"",""de"")"),"Jeder Mann macht eine Reihe mehrerer Sprünge in einer kontinuierlichen Linie.")</f>
        <v>Jeder Mann macht eine Reihe mehrerer Sprünge in einer kontinuierlichen Linie.</v>
      </c>
    </row>
    <row r="9695">
      <c r="A9695" s="4" t="s">
        <v>12184</v>
      </c>
      <c r="B9695" s="4" t="s">
        <v>12188</v>
      </c>
      <c r="C9695" s="5" t="str">
        <f>IFERROR(__xludf.DUMMYFUNCTION("GOOGLETRANSLATE(B9695,""en"",""de"")"),"Die Dreharbeiten werden durch Baumitarbeiter unterbrochen.")</f>
        <v>Die Dreharbeiten werden durch Baumitarbeiter unterbrochen.</v>
      </c>
    </row>
    <row r="9696">
      <c r="A9696" s="4" t="s">
        <v>12189</v>
      </c>
      <c r="B9696" s="4" t="s">
        <v>12190</v>
      </c>
      <c r="C9696" s="5" t="str">
        <f>IFERROR(__xludf.DUMMYFUNCTION("GOOGLETRANSLATE(B9696,""en"",""de"")"),"Eine Frau geht in den Rahmen und nickt in die Kamera, die in ihren strömenden Mundwasser aus und in ihren Mund führt.")</f>
        <v>Eine Frau geht in den Rahmen und nickt in die Kamera, die in ihren strömenden Mundwasser aus und in ihren Mund führt.</v>
      </c>
    </row>
    <row r="9697">
      <c r="A9697" s="4" t="s">
        <v>12189</v>
      </c>
      <c r="B9697" s="4" t="s">
        <v>12191</v>
      </c>
      <c r="C9697" s="5" t="str">
        <f>IFERROR(__xludf.DUMMYFUNCTION("GOOGLETRANSLATE(B9697,""en"",""de"")"),"Sie spült den Mundwässer herum, gurgelt die Flüssigkeit in ihren Mund, spuckt sie dann aus und lächelt.")</f>
        <v>Sie spült den Mundwässer herum, gurgelt die Flüssigkeit in ihren Mund, spuckt sie dann aus und lächelt.</v>
      </c>
    </row>
    <row r="9698">
      <c r="A9698" s="4" t="s">
        <v>12192</v>
      </c>
      <c r="B9698" s="4" t="s">
        <v>12193</v>
      </c>
      <c r="C9698" s="5" t="str">
        <f>IFERROR(__xludf.DUMMYFUNCTION("GOOGLETRANSLATE(B9698,""en"",""de"")"),"Ein junger Mann steht an der Startlinie eines Schwimmbades.")</f>
        <v>Ein junger Mann steht an der Startlinie eines Schwimmbades.</v>
      </c>
    </row>
    <row r="9699">
      <c r="A9699" s="4" t="s">
        <v>12192</v>
      </c>
      <c r="B9699" s="4" t="s">
        <v>12194</v>
      </c>
      <c r="C9699" s="5" t="str">
        <f>IFERROR(__xludf.DUMMYFUNCTION("GOOGLETRANSLATE(B9699,""en"",""de"")"),"Dann steigt der junge Mann ins Wasser und schwimmt zur anderen Seite des Zuges.")</f>
        <v>Dann steigt der junge Mann ins Wasser und schwimmt zur anderen Seite des Zuges.</v>
      </c>
    </row>
    <row r="9700">
      <c r="A9700" s="4" t="s">
        <v>12192</v>
      </c>
      <c r="B9700" s="4" t="s">
        <v>12195</v>
      </c>
      <c r="C9700" s="5" t="str">
        <f>IFERROR(__xludf.DUMMYFUNCTION("GOOGLETRANSLATE(B9700,""en"",""de"")"),"Danach steigt der junge Mann aus dem Pool.")</f>
        <v>Danach steigt der junge Mann aus dem Pool.</v>
      </c>
    </row>
    <row r="9701">
      <c r="A9701" s="4" t="s">
        <v>12196</v>
      </c>
      <c r="B9701" s="4" t="s">
        <v>12197</v>
      </c>
      <c r="C9701" s="5" t="str">
        <f>IFERROR(__xludf.DUMMYFUNCTION("GOOGLETRANSLATE(B9701,""en"",""de"")"),"Zwei Männer duschen in einer Außendusche.")</f>
        <v>Zwei Männer duschen in einer Außendusche.</v>
      </c>
    </row>
    <row r="9702">
      <c r="A9702" s="4" t="s">
        <v>12196</v>
      </c>
      <c r="B9702" s="4" t="s">
        <v>12198</v>
      </c>
      <c r="C9702" s="5" t="str">
        <f>IFERROR(__xludf.DUMMYFUNCTION("GOOGLETRANSLATE(B9702,""en"",""de"")"),"Die Leute spielen im Wasser Wasserball.")</f>
        <v>Die Leute spielen im Wasser Wasserball.</v>
      </c>
    </row>
    <row r="9703">
      <c r="A9703" s="4" t="s">
        <v>12196</v>
      </c>
      <c r="B9703" s="4" t="s">
        <v>12199</v>
      </c>
      <c r="C9703" s="5" t="str">
        <f>IFERROR(__xludf.DUMMYFUNCTION("GOOGLETRANSLATE(B9703,""en"",""de"")"),"Sie steigen aus dem Wasser und gehen neben den Pool.")</f>
        <v>Sie steigen aus dem Wasser und gehen neben den Pool.</v>
      </c>
    </row>
    <row r="9704">
      <c r="A9704" s="4" t="s">
        <v>12200</v>
      </c>
      <c r="B9704" s="4" t="s">
        <v>12201</v>
      </c>
      <c r="C9704" s="5" t="str">
        <f>IFERROR(__xludf.DUMMYFUNCTION("GOOGLETRANSLATE(B9704,""en"",""de"")"),"Eine Gruppe von Frauen wird in einem Indoor -Fitnessstudio versammelt.")</f>
        <v>Eine Gruppe von Frauen wird in einem Indoor -Fitnessstudio versammelt.</v>
      </c>
    </row>
    <row r="9705">
      <c r="A9705" s="4" t="s">
        <v>12200</v>
      </c>
      <c r="B9705" s="4" t="s">
        <v>12202</v>
      </c>
      <c r="C9705" s="5" t="str">
        <f>IFERROR(__xludf.DUMMYFUNCTION("GOOGLETRANSLATE(B9705,""en"",""de"")"),"Sie werden von einem Ausbilder geführt.")</f>
        <v>Sie werden von einem Ausbilder geführt.</v>
      </c>
    </row>
    <row r="9706">
      <c r="A9706" s="4" t="s">
        <v>12200</v>
      </c>
      <c r="B9706" s="4" t="s">
        <v>12203</v>
      </c>
      <c r="C9706" s="5" t="str">
        <f>IFERROR(__xludf.DUMMYFUNCTION("GOOGLETRANSLATE(B9706,""en"",""de"")"),"Sie machen Zumba -Tänze mit Steppern.")</f>
        <v>Sie machen Zumba -Tänze mit Steppern.</v>
      </c>
    </row>
    <row r="9707">
      <c r="A9707" s="4" t="s">
        <v>12204</v>
      </c>
      <c r="B9707" s="4" t="s">
        <v>12205</v>
      </c>
      <c r="C9707" s="5" t="str">
        <f>IFERROR(__xludf.DUMMYFUNCTION("GOOGLETRANSLATE(B9707,""en"",""de"")"),"Eine Linie von Messern und Schneidutensilien befindet sich auf einem Tisch.")</f>
        <v>Eine Linie von Messern und Schneidutensilien befindet sich auf einem Tisch.</v>
      </c>
    </row>
    <row r="9708">
      <c r="A9708" s="4" t="s">
        <v>12204</v>
      </c>
      <c r="B9708" s="4" t="s">
        <v>12206</v>
      </c>
      <c r="C9708" s="5" t="str">
        <f>IFERROR(__xludf.DUMMYFUNCTION("GOOGLETRANSLATE(B9708,""en"",""de"")"),"Eine Frau schneidet das Oberteil eines Kürbis und remt die Samen in eine Schüssel.")</f>
        <v>Eine Frau schneidet das Oberteil eines Kürbis und remt die Samen in eine Schüssel.</v>
      </c>
    </row>
    <row r="9709">
      <c r="A9709" s="4" t="s">
        <v>12204</v>
      </c>
      <c r="B9709" s="4" t="s">
        <v>12207</v>
      </c>
      <c r="C9709" s="5" t="str">
        <f>IFERROR(__xludf.DUMMYFUNCTION("GOOGLETRANSLATE(B9709,""en"",""de"")"),"Dann beginnt sie, die Samen vom Kürbis auszutragen.")</f>
        <v>Dann beginnt sie, die Samen vom Kürbis auszutragen.</v>
      </c>
    </row>
    <row r="9710">
      <c r="A9710" s="4" t="s">
        <v>12204</v>
      </c>
      <c r="B9710" s="4" t="s">
        <v>12208</v>
      </c>
      <c r="C9710" s="5" t="str">
        <f>IFERROR(__xludf.DUMMYFUNCTION("GOOGLETRANSLATE(B9710,""en"",""de"")"),"Sie zeichnet nach außen ein Gesicht, bevor sie ein Messer benutzt, um das Gesicht ihres Kürbis auszuschneiden.")</f>
        <v>Sie zeichnet nach außen ein Gesicht, bevor sie ein Messer benutzt, um das Gesicht ihres Kürbis auszuschneiden.</v>
      </c>
    </row>
    <row r="9711">
      <c r="A9711" s="4" t="s">
        <v>12204</v>
      </c>
      <c r="B9711" s="4" t="s">
        <v>12209</v>
      </c>
      <c r="C9711" s="5" t="str">
        <f>IFERROR(__xludf.DUMMYFUNCTION("GOOGLETRANSLATE(B9711,""en"",""de"")"),"Schließlich legt sie das Oberteil zurück und setzt eine Kerze hinein.")</f>
        <v>Schließlich legt sie das Oberteil zurück und setzt eine Kerze hinein.</v>
      </c>
    </row>
    <row r="9712">
      <c r="A9712" s="4" t="s">
        <v>12210</v>
      </c>
      <c r="B9712" s="4" t="s">
        <v>12211</v>
      </c>
      <c r="C9712" s="5" t="str">
        <f>IFERROR(__xludf.DUMMYFUNCTION("GOOGLETRANSLATE(B9712,""en"",""de"")"),"Michele Obama und eine andere Frau reichen an einem sonnigen Tag Hula draußen.")</f>
        <v>Michele Obama und eine andere Frau reichen an einem sonnigen Tag Hula draußen.</v>
      </c>
    </row>
    <row r="9713">
      <c r="A9713" s="4" t="s">
        <v>12210</v>
      </c>
      <c r="B9713" s="4" t="s">
        <v>12212</v>
      </c>
      <c r="C9713" s="5" t="str">
        <f>IFERROR(__xludf.DUMMYFUNCTION("GOOGLETRANSLATE(B9713,""en"",""de"")"),"Während die Kamera einen Jungen und eine andere Frau zur Seite zoomen, werden auch Hula Hooping gesehen, während Menschen hinter den vorbeifahren.")</f>
        <v>Während die Kamera einen Jungen und eine andere Frau zur Seite zoomen, werden auch Hula Hooping gesehen, während Menschen hinter den vorbeifahren.</v>
      </c>
    </row>
    <row r="9714">
      <c r="A9714" s="4" t="s">
        <v>12210</v>
      </c>
      <c r="B9714" s="4" t="s">
        <v>12213</v>
      </c>
      <c r="C9714" s="5" t="str">
        <f>IFERROR(__xludf.DUMMYFUNCTION("GOOGLETRANSLATE(B9714,""en"",""de"")"),"Eine Nahaufnahme zurück zu Michele Obamas Gesicht, in dem sie aussieht, als würde sie das Training bekommen und ein Grinsen im Gesicht machen.")</f>
        <v>Eine Nahaufnahme zurück zu Michele Obamas Gesicht, in dem sie aussieht, als würde sie das Training bekommen und ein Grinsen im Gesicht machen.</v>
      </c>
    </row>
    <row r="9715">
      <c r="A9715" s="4" t="s">
        <v>12210</v>
      </c>
      <c r="B9715" s="4" t="s">
        <v>12214</v>
      </c>
      <c r="C9715" s="5" t="str">
        <f>IFERROR(__xludf.DUMMYFUNCTION("GOOGLETRANSLATE(B9715,""en"",""de"")"),"Die Kamera wendet sich nur auf die Hüften der beiden Frauen mit den Hula -Hoops wie am Anfang und wieder, bis es meistens nur Micheles Gesicht sieht.")</f>
        <v>Die Kamera wendet sich nur auf die Hüften der beiden Frauen mit den Hula -Hoops wie am Anfang und wieder, bis es meistens nur Micheles Gesicht sieht.</v>
      </c>
    </row>
    <row r="9716">
      <c r="A9716" s="4" t="s">
        <v>12210</v>
      </c>
      <c r="B9716" s="4" t="s">
        <v>12215</v>
      </c>
      <c r="C9716" s="5" t="str">
        <f>IFERROR(__xludf.DUMMYFUNCTION("GOOGLETRANSLATE(B9716,""en"",""de"")"),"Michele rennt jetzt und springt in ein Jumprope, wo sie zweimal erfolgreich im Sprungseil springt, beide Male verlegen aussieht.")</f>
        <v>Michele rennt jetzt und springt in ein Jumprope, wo sie zweimal erfolgreich im Sprungseil springt, beide Male verlegen aussieht.</v>
      </c>
    </row>
    <row r="9717">
      <c r="A9717" s="4" t="s">
        <v>12210</v>
      </c>
      <c r="B9717" s="4" t="s">
        <v>12216</v>
      </c>
      <c r="C9717" s="5" t="str">
        <f>IFERROR(__xludf.DUMMYFUNCTION("GOOGLETRANSLATE(B9717,""en"",""de"")"),"Das dritte Mal bereitet sie sich vor und rennt ein paar Mal zum Springen auf das Sprungseil, bevor sie nicht mehr in der Lage ist.")</f>
        <v>Das dritte Mal bereitet sie sich vor und rennt ein paar Mal zum Springen auf das Sprungseil, bevor sie nicht mehr in der Lage ist.</v>
      </c>
    </row>
    <row r="9718">
      <c r="A9718" s="4" t="s">
        <v>12210</v>
      </c>
      <c r="B9718" s="4" t="s">
        <v>12217</v>
      </c>
      <c r="C9718" s="5" t="str">
        <f>IFERROR(__xludf.DUMMYFUNCTION("GOOGLETRANSLATE(B9718,""en"",""de"")"),"Jetzt rennt Michele einen Fußkurs auf dem Boden, während ein junger Mann dahinter steigt.")</f>
        <v>Jetzt rennt Michele einen Fußkurs auf dem Boden, während ein junger Mann dahinter steigt.</v>
      </c>
    </row>
    <row r="9719">
      <c r="A9719" s="4" t="s">
        <v>12210</v>
      </c>
      <c r="B9719" s="4" t="s">
        <v>12218</v>
      </c>
      <c r="C9719" s="5" t="str">
        <f>IFERROR(__xludf.DUMMYFUNCTION("GOOGLETRANSLATE(B9719,""en"",""de"")"),"Sie geht jetzt durch ein anderes Hindernis von Stöcken und rennt in Richtung des Waldes, wo sie anhält und Punkte.")</f>
        <v>Sie geht jetzt durch ein anderes Hindernis von Stöcken und rennt in Richtung des Waldes, wo sie anhält und Punkte.</v>
      </c>
    </row>
    <row r="9720">
      <c r="A9720" s="4" t="s">
        <v>12210</v>
      </c>
      <c r="B9720" s="4" t="s">
        <v>12219</v>
      </c>
      <c r="C9720" s="5" t="str">
        <f>IFERROR(__xludf.DUMMYFUNCTION("GOOGLETRANSLATE(B9720,""en"",""de"")"),"Sie rennt den ganzen Weg zurück das Feld und gibt zufällige Menschen auf dem Feld bei ihrer Ankunft hohe Fünfer.")</f>
        <v>Sie rennt den ganzen Weg zurück das Feld und gibt zufällige Menschen auf dem Feld bei ihrer Ankunft hohe Fünfer.</v>
      </c>
    </row>
    <row r="9721">
      <c r="A9721" s="4" t="s">
        <v>12220</v>
      </c>
      <c r="B9721" s="4" t="s">
        <v>12221</v>
      </c>
      <c r="C9721" s="5" t="str">
        <f>IFERROR(__xludf.DUMMYFUNCTION("GOOGLETRANSLATE(B9721,""en"",""de"")"),"Die Hände einer Person sind in der Nähe zu sehen, um einen Rubix -Würfel zu lösen, gefolgt von einem Mann, der mit der Kamera spricht.")</f>
        <v>Die Hände einer Person sind in der Nähe zu sehen, um einen Rubix -Würfel zu lösen, gefolgt von einem Mann, der mit der Kamera spricht.</v>
      </c>
    </row>
    <row r="9722">
      <c r="A9722" s="4" t="s">
        <v>12220</v>
      </c>
      <c r="B9722" s="4" t="s">
        <v>12222</v>
      </c>
      <c r="C9722" s="5" t="str">
        <f>IFERROR(__xludf.DUMMYFUNCTION("GOOGLETRANSLATE(B9722,""en"",""de"")"),"Der Mann löst dann einen Rubix Cube Blind gefaltet, während ein Timer seine Partitur einfängt.")</f>
        <v>Der Mann löst dann einen Rubix Cube Blind gefaltet, während ein Timer seine Partitur einfängt.</v>
      </c>
    </row>
    <row r="9723">
      <c r="A9723" s="4" t="s">
        <v>12220</v>
      </c>
      <c r="B9723" s="4" t="s">
        <v>12223</v>
      </c>
      <c r="C9723" s="5" t="str">
        <f>IFERROR(__xludf.DUMMYFUNCTION("GOOGLETRANSLATE(B9723,""en"",""de"")"),"Er beendet den Würfel und nimmt am Ende die Kopfbedeckung ab.")</f>
        <v>Er beendet den Würfel und nimmt am Ende die Kopfbedeckung ab.</v>
      </c>
    </row>
    <row r="9724">
      <c r="A9724" s="4" t="s">
        <v>12224</v>
      </c>
      <c r="B9724" s="4" t="s">
        <v>12225</v>
      </c>
      <c r="C9724" s="5" t="str">
        <f>IFERROR(__xludf.DUMMYFUNCTION("GOOGLETRANSLATE(B9724,""en"",""de"")"),"Snowboarder befindet sich im großen Feld in weißem Schnee.")</f>
        <v>Snowboarder befindet sich im großen Feld in weißem Schnee.</v>
      </c>
    </row>
    <row r="9725">
      <c r="A9725" s="4" t="s">
        <v>12224</v>
      </c>
      <c r="B9725" s="4" t="s">
        <v>12226</v>
      </c>
      <c r="C9725" s="5" t="str">
        <f>IFERROR(__xludf.DUMMYFUNCTION("GOOGLETRANSLATE(B9725,""en"",""de"")"),"Eine Kabine im Berg und rutschen im Snowboard den Berg hinunter.")</f>
        <v>Eine Kabine im Berg und rutschen im Snowboard den Berg hinunter.</v>
      </c>
    </row>
    <row r="9726">
      <c r="A9726" s="4" t="s">
        <v>12224</v>
      </c>
      <c r="B9726" s="4" t="s">
        <v>12227</v>
      </c>
      <c r="C9726" s="5" t="str">
        <f>IFERROR(__xludf.DUMMYFUNCTION("GOOGLETRANSLATE(B9726,""en"",""de"")"),"Die Menschen sind in Kabine und bewegt sich im Snowboard den Berg hinunter und gehen an einem Parkplatz vorbei.")</f>
        <v>Die Menschen sind in Kabine und bewegt sich im Snowboard den Berg hinunter und gehen an einem Parkplatz vorbei.</v>
      </c>
    </row>
    <row r="9727">
      <c r="A9727" s="4" t="s">
        <v>12228</v>
      </c>
      <c r="B9727" s="4" t="s">
        <v>12229</v>
      </c>
      <c r="C9727" s="5" t="str">
        <f>IFERROR(__xludf.DUMMYFUNCTION("GOOGLETRANSLATE(B9727,""en"",""de"")"),"Zwei junge Jungs stehen zusammen und halten Geld auf.")</f>
        <v>Zwei junge Jungs stehen zusammen und halten Geld auf.</v>
      </c>
    </row>
    <row r="9728">
      <c r="A9728" s="4" t="s">
        <v>12228</v>
      </c>
      <c r="B9728" s="4" t="s">
        <v>12230</v>
      </c>
      <c r="C9728" s="5" t="str">
        <f>IFERROR(__xludf.DUMMYFUNCTION("GOOGLETRANSLATE(B9728,""en"",""de"")"),"Die jungen Jungs sprechen mit einem Obdachlosen und schütteln sich die Hand.")</f>
        <v>Die jungen Jungs sprechen mit einem Obdachlosen und schütteln sich die Hand.</v>
      </c>
    </row>
    <row r="9729">
      <c r="A9729" s="4" t="s">
        <v>12228</v>
      </c>
      <c r="B9729" s="4" t="s">
        <v>12231</v>
      </c>
      <c r="C9729" s="5" t="str">
        <f>IFERROR(__xludf.DUMMYFUNCTION("GOOGLETRANSLATE(B9729,""en"",""de"")"),"Die Männer sprechen mit einem obdachlosen Jugendlichen, der vor einem Geschäft sitzt.")</f>
        <v>Die Männer sprechen mit einem obdachlosen Jugendlichen, der vor einem Geschäft sitzt.</v>
      </c>
    </row>
    <row r="9730">
      <c r="A9730" s="4" t="s">
        <v>12228</v>
      </c>
      <c r="B9730" s="4" t="s">
        <v>12232</v>
      </c>
      <c r="C9730" s="5" t="str">
        <f>IFERROR(__xludf.DUMMYFUNCTION("GOOGLETRANSLATE(B9730,""en"",""de"")"),"Die Gruppe geht alle eine Straße hinunter.")</f>
        <v>Die Gruppe geht alle eine Straße hinunter.</v>
      </c>
    </row>
    <row r="9731">
      <c r="A9731" s="4" t="s">
        <v>12228</v>
      </c>
      <c r="B9731" s="4" t="s">
        <v>12233</v>
      </c>
      <c r="C9731" s="5" t="str">
        <f>IFERROR(__xludf.DUMMYFUNCTION("GOOGLETRANSLATE(B9731,""en"",""de"")"),"Die Männer halten einen Arm -Wrestling -Wettbewerb auf einer Außenterrasse.")</f>
        <v>Die Männer halten einen Arm -Wrestling -Wettbewerb auf einer Außenterrasse.</v>
      </c>
    </row>
    <row r="9732">
      <c r="A9732" s="4" t="s">
        <v>12228</v>
      </c>
      <c r="B9732" s="4" t="s">
        <v>12234</v>
      </c>
      <c r="C9732" s="5" t="str">
        <f>IFERROR(__xludf.DUMMYFUNCTION("GOOGLETRANSLATE(B9732,""en"",""de"")"),"Der Mann gewinnt und beide Teilnehmer erhalten Preisgeld.")</f>
        <v>Der Mann gewinnt und beide Teilnehmer erhalten Preisgeld.</v>
      </c>
    </row>
    <row r="9733">
      <c r="A9733" s="4" t="s">
        <v>12235</v>
      </c>
      <c r="B9733" s="4" t="s">
        <v>12236</v>
      </c>
      <c r="C9733" s="5" t="str">
        <f>IFERROR(__xludf.DUMMYFUNCTION("GOOGLETRANSLATE(B9733,""en"",""de"")"),"Die Füße eines Tänzers werden in einem Klassenzimmer sowie in einer Ballettklasse im Hintergrund gezeigt.")</f>
        <v>Die Füße eines Tänzers werden in einem Klassenzimmer sowie in einer Ballettklasse im Hintergrund gezeigt.</v>
      </c>
    </row>
    <row r="9734">
      <c r="A9734" s="4" t="s">
        <v>12235</v>
      </c>
      <c r="B9734" s="4" t="s">
        <v>12237</v>
      </c>
      <c r="C9734" s="5" t="str">
        <f>IFERROR(__xludf.DUMMYFUNCTION("GOOGLETRANSLATE(B9734,""en"",""de"")"),"Der Lehrer weist die Mädchen an, wie sie ordnungsgemäße Ballettbewegungen durchführen, wie die Schüler folgen.")</f>
        <v>Der Lehrer weist die Mädchen an, wie sie ordnungsgemäße Ballettbewegungen durchführen, wie die Schüler folgen.</v>
      </c>
    </row>
    <row r="9735">
      <c r="A9735" s="4" t="s">
        <v>12235</v>
      </c>
      <c r="B9735" s="4" t="s">
        <v>12238</v>
      </c>
      <c r="C9735" s="5" t="str">
        <f>IFERROR(__xludf.DUMMYFUNCTION("GOOGLETRANSLATE(B9735,""en"",""de"")"),"Die Mädchen bewegen ihre Arme in der richtigen Position und drehen sich schließlich zur Seite.")</f>
        <v>Die Mädchen bewegen ihre Arme in der richtigen Position und drehen sich schließlich zur Seite.</v>
      </c>
    </row>
    <row r="9736">
      <c r="A9736" s="4" t="s">
        <v>12235</v>
      </c>
      <c r="B9736" s="4" t="s">
        <v>12239</v>
      </c>
      <c r="C9736" s="5" t="str">
        <f>IFERROR(__xludf.DUMMYFUNCTION("GOOGLETRANSLATE(B9736,""en"",""de"")"),"Schließlich lehrt der Ausbilder die Mädchen, ihre Beine zu verlängern und einen richtigen Schritt durchzuführen.")</f>
        <v>Schließlich lehrt der Ausbilder die Mädchen, ihre Beine zu verlängern und einen richtigen Schritt durchzuführen.</v>
      </c>
    </row>
    <row r="9737">
      <c r="A9737" s="4" t="s">
        <v>12240</v>
      </c>
      <c r="B9737" s="4" t="s">
        <v>12241</v>
      </c>
      <c r="C9737" s="5" t="str">
        <f>IFERROR(__xludf.DUMMYFUNCTION("GOOGLETRANSLATE(B9737,""en"",""de"")"),"Zwei Männer sind auf einer gepolsterten Oberfläche und kämpfen.")</f>
        <v>Zwei Männer sind auf einer gepolsterten Oberfläche und kämpfen.</v>
      </c>
    </row>
    <row r="9738">
      <c r="A9738" s="4" t="s">
        <v>12240</v>
      </c>
      <c r="B9738" s="4" t="s">
        <v>12242</v>
      </c>
      <c r="C9738" s="5" t="str">
        <f>IFERROR(__xludf.DUMMYFUNCTION("GOOGLETRANSLATE(B9738,""en"",""de"")"),"Sie springen und treten gegenseitig an.")</f>
        <v>Sie springen und treten gegenseitig an.</v>
      </c>
    </row>
    <row r="9739">
      <c r="A9739" s="4" t="s">
        <v>12240</v>
      </c>
      <c r="B9739" s="4" t="s">
        <v>12243</v>
      </c>
      <c r="C9739" s="5" t="str">
        <f>IFERROR(__xludf.DUMMYFUNCTION("GOOGLETRANSLATE(B9739,""en"",""de"")"),"Sie rollen auf der Matte herum, bis einer von ihnen den anderen steckt.")</f>
        <v>Sie rollen auf der Matte herum, bis einer von ihnen den anderen steckt.</v>
      </c>
    </row>
    <row r="9740">
      <c r="A9740" s="4" t="s">
        <v>12244</v>
      </c>
      <c r="B9740" s="4" t="s">
        <v>12245</v>
      </c>
      <c r="C9740" s="5" t="str">
        <f>IFERROR(__xludf.DUMMYFUNCTION("GOOGLETRANSLATE(B9740,""en"",""de"")"),"Ein Mann wird vor einer Menge einen Stierkampf gezeigt.")</f>
        <v>Ein Mann wird vor einer Menge einen Stierkampf gezeigt.</v>
      </c>
    </row>
    <row r="9741">
      <c r="A9741" s="4" t="s">
        <v>12244</v>
      </c>
      <c r="B9741" s="4" t="s">
        <v>12246</v>
      </c>
      <c r="C9741" s="5" t="str">
        <f>IFERROR(__xludf.DUMMYFUNCTION("GOOGLETRANSLATE(B9741,""en"",""de"")"),"Der Mann fällt und wird vom Stier übergefahren.")</f>
        <v>Der Mann fällt und wird vom Stier übergefahren.</v>
      </c>
    </row>
    <row r="9742">
      <c r="A9742" s="4" t="s">
        <v>12244</v>
      </c>
      <c r="B9742" s="4" t="s">
        <v>12247</v>
      </c>
      <c r="C9742" s="5" t="str">
        <f>IFERROR(__xludf.DUMMYFUNCTION("GOOGLETRANSLATE(B9742,""en"",""de"")"),"Der Mann wird aus der Arena begleitet.")</f>
        <v>Der Mann wird aus der Arena begleitet.</v>
      </c>
    </row>
    <row r="9743">
      <c r="A9743" s="4" t="s">
        <v>12244</v>
      </c>
      <c r="B9743" s="4" t="s">
        <v>12248</v>
      </c>
      <c r="C9743" s="5" t="str">
        <f>IFERROR(__xludf.DUMMYFUNCTION("GOOGLETRANSLATE(B9743,""en"",""de"")"),"Der Mann fällt um und wird übergefahren.")</f>
        <v>Der Mann fällt um und wird übergefahren.</v>
      </c>
    </row>
    <row r="9744">
      <c r="A9744" s="4" t="s">
        <v>12244</v>
      </c>
      <c r="B9744" s="4" t="s">
        <v>12249</v>
      </c>
      <c r="C9744" s="5" t="str">
        <f>IFERROR(__xludf.DUMMYFUNCTION("GOOGLETRANSLATE(B9744,""en"",""de"")"),"Zwei Personen reagieren auf den Vorfall.")</f>
        <v>Zwei Personen reagieren auf den Vorfall.</v>
      </c>
    </row>
    <row r="9745">
      <c r="A9745" s="4" t="s">
        <v>12244</v>
      </c>
      <c r="B9745" s="4" t="s">
        <v>12250</v>
      </c>
      <c r="C9745" s="5" t="str">
        <f>IFERROR(__xludf.DUMMYFUNCTION("GOOGLETRANSLATE(B9745,""en"",""de"")"),"Zeitlupenvideo und Standbilder der Verletzung des Mannes werden gezeigt.")</f>
        <v>Zeitlupenvideo und Standbilder der Verletzung des Mannes werden gezeigt.</v>
      </c>
    </row>
    <row r="9746">
      <c r="A9746" s="4" t="s">
        <v>12244</v>
      </c>
      <c r="B9746" s="4" t="s">
        <v>12251</v>
      </c>
      <c r="C9746" s="5" t="str">
        <f>IFERROR(__xludf.DUMMYFUNCTION("GOOGLETRANSLATE(B9746,""en"",""de"")"),"Der Videoinhalt wiederholt sich von den beiden reagierten Personen.")</f>
        <v>Der Videoinhalt wiederholt sich von den beiden reagierten Personen.</v>
      </c>
    </row>
    <row r="9747">
      <c r="A9747" s="4" t="s">
        <v>12252</v>
      </c>
      <c r="B9747" s="4" t="s">
        <v>12253</v>
      </c>
      <c r="C9747" s="5" t="str">
        <f>IFERROR(__xludf.DUMMYFUNCTION("GOOGLETRANSLATE(B9747,""en"",""de"")"),"Eine Frau spricht über das Spielen von Pool.")</f>
        <v>Eine Frau spricht über das Spielen von Pool.</v>
      </c>
    </row>
    <row r="9748">
      <c r="A9748" s="4" t="s">
        <v>12252</v>
      </c>
      <c r="B9748" s="4" t="s">
        <v>12254</v>
      </c>
      <c r="C9748" s="5" t="str">
        <f>IFERROR(__xludf.DUMMYFUNCTION("GOOGLETRANSLATE(B9748,""en"",""de"")"),"Sie erklärt den richtigen Weg zu stehen und wie man einen Ball schießt, wenn man Billard spielt.")</f>
        <v>Sie erklärt den richtigen Weg zu stehen und wie man einen Ball schießt, wenn man Billard spielt.</v>
      </c>
    </row>
    <row r="9749">
      <c r="A9749" s="4" t="s">
        <v>12255</v>
      </c>
      <c r="B9749" s="4" t="s">
        <v>12256</v>
      </c>
      <c r="C9749" s="5" t="str">
        <f>IFERROR(__xludf.DUMMYFUNCTION("GOOGLETRANSLATE(B9749,""en"",""de"")"),"Ein Mann rennt und springt über eine Stange, ohne ihn zu berühren und landet auf Matten, wie manche Leute in der Hintergrundbeobachtung und andere dort üben.")</f>
        <v>Ein Mann rennt und springt über eine Stange, ohne ihn zu berühren und landet auf Matten, wie manche Leute in der Hintergrundbeobachtung und andere dort üben.</v>
      </c>
    </row>
    <row r="9750">
      <c r="A9750" s="4" t="s">
        <v>12255</v>
      </c>
      <c r="B9750" s="4" t="s">
        <v>12257</v>
      </c>
      <c r="C9750" s="5" t="str">
        <f>IFERROR(__xludf.DUMMYFUNCTION("GOOGLETRANSLATE(B9750,""en"",""de"")"),"Der Typ scheint zu üben, wie hoch er springen kann, indem er viele Male über den Pol springen kann. Jedes Mal, wenn eine Person die Pole immer höher hebt, um zu sehen, ob der Typ darüber springen kann.")</f>
        <v>Der Typ scheint zu üben, wie hoch er springen kann, indem er viele Male über den Pol springen kann. Jedes Mal, wenn eine Person die Pole immer höher hebt, um zu sehen, ob der Typ darüber springen kann.</v>
      </c>
    </row>
    <row r="9751">
      <c r="A9751" s="4" t="s">
        <v>12255</v>
      </c>
      <c r="B9751" s="4" t="s">
        <v>12258</v>
      </c>
      <c r="C9751" s="5" t="str">
        <f>IFERROR(__xludf.DUMMYFUNCTION("GOOGLETRANSLATE(B9751,""en"",""de"")"),"Ein Sprung, der der Kerl die Stange niederlegte, als er versuchte, darüber zu brüllen.")</f>
        <v>Ein Sprung, der der Kerl die Stange niederlegte, als er versuchte, darüber zu brüllen.</v>
      </c>
    </row>
    <row r="9752">
      <c r="A9752" s="4" t="s">
        <v>12255</v>
      </c>
      <c r="B9752" s="4" t="s">
        <v>12259</v>
      </c>
      <c r="C9752" s="5" t="str">
        <f>IFERROR(__xludf.DUMMYFUNCTION("GOOGLETRANSLATE(B9752,""en"",""de"")"),"Der Typ schlägt die Stange sechs Mal aus all seinen Sprüngen ab.")</f>
        <v>Der Typ schlägt die Stange sechs Mal aus all seinen Sprüngen ab.</v>
      </c>
    </row>
    <row r="9753">
      <c r="A9753" s="4" t="s">
        <v>12260</v>
      </c>
      <c r="B9753" s="4" t="s">
        <v>12261</v>
      </c>
      <c r="C9753" s="5" t="str">
        <f>IFERROR(__xludf.DUMMYFUNCTION("GOOGLETRANSLATE(B9753,""en"",""de"")"),"Die Spieler ziehen das Seil im Kriegsspiel.")</f>
        <v>Die Spieler ziehen das Seil im Kriegsspiel.</v>
      </c>
    </row>
    <row r="9754">
      <c r="A9754" s="4" t="s">
        <v>12260</v>
      </c>
      <c r="B9754" s="4" t="s">
        <v>12262</v>
      </c>
      <c r="C9754" s="5" t="str">
        <f>IFERROR(__xludf.DUMMYFUNCTION("GOOGLETRANSLATE(B9754,""en"",""de"")"),"Ein Mann hockt auf dem Boden und steigt.")</f>
        <v>Ein Mann hockt auf dem Boden und steigt.</v>
      </c>
    </row>
    <row r="9755">
      <c r="A9755" s="4" t="s">
        <v>12260</v>
      </c>
      <c r="B9755" s="4" t="s">
        <v>12263</v>
      </c>
      <c r="C9755" s="5" t="str">
        <f>IFERROR(__xludf.DUMMYFUNCTION("GOOGLETRANSLATE(B9755,""en"",""de"")"),"Jungs, die die linke Seite des Seils ziehen, fällt zu Boden.")</f>
        <v>Jungs, die die linke Seite des Seils ziehen, fällt zu Boden.</v>
      </c>
    </row>
    <row r="9756">
      <c r="A9756" s="4" t="s">
        <v>12260</v>
      </c>
      <c r="B9756" s="4" t="s">
        <v>12264</v>
      </c>
      <c r="C9756" s="5" t="str">
        <f>IFERROR(__xludf.DUMMYFUNCTION("GOOGLETRANSLATE(B9756,""en"",""de"")"),"Die Jungs ließen das Seil los, steigen aus dem Rasen und umarmen sich zum Feiern.")</f>
        <v>Die Jungs ließen das Seil los, steigen aus dem Rasen und umarmen sich zum Feiern.</v>
      </c>
    </row>
    <row r="9757">
      <c r="A9757" s="4" t="s">
        <v>12265</v>
      </c>
      <c r="B9757" s="4" t="s">
        <v>12266</v>
      </c>
      <c r="C9757" s="5" t="str">
        <f>IFERROR(__xludf.DUMMYFUNCTION("GOOGLETRANSLATE(B9757,""en"",""de"")"),"Es gibt eine Frau in einem beige Pullover, der zeigt, wie man Weihnachtsgeschenke einpackt.")</f>
        <v>Es gibt eine Frau in einem beige Pullover, der zeigt, wie man Weihnachtsgeschenke einpackt.</v>
      </c>
    </row>
    <row r="9758">
      <c r="A9758" s="4" t="s">
        <v>12265</v>
      </c>
      <c r="B9758" s="4" t="s">
        <v>12267</v>
      </c>
      <c r="C9758" s="5" t="str">
        <f>IFERROR(__xludf.DUMMYFUNCTION("GOOGLETRANSLATE(B9758,""en"",""de"")"),"Sie beginnt mit dem Schneiden des Geschenkpapiers für Geschenkpapier so, dass sie die Größe der Schachtel entspricht.")</f>
        <v>Sie beginnt mit dem Schneiden des Geschenkpapiers für Geschenkpapier so, dass sie die Größe der Schachtel entspricht.</v>
      </c>
    </row>
    <row r="9759">
      <c r="A9759" s="4" t="s">
        <v>12265</v>
      </c>
      <c r="B9759" s="4" t="s">
        <v>12268</v>
      </c>
      <c r="C9759" s="5" t="str">
        <f>IFERROR(__xludf.DUMMYFUNCTION("GOOGLETRANSLATE(B9759,""en"",""de"")"),"Sie faltet das Papier gleichmäßig, um die gesamte Box abzudecken.")</f>
        <v>Sie faltet das Papier gleichmäßig, um die gesamte Box abzudecken.</v>
      </c>
    </row>
    <row r="9760">
      <c r="A9760" s="4" t="s">
        <v>12265</v>
      </c>
      <c r="B9760" s="4" t="s">
        <v>12269</v>
      </c>
      <c r="C9760" s="5" t="str">
        <f>IFERROR(__xludf.DUMMYFUNCTION("GOOGLETRANSLATE(B9760,""en"",""de"")"),"Dann verwendet sie Klebeband, um die Enden sicher zu versiegeln.")</f>
        <v>Dann verwendet sie Klebeband, um die Enden sicher zu versiegeln.</v>
      </c>
    </row>
    <row r="9761">
      <c r="A9761" s="4" t="s">
        <v>12265</v>
      </c>
      <c r="B9761" s="4" t="s">
        <v>12270</v>
      </c>
      <c r="C9761" s="5" t="str">
        <f>IFERROR(__xludf.DUMMYFUNCTION("GOOGLETRANSLATE(B9761,""en"",""de"")"),"Sie nimmt ein dekoratives Band und andere dekorative Gegenstände, um die Schachtel zu übertreffen, um den Geschenken eine besondere Note zu verleihen.")</f>
        <v>Sie nimmt ein dekoratives Band und andere dekorative Gegenstände, um die Schachtel zu übertreffen, um den Geschenken eine besondere Note zu verleihen.</v>
      </c>
    </row>
    <row r="9762">
      <c r="A9762" s="4" t="s">
        <v>12271</v>
      </c>
      <c r="B9762" s="4" t="s">
        <v>12272</v>
      </c>
      <c r="C9762" s="5" t="str">
        <f>IFERROR(__xludf.DUMMYFUNCTION("GOOGLETRANSLATE(B9762,""en"",""de"")"),"Eine Gruppe junger Männer spielt Volleyball an einem Sandstrand vor dem Meer.")</f>
        <v>Eine Gruppe junger Männer spielt Volleyball an einem Sandstrand vor dem Meer.</v>
      </c>
    </row>
    <row r="9763">
      <c r="A9763" s="4" t="s">
        <v>12271</v>
      </c>
      <c r="B9763" s="4" t="s">
        <v>12273</v>
      </c>
      <c r="C9763" s="5" t="str">
        <f>IFERROR(__xludf.DUMMYFUNCTION("GOOGLETRANSLATE(B9763,""en"",""de"")"),"Eine Gruppe von Männern in Schwimmstämmen und Bikini -Briefs spielen Volleyball im Sand am Strand vor einem hohen, grünen Volleyball -Netz.")</f>
        <v>Eine Gruppe von Männern in Schwimmstämmen und Bikini -Briefs spielen Volleyball im Sand am Strand vor einem hohen, grünen Volleyball -Netz.</v>
      </c>
    </row>
    <row r="9764">
      <c r="A9764" s="4" t="s">
        <v>12271</v>
      </c>
      <c r="B9764" s="4" t="s">
        <v>12274</v>
      </c>
      <c r="C9764" s="5" t="str">
        <f>IFERROR(__xludf.DUMMYFUNCTION("GOOGLETRANSLATE(B9764,""en"",""de"")"),"Die Männer sind wettbewerbsfähig, wenn sie mit Füßen, Kopf und Brust spielen, um den Ball herumzuschüttern.")</f>
        <v>Die Männer sind wettbewerbsfähig, wenn sie mit Füßen, Kopf und Brust spielen, um den Ball herumzuschüttern.</v>
      </c>
    </row>
    <row r="9765">
      <c r="A9765" s="4" t="s">
        <v>12271</v>
      </c>
      <c r="B9765" s="4" t="s">
        <v>12275</v>
      </c>
      <c r="C9765" s="5" t="str">
        <f>IFERROR(__xludf.DUMMYFUNCTION("GOOGLETRANSLATE(B9765,""en"",""de"")"),"Ein Mann liegt im Sand und steht dann auf, um mehr Volleyball zu spielen.")</f>
        <v>Ein Mann liegt im Sand und steht dann auf, um mehr Volleyball zu spielen.</v>
      </c>
    </row>
    <row r="9766">
      <c r="A9766" s="4" t="s">
        <v>12276</v>
      </c>
      <c r="B9766" s="4" t="s">
        <v>12277</v>
      </c>
      <c r="C9766" s="5" t="str">
        <f>IFERROR(__xludf.DUMMYFUNCTION("GOOGLETRANSLATE(B9766,""en"",""de"")"),"Ein Mann veranstaltet ein Nachrichtensegment, das zu einem Spieler führt, der auf einem Feld steht.")</f>
        <v>Ein Mann veranstaltet ein Nachrichtensegment, das zu einem Spieler führt, der auf einem Feld steht.</v>
      </c>
    </row>
    <row r="9767">
      <c r="A9767" s="4" t="s">
        <v>12276</v>
      </c>
      <c r="B9767" s="4" t="s">
        <v>12278</v>
      </c>
      <c r="C9767" s="5" t="str">
        <f>IFERROR(__xludf.DUMMYFUNCTION("GOOGLETRANSLATE(B9767,""en"",""de"")"),"Eine Person trifft einen Ball und Teamkollegen Jubel, gefolgt von mehr Leuten, die das Spiel spielen.")</f>
        <v>Eine Person trifft einen Ball und Teamkollegen Jubel, gefolgt von mehr Leuten, die das Spiel spielen.</v>
      </c>
    </row>
    <row r="9768">
      <c r="A9768" s="4" t="s">
        <v>12276</v>
      </c>
      <c r="B9768" s="4" t="s">
        <v>12279</v>
      </c>
      <c r="C9768" s="5" t="str">
        <f>IFERROR(__xludf.DUMMYFUNCTION("GOOGLETRANSLATE(B9768,""en"",""de"")"),"Der Sport setzt sich fort, da Menschen Bälle und die Teamkollegen bejubeln und der Gastgeber das Sprechen beendet.")</f>
        <v>Der Sport setzt sich fort, da Menschen Bälle und die Teamkollegen bejubeln und der Gastgeber das Sprechen beendet.</v>
      </c>
    </row>
    <row r="9769">
      <c r="A9769" s="4" t="s">
        <v>12280</v>
      </c>
      <c r="B9769" s="4" t="s">
        <v>12281</v>
      </c>
      <c r="C9769" s="5" t="str">
        <f>IFERROR(__xludf.DUMMYFUNCTION("GOOGLETRANSLATE(B9769,""en"",""de"")"),"Eine Frau ist eine Frau durch einen Ball und setzt ihn an Ort und Stelle.")</f>
        <v>Eine Frau ist eine Frau durch einen Ball und setzt ihn an Ort und Stelle.</v>
      </c>
    </row>
    <row r="9770">
      <c r="A9770" s="4" t="s">
        <v>12280</v>
      </c>
      <c r="B9770" s="4" t="s">
        <v>12282</v>
      </c>
      <c r="C9770" s="5" t="str">
        <f>IFERROR(__xludf.DUMMYFUNCTION("GOOGLETRANSLATE(B9770,""en"",""de"")"),"Eine andere Frau erscheint und sie wickeln den Ball in Wickelpapier ein.")</f>
        <v>Eine andere Frau erscheint und sie wickeln den Ball in Wickelpapier ein.</v>
      </c>
    </row>
    <row r="9771">
      <c r="A9771" s="4" t="s">
        <v>12280</v>
      </c>
      <c r="B9771" s="4" t="s">
        <v>12283</v>
      </c>
      <c r="C9771" s="5" t="str">
        <f>IFERROR(__xludf.DUMMYFUNCTION("GOOGLETRANSLATE(B9771,""en"",""de"")"),"Sie beenden das Verpacken und Kleber des Balls.")</f>
        <v>Sie beenden das Verpacken und Kleber des Balls.</v>
      </c>
    </row>
    <row r="9772">
      <c r="A9772" s="4" t="s">
        <v>12280</v>
      </c>
      <c r="B9772" s="4" t="s">
        <v>12284</v>
      </c>
      <c r="C9772" s="5" t="str">
        <f>IFERROR(__xludf.DUMMYFUNCTION("GOOGLETRANSLATE(B9772,""en"",""de"")"),"Sie nehmen die Kamera und beginnen sich zu reden.")</f>
        <v>Sie nehmen die Kamera und beginnen sich zu reden.</v>
      </c>
    </row>
    <row r="9773">
      <c r="A9773" s="4" t="s">
        <v>12285</v>
      </c>
      <c r="B9773" s="4" t="s">
        <v>12286</v>
      </c>
      <c r="C9773" s="5" t="str">
        <f>IFERROR(__xludf.DUMMYFUNCTION("GOOGLETRANSLATE(B9773,""en"",""de"")"),"Eine Frau spricht mit der Kamera, während die Leute Übungsausrüstung um sie herum verwenden.")</f>
        <v>Eine Frau spricht mit der Kamera, während die Leute Übungsausrüstung um sie herum verwenden.</v>
      </c>
    </row>
    <row r="9774">
      <c r="A9774" s="4" t="s">
        <v>12285</v>
      </c>
      <c r="B9774" s="4" t="s">
        <v>12287</v>
      </c>
      <c r="C9774" s="5" t="str">
        <f>IFERROR(__xludf.DUMMYFUNCTION("GOOGLETRANSLATE(B9774,""en"",""de"")"),"Weitere Aufnahmen von Menschen, die die Maschine verwenden, sowie von Personen, die mit der Kamera und der Nahaufnahme der Maschine sprechen.")</f>
        <v>Weitere Aufnahmen von Menschen, die die Maschine verwenden, sowie von Personen, die mit der Kamera und der Nahaufnahme der Maschine sprechen.</v>
      </c>
    </row>
    <row r="9775">
      <c r="A9775" s="4" t="s">
        <v>12288</v>
      </c>
      <c r="B9775" s="4" t="s">
        <v>12289</v>
      </c>
      <c r="C9775" s="5" t="str">
        <f>IFERROR(__xludf.DUMMYFUNCTION("GOOGLETRANSLATE(B9775,""en"",""de"")"),"Ein Baumann führt das Video ein und spricht über das Platzieren von Schindeln auf ein Dach.")</f>
        <v>Ein Baumann führt das Video ein und spricht über das Platzieren von Schindeln auf ein Dach.</v>
      </c>
    </row>
    <row r="9776">
      <c r="A9776" s="4" t="s">
        <v>12288</v>
      </c>
      <c r="B9776" s="4" t="s">
        <v>12290</v>
      </c>
      <c r="C9776" s="5" t="str">
        <f>IFERROR(__xludf.DUMMYFUNCTION("GOOGLETRANSLATE(B9776,""en"",""de"")"),"Er legt einige Schindeln nieder und nagelt sie hinein.")</f>
        <v>Er legt einige Schindeln nieder und nagelt sie hinein.</v>
      </c>
    </row>
    <row r="9777">
      <c r="A9777" s="4" t="s">
        <v>12288</v>
      </c>
      <c r="B9777" s="4" t="s">
        <v>12291</v>
      </c>
      <c r="C9777" s="5" t="str">
        <f>IFERROR(__xludf.DUMMYFUNCTION("GOOGLETRANSLATE(B9777,""en"",""de"")"),"Er nagelt in ein Metallstück, das entlang der Ecke des Daches und des Gebäudes verläuft, um die Dinge an Ort und Stelle zu halten.")</f>
        <v>Er nagelt in ein Metallstück, das entlang der Ecke des Daches und des Gebäudes verläuft, um die Dinge an Ort und Stelle zu halten.</v>
      </c>
    </row>
    <row r="9778">
      <c r="A9778" s="4" t="s">
        <v>12288</v>
      </c>
      <c r="B9778" s="4" t="s">
        <v>12292</v>
      </c>
      <c r="C9778" s="5" t="str">
        <f>IFERROR(__xludf.DUMMYFUNCTION("GOOGLETRANSLATE(B9778,""en"",""de"")"),"Er wiederholt diesen Vorgang, bevor er das Video schließt.")</f>
        <v>Er wiederholt diesen Vorgang, bevor er das Video schließt.</v>
      </c>
    </row>
    <row r="9779">
      <c r="A9779" s="4" t="s">
        <v>12293</v>
      </c>
      <c r="B9779" s="4" t="s">
        <v>12294</v>
      </c>
      <c r="C9779" s="5" t="str">
        <f>IFERROR(__xludf.DUMMYFUNCTION("GOOGLETRANSLATE(B9779,""en"",""de"")"),"Ein Raum wird gezeigt, wenn ein Mann in den Rahmen geht.")</f>
        <v>Ein Raum wird gezeigt, wenn ein Mann in den Rahmen geht.</v>
      </c>
    </row>
    <row r="9780">
      <c r="A9780" s="4" t="s">
        <v>12293</v>
      </c>
      <c r="B9780" s="4" t="s">
        <v>12295</v>
      </c>
      <c r="C9780" s="5" t="str">
        <f>IFERROR(__xludf.DUMMYFUNCTION("GOOGLETRANSLATE(B9780,""en"",""de"")"),"Der Mann beginnt dann immer wieder zu springen.")</f>
        <v>Der Mann beginnt dann immer wieder zu springen.</v>
      </c>
    </row>
    <row r="9781">
      <c r="A9781" s="4" t="s">
        <v>12293</v>
      </c>
      <c r="B9781" s="4" t="s">
        <v>12296</v>
      </c>
      <c r="C9781" s="5" t="str">
        <f>IFERROR(__xludf.DUMMYFUNCTION("GOOGLETRANSLATE(B9781,""en"",""de"")"),"Er springt fort und endet mit dem Ausgang aus dem Rahmen.")</f>
        <v>Er springt fort und endet mit dem Ausgang aus dem Rahmen.</v>
      </c>
    </row>
    <row r="9782">
      <c r="A9782" s="4" t="s">
        <v>12297</v>
      </c>
      <c r="B9782" s="4" t="s">
        <v>12298</v>
      </c>
      <c r="C9782" s="5" t="str">
        <f>IFERROR(__xludf.DUMMYFUNCTION("GOOGLETRANSLATE(B9782,""en"",""de"")"),"Eine Frau spricht mit der Kamera, die in Kajak- und Kamele, die herumwandern, zu Klammern von Menschen führt.")</f>
        <v>Eine Frau spricht mit der Kamera, die in Kajak- und Kamele, die herumwandern, zu Klammern von Menschen führt.</v>
      </c>
    </row>
    <row r="9783">
      <c r="A9783" s="4" t="s">
        <v>12297</v>
      </c>
      <c r="B9783" s="4" t="s">
        <v>12299</v>
      </c>
      <c r="C9783" s="5" t="str">
        <f>IFERROR(__xludf.DUMMYFUNCTION("GOOGLETRANSLATE(B9783,""en"",""de"")"),"Weitere Clips werden von Menschen gezeigt, die in einem Kajak um das Wasser reiten.")</f>
        <v>Weitere Clips werden von Menschen gezeigt, die in einem Kajak um das Wasser reiten.</v>
      </c>
    </row>
    <row r="9784">
      <c r="A9784" s="4" t="s">
        <v>12297</v>
      </c>
      <c r="B9784" s="4" t="s">
        <v>12300</v>
      </c>
      <c r="C9784" s="5" t="str">
        <f>IFERROR(__xludf.DUMMYFUNCTION("GOOGLETRANSLATE(B9784,""en"",""de"")"),"Die Person paddelt sich mit anderen Menschen, die in seiner Nähe fahren.")</f>
        <v>Die Person paddelt sich mit anderen Menschen, die in seiner Nähe fahren.</v>
      </c>
    </row>
    <row r="9785">
      <c r="A9785" s="4" t="s">
        <v>12301</v>
      </c>
      <c r="B9785" s="4" t="s">
        <v>12302</v>
      </c>
      <c r="C9785" s="5" t="str">
        <f>IFERROR(__xludf.DUMMYFUNCTION("GOOGLETRANSLATE(B9785,""en"",""de"")"),"Ein arbeitender Mann trug mit Gast ein Tablett Kaffee an einen Tisch.")</f>
        <v>Ein arbeitender Mann trug mit Gast ein Tablett Kaffee an einen Tisch.</v>
      </c>
    </row>
    <row r="9786">
      <c r="A9786" s="4" t="s">
        <v>12301</v>
      </c>
      <c r="B9786" s="4" t="s">
        <v>12303</v>
      </c>
      <c r="C9786" s="5" t="str">
        <f>IFERROR(__xludf.DUMMYFUNCTION("GOOGLETRANSLATE(B9786,""en"",""de"")"),"Ein anderer Mann spricht mit einigen Reportern mit dem Mikrofon.")</f>
        <v>Ein anderer Mann spricht mit einigen Reportern mit dem Mikrofon.</v>
      </c>
    </row>
    <row r="9787">
      <c r="A9787" s="4" t="s">
        <v>12301</v>
      </c>
      <c r="B9787" s="4" t="s">
        <v>12304</v>
      </c>
      <c r="C9787" s="5" t="str">
        <f>IFERROR(__xludf.DUMMYFUNCTION("GOOGLETRANSLATE(B9787,""en"",""de"")"),"Ein weiterer Unternehmer spricht mit den Reportern über das Kaffeegeschäft.")</f>
        <v>Ein weiterer Unternehmer spricht mit den Reportern über das Kaffeegeschäft.</v>
      </c>
    </row>
    <row r="9788">
      <c r="A9788" s="4" t="s">
        <v>12301</v>
      </c>
      <c r="B9788" s="4" t="s">
        <v>12305</v>
      </c>
      <c r="C9788" s="5" t="str">
        <f>IFERROR(__xludf.DUMMYFUNCTION("GOOGLETRANSLATE(B9788,""en"",""de"")"),"Dann sind sie im Café, wenn sie Kaffee machen und herumarbeiten.")</f>
        <v>Dann sind sie im Café, wenn sie Kaffee machen und herumarbeiten.</v>
      </c>
    </row>
    <row r="9789">
      <c r="A9789" s="4" t="s">
        <v>12306</v>
      </c>
      <c r="B9789" s="4" t="s">
        <v>12307</v>
      </c>
      <c r="C9789" s="5" t="str">
        <f>IFERROR(__xludf.DUMMYFUNCTION("GOOGLETRANSLATE(B9789,""en"",""de"")"),"Die Leute fahren in Stoßfängerautos und stoßen ineinander und müssen anhalten.")</f>
        <v>Die Leute fahren in Stoßfängerautos und stoßen ineinander und müssen anhalten.</v>
      </c>
    </row>
    <row r="9790">
      <c r="A9790" s="4" t="s">
        <v>12306</v>
      </c>
      <c r="B9790" s="4" t="s">
        <v>12308</v>
      </c>
      <c r="C9790" s="5" t="str">
        <f>IFERROR(__xludf.DUMMYFUNCTION("GOOGLETRANSLATE(B9790,""en"",""de"")"),"Die drei Stoßstangenautos zerbrechen und beginnen in verschiedene Richtungen zu fahren, wenn sie weiter ineinander stoßen.")</f>
        <v>Die drei Stoßstangenautos zerbrechen und beginnen in verschiedene Richtungen zu fahren, wenn sie weiter ineinander stoßen.</v>
      </c>
    </row>
    <row r="9791">
      <c r="A9791" s="4" t="s">
        <v>12306</v>
      </c>
      <c r="B9791" s="4" t="s">
        <v>12309</v>
      </c>
      <c r="C9791" s="5" t="str">
        <f>IFERROR(__xludf.DUMMYFUNCTION("GOOGLETRANSLATE(B9791,""en"",""de"")"),"Zwei Mädchen in einem Stoßfänger Auto stoßen in eine Wand und Briefliy fällt es schwer, wieder in Bewegung zu kommen.")</f>
        <v>Zwei Mädchen in einem Stoßfänger Auto stoßen in eine Wand und Briefliy fällt es schwer, wieder in Bewegung zu kommen.</v>
      </c>
    </row>
    <row r="9792">
      <c r="A9792" s="4" t="s">
        <v>12306</v>
      </c>
      <c r="B9792" s="4" t="s">
        <v>12310</v>
      </c>
      <c r="C9792" s="5" t="str">
        <f>IFERROR(__xludf.DUMMYFUNCTION("GOOGLETRANSLATE(B9792,""en"",""de"")"),"Die Menschen fahren ständig ihre Stoßfängerautos und stoßen auf die Dinge, bis die Fahrt vorbei ist.")</f>
        <v>Die Menschen fahren ständig ihre Stoßfängerautos und stoßen auf die Dinge, bis die Fahrt vorbei ist.</v>
      </c>
    </row>
    <row r="9793">
      <c r="A9793" s="4" t="s">
        <v>12311</v>
      </c>
      <c r="B9793" s="4" t="s">
        <v>12312</v>
      </c>
      <c r="C9793" s="5" t="str">
        <f>IFERROR(__xludf.DUMMYFUNCTION("GOOGLETRANSLATE(B9793,""en"",""de"")"),"Es gibt einen Mann, der ein schwarzes Hemd und ein grünes Bandana trägt, das zeigt, wie man ein Mikrofaser -Sofa sprüht.")</f>
        <v>Es gibt einen Mann, der ein schwarzes Hemd und ein grünes Bandana trägt, das zeigt, wie man ein Mikrofaser -Sofa sprüht.</v>
      </c>
    </row>
    <row r="9794">
      <c r="A9794" s="4" t="s">
        <v>12311</v>
      </c>
      <c r="B9794" s="4" t="s">
        <v>12313</v>
      </c>
      <c r="C9794" s="5" t="str">
        <f>IFERROR(__xludf.DUMMYFUNCTION("GOOGLETRANSLATE(B9794,""en"",""de"")"),"Er benutzt eine rote Dose Sprühfarbe, um zu demonstrieren, wie man ein cremefarbenes Sofa mit roter Farbe malt.")</f>
        <v>Er benutzt eine rote Dose Sprühfarbe, um zu demonstrieren, wie man ein cremefarbenes Sofa mit roter Farbe malt.</v>
      </c>
    </row>
    <row r="9795">
      <c r="A9795" s="4" t="s">
        <v>12311</v>
      </c>
      <c r="B9795" s="4" t="s">
        <v>12314</v>
      </c>
      <c r="C9795" s="5" t="str">
        <f>IFERROR(__xludf.DUMMYFUNCTION("GOOGLETRANSLATE(B9795,""en"",""de"")"),"Er sprüht weiterhin den Rücken und der Arm ruhen des Sofas.")</f>
        <v>Er sprüht weiterhin den Rücken und der Arm ruhen des Sofas.</v>
      </c>
    </row>
    <row r="9796">
      <c r="A9796" s="4" t="s">
        <v>12311</v>
      </c>
      <c r="B9796" s="4" t="s">
        <v>12315</v>
      </c>
      <c r="C9796" s="5" t="str">
        <f>IFERROR(__xludf.DUMMYFUNCTION("GOOGLETRANSLATE(B9796,""en"",""de"")"),"Dann legt er einen unbemalten Sitzkissen wieder auf das Sofa.")</f>
        <v>Dann legt er einen unbemalten Sitzkissen wieder auf das Sofa.</v>
      </c>
    </row>
    <row r="9797">
      <c r="A9797" s="4" t="s">
        <v>12316</v>
      </c>
      <c r="B9797" s="4" t="s">
        <v>12317</v>
      </c>
      <c r="C9797" s="5" t="str">
        <f>IFERROR(__xludf.DUMMYFUNCTION("GOOGLETRANSLATE(B9797,""en"",""de"")"),"Es werden mehrere Aufnahmen von Menschen, die Hunde pflegen, ebenso gezeigt wie eine Frau, die in mehreren Umgebungen mit der Kamera spricht.")</f>
        <v>Es werden mehrere Aufnahmen von Menschen, die Hunde pflegen, ebenso gezeigt wie eine Frau, die in mehreren Umgebungen mit der Kamera spricht.</v>
      </c>
    </row>
    <row r="9798">
      <c r="A9798" s="4" t="s">
        <v>12316</v>
      </c>
      <c r="B9798" s="4" t="s">
        <v>12318</v>
      </c>
      <c r="C9798" s="5" t="str">
        <f>IFERROR(__xludf.DUMMYFUNCTION("GOOGLETRANSLATE(B9798,""en"",""de"")"),"Hunde werden gesehen, dass sie geschrubbt sind, Nägel abgeschnitten und von mehreren Personen und einer anderen Frau mit Kämmen abgewischt werden, die die Kragen zeigen, die sie auf Lager haben.")</f>
        <v>Hunde werden gesehen, dass sie geschrubbt sind, Nägel abgeschnitten und von mehreren Personen und einer anderen Frau mit Kämmen abgewischt werden, die die Kragen zeigen, die sie auf Lager haben.</v>
      </c>
    </row>
    <row r="9799">
      <c r="A9799" s="4" t="s">
        <v>12316</v>
      </c>
      <c r="B9799" s="4" t="s">
        <v>12319</v>
      </c>
      <c r="C9799" s="5" t="str">
        <f>IFERROR(__xludf.DUMMYFUNCTION("GOOGLETRANSLATE(B9799,""en"",""de"")"),"Weitere Aufnahmen des Ladens werden ebenso gezeigt wie viele Hunde, die gepflegt werden.")</f>
        <v>Weitere Aufnahmen des Ladens werden ebenso gezeigt wie viele Hunde, die gepflegt werden.</v>
      </c>
    </row>
    <row r="9800">
      <c r="A9800" s="4" t="s">
        <v>12320</v>
      </c>
      <c r="B9800" s="4" t="s">
        <v>12321</v>
      </c>
      <c r="C9800" s="5" t="str">
        <f>IFERROR(__xludf.DUMMYFUNCTION("GOOGLETRANSLATE(B9800,""en"",""de"")"),"Ein Fahrrad wird in einem Park bis zu einer Station gebracht.")</f>
        <v>Ein Fahrrad wird in einem Park bis zu einer Station gebracht.</v>
      </c>
    </row>
    <row r="9801">
      <c r="A9801" s="4" t="s">
        <v>12320</v>
      </c>
      <c r="B9801" s="4" t="s">
        <v>12322</v>
      </c>
      <c r="C9801" s="5" t="str">
        <f>IFERROR(__xludf.DUMMYFUNCTION("GOOGLETRANSLATE(B9801,""en"",""de"")"),"Ein Fahrer hebt vom Dirtbike vom Tor ab.")</f>
        <v>Ein Fahrer hebt vom Dirtbike vom Tor ab.</v>
      </c>
    </row>
    <row r="9802">
      <c r="A9802" s="4" t="s">
        <v>12320</v>
      </c>
      <c r="B9802" s="4" t="s">
        <v>12323</v>
      </c>
      <c r="C9802" s="5" t="str">
        <f>IFERROR(__xludf.DUMMYFUNCTION("GOOGLETRANSLATE(B9802,""en"",""de"")"),"Er nimmt die Kurven und krümmt sich scharf und geht über Hügel.")</f>
        <v>Er nimmt die Kurven und krümmt sich scharf und geht über Hügel.</v>
      </c>
    </row>
    <row r="9803">
      <c r="A9803" s="4" t="s">
        <v>12324</v>
      </c>
      <c r="B9803" s="4" t="s">
        <v>12325</v>
      </c>
      <c r="C9803" s="5" t="str">
        <f>IFERROR(__xludf.DUMMYFUNCTION("GOOGLETRANSLATE(B9803,""en"",""de"")"),"Ein Mann ersetzt einen Reifen auf seinem Fahrradrand mit Werkzeugen.")</f>
        <v>Ein Mann ersetzt einen Reifen auf seinem Fahrradrand mit Werkzeugen.</v>
      </c>
    </row>
    <row r="9804">
      <c r="A9804" s="4" t="s">
        <v>12324</v>
      </c>
      <c r="B9804" s="4" t="s">
        <v>12326</v>
      </c>
      <c r="C9804" s="5" t="str">
        <f>IFERROR(__xludf.DUMMYFUNCTION("GOOGLETRANSLATE(B9804,""en"",""de"")"),"Der Mann fährt das Fahrradrad am Rahmen des Fahrrads wieder.")</f>
        <v>Der Mann fährt das Fahrradrad am Rahmen des Fahrrads wieder.</v>
      </c>
    </row>
    <row r="9805">
      <c r="A9805" s="4" t="s">
        <v>12324</v>
      </c>
      <c r="B9805" s="4" t="s">
        <v>12327</v>
      </c>
      <c r="C9805" s="5" t="str">
        <f>IFERROR(__xludf.DUMMYFUNCTION("GOOGLETRANSLATE(B9805,""en"",""de"")"),"Die Sonne geht unter dem Tag, als der Tag später kommt.")</f>
        <v>Die Sonne geht unter dem Tag, als der Tag später kommt.</v>
      </c>
    </row>
    <row r="9806">
      <c r="A9806" s="4" t="s">
        <v>12324</v>
      </c>
      <c r="B9806" s="4" t="s">
        <v>12328</v>
      </c>
      <c r="C9806" s="5" t="str">
        <f>IFERROR(__xludf.DUMMYFUNCTION("GOOGLETRANSLATE(B9806,""en"",""de"")"),"Der Mann steht mit dem Fahrrad auf und macht sich bereit zu gehen.")</f>
        <v>Der Mann steht mit dem Fahrrad auf und macht sich bereit zu gehen.</v>
      </c>
    </row>
    <row r="9807">
      <c r="A9807" s="4" t="s">
        <v>12329</v>
      </c>
      <c r="B9807" s="4" t="s">
        <v>12330</v>
      </c>
      <c r="C9807" s="5" t="str">
        <f>IFERROR(__xludf.DUMMYFUNCTION("GOOGLETRANSLATE(B9807,""en"",""de"")"),"Person mit einer Schere im Gras.")</f>
        <v>Person mit einer Schere im Gras.</v>
      </c>
    </row>
    <row r="9808">
      <c r="A9808" s="4" t="s">
        <v>12329</v>
      </c>
      <c r="B9808" s="4" t="s">
        <v>12331</v>
      </c>
      <c r="C9808" s="5" t="str">
        <f>IFERROR(__xludf.DUMMYFUNCTION("GOOGLETRANSLATE(B9808,""en"",""de"")"),"Wir sehen den Schatten des Kameramanns über die Person.")</f>
        <v>Wir sehen den Schatten des Kameramanns über die Person.</v>
      </c>
    </row>
    <row r="9809">
      <c r="A9809" s="4" t="s">
        <v>12329</v>
      </c>
      <c r="B9809" s="4" t="s">
        <v>12332</v>
      </c>
      <c r="C9809" s="5" t="str">
        <f>IFERROR(__xludf.DUMMYFUNCTION("GOOGLETRANSLATE(B9809,""en"",""de"")"),"Die Person schneidet Gras mit kindlicher Schere.")</f>
        <v>Die Person schneidet Gras mit kindlicher Schere.</v>
      </c>
    </row>
    <row r="9810">
      <c r="A9810" s="4" t="s">
        <v>12333</v>
      </c>
      <c r="B9810" s="4" t="s">
        <v>12334</v>
      </c>
      <c r="C9810" s="5" t="str">
        <f>IFERROR(__xludf.DUMMYFUNCTION("GOOGLETRANSLATE(B9810,""en"",""de"")"),"Männer bläst tote Blätter, die eine Blattgebläsemaschine auf den Boden drücken oder eine Maschine auf der Rückseite halten.")</f>
        <v>Männer bläst tote Blätter, die eine Blattgebläsemaschine auf den Boden drücken oder eine Maschine auf der Rückseite halten.</v>
      </c>
    </row>
    <row r="9811">
      <c r="A9811" s="4" t="s">
        <v>12333</v>
      </c>
      <c r="B9811" s="4" t="s">
        <v>12335</v>
      </c>
      <c r="C9811" s="5" t="str">
        <f>IFERROR(__xludf.DUMMYFUNCTION("GOOGLETRANSLATE(B9811,""en"",""de"")"),"Dann erklärt ein Mann, wie man eine Blätterblasmaschine bedient, während Männer die Blätter weiter blasen.")</f>
        <v>Dann erklärt ein Mann, wie man eine Blätterblasmaschine bedient, während Männer die Blätter weiter blasen.</v>
      </c>
    </row>
    <row r="9812">
      <c r="A9812" s="4" t="s">
        <v>12333</v>
      </c>
      <c r="B9812" s="4" t="s">
        <v>12336</v>
      </c>
      <c r="C9812" s="5" t="str">
        <f>IFERROR(__xludf.DUMMYFUNCTION("GOOGLETRANSLATE(B9812,""en"",""de"")"),"Ein anderer Mann erklärt, während andere Männer vakuumieren und Blätter blasen.")</f>
        <v>Ein anderer Mann erklärt, während andere Männer vakuumieren und Blätter blasen.</v>
      </c>
    </row>
    <row r="9813">
      <c r="A9813" s="4" t="s">
        <v>12337</v>
      </c>
      <c r="B9813" s="4" t="s">
        <v>12338</v>
      </c>
      <c r="C9813" s="5" t="str">
        <f>IFERROR(__xludf.DUMMYFUNCTION("GOOGLETRANSLATE(B9813,""en"",""de"")"),"Wir sehen ein Bild und eine Titelkarte.")</f>
        <v>Wir sehen ein Bild und eine Titelkarte.</v>
      </c>
    </row>
    <row r="9814">
      <c r="A9814" s="4" t="s">
        <v>12337</v>
      </c>
      <c r="B9814" s="4" t="s">
        <v>12339</v>
      </c>
      <c r="C9814" s="5" t="str">
        <f>IFERROR(__xludf.DUMMYFUNCTION("GOOGLETRANSLATE(B9814,""en"",""de"")"),"Wir sehen einen Mann, der Basketball spielt.")</f>
        <v>Wir sehen einen Mann, der Basketball spielt.</v>
      </c>
    </row>
    <row r="9815">
      <c r="A9815" s="4" t="s">
        <v>12337</v>
      </c>
      <c r="B9815" s="4" t="s">
        <v>12340</v>
      </c>
      <c r="C9815" s="5" t="str">
        <f>IFERROR(__xludf.DUMMYFUNCTION("GOOGLETRANSLATE(B9815,""en"",""de"")"),"Der Schuss, den er gemacht hat, wird umgekehrt gesehen.")</f>
        <v>Der Schuss, den er gemacht hat, wird umgekehrt gesehen.</v>
      </c>
    </row>
    <row r="9816">
      <c r="A9816" s="4" t="s">
        <v>12337</v>
      </c>
      <c r="B9816" s="4" t="s">
        <v>12341</v>
      </c>
      <c r="C9816" s="5" t="str">
        <f>IFERROR(__xludf.DUMMYFUNCTION("GOOGLETRANSLATE(B9816,""en"",""de"")"),"Wir sehen ein Fitnessstudio, bei dem Teenager Basketball schießen.")</f>
        <v>Wir sehen ein Fitnessstudio, bei dem Teenager Basketball schießen.</v>
      </c>
    </row>
    <row r="9817">
      <c r="A9817" s="4" t="s">
        <v>12337</v>
      </c>
      <c r="B9817" s="4" t="s">
        <v>12342</v>
      </c>
      <c r="C9817" s="5" t="str">
        <f>IFERROR(__xludf.DUMMYFUNCTION("GOOGLETRANSLATE(B9817,""en"",""de"")"),"Wir sehen eine Titelkarte auf Schwarz.")</f>
        <v>Wir sehen eine Titelkarte auf Schwarz.</v>
      </c>
    </row>
    <row r="9818">
      <c r="A9818" s="4" t="s">
        <v>12337</v>
      </c>
      <c r="B9818" s="4" t="s">
        <v>12343</v>
      </c>
      <c r="C9818" s="5" t="str">
        <f>IFERROR(__xludf.DUMMYFUNCTION("GOOGLETRANSLATE(B9818,""en"",""de"")"),"Ein Mann schießt in einem Fitnessstudio Basketball.")</f>
        <v>Ein Mann schießt in einem Fitnessstudio Basketball.</v>
      </c>
    </row>
    <row r="9819">
      <c r="A9819" s="4" t="s">
        <v>12337</v>
      </c>
      <c r="B9819" s="4" t="s">
        <v>12344</v>
      </c>
      <c r="C9819" s="5" t="str">
        <f>IFERROR(__xludf.DUMMYFUNCTION("GOOGLETRANSLATE(B9819,""en"",""de"")"),"Wir sehen einen Mann zweimal mit dem Ball eintauchen.")</f>
        <v>Wir sehen einen Mann zweimal mit dem Ball eintauchen.</v>
      </c>
    </row>
    <row r="9820">
      <c r="A9820" s="4" t="s">
        <v>12337</v>
      </c>
      <c r="B9820" s="4" t="s">
        <v>12345</v>
      </c>
      <c r="C9820" s="5" t="str">
        <f>IFERROR(__xludf.DUMMYFUNCTION("GOOGLETRANSLATE(B9820,""en"",""de"")"),"Wir sehen die Endtitelkarte auf Schwarz.")</f>
        <v>Wir sehen die Endtitelkarte auf Schwarz.</v>
      </c>
    </row>
    <row r="9821">
      <c r="A9821" s="4" t="s">
        <v>12346</v>
      </c>
      <c r="B9821" s="4" t="s">
        <v>12347</v>
      </c>
      <c r="C9821" s="5" t="str">
        <f>IFERROR(__xludf.DUMMYFUNCTION("GOOGLETRANSLATE(B9821,""en"",""de"")"),"Zwei Menschen werden mit einem Hund eine Straße hinunterfahren.")</f>
        <v>Zwei Menschen werden mit einem Hund eine Straße hinunterfahren.</v>
      </c>
    </row>
    <row r="9822">
      <c r="A9822" s="4" t="s">
        <v>12346</v>
      </c>
      <c r="B9822" s="4" t="s">
        <v>12348</v>
      </c>
      <c r="C9822" s="5" t="str">
        <f>IFERROR(__xludf.DUMMYFUNCTION("GOOGLETRANSLATE(B9822,""en"",""de"")"),"Eine Person fährt ein Fahrrad und die andere mit einem Skateboard, während die Kamera dicht dahinter folgt.")</f>
        <v>Eine Person fährt ein Fahrrad und die andere mit einem Skateboard, während die Kamera dicht dahinter folgt.</v>
      </c>
    </row>
    <row r="9823">
      <c r="A9823" s="4" t="s">
        <v>12346</v>
      </c>
      <c r="B9823" s="4" t="s">
        <v>12349</v>
      </c>
      <c r="C9823" s="5" t="str">
        <f>IFERROR(__xludf.DUMMYFUNCTION("GOOGLETRANSLATE(B9823,""en"",""de"")"),"Mehrere andere Hunde rennen vorbei und die Menschen reiten weiterhin den Straßenweg hinunter.")</f>
        <v>Mehrere andere Hunde rennen vorbei und die Menschen reiten weiterhin den Straßenweg hinunter.</v>
      </c>
    </row>
    <row r="9824">
      <c r="A9824" s="4" t="s">
        <v>12350</v>
      </c>
      <c r="B9824" s="4" t="s">
        <v>12351</v>
      </c>
      <c r="C9824" s="5" t="str">
        <f>IFERROR(__xludf.DUMMYFUNCTION("GOOGLETRANSLATE(B9824,""en"",""de"")"),"Der Mensch hält eine Stange mit einem Eis und gibt es einem kleinen Kind.")</f>
        <v>Der Mensch hält eine Stange mit einem Eis und gibt es einem kleinen Kind.</v>
      </c>
    </row>
    <row r="9825">
      <c r="A9825" s="4" t="s">
        <v>12350</v>
      </c>
      <c r="B9825" s="4" t="s">
        <v>12352</v>
      </c>
      <c r="C9825" s="5" t="str">
        <f>IFERROR(__xludf.DUMMYFUNCTION("GOOGLETRANSLATE(B9825,""en"",""de"")"),"Die Menschen stehen und gehen hinter dem Jungen in einem Vergnügungspark.")</f>
        <v>Die Menschen stehen und gehen hinter dem Jungen in einem Vergnügungspark.</v>
      </c>
    </row>
    <row r="9826">
      <c r="A9826" s="4" t="s">
        <v>12353</v>
      </c>
      <c r="B9826" s="4" t="s">
        <v>12354</v>
      </c>
      <c r="C9826" s="5" t="str">
        <f>IFERROR(__xludf.DUMMYFUNCTION("GOOGLETRANSLATE(B9826,""en"",""de"")"),"Ein Mann surft in rauem Meereswasser, reitet weiter und gegen massive hohe Wellen, während die Zuschauer auf Motorbooten zuschauen und kommentieren.")</f>
        <v>Ein Mann surft in rauem Meereswasser, reitet weiter und gegen massive hohe Wellen, während die Zuschauer auf Motorbooten zuschauen und kommentieren.</v>
      </c>
    </row>
    <row r="9827">
      <c r="A9827" s="4" t="s">
        <v>12353</v>
      </c>
      <c r="B9827" s="4" t="s">
        <v>12355</v>
      </c>
      <c r="C9827" s="5" t="str">
        <f>IFERROR(__xludf.DUMMYFUNCTION("GOOGLETRANSLATE(B9827,""en"",""de"")"),"Der Mann steht in einem Neoprenanzug und reitet auf einem gelben Surfbrett und einem roten Surfbrett zuerst auf einer ruhigen Welle und dann auf einer Reihe großer und hoher Wellen.")</f>
        <v>Der Mann steht in einem Neoprenanzug und reitet auf einem gelben Surfbrett und einem roten Surfbrett zuerst auf einer ruhigen Welle und dann auf einer Reihe großer und hoher Wellen.</v>
      </c>
    </row>
    <row r="9828">
      <c r="A9828" s="4" t="s">
        <v>12353</v>
      </c>
      <c r="B9828" s="4" t="s">
        <v>12356</v>
      </c>
      <c r="C9828" s="5" t="str">
        <f>IFERROR(__xludf.DUMMYFUNCTION("GOOGLETRANSLATE(B9828,""en"",""de"")"),"Der Mann reitet die rauen Wellen auf dem Surfbrett mit den Wellen, um seinen gesamten Körper und sein Surfbrett abzudecken.")</f>
        <v>Der Mann reitet die rauen Wellen auf dem Surfbrett mit den Wellen, um seinen gesamten Körper und sein Surfbrett abzudecken.</v>
      </c>
    </row>
    <row r="9829">
      <c r="A9829" s="4" t="s">
        <v>12353</v>
      </c>
      <c r="B9829" s="4" t="s">
        <v>12357</v>
      </c>
      <c r="C9829" s="5" t="str">
        <f>IFERROR(__xludf.DUMMYFUNCTION("GOOGLETRANSLATE(B9829,""en"",""de"")"),"Der Mann umarmt und schüttelt den Menschen mit Menschen, nachdem er die raue Surf -Episode beendet und eine letzte einsame, hohe Welle fährt, bevor sie zu Schwarz verblasst.")</f>
        <v>Der Mann umarmt und schüttelt den Menschen mit Menschen, nachdem er die raue Surf -Episode beendet und eine letzte einsame, hohe Welle fährt, bevor sie zu Schwarz verblasst.</v>
      </c>
    </row>
    <row r="9830">
      <c r="A9830" s="4" t="s">
        <v>12358</v>
      </c>
      <c r="B9830" s="4" t="s">
        <v>12359</v>
      </c>
      <c r="C9830" s="5" t="str">
        <f>IFERROR(__xludf.DUMMYFUNCTION("GOOGLETRANSLATE(B9830,""en"",""de"")"),"Ein Mann führt einen Kesselwurf vor einem Outdoor -Stadion aus, das mit Zuschauern im Publikum gefüllt ist.")</f>
        <v>Ein Mann führt einen Kesselwurf vor einem Outdoor -Stadion aus, das mit Zuschauern im Publikum gefüllt ist.</v>
      </c>
    </row>
    <row r="9831">
      <c r="A9831" s="4" t="s">
        <v>12358</v>
      </c>
      <c r="B9831" s="4" t="s">
        <v>12360</v>
      </c>
      <c r="C9831" s="5" t="str">
        <f>IFERROR(__xludf.DUMMYFUNCTION("GOOGLETRANSLATE(B9831,""en"",""de"")"),"Ein Mann auf einem runden Schmutzbereich auf einem Feld schwingt einen Ball um und herum, während sie an Ort und Stelle stehen.")</f>
        <v>Ein Mann auf einem runden Schmutzbereich auf einem Feld schwingt einen Ball um und herum, während sie an Ort und Stelle stehen.</v>
      </c>
    </row>
    <row r="9832">
      <c r="A9832" s="4" t="s">
        <v>12358</v>
      </c>
      <c r="B9832" s="4" t="s">
        <v>12361</v>
      </c>
      <c r="C9832" s="5" t="str">
        <f>IFERROR(__xludf.DUMMYFUNCTION("GOOGLETRANSLATE(B9832,""en"",""de"")"),"Der Mann lässt den Ball gehen, wo er vor ihm in die Luft fliegt.")</f>
        <v>Der Mann lässt den Ball gehen, wo er vor ihm in die Luft fliegt.</v>
      </c>
    </row>
    <row r="9833">
      <c r="A9833" s="4" t="s">
        <v>12358</v>
      </c>
      <c r="B9833" s="4" t="s">
        <v>12362</v>
      </c>
      <c r="C9833" s="5" t="str">
        <f>IFERROR(__xludf.DUMMYFUNCTION("GOOGLETRANSLATE(B9833,""en"",""de"")"),"Der Mann stehen an und beugt sich mit den Knien, als er den Ball in der Luft fliegen sieht.")</f>
        <v>Der Mann stehen an und beugt sich mit den Knien, als er den Ball in der Luft fliegen sieht.</v>
      </c>
    </row>
    <row r="9834">
      <c r="A9834" s="4" t="s">
        <v>12363</v>
      </c>
      <c r="B9834" s="4" t="s">
        <v>12364</v>
      </c>
      <c r="C9834" s="5" t="str">
        <f>IFERROR(__xludf.DUMMYFUNCTION("GOOGLETRANSLATE(B9834,""en"",""de"")"),"Ein Mann führt ein Kamel mit Kindern, die auf dem Rücken entlang einer Strandküste fahren.")</f>
        <v>Ein Mann führt ein Kamel mit Kindern, die auf dem Rücken entlang einer Strandküste fahren.</v>
      </c>
    </row>
    <row r="9835">
      <c r="A9835" s="4" t="s">
        <v>12363</v>
      </c>
      <c r="B9835" s="4" t="s">
        <v>12365</v>
      </c>
      <c r="C9835" s="5" t="str">
        <f>IFERROR(__xludf.DUMMYFUNCTION("GOOGLETRANSLATE(B9835,""en"",""de"")"),"Strandbesucher stehen und gehen in Badeanzügen die Küste entlang.")</f>
        <v>Strandbesucher stehen und gehen in Badeanzügen die Küste entlang.</v>
      </c>
    </row>
    <row r="9836">
      <c r="A9836" s="4" t="s">
        <v>12366</v>
      </c>
      <c r="B9836" s="4" t="s">
        <v>12367</v>
      </c>
      <c r="C9836" s="5" t="str">
        <f>IFERROR(__xludf.DUMMYFUNCTION("GOOGLETRANSLATE(B9836,""en"",""de"")"),"Ein Teenager erklärt, wie man ein Surfbrett mit den Füßen umdreht und dreht.")</f>
        <v>Ein Teenager erklärt, wie man ein Surfbrett mit den Füßen umdreht und dreht.</v>
      </c>
    </row>
    <row r="9837">
      <c r="A9837" s="4" t="s">
        <v>12366</v>
      </c>
      <c r="B9837" s="4" t="s">
        <v>12368</v>
      </c>
      <c r="C9837" s="5" t="str">
        <f>IFERROR(__xludf.DUMMYFUNCTION("GOOGLETRANSLATE(B9837,""en"",""de"")"),"Dann zeigt der Teenager, wie man die Spitzen des Surfbretts erhebt.")</f>
        <v>Dann zeigt der Teenager, wie man die Spitzen des Surfbretts erhebt.</v>
      </c>
    </row>
    <row r="9838">
      <c r="A9838" s="4" t="s">
        <v>12366</v>
      </c>
      <c r="B9838" s="4" t="s">
        <v>12369</v>
      </c>
      <c r="C9838" s="5" t="str">
        <f>IFERROR(__xludf.DUMMYFUNCTION("GOOGLETRANSLATE(B9838,""en"",""de"")"),"Dann steht der Teenager auf dem Surfbrett und zeigt, wie man es zur Seite dreht.")</f>
        <v>Dann steht der Teenager auf dem Surfbrett und zeigt, wie man es zur Seite dreht.</v>
      </c>
    </row>
    <row r="9839">
      <c r="A9839" s="4" t="s">
        <v>12366</v>
      </c>
      <c r="B9839" s="4" t="s">
        <v>12370</v>
      </c>
      <c r="C9839" s="5" t="str">
        <f>IFERROR(__xludf.DUMMYFUNCTION("GOOGLETRANSLATE(B9839,""en"",""de"")"),"Danach setzt der Teenager seine Hand in Schuhe auf das Surfbrett und demonstriert eine Kurve.")</f>
        <v>Danach setzt der Teenager seine Hand in Schuhe auf das Surfbrett und demonstriert eine Kurve.</v>
      </c>
    </row>
    <row r="9840">
      <c r="A9840" s="4" t="s">
        <v>12366</v>
      </c>
      <c r="B9840" s="4" t="s">
        <v>12371</v>
      </c>
      <c r="C9840" s="5" t="str">
        <f>IFERROR(__xludf.DUMMYFUNCTION("GOOGLETRANSLATE(B9840,""en"",""de"")"),"Als nächstes macht der Teenager die Wendung mit seinen Füßen.")</f>
        <v>Als nächstes macht der Teenager die Wendung mit seinen Füßen.</v>
      </c>
    </row>
    <row r="9841">
      <c r="A9841" s="4" t="s">
        <v>12372</v>
      </c>
      <c r="B9841" s="4" t="s">
        <v>12373</v>
      </c>
      <c r="C9841" s="5" t="str">
        <f>IFERROR(__xludf.DUMMYFUNCTION("GOOGLETRANSLATE(B9841,""en"",""de"")"),"Die Menschen rudern einen Gewässer.")</f>
        <v>Die Menschen rudern einen Gewässer.</v>
      </c>
    </row>
    <row r="9842">
      <c r="A9842" s="4" t="s">
        <v>12372</v>
      </c>
      <c r="B9842" s="4" t="s">
        <v>12374</v>
      </c>
      <c r="C9842" s="5" t="str">
        <f>IFERROR(__xludf.DUMMYFUNCTION("GOOGLETRANSLATE(B9842,""en"",""de"")"),"Ein Typ spügt sein Gesicht mit Wasser aus dem Körper des Wassers.")</f>
        <v>Ein Typ spügt sein Gesicht mit Wasser aus dem Körper des Wassers.</v>
      </c>
    </row>
    <row r="9843">
      <c r="A9843" s="4" t="s">
        <v>12372</v>
      </c>
      <c r="B9843" s="4" t="s">
        <v>12375</v>
      </c>
      <c r="C9843" s="5" t="str">
        <f>IFERROR(__xludf.DUMMYFUNCTION("GOOGLETRANSLATE(B9843,""en"",""de"")"),"Der Typ fährt mit seinen Wasserfingern durch dieses Haar.")</f>
        <v>Der Typ fährt mit seinen Wasserfingern durch dieses Haar.</v>
      </c>
    </row>
    <row r="9844">
      <c r="A9844" s="4" t="s">
        <v>12372</v>
      </c>
      <c r="B9844" s="4" t="s">
        <v>12376</v>
      </c>
      <c r="C9844" s="5" t="str">
        <f>IFERROR(__xludf.DUMMYFUNCTION("GOOGLETRANSLATE(B9844,""en"",""de"")"),"Ein Mann mit einem Schnurrbart beugt sich vor, benimmt seine Hand und peitscht sein Gesicht.")</f>
        <v>Ein Mann mit einem Schnurrbart beugt sich vor, benimmt seine Hand und peitscht sein Gesicht.</v>
      </c>
    </row>
    <row r="9845">
      <c r="A9845" s="4" t="s">
        <v>12377</v>
      </c>
      <c r="B9845" s="4" t="s">
        <v>12378</v>
      </c>
      <c r="C9845" s="5" t="str">
        <f>IFERROR(__xludf.DUMMYFUNCTION("GOOGLETRANSLATE(B9845,""en"",""de"")"),"Ein Mann steht in einem Hof ​​mit einem farbenfrohen Stock und berührt eine Pinata.")</f>
        <v>Ein Mann steht in einem Hof ​​mit einem farbenfrohen Stock und berührt eine Pinata.</v>
      </c>
    </row>
    <row r="9846">
      <c r="A9846" s="4" t="s">
        <v>12377</v>
      </c>
      <c r="B9846" s="4" t="s">
        <v>12379</v>
      </c>
      <c r="C9846" s="5" t="str">
        <f>IFERROR(__xludf.DUMMYFUNCTION("GOOGLETRANSLATE(B9846,""en"",""de"")"),"Ein Mann schwingt einen Stock an einer Pinata.")</f>
        <v>Ein Mann schwingt einen Stock an einer Pinata.</v>
      </c>
    </row>
    <row r="9847">
      <c r="A9847" s="4" t="s">
        <v>12377</v>
      </c>
      <c r="B9847" s="4" t="s">
        <v>12380</v>
      </c>
      <c r="C9847" s="5" t="str">
        <f>IFERROR(__xludf.DUMMYFUNCTION("GOOGLETRANSLATE(B9847,""en"",""de"")"),"Der Typ hält stehen und legt den Stock neben sich.")</f>
        <v>Der Typ hält stehen und legt den Stock neben sich.</v>
      </c>
    </row>
    <row r="9848">
      <c r="A9848" s="4" t="s">
        <v>12381</v>
      </c>
      <c r="B9848" s="4" t="s">
        <v>12382</v>
      </c>
      <c r="C9848" s="5" t="str">
        <f>IFERROR(__xludf.DUMMYFUNCTION("GOOGLETRANSLATE(B9848,""en"",""de"")"),"Ein Mann sitzt vor einer kleinen Leinwand.")</f>
        <v>Ein Mann sitzt vor einer kleinen Leinwand.</v>
      </c>
    </row>
    <row r="9849">
      <c r="A9849" s="4" t="s">
        <v>12381</v>
      </c>
      <c r="B9849" s="4" t="s">
        <v>12383</v>
      </c>
      <c r="C9849" s="5" t="str">
        <f>IFERROR(__xludf.DUMMYFUNCTION("GOOGLETRANSLATE(B9849,""en"",""de"")"),"Er verwendet einen langen spitzen Pinsel, um ein Bild zu erstellen.")</f>
        <v>Er verwendet einen langen spitzen Pinsel, um ein Bild zu erstellen.</v>
      </c>
    </row>
    <row r="9850">
      <c r="A9850" s="4" t="s">
        <v>12381</v>
      </c>
      <c r="B9850" s="4" t="s">
        <v>12384</v>
      </c>
      <c r="C9850" s="5" t="str">
        <f>IFERROR(__xludf.DUMMYFUNCTION("GOOGLETRANSLATE(B9850,""en"",""de"")"),"Dann füllt er das Bild mit Farben.")</f>
        <v>Dann füllt er das Bild mit Farben.</v>
      </c>
    </row>
    <row r="9851">
      <c r="A9851" s="4" t="s">
        <v>12385</v>
      </c>
      <c r="B9851" s="4" t="s">
        <v>12386</v>
      </c>
      <c r="C9851" s="5" t="str">
        <f>IFERROR(__xludf.DUMMYFUNCTION("GOOGLETRANSLATE(B9851,""en"",""de"")"),"Ein Mann gießt Kaffee in eine Tasse.")</f>
        <v>Ein Mann gießt Kaffee in eine Tasse.</v>
      </c>
    </row>
    <row r="9852">
      <c r="A9852" s="4" t="s">
        <v>12385</v>
      </c>
      <c r="B9852" s="4" t="s">
        <v>12387</v>
      </c>
      <c r="C9852" s="5" t="str">
        <f>IFERROR(__xludf.DUMMYFUNCTION("GOOGLETRANSLATE(B9852,""en"",""de"")"),"Der Mann greift mit einem Krug eine Bierflasche auf.")</f>
        <v>Der Mann greift mit einem Krug eine Bierflasche auf.</v>
      </c>
    </row>
    <row r="9853">
      <c r="A9853" s="4" t="s">
        <v>12385</v>
      </c>
      <c r="B9853" s="4" t="s">
        <v>12388</v>
      </c>
      <c r="C9853" s="5" t="str">
        <f>IFERROR(__xludf.DUMMYFUNCTION("GOOGLETRANSLATE(B9853,""en"",""de"")"),"Der Mann gießt das Bier in den Becher.")</f>
        <v>Der Mann gießt das Bier in den Becher.</v>
      </c>
    </row>
    <row r="9854">
      <c r="A9854" s="4" t="s">
        <v>12385</v>
      </c>
      <c r="B9854" s="4" t="s">
        <v>12389</v>
      </c>
      <c r="C9854" s="5" t="str">
        <f>IFERROR(__xludf.DUMMYFUNCTION("GOOGLETRANSLATE(B9854,""en"",""de"")"),"Der Mann trinkt das Getränk.")</f>
        <v>Der Mann trinkt das Getränk.</v>
      </c>
    </row>
    <row r="9855">
      <c r="A9855" s="4" t="s">
        <v>12390</v>
      </c>
      <c r="B9855" s="4" t="s">
        <v>12391</v>
      </c>
      <c r="C9855" s="5" t="str">
        <f>IFERROR(__xludf.DUMMYFUNCTION("GOOGLETRANSLATE(B9855,""en"",""de"")"),"Wir sehen einen Mann, der mit einer Kamera spricht und dann einen Lockenstein hält, dann lachen die Leute über den Mann.")</f>
        <v>Wir sehen einen Mann, der mit einer Kamera spricht und dann einen Lockenstein hält, dann lachen die Leute über den Mann.</v>
      </c>
    </row>
    <row r="9856">
      <c r="A9856" s="4" t="s">
        <v>12390</v>
      </c>
      <c r="B9856" s="4" t="s">
        <v>12392</v>
      </c>
      <c r="C9856" s="5" t="str">
        <f>IFERROR(__xludf.DUMMYFUNCTION("GOOGLETRANSLATE(B9856,""en"",""de"")"),"Der Mann wirft den Lockenstein, als die Menschen Besen vor den Stein fegen.")</f>
        <v>Der Mann wirft den Lockenstein, als die Menschen Besen vor den Stein fegen.</v>
      </c>
    </row>
    <row r="9857">
      <c r="A9857" s="4" t="s">
        <v>12390</v>
      </c>
      <c r="B9857" s="4" t="s">
        <v>12393</v>
      </c>
      <c r="C9857" s="5" t="str">
        <f>IFERROR(__xludf.DUMMYFUNCTION("GOOGLETRANSLATE(B9857,""en"",""de"")"),"Drei Damen werfen den Stein und rutschen die Strecke hinunter.")</f>
        <v>Drei Damen werfen den Stein und rutschen die Strecke hinunter.</v>
      </c>
    </row>
    <row r="9858">
      <c r="A9858" s="4" t="s">
        <v>12390</v>
      </c>
      <c r="B9858" s="4" t="s">
        <v>12394</v>
      </c>
      <c r="C9858" s="5" t="str">
        <f>IFERROR(__xludf.DUMMYFUNCTION("GOOGLETRANSLATE(B9858,""en"",""de"")"),"Wir sehen Leute, die ein Licht feiern, das blitzt.")</f>
        <v>Wir sehen Leute, die ein Licht feiern, das blitzt.</v>
      </c>
    </row>
    <row r="9859">
      <c r="A9859" s="4" t="s">
        <v>12390</v>
      </c>
      <c r="B9859" s="4" t="s">
        <v>12395</v>
      </c>
      <c r="C9859" s="5" t="str">
        <f>IFERROR(__xludf.DUMMYFUNCTION("GOOGLETRANSLATE(B9859,""en"",""de"")"),"Bilder von Menschen heilen wieder und eine Gruppe von Menschen springt in die Luft.")</f>
        <v>Bilder von Menschen heilen wieder und eine Gruppe von Menschen springt in die Luft.</v>
      </c>
    </row>
    <row r="9860">
      <c r="A9860" s="4" t="s">
        <v>12390</v>
      </c>
      <c r="B9860" s="4" t="s">
        <v>12396</v>
      </c>
      <c r="C9860" s="5" t="str">
        <f>IFERROR(__xludf.DUMMYFUNCTION("GOOGLETRANSLATE(B9860,""en"",""de"")"),"Wir sehen einen Titelbildschirm für Curling.")</f>
        <v>Wir sehen einen Titelbildschirm für Curling.</v>
      </c>
    </row>
    <row r="9861">
      <c r="A9861" s="4" t="s">
        <v>12397</v>
      </c>
      <c r="B9861" s="4" t="s">
        <v>12398</v>
      </c>
      <c r="C9861" s="5" t="str">
        <f>IFERROR(__xludf.DUMMYFUNCTION("GOOGLETRANSLATE(B9861,""en"",""de"")"),"Zwei Menschen kämpfen auf einer Bühne für ein Publikum.")</f>
        <v>Zwei Menschen kämpfen auf einer Bühne für ein Publikum.</v>
      </c>
    </row>
    <row r="9862">
      <c r="A9862" s="4" t="s">
        <v>12397</v>
      </c>
      <c r="B9862" s="4" t="s">
        <v>12399</v>
      </c>
      <c r="C9862" s="5" t="str">
        <f>IFERROR(__xludf.DUMMYFUNCTION("GOOGLETRANSLATE(B9862,""en"",""de"")"),"Ein Mann trägt das Ergebnis jedes Spiels.")</f>
        <v>Ein Mann trägt das Ergebnis jedes Spiels.</v>
      </c>
    </row>
    <row r="9863">
      <c r="A9863" s="4" t="s">
        <v>12397</v>
      </c>
      <c r="B9863" s="4" t="s">
        <v>12400</v>
      </c>
      <c r="C9863" s="5" t="str">
        <f>IFERROR(__xludf.DUMMYFUNCTION("GOOGLETRANSLATE(B9863,""en"",""de"")"),"Die Zuschauer schauen zu.")</f>
        <v>Die Zuschauer schauen zu.</v>
      </c>
    </row>
    <row r="9864">
      <c r="A9864" s="4" t="s">
        <v>12401</v>
      </c>
      <c r="B9864" s="4" t="s">
        <v>12402</v>
      </c>
      <c r="C9864" s="5" t="str">
        <f>IFERROR(__xludf.DUMMYFUNCTION("GOOGLETRANSLATE(B9864,""en"",""de"")"),"Es werden verschiedene Schüsse der Landschaft gezeigt und führen zu einer Person, die einen Hund kratzt und ein Seil zieht.")</f>
        <v>Es werden verschiedene Schüsse der Landschaft gezeigt und führen zu einer Person, die einen Hund kratzt und ein Seil zieht.</v>
      </c>
    </row>
    <row r="9865">
      <c r="A9865" s="4" t="s">
        <v>12401</v>
      </c>
      <c r="B9865" s="4" t="s">
        <v>12403</v>
      </c>
      <c r="C9865" s="5" t="str">
        <f>IFERROR(__xludf.DUMMYFUNCTION("GOOGLETRANSLATE(B9865,""en"",""de"")"),"Weitere Aufnahmen von Menschen, die mit einem Boot reiten, werden gezeigt, Möwen fliegen und Menschen, die Musik spielen.")</f>
        <v>Weitere Aufnahmen von Menschen, die mit einem Boot reiten, werden gezeigt, Möwen fliegen und Menschen, die Musik spielen.</v>
      </c>
    </row>
    <row r="9866">
      <c r="A9866" s="4" t="s">
        <v>12401</v>
      </c>
      <c r="B9866" s="4" t="s">
        <v>12404</v>
      </c>
      <c r="C9866" s="5" t="str">
        <f>IFERROR(__xludf.DUMMYFUNCTION("GOOGLETRANSLATE(B9866,""en"",""de"")"),"Als nächstes zeichnet eine Person auf einer Karte und endet mit einem Anker und Bildern von Menschen.")</f>
        <v>Als nächstes zeichnet eine Person auf einer Karte und endet mit einem Anker und Bildern von Menschen.</v>
      </c>
    </row>
    <row r="9867">
      <c r="A9867" s="4" t="s">
        <v>12405</v>
      </c>
      <c r="B9867" s="4" t="s">
        <v>12406</v>
      </c>
      <c r="C9867" s="5" t="str">
        <f>IFERROR(__xludf.DUMMYFUNCTION("GOOGLETRANSLATE(B9867,""en"",""de"")"),"Ein Team junger Cheerleader befindet sich in einem Fitnessstudio und macht Wurf und Flips.")</f>
        <v>Ein Team junger Cheerleader befindet sich in einem Fitnessstudio und macht Wurf und Flips.</v>
      </c>
    </row>
    <row r="9868">
      <c r="A9868" s="4" t="s">
        <v>12405</v>
      </c>
      <c r="B9868" s="4" t="s">
        <v>12407</v>
      </c>
      <c r="C9868" s="5" t="str">
        <f>IFERROR(__xludf.DUMMYFUNCTION("GOOGLETRANSLATE(B9868,""en"",""de"")"),"Der Besitzer kommt dann mit und beginnt zu sprechen, wenn das Video die Materialien übergeht, die jede Person benötigt.")</f>
        <v>Der Besitzer kommt dann mit und beginnt zu sprechen, wenn das Video die Materialien übergeht, die jede Person benötigt.</v>
      </c>
    </row>
    <row r="9869">
      <c r="A9869" s="4" t="s">
        <v>12405</v>
      </c>
      <c r="B9869" s="4" t="s">
        <v>12408</v>
      </c>
      <c r="C9869" s="5" t="str">
        <f>IFERROR(__xludf.DUMMYFUNCTION("GOOGLETRANSLATE(B9869,""en"",""de"")"),"Danach stehen drei Mädchen in einer Straddle -Position und beginnen mit der rechten Hand zur Seite zu klatschen und zu stürzen.")</f>
        <v>Danach stehen drei Mädchen in einer Straddle -Position und beginnen mit der rechten Hand zur Seite zu klatschen und zu stürzen.</v>
      </c>
    </row>
    <row r="9870">
      <c r="A9870" s="4" t="s">
        <v>12405</v>
      </c>
      <c r="B9870" s="4" t="s">
        <v>12409</v>
      </c>
      <c r="C9870" s="5" t="str">
        <f>IFERROR(__xludf.DUMMYFUNCTION("GOOGLETRANSLATE(B9870,""en"",""de"")"),"Die Mädchen machen weiterhin Jubel und wenn sie fertig sind, wird der Besitzer mit.")</f>
        <v>Die Mädchen machen weiterhin Jubel und wenn sie fertig sind, wird der Besitzer mit.</v>
      </c>
    </row>
    <row r="9871">
      <c r="A9871" s="4" t="s">
        <v>12405</v>
      </c>
      <c r="B9871" s="4" t="s">
        <v>12410</v>
      </c>
      <c r="C9871" s="5" t="str">
        <f>IFERROR(__xludf.DUMMYFUNCTION("GOOGLETRANSLATE(B9871,""en"",""de"")"),"Sobald der Trainer verschwunden ist, setzen die Mädchen den Jubel fort und das Video endet.")</f>
        <v>Sobald der Trainer verschwunden ist, setzen die Mädchen den Jubel fort und das Video endet.</v>
      </c>
    </row>
    <row r="9872">
      <c r="A9872" s="4" t="s">
        <v>12411</v>
      </c>
      <c r="B9872" s="4" t="s">
        <v>12412</v>
      </c>
      <c r="C9872" s="5" t="str">
        <f>IFERROR(__xludf.DUMMYFUNCTION("GOOGLETRANSLATE(B9872,""en"",""de"")"),"Das Video führt zu mehreren Aufnahmen verschiedener Menschen, die um Windsurfen fahren, während sie gegenseitig vorbeifahren.")</f>
        <v>Das Video führt zu mehreren Aufnahmen verschiedener Menschen, die um Windsurfen fahren, während sie gegenseitig vorbeifahren.</v>
      </c>
    </row>
    <row r="9873">
      <c r="A9873" s="4" t="s">
        <v>12411</v>
      </c>
      <c r="B9873" s="4" t="s">
        <v>12413</v>
      </c>
      <c r="C9873" s="5" t="str">
        <f>IFERROR(__xludf.DUMMYFUNCTION("GOOGLETRANSLATE(B9873,""en"",""de"")"),"Ein Mann spricht mit der Kamera und führt zu einem Schuss einer Person, die Wind surft und zur Kamera winkt.")</f>
        <v>Ein Mann spricht mit der Kamera und führt zu einem Schuss einer Person, die Wind surft und zur Kamera winkt.</v>
      </c>
    </row>
    <row r="9874">
      <c r="A9874" s="4" t="s">
        <v>12411</v>
      </c>
      <c r="B9874" s="4" t="s">
        <v>12414</v>
      </c>
      <c r="C9874" s="5" t="str">
        <f>IFERROR(__xludf.DUMMYFUNCTION("GOOGLETRANSLATE(B9874,""en"",""de"")"),"Es werden mehr Menschen gezeigt und winken zur Kamera, während sie sich kontinuierlich um den Ozean bewegen.")</f>
        <v>Es werden mehr Menschen gezeigt und winken zur Kamera, während sie sich kontinuierlich um den Ozean bewegen.</v>
      </c>
    </row>
    <row r="9875">
      <c r="A9875" s="4" t="s">
        <v>12415</v>
      </c>
      <c r="B9875" s="4" t="s">
        <v>12416</v>
      </c>
      <c r="C9875" s="5" t="str">
        <f>IFERROR(__xludf.DUMMYFUNCTION("GOOGLETRANSLATE(B9875,""en"",""de"")"),"Zwei Menschen stehen vor einer großen Menschenmenge, wobei einer jubelte und die Arme zurück und vierten schiebt.")</f>
        <v>Zwei Menschen stehen vor einer großen Menschenmenge, wobei einer jubelte und die Arme zurück und vierten schiebt.</v>
      </c>
    </row>
    <row r="9876">
      <c r="A9876" s="4" t="s">
        <v>12415</v>
      </c>
      <c r="B9876" s="4" t="s">
        <v>12417</v>
      </c>
      <c r="C9876" s="5" t="str">
        <f>IFERROR(__xludf.DUMMYFUNCTION("GOOGLETRANSLATE(B9876,""en"",""de"")"),"Die Männer werfen den Ball zurück und den vierten Platz und wechseln mit einem anderen die Stellen, die mit demselben Mann enden, der jubelte und einen anderen umarmt.")</f>
        <v>Die Männer werfen den Ball zurück und den vierten Platz und wechseln mit einem anderen die Stellen, die mit demselben Mann enden, der jubelte und einen anderen umarmt.</v>
      </c>
    </row>
    <row r="9877">
      <c r="A9877" s="4" t="s">
        <v>12418</v>
      </c>
      <c r="B9877" s="4" t="s">
        <v>12419</v>
      </c>
      <c r="C9877" s="5" t="str">
        <f>IFERROR(__xludf.DUMMYFUNCTION("GOOGLETRANSLATE(B9877,""en"",""de"")"),"Wir sehen eine Wiedergabetaste auf einem Bildschirm.")</f>
        <v>Wir sehen eine Wiedergabetaste auf einem Bildschirm.</v>
      </c>
    </row>
    <row r="9878">
      <c r="A9878" s="4" t="s">
        <v>12418</v>
      </c>
      <c r="B9878" s="4" t="s">
        <v>12420</v>
      </c>
      <c r="C9878" s="5" t="str">
        <f>IFERROR(__xludf.DUMMYFUNCTION("GOOGLETRANSLATE(B9878,""en"",""de"")"),"Wir sehen eine Dame, die ihre Beine mit einem rosa Rasiermesser rasiert.")</f>
        <v>Wir sehen eine Dame, die ihre Beine mit einem rosa Rasiermesser rasiert.</v>
      </c>
    </row>
    <row r="9879">
      <c r="A9879" s="4" t="s">
        <v>12418</v>
      </c>
      <c r="B9879" s="4" t="s">
        <v>12421</v>
      </c>
      <c r="C9879" s="5" t="str">
        <f>IFERROR(__xludf.DUMMYFUNCTION("GOOGLETRANSLATE(B9879,""en"",""de"")"),"Wir sehen dann die Schaltfläche ""Endschildfilmen"".")</f>
        <v>Wir sehen dann die Schaltfläche "Endschildfilmen".</v>
      </c>
    </row>
    <row r="9880">
      <c r="A9880" s="4" t="s">
        <v>12422</v>
      </c>
      <c r="B9880" s="4" t="s">
        <v>12423</v>
      </c>
      <c r="C9880" s="5" t="str">
        <f>IFERROR(__xludf.DUMMYFUNCTION("GOOGLETRANSLATE(B9880,""en"",""de"")"),"Auf der Seite sind auf der Seite mit stillenden Bildern und einem dunklen Hintergrund titelgebundenes Titel zu sehen.")</f>
        <v>Auf der Seite sind auf der Seite mit stillenden Bildern und einem dunklen Hintergrund titelgebundenes Titel zu sehen.</v>
      </c>
    </row>
    <row r="9881">
      <c r="A9881" s="4" t="s">
        <v>12422</v>
      </c>
      <c r="B9881" s="4" t="s">
        <v>12424</v>
      </c>
      <c r="C9881" s="5" t="str">
        <f>IFERROR(__xludf.DUMMYFUNCTION("GOOGLETRANSLATE(B9881,""en"",""de"")"),"Männer spielen ein Krocketspiel in einem grasbewachsenen Garten.")</f>
        <v>Männer spielen ein Krocketspiel in einem grasbewachsenen Garten.</v>
      </c>
    </row>
    <row r="9882">
      <c r="A9882" s="4" t="s">
        <v>12422</v>
      </c>
      <c r="B9882" s="4" t="s">
        <v>12425</v>
      </c>
      <c r="C9882" s="5" t="str">
        <f>IFERROR(__xludf.DUMMYFUNCTION("GOOGLETRANSLATE(B9882,""en"",""de"")"),"Männer kniet nieder und schlägt den Krocketball wie ein Billardschuss.")</f>
        <v>Männer kniet nieder und schlägt den Krocketball wie ein Billardschuss.</v>
      </c>
    </row>
    <row r="9883">
      <c r="A9883" s="4" t="s">
        <v>12422</v>
      </c>
      <c r="B9883" s="4" t="s">
        <v>12426</v>
      </c>
      <c r="C9883" s="5" t="str">
        <f>IFERROR(__xludf.DUMMYFUNCTION("GOOGLETRANSLATE(B9883,""en"",""de"")"),"Der Mann rennt seinen Stock, der feiert.")</f>
        <v>Der Mann rennt seinen Stock, der feiert.</v>
      </c>
    </row>
    <row r="9884">
      <c r="A9884" s="4" t="s">
        <v>12422</v>
      </c>
      <c r="B9884" s="4" t="s">
        <v>12427</v>
      </c>
      <c r="C9884" s="5" t="str">
        <f>IFERROR(__xludf.DUMMYFUNCTION("GOOGLETRANSLATE(B9884,""en"",""de"")"),"Ein Mann überspringt am Gras und lächelt seinen Stock.")</f>
        <v>Ein Mann überspringt am Gras und lächelt seinen Stock.</v>
      </c>
    </row>
    <row r="9885">
      <c r="A9885" s="4" t="s">
        <v>12428</v>
      </c>
      <c r="B9885" s="4" t="s">
        <v>12429</v>
      </c>
      <c r="C9885" s="5" t="str">
        <f>IFERROR(__xludf.DUMMYFUNCTION("GOOGLETRANSLATE(B9885,""en"",""de"")"),"Ein Mann spricht mit der Kamera und führt in ihn, der still in einem Pool sitzt.")</f>
        <v>Ein Mann spricht mit der Kamera und führt in ihn, der still in einem Pool sitzt.</v>
      </c>
    </row>
    <row r="9886">
      <c r="A9886" s="4" t="s">
        <v>12428</v>
      </c>
      <c r="B9886" s="4" t="s">
        <v>12430</v>
      </c>
      <c r="C9886" s="5" t="str">
        <f>IFERROR(__xludf.DUMMYFUNCTION("GOOGLETRANSLATE(B9886,""en"",""de"")"),"Der Mann beginnt dann mit anderen um den Pool zurück und viertens.")</f>
        <v>Der Mann beginnt dann mit anderen um den Pool zurück und viertens.</v>
      </c>
    </row>
    <row r="9887">
      <c r="A9887" s="4" t="s">
        <v>12428</v>
      </c>
      <c r="B9887" s="4" t="s">
        <v>12431</v>
      </c>
      <c r="C9887" s="5" t="str">
        <f>IFERROR(__xludf.DUMMYFUNCTION("GOOGLETRANSLATE(B9887,""en"",""de"")"),"Es werden mehrere Schüsse gezeigt, von denen er um Menschen schwimmt und sich im Wasser bewegen.")</f>
        <v>Es werden mehrere Schüsse gezeigt, von denen er um Menschen schwimmt und sich im Wasser bewegen.</v>
      </c>
    </row>
    <row r="9888">
      <c r="A9888" s="4" t="s">
        <v>12432</v>
      </c>
      <c r="B9888" s="4" t="s">
        <v>12433</v>
      </c>
      <c r="C9888" s="5" t="str">
        <f>IFERROR(__xludf.DUMMYFUNCTION("GOOGLETRANSLATE(B9888,""en"",""de"")"),"Zwei Frauen spielen Badminton auf einer Bühne.")</f>
        <v>Zwei Frauen spielen Badminton auf einer Bühne.</v>
      </c>
    </row>
    <row r="9889">
      <c r="A9889" s="4" t="s">
        <v>12432</v>
      </c>
      <c r="B9889" s="4" t="s">
        <v>12434</v>
      </c>
      <c r="C9889" s="5" t="str">
        <f>IFERROR(__xludf.DUMMYFUNCTION("GOOGLETRANSLATE(B9889,""en"",""de"")"),"Die Leute spielen das Spiel des Preises.")</f>
        <v>Die Leute spielen das Spiel des Preises.</v>
      </c>
    </row>
    <row r="9890">
      <c r="A9890" s="4" t="s">
        <v>12432</v>
      </c>
      <c r="B9890" s="4" t="s">
        <v>12435</v>
      </c>
      <c r="C9890" s="5" t="str">
        <f>IFERROR(__xludf.DUMMYFUNCTION("GOOGLETRANSLATE(B9890,""en"",""de"")"),"Eine Frau gewinnt und geht auf die Bühne, um den Gastgeber zu umarmen.")</f>
        <v>Eine Frau gewinnt und geht auf die Bühne, um den Gastgeber zu umarmen.</v>
      </c>
    </row>
    <row r="9891">
      <c r="A9891" s="4" t="s">
        <v>12436</v>
      </c>
      <c r="B9891" s="4" t="s">
        <v>12437</v>
      </c>
      <c r="C9891" s="5" t="str">
        <f>IFERROR(__xludf.DUMMYFUNCTION("GOOGLETRANSLATE(B9891,""en"",""de"")"),"Zwei Mädchen stehen auf einem Grasfeld.")</f>
        <v>Zwei Mädchen stehen auf einem Grasfeld.</v>
      </c>
    </row>
    <row r="9892">
      <c r="A9892" s="4" t="s">
        <v>12436</v>
      </c>
      <c r="B9892" s="4" t="s">
        <v>12438</v>
      </c>
      <c r="C9892" s="5" t="str">
        <f>IFERROR(__xludf.DUMMYFUNCTION("GOOGLETRANSLATE(B9892,""en"",""de"")"),"Eines der Mädchen beginnt mit Cheerleading Moves zu machen.")</f>
        <v>Eines der Mädchen beginnt mit Cheerleading Moves zu machen.</v>
      </c>
    </row>
    <row r="9893">
      <c r="A9893" s="4" t="s">
        <v>12436</v>
      </c>
      <c r="B9893" s="4" t="s">
        <v>12439</v>
      </c>
      <c r="C9893" s="5" t="str">
        <f>IFERROR(__xludf.DUMMYFUNCTION("GOOGLETRANSLATE(B9893,""en"",""de"")"),"Das andere Mädchen steht neben ihr Reden.")</f>
        <v>Das andere Mädchen steht neben ihr Reden.</v>
      </c>
    </row>
    <row r="9894">
      <c r="A9894" s="4" t="s">
        <v>12440</v>
      </c>
      <c r="B9894" s="4" t="s">
        <v>12441</v>
      </c>
      <c r="C9894" s="5" t="str">
        <f>IFERROR(__xludf.DUMMYFUNCTION("GOOGLETRANSLATE(B9894,""en"",""de"")"),"Ein Mann übt, Darts in sein Dart -Board zu werfen.")</f>
        <v>Ein Mann übt, Darts in sein Dart -Board zu werfen.</v>
      </c>
    </row>
    <row r="9895">
      <c r="A9895" s="4" t="s">
        <v>12440</v>
      </c>
      <c r="B9895" s="4" t="s">
        <v>12442</v>
      </c>
      <c r="C9895" s="5" t="str">
        <f>IFERROR(__xludf.DUMMYFUNCTION("GOOGLETRANSLATE(B9895,""en"",""de"")"),"Er wirft sie alle und muss dann hinübergehen, um sie alle auszuhalten.")</f>
        <v>Er wirft sie alle und muss dann hinübergehen, um sie alle auszuhalten.</v>
      </c>
    </row>
    <row r="9896">
      <c r="A9896" s="4" t="s">
        <v>12440</v>
      </c>
      <c r="B9896" s="4" t="s">
        <v>12443</v>
      </c>
      <c r="C9896" s="5" t="str">
        <f>IFERROR(__xludf.DUMMYFUNCTION("GOOGLETRANSLATE(B9896,""en"",""de"")"),"Sobald er sie alle hat, beginnt er sie wieder zu werfen.")</f>
        <v>Sobald er sie alle hat, beginnt er sie wieder zu werfen.</v>
      </c>
    </row>
    <row r="9897">
      <c r="A9897" s="4" t="s">
        <v>12440</v>
      </c>
      <c r="B9897" s="4" t="s">
        <v>12444</v>
      </c>
      <c r="C9897" s="5" t="str">
        <f>IFERROR(__xludf.DUMMYFUNCTION("GOOGLETRANSLATE(B9897,""en"",""de"")"),"Er wiederholt diesen Zyklus immer wieder.")</f>
        <v>Er wiederholt diesen Zyklus immer wieder.</v>
      </c>
    </row>
    <row r="9898">
      <c r="A9898" s="4" t="s">
        <v>12445</v>
      </c>
      <c r="B9898" s="4" t="s">
        <v>12446</v>
      </c>
      <c r="C9898" s="5" t="str">
        <f>IFERROR(__xludf.DUMMYFUNCTION("GOOGLETRANSLATE(B9898,""en"",""de"")"),"Ein Mann spricht drinnen, dann spricht eine Dame auf einem Feld, während Mädchen auf ihrer Seite rennen.")</f>
        <v>Ein Mann spricht drinnen, dann spricht eine Dame auf einem Feld, während Mädchen auf ihrer Seite rennen.</v>
      </c>
    </row>
    <row r="9899">
      <c r="A9899" s="4" t="s">
        <v>12445</v>
      </c>
      <c r="B9899" s="4" t="s">
        <v>12447</v>
      </c>
      <c r="C9899" s="5" t="str">
        <f>IFERROR(__xludf.DUMMYFUNCTION("GOOGLETRANSLATE(B9899,""en"",""de"")"),"Die Dame spricht mit Mädchen, die ein Spiel spielen, das mit einem Stock einen Ball schlägt.")</f>
        <v>Die Dame spricht mit Mädchen, die ein Spiel spielen, das mit einem Stock einen Ball schlägt.</v>
      </c>
    </row>
    <row r="9900">
      <c r="A9900" s="4" t="s">
        <v>12445</v>
      </c>
      <c r="B9900" s="4" t="s">
        <v>12448</v>
      </c>
      <c r="C9900" s="5" t="str">
        <f>IFERROR(__xludf.DUMMYFUNCTION("GOOGLETRANSLATE(B9900,""en"",""de"")"),"Mädchen wechseln sich ab, um zu sprechen, während andere Spieler üben, Bälle zum Tor zu schießen und die Stadt Baltimore, die Spieler der Raben und die Straßen der Stadt zu zeigen.")</f>
        <v>Mädchen wechseln sich ab, um zu sprechen, während andere Spieler üben, Bälle zum Tor zu schießen und die Stadt Baltimore, die Spieler der Raben und die Straßen der Stadt zu zeigen.</v>
      </c>
    </row>
    <row r="9901">
      <c r="A9901" s="4" t="s">
        <v>12449</v>
      </c>
      <c r="B9901" s="4" t="s">
        <v>12450</v>
      </c>
      <c r="C9901" s="5" t="str">
        <f>IFERROR(__xludf.DUMMYFUNCTION("GOOGLETRANSLATE(B9901,""en"",""de"")"),"Ein Junge wirbelt herum und bereitet sich darauf vor, eine Pinata zu brechen.")</f>
        <v>Ein Junge wirbelt herum und bereitet sich darauf vor, eine Pinata zu brechen.</v>
      </c>
    </row>
    <row r="9902">
      <c r="A9902" s="4" t="s">
        <v>12449</v>
      </c>
      <c r="B9902" s="4" t="s">
        <v>12451</v>
      </c>
      <c r="C9902" s="5" t="str">
        <f>IFERROR(__xludf.DUMMYFUNCTION("GOOGLETRANSLATE(B9902,""en"",""de"")"),"Stattdessen trifft er ein Mädchen ins Gesicht.")</f>
        <v>Stattdessen trifft er ein Mädchen ins Gesicht.</v>
      </c>
    </row>
    <row r="9903">
      <c r="A9903" s="4" t="s">
        <v>12452</v>
      </c>
      <c r="B9903" s="4" t="s">
        <v>12453</v>
      </c>
      <c r="C9903" s="5" t="str">
        <f>IFERROR(__xludf.DUMMYFUNCTION("GOOGLETRANSLATE(B9903,""en"",""de"")"),"Ein Mann überspringt Seil auf Fahrt, dann springt der Mann und überspringt Seil.")</f>
        <v>Ein Mann überspringt Seil auf Fahrt, dann springt der Mann und überspringt Seil.</v>
      </c>
    </row>
    <row r="9904">
      <c r="A9904" s="4" t="s">
        <v>12452</v>
      </c>
      <c r="B9904" s="4" t="s">
        <v>12454</v>
      </c>
      <c r="C9904" s="5" t="str">
        <f>IFERROR(__xludf.DUMMYFUNCTION("GOOGLETRANSLATE(B9904,""en"",""de"")"),"Danach hält der Mann das Seil an der linken Hand und überspringt während des Seils.")</f>
        <v>Danach hält der Mann das Seil an der linken Hand und überspringt während des Seils.</v>
      </c>
    </row>
    <row r="9905">
      <c r="A9905" s="4" t="s">
        <v>12452</v>
      </c>
      <c r="B9905" s="4" t="s">
        <v>12455</v>
      </c>
      <c r="C9905" s="5" t="str">
        <f>IFERROR(__xludf.DUMMYFUNCTION("GOOGLETRANSLATE(B9905,""en"",""de"")"),"Als nächstes wechselte der Mann wechselnder Seil und drehen Sie die Seilseite vorne.")</f>
        <v>Als nächstes wechselte der Mann wechselnder Seil und drehen Sie die Seilseite vorne.</v>
      </c>
    </row>
    <row r="9906">
      <c r="A9906" s="4" t="s">
        <v>12452</v>
      </c>
      <c r="B9906" s="4" t="s">
        <v>12456</v>
      </c>
      <c r="C9906" s="5" t="str">
        <f>IFERROR(__xludf.DUMMYFUNCTION("GOOGLETRANSLATE(B9906,""en"",""de"")"),"Auch der Mann springen Seilkreuzkreuz und Jumps Seil doppelt.")</f>
        <v>Auch der Mann springen Seilkreuzkreuz und Jumps Seil doppelt.</v>
      </c>
    </row>
    <row r="9907">
      <c r="A9907" s="4" t="s">
        <v>12452</v>
      </c>
      <c r="B9907" s="4" t="s">
        <v>12457</v>
      </c>
      <c r="C9907" s="5" t="str">
        <f>IFERROR(__xludf.DUMMYFUNCTION("GOOGLETRANSLATE(B9907,""en"",""de"")"),"Dann springt der Mann ein Seil und spricht und springt aus.")</f>
        <v>Dann springt der Mann ein Seil und spricht und springt aus.</v>
      </c>
    </row>
    <row r="9908">
      <c r="A9908" s="4" t="s">
        <v>12458</v>
      </c>
      <c r="B9908" s="4" t="s">
        <v>12459</v>
      </c>
      <c r="C9908" s="5" t="str">
        <f>IFERROR(__xludf.DUMMYFUNCTION("GOOGLETRANSLATE(B9908,""en"",""de"")"),"Ein Mann trägt schwarz -weiße Schwimmshorts, steht am Rand eines Tauchbretts, springt einige Male und springt dann aus dem Blick auf das Wasser.")</f>
        <v>Ein Mann trägt schwarz -weiße Schwimmshorts, steht am Rand eines Tauchbretts, springt einige Male und springt dann aus dem Blick auf das Wasser.</v>
      </c>
    </row>
    <row r="9909">
      <c r="A9909" s="4" t="s">
        <v>12458</v>
      </c>
      <c r="B9909" s="4" t="s">
        <v>12460</v>
      </c>
      <c r="C9909" s="5" t="str">
        <f>IFERROR(__xludf.DUMMYFUNCTION("GOOGLETRANSLATE(B9909,""en"",""de"")"),"Ein älterer hemdloser Mann, der schwarze Shorts trägt, beginnt auf demselben Brett des Mannes zu laufen, der zuvor gesprungen ist, aber dann aufhört.")</f>
        <v>Ein älterer hemdloser Mann, der schwarze Shorts trägt, beginnt auf demselben Brett des Mannes zu laufen, der zuvor gesprungen ist, aber dann aufhört.</v>
      </c>
    </row>
    <row r="9910">
      <c r="A9910" s="4" t="s">
        <v>12458</v>
      </c>
      <c r="B9910" s="4" t="s">
        <v>12461</v>
      </c>
      <c r="C9910" s="5" t="str">
        <f>IFERROR(__xludf.DUMMYFUNCTION("GOOGLETRANSLATE(B9910,""en"",""de"")"),"An einem kürzeren Brett, der ein Mann trägt, spricht ein paar Male zum Rand des Bretts, hält an, dreht sich um und geht zurück.")</f>
        <v>An einem kürzeren Brett, der ein Mann trägt, spricht ein paar Male zum Rand des Bretts, hält an, dreht sich um und geht zurück.</v>
      </c>
    </row>
    <row r="9911">
      <c r="A9911" s="4" t="s">
        <v>12458</v>
      </c>
      <c r="B9911" s="4" t="s">
        <v>12462</v>
      </c>
      <c r="C9911" s="5" t="str">
        <f>IFERROR(__xludf.DUMMYFUNCTION("GOOGLETRANSLATE(B9911,""en"",""de"")"),"Der Mann geht wieder zum Brettrand, springt ein paar Mal, dreht sich dann wieder um und geht zurück.")</f>
        <v>Der Mann geht wieder zum Brettrand, springt ein paar Mal, dreht sich dann wieder um und geht zurück.</v>
      </c>
    </row>
    <row r="9912">
      <c r="A9912" s="4" t="s">
        <v>12458</v>
      </c>
      <c r="B9912" s="4" t="s">
        <v>12463</v>
      </c>
      <c r="C9912" s="5" t="str">
        <f>IFERROR(__xludf.DUMMYFUNCTION("GOOGLETRANSLATE(B9912,""en"",""de"")"),"Der Mann versucht noch einmal und geht zum Rand des Tauchbretts und springt schließlich und macht ein paar Flips, bevor sie im Wasser landen, und schwimmt dann zum Rand des Pools.")</f>
        <v>Der Mann versucht noch einmal und geht zum Rand des Tauchbretts und springt schließlich und macht ein paar Flips, bevor sie im Wasser landen, und schwimmt dann zum Rand des Pools.</v>
      </c>
    </row>
    <row r="9913">
      <c r="A9913" s="4" t="s">
        <v>12464</v>
      </c>
      <c r="B9913" s="4" t="s">
        <v>12465</v>
      </c>
      <c r="C9913" s="5" t="str">
        <f>IFERROR(__xludf.DUMMYFUNCTION("GOOGLETRANSLATE(B9913,""en"",""de"")"),"Die Menschen stehen vor einem Tennisplatz.")</f>
        <v>Die Menschen stehen vor einem Tennisplatz.</v>
      </c>
    </row>
    <row r="9914">
      <c r="A9914" s="4" t="s">
        <v>12464</v>
      </c>
      <c r="B9914" s="4" t="s">
        <v>12466</v>
      </c>
      <c r="C9914" s="5" t="str">
        <f>IFERROR(__xludf.DUMMYFUNCTION("GOOGLETRANSLATE(B9914,""en"",""de"")"),"Sie spielen ein Tennisspiel.")</f>
        <v>Sie spielen ein Tennisspiel.</v>
      </c>
    </row>
    <row r="9915">
      <c r="A9915" s="4" t="s">
        <v>12464</v>
      </c>
      <c r="B9915" s="4" t="s">
        <v>12467</v>
      </c>
      <c r="C9915" s="5" t="str">
        <f>IFERROR(__xludf.DUMMYFUNCTION("GOOGLETRANSLATE(B9915,""en"",""de"")"),"Ein Mann in einem weißen Hemd trifft den Tennisball.")</f>
        <v>Ein Mann in einem weißen Hemd trifft den Tennisball.</v>
      </c>
    </row>
    <row r="9916">
      <c r="A9916" s="4" t="s">
        <v>12468</v>
      </c>
      <c r="B9916" s="4" t="s">
        <v>12469</v>
      </c>
      <c r="C9916" s="5" t="str">
        <f>IFERROR(__xludf.DUMMYFUNCTION("GOOGLETRANSLATE(B9916,""en"",""de"")"),"Es gibt viele Erwachsene im Raum (ältere oder junge Menschen) und alle sehen, wie dieses Mädchen die Klarinette spielt.")</f>
        <v>Es gibt viele Erwachsene im Raum (ältere oder junge Menschen) und alle sehen, wie dieses Mädchen die Klarinette spielt.</v>
      </c>
    </row>
    <row r="9917">
      <c r="A9917" s="4" t="s">
        <v>12468</v>
      </c>
      <c r="B9917" s="4" t="s">
        <v>12470</v>
      </c>
      <c r="C9917" s="5" t="str">
        <f>IFERROR(__xludf.DUMMYFUNCTION("GOOGLETRANSLATE(B9917,""en"",""de"")"),"Zuerst geht das Mädchen zur Vorderseite des Klassenzimmers, als sie ihre Klarinette hält und der Mann, der das Klavier spielt, von seinem Sitz aufsteht, um das Klavier zu spielen.")</f>
        <v>Zuerst geht das Mädchen zur Vorderseite des Klassenzimmers, als sie ihre Klarinette hält und der Mann, der das Klavier spielt, von seinem Sitz aufsteht, um das Klavier zu spielen.</v>
      </c>
    </row>
    <row r="9918">
      <c r="A9918" s="4" t="s">
        <v>12468</v>
      </c>
      <c r="B9918" s="4" t="s">
        <v>12471</v>
      </c>
      <c r="C9918" s="5" t="str">
        <f>IFERROR(__xludf.DUMMYFUNCTION("GOOGLETRANSLATE(B9918,""en"",""de"")"),"Dann beginnt er Klavier zu spielen und sie spielt zusammen mit dem Klavier die Klarinette, wenn sie fertig ist, klatschen alle für sie.")</f>
        <v>Dann beginnt er Klavier zu spielen und sie spielt zusammen mit dem Klavier die Klarinette, wenn sie fertig ist, klatschen alle für sie.</v>
      </c>
    </row>
    <row r="9919">
      <c r="A9919" s="4" t="s">
        <v>12472</v>
      </c>
      <c r="B9919" s="4" t="s">
        <v>12473</v>
      </c>
      <c r="C9919" s="5" t="str">
        <f>IFERROR(__xludf.DUMMYFUNCTION("GOOGLETRANSLATE(B9919,""en"",""de"")"),"Ein Mann macht sich bereit, ein Ereignis vorzuformieren.")</f>
        <v>Ein Mann macht sich bereit, ein Ereignis vorzuformieren.</v>
      </c>
    </row>
    <row r="9920">
      <c r="A9920" s="4" t="s">
        <v>12472</v>
      </c>
      <c r="B9920" s="4" t="s">
        <v>12474</v>
      </c>
      <c r="C9920" s="5" t="str">
        <f>IFERROR(__xludf.DUMMYFUNCTION("GOOGLETRANSLATE(B9920,""en"",""de"")"),"Er fängt an, schnell zu laufen.")</f>
        <v>Er fängt an, schnell zu laufen.</v>
      </c>
    </row>
    <row r="9921">
      <c r="A9921" s="4" t="s">
        <v>12472</v>
      </c>
      <c r="B9921" s="4" t="s">
        <v>12475</v>
      </c>
      <c r="C9921" s="5" t="str">
        <f>IFERROR(__xludf.DUMMYFUNCTION("GOOGLETRANSLATE(B9921,""en"",""de"")"),"Er rennt die Fahrspur hinunter und er springt dreimal in den Sand.")</f>
        <v>Er rennt die Fahrspur hinunter und er springt dreimal in den Sand.</v>
      </c>
    </row>
    <row r="9922">
      <c r="A9922" s="4" t="s">
        <v>12472</v>
      </c>
      <c r="B9922" s="4" t="s">
        <v>12476</v>
      </c>
      <c r="C9922" s="5" t="str">
        <f>IFERROR(__xludf.DUMMYFUNCTION("GOOGLETRANSLATE(B9922,""en"",""de"")"),"Er rennt glücklich aus der Grube.")</f>
        <v>Er rennt glücklich aus der Grube.</v>
      </c>
    </row>
    <row r="9923">
      <c r="A9923" s="4" t="s">
        <v>12472</v>
      </c>
      <c r="B9923" s="4" t="s">
        <v>12477</v>
      </c>
      <c r="C9923" s="5" t="str">
        <f>IFERROR(__xludf.DUMMYFUNCTION("GOOGLETRANSLATE(B9923,""en"",""de"")"),"Er spaziert weiter herum und jubelt, während es der Menge und den Ansagern schneidet.")</f>
        <v>Er spaziert weiter herum und jubelt, während es der Menge und den Ansagern schneidet.</v>
      </c>
    </row>
    <row r="9924">
      <c r="A9924" s="4" t="s">
        <v>12472</v>
      </c>
      <c r="B9924" s="4" t="s">
        <v>12478</v>
      </c>
      <c r="C9924" s="5" t="str">
        <f>IFERROR(__xludf.DUMMYFUNCTION("GOOGLETRANSLATE(B9924,""en"",""de"")"),"Er bläst der Menge einen Kuss.")</f>
        <v>Er bläst der Menge einen Kuss.</v>
      </c>
    </row>
    <row r="9925">
      <c r="A9925" s="4" t="s">
        <v>12472</v>
      </c>
      <c r="B9925" s="4" t="s">
        <v>12479</v>
      </c>
      <c r="C9925" s="5" t="str">
        <f>IFERROR(__xludf.DUMMYFUNCTION("GOOGLETRANSLATE(B9925,""en"",""de"")"),"Er geht und fängt an, Fans zu umarmen.")</f>
        <v>Er geht und fängt an, Fans zu umarmen.</v>
      </c>
    </row>
    <row r="9926">
      <c r="A9926" s="4" t="s">
        <v>12480</v>
      </c>
      <c r="B9926" s="4" t="s">
        <v>12481</v>
      </c>
      <c r="C9926" s="5" t="str">
        <f>IFERROR(__xludf.DUMMYFUNCTION("GOOGLETRANSLATE(B9926,""en"",""de"")"),"Autos fahren auf einer schneebedeckten Autobahn.")</f>
        <v>Autos fahren auf einer schneebedeckten Autobahn.</v>
      </c>
    </row>
    <row r="9927">
      <c r="A9927" s="4" t="s">
        <v>12480</v>
      </c>
      <c r="B9927" s="4" t="s">
        <v>12482</v>
      </c>
      <c r="C9927" s="5" t="str">
        <f>IFERROR(__xludf.DUMMYFUNCTION("GOOGLETRANSLATE(B9927,""en"",""de"")"),"Ein Schild für einen Sugar Mountain ist gezeigt und Peolpe praktiziert Snowboard.")</f>
        <v>Ein Schild für einen Sugar Mountain ist gezeigt und Peolpe praktiziert Snowboard.</v>
      </c>
    </row>
    <row r="9928">
      <c r="A9928" s="4" t="s">
        <v>12480</v>
      </c>
      <c r="B9928" s="4" t="s">
        <v>12483</v>
      </c>
      <c r="C9928" s="5" t="str">
        <f>IFERROR(__xludf.DUMMYFUNCTION("GOOGLETRANSLATE(B9928,""en"",""de"")"),"Die Menschen snowboarden einen schneebedeckten Hügel hinunter.")</f>
        <v>Die Menschen snowboarden einen schneebedeckten Hügel hinunter.</v>
      </c>
    </row>
    <row r="9929">
      <c r="A9929" s="4" t="s">
        <v>12480</v>
      </c>
      <c r="B9929" s="4" t="s">
        <v>12484</v>
      </c>
      <c r="C9929" s="5" t="str">
        <f>IFERROR(__xludf.DUMMYFUNCTION("GOOGLETRANSLATE(B9929,""en"",""de"")"),"Schneeautos fahren in Snowy Hill.")</f>
        <v>Schneeautos fahren in Snowy Hill.</v>
      </c>
    </row>
    <row r="9930">
      <c r="A9930" s="4" t="s">
        <v>12480</v>
      </c>
      <c r="B9930" s="4" t="s">
        <v>12485</v>
      </c>
      <c r="C9930" s="5" t="str">
        <f>IFERROR(__xludf.DUMMYFUNCTION("GOOGLETRANSLATE(B9930,""en"",""de"")"),"Männer snowboarden in einem Hügel.")</f>
        <v>Männer snowboarden in einem Hügel.</v>
      </c>
    </row>
    <row r="9931">
      <c r="A9931" s="4" t="s">
        <v>12486</v>
      </c>
      <c r="B9931" s="4" t="s">
        <v>12487</v>
      </c>
      <c r="C9931" s="5" t="str">
        <f>IFERROR(__xludf.DUMMYFUNCTION("GOOGLETRANSLATE(B9931,""en"",""de"")"),"Ein kleines Kind sitzt auf einem Stuhl vor einem Tisch mit einem großen Körper.")</f>
        <v>Ein kleines Kind sitzt auf einem Stuhl vor einem Tisch mit einem großen Körper.</v>
      </c>
    </row>
    <row r="9932">
      <c r="A9932" s="4" t="s">
        <v>12486</v>
      </c>
      <c r="B9932" s="4" t="s">
        <v>12488</v>
      </c>
      <c r="C9932" s="5" t="str">
        <f>IFERROR(__xludf.DUMMYFUNCTION("GOOGLETRANSLATE(B9932,""en"",""de"")"),"Die Hände werden dann eine Notiz schreiben und sich gegen das Gesicht reiben, während das Kind lacht und die Hände sich weiter bewegen.")</f>
        <v>Die Hände werden dann eine Notiz schreiben und sich gegen das Gesicht reiben, während das Kind lacht und die Hände sich weiter bewegen.</v>
      </c>
    </row>
    <row r="9933">
      <c r="A9933" s="4" t="s">
        <v>12489</v>
      </c>
      <c r="B9933" s="4" t="s">
        <v>12490</v>
      </c>
      <c r="C9933" s="5" t="str">
        <f>IFERROR(__xludf.DUMMYFUNCTION("GOOGLETRANSLATE(B9933,""en"",""de"")"),"Ein Mann schiebt eine Scheibe vor ein Hopscotch -Spiel.")</f>
        <v>Ein Mann schiebt eine Scheibe vor ein Hopscotch -Spiel.</v>
      </c>
    </row>
    <row r="9934">
      <c r="A9934" s="4" t="s">
        <v>12489</v>
      </c>
      <c r="B9934" s="4" t="s">
        <v>12491</v>
      </c>
      <c r="C9934" s="5" t="str">
        <f>IFERROR(__xludf.DUMMYFUNCTION("GOOGLETRANSLATE(B9934,""en"",""de"")"),"Eine andere Person schiebt eine Scheibe in Richtung Hopscotch.")</f>
        <v>Eine andere Person schiebt eine Scheibe in Richtung Hopscotch.</v>
      </c>
    </row>
    <row r="9935">
      <c r="A9935" s="4" t="s">
        <v>12489</v>
      </c>
      <c r="B9935" s="4" t="s">
        <v>12492</v>
      </c>
      <c r="C9935" s="5" t="str">
        <f>IFERROR(__xludf.DUMMYFUNCTION("GOOGLETRANSLATE(B9935,""en"",""de"")"),"Der erste Mann macht ein lustiges Gesicht.")</f>
        <v>Der erste Mann macht ein lustiges Gesicht.</v>
      </c>
    </row>
    <row r="9936">
      <c r="A9936" s="4" t="s">
        <v>12493</v>
      </c>
      <c r="B9936" s="4" t="s">
        <v>12494</v>
      </c>
      <c r="C9936" s="5" t="str">
        <f>IFERROR(__xludf.DUMMYFUNCTION("GOOGLETRANSLATE(B9936,""en"",""de"")"),"Ein einsamer Mann in einem Raum mit einem grünen Bildschirm Hintergrund führt eine Pause auf einem Stück Hartholzböden mit dem Rücken zum Drehen.")</f>
        <v>Ein einsamer Mann in einem Raum mit einem grünen Bildschirm Hintergrund führt eine Pause auf einem Stück Hartholzböden mit dem Rücken zum Drehen.</v>
      </c>
    </row>
    <row r="9937">
      <c r="A9937" s="4" t="s">
        <v>12493</v>
      </c>
      <c r="B9937" s="4" t="s">
        <v>12495</v>
      </c>
      <c r="C9937" s="5" t="str">
        <f>IFERROR(__xludf.DUMMYFUNCTION("GOOGLETRANSLATE(B9937,""en"",""de"")"),"Der Mann hört auf zu tanzen und steht vor der Kamera und redet damit, bevor er grundlegende Break -Tanzbewegungen demonstriert, einschließlich der Verwendung der Hände und Knie, um Spins vom Boden durchzuführen.")</f>
        <v>Der Mann hört auf zu tanzen und steht vor der Kamera und redet damit, bevor er grundlegende Break -Tanzbewegungen demonstriert, einschließlich der Verwendung der Hände und Knie, um Spins vom Boden durchzuführen.</v>
      </c>
    </row>
    <row r="9938">
      <c r="A9938" s="4" t="s">
        <v>12493</v>
      </c>
      <c r="B9938" s="4" t="s">
        <v>12496</v>
      </c>
      <c r="C9938" s="5" t="str">
        <f>IFERROR(__xludf.DUMMYFUNCTION("GOOGLETRANSLATE(B9938,""en"",""de"")"),"Der Mann demonstriert weiterhin Break -Tanzbewegungen und spricht mit der Kamera, bis er der Kamera ein Friedenszeichen gibt und der Bildschirm einer Marketinggrafik verblasst.")</f>
        <v>Der Mann demonstriert weiterhin Break -Tanzbewegungen und spricht mit der Kamera, bis er der Kamera ein Friedenszeichen gibt und der Bildschirm einer Marketinggrafik verblasst.</v>
      </c>
    </row>
    <row r="9939">
      <c r="A9939" s="4" t="s">
        <v>12497</v>
      </c>
      <c r="B9939" s="4" t="s">
        <v>12498</v>
      </c>
      <c r="C9939" s="5" t="str">
        <f>IFERROR(__xludf.DUMMYFUNCTION("GOOGLETRANSLATE(B9939,""en"",""de"")"),"Clips von Frauen und Männern sind in Innenräumen, während sich viele Menschen um sie herum bewegen oder einfach nur zuschauen, und ein Banner am unteren Rand lautet, dass es sich um ""Texas Elite Pole Voulation Competition Bell County Expo Center am 12 28"&amp;" 13"" befindet.")</f>
        <v>Clips von Frauen und Männern sind in Innenräumen, während sich viele Menschen um sie herum bewegen oder einfach nur zuschauen, und ein Banner am unteren Rand lautet, dass es sich um "Texas Elite Pole Voulation Competition Bell County Expo Center am 12 28 13" befindet.</v>
      </c>
    </row>
    <row r="9940">
      <c r="A9940" s="4" t="s">
        <v>12497</v>
      </c>
      <c r="B9940" s="4" t="s">
        <v>12499</v>
      </c>
      <c r="C9940" s="5" t="str">
        <f>IFERROR(__xludf.DUMMYFUNCTION("GOOGLETRANSLATE(B9940,""en"",""de"")"),"Da verschiedene Clips verschiedener Menschen Stangenviertel sind, stehen ein Mann und eine Frau im Innenbereich nebeneinander und sprechen mit den Worten am Ende des Bildschirms mit der Kamera mit der Kamera.")</f>
        <v>Da verschiedene Clips verschiedener Menschen Stangenviertel sind, stehen ein Mann und eine Frau im Innenbereich nebeneinander und sprechen mit den Worten am Ende des Bildschirms mit der Kamera mit der Kamera.</v>
      </c>
    </row>
    <row r="9941">
      <c r="A9941" s="4" t="s">
        <v>12497</v>
      </c>
      <c r="B9941" s="4" t="s">
        <v>12500</v>
      </c>
      <c r="C9941" s="5" t="str">
        <f>IFERROR(__xludf.DUMMYFUNCTION("GOOGLETRANSLATE(B9941,""en"",""de"")"),"Die Aussicht verwischt und weiße Worte auf dem Bildschirm erscheinen in der Mitte und sagen ""Killeen Daily Herald von Marianne Gish"".")</f>
        <v>Die Aussicht verwischt und weiße Worte auf dem Bildschirm erscheinen in der Mitte und sagen "Killeen Daily Herald von Marianne Gish".</v>
      </c>
    </row>
    <row r="9942">
      <c r="A9942" s="4" t="s">
        <v>12501</v>
      </c>
      <c r="B9942" s="4" t="s">
        <v>12502</v>
      </c>
      <c r="C9942" s="5" t="str">
        <f>IFERROR(__xludf.DUMMYFUNCTION("GOOGLETRANSLATE(B9942,""en"",""de"")"),"Ein Vorhang ist zu sehen, und ein Bauchtänzer geht auf die Bühne.")</f>
        <v>Ein Vorhang ist zu sehen, und ein Bauchtänzer geht auf die Bühne.</v>
      </c>
    </row>
    <row r="9943">
      <c r="A9943" s="4" t="s">
        <v>12501</v>
      </c>
      <c r="B9943" s="4" t="s">
        <v>12503</v>
      </c>
      <c r="C9943" s="5" t="str">
        <f>IFERROR(__xludf.DUMMYFUNCTION("GOOGLETRANSLATE(B9943,""en"",""de"")"),"Sie tritt für das Publikum auf, schüttelt ihre Hüften und saugt ihren Bauch hinein und aus.")</f>
        <v>Sie tritt für das Publikum auf, schüttelt ihre Hüften und saugt ihren Bauch hinein und aus.</v>
      </c>
    </row>
    <row r="9944">
      <c r="A9944" s="4" t="s">
        <v>12501</v>
      </c>
      <c r="B9944" s="4" t="s">
        <v>12504</v>
      </c>
      <c r="C9944" s="5" t="str">
        <f>IFERROR(__xludf.DUMMYFUNCTION("GOOGLETRANSLATE(B9944,""en"",""de"")"),"Als sie fertig ist, wirft sie ihre Arme in die Luft und der Bildschirm wird schwarz.")</f>
        <v>Als sie fertig ist, wirft sie ihre Arme in die Luft und der Bildschirm wird schwarz.</v>
      </c>
    </row>
    <row r="9945">
      <c r="A9945" s="4" t="s">
        <v>12505</v>
      </c>
      <c r="B9945" s="4" t="s">
        <v>12506</v>
      </c>
      <c r="C9945" s="5" t="str">
        <f>IFERROR(__xludf.DUMMYFUNCTION("GOOGLETRANSLATE(B9945,""en"",""de"")"),"Ein sportlicher Mann steht in einem Kreis, der sich herumdreht und ein Objekt in die Ferne bringt.")</f>
        <v>Ein sportlicher Mann steht in einem Kreis, der sich herumdreht und ein Objekt in die Ferne bringt.</v>
      </c>
    </row>
    <row r="9946">
      <c r="A9946" s="4" t="s">
        <v>12505</v>
      </c>
      <c r="B9946" s="4" t="s">
        <v>12507</v>
      </c>
      <c r="C9946" s="5" t="str">
        <f>IFERROR(__xludf.DUMMYFUNCTION("GOOGLETRANSLATE(B9946,""en"",""de"")"),"Weitere Leute werden gesehen, wie sie das Objekt aufstiegen, während die Kamera zusucht.")</f>
        <v>Weitere Leute werden gesehen, wie sie das Objekt aufstiegen, während die Kamera zusucht.</v>
      </c>
    </row>
    <row r="9947">
      <c r="A9947" s="4" t="s">
        <v>12505</v>
      </c>
      <c r="B9947" s="4" t="s">
        <v>12508</v>
      </c>
      <c r="C9947" s="5" t="str">
        <f>IFERROR(__xludf.DUMMYFUNCTION("GOOGLETRANSLATE(B9947,""en"",""de"")"),"Mehrere Leute sehen am Rande.")</f>
        <v>Mehrere Leute sehen am Rande.</v>
      </c>
    </row>
    <row r="9948">
      <c r="A9948" s="4" t="s">
        <v>12509</v>
      </c>
      <c r="B9948" s="4" t="s">
        <v>12510</v>
      </c>
      <c r="C9948" s="5" t="str">
        <f>IFERROR(__xludf.DUMMYFUNCTION("GOOGLETRANSLATE(B9948,""en"",""de"")"),"Ein Mann legt an jedem Ende Klebeband auf einen Skier und beginnt, Wachs auf dem Ski zu reiben.")</f>
        <v>Ein Mann legt an jedem Ende Klebeband auf einen Skier und beginnt, Wachs auf dem Ski zu reiben.</v>
      </c>
    </row>
    <row r="9949">
      <c r="A9949" s="4" t="s">
        <v>12509</v>
      </c>
      <c r="B9949" s="4" t="s">
        <v>12511</v>
      </c>
      <c r="C9949" s="5" t="str">
        <f>IFERROR(__xludf.DUMMYFUNCTION("GOOGLETRANSLATE(B9949,""en"",""de"")"),"Der Mann nimmt dann einen Schleifer und läuft ihn über die Länge des Ski.")</f>
        <v>Der Mann nimmt dann einen Schleifer und läuft ihn über die Länge des Ski.</v>
      </c>
    </row>
    <row r="9950">
      <c r="A9950" s="4" t="s">
        <v>12509</v>
      </c>
      <c r="B9950" s="4" t="s">
        <v>12512</v>
      </c>
      <c r="C9950" s="5" t="str">
        <f>IFERROR(__xludf.DUMMYFUNCTION("GOOGLETRANSLATE(B9950,""en"",""de"")"),"Der Mann nimmt dann ein Brett und reibt es entlang des Ski und endet, indem er es auszieht.")</f>
        <v>Der Mann nimmt dann ein Brett und reibt es entlang des Ski und endet, indem er es auszieht.</v>
      </c>
    </row>
    <row r="9951">
      <c r="A9951" s="4" t="s">
        <v>12513</v>
      </c>
      <c r="B9951" s="4" t="s">
        <v>12514</v>
      </c>
      <c r="C9951" s="5" t="str">
        <f>IFERROR(__xludf.DUMMYFUNCTION("GOOGLETRANSLATE(B9951,""en"",""de"")"),"Ein großer Strand wird ebenso gezeigt wie Menschen am Strand herum und schauen in den Himmel.")</f>
        <v>Ein großer Strand wird ebenso gezeigt wie Menschen am Strand herum und schauen in den Himmel.</v>
      </c>
    </row>
    <row r="9952">
      <c r="A9952" s="4" t="s">
        <v>12513</v>
      </c>
      <c r="B9952" s="4" t="s">
        <v>12515</v>
      </c>
      <c r="C9952" s="5" t="str">
        <f>IFERROR(__xludf.DUMMYFUNCTION("GOOGLETRANSLATE(B9952,""en"",""de"")"),"Die Leute sind gesehen, wie sie Drachen in der Luft fliegen, während sich die Leute umsehen und zuschauen.")</f>
        <v>Die Leute sind gesehen, wie sie Drachen in der Luft fliegen, während sich die Leute umsehen und zuschauen.</v>
      </c>
    </row>
    <row r="9953">
      <c r="A9953" s="4" t="s">
        <v>12513</v>
      </c>
      <c r="B9953" s="4" t="s">
        <v>12516</v>
      </c>
      <c r="C9953" s="5" t="str">
        <f>IFERROR(__xludf.DUMMYFUNCTION("GOOGLETRANSLATE(B9953,""en"",""de"")"),"Weitere Menschen werden gesehen, wie sie Drachen in die Luft fliegen, und einige packten sie vom Boden.")</f>
        <v>Weitere Menschen werden gesehen, wie sie Drachen in die Luft fliegen, und einige packten sie vom Boden.</v>
      </c>
    </row>
    <row r="9954">
      <c r="A9954" s="4" t="s">
        <v>12517</v>
      </c>
      <c r="B9954" s="4" t="s">
        <v>12518</v>
      </c>
      <c r="C9954" s="5" t="str">
        <f>IFERROR(__xludf.DUMMYFUNCTION("GOOGLETRANSLATE(B9954,""en"",""de"")"),"Ein Mann in einem schwarzen nassen Anzug und mit einem Surfbrett spricht mit dem Kameramann, um ins Wasser zu gelangen.")</f>
        <v>Ein Mann in einem schwarzen nassen Anzug und mit einem Surfbrett spricht mit dem Kameramann, um ins Wasser zu gelangen.</v>
      </c>
    </row>
    <row r="9955">
      <c r="A9955" s="4" t="s">
        <v>12517</v>
      </c>
      <c r="B9955" s="4" t="s">
        <v>12519</v>
      </c>
      <c r="C9955" s="5" t="str">
        <f>IFERROR(__xludf.DUMMYFUNCTION("GOOGLETRANSLATE(B9955,""en"",""de"")"),"Dramatische Musik spielt und zeigt verschiedene Clips von Surfern im Wasser und reitet Wellen.")</f>
        <v>Dramatische Musik spielt und zeigt verschiedene Clips von Surfern im Wasser und reitet Wellen.</v>
      </c>
    </row>
    <row r="9956">
      <c r="A9956" s="4" t="s">
        <v>12517</v>
      </c>
      <c r="B9956" s="4" t="s">
        <v>12520</v>
      </c>
      <c r="C9956" s="5" t="str">
        <f>IFERROR(__xludf.DUMMYFUNCTION("GOOGLETRANSLATE(B9956,""en"",""de"")"),"Das Video endet, als der Mann im schwarzen nassen Anzug nach einer Welle und dem Lächeln an Land kommt.")</f>
        <v>Das Video endet, als der Mann im schwarzen nassen Anzug nach einer Welle und dem Lächeln an Land kommt.</v>
      </c>
    </row>
    <row r="9957">
      <c r="A9957" s="4" t="s">
        <v>12521</v>
      </c>
      <c r="B9957" s="4" t="s">
        <v>12522</v>
      </c>
      <c r="C9957" s="5" t="str">
        <f>IFERROR(__xludf.DUMMYFUNCTION("GOOGLETRANSLATE(B9957,""en"",""de"")"),"Ein Mann geht in den Rahmen und spricht mit der Kamera, während er einen Rasierer und Rasierer in seinen Händen hält.")</f>
        <v>Ein Mann geht in den Rahmen und spricht mit der Kamera, während er einen Rasierer und Rasierer in seinen Händen hält.</v>
      </c>
    </row>
    <row r="9958">
      <c r="A9958" s="4" t="s">
        <v>12521</v>
      </c>
      <c r="B9958" s="4" t="s">
        <v>12523</v>
      </c>
      <c r="C9958" s="5" t="str">
        <f>IFERROR(__xludf.DUMMYFUNCTION("GOOGLETRANSLATE(B9958,""en"",""de"")"),"Eine Szene erscheint über dem Video des Mannes und er wird gesehen, wie er Creme auf seinem Gesicht reist und die Haare abrasert.")</f>
        <v>Eine Szene erscheint über dem Video des Mannes und er wird gesehen, wie er Creme auf seinem Gesicht reist und die Haare abrasert.</v>
      </c>
    </row>
    <row r="9959">
      <c r="A9959" s="4" t="s">
        <v>12521</v>
      </c>
      <c r="B9959" s="4" t="s">
        <v>12524</v>
      </c>
      <c r="C9959" s="5" t="str">
        <f>IFERROR(__xludf.DUMMYFUNCTION("GOOGLETRANSLATE(B9959,""en"",""de"")"),"Er hinterlässt ein bisschen Haare am Kinn und spricht wieder mit der Kamera und geht weg.")</f>
        <v>Er hinterlässt ein bisschen Haare am Kinn und spricht wieder mit der Kamera und geht weg.</v>
      </c>
    </row>
    <row r="9960">
      <c r="A9960" s="4" t="s">
        <v>12525</v>
      </c>
      <c r="B9960" s="4" t="s">
        <v>12526</v>
      </c>
      <c r="C9960" s="5" t="str">
        <f>IFERROR(__xludf.DUMMYFUNCTION("GOOGLETRANSLATE(B9960,""en"",""de"")"),"Verschiedene Personen werden in einem Workshop gezeigt, der funktioniert, während sie Objekte, Fahrmaschinen, Arbeitsmaschinen und etcetera drücken.")</f>
        <v>Verschiedene Personen werden in einem Workshop gezeigt, der funktioniert, während sie Objekte, Fahrmaschinen, Arbeitsmaschinen und etcetera drücken.</v>
      </c>
    </row>
    <row r="9961">
      <c r="A9961" s="4" t="s">
        <v>12525</v>
      </c>
      <c r="B9961" s="4" t="s">
        <v>12527</v>
      </c>
      <c r="C9961" s="5" t="str">
        <f>IFERROR(__xludf.DUMMYFUNCTION("GOOGLETRANSLATE(B9961,""en"",""de"")"),"Es wird gezeigt, dass eine Frau ein langes Metallstück in eine große Maschinerie steckt, und das Wörter ""Das heutige Thema: Schweißen"" erscheint auf dem Bildschirm, gefolgt von einer Person, die eine Maske und Schweißen mit einer Fackel trägt.")</f>
        <v>Es wird gezeigt, dass eine Frau ein langes Metallstück in eine große Maschinerie steckt, und das Wörter "Das heutige Thema: Schweißen" erscheint auf dem Bildschirm, gefolgt von einer Person, die eine Maske und Schweißen mit einer Fackel trägt.</v>
      </c>
    </row>
    <row r="9962">
      <c r="A9962" s="4" t="s">
        <v>12525</v>
      </c>
      <c r="B9962" s="4" t="s">
        <v>12528</v>
      </c>
      <c r="C9962" s="5" t="str">
        <f>IFERROR(__xludf.DUMMYFUNCTION("GOOGLETRANSLATE(B9962,""en"",""de"")"),"Eine Frau steht jetzt an einer Maschine und sie greift verschiedene Metallgegenstände und setzt sie in eine Maschine, die sie zusammenschweißt.")</f>
        <v>Eine Frau steht jetzt an einer Maschine und sie greift verschiedene Metallgegenstände und setzt sie in eine Maschine, die sie zusammenschweißt.</v>
      </c>
    </row>
    <row r="9963">
      <c r="A9963" s="4" t="s">
        <v>12525</v>
      </c>
      <c r="B9963" s="4" t="s">
        <v>12529</v>
      </c>
      <c r="C9963" s="5" t="str">
        <f>IFERROR(__xludf.DUMMYFUNCTION("GOOGLETRANSLATE(B9963,""en"",""de"")"),"Das Outro erscheint und es ist ein weißer Bildschirm mit einem roten und blauen Logo, einer Website und einem Hashtag -Informationen.")</f>
        <v>Das Outro erscheint und es ist ein weißer Bildschirm mit einem roten und blauen Logo, einer Website und einem Hashtag -Informationen.</v>
      </c>
    </row>
    <row r="9964">
      <c r="A9964" s="4" t="s">
        <v>12530</v>
      </c>
      <c r="B9964" s="4" t="s">
        <v>12531</v>
      </c>
      <c r="C9964" s="5" t="str">
        <f>IFERROR(__xludf.DUMMYFUNCTION("GOOGLETRANSLATE(B9964,""en"",""de"")"),"Eine große Band geht eine Parade hinunter und es gibt viele Leute, die nebeneinander gehen und am Rande stehen und Fotos und Videos machen.")</f>
        <v>Eine große Band geht eine Parade hinunter und es gibt viele Leute, die nebeneinander gehen und am Rande stehen und Fotos und Videos machen.</v>
      </c>
    </row>
    <row r="9965">
      <c r="A9965" s="4" t="s">
        <v>12530</v>
      </c>
      <c r="B9965" s="4" t="s">
        <v>12532</v>
      </c>
      <c r="C9965" s="5" t="str">
        <f>IFERROR(__xludf.DUMMYFUNCTION("GOOGLETRANSLATE(B9965,""en"",""de"")"),"Die Ansicht ändert sich bei Frauen, die Fahnen auf einer Stange tragen und schwingen, und wechselt dann zurück in die große Band, die zum Stillstand kommt und weiterhin für die Menge spielt.")</f>
        <v>Die Ansicht ändert sich bei Frauen, die Fahnen auf einer Stange tragen und schwingen, und wechselt dann zurück in die große Band, die zum Stillstand kommt und weiterhin für die Menge spielt.</v>
      </c>
    </row>
    <row r="9966">
      <c r="A9966" s="4" t="s">
        <v>12530</v>
      </c>
      <c r="B9966" s="4" t="s">
        <v>12533</v>
      </c>
      <c r="C9966" s="5" t="str">
        <f>IFERROR(__xludf.DUMMYFUNCTION("GOOGLETRANSLATE(B9966,""en"",""de"")"),"Die Band wird auf dem Laufenden und das Publikum und die Menge um und hinter ihnen.")</f>
        <v>Die Band wird auf dem Laufenden und das Publikum und die Menge um und hinter ihnen.</v>
      </c>
    </row>
    <row r="9967">
      <c r="A9967" s="4" t="s">
        <v>12534</v>
      </c>
      <c r="B9967" s="4" t="s">
        <v>12535</v>
      </c>
      <c r="C9967" s="5" t="str">
        <f>IFERROR(__xludf.DUMMYFUNCTION("GOOGLETRANSLATE(B9967,""en"",""de"")"),"Ein Mann sitzt in einem Raum vor einer Flagge.")</f>
        <v>Ein Mann sitzt in einem Raum vor einer Flagge.</v>
      </c>
    </row>
    <row r="9968">
      <c r="A9968" s="4" t="s">
        <v>12534</v>
      </c>
      <c r="B9968" s="4" t="s">
        <v>12536</v>
      </c>
      <c r="C9968" s="5" t="str">
        <f>IFERROR(__xludf.DUMMYFUNCTION("GOOGLETRANSLATE(B9968,""en"",""de"")"),"Er spielt ein schwarzes Windinstrument.")</f>
        <v>Er spielt ein schwarzes Windinstrument.</v>
      </c>
    </row>
    <row r="9969">
      <c r="A9969" s="4" t="s">
        <v>12534</v>
      </c>
      <c r="B9969" s="4" t="s">
        <v>12537</v>
      </c>
      <c r="C9969" s="5" t="str">
        <f>IFERROR(__xludf.DUMMYFUNCTION("GOOGLETRANSLATE(B9969,""en"",""de"")"),"Seine Finger positionieren über die Löcher.")</f>
        <v>Seine Finger positionieren über die Löcher.</v>
      </c>
    </row>
    <row r="9970">
      <c r="A9970" s="4" t="s">
        <v>12534</v>
      </c>
      <c r="B9970" s="4" t="s">
        <v>12538</v>
      </c>
      <c r="C9970" s="5" t="str">
        <f>IFERROR(__xludf.DUMMYFUNCTION("GOOGLETRANSLATE(B9970,""en"",""de"")"),"Er trägt eine Sonnenbrille, während er spielt.")</f>
        <v>Er trägt eine Sonnenbrille, während er spielt.</v>
      </c>
    </row>
    <row r="9971">
      <c r="A9971" s="4" t="s">
        <v>12539</v>
      </c>
      <c r="B9971" s="4" t="s">
        <v>12540</v>
      </c>
      <c r="C9971" s="5" t="str">
        <f>IFERROR(__xludf.DUMMYFUNCTION("GOOGLETRANSLATE(B9971,""en"",""de"")"),"Die Menschen sind auf der Tribüne einer Arena.")</f>
        <v>Die Menschen sind auf der Tribüne einer Arena.</v>
      </c>
    </row>
    <row r="9972">
      <c r="A9972" s="4" t="s">
        <v>12539</v>
      </c>
      <c r="B9972" s="4" t="s">
        <v>12541</v>
      </c>
      <c r="C9972" s="5" t="str">
        <f>IFERROR(__xludf.DUMMYFUNCTION("GOOGLETRANSLATE(B9972,""en"",""de"")"),"Ein Stier bekommt Drogen aus der Arena von Pferden.")</f>
        <v>Ein Stier bekommt Drogen aus der Arena von Pferden.</v>
      </c>
    </row>
    <row r="9973">
      <c r="A9973" s="4" t="s">
        <v>12539</v>
      </c>
      <c r="B9973" s="4" t="s">
        <v>12542</v>
      </c>
      <c r="C9973" s="5" t="str">
        <f>IFERROR(__xludf.DUMMYFUNCTION("GOOGLETRANSLATE(B9973,""en"",""de"")"),"Eine Frau spricht mit der Kamera.")</f>
        <v>Eine Frau spricht mit der Kamera.</v>
      </c>
    </row>
    <row r="9974">
      <c r="A9974" s="4" t="s">
        <v>12543</v>
      </c>
      <c r="B9974" s="4" t="s">
        <v>12544</v>
      </c>
      <c r="C9974" s="5" t="str">
        <f>IFERROR(__xludf.DUMMYFUNCTION("GOOGLETRANSLATE(B9974,""en"",""de"")"),"Eine Gruppe junger asiatischer Männer ist drinnen mit vielen Zuschauern auf den Tribünen, die Schilder halten und sie anfeuern.")</f>
        <v>Eine Gruppe junger asiatischer Männer ist drinnen mit vielen Zuschauern auf den Tribünen, die Schilder halten und sie anfeuern.</v>
      </c>
    </row>
    <row r="9975">
      <c r="A9975" s="4" t="s">
        <v>12543</v>
      </c>
      <c r="B9975" s="4" t="s">
        <v>12545</v>
      </c>
      <c r="C9975" s="5" t="str">
        <f>IFERROR(__xludf.DUMMYFUNCTION("GOOGLETRANSLATE(B9975,""en"",""de"")"),"Zwei junge asiatische Männer stehen mit ihren Bogen und Pfeilen auf und sie wechseln sich abwechselnd auf ihr Bullen -Eye -Ziel ab, während die Menge sie nach jedem Schuss anfeuert, und gelegentlich werden 3 geeignete Menschen gezeigt, wie sie Kommentare "&amp;"abgeben.")</f>
        <v>Zwei junge asiatische Männer stehen mit ihren Bogen und Pfeilen auf und sie wechseln sich abwechselnd auf ihr Bullen -Eye -Ziel ab, während die Menge sie nach jedem Schuss anfeuert, und gelegentlich werden 3 geeignete Menschen gezeigt, wie sie Kommentare abgeben.</v>
      </c>
    </row>
    <row r="9976">
      <c r="A9976" s="4" t="s">
        <v>12543</v>
      </c>
      <c r="B9976" s="4" t="s">
        <v>12546</v>
      </c>
      <c r="C9976" s="5" t="str">
        <f>IFERROR(__xludf.DUMMYFUNCTION("GOOGLETRANSLATE(B9976,""en"",""de"")"),"Wenn die Männer fertig mit dem Ziel geschossen werden, schütteln sie sich im Sieg ihren Arm, schütteln sich gegenseitig die Hände, umarmen sich, schleudern und winken vor der jubelnden Menge.")</f>
        <v>Wenn die Männer fertig mit dem Ziel geschossen werden, schütteln sie sich im Sieg ihren Arm, schütteln sich gegenseitig die Hände, umarmen sich, schleudern und winken vor der jubelnden Menge.</v>
      </c>
    </row>
    <row r="9977">
      <c r="A9977" s="4" t="s">
        <v>12547</v>
      </c>
      <c r="B9977" s="4" t="s">
        <v>12548</v>
      </c>
      <c r="C9977" s="5" t="str">
        <f>IFERROR(__xludf.DUMMYFUNCTION("GOOGLETRANSLATE(B9977,""en"",""de"")"),"Eine Frau ist in einem Zimmer mit Stühlen.")</f>
        <v>Eine Frau ist in einem Zimmer mit Stühlen.</v>
      </c>
    </row>
    <row r="9978">
      <c r="A9978" s="4" t="s">
        <v>12547</v>
      </c>
      <c r="B9978" s="4" t="s">
        <v>12549</v>
      </c>
      <c r="C9978" s="5" t="str">
        <f>IFERROR(__xludf.DUMMYFUNCTION("GOOGLETRANSLATE(B9978,""en"",""de"")"),"Sie spielt die Geige.")</f>
        <v>Sie spielt die Geige.</v>
      </c>
    </row>
    <row r="9979">
      <c r="A9979" s="4" t="s">
        <v>12547</v>
      </c>
      <c r="B9979" s="4" t="s">
        <v>12550</v>
      </c>
      <c r="C9979" s="5" t="str">
        <f>IFERROR(__xludf.DUMMYFUNCTION("GOOGLETRANSLATE(B9979,""en"",""de"")"),"Zwei Männer spielen mit ihr Schlagzeug.")</f>
        <v>Zwei Männer spielen mit ihr Schlagzeug.</v>
      </c>
    </row>
    <row r="9980">
      <c r="A9980" s="4" t="s">
        <v>12547</v>
      </c>
      <c r="B9980" s="4" t="s">
        <v>12551</v>
      </c>
      <c r="C9980" s="5" t="str">
        <f>IFERROR(__xludf.DUMMYFUNCTION("GOOGLETRANSLATE(B9980,""en"",""de"")"),"Die Kamera schwenkt zwischen ihnen.")</f>
        <v>Die Kamera schwenkt zwischen ihnen.</v>
      </c>
    </row>
    <row r="9981">
      <c r="A9981" s="4" t="s">
        <v>12552</v>
      </c>
      <c r="B9981" s="4" t="s">
        <v>12553</v>
      </c>
      <c r="C9981" s="5" t="str">
        <f>IFERROR(__xludf.DUMMYFUNCTION("GOOGLETRANSLATE(B9981,""en"",""de"")"),"Ein Mann wirft Darts in ein Dartbrett.")</f>
        <v>Ein Mann wirft Darts in ein Dartbrett.</v>
      </c>
    </row>
    <row r="9982">
      <c r="A9982" s="4" t="s">
        <v>12552</v>
      </c>
      <c r="B9982" s="4" t="s">
        <v>12554</v>
      </c>
      <c r="C9982" s="5" t="str">
        <f>IFERROR(__xludf.DUMMYFUNCTION("GOOGLETRANSLATE(B9982,""en"",""de"")"),"Er wirft einen und schafft es in die Mitte des Bretts.")</f>
        <v>Er wirft einen und schafft es in die Mitte des Bretts.</v>
      </c>
    </row>
    <row r="9983">
      <c r="A9983" s="4" t="s">
        <v>12552</v>
      </c>
      <c r="B9983" s="4" t="s">
        <v>12555</v>
      </c>
      <c r="C9983" s="5" t="str">
        <f>IFERROR(__xludf.DUMMYFUNCTION("GOOGLETRANSLATE(B9983,""en"",""de"")"),"Er wirft erneut und schafft es auch in die Mitte.")</f>
        <v>Er wirft erneut und schafft es auch in die Mitte.</v>
      </c>
    </row>
    <row r="9984">
      <c r="A9984" s="4" t="s">
        <v>12552</v>
      </c>
      <c r="B9984" s="4" t="s">
        <v>12556</v>
      </c>
      <c r="C9984" s="5" t="str">
        <f>IFERROR(__xludf.DUMMYFUNCTION("GOOGLETRANSLATE(B9984,""en"",""de"")"),"Jede einzelne Aufnahme macht es direkt in der Mitte des Bretts.")</f>
        <v>Jede einzelne Aufnahme macht es direkt in der Mitte des Bretts.</v>
      </c>
    </row>
    <row r="9985">
      <c r="A9985" s="4" t="s">
        <v>12557</v>
      </c>
      <c r="B9985" s="4" t="s">
        <v>12558</v>
      </c>
      <c r="C9985" s="5" t="str">
        <f>IFERROR(__xludf.DUMMYFUNCTION("GOOGLETRANSLATE(B9985,""en"",""de"")"),"Zwei Männer sitzen zusammen am Stand und treten in einem Arm -Wrestling -Match an.")</f>
        <v>Zwei Männer sitzen zusammen am Stand und treten in einem Arm -Wrestling -Match an.</v>
      </c>
    </row>
    <row r="9986">
      <c r="A9986" s="4" t="s">
        <v>12557</v>
      </c>
      <c r="B9986" s="4" t="s">
        <v>12559</v>
      </c>
      <c r="C9986" s="5" t="str">
        <f>IFERROR(__xludf.DUMMYFUNCTION("GOOGLETRANSLATE(B9986,""en"",""de"")"),"Die Freunde versammelten sich herum und beobachteten nach dem Match Herausforderungen mit den Armwrestlern.")</f>
        <v>Die Freunde versammelten sich herum und beobachteten nach dem Match Herausforderungen mit den Armwrestlern.</v>
      </c>
    </row>
    <row r="9987">
      <c r="A9987" s="4" t="s">
        <v>12557</v>
      </c>
      <c r="B9987" s="4" t="s">
        <v>12560</v>
      </c>
      <c r="C9987" s="5" t="str">
        <f>IFERROR(__xludf.DUMMYFUNCTION("GOOGLETRANSLATE(B9987,""en"",""de"")"),"Die Männer schütteln die Hand und reden nach dem Match.")</f>
        <v>Die Männer schütteln die Hand und reden nach dem Match.</v>
      </c>
    </row>
    <row r="9988">
      <c r="A9988" s="4" t="s">
        <v>12561</v>
      </c>
      <c r="B9988" s="4" t="s">
        <v>12562</v>
      </c>
      <c r="C9988" s="5" t="str">
        <f>IFERROR(__xludf.DUMMYFUNCTION("GOOGLETRANSLATE(B9988,""en"",""de"")"),"Der Titel und das Logo werden auf dem Bildschirm angezeigt.")</f>
        <v>Der Titel und das Logo werden auf dem Bildschirm angezeigt.</v>
      </c>
    </row>
    <row r="9989">
      <c r="A9989" s="4" t="s">
        <v>12561</v>
      </c>
      <c r="B9989" s="4" t="s">
        <v>12563</v>
      </c>
      <c r="C9989" s="5" t="str">
        <f>IFERROR(__xludf.DUMMYFUNCTION("GOOGLETRANSLATE(B9989,""en"",""de"")"),"Ein Mann, der ein Saxophon hält, spielt und spricht mit der Kamera dazwischen.")</f>
        <v>Ein Mann, der ein Saxophon hält, spielt und spricht mit der Kamera dazwischen.</v>
      </c>
    </row>
    <row r="9990">
      <c r="A9990" s="4" t="s">
        <v>12561</v>
      </c>
      <c r="B9990" s="4" t="s">
        <v>12564</v>
      </c>
      <c r="C9990" s="5" t="str">
        <f>IFERROR(__xludf.DUMMYFUNCTION("GOOGLETRANSLATE(B9990,""en"",""de"")"),"Ein Mann hält das Saxophon hoch, um den Boden zu zeigen.")</f>
        <v>Ein Mann hält das Saxophon hoch, um den Boden zu zeigen.</v>
      </c>
    </row>
    <row r="9991">
      <c r="A9991" s="4" t="s">
        <v>12561</v>
      </c>
      <c r="B9991" s="4" t="s">
        <v>12565</v>
      </c>
      <c r="C9991" s="5" t="str">
        <f>IFERROR(__xludf.DUMMYFUNCTION("GOOGLETRANSLATE(B9991,""en"",""de"")"),"Der Mann nimmt das Mundstück von seinem Saxophon und ersetzt es.")</f>
        <v>Der Mann nimmt das Mundstück von seinem Saxophon und ersetzt es.</v>
      </c>
    </row>
    <row r="9992">
      <c r="A9992" s="4" t="s">
        <v>12561</v>
      </c>
      <c r="B9992" s="4" t="s">
        <v>12566</v>
      </c>
      <c r="C9992" s="5" t="str">
        <f>IFERROR(__xludf.DUMMYFUNCTION("GOOGLETRANSLATE(B9992,""en"",""de"")"),"Wir sehen eine Nahaufnahme des Mannes, der das Saxophon spielt, es zoomt wieder auf ihn.")</f>
        <v>Wir sehen eine Nahaufnahme des Mannes, der das Saxophon spielt, es zoomt wieder auf ihn.</v>
      </c>
    </row>
    <row r="9993">
      <c r="A9993" s="4" t="s">
        <v>12561</v>
      </c>
      <c r="B9993" s="4" t="s">
        <v>12567</v>
      </c>
      <c r="C9993" s="5" t="str">
        <f>IFERROR(__xludf.DUMMYFUNCTION("GOOGLETRANSLATE(B9993,""en"",""de"")"),"Wir sehen eine Nahaufnahme der Eröffnung des Horns.")</f>
        <v>Wir sehen eine Nahaufnahme der Eröffnung des Horns.</v>
      </c>
    </row>
    <row r="9994">
      <c r="A9994" s="4" t="s">
        <v>12561</v>
      </c>
      <c r="B9994" s="4" t="s">
        <v>12568</v>
      </c>
      <c r="C9994" s="5" t="str">
        <f>IFERROR(__xludf.DUMMYFUNCTION("GOOGLETRANSLATE(B9994,""en"",""de"")"),"Der Bildschirm wird schwarz und wir sehen den Endbildschirm.")</f>
        <v>Der Bildschirm wird schwarz und wir sehen den Endbildschirm.</v>
      </c>
    </row>
    <row r="9995">
      <c r="A9995" s="4" t="s">
        <v>12569</v>
      </c>
      <c r="B9995" s="4" t="s">
        <v>12570</v>
      </c>
      <c r="C9995" s="5" t="str">
        <f>IFERROR(__xludf.DUMMYFUNCTION("GOOGLETRANSLATE(B9995,""en"",""de"")"),"Wir sehen zwei Damen Arm ringen.")</f>
        <v>Wir sehen zwei Damen Arm ringen.</v>
      </c>
    </row>
    <row r="9996">
      <c r="A9996" s="4" t="s">
        <v>12569</v>
      </c>
      <c r="B9996" s="4" t="s">
        <v>12571</v>
      </c>
      <c r="C9996" s="5" t="str">
        <f>IFERROR(__xludf.DUMMYFUNCTION("GOOGLETRANSLATE(B9996,""en"",""de"")"),"Die richtige Dame schaut in die Kamera.")</f>
        <v>Die richtige Dame schaut in die Kamera.</v>
      </c>
    </row>
    <row r="9997">
      <c r="A9997" s="4" t="s">
        <v>12569</v>
      </c>
      <c r="B9997" s="4" t="s">
        <v>12572</v>
      </c>
      <c r="C9997" s="5" t="str">
        <f>IFERROR(__xludf.DUMMYFUNCTION("GOOGLETRANSLATE(B9997,""en"",""de"")"),"Die richtige Dame gewinnt das Match.")</f>
        <v>Die richtige Dame gewinnt das Match.</v>
      </c>
    </row>
    <row r="9998">
      <c r="A9998" s="4" t="s">
        <v>12569</v>
      </c>
      <c r="B9998" s="4" t="s">
        <v>12573</v>
      </c>
      <c r="C9998" s="5" t="str">
        <f>IFERROR(__xludf.DUMMYFUNCTION("GOOGLETRANSLATE(B9998,""en"",""de"")"),"Die linke Dame lässt den Kopf zum Tisch.")</f>
        <v>Die linke Dame lässt den Kopf zum Tisch.</v>
      </c>
    </row>
    <row r="9999">
      <c r="A9999" s="4" t="s">
        <v>12569</v>
      </c>
      <c r="B9999" s="4" t="s">
        <v>12574</v>
      </c>
      <c r="C9999" s="5" t="str">
        <f>IFERROR(__xludf.DUMMYFUNCTION("GOOGLETRANSLATE(B9999,""en"",""de"")"),"Die rechte Dame wirft ihre Arme in die Luft und spricht mit der Kamera.")</f>
        <v>Die rechte Dame wirft ihre Arme in die Luft und spricht mit der Kamera.</v>
      </c>
    </row>
    <row r="10000">
      <c r="A10000" s="4" t="s">
        <v>12575</v>
      </c>
      <c r="B10000" s="4" t="s">
        <v>12576</v>
      </c>
      <c r="C10000" s="5" t="str">
        <f>IFERROR(__xludf.DUMMYFUNCTION("GOOGLETRANSLATE(B10000,""en"",""de"")"),"Ein Mann hackt Holz mit einer Axt am Schnee.")</f>
        <v>Ein Mann hackt Holz mit einer Axt am Schnee.</v>
      </c>
    </row>
    <row r="10001">
      <c r="A10001" s="4" t="s">
        <v>12575</v>
      </c>
      <c r="B10001" s="4" t="s">
        <v>12577</v>
      </c>
      <c r="C10001" s="5" t="str">
        <f>IFERROR(__xludf.DUMMYFUNCTION("GOOGLETRANSLATE(B10001,""en"",""de"")"),"Eine Person steht hinter dem Mann.")</f>
        <v>Eine Person steht hinter dem Mann.</v>
      </c>
    </row>
    <row r="10002">
      <c r="A10002" s="4" t="s">
        <v>12575</v>
      </c>
      <c r="B10002" s="4" t="s">
        <v>12578</v>
      </c>
      <c r="C10002" s="5" t="str">
        <f>IFERROR(__xludf.DUMMYFUNCTION("GOOGLETRANSLATE(B10002,""en"",""de"")"),"Eine Person verarbeitet das Spleißbrennholz zu einem Mann.")</f>
        <v>Eine Person verarbeitet das Spleißbrennholz zu einem Mann.</v>
      </c>
    </row>
    <row r="10003">
      <c r="A10003" s="4" t="s">
        <v>12575</v>
      </c>
      <c r="B10003" s="4" t="s">
        <v>12579</v>
      </c>
      <c r="C10003" s="5" t="str">
        <f>IFERROR(__xludf.DUMMYFUNCTION("GOOGLETRANSLATE(B10003,""en"",""de"")"),"Der Mann hackt weiterhin Brennholz mit der Axt.")</f>
        <v>Der Mann hackt weiterhin Brennholz mit der Axt.</v>
      </c>
    </row>
    <row r="10004">
      <c r="A10004" s="4" t="s">
        <v>12575</v>
      </c>
      <c r="B10004" s="4" t="s">
        <v>12580</v>
      </c>
      <c r="C10004" s="5" t="str">
        <f>IFERROR(__xludf.DUMMYFUNCTION("GOOGLETRANSLATE(B10004,""en"",""de"")"),"Die Axt bekommt Stapel in ein Stück Holz, aber der Mann nimmt es aus und schneidet das Brennholz weiter.")</f>
        <v>Die Axt bekommt Stapel in ein Stück Holz, aber der Mann nimmt es aus und schneidet das Brennholz weiter.</v>
      </c>
    </row>
    <row r="10005">
      <c r="A10005" s="4" t="s">
        <v>12581</v>
      </c>
      <c r="B10005" s="4" t="s">
        <v>12582</v>
      </c>
      <c r="C10005" s="5" t="str">
        <f>IFERROR(__xludf.DUMMYFUNCTION("GOOGLETRANSLATE(B10005,""en"",""de"")"),"Eine ältere weiße Frau mit kurzen blonden Haaren und Brille beginnt in der Ecke des Gymnasiums zu reden.")</f>
        <v>Eine ältere weiße Frau mit kurzen blonden Haaren und Brille beginnt in der Ecke des Gymnasiums zu reden.</v>
      </c>
    </row>
    <row r="10006">
      <c r="A10006" s="4" t="s">
        <v>12581</v>
      </c>
      <c r="B10006" s="4" t="s">
        <v>12583</v>
      </c>
      <c r="C10006" s="5" t="str">
        <f>IFERROR(__xludf.DUMMYFUNCTION("GOOGLETRANSLATE(B10006,""en"",""de"")"),"Die kleinen Mädchen betreten dann ins Fitnessstudio und ein männlicher Trainer fängt an, ihnen zu helfen, während sie über den Balancestrahl gehen.")</f>
        <v>Die kleinen Mädchen betreten dann ins Fitnessstudio und ein männlicher Trainer fängt an, ihnen zu helfen, während sie über den Balancestrahl gehen.</v>
      </c>
    </row>
    <row r="10007">
      <c r="A10007" s="4" t="s">
        <v>12584</v>
      </c>
      <c r="B10007" s="4" t="s">
        <v>12585</v>
      </c>
      <c r="C10007" s="5" t="str">
        <f>IFERROR(__xludf.DUMMYFUNCTION("GOOGLETRANSLATE(B10007,""en"",""de"")"),"Eine asiatische Frau, die ein blaues Hemd trägt und beginnt zu reden und ihre Hände in die Kamera zu werfen.")</f>
        <v>Eine asiatische Frau, die ein blaues Hemd trägt und beginnt zu reden und ihre Hände in die Kamera zu werfen.</v>
      </c>
    </row>
    <row r="10008">
      <c r="A10008" s="4" t="s">
        <v>12584</v>
      </c>
      <c r="B10008" s="4" t="s">
        <v>12586</v>
      </c>
      <c r="C10008" s="5" t="str">
        <f>IFERROR(__xludf.DUMMYFUNCTION("GOOGLETRANSLATE(B10008,""en"",""de"")"),"Sie schnappt sich dann ein Bügeleisen und bügelt weiterhin ein gelbes Stück Stoff auf das Bügelbrett.")</f>
        <v>Sie schnappt sich dann ein Bügeleisen und bügelt weiterhin ein gelbes Stück Stoff auf das Bügelbrett.</v>
      </c>
    </row>
    <row r="10009">
      <c r="A10009" s="4" t="s">
        <v>12584</v>
      </c>
      <c r="B10009" s="4" t="s">
        <v>12587</v>
      </c>
      <c r="C10009" s="5" t="str">
        <f>IFERROR(__xludf.DUMMYFUNCTION("GOOGLETRANSLATE(B10009,""en"",""de"")"),"Sobald die Vorderseite fertig ist, packt sie sie und dreht sie um, damit sie das Bügeln abschließen kann.")</f>
        <v>Sobald die Vorderseite fertig ist, packt sie sie und dreht sie um, damit sie das Bügeln abschließen kann.</v>
      </c>
    </row>
    <row r="10010">
      <c r="A10010" s="4" t="s">
        <v>12588</v>
      </c>
      <c r="B10010" s="4" t="s">
        <v>12589</v>
      </c>
      <c r="C10010" s="5" t="str">
        <f>IFERROR(__xludf.DUMMYFUNCTION("GOOGLETRANSLATE(B10010,""en"",""de"")"),"Die Kamera schwenkt über ein Grasfeld, das von einer Strecke umgeben ist, wobei Menschen im Hintergrund undeutliche Dinge tun.")</f>
        <v>Die Kamera schwenkt über ein Grasfeld, das von einer Strecke umgeben ist, wobei Menschen im Hintergrund undeutliche Dinge tun.</v>
      </c>
    </row>
    <row r="10011">
      <c r="A10011" s="4" t="s">
        <v>12588</v>
      </c>
      <c r="B10011" s="4" t="s">
        <v>12590</v>
      </c>
      <c r="C10011" s="5" t="str">
        <f>IFERROR(__xludf.DUMMYFUNCTION("GOOGLETRANSLATE(B10011,""en"",""de"")"),"Ein Mann wird gezeigt, der sich in Schuss setzt.")</f>
        <v>Ein Mann wird gezeigt, der sich in Schuss setzt.</v>
      </c>
    </row>
    <row r="10012">
      <c r="A10012" s="4" t="s">
        <v>12588</v>
      </c>
      <c r="B10012" s="4" t="s">
        <v>12591</v>
      </c>
      <c r="C10012" s="5" t="str">
        <f>IFERROR(__xludf.DUMMYFUNCTION("GOOGLETRANSLATE(B10012,""en"",""de"")"),"Richter messen den Wurf des Mannes.")</f>
        <v>Richter messen den Wurf des Mannes.</v>
      </c>
    </row>
    <row r="10013">
      <c r="A10013" s="4" t="s">
        <v>12588</v>
      </c>
      <c r="B10013" s="4" t="s">
        <v>12592</v>
      </c>
      <c r="C10013" s="5" t="str">
        <f>IFERROR(__xludf.DUMMYFUNCTION("GOOGLETRANSLATE(B10013,""en"",""de"")"),"Das Publikum wird gezeigt, wie der Mann Glückwunsch von Menschen in der Nähe erhält.")</f>
        <v>Das Publikum wird gezeigt, wie der Mann Glückwunsch von Menschen in der Nähe erhält.</v>
      </c>
    </row>
    <row r="10014">
      <c r="A10014" s="4" t="s">
        <v>12588</v>
      </c>
      <c r="B10014" s="4" t="s">
        <v>12593</v>
      </c>
      <c r="C10014" s="5" t="str">
        <f>IFERROR(__xludf.DUMMYFUNCTION("GOOGLETRANSLATE(B10014,""en"",""de"")"),"Eine Wiederholung des Wurfs wird gezeigt.")</f>
        <v>Eine Wiederholung des Wurfs wird gezeigt.</v>
      </c>
    </row>
    <row r="10015">
      <c r="A10015" s="4" t="s">
        <v>12594</v>
      </c>
      <c r="B10015" s="4" t="s">
        <v>12595</v>
      </c>
      <c r="C10015" s="5" t="str">
        <f>IFERROR(__xludf.DUMMYFUNCTION("GOOGLETRANSLATE(B10015,""en"",""de"")"),"Mehrere Menschen sind in Schweißgeräten gekleidet, die Matten in einem großen Fitnessstudio ausrollen.")</f>
        <v>Mehrere Menschen sind in Schweißgeräten gekleidet, die Matten in einem großen Fitnessstudio ausrollen.</v>
      </c>
    </row>
    <row r="10016">
      <c r="A10016" s="4" t="s">
        <v>12594</v>
      </c>
      <c r="B10016" s="4" t="s">
        <v>12596</v>
      </c>
      <c r="C10016" s="5" t="str">
        <f>IFERROR(__xludf.DUMMYFUNCTION("GOOGLETRANSLATE(B10016,""en"",""de"")"),"Nachdem die Matten ausgerollt sind, gehen andere Personen in Zaununiformen über den Boden.")</f>
        <v>Nachdem die Matten ausgerollt sind, gehen andere Personen in Zaununiformen über den Boden.</v>
      </c>
    </row>
    <row r="10017">
      <c r="A10017" s="4" t="s">
        <v>12594</v>
      </c>
      <c r="B10017" s="4" t="s">
        <v>12597</v>
      </c>
      <c r="C10017" s="5" t="str">
        <f>IFERROR(__xludf.DUMMYFUNCTION("GOOGLETRANSLATE(B10017,""en"",""de"")"),"Die Athleten gehen dann herum und reden miteinander, während ein kleines Maskottchen über die Matte geht.")</f>
        <v>Die Athleten gehen dann herum und reden miteinander, während ein kleines Maskottchen über die Matte geht.</v>
      </c>
    </row>
    <row r="10018">
      <c r="A10018" s="4" t="s">
        <v>12594</v>
      </c>
      <c r="B10018" s="4" t="s">
        <v>12598</v>
      </c>
      <c r="C10018" s="5" t="str">
        <f>IFERROR(__xludf.DUMMYFUNCTION("GOOGLETRANSLATE(B10018,""en"",""de"")"),"Schließlich beginnt ein Match und sobald es mehr als fünf Personen für ein Bild posieren.")</f>
        <v>Schließlich beginnt ein Match und sobald es mehr als fünf Personen für ein Bild posieren.</v>
      </c>
    </row>
    <row r="10019">
      <c r="A10019" s="4" t="s">
        <v>12594</v>
      </c>
      <c r="B10019" s="4" t="s">
        <v>12599</v>
      </c>
      <c r="C10019" s="5" t="str">
        <f>IFERROR(__xludf.DUMMYFUNCTION("GOOGLETRANSLATE(B10019,""en"",""de"")"),"Die Kamera beschleunigt sich dann und zeigt mehrere Teams und Leute, die das Fitnessstudio betreten und verlassen.")</f>
        <v>Die Kamera beschleunigt sich dann und zeigt mehrere Teams und Leute, die das Fitnessstudio betreten und verlassen.</v>
      </c>
    </row>
    <row r="10020">
      <c r="A10020" s="4" t="s">
        <v>12594</v>
      </c>
      <c r="B10020" s="4" t="s">
        <v>12600</v>
      </c>
      <c r="C10020" s="5" t="str">
        <f>IFERROR(__xludf.DUMMYFUNCTION("GOOGLETRANSLATE(B10020,""en"",""de"")"),"Als nächstes werden Fechtenspiele zwischen etwa 12 Paaren von Menschen gezeigt und sie richten sich auf und geben sich gegenseitig fünf fünf, bevor sie sich zusammenkauert und mit ihrem Trainer gesprochen haben.")</f>
        <v>Als nächstes werden Fechtenspiele zwischen etwa 12 Paaren von Menschen gezeigt und sie richten sich auf und geben sich gegenseitig fünf fünf, bevor sie sich zusammenkauert und mit ihrem Trainer gesprochen haben.</v>
      </c>
    </row>
    <row r="10021">
      <c r="A10021" s="4" t="s">
        <v>12601</v>
      </c>
      <c r="B10021" s="4" t="s">
        <v>12602</v>
      </c>
      <c r="C10021" s="5" t="str">
        <f>IFERROR(__xludf.DUMMYFUNCTION("GOOGLETRANSLATE(B10021,""en"",""de"")"),"Ein schwarzer Bildschirm erscheint mit blauen Buchstaben ""Jayne Clarke Field Hockey Clips 2009"".")</f>
        <v>Ein schwarzer Bildschirm erscheint mit blauen Buchstaben "Jayne Clarke Field Hockey Clips 2009".</v>
      </c>
    </row>
    <row r="10022">
      <c r="A10022" s="4" t="s">
        <v>12601</v>
      </c>
      <c r="B10022" s="4" t="s">
        <v>12603</v>
      </c>
      <c r="C10022" s="5" t="str">
        <f>IFERROR(__xludf.DUMMYFUNCTION("GOOGLETRANSLATE(B10022,""en"",""de"")"),"Die Clips beginnen zu spielen und es gibt eine Reihe kleiner Clips, die von dem Mädchen zusammengestellt werden, das mit einem Team spielt, alleine übt und auf einem Kurs übt.")</f>
        <v>Die Clips beginnen zu spielen und es gibt eine Reihe kleiner Clips, die von dem Mädchen zusammengestellt werden, das mit einem Team spielt, alleine übt und auf einem Kurs übt.</v>
      </c>
    </row>
    <row r="10023">
      <c r="A10023" s="4" t="s">
        <v>12601</v>
      </c>
      <c r="B10023" s="4" t="s">
        <v>12604</v>
      </c>
      <c r="C10023" s="5" t="str">
        <f>IFERROR(__xludf.DUMMYFUNCTION("GOOGLETRANSLATE(B10023,""en"",""de"")"),"Das Video endet damit, dass das Mädchen allein auf einem leeren und großen blauen Innenhof übt.")</f>
        <v>Das Video endet damit, dass das Mädchen allein auf einem leeren und großen blauen Innenhof übt.</v>
      </c>
    </row>
    <row r="10024">
      <c r="A10024" s="4" t="s">
        <v>12605</v>
      </c>
      <c r="B10024" s="4" t="s">
        <v>12606</v>
      </c>
      <c r="C10024" s="5" t="str">
        <f>IFERROR(__xludf.DUMMYFUNCTION("GOOGLETRANSLATE(B10024,""en"",""de"")"),"Wir sehen, dass starke Männer Arm ringen.")</f>
        <v>Wir sehen, dass starke Männer Arm ringen.</v>
      </c>
    </row>
    <row r="10025">
      <c r="A10025" s="4" t="s">
        <v>12605</v>
      </c>
      <c r="B10025" s="4" t="s">
        <v>12607</v>
      </c>
      <c r="C10025" s="5" t="str">
        <f>IFERROR(__xludf.DUMMYFUNCTION("GOOGLETRANSLATE(B10025,""en"",""de"")"),"Wir sehen zwei Männer nach dem Match umarmen.")</f>
        <v>Wir sehen zwei Männer nach dem Match umarmen.</v>
      </c>
    </row>
    <row r="10026">
      <c r="A10026" s="4" t="s">
        <v>12605</v>
      </c>
      <c r="B10026" s="4" t="s">
        <v>12608</v>
      </c>
      <c r="C10026" s="5" t="str">
        <f>IFERROR(__xludf.DUMMYFUNCTION("GOOGLETRANSLATE(B10026,""en"",""de"")"),"Ein Gastgeber in einem weißen Anzug erzählt.")</f>
        <v>Ein Gastgeber in einem weißen Anzug erzählt.</v>
      </c>
    </row>
    <row r="10027">
      <c r="A10027" s="4" t="s">
        <v>12605</v>
      </c>
      <c r="B10027" s="4" t="s">
        <v>12609</v>
      </c>
      <c r="C10027" s="5" t="str">
        <f>IFERROR(__xludf.DUMMYFUNCTION("GOOGLETRANSLATE(B10027,""en"",""de"")"),"Wir sehen einen Kameramann direkt hinter dem Tisch.")</f>
        <v>Wir sehen einen Kameramann direkt hinter dem Tisch.</v>
      </c>
    </row>
    <row r="10028">
      <c r="A10028" s="4" t="s">
        <v>12605</v>
      </c>
      <c r="B10028" s="4" t="s">
        <v>9831</v>
      </c>
      <c r="C10028" s="5" t="str">
        <f>IFERROR(__xludf.DUMMYFUNCTION("GOOGLETRANSLATE(B10028,""en"",""de"")"),"Eine Person geht vor der Kamera.")</f>
        <v>Eine Person geht vor der Kamera.</v>
      </c>
    </row>
    <row r="10029">
      <c r="A10029" s="4" t="s">
        <v>12605</v>
      </c>
      <c r="B10029" s="4" t="s">
        <v>12610</v>
      </c>
      <c r="C10029" s="5" t="str">
        <f>IFERROR(__xludf.DUMMYFUNCTION("GOOGLETRANSLATE(B10029,""en"",""de"")"),"Das letzte Match beginnt und endet sehr schnell und die Männer umarmen sich.")</f>
        <v>Das letzte Match beginnt und endet sehr schnell und die Männer umarmen sich.</v>
      </c>
    </row>
    <row r="10030">
      <c r="A10030" s="4" t="s">
        <v>12605</v>
      </c>
      <c r="B10030" s="4" t="s">
        <v>12611</v>
      </c>
      <c r="C10030" s="5" t="str">
        <f>IFERROR(__xludf.DUMMYFUNCTION("GOOGLETRANSLATE(B10030,""en"",""de"")"),"Wir sehen einen Trugbild von Bildern.")</f>
        <v>Wir sehen einen Trugbild von Bildern.</v>
      </c>
    </row>
    <row r="10031">
      <c r="A10031" s="4" t="s">
        <v>12612</v>
      </c>
      <c r="B10031" s="4" t="s">
        <v>12613</v>
      </c>
      <c r="C10031" s="5" t="str">
        <f>IFERROR(__xludf.DUMMYFUNCTION("GOOGLETRANSLATE(B10031,""en"",""de"")"),"Eine große Gruppe von Menschen ist gesehen, wie sie mehrere Flöfe einen strengen Fluss hinunterreiten, während sie kontinuierlich paddelt.")</f>
        <v>Eine große Gruppe von Menschen ist gesehen, wie sie mehrere Flöfe einen strengen Fluss hinunterreiten, während sie kontinuierlich paddelt.</v>
      </c>
    </row>
    <row r="10032">
      <c r="A10032" s="4" t="s">
        <v>12612</v>
      </c>
      <c r="B10032" s="4" t="s">
        <v>12614</v>
      </c>
      <c r="C10032" s="5" t="str">
        <f>IFERROR(__xludf.DUMMYFUNCTION("GOOGLETRANSLATE(B10032,""en"",""de"")"),"Es werden mehrere Schüsse von den Menschen gezeigt, die nach unten reiten, während sie ihre Stöcke in die Luft halten und endet, wenn Menschen anhalten, um zu essen.")</f>
        <v>Es werden mehrere Schüsse von den Menschen gezeigt, die nach unten reiten, während sie ihre Stöcke in die Luft halten und endet, wenn Menschen anhalten, um zu essen.</v>
      </c>
    </row>
    <row r="10033">
      <c r="A10033" s="4" t="s">
        <v>12615</v>
      </c>
      <c r="B10033" s="4" t="s">
        <v>12616</v>
      </c>
      <c r="C10033" s="5" t="str">
        <f>IFERROR(__xludf.DUMMYFUNCTION("GOOGLETRANSLATE(B10033,""en"",""de"")"),"Ein Mann in einem Anzug und eine Frau in einem Kleid steht vor dem Publikum.")</f>
        <v>Ein Mann in einem Anzug und eine Frau in einem Kleid steht vor dem Publikum.</v>
      </c>
    </row>
    <row r="10034">
      <c r="A10034" s="4" t="s">
        <v>12615</v>
      </c>
      <c r="B10034" s="4" t="s">
        <v>12617</v>
      </c>
      <c r="C10034" s="5" t="str">
        <f>IFERROR(__xludf.DUMMYFUNCTION("GOOGLETRANSLATE(B10034,""en"",""de"")"),"Sie beginnen auf dem Boden zu tanzen.")</f>
        <v>Sie beginnen auf dem Boden zu tanzen.</v>
      </c>
    </row>
    <row r="10035">
      <c r="A10035" s="4" t="s">
        <v>12615</v>
      </c>
      <c r="B10035" s="4" t="s">
        <v>12618</v>
      </c>
      <c r="C10035" s="5" t="str">
        <f>IFERROR(__xludf.DUMMYFUNCTION("GOOGLETRANSLATE(B10035,""en"",""de"")"),"Sie beenden das Tanzen und das Publikum klatscht.")</f>
        <v>Sie beenden das Tanzen und das Publikum klatscht.</v>
      </c>
    </row>
    <row r="10036">
      <c r="A10036" s="4" t="s">
        <v>12619</v>
      </c>
      <c r="B10036" s="4" t="s">
        <v>12620</v>
      </c>
      <c r="C10036" s="5" t="str">
        <f>IFERROR(__xludf.DUMMYFUNCTION("GOOGLETRANSLATE(B10036,""en"",""de"")"),"Eine Person hält sich an einem Motorrad mit Rollenblättern und wird entlang einer Straße gegraben.")</f>
        <v>Eine Person hält sich an einem Motorrad mit Rollenblättern und wird entlang einer Straße gegraben.</v>
      </c>
    </row>
    <row r="10037">
      <c r="A10037" s="4" t="s">
        <v>12619</v>
      </c>
      <c r="B10037" s="4" t="s">
        <v>12621</v>
      </c>
      <c r="C10037" s="5" t="str">
        <f>IFERROR(__xludf.DUMMYFUNCTION("GOOGLETRANSLATE(B10037,""en"",""de"")"),"Ein Mann steht an einem Wasserbrunnen.")</f>
        <v>Ein Mann steht an einem Wasserbrunnen.</v>
      </c>
    </row>
    <row r="10038">
      <c r="A10038" s="4" t="s">
        <v>12619</v>
      </c>
      <c r="B10038" s="4" t="s">
        <v>12622</v>
      </c>
      <c r="C10038" s="5" t="str">
        <f>IFERROR(__xludf.DUMMYFUNCTION("GOOGLETRANSLATE(B10038,""en"",""de"")"),"Die Leute machen Rollschuh -Skating -Tricks.")</f>
        <v>Die Leute machen Rollschuh -Skating -Tricks.</v>
      </c>
    </row>
    <row r="10039">
      <c r="A10039" s="4" t="s">
        <v>12623</v>
      </c>
      <c r="B10039" s="4" t="s">
        <v>12624</v>
      </c>
      <c r="C10039" s="5" t="str">
        <f>IFERROR(__xludf.DUMMYFUNCTION("GOOGLETRANSLATE(B10039,""en"",""de"")"),"Ein Mann spricht in der Nähe mit der Kamera.")</f>
        <v>Ein Mann spricht in der Nähe mit der Kamera.</v>
      </c>
    </row>
    <row r="10040">
      <c r="A10040" s="4" t="s">
        <v>12623</v>
      </c>
      <c r="B10040" s="4" t="s">
        <v>12625</v>
      </c>
      <c r="C10040" s="5" t="str">
        <f>IFERROR(__xludf.DUMMYFUNCTION("GOOGLETRANSLATE(B10040,""en"",""de"")"),"Szenen der täglichen Aktivitäten des Mannes werden gezeigt.")</f>
        <v>Szenen der täglichen Aktivitäten des Mannes werden gezeigt.</v>
      </c>
    </row>
    <row r="10041">
      <c r="A10041" s="4" t="s">
        <v>12623</v>
      </c>
      <c r="B10041" s="4" t="s">
        <v>12626</v>
      </c>
      <c r="C10041" s="5" t="str">
        <f>IFERROR(__xludf.DUMMYFUNCTION("GOOGLETRANSLATE(B10041,""en"",""de"")"),"Szenen des Mannes, der in einem Friseursalon gewartet wird, werden normalerweise mit anderen Personen im Hintergrund gezeigt.")</f>
        <v>Szenen des Mannes, der in einem Friseursalon gewartet wird, werden normalerweise mit anderen Personen im Hintergrund gezeigt.</v>
      </c>
    </row>
    <row r="10042">
      <c r="A10042" s="4" t="s">
        <v>12623</v>
      </c>
      <c r="B10042" s="4" t="s">
        <v>12627</v>
      </c>
      <c r="C10042" s="5" t="str">
        <f>IFERROR(__xludf.DUMMYFUNCTION("GOOGLETRANSLATE(B10042,""en"",""de"")"),"Szenen des Mannes, der mit verschiedenen anderen mit der Kamera spricht, werden gezeigt.")</f>
        <v>Szenen des Mannes, der mit verschiedenen anderen mit der Kamera spricht, werden gezeigt.</v>
      </c>
    </row>
    <row r="10043">
      <c r="A10043" s="4" t="s">
        <v>12623</v>
      </c>
      <c r="B10043" s="4" t="s">
        <v>12628</v>
      </c>
      <c r="C10043" s="5" t="str">
        <f>IFERROR(__xludf.DUMMYFUNCTION("GOOGLETRANSLATE(B10043,""en"",""de"")"),"Weitere Szenen aus dem Friseursalon werden gezeigt.")</f>
        <v>Weitere Szenen aus dem Friseursalon werden gezeigt.</v>
      </c>
    </row>
    <row r="10044">
      <c r="A10044" s="4" t="s">
        <v>12629</v>
      </c>
      <c r="B10044" s="4" t="s">
        <v>12630</v>
      </c>
      <c r="C10044" s="5" t="str">
        <f>IFERROR(__xludf.DUMMYFUNCTION("GOOGLETRANSLATE(B10044,""en"",""de"")"),"Drei Männer fahren auf Pferden umeinander und führen in einen Bullen, der hereinläuft und einen Mann auf einem Pferd jagt.")</f>
        <v>Drei Männer fahren auf Pferden umeinander und führen in einen Bullen, der hereinläuft und einen Mann auf einem Pferd jagt.</v>
      </c>
    </row>
    <row r="10045">
      <c r="A10045" s="4" t="s">
        <v>12629</v>
      </c>
      <c r="B10045" s="4" t="s">
        <v>12631</v>
      </c>
      <c r="C10045" s="5" t="str">
        <f>IFERROR(__xludf.DUMMYFUNCTION("GOOGLETRANSLATE(B10045,""en"",""de"")"),"Der Mann fährt um den Stier und zeigt mehrere weitere Schüsse der Fahrer um den Stier.")</f>
        <v>Der Mann fährt um den Stier und zeigt mehrere weitere Schüsse der Fahrer um den Stier.</v>
      </c>
    </row>
    <row r="10046">
      <c r="A10046" s="4" t="s">
        <v>12629</v>
      </c>
      <c r="B10046" s="4" t="s">
        <v>12632</v>
      </c>
      <c r="C10046" s="5" t="str">
        <f>IFERROR(__xludf.DUMMYFUNCTION("GOOGLETRANSLATE(B10046,""en"",""de"")"),"Irgendwann rennen mehr Männer in die Grube und der Bulle legt sich auf die Seite, während das Publikum jubelt und der Mann seine Arme hochhält.")</f>
        <v>Irgendwann rennen mehr Männer in die Grube und der Bulle legt sich auf die Seite, während das Publikum jubelt und der Mann seine Arme hochhält.</v>
      </c>
    </row>
    <row r="10047">
      <c r="A10047" s="4" t="s">
        <v>12633</v>
      </c>
      <c r="B10047" s="4" t="s">
        <v>12634</v>
      </c>
      <c r="C10047" s="5" t="str">
        <f>IFERROR(__xludf.DUMMYFUNCTION("GOOGLETRANSLATE(B10047,""en"",""de"")"),"Kinder sind auf einem Feld und treten einen Ball hin und her.")</f>
        <v>Kinder sind auf einem Feld und treten einen Ball hin und her.</v>
      </c>
    </row>
    <row r="10048">
      <c r="A10048" s="4" t="s">
        <v>12633</v>
      </c>
      <c r="B10048" s="4" t="s">
        <v>12635</v>
      </c>
      <c r="C10048" s="5" t="str">
        <f>IFERROR(__xludf.DUMMYFUNCTION("GOOGLETRANSLATE(B10048,""en"",""de"")"),"Ein Mädchen rennt auf und tritt den Jungen an.")</f>
        <v>Ein Mädchen rennt auf und tritt den Jungen an.</v>
      </c>
    </row>
    <row r="10049">
      <c r="A10049" s="4" t="s">
        <v>12633</v>
      </c>
      <c r="B10049" s="4" t="s">
        <v>12636</v>
      </c>
      <c r="C10049" s="5" t="str">
        <f>IFERROR(__xludf.DUMMYFUNCTION("GOOGLETRANSLATE(B10049,""en"",""de"")"),"Sie rennt die Seitenlinie hinunter und versucht den Ball zu nehmen, während andere Mädchen von der Seitenlinie aussehen.")</f>
        <v>Sie rennt die Seitenlinie hinunter und versucht den Ball zu nehmen, während andere Mädchen von der Seitenlinie aussehen.</v>
      </c>
    </row>
    <row r="10050">
      <c r="A10050" s="4" t="s">
        <v>12633</v>
      </c>
      <c r="B10050" s="4" t="s">
        <v>12637</v>
      </c>
      <c r="C10050" s="5" t="str">
        <f>IFERROR(__xludf.DUMMYFUNCTION("GOOGLETRANSLATE(B10050,""en"",""de"")"),"Die Kinder spielen weiter, bis der Clip endet.")</f>
        <v>Die Kinder spielen weiter, bis der Clip endet.</v>
      </c>
    </row>
    <row r="10051">
      <c r="A10051" s="4" t="s">
        <v>12638</v>
      </c>
      <c r="B10051" s="4" t="s">
        <v>12639</v>
      </c>
      <c r="C10051" s="5" t="str">
        <f>IFERROR(__xludf.DUMMYFUNCTION("GOOGLETRANSLATE(B10051,""en"",""de"")"),"Mehrere Paare von Männern und Frauen werden vor einer Gruppe von Menschen eine Tango -Routine durchführen.")</f>
        <v>Mehrere Paare von Männern und Frauen werden vor einer Gruppe von Menschen eine Tango -Routine durchführen.</v>
      </c>
    </row>
    <row r="10052">
      <c r="A10052" s="4" t="s">
        <v>12638</v>
      </c>
      <c r="B10052" s="4" t="s">
        <v>12640</v>
      </c>
      <c r="C10052" s="5" t="str">
        <f>IFERROR(__xludf.DUMMYFUNCTION("GOOGLETRANSLATE(B10052,""en"",""de"")"),"Viele Leute sehen an den Seiten zu und ein Paar lacht und gehen am Ende weg.")</f>
        <v>Viele Leute sehen an den Seiten zu und ein Paar lacht und gehen am Ende weg.</v>
      </c>
    </row>
    <row r="10053">
      <c r="A10053" s="4" t="s">
        <v>12641</v>
      </c>
      <c r="B10053" s="4" t="s">
        <v>12642</v>
      </c>
      <c r="C10053" s="5" t="str">
        <f>IFERROR(__xludf.DUMMYFUNCTION("GOOGLETRANSLATE(B10053,""en"",""de"")"),"Diese 3 Männer werden im Freien mitten auf der Straße im Freien gezeigt.")</f>
        <v>Diese 3 Männer werden im Freien mitten auf der Straße im Freien gezeigt.</v>
      </c>
    </row>
    <row r="10054">
      <c r="A10054" s="4" t="s">
        <v>12641</v>
      </c>
      <c r="B10054" s="4" t="s">
        <v>12643</v>
      </c>
      <c r="C10054" s="5" t="str">
        <f>IFERROR(__xludf.DUMMYFUNCTION("GOOGLETRANSLATE(B10054,""en"",""de"")"),"Sie tanzen, gehen im Kreis und drehen sich herum.")</f>
        <v>Sie tanzen, gehen im Kreis und drehen sich herum.</v>
      </c>
    </row>
    <row r="10055">
      <c r="A10055" s="4" t="s">
        <v>12644</v>
      </c>
      <c r="B10055" s="4" t="s">
        <v>12645</v>
      </c>
      <c r="C10055" s="5" t="str">
        <f>IFERROR(__xludf.DUMMYFUNCTION("GOOGLETRANSLATE(B10055,""en"",""de"")"),"Eine Gruppe von Fahrradfahrern wartet darauf, ein Rennen zu beginnen, schließlich fallen alle, wenn sich das Tor öffnet.")</f>
        <v>Eine Gruppe von Fahrradfahrern wartet darauf, ein Rennen zu beginnen, schließlich fallen alle, wenn sich das Tor öffnet.</v>
      </c>
    </row>
    <row r="10056">
      <c r="A10056" s="4" t="s">
        <v>12644</v>
      </c>
      <c r="B10056" s="4" t="s">
        <v>12646</v>
      </c>
      <c r="C10056" s="5" t="str">
        <f>IFERROR(__xludf.DUMMYFUNCTION("GOOGLETRANSLATE(B10056,""en"",""de"")"),"Eine Nahaufnahme eines Fahrrads ist fertig, während ein Mann seine Ausrüstung anzieht, um zu fahren.")</f>
        <v>Eine Nahaufnahme eines Fahrrads ist fertig, während ein Mann seine Ausrüstung anzieht, um zu fahren.</v>
      </c>
    </row>
    <row r="10057">
      <c r="A10057" s="4" t="s">
        <v>12644</v>
      </c>
      <c r="B10057" s="4" t="s">
        <v>12647</v>
      </c>
      <c r="C10057" s="5" t="str">
        <f>IFERROR(__xludf.DUMMYFUNCTION("GOOGLETRANSLATE(B10057,""en"",""de"")"),"Ein Fahrer fährt herum, während ein anderer verschiedene Tricks ausübt.")</f>
        <v>Ein Fahrer fährt herum, während ein anderer verschiedene Tricks ausübt.</v>
      </c>
    </row>
    <row r="10058">
      <c r="A10058" s="4" t="s">
        <v>12644</v>
      </c>
      <c r="B10058" s="4" t="s">
        <v>12648</v>
      </c>
      <c r="C10058" s="5" t="str">
        <f>IFERROR(__xludf.DUMMYFUNCTION("GOOGLETRANSLATE(B10058,""en"",""de"")"),"Es werden verschiedene Biker gezeigt, die auf und ab reiten und mit Rekordgeschwindigkeiten durchfliegen.")</f>
        <v>Es werden verschiedene Biker gezeigt, die auf und ab reiten und mit Rekordgeschwindigkeiten durchfliegen.</v>
      </c>
    </row>
    <row r="10059">
      <c r="A10059" s="4" t="s">
        <v>12649</v>
      </c>
      <c r="B10059" s="4" t="s">
        <v>12650</v>
      </c>
      <c r="C10059" s="5" t="str">
        <f>IFERROR(__xludf.DUMMYFUNCTION("GOOGLETRANSLATE(B10059,""en"",""de"")"),"Ein Mann hält einen Volleyball mit der Kamera und führt dazu, verschiedene Sprünge zu zeigen.")</f>
        <v>Ein Mann hält einen Volleyball mit der Kamera und führt dazu, verschiedene Sprünge zu zeigen.</v>
      </c>
    </row>
    <row r="10060">
      <c r="A10060" s="4" t="s">
        <v>12649</v>
      </c>
      <c r="B10060" s="4" t="s">
        <v>12651</v>
      </c>
      <c r="C10060" s="5" t="str">
        <f>IFERROR(__xludf.DUMMYFUNCTION("GOOGLETRANSLATE(B10060,""en"",""de"")"),"Er spricht weiter mit der Kamera und bewegt sich im Fitnessstudio und schlägt den Ball.")</f>
        <v>Er spricht weiter mit der Kamera und bewegt sich im Fitnessstudio und schlägt den Ball.</v>
      </c>
    </row>
    <row r="10061">
      <c r="A10061" s="4" t="s">
        <v>12652</v>
      </c>
      <c r="B10061" s="4" t="s">
        <v>12653</v>
      </c>
      <c r="C10061" s="5" t="str">
        <f>IFERROR(__xludf.DUMMYFUNCTION("GOOGLETRANSLATE(B10061,""en"",""de"")"),"Die Männer auf dem Feld greifen ihre Werkzeuge.")</f>
        <v>Die Männer auf dem Feld greifen ihre Werkzeuge.</v>
      </c>
    </row>
    <row r="10062">
      <c r="A10062" s="4" t="s">
        <v>12652</v>
      </c>
      <c r="B10062" s="4" t="s">
        <v>12654</v>
      </c>
      <c r="C10062" s="5" t="str">
        <f>IFERROR(__xludf.DUMMYFUNCTION("GOOGLETRANSLATE(B10062,""en"",""de"")"),"Wir sehen Männer auf einem Feld hohe Gras wie andere Uhr.")</f>
        <v>Wir sehen Männer auf einem Feld hohe Gras wie andere Uhr.</v>
      </c>
    </row>
    <row r="10063">
      <c r="A10063" s="4" t="s">
        <v>12652</v>
      </c>
      <c r="B10063" s="4" t="s">
        <v>12655</v>
      </c>
      <c r="C10063" s="5" t="str">
        <f>IFERROR(__xludf.DUMMYFUNCTION("GOOGLETRANSLATE(B10063,""en"",""de"")"),"Der linke Mann benutzt eine Sichel und übernimmt die Führung über den Mann mit dem Unkrautverrückten.")</f>
        <v>Der linke Mann benutzt eine Sichel und übernimmt die Führung über den Mann mit dem Unkrautverrückten.</v>
      </c>
    </row>
    <row r="10064">
      <c r="A10064" s="4" t="s">
        <v>12652</v>
      </c>
      <c r="B10064" s="4" t="s">
        <v>12656</v>
      </c>
      <c r="C10064" s="5" t="str">
        <f>IFERROR(__xludf.DUMMYFUNCTION("GOOGLETRANSLATE(B10064,""en"",""de"")"),"Der Mann mit der Sichel endet.")</f>
        <v>Der Mann mit der Sichel endet.</v>
      </c>
    </row>
    <row r="10065">
      <c r="A10065" s="4" t="s">
        <v>12652</v>
      </c>
      <c r="B10065" s="4" t="s">
        <v>12657</v>
      </c>
      <c r="C10065" s="5" t="str">
        <f>IFERROR(__xludf.DUMMYFUNCTION("GOOGLETRANSLATE(B10065,""en"",""de"")"),"Die Menge klatscht für den Mann.")</f>
        <v>Die Menge klatscht für den Mann.</v>
      </c>
    </row>
    <row r="10066">
      <c r="A10066" s="4" t="s">
        <v>12652</v>
      </c>
      <c r="B10066" s="4" t="s">
        <v>12658</v>
      </c>
      <c r="C10066" s="5" t="str">
        <f>IFERROR(__xludf.DUMMYFUNCTION("GOOGLETRANSLATE(B10066,""en"",""de"")"),"Der hemdlose Mann geht weg.")</f>
        <v>Der hemdlose Mann geht weg.</v>
      </c>
    </row>
    <row r="10067">
      <c r="A10067" s="4" t="s">
        <v>12652</v>
      </c>
      <c r="B10067" s="4" t="s">
        <v>12659</v>
      </c>
      <c r="C10067" s="5" t="str">
        <f>IFERROR(__xludf.DUMMYFUNCTION("GOOGLETRANSLATE(B10067,""en"",""de"")"),"Die Kamera schwenkt den anderen Mann, der am Gras arbeitet.")</f>
        <v>Die Kamera schwenkt den anderen Mann, der am Gras arbeitet.</v>
      </c>
    </row>
    <row r="10068">
      <c r="A10068" s="4" t="s">
        <v>12660</v>
      </c>
      <c r="B10068" s="4" t="s">
        <v>12661</v>
      </c>
      <c r="C10068" s="5" t="str">
        <f>IFERROR(__xludf.DUMMYFUNCTION("GOOGLETRANSLATE(B10068,""en"",""de"")"),"Ein Junge steht auf einem Hof ​​und hält einen Schläger in der rechten Hand, ein Ball kommt ihm in den Weg und er trifft es sehr hart.")</f>
        <v>Ein Junge steht auf einem Hof ​​und hält einen Schläger in der rechten Hand, ein Ball kommt ihm in den Weg und er trifft es sehr hart.</v>
      </c>
    </row>
    <row r="10069">
      <c r="A10069" s="4" t="s">
        <v>12660</v>
      </c>
      <c r="B10069" s="4" t="s">
        <v>12662</v>
      </c>
      <c r="C10069" s="5" t="str">
        <f>IFERROR(__xludf.DUMMYFUNCTION("GOOGLETRANSLATE(B10069,""en"",""de"")"),"Der Junge geht nach links und ein Mann schlägt dort den Ball und er und der Junge gehen abwechselnd den Ball sehr hart gegen die Wand vor ihnen.")</f>
        <v>Der Junge geht nach links und ein Mann schlägt dort den Ball und er und der Junge gehen abwechselnd den Ball sehr hart gegen die Wand vor ihnen.</v>
      </c>
    </row>
    <row r="10070">
      <c r="A10070" s="4" t="s">
        <v>12660</v>
      </c>
      <c r="B10070" s="4" t="s">
        <v>12663</v>
      </c>
      <c r="C10070" s="5" t="str">
        <f>IFERROR(__xludf.DUMMYFUNCTION("GOOGLETRANSLATE(B10070,""en"",""de"")"),"Der Ball rollt auf dem Boden, der Junge nimmt ihn auf und schlägt ihn an die Wand und noch einmal trifft der Mann den Ball und die Kamera zeigt auf den Boden.")</f>
        <v>Der Ball rollt auf dem Boden, der Junge nimmt ihn auf und schlägt ihn an die Wand und noch einmal trifft der Mann den Ball und die Kamera zeigt auf den Boden.</v>
      </c>
    </row>
    <row r="10071">
      <c r="A10071" s="4" t="s">
        <v>12664</v>
      </c>
      <c r="B10071" s="4" t="s">
        <v>12665</v>
      </c>
      <c r="C10071" s="5" t="str">
        <f>IFERROR(__xludf.DUMMYFUNCTION("GOOGLETRANSLATE(B10071,""en"",""de"")"),"Ein Koch steht hinter einer Theke steht, die mit der Kamera spricht.")</f>
        <v>Ein Koch steht hinter einer Theke steht, die mit der Kamera spricht.</v>
      </c>
    </row>
    <row r="10072">
      <c r="A10072" s="4" t="s">
        <v>12664</v>
      </c>
      <c r="B10072" s="4" t="s">
        <v>12666</v>
      </c>
      <c r="C10072" s="5" t="str">
        <f>IFERROR(__xludf.DUMMYFUNCTION("GOOGLETRANSLATE(B10072,""en"",""de"")"),"Der Mann hält dann mehrere Werkzeuge hoch und präsentiert sie der Kamera.")</f>
        <v>Der Mann hält dann mehrere Werkzeuge hoch und präsentiert sie der Kamera.</v>
      </c>
    </row>
    <row r="10073">
      <c r="A10073" s="4" t="s">
        <v>12664</v>
      </c>
      <c r="B10073" s="4" t="s">
        <v>12667</v>
      </c>
      <c r="C10073" s="5" t="str">
        <f>IFERROR(__xludf.DUMMYFUNCTION("GOOGLETRANSLATE(B10073,""en"",""de"")"),"Der Mann verwendet dann das Werkzeug in einer Schüssel Salat und präsentiert es der Kamera.")</f>
        <v>Der Mann verwendet dann das Werkzeug in einer Schüssel Salat und präsentiert es der Kamera.</v>
      </c>
    </row>
    <row r="10074">
      <c r="A10074" s="4" t="s">
        <v>12668</v>
      </c>
      <c r="B10074" s="4" t="s">
        <v>12669</v>
      </c>
      <c r="C10074" s="5" t="str">
        <f>IFERROR(__xludf.DUMMYFUNCTION("GOOGLETRANSLATE(B10074,""en"",""de"")"),"Ein Mann ist im Wald und balanciert auf einem engen Seil.")</f>
        <v>Ein Mann ist im Wald und balanciert auf einem engen Seil.</v>
      </c>
    </row>
    <row r="10075">
      <c r="A10075" s="4" t="s">
        <v>12668</v>
      </c>
      <c r="B10075" s="4" t="s">
        <v>12670</v>
      </c>
      <c r="C10075" s="5" t="str">
        <f>IFERROR(__xludf.DUMMYFUNCTION("GOOGLETRANSLATE(B10075,""en"",""de"")"),"Er geht auf dem Seil hin und her und springt dann.")</f>
        <v>Er geht auf dem Seil hin und her und springt dann.</v>
      </c>
    </row>
    <row r="10076">
      <c r="A10076" s="4" t="s">
        <v>12671</v>
      </c>
      <c r="B10076" s="4" t="s">
        <v>12672</v>
      </c>
      <c r="C10076" s="5" t="str">
        <f>IFERROR(__xludf.DUMMYFUNCTION("GOOGLETRANSLATE(B10076,""en"",""de"")"),"Das Video beginnt mit Details des Sieges eines Feldhockeyteams im letzten Meisterschaftsspiel.")</f>
        <v>Das Video beginnt mit Details des Sieges eines Feldhockeyteams im letzten Meisterschaftsspiel.</v>
      </c>
    </row>
    <row r="10077">
      <c r="A10077" s="4" t="s">
        <v>12671</v>
      </c>
      <c r="B10077" s="4" t="s">
        <v>12673</v>
      </c>
      <c r="C10077" s="5" t="str">
        <f>IFERROR(__xludf.DUMMYFUNCTION("GOOGLETRANSLATE(B10077,""en"",""de"")"),"Das Stadion zeigt die beiden Teams, die im Spielhockey antreten.")</f>
        <v>Das Stadion zeigt die beiden Teams, die im Spielhockey antreten.</v>
      </c>
    </row>
    <row r="10078">
      <c r="A10078" s="4" t="s">
        <v>12671</v>
      </c>
      <c r="B10078" s="4" t="s">
        <v>12674</v>
      </c>
      <c r="C10078" s="5" t="str">
        <f>IFERROR(__xludf.DUMMYFUNCTION("GOOGLETRANSLATE(B10078,""en"",""de"")"),"Die Menge ist laut Jubel, als ein Team siegreich wird.")</f>
        <v>Die Menge ist laut Jubel, als ein Team siegreich wird.</v>
      </c>
    </row>
    <row r="10079">
      <c r="A10079" s="4" t="s">
        <v>12671</v>
      </c>
      <c r="B10079" s="4" t="s">
        <v>12675</v>
      </c>
      <c r="C10079" s="5" t="str">
        <f>IFERROR(__xludf.DUMMYFUNCTION("GOOGLETRANSLATE(B10079,""en"",""de"")"),"Die Spieler springen mit Freude aufeinander, während sie feiern.")</f>
        <v>Die Spieler springen mit Freude aufeinander, während sie feiern.</v>
      </c>
    </row>
    <row r="10080">
      <c r="A10080" s="4" t="s">
        <v>12671</v>
      </c>
      <c r="B10080" s="4" t="s">
        <v>12676</v>
      </c>
      <c r="C10080" s="5" t="str">
        <f>IFERROR(__xludf.DUMMYFUNCTION("GOOGLETRANSLATE(B10080,""en"",""de"")"),"Es gibt eine Bühne von Sängern, die Live -Musik aufführen, während sie den Sieg des Siegerteams feiern.")</f>
        <v>Es gibt eine Bühne von Sängern, die Live -Musik aufführen, während sie den Sieg des Siegerteams feiern.</v>
      </c>
    </row>
    <row r="10081">
      <c r="A10081" s="4" t="s">
        <v>12677</v>
      </c>
      <c r="B10081" s="4" t="s">
        <v>12678</v>
      </c>
      <c r="C10081" s="5" t="str">
        <f>IFERROR(__xludf.DUMMYFUNCTION("GOOGLETRANSLATE(B10081,""en"",""de"")"),"Eine Frau macht eine Tanzroutine auf einer Bühne.")</f>
        <v>Eine Frau macht eine Tanzroutine auf einer Bühne.</v>
      </c>
    </row>
    <row r="10082">
      <c r="A10082" s="4" t="s">
        <v>12677</v>
      </c>
      <c r="B10082" s="4" t="s">
        <v>12679</v>
      </c>
      <c r="C10082" s="5" t="str">
        <f>IFERROR(__xludf.DUMMYFUNCTION("GOOGLETRANSLATE(B10082,""en"",""de"")"),"Sie wirbelt und tritt ihre Beine herum.")</f>
        <v>Sie wirbelt und tritt ihre Beine herum.</v>
      </c>
    </row>
    <row r="10083">
      <c r="A10083" s="4" t="s">
        <v>12677</v>
      </c>
      <c r="B10083" s="4" t="s">
        <v>12680</v>
      </c>
      <c r="C10083" s="5" t="str">
        <f>IFERROR(__xludf.DUMMYFUNCTION("GOOGLETRANSLATE(B10083,""en"",""de"")"),"Sie bewegt sich rund um die Bühnen und beugt ihren Körper auf vielfältige Weise.")</f>
        <v>Sie bewegt sich rund um die Bühnen und beugt ihren Körper auf vielfältige Weise.</v>
      </c>
    </row>
    <row r="10084">
      <c r="A10084" s="4" t="s">
        <v>12677</v>
      </c>
      <c r="B10084" s="4" t="s">
        <v>12681</v>
      </c>
      <c r="C10084" s="5" t="str">
        <f>IFERROR(__xludf.DUMMYFUNCTION("GOOGLETRANSLATE(B10084,""en"",""de"")"),"Sie schüttelt weiter ihren Körper, damit das Publikum sehen kann.")</f>
        <v>Sie schüttelt weiter ihren Körper, damit das Publikum sehen kann.</v>
      </c>
    </row>
    <row r="10085">
      <c r="A10085" s="4" t="s">
        <v>12677</v>
      </c>
      <c r="B10085" s="4" t="s">
        <v>12682</v>
      </c>
      <c r="C10085" s="5" t="str">
        <f>IFERROR(__xludf.DUMMYFUNCTION("GOOGLETRANSLATE(B10085,""en"",""de"")"),"Sie schüttelt ihre Hüften zurück und den vierten Platz, während sie ihre Arme auf verschiedene Weise bewegt.")</f>
        <v>Sie schüttelt ihre Hüften zurück und den vierten Platz, während sie ihre Arme auf verschiedene Weise bewegt.</v>
      </c>
    </row>
    <row r="10086">
      <c r="A10086" s="4" t="s">
        <v>12683</v>
      </c>
      <c r="B10086" s="4" t="s">
        <v>12684</v>
      </c>
      <c r="C10086" s="5" t="str">
        <f>IFERROR(__xludf.DUMMYFUNCTION("GOOGLETRANSLATE(B10086,""en"",""de"")"),"Ein Mann geht auf ein Tauchbrett.")</f>
        <v>Ein Mann geht auf ein Tauchbrett.</v>
      </c>
    </row>
    <row r="10087">
      <c r="A10087" s="4" t="s">
        <v>12683</v>
      </c>
      <c r="B10087" s="4" t="s">
        <v>12685</v>
      </c>
      <c r="C10087" s="5" t="str">
        <f>IFERROR(__xludf.DUMMYFUNCTION("GOOGLETRANSLATE(B10087,""en"",""de"")"),"Er springt mehrmals auf das Tauchbrett und springt in einen Pool.")</f>
        <v>Er springt mehrmals auf das Tauchbrett und springt in einen Pool.</v>
      </c>
    </row>
    <row r="10088">
      <c r="A10088" s="4" t="s">
        <v>12683</v>
      </c>
      <c r="B10088" s="4" t="s">
        <v>12686</v>
      </c>
      <c r="C10088" s="5" t="str">
        <f>IFERROR(__xludf.DUMMYFUNCTION("GOOGLETRANSLATE(B10088,""en"",""de"")"),"Der Mann taucht auf und steht im Pool auf.")</f>
        <v>Der Mann taucht auf und steht im Pool auf.</v>
      </c>
    </row>
    <row r="10089">
      <c r="A10089" s="4" t="s">
        <v>12687</v>
      </c>
      <c r="B10089" s="4" t="s">
        <v>12688</v>
      </c>
      <c r="C10089" s="5" t="str">
        <f>IFERROR(__xludf.DUMMYFUNCTION("GOOGLETRANSLATE(B10089,""en"",""de"")"),"Die Leute machen Flips, indem sie rennen und an die Wand springen.")</f>
        <v>Die Leute machen Flips, indem sie rennen und an die Wand springen.</v>
      </c>
    </row>
    <row r="10090">
      <c r="A10090" s="4" t="s">
        <v>12687</v>
      </c>
      <c r="B10090" s="4" t="s">
        <v>12689</v>
      </c>
      <c r="C10090" s="5" t="str">
        <f>IFERROR(__xludf.DUMMYFUNCTION("GOOGLETRANSLATE(B10090,""en"",""de"")"),"Jungen machen Rücken auf einer blauen Matte.")</f>
        <v>Jungen machen Rücken auf einer blauen Matte.</v>
      </c>
    </row>
    <row r="10091">
      <c r="A10091" s="4" t="s">
        <v>12687</v>
      </c>
      <c r="B10091" s="4" t="s">
        <v>12690</v>
      </c>
      <c r="C10091" s="5" t="str">
        <f>IFERROR(__xludf.DUMMYFUNCTION("GOOGLETRANSLATE(B10091,""en"",""de"")"),"Ein Kind springt über mehrere andere Kinder, die auf der Matte liegen.")</f>
        <v>Ein Kind springt über mehrere andere Kinder, die auf der Matte liegen.</v>
      </c>
    </row>
    <row r="10092">
      <c r="A10092" s="4" t="s">
        <v>12687</v>
      </c>
      <c r="B10092" s="4" t="s">
        <v>12691</v>
      </c>
      <c r="C10092" s="5" t="str">
        <f>IFERROR(__xludf.DUMMYFUNCTION("GOOGLETRANSLATE(B10092,""en"",""de"")"),"Zwei Jungs Körper rollen miteinander auf der Matte.")</f>
        <v>Zwei Jungs Körper rollen miteinander auf der Matte.</v>
      </c>
    </row>
    <row r="10093">
      <c r="A10093" s="4" t="s">
        <v>12692</v>
      </c>
      <c r="B10093" s="4" t="s">
        <v>12693</v>
      </c>
      <c r="C10093" s="5" t="str">
        <f>IFERROR(__xludf.DUMMYFUNCTION("GOOGLETRANSLATE(B10093,""en"",""de"")"),"Zwei Männer posieren auf einem Foto für Kampfkünste.")</f>
        <v>Zwei Männer posieren auf einem Foto für Kampfkünste.</v>
      </c>
    </row>
    <row r="10094">
      <c r="A10094" s="4" t="s">
        <v>12692</v>
      </c>
      <c r="B10094" s="4" t="s">
        <v>12694</v>
      </c>
      <c r="C10094" s="5" t="str">
        <f>IFERROR(__xludf.DUMMYFUNCTION("GOOGLETRANSLATE(B10094,""en"",""de"")"),"In einem Raum wird eine Gruppe versammelt, die in verschiedenen Kampfkunstposen gezeigt wird.")</f>
        <v>In einem Raum wird eine Gruppe versammelt, die in verschiedenen Kampfkunstposen gezeigt wird.</v>
      </c>
    </row>
    <row r="10095">
      <c r="A10095" s="4" t="s">
        <v>12692</v>
      </c>
      <c r="B10095" s="4" t="s">
        <v>12695</v>
      </c>
      <c r="C10095" s="5" t="str">
        <f>IFERROR(__xludf.DUMMYFUNCTION("GOOGLETRANSLATE(B10095,""en"",""de"")"),"Sie ändern Bewegungen, Text auf dem Bildschirm, das zeigt, was sie tun.")</f>
        <v>Sie ändern Bewegungen, Text auf dem Bildschirm, das zeigt, was sie tun.</v>
      </c>
    </row>
    <row r="10096">
      <c r="A10096" s="4" t="s">
        <v>12692</v>
      </c>
      <c r="B10096" s="4" t="s">
        <v>12696</v>
      </c>
      <c r="C10096" s="5" t="str">
        <f>IFERROR(__xludf.DUMMYFUNCTION("GOOGLETRANSLATE(B10096,""en"",""de"")"),"Es endet mit einer Anzeige für die Schule.")</f>
        <v>Es endet mit einer Anzeige für die Schule.</v>
      </c>
    </row>
    <row r="10097">
      <c r="A10097" s="4" t="s">
        <v>12697</v>
      </c>
      <c r="B10097" s="4" t="s">
        <v>12698</v>
      </c>
      <c r="C10097" s="5" t="str">
        <f>IFERROR(__xludf.DUMMYFUNCTION("GOOGLETRANSLATE(B10097,""en"",""de"")"),"Eine Person fährt mit einem Surfbrett mit einem Drachen oben entlang des Wassers.")</f>
        <v>Eine Person fährt mit einem Surfbrett mit einem Drachen oben entlang des Wassers.</v>
      </c>
    </row>
    <row r="10098">
      <c r="A10098" s="4" t="s">
        <v>12697</v>
      </c>
      <c r="B10098" s="4" t="s">
        <v>12699</v>
      </c>
      <c r="C10098" s="5" t="str">
        <f>IFERROR(__xludf.DUMMYFUNCTION("GOOGLETRANSLATE(B10098,""en"",""de"")"),"Die Person drückt sich in die Luft und dreht sich wieder nach unten.")</f>
        <v>Die Person drückt sich in die Luft und dreht sich wieder nach unten.</v>
      </c>
    </row>
    <row r="10099">
      <c r="A10099" s="4" t="s">
        <v>12697</v>
      </c>
      <c r="B10099" s="4" t="s">
        <v>12700</v>
      </c>
      <c r="C10099" s="5" t="str">
        <f>IFERROR(__xludf.DUMMYFUNCTION("GOOGLETRANSLATE(B10099,""en"",""de"")"),"Er reitet weiter am Wasser.")</f>
        <v>Er reitet weiter am Wasser.</v>
      </c>
    </row>
    <row r="10100">
      <c r="A10100" s="4" t="s">
        <v>12701</v>
      </c>
      <c r="B10100" s="4" t="s">
        <v>12702</v>
      </c>
      <c r="C10100" s="5" t="str">
        <f>IFERROR(__xludf.DUMMYFUNCTION("GOOGLETRANSLATE(B10100,""en"",""de"")"),"Ein Mann spricht mit einer Kamera über seine Haare.")</f>
        <v>Ein Mann spricht mit einer Kamera über seine Haare.</v>
      </c>
    </row>
    <row r="10101">
      <c r="A10101" s="4" t="s">
        <v>12701</v>
      </c>
      <c r="B10101" s="4" t="s">
        <v>12703</v>
      </c>
      <c r="C10101" s="5" t="str">
        <f>IFERROR(__xludf.DUMMYFUNCTION("GOOGLETRANSLATE(B10101,""en"",""de"")"),"Ein anderer Mann kommt herein und beginnt die Messe des ersten Jungen zu schneiden.")</f>
        <v>Ein anderer Mann kommt herein und beginnt die Messe des ersten Jungen zu schneiden.</v>
      </c>
    </row>
    <row r="10102">
      <c r="A10102" s="4" t="s">
        <v>12701</v>
      </c>
      <c r="B10102" s="4" t="s">
        <v>12704</v>
      </c>
      <c r="C10102" s="5" t="str">
        <f>IFERROR(__xludf.DUMMYFUNCTION("GOOGLETRANSLATE(B10102,""en"",""de"")"),"Er streift seine Haare und schneidet sie mit einem feinen Kamm durch.")</f>
        <v>Er streift seine Haare und schneidet sie mit einem feinen Kamm durch.</v>
      </c>
    </row>
    <row r="10103">
      <c r="A10103" s="4" t="s">
        <v>12701</v>
      </c>
      <c r="B10103" s="4" t="s">
        <v>12705</v>
      </c>
      <c r="C10103" s="5" t="str">
        <f>IFERROR(__xludf.DUMMYFUNCTION("GOOGLETRANSLATE(B10103,""en"",""de"")"),"Der Stylist führt verschiedene Stile und Techniken auf dem Haar aus.")</f>
        <v>Der Stylist führt verschiedene Stile und Techniken auf dem Haar aus.</v>
      </c>
    </row>
    <row r="10104">
      <c r="A10104" s="4" t="s">
        <v>12701</v>
      </c>
      <c r="B10104" s="4" t="s">
        <v>12706</v>
      </c>
      <c r="C10104" s="5" t="str">
        <f>IFERROR(__xludf.DUMMYFUNCTION("GOOGLETRANSLATE(B10104,""en"",""de"")"),"Der Stylist steckt Gel in die Haare und der Junge ist mit seinem Schnitt fertig.")</f>
        <v>Der Stylist steckt Gel in die Haare und der Junge ist mit seinem Schnitt fertig.</v>
      </c>
    </row>
    <row r="10105">
      <c r="A10105" s="4" t="s">
        <v>12707</v>
      </c>
      <c r="B10105" s="4" t="s">
        <v>12708</v>
      </c>
      <c r="C10105" s="5" t="str">
        <f>IFERROR(__xludf.DUMMYFUNCTION("GOOGLETRANSLATE(B10105,""en"",""de"")"),"Ein Mann in einem Schutzhelm sieht sich ein Gebäude an.")</f>
        <v>Ein Mann in einem Schutzhelm sieht sich ein Gebäude an.</v>
      </c>
    </row>
    <row r="10106">
      <c r="A10106" s="4" t="s">
        <v>12707</v>
      </c>
      <c r="B10106" s="4" t="s">
        <v>12709</v>
      </c>
      <c r="C10106" s="5" t="str">
        <f>IFERROR(__xludf.DUMMYFUNCTION("GOOGLETRANSLATE(B10106,""en"",""de"")"),"Ein zweiter Mann geht auf und schüttelt die erste Hand.")</f>
        <v>Ein zweiter Mann geht auf und schüttelt die erste Hand.</v>
      </c>
    </row>
    <row r="10107">
      <c r="A10107" s="4" t="s">
        <v>12707</v>
      </c>
      <c r="B10107" s="4" t="s">
        <v>12710</v>
      </c>
      <c r="C10107" s="5" t="str">
        <f>IFERROR(__xludf.DUMMYFUNCTION("GOOGLETRANSLATE(B10107,""en"",""de"")"),"Beide Männer erkennen das Gebäude an und diskutieren.")</f>
        <v>Beide Männer erkennen das Gebäude an und diskutieren.</v>
      </c>
    </row>
    <row r="10108">
      <c r="A10108" s="4" t="s">
        <v>12707</v>
      </c>
      <c r="B10108" s="4" t="s">
        <v>12711</v>
      </c>
      <c r="C10108" s="5" t="str">
        <f>IFERROR(__xludf.DUMMYFUNCTION("GOOGLETRANSLATE(B10108,""en"",""de"")"),"Drei Männer sparen die Wand, wenn zwei Vergleiche gezeigt werden.")</f>
        <v>Drei Männer sparen die Wand, wenn zwei Vergleiche gezeigt werden.</v>
      </c>
    </row>
    <row r="10109">
      <c r="A10109" s="4" t="s">
        <v>12707</v>
      </c>
      <c r="B10109" s="4" t="s">
        <v>12712</v>
      </c>
      <c r="C10109" s="5" t="str">
        <f>IFERROR(__xludf.DUMMYFUNCTION("GOOGLETRANSLATE(B10109,""en"",""de"")"),"Die beiden Männer inspizieren die Mauer.")</f>
        <v>Die beiden Männer inspizieren die Mauer.</v>
      </c>
    </row>
    <row r="10110">
      <c r="A10110" s="4" t="s">
        <v>12707</v>
      </c>
      <c r="B10110" s="4" t="s">
        <v>12713</v>
      </c>
      <c r="C10110" s="5" t="str">
        <f>IFERROR(__xludf.DUMMYFUNCTION("GOOGLETRANSLATE(B10110,""en"",""de"")"),"Ein anderer Mann geht auf und wird dem anderen Mann vorgestellt.")</f>
        <v>Ein anderer Mann geht auf und wird dem anderen Mann vorgestellt.</v>
      </c>
    </row>
    <row r="10111">
      <c r="A10111" s="4" t="s">
        <v>12707</v>
      </c>
      <c r="B10111" s="4" t="s">
        <v>12714</v>
      </c>
      <c r="C10111" s="5" t="str">
        <f>IFERROR(__xludf.DUMMYFUNCTION("GOOGLETRANSLATE(B10111,""en"",""de"")"),"Der Mann geht weg, als die ersten beiden weiter reden.")</f>
        <v>Der Mann geht weg, als die ersten beiden weiter reden.</v>
      </c>
    </row>
    <row r="10112">
      <c r="A10112" s="4" t="s">
        <v>12715</v>
      </c>
      <c r="B10112" s="4" t="s">
        <v>12716</v>
      </c>
      <c r="C10112" s="5" t="str">
        <f>IFERROR(__xludf.DUMMYFUNCTION("GOOGLETRANSLATE(B10112,""en"",""de"")"),"Eine Person steht auf einem Holzfeuer im Wald.")</f>
        <v>Eine Person steht auf einem Holzfeuer im Wald.</v>
      </c>
    </row>
    <row r="10113">
      <c r="A10113" s="4" t="s">
        <v>12715</v>
      </c>
      <c r="B10113" s="4" t="s">
        <v>12717</v>
      </c>
      <c r="C10113" s="5" t="str">
        <f>IFERROR(__xludf.DUMMYFUNCTION("GOOGLETRANSLATE(B10113,""en"",""de"")"),"Dann zeugt die Person ein Match und wirft es in das Holzfeuer, dann zündete ein Feuer.")</f>
        <v>Dann zeugt die Person ein Match und wirft es in das Holzfeuer, dann zündete ein Feuer.</v>
      </c>
    </row>
    <row r="10114">
      <c r="A10114" s="4" t="s">
        <v>12718</v>
      </c>
      <c r="B10114" s="4" t="s">
        <v>12719</v>
      </c>
      <c r="C10114" s="5" t="str">
        <f>IFERROR(__xludf.DUMMYFUNCTION("GOOGLETRANSLATE(B10114,""en"",""de"")"),"Ein großes Publikum sieht sich ein Sportspiel an und führt zu einem Münzwurf.")</f>
        <v>Ein großes Publikum sieht sich ein Sportspiel an und führt zu einem Münzwurf.</v>
      </c>
    </row>
    <row r="10115">
      <c r="A10115" s="4" t="s">
        <v>12718</v>
      </c>
      <c r="B10115" s="4" t="s">
        <v>12720</v>
      </c>
      <c r="C10115" s="5" t="str">
        <f>IFERROR(__xludf.DUMMYFUNCTION("GOOGLETRANSLATE(B10115,""en"",""de"")"),"Das Publikum jubelt mehr und führt zu Menschen, die einen Ball werfen und andere ihn schlagen.")</f>
        <v>Das Publikum jubelt mehr und führt zu Menschen, die einen Ball werfen und andere ihn schlagen.</v>
      </c>
    </row>
    <row r="10116">
      <c r="A10116" s="4" t="s">
        <v>12718</v>
      </c>
      <c r="B10116" s="4" t="s">
        <v>12721</v>
      </c>
      <c r="C10116" s="5" t="str">
        <f>IFERROR(__xludf.DUMMYFUNCTION("GOOGLETRANSLATE(B10116,""en"",""de"")"),"Weitere Aufnahmen des Spiels werden ebenso gezeigt wie andere, die an den Seiten beobachten.")</f>
        <v>Weitere Aufnahmen des Spiels werden ebenso gezeigt wie andere, die an den Seiten beobachten.</v>
      </c>
    </row>
    <row r="10117">
      <c r="A10117" s="4" t="s">
        <v>12722</v>
      </c>
      <c r="B10117" s="4" t="s">
        <v>12723</v>
      </c>
      <c r="C10117" s="5" t="str">
        <f>IFERROR(__xludf.DUMMYFUNCTION("GOOGLETRANSLATE(B10117,""en"",""de"")"),"Die Mundharmonika wird aufgehalten und gezeigt.")</f>
        <v>Die Mundharmonika wird aufgehalten und gezeigt.</v>
      </c>
    </row>
    <row r="10118">
      <c r="A10118" s="4" t="s">
        <v>12722</v>
      </c>
      <c r="B10118" s="4" t="s">
        <v>12724</v>
      </c>
      <c r="C10118" s="5" t="str">
        <f>IFERROR(__xludf.DUMMYFUNCTION("GOOGLETRANSLATE(B10118,""en"",""de"")"),"Eine Person hält eine Mundharmonika zwischen seinen Händen und spielt ein Lied.")</f>
        <v>Eine Person hält eine Mundharmonika zwischen seinen Händen und spielt ein Lied.</v>
      </c>
    </row>
    <row r="10119">
      <c r="A10119" s="4" t="s">
        <v>12722</v>
      </c>
      <c r="B10119" s="4" t="s">
        <v>12725</v>
      </c>
      <c r="C10119" s="5" t="str">
        <f>IFERROR(__xludf.DUMMYFUNCTION("GOOGLETRANSLATE(B10119,""en"",""de"")"),"Die Person beendet das Lied und hält die Mundharmonika hoch.")</f>
        <v>Die Person beendet das Lied und hält die Mundharmonika hoch.</v>
      </c>
    </row>
    <row r="10120">
      <c r="A10120" s="4" t="s">
        <v>12726</v>
      </c>
      <c r="B10120" s="4" t="s">
        <v>12727</v>
      </c>
      <c r="C10120" s="5" t="str">
        <f>IFERROR(__xludf.DUMMYFUNCTION("GOOGLETRANSLATE(B10120,""en"",""de"")"),"Der Junge geht die Straße entlang und hielt sich an einem Skate -Brett hinunter und beginnt zu skaten.")</f>
        <v>Der Junge geht die Straße entlang und hielt sich an einem Skate -Brett hinunter und beginnt zu skaten.</v>
      </c>
    </row>
    <row r="10121">
      <c r="A10121" s="4" t="s">
        <v>12726</v>
      </c>
      <c r="B10121" s="4" t="s">
        <v>12728</v>
      </c>
      <c r="C10121" s="5" t="str">
        <f>IFERROR(__xludf.DUMMYFUNCTION("GOOGLETRANSLATE(B10121,""en"",""de"")"),"Dann schließen sich ihm drei Freunde an und sie fahren die Straße hinunter.")</f>
        <v>Dann schließen sich ihm drei Freunde an und sie fahren die Straße hinunter.</v>
      </c>
    </row>
    <row r="10122">
      <c r="A10122" s="4" t="s">
        <v>12726</v>
      </c>
      <c r="B10122" s="4" t="s">
        <v>12729</v>
      </c>
      <c r="C10122" s="5" t="str">
        <f>IFERROR(__xludf.DUMMYFUNCTION("GOOGLETRANSLATE(B10122,""en"",""de"")"),"Während sie sich auf dem Brett beugen, biegen sie sich mit den Händen hinter dem Rücken ab, um mehr Schwung aufzubauen.")</f>
        <v>Während sie sich auf dem Brett beugen, biegen sie sich mit den Händen hinter dem Rücken ab, um mehr Schwung aufzubauen.</v>
      </c>
    </row>
    <row r="10123">
      <c r="A10123" s="4" t="s">
        <v>12726</v>
      </c>
      <c r="B10123" s="4" t="s">
        <v>12730</v>
      </c>
      <c r="C10123" s="5" t="str">
        <f>IFERROR(__xludf.DUMMYFUNCTION("GOOGLETRANSLATE(B10123,""en"",""de"")"),"Sie fahren überall von einem Bereich zum anderen herum und genießen ihre Freizeit.")</f>
        <v>Sie fahren überall von einem Bereich zum anderen herum und genießen ihre Freizeit.</v>
      </c>
    </row>
    <row r="10124">
      <c r="A10124" s="4" t="s">
        <v>12731</v>
      </c>
      <c r="B10124" s="4" t="s">
        <v>12732</v>
      </c>
      <c r="C10124" s="5" t="str">
        <f>IFERROR(__xludf.DUMMYFUNCTION("GOOGLETRANSLATE(B10124,""en"",""de"")"),"Ein Bild wird von einer Platte mit Sardinennudeln zusammen mit einer Liste von Zutaten gezeigt.")</f>
        <v>Ein Bild wird von einer Platte mit Sardinennudeln zusammen mit einer Liste von Zutaten gezeigt.</v>
      </c>
    </row>
    <row r="10125">
      <c r="A10125" s="4" t="s">
        <v>12731</v>
      </c>
      <c r="B10125" s="4" t="s">
        <v>12733</v>
      </c>
      <c r="C10125" s="5" t="str">
        <f>IFERROR(__xludf.DUMMYFUNCTION("GOOGLETRANSLATE(B10125,""en"",""de"")"),"Wasser wird gesalzen und für die Nudeln gekocht, und Gemüse werden in Olivenöl gesaut.")</f>
        <v>Wasser wird gesalzen und für die Nudeln gekocht, und Gemüse werden in Olivenöl gesaut.</v>
      </c>
    </row>
    <row r="10126">
      <c r="A10126" s="4" t="s">
        <v>12731</v>
      </c>
      <c r="B10126" s="4" t="s">
        <v>12734</v>
      </c>
      <c r="C10126" s="5" t="str">
        <f>IFERROR(__xludf.DUMMYFUNCTION("GOOGLETRANSLATE(B10126,""en"",""de"")"),"Sardinen werden hinzugefügt und dann mit den Spaghetti -Nudeln gemischt und erzeugen ein fertiges Gericht.")</f>
        <v>Sardinen werden hinzugefügt und dann mit den Spaghetti -Nudeln gemischt und erzeugen ein fertiges Gericht.</v>
      </c>
    </row>
    <row r="10127">
      <c r="A10127" s="4" t="s">
        <v>12735</v>
      </c>
      <c r="B10127" s="4" t="s">
        <v>12736</v>
      </c>
      <c r="C10127" s="5" t="str">
        <f>IFERROR(__xludf.DUMMYFUNCTION("GOOGLETRANSLATE(B10127,""en"",""de"")"),"Ein Hockeyspieler spricht in einem Interview im Fernsehen.")</f>
        <v>Ein Hockeyspieler spricht in einem Interview im Fernsehen.</v>
      </c>
    </row>
    <row r="10128">
      <c r="A10128" s="4" t="s">
        <v>12735</v>
      </c>
      <c r="B10128" s="4" t="s">
        <v>12737</v>
      </c>
      <c r="C10128" s="5" t="str">
        <f>IFERROR(__xludf.DUMMYFUNCTION("GOOGLETRANSLATE(B10128,""en"",""de"")"),"Während er spricht, werden mehrere Standbilder von ihm gespielt.")</f>
        <v>Während er spricht, werden mehrere Standbilder von ihm gespielt.</v>
      </c>
    </row>
    <row r="10129">
      <c r="A10129" s="4" t="s">
        <v>12735</v>
      </c>
      <c r="B10129" s="4" t="s">
        <v>12738</v>
      </c>
      <c r="C10129" s="5" t="str">
        <f>IFERROR(__xludf.DUMMYFUNCTION("GOOGLETRANSLATE(B10129,""en"",""de"")"),"Er redet weiter, als die Bilder über den Bildschirm blinken.")</f>
        <v>Er redet weiter, als die Bilder über den Bildschirm blinken.</v>
      </c>
    </row>
    <row r="10130">
      <c r="A10130" s="4" t="s">
        <v>12739</v>
      </c>
      <c r="B10130" s="4" t="s">
        <v>12740</v>
      </c>
      <c r="C10130" s="5" t="str">
        <f>IFERROR(__xludf.DUMMYFUNCTION("GOOGLETRANSLATE(B10130,""en"",""de"")"),"Der Mann, der grauen Pullover trägt, spielt Gitarre.")</f>
        <v>Der Mann, der grauen Pullover trägt, spielt Gitarre.</v>
      </c>
    </row>
    <row r="10131">
      <c r="A10131" s="4" t="s">
        <v>12739</v>
      </c>
      <c r="B10131" s="4" t="s">
        <v>12741</v>
      </c>
      <c r="C10131" s="5" t="str">
        <f>IFERROR(__xludf.DUMMYFUNCTION("GOOGLETRANSLATE(B10131,""en"",""de"")"),"Der Mann sah auf die Gitarre.")</f>
        <v>Der Mann sah auf die Gitarre.</v>
      </c>
    </row>
    <row r="10132">
      <c r="A10132" s="4" t="s">
        <v>12739</v>
      </c>
      <c r="B10132" s="4" t="s">
        <v>12742</v>
      </c>
      <c r="C10132" s="5" t="str">
        <f>IFERROR(__xludf.DUMMYFUNCTION("GOOGLETRANSLATE(B10132,""en"",""de"")"),"Der Mann im blauen Hemd spielt seine Gitarre und steckt dann die Fäden.")</f>
        <v>Der Mann im blauen Hemd spielt seine Gitarre und steckt dann die Fäden.</v>
      </c>
    </row>
    <row r="10133">
      <c r="A10133" s="4" t="s">
        <v>12743</v>
      </c>
      <c r="B10133" s="4" t="s">
        <v>12744</v>
      </c>
      <c r="C10133" s="5" t="str">
        <f>IFERROR(__xludf.DUMMYFUNCTION("GOOGLETRANSLATE(B10133,""en"",""de"")"),"Zwei Männer sitzen in einem Raum vor einem Roboterarm.")</f>
        <v>Zwei Männer sitzen in einem Raum vor einem Roboterarm.</v>
      </c>
    </row>
    <row r="10134">
      <c r="A10134" s="4" t="s">
        <v>12743</v>
      </c>
      <c r="B10134" s="4" t="s">
        <v>12745</v>
      </c>
      <c r="C10134" s="5" t="str">
        <f>IFERROR(__xludf.DUMMYFUNCTION("GOOGLETRANSLATE(B10134,""en"",""de"")"),"Einer der Männer verwendet einen Controller, damit der Arm eine Flasche aufnimmt.")</f>
        <v>Einer der Männer verwendet einen Controller, damit der Arm eine Flasche aufnimmt.</v>
      </c>
    </row>
    <row r="10135">
      <c r="A10135" s="4" t="s">
        <v>12743</v>
      </c>
      <c r="B10135" s="4" t="s">
        <v>12746</v>
      </c>
      <c r="C10135" s="5" t="str">
        <f>IFERROR(__xludf.DUMMYFUNCTION("GOOGLETRANSLATE(B10135,""en"",""de"")"),"Der Arm bringt die Flasche ins Gesicht des Mannes, damit er etwas trinken kann.")</f>
        <v>Der Arm bringt die Flasche ins Gesicht des Mannes, damit er etwas trinken kann.</v>
      </c>
    </row>
    <row r="10136">
      <c r="A10136" s="4" t="s">
        <v>12743</v>
      </c>
      <c r="B10136" s="4" t="s">
        <v>12747</v>
      </c>
      <c r="C10136" s="5" t="str">
        <f>IFERROR(__xludf.DUMMYFUNCTION("GOOGLETRANSLATE(B10136,""en"",""de"")"),"Dann gibt der Roboter die Flasche zum Tisch zurück.")</f>
        <v>Dann gibt der Roboter die Flasche zum Tisch zurück.</v>
      </c>
    </row>
    <row r="10137">
      <c r="A10137" s="4" t="s">
        <v>12748</v>
      </c>
      <c r="B10137" s="4" t="s">
        <v>12749</v>
      </c>
      <c r="C10137" s="5" t="str">
        <f>IFERROR(__xludf.DUMMYFUNCTION("GOOGLETRANSLATE(B10137,""en"",""de"")"),"Darsteller singen und Tänzer auf einer Konzertbühne.")</f>
        <v>Darsteller singen und Tänzer auf einer Konzertbühne.</v>
      </c>
    </row>
    <row r="10138">
      <c r="A10138" s="4" t="s">
        <v>12748</v>
      </c>
      <c r="B10138" s="4" t="s">
        <v>12750</v>
      </c>
      <c r="C10138" s="5" t="str">
        <f>IFERROR(__xludf.DUMMYFUNCTION("GOOGLETRANSLATE(B10138,""en"",""de"")"),"Ein Darsteller klettert die Treppe hinunter.")</f>
        <v>Ein Darsteller klettert die Treppe hinunter.</v>
      </c>
    </row>
    <row r="10139">
      <c r="A10139" s="4" t="s">
        <v>12748</v>
      </c>
      <c r="B10139" s="4" t="s">
        <v>12751</v>
      </c>
      <c r="C10139" s="5" t="str">
        <f>IFERROR(__xludf.DUMMYFUNCTION("GOOGLETRANSLATE(B10139,""en"",""de"")"),"Mehrere Darsteller posieren, Geste und verweisen auf das Publikum.")</f>
        <v>Mehrere Darsteller posieren, Geste und verweisen auf das Publikum.</v>
      </c>
    </row>
    <row r="10140">
      <c r="A10140" s="4" t="s">
        <v>12748</v>
      </c>
      <c r="B10140" s="4" t="s">
        <v>12752</v>
      </c>
      <c r="C10140" s="5" t="str">
        <f>IFERROR(__xludf.DUMMYFUNCTION("GOOGLETRANSLATE(B10140,""en"",""de"")"),"Ein Performer Break tanzt auf der Bühne.")</f>
        <v>Ein Performer Break tanzt auf der Bühne.</v>
      </c>
    </row>
    <row r="10141">
      <c r="A10141" s="4" t="s">
        <v>12748</v>
      </c>
      <c r="B10141" s="4" t="s">
        <v>12753</v>
      </c>
      <c r="C10141" s="5" t="str">
        <f>IFERROR(__xludf.DUMMYFUNCTION("GOOGLETRANSLATE(B10141,""en"",""de"")"),"Der Break -Tänzer liegt auf dem Bühnenboden.")</f>
        <v>Der Break -Tänzer liegt auf dem Bühnenboden.</v>
      </c>
    </row>
    <row r="10142">
      <c r="A10142" s="4" t="s">
        <v>12748</v>
      </c>
      <c r="B10142" s="4" t="s">
        <v>12754</v>
      </c>
      <c r="C10142" s="5" t="str">
        <f>IFERROR(__xludf.DUMMYFUNCTION("GOOGLETRANSLATE(B10142,""en"",""de"")"),"Ein Darsteller erhöht die Hand des stehenden Break -Tänzers in der Luft.")</f>
        <v>Ein Darsteller erhöht die Hand des stehenden Break -Tänzers in der Luft.</v>
      </c>
    </row>
    <row r="10143">
      <c r="A10143" s="4" t="s">
        <v>12748</v>
      </c>
      <c r="B10143" s="4" t="s">
        <v>12755</v>
      </c>
      <c r="C10143" s="5" t="str">
        <f>IFERROR(__xludf.DUMMYFUNCTION("GOOGLETRANSLATE(B10143,""en"",""de"")"),"Der Break -Tänzer gibt einem Darsteller fünf.")</f>
        <v>Der Break -Tänzer gibt einem Darsteller fünf.</v>
      </c>
    </row>
    <row r="10144">
      <c r="A10144" s="4" t="s">
        <v>12748</v>
      </c>
      <c r="B10144" s="4" t="s">
        <v>12756</v>
      </c>
      <c r="C10144" s="5" t="str">
        <f>IFERROR(__xludf.DUMMYFUNCTION("GOOGLETRANSLATE(B10144,""en"",""de"")"),"Ein Performer hockt und Gesten.")</f>
        <v>Ein Performer hockt und Gesten.</v>
      </c>
    </row>
    <row r="10145">
      <c r="A10145" s="4" t="s">
        <v>12757</v>
      </c>
      <c r="B10145" s="4" t="s">
        <v>12758</v>
      </c>
      <c r="C10145" s="5" t="str">
        <f>IFERROR(__xludf.DUMMYFUNCTION("GOOGLETRANSLATE(B10145,""en"",""de"")"),"Ein Mann springt von einer Brücke und Bungee -Sprüngen.")</f>
        <v>Ein Mann springt von einer Brücke und Bungee -Sprüngen.</v>
      </c>
    </row>
    <row r="10146">
      <c r="A10146" s="4" t="s">
        <v>12757</v>
      </c>
      <c r="B10146" s="4" t="s">
        <v>12759</v>
      </c>
      <c r="C10146" s="5" t="str">
        <f>IFERROR(__xludf.DUMMYFUNCTION("GOOGLETRANSLATE(B10146,""en"",""de"")"),"Es zeigt, wie er wieder auf die Kante klettern.")</f>
        <v>Es zeigt, wie er wieder auf die Kante klettern.</v>
      </c>
    </row>
    <row r="10147">
      <c r="A10147" s="4" t="s">
        <v>12757</v>
      </c>
      <c r="B10147" s="4" t="s">
        <v>12760</v>
      </c>
      <c r="C10147" s="5" t="str">
        <f>IFERROR(__xludf.DUMMYFUNCTION("GOOGLETRANSLATE(B10147,""en"",""de"")"),"Er springt wieder von der Brücke.")</f>
        <v>Er springt wieder von der Brücke.</v>
      </c>
    </row>
    <row r="10148">
      <c r="A10148" s="4" t="s">
        <v>12761</v>
      </c>
      <c r="B10148" s="4" t="s">
        <v>12762</v>
      </c>
      <c r="C10148" s="5" t="str">
        <f>IFERROR(__xludf.DUMMYFUNCTION("GOOGLETRANSLATE(B10148,""en"",""de"")"),"Ein Mann in einem Köchen -Outfit steht in einer Küche.")</f>
        <v>Ein Mann in einem Köchen -Outfit steht in einer Küche.</v>
      </c>
    </row>
    <row r="10149">
      <c r="A10149" s="4" t="s">
        <v>12761</v>
      </c>
      <c r="B10149" s="4" t="s">
        <v>12763</v>
      </c>
      <c r="C10149" s="5" t="str">
        <f>IFERROR(__xludf.DUMMYFUNCTION("GOOGLETRANSLATE(B10149,""en"",""de"")"),"Er dreht etwas um, das in einer Pfanne ist.")</f>
        <v>Er dreht etwas um, das in einer Pfanne ist.</v>
      </c>
    </row>
    <row r="10150">
      <c r="A10150" s="4" t="s">
        <v>12761</v>
      </c>
      <c r="B10150" s="4" t="s">
        <v>12764</v>
      </c>
      <c r="C10150" s="5" t="str">
        <f>IFERROR(__xludf.DUMMYFUNCTION("GOOGLETRANSLATE(B10150,""en"",""de"")"),"Er benutzt einen Löffel, um das in der Pfanne zu rühren.")</f>
        <v>Er benutzt einen Löffel, um das in der Pfanne zu rühren.</v>
      </c>
    </row>
    <row r="10151">
      <c r="A10151" s="4" t="s">
        <v>12765</v>
      </c>
      <c r="B10151" s="4" t="s">
        <v>12766</v>
      </c>
      <c r="C10151" s="5" t="str">
        <f>IFERROR(__xludf.DUMMYFUNCTION("GOOGLETRANSLATE(B10151,""en"",""de"")"),"Eine Einführung auf den Bildschirm für ein Video über das Spielen von Tennis.")</f>
        <v>Eine Einführung auf den Bildschirm für ein Video über das Spielen von Tennis.</v>
      </c>
    </row>
    <row r="10152">
      <c r="A10152" s="4" t="s">
        <v>12765</v>
      </c>
      <c r="B10152" s="4" t="s">
        <v>12767</v>
      </c>
      <c r="C10152" s="5" t="str">
        <f>IFERROR(__xludf.DUMMYFUNCTION("GOOGLETRANSLATE(B10152,""en"",""de"")"),"Und der Mensch kommt dazu, über die Lektionen zu sprechen, die er im Video unterrichten wird.")</f>
        <v>Und der Mensch kommt dazu, über die Lektionen zu sprechen, die er im Video unterrichten wird.</v>
      </c>
    </row>
    <row r="10153">
      <c r="A10153" s="4" t="s">
        <v>12765</v>
      </c>
      <c r="B10153" s="4" t="s">
        <v>12768</v>
      </c>
      <c r="C10153" s="5" t="str">
        <f>IFERROR(__xludf.DUMMYFUNCTION("GOOGLETRANSLATE(B10153,""en"",""de"")"),"Er schwingt mehrmals mit dem Schläger, um eine gute Form zum Schwingen des Tennisschlägers zu demonstrieren.")</f>
        <v>Er schwingt mehrmals mit dem Schläger, um eine gute Form zum Schwingen des Tennisschlägers zu demonstrieren.</v>
      </c>
    </row>
    <row r="10154">
      <c r="A10154" s="4" t="s">
        <v>12765</v>
      </c>
      <c r="B10154" s="4" t="s">
        <v>12769</v>
      </c>
      <c r="C10154" s="5" t="str">
        <f>IFERROR(__xludf.DUMMYFUNCTION("GOOGLETRANSLATE(B10154,""en"",""de"")"),"Ein anderer Mann kommt auf den Bildschirm und führt die verschiedenen Tennisflügel aus, während der andere Mann erzählt.")</f>
        <v>Ein anderer Mann kommt auf den Bildschirm und führt die verschiedenen Tennisflügel aus, während der andere Mann erzählt.</v>
      </c>
    </row>
    <row r="10155">
      <c r="A10155" s="4" t="s">
        <v>12765</v>
      </c>
      <c r="B10155" s="4" t="s">
        <v>12770</v>
      </c>
      <c r="C10155" s="5" t="str">
        <f>IFERROR(__xludf.DUMMYFUNCTION("GOOGLETRANSLATE(B10155,""en"",""de"")"),"Wenn das Video endet, werden die Schließkredite auf dem Bildschirm angezeigt.")</f>
        <v>Wenn das Video endet, werden die Schließkredite auf dem Bildschirm angezeigt.</v>
      </c>
    </row>
    <row r="10156">
      <c r="A10156" s="4" t="s">
        <v>12771</v>
      </c>
      <c r="B10156" s="4" t="s">
        <v>12772</v>
      </c>
      <c r="C10156" s="5" t="str">
        <f>IFERROR(__xludf.DUMMYFUNCTION("GOOGLETRANSLATE(B10156,""en"",""de"")"),"Eine Frau, die einen Ball in ein Feld von Menschen tritt und dann zurück zum Heimteller rennt.")</f>
        <v>Eine Frau, die einen Ball in ein Feld von Menschen tritt und dann zurück zum Heimteller rennt.</v>
      </c>
    </row>
    <row r="10157">
      <c r="A10157" s="4" t="s">
        <v>12771</v>
      </c>
      <c r="B10157" s="4" t="s">
        <v>12773</v>
      </c>
      <c r="C10157" s="5" t="str">
        <f>IFERROR(__xludf.DUMMYFUNCTION("GOOGLETRANSLATE(B10157,""en"",""de"")"),"Sie tritt dann wieder in den Ball, während andere um sie herum rennen und den Ball vom Feld greifen.")</f>
        <v>Sie tritt dann wieder in den Ball, während andere um sie herum rennen und den Ball vom Feld greifen.</v>
      </c>
    </row>
    <row r="10158">
      <c r="A10158" s="4" t="s">
        <v>12774</v>
      </c>
      <c r="B10158" s="4" t="s">
        <v>12775</v>
      </c>
      <c r="C10158" s="5" t="str">
        <f>IFERROR(__xludf.DUMMYFUNCTION("GOOGLETRANSLATE(B10158,""en"",""de"")"),"Eine Nahaufnahme wird von einem Bild auf einem Handy angezeigt.")</f>
        <v>Eine Nahaufnahme wird von einem Bild auf einem Handy angezeigt.</v>
      </c>
    </row>
    <row r="10159">
      <c r="A10159" s="4" t="s">
        <v>12774</v>
      </c>
      <c r="B10159" s="4" t="s">
        <v>12776</v>
      </c>
      <c r="C10159" s="5" t="str">
        <f>IFERROR(__xludf.DUMMYFUNCTION("GOOGLETRANSLATE(B10159,""en"",""de"")"),"Ein männlicher Turner läuft und dreht sich über eine Matte hin und her.")</f>
        <v>Ein männlicher Turner läuft und dreht sich über eine Matte hin und her.</v>
      </c>
    </row>
    <row r="10160">
      <c r="A10160" s="4" t="s">
        <v>12774</v>
      </c>
      <c r="B10160" s="4" t="s">
        <v>12777</v>
      </c>
      <c r="C10160" s="5" t="str">
        <f>IFERROR(__xludf.DUMMYFUNCTION("GOOGLETRANSLATE(B10160,""en"",""de"")"),"Dann wird ihm gezeigt, wie er weit in die Luft flippt, bevor er vor dem jubelnden Publikum steht.")</f>
        <v>Dann wird ihm gezeigt, wie er weit in die Luft flippt, bevor er vor dem jubelnden Publikum steht.</v>
      </c>
    </row>
    <row r="10161">
      <c r="A10161" s="4" t="s">
        <v>12778</v>
      </c>
      <c r="B10161" s="4" t="s">
        <v>12779</v>
      </c>
      <c r="C10161" s="5" t="str">
        <f>IFERROR(__xludf.DUMMYFUNCTION("GOOGLETRANSLATE(B10161,""en"",""de"")"),"Zwei Menschen ringen in einem Ring.")</f>
        <v>Zwei Menschen ringen in einem Ring.</v>
      </c>
    </row>
    <row r="10162">
      <c r="A10162" s="4" t="s">
        <v>12778</v>
      </c>
      <c r="B10162" s="4" t="s">
        <v>12780</v>
      </c>
      <c r="C10162" s="5" t="str">
        <f>IFERROR(__xludf.DUMMYFUNCTION("GOOGLETRANSLATE(B10162,""en"",""de"")"),"Ein Schiedsrichter steht auf der Seite des Rings und beobachtet sie.")</f>
        <v>Ein Schiedsrichter steht auf der Seite des Rings und beobachtet sie.</v>
      </c>
    </row>
    <row r="10163">
      <c r="A10163" s="4" t="s">
        <v>12778</v>
      </c>
      <c r="B10163" s="4" t="s">
        <v>12781</v>
      </c>
      <c r="C10163" s="5" t="str">
        <f>IFERROR(__xludf.DUMMYFUNCTION("GOOGLETRANSLATE(B10163,""en"",""de"")"),"Die Menge hinter ihnen jubelt.")</f>
        <v>Die Menge hinter ihnen jubelt.</v>
      </c>
    </row>
    <row r="10164">
      <c r="A10164" s="4" t="s">
        <v>12782</v>
      </c>
      <c r="B10164" s="4" t="s">
        <v>12783</v>
      </c>
      <c r="C10164" s="5" t="str">
        <f>IFERROR(__xludf.DUMMYFUNCTION("GOOGLETRANSLATE(B10164,""en"",""de"")"),"Ein Turner in einem rosa Outfit erstreckt sich, bevor der Routine beginnt.")</f>
        <v>Ein Turner in einem rosa Outfit erstreckt sich, bevor der Routine beginnt.</v>
      </c>
    </row>
    <row r="10165">
      <c r="A10165" s="4" t="s">
        <v>12782</v>
      </c>
      <c r="B10165" s="4" t="s">
        <v>12784</v>
      </c>
      <c r="C10165" s="5" t="str">
        <f>IFERROR(__xludf.DUMMYFUNCTION("GOOGLETRANSLATE(B10165,""en"",""de"")"),"Sie springt auf den Balancestrahl und gleicht sich aus.")</f>
        <v>Sie springt auf den Balancestrahl und gleicht sich aus.</v>
      </c>
    </row>
    <row r="10166">
      <c r="A10166" s="4" t="s">
        <v>12782</v>
      </c>
      <c r="B10166" s="4" t="s">
        <v>12785</v>
      </c>
      <c r="C10166" s="5" t="str">
        <f>IFERROR(__xludf.DUMMYFUNCTION("GOOGLETRANSLATE(B10166,""en"",""de"")"),"Sie beginnt ihre Balance -Strahlroutine.")</f>
        <v>Sie beginnt ihre Balance -Strahlroutine.</v>
      </c>
    </row>
    <row r="10167">
      <c r="A10167" s="4" t="s">
        <v>12782</v>
      </c>
      <c r="B10167" s="4" t="s">
        <v>12786</v>
      </c>
      <c r="C10167" s="5" t="str">
        <f>IFERROR(__xludf.DUMMYFUNCTION("GOOGLETRANSLATE(B10167,""en"",""de"")"),"Sie macht mehrere Flips und Somersaults.")</f>
        <v>Sie macht mehrere Flips und Somersaults.</v>
      </c>
    </row>
    <row r="10168">
      <c r="A10168" s="4" t="s">
        <v>12782</v>
      </c>
      <c r="B10168" s="4" t="s">
        <v>12787</v>
      </c>
      <c r="C10168" s="5" t="str">
        <f>IFERROR(__xludf.DUMMYFUNCTION("GOOGLETRANSLATE(B10168,""en"",""de"")"),"Sie bereitet sich bereit zu steigen.")</f>
        <v>Sie bereitet sich bereit zu steigen.</v>
      </c>
    </row>
    <row r="10169">
      <c r="A10169" s="4" t="s">
        <v>12782</v>
      </c>
      <c r="B10169" s="4" t="s">
        <v>12788</v>
      </c>
      <c r="C10169" s="5" t="str">
        <f>IFERROR(__xludf.DUMMYFUNCTION("GOOGLETRANSLATE(B10169,""en"",""de"")"),"Sie dreht sich mehrmals in der Luft während ihrer Abneigung und landet perfekt.")</f>
        <v>Sie dreht sich mehrmals in der Luft während ihrer Abneigung und landet perfekt.</v>
      </c>
    </row>
    <row r="10170">
      <c r="A10170" s="4" t="s">
        <v>12789</v>
      </c>
      <c r="B10170" s="4" t="s">
        <v>12790</v>
      </c>
      <c r="C10170" s="5" t="str">
        <f>IFERROR(__xludf.DUMMYFUNCTION("GOOGLETRANSLATE(B10170,""en"",""de"")"),"Ein Mann steht zu einer Reihe von Hecken.")</f>
        <v>Ein Mann steht zu einer Reihe von Hecken.</v>
      </c>
    </row>
    <row r="10171">
      <c r="A10171" s="4" t="s">
        <v>12789</v>
      </c>
      <c r="B10171" s="4" t="s">
        <v>12791</v>
      </c>
      <c r="C10171" s="5" t="str">
        <f>IFERROR(__xludf.DUMMYFUNCTION("GOOGLETRANSLATE(B10171,""en"",""de"")"),"Dann beginnt er, sie mit Bier zu schneiden.")</f>
        <v>Dann beginnt er, sie mit Bier zu schneiden.</v>
      </c>
    </row>
    <row r="10172">
      <c r="A10172" s="4" t="s">
        <v>12789</v>
      </c>
      <c r="B10172" s="4" t="s">
        <v>12792</v>
      </c>
      <c r="C10172" s="5" t="str">
        <f>IFERROR(__xludf.DUMMYFUNCTION("GOOGLETRANSLATE(B10172,""en"",""de"")"),"Er schneidet die Spitze eines Busches ab.")</f>
        <v>Er schneidet die Spitze eines Busches ab.</v>
      </c>
    </row>
    <row r="10173">
      <c r="A10173" s="4" t="s">
        <v>12789</v>
      </c>
      <c r="B10173" s="4" t="s">
        <v>12793</v>
      </c>
      <c r="C10173" s="5" t="str">
        <f>IFERROR(__xludf.DUMMYFUNCTION("GOOGLETRANSLATE(B10173,""en"",""de"")"),"Es werden verschiedene gepflegte Büsche gezeigt.")</f>
        <v>Es werden verschiedene gepflegte Büsche gezeigt.</v>
      </c>
    </row>
    <row r="10174">
      <c r="A10174" s="4" t="s">
        <v>12794</v>
      </c>
      <c r="B10174" s="4" t="s">
        <v>12795</v>
      </c>
      <c r="C10174" s="5" t="str">
        <f>IFERROR(__xludf.DUMMYFUNCTION("GOOGLETRANSLATE(B10174,""en"",""de"")"),"Ein kleiner chinesischer Junge sitzt in einem Raum auf dem Boden mit Büchern und Spielzeug um sich herum, während er in die Kamera schaut.")</f>
        <v>Ein kleiner chinesischer Junge sitzt in einem Raum auf dem Boden mit Büchern und Spielzeug um sich herum, während er in die Kamera schaut.</v>
      </c>
    </row>
    <row r="10175">
      <c r="A10175" s="4" t="s">
        <v>12794</v>
      </c>
      <c r="B10175" s="4" t="s">
        <v>12796</v>
      </c>
      <c r="C10175" s="5" t="str">
        <f>IFERROR(__xludf.DUMMYFUNCTION("GOOGLETRANSLATE(B10175,""en"",""de"")"),"Der kleine chinesische Junge geht dann nach draußen und beginnt in einem Park zu spielen, hat Spaß an sich selbst, während der Kameramann ihn aufzeichnet.")</f>
        <v>Der kleine chinesische Junge geht dann nach draußen und beginnt in einem Park zu spielen, hat Spaß an sich selbst, während der Kameramann ihn aufzeichnet.</v>
      </c>
    </row>
    <row r="10176">
      <c r="A10176" s="4" t="s">
        <v>12794</v>
      </c>
      <c r="B10176" s="4" t="s">
        <v>12797</v>
      </c>
      <c r="C10176" s="5" t="str">
        <f>IFERROR(__xludf.DUMMYFUNCTION("GOOGLETRANSLATE(B10176,""en"",""de"")"),"Der Junge rutscht den kleinen Rutschen hinunter, klettern Stufen, während sie lächelt und Spaß hat.")</f>
        <v>Der Junge rutscht den kleinen Rutschen hinunter, klettern Stufen, während sie lächelt und Spaß hat.</v>
      </c>
    </row>
    <row r="10177">
      <c r="A10177" s="4" t="s">
        <v>12798</v>
      </c>
      <c r="B10177" s="4" t="s">
        <v>12799</v>
      </c>
      <c r="C10177" s="5" t="str">
        <f>IFERROR(__xludf.DUMMYFUNCTION("GOOGLETRANSLATE(B10177,""en"",""de"")"),"Verschiedene Schüsse von Menschen werden gezeigt, gefolgt von mehreren Aufnahmen von Kindersprungseilen.")</f>
        <v>Verschiedene Schüsse von Menschen werden gezeigt, gefolgt von mehreren Aufnahmen von Kindersprungseilen.</v>
      </c>
    </row>
    <row r="10178">
      <c r="A10178" s="4" t="s">
        <v>12798</v>
      </c>
      <c r="B10178" s="4" t="s">
        <v>12800</v>
      </c>
      <c r="C10178" s="5" t="str">
        <f>IFERROR(__xludf.DUMMYFUNCTION("GOOGLETRANSLATE(B10178,""en"",""de"")"),"Ein Mann spricht dann verschiedene Kinder auf einem Hof ​​und zeigt mehr Aufnahmen von den Kindern, die zusammen das Springenseil springen.")</f>
        <v>Ein Mann spricht dann verschiedene Kinder auf einem Hof ​​und zeigt mehr Aufnahmen von den Kindern, die zusammen das Springenseil springen.</v>
      </c>
    </row>
    <row r="10179">
      <c r="A10179" s="4" t="s">
        <v>12798</v>
      </c>
      <c r="B10179" s="4" t="s">
        <v>12801</v>
      </c>
      <c r="C10179" s="5" t="str">
        <f>IFERROR(__xludf.DUMMYFUNCTION("GOOGLETRANSLATE(B10179,""en"",""de"")"),"Der Mann springt dann Seil, während mehr Kinder mit ihren Sprungseilen Tricks ausführen und endet, wenn der Mann mit einem weiteren Jumper spricht.")</f>
        <v>Der Mann springt dann Seil, während mehr Kinder mit ihren Sprungseilen Tricks ausführen und endet, wenn der Mann mit einem weiteren Jumper spricht.</v>
      </c>
    </row>
    <row r="10180">
      <c r="A10180" s="4" t="s">
        <v>12802</v>
      </c>
      <c r="B10180" s="4" t="s">
        <v>12803</v>
      </c>
      <c r="C10180" s="5" t="str">
        <f>IFERROR(__xludf.DUMMYFUNCTION("GOOGLETRANSLATE(B10180,""en"",""de"")"),"Autos werden bei einer Autowäsche gewaschen.")</f>
        <v>Autos werden bei einer Autowäsche gewaschen.</v>
      </c>
    </row>
    <row r="10181">
      <c r="A10181" s="4" t="s">
        <v>12802</v>
      </c>
      <c r="B10181" s="4" t="s">
        <v>12804</v>
      </c>
      <c r="C10181" s="5" t="str">
        <f>IFERROR(__xludf.DUMMYFUNCTION("GOOGLETRANSLATE(B10181,""en"",""de"")"),"Ein Mann in einem roten Hemd spricht mit einem Mann in einem schwarzen Hemd.")</f>
        <v>Ein Mann in einem roten Hemd spricht mit einem Mann in einem schwarzen Hemd.</v>
      </c>
    </row>
    <row r="10182">
      <c r="A10182" s="4" t="s">
        <v>12802</v>
      </c>
      <c r="B10182" s="4" t="s">
        <v>12805</v>
      </c>
      <c r="C10182" s="5" t="str">
        <f>IFERROR(__xludf.DUMMYFUNCTION("GOOGLETRANSLATE(B10182,""en"",""de"")"),"Das Auto fährt durch eine automatische Autowäsche.")</f>
        <v>Das Auto fährt durch eine automatische Autowäsche.</v>
      </c>
    </row>
    <row r="10183">
      <c r="A10183" s="4" t="s">
        <v>12802</v>
      </c>
      <c r="B10183" s="4" t="s">
        <v>12806</v>
      </c>
      <c r="C10183" s="5" t="str">
        <f>IFERROR(__xludf.DUMMYFUNCTION("GOOGLETRANSLATE(B10183,""en"",""de"")"),"Jemand schrubbt jetzt ein Auto, um es zu waschen.")</f>
        <v>Jemand schrubbt jetzt ein Auto, um es zu waschen.</v>
      </c>
    </row>
    <row r="10184">
      <c r="A10184" s="4" t="s">
        <v>12802</v>
      </c>
      <c r="B10184" s="4" t="s">
        <v>12807</v>
      </c>
      <c r="C10184" s="5" t="str">
        <f>IFERROR(__xludf.DUMMYFUNCTION("GOOGLETRANSLATE(B10184,""en"",""de"")"),"Sie gehen in eine Garage und inspizieren die Autos.")</f>
        <v>Sie gehen in eine Garage und inspizieren die Autos.</v>
      </c>
    </row>
    <row r="10185">
      <c r="A10185" s="4" t="s">
        <v>12808</v>
      </c>
      <c r="B10185" s="4" t="s">
        <v>12809</v>
      </c>
      <c r="C10185" s="5" t="str">
        <f>IFERROR(__xludf.DUMMYFUNCTION("GOOGLETRANSLATE(B10185,""en"",""de"")"),"Vier Männer im Studio spielen ein anderes Instrument.")</f>
        <v>Vier Männer im Studio spielen ein anderes Instrument.</v>
      </c>
    </row>
    <row r="10186">
      <c r="A10186" s="4" t="s">
        <v>12808</v>
      </c>
      <c r="B10186" s="4" t="s">
        <v>12810</v>
      </c>
      <c r="C10186" s="5" t="str">
        <f>IFERROR(__xludf.DUMMYFUNCTION("GOOGLETRANSLATE(B10186,""en"",""de"")"),"Der Mann mit großer Gitarre singt beim Gitarre.")</f>
        <v>Der Mann mit großer Gitarre singt beim Gitarre.</v>
      </c>
    </row>
    <row r="10187">
      <c r="A10187" s="4" t="s">
        <v>12808</v>
      </c>
      <c r="B10187" s="4" t="s">
        <v>12811</v>
      </c>
      <c r="C10187" s="5" t="str">
        <f>IFERROR(__xludf.DUMMYFUNCTION("GOOGLETRANSLATE(B10187,""en"",""de"")"),"Der Mann, der Mundharmonika spielte, hörte auf zu spielen und sah den Mann an, der singt, und spielt weiterhin seine Mundharmonika.")</f>
        <v>Der Mann, der Mundharmonika spielte, hörte auf zu spielen und sah den Mann an, der singt, und spielt weiterhin seine Mundharmonika.</v>
      </c>
    </row>
    <row r="10188">
      <c r="A10188" s="4" t="s">
        <v>12808</v>
      </c>
      <c r="B10188" s="4" t="s">
        <v>12812</v>
      </c>
      <c r="C10188" s="5" t="str">
        <f>IFERROR(__xludf.DUMMYFUNCTION("GOOGLETRANSLATE(B10188,""en"",""de"")"),"Zwei Männer hinter den vier Männern spielen Instrumente.")</f>
        <v>Zwei Männer hinter den vier Männern spielen Instrumente.</v>
      </c>
    </row>
    <row r="10189">
      <c r="A10189" s="4" t="s">
        <v>12808</v>
      </c>
      <c r="B10189" s="4" t="s">
        <v>12813</v>
      </c>
      <c r="C10189" s="5" t="str">
        <f>IFERROR(__xludf.DUMMYFUNCTION("GOOGLETRANSLATE(B10189,""en"",""de"")"),"Der Mann mit Gitarre zieht ein weißes Tuch heraus und winkt es.")</f>
        <v>Der Mann mit Gitarre zieht ein weißes Tuch heraus und winkt es.</v>
      </c>
    </row>
    <row r="10190">
      <c r="A10190" s="4" t="s">
        <v>12814</v>
      </c>
      <c r="B10190" s="4" t="s">
        <v>12815</v>
      </c>
      <c r="C10190" s="5" t="str">
        <f>IFERROR(__xludf.DUMMYFUNCTION("GOOGLETRANSLATE(B10190,""en"",""de"")"),"Ein junges Mädchen steht in einem Raum mit einem grauen Pullover, schwarzen Strumpfhosen und rosa Schuhen.")</f>
        <v>Ein junges Mädchen steht in einem Raum mit einem grauen Pullover, schwarzen Strumpfhosen und rosa Schuhen.</v>
      </c>
    </row>
    <row r="10191">
      <c r="A10191" s="4" t="s">
        <v>12814</v>
      </c>
      <c r="B10191" s="4" t="s">
        <v>12816</v>
      </c>
      <c r="C10191" s="5" t="str">
        <f>IFERROR(__xludf.DUMMYFUNCTION("GOOGLETRANSLATE(B10191,""en"",""de"")"),"In ihrer Hand hat sie einen Krocketstab und spielt mit dem kleinen Ball.")</f>
        <v>In ihrer Hand hat sie einen Krocketstab und spielt mit dem kleinen Ball.</v>
      </c>
    </row>
    <row r="10192">
      <c r="A10192" s="4" t="s">
        <v>12814</v>
      </c>
      <c r="B10192" s="4" t="s">
        <v>12817</v>
      </c>
      <c r="C10192" s="5" t="str">
        <f>IFERROR(__xludf.DUMMYFUNCTION("GOOGLETRANSLATE(B10192,""en"",""de"")"),"Sie macht es ziemlich einige Male, bis sie es still hält, bis sie schließlich mit dem Ball spaziert und das Video beendet.")</f>
        <v>Sie macht es ziemlich einige Male, bis sie es still hält, bis sie schließlich mit dem Ball spaziert und das Video beendet.</v>
      </c>
    </row>
    <row r="10193">
      <c r="A10193" s="4" t="s">
        <v>12818</v>
      </c>
      <c r="B10193" s="4" t="s">
        <v>1251</v>
      </c>
      <c r="C10193" s="5" t="str">
        <f>IFERROR(__xludf.DUMMYFUNCTION("GOOGLETRANSLATE(B10193,""en"",""de"")"),"Die Credits des Clips werden angezeigt.")</f>
        <v>Die Credits des Clips werden angezeigt.</v>
      </c>
    </row>
    <row r="10194">
      <c r="A10194" s="4" t="s">
        <v>12818</v>
      </c>
      <c r="B10194" s="4" t="s">
        <v>12819</v>
      </c>
      <c r="C10194" s="5" t="str">
        <f>IFERROR(__xludf.DUMMYFUNCTION("GOOGLETRANSLATE(B10194,""en"",""de"")"),"Ein Mann, der in einem Badezimmer steht, spricht und Gesten.")</f>
        <v>Ein Mann, der in einem Badezimmer steht, spricht und Gesten.</v>
      </c>
    </row>
    <row r="10195">
      <c r="A10195" s="4" t="s">
        <v>12818</v>
      </c>
      <c r="B10195" s="4" t="s">
        <v>12820</v>
      </c>
      <c r="C10195" s="5" t="str">
        <f>IFERROR(__xludf.DUMMYFUNCTION("GOOGLETRANSLATE(B10195,""en"",""de"")"),"Eine Person, die sein Kinn rasiert, wird gezeigt.")</f>
        <v>Eine Person, die sein Kinn rasiert, wird gezeigt.</v>
      </c>
    </row>
    <row r="10196">
      <c r="A10196" s="4" t="s">
        <v>12818</v>
      </c>
      <c r="B10196" s="4" t="s">
        <v>12821</v>
      </c>
      <c r="C10196" s="5" t="str">
        <f>IFERROR(__xludf.DUMMYFUNCTION("GOOGLETRANSLATE(B10196,""en"",""de"")"),"Ein Mann stellt Creme aus einem blauen Röhrchen in seine Handfläche und legt es auf sein Kinn.")</f>
        <v>Ein Mann stellt Creme aus einem blauen Röhrchen in seine Handfläche und legt es auf sein Kinn.</v>
      </c>
    </row>
    <row r="10197">
      <c r="A10197" s="4" t="s">
        <v>12818</v>
      </c>
      <c r="B10197" s="4" t="s">
        <v>12822</v>
      </c>
      <c r="C10197" s="5" t="str">
        <f>IFERROR(__xludf.DUMMYFUNCTION("GOOGLETRANSLATE(B10197,""en"",""de"")"),"Ein Mann steckt Gel aus einer blauen Röhre in seine Handfläche und legt es auf sein Kinn.")</f>
        <v>Ein Mann steckt Gel aus einer blauen Röhre in seine Handfläche und legt es auf sein Kinn.</v>
      </c>
    </row>
    <row r="10198">
      <c r="A10198" s="4" t="s">
        <v>12818</v>
      </c>
      <c r="B10198" s="4" t="s">
        <v>12823</v>
      </c>
      <c r="C10198" s="5" t="str">
        <f>IFERROR(__xludf.DUMMYFUNCTION("GOOGLETRANSLATE(B10198,""en"",""de"")"),"Ein Mann wäscht sein Gesicht.")</f>
        <v>Ein Mann wäscht sein Gesicht.</v>
      </c>
    </row>
    <row r="10199">
      <c r="A10199" s="4" t="s">
        <v>12818</v>
      </c>
      <c r="B10199" s="4" t="s">
        <v>573</v>
      </c>
      <c r="C10199" s="5" t="str">
        <f>IFERROR(__xludf.DUMMYFUNCTION("GOOGLETRANSLATE(B10199,""en"",""de"")"),"Die Credits des Videos werden angezeigt.")</f>
        <v>Die Credits des Videos werden angezeigt.</v>
      </c>
    </row>
    <row r="10200">
      <c r="A10200" s="4" t="s">
        <v>12824</v>
      </c>
      <c r="B10200" s="4" t="s">
        <v>12825</v>
      </c>
      <c r="C10200" s="5" t="str">
        <f>IFERROR(__xludf.DUMMYFUNCTION("GOOGLETRANSLATE(B10200,""en"",""de"")"),"Eine Frau spricht mit der Kamera, während junge Mädchen hinter ihr stehen.")</f>
        <v>Eine Frau spricht mit der Kamera, während junge Mädchen hinter ihr stehen.</v>
      </c>
    </row>
    <row r="10201">
      <c r="A10201" s="4" t="s">
        <v>12824</v>
      </c>
      <c r="B10201" s="4" t="s">
        <v>12826</v>
      </c>
      <c r="C10201" s="5" t="str">
        <f>IFERROR(__xludf.DUMMYFUNCTION("GOOGLETRANSLATE(B10201,""en"",""de"")"),"Die Frau spricht weiterhin mit der Kamera und demonstriert individuelle Tanzbewegungen, während die jungen Mädchen folgen.")</f>
        <v>Die Frau spricht weiterhin mit der Kamera und demonstriert individuelle Tanzbewegungen, während die jungen Mädchen folgen.</v>
      </c>
    </row>
    <row r="10202">
      <c r="A10202" s="4" t="s">
        <v>12824</v>
      </c>
      <c r="B10202" s="4" t="s">
        <v>12827</v>
      </c>
      <c r="C10202" s="5" t="str">
        <f>IFERROR(__xludf.DUMMYFUNCTION("GOOGLETRANSLATE(B10202,""en"",""de"")"),"Die Frau führt die Mädchen beim Üben der gesamten Sequenz.")</f>
        <v>Die Frau führt die Mädchen beim Üben der gesamten Sequenz.</v>
      </c>
    </row>
    <row r="10203">
      <c r="A10203" s="4" t="s">
        <v>12824</v>
      </c>
      <c r="B10203" s="4" t="s">
        <v>12828</v>
      </c>
      <c r="C10203" s="5" t="str">
        <f>IFERROR(__xludf.DUMMYFUNCTION("GOOGLETRANSLATE(B10203,""en"",""de"")"),"Die Mädchen führen die Sequenz alleine aus.")</f>
        <v>Die Mädchen führen die Sequenz alleine aus.</v>
      </c>
    </row>
    <row r="10204">
      <c r="A10204" s="4" t="s">
        <v>12829</v>
      </c>
      <c r="B10204" s="4" t="s">
        <v>12830</v>
      </c>
      <c r="C10204" s="5" t="str">
        <f>IFERROR(__xludf.DUMMYFUNCTION("GOOGLETRANSLATE(B10204,""en"",""de"")"),"Ein Spieler eines Read -Teams führt einen freien Schuss auf ein Fußballtor durch, und die Spieler erzielen.")</f>
        <v>Ein Spieler eines Read -Teams führt einen freien Schuss auf ein Fußballtor durch, und die Spieler erzielen.</v>
      </c>
    </row>
    <row r="10205">
      <c r="A10205" s="4" t="s">
        <v>12829</v>
      </c>
      <c r="B10205" s="4" t="s">
        <v>12831</v>
      </c>
      <c r="C10205" s="5" t="str">
        <f>IFERROR(__xludf.DUMMYFUNCTION("GOOGLETRANSLATE(B10205,""en"",""de"")"),"Wieder ein Spieler, der rote T-Shirt-Punkte trägt, und die Spieler springen und umarmen, um zu feiern.")</f>
        <v>Wieder ein Spieler, der rote T-Shirt-Punkte trägt, und die Spieler springen und umarmen, um zu feiern.</v>
      </c>
    </row>
    <row r="10206">
      <c r="A10206" s="4" t="s">
        <v>12829</v>
      </c>
      <c r="B10206" s="4" t="s">
        <v>12832</v>
      </c>
      <c r="C10206" s="5" t="str">
        <f>IFERROR(__xludf.DUMMYFUNCTION("GOOGLETRANSLATE(B10206,""en"",""de"")"),"Dann ein Spieler mit weißen T-Shirt-Ergebnissen und die Teams spielen weiter.")</f>
        <v>Dann ein Spieler mit weißen T-Shirt-Ergebnissen und die Teams spielen weiter.</v>
      </c>
    </row>
    <row r="10207">
      <c r="A10207" s="4" t="s">
        <v>12829</v>
      </c>
      <c r="B10207" s="4" t="s">
        <v>12833</v>
      </c>
      <c r="C10207" s="5" t="str">
        <f>IFERROR(__xludf.DUMMYFUNCTION("GOOGLETRANSLATE(B10207,""en"",""de"")"),"Das Rote Team erzielt erneut und die Leute feiern.")</f>
        <v>Das Rote Team erzielt erneut und die Leute feiern.</v>
      </c>
    </row>
    <row r="10208">
      <c r="A10208" s="4" t="s">
        <v>12834</v>
      </c>
      <c r="B10208" s="4" t="s">
        <v>12835</v>
      </c>
      <c r="C10208" s="5" t="str">
        <f>IFERROR(__xludf.DUMMYFUNCTION("GOOGLETRANSLATE(B10208,""en"",""de"")"),"Frau rennt, um einen Hochsprung zu machen und zu laufen, und die Frau macht dreimal den gleichen Hochsprung.")</f>
        <v>Frau rennt, um einen Hochsprung zu machen und zu laufen, und die Frau macht dreimal den gleichen Hochsprung.</v>
      </c>
    </row>
    <row r="10209">
      <c r="A10209" s="4" t="s">
        <v>12834</v>
      </c>
      <c r="B10209" s="4" t="s">
        <v>12836</v>
      </c>
      <c r="C10209" s="5" t="str">
        <f>IFERROR(__xludf.DUMMYFUNCTION("GOOGLETRANSLATE(B10209,""en"",""de"")"),"Frau verlieren das Haar auf dem Boden und löst die Schuhe.")</f>
        <v>Frau verlieren das Haar auf dem Boden und löst die Schuhe.</v>
      </c>
    </row>
    <row r="10210">
      <c r="A10210" s="4" t="s">
        <v>12837</v>
      </c>
      <c r="B10210" s="4" t="s">
        <v>12838</v>
      </c>
      <c r="C10210" s="5" t="str">
        <f>IFERROR(__xludf.DUMMYFUNCTION("GOOGLETRANSLATE(B10210,""en"",""de"")"),"Die Leute stehen auf einem lockeren Seil und überqueren es an einem Strand.")</f>
        <v>Die Leute stehen auf einem lockeren Seil und überqueren es an einem Strand.</v>
      </c>
    </row>
    <row r="10211">
      <c r="A10211" s="4" t="s">
        <v>12837</v>
      </c>
      <c r="B10211" s="4" t="s">
        <v>12839</v>
      </c>
      <c r="C10211" s="5" t="str">
        <f>IFERROR(__xludf.DUMMYFUNCTION("GOOGLETRANSLATE(B10211,""en"",""de"")"),"Ein Mann fällt in den Dreck.")</f>
        <v>Ein Mann fällt in den Dreck.</v>
      </c>
    </row>
    <row r="10212">
      <c r="A10212" s="4" t="s">
        <v>12837</v>
      </c>
      <c r="B10212" s="4" t="s">
        <v>12840</v>
      </c>
      <c r="C10212" s="5" t="str">
        <f>IFERROR(__xludf.DUMMYFUNCTION("GOOGLETRANSLATE(B10212,""en"",""de"")"),"Ein Mann nimmt sein Hemd aus und wirft es auf den Sand.")</f>
        <v>Ein Mann nimmt sein Hemd aus und wirft es auf den Sand.</v>
      </c>
    </row>
    <row r="10213">
      <c r="A10213" s="4" t="s">
        <v>12837</v>
      </c>
      <c r="B10213" s="4" t="s">
        <v>12841</v>
      </c>
      <c r="C10213" s="5" t="str">
        <f>IFERROR(__xludf.DUMMYFUNCTION("GOOGLETRANSLATE(B10213,""en"",""de"")"),"Ein Mann macht weiterhin Tricks am Slack -Seil.")</f>
        <v>Ein Mann macht weiterhin Tricks am Slack -Seil.</v>
      </c>
    </row>
    <row r="10214">
      <c r="A10214" s="4" t="s">
        <v>12842</v>
      </c>
      <c r="B10214" s="4" t="s">
        <v>12843</v>
      </c>
      <c r="C10214" s="5" t="str">
        <f>IFERROR(__xludf.DUMMYFUNCTION("GOOGLETRANSLATE(B10214,""en"",""de"")"),"Dragon Ball Z -Charaktere schreien sich gegenseitig an und stehen voreinander.")</f>
        <v>Dragon Ball Z -Charaktere schreien sich gegenseitig an und stehen voreinander.</v>
      </c>
    </row>
    <row r="10215">
      <c r="A10215" s="4" t="s">
        <v>12842</v>
      </c>
      <c r="B10215" s="4" t="s">
        <v>12844</v>
      </c>
      <c r="C10215" s="5" t="str">
        <f>IFERROR(__xludf.DUMMYFUNCTION("GOOGLETRANSLATE(B10215,""en"",""de"")"),"Sie spielen Papierschere Rock, um zu sehen, wer gewinnen wird.")</f>
        <v>Sie spielen Papierschere Rock, um zu sehen, wer gewinnen wird.</v>
      </c>
    </row>
    <row r="10216">
      <c r="A10216" s="4" t="s">
        <v>12842</v>
      </c>
      <c r="B10216" s="4" t="s">
        <v>12845</v>
      </c>
      <c r="C10216" s="5" t="str">
        <f>IFERROR(__xludf.DUMMYFUNCTION("GOOGLETRANSLATE(B10216,""en"",""de"")"),"Sie haben Beobachter, die sehr gestresst sind, wie es enden wird.")</f>
        <v>Sie haben Beobachter, die sehr gestresst sind, wie es enden wird.</v>
      </c>
    </row>
    <row r="10217">
      <c r="A10217" s="4" t="s">
        <v>12842</v>
      </c>
      <c r="B10217" s="4" t="s">
        <v>12846</v>
      </c>
      <c r="C10217" s="5" t="str">
        <f>IFERROR(__xludf.DUMMYFUNCTION("GOOGLETRANSLATE(B10217,""en"",""de"")"),"Sie spielen einfach weiter und einer der anderen Charaktere wird wirklich wütend.")</f>
        <v>Sie spielen einfach weiter und einer der anderen Charaktere wird wirklich wütend.</v>
      </c>
    </row>
    <row r="10218">
      <c r="A10218" s="4" t="s">
        <v>12847</v>
      </c>
      <c r="B10218" s="4" t="s">
        <v>12848</v>
      </c>
      <c r="C10218" s="5" t="str">
        <f>IFERROR(__xludf.DUMMYFUNCTION("GOOGLETRANSLATE(B10218,""en"",""de"")"),"Zwei Frauen stehen hinter einer jungen Frau, die auf einem Stuhl sitzt und sich die Haare erledigen.")</f>
        <v>Zwei Frauen stehen hinter einer jungen Frau, die auf einem Stuhl sitzt und sich die Haare erledigen.</v>
      </c>
    </row>
    <row r="10219">
      <c r="A10219" s="4" t="s">
        <v>12847</v>
      </c>
      <c r="B10219" s="4" t="s">
        <v>12849</v>
      </c>
      <c r="C10219" s="5" t="str">
        <f>IFERROR(__xludf.DUMMYFUNCTION("GOOGLETRANSLATE(B10219,""en"",""de"")"),"Das Video beginnt mit einer Titelseite, die zeigt, dass ein Video eines vielseitigen Nähens durchgeführt werden soll.")</f>
        <v>Das Video beginnt mit einer Titelseite, die zeigt, dass ein Video eines vielseitigen Nähens durchgeführt werden soll.</v>
      </c>
    </row>
    <row r="10220">
      <c r="A10220" s="4" t="s">
        <v>12847</v>
      </c>
      <c r="B10220" s="4" t="s">
        <v>12850</v>
      </c>
      <c r="C10220" s="5" t="str">
        <f>IFERROR(__xludf.DUMMYFUNCTION("GOOGLETRANSLATE(B10220,""en"",""de"")"),"Das erste Bild, das Geflechtmuster wird auf dem Kopf des Individuens angezeigt, da ein Teil ihrer Haare um den Umfang ihres Kopfes weggelassen wird.")</f>
        <v>Das erste Bild, das Geflechtmuster wird auf dem Kopf des Individuens angezeigt, da ein Teil ihrer Haare um den Umfang ihres Kopfes weggelassen wird.</v>
      </c>
    </row>
    <row r="10221">
      <c r="A10221" s="4" t="s">
        <v>12847</v>
      </c>
      <c r="B10221" s="4" t="s">
        <v>12851</v>
      </c>
      <c r="C10221" s="5" t="str">
        <f>IFERROR(__xludf.DUMMYFUNCTION("GOOGLETRANSLATE(B10221,""en"",""de"")"),"Eine Dame greift dann mit einer Nadel und näht das Haar.")</f>
        <v>Eine Dame greift dann mit einer Nadel und näht das Haar.</v>
      </c>
    </row>
    <row r="10222">
      <c r="A10222" s="4" t="s">
        <v>12847</v>
      </c>
      <c r="B10222" s="4" t="s">
        <v>12852</v>
      </c>
      <c r="C10222" s="5" t="str">
        <f>IFERROR(__xludf.DUMMYFUNCTION("GOOGLETRANSLATE(B10222,""en"",""de"")"),"Sobald sie zeigt, wie das Nähen gesichert ist, wird das fertige Produkt gezeigt und das Mädchen hat jetzt lange lockige Haare.")</f>
        <v>Sobald sie zeigt, wie das Nähen gesichert ist, wird das fertige Produkt gezeigt und das Mädchen hat jetzt lange lockige Haare.</v>
      </c>
    </row>
    <row r="10223">
      <c r="A10223" s="4" t="s">
        <v>12853</v>
      </c>
      <c r="B10223" s="4" t="s">
        <v>12854</v>
      </c>
      <c r="C10223" s="5" t="str">
        <f>IFERROR(__xludf.DUMMYFUNCTION("GOOGLETRANSLATE(B10223,""en"",""de"")"),"Ein Mann steht in einem Fitnessstudio zur Kamera.")</f>
        <v>Ein Mann steht in einem Fitnessstudio zur Kamera.</v>
      </c>
    </row>
    <row r="10224">
      <c r="A10224" s="4" t="s">
        <v>12853</v>
      </c>
      <c r="B10224" s="4" t="s">
        <v>12855</v>
      </c>
      <c r="C10224" s="5" t="str">
        <f>IFERROR(__xludf.DUMMYFUNCTION("GOOGLETRANSLATE(B10224,""en"",""de"")"),"Er steht auf der offenen Oberfläche und tanzt hin und her.")</f>
        <v>Er steht auf der offenen Oberfläche und tanzt hin und her.</v>
      </c>
    </row>
    <row r="10225">
      <c r="A10225" s="4" t="s">
        <v>12853</v>
      </c>
      <c r="B10225" s="4" t="s">
        <v>12856</v>
      </c>
      <c r="C10225" s="5" t="str">
        <f>IFERROR(__xludf.DUMMYFUNCTION("GOOGLETRANSLATE(B10225,""en"",""de"")"),"Er demonstriert mehrere Bewegungen, wie er geht.")</f>
        <v>Er demonstriert mehrere Bewegungen, wie er geht.</v>
      </c>
    </row>
    <row r="10226">
      <c r="A10226" s="4" t="s">
        <v>12857</v>
      </c>
      <c r="B10226" s="4" t="s">
        <v>12858</v>
      </c>
      <c r="C10226" s="5" t="str">
        <f>IFERROR(__xludf.DUMMYFUNCTION("GOOGLETRANSLATE(B10226,""en"",""de"")"),"Eine Frau in einem braunen Anzug spricht.")</f>
        <v>Eine Frau in einem braunen Anzug spricht.</v>
      </c>
    </row>
    <row r="10227">
      <c r="A10227" s="4" t="s">
        <v>12857</v>
      </c>
      <c r="B10227" s="4" t="s">
        <v>12859</v>
      </c>
      <c r="C10227" s="5" t="str">
        <f>IFERROR(__xludf.DUMMYFUNCTION("GOOGLETRANSLATE(B10227,""en"",""de"")"),"Ein Mann in einem grünen Hemd spielt Tennis, während er auf dem Boden sitzt.")</f>
        <v>Ein Mann in einem grünen Hemd spielt Tennis, während er auf dem Boden sitzt.</v>
      </c>
    </row>
    <row r="10228">
      <c r="A10228" s="4" t="s">
        <v>12857</v>
      </c>
      <c r="B10228" s="4" t="s">
        <v>12860</v>
      </c>
      <c r="C10228" s="5" t="str">
        <f>IFERROR(__xludf.DUMMYFUNCTION("GOOGLETRANSLATE(B10228,""en"",""de"")"),"Die Leute gehen entlang eines Bürgersteigs.")</f>
        <v>Die Leute gehen entlang eines Bürgersteigs.</v>
      </c>
    </row>
    <row r="10229">
      <c r="A10229" s="4" t="s">
        <v>12857</v>
      </c>
      <c r="B10229" s="4" t="s">
        <v>12861</v>
      </c>
      <c r="C10229" s="5" t="str">
        <f>IFERROR(__xludf.DUMMYFUNCTION("GOOGLETRANSLATE(B10229,""en"",""de"")"),"Der Mann im grünen Hemd spricht in ein Mikrofon.")</f>
        <v>Der Mann im grünen Hemd spricht in ein Mikrofon.</v>
      </c>
    </row>
    <row r="10230">
      <c r="A10230" s="4" t="s">
        <v>12857</v>
      </c>
      <c r="B10230" s="4" t="s">
        <v>12862</v>
      </c>
      <c r="C10230" s="5" t="str">
        <f>IFERROR(__xludf.DUMMYFUNCTION("GOOGLETRANSLATE(B10230,""en"",""de"")"),"Ein Mann in einem lila Hemd spricht dann mit dem Mikrofon.")</f>
        <v>Ein Mann in einem lila Hemd spricht dann mit dem Mikrofon.</v>
      </c>
    </row>
    <row r="10231">
      <c r="A10231" s="4" t="s">
        <v>12857</v>
      </c>
      <c r="B10231" s="4" t="s">
        <v>12863</v>
      </c>
      <c r="C10231" s="5" t="str">
        <f>IFERROR(__xludf.DUMMYFUNCTION("GOOGLETRANSLATE(B10231,""en"",""de"")"),"Der Mann im grünen Hemd spielt weiterhin Tennis.")</f>
        <v>Der Mann im grünen Hemd spielt weiterhin Tennis.</v>
      </c>
    </row>
    <row r="10232">
      <c r="A10232" s="4" t="s">
        <v>12864</v>
      </c>
      <c r="B10232" s="4" t="s">
        <v>12865</v>
      </c>
      <c r="C10232" s="5" t="str">
        <f>IFERROR(__xludf.DUMMYFUNCTION("GOOGLETRANSLATE(B10232,""en"",""de"")"),"Ein Turner, der eine rote und weiße Uniform trägt, bereitet sich darauf vor, ein Pommel -Pferd für seine Übung zu montieren.")</f>
        <v>Ein Turner, der eine rote und weiße Uniform trägt, bereitet sich darauf vor, ein Pommel -Pferd für seine Übung zu montieren.</v>
      </c>
    </row>
    <row r="10233">
      <c r="A10233" s="4" t="s">
        <v>12864</v>
      </c>
      <c r="B10233" s="4" t="s">
        <v>12866</v>
      </c>
      <c r="C10233" s="5" t="str">
        <f>IFERROR(__xludf.DUMMYFUNCTION("GOOGLETRANSLATE(B10233,""en"",""de"")"),"Der Turner springt auf das Pommel -Pferd und beginnt mit Scherenzügen.")</f>
        <v>Der Turner springt auf das Pommel -Pferd und beginnt mit Scherenzügen.</v>
      </c>
    </row>
    <row r="10234">
      <c r="A10234" s="4" t="s">
        <v>12864</v>
      </c>
      <c r="B10234" s="4" t="s">
        <v>12867</v>
      </c>
      <c r="C10234" s="5" t="str">
        <f>IFERROR(__xludf.DUMMYFUNCTION("GOOGLETRANSLATE(B10234,""en"",""de"")"),"Der Turner bewegt sich während des Pommel -Pferdes in eine drehende Übung.")</f>
        <v>Der Turner bewegt sich während des Pommel -Pferdes in eine drehende Übung.</v>
      </c>
    </row>
    <row r="10235">
      <c r="A10235" s="4" t="s">
        <v>12864</v>
      </c>
      <c r="B10235" s="4" t="s">
        <v>12868</v>
      </c>
      <c r="C10235" s="5" t="str">
        <f>IFERROR(__xludf.DUMMYFUNCTION("GOOGLETRANSLATE(B10235,""en"",""de"")"),"Der Turner bewegt sich in einen Handstand, während er mit den Händen spaziert.")</f>
        <v>Der Turner bewegt sich in einen Handstand, während er mit den Händen spaziert.</v>
      </c>
    </row>
    <row r="10236">
      <c r="A10236" s="4" t="s">
        <v>12864</v>
      </c>
      <c r="B10236" s="4" t="s">
        <v>12869</v>
      </c>
      <c r="C10236" s="5" t="str">
        <f>IFERROR(__xludf.DUMMYFUNCTION("GOOGLETRANSLATE(B10236,""en"",""de"")"),"Der Turner übergeht von der Hand stehen zu seiner Ablagerung.")</f>
        <v>Der Turner übergeht von der Hand stehen zu seiner Ablagerung.</v>
      </c>
    </row>
    <row r="10237">
      <c r="A10237" s="4" t="s">
        <v>12870</v>
      </c>
      <c r="B10237" s="4" t="s">
        <v>12871</v>
      </c>
      <c r="C10237" s="5" t="str">
        <f>IFERROR(__xludf.DUMMYFUNCTION("GOOGLETRANSLATE(B10237,""en"",""de"")"),"Ein Mann ist im Fitnessstudio in enger, er biegt über seinen Kopf und lässt ihn wieder nach unten fallen.")</f>
        <v>Ein Mann ist im Fitnessstudio in enger, er biegt über seinen Kopf und lässt ihn wieder nach unten fallen.</v>
      </c>
    </row>
    <row r="10238">
      <c r="A10238" s="4" t="s">
        <v>12870</v>
      </c>
      <c r="B10238" s="4" t="s">
        <v>12872</v>
      </c>
      <c r="C10238" s="5" t="str">
        <f>IFERROR(__xludf.DUMMYFUNCTION("GOOGLETRANSLATE(B10238,""en"",""de"")"),"Er geht zurück und lockert sich auf, bevor er zurückgeht und es wieder macht, mehr Gewicht zu verleihen.")</f>
        <v>Er geht zurück und lockert sich auf, bevor er zurückgeht und es wieder macht, mehr Gewicht zu verleihen.</v>
      </c>
    </row>
    <row r="10239">
      <c r="A10239" s="4" t="s">
        <v>12870</v>
      </c>
      <c r="B10239" s="4" t="s">
        <v>12873</v>
      </c>
      <c r="C10239" s="5" t="str">
        <f>IFERROR(__xludf.DUMMYFUNCTION("GOOGLETRANSLATE(B10239,""en"",""de"")"),"Er macht dies mehrmals und fügt dem Rack mehr und mehr Gewicht hinzu.")</f>
        <v>Er macht dies mehrmals und fügt dem Rack mehr und mehr Gewicht hinzu.</v>
      </c>
    </row>
    <row r="10240">
      <c r="A10240" s="4" t="s">
        <v>12870</v>
      </c>
      <c r="B10240" s="4" t="s">
        <v>12874</v>
      </c>
      <c r="C10240" s="5" t="str">
        <f>IFERROR(__xludf.DUMMYFUNCTION("GOOGLETRANSLATE(B10240,""en"",""de"")"),"Er hebt schließlich 374 Pfund und ruft es an.")</f>
        <v>Er hebt schließlich 374 Pfund und ruft es an.</v>
      </c>
    </row>
    <row r="10241">
      <c r="A10241" s="4" t="s">
        <v>12875</v>
      </c>
      <c r="B10241" s="4" t="s">
        <v>12876</v>
      </c>
      <c r="C10241" s="5" t="str">
        <f>IFERROR(__xludf.DUMMYFUNCTION("GOOGLETRANSLATE(B10241,""en"",""de"")"),"Ein Mann tritt einen Frisbee zu einem Hund.")</f>
        <v>Ein Mann tritt einen Frisbee zu einem Hund.</v>
      </c>
    </row>
    <row r="10242">
      <c r="A10242" s="4" t="s">
        <v>12875</v>
      </c>
      <c r="B10242" s="4" t="s">
        <v>12877</v>
      </c>
      <c r="C10242" s="5" t="str">
        <f>IFERROR(__xludf.DUMMYFUNCTION("GOOGLETRANSLATE(B10242,""en"",""de"")"),"Der Hund macht verschiedene Tricks, während er die Frisbee fängt.")</f>
        <v>Der Hund macht verschiedene Tricks, während er die Frisbee fängt.</v>
      </c>
    </row>
    <row r="10243">
      <c r="A10243" s="4" t="s">
        <v>12875</v>
      </c>
      <c r="B10243" s="4" t="s">
        <v>12878</v>
      </c>
      <c r="C10243" s="5" t="str">
        <f>IFERROR(__xludf.DUMMYFUNCTION("GOOGLETRANSLATE(B10243,""en"",""de"")"),"Der Hund springt vom Mann, um das Spielzeug zu fangen.")</f>
        <v>Der Hund springt vom Mann, um das Spielzeug zu fangen.</v>
      </c>
    </row>
    <row r="10244">
      <c r="A10244" s="4" t="s">
        <v>12875</v>
      </c>
      <c r="B10244" s="4" t="s">
        <v>12879</v>
      </c>
      <c r="C10244" s="5" t="str">
        <f>IFERROR(__xludf.DUMMYFUNCTION("GOOGLETRANSLATE(B10244,""en"",""de"")"),"Mehrere andere Hunde machen auch Tricks, um das Spielzeug zu fangen.")</f>
        <v>Mehrere andere Hunde machen auch Tricks, um das Spielzeug zu fangen.</v>
      </c>
    </row>
    <row r="10245">
      <c r="A10245" s="4" t="s">
        <v>12875</v>
      </c>
      <c r="B10245" s="4" t="s">
        <v>12880</v>
      </c>
      <c r="C10245" s="5" t="str">
        <f>IFERROR(__xludf.DUMMYFUNCTION("GOOGLETRANSLATE(B10245,""en"",""de"")"),"Ein Mann schwingt einen Hund mit einem Spielzeug herum.")</f>
        <v>Ein Mann schwingt einen Hund mit einem Spielzeug herum.</v>
      </c>
    </row>
    <row r="10246">
      <c r="A10246" s="4" t="s">
        <v>12881</v>
      </c>
      <c r="B10246" s="4" t="s">
        <v>1487</v>
      </c>
      <c r="C10246" s="5" t="str">
        <f>IFERROR(__xludf.DUMMYFUNCTION("GOOGLETRANSLATE(B10246,""en"",""de"")"),"Wir sehen einen Öffnungsbildschirm.")</f>
        <v>Wir sehen einen Öffnungsbildschirm.</v>
      </c>
    </row>
    <row r="10247">
      <c r="A10247" s="4" t="s">
        <v>12881</v>
      </c>
      <c r="B10247" s="4" t="s">
        <v>12882</v>
      </c>
      <c r="C10247" s="5" t="str">
        <f>IFERROR(__xludf.DUMMYFUNCTION("GOOGLETRANSLATE(B10247,""en"",""de"")"),"Wir sehen Schritte, um einen Kürbis zu schnitzen.")</f>
        <v>Wir sehen Schritte, um einen Kürbis zu schnitzen.</v>
      </c>
    </row>
    <row r="10248">
      <c r="A10248" s="4" t="s">
        <v>12881</v>
      </c>
      <c r="B10248" s="4" t="s">
        <v>12883</v>
      </c>
      <c r="C10248" s="5" t="str">
        <f>IFERROR(__xludf.DUMMYFUNCTION("GOOGLETRANSLATE(B10248,""en"",""de"")"),"Eine Person reinigt einen Kürbis.")</f>
        <v>Eine Person reinigt einen Kürbis.</v>
      </c>
    </row>
    <row r="10249">
      <c r="A10249" s="4" t="s">
        <v>12881</v>
      </c>
      <c r="B10249" s="4" t="s">
        <v>12884</v>
      </c>
      <c r="C10249" s="5" t="str">
        <f>IFERROR(__xludf.DUMMYFUNCTION("GOOGLETRANSLATE(B10249,""en"",""de"")"),"Wir sehen Schritt und eine Person schnitzt den Kürbis.")</f>
        <v>Wir sehen Schritt und eine Person schnitzt den Kürbis.</v>
      </c>
    </row>
    <row r="10250">
      <c r="A10250" s="4" t="s">
        <v>12881</v>
      </c>
      <c r="B10250" s="4" t="s">
        <v>12885</v>
      </c>
      <c r="C10250" s="5" t="str">
        <f>IFERROR(__xludf.DUMMYFUNCTION("GOOGLETRANSLATE(B10250,""en"",""de"")"),"Wir sehen einen anderen Schritt und Person verwendet geschnitzte Teile, um Katzenohren zu machen.")</f>
        <v>Wir sehen einen anderen Schritt und Person verwendet geschnitzte Teile, um Katzenohren zu machen.</v>
      </c>
    </row>
    <row r="10251">
      <c r="A10251" s="4" t="s">
        <v>12881</v>
      </c>
      <c r="B10251" s="4" t="s">
        <v>777</v>
      </c>
      <c r="C10251" s="5" t="str">
        <f>IFERROR(__xludf.DUMMYFUNCTION("GOOGLETRANSLATE(B10251,""en"",""de"")"),"Wir sehen den End -Titelbildschirm.")</f>
        <v>Wir sehen den End -Titelbildschirm.</v>
      </c>
    </row>
    <row r="10252">
      <c r="A10252" s="4" t="s">
        <v>12886</v>
      </c>
      <c r="B10252" s="4" t="s">
        <v>12887</v>
      </c>
      <c r="C10252" s="5" t="str">
        <f>IFERROR(__xludf.DUMMYFUNCTION("GOOGLETRANSLATE(B10252,""en"",""de"")"),"Eine Nahaufnahme eines Mixers ist mit verschiedenen Zutaten im Inneren zu sehen.")</f>
        <v>Eine Nahaufnahme eines Mixers ist mit verschiedenen Zutaten im Inneren zu sehen.</v>
      </c>
    </row>
    <row r="10253">
      <c r="A10253" s="4" t="s">
        <v>12886</v>
      </c>
      <c r="B10253" s="4" t="s">
        <v>12888</v>
      </c>
      <c r="C10253" s="5" t="str">
        <f>IFERROR(__xludf.DUMMYFUNCTION("GOOGLETRANSLATE(B10253,""en"",""de"")"),"Die Hand einer Person mischt dann die Mischung zusammen und bewegt ihre Hand von der Kamera.")</f>
        <v>Die Hand einer Person mischt dann die Mischung zusammen und bewegt ihre Hand von der Kamera.</v>
      </c>
    </row>
    <row r="10254">
      <c r="A10254" s="4" t="s">
        <v>12889</v>
      </c>
      <c r="B10254" s="4" t="s">
        <v>12890</v>
      </c>
      <c r="C10254" s="5" t="str">
        <f>IFERROR(__xludf.DUMMYFUNCTION("GOOGLETRANSLATE(B10254,""en"",""de"")"),"Eine Frau ist mit Markierungen auf ihrer Zunge und einer Person zu sehen, die Papiertücher auf ihre Zunge legt.")</f>
        <v>Eine Frau ist mit Markierungen auf ihrer Zunge und einer Person zu sehen, die Papiertücher auf ihre Zunge legt.</v>
      </c>
    </row>
    <row r="10255">
      <c r="A10255" s="4" t="s">
        <v>12889</v>
      </c>
      <c r="B10255" s="4" t="s">
        <v>12891</v>
      </c>
      <c r="C10255" s="5" t="str">
        <f>IFERROR(__xludf.DUMMYFUNCTION("GOOGLETRANSLATE(B10255,""en"",""de"")"),"Der Mann durchbohrt dann die Mädchenzunge und sie schaut in die Kamera lächelnd.")</f>
        <v>Der Mann durchbohrt dann die Mädchenzunge und sie schaut in die Kamera lächelnd.</v>
      </c>
    </row>
    <row r="10256">
      <c r="A10256" s="4" t="s">
        <v>12892</v>
      </c>
      <c r="B10256" s="4" t="s">
        <v>12893</v>
      </c>
      <c r="C10256" s="5" t="str">
        <f>IFERROR(__xludf.DUMMYFUNCTION("GOOGLETRANSLATE(B10256,""en"",""de"")"),"Ein hemdloser Mann steht auf Veranda, während er anweist, wie man ein Redneck -Feuer baut.")</f>
        <v>Ein hemdloser Mann steht auf Veranda, während er anweist, wie man ein Redneck -Feuer baut.</v>
      </c>
    </row>
    <row r="10257">
      <c r="A10257" s="4" t="s">
        <v>12892</v>
      </c>
      <c r="B10257" s="4" t="s">
        <v>12894</v>
      </c>
      <c r="C10257" s="5" t="str">
        <f>IFERROR(__xludf.DUMMYFUNCTION("GOOGLETRANSLATE(B10257,""en"",""de"")"),"Er zeigt eine Bierflasche und einige andere Alkoholdosen.")</f>
        <v>Er zeigt eine Bierflasche und einige andere Alkoholdosen.</v>
      </c>
    </row>
    <row r="10258">
      <c r="A10258" s="4" t="s">
        <v>12892</v>
      </c>
      <c r="B10258" s="4" t="s">
        <v>12895</v>
      </c>
      <c r="C10258" s="5" t="str">
        <f>IFERROR(__xludf.DUMMYFUNCTION("GOOGLETRANSLATE(B10258,""en"",""de"")"),"Er demonstriert ein Lagerfeuer, das er in einer Grube eingerichtet hat.")</f>
        <v>Er demonstriert ein Lagerfeuer, das er in einer Grube eingerichtet hat.</v>
      </c>
    </row>
    <row r="10259">
      <c r="A10259" s="4" t="s">
        <v>12892</v>
      </c>
      <c r="B10259" s="4" t="s">
        <v>12896</v>
      </c>
      <c r="C10259" s="5" t="str">
        <f>IFERROR(__xludf.DUMMYFUNCTION("GOOGLETRANSLATE(B10259,""en"",""de"")"),"In der Nähe der Lagerfeuergrube stehen drei Männer, um Schritt drei zu demonstrieren.")</f>
        <v>In der Nähe der Lagerfeuergrube stehen drei Männer, um Schritt drei zu demonstrieren.</v>
      </c>
    </row>
    <row r="10260">
      <c r="A10260" s="4" t="s">
        <v>12892</v>
      </c>
      <c r="B10260" s="4" t="s">
        <v>12897</v>
      </c>
      <c r="C10260" s="5" t="str">
        <f>IFERROR(__xludf.DUMMYFUNCTION("GOOGLETRANSLATE(B10260,""en"",""de"")"),"Einer der Männer nimmt eine Benzindose und unsere einige davon in die Lagerfeuergrube.")</f>
        <v>Einer der Männer nimmt eine Benzindose und unsere einige davon in die Lagerfeuergrube.</v>
      </c>
    </row>
    <row r="10261">
      <c r="A10261" s="4" t="s">
        <v>12892</v>
      </c>
      <c r="B10261" s="4" t="s">
        <v>12898</v>
      </c>
      <c r="C10261" s="5" t="str">
        <f>IFERROR(__xludf.DUMMYFUNCTION("GOOGLETRANSLATE(B10261,""en"",""de"")"),"Ein anderer Mann beleuchtet das Lagerfeuer, um das Feuer zu beginnen.")</f>
        <v>Ein anderer Mann beleuchtet das Lagerfeuer, um das Feuer zu beginnen.</v>
      </c>
    </row>
    <row r="10262">
      <c r="A10262" s="4" t="s">
        <v>12892</v>
      </c>
      <c r="B10262" s="4" t="s">
        <v>12899</v>
      </c>
      <c r="C10262" s="5" t="str">
        <f>IFERROR(__xludf.DUMMYFUNCTION("GOOGLETRANSLATE(B10262,""en"",""de"")"),"Das Lagerfeuer brennt weiter, als das Feuerwerk in der Grube knistert.")</f>
        <v>Das Lagerfeuer brennt weiter, als das Feuerwerk in der Grube knistert.</v>
      </c>
    </row>
    <row r="10263">
      <c r="A10263" s="4" t="s">
        <v>12892</v>
      </c>
      <c r="B10263" s="4" t="s">
        <v>12900</v>
      </c>
      <c r="C10263" s="5" t="str">
        <f>IFERROR(__xludf.DUMMYFUNCTION("GOOGLETRANSLATE(B10263,""en"",""de"")"),"Einer der Ausbilder kommt zurück und verweist auf das Redneck -Lagerfeuer.")</f>
        <v>Einer der Ausbilder kommt zurück und verweist auf das Redneck -Lagerfeuer.</v>
      </c>
    </row>
    <row r="10264">
      <c r="A10264" s="4" t="s">
        <v>12901</v>
      </c>
      <c r="B10264" s="4" t="s">
        <v>12902</v>
      </c>
      <c r="C10264" s="5" t="str">
        <f>IFERROR(__xludf.DUMMYFUNCTION("GOOGLETRANSLATE(B10264,""en"",""de"")"),"Die Leute sitzen in blauen Stoßstangenautos.")</f>
        <v>Die Leute sitzen in blauen Stoßstangenautos.</v>
      </c>
    </row>
    <row r="10265">
      <c r="A10265" s="4" t="s">
        <v>12901</v>
      </c>
      <c r="B10265" s="4" t="s">
        <v>12903</v>
      </c>
      <c r="C10265" s="5" t="str">
        <f>IFERROR(__xludf.DUMMYFUNCTION("GOOGLETRANSLATE(B10265,""en"",""de"")"),"Sie fahren herum und stoßen gegeneinander.")</f>
        <v>Sie fahren herum und stoßen gegeneinander.</v>
      </c>
    </row>
    <row r="10266">
      <c r="A10266" s="4" t="s">
        <v>12901</v>
      </c>
      <c r="B10266" s="4" t="s">
        <v>12904</v>
      </c>
      <c r="C10266" s="5" t="str">
        <f>IFERROR(__xludf.DUMMYFUNCTION("GOOGLETRANSLATE(B10266,""en"",""de"")"),"Ein kleiner Junge in einem Hutwellen in der Kamera.")</f>
        <v>Ein kleiner Junge in einem Hutwellen in der Kamera.</v>
      </c>
    </row>
    <row r="10267">
      <c r="A10267" s="4" t="s">
        <v>12905</v>
      </c>
      <c r="B10267" s="4" t="s">
        <v>12906</v>
      </c>
      <c r="C10267" s="5" t="str">
        <f>IFERROR(__xludf.DUMMYFUNCTION("GOOGLETRANSLATE(B10267,""en"",""de"")"),"Ein Paar schmutziger Nike -Turnschuhe sind auf einer Theke zu sehen.")</f>
        <v>Ein Paar schmutziger Nike -Turnschuhe sind auf einer Theke zu sehen.</v>
      </c>
    </row>
    <row r="10268">
      <c r="A10268" s="4" t="s">
        <v>12905</v>
      </c>
      <c r="B10268" s="4" t="s">
        <v>12907</v>
      </c>
      <c r="C10268" s="5" t="str">
        <f>IFERROR(__xludf.DUMMYFUNCTION("GOOGLETRANSLATE(B10268,""en"",""de"")"),"Ein Mann füllt eine Schüssel mit Wasser und fügt dann eine Reinigungslösung hinzu.")</f>
        <v>Ein Mann füllt eine Schüssel mit Wasser und fügt dann eine Reinigungslösung hinzu.</v>
      </c>
    </row>
    <row r="10269">
      <c r="A10269" s="4" t="s">
        <v>12905</v>
      </c>
      <c r="B10269" s="4" t="s">
        <v>12908</v>
      </c>
      <c r="C10269" s="5" t="str">
        <f>IFERROR(__xludf.DUMMYFUNCTION("GOOGLETRANSLATE(B10269,""en"",""de"")"),"Er benutzt eine Bürste, um die Schuhe sauber zu schrubben.")</f>
        <v>Er benutzt eine Bürste, um die Schuhe sauber zu schrubben.</v>
      </c>
    </row>
    <row r="10270">
      <c r="A10270" s="4" t="s">
        <v>12909</v>
      </c>
      <c r="B10270" s="4" t="s">
        <v>12910</v>
      </c>
      <c r="C10270" s="5" t="str">
        <f>IFERROR(__xludf.DUMMYFUNCTION("GOOGLETRANSLATE(B10270,""en"",""de"")"),"Ein Mann sitzt vor einigen Videomonitoren und verwandten Geräten.")</f>
        <v>Ein Mann sitzt vor einigen Videomonitoren und verwandten Geräten.</v>
      </c>
    </row>
    <row r="10271">
      <c r="A10271" s="4" t="s">
        <v>12909</v>
      </c>
      <c r="B10271" s="4" t="s">
        <v>12911</v>
      </c>
      <c r="C10271" s="5" t="str">
        <f>IFERROR(__xludf.DUMMYFUNCTION("GOOGLETRANSLATE(B10271,""en"",""de"")"),"Er erinnert uns daran, dass wir, als wir jung waren, keine Angst hatten, es zu versuchen, weil es uns gefallen hat.")</f>
        <v>Er erinnert uns daran, dass wir, als wir jung waren, keine Angst hatten, es zu versuchen, weil es uns gefallen hat.</v>
      </c>
    </row>
    <row r="10272">
      <c r="A10272" s="4" t="s">
        <v>12909</v>
      </c>
      <c r="B10272" s="4" t="s">
        <v>12912</v>
      </c>
      <c r="C10272" s="5" t="str">
        <f>IFERROR(__xludf.DUMMYFUNCTION("GOOGLETRANSLATE(B10272,""en"",""de"")"),"Wir sehen dann einige Kinder, die zusammen mit einigen älteren Spielern Fußball spielen und sich offensichtlich amüsieren.")</f>
        <v>Wir sehen dann einige Kinder, die zusammen mit einigen älteren Spielern Fußball spielen und sich offensichtlich amüsieren.</v>
      </c>
    </row>
    <row r="10273">
      <c r="A10273" s="4" t="s">
        <v>12909</v>
      </c>
      <c r="B10273" s="4" t="s">
        <v>12913</v>
      </c>
      <c r="C10273" s="5" t="str">
        <f>IFERROR(__xludf.DUMMYFUNCTION("GOOGLETRANSLATE(B10273,""en"",""de"")"),"Wir sehen den Mann noch einmal, der uns rät, niemals erwachsen zu werden.")</f>
        <v>Wir sehen den Mann noch einmal, der uns rät, niemals erwachsen zu werden.</v>
      </c>
    </row>
    <row r="10274">
      <c r="A10274" s="4" t="s">
        <v>12914</v>
      </c>
      <c r="B10274" s="4" t="s">
        <v>12915</v>
      </c>
      <c r="C10274" s="5" t="str">
        <f>IFERROR(__xludf.DUMMYFUNCTION("GOOGLETRANSLATE(B10274,""en"",""de"")"),"Es gibt vier Frauen, die zu einem choreografierten Tanz zu einer Hip -Hop -Musik in einem Studio tanzen.")</f>
        <v>Es gibt vier Frauen, die zu einem choreografierten Tanz zu einer Hip -Hop -Musik in einem Studio tanzen.</v>
      </c>
    </row>
    <row r="10275">
      <c r="A10275" s="4" t="s">
        <v>12914</v>
      </c>
      <c r="B10275" s="4" t="s">
        <v>12916</v>
      </c>
      <c r="C10275" s="5" t="str">
        <f>IFERROR(__xludf.DUMMYFUNCTION("GOOGLETRANSLATE(B10275,""en"",""de"")"),"Sie folgen einem synchronisierten und rhythmischen Beat, um dieselben Schritte wie der Rest der Tänzer zu befolgen.")</f>
        <v>Sie folgen einem synchronisierten und rhythmischen Beat, um dieselben Schritte wie der Rest der Tänzer zu befolgen.</v>
      </c>
    </row>
    <row r="10276">
      <c r="A10276" s="4" t="s">
        <v>12914</v>
      </c>
      <c r="B10276" s="4" t="s">
        <v>12917</v>
      </c>
      <c r="C10276" s="5" t="str">
        <f>IFERROR(__xludf.DUMMYFUNCTION("GOOGLETRANSLATE(B10276,""en"",""de"")"),"Sie folgen weiterhin den Schritten nacheinander in strukturierter Weise, in der alle rhythmisch ihre Hände und Beine schütteln.")</f>
        <v>Sie folgen weiterhin den Schritten nacheinander in strukturierter Weise, in der alle rhythmisch ihre Hände und Beine schütteln.</v>
      </c>
    </row>
    <row r="10277">
      <c r="A10277" s="4" t="s">
        <v>12914</v>
      </c>
      <c r="B10277" s="4" t="s">
        <v>12918</v>
      </c>
      <c r="C10277" s="5" t="str">
        <f>IFERROR(__xludf.DUMMYFUNCTION("GOOGLETRANSLATE(B10277,""en"",""de"")"),"Ihre Tanzbewegungen ändern sich, wenn sich die Musik ändert und sie nach dem Beat des Songs schneller oder schneller bewegt.")</f>
        <v>Ihre Tanzbewegungen ändern sich, wenn sich die Musik ändert und sie nach dem Beat des Songs schneller oder schneller bewegt.</v>
      </c>
    </row>
    <row r="10278">
      <c r="A10278" s="4" t="s">
        <v>12919</v>
      </c>
      <c r="B10278" s="4" t="s">
        <v>12920</v>
      </c>
      <c r="C10278" s="5" t="str">
        <f>IFERROR(__xludf.DUMMYFUNCTION("GOOGLETRANSLATE(B10278,""en"",""de"")"),"Ein noch ein Bild von einem Mann, der mitten in der Luft gefangen ist, um einen Boxsack anzugreifen, ein schwarz-weißes Bild von Frau, die den Schlagsack tritt, zwei nackte Männer in einer Boxposition, eine Silhouette eines Mannes, der eine verschwommene "&amp;"Person tritt, zwei Männer in einem Boxring, zwei Männer, die einen Meisterschaftsgürtel mit der Hand mit Boxhandschuhen bedecken.")</f>
        <v>Ein noch ein Bild von einem Mann, der mitten in der Luft gefangen ist, um einen Boxsack anzugreifen, ein schwarz-weißes Bild von Frau, die den Schlagsack tritt, zwei nackte Männer in einer Boxposition, eine Silhouette eines Mannes, der eine verschwommene Person tritt, zwei Männer in einem Boxring, zwei Männer, die einen Meisterschaftsgürtel mit der Hand mit Boxhandschuhen bedecken.</v>
      </c>
    </row>
    <row r="10279">
      <c r="A10279" s="4" t="s">
        <v>12919</v>
      </c>
      <c r="B10279" s="4" t="s">
        <v>12921</v>
      </c>
      <c r="C10279" s="5" t="str">
        <f>IFERROR(__xludf.DUMMYFUNCTION("GOOGLETRANSLATE(B10279,""en"",""de"")"),"Ein Mann in blauen Shorts tritt das Trittpad, der vom anderen Mann in schwarzen Shorts getragen wird.")</f>
        <v>Ein Mann in blauen Shorts tritt das Trittpad, der vom anderen Mann in schwarzen Shorts getragen wird.</v>
      </c>
    </row>
    <row r="10280">
      <c r="A10280" s="4" t="s">
        <v>12919</v>
      </c>
      <c r="B10280" s="4" t="s">
        <v>12922</v>
      </c>
      <c r="C10280" s="5" t="str">
        <f>IFERROR(__xludf.DUMMYFUNCTION("GOOGLETRANSLATE(B10280,""en"",""de"")"),"Zwei Männer, die börsennotiert sind, Boxen gegenseitig außerhalb des Boxrings.")</f>
        <v>Zwei Männer, die börsennotiert sind, Boxen gegenseitig außerhalb des Boxrings.</v>
      </c>
    </row>
    <row r="10281">
      <c r="A10281" s="4" t="s">
        <v>12923</v>
      </c>
      <c r="B10281" s="4" t="s">
        <v>12924</v>
      </c>
      <c r="C10281" s="5" t="str">
        <f>IFERROR(__xludf.DUMMYFUNCTION("GOOGLETRANSLATE(B10281,""en"",""de"")"),"Ein Mann betritt ein Auto mit einer Aktentasche.")</f>
        <v>Ein Mann betritt ein Auto mit einer Aktentasche.</v>
      </c>
    </row>
    <row r="10282">
      <c r="A10282" s="4" t="s">
        <v>12923</v>
      </c>
      <c r="B10282" s="4" t="s">
        <v>12925</v>
      </c>
      <c r="C10282" s="5" t="str">
        <f>IFERROR(__xludf.DUMMYFUNCTION("GOOGLETRANSLATE(B10282,""en"",""de"")"),"Dann raucht der Mann eine Zigarette im Amt und eine Krankenschwester gibt ihm Papiere.")</f>
        <v>Dann raucht der Mann eine Zigarette im Amt und eine Krankenschwester gibt ihm Papiere.</v>
      </c>
    </row>
    <row r="10283">
      <c r="A10283" s="4" t="s">
        <v>12923</v>
      </c>
      <c r="B10283" s="4" t="s">
        <v>12926</v>
      </c>
      <c r="C10283" s="5" t="str">
        <f>IFERROR(__xludf.DUMMYFUNCTION("GOOGLETRANSLATE(B10283,""en"",""de"")"),"Danach raucht eine elegante Frau und lächelt dann.")</f>
        <v>Danach raucht eine elegante Frau und lächelt dann.</v>
      </c>
    </row>
    <row r="10284">
      <c r="A10284" s="4" t="s">
        <v>12927</v>
      </c>
      <c r="B10284" s="4" t="s">
        <v>12928</v>
      </c>
      <c r="C10284" s="5" t="str">
        <f>IFERROR(__xludf.DUMMYFUNCTION("GOOGLETRANSLATE(B10284,""en"",""de"")"),"Die Menschen rücken einen steinigen Fluss auf aufblasbaren Booten hinunter.")</f>
        <v>Die Menschen rücken einen steinigen Fluss auf aufblasbaren Booten hinunter.</v>
      </c>
    </row>
    <row r="10285">
      <c r="A10285" s="4" t="s">
        <v>12927</v>
      </c>
      <c r="B10285" s="4" t="s">
        <v>12929</v>
      </c>
      <c r="C10285" s="5" t="str">
        <f>IFERROR(__xludf.DUMMYFUNCTION("GOOGLETRANSLATE(B10285,""en"",""de"")"),"Zwei Männer sind im Wasser und andere Männer helfen dabei, in das Boot zu gelangen.")</f>
        <v>Zwei Männer sind im Wasser und andere Männer helfen dabei, in das Boot zu gelangen.</v>
      </c>
    </row>
    <row r="10286">
      <c r="A10286" s="4" t="s">
        <v>12927</v>
      </c>
      <c r="B10286" s="4" t="s">
        <v>12930</v>
      </c>
      <c r="C10286" s="5" t="str">
        <f>IFERROR(__xludf.DUMMYFUNCTION("GOOGLETRANSLATE(B10286,""en"",""de"")"),"Die Männer gehen zwischen hohen Bergen.")</f>
        <v>Die Männer gehen zwischen hohen Bergen.</v>
      </c>
    </row>
    <row r="10287">
      <c r="A10287" s="4" t="s">
        <v>12931</v>
      </c>
      <c r="B10287" s="4" t="s">
        <v>12932</v>
      </c>
      <c r="C10287" s="5" t="str">
        <f>IFERROR(__xludf.DUMMYFUNCTION("GOOGLETRANSLATE(B10287,""en"",""de"")"),"Eine Frau entfernt den Schnee auf einem Auto mit einer Bürste und entfernt auch Schnee an den Seitenfenstern und im hinteren Fenster.")</f>
        <v>Eine Frau entfernt den Schnee auf einem Auto mit einer Bürste und entfernt auch Schnee an den Seitenfenstern und im hinteren Fenster.</v>
      </c>
    </row>
    <row r="10288">
      <c r="A10288" s="4" t="s">
        <v>12931</v>
      </c>
      <c r="B10288" s="4" t="s">
        <v>12933</v>
      </c>
      <c r="C10288" s="5" t="str">
        <f>IFERROR(__xludf.DUMMYFUNCTION("GOOGLETRANSLATE(B10288,""en"",""de"")"),"Danach nimmt die Frau weiter aus der Motorhaube des Autos und des vorderen Fensters, das viel Schnee hat.")</f>
        <v>Danach nimmt die Frau weiter aus der Motorhaube des Autos und des vorderen Fensters, das viel Schnee hat.</v>
      </c>
    </row>
    <row r="10289">
      <c r="A10289" s="4" t="s">
        <v>12934</v>
      </c>
      <c r="B10289" s="4" t="s">
        <v>12935</v>
      </c>
      <c r="C10289" s="5" t="str">
        <f>IFERROR(__xludf.DUMMYFUNCTION("GOOGLETRANSLATE(B10289,""en"",""de"")"),"Eine Person mischt Getränke hinter einer Bar.")</f>
        <v>Eine Person mischt Getränke hinter einer Bar.</v>
      </c>
    </row>
    <row r="10290">
      <c r="A10290" s="4" t="s">
        <v>12934</v>
      </c>
      <c r="B10290" s="4" t="s">
        <v>12936</v>
      </c>
      <c r="C10290" s="5" t="str">
        <f>IFERROR(__xludf.DUMMYFUNCTION("GOOGLETRANSLATE(B10290,""en"",""de"")"),"Eine Person spielt ein Spiel Shuffleboard.")</f>
        <v>Eine Person spielt ein Spiel Shuffleboard.</v>
      </c>
    </row>
    <row r="10291">
      <c r="A10291" s="4" t="s">
        <v>12934</v>
      </c>
      <c r="B10291" s="4" t="s">
        <v>1599</v>
      </c>
      <c r="C10291" s="5" t="str">
        <f>IFERROR(__xludf.DUMMYFUNCTION("GOOGLETRANSLATE(B10291,""en"",""de"")"),"Wörter werden auf dem Bildschirm angezeigt.")</f>
        <v>Wörter werden auf dem Bildschirm angezeigt.</v>
      </c>
    </row>
    <row r="10292">
      <c r="A10292" s="4" t="s">
        <v>12937</v>
      </c>
      <c r="B10292" s="4" t="s">
        <v>12938</v>
      </c>
      <c r="C10292" s="5" t="str">
        <f>IFERROR(__xludf.DUMMYFUNCTION("GOOGLETRANSLATE(B10292,""en"",""de"")"),"Ein Team spielt Eishockey vor einem überfüllten Stadion.")</f>
        <v>Ein Team spielt Eishockey vor einem überfüllten Stadion.</v>
      </c>
    </row>
    <row r="10293">
      <c r="A10293" s="4" t="s">
        <v>12937</v>
      </c>
      <c r="B10293" s="4" t="s">
        <v>12939</v>
      </c>
      <c r="C10293" s="5" t="str">
        <f>IFERROR(__xludf.DUMMYFUNCTION("GOOGLETRANSLATE(B10293,""en"",""de"")"),"Die Spieler werden gezeigt, die gegenseitig ineinander abbrechen.")</f>
        <v>Die Spieler werden gezeigt, die gegenseitig ineinander abbrechen.</v>
      </c>
    </row>
    <row r="10294">
      <c r="A10294" s="4" t="s">
        <v>12937</v>
      </c>
      <c r="B10294" s="4" t="s">
        <v>12940</v>
      </c>
      <c r="C10294" s="5" t="str">
        <f>IFERROR(__xludf.DUMMYFUNCTION("GOOGLETRANSLATE(B10294,""en"",""de"")"),"Ein Countdown von zehn wird gezeigt, wie wir Blooper aus verschiedenen Sportereignissen sehen, von Hockey über Baseball über Fußball und Basketball, wenn die Menschen hinfallen und Fehler machen.")</f>
        <v>Ein Countdown von zehn wird gezeigt, wie wir Blooper aus verschiedenen Sportereignissen sehen, von Hockey über Baseball über Fußball und Basketball, wenn die Menschen hinfallen und Fehler machen.</v>
      </c>
    </row>
    <row r="10295">
      <c r="A10295" s="4" t="s">
        <v>12941</v>
      </c>
      <c r="B10295" s="4" t="s">
        <v>12942</v>
      </c>
      <c r="C10295" s="5" t="str">
        <f>IFERROR(__xludf.DUMMYFUNCTION("GOOGLETRANSLATE(B10295,""en"",""de"")"),"Auf dem Bildschirm werden Wörter angezeigt, in denen das perfekte Sandwich hergestellt wird.")</f>
        <v>Auf dem Bildschirm werden Wörter angezeigt, in denen das perfekte Sandwich hergestellt wird.</v>
      </c>
    </row>
    <row r="10296">
      <c r="A10296" s="4" t="s">
        <v>12941</v>
      </c>
      <c r="B10296" s="4" t="s">
        <v>12943</v>
      </c>
      <c r="C10296" s="5" t="str">
        <f>IFERROR(__xludf.DUMMYFUNCTION("GOOGLETRANSLATE(B10296,""en"",""de"")"),"Die Zutaten, die Sie benötigen, sind Brot, Käse, Schinken, Puten -Sub -Kit -Deli -Fleisch, Kraft -Mayo, würziger brauner Senf, Gewürz und ein Messer.")</f>
        <v>Die Zutaten, die Sie benötigen, sind Brot, Käse, Schinken, Puten -Sub -Kit -Deli -Fleisch, Kraft -Mayo, würziger brauner Senf, Gewürz und ein Messer.</v>
      </c>
    </row>
    <row r="10297">
      <c r="A10297" s="4" t="s">
        <v>12941</v>
      </c>
      <c r="B10297" s="4" t="s">
        <v>12944</v>
      </c>
      <c r="C10297" s="5" t="str">
        <f>IFERROR(__xludf.DUMMYFUNCTION("GOOGLETRANSLATE(B10297,""en"",""de"")"),"Verbreiten Sie Mayo auf beiden Brotscheiben und geben Sie Senf und Käse auf beide Brotscheiben an und geben Sie Schinken, dann das Truthahnfleisch und geben Sie Ihren Geschmack eine andere Gewürze hin.")</f>
        <v>Verbreiten Sie Mayo auf beiden Brotscheiben und geben Sie Senf und Käse auf beide Brotscheiben an und geben Sie Schinken, dann das Truthahnfleisch und geben Sie Ihren Geschmack eine andere Gewürze hin.</v>
      </c>
    </row>
    <row r="10298">
      <c r="A10298" s="4" t="s">
        <v>12945</v>
      </c>
      <c r="B10298" s="4" t="s">
        <v>12946</v>
      </c>
      <c r="C10298" s="5" t="str">
        <f>IFERROR(__xludf.DUMMYFUNCTION("GOOGLETRANSLATE(B10298,""en"",""de"")"),"Ein kleines Kind hält einen Stock und schwingt an einer Pinata.")</f>
        <v>Ein kleines Kind hält einen Stock und schwingt an einer Pinata.</v>
      </c>
    </row>
    <row r="10299">
      <c r="A10299" s="4" t="s">
        <v>12945</v>
      </c>
      <c r="B10299" s="4" t="s">
        <v>12947</v>
      </c>
      <c r="C10299" s="5" t="str">
        <f>IFERROR(__xludf.DUMMYFUNCTION("GOOGLETRANSLATE(B10299,""en"",""de"")"),"Ein Mädchen wird gesehen, wie ein weiteres Blindbund faltet, während ein Mann nebenbei mit der Kamera spielt.")</f>
        <v>Ein Mädchen wird gesehen, wie ein weiteres Blindbund faltet, während ein Mann nebenbei mit der Kamera spielt.</v>
      </c>
    </row>
    <row r="10300">
      <c r="A10300" s="4" t="s">
        <v>12945</v>
      </c>
      <c r="B10300" s="4" t="s">
        <v>12948</v>
      </c>
      <c r="C10300" s="5" t="str">
        <f>IFERROR(__xludf.DUMMYFUNCTION("GOOGLETRANSLATE(B10300,""en"",""de"")"),"Der Mann hält den Stock und Gesten an das Mädchen nebenbei.")</f>
        <v>Der Mann hält den Stock und Gesten an das Mädchen nebenbei.</v>
      </c>
    </row>
    <row r="10301">
      <c r="A10301" s="4" t="s">
        <v>12949</v>
      </c>
      <c r="B10301" s="4" t="s">
        <v>12950</v>
      </c>
      <c r="C10301" s="5" t="str">
        <f>IFERROR(__xludf.DUMMYFUNCTION("GOOGLETRANSLATE(B10301,""en"",""de"")"),"Zwei Männer, die sich gegenseitig passen, spielen ein Spiel mit Schlägerball.")</f>
        <v>Zwei Männer, die sich gegenseitig passen, spielen ein Spiel mit Schlägerball.</v>
      </c>
    </row>
    <row r="10302">
      <c r="A10302" s="4" t="s">
        <v>12949</v>
      </c>
      <c r="B10302" s="4" t="s">
        <v>12951</v>
      </c>
      <c r="C10302" s="5" t="str">
        <f>IFERROR(__xludf.DUMMYFUNCTION("GOOGLETRANSLATE(B10302,""en"",""de"")"),"Sie befinden sich in einem in den Innenräumen geschlossenen Gerichtsgebiet, der das Spiel spielt.")</f>
        <v>Sie befinden sich in einem in den Innenräumen geschlossenen Gerichtsgebiet, der das Spiel spielt.</v>
      </c>
    </row>
    <row r="10303">
      <c r="A10303" s="4" t="s">
        <v>12949</v>
      </c>
      <c r="B10303" s="4" t="s">
        <v>12952</v>
      </c>
      <c r="C10303" s="5" t="str">
        <f>IFERROR(__xludf.DUMMYFUNCTION("GOOGLETRANSLATE(B10303,""en"",""de"")"),"Sie bewegen sich überall auf dem Platz und versuchen, den Ball zu treffen.")</f>
        <v>Sie bewegen sich überall auf dem Platz und versuchen, den Ball zu treffen.</v>
      </c>
    </row>
    <row r="10304">
      <c r="A10304" s="4" t="s">
        <v>12949</v>
      </c>
      <c r="B10304" s="4" t="s">
        <v>12953</v>
      </c>
      <c r="C10304" s="5" t="str">
        <f>IFERROR(__xludf.DUMMYFUNCTION("GOOGLETRANSLATE(B10304,""en"",""de"")"),"Der kahle Mann beginnt lächelnd aus dem Gericht zu gehen.")</f>
        <v>Der kahle Mann beginnt lächelnd aus dem Gericht zu gehen.</v>
      </c>
    </row>
    <row r="10305">
      <c r="A10305" s="4" t="s">
        <v>12954</v>
      </c>
      <c r="B10305" s="4" t="s">
        <v>12955</v>
      </c>
      <c r="C10305" s="5" t="str">
        <f>IFERROR(__xludf.DUMMYFUNCTION("GOOGLETRANSLATE(B10305,""en"",""de"")"),"Ein weiblicher Nachrichtenanker spricht über einen Clip, der gezeigt wird.")</f>
        <v>Ein weiblicher Nachrichtenanker spricht über einen Clip, der gezeigt wird.</v>
      </c>
    </row>
    <row r="10306">
      <c r="A10306" s="4" t="s">
        <v>12954</v>
      </c>
      <c r="B10306" s="4" t="s">
        <v>12956</v>
      </c>
      <c r="C10306" s="5" t="str">
        <f>IFERROR(__xludf.DUMMYFUNCTION("GOOGLETRANSLATE(B10306,""en"",""de"")"),"Affen Ski hinter einem Boot im Wasser.")</f>
        <v>Affen Ski hinter einem Boot im Wasser.</v>
      </c>
    </row>
    <row r="10307">
      <c r="A10307" s="4" t="s">
        <v>12954</v>
      </c>
      <c r="B10307" s="4" t="s">
        <v>12957</v>
      </c>
      <c r="C10307" s="5" t="str">
        <f>IFERROR(__xludf.DUMMYFUNCTION("GOOGLETRANSLATE(B10307,""en"",""de"")"),"Ein weiterer Affe fährt ein Schnellboot, der einen Skiaffen zieht.")</f>
        <v>Ein weiterer Affe fährt ein Schnellboot, der einen Skiaffen zieht.</v>
      </c>
    </row>
    <row r="10308">
      <c r="A10308" s="4" t="s">
        <v>12954</v>
      </c>
      <c r="B10308" s="4" t="s">
        <v>12958</v>
      </c>
      <c r="C10308" s="5" t="str">
        <f>IFERROR(__xludf.DUMMYFUNCTION("GOOGLETRANSLATE(B10308,""en"",""de"")"),"Mehrere Leute schauen und machen Fotos und Videos vom Ufer.")</f>
        <v>Mehrere Leute schauen und machen Fotos und Videos vom Ufer.</v>
      </c>
    </row>
    <row r="10309">
      <c r="A10309" s="4" t="s">
        <v>12954</v>
      </c>
      <c r="B10309" s="4" t="s">
        <v>12959</v>
      </c>
      <c r="C10309" s="5" t="str">
        <f>IFERROR(__xludf.DUMMYFUNCTION("GOOGLETRANSLATE(B10309,""en"",""de"")"),"Der Affen, der das Schnellboot fährt, wird erneut angezeigt.")</f>
        <v>Der Affen, der das Schnellboot fährt, wird erneut angezeigt.</v>
      </c>
    </row>
    <row r="10310">
      <c r="A10310" s="4" t="s">
        <v>12954</v>
      </c>
      <c r="B10310" s="4" t="s">
        <v>12960</v>
      </c>
      <c r="C10310" s="5" t="str">
        <f>IFERROR(__xludf.DUMMYFUNCTION("GOOGLETRANSLATE(B10310,""en"",""de"")"),"Der Affe umkreist das Lenkrad, wobei sich das Boot bewegt.")</f>
        <v>Der Affe umkreist das Lenkrad, wobei sich das Boot bewegt.</v>
      </c>
    </row>
    <row r="10311">
      <c r="A10311" s="4" t="s">
        <v>12954</v>
      </c>
      <c r="B10311" s="4" t="s">
        <v>12961</v>
      </c>
      <c r="C10311" s="5" t="str">
        <f>IFERROR(__xludf.DUMMYFUNCTION("GOOGLETRANSLATE(B10311,""en"",""de"")"),"Der Affe fährt dann das Boot zu einer Reihe von Bojen, wo drei Personen auf ihn warten.")</f>
        <v>Der Affe fährt dann das Boot zu einer Reihe von Bojen, wo drei Personen auf ihn warten.</v>
      </c>
    </row>
    <row r="10312">
      <c r="A10312" s="4" t="s">
        <v>12954</v>
      </c>
      <c r="B10312" s="4" t="s">
        <v>12962</v>
      </c>
      <c r="C10312" s="5" t="str">
        <f>IFERROR(__xludf.DUMMYFUNCTION("GOOGLETRANSLATE(B10312,""en"",""de"")"),"Drei Nachrichten Anker diskutieren die Affen.")</f>
        <v>Drei Nachrichten Anker diskutieren die Affen.</v>
      </c>
    </row>
    <row r="10313">
      <c r="A10313" s="4" t="s">
        <v>12963</v>
      </c>
      <c r="B10313" s="4" t="s">
        <v>12964</v>
      </c>
      <c r="C10313" s="5" t="str">
        <f>IFERROR(__xludf.DUMMYFUNCTION("GOOGLETRANSLATE(B10313,""en"",""de"")"),"Ein kleiner Junge hat gesehen, wie er sich einen Ball schnappt und vorwärts geht, um zur Kamera zu sprechen.")</f>
        <v>Ein kleiner Junge hat gesehen, wie er sich einen Ball schnappt und vorwärts geht, um zur Kamera zu sprechen.</v>
      </c>
    </row>
    <row r="10314">
      <c r="A10314" s="4" t="s">
        <v>12963</v>
      </c>
      <c r="B10314" s="4" t="s">
        <v>12965</v>
      </c>
      <c r="C10314" s="5" t="str">
        <f>IFERROR(__xludf.DUMMYFUNCTION("GOOGLETRANSLATE(B10314,""en"",""de"")"),"Er wird dann in einem Schuss gesehen, der sich am Stock hält und einen Ball schlägt.")</f>
        <v>Er wird dann in einem Schuss gesehen, der sich am Stock hält und einen Ball schlägt.</v>
      </c>
    </row>
    <row r="10315">
      <c r="A10315" s="4" t="s">
        <v>12963</v>
      </c>
      <c r="B10315" s="4" t="s">
        <v>12966</v>
      </c>
      <c r="C10315" s="5" t="str">
        <f>IFERROR(__xludf.DUMMYFUNCTION("GOOGLETRANSLATE(B10315,""en"",""de"")"),"Er schlägt den Ball weiter in ein Tor, das in die Kamera zurückblickt.")</f>
        <v>Er schlägt den Ball weiter in ein Tor, das in die Kamera zurückblickt.</v>
      </c>
    </row>
    <row r="10316">
      <c r="A10316" s="4" t="s">
        <v>12967</v>
      </c>
      <c r="B10316" s="4" t="s">
        <v>12968</v>
      </c>
      <c r="C10316" s="5" t="str">
        <f>IFERROR(__xludf.DUMMYFUNCTION("GOOGLETRANSLATE(B10316,""en"",""de"")"),"Ein Mann und eine Frau stehen an einem Klavier.")</f>
        <v>Ein Mann und eine Frau stehen an einem Klavier.</v>
      </c>
    </row>
    <row r="10317">
      <c r="A10317" s="4" t="s">
        <v>12967</v>
      </c>
      <c r="B10317" s="4" t="s">
        <v>12969</v>
      </c>
      <c r="C10317" s="5" t="str">
        <f>IFERROR(__xludf.DUMMYFUNCTION("GOOGLETRANSLATE(B10317,""en"",""de"")"),"Der Mann und die Frau spielen zusammen das Klavier.")</f>
        <v>Der Mann und die Frau spielen zusammen das Klavier.</v>
      </c>
    </row>
    <row r="10318">
      <c r="A10318" s="4" t="s">
        <v>12967</v>
      </c>
      <c r="B10318" s="4" t="s">
        <v>12970</v>
      </c>
      <c r="C10318" s="5" t="str">
        <f>IFERROR(__xludf.DUMMYFUNCTION("GOOGLETRANSLATE(B10318,""en"",""de"")"),"Sie wechseln die Plätze und spielen weiter Klavier.")</f>
        <v>Sie wechseln die Plätze und spielen weiter Klavier.</v>
      </c>
    </row>
    <row r="10319">
      <c r="A10319" s="4" t="s">
        <v>12967</v>
      </c>
      <c r="B10319" s="4" t="s">
        <v>12971</v>
      </c>
      <c r="C10319" s="5" t="str">
        <f>IFERROR(__xludf.DUMMYFUNCTION("GOOGLETRANSLATE(B10319,""en"",""de"")"),"Sie wechseln schnell die Stellen.")</f>
        <v>Sie wechseln schnell die Stellen.</v>
      </c>
    </row>
    <row r="10320">
      <c r="A10320" s="4" t="s">
        <v>12967</v>
      </c>
      <c r="B10320" s="4" t="s">
        <v>12972</v>
      </c>
      <c r="C10320" s="5" t="str">
        <f>IFERROR(__xludf.DUMMYFUNCTION("GOOGLETRANSLATE(B10320,""en"",""de"")"),"Sie machen es wieder und lachen zusammen weg.")</f>
        <v>Sie machen es wieder und lachen zusammen weg.</v>
      </c>
    </row>
    <row r="10321">
      <c r="A10321" s="4" t="s">
        <v>12967</v>
      </c>
      <c r="B10321" s="4" t="s">
        <v>12973</v>
      </c>
      <c r="C10321" s="5" t="str">
        <f>IFERROR(__xludf.DUMMYFUNCTION("GOOGLETRANSLATE(B10321,""en"",""de"")"),"Endlich beenden sie und gehen glücklich zusammen.")</f>
        <v>Endlich beenden sie und gehen glücklich zusammen.</v>
      </c>
    </row>
    <row r="10322">
      <c r="A10322" s="4" t="s">
        <v>12974</v>
      </c>
      <c r="B10322" s="4" t="s">
        <v>12975</v>
      </c>
      <c r="C10322" s="5" t="str">
        <f>IFERROR(__xludf.DUMMYFUNCTION("GOOGLETRANSLATE(B10322,""en"",""de"")"),"Eine Frau sitzt an einem Fenster, das ein weißes Stück strickt.")</f>
        <v>Eine Frau sitzt an einem Fenster, das ein weißes Stück strickt.</v>
      </c>
    </row>
    <row r="10323">
      <c r="A10323" s="4" t="s">
        <v>12974</v>
      </c>
      <c r="B10323" s="4" t="s">
        <v>12976</v>
      </c>
      <c r="C10323" s="5" t="str">
        <f>IFERROR(__xludf.DUMMYFUNCTION("GOOGLETRANSLATE(B10323,""en"",""de"")"),"Die Frau hält ein Musterbuch mit einem Bild des Stücks, an dem sie arbeitet.")</f>
        <v>Die Frau hält ein Musterbuch mit einem Bild des Stücks, an dem sie arbeitet.</v>
      </c>
    </row>
    <row r="10324">
      <c r="A10324" s="4" t="s">
        <v>12974</v>
      </c>
      <c r="B10324" s="4" t="s">
        <v>12977</v>
      </c>
      <c r="C10324" s="5" t="str">
        <f>IFERROR(__xludf.DUMMYFUNCTION("GOOGLETRANSLATE(B10324,""en"",""de"")"),"Die Frau setzt ihr Stricken fort.")</f>
        <v>Die Frau setzt ihr Stricken fort.</v>
      </c>
    </row>
    <row r="10325">
      <c r="A10325" s="4" t="s">
        <v>12974</v>
      </c>
      <c r="B10325" s="4" t="s">
        <v>12978</v>
      </c>
      <c r="C10325" s="5" t="str">
        <f>IFERROR(__xludf.DUMMYFUNCTION("GOOGLETRANSLATE(B10325,""en"",""de"")"),"Die Frau zeigt ihre Arbeit bisher und strickt weiter.")</f>
        <v>Die Frau zeigt ihre Arbeit bisher und strickt weiter.</v>
      </c>
    </row>
    <row r="10326">
      <c r="A10326" s="4" t="s">
        <v>12979</v>
      </c>
      <c r="B10326" s="4" t="s">
        <v>12980</v>
      </c>
      <c r="C10326" s="5" t="str">
        <f>IFERROR(__xludf.DUMMYFUNCTION("GOOGLETRANSLATE(B10326,""en"",""de"")"),"Ein großer Bogen liegt auf einem Tisch.")</f>
        <v>Ein großer Bogen liegt auf einem Tisch.</v>
      </c>
    </row>
    <row r="10327">
      <c r="A10327" s="4" t="s">
        <v>12979</v>
      </c>
      <c r="B10327" s="4" t="s">
        <v>12981</v>
      </c>
      <c r="C10327" s="5" t="str">
        <f>IFERROR(__xludf.DUMMYFUNCTION("GOOGLETRANSLATE(B10327,""en"",""de"")"),"Die Details der Nahaufnahme des Bogenschießens werden angezeigt.")</f>
        <v>Die Details der Nahaufnahme des Bogenschießens werden angezeigt.</v>
      </c>
    </row>
    <row r="10328">
      <c r="A10328" s="4" t="s">
        <v>12979</v>
      </c>
      <c r="B10328" s="4" t="s">
        <v>12982</v>
      </c>
      <c r="C10328" s="5" t="str">
        <f>IFERROR(__xludf.DUMMYFUNCTION("GOOGLETRANSLATE(B10328,""en"",""de"")"),"Ein Mann wird gezeigt, der sich zurückzieht und Pfeil macht und ihn loslässt.")</f>
        <v>Ein Mann wird gezeigt, der sich zurückzieht und Pfeil macht und ihn loslässt.</v>
      </c>
    </row>
    <row r="10329">
      <c r="A10329" s="4" t="s">
        <v>12983</v>
      </c>
      <c r="B10329" s="4" t="s">
        <v>12984</v>
      </c>
      <c r="C10329" s="5" t="str">
        <f>IFERROR(__xludf.DUMMYFUNCTION("GOOGLETRANSLATE(B10329,""en"",""de"")"),"Eine Gruppe von Menschen fährt in einer riesigen Autofahrt in einem Vergnügungspark in Stoßstangenautos.")</f>
        <v>Eine Gruppe von Menschen fährt in einer riesigen Autofahrt in einem Vergnügungspark in Stoßstangenautos.</v>
      </c>
    </row>
    <row r="10330">
      <c r="A10330" s="4" t="s">
        <v>12983</v>
      </c>
      <c r="B10330" s="4" t="s">
        <v>12985</v>
      </c>
      <c r="C10330" s="5" t="str">
        <f>IFERROR(__xludf.DUMMYFUNCTION("GOOGLETRANSLATE(B10330,""en"",""de"")"),"Zwei gelbe Stoßstangenautos stecken in der Mitte der Strecke fest, bis sie von einem anderen Auto gestoßen werden.")</f>
        <v>Zwei gelbe Stoßstangenautos stecken in der Mitte der Strecke fest, bis sie von einem anderen Auto gestoßen werden.</v>
      </c>
    </row>
    <row r="10331">
      <c r="A10331" s="4" t="s">
        <v>12983</v>
      </c>
      <c r="B10331" s="4" t="s">
        <v>12986</v>
      </c>
      <c r="C10331" s="5" t="str">
        <f>IFERROR(__xludf.DUMMYFUNCTION("GOOGLETRANSLATE(B10331,""en"",""de"")"),"Der Rest der Autofahrer folgt weiterhin dem Kurs.")</f>
        <v>Der Rest der Autofahrer folgt weiterhin dem Kurs.</v>
      </c>
    </row>
    <row r="10332">
      <c r="A10332" s="4" t="s">
        <v>12987</v>
      </c>
      <c r="B10332" s="4" t="s">
        <v>12988</v>
      </c>
      <c r="C10332" s="5" t="str">
        <f>IFERROR(__xludf.DUMMYFUNCTION("GOOGLETRANSLATE(B10332,""en"",""de"")"),"Die Hand einer Frau wird gezeigt, dass sie einen Glasschild ausgelöscht wird, gefolgt von verschiedenen Objekten, die auf einem Tisch sitzen.")</f>
        <v>Die Hand einer Frau wird gezeigt, dass sie einen Glasschild ausgelöscht wird, gefolgt von verschiedenen Objekten, die auf einem Tisch sitzen.</v>
      </c>
    </row>
    <row r="10333">
      <c r="A10333" s="4" t="s">
        <v>12987</v>
      </c>
      <c r="B10333" s="4" t="s">
        <v>12989</v>
      </c>
      <c r="C10333" s="5" t="str">
        <f>IFERROR(__xludf.DUMMYFUNCTION("GOOGLETRANSLATE(B10333,""en"",""de"")"),"Die Frau sprüht das Glas und folgt dem Objekt im Glas.")</f>
        <v>Die Frau sprüht das Glas und folgt dem Objekt im Glas.</v>
      </c>
    </row>
    <row r="10334">
      <c r="A10334" s="4" t="s">
        <v>12987</v>
      </c>
      <c r="B10334" s="4" t="s">
        <v>12990</v>
      </c>
      <c r="C10334" s="5" t="str">
        <f>IFERROR(__xludf.DUMMYFUNCTION("GOOGLETRANSLATE(B10334,""en"",""de"")"),"Sie macht dies mehrmals und zeigt, wo sie einschließen und wie das Tool verwendet werden soll.")</f>
        <v>Sie macht dies mehrmals und zeigt, wo sie einschließen und wie das Tool verwendet werden soll.</v>
      </c>
    </row>
    <row r="10335">
      <c r="A10335" s="4" t="s">
        <v>12991</v>
      </c>
      <c r="B10335" s="4" t="s">
        <v>12992</v>
      </c>
      <c r="C10335" s="5" t="str">
        <f>IFERROR(__xludf.DUMMYFUNCTION("GOOGLETRANSLATE(B10335,""en"",""de"")"),"Ein Mann läuft auf einer Strecke mit einem Speer.")</f>
        <v>Ein Mann läuft auf einer Strecke mit einem Speer.</v>
      </c>
    </row>
    <row r="10336">
      <c r="A10336" s="4" t="s">
        <v>12991</v>
      </c>
      <c r="B10336" s="4" t="s">
        <v>5532</v>
      </c>
      <c r="C10336" s="5" t="str">
        <f>IFERROR(__xludf.DUMMYFUNCTION("GOOGLETRANSLATE(B10336,""en"",""de"")"),"Er wirft es so hart wie möglich.")</f>
        <v>Er wirft es so hart wie möglich.</v>
      </c>
    </row>
    <row r="10337">
      <c r="A10337" s="4" t="s">
        <v>12991</v>
      </c>
      <c r="B10337" s="4" t="s">
        <v>12993</v>
      </c>
      <c r="C10337" s="5" t="str">
        <f>IFERROR(__xludf.DUMMYFUNCTION("GOOGLETRANSLATE(B10337,""en"",""de"")"),"Wir sehen ihn wieder in Zeitlupe werfen.")</f>
        <v>Wir sehen ihn wieder in Zeitlupe werfen.</v>
      </c>
    </row>
    <row r="10338">
      <c r="A10338" s="4" t="s">
        <v>12994</v>
      </c>
      <c r="B10338" s="4" t="s">
        <v>12995</v>
      </c>
      <c r="C10338" s="5" t="str">
        <f>IFERROR(__xludf.DUMMYFUNCTION("GOOGLETRANSLATE(B10338,""en"",""de"")"),"Ein Mann sitzt auf einem Stuhl am Strand und wird von einem anderen Mann angesprochen. Der erste Mann steht auf und wendet Lotion auf den zweiten Mann an.")</f>
        <v>Ein Mann sitzt auf einem Stuhl am Strand und wird von einem anderen Mann angesprochen. Der erste Mann steht auf und wendet Lotion auf den zweiten Mann an.</v>
      </c>
    </row>
    <row r="10339">
      <c r="A10339" s="4" t="s">
        <v>12994</v>
      </c>
      <c r="B10339" s="4" t="s">
        <v>12996</v>
      </c>
      <c r="C10339" s="5" t="str">
        <f>IFERROR(__xludf.DUMMYFUNCTION("GOOGLETRANSLATE(B10339,""en"",""de"")"),"Eine Frau und ein Mann sitzen auf einem Handtuch am Strand und ein Mann nähert sich.")</f>
        <v>Eine Frau und ein Mann sitzen auf einem Handtuch am Strand und ein Mann nähert sich.</v>
      </c>
    </row>
    <row r="10340">
      <c r="A10340" s="4" t="s">
        <v>12994</v>
      </c>
      <c r="B10340" s="4" t="s">
        <v>12997</v>
      </c>
      <c r="C10340" s="5" t="str">
        <f>IFERROR(__xludf.DUMMYFUNCTION("GOOGLETRANSLATE(B10340,""en"",""de"")"),"Der sitzende Mann steht auf und legt Lotion auf den Mann, der sich näherte.")</f>
        <v>Der sitzende Mann steht auf und legt Lotion auf den Mann, der sich näherte.</v>
      </c>
    </row>
    <row r="10341">
      <c r="A10341" s="4" t="s">
        <v>12994</v>
      </c>
      <c r="B10341" s="4" t="s">
        <v>12998</v>
      </c>
      <c r="C10341" s="5" t="str">
        <f>IFERROR(__xludf.DUMMYFUNCTION("GOOGLETRANSLATE(B10341,""en"",""de"")"),"Fünf Männer liegen am Strand, als sich eine Frau ihnen nähert.")</f>
        <v>Fünf Männer liegen am Strand, als sich eine Frau ihnen nähert.</v>
      </c>
    </row>
    <row r="10342">
      <c r="A10342" s="4" t="s">
        <v>12994</v>
      </c>
      <c r="B10342" s="4" t="s">
        <v>12999</v>
      </c>
      <c r="C10342" s="5" t="str">
        <f>IFERROR(__xludf.DUMMYFUNCTION("GOOGLETRANSLATE(B10342,""en"",""de"")"),"Ein Mann steht auf und wendet Lotion auf die Frau zurück.")</f>
        <v>Ein Mann steht auf und wendet Lotion auf die Frau zurück.</v>
      </c>
    </row>
    <row r="10343">
      <c r="A10343" s="4" t="s">
        <v>12994</v>
      </c>
      <c r="B10343" s="4" t="s">
        <v>13000</v>
      </c>
      <c r="C10343" s="5" t="str">
        <f>IFERROR(__xludf.DUMMYFUNCTION("GOOGLETRANSLATE(B10343,""en"",""de"")"),"Fünf Jungs liegen am Strand auf Handtüchern und ein Mann nähert sich ihnen.")</f>
        <v>Fünf Jungs liegen am Strand auf Handtüchern und ein Mann nähert sich ihnen.</v>
      </c>
    </row>
    <row r="10344">
      <c r="A10344" s="4" t="s">
        <v>13001</v>
      </c>
      <c r="B10344" s="4" t="s">
        <v>13002</v>
      </c>
      <c r="C10344" s="5" t="str">
        <f>IFERROR(__xludf.DUMMYFUNCTION("GOOGLETRANSLATE(B10344,""en"",""de"")"),"Eine Gruppe von Schwimmern, die in einem von Zuschauern, großen Felsen, Gebäuden und Booten umgebenen Gewässer in einem beurteilten Wettbewerb eintauchen.")</f>
        <v>Eine Gruppe von Schwimmern, die in einem von Zuschauern, großen Felsen, Gebäuden und Booten umgebenen Gewässer in einem beurteilten Wettbewerb eintauchen.</v>
      </c>
    </row>
    <row r="10345">
      <c r="A10345" s="4" t="s">
        <v>13001</v>
      </c>
      <c r="B10345" s="4" t="s">
        <v>13003</v>
      </c>
      <c r="C10345" s="5" t="str">
        <f>IFERROR(__xludf.DUMMYFUNCTION("GOOGLETRANSLATE(B10345,""en"",""de"")"),"Die Schwimmer springen von einem Mann, der in gesponserte Werbekunst und Grafiken eingewickelt wurde.")</f>
        <v>Die Schwimmer springen von einem Mann, der in gesponserte Werbekunst und Grafiken eingewickelt wurde.</v>
      </c>
    </row>
    <row r="10346">
      <c r="A10346" s="4" t="s">
        <v>13001</v>
      </c>
      <c r="B10346" s="4" t="s">
        <v>13004</v>
      </c>
      <c r="C10346" s="5" t="str">
        <f>IFERROR(__xludf.DUMMYFUNCTION("GOOGLETRANSLATE(B10346,""en"",""de"")"),"Eine Gruppe von Richtern hält Scorecards mit Zahlen auf, als die Autofahrt auf einer nahe gelegenen Straße vorbei und Zuschauer sitzen nebeneinander an einer erhöhten Wandbeobachtung.")</f>
        <v>Eine Gruppe von Richtern hält Scorecards mit Zahlen auf, als die Autofahrt auf einer nahe gelegenen Straße vorbei und Zuschauer sitzen nebeneinander an einer erhöhten Wandbeobachtung.</v>
      </c>
    </row>
    <row r="10347">
      <c r="A10347" s="4" t="s">
        <v>13001</v>
      </c>
      <c r="B10347" s="4" t="s">
        <v>13005</v>
      </c>
      <c r="C10347" s="5" t="str">
        <f>IFERROR(__xludf.DUMMYFUNCTION("GOOGLETRANSLATE(B10347,""en"",""de"")"),"Zwei Schwimmer umarmen, während ein Schwimmer auf und ab springt und drei weitere Trophäen hochhalten.")</f>
        <v>Zwei Schwimmer umarmen, während ein Schwimmer auf und ab springt und drei weitere Trophäen hochhalten.</v>
      </c>
    </row>
    <row r="10348">
      <c r="A10348" s="4" t="s">
        <v>13006</v>
      </c>
      <c r="B10348" s="4" t="s">
        <v>13007</v>
      </c>
      <c r="C10348" s="5" t="str">
        <f>IFERROR(__xludf.DUMMYFUNCTION("GOOGLETRANSLATE(B10348,""en"",""de"")"),"Ein gut besuchter klassisches Konzert wird gezeigt.")</f>
        <v>Ein gut besuchter klassisches Konzert wird gezeigt.</v>
      </c>
    </row>
    <row r="10349">
      <c r="A10349" s="4" t="s">
        <v>13006</v>
      </c>
      <c r="B10349" s="4" t="s">
        <v>13008</v>
      </c>
      <c r="C10349" s="5" t="str">
        <f>IFERROR(__xludf.DUMMYFUNCTION("GOOGLETRANSLATE(B10349,""en"",""de"")"),"Der Komponist spricht mit dem Publikum über Musik.")</f>
        <v>Der Komponist spricht mit dem Publikum über Musik.</v>
      </c>
    </row>
    <row r="10350">
      <c r="A10350" s="4" t="s">
        <v>13006</v>
      </c>
      <c r="B10350" s="4" t="s">
        <v>13009</v>
      </c>
      <c r="C10350" s="5" t="str">
        <f>IFERROR(__xludf.DUMMYFUNCTION("GOOGLETRANSLATE(B10350,""en"",""de"")"),"Die Menge applaudiert und lächelt.")</f>
        <v>Die Menge applaudiert und lächelt.</v>
      </c>
    </row>
    <row r="10351">
      <c r="A10351" s="4" t="s">
        <v>13006</v>
      </c>
      <c r="B10351" s="4" t="s">
        <v>13010</v>
      </c>
      <c r="C10351" s="5" t="str">
        <f>IFERROR(__xludf.DUMMYFUNCTION("GOOGLETRANSLATE(B10351,""en"",""de"")"),"Der Komponist spricht über Musik und das Orchester hinter ihm.")</f>
        <v>Der Komponist spricht über Musik und das Orchester hinter ihm.</v>
      </c>
    </row>
    <row r="10352">
      <c r="A10352" s="4" t="s">
        <v>13006</v>
      </c>
      <c r="B10352" s="4" t="s">
        <v>13011</v>
      </c>
      <c r="C10352" s="5" t="str">
        <f>IFERROR(__xludf.DUMMYFUNCTION("GOOGLETRANSLATE(B10352,""en"",""de"")"),"Ein Mitglied kommt heraus, um das Saxophon für ein Solo zu spielen, während die Menge mitschließt.")</f>
        <v>Ein Mitglied kommt heraus, um das Saxophon für ein Solo zu spielen, während die Menge mitschließt.</v>
      </c>
    </row>
    <row r="10353">
      <c r="A10353" s="4" t="s">
        <v>13006</v>
      </c>
      <c r="B10353" s="4" t="s">
        <v>13012</v>
      </c>
      <c r="C10353" s="5" t="str">
        <f>IFERROR(__xludf.DUMMYFUNCTION("GOOGLETRANSLATE(B10353,""en"",""de"")"),"Das Orchester setzt sich allmählich mit einer vollen Leistung ein.")</f>
        <v>Das Orchester setzt sich allmählich mit einer vollen Leistung ein.</v>
      </c>
    </row>
    <row r="10354">
      <c r="A10354" s="4" t="s">
        <v>13006</v>
      </c>
      <c r="B10354" s="4" t="s">
        <v>13013</v>
      </c>
      <c r="C10354" s="5" t="str">
        <f>IFERROR(__xludf.DUMMYFUNCTION("GOOGLETRANSLATE(B10354,""en"",""de"")"),"Das Lied verlangsamt sich und baut sich auf, als sich die Menge mit Klatschen zurückschließt.")</f>
        <v>Das Lied verlangsamt sich und baut sich auf, als sich die Menge mit Klatschen zurückschließt.</v>
      </c>
    </row>
    <row r="10355">
      <c r="A10355" s="4" t="s">
        <v>13006</v>
      </c>
      <c r="B10355" s="4" t="s">
        <v>13014</v>
      </c>
      <c r="C10355" s="5" t="str">
        <f>IFERROR(__xludf.DUMMYFUNCTION("GOOGLETRANSLATE(B10355,""en"",""de"")"),"Das Lied endet und die Menge applaudiert donnernd.")</f>
        <v>Das Lied endet und die Menge applaudiert donnernd.</v>
      </c>
    </row>
    <row r="10356">
      <c r="A10356" s="4" t="s">
        <v>13006</v>
      </c>
      <c r="B10356" s="4" t="s">
        <v>13015</v>
      </c>
      <c r="C10356" s="5" t="str">
        <f>IFERROR(__xludf.DUMMYFUNCTION("GOOGLETRANSLATE(B10356,""en"",""de"")"),"Der Saxophonist beugt und kehrt zu ihrem Sitz zurück.")</f>
        <v>Der Saxophonist beugt und kehrt zu ihrem Sitz zurück.</v>
      </c>
    </row>
    <row r="10357">
      <c r="A10357" s="4" t="s">
        <v>13016</v>
      </c>
      <c r="B10357" s="4" t="s">
        <v>13017</v>
      </c>
      <c r="C10357" s="5" t="str">
        <f>IFERROR(__xludf.DUMMYFUNCTION("GOOGLETRANSLATE(B10357,""en"",""de"")"),"Ein kleines Mädchen, das eine rosa Bluse trägt, sitzt auf einem Bett mit den Augen.")</f>
        <v>Ein kleines Mädchen, das eine rosa Bluse trägt, sitzt auf einem Bett mit den Augen.</v>
      </c>
    </row>
    <row r="10358">
      <c r="A10358" s="4" t="s">
        <v>13016</v>
      </c>
      <c r="B10358" s="4" t="s">
        <v>13018</v>
      </c>
      <c r="C10358" s="5" t="str">
        <f>IFERROR(__xludf.DUMMYFUNCTION("GOOGLETRANSLATE(B10358,""en"",""de"")"),"Das kleine Mädchen legt dann den lila Lippenstift auf ihre Lippen an.")</f>
        <v>Das kleine Mädchen legt dann den lila Lippenstift auf ihre Lippen an.</v>
      </c>
    </row>
    <row r="10359">
      <c r="A10359" s="4" t="s">
        <v>13016</v>
      </c>
      <c r="B10359" s="4" t="s">
        <v>13019</v>
      </c>
      <c r="C10359" s="5" t="str">
        <f>IFERROR(__xludf.DUMMYFUNCTION("GOOGLETRANSLATE(B10359,""en"",""de"")"),"Das kleine Mädchen macht weiterhin Lippenstift, während er mit dem Kameramann über Make -up spricht.")</f>
        <v>Das kleine Mädchen macht weiterhin Lippenstift, während er mit dem Kameramann über Make -up spricht.</v>
      </c>
    </row>
    <row r="10360">
      <c r="A10360" s="4" t="s">
        <v>13020</v>
      </c>
      <c r="B10360" s="4" t="s">
        <v>13021</v>
      </c>
      <c r="C10360" s="5" t="str">
        <f>IFERROR(__xludf.DUMMYFUNCTION("GOOGLETRANSLATE(B10360,""en"",""de"")"),"Ein Spiel ist vor einer Menge im Gange.")</f>
        <v>Ein Spiel ist vor einer Menge im Gange.</v>
      </c>
    </row>
    <row r="10361">
      <c r="A10361" s="4" t="s">
        <v>13020</v>
      </c>
      <c r="B10361" s="4" t="s">
        <v>13022</v>
      </c>
      <c r="C10361" s="5" t="str">
        <f>IFERROR(__xludf.DUMMYFUNCTION("GOOGLETRANSLATE(B10361,""en"",""de"")"),"Ein Mann dreht sich und wirft eine Scheibe durch die Luft.")</f>
        <v>Ein Mann dreht sich und wirft eine Scheibe durch die Luft.</v>
      </c>
    </row>
    <row r="10362">
      <c r="A10362" s="4" t="s">
        <v>13020</v>
      </c>
      <c r="B10362" s="4" t="s">
        <v>13023</v>
      </c>
      <c r="C10362" s="5" t="str">
        <f>IFERROR(__xludf.DUMMYFUNCTION("GOOGLETRANSLATE(B10362,""en"",""de"")"),"Danach geht er um das Feld.")</f>
        <v>Danach geht er um das Feld.</v>
      </c>
    </row>
    <row r="10363">
      <c r="A10363" s="4" t="s">
        <v>13024</v>
      </c>
      <c r="B10363" s="4" t="s">
        <v>13025</v>
      </c>
      <c r="C10363" s="5" t="str">
        <f>IFERROR(__xludf.DUMMYFUNCTION("GOOGLETRANSLATE(B10363,""en"",""de"")"),"Zwei Männer sind auf einer Plattform, Zäune.")</f>
        <v>Zwei Männer sind auf einer Plattform, Zäune.</v>
      </c>
    </row>
    <row r="10364">
      <c r="A10364" s="4" t="s">
        <v>13024</v>
      </c>
      <c r="B10364" s="4" t="s">
        <v>13026</v>
      </c>
      <c r="C10364" s="5" t="str">
        <f>IFERROR(__xludf.DUMMYFUNCTION("GOOGLETRANSLATE(B10364,""en"",""de"")"),"Sie stoßen sich mit ihren Schwertern an.")</f>
        <v>Sie stoßen sich mit ihren Schwertern an.</v>
      </c>
    </row>
    <row r="10365">
      <c r="A10365" s="4" t="s">
        <v>13024</v>
      </c>
      <c r="B10365" s="4" t="s">
        <v>13027</v>
      </c>
      <c r="C10365" s="5" t="str">
        <f>IFERROR(__xludf.DUMMYFUNCTION("GOOGLETRANSLATE(B10365,""en"",""de"")"),"Eine Frau beobachtet, wie sie sich hin und her entscheiden.")</f>
        <v>Eine Frau beobachtet, wie sie sich hin und her entscheiden.</v>
      </c>
    </row>
    <row r="10366">
      <c r="A10366" s="4" t="s">
        <v>13028</v>
      </c>
      <c r="B10366" s="4" t="s">
        <v>13029</v>
      </c>
      <c r="C10366" s="5" t="str">
        <f>IFERROR(__xludf.DUMMYFUNCTION("GOOGLETRANSLATE(B10366,""en"",""de"")"),"Ein Athlet führt einen Hochsprung durch und landet auf der Matte, während die Person Notizen macht.")</f>
        <v>Ein Athlet führt einen Hochsprung durch und landet auf der Matte, während die Person Notizen macht.</v>
      </c>
    </row>
    <row r="10367">
      <c r="A10367" s="4" t="s">
        <v>13028</v>
      </c>
      <c r="B10367" s="4" t="s">
        <v>13030</v>
      </c>
      <c r="C10367" s="5" t="str">
        <f>IFERROR(__xludf.DUMMYFUNCTION("GOOGLETRANSLATE(B10367,""en"",""de"")"),"Dann führt der Athlet erfolgreich einen Hochsprung durch.")</f>
        <v>Dann führt der Athlet erfolgreich einen Hochsprung durch.</v>
      </c>
    </row>
    <row r="10368">
      <c r="A10368" s="4" t="s">
        <v>13028</v>
      </c>
      <c r="B10368" s="4" t="s">
        <v>13031</v>
      </c>
      <c r="C10368" s="5" t="str">
        <f>IFERROR(__xludf.DUMMYFUNCTION("GOOGLETRANSLATE(B10368,""en"",""de"")"),"Danach führt der Mann Hochsprung durch, lässt aber den horizontalen Pol fallen.")</f>
        <v>Danach führt der Mann Hochsprung durch, lässt aber den horizontalen Pol fallen.</v>
      </c>
    </row>
    <row r="10369">
      <c r="A10369" s="4" t="s">
        <v>13028</v>
      </c>
      <c r="B10369" s="4" t="s">
        <v>13032</v>
      </c>
      <c r="C10369" s="5" t="str">
        <f>IFERROR(__xludf.DUMMYFUNCTION("GOOGLETRANSLATE(B10369,""en"",""de"")"),"Der Athlet führt erfolgreich hohe Sprünge durch.")</f>
        <v>Der Athlet führt erfolgreich hohe Sprünge durch.</v>
      </c>
    </row>
    <row r="10370">
      <c r="A10370" s="4" t="s">
        <v>13028</v>
      </c>
      <c r="B10370" s="4" t="s">
        <v>13033</v>
      </c>
      <c r="C10370" s="5" t="str">
        <f>IFERROR(__xludf.DUMMYFUNCTION("GOOGLETRANSLATE(B10370,""en"",""de"")"),"Der Athlet führt einen Hochsprung durch, aber der Pol fällt.")</f>
        <v>Der Athlet führt einen Hochsprung durch, aber der Pol fällt.</v>
      </c>
    </row>
    <row r="10371">
      <c r="A10371" s="4" t="s">
        <v>13034</v>
      </c>
      <c r="B10371" s="4" t="s">
        <v>13035</v>
      </c>
      <c r="C10371" s="5" t="str">
        <f>IFERROR(__xludf.DUMMYFUNCTION("GOOGLETRANSLATE(B10371,""en"",""de"")"),"Ein großes Pontonboot segelt über einen Ozean und läuft in eine große Welle, die die Menschen sowie das Boot in Wasser abdeckt.")</f>
        <v>Ein großes Pontonboot segelt über einen Ozean und läuft in eine große Welle, die die Menschen sowie das Boot in Wasser abdeckt.</v>
      </c>
    </row>
    <row r="10372">
      <c r="A10372" s="4" t="s">
        <v>13034</v>
      </c>
      <c r="B10372" s="4" t="s">
        <v>13036</v>
      </c>
      <c r="C10372" s="5" t="str">
        <f>IFERROR(__xludf.DUMMYFUNCTION("GOOGLETRANSLATE(B10372,""en"",""de"")"),"Die Menschen auf dem Boot gehen weiter herum, aber das Wasser schlägt sie um und sie halten sich an den Rädern fest, um das Boot in die richtige Richtung zurückzulegen.")</f>
        <v>Die Menschen auf dem Boot gehen weiter herum, aber das Wasser schlägt sie um und sie halten sich an den Rädern fest, um das Boot in die richtige Richtung zurückzulegen.</v>
      </c>
    </row>
    <row r="10373">
      <c r="A10373" s="4" t="s">
        <v>13037</v>
      </c>
      <c r="B10373" s="4" t="s">
        <v>13038</v>
      </c>
      <c r="C10373" s="5" t="str">
        <f>IFERROR(__xludf.DUMMYFUNCTION("GOOGLETRANSLATE(B10373,""en"",""de"")"),"Ein sehr muskulöser hemdloser Mann ist im Begriff, mit einem Mann in einem orangefarbenen Hoodie zu arm.")</f>
        <v>Ein sehr muskulöser hemdloser Mann ist im Begriff, mit einem Mann in einem orangefarbenen Hoodie zu arm.</v>
      </c>
    </row>
    <row r="10374">
      <c r="A10374" s="4" t="s">
        <v>13037</v>
      </c>
      <c r="B10374" s="4" t="s">
        <v>13039</v>
      </c>
      <c r="C10374" s="5" t="str">
        <f>IFERROR(__xludf.DUMMYFUNCTION("GOOGLETRANSLATE(B10374,""en"",""de"")"),"Ein anderer Mann in einem gelben Hoodie kommt herüber.")</f>
        <v>Ein anderer Mann in einem gelben Hoodie kommt herüber.</v>
      </c>
    </row>
    <row r="10375">
      <c r="A10375" s="4" t="s">
        <v>13037</v>
      </c>
      <c r="B10375" s="4" t="s">
        <v>13040</v>
      </c>
      <c r="C10375" s="5" t="str">
        <f>IFERROR(__xludf.DUMMYFUNCTION("GOOGLETRANSLATE(B10375,""en"",""de"")"),"Sie beginnen das Match, der Mann im Orange Hoodie scheint Probleme zu haben.")</f>
        <v>Sie beginnen das Match, der Mann im Orange Hoodie scheint Probleme zu haben.</v>
      </c>
    </row>
    <row r="10376">
      <c r="A10376" s="4" t="s">
        <v>13037</v>
      </c>
      <c r="B10376" s="4" t="s">
        <v>13041</v>
      </c>
      <c r="C10376" s="5" t="str">
        <f>IFERROR(__xludf.DUMMYFUNCTION("GOOGLETRANSLATE(B10376,""en"",""de"")"),"Der hemdlose Mann gewinnt und ringt dann den Mann in gelb, er gewinnt und sie alle stehen herum.")</f>
        <v>Der hemdlose Mann gewinnt und ringt dann den Mann in gelb, er gewinnt und sie alle stehen herum.</v>
      </c>
    </row>
    <row r="10377">
      <c r="A10377" s="4" t="s">
        <v>13042</v>
      </c>
      <c r="B10377" s="4" t="s">
        <v>13043</v>
      </c>
      <c r="C10377" s="5" t="str">
        <f>IFERROR(__xludf.DUMMYFUNCTION("GOOGLETRANSLATE(B10377,""en"",""de"")"),"Mehrere Menschen sind draußen auf einem großen Feld auf Segways spielen ein Spiel.")</f>
        <v>Mehrere Menschen sind draußen auf einem großen Feld auf Segways spielen ein Spiel.</v>
      </c>
    </row>
    <row r="10378">
      <c r="A10378" s="4" t="s">
        <v>13042</v>
      </c>
      <c r="B10378" s="4" t="s">
        <v>13044</v>
      </c>
      <c r="C10378" s="5" t="str">
        <f>IFERROR(__xludf.DUMMYFUNCTION("GOOGLETRANSLATE(B10378,""en"",""de"")"),"Sie bewegen sich weiter und schlagen den Ball mit einem langen Schläger.")</f>
        <v>Sie bewegen sich weiter und schlagen den Ball mit einem langen Schläger.</v>
      </c>
    </row>
    <row r="10379">
      <c r="A10379" s="4" t="s">
        <v>13042</v>
      </c>
      <c r="B10379" s="4" t="s">
        <v>13045</v>
      </c>
      <c r="C10379" s="5" t="str">
        <f>IFERROR(__xludf.DUMMYFUNCTION("GOOGLETRANSLATE(B10379,""en"",""de"")"),"Während ihres Spiels geht der Schiedsrichter auf dem Feld und beobachtet sie.")</f>
        <v>Während ihres Spiels geht der Schiedsrichter auf dem Feld und beobachtet sie.</v>
      </c>
    </row>
    <row r="10380">
      <c r="A10380" s="4" t="s">
        <v>13046</v>
      </c>
      <c r="B10380" s="4" t="s">
        <v>13047</v>
      </c>
      <c r="C10380" s="5" t="str">
        <f>IFERROR(__xludf.DUMMYFUNCTION("GOOGLETRANSLATE(B10380,""en"",""de"")"),"Eine Person mit langen Haaren zeigt einen Rubik -Würfel.")</f>
        <v>Eine Person mit langen Haaren zeigt einen Rubik -Würfel.</v>
      </c>
    </row>
    <row r="10381">
      <c r="A10381" s="4" t="s">
        <v>13046</v>
      </c>
      <c r="B10381" s="4" t="s">
        <v>13048</v>
      </c>
      <c r="C10381" s="5" t="str">
        <f>IFERROR(__xludf.DUMMYFUNCTION("GOOGLETRANSLATE(B10381,""en"",""de"")"),"Die Person beginnt es zu lösen.")</f>
        <v>Die Person beginnt es zu lösen.</v>
      </c>
    </row>
    <row r="10382">
      <c r="A10382" s="4" t="s">
        <v>13046</v>
      </c>
      <c r="B10382" s="4" t="s">
        <v>13049</v>
      </c>
      <c r="C10382" s="5" t="str">
        <f>IFERROR(__xludf.DUMMYFUNCTION("GOOGLETRANSLATE(B10382,""en"",""de"")"),"Sie werfen es auf und es ist magisch gelöst.")</f>
        <v>Sie werfen es auf und es ist magisch gelöst.</v>
      </c>
    </row>
    <row r="10383">
      <c r="A10383" s="4" t="s">
        <v>13050</v>
      </c>
      <c r="B10383" s="4" t="s">
        <v>13051</v>
      </c>
      <c r="C10383" s="5" t="str">
        <f>IFERROR(__xludf.DUMMYFUNCTION("GOOGLETRANSLATE(B10383,""en"",""de"")"),"Eine Frau tanzt draußen auf dem Bürgersteig.")</f>
        <v>Eine Frau tanzt draußen auf dem Bürgersteig.</v>
      </c>
    </row>
    <row r="10384">
      <c r="A10384" s="4" t="s">
        <v>13050</v>
      </c>
      <c r="B10384" s="4" t="s">
        <v>13052</v>
      </c>
      <c r="C10384" s="5" t="str">
        <f>IFERROR(__xludf.DUMMYFUNCTION("GOOGLETRANSLATE(B10384,""en"",""de"")"),"Sie schnappt sich einen Schlagstock und fängt an, sie herumzuwirken.")</f>
        <v>Sie schnappt sich einen Schlagstock und fängt an, sie herumzuwirken.</v>
      </c>
    </row>
    <row r="10385">
      <c r="A10385" s="4" t="s">
        <v>13050</v>
      </c>
      <c r="B10385" s="4" t="s">
        <v>13053</v>
      </c>
      <c r="C10385" s="5" t="str">
        <f>IFERROR(__xludf.DUMMYFUNCTION("GOOGLETRANSLATE(B10385,""en"",""de"")"),"Sie fängt an, die Schlagstöcke in der Luft zu jonglieren.")</f>
        <v>Sie fängt an, die Schlagstöcke in der Luft zu jonglieren.</v>
      </c>
    </row>
    <row r="10386">
      <c r="A10386" s="4" t="s">
        <v>13050</v>
      </c>
      <c r="B10386" s="4" t="s">
        <v>13054</v>
      </c>
      <c r="C10386" s="5" t="str">
        <f>IFERROR(__xludf.DUMMYFUNCTION("GOOGLETRANSLATE(B10386,""en"",""de"")"),"Sie macht einen Rückenflip und geht in die Spaltungen.")</f>
        <v>Sie macht einen Rückenflip und geht in die Spaltungen.</v>
      </c>
    </row>
    <row r="10387">
      <c r="A10387" s="4" t="s">
        <v>13055</v>
      </c>
      <c r="B10387" s="4" t="s">
        <v>13056</v>
      </c>
      <c r="C10387" s="5" t="str">
        <f>IFERROR(__xludf.DUMMYFUNCTION("GOOGLETRANSLATE(B10387,""en"",""de"")"),"Mehrere Kinder stehen vor einem Käfig.")</f>
        <v>Mehrere Kinder stehen vor einem Käfig.</v>
      </c>
    </row>
    <row r="10388">
      <c r="A10388" s="4" t="s">
        <v>13055</v>
      </c>
      <c r="B10388" s="4" t="s">
        <v>13057</v>
      </c>
      <c r="C10388" s="5" t="str">
        <f>IFERROR(__xludf.DUMMYFUNCTION("GOOGLETRANSLATE(B10388,""en"",""de"")"),"Eine Frau ist mit einem Tiger drinnen.")</f>
        <v>Eine Frau ist mit einem Tiger drinnen.</v>
      </c>
    </row>
    <row r="10389">
      <c r="A10389" s="4" t="s">
        <v>13055</v>
      </c>
      <c r="B10389" s="4" t="s">
        <v>13058</v>
      </c>
      <c r="C10389" s="5" t="str">
        <f>IFERROR(__xludf.DUMMYFUNCTION("GOOGLETRANSLATE(B10389,""en"",""de"")"),"Die Kinder ziehen an einem Seil gegen den Tiger.")</f>
        <v>Die Kinder ziehen an einem Seil gegen den Tiger.</v>
      </c>
    </row>
    <row r="10390">
      <c r="A10390" s="4" t="s">
        <v>13055</v>
      </c>
      <c r="B10390" s="4" t="s">
        <v>13059</v>
      </c>
      <c r="C10390" s="5" t="str">
        <f>IFERROR(__xludf.DUMMYFUNCTION("GOOGLETRANSLATE(B10390,""en"",""de"")"),"Sie ließen am Ende das Seil los.")</f>
        <v>Sie ließen am Ende das Seil los.</v>
      </c>
    </row>
    <row r="10391">
      <c r="A10391" s="4" t="s">
        <v>13060</v>
      </c>
      <c r="B10391" s="4" t="s">
        <v>13061</v>
      </c>
      <c r="C10391" s="5" t="str">
        <f>IFERROR(__xludf.DUMMYFUNCTION("GOOGLETRANSLATE(B10391,""en"",""de"")"),"Eine Frau in einem Anzug spricht mit einer Kamera.")</f>
        <v>Eine Frau in einem Anzug spricht mit einer Kamera.</v>
      </c>
    </row>
    <row r="10392">
      <c r="A10392" s="4" t="s">
        <v>13060</v>
      </c>
      <c r="B10392" s="4" t="s">
        <v>13062</v>
      </c>
      <c r="C10392" s="5" t="str">
        <f>IFERROR(__xludf.DUMMYFUNCTION("GOOGLETRANSLATE(B10392,""en"",""de"")"),"Eine Frau steckt Kontaktlinsen in die Augen.")</f>
        <v>Eine Frau steckt Kontaktlinsen in die Augen.</v>
      </c>
    </row>
    <row r="10393">
      <c r="A10393" s="4" t="s">
        <v>13060</v>
      </c>
      <c r="B10393" s="4" t="s">
        <v>13063</v>
      </c>
      <c r="C10393" s="5" t="str">
        <f>IFERROR(__xludf.DUMMYFUNCTION("GOOGLETRANSLATE(B10393,""en"",""de"")"),"Kontaktlinsen werden auf einer Hand angezeigt.")</f>
        <v>Kontaktlinsen werden auf einer Hand angezeigt.</v>
      </c>
    </row>
    <row r="10394">
      <c r="A10394" s="4" t="s">
        <v>13060</v>
      </c>
      <c r="B10394" s="4" t="s">
        <v>13064</v>
      </c>
      <c r="C10394" s="5" t="str">
        <f>IFERROR(__xludf.DUMMYFUNCTION("GOOGLETRANSLATE(B10394,""en"",""de"")"),"Die Frau im Anzug spricht weiter mit der Kamera.")</f>
        <v>Die Frau im Anzug spricht weiter mit der Kamera.</v>
      </c>
    </row>
    <row r="10395">
      <c r="A10395" s="4" t="s">
        <v>13065</v>
      </c>
      <c r="B10395" s="4" t="s">
        <v>13066</v>
      </c>
      <c r="C10395" s="5" t="str">
        <f>IFERROR(__xludf.DUMMYFUNCTION("GOOGLETRANSLATE(B10395,""en"",""de"")"),"Jungs haben einen Farbkugelkampf miteinander.")</f>
        <v>Jungs haben einen Farbkugelkampf miteinander.</v>
      </c>
    </row>
    <row r="10396">
      <c r="A10396" s="4" t="s">
        <v>13065</v>
      </c>
      <c r="B10396" s="4" t="s">
        <v>13067</v>
      </c>
      <c r="C10396" s="5" t="str">
        <f>IFERROR(__xludf.DUMMYFUNCTION("GOOGLETRANSLATE(B10396,""en"",""de"")"),"Ein Mann erklärt, wie man sich versteckt und sich schützt, wenn man in der eingereichten Kriech ist, wo man Ihren Fuß und Ihre Hände beim Krabbeln platziert.")</f>
        <v>Ein Mann erklärt, wie man sich versteckt und sich schützt, wenn man in der eingereichten Kriech ist, wo man Ihren Fuß und Ihre Hände beim Krabbeln platziert.</v>
      </c>
    </row>
    <row r="10397">
      <c r="A10397" s="4" t="s">
        <v>13068</v>
      </c>
      <c r="B10397" s="4" t="s">
        <v>13069</v>
      </c>
      <c r="C10397" s="5" t="str">
        <f>IFERROR(__xludf.DUMMYFUNCTION("GOOGLETRANSLATE(B10397,""en"",""de"")"),"Ein Haartrockner und eine Werbung werden mit einigen Informationen über den Trockner angezeigt.")</f>
        <v>Ein Haartrockner und eine Werbung werden mit einigen Informationen über den Trockner angezeigt.</v>
      </c>
    </row>
    <row r="10398">
      <c r="A10398" s="4" t="s">
        <v>13068</v>
      </c>
      <c r="B10398" s="4" t="s">
        <v>13070</v>
      </c>
      <c r="C10398" s="5" t="str">
        <f>IFERROR(__xludf.DUMMYFUNCTION("GOOGLETRANSLATE(B10398,""en"",""de"")"),"Eine Frau zeigt, wie man den Trockner mit verschiedenen Bürsten benutzt.")</f>
        <v>Eine Frau zeigt, wie man den Trockner mit verschiedenen Bürsten benutzt.</v>
      </c>
    </row>
    <row r="10399">
      <c r="A10399" s="4" t="s">
        <v>13068</v>
      </c>
      <c r="B10399" s="4" t="s">
        <v>13071</v>
      </c>
      <c r="C10399" s="5" t="str">
        <f>IFERROR(__xludf.DUMMYFUNCTION("GOOGLETRANSLATE(B10399,""en"",""de"")"),"Dieselbe Frau zeigt dann, wie man den Trockner mit verschiedenen Anhängen für verschiedene Arten von Haaren verwendet.")</f>
        <v>Dieselbe Frau zeigt dann, wie man den Trockner mit verschiedenen Anhängen für verschiedene Arten von Haaren verwendet.</v>
      </c>
    </row>
    <row r="10400">
      <c r="A10400" s="4" t="s">
        <v>13068</v>
      </c>
      <c r="B10400" s="4" t="s">
        <v>13072</v>
      </c>
      <c r="C10400" s="5" t="str">
        <f>IFERROR(__xludf.DUMMYFUNCTION("GOOGLETRANSLATE(B10400,""en"",""de"")"),"Die Trockner- und Werbeinformationen werden erneut angezeigt.")</f>
        <v>Die Trockner- und Werbeinformationen werden erneut angezeigt.</v>
      </c>
    </row>
    <row r="10401">
      <c r="A10401" s="4" t="s">
        <v>13073</v>
      </c>
      <c r="B10401" s="4" t="s">
        <v>13074</v>
      </c>
      <c r="C10401" s="5" t="str">
        <f>IFERROR(__xludf.DUMMYFUNCTION("GOOGLETRANSLATE(B10401,""en"",""de"")"),"Der Mensch ist in einem großen Stadion auf dem Feld.")</f>
        <v>Der Mensch ist in einem großen Stadion auf dem Feld.</v>
      </c>
    </row>
    <row r="10402">
      <c r="A10402" s="4" t="s">
        <v>13073</v>
      </c>
      <c r="B10402" s="4" t="s">
        <v>13075</v>
      </c>
      <c r="C10402" s="5" t="str">
        <f>IFERROR(__xludf.DUMMYFUNCTION("GOOGLETRANSLATE(B10402,""en"",""de"")"),"Männer spielen auf einem Feld auf einer Seite, auf der sich viel Publikum auf den Tribünen befindet.")</f>
        <v>Männer spielen auf einem Feld auf einer Seite, auf der sich viel Publikum auf den Tribünen befindet.</v>
      </c>
    </row>
    <row r="10403">
      <c r="A10403" s="4" t="s">
        <v>13076</v>
      </c>
      <c r="B10403" s="4" t="s">
        <v>13077</v>
      </c>
      <c r="C10403" s="5" t="str">
        <f>IFERROR(__xludf.DUMMYFUNCTION("GOOGLETRANSLATE(B10403,""en"",""de"")"),"Eine Gruppe von Segelbooten segelt an einem windigen Tag zusammen durch unruhiges Wasser.")</f>
        <v>Eine Gruppe von Segelbooten segelt an einem windigen Tag zusammen durch unruhiges Wasser.</v>
      </c>
    </row>
    <row r="10404">
      <c r="A10404" s="4" t="s">
        <v>13076</v>
      </c>
      <c r="B10404" s="4" t="s">
        <v>13078</v>
      </c>
      <c r="C10404" s="5" t="str">
        <f>IFERROR(__xludf.DUMMYFUNCTION("GOOGLETRANSLATE(B10404,""en"",""de"")"),"Zwei Männer ziehen die Takeligkeit an, die auf dem kleinen Segelboot sitzt.")</f>
        <v>Zwei Männer ziehen die Takeligkeit an, die auf dem kleinen Segelboot sitzt.</v>
      </c>
    </row>
    <row r="10405">
      <c r="A10405" s="4" t="s">
        <v>13076</v>
      </c>
      <c r="B10405" s="4" t="s">
        <v>13079</v>
      </c>
      <c r="C10405" s="5" t="str">
        <f>IFERROR(__xludf.DUMMYFUNCTION("GOOGLETRANSLATE(B10405,""en"",""de"")"),"Das Segelboot dreht sich vor dem Bug eines anderen Bootes nur teilweise gesehen.")</f>
        <v>Das Segelboot dreht sich vor dem Bug eines anderen Bootes nur teilweise gesehen.</v>
      </c>
    </row>
    <row r="10406">
      <c r="A10406" s="4" t="s">
        <v>13080</v>
      </c>
      <c r="B10406" s="4" t="s">
        <v>13081</v>
      </c>
      <c r="C10406" s="5" t="str">
        <f>IFERROR(__xludf.DUMMYFUNCTION("GOOGLETRANSLATE(B10406,""en"",""de"")"),"Zwei Männer auf einem Leiter Kampf in einem professionellen Wrestling -Match.")</f>
        <v>Zwei Männer auf einem Leiter Kampf in einem professionellen Wrestling -Match.</v>
      </c>
    </row>
    <row r="10407">
      <c r="A10407" s="4" t="s">
        <v>13080</v>
      </c>
      <c r="B10407" s="4" t="s">
        <v>13082</v>
      </c>
      <c r="C10407" s="5" t="str">
        <f>IFERROR(__xludf.DUMMYFUNCTION("GOOGLETRANSLATE(B10407,""en"",""de"")"),"Die Männer drehen die Leiter auf die Matte.")</f>
        <v>Die Männer drehen die Leiter auf die Matte.</v>
      </c>
    </row>
    <row r="10408">
      <c r="A10408" s="4" t="s">
        <v>13080</v>
      </c>
      <c r="B10408" s="4" t="s">
        <v>13083</v>
      </c>
      <c r="C10408" s="5" t="str">
        <f>IFERROR(__xludf.DUMMYFUNCTION("GOOGLETRANSLATE(B10408,""en"",""de"")"),"Der Schiedsrichter kniet in der Nähe.")</f>
        <v>Der Schiedsrichter kniet in der Nähe.</v>
      </c>
    </row>
    <row r="10409">
      <c r="A10409" s="4" t="s">
        <v>13080</v>
      </c>
      <c r="B10409" s="4" t="s">
        <v>13084</v>
      </c>
      <c r="C10409" s="5" t="str">
        <f>IFERROR(__xludf.DUMMYFUNCTION("GOOGLETRANSLATE(B10409,""en"",""de"")"),"Der Mann in Red kriecht zum Mann in Blau und steckt ihn und gewinnt das Match.")</f>
        <v>Der Mann in Red kriecht zum Mann in Blau und steckt ihn und gewinnt das Match.</v>
      </c>
    </row>
    <row r="10410">
      <c r="A10410" s="4" t="s">
        <v>13080</v>
      </c>
      <c r="B10410" s="4" t="s">
        <v>13085</v>
      </c>
      <c r="C10410" s="5" t="str">
        <f>IFERROR(__xludf.DUMMYFUNCTION("GOOGLETRANSLATE(B10410,""en"",""de"")"),"Wir sehen eine Wiederholung des Spiels.")</f>
        <v>Wir sehen eine Wiederholung des Spiels.</v>
      </c>
    </row>
    <row r="10411">
      <c r="A10411" s="4" t="s">
        <v>13086</v>
      </c>
      <c r="B10411" s="4" t="s">
        <v>13087</v>
      </c>
      <c r="C10411" s="5" t="str">
        <f>IFERROR(__xludf.DUMMYFUNCTION("GOOGLETRANSLATE(B10411,""en"",""de"")"),"Dieser ältere Mann bläst die Blätter mit einem Blattgebläse aus dem Weg.")</f>
        <v>Dieser ältere Mann bläst die Blätter mit einem Blattgebläse aus dem Weg.</v>
      </c>
    </row>
    <row r="10412">
      <c r="A10412" s="4" t="s">
        <v>13086</v>
      </c>
      <c r="B10412" s="4" t="s">
        <v>13088</v>
      </c>
      <c r="C10412" s="5" t="str">
        <f>IFERROR(__xludf.DUMMYFUNCTION("GOOGLETRANSLATE(B10412,""en"",""de"")"),"Zuerst gibt die Kamera den Zuschauern eine Nahaufsicht, nur das Gesicht des Mannes.")</f>
        <v>Zuerst gibt die Kamera den Zuschauern eine Nahaufsicht, nur das Gesicht des Mannes.</v>
      </c>
    </row>
    <row r="10413">
      <c r="A10413" s="4" t="s">
        <v>13086</v>
      </c>
      <c r="B10413" s="4" t="s">
        <v>13089</v>
      </c>
      <c r="C10413" s="5" t="str">
        <f>IFERROR(__xludf.DUMMYFUNCTION("GOOGLETRANSLATE(B10413,""en"",""de"")"),"Dann zoomt die Kamera aus und zeigt den Mann, der die Blätter mit einer Maschine bläst, und wenn er die halbe Arbeit erledigt hat, schaltet er das Blattgebläse aus.")</f>
        <v>Dann zoomt die Kamera aus und zeigt den Mann, der die Blätter mit einer Maschine bläst, und wenn er die halbe Arbeit erledigt hat, schaltet er das Blattgebläse aus.</v>
      </c>
    </row>
    <row r="10414">
      <c r="A10414" s="4" t="s">
        <v>13090</v>
      </c>
      <c r="B10414" s="4" t="s">
        <v>13091</v>
      </c>
      <c r="C10414" s="5" t="str">
        <f>IFERROR(__xludf.DUMMYFUNCTION("GOOGLETRANSLATE(B10414,""en"",""de"")"),"Little Kid hält einen roten Tennisschläger in der Nähe ihres Gesichts, legte es aber dann auf den Boden und springt darauf.")</f>
        <v>Little Kid hält einen roten Tennisschläger in der Nähe ihres Gesichts, legte es aber dann auf den Boden und springt darauf.</v>
      </c>
    </row>
    <row r="10415">
      <c r="A10415" s="4" t="s">
        <v>13090</v>
      </c>
      <c r="B10415" s="4" t="s">
        <v>13092</v>
      </c>
      <c r="C10415" s="5" t="str">
        <f>IFERROR(__xludf.DUMMYFUNCTION("GOOGLETRANSLATE(B10415,""en"",""de"")"),"Little Kid steht in einem kleinen Raum, der in einem Hopscotch spielt.")</f>
        <v>Little Kid steht in einem kleinen Raum, der in einem Hopscotch spielt.</v>
      </c>
    </row>
    <row r="10416">
      <c r="A10416" s="4" t="s">
        <v>13090</v>
      </c>
      <c r="B10416" s="4" t="s">
        <v>13093</v>
      </c>
      <c r="C10416" s="5" t="str">
        <f>IFERROR(__xludf.DUMMYFUNCTION("GOOGLETRANSLATE(B10416,""en"",""de"")"),"Das Mädchen packt Spielzeug vom Boden.")</f>
        <v>Das Mädchen packt Spielzeug vom Boden.</v>
      </c>
    </row>
    <row r="10417">
      <c r="A10417" s="4" t="s">
        <v>13094</v>
      </c>
      <c r="B10417" s="4" t="s">
        <v>13095</v>
      </c>
      <c r="C10417" s="5" t="str">
        <f>IFERROR(__xludf.DUMMYFUNCTION("GOOGLETRANSLATE(B10417,""en"",""de"")"),"Ein Mann steht auf einem Feld in einem Spiel im Freien, das von Tribünen mit Menschen umgeben ist, und führt einen Hammerwurf aus.")</f>
        <v>Ein Mann steht auf einem Feld in einem Spiel im Freien, das von Tribünen mit Menschen umgeben ist, und führt einen Hammerwurf aus.</v>
      </c>
    </row>
    <row r="10418">
      <c r="A10418" s="4" t="s">
        <v>13094</v>
      </c>
      <c r="B10418" s="4" t="s">
        <v>13096</v>
      </c>
      <c r="C10418" s="5" t="str">
        <f>IFERROR(__xludf.DUMMYFUNCTION("GOOGLETRANSLATE(B10418,""en"",""de"")"),"Der Mann dreht sich viele Male um den Hammer und lässt dann den Hammer in das Haar fliegen und auf dem Feld landen.")</f>
        <v>Der Mann dreht sich viele Male um den Hammer und lässt dann den Hammer in das Haar fliegen und auf dem Feld landen.</v>
      </c>
    </row>
    <row r="10419">
      <c r="A10419" s="4" t="s">
        <v>13094</v>
      </c>
      <c r="B10419" s="4" t="s">
        <v>13097</v>
      </c>
      <c r="C10419" s="5" t="str">
        <f>IFERROR(__xludf.DUMMYFUNCTION("GOOGLETRANSLATE(B10419,""en"",""de"")"),"Ein Zeitlupenvideo der Hammerlandung erscheint, als der Mann mit der Partitur zufrieden aussieht und mit einem Handtuch abtrocknet.")</f>
        <v>Ein Zeitlupenvideo der Hammerlandung erscheint, als der Mann mit der Partitur zufrieden aussieht und mit einem Handtuch abtrocknet.</v>
      </c>
    </row>
    <row r="10420">
      <c r="A10420" s="4" t="s">
        <v>13098</v>
      </c>
      <c r="B10420" s="4" t="s">
        <v>13099</v>
      </c>
      <c r="C10420" s="5" t="str">
        <f>IFERROR(__xludf.DUMMYFUNCTION("GOOGLETRANSLATE(B10420,""en"",""de"")"),"Buchstaben werden auf einem Bildschirm angezeigt.")</f>
        <v>Buchstaben werden auf einem Bildschirm angezeigt.</v>
      </c>
    </row>
    <row r="10421">
      <c r="A10421" s="4" t="s">
        <v>13098</v>
      </c>
      <c r="B10421" s="4" t="s">
        <v>13100</v>
      </c>
      <c r="C10421" s="5" t="str">
        <f>IFERROR(__xludf.DUMMYFUNCTION("GOOGLETRANSLATE(B10421,""en"",""de"")"),"Ein blauer Eimer wird in ein Waschbecken gestellt.")</f>
        <v>Ein blauer Eimer wird in ein Waschbecken gestellt.</v>
      </c>
    </row>
    <row r="10422">
      <c r="A10422" s="4" t="s">
        <v>13098</v>
      </c>
      <c r="B10422" s="4" t="s">
        <v>13101</v>
      </c>
      <c r="C10422" s="5" t="str">
        <f>IFERROR(__xludf.DUMMYFUNCTION("GOOGLETRANSLATE(B10422,""en"",""de"")"),"Ein Mann wischt die Holzböden.")</f>
        <v>Ein Mann wischt die Holzböden.</v>
      </c>
    </row>
    <row r="10423">
      <c r="A10423" s="4" t="s">
        <v>13098</v>
      </c>
      <c r="B10423" s="4" t="s">
        <v>13102</v>
      </c>
      <c r="C10423" s="5" t="str">
        <f>IFERROR(__xludf.DUMMYFUNCTION("GOOGLETRANSLATE(B10423,""en"",""de"")"),"Er macht die Fliese im Badezimmer.")</f>
        <v>Er macht die Fliese im Badezimmer.</v>
      </c>
    </row>
    <row r="10424">
      <c r="A10424" s="4" t="s">
        <v>13103</v>
      </c>
      <c r="B10424" s="4" t="s">
        <v>13104</v>
      </c>
      <c r="C10424" s="5" t="str">
        <f>IFERROR(__xludf.DUMMYFUNCTION("GOOGLETRANSLATE(B10424,""en"",""de"")"),"Eine Person steht an einem Strand, der auf Sand herabsieht.")</f>
        <v>Eine Person steht an einem Strand, der auf Sand herabsieht.</v>
      </c>
    </row>
    <row r="10425">
      <c r="A10425" s="4" t="s">
        <v>13103</v>
      </c>
      <c r="B10425" s="4" t="s">
        <v>13105</v>
      </c>
      <c r="C10425" s="5" t="str">
        <f>IFERROR(__xludf.DUMMYFUNCTION("GOOGLETRANSLATE(B10425,""en"",""de"")"),"Die Person beginnt dann, vor ihnen eine große Sandburg zu bauen.")</f>
        <v>Die Person beginnt dann, vor ihnen eine große Sandburg zu bauen.</v>
      </c>
    </row>
    <row r="10426">
      <c r="A10426" s="4" t="s">
        <v>13103</v>
      </c>
      <c r="B10426" s="4" t="s">
        <v>13106</v>
      </c>
      <c r="C10426" s="5" t="str">
        <f>IFERROR(__xludf.DUMMYFUNCTION("GOOGLETRANSLATE(B10426,""en"",""de"")"),"Die Person arbeitet weiter um den Sand und endet, indem sie aus dem Rahmen geht.")</f>
        <v>Die Person arbeitet weiter um den Sand und endet, indem sie aus dem Rahmen geht.</v>
      </c>
    </row>
    <row r="10427">
      <c r="A10427" s="4" t="s">
        <v>13107</v>
      </c>
      <c r="B10427" s="4" t="s">
        <v>13108</v>
      </c>
      <c r="C10427" s="5" t="str">
        <f>IFERROR(__xludf.DUMMYFUNCTION("GOOGLETRANSLATE(B10427,""en"",""de"")"),"Ein Mann tanzt und zieht seine Hose, die herunterfallen, wieder hoch, während er einen Caféboden fegt.")</f>
        <v>Ein Mann tanzt und zieht seine Hose, die herunterfallen, wieder hoch, während er einen Caféboden fegt.</v>
      </c>
    </row>
    <row r="10428">
      <c r="A10428" s="4" t="s">
        <v>13107</v>
      </c>
      <c r="B10428" s="4" t="s">
        <v>13109</v>
      </c>
      <c r="C10428" s="5" t="str">
        <f>IFERROR(__xludf.DUMMYFUNCTION("GOOGLETRANSLATE(B10428,""en"",""de"")"),"Ein Mann mit dem Rücken zu einer erhöhten Kamera beginnt zu tanzen, während er eine Café -Shop -Etage fegt.")</f>
        <v>Ein Mann mit dem Rücken zu einer erhöhten Kamera beginnt zu tanzen, während er eine Café -Shop -Etage fegt.</v>
      </c>
    </row>
    <row r="10429">
      <c r="A10429" s="4" t="s">
        <v>13107</v>
      </c>
      <c r="B10429" s="4" t="s">
        <v>13110</v>
      </c>
      <c r="C10429" s="5" t="str">
        <f>IFERROR(__xludf.DUMMYFUNCTION("GOOGLETRANSLATE(B10429,""en"",""de"")"),"Der Mann beginnt seine Hose hochzuziehen, als seine blaue Unterwäsche aus der Verdrehung des Tanzes zeigt, der seine Hose heruntergezogen hat.")</f>
        <v>Der Mann beginnt seine Hose hochzuziehen, als seine blaue Unterwäsche aus der Verdrehung des Tanzes zeigt, der seine Hose heruntergezogen hat.</v>
      </c>
    </row>
    <row r="10430">
      <c r="A10430" s="4" t="s">
        <v>13107</v>
      </c>
      <c r="B10430" s="4" t="s">
        <v>13111</v>
      </c>
      <c r="C10430" s="5" t="str">
        <f>IFERROR(__xludf.DUMMYFUNCTION("GOOGLETRANSLATE(B10430,""en"",""de"")"),"Der Mann dreht sich dann in die Kamera um und lächelt, während er seine Hose hochzieht.")</f>
        <v>Der Mann dreht sich dann in die Kamera um und lächelt, während er seine Hose hochzieht.</v>
      </c>
    </row>
    <row r="10431">
      <c r="A10431" s="4" t="s">
        <v>13112</v>
      </c>
      <c r="B10431" s="4" t="s">
        <v>13113</v>
      </c>
      <c r="C10431" s="5" t="str">
        <f>IFERROR(__xludf.DUMMYFUNCTION("GOOGLETRANSLATE(B10431,""en"",""de"")"),"Ein junger Mann steht vor der Kamera und beginnt sich im Kreis zu drehen.")</f>
        <v>Ein junger Mann steht vor der Kamera und beginnt sich im Kreis zu drehen.</v>
      </c>
    </row>
    <row r="10432">
      <c r="A10432" s="4" t="s">
        <v>13112</v>
      </c>
      <c r="B10432" s="4" t="s">
        <v>13114</v>
      </c>
      <c r="C10432" s="5" t="str">
        <f>IFERROR(__xludf.DUMMYFUNCTION("GOOGLETRANSLATE(B10432,""en"",""de"")"),"Er dreht sich weiter und macht dann mehrere Tritte und Schläge, während er gleichzeitig Darts wirft.")</f>
        <v>Er dreht sich weiter und macht dann mehrere Tritte und Schläge, während er gleichzeitig Darts wirft.</v>
      </c>
    </row>
    <row r="10433">
      <c r="A10433" s="4" t="s">
        <v>13115</v>
      </c>
      <c r="B10433" s="4" t="s">
        <v>13116</v>
      </c>
      <c r="C10433" s="5" t="str">
        <f>IFERROR(__xludf.DUMMYFUNCTION("GOOGLETRANSLATE(B10433,""en"",""de"")"),"Eine Axt ruht in einem gefallenen Baum.")</f>
        <v>Eine Axt ruht in einem gefallenen Baum.</v>
      </c>
    </row>
    <row r="10434">
      <c r="A10434" s="4" t="s">
        <v>13115</v>
      </c>
      <c r="B10434" s="4" t="s">
        <v>13117</v>
      </c>
      <c r="C10434" s="5" t="str">
        <f>IFERROR(__xludf.DUMMYFUNCTION("GOOGLETRANSLATE(B10434,""en"",""de"")"),"Ein Mann nimmt die Axt auf und schneidet den Stamm des Baumes ab.")</f>
        <v>Ein Mann nimmt die Axt auf und schneidet den Stamm des Baumes ab.</v>
      </c>
    </row>
    <row r="10435">
      <c r="A10435" s="4" t="s">
        <v>13115</v>
      </c>
      <c r="B10435" s="4" t="s">
        <v>13118</v>
      </c>
      <c r="C10435" s="5" t="str">
        <f>IFERROR(__xludf.DUMMYFUNCTION("GOOGLETRANSLATE(B10435,""en"",""de"")"),"Er hackt weiter, bis das Baumstamm in zwei Hälften ist, und geht dann weg.")</f>
        <v>Er hackt weiter, bis das Baumstamm in zwei Hälften ist, und geht dann weg.</v>
      </c>
    </row>
    <row r="10436">
      <c r="A10436" s="4" t="s">
        <v>13119</v>
      </c>
      <c r="B10436" s="4" t="s">
        <v>13120</v>
      </c>
      <c r="C10436" s="5" t="str">
        <f>IFERROR(__xludf.DUMMYFUNCTION("GOOGLETRANSLATE(B10436,""en"",""de"")"),"Ein lächelnder Junge, junger Junge gleitet eine rote Folie hinunter, die auf jeder Seite einnettiert wird, und ein Markenname, eine Website, eine E -Mail und ein Telefon erscheinen auf dem Bildschirm, wenn er den Boden erreicht.")</f>
        <v>Ein lächelnder Junge, junger Junge gleitet eine rote Folie hinunter, die auf jeder Seite einnettiert wird, und ein Markenname, eine Website, eine E -Mail und ein Telefon erscheinen auf dem Bildschirm, wenn er den Boden erreicht.</v>
      </c>
    </row>
    <row r="10437">
      <c r="A10437" s="4" t="s">
        <v>13119</v>
      </c>
      <c r="B10437" s="4" t="s">
        <v>13121</v>
      </c>
      <c r="C10437" s="5" t="str">
        <f>IFERROR(__xludf.DUMMYFUNCTION("GOOGLETRANSLATE(B10437,""en"",""de"")"),"Dann rutschen zwei weitere Kinder hinter ihm, die kleine Mädchen sind.")</f>
        <v>Dann rutschen zwei weitere Kinder hinter ihm, die kleine Mädchen sind.</v>
      </c>
    </row>
    <row r="10438">
      <c r="A10438" s="4" t="s">
        <v>13119</v>
      </c>
      <c r="B10438" s="4" t="s">
        <v>13122</v>
      </c>
      <c r="C10438" s="5" t="str">
        <f>IFERROR(__xludf.DUMMYFUNCTION("GOOGLETRANSLATE(B10438,""en"",""de"")"),"Gerade als die Mädchen den Boden des Rutschenjungen erreichen und die Rutsche hinterlassen und die Mädchen direkt hinter ihm folgen.")</f>
        <v>Gerade als die Mädchen den Boden des Rutschenjungen erreichen und die Rutsche hinterlassen und die Mädchen direkt hinter ihm folgen.</v>
      </c>
    </row>
    <row r="10439">
      <c r="A10439" s="4" t="s">
        <v>13123</v>
      </c>
      <c r="B10439" s="4" t="s">
        <v>13124</v>
      </c>
      <c r="C10439" s="5" t="str">
        <f>IFERROR(__xludf.DUMMYFUNCTION("GOOGLETRANSLATE(B10439,""en"",""de"")"),"Wir sehen die Titelkarte auf Schwarz.")</f>
        <v>Wir sehen die Titelkarte auf Schwarz.</v>
      </c>
    </row>
    <row r="10440">
      <c r="A10440" s="4" t="s">
        <v>13123</v>
      </c>
      <c r="B10440" s="4" t="s">
        <v>13125</v>
      </c>
      <c r="C10440" s="5" t="str">
        <f>IFERROR(__xludf.DUMMYFUNCTION("GOOGLETRANSLATE(B10440,""en"",""de"")"),"Wir sehen eine Dame, die langsam auf einer elliptischen Maschine reitet und die Griffe zieht.")</f>
        <v>Wir sehen eine Dame, die langsam auf einer elliptischen Maschine reitet und die Griffe zieht.</v>
      </c>
    </row>
    <row r="10441">
      <c r="A10441" s="4" t="s">
        <v>13123</v>
      </c>
      <c r="B10441" s="4" t="s">
        <v>13126</v>
      </c>
      <c r="C10441" s="5" t="str">
        <f>IFERROR(__xludf.DUMMYFUNCTION("GOOGLETRANSLATE(B10441,""en"",""de"")"),"Wir wechseln zur Dame, die reitet, ohne die Griffe zu halten.")</f>
        <v>Wir wechseln zur Dame, die reitet, ohne die Griffe zu halten.</v>
      </c>
    </row>
    <row r="10442">
      <c r="A10442" s="4" t="s">
        <v>13123</v>
      </c>
      <c r="B10442" s="4" t="s">
        <v>13127</v>
      </c>
      <c r="C10442" s="5" t="str">
        <f>IFERROR(__xludf.DUMMYFUNCTION("GOOGLETRANSLATE(B10442,""en"",""de"")"),"Wir sehen dann das Fahrrad im Treppen -Stepper -Modus und verwenden die Griffe.")</f>
        <v>Wir sehen dann das Fahrrad im Treppen -Stepper -Modus und verwenden die Griffe.</v>
      </c>
    </row>
    <row r="10443">
      <c r="A10443" s="4" t="s">
        <v>13123</v>
      </c>
      <c r="B10443" s="4" t="s">
        <v>13128</v>
      </c>
      <c r="C10443" s="5" t="str">
        <f>IFERROR(__xludf.DUMMYFUNCTION("GOOGLETRANSLATE(B10443,""en"",""de"")"),"Wir sehen dann, wie sie das Fahrrad im Treppen -Stepper -Modus ohne die Griffe benutzt.")</f>
        <v>Wir sehen dann, wie sie das Fahrrad im Treppen -Stepper -Modus ohne die Griffe benutzt.</v>
      </c>
    </row>
    <row r="10444">
      <c r="A10444" s="4" t="s">
        <v>13129</v>
      </c>
      <c r="B10444" s="4" t="s">
        <v>13130</v>
      </c>
      <c r="C10444" s="5" t="str">
        <f>IFERROR(__xludf.DUMMYFUNCTION("GOOGLETRANSLATE(B10444,""en"",""de"")"),"Die Menschen malen einen Holzzaun in einem Hof.")</f>
        <v>Die Menschen malen einen Holzzaun in einem Hof.</v>
      </c>
    </row>
    <row r="10445">
      <c r="A10445" s="4" t="s">
        <v>13129</v>
      </c>
      <c r="B10445" s="4" t="s">
        <v>13131</v>
      </c>
      <c r="C10445" s="5" t="str">
        <f>IFERROR(__xludf.DUMMYFUNCTION("GOOGLETRANSLATE(B10445,""en"",""de"")"),"Ein Hund geht hinter ihnen.")</f>
        <v>Ein Hund geht hinter ihnen.</v>
      </c>
    </row>
    <row r="10446">
      <c r="A10446" s="4" t="s">
        <v>13129</v>
      </c>
      <c r="B10446" s="4" t="s">
        <v>13132</v>
      </c>
      <c r="C10446" s="5" t="str">
        <f>IFERROR(__xludf.DUMMYFUNCTION("GOOGLETRANSLATE(B10446,""en"",""de"")"),"Sie malen den Zaun weiter.")</f>
        <v>Sie malen den Zaun weiter.</v>
      </c>
    </row>
    <row r="10447">
      <c r="A10447" s="4" t="s">
        <v>13133</v>
      </c>
      <c r="B10447" s="4" t="s">
        <v>13134</v>
      </c>
      <c r="C10447" s="5" t="str">
        <f>IFERROR(__xludf.DUMMYFUNCTION("GOOGLETRANSLATE(B10447,""en"",""de"")"),"Frau steht in einem kleinen Raum und macht Tricks mit einem Schlagstock.")</f>
        <v>Frau steht in einem kleinen Raum und macht Tricks mit einem Schlagstock.</v>
      </c>
    </row>
    <row r="10448">
      <c r="A10448" s="4" t="s">
        <v>13133</v>
      </c>
      <c r="B10448" s="4" t="s">
        <v>13135</v>
      </c>
      <c r="C10448" s="5" t="str">
        <f>IFERROR(__xludf.DUMMYFUNCTION("GOOGLETRANSLATE(B10448,""en"",""de"")"),"Männer rennen auf einer Seite der Frau.")</f>
        <v>Männer rennen auf einer Seite der Frau.</v>
      </c>
    </row>
    <row r="10449">
      <c r="A10449" s="4" t="s">
        <v>13133</v>
      </c>
      <c r="B10449" s="4" t="s">
        <v>13136</v>
      </c>
      <c r="C10449" s="5" t="str">
        <f>IFERROR(__xludf.DUMMYFUNCTION("GOOGLETRANSLATE(B10449,""en"",""de"")"),"Frauen betreten in ein Zimmer.")</f>
        <v>Frauen betreten in ein Zimmer.</v>
      </c>
    </row>
    <row r="10450">
      <c r="A10450" s="4" t="s">
        <v>13137</v>
      </c>
      <c r="B10450" s="4" t="s">
        <v>13138</v>
      </c>
      <c r="C10450" s="5" t="str">
        <f>IFERROR(__xludf.DUMMYFUNCTION("GOOGLETRANSLATE(B10450,""en"",""de"")"),"Titelgutschriften werden auf dem Bildschirm angezeigt.")</f>
        <v>Titelgutschriften werden auf dem Bildschirm angezeigt.</v>
      </c>
    </row>
    <row r="10451">
      <c r="A10451" s="4" t="s">
        <v>13137</v>
      </c>
      <c r="B10451" s="4" t="s">
        <v>13139</v>
      </c>
      <c r="C10451" s="5" t="str">
        <f>IFERROR(__xludf.DUMMYFUNCTION("GOOGLETRANSLATE(B10451,""en"",""de"")"),"Eine Frau spricht mit der Kamera in einem Fitnessstudio.")</f>
        <v>Eine Frau spricht mit der Kamera in einem Fitnessstudio.</v>
      </c>
    </row>
    <row r="10452">
      <c r="A10452" s="4" t="s">
        <v>13137</v>
      </c>
      <c r="B10452" s="4" t="s">
        <v>13140</v>
      </c>
      <c r="C10452" s="5" t="str">
        <f>IFERROR(__xludf.DUMMYFUNCTION("GOOGLETRANSLATE(B10452,""en"",""de"")"),"Die Frau demonstriert eine Hebeübung.")</f>
        <v>Die Frau demonstriert eine Hebeübung.</v>
      </c>
    </row>
    <row r="10453">
      <c r="A10453" s="4" t="s">
        <v>13137</v>
      </c>
      <c r="B10453" s="4" t="s">
        <v>13141</v>
      </c>
      <c r="C10453" s="5" t="str">
        <f>IFERROR(__xludf.DUMMYFUNCTION("GOOGLETRANSLATE(B10453,""en"",""de"")"),"Die Frau kehrt zurück in die Kamera und spricht wieder.")</f>
        <v>Die Frau kehrt zurück in die Kamera und spricht wieder.</v>
      </c>
    </row>
    <row r="10454">
      <c r="A10454" s="4" t="s">
        <v>13137</v>
      </c>
      <c r="B10454" s="4" t="s">
        <v>13142</v>
      </c>
      <c r="C10454" s="5" t="str">
        <f>IFERROR(__xludf.DUMMYFUNCTION("GOOGLETRANSLATE(B10454,""en"",""de"")"),"Ende Credits rollen auf dem Bildschirm.")</f>
        <v>Ende Credits rollen auf dem Bildschirm.</v>
      </c>
    </row>
    <row r="10455">
      <c r="A10455" s="4" t="s">
        <v>13143</v>
      </c>
      <c r="B10455" s="4" t="s">
        <v>13144</v>
      </c>
      <c r="C10455" s="5" t="str">
        <f>IFERROR(__xludf.DUMMYFUNCTION("GOOGLETRANSLATE(B10455,""en"",""de"")"),"Ein Mann legt eine Schubkarre Mulch auf den Rasen ab.")</f>
        <v>Ein Mann legt eine Schubkarre Mulch auf den Rasen ab.</v>
      </c>
    </row>
    <row r="10456">
      <c r="A10456" s="4" t="s">
        <v>13143</v>
      </c>
      <c r="B10456" s="4" t="s">
        <v>13145</v>
      </c>
      <c r="C10456" s="5" t="str">
        <f>IFERROR(__xludf.DUMMYFUNCTION("GOOGLETRANSLATE(B10456,""en"",""de"")"),"Er remt es über den Boden.")</f>
        <v>Er remt es über den Boden.</v>
      </c>
    </row>
    <row r="10457">
      <c r="A10457" s="4" t="s">
        <v>13143</v>
      </c>
      <c r="B10457" s="4" t="s">
        <v>13146</v>
      </c>
      <c r="C10457" s="5" t="str">
        <f>IFERROR(__xludf.DUMMYFUNCTION("GOOGLETRANSLATE(B10457,""en"",""de"")"),"Er bringt eine weitere Schubkarre voller Mulch und retelt es über den Rasen.")</f>
        <v>Er bringt eine weitere Schubkarre voller Mulch und retelt es über den Rasen.</v>
      </c>
    </row>
    <row r="10458">
      <c r="A10458" s="4" t="s">
        <v>13147</v>
      </c>
      <c r="B10458" s="4" t="s">
        <v>13148</v>
      </c>
      <c r="C10458" s="5" t="str">
        <f>IFERROR(__xludf.DUMMYFUNCTION("GOOGLETRANSLATE(B10458,""en"",""de"")"),"Eine große Gruppe von Menschen steht in einer Menge, die schreit und ein Volleyballspiel spielt.")</f>
        <v>Eine große Gruppe von Menschen steht in einer Menge, die schreit und ein Volleyballspiel spielt.</v>
      </c>
    </row>
    <row r="10459">
      <c r="A10459" s="4" t="s">
        <v>13147</v>
      </c>
      <c r="B10459" s="4" t="s">
        <v>13149</v>
      </c>
      <c r="C10459" s="5" t="str">
        <f>IFERROR(__xludf.DUMMYFUNCTION("GOOGLETRANSLATE(B10459,""en"",""de"")"),"Die Gruppe von Mädchen spielt weiterhin, während die Leute sowohl an den Seiten als auch an Cheerleadern anfeuern.")</f>
        <v>Die Gruppe von Mädchen spielt weiterhin, während die Leute sowohl an den Seiten als auch an Cheerleadern anfeuern.</v>
      </c>
    </row>
    <row r="10460">
      <c r="A10460" s="4" t="s">
        <v>13150</v>
      </c>
      <c r="B10460" s="4" t="s">
        <v>13151</v>
      </c>
      <c r="C10460" s="5" t="str">
        <f>IFERROR(__xludf.DUMMYFUNCTION("GOOGLETRANSLATE(B10460,""en"",""de"")"),"Wir sehen ein asiatisches Skript auf dem Titelbildschirm.")</f>
        <v>Wir sehen ein asiatisches Skript auf dem Titelbildschirm.</v>
      </c>
    </row>
    <row r="10461">
      <c r="A10461" s="4" t="s">
        <v>13150</v>
      </c>
      <c r="B10461" s="4" t="s">
        <v>13152</v>
      </c>
      <c r="C10461" s="5" t="str">
        <f>IFERROR(__xludf.DUMMYFUNCTION("GOOGLETRANSLATE(B10461,""en"",""de"")"),"Wir sehen Essen auf einem Tisch und eine Dame, die an einer Kartoffel gepflückt wird.")</f>
        <v>Wir sehen Essen auf einem Tisch und eine Dame, die an einer Kartoffel gepflückt wird.</v>
      </c>
    </row>
    <row r="10462">
      <c r="A10462" s="4" t="s">
        <v>13150</v>
      </c>
      <c r="B10462" s="4" t="s">
        <v>13153</v>
      </c>
      <c r="C10462" s="5" t="str">
        <f>IFERROR(__xludf.DUMMYFUNCTION("GOOGLETRANSLATE(B10462,""en"",""de"")"),"Die Kartoffel wird geschnitten und dann in einen Topf fallen.")</f>
        <v>Die Kartoffel wird geschnitten und dann in einen Topf fallen.</v>
      </c>
    </row>
    <row r="10463">
      <c r="A10463" s="4" t="s">
        <v>13150</v>
      </c>
      <c r="B10463" s="4" t="s">
        <v>13154</v>
      </c>
      <c r="C10463" s="5" t="str">
        <f>IFERROR(__xludf.DUMMYFUNCTION("GOOGLETRANSLATE(B10463,""en"",""de"")"),"Es wird in kaltes Wasser überführt und die Haut rutscht einfach ab, wenn sie gezogen wird.")</f>
        <v>Es wird in kaltes Wasser überführt und die Haut rutscht einfach ab, wenn sie gezogen wird.</v>
      </c>
    </row>
    <row r="10464">
      <c r="A10464" s="4" t="s">
        <v>13150</v>
      </c>
      <c r="B10464" s="4" t="s">
        <v>13155</v>
      </c>
      <c r="C10464" s="5" t="str">
        <f>IFERROR(__xludf.DUMMYFUNCTION("GOOGLETRANSLATE(B10464,""en"",""de"")"),"Wir sehen eine rote Illustration auf einer Kartoffel und eine Kartoffel ist püriert.")</f>
        <v>Wir sehen eine rote Illustration auf einer Kartoffel und eine Kartoffel ist püriert.</v>
      </c>
    </row>
    <row r="10465">
      <c r="A10465" s="4" t="s">
        <v>13150</v>
      </c>
      <c r="B10465" s="4" t="s">
        <v>13156</v>
      </c>
      <c r="C10465" s="5" t="str">
        <f>IFERROR(__xludf.DUMMYFUNCTION("GOOGLETRANSLATE(B10465,""en"",""de"")"),"Zwei weitere Kartoffeln werden leicht geschält, eine weitere Kartoffel wird gekocht und in kaltem Wasser fallen lassen.")</f>
        <v>Zwei weitere Kartoffeln werden leicht geschält, eine weitere Kartoffel wird gekocht und in kaltem Wasser fallen lassen.</v>
      </c>
    </row>
    <row r="10466">
      <c r="A10466" s="4" t="s">
        <v>13157</v>
      </c>
      <c r="B10466" s="4" t="s">
        <v>13158</v>
      </c>
      <c r="C10466" s="5" t="str">
        <f>IFERROR(__xludf.DUMMYFUNCTION("GOOGLETRANSLATE(B10466,""en"",""de"")"),"Es werden mehrere Clips gezeigt, die in Bereichen wandern, in die Kamera schauen und einen Hügel hinunter schauen.")</f>
        <v>Es werden mehrere Clips gezeigt, die in Bereichen wandern, in die Kamera schauen und einen Hügel hinunter schauen.</v>
      </c>
    </row>
    <row r="10467">
      <c r="A10467" s="4" t="s">
        <v>13157</v>
      </c>
      <c r="B10467" s="4" t="s">
        <v>13159</v>
      </c>
      <c r="C10467" s="5" t="str">
        <f>IFERROR(__xludf.DUMMYFUNCTION("GOOGLETRANSLATE(B10467,""en"",""de"")"),"Mehrere weitere Personen werden als Skateboard -eigene Bereiche sowie Schwimmen, Rollverbindungen und Surfen auf dem Wasser gezeigt.")</f>
        <v>Mehrere weitere Personen werden als Skateboard -eigene Bereiche sowie Schwimmen, Rollverbindungen und Surfen auf dem Wasser gezeigt.</v>
      </c>
    </row>
    <row r="10468">
      <c r="A10468" s="4" t="s">
        <v>13157</v>
      </c>
      <c r="B10468" s="4" t="s">
        <v>13160</v>
      </c>
      <c r="C10468" s="5" t="str">
        <f>IFERROR(__xludf.DUMMYFUNCTION("GOOGLETRANSLATE(B10468,""en"",""de"")"),"Die Männer führen Tricks durch, werden nackt, schwimmen unter Wasser, schneiden eine Wassermelone sowie verschiedene andere Aktivitäten auf, die wieder in Skateboarding führen.")</f>
        <v>Die Männer führen Tricks durch, werden nackt, schwimmen unter Wasser, schneiden eine Wassermelone sowie verschiedene andere Aktivitäten auf, die wieder in Skateboarding führen.</v>
      </c>
    </row>
    <row r="10469">
      <c r="A10469" s="4" t="s">
        <v>13161</v>
      </c>
      <c r="B10469" s="4" t="s">
        <v>13162</v>
      </c>
      <c r="C10469" s="5" t="str">
        <f>IFERROR(__xludf.DUMMYFUNCTION("GOOGLETRANSLATE(B10469,""en"",""de"")"),"Eine Menge von Menschen befindet sich in einem Stadion und beobachtet einen Bullenkampf.")</f>
        <v>Eine Menge von Menschen befindet sich in einem Stadion und beobachtet einen Bullenkampf.</v>
      </c>
    </row>
    <row r="10470">
      <c r="A10470" s="4" t="s">
        <v>13161</v>
      </c>
      <c r="B10470" s="4" t="s">
        <v>13163</v>
      </c>
      <c r="C10470" s="5" t="str">
        <f>IFERROR(__xludf.DUMMYFUNCTION("GOOGLETRANSLATE(B10470,""en"",""de"")"),"Ein zierlicher Mann steht mit einem roten Tuch vor dem Stier und verspottet den Stier.")</f>
        <v>Ein zierlicher Mann steht mit einem roten Tuch vor dem Stier und verspottet den Stier.</v>
      </c>
    </row>
    <row r="10471">
      <c r="A10471" s="4" t="s">
        <v>13161</v>
      </c>
      <c r="B10471" s="4" t="s">
        <v>13164</v>
      </c>
      <c r="C10471" s="5" t="str">
        <f>IFERROR(__xludf.DUMMYFUNCTION("GOOGLETRANSLATE(B10471,""en"",""de"")"),"Sobald sich der Stier bewegt, kommen drei weitere Männer mit rosa Tüchern heraus und beginnen die Bullen zu verspotten und er schlägt sie mit seinen Hörnern.")</f>
        <v>Sobald sich der Stier bewegt, kommen drei weitere Männer mit rosa Tüchern heraus und beginnen die Bullen zu verspotten und er schlägt sie mit seinen Hörnern.</v>
      </c>
    </row>
    <row r="10472">
      <c r="A10472" s="4" t="s">
        <v>13161</v>
      </c>
      <c r="B10472" s="4" t="s">
        <v>13165</v>
      </c>
      <c r="C10472" s="5" t="str">
        <f>IFERROR(__xludf.DUMMYFUNCTION("GOOGLETRANSLATE(B10472,""en"",""de"")"),"Die Männer lassen schließlich den Stier in Ruhe und er legt sich auf seine Seite und sie geben ihm etwas im Mund.")</f>
        <v>Die Männer lassen schließlich den Stier in Ruhe und er legt sich auf seine Seite und sie geben ihm etwas im Mund.</v>
      </c>
    </row>
    <row r="10473">
      <c r="A10473" s="4" t="s">
        <v>13161</v>
      </c>
      <c r="B10473" s="4" t="s">
        <v>13166</v>
      </c>
      <c r="C10473" s="5" t="str">
        <f>IFERROR(__xludf.DUMMYFUNCTION("GOOGLETRANSLATE(B10473,""en"",""de"")"),"Einmal zur Ruhe gelegt, kommt ein anderer Mann und schließt etwas um seinen Mund um, um ihn zu sichern, während ein weiterer Mensch an Führungspflanzen geht.")</f>
        <v>Einmal zur Ruhe gelegt, kommt ein anderer Mann und schließt etwas um seinen Mund um, um ihn zu sichern, während ein weiterer Mensch an Führungspflanzen geht.</v>
      </c>
    </row>
    <row r="10474">
      <c r="A10474" s="4" t="s">
        <v>13167</v>
      </c>
      <c r="B10474" s="4" t="s">
        <v>13168</v>
      </c>
      <c r="C10474" s="5" t="str">
        <f>IFERROR(__xludf.DUMMYFUNCTION("GOOGLETRANSLATE(B10474,""en"",""de"")"),"Zwei Männer sparen in einem Karate -Übungsspiel in einem Fitnessstudio.")</f>
        <v>Zwei Männer sparen in einem Karate -Übungsspiel in einem Fitnessstudio.</v>
      </c>
    </row>
    <row r="10475">
      <c r="A10475" s="4" t="s">
        <v>13167</v>
      </c>
      <c r="B10475" s="4" t="s">
        <v>13169</v>
      </c>
      <c r="C10475" s="5" t="str">
        <f>IFERROR(__xludf.DUMMYFUNCTION("GOOGLETRANSLATE(B10475,""en"",""de"")"),"Der Ausbilder stolpert den Schüler, nachdem er die Schläge gefangen hat.")</f>
        <v>Der Ausbilder stolpert den Schüler, nachdem er die Schläge gefangen hat.</v>
      </c>
    </row>
    <row r="10476">
      <c r="A10476" s="4" t="s">
        <v>13167</v>
      </c>
      <c r="B10476" s="4" t="s">
        <v>13170</v>
      </c>
      <c r="C10476" s="5" t="str">
        <f>IFERROR(__xludf.DUMMYFUNCTION("GOOGLETRANSLATE(B10476,""en"",""de"")"),"Der Ausbilder macht einen Schubkick gegen den Schüler.")</f>
        <v>Der Ausbilder macht einen Schubkick gegen den Schüler.</v>
      </c>
    </row>
    <row r="10477">
      <c r="A10477" s="4" t="s">
        <v>13167</v>
      </c>
      <c r="B10477" s="4" t="s">
        <v>13171</v>
      </c>
      <c r="C10477" s="5" t="str">
        <f>IFERROR(__xludf.DUMMYFUNCTION("GOOGLETRANSLATE(B10477,""en"",""de"")"),"Der Ausbilder fängt die Tritte des Schülers an.")</f>
        <v>Der Ausbilder fängt die Tritte des Schülers an.</v>
      </c>
    </row>
    <row r="10478">
      <c r="A10478" s="4" t="s">
        <v>13172</v>
      </c>
      <c r="B10478" s="4" t="s">
        <v>13173</v>
      </c>
      <c r="C10478" s="5" t="str">
        <f>IFERROR(__xludf.DUMMYFUNCTION("GOOGLETRANSLATE(B10478,""en"",""de"")"),"Ein hemdloser Mann mit einer Machete geht in den Vorgarten.")</f>
        <v>Ein hemdloser Mann mit einer Machete geht in den Vorgarten.</v>
      </c>
    </row>
    <row r="10479">
      <c r="A10479" s="4" t="s">
        <v>13172</v>
      </c>
      <c r="B10479" s="4" t="s">
        <v>13174</v>
      </c>
      <c r="C10479" s="5" t="str">
        <f>IFERROR(__xludf.DUMMYFUNCTION("GOOGLETRANSLATE(B10479,""en"",""de"")"),"Er schlägt wiederholt im Gras und schneidet das Gras.")</f>
        <v>Er schlägt wiederholt im Gras und schneidet das Gras.</v>
      </c>
    </row>
    <row r="10480">
      <c r="A10480" s="4" t="s">
        <v>13172</v>
      </c>
      <c r="B10480" s="4" t="s">
        <v>13175</v>
      </c>
      <c r="C10480" s="5" t="str">
        <f>IFERROR(__xludf.DUMMYFUNCTION("GOOGLETRANSLATE(B10480,""en"",""de"")"),"Anstatt einen Rasenmäher zu verwenden, schneidet er das Gras mit einer Machete.")</f>
        <v>Anstatt einen Rasenmäher zu verwenden, schneidet er das Gras mit einer Machete.</v>
      </c>
    </row>
    <row r="10481">
      <c r="A10481" s="4" t="s">
        <v>13172</v>
      </c>
      <c r="B10481" s="4" t="s">
        <v>13176</v>
      </c>
      <c r="C10481" s="5" t="str">
        <f>IFERROR(__xludf.DUMMYFUNCTION("GOOGLETRANSLATE(B10481,""en"",""de"")"),"Er steht direkt auf und geht zu einem Patch und beginnt dann auch die Machete zu ihr zu verwenden.")</f>
        <v>Er steht direkt auf und geht zu einem Patch und beginnt dann auch die Machete zu ihr zu verwenden.</v>
      </c>
    </row>
    <row r="10482">
      <c r="A10482" s="4" t="s">
        <v>13177</v>
      </c>
      <c r="B10482" s="4" t="s">
        <v>13178</v>
      </c>
      <c r="C10482" s="5" t="str">
        <f>IFERROR(__xludf.DUMMYFUNCTION("GOOGLETRANSLATE(B10482,""en"",""de"")"),"Die beiden Leute machen Schüsse mit ihren Pucks im Brett.")</f>
        <v>Die beiden Leute machen Schüsse mit ihren Pucks im Brett.</v>
      </c>
    </row>
    <row r="10483">
      <c r="A10483" s="4" t="s">
        <v>13177</v>
      </c>
      <c r="B10483" s="4" t="s">
        <v>13179</v>
      </c>
      <c r="C10483" s="5" t="str">
        <f>IFERROR(__xludf.DUMMYFUNCTION("GOOGLETRANSLATE(B10483,""en"",""de"")"),"Die Person ändert die Punktzahl auf dem auf einer Stange geposteten Board.")</f>
        <v>Die Person ändert die Punktzahl auf dem auf einer Stange geposteten Board.</v>
      </c>
    </row>
    <row r="10484">
      <c r="A10484" s="4" t="s">
        <v>13177</v>
      </c>
      <c r="B10484" s="4" t="s">
        <v>13180</v>
      </c>
      <c r="C10484" s="5" t="str">
        <f>IFERROR(__xludf.DUMMYFUNCTION("GOOGLETRANSLATE(B10484,""en"",""de"")"),"Ein Spieler geht das Brett hinunter, um die Pucks abzurufen.")</f>
        <v>Ein Spieler geht das Brett hinunter, um die Pucks abzurufen.</v>
      </c>
    </row>
    <row r="10485">
      <c r="A10485" s="4" t="s">
        <v>13177</v>
      </c>
      <c r="B10485" s="4" t="s">
        <v>13181</v>
      </c>
      <c r="C10485" s="5" t="str">
        <f>IFERROR(__xludf.DUMMYFUNCTION("GOOGLETRANSLATE(B10485,""en"",""de"")"),"Zwei Leute spielen auf einem Platz im Freien ein gemütliches Spiel Shuffle Board.")</f>
        <v>Zwei Leute spielen auf einem Platz im Freien ein gemütliches Spiel Shuffle Board.</v>
      </c>
    </row>
    <row r="10486">
      <c r="A10486" s="4" t="s">
        <v>13182</v>
      </c>
      <c r="B10486" s="4" t="s">
        <v>13183</v>
      </c>
      <c r="C10486" s="5" t="str">
        <f>IFERROR(__xludf.DUMMYFUNCTION("GOOGLETRANSLATE(B10486,""en"",""de"")"),"Eine leere Bühne mit vier Lichtern wird gezeigt, als eine Menge von Menschen steht und darauf wartet, dass etwas passiert.")</f>
        <v>Eine leere Bühne mit vier Lichtern wird gezeigt, als eine Menge von Menschen steht und darauf wartet, dass etwas passiert.</v>
      </c>
    </row>
    <row r="10487">
      <c r="A10487" s="4" t="s">
        <v>13182</v>
      </c>
      <c r="B10487" s="4" t="s">
        <v>13184</v>
      </c>
      <c r="C10487" s="5" t="str">
        <f>IFERROR(__xludf.DUMMYFUNCTION("GOOGLETRANSLATE(B10487,""en"",""de"")"),"Eine Dame mit orange und gelbem Umhang und Rock kommt dann von der Seite heraus und beginnt Bauch zu tanzen.")</f>
        <v>Eine Dame mit orange und gelbem Umhang und Rock kommt dann von der Seite heraus und beginnt Bauch zu tanzen.</v>
      </c>
    </row>
    <row r="10488">
      <c r="A10488" s="4" t="s">
        <v>13182</v>
      </c>
      <c r="B10488" s="4" t="s">
        <v>13185</v>
      </c>
      <c r="C10488" s="5" t="str">
        <f>IFERROR(__xludf.DUMMYFUNCTION("GOOGLETRANSLATE(B10488,""en"",""de"")"),"Die Frau lässt dann das Umhang fallen und geht auf die Menge zu, die ihre Brust bewegt und die Menschen anlächelt.")</f>
        <v>Die Frau lässt dann das Umhang fallen und geht auf die Menge zu, die ihre Brust bewegt und die Menschen anlächelt.</v>
      </c>
    </row>
    <row r="10489">
      <c r="A10489" s="4" t="s">
        <v>13186</v>
      </c>
      <c r="B10489" s="4" t="s">
        <v>13187</v>
      </c>
      <c r="C10489" s="5" t="str">
        <f>IFERROR(__xludf.DUMMYFUNCTION("GOOGLETRANSLATE(B10489,""en"",""de"")"),"Wir sehen Leute, die Paintball auf einem Fußballfeld spielen.")</f>
        <v>Wir sehen Leute, die Paintball auf einem Fußballfeld spielen.</v>
      </c>
    </row>
    <row r="10490">
      <c r="A10490" s="4" t="s">
        <v>13186</v>
      </c>
      <c r="B10490" s="4" t="s">
        <v>13188</v>
      </c>
      <c r="C10490" s="5" t="str">
        <f>IFERROR(__xludf.DUMMYFUNCTION("GOOGLETRANSLATE(B10490,""en"",""de"")"),"Die Leute gehen auf und gehen auf das Feld.")</f>
        <v>Die Leute gehen auf und gehen auf das Feld.</v>
      </c>
    </row>
    <row r="10491">
      <c r="A10491" s="4" t="s">
        <v>13186</v>
      </c>
      <c r="B10491" s="4" t="s">
        <v>13189</v>
      </c>
      <c r="C10491" s="5" t="str">
        <f>IFERROR(__xludf.DUMMYFUNCTION("GOOGLETRANSLATE(B10491,""en"",""de"")"),"Der Mann kriecht auf dem Boden.")</f>
        <v>Der Mann kriecht auf dem Boden.</v>
      </c>
    </row>
    <row r="10492">
      <c r="A10492" s="4" t="s">
        <v>13186</v>
      </c>
      <c r="B10492" s="4" t="s">
        <v>13190</v>
      </c>
      <c r="C10492" s="5" t="str">
        <f>IFERROR(__xludf.DUMMYFUNCTION("GOOGLETRANSLATE(B10492,""en"",""de"")"),"Er füllt seine Waffe mit orangefarbenen Bällen.")</f>
        <v>Er füllt seine Waffe mit orangefarbenen Bällen.</v>
      </c>
    </row>
    <row r="10493">
      <c r="A10493" s="4" t="s">
        <v>13186</v>
      </c>
      <c r="B10493" s="4" t="s">
        <v>13191</v>
      </c>
      <c r="C10493" s="5" t="str">
        <f>IFERROR(__xludf.DUMMYFUNCTION("GOOGLETRANSLATE(B10493,""en"",""de"")"),"Eine Person geht auf die Tasche in der Nähe des Mannes.")</f>
        <v>Eine Person geht auf die Tasche in der Nähe des Mannes.</v>
      </c>
    </row>
    <row r="10494">
      <c r="A10494" s="4" t="s">
        <v>13186</v>
      </c>
      <c r="B10494" s="4" t="s">
        <v>13192</v>
      </c>
      <c r="C10494" s="5" t="str">
        <f>IFERROR(__xludf.DUMMYFUNCTION("GOOGLETRANSLATE(B10494,""en"",""de"")"),"Der Mann lädt seine Waffe mit blauen Bällen nach.")</f>
        <v>Der Mann lädt seine Waffe mit blauen Bällen nach.</v>
      </c>
    </row>
    <row r="10495">
      <c r="A10495" s="4" t="s">
        <v>13186</v>
      </c>
      <c r="B10495" s="4" t="s">
        <v>13193</v>
      </c>
      <c r="C10495" s="5" t="str">
        <f>IFERROR(__xludf.DUMMYFUNCTION("GOOGLETRANSLATE(B10495,""en"",""de"")"),"Wir sehen einen Mann hinter einem Zaun und der Mann geht.")</f>
        <v>Wir sehen einen Mann hinter einem Zaun und der Mann geht.</v>
      </c>
    </row>
    <row r="10496">
      <c r="A10496" s="4" t="s">
        <v>13194</v>
      </c>
      <c r="B10496" s="4" t="s">
        <v>13195</v>
      </c>
      <c r="C10496" s="5" t="str">
        <f>IFERROR(__xludf.DUMMYFUNCTION("GOOGLETRANSLATE(B10496,""en"",""de"")"),"Ein Mann sitzt im Rücken eines Autos, das ein Surfbrett entlang und ein anderer Mann, der mit der Kamera spricht.")</f>
        <v>Ein Mann sitzt im Rücken eines Autos, das ein Surfbrett entlang und ein anderer Mann, der mit der Kamera spricht.</v>
      </c>
    </row>
    <row r="10497">
      <c r="A10497" s="4" t="s">
        <v>13194</v>
      </c>
      <c r="B10497" s="4" t="s">
        <v>13196</v>
      </c>
      <c r="C10497" s="5" t="str">
        <f>IFERROR(__xludf.DUMMYFUNCTION("GOOGLETRANSLATE(B10497,""en"",""de"")"),"Es werden Zeitlupenschüsse eines Mannes surfen und der Mann spricht weiter.")</f>
        <v>Es werden Zeitlupenschüsse eines Mannes surfen und der Mann spricht weiter.</v>
      </c>
    </row>
    <row r="10498">
      <c r="A10498" s="4" t="s">
        <v>13197</v>
      </c>
      <c r="B10498" s="4" t="s">
        <v>13198</v>
      </c>
      <c r="C10498" s="5" t="str">
        <f>IFERROR(__xludf.DUMMYFUNCTION("GOOGLETRANSLATE(B10498,""en"",""de"")"),"Die Menschen reiten in Segelbooten aus dem Blick auf einen großen Ozeandalbein.")</f>
        <v>Die Menschen reiten in Segelbooten aus dem Blick auf einen großen Ozeandalbein.</v>
      </c>
    </row>
    <row r="10499">
      <c r="A10499" s="4" t="s">
        <v>13197</v>
      </c>
      <c r="B10499" s="4" t="s">
        <v>13199</v>
      </c>
      <c r="C10499" s="5" t="str">
        <f>IFERROR(__xludf.DUMMYFUNCTION("GOOGLETRANSLATE(B10499,""en"",""de"")"),"Eine Frau lehnt sich gegen die Kante und beobachtet die Boote.")</f>
        <v>Eine Frau lehnt sich gegen die Kante und beobachtet die Boote.</v>
      </c>
    </row>
    <row r="10500">
      <c r="A10500" s="4" t="s">
        <v>13200</v>
      </c>
      <c r="B10500" s="4" t="s">
        <v>13201</v>
      </c>
      <c r="C10500" s="5" t="str">
        <f>IFERROR(__xludf.DUMMYFUNCTION("GOOGLETRANSLATE(B10500,""en"",""de"")"),"Ein Mann filmt in AM Apartment und sieht sich in verschiedenen Dingen um.")</f>
        <v>Ein Mann filmt in AM Apartment und sieht sich in verschiedenen Dingen um.</v>
      </c>
    </row>
    <row r="10501">
      <c r="A10501" s="4" t="s">
        <v>13200</v>
      </c>
      <c r="B10501" s="4" t="s">
        <v>13202</v>
      </c>
      <c r="C10501" s="5" t="str">
        <f>IFERROR(__xludf.DUMMYFUNCTION("GOOGLETRANSLATE(B10501,""en"",""de"")"),"Ein kleiner Junge kommt in die Szene und verlässt schnell aus dem Blick auf die Kamera.")</f>
        <v>Ein kleiner Junge kommt in die Szene und verlässt schnell aus dem Blick auf die Kamera.</v>
      </c>
    </row>
    <row r="10502">
      <c r="A10502" s="4" t="s">
        <v>13200</v>
      </c>
      <c r="B10502" s="4" t="s">
        <v>13203</v>
      </c>
      <c r="C10502" s="5" t="str">
        <f>IFERROR(__xludf.DUMMYFUNCTION("GOOGLETRANSLATE(B10502,""en"",""de"")"),"Der Junge kommt wieder auf die Kamera und macht Karate bewegt sich mit einem Stock.")</f>
        <v>Der Junge kommt wieder auf die Kamera und macht Karate bewegt sich mit einem Stock.</v>
      </c>
    </row>
    <row r="10503">
      <c r="A10503" s="4" t="s">
        <v>13200</v>
      </c>
      <c r="B10503" s="4" t="s">
        <v>13204</v>
      </c>
      <c r="C10503" s="5" t="str">
        <f>IFERROR(__xludf.DUMMYFUNCTION("GOOGLETRANSLATE(B10503,""en"",""de"")"),"Der Mann nimmt den Jungen aus, während er mit dem Jungen in einer anderen Sprache spricht.")</f>
        <v>Der Mann nimmt den Jungen aus, während er mit dem Jungen in einer anderen Sprache spricht.</v>
      </c>
    </row>
    <row r="10504">
      <c r="A10504" s="4" t="s">
        <v>13200</v>
      </c>
      <c r="B10504" s="4" t="s">
        <v>13205</v>
      </c>
      <c r="C10504" s="5" t="str">
        <f>IFERROR(__xludf.DUMMYFUNCTION("GOOGLETRANSLATE(B10504,""en"",""de"")"),"Der Junge beugt und das Video endet.")</f>
        <v>Der Junge beugt und das Video endet.</v>
      </c>
    </row>
    <row r="10505">
      <c r="A10505" s="4" t="s">
        <v>13206</v>
      </c>
      <c r="B10505" s="4" t="s">
        <v>13207</v>
      </c>
      <c r="C10505" s="5" t="str">
        <f>IFERROR(__xludf.DUMMYFUNCTION("GOOGLETRANSLATE(B10505,""en"",""de"")"),"Ein Athlet in einer weißen und blauen Uniform bereitet sich darauf vor, an einem Triple Jump -Wettbewerb in einem Leichtathlet -Turnier teilzunehmen.")</f>
        <v>Ein Athlet in einer weißen und blauen Uniform bereitet sich darauf vor, an einem Triple Jump -Wettbewerb in einem Leichtathlet -Turnier teilzunehmen.</v>
      </c>
    </row>
    <row r="10506">
      <c r="A10506" s="4" t="s">
        <v>13206</v>
      </c>
      <c r="B10506" s="4" t="s">
        <v>13208</v>
      </c>
      <c r="C10506" s="5" t="str">
        <f>IFERROR(__xludf.DUMMYFUNCTION("GOOGLETRANSLATE(B10506,""en"",""de"")"),"Der Konkurrent beginnt allmählich, indem er langsam läuft, dann die Geschwindigkeit zu einem Sprint aufnimmt und einen Fuß auf die weiße Markierungslinie und zwei weitere Hopfen auf jedem Fuß landet und dann über den Sandkurs springt.")</f>
        <v>Der Konkurrent beginnt allmählich, indem er langsam läuft, dann die Geschwindigkeit zu einem Sprint aufnimmt und einen Fuß auf die weiße Markierungslinie und zwei weitere Hopfen auf jedem Fuß landet und dann über den Sandkurs springt.</v>
      </c>
    </row>
    <row r="10507">
      <c r="A10507" s="4" t="s">
        <v>13206</v>
      </c>
      <c r="B10507" s="4" t="s">
        <v>13209</v>
      </c>
      <c r="C10507" s="5" t="str">
        <f>IFERROR(__xludf.DUMMYFUNCTION("GOOGLETRANSLATE(B10507,""en"",""de"")"),"Der Konkurrent spielt und rennt von der Strecke ab und geht zum Zuschauerstände und feiert seinen Sprung.")</f>
        <v>Der Konkurrent spielt und rennt von der Strecke ab und geht zum Zuschauerstände und feiert seinen Sprung.</v>
      </c>
    </row>
    <row r="10508">
      <c r="A10508" s="4" t="s">
        <v>13206</v>
      </c>
      <c r="B10508" s="4" t="s">
        <v>13210</v>
      </c>
      <c r="C10508" s="5" t="str">
        <f>IFERROR(__xludf.DUMMYFUNCTION("GOOGLETRANSLATE(B10508,""en"",""de"")"),"Eine Nahaufnahme der Fußposition der Konkurrenten auf der weißen Markierungslinie wird auf einer Nahaufnahme angezeigt und der Sprung wird in Zeitlupe und regelmäßig mehrmals bei regulärer Geschwindigkeit angezeigt.")</f>
        <v>Eine Nahaufnahme der Fußposition der Konkurrenten auf der weißen Markierungslinie wird auf einer Nahaufnahme angezeigt und der Sprung wird in Zeitlupe und regelmäßig mehrmals bei regulärer Geschwindigkeit angezeigt.</v>
      </c>
    </row>
    <row r="10509">
      <c r="A10509" s="4" t="s">
        <v>13211</v>
      </c>
      <c r="B10509" s="4" t="s">
        <v>13212</v>
      </c>
      <c r="C10509" s="5" t="str">
        <f>IFERROR(__xludf.DUMMYFUNCTION("GOOGLETRANSLATE(B10509,""en"",""de"")"),"Die Kamera schwenkt um eine große Gruppe von Leuten, die ein Fußballspiel auf einem Feld spielen, wobei viele Leute an den Seiten zuschauen.")</f>
        <v>Die Kamera schwenkt um eine große Gruppe von Leuten, die ein Fußballspiel auf einem Feld spielen, wobei viele Leute an den Seiten zuschauen.</v>
      </c>
    </row>
    <row r="10510">
      <c r="A10510" s="4" t="s">
        <v>13211</v>
      </c>
      <c r="B10510" s="4" t="s">
        <v>13213</v>
      </c>
      <c r="C10510" s="5" t="str">
        <f>IFERROR(__xludf.DUMMYFUNCTION("GOOGLETRANSLATE(B10510,""en"",""de"")"),"Die Spieler gehen ein wenig um das Feld und führen sie ins Spiel.")</f>
        <v>Die Spieler gehen ein wenig um das Feld und führen sie ins Spiel.</v>
      </c>
    </row>
    <row r="10511">
      <c r="A10511" s="4" t="s">
        <v>13211</v>
      </c>
      <c r="B10511" s="4" t="s">
        <v>13214</v>
      </c>
      <c r="C10511" s="5" t="str">
        <f>IFERROR(__xludf.DUMMYFUNCTION("GOOGLETRANSLATE(B10511,""en"",""de"")"),"Die Hand einer Person bedeckt dann die Kamera und bewegt sich rund um den Bereich.")</f>
        <v>Die Hand einer Person bedeckt dann die Kamera und bewegt sich rund um den Bereich.</v>
      </c>
    </row>
    <row r="10512">
      <c r="A10512" s="4" t="s">
        <v>13215</v>
      </c>
      <c r="B10512" s="4" t="s">
        <v>13216</v>
      </c>
      <c r="C10512" s="5" t="str">
        <f>IFERROR(__xludf.DUMMYFUNCTION("GOOGLETRANSLATE(B10512,""en"",""de"")"),"Eine Frau schaut durch einen großen Haufen Kleidung und beginnt den Kameramann zu werfen.")</f>
        <v>Eine Frau schaut durch einen großen Haufen Kleidung und beginnt den Kameramann zu werfen.</v>
      </c>
    </row>
    <row r="10513">
      <c r="A10513" s="4" t="s">
        <v>13215</v>
      </c>
      <c r="B10513" s="4" t="s">
        <v>13217</v>
      </c>
      <c r="C10513" s="5" t="str">
        <f>IFERROR(__xludf.DUMMYFUNCTION("GOOGLETRANSLATE(B10513,""en"",""de"")"),"Sie kilomkt in seine Richtung, während sie sich unterhielt und einige Kleider auf dem Tisch poliert.")</f>
        <v>Sie kilomkt in seine Richtung, während sie sich unterhielt und einige Kleider auf dem Tisch poliert.</v>
      </c>
    </row>
    <row r="10514">
      <c r="A10514" s="4" t="s">
        <v>13218</v>
      </c>
      <c r="B10514" s="4" t="s">
        <v>13219</v>
      </c>
      <c r="C10514" s="5" t="str">
        <f>IFERROR(__xludf.DUMMYFUNCTION("GOOGLETRANSLATE(B10514,""en"",""de"")"),"Eine Person wird gesehen, wie sie ihren Hals zur Seite dreht und eine Person, die Handschuhe mit einer Nadel trägt.")</f>
        <v>Eine Person wird gesehen, wie sie ihren Hals zur Seite dreht und eine Person, die Handschuhe mit einer Nadel trägt.</v>
      </c>
    </row>
    <row r="10515">
      <c r="A10515" s="4" t="s">
        <v>13218</v>
      </c>
      <c r="B10515" s="4" t="s">
        <v>13220</v>
      </c>
      <c r="C10515" s="5" t="str">
        <f>IFERROR(__xludf.DUMMYFUNCTION("GOOGLETRANSLATE(B10515,""en"",""de"")"),"Die Person durchbohrt dann das Ohr des Mädchens.")</f>
        <v>Die Person durchbohrt dann das Ohr des Mädchens.</v>
      </c>
    </row>
    <row r="10516">
      <c r="A10516" s="4" t="s">
        <v>13218</v>
      </c>
      <c r="B10516" s="4" t="s">
        <v>13221</v>
      </c>
      <c r="C10516" s="5" t="str">
        <f>IFERROR(__xludf.DUMMYFUNCTION("GOOGLETRANSLATE(B10516,""en"",""de"")"),"Er legt einen Ohrring durch das Piercing und stellt sicher, dass es an Ort und Stelle ist.")</f>
        <v>Er legt einen Ohrring durch das Piercing und stellt sicher, dass es an Ort und Stelle ist.</v>
      </c>
    </row>
    <row r="10517">
      <c r="A10517" s="4" t="s">
        <v>13222</v>
      </c>
      <c r="B10517" s="4" t="s">
        <v>13223</v>
      </c>
      <c r="C10517" s="5" t="str">
        <f>IFERROR(__xludf.DUMMYFUNCTION("GOOGLETRANSLATE(B10517,""en"",""de"")"),"Es gibt mehrere Personen in Sicherheitswesten und Helmen, die in einem Schnellboot segeln, um in Wasser Schläuche zu gehen.")</f>
        <v>Es gibt mehrere Personen in Sicherheitswesten und Helmen, die in einem Schnellboot segeln, um in Wasser Schläuche zu gehen.</v>
      </c>
    </row>
    <row r="10518">
      <c r="A10518" s="4" t="s">
        <v>13222</v>
      </c>
      <c r="B10518" s="4" t="s">
        <v>13224</v>
      </c>
      <c r="C10518" s="5" t="str">
        <f>IFERROR(__xludf.DUMMYFUNCTION("GOOGLETRANSLATE(B10518,""en"",""de"")"),"Sie reisen durch den See und kommen an einer Stelle an, an der sie vom Boot steigen und mit ihren Röhren ins Wasser springen.")</f>
        <v>Sie reisen durch den See und kommen an einer Stelle an, an der sie vom Boot steigen und mit ihren Röhren ins Wasser springen.</v>
      </c>
    </row>
    <row r="10519">
      <c r="A10519" s="4" t="s">
        <v>13222</v>
      </c>
      <c r="B10519" s="4" t="s">
        <v>13225</v>
      </c>
      <c r="C10519" s="5" t="str">
        <f>IFERROR(__xludf.DUMMYFUNCTION("GOOGLETRANSLATE(B10519,""en"",""de"")"),"Sie gelangen auf die gelben Röhrchen und schweben entlang des Wassers.")</f>
        <v>Sie gelangen auf die gelben Röhrchen und schweben entlang des Wassers.</v>
      </c>
    </row>
    <row r="10520">
      <c r="A10520" s="4" t="s">
        <v>13226</v>
      </c>
      <c r="B10520" s="4" t="s">
        <v>13227</v>
      </c>
      <c r="C10520" s="5" t="str">
        <f>IFERROR(__xludf.DUMMYFUNCTION("GOOGLETRANSLATE(B10520,""en"",""de"")"),"Wir sehen einen Mann in einem Fahrradgeschäft sprechen.")</f>
        <v>Wir sehen einen Mann in einem Fahrradgeschäft sprechen.</v>
      </c>
    </row>
    <row r="10521">
      <c r="A10521" s="4" t="s">
        <v>13226</v>
      </c>
      <c r="B10521" s="4" t="s">
        <v>13228</v>
      </c>
      <c r="C10521" s="5" t="str">
        <f>IFERROR(__xludf.DUMMYFUNCTION("GOOGLETRANSLATE(B10521,""en"",""de"")"),"Der Mann berührt die Griffstangen eines Fahrrads und schnappt sich einen Draht von einem Tisch.")</f>
        <v>Der Mann berührt die Griffstangen eines Fahrrads und schnappt sich einen Draht von einem Tisch.</v>
      </c>
    </row>
    <row r="10522">
      <c r="A10522" s="4" t="s">
        <v>13226</v>
      </c>
      <c r="B10522" s="4" t="s">
        <v>13229</v>
      </c>
      <c r="C10522" s="5" t="str">
        <f>IFERROR(__xludf.DUMMYFUNCTION("GOOGLETRANSLATE(B10522,""en"",""de"")"),"Der Mann setzt den Draht durch das Bikes -Bremssystem.")</f>
        <v>Der Mann setzt den Draht durch das Bikes -Bremssystem.</v>
      </c>
    </row>
    <row r="10523">
      <c r="A10523" s="4" t="s">
        <v>13226</v>
      </c>
      <c r="B10523" s="4" t="s">
        <v>13230</v>
      </c>
      <c r="C10523" s="5" t="str">
        <f>IFERROR(__xludf.DUMMYFUNCTION("GOOGLETRANSLATE(B10523,""en"",""de"")"),"Der Mann fügt eine schwarze Plastikscheide über den Draht hinzu und befestigt sie an der Radklammer.")</f>
        <v>Der Mann fügt eine schwarze Plastikscheide über den Draht hinzu und befestigt sie an der Radklammer.</v>
      </c>
    </row>
    <row r="10524">
      <c r="A10524" s="4" t="s">
        <v>13231</v>
      </c>
      <c r="B10524" s="4" t="s">
        <v>13232</v>
      </c>
      <c r="C10524" s="5" t="str">
        <f>IFERROR(__xludf.DUMMYFUNCTION("GOOGLETRANSLATE(B10524,""en"",""de"")"),"Das Team in weißer und roter Uniform tanzte im Platz.")</f>
        <v>Das Team in weißer und roter Uniform tanzte im Platz.</v>
      </c>
    </row>
    <row r="10525">
      <c r="A10525" s="4" t="s">
        <v>13231</v>
      </c>
      <c r="B10525" s="4" t="s">
        <v>13233</v>
      </c>
      <c r="C10525" s="5" t="str">
        <f>IFERROR(__xludf.DUMMYFUNCTION("GOOGLETRANSLATE(B10525,""en"",""de"")"),"Das Team tanzte individuell ein Sprungseil und tanzte auf dem Boden.")</f>
        <v>Das Team tanzte individuell ein Sprungseil und tanzte auf dem Boden.</v>
      </c>
    </row>
    <row r="10526">
      <c r="A10526" s="4" t="s">
        <v>13231</v>
      </c>
      <c r="B10526" s="4" t="s">
        <v>13234</v>
      </c>
      <c r="C10526" s="5" t="str">
        <f>IFERROR(__xludf.DUMMYFUNCTION("GOOGLETRANSLATE(B10526,""en"",""de"")"),"Das Team macht springende Seile, bei denen zwei Frauen das Ende des Sprungseils abhalten und sie drehen, während das andere Teammitglied in das Seil sprang und tanzte.")</f>
        <v>Das Team macht springende Seile, bei denen zwei Frauen das Ende des Sprungseils abhalten und sie drehen, während das andere Teammitglied in das Seil sprang und tanzte.</v>
      </c>
    </row>
    <row r="10527">
      <c r="A10527" s="4" t="s">
        <v>13235</v>
      </c>
      <c r="B10527" s="4" t="s">
        <v>13236</v>
      </c>
      <c r="C10527" s="5" t="str">
        <f>IFERROR(__xludf.DUMMYFUNCTION("GOOGLETRANSLATE(B10527,""en"",""de"")"),"Eine Person montiert ein Vakuum auf dem Teppich.")</f>
        <v>Eine Person montiert ein Vakuum auf dem Teppich.</v>
      </c>
    </row>
    <row r="10528">
      <c r="A10528" s="4" t="s">
        <v>13235</v>
      </c>
      <c r="B10528" s="4" t="s">
        <v>13237</v>
      </c>
      <c r="C10528" s="5" t="str">
        <f>IFERROR(__xludf.DUMMYFUNCTION("GOOGLETRANSLATE(B10528,""en"",""de"")"),"Sie schließen das Vakuum an.")</f>
        <v>Sie schließen das Vakuum an.</v>
      </c>
    </row>
    <row r="10529">
      <c r="A10529" s="4" t="s">
        <v>13235</v>
      </c>
      <c r="B10529" s="4" t="s">
        <v>13238</v>
      </c>
      <c r="C10529" s="5" t="str">
        <f>IFERROR(__xludf.DUMMYFUNCTION("GOOGLETRANSLATE(B10529,""en"",""de"")"),"Sie schalten das Vakuum ein und beginnen den Boden zu saugen.")</f>
        <v>Sie schalten das Vakuum ein und beginnen den Boden zu saugen.</v>
      </c>
    </row>
    <row r="10530">
      <c r="A10530" s="4" t="s">
        <v>13235</v>
      </c>
      <c r="B10530" s="4" t="s">
        <v>13239</v>
      </c>
      <c r="C10530" s="5" t="str">
        <f>IFERROR(__xludf.DUMMYFUNCTION("GOOGLETRANSLATE(B10530,""en"",""de"")"),"Sie nehmen den Bindungsschlauch ab und staubsaugen Sie die Basisbretter und Treppen ab.")</f>
        <v>Sie nehmen den Bindungsschlauch ab und staubsaugen Sie die Basisbretter und Treppen ab.</v>
      </c>
    </row>
    <row r="10531">
      <c r="A10531" s="4" t="s">
        <v>13235</v>
      </c>
      <c r="B10531" s="4" t="s">
        <v>13240</v>
      </c>
      <c r="C10531" s="5" t="str">
        <f>IFERROR(__xludf.DUMMYFUNCTION("GOOGLETRANSLATE(B10531,""en"",""de"")"),"Sie nehmen den Filter raus und leeren ihn.")</f>
        <v>Sie nehmen den Filter raus und leeren ihn.</v>
      </c>
    </row>
    <row r="10532">
      <c r="A10532" s="4" t="s">
        <v>13235</v>
      </c>
      <c r="B10532" s="4" t="s">
        <v>13241</v>
      </c>
      <c r="C10532" s="5" t="str">
        <f>IFERROR(__xludf.DUMMYFUNCTION("GOOGLETRANSLATE(B10532,""en"",""de"")"),"Sie ziehen das Vakuum und legen es in den Schrank.")</f>
        <v>Sie ziehen das Vakuum und legen es in den Schrank.</v>
      </c>
    </row>
    <row r="10533">
      <c r="A10533" s="4" t="s">
        <v>13242</v>
      </c>
      <c r="B10533" s="4" t="s">
        <v>13243</v>
      </c>
      <c r="C10533" s="5" t="str">
        <f>IFERROR(__xludf.DUMMYFUNCTION("GOOGLETRANSLATE(B10533,""en"",""de"")"),"Ein kleiner Junge spielt in einem Geschäft auf einem Treppen Stepper.")</f>
        <v>Ein kleiner Junge spielt in einem Geschäft auf einem Treppen Stepper.</v>
      </c>
    </row>
    <row r="10534">
      <c r="A10534" s="4" t="s">
        <v>13242</v>
      </c>
      <c r="B10534" s="4" t="s">
        <v>13244</v>
      </c>
      <c r="C10534" s="5" t="str">
        <f>IFERROR(__xludf.DUMMYFUNCTION("GOOGLETRANSLATE(B10534,""en"",""de"")"),"Wir sind wieder auf und sehen die Jungenbeine.")</f>
        <v>Wir sind wieder auf und sehen die Jungenbeine.</v>
      </c>
    </row>
    <row r="10535">
      <c r="A10535" s="4" t="s">
        <v>13242</v>
      </c>
      <c r="B10535" s="4" t="s">
        <v>13245</v>
      </c>
      <c r="C10535" s="5" t="str">
        <f>IFERROR(__xludf.DUMMYFUNCTION("GOOGLETRANSLATE(B10535,""en"",""de"")"),"Die Kamera zoomt wieder auf den Jungen.")</f>
        <v>Die Kamera zoomt wieder auf den Jungen.</v>
      </c>
    </row>
    <row r="10536">
      <c r="A10536" s="4" t="s">
        <v>13246</v>
      </c>
      <c r="B10536" s="4" t="s">
        <v>13247</v>
      </c>
      <c r="C10536" s="5" t="str">
        <f>IFERROR(__xludf.DUMMYFUNCTION("GOOGLETRANSLATE(B10536,""en"",""de"")"),"Ein kleines Mädchen in einer Windel verwendet ein kleines Vakuum.")</f>
        <v>Ein kleines Mädchen in einer Windel verwendet ein kleines Vakuum.</v>
      </c>
    </row>
    <row r="10537">
      <c r="A10537" s="4" t="s">
        <v>13246</v>
      </c>
      <c r="B10537" s="4" t="s">
        <v>13248</v>
      </c>
      <c r="C10537" s="5" t="str">
        <f>IFERROR(__xludf.DUMMYFUNCTION("GOOGLETRANSLATE(B10537,""en"",""de"")"),"Sie saugte Schmutz unter einem Stuhl im Wohnzimmer aus.")</f>
        <v>Sie saugte Schmutz unter einem Stuhl im Wohnzimmer aus.</v>
      </c>
    </row>
    <row r="10538">
      <c r="A10538" s="4" t="s">
        <v>13246</v>
      </c>
      <c r="B10538" s="4" t="s">
        <v>13249</v>
      </c>
      <c r="C10538" s="5" t="str">
        <f>IFERROR(__xludf.DUMMYFUNCTION("GOOGLETRANSLATE(B10538,""en"",""de"")"),"Sie benutzt die Bürste, um Schmutz auf dem Boden aufzusaugen.")</f>
        <v>Sie benutzt die Bürste, um Schmutz auf dem Boden aufzusaugen.</v>
      </c>
    </row>
    <row r="10539">
      <c r="A10539" s="4" t="s">
        <v>13250</v>
      </c>
      <c r="B10539" s="4" t="s">
        <v>13251</v>
      </c>
      <c r="C10539" s="5" t="str">
        <f>IFERROR(__xludf.DUMMYFUNCTION("GOOGLETRANSLATE(B10539,""en"",""de"")"),"Ein Junge dreht sich mit einem Tennisschläger in ein Fitnessstudio und schiebt einen Ball zu einem anderen Jungen.")</f>
        <v>Ein Junge dreht sich mit einem Tennisschläger in ein Fitnessstudio und schiebt einen Ball zu einem anderen Jungen.</v>
      </c>
    </row>
    <row r="10540">
      <c r="A10540" s="4" t="s">
        <v>13250</v>
      </c>
      <c r="B10540" s="4" t="s">
        <v>13252</v>
      </c>
      <c r="C10540" s="5" t="str">
        <f>IFERROR(__xludf.DUMMYFUNCTION("GOOGLETRANSLATE(B10540,""en"",""de"")"),"Die Jungs rennen zurück und viertes Bälle gegen eine Wand mit den Händen und einem Tennisschläger.")</f>
        <v>Die Jungs rennen zurück und viertes Bälle gegen eine Wand mit den Händen und einem Tennisschläger.</v>
      </c>
    </row>
    <row r="10541">
      <c r="A10541" s="4" t="s">
        <v>13250</v>
      </c>
      <c r="B10541" s="4" t="s">
        <v>13253</v>
      </c>
      <c r="C10541" s="5" t="str">
        <f>IFERROR(__xludf.DUMMYFUNCTION("GOOGLETRANSLATE(B10541,""en"",""de"")"),"Sie rutschen um den Boden und schieben den Ball und schlugen weiterhin den Ball zurück und den viertens über das Fitnessstudio.")</f>
        <v>Sie rutschen um den Boden und schieben den Ball und schlugen weiterhin den Ball zurück und den viertens über das Fitnessstudio.</v>
      </c>
    </row>
    <row r="10542">
      <c r="A10542" s="4" t="s">
        <v>13254</v>
      </c>
      <c r="B10542" s="4" t="s">
        <v>13255</v>
      </c>
      <c r="C10542" s="5" t="str">
        <f>IFERROR(__xludf.DUMMYFUNCTION("GOOGLETRANSLATE(B10542,""en"",""de"")"),"Ein Mann ist in mehreren Schüssen zu sehen, die in die Ferne schauen, gefolgt von anderen, die auf Brettern herumfahren.")</f>
        <v>Ein Mann ist in mehreren Schüssen zu sehen, die in die Ferne schauen, gefolgt von anderen, die auf Brettern herumfahren.</v>
      </c>
    </row>
    <row r="10543">
      <c r="A10543" s="4" t="s">
        <v>13254</v>
      </c>
      <c r="B10543" s="4" t="s">
        <v>13256</v>
      </c>
      <c r="C10543" s="5" t="str">
        <f>IFERROR(__xludf.DUMMYFUNCTION("GOOGLETRANSLATE(B10543,""en"",""de"")"),"Die Männer richten sich an den Seiten vor, während sie mit der Kamera sprechen und auf dem Wasser herumfahren.")</f>
        <v>Die Männer richten sich an den Seiten vor, während sie mit der Kamera sprechen und auf dem Wasser herumfahren.</v>
      </c>
    </row>
    <row r="10544">
      <c r="A10544" s="4" t="s">
        <v>13254</v>
      </c>
      <c r="B10544" s="4" t="s">
        <v>13257</v>
      </c>
      <c r="C10544" s="5" t="str">
        <f>IFERROR(__xludf.DUMMYFUNCTION("GOOGLETRANSLATE(B10544,""en"",""de"")"),"Die Leute fahren weiter herum, während andere nebenbei zuschauen.")</f>
        <v>Die Leute fahren weiter herum, während andere nebenbei zuschauen.</v>
      </c>
    </row>
    <row r="10545">
      <c r="A10545" s="4" t="s">
        <v>13258</v>
      </c>
      <c r="B10545" s="4" t="s">
        <v>13259</v>
      </c>
      <c r="C10545" s="5" t="str">
        <f>IFERROR(__xludf.DUMMYFUNCTION("GOOGLETRANSLATE(B10545,""en"",""de"")"),"Eine Person benutzt eine Bürste, um einen Schuh über eine Spüle zu schrubben.")</f>
        <v>Eine Person benutzt eine Bürste, um einen Schuh über eine Spüle zu schrubben.</v>
      </c>
    </row>
    <row r="10546">
      <c r="A10546" s="4" t="s">
        <v>13258</v>
      </c>
      <c r="B10546" s="4" t="s">
        <v>13260</v>
      </c>
      <c r="C10546" s="5" t="str">
        <f>IFERROR(__xludf.DUMMYFUNCTION("GOOGLETRANSLATE(B10546,""en"",""de"")"),"Sie wischen den Schuh mit einem weißen Handtuch ab.")</f>
        <v>Sie wischen den Schuh mit einem weißen Handtuch ab.</v>
      </c>
    </row>
    <row r="10547">
      <c r="A10547" s="4" t="s">
        <v>13258</v>
      </c>
      <c r="B10547" s="4" t="s">
        <v>13261</v>
      </c>
      <c r="C10547" s="5" t="str">
        <f>IFERROR(__xludf.DUMMYFUNCTION("GOOGLETRANSLATE(B10547,""en"",""de"")"),"Er hebt den Schuh hoch, um die Kamera zu zeigen.")</f>
        <v>Er hebt den Schuh hoch, um die Kamera zu zeigen.</v>
      </c>
    </row>
    <row r="10548">
      <c r="A10548" s="4" t="s">
        <v>13262</v>
      </c>
      <c r="B10548" s="4" t="s">
        <v>13263</v>
      </c>
      <c r="C10548" s="5" t="str">
        <f>IFERROR(__xludf.DUMMYFUNCTION("GOOGLETRANSLATE(B10548,""en"",""de"")"),"Wir sehen ein Bild von einem männlichen Turner mitten in der Schwung.")</f>
        <v>Wir sehen ein Bild von einem männlichen Turner mitten in der Schwung.</v>
      </c>
    </row>
    <row r="10549">
      <c r="A10549" s="4" t="s">
        <v>13262</v>
      </c>
      <c r="B10549" s="4" t="s">
        <v>13264</v>
      </c>
      <c r="C10549" s="5" t="str">
        <f>IFERROR(__xludf.DUMMYFUNCTION("GOOGLETRANSLATE(B10549,""en"",""de"")"),"Wir sehen eine Titelkarte mit einer Familie darauf.")</f>
        <v>Wir sehen eine Titelkarte mit einer Familie darauf.</v>
      </c>
    </row>
    <row r="10550">
      <c r="A10550" s="4" t="s">
        <v>13262</v>
      </c>
      <c r="B10550" s="4" t="s">
        <v>13265</v>
      </c>
      <c r="C10550" s="5" t="str">
        <f>IFERROR(__xludf.DUMMYFUNCTION("GOOGLETRANSLATE(B10550,""en"",""de"")"),"Ein Mann schwingt mit einem Pommel -Pferd herum.")</f>
        <v>Ein Mann schwingt mit einem Pommel -Pferd herum.</v>
      </c>
    </row>
    <row r="10551">
      <c r="A10551" s="4" t="s">
        <v>13262</v>
      </c>
      <c r="B10551" s="4" t="s">
        <v>13266</v>
      </c>
      <c r="C10551" s="5" t="str">
        <f>IFERROR(__xludf.DUMMYFUNCTION("GOOGLETRANSLATE(B10551,""en"",""de"")"),"Ein Mann in blauem Plan schwingt seine Beine hin und her.")</f>
        <v>Ein Mann in blauem Plan schwingt seine Beine hin und her.</v>
      </c>
    </row>
    <row r="10552">
      <c r="A10552" s="4" t="s">
        <v>13262</v>
      </c>
      <c r="B10552" s="4" t="s">
        <v>13267</v>
      </c>
      <c r="C10552" s="5" t="str">
        <f>IFERROR(__xludf.DUMMYFUNCTION("GOOGLETRANSLATE(B10552,""en"",""de"")"),"Der Mann in roten Shorts dreht sich wild.")</f>
        <v>Der Mann in roten Shorts dreht sich wild.</v>
      </c>
    </row>
    <row r="10553">
      <c r="A10553" s="4" t="s">
        <v>13262</v>
      </c>
      <c r="B10553" s="4" t="s">
        <v>13268</v>
      </c>
      <c r="C10553" s="5" t="str">
        <f>IFERROR(__xludf.DUMMYFUNCTION("GOOGLETRANSLATE(B10553,""en"",""de"")"),"Dann dreht er sich auf ein rundes Gerät.")</f>
        <v>Dann dreht er sich auf ein rundes Gerät.</v>
      </c>
    </row>
    <row r="10554">
      <c r="A10554" s="4" t="s">
        <v>13269</v>
      </c>
      <c r="B10554" s="4" t="s">
        <v>13270</v>
      </c>
      <c r="C10554" s="5" t="str">
        <f>IFERROR(__xludf.DUMMYFUNCTION("GOOGLETRANSLATE(B10554,""en"",""de"")"),"Eine Frau sitzt und streift ihre Haare mit dem Rücken zur Kamera.")</f>
        <v>Eine Frau sitzt und streift ihre Haare mit dem Rücken zur Kamera.</v>
      </c>
    </row>
    <row r="10555">
      <c r="A10555" s="4" t="s">
        <v>13269</v>
      </c>
      <c r="B10555" s="4" t="s">
        <v>13271</v>
      </c>
      <c r="C10555" s="5" t="str">
        <f>IFERROR(__xludf.DUMMYFUNCTION("GOOGLETRANSLATE(B10555,""en"",""de"")"),"Sie streift weiter mit langen Strichen.")</f>
        <v>Sie streift weiter mit langen Strichen.</v>
      </c>
    </row>
    <row r="10556">
      <c r="A10556" s="4" t="s">
        <v>13269</v>
      </c>
      <c r="B10556" s="4" t="s">
        <v>13272</v>
      </c>
      <c r="C10556" s="5" t="str">
        <f>IFERROR(__xludf.DUMMYFUNCTION("GOOGLETRANSLATE(B10556,""en"",""de"")"),"Sie lehnt sich ihren Kopf zur Seite und bürstet weiter.")</f>
        <v>Sie lehnt sich ihren Kopf zur Seite und bürstet weiter.</v>
      </c>
    </row>
    <row r="10557">
      <c r="A10557" s="4" t="s">
        <v>13273</v>
      </c>
      <c r="B10557" s="4" t="s">
        <v>13274</v>
      </c>
      <c r="C10557" s="5" t="str">
        <f>IFERROR(__xludf.DUMMYFUNCTION("GOOGLETRANSLATE(B10557,""en"",""de"")"),"Es werden mehrere Schüsse von großen Gruppen von Menschen gezeigt, die um ein Feld herumlaufen.")</f>
        <v>Es werden mehrere Schüsse von großen Gruppen von Menschen gezeigt, die um ein Feld herumlaufen.</v>
      </c>
    </row>
    <row r="10558">
      <c r="A10558" s="4" t="s">
        <v>13273</v>
      </c>
      <c r="B10558" s="4" t="s">
        <v>13275</v>
      </c>
      <c r="C10558" s="5" t="str">
        <f>IFERROR(__xludf.DUMMYFUNCTION("GOOGLETRANSLATE(B10558,""en"",""de"")"),"Die Zuschauer haben gesehen, wie die Leute nebenbei Fußball spielen.")</f>
        <v>Die Zuschauer haben gesehen, wie die Leute nebenbei Fußball spielen.</v>
      </c>
    </row>
    <row r="10559">
      <c r="A10559" s="4" t="s">
        <v>13273</v>
      </c>
      <c r="B10559" s="4" t="s">
        <v>13276</v>
      </c>
      <c r="C10559" s="5" t="str">
        <f>IFERROR(__xludf.DUMMYFUNCTION("GOOGLETRANSLATE(B10559,""en"",""de"")"),"Die Leute spielen weiter auf dem Feld, während andere sie spielen sehen.")</f>
        <v>Die Leute spielen weiter auf dem Feld, während andere sie spielen sehen.</v>
      </c>
    </row>
    <row r="10560">
      <c r="A10560" s="4" t="s">
        <v>13277</v>
      </c>
      <c r="B10560" s="4" t="s">
        <v>13278</v>
      </c>
      <c r="C10560" s="5" t="str">
        <f>IFERROR(__xludf.DUMMYFUNCTION("GOOGLETRANSLATE(B10560,""en"",""de"")"),"Ein Mädchen, das einen orangefarbenen Hoodie trägt, und ein Mädchen, das eine schwarze Bluse trägt, betritt ein Haus und geht in die Küche.")</f>
        <v>Ein Mädchen, das einen orangefarbenen Hoodie trägt, und ein Mädchen, das eine schwarze Bluse trägt, betritt ein Haus und geht in die Küche.</v>
      </c>
    </row>
    <row r="10561">
      <c r="A10561" s="4" t="s">
        <v>13277</v>
      </c>
      <c r="B10561" s="4" t="s">
        <v>13279</v>
      </c>
      <c r="C10561" s="5" t="str">
        <f>IFERROR(__xludf.DUMMYFUNCTION("GOOGLETRANSLATE(B10561,""en"",""de"")"),"Die Mädchen bereiten sich auf das Backen von Keksen vor.")</f>
        <v>Die Mädchen bereiten sich auf das Backen von Keksen vor.</v>
      </c>
    </row>
    <row r="10562">
      <c r="A10562" s="4" t="s">
        <v>13277</v>
      </c>
      <c r="B10562" s="4" t="s">
        <v>13280</v>
      </c>
      <c r="C10562" s="5" t="str">
        <f>IFERROR(__xludf.DUMMYFUNCTION("GOOGLETRANSLATE(B10562,""en"",""de"")"),"Das Handy klingelt und beide Mädchen werden aufgeregt.")</f>
        <v>Das Handy klingelt und beide Mädchen werden aufgeregt.</v>
      </c>
    </row>
    <row r="10563">
      <c r="A10563" s="4" t="s">
        <v>13277</v>
      </c>
      <c r="B10563" s="4" t="s">
        <v>13281</v>
      </c>
      <c r="C10563" s="5" t="str">
        <f>IFERROR(__xludf.DUMMYFUNCTION("GOOGLETRANSLATE(B10563,""en"",""de"")"),"Jemand ist an der Haustür und das Mädchen im Orange Hoodie verläuft durch das Haus, um die Tür zu beantworten.")</f>
        <v>Jemand ist an der Haustür und das Mädchen im Orange Hoodie verläuft durch das Haus, um die Tür zu beantworten.</v>
      </c>
    </row>
    <row r="10564">
      <c r="A10564" s="4" t="s">
        <v>13277</v>
      </c>
      <c r="B10564" s="4" t="s">
        <v>13282</v>
      </c>
      <c r="C10564" s="5" t="str">
        <f>IFERROR(__xludf.DUMMYFUNCTION("GOOGLETRANSLATE(B10564,""en"",""de"")"),"Das Mädchen in der schwarzen Bluse befindet sich an der Tür, die als Mann getarnt ist.")</f>
        <v>Das Mädchen in der schwarzen Bluse befindet sich an der Tür, die als Mann getarnt ist.</v>
      </c>
    </row>
    <row r="10565">
      <c r="A10565" s="4" t="s">
        <v>13277</v>
      </c>
      <c r="B10565" s="4" t="s">
        <v>13283</v>
      </c>
      <c r="C10565" s="5" t="str">
        <f>IFERROR(__xludf.DUMMYFUNCTION("GOOGLETRANSLATE(B10565,""en"",""de"")"),"Das Mädchen im Orange Hoodie drückt eine Butterstange und es fällt auf den Boden und schlägt die Tür.")</f>
        <v>Das Mädchen im Orange Hoodie drückt eine Butterstange und es fällt auf den Boden und schlägt die Tür.</v>
      </c>
    </row>
    <row r="10566">
      <c r="A10566" s="4" t="s">
        <v>13277</v>
      </c>
      <c r="B10566" s="4" t="s">
        <v>13284</v>
      </c>
      <c r="C10566" s="5" t="str">
        <f>IFERROR(__xludf.DUMMYFUNCTION("GOOGLETRANSLATE(B10566,""en"",""de"")"),"Das Mädchen in der schwarzen Bluse dreht sich um und geht niedergeschlagen.")</f>
        <v>Das Mädchen in der schwarzen Bluse dreht sich um und geht niedergeschlagen.</v>
      </c>
    </row>
    <row r="10567">
      <c r="A10567" s="4" t="s">
        <v>13285</v>
      </c>
      <c r="B10567" s="4" t="s">
        <v>13286</v>
      </c>
      <c r="C10567" s="5" t="str">
        <f>IFERROR(__xludf.DUMMYFUNCTION("GOOGLETRANSLATE(B10567,""en"",""de"")"),"Ein weißer Mann ist auf der Bühne mit langen Angst, das das Stück -Zeichen dem Publikum aufgibt.")</f>
        <v>Ein weißer Mann ist auf der Bühne mit langen Angst, das das Stück -Zeichen dem Publikum aufgibt.</v>
      </c>
    </row>
    <row r="10568">
      <c r="A10568" s="4" t="s">
        <v>13285</v>
      </c>
      <c r="B10568" s="4" t="s">
        <v>13287</v>
      </c>
      <c r="C10568" s="5" t="str">
        <f>IFERROR(__xludf.DUMMYFUNCTION("GOOGLETRANSLATE(B10568,""en"",""de"")"),"Nach ihrer Interaktion beginnt der Mann, die Windrohre auf dem Rücken zu spielen, als er über die Bühne hin und her geht.")</f>
        <v>Nach ihrer Interaktion beginnt der Mann, die Windrohre auf dem Rücken zu spielen, als er über die Bühne hin und her geht.</v>
      </c>
    </row>
    <row r="10569">
      <c r="A10569" s="4" t="s">
        <v>13285</v>
      </c>
      <c r="B10569" s="4" t="s">
        <v>13288</v>
      </c>
      <c r="C10569" s="5" t="str">
        <f>IFERROR(__xludf.DUMMYFUNCTION("GOOGLETRANSLATE(B10569,""en"",""de"")"),"Die Menge wird gezeigt und die Kamera geht auf die Bühne zurück und mehrere Lichter kommen an, während der Gitarrist zu spielen beginnt.")</f>
        <v>Die Menge wird gezeigt und die Kamera geht auf die Bühne zurück und mehrere Lichter kommen an, während der Gitarrist zu spielen beginnt.</v>
      </c>
    </row>
    <row r="10570">
      <c r="A10570" s="4" t="s">
        <v>13289</v>
      </c>
      <c r="B10570" s="4" t="s">
        <v>13290</v>
      </c>
      <c r="C10570" s="5" t="str">
        <f>IFERROR(__xludf.DUMMYFUNCTION("GOOGLETRANSLATE(B10570,""en"",""de"")"),"Ein kleines Mädchen lächelt und spricht mit der Kamera.")</f>
        <v>Ein kleines Mädchen lächelt und spricht mit der Kamera.</v>
      </c>
    </row>
    <row r="10571">
      <c r="A10571" s="4" t="s">
        <v>13289</v>
      </c>
      <c r="B10571" s="4" t="s">
        <v>13291</v>
      </c>
      <c r="C10571" s="5" t="str">
        <f>IFERROR(__xludf.DUMMYFUNCTION("GOOGLETRANSLATE(B10571,""en"",""de"")"),"Sie und andere Kinder werden dann gezeigt, wie sie sich bei Waschbecken die Hände waschen.")</f>
        <v>Sie und andere Kinder werden dann gezeigt, wie sie sich bei Waschbecken die Hände waschen.</v>
      </c>
    </row>
    <row r="10572">
      <c r="A10572" s="4" t="s">
        <v>13289</v>
      </c>
      <c r="B10572" s="4" t="s">
        <v>13292</v>
      </c>
      <c r="C10572" s="5" t="str">
        <f>IFERROR(__xludf.DUMMYFUNCTION("GOOGLETRANSLATE(B10572,""en"",""de"")"),"Sie sprechen davon, das Geburtstagslied zu singen oder zu zählen, um zu wissen, wie lange sie ihre Hände waschen sollten.")</f>
        <v>Sie sprechen davon, das Geburtstagslied zu singen oder zu zählen, um zu wissen, wie lange sie ihre Hände waschen sollten.</v>
      </c>
    </row>
    <row r="10573">
      <c r="A10573" s="4" t="s">
        <v>13293</v>
      </c>
      <c r="B10573" s="4" t="s">
        <v>13294</v>
      </c>
      <c r="C10573" s="5" t="str">
        <f>IFERROR(__xludf.DUMMYFUNCTION("GOOGLETRANSLATE(B10573,""en"",""de"")"),"Wir sehen einen Mann mit einem Ball, den er sich vorbereitet, um Schuss zu werfen.")</f>
        <v>Wir sehen einen Mann mit einem Ball, den er sich vorbereitet, um Schuss zu werfen.</v>
      </c>
    </row>
    <row r="10574">
      <c r="A10574" s="4" t="s">
        <v>13293</v>
      </c>
      <c r="B10574" s="4" t="s">
        <v>13295</v>
      </c>
      <c r="C10574" s="5" t="str">
        <f>IFERROR(__xludf.DUMMYFUNCTION("GOOGLETRANSLATE(B10574,""en"",""de"")"),"Der Mann hebt seinen Arm.")</f>
        <v>Der Mann hebt seinen Arm.</v>
      </c>
    </row>
    <row r="10575">
      <c r="A10575" s="4" t="s">
        <v>13293</v>
      </c>
      <c r="B10575" s="4" t="s">
        <v>13296</v>
      </c>
      <c r="C10575" s="5" t="str">
        <f>IFERROR(__xludf.DUMMYFUNCTION("GOOGLETRANSLATE(B10575,""en"",""de"")"),"Der Mann dreht sich und wirft den Ball.")</f>
        <v>Der Mann dreht sich und wirft den Ball.</v>
      </c>
    </row>
    <row r="10576">
      <c r="A10576" s="4" t="s">
        <v>13293</v>
      </c>
      <c r="B10576" s="4" t="s">
        <v>13297</v>
      </c>
      <c r="C10576" s="5" t="str">
        <f>IFERROR(__xludf.DUMMYFUNCTION("GOOGLETRANSLATE(B10576,""en"",""de"")"),"Wir sehen Männer in der Ferne.")</f>
        <v>Wir sehen Männer in der Ferne.</v>
      </c>
    </row>
    <row r="10577">
      <c r="A10577" s="4" t="s">
        <v>13293</v>
      </c>
      <c r="B10577" s="4" t="s">
        <v>13298</v>
      </c>
      <c r="C10577" s="5" t="str">
        <f>IFERROR(__xludf.DUMMYFUNCTION("GOOGLETRANSLATE(B10577,""en"",""de"")"),"Wir sehen, wie der Werfer seine Jacke schnappt und weggeht.")</f>
        <v>Wir sehen, wie der Werfer seine Jacke schnappt und weggeht.</v>
      </c>
    </row>
    <row r="10578">
      <c r="A10578" s="4" t="s">
        <v>13299</v>
      </c>
      <c r="B10578" s="4" t="s">
        <v>13300</v>
      </c>
      <c r="C10578" s="5" t="str">
        <f>IFERROR(__xludf.DUMMYFUNCTION("GOOGLETRANSLATE(B10578,""en"",""de"")"),"Wir sehen einen Traktor und einen Titelbildschirm.")</f>
        <v>Wir sehen einen Traktor und einen Titelbildschirm.</v>
      </c>
    </row>
    <row r="10579">
      <c r="A10579" s="4" t="s">
        <v>13299</v>
      </c>
      <c r="B10579" s="4" t="s">
        <v>13301</v>
      </c>
      <c r="C10579" s="5" t="str">
        <f>IFERROR(__xludf.DUMMYFUNCTION("GOOGLETRANSLATE(B10579,""en"",""de"")"),"Wir sehen einen Traktor, der Blätter bläst.")</f>
        <v>Wir sehen einen Traktor, der Blätter bläst.</v>
      </c>
    </row>
    <row r="10580">
      <c r="A10580" s="4" t="s">
        <v>13299</v>
      </c>
      <c r="B10580" s="4" t="s">
        <v>13302</v>
      </c>
      <c r="C10580" s="5" t="str">
        <f>IFERROR(__xludf.DUMMYFUNCTION("GOOGLETRANSLATE(B10580,""en"",""de"")"),"Wir sehen den Traktor aus der Nähe.")</f>
        <v>Wir sehen den Traktor aus der Nähe.</v>
      </c>
    </row>
    <row r="10581">
      <c r="A10581" s="4" t="s">
        <v>13299</v>
      </c>
      <c r="B10581" s="4" t="s">
        <v>2892</v>
      </c>
      <c r="C10581" s="5" t="str">
        <f>IFERROR(__xludf.DUMMYFUNCTION("GOOGLETRANSLATE(B10581,""en"",""de"")"),"Wir sehen den Schluss -Titelbildschirm.")</f>
        <v>Wir sehen den Schluss -Titelbildschirm.</v>
      </c>
    </row>
    <row r="10582">
      <c r="A10582" s="4" t="s">
        <v>13299</v>
      </c>
      <c r="B10582" s="4" t="s">
        <v>13303</v>
      </c>
      <c r="C10582" s="5" t="str">
        <f>IFERROR(__xludf.DUMMYFUNCTION("GOOGLETRANSLATE(B10582,""en"",""de"")"),"Wir sehen dann Blumen auf Bäumen.")</f>
        <v>Wir sehen dann Blumen auf Bäumen.</v>
      </c>
    </row>
    <row r="10583">
      <c r="A10583" s="4" t="s">
        <v>13304</v>
      </c>
      <c r="B10583" s="4" t="s">
        <v>13305</v>
      </c>
      <c r="C10583" s="5" t="str">
        <f>IFERROR(__xludf.DUMMYFUNCTION("GOOGLETRANSLATE(B10583,""en"",""de"")"),"Ein Mann spricht mit der Kamera, die zu mehreren Klammern von Menschen weckt.")</f>
        <v>Ein Mann spricht mit der Kamera, die zu mehreren Klammern von Menschen weckt.</v>
      </c>
    </row>
    <row r="10584">
      <c r="A10584" s="4" t="s">
        <v>13304</v>
      </c>
      <c r="B10584" s="4" t="s">
        <v>13306</v>
      </c>
      <c r="C10584" s="5" t="str">
        <f>IFERROR(__xludf.DUMMYFUNCTION("GOOGLETRANSLATE(B10584,""en"",""de"")"),"Der Mann spricht dann mit einer Frau und hilft zu demonstrieren, wie man richtig mit dem Wake Board fährt.")</f>
        <v>Der Mann spricht dann mit einer Frau und hilft zu demonstrieren, wie man richtig mit dem Wake Board fährt.</v>
      </c>
    </row>
    <row r="10585">
      <c r="A10585" s="4" t="s">
        <v>13304</v>
      </c>
      <c r="B10585" s="4" t="s">
        <v>13307</v>
      </c>
      <c r="C10585" s="5" t="str">
        <f>IFERROR(__xludf.DUMMYFUNCTION("GOOGLETRANSLATE(B10585,""en"",""de"")"),"Das Boot nimmt dann ab und hilft dem Mädchen, mitzufahren, während sie beim ersten Mal fällt und dann erfolgreich reitet.")</f>
        <v>Das Boot nimmt dann ab und hilft dem Mädchen, mitzufahren, während sie beim ersten Mal fällt und dann erfolgreich reitet.</v>
      </c>
    </row>
    <row r="10586">
      <c r="A10586" s="4" t="s">
        <v>13308</v>
      </c>
      <c r="B10586" s="4" t="s">
        <v>13309</v>
      </c>
      <c r="C10586" s="5" t="str">
        <f>IFERROR(__xludf.DUMMYFUNCTION("GOOGLETRANSLATE(B10586,""en"",""de"")"),"Ein alter Mann mit Brillen steht vor Modellfliesen, die mit der Kamera sprechen.")</f>
        <v>Ein alter Mann mit Brillen steht vor Modellfliesen, die mit der Kamera sprechen.</v>
      </c>
    </row>
    <row r="10587">
      <c r="A10587" s="4" t="s">
        <v>13308</v>
      </c>
      <c r="B10587" s="4" t="s">
        <v>13310</v>
      </c>
      <c r="C10587" s="5" t="str">
        <f>IFERROR(__xludf.DUMMYFUNCTION("GOOGLETRANSLATE(B10587,""en"",""de"")"),"Eine Gruppe von Männern in Schwarz begann die erste Hälfte des Teppichs im Wohnzimmer zu entfern und ersetzte sie dann durch hellere, neuere Teppich.")</f>
        <v>Eine Gruppe von Männern in Schwarz begann die erste Hälfte des Teppichs im Wohnzimmer zu entfern und ersetzte sie dann durch hellere, neuere Teppich.</v>
      </c>
    </row>
    <row r="10588">
      <c r="A10588" s="4" t="s">
        <v>13308</v>
      </c>
      <c r="B10588" s="4" t="s">
        <v>13311</v>
      </c>
      <c r="C10588" s="5" t="str">
        <f>IFERROR(__xludf.DUMMYFUNCTION("GOOGLETRANSLATE(B10588,""en"",""de"")"),"Die Gruppe von Männern in schwarzen Hemden bewegte die Couch von der Wand auf die andere Seite und entfernte die andere Hälfte des Teppichs und legte den grünen Boden frei.")</f>
        <v>Die Gruppe von Männern in schwarzen Hemden bewegte die Couch von der Wand auf die andere Seite und entfernte die andere Hälfte des Teppichs und legte den grünen Boden frei.</v>
      </c>
    </row>
    <row r="10589">
      <c r="A10589" s="4" t="s">
        <v>13308</v>
      </c>
      <c r="B10589" s="4" t="s">
        <v>13312</v>
      </c>
      <c r="C10589" s="5" t="str">
        <f>IFERROR(__xludf.DUMMYFUNCTION("GOOGLETRANSLATE(B10589,""en"",""de"")"),"Die Gruppe von Männern legte den Teppich auf den Boden, sie messen ihn, schneiden ihn und klebte ihn.")</f>
        <v>Die Gruppe von Männern legte den Teppich auf den Boden, sie messen ihn, schneiden ihn und klebte ihn.</v>
      </c>
    </row>
    <row r="10590">
      <c r="A10590" s="4" t="s">
        <v>13308</v>
      </c>
      <c r="B10590" s="4" t="s">
        <v>13313</v>
      </c>
      <c r="C10590" s="5" t="str">
        <f>IFERROR(__xludf.DUMMYFUNCTION("GOOGLETRANSLATE(B10590,""en"",""de"")"),"Wenn der neue Teppich richtig installiert ist, saugen die Männer den Teppich, während die Dame im Wohnzimmer ging.")</f>
        <v>Wenn der neue Teppich richtig installiert ist, saugen die Männer den Teppich, während die Dame im Wohnzimmer ging.</v>
      </c>
    </row>
    <row r="10591">
      <c r="A10591" s="4" t="s">
        <v>13308</v>
      </c>
      <c r="B10591" s="4" t="s">
        <v>13314</v>
      </c>
      <c r="C10591" s="5" t="str">
        <f>IFERROR(__xludf.DUMMYFUNCTION("GOOGLETRANSLATE(B10591,""en"",""de"")"),"Die Männer und der alte Mann und die Frau entfernten den Fernseher von der Wand und installierten ein Holz -TV -Set -Möbel, während die anderen Männer und die Dame die Couch arrangierten und die Kissen darauf legten.")</f>
        <v>Die Männer und der alte Mann und die Frau entfernten den Fernseher von der Wand und installierten ein Holz -TV -Set -Möbel, während die anderen Männer und die Dame die Couch arrangierten und die Kissen darauf legten.</v>
      </c>
    </row>
    <row r="10592">
      <c r="A10592" s="4" t="s">
        <v>13315</v>
      </c>
      <c r="B10592" s="4" t="s">
        <v>13316</v>
      </c>
      <c r="C10592" s="5" t="str">
        <f>IFERROR(__xludf.DUMMYFUNCTION("GOOGLETRANSLATE(B10592,""en"",""de"")"),"Eine Gruppe von acht Menschen ist weiße Rafting in etwas ruhigem Wasser, während die beiden Menschen im Rücken sie ins Wasser padeln.")</f>
        <v>Eine Gruppe von acht Menschen ist weiße Rafting in etwas ruhigem Wasser, während die beiden Menschen im Rücken sie ins Wasser padeln.</v>
      </c>
    </row>
    <row r="10593">
      <c r="A10593" s="4" t="s">
        <v>13315</v>
      </c>
      <c r="B10593" s="4" t="s">
        <v>13317</v>
      </c>
      <c r="C10593" s="5" t="str">
        <f>IFERROR(__xludf.DUMMYFUNCTION("GOOGLETRANSLATE(B10593,""en"",""de"")"),"Die beiden Leute im hinteren Teil paddeln und die Kamera zoomt auf sie, aber das Wasser ist zu ruhig für sie, um die volle Erfahrung zu sammeln, und es passiert nichts.")</f>
        <v>Die beiden Leute im hinteren Teil paddeln und die Kamera zoomt auf sie, aber das Wasser ist zu ruhig für sie, um die volle Erfahrung zu sammeln, und es passiert nichts.</v>
      </c>
    </row>
    <row r="10594">
      <c r="A10594" s="4" t="s">
        <v>13315</v>
      </c>
      <c r="B10594" s="4" t="s">
        <v>13318</v>
      </c>
      <c r="C10594" s="5" t="str">
        <f>IFERROR(__xludf.DUMMYFUNCTION("GOOGLETRANSLATE(B10594,""en"",""de"")"),"Zuletzt erscheinen ein blauer Bildschirm und weiße Wörter erscheinen.")</f>
        <v>Zuletzt erscheinen ein blauer Bildschirm und weiße Wörter erscheinen.</v>
      </c>
    </row>
    <row r="10595">
      <c r="A10595" s="4" t="s">
        <v>13319</v>
      </c>
      <c r="B10595" s="4" t="s">
        <v>13320</v>
      </c>
      <c r="C10595" s="5" t="str">
        <f>IFERROR(__xludf.DUMMYFUNCTION("GOOGLETRANSLATE(B10595,""en"",""de"")"),"Zwei Autos sind am Straßenrand geparkt, wenn der Zug vorbeifährt.")</f>
        <v>Zwei Autos sind am Straßenrand geparkt, wenn der Zug vorbeifährt.</v>
      </c>
    </row>
    <row r="10596">
      <c r="A10596" s="4" t="s">
        <v>13319</v>
      </c>
      <c r="B10596" s="4" t="s">
        <v>13321</v>
      </c>
      <c r="C10596" s="5" t="str">
        <f>IFERROR(__xludf.DUMMYFUNCTION("GOOGLETRANSLATE(B10596,""en"",""de"")"),"Plötzlich verschiebt sich der Winkel und ein Junge beginnt den Hügel hinunter und durch die Stadt.")</f>
        <v>Plötzlich verschiebt sich der Winkel und ein Junge beginnt den Hügel hinunter und durch die Stadt.</v>
      </c>
    </row>
    <row r="10597">
      <c r="A10597" s="4" t="s">
        <v>13322</v>
      </c>
      <c r="B10597" s="4" t="s">
        <v>13323</v>
      </c>
      <c r="C10597" s="5" t="str">
        <f>IFERROR(__xludf.DUMMYFUNCTION("GOOGLETRANSLATE(B10597,""en"",""de"")"),"Ein Mann sitzt mit Akkordeons auf einen Tisch.")</f>
        <v>Ein Mann sitzt mit Akkordeons auf einen Tisch.</v>
      </c>
    </row>
    <row r="10598">
      <c r="A10598" s="4" t="s">
        <v>13322</v>
      </c>
      <c r="B10598" s="4" t="s">
        <v>13324</v>
      </c>
      <c r="C10598" s="5" t="str">
        <f>IFERROR(__xludf.DUMMYFUNCTION("GOOGLETRANSLATE(B10598,""en"",""de"")"),"Dann hält der Mann ein Akkordeon, während er die Knöpfe berührt und redet.")</f>
        <v>Dann hält der Mann ein Akkordeon, während er die Knöpfe berührt und redet.</v>
      </c>
    </row>
    <row r="10599">
      <c r="A10599" s="4" t="s">
        <v>13325</v>
      </c>
      <c r="B10599" s="4" t="s">
        <v>13326</v>
      </c>
      <c r="C10599" s="5" t="str">
        <f>IFERROR(__xludf.DUMMYFUNCTION("GOOGLETRANSLATE(B10599,""en"",""de"")"),"Eine Frau spielt Klavier in einem mit Kerzen dekorierten Raum.")</f>
        <v>Eine Frau spielt Klavier in einem mit Kerzen dekorierten Raum.</v>
      </c>
    </row>
    <row r="10600">
      <c r="A10600" s="4" t="s">
        <v>13325</v>
      </c>
      <c r="B10600" s="4" t="s">
        <v>13327</v>
      </c>
      <c r="C10600" s="5" t="str">
        <f>IFERROR(__xludf.DUMMYFUNCTION("GOOGLETRANSLATE(B10600,""en"",""de"")"),"Katty Perry geht mit einem Mann auf der Straße, sie spielt das Klavier, dann spricht sie mit dem Mann.")</f>
        <v>Katty Perry geht mit einem Mann auf der Straße, sie spielt das Klavier, dann spricht sie mit dem Mann.</v>
      </c>
    </row>
    <row r="10601">
      <c r="A10601" s="4" t="s">
        <v>13328</v>
      </c>
      <c r="B10601" s="4" t="s">
        <v>13329</v>
      </c>
      <c r="C10601" s="5" t="str">
        <f>IFERROR(__xludf.DUMMYFUNCTION("GOOGLETRANSLATE(B10601,""en"",""de"")"),"Ein Mann wird auf einem Wasserski gezogen, als er beiläufig im Wasser schwimmt.")</f>
        <v>Ein Mann wird auf einem Wasserski gezogen, als er beiläufig im Wasser schwimmt.</v>
      </c>
    </row>
    <row r="10602">
      <c r="A10602" s="4" t="s">
        <v>13328</v>
      </c>
      <c r="B10602" s="4" t="s">
        <v>13330</v>
      </c>
      <c r="C10602" s="5" t="str">
        <f>IFERROR(__xludf.DUMMYFUNCTION("GOOGLETRANSLATE(B10602,""en"",""de"")"),"Er montiert den Wasserski und reißt mit schnellen Geschwindigkeiten durch das Wasser.")</f>
        <v>Er montiert den Wasserski und reißt mit schnellen Geschwindigkeiten durch das Wasser.</v>
      </c>
    </row>
    <row r="10603">
      <c r="A10603" s="4" t="s">
        <v>13328</v>
      </c>
      <c r="B10603" s="4" t="s">
        <v>13331</v>
      </c>
      <c r="C10603" s="5" t="str">
        <f>IFERROR(__xludf.DUMMYFUNCTION("GOOGLETRANSLATE(B10603,""en"",""de"")"),"Zwei Männer werden im Boot sitzen, bevor sie auf das turbulente Wasserski fahren.")</f>
        <v>Zwei Männer werden im Boot sitzen, bevor sie auf das turbulente Wasserski fahren.</v>
      </c>
    </row>
    <row r="10604">
      <c r="A10604" s="4" t="s">
        <v>13332</v>
      </c>
      <c r="B10604" s="4" t="s">
        <v>13333</v>
      </c>
      <c r="C10604" s="5" t="str">
        <f>IFERROR(__xludf.DUMMYFUNCTION("GOOGLETRANSLATE(B10604,""en"",""de"")"),"Der Mann in blauem Hemd mit Mütze trifft das dicke Seil.")</f>
        <v>Der Mann in blauem Hemd mit Mütze trifft das dicke Seil.</v>
      </c>
    </row>
    <row r="10605">
      <c r="A10605" s="4" t="s">
        <v>13332</v>
      </c>
      <c r="B10605" s="4" t="s">
        <v>13334</v>
      </c>
      <c r="C10605" s="5" t="str">
        <f>IFERROR(__xludf.DUMMYFUNCTION("GOOGLETRANSLATE(B10605,""en"",""de"")"),"Der Mann steigt auf das Seil und die Menge applaudierte.")</f>
        <v>Der Mann steigt auf das Seil und die Menge applaudierte.</v>
      </c>
    </row>
    <row r="10606">
      <c r="A10606" s="4" t="s">
        <v>13332</v>
      </c>
      <c r="B10606" s="4" t="s">
        <v>13335</v>
      </c>
      <c r="C10606" s="5" t="str">
        <f>IFERROR(__xludf.DUMMYFUNCTION("GOOGLETRANSLATE(B10606,""en"",""de"")"),"Der Mann in blauem Hemd sprang auf dem Seil ab und machte einige Tricks wie auf dem Seil, sprang auf seiner Brust, das Karrenrad und ging auf dem Seil.")</f>
        <v>Der Mann in blauem Hemd sprang auf dem Seil ab und machte einige Tricks wie auf dem Seil, sprang auf seiner Brust, das Karrenrad und ging auf dem Seil.</v>
      </c>
    </row>
    <row r="10607">
      <c r="A10607" s="4" t="s">
        <v>13336</v>
      </c>
      <c r="B10607" s="4" t="s">
        <v>13337</v>
      </c>
      <c r="C10607" s="5" t="str">
        <f>IFERROR(__xludf.DUMMYFUNCTION("GOOGLETRANSLATE(B10607,""en"",""de"")"),"Ein junges Mädchen macht Gymnastik auf einer blauen Matte.")</f>
        <v>Ein junges Mädchen macht Gymnastik auf einer blauen Matte.</v>
      </c>
    </row>
    <row r="10608">
      <c r="A10608" s="4" t="s">
        <v>13336</v>
      </c>
      <c r="B10608" s="4" t="s">
        <v>13338</v>
      </c>
      <c r="C10608" s="5" t="str">
        <f>IFERROR(__xludf.DUMMYFUNCTION("GOOGLETRANSLATE(B10608,""en"",""de"")"),"Sie macht mehrere Rückenflips auf einem Trampolin.")</f>
        <v>Sie macht mehrere Rückenflips auf einem Trampolin.</v>
      </c>
    </row>
    <row r="10609">
      <c r="A10609" s="4" t="s">
        <v>13336</v>
      </c>
      <c r="B10609" s="4" t="s">
        <v>13339</v>
      </c>
      <c r="C10609" s="5" t="str">
        <f>IFERROR(__xludf.DUMMYFUNCTION("GOOGLETRANSLATE(B10609,""en"",""de"")"),"Sie macht einen Flip in einen Haufen Schaumstoffstücke.")</f>
        <v>Sie macht einen Flip in einen Haufen Schaumstoffstücke.</v>
      </c>
    </row>
    <row r="10610">
      <c r="A10610" s="4" t="s">
        <v>13340</v>
      </c>
      <c r="B10610" s="4" t="s">
        <v>13341</v>
      </c>
      <c r="C10610" s="5" t="str">
        <f>IFERROR(__xludf.DUMMYFUNCTION("GOOGLETRANSLATE(B10610,""en"",""de"")"),"Männer gehen auf einer Bühnenklappe und High Five aus.")</f>
        <v>Männer gehen auf einer Bühnenklappe und High Five aus.</v>
      </c>
    </row>
    <row r="10611">
      <c r="A10611" s="4" t="s">
        <v>13340</v>
      </c>
      <c r="B10611" s="4" t="s">
        <v>13342</v>
      </c>
      <c r="C10611" s="5" t="str">
        <f>IFERROR(__xludf.DUMMYFUNCTION("GOOGLETRANSLATE(B10611,""en"",""de"")"),"Die Männer führen eine Cheerleaderroutine durch.")</f>
        <v>Die Männer führen eine Cheerleaderroutine durch.</v>
      </c>
    </row>
    <row r="10612">
      <c r="A10612" s="4" t="s">
        <v>13340</v>
      </c>
      <c r="B10612" s="4" t="s">
        <v>13343</v>
      </c>
      <c r="C10612" s="5" t="str">
        <f>IFERROR(__xludf.DUMMYFUNCTION("GOOGLETRANSLATE(B10612,""en"",""de"")"),"Sie halten fünf Männer in der Luft und drehen sie um und drehen vier Männer in Gruppen um.")</f>
        <v>Sie halten fünf Männer in der Luft und drehen sie um und drehen vier Männer in Gruppen um.</v>
      </c>
    </row>
    <row r="10613">
      <c r="A10613" s="4" t="s">
        <v>13340</v>
      </c>
      <c r="B10613" s="4" t="s">
        <v>13344</v>
      </c>
      <c r="C10613" s="5" t="str">
        <f>IFERROR(__xludf.DUMMYFUNCTION("GOOGLETRANSLATE(B10613,""en"",""de"")"),"Ein Mann wird hoch angehoben und schwingt zwei Männer auf seine Arme zur anderen Seite, dann machen fünf Männer einen sternartigen Form.")</f>
        <v>Ein Mann wird hoch angehoben und schwingt zwei Männer auf seine Arme zur anderen Seite, dann machen fünf Männer einen sternartigen Form.</v>
      </c>
    </row>
    <row r="10614">
      <c r="A10614" s="4" t="s">
        <v>13340</v>
      </c>
      <c r="B10614" s="4" t="s">
        <v>13345</v>
      </c>
      <c r="C10614" s="5" t="str">
        <f>IFERROR(__xludf.DUMMYFUNCTION("GOOGLETRANSLATE(B10614,""en"",""de"")"),"Die Männer knien und tanzen und posieren für das Ziel.")</f>
        <v>Die Männer knien und tanzen und posieren für das Ziel.</v>
      </c>
    </row>
    <row r="10615">
      <c r="A10615" s="4" t="s">
        <v>13340</v>
      </c>
      <c r="B10615" s="4" t="s">
        <v>13346</v>
      </c>
      <c r="C10615" s="5" t="str">
        <f>IFERROR(__xludf.DUMMYFUNCTION("GOOGLETRANSLATE(B10615,""en"",""de"")"),"Die Männer springen und jubeln, als sie die Bühne verlassen.")</f>
        <v>Die Männer springen und jubeln, als sie die Bühne verlassen.</v>
      </c>
    </row>
    <row r="10616">
      <c r="A10616" s="4" t="s">
        <v>13340</v>
      </c>
      <c r="B10616" s="4" t="s">
        <v>13347</v>
      </c>
      <c r="C10616" s="5" t="str">
        <f>IFERROR(__xludf.DUMMYFUNCTION("GOOGLETRANSLATE(B10616,""en"",""de"")"),"Eine Person in der ersten Reihe steht vor der Kamera.")</f>
        <v>Eine Person in der ersten Reihe steht vor der Kamera.</v>
      </c>
    </row>
    <row r="10617">
      <c r="A10617" s="4" t="s">
        <v>13348</v>
      </c>
      <c r="B10617" s="4" t="s">
        <v>13349</v>
      </c>
      <c r="C10617" s="5" t="str">
        <f>IFERROR(__xludf.DUMMYFUNCTION("GOOGLETRANSLATE(B10617,""en"",""de"")"),"Ein Mann kniet ein Dach, während er ein Stück Holz hält.")</f>
        <v>Ein Mann kniet ein Dach, während er ein Stück Holz hält.</v>
      </c>
    </row>
    <row r="10618">
      <c r="A10618" s="4" t="s">
        <v>13348</v>
      </c>
      <c r="B10618" s="4" t="s">
        <v>13350</v>
      </c>
      <c r="C10618" s="5" t="str">
        <f>IFERROR(__xludf.DUMMYFUNCTION("GOOGLETRANSLATE(B10618,""en"",""de"")"),"Er beginnt, das Stück Holz zu hämmern, während die Kamera herum schwenkt.")</f>
        <v>Er beginnt, das Stück Holz zu hämmern, während die Kamera herum schwenkt.</v>
      </c>
    </row>
    <row r="10619">
      <c r="A10619" s="4" t="s">
        <v>13348</v>
      </c>
      <c r="B10619" s="4" t="s">
        <v>13351</v>
      </c>
      <c r="C10619" s="5" t="str">
        <f>IFERROR(__xludf.DUMMYFUNCTION("GOOGLETRANSLATE(B10619,""en"",""de"")"),"Er hämmert weiter herum und schaut zurück in die Kamera.")</f>
        <v>Er hämmert weiter herum und schaut zurück in die Kamera.</v>
      </c>
    </row>
    <row r="10620">
      <c r="A10620" s="4" t="s">
        <v>13352</v>
      </c>
      <c r="B10620" s="4" t="s">
        <v>13353</v>
      </c>
      <c r="C10620" s="5" t="str">
        <f>IFERROR(__xludf.DUMMYFUNCTION("GOOGLETRANSLATE(B10620,""en"",""de"")"),"Ein Mann schaut in die Kamera und schnappt sich die Finger.")</f>
        <v>Ein Mann schaut in die Kamera und schnappt sich die Finger.</v>
      </c>
    </row>
    <row r="10621">
      <c r="A10621" s="4" t="s">
        <v>13352</v>
      </c>
      <c r="B10621" s="4" t="s">
        <v>13354</v>
      </c>
      <c r="C10621" s="5" t="str">
        <f>IFERROR(__xludf.DUMMYFUNCTION("GOOGLETRANSLATE(B10621,""en"",""de"")"),"Dies führt zu einem Mann, der ein Instrument spielt, während die Kamera zusieht.")</f>
        <v>Dies führt zu einem Mann, der ein Instrument spielt, während die Kamera zusieht.</v>
      </c>
    </row>
    <row r="10622">
      <c r="A10622" s="4" t="s">
        <v>13352</v>
      </c>
      <c r="B10622" s="4" t="s">
        <v>13355</v>
      </c>
      <c r="C10622" s="5" t="str">
        <f>IFERROR(__xludf.DUMMYFUNCTION("GOOGLETRANSLATE(B10622,""en"",""de"")"),"Der Mann spielt weiterhin seine Hände auf und ab und schaut zur Kamera zurück.")</f>
        <v>Der Mann spielt weiterhin seine Hände auf und ab und schaut zur Kamera zurück.</v>
      </c>
    </row>
    <row r="10623">
      <c r="A10623" s="4" t="s">
        <v>13356</v>
      </c>
      <c r="B10623" s="4" t="s">
        <v>13357</v>
      </c>
      <c r="C10623" s="5" t="str">
        <f>IFERROR(__xludf.DUMMYFUNCTION("GOOGLETRANSLATE(B10623,""en"",""de"")"),"Eine Gruppe von Menschen ist draußen am Strand und spielt Sandvolleyball.")</f>
        <v>Eine Gruppe von Menschen ist draußen am Strand und spielt Sandvolleyball.</v>
      </c>
    </row>
    <row r="10624">
      <c r="A10624" s="4" t="s">
        <v>13356</v>
      </c>
      <c r="B10624" s="4" t="s">
        <v>13358</v>
      </c>
      <c r="C10624" s="5" t="str">
        <f>IFERROR(__xludf.DUMMYFUNCTION("GOOGLETRANSLATE(B10624,""en"",""de"")"),"Der Ball fällt und ein dicker Junge mit gelben Hemden nimmt den Ball und versucht ihn zu servieren.")</f>
        <v>Der Ball fällt und ein dicker Junge mit gelben Hemden nimmt den Ball und versucht ihn zu servieren.</v>
      </c>
    </row>
    <row r="10625">
      <c r="A10625" s="4" t="s">
        <v>13356</v>
      </c>
      <c r="B10625" s="4" t="s">
        <v>13359</v>
      </c>
      <c r="C10625" s="5" t="str">
        <f>IFERROR(__xludf.DUMMYFUNCTION("GOOGLETRANSLATE(B10625,""en"",""de"")"),"Der Ball schafft es jedoch nicht über das Netz, rollt zurück und er geht, um ihn zu bekommen.")</f>
        <v>Der Ball schafft es jedoch nicht über das Netz, rollt zurück und er geht, um ihn zu bekommen.</v>
      </c>
    </row>
    <row r="10626">
      <c r="A10626" s="4" t="s">
        <v>13360</v>
      </c>
      <c r="B10626" s="4" t="s">
        <v>13361</v>
      </c>
      <c r="C10626" s="5" t="str">
        <f>IFERROR(__xludf.DUMMYFUNCTION("GOOGLETRANSLATE(B10626,""en"",""de"")"),"Ein Mann spricht und spielt Schlagzeug in einem geteilten Bildschirm.")</f>
        <v>Ein Mann spricht und spielt Schlagzeug in einem geteilten Bildschirm.</v>
      </c>
    </row>
    <row r="10627">
      <c r="A10627" s="4" t="s">
        <v>13360</v>
      </c>
      <c r="B10627" s="4" t="s">
        <v>13362</v>
      </c>
      <c r="C10627" s="5" t="str">
        <f>IFERROR(__xludf.DUMMYFUNCTION("GOOGLETRANSLATE(B10627,""en"",""de"")"),"Wie er den Prozess erklärt, benutzt er seine Hände, um eine Melodie zu schlagen.")</f>
        <v>Wie er den Prozess erklärt, benutzt er seine Hände, um eine Melodie zu schlagen.</v>
      </c>
    </row>
    <row r="10628">
      <c r="A10628" s="4" t="s">
        <v>13360</v>
      </c>
      <c r="B10628" s="4" t="s">
        <v>13363</v>
      </c>
      <c r="C10628" s="5" t="str">
        <f>IFERROR(__xludf.DUMMYFUNCTION("GOOGLETRANSLATE(B10628,""en"",""de"")"),"Er redet weiter und spielt weiter, bis es ausschließlich auf ihn spielt, um Schlagzeug zu spielen.")</f>
        <v>Er redet weiter und spielt weiter, bis es ausschließlich auf ihn spielt, um Schlagzeug zu spielen.</v>
      </c>
    </row>
    <row r="10629">
      <c r="A10629" s="4" t="s">
        <v>13364</v>
      </c>
      <c r="B10629" s="4" t="s">
        <v>13365</v>
      </c>
      <c r="C10629" s="5" t="str">
        <f>IFERROR(__xludf.DUMMYFUNCTION("GOOGLETRANSLATE(B10629,""en"",""de"")"),"Die Leute sitzen Workout -Maschinen.")</f>
        <v>Die Leute sitzen Workout -Maschinen.</v>
      </c>
    </row>
    <row r="10630">
      <c r="A10630" s="4" t="s">
        <v>13364</v>
      </c>
      <c r="B10630" s="4" t="s">
        <v>13366</v>
      </c>
      <c r="C10630" s="5" t="str">
        <f>IFERROR(__xludf.DUMMYFUNCTION("GOOGLETRANSLATE(B10630,""en"",""de"")"),"Sie beginnen ein Seil, um zu trainieren.")</f>
        <v>Sie beginnen ein Seil, um zu trainieren.</v>
      </c>
    </row>
    <row r="10631">
      <c r="A10631" s="4" t="s">
        <v>13364</v>
      </c>
      <c r="B10631" s="4" t="s">
        <v>13367</v>
      </c>
      <c r="C10631" s="5" t="str">
        <f>IFERROR(__xludf.DUMMYFUNCTION("GOOGLETRANSLATE(B10631,""en"",""de"")"),"Eine Frau steht neben einer Workout -Maschine.")</f>
        <v>Eine Frau steht neben einer Workout -Maschine.</v>
      </c>
    </row>
    <row r="10632">
      <c r="A10632" s="4" t="s">
        <v>13368</v>
      </c>
      <c r="B10632" s="4" t="s">
        <v>13369</v>
      </c>
      <c r="C10632" s="5" t="str">
        <f>IFERROR(__xludf.DUMMYFUNCTION("GOOGLETRANSLATE(B10632,""en"",""de"")"),"Mehrere Menschen trainieren in einem Raum.")</f>
        <v>Mehrere Menschen trainieren in einem Raum.</v>
      </c>
    </row>
    <row r="10633">
      <c r="A10633" s="4" t="s">
        <v>13368</v>
      </c>
      <c r="B10633" s="4" t="s">
        <v>13370</v>
      </c>
      <c r="C10633" s="5" t="str">
        <f>IFERROR(__xludf.DUMMYFUNCTION("GOOGLETRANSLATE(B10633,""en"",""de"")"),"Der Schritt auf und aus einer Plattform im Rhythmus.")</f>
        <v>Der Schritt auf und aus einer Plattform im Rhythmus.</v>
      </c>
    </row>
    <row r="10634">
      <c r="A10634" s="4" t="s">
        <v>13368</v>
      </c>
      <c r="B10634" s="4" t="s">
        <v>13371</v>
      </c>
      <c r="C10634" s="5" t="str">
        <f>IFERROR(__xludf.DUMMYFUNCTION("GOOGLETRANSLATE(B10634,""en"",""de"")"),"Sie tanzen sehr intensiv.")</f>
        <v>Sie tanzen sehr intensiv.</v>
      </c>
    </row>
    <row r="10635">
      <c r="A10635" s="4" t="s">
        <v>13368</v>
      </c>
      <c r="B10635" s="4" t="s">
        <v>13372</v>
      </c>
      <c r="C10635" s="5" t="str">
        <f>IFERROR(__xludf.DUMMYFUNCTION("GOOGLETRANSLATE(B10635,""en"",""de"")"),"Einige von ihnen drehen sich im Kreis.")</f>
        <v>Einige von ihnen drehen sich im Kreis.</v>
      </c>
    </row>
    <row r="10636">
      <c r="A10636" s="4" t="s">
        <v>13373</v>
      </c>
      <c r="B10636" s="4" t="s">
        <v>13374</v>
      </c>
      <c r="C10636" s="5" t="str">
        <f>IFERROR(__xludf.DUMMYFUNCTION("GOOGLETRANSLATE(B10636,""en"",""de"")"),"Es gibt zwei Männer, die Ellbogen auf einem Tisch ringen.")</f>
        <v>Es gibt zwei Männer, die Ellbogen auf einem Tisch ringen.</v>
      </c>
    </row>
    <row r="10637">
      <c r="A10637" s="4" t="s">
        <v>13373</v>
      </c>
      <c r="B10637" s="4" t="s">
        <v>13375</v>
      </c>
      <c r="C10637" s="5" t="str">
        <f>IFERROR(__xludf.DUMMYFUNCTION("GOOGLETRANSLATE(B10637,""en"",""de"")"),"Es gibt mehrere Leute, die sie ringen sehen.")</f>
        <v>Es gibt mehrere Leute, die sie ringen sehen.</v>
      </c>
    </row>
    <row r="10638">
      <c r="A10638" s="4" t="s">
        <v>13373</v>
      </c>
      <c r="B10638" s="4" t="s">
        <v>13376</v>
      </c>
      <c r="C10638" s="5" t="str">
        <f>IFERROR(__xludf.DUMMYFUNCTION("GOOGLETRANSLATE(B10638,""en"",""de"")"),"In einer anderen Szene gibt es zwei weitere Männer, die Ellbogen ringen.")</f>
        <v>In einer anderen Szene gibt es zwei weitere Männer, die Ellbogen ringen.</v>
      </c>
    </row>
    <row r="10639">
      <c r="A10639" s="4" t="s">
        <v>13373</v>
      </c>
      <c r="B10639" s="4" t="s">
        <v>13377</v>
      </c>
      <c r="C10639" s="5" t="str">
        <f>IFERROR(__xludf.DUMMYFUNCTION("GOOGLETRANSLATE(B10639,""en"",""de"")"),"Es gibt eine Reihe von Ellbogen -Wrestling -Events, die in dem Video gezeigt werden, in dem ein Mann kraftvoller ist als der andere und gewinnt am Ende das Wrestling -Spiel.")</f>
        <v>Es gibt eine Reihe von Ellbogen -Wrestling -Events, die in dem Video gezeigt werden, in dem ein Mann kraftvoller ist als der andere und gewinnt am Ende das Wrestling -Spiel.</v>
      </c>
    </row>
    <row r="10640">
      <c r="A10640" s="4" t="s">
        <v>13373</v>
      </c>
      <c r="B10640" s="4" t="s">
        <v>13378</v>
      </c>
      <c r="C10640" s="5" t="str">
        <f>IFERROR(__xludf.DUMMYFUNCTION("GOOGLETRANSLATE(B10640,""en"",""de"")"),"Es gibt einige über dramatisierte Szenen, in denen die Leute Ellbogen ringen und über das Spiel reagieren.")</f>
        <v>Es gibt einige über dramatisierte Szenen, in denen die Leute Ellbogen ringen und über das Spiel reagieren.</v>
      </c>
    </row>
    <row r="10641">
      <c r="A10641" s="4" t="s">
        <v>13373</v>
      </c>
      <c r="B10641" s="4" t="s">
        <v>13379</v>
      </c>
      <c r="C10641" s="5" t="str">
        <f>IFERROR(__xludf.DUMMYFUNCTION("GOOGLETRANSLATE(B10641,""en"",""de"")"),"Es gibt auch einige Schiedsrichter, die als Moderatoren im Ellbogen -Wrestling -Match fungieren.")</f>
        <v>Es gibt auch einige Schiedsrichter, die als Moderatoren im Ellbogen -Wrestling -Match fungieren.</v>
      </c>
    </row>
    <row r="10642">
      <c r="A10642" s="4" t="s">
        <v>13380</v>
      </c>
      <c r="B10642" s="4" t="s">
        <v>13381</v>
      </c>
      <c r="C10642" s="5" t="str">
        <f>IFERROR(__xludf.DUMMYFUNCTION("GOOGLETRANSLATE(B10642,""en"",""de"")"),"Eine brünette Frau sitzt in einem Raum und hat ihren linken Arm angehoben und schaut auf ihre Achselhöhle.")</f>
        <v>Eine brünette Frau sitzt in einem Raum und hat ihren linken Arm angehoben und schaut auf ihre Achselhöhle.</v>
      </c>
    </row>
    <row r="10643">
      <c r="A10643" s="4" t="s">
        <v>13380</v>
      </c>
      <c r="B10643" s="4" t="s">
        <v>13382</v>
      </c>
      <c r="C10643" s="5" t="str">
        <f>IFERROR(__xludf.DUMMYFUNCTION("GOOGLETRANSLATE(B10643,""en"",""de"")"),"Die Frau legt ihren Arm nieder und spricht in die Kamera und eine schwarze Katze klettert auf Möbel hinter ihr, während sie noch spricht.")</f>
        <v>Die Frau legt ihren Arm nieder und spricht in die Kamera und eine schwarze Katze klettert auf Möbel hinter ihr, während sie noch spricht.</v>
      </c>
    </row>
    <row r="10644">
      <c r="A10644" s="4" t="s">
        <v>13380</v>
      </c>
      <c r="B10644" s="4" t="s">
        <v>13383</v>
      </c>
      <c r="C10644" s="5" t="str">
        <f>IFERROR(__xludf.DUMMYFUNCTION("GOOGLETRANSLATE(B10644,""en"",""de"")"),"Die Frau steht jetzt vollständig in der Dusche, die voll bekleidet ist, und sie trägt viel Rasierschaum auf ihr rechtes Bein, das an einer Wand gestützt ist.")</f>
        <v>Die Frau steht jetzt vollständig in der Dusche, die voll bekleidet ist, und sie trägt viel Rasierschaum auf ihr rechtes Bein, das an einer Wand gestützt ist.</v>
      </c>
    </row>
    <row r="10645">
      <c r="A10645" s="4" t="s">
        <v>13380</v>
      </c>
      <c r="B10645" s="4" t="s">
        <v>13384</v>
      </c>
      <c r="C10645" s="5" t="str">
        <f>IFERROR(__xludf.DUMMYFUNCTION("GOOGLETRANSLATE(B10645,""en"",""de"")"),"Die Frau steht jetzt aufrecht und hat viel Rasiercreme an ihrer linken Achselhöhle und fällt. Dann steht sie mit Rasierschaum über sie und klatscht dann in die Hände.")</f>
        <v>Die Frau steht jetzt aufrecht und hat viel Rasiercreme an ihrer linken Achselhöhle und fällt. Dann steht sie mit Rasierschaum über sie und klatscht dann in die Hände.</v>
      </c>
    </row>
    <row r="10646">
      <c r="A10646" s="4" t="s">
        <v>13380</v>
      </c>
      <c r="B10646" s="4" t="s">
        <v>13385</v>
      </c>
      <c r="C10646" s="5" t="str">
        <f>IFERROR(__xludf.DUMMYFUNCTION("GOOGLETRANSLATE(B10646,""en"",""de"")"),"Die Frau ist wieder im Raum und redet und erscheint dann mit einem Rasiermesser in der Dusche und rasiert ihre Beine.")</f>
        <v>Die Frau ist wieder im Raum und redet und erscheint dann mit einem Rasiermesser in der Dusche und rasiert ihre Beine.</v>
      </c>
    </row>
    <row r="10647">
      <c r="A10647" s="4" t="s">
        <v>13380</v>
      </c>
      <c r="B10647" s="4" t="s">
        <v>13386</v>
      </c>
      <c r="C10647" s="5" t="str">
        <f>IFERROR(__xludf.DUMMYFUNCTION("GOOGLETRANSLATE(B10647,""en"",""de"")"),"Die Frau spricht wieder im Zimmer und ihre schwarze Katze geht zu ihr und die Frau redet weiter und endet mit einem Clip, dass sie sorgfältig aus der Badewanne herauskommt.")</f>
        <v>Die Frau spricht wieder im Zimmer und ihre schwarze Katze geht zu ihr und die Frau redet weiter und endet mit einem Clip, dass sie sorgfältig aus der Badewanne herauskommt.</v>
      </c>
    </row>
    <row r="10648">
      <c r="A10648" s="4" t="s">
        <v>13387</v>
      </c>
      <c r="B10648" s="4" t="s">
        <v>13388</v>
      </c>
      <c r="C10648" s="5" t="str">
        <f>IFERROR(__xludf.DUMMYFUNCTION("GOOGLETRANSLATE(B10648,""en"",""de"")"),"Ein Mädchen, das ein rotes Hemd und weiße Shorts trägt, steht in ihrem Badezimmer am Waschbecken mit einer Zahnbürste in der Hand.")</f>
        <v>Ein Mädchen, das ein rotes Hemd und weiße Shorts trägt, steht in ihrem Badezimmer am Waschbecken mit einer Zahnbürste in der Hand.</v>
      </c>
    </row>
    <row r="10649">
      <c r="A10649" s="4" t="s">
        <v>13387</v>
      </c>
      <c r="B10649" s="4" t="s">
        <v>13389</v>
      </c>
      <c r="C10649" s="5" t="str">
        <f>IFERROR(__xludf.DUMMYFUNCTION("GOOGLETRANSLATE(B10649,""en"",""de"")"),"Sie nimmt etwas Zahnpasta und legt sie auf ihre Bürste und beginnt zu bürsten.")</f>
        <v>Sie nimmt etwas Zahnpasta und legt sie auf ihre Bürste und beginnt zu bürsten.</v>
      </c>
    </row>
    <row r="10650">
      <c r="A10650" s="4" t="s">
        <v>13387</v>
      </c>
      <c r="B10650" s="4" t="s">
        <v>13390</v>
      </c>
      <c r="C10650" s="5" t="str">
        <f>IFERROR(__xludf.DUMMYFUNCTION("GOOGLETRANSLATE(B10650,""en"",""de"")"),"Sie beginnt zu tanzen, als sie ihre Zähne putzt und auch ihren Körper wackelt.")</f>
        <v>Sie beginnt zu tanzen, als sie ihre Zähne putzt und auch ihren Körper wackelt.</v>
      </c>
    </row>
    <row r="10651">
      <c r="A10651" s="4" t="s">
        <v>13387</v>
      </c>
      <c r="B10651" s="4" t="s">
        <v>13391</v>
      </c>
      <c r="C10651" s="5" t="str">
        <f>IFERROR(__xludf.DUMMYFUNCTION("GOOGLETRANSLATE(B10651,""en"",""de"")"),"Sie streift weiter und tanzt schneller und lacht.")</f>
        <v>Sie streift weiter und tanzt schneller und lacht.</v>
      </c>
    </row>
    <row r="10652">
      <c r="A10652" s="4" t="s">
        <v>13387</v>
      </c>
      <c r="B10652" s="4" t="s">
        <v>13392</v>
      </c>
      <c r="C10652" s="5" t="str">
        <f>IFERROR(__xludf.DUMMYFUNCTION("GOOGLETRANSLATE(B10652,""en"",""de"")"),"Dann merkt sie, dass ihr Mund voller Zahnpastaschaum ist und dass sie herauskommt, sie spuckt ihn in die Spüle aus.")</f>
        <v>Dann merkt sie, dass ihr Mund voller Zahnpastaschaum ist und dass sie herauskommt, sie spuckt ihn in die Spüle aus.</v>
      </c>
    </row>
    <row r="10653">
      <c r="A10653" s="4" t="s">
        <v>13393</v>
      </c>
      <c r="B10653" s="4" t="s">
        <v>13394</v>
      </c>
      <c r="C10653" s="5" t="str">
        <f>IFERROR(__xludf.DUMMYFUNCTION("GOOGLETRANSLATE(B10653,""en"",""de"")"),"Eine junge Frau mit rotem und schwarzem Haar wird unter Verwendung eines Haartrockners gezeigt.")</f>
        <v>Eine junge Frau mit rotem und schwarzem Haar wird unter Verwendung eines Haartrockners gezeigt.</v>
      </c>
    </row>
    <row r="10654">
      <c r="A10654" s="4" t="s">
        <v>13393</v>
      </c>
      <c r="B10654" s="4" t="s">
        <v>13395</v>
      </c>
      <c r="C10654" s="5" t="str">
        <f>IFERROR(__xludf.DUMMYFUNCTION("GOOGLETRANSLATE(B10654,""en"",""de"")"),"Sie benutzt eine große Rundpinsel, um ihr Haar gerade zu putzen, während sie trocknet.")</f>
        <v>Sie benutzt eine große Rundpinsel, um ihr Haar gerade zu putzen, während sie trocknet.</v>
      </c>
    </row>
    <row r="10655">
      <c r="A10655" s="4" t="s">
        <v>13393</v>
      </c>
      <c r="B10655" s="4" t="s">
        <v>13396</v>
      </c>
      <c r="C10655" s="5" t="str">
        <f>IFERROR(__xludf.DUMMYFUNCTION("GOOGLETRANSLATE(B10655,""en"",""de"")"),"Wenn sie fertig ist, retelt sie ihre Hand durch ihre Haare und streift sie an Ort und Stelle.")</f>
        <v>Wenn sie fertig ist, retelt sie ihre Hand durch ihre Haare und streift sie an Ort und Stelle.</v>
      </c>
    </row>
    <row r="10656">
      <c r="A10656" s="4" t="s">
        <v>13397</v>
      </c>
      <c r="B10656" s="4" t="s">
        <v>13398</v>
      </c>
      <c r="C10656" s="5" t="str">
        <f>IFERROR(__xludf.DUMMYFUNCTION("GOOGLETRANSLATE(B10656,""en"",""de"")"),"Fotos von Pferden werden gefolgt vom Logo ""Reitleben"" angezeigt.")</f>
        <v>Fotos von Pferden werden gefolgt vom Logo "Reitleben" angezeigt.</v>
      </c>
    </row>
    <row r="10657">
      <c r="A10657" s="4" t="s">
        <v>13397</v>
      </c>
      <c r="B10657" s="4" t="s">
        <v>13399</v>
      </c>
      <c r="C10657" s="5" t="str">
        <f>IFERROR(__xludf.DUMMYFUNCTION("GOOGLETRANSLATE(B10657,""en"",""de"")"),"Eine Frau steht draußen mit einem braunen Pferd und legt einen Helm auf.")</f>
        <v>Eine Frau steht draußen mit einem braunen Pferd und legt einen Helm auf.</v>
      </c>
    </row>
    <row r="10658">
      <c r="A10658" s="4" t="s">
        <v>13397</v>
      </c>
      <c r="B10658" s="4" t="s">
        <v>13400</v>
      </c>
      <c r="C10658" s="5" t="str">
        <f>IFERROR(__xludf.DUMMYFUNCTION("GOOGLETRANSLATE(B10658,""en"",""de"")"),"Die Frau spricht mit der Kamera und montiert das Pferd.")</f>
        <v>Die Frau spricht mit der Kamera und montiert das Pferd.</v>
      </c>
    </row>
    <row r="10659">
      <c r="A10659" s="4" t="s">
        <v>13397</v>
      </c>
      <c r="B10659" s="4" t="s">
        <v>13401</v>
      </c>
      <c r="C10659" s="5" t="str">
        <f>IFERROR(__xludf.DUMMYFUNCTION("GOOGLETRANSLATE(B10659,""en"",""de"")"),"Sie spricht weiterhin mit der Kamera und geht dann im Kreis das Pferd.")</f>
        <v>Sie spricht weiterhin mit der Kamera und geht dann im Kreis das Pferd.</v>
      </c>
    </row>
    <row r="10660">
      <c r="A10660" s="4" t="s">
        <v>13402</v>
      </c>
      <c r="B10660" s="4" t="s">
        <v>13403</v>
      </c>
      <c r="C10660" s="5" t="str">
        <f>IFERROR(__xludf.DUMMYFUNCTION("GOOGLETRANSLATE(B10660,""en"",""de"")"),"Eine Person fährt mit dem Fahrrad eine lange Straße hinunter, gefolgt von einem großen Kamel in der Ferne.")</f>
        <v>Eine Person fährt mit dem Fahrrad eine lange Straße hinunter, gefolgt von einem großen Kamel in der Ferne.</v>
      </c>
    </row>
    <row r="10661">
      <c r="A10661" s="4" t="s">
        <v>13402</v>
      </c>
      <c r="B10661" s="4" t="s">
        <v>13404</v>
      </c>
      <c r="C10661" s="5" t="str">
        <f>IFERROR(__xludf.DUMMYFUNCTION("GOOGLETRANSLATE(B10661,""en"",""de"")"),"Das Tier rückt näher, während die Kamera in den drei Personen zoomt, die oben auf dem Kamel fahren und an weiteren Reitkamelen vorbeifahren.")</f>
        <v>Das Tier rückt näher, während die Kamera in den drei Personen zoomt, die oben auf dem Kamel fahren und an weiteren Reitkamelen vorbeifahren.</v>
      </c>
    </row>
    <row r="10662">
      <c r="A10662" s="4" t="s">
        <v>13405</v>
      </c>
      <c r="B10662" s="4" t="s">
        <v>13406</v>
      </c>
      <c r="C10662" s="5" t="str">
        <f>IFERROR(__xludf.DUMMYFUNCTION("GOOGLETRANSLATE(B10662,""en"",""de"")"),"Eine Frau spricht mit der Kamera, die zu einem Mann führt, der mit einer Gruppe spricht.")</f>
        <v>Eine Frau spricht mit der Kamera, die zu einem Mann führt, der mit einer Gruppe spricht.</v>
      </c>
    </row>
    <row r="10663">
      <c r="A10663" s="4" t="s">
        <v>13405</v>
      </c>
      <c r="B10663" s="4" t="s">
        <v>13407</v>
      </c>
      <c r="C10663" s="5" t="str">
        <f>IFERROR(__xludf.DUMMYFUNCTION("GOOGLETRANSLATE(B10663,""en"",""de"")"),"Ein anderer Mann spricht mit der Kamera, während der Demonstrator auf ein Fahrrad zeigt und ein Rad auszieht.")</f>
        <v>Ein anderer Mann spricht mit der Kamera, während der Demonstrator auf ein Fahrrad zeigt und ein Rad auszieht.</v>
      </c>
    </row>
    <row r="10664">
      <c r="A10664" s="4" t="s">
        <v>13405</v>
      </c>
      <c r="B10664" s="4" t="s">
        <v>13408</v>
      </c>
      <c r="C10664" s="5" t="str">
        <f>IFERROR(__xludf.DUMMYFUNCTION("GOOGLETRANSLATE(B10664,""en"",""de"")"),"Mehr Menschen sprechen mit der Kamera, während der Mann demonstriert, wie man Luft in einen Reifen steckt und sie auseinander nimmt.")</f>
        <v>Mehr Menschen sprechen mit der Kamera, während der Mann demonstriert, wie man Luft in einen Reifen steckt und sie auseinander nimmt.</v>
      </c>
    </row>
    <row r="10665">
      <c r="A10665" s="4" t="s">
        <v>13409</v>
      </c>
      <c r="B10665" s="4" t="s">
        <v>13410</v>
      </c>
      <c r="C10665" s="5" t="str">
        <f>IFERROR(__xludf.DUMMYFUNCTION("GOOGLETRANSLATE(B10665,""en"",""de"")"),"Eine Frau in einem rosa Hemd steht draußen.")</f>
        <v>Eine Frau in einem rosa Hemd steht draußen.</v>
      </c>
    </row>
    <row r="10666">
      <c r="A10666" s="4" t="s">
        <v>13409</v>
      </c>
      <c r="B10666" s="4" t="s">
        <v>13411</v>
      </c>
      <c r="C10666" s="5" t="str">
        <f>IFERROR(__xludf.DUMMYFUNCTION("GOOGLETRANSLATE(B10666,""en"",""de"")"),"Ein brauner Hund spielt mit einem Frisbee.")</f>
        <v>Ein brauner Hund spielt mit einem Frisbee.</v>
      </c>
    </row>
    <row r="10667">
      <c r="A10667" s="4" t="s">
        <v>13409</v>
      </c>
      <c r="B10667" s="4" t="s">
        <v>13412</v>
      </c>
      <c r="C10667" s="5" t="str">
        <f>IFERROR(__xludf.DUMMYFUNCTION("GOOGLETRANSLATE(B10667,""en"",""de"")"),"Der Hund steht auf dem Rücken der Frau.")</f>
        <v>Der Hund steht auf dem Rücken der Frau.</v>
      </c>
    </row>
    <row r="10668">
      <c r="A10668" s="4" t="s">
        <v>13413</v>
      </c>
      <c r="B10668" s="4" t="s">
        <v>13414</v>
      </c>
      <c r="C10668" s="5" t="str">
        <f>IFERROR(__xludf.DUMMYFUNCTION("GOOGLETRANSLATE(B10668,""en"",""de"")"),"Das Stadion wird mit vielen Menschen im Publikum gezeigt, die auf Ständen sitzen und sich ein Criquet -Spiel beobachten.")</f>
        <v>Das Stadion wird mit vielen Menschen im Publikum gezeigt, die auf Ständen sitzen und sich ein Criquet -Spiel beobachten.</v>
      </c>
    </row>
    <row r="10669">
      <c r="A10669" s="4" t="s">
        <v>13413</v>
      </c>
      <c r="B10669" s="4" t="s">
        <v>13415</v>
      </c>
      <c r="C10669" s="5" t="str">
        <f>IFERROR(__xludf.DUMMYFUNCTION("GOOGLETRANSLATE(B10669,""en"",""de"")"),"Männer werden vor Ort interviewt.")</f>
        <v>Männer werden vor Ort interviewt.</v>
      </c>
    </row>
    <row r="10670">
      <c r="A10670" s="4" t="s">
        <v>13416</v>
      </c>
      <c r="B10670" s="4" t="s">
        <v>13417</v>
      </c>
      <c r="C10670" s="5" t="str">
        <f>IFERROR(__xludf.DUMMYFUNCTION("GOOGLETRANSLATE(B10670,""en"",""de"")"),"Ein Mann steht an einer Spielzeugmaschine, bevor er aufsieht und rennt und über eine Theke springt.")</f>
        <v>Ein Mann steht an einer Spielzeugmaschine, bevor er aufsieht und rennt und über eine Theke springt.</v>
      </c>
    </row>
    <row r="10671">
      <c r="A10671" s="4" t="s">
        <v>13416</v>
      </c>
      <c r="B10671" s="4" t="s">
        <v>13418</v>
      </c>
      <c r="C10671" s="5" t="str">
        <f>IFERROR(__xludf.DUMMYFUNCTION("GOOGLETRANSLATE(B10671,""en"",""de"")"),"Er schnappt sich einen Bowlingkugel und beginnt zu bowlen.")</f>
        <v>Er schnappt sich einen Bowlingkugel und beginnt zu bowlen.</v>
      </c>
    </row>
    <row r="10672">
      <c r="A10672" s="4" t="s">
        <v>13416</v>
      </c>
      <c r="B10672" s="4" t="s">
        <v>13419</v>
      </c>
      <c r="C10672" s="5" t="str">
        <f>IFERROR(__xludf.DUMMYFUNCTION("GOOGLETRANSLATE(B10672,""en"",""de"")"),"Die Männer machen Backflips und rutschen beim Bowl und rollen manchmal die Kugeln untereinander.")</f>
        <v>Die Männer machen Backflips und rutschen beim Bowl und rollen manchmal die Kugeln untereinander.</v>
      </c>
    </row>
    <row r="10673">
      <c r="A10673" s="4" t="s">
        <v>13416</v>
      </c>
      <c r="B10673" s="4" t="s">
        <v>13420</v>
      </c>
      <c r="C10673" s="5" t="str">
        <f>IFERROR(__xludf.DUMMYFUNCTION("GOOGLETRANSLATE(B10673,""en"",""de"")"),"Einer wird vor dem Streik mit verbundenen Augen verbunden, dann steht die andere Hand auf der Ausrüstung.")</f>
        <v>Einer wird vor dem Streik mit verbundenen Augen verbunden, dann steht die andere Hand auf der Ausrüstung.</v>
      </c>
    </row>
    <row r="10674">
      <c r="A10674" s="4" t="s">
        <v>13421</v>
      </c>
      <c r="B10674" s="4" t="s">
        <v>13422</v>
      </c>
      <c r="C10674" s="5" t="str">
        <f>IFERROR(__xludf.DUMMYFUNCTION("GOOGLETRANSLATE(B10674,""en"",""de"")"),"Männer auf diesen von Robosen aussehenden Pogo -Stöcken spielen Basketball in einem Platz.")</f>
        <v>Männer auf diesen von Robosen aussehenden Pogo -Stöcken spielen Basketball in einem Platz.</v>
      </c>
    </row>
    <row r="10675">
      <c r="A10675" s="4" t="s">
        <v>13421</v>
      </c>
      <c r="B10675" s="4" t="s">
        <v>13423</v>
      </c>
      <c r="C10675" s="5" t="str">
        <f>IFERROR(__xludf.DUMMYFUNCTION("GOOGLETRANSLATE(B10675,""en"",""de"")"),"Sie gehen auf den Pogo -Stöcken und springen auch ein bisschen.")</f>
        <v>Sie gehen auf den Pogo -Stöcken und springen auch ein bisschen.</v>
      </c>
    </row>
    <row r="10676">
      <c r="A10676" s="4" t="s">
        <v>13421</v>
      </c>
      <c r="B10676" s="4" t="s">
        <v>13424</v>
      </c>
      <c r="C10676" s="5" t="str">
        <f>IFERROR(__xludf.DUMMYFUNCTION("GOOGLETRANSLATE(B10676,""en"",""de"")"),"Sie versuchen, den Ball in den Reifen zu bringen und weiter auf dem Platz zu springen.")</f>
        <v>Sie versuchen, den Ball in den Reifen zu bringen und weiter auf dem Platz zu springen.</v>
      </c>
    </row>
    <row r="10677">
      <c r="A10677" s="4" t="s">
        <v>13421</v>
      </c>
      <c r="B10677" s="4" t="s">
        <v>13425</v>
      </c>
      <c r="C10677" s="5" t="str">
        <f>IFERROR(__xludf.DUMMYFUNCTION("GOOGLETRANSLATE(B10677,""en"",""de"")"),"Ein Mann in Grün dreht sich in der Luft und schießt den Ball in den Reifen.")</f>
        <v>Ein Mann in Grün dreht sich in der Luft und schießt den Ball in den Reifen.</v>
      </c>
    </row>
    <row r="10678">
      <c r="A10678" s="4" t="s">
        <v>13426</v>
      </c>
      <c r="B10678" s="4" t="s">
        <v>13427</v>
      </c>
      <c r="C10678" s="5" t="str">
        <f>IFERROR(__xludf.DUMMYFUNCTION("GOOGLETRANSLATE(B10678,""en"",""de"")"),"Ein Hund steht in einer Badewanne, die an einer Wanne gekettet ist, und eine Frau geht in den Rahmen und greift nach dem Hund.")</f>
        <v>Ein Hund steht in einer Badewanne, die an einer Wanne gekettet ist, und eine Frau geht in den Rahmen und greift nach dem Hund.</v>
      </c>
    </row>
    <row r="10679">
      <c r="A10679" s="4" t="s">
        <v>13426</v>
      </c>
      <c r="B10679" s="4" t="s">
        <v>13428</v>
      </c>
      <c r="C10679" s="5" t="str">
        <f>IFERROR(__xludf.DUMMYFUNCTION("GOOGLETRANSLATE(B10679,""en"",""de"")"),"Sie hält eine Flasche hoch und sprüht sie um den Hund und rieb sie in das Fell, während sie mit der Kamera spricht.")</f>
        <v>Sie hält eine Flasche hoch und sprüht sie um den Hund und rieb sie in das Fell, während sie mit der Kamera spricht.</v>
      </c>
    </row>
    <row r="10680">
      <c r="A10680" s="4" t="s">
        <v>13426</v>
      </c>
      <c r="B10680" s="4" t="s">
        <v>13429</v>
      </c>
      <c r="C10680" s="5" t="str">
        <f>IFERROR(__xludf.DUMMYFUNCTION("GOOGLETRANSLATE(B10680,""en"",""de"")"),"Sie nimmt dann einen Schlauch und sprüht den Hund mit Wasser und endet, indem sie zur Kamera zurückblickt.")</f>
        <v>Sie nimmt dann einen Schlauch und sprüht den Hund mit Wasser und endet, indem sie zur Kamera zurückblickt.</v>
      </c>
    </row>
    <row r="10681">
      <c r="A10681" s="4" t="s">
        <v>13430</v>
      </c>
      <c r="B10681" s="4" t="s">
        <v>13431</v>
      </c>
      <c r="C10681" s="5" t="str">
        <f>IFERROR(__xludf.DUMMYFUNCTION("GOOGLETRANSLATE(B10681,""en"",""de"")"),"Drei Teenager tragen ihre Skateboards einen asphaltierten Park Trail.")</f>
        <v>Drei Teenager tragen ihre Skateboards einen asphaltierten Park Trail.</v>
      </c>
    </row>
    <row r="10682">
      <c r="A10682" s="4" t="s">
        <v>13430</v>
      </c>
      <c r="B10682" s="4" t="s">
        <v>13432</v>
      </c>
      <c r="C10682" s="5" t="str">
        <f>IFERROR(__xludf.DUMMYFUNCTION("GOOGLETRANSLATE(B10682,""en"",""de"")"),"Eine am Skateboard montierte Kamera fängt Szenen der jungen Skater ein, die in verschiedene Richtungen fahren und verschiedene Tricks durchführen.")</f>
        <v>Eine am Skateboard montierte Kamera fängt Szenen der jungen Skater ein, die in verschiedene Richtungen fahren und verschiedene Tricks durchführen.</v>
      </c>
    </row>
    <row r="10683">
      <c r="A10683" s="4" t="s">
        <v>13430</v>
      </c>
      <c r="B10683" s="4" t="s">
        <v>13433</v>
      </c>
      <c r="C10683" s="5" t="str">
        <f>IFERROR(__xludf.DUMMYFUNCTION("GOOGLETRANSLATE(B10683,""en"",""de"")"),"Ein Skateboarder in einem grünen Hoodie -Schlittschuhe auf einem schmalen, mit Bäumen gesäumten Schmalspur.")</f>
        <v>Ein Skateboarder in einem grünen Hoodie -Schlittschuhe auf einem schmalen, mit Bäumen gesäumten Schmalspur.</v>
      </c>
    </row>
    <row r="10684">
      <c r="A10684" s="4" t="s">
        <v>13434</v>
      </c>
      <c r="B10684" s="4" t="s">
        <v>13435</v>
      </c>
      <c r="C10684" s="5" t="str">
        <f>IFERROR(__xludf.DUMMYFUNCTION("GOOGLETRANSLATE(B10684,""en"",""de"")"),"Für eine Sekunde wird eine Wetterkarte angezeigt, dann zwei Nachrichtenfrauen an einem Schreibtisch.")</f>
        <v>Für eine Sekunde wird eine Wetterkarte angezeigt, dann zwei Nachrichtenfrauen an einem Schreibtisch.</v>
      </c>
    </row>
    <row r="10685">
      <c r="A10685" s="4" t="s">
        <v>13434</v>
      </c>
      <c r="B10685" s="4" t="s">
        <v>13436</v>
      </c>
      <c r="C10685" s="5" t="str">
        <f>IFERROR(__xludf.DUMMYFUNCTION("GOOGLETRANSLATE(B10685,""en"",""de"")"),"Mehrere Menschen werden sich für ein Rennen aufwärmen.")</f>
        <v>Mehrere Menschen werden sich für ein Rennen aufwärmen.</v>
      </c>
    </row>
    <row r="10686">
      <c r="A10686" s="4" t="s">
        <v>13434</v>
      </c>
      <c r="B10686" s="4" t="s">
        <v>13437</v>
      </c>
      <c r="C10686" s="5" t="str">
        <f>IFERROR(__xludf.DUMMYFUNCTION("GOOGLETRANSLATE(B10686,""en"",""de"")"),"Eine Waffe wird abgefeuert und das Rennen beginnt.")</f>
        <v>Eine Waffe wird abgefeuert und das Rennen beginnt.</v>
      </c>
    </row>
    <row r="10687">
      <c r="A10687" s="4" t="s">
        <v>13434</v>
      </c>
      <c r="B10687" s="4" t="s">
        <v>13438</v>
      </c>
      <c r="C10687" s="5" t="str">
        <f>IFERROR(__xludf.DUMMYFUNCTION("GOOGLETRANSLATE(B10687,""en"",""de"")"),"Wir kehren zu den Frauen im Nachrichtenzimmer zurück und reden.")</f>
        <v>Wir kehren zu den Frauen im Nachrichtenzimmer zurück und reden.</v>
      </c>
    </row>
    <row r="10688">
      <c r="A10688" s="4" t="s">
        <v>13439</v>
      </c>
      <c r="B10688" s="4" t="s">
        <v>13440</v>
      </c>
      <c r="C10688" s="5" t="str">
        <f>IFERROR(__xludf.DUMMYFUNCTION("GOOGLETRANSLATE(B10688,""en"",""de"")"),"Eine Frau, die Klassen trägt, tanzt vor der Kamera.")</f>
        <v>Eine Frau, die Klassen trägt, tanzt vor der Kamera.</v>
      </c>
    </row>
    <row r="10689">
      <c r="A10689" s="4" t="s">
        <v>13439</v>
      </c>
      <c r="B10689" s="4" t="s">
        <v>13441</v>
      </c>
      <c r="C10689" s="5" t="str">
        <f>IFERROR(__xludf.DUMMYFUNCTION("GOOGLETRANSLATE(B10689,""en"",""de"")"),"Die Frau dreht sich um, während er einen Arm erhebt.")</f>
        <v>Die Frau dreht sich um, während er einen Arm erhebt.</v>
      </c>
    </row>
    <row r="10690">
      <c r="A10690" s="4" t="s">
        <v>13439</v>
      </c>
      <c r="B10690" s="4" t="s">
        <v>13442</v>
      </c>
      <c r="C10690" s="5" t="str">
        <f>IFERROR(__xludf.DUMMYFUNCTION("GOOGLETRANSLATE(B10690,""en"",""de"")"),"Die Frau dreht sich wieder um.")</f>
        <v>Die Frau dreht sich wieder um.</v>
      </c>
    </row>
    <row r="10691">
      <c r="A10691" s="4" t="s">
        <v>13443</v>
      </c>
      <c r="B10691" s="4" t="s">
        <v>1487</v>
      </c>
      <c r="C10691" s="5" t="str">
        <f>IFERROR(__xludf.DUMMYFUNCTION("GOOGLETRANSLATE(B10691,""en"",""de"")"),"Wir sehen einen Öffnungsbildschirm.")</f>
        <v>Wir sehen einen Öffnungsbildschirm.</v>
      </c>
    </row>
    <row r="10692">
      <c r="A10692" s="4" t="s">
        <v>13443</v>
      </c>
      <c r="B10692" s="4" t="s">
        <v>13444</v>
      </c>
      <c r="C10692" s="5" t="str">
        <f>IFERROR(__xludf.DUMMYFUNCTION("GOOGLETRANSLATE(B10692,""en"",""de"")"),"Wir sehen einen Koch in einer Omelett -Bar, die gleichzeitig mehrere Omeletts herstellt.")</f>
        <v>Wir sehen einen Koch in einer Omelett -Bar, die gleichzeitig mehrere Omeletts herstellt.</v>
      </c>
    </row>
    <row r="10693">
      <c r="A10693" s="4" t="s">
        <v>13443</v>
      </c>
      <c r="B10693" s="4" t="s">
        <v>13445</v>
      </c>
      <c r="C10693" s="5" t="str">
        <f>IFERROR(__xludf.DUMMYFUNCTION("GOOGLETRANSLATE(B10693,""en"",""de"")"),"Wir sehen, wie der Mann mehr Ei in die Pfannen gießt.")</f>
        <v>Wir sehen, wie der Mann mehr Ei in die Pfannen gießt.</v>
      </c>
    </row>
    <row r="10694">
      <c r="A10694" s="4" t="s">
        <v>13443</v>
      </c>
      <c r="B10694" s="4" t="s">
        <v>13446</v>
      </c>
      <c r="C10694" s="5" t="str">
        <f>IFERROR(__xludf.DUMMYFUNCTION("GOOGLETRANSLATE(B10694,""en"",""de"")"),"Der Mann besprüht Gewürze auf die Omeletts.")</f>
        <v>Der Mann besprüht Gewürze auf die Omeletts.</v>
      </c>
    </row>
    <row r="10695">
      <c r="A10695" s="4" t="s">
        <v>13443</v>
      </c>
      <c r="B10695" s="4" t="s">
        <v>13447</v>
      </c>
      <c r="C10695" s="5" t="str">
        <f>IFERROR(__xludf.DUMMYFUNCTION("GOOGLETRANSLATE(B10695,""en"",""de"")"),"Der Mann gießt die Omeletts auf Teller.")</f>
        <v>Der Mann gießt die Omeletts auf Teller.</v>
      </c>
    </row>
    <row r="10696">
      <c r="A10696" s="4" t="s">
        <v>13443</v>
      </c>
      <c r="B10696" s="4" t="s">
        <v>4452</v>
      </c>
      <c r="C10696" s="5" t="str">
        <f>IFERROR(__xludf.DUMMYFUNCTION("GOOGLETRANSLATE(B10696,""en"",""de"")"),"Wir sehen dann den Endbildschirm.")</f>
        <v>Wir sehen dann den Endbildschirm.</v>
      </c>
    </row>
    <row r="10697">
      <c r="A10697" s="4" t="s">
        <v>13443</v>
      </c>
      <c r="B10697" s="4" t="s">
        <v>13448</v>
      </c>
      <c r="C10697" s="5" t="str">
        <f>IFERROR(__xludf.DUMMYFUNCTION("GOOGLETRANSLATE(B10697,""en"",""de"")"),"Wir sehen Fotos des Küchenchefs.")</f>
        <v>Wir sehen Fotos des Küchenchefs.</v>
      </c>
    </row>
    <row r="10698">
      <c r="A10698" s="4" t="s">
        <v>13449</v>
      </c>
      <c r="B10698" s="4" t="s">
        <v>13450</v>
      </c>
      <c r="C10698" s="5" t="str">
        <f>IFERROR(__xludf.DUMMYFUNCTION("GOOGLETRANSLATE(B10698,""en"",""de"")"),"Ein Individuum steht hinter einem Netzbereich.")</f>
        <v>Ein Individuum steht hinter einem Netzbereich.</v>
      </c>
    </row>
    <row r="10699">
      <c r="A10699" s="4" t="s">
        <v>13449</v>
      </c>
      <c r="B10699" s="4" t="s">
        <v>13451</v>
      </c>
      <c r="C10699" s="5" t="str">
        <f>IFERROR(__xludf.DUMMYFUNCTION("GOOGLETRANSLATE(B10699,""en"",""de"")"),"Das Individuum beginnt nach einem Hammerwurf zu schwingen.")</f>
        <v>Das Individuum beginnt nach einem Hammerwurf zu schwingen.</v>
      </c>
    </row>
    <row r="10700">
      <c r="A10700" s="4" t="s">
        <v>13449</v>
      </c>
      <c r="B10700" s="4" t="s">
        <v>13452</v>
      </c>
      <c r="C10700" s="5" t="str">
        <f>IFERROR(__xludf.DUMMYFUNCTION("GOOGLETRANSLATE(B10700,""en"",""de"")"),"Das Individuum löst das Gewicht frei.")</f>
        <v>Das Individuum löst das Gewicht frei.</v>
      </c>
    </row>
    <row r="10701">
      <c r="A10701" s="4" t="s">
        <v>13453</v>
      </c>
      <c r="B10701" s="4" t="s">
        <v>13454</v>
      </c>
      <c r="C10701" s="5" t="str">
        <f>IFERROR(__xludf.DUMMYFUNCTION("GOOGLETRANSLATE(B10701,""en"",""de"")"),"Ein Mann tanzt in einem Raum.")</f>
        <v>Ein Mann tanzt in einem Raum.</v>
      </c>
    </row>
    <row r="10702">
      <c r="A10702" s="4" t="s">
        <v>13453</v>
      </c>
      <c r="B10702" s="4" t="s">
        <v>13455</v>
      </c>
      <c r="C10702" s="5" t="str">
        <f>IFERROR(__xludf.DUMMYFUNCTION("GOOGLETRANSLATE(B10702,""en"",""de"")"),"Er tritt auf einem kleinen schwarzen Sprunghocker auf und ab.")</f>
        <v>Er tritt auf einem kleinen schwarzen Sprunghocker auf und ab.</v>
      </c>
    </row>
    <row r="10703">
      <c r="A10703" s="4" t="s">
        <v>13453</v>
      </c>
      <c r="B10703" s="4" t="s">
        <v>13456</v>
      </c>
      <c r="C10703" s="5" t="str">
        <f>IFERROR(__xludf.DUMMYFUNCTION("GOOGLETRANSLATE(B10703,""en"",""de"")"),"Dann tanzt er mit einer Frau im Raum.")</f>
        <v>Dann tanzt er mit einer Frau im Raum.</v>
      </c>
    </row>
    <row r="10704">
      <c r="A10704" s="4" t="s">
        <v>13457</v>
      </c>
      <c r="B10704" s="4" t="s">
        <v>13458</v>
      </c>
      <c r="C10704" s="5" t="str">
        <f>IFERROR(__xludf.DUMMYFUNCTION("GOOGLETRANSLATE(B10704,""en"",""de"")"),"Der Mensch steht auf einer Rennstrecke bereit, um in der Mitte eines Stadions parallels in Parallelen Gymnastik zu machen.")</f>
        <v>Der Mensch steht auf einer Rennstrecke bereit, um in der Mitte eines Stadions parallels in Parallelen Gymnastik zu machen.</v>
      </c>
    </row>
    <row r="10705">
      <c r="A10705" s="4" t="s">
        <v>13457</v>
      </c>
      <c r="B10705" s="4" t="s">
        <v>13459</v>
      </c>
      <c r="C10705" s="5" t="str">
        <f>IFERROR(__xludf.DUMMYFUNCTION("GOOGLETRANSLATE(B10705,""en"",""de"")"),"Viele Leute sitzen oder gehen auf Ständen.")</f>
        <v>Viele Leute sitzen oder gehen auf Ständen.</v>
      </c>
    </row>
    <row r="10706">
      <c r="A10706" s="4" t="s">
        <v>13457</v>
      </c>
      <c r="B10706" s="4" t="s">
        <v>13460</v>
      </c>
      <c r="C10706" s="5" t="str">
        <f>IFERROR(__xludf.DUMMYFUNCTION("GOOGLETRANSLATE(B10706,""en"",""de"")"),"Der Mann landet im Boden, begrüßt und die Leute begrüßen.")</f>
        <v>Der Mann landet im Boden, begrüßt und die Leute begrüßen.</v>
      </c>
    </row>
    <row r="10707">
      <c r="A10707" s="4" t="s">
        <v>13461</v>
      </c>
      <c r="B10707" s="4" t="s">
        <v>13462</v>
      </c>
      <c r="C10707" s="5" t="str">
        <f>IFERROR(__xludf.DUMMYFUNCTION("GOOGLETRANSLATE(B10707,""en"",""de"")"),"Ein grünes Rennwagen kommt in eine Boxenstopp.")</f>
        <v>Ein grünes Rennwagen kommt in eine Boxenstopp.</v>
      </c>
    </row>
    <row r="10708">
      <c r="A10708" s="4" t="s">
        <v>13461</v>
      </c>
      <c r="B10708" s="4" t="s">
        <v>13463</v>
      </c>
      <c r="C10708" s="5" t="str">
        <f>IFERROR(__xludf.DUMMYFUNCTION("GOOGLETRANSLATE(B10708,""en"",""de"")"),"Der Mann mit der Buchse hebt das Auto hoch.")</f>
        <v>Der Mann mit der Buchse hebt das Auto hoch.</v>
      </c>
    </row>
    <row r="10709">
      <c r="A10709" s="4" t="s">
        <v>13461</v>
      </c>
      <c r="B10709" s="4" t="s">
        <v>13464</v>
      </c>
      <c r="C10709" s="5" t="str">
        <f>IFERROR(__xludf.DUMMYFUNCTION("GOOGLETRANSLATE(B10709,""en"",""de"")"),"Die Boxenbesatzung beginnt am Auto zu arbeiten, indem die vordere und hintere Reifen des Autos wechselt.")</f>
        <v>Die Boxenbesatzung beginnt am Auto zu arbeiten, indem die vordere und hintere Reifen des Autos wechselt.</v>
      </c>
    </row>
    <row r="10710">
      <c r="A10710" s="4" t="s">
        <v>13461</v>
      </c>
      <c r="B10710" s="4" t="s">
        <v>13465</v>
      </c>
      <c r="C10710" s="5" t="str">
        <f>IFERROR(__xludf.DUMMYFUNCTION("GOOGLETRANSLATE(B10710,""en"",""de"")"),"Der Jack -Mann nimmt dann den Jack heraus, als ein Mann in einem rosa Hemd vor die Kamera kommt.")</f>
        <v>Der Jack -Mann nimmt dann den Jack heraus, als ein Mann in einem rosa Hemd vor die Kamera kommt.</v>
      </c>
    </row>
    <row r="10711">
      <c r="A10711" s="4" t="s">
        <v>13466</v>
      </c>
      <c r="B10711" s="4" t="s">
        <v>13467</v>
      </c>
      <c r="C10711" s="5" t="str">
        <f>IFERROR(__xludf.DUMMYFUNCTION("GOOGLETRANSLATE(B10711,""en"",""de"")"),"Ein Mann kniet auf einem Bild, gefolgt von zwei Männern, die sich gegenseitig zueinander beugen.")</f>
        <v>Ein Mann kniet auf einem Bild, gefolgt von zwei Männern, die sich gegenseitig zueinander beugen.</v>
      </c>
    </row>
    <row r="10712">
      <c r="A10712" s="4" t="s">
        <v>13466</v>
      </c>
      <c r="B10712" s="4" t="s">
        <v>13468</v>
      </c>
      <c r="C10712" s="5" t="str">
        <f>IFERROR(__xludf.DUMMYFUNCTION("GOOGLETRANSLATE(B10712,""en"",""de"")"),"Sie beginnen zu ringen und ein Mann drückt den anderen nach unten und ihr Clip wird wieder gezeigt.")</f>
        <v>Sie beginnen zu ringen und ein Mann drückt den anderen nach unten und ihr Clip wird wieder gezeigt.</v>
      </c>
    </row>
    <row r="10713">
      <c r="A10713" s="4" t="s">
        <v>13469</v>
      </c>
      <c r="B10713" s="4" t="s">
        <v>13470</v>
      </c>
      <c r="C10713" s="5" t="str">
        <f>IFERROR(__xludf.DUMMYFUNCTION("GOOGLETRANSLATE(B10713,""en"",""de"")"),"Ein Mann und eine Frau befinden sich in einem Raum mit mehreren Zielen dahinter.")</f>
        <v>Ein Mann und eine Frau befinden sich in einem Raum mit mehreren Zielen dahinter.</v>
      </c>
    </row>
    <row r="10714">
      <c r="A10714" s="4" t="s">
        <v>13469</v>
      </c>
      <c r="B10714" s="4" t="s">
        <v>13471</v>
      </c>
      <c r="C10714" s="5" t="str">
        <f>IFERROR(__xludf.DUMMYFUNCTION("GOOGLETRANSLATE(B10714,""en"",""de"")"),"Die Dame wird dann in einem anderen Raum gezeigt, der die richtige Technik zeigt, um im Bogenschießen effizient zu sein.")</f>
        <v>Die Dame wird dann in einem anderen Raum gezeigt, der die richtige Technik zeigt, um im Bogenschießen effizient zu sein.</v>
      </c>
    </row>
    <row r="10715">
      <c r="A10715" s="4" t="s">
        <v>13469</v>
      </c>
      <c r="B10715" s="4" t="s">
        <v>13472</v>
      </c>
      <c r="C10715" s="5" t="str">
        <f>IFERROR(__xludf.DUMMYFUNCTION("GOOGLETRANSLATE(B10715,""en"",""de"")"),"Zwei Muster geht weiter und dann kommt das Mädchen zurück und wird mit Schleifen hinter ihrem Rücken gezeigt, bevor sie auf ein Ziel an der Wand schießt.")</f>
        <v>Zwei Muster geht weiter und dann kommt das Mädchen zurück und wird mit Schleifen hinter ihrem Rücken gezeigt, bevor sie auf ein Ziel an der Wand schießt.</v>
      </c>
    </row>
    <row r="10716">
      <c r="A10716" s="4" t="s">
        <v>13473</v>
      </c>
      <c r="B10716" s="4" t="s">
        <v>13474</v>
      </c>
      <c r="C10716" s="5" t="str">
        <f>IFERROR(__xludf.DUMMYFUNCTION("GOOGLETRANSLATE(B10716,""en"",""de"")"),"Eine Gruppe von Männern spielt Instrumente außerhalb eines Gebäudes.")</f>
        <v>Eine Gruppe von Männern spielt Instrumente außerhalb eines Gebäudes.</v>
      </c>
    </row>
    <row r="10717">
      <c r="A10717" s="4" t="s">
        <v>13473</v>
      </c>
      <c r="B10717" s="4" t="s">
        <v>13475</v>
      </c>
      <c r="C10717" s="5" t="str">
        <f>IFERROR(__xludf.DUMMYFUNCTION("GOOGLETRANSLATE(B10717,""en"",""de"")"),"Zwei Männer höfen sich voreinander, während sie spielen.")</f>
        <v>Zwei Männer höfen sich voreinander, während sie spielen.</v>
      </c>
    </row>
    <row r="10718">
      <c r="A10718" s="4" t="s">
        <v>13473</v>
      </c>
      <c r="B10718" s="4" t="s">
        <v>13476</v>
      </c>
      <c r="C10718" s="5" t="str">
        <f>IFERROR(__xludf.DUMMYFUNCTION("GOOGLETRANSLATE(B10718,""en"",""de"")"),"Die Männer springen hoch und beginnen Kampfkunstbewegungen umeinander zu machen und simulieren Tritte und Flips.")</f>
        <v>Die Männer springen hoch und beginnen Kampfkunstbewegungen umeinander zu machen und simulieren Tritte und Flips.</v>
      </c>
    </row>
    <row r="10719">
      <c r="A10719" s="4" t="s">
        <v>13477</v>
      </c>
      <c r="B10719" s="4" t="s">
        <v>13478</v>
      </c>
      <c r="C10719" s="5" t="str">
        <f>IFERROR(__xludf.DUMMYFUNCTION("GOOGLETRANSLATE(B10719,""en"",""de"")"),"Ein Mann sitzt auf einer Schüssel vor einer Schüssel, dann zeigt eine Frau Keksteig in Schalen und bewertet dann ein Kochbuch.")</f>
        <v>Ein Mann sitzt auf einer Schüssel vor einer Schüssel, dann zeigt eine Frau Keksteig in Schalen und bewertet dann ein Kochbuch.</v>
      </c>
    </row>
    <row r="10720">
      <c r="A10720" s="4" t="s">
        <v>13477</v>
      </c>
      <c r="B10720" s="4" t="s">
        <v>13479</v>
      </c>
      <c r="C10720" s="5" t="str">
        <f>IFERROR(__xludf.DUMMYFUNCTION("GOOGLETRANSLATE(B10720,""en"",""de"")"),"Dann macht die Frau Teigbälle und Putsision eine Backform, auch ein Teenager macht Teigbälle und steckt eine Backform.")</f>
        <v>Dann macht die Frau Teigbälle und Putsision eine Backform, auch ein Teenager macht Teigbälle und steckt eine Backform.</v>
      </c>
    </row>
    <row r="10721">
      <c r="A10721" s="4" t="s">
        <v>13477</v>
      </c>
      <c r="B10721" s="4" t="s">
        <v>13480</v>
      </c>
      <c r="C10721" s="5" t="str">
        <f>IFERROR(__xludf.DUMMYFUNCTION("GOOGLETRANSLATE(B10721,""en"",""de"")"),"Danach steckte der Mann die Kekse in den Ofen.")</f>
        <v>Danach steckte der Mann die Kekse in den Ofen.</v>
      </c>
    </row>
    <row r="10722">
      <c r="A10722" s="4" t="s">
        <v>13481</v>
      </c>
      <c r="B10722" s="4" t="s">
        <v>13482</v>
      </c>
      <c r="C10722" s="5" t="str">
        <f>IFERROR(__xludf.DUMMYFUNCTION("GOOGLETRANSLATE(B10722,""en"",""de"")"),"Eine große Gruppe von Menschen läuft auf einem Feld und führt in sie ein Feldhockeyspiel.")</f>
        <v>Eine große Gruppe von Menschen läuft auf einem Feld und führt in sie ein Feldhockeyspiel.</v>
      </c>
    </row>
    <row r="10723">
      <c r="A10723" s="4" t="s">
        <v>13481</v>
      </c>
      <c r="B10723" s="4" t="s">
        <v>13483</v>
      </c>
      <c r="C10723" s="5" t="str">
        <f>IFERROR(__xludf.DUMMYFUNCTION("GOOGLETRANSLATE(B10723,""en"",""de"")"),"Das Spiel setzt sich mit Pfeilen fort, die auf verschiedene Spieler hinweisen, sowie auf Schüsse von Menschen, die herunterfallen.")</f>
        <v>Das Spiel setzt sich mit Pfeilen fort, die auf verschiedene Spieler hinweisen, sowie auf Schüsse von Menschen, die herunterfallen.</v>
      </c>
    </row>
    <row r="10724">
      <c r="A10724" s="4" t="s">
        <v>13484</v>
      </c>
      <c r="B10724" s="4" t="s">
        <v>13485</v>
      </c>
      <c r="C10724" s="5" t="str">
        <f>IFERROR(__xludf.DUMMYFUNCTION("GOOGLETRANSLATE(B10724,""en"",""de"")"),"Ein Mann hält den Griff eines Reinigungswerkzeugs.")</f>
        <v>Ein Mann hält den Griff eines Reinigungswerkzeugs.</v>
      </c>
    </row>
    <row r="10725">
      <c r="A10725" s="4" t="s">
        <v>13484</v>
      </c>
      <c r="B10725" s="4" t="s">
        <v>13486</v>
      </c>
      <c r="C10725" s="5" t="str">
        <f>IFERROR(__xludf.DUMMYFUNCTION("GOOGLETRANSLATE(B10725,""en"",""de"")"),"Der Mann reinigt den Küchenboden.")</f>
        <v>Der Mann reinigt den Küchenboden.</v>
      </c>
    </row>
    <row r="10726">
      <c r="A10726" s="4" t="s">
        <v>13484</v>
      </c>
      <c r="B10726" s="4" t="s">
        <v>13487</v>
      </c>
      <c r="C10726" s="5" t="str">
        <f>IFERROR(__xludf.DUMMYFUNCTION("GOOGLETRANSLATE(B10726,""en"",""de"")"),"Eine Dame diskutiert mit dem Mann.")</f>
        <v>Eine Dame diskutiert mit dem Mann.</v>
      </c>
    </row>
    <row r="10727">
      <c r="A10727" s="4" t="s">
        <v>13484</v>
      </c>
      <c r="B10727" s="4" t="s">
        <v>13488</v>
      </c>
      <c r="C10727" s="5" t="str">
        <f>IFERROR(__xludf.DUMMYFUNCTION("GOOGLETRANSLATE(B10727,""en"",""de"")"),"Der Mann nimmt den Mopp aus dem roten Eimer und bewegt den Eimer beiseite.")</f>
        <v>Der Mann nimmt den Mopp aus dem roten Eimer und bewegt den Eimer beiseite.</v>
      </c>
    </row>
    <row r="10728">
      <c r="A10728" s="4" t="s">
        <v>13484</v>
      </c>
      <c r="B10728" s="4" t="s">
        <v>13489</v>
      </c>
      <c r="C10728" s="5" t="str">
        <f>IFERROR(__xludf.DUMMYFUNCTION("GOOGLETRANSLATE(B10728,""en"",""de"")"),"Die Dame steht neben einem Mann.")</f>
        <v>Die Dame steht neben einem Mann.</v>
      </c>
    </row>
    <row r="10729">
      <c r="A10729" s="4" t="s">
        <v>13484</v>
      </c>
      <c r="B10729" s="4" t="s">
        <v>13490</v>
      </c>
      <c r="C10729" s="5" t="str">
        <f>IFERROR(__xludf.DUMMYFUNCTION("GOOGLETRANSLATE(B10729,""en"",""de"")"),"Die Lady trägt mit ihren Händen.")</f>
        <v>Die Lady trägt mit ihren Händen.</v>
      </c>
    </row>
    <row r="10730">
      <c r="A10730" s="4" t="s">
        <v>13484</v>
      </c>
      <c r="B10730" s="4" t="s">
        <v>13491</v>
      </c>
      <c r="C10730" s="5" t="str">
        <f>IFERROR(__xludf.DUMMYFUNCTION("GOOGLETRANSLATE(B10730,""en"",""de"")"),"Der Mann gibt der Dame den Mopp und leert den roten Eimer im Waschbecken.")</f>
        <v>Der Mann gibt der Dame den Mopp und leert den roten Eimer im Waschbecken.</v>
      </c>
    </row>
    <row r="10731">
      <c r="A10731" s="4" t="s">
        <v>13484</v>
      </c>
      <c r="B10731" s="4" t="s">
        <v>13492</v>
      </c>
      <c r="C10731" s="5" t="str">
        <f>IFERROR(__xludf.DUMMYFUNCTION("GOOGLETRANSLATE(B10731,""en"",""de"")"),"Der Mann greift Alkohol, während die Lady Mops.")</f>
        <v>Der Mann greift Alkohol, während die Lady Mops.</v>
      </c>
    </row>
    <row r="10732">
      <c r="A10732" s="4" t="s">
        <v>13484</v>
      </c>
      <c r="B10732" s="4" t="s">
        <v>13493</v>
      </c>
      <c r="C10732" s="5" t="str">
        <f>IFERROR(__xludf.DUMMYFUNCTION("GOOGLETRANSLATE(B10732,""en"",""de"")"),"Der Mann gibt dem Mann den Eimer und den Mop dem Mann.")</f>
        <v>Der Mann gibt dem Mann den Eimer und den Mop dem Mann.</v>
      </c>
    </row>
    <row r="10733">
      <c r="A10733" s="4" t="s">
        <v>13484</v>
      </c>
      <c r="B10733" s="4" t="s">
        <v>13494</v>
      </c>
      <c r="C10733" s="5" t="str">
        <f>IFERROR(__xludf.DUMMYFUNCTION("GOOGLETRANSLATE(B10733,""en"",""de"")"),"Der Mann winkt und begrüßt.")</f>
        <v>Der Mann winkt und begrüßt.</v>
      </c>
    </row>
    <row r="10734">
      <c r="A10734" s="4" t="s">
        <v>13484</v>
      </c>
      <c r="B10734" s="4" t="s">
        <v>13495</v>
      </c>
      <c r="C10734" s="5" t="str">
        <f>IFERROR(__xludf.DUMMYFUNCTION("GOOGLETRANSLATE(B10734,""en"",""de"")"),"Die Dame lacht laut.")</f>
        <v>Die Dame lacht laut.</v>
      </c>
    </row>
    <row r="10735">
      <c r="A10735" s="4" t="s">
        <v>13484</v>
      </c>
      <c r="B10735" s="4" t="s">
        <v>13496</v>
      </c>
      <c r="C10735" s="5" t="str">
        <f>IFERROR(__xludf.DUMMYFUNCTION("GOOGLETRANSLATE(B10735,""en"",""de"")"),"Der Mann wäscht seine Hand.")</f>
        <v>Der Mann wäscht seine Hand.</v>
      </c>
    </row>
    <row r="10736">
      <c r="A10736" s="4" t="s">
        <v>13497</v>
      </c>
      <c r="B10736" s="4" t="s">
        <v>13498</v>
      </c>
      <c r="C10736" s="5" t="str">
        <f>IFERROR(__xludf.DUMMYFUNCTION("GOOGLETRANSLATE(B10736,""en"",""de"")"),"In einem Wohnzimmer wird eine Bar von Trainingsgeräten gezeigt.")</f>
        <v>In einem Wohnzimmer wird eine Bar von Trainingsgeräten gezeigt.</v>
      </c>
    </row>
    <row r="10737">
      <c r="A10737" s="4" t="s">
        <v>13497</v>
      </c>
      <c r="B10737" s="4" t="s">
        <v>13499</v>
      </c>
      <c r="C10737" s="5" t="str">
        <f>IFERROR(__xludf.DUMMYFUNCTION("GOOGLETRANSLATE(B10737,""en"",""de"")"),"Die verschiedenen Details der Ausrüstung werden angezeigt.")</f>
        <v>Die verschiedenen Details der Ausrüstung werden angezeigt.</v>
      </c>
    </row>
    <row r="10738">
      <c r="A10738" s="4" t="s">
        <v>13497</v>
      </c>
      <c r="B10738" s="4" t="s">
        <v>13500</v>
      </c>
      <c r="C10738" s="5" t="str">
        <f>IFERROR(__xludf.DUMMYFUNCTION("GOOGLETRANSLATE(B10738,""en"",""de"")"),"Der Mann hält an der Bar der Maschine fest, als er darüber spricht.")</f>
        <v>Der Mann hält an der Bar der Maschine fest, als er darüber spricht.</v>
      </c>
    </row>
    <row r="10739">
      <c r="A10739" s="4" t="s">
        <v>13501</v>
      </c>
      <c r="B10739" s="4" t="s">
        <v>13502</v>
      </c>
      <c r="C10739" s="5" t="str">
        <f>IFERROR(__xludf.DUMMYFUNCTION("GOOGLETRANSLATE(B10739,""en"",""de"")"),"Eine Nahaufnahme einer Übungsausrüstung wird angezeigt, gefolgt von einem Mann, der in den Rahmen geht, und beginnt die Verwendung der Maschine.")</f>
        <v>Eine Nahaufnahme einer Übungsausrüstung wird angezeigt, gefolgt von einem Mann, der in den Rahmen geht, und beginnt die Verwendung der Maschine.</v>
      </c>
    </row>
    <row r="10740">
      <c r="A10740" s="4" t="s">
        <v>13501</v>
      </c>
      <c r="B10740" s="4" t="s">
        <v>13503</v>
      </c>
      <c r="C10740" s="5" t="str">
        <f>IFERROR(__xludf.DUMMYFUNCTION("GOOGLETRANSLATE(B10740,""en"",""de"")"),"Der Mann bewegt sich zurück und viertens auf der Maschine, während die Kamera seine Bewegungen weiter erfasst.")</f>
        <v>Der Mann bewegt sich zurück und viertens auf der Maschine, während die Kamera seine Bewegungen weiter erfasst.</v>
      </c>
    </row>
    <row r="10741">
      <c r="A10741" s="4" t="s">
        <v>13504</v>
      </c>
      <c r="B10741" s="4" t="s">
        <v>13505</v>
      </c>
      <c r="C10741" s="5" t="str">
        <f>IFERROR(__xludf.DUMMYFUNCTION("GOOGLETRANSLATE(B10741,""en"",""de"")"),"Eine Frau sitzt vor der Kamera und setzt eine Kontaktlinse in die Augen.")</f>
        <v>Eine Frau sitzt vor der Kamera und setzt eine Kontaktlinse in die Augen.</v>
      </c>
    </row>
    <row r="10742">
      <c r="A10742" s="4" t="s">
        <v>13504</v>
      </c>
      <c r="B10742" s="4" t="s">
        <v>13506</v>
      </c>
      <c r="C10742" s="5" t="str">
        <f>IFERROR(__xludf.DUMMYFUNCTION("GOOGLETRANSLATE(B10742,""en"",""de"")"),"Die Frau versucht immer wieder, die Linse in die Augen zu stecken, während sie sich umsah und es erneut versucht.")</f>
        <v>Die Frau versucht immer wieder, die Linse in die Augen zu stecken, während sie sich umsah und es erneut versucht.</v>
      </c>
    </row>
    <row r="10743">
      <c r="A10743" s="4" t="s">
        <v>13504</v>
      </c>
      <c r="B10743" s="4" t="s">
        <v>13507</v>
      </c>
      <c r="C10743" s="5" t="str">
        <f>IFERROR(__xludf.DUMMYFUNCTION("GOOGLETRANSLATE(B10743,""en"",""de"")"),"Sie ist das letzte Mal erfolgreich und zeugt der Kamera.")</f>
        <v>Sie ist das letzte Mal erfolgreich und zeugt der Kamera.</v>
      </c>
    </row>
    <row r="10744">
      <c r="A10744" s="4" t="s">
        <v>13508</v>
      </c>
      <c r="B10744" s="4" t="s">
        <v>13509</v>
      </c>
      <c r="C10744" s="5" t="str">
        <f>IFERROR(__xludf.DUMMYFUNCTION("GOOGLETRANSLATE(B10744,""en"",""de"")"),"Ein großer See ist mit einem Mann zu sehen, der in einer Röhre sitzt, und anderen, die sich in der Gegend umsehen.")</f>
        <v>Ein großer See ist mit einem Mann zu sehen, der in einer Röhre sitzt, und anderen, die sich in der Gegend umsehen.</v>
      </c>
    </row>
    <row r="10745">
      <c r="A10745" s="4" t="s">
        <v>13508</v>
      </c>
      <c r="B10745" s="4" t="s">
        <v>13510</v>
      </c>
      <c r="C10745" s="5" t="str">
        <f>IFERROR(__xludf.DUMMYFUNCTION("GOOGLETRANSLATE(B10745,""en"",""de"")"),"Die Männer stürzen mit einem gegen einen Baumstamm ab und führen in die Röhre, die herumbewegt wird, und die Person, die sich wieder aufsieht.")</f>
        <v>Die Männer stürzen mit einem gegen einen Baumstamm ab und führen in die Röhre, die herumbewegt wird, und die Person, die sich wieder aufsieht.</v>
      </c>
    </row>
    <row r="10746">
      <c r="A10746" s="4" t="s">
        <v>13511</v>
      </c>
      <c r="B10746" s="4" t="s">
        <v>13512</v>
      </c>
      <c r="C10746" s="5" t="str">
        <f>IFERROR(__xludf.DUMMYFUNCTION("GOOGLETRANSLATE(B10746,""en"",""de"")"),"Eine Einführungsanimation wird mit dem Titel des Videos angezeigt.")</f>
        <v>Eine Einführungsanimation wird mit dem Titel des Videos angezeigt.</v>
      </c>
    </row>
    <row r="10747">
      <c r="A10747" s="4" t="s">
        <v>13511</v>
      </c>
      <c r="B10747" s="4" t="s">
        <v>13513</v>
      </c>
      <c r="C10747" s="5" t="str">
        <f>IFERROR(__xludf.DUMMYFUNCTION("GOOGLETRANSLATE(B10747,""en"",""de"")"),"Eine Trainerin in Schweiß gibt einer Gruppe von Schülern in einem Fitnessstudio Anweisungen für eine körperliche Aktivität, indem sie die Routine auswirkt.")</f>
        <v>Eine Trainerin in Schweiß gibt einer Gruppe von Schülern in einem Fitnessstudio Anweisungen für eine körperliche Aktivität, indem sie die Routine auswirkt.</v>
      </c>
    </row>
    <row r="10748">
      <c r="A10748" s="4" t="s">
        <v>13511</v>
      </c>
      <c r="B10748" s="4" t="s">
        <v>13514</v>
      </c>
      <c r="C10748" s="5" t="str">
        <f>IFERROR(__xludf.DUMMYFUNCTION("GOOGLETRANSLATE(B10748,""en"",""de"")"),"Die Schüler ahmen die Anträge der Ausbilder nach.")</f>
        <v>Die Schüler ahmen die Anträge der Ausbilder nach.</v>
      </c>
    </row>
    <row r="10749">
      <c r="A10749" s="4" t="s">
        <v>13511</v>
      </c>
      <c r="B10749" s="4" t="s">
        <v>13515</v>
      </c>
      <c r="C10749" s="5" t="str">
        <f>IFERROR(__xludf.DUMMYFUNCTION("GOOGLETRANSLATE(B10749,""en"",""de"")"),"Der Coach verweist auf verschiedene Bereiche des Fitnessstudio und einzelne Studentengruppen.")</f>
        <v>Der Coach verweist auf verschiedene Bereiche des Fitnessstudio und einzelne Studentengruppen.</v>
      </c>
    </row>
    <row r="10750">
      <c r="A10750" s="4" t="s">
        <v>13511</v>
      </c>
      <c r="B10750" s="4" t="s">
        <v>13516</v>
      </c>
      <c r="C10750" s="5" t="str">
        <f>IFERROR(__xludf.DUMMYFUNCTION("GOOGLETRANSLATE(B10750,""en"",""de"")"),"Ein Student in schwarzen Shorts läuft über das Fitnessstudio.")</f>
        <v>Ein Student in schwarzen Shorts läuft über das Fitnessstudio.</v>
      </c>
    </row>
    <row r="10751">
      <c r="A10751" s="4" t="s">
        <v>13511</v>
      </c>
      <c r="B10751" s="4" t="s">
        <v>13517</v>
      </c>
      <c r="C10751" s="5" t="str">
        <f>IFERROR(__xludf.DUMMYFUNCTION("GOOGLETRANSLATE(B10751,""en"",""de"")"),"Eine Gruppe von Schülern spielt Rockpapier Sissor.")</f>
        <v>Eine Gruppe von Schülern spielt Rockpapier Sissor.</v>
      </c>
    </row>
    <row r="10752">
      <c r="A10752" s="4" t="s">
        <v>13511</v>
      </c>
      <c r="B10752" s="4" t="s">
        <v>13518</v>
      </c>
      <c r="C10752" s="5" t="str">
        <f>IFERROR(__xludf.DUMMYFUNCTION("GOOGLETRANSLATE(B10752,""en"",""de"")"),"Die Schüler rennen um den Umfang des Fitnessstudios zu verschiedenen Stationen.")</f>
        <v>Die Schüler rennen um den Umfang des Fitnessstudios zu verschiedenen Stationen.</v>
      </c>
    </row>
    <row r="10753">
      <c r="A10753" s="4" t="s">
        <v>13511</v>
      </c>
      <c r="B10753" s="4" t="s">
        <v>13519</v>
      </c>
      <c r="C10753" s="5" t="str">
        <f>IFERROR(__xludf.DUMMYFUNCTION("GOOGLETRANSLATE(B10753,""en"",""de"")"),"Ein Schüler, der einen Hut trägt, sitzt auf der Bank und sieht krank aus.")</f>
        <v>Ein Schüler, der einen Hut trägt, sitzt auf der Bank und sieht krank aus.</v>
      </c>
    </row>
    <row r="10754">
      <c r="A10754" s="4" t="s">
        <v>13511</v>
      </c>
      <c r="B10754" s="4" t="s">
        <v>13520</v>
      </c>
      <c r="C10754" s="5" t="str">
        <f>IFERROR(__xludf.DUMMYFUNCTION("GOOGLETRANSLATE(B10754,""en"",""de"")"),"Eine animierte Seite zeigt Credits für das Video.")</f>
        <v>Eine animierte Seite zeigt Credits für das Video.</v>
      </c>
    </row>
    <row r="10755">
      <c r="A10755" s="4" t="s">
        <v>13521</v>
      </c>
      <c r="B10755" s="4" t="s">
        <v>13522</v>
      </c>
      <c r="C10755" s="5" t="str">
        <f>IFERROR(__xludf.DUMMYFUNCTION("GOOGLETRANSLATE(B10755,""en"",""de"")"),"Ein Mädchen tritt vor den Richtern um das Gymnastik der Gewölbe an, während die Zuschauer von den Tribünen beobachten.")</f>
        <v>Ein Mädchen tritt vor den Richtern um das Gymnastik der Gewölbe an, während die Zuschauer von den Tribünen beobachten.</v>
      </c>
    </row>
    <row r="10756">
      <c r="A10756" s="4" t="s">
        <v>13521</v>
      </c>
      <c r="B10756" s="4" t="s">
        <v>13523</v>
      </c>
      <c r="C10756" s="5" t="str">
        <f>IFERROR(__xludf.DUMMYFUNCTION("GOOGLETRANSLATE(B10756,""en"",""de"")"),"Der Turner -Ansatz für ihre Trainer zum Reden und dann gehen sie.")</f>
        <v>Der Turner -Ansatz für ihre Trainer zum Reden und dann gehen sie.</v>
      </c>
    </row>
    <row r="10757">
      <c r="A10757" s="4" t="s">
        <v>13521</v>
      </c>
      <c r="B10757" s="4" t="s">
        <v>13524</v>
      </c>
      <c r="C10757" s="5" t="str">
        <f>IFERROR(__xludf.DUMMYFUNCTION("GOOGLETRANSLATE(B10757,""en"",""de"")"),"Danach ist der Rückblick auf die Leistung des Turners ist Show.")</f>
        <v>Danach ist der Rückblick auf die Leistung des Turners ist Show.</v>
      </c>
    </row>
    <row r="10758">
      <c r="A10758" s="4" t="s">
        <v>13525</v>
      </c>
      <c r="B10758" s="4" t="s">
        <v>13526</v>
      </c>
      <c r="C10758" s="5" t="str">
        <f>IFERROR(__xludf.DUMMYFUNCTION("GOOGLETRANSLATE(B10758,""en"",""de"")"),"Eine große Gruppe von Menschen bewegt sich in einem Raum, der eine Übungsroutine durchführt.")</f>
        <v>Eine große Gruppe von Menschen bewegt sich in einem Raum, der eine Übungsroutine durchführt.</v>
      </c>
    </row>
    <row r="10759">
      <c r="A10759" s="4" t="s">
        <v>13525</v>
      </c>
      <c r="B10759" s="4" t="s">
        <v>13527</v>
      </c>
      <c r="C10759" s="5" t="str">
        <f>IFERROR(__xludf.DUMMYFUNCTION("GOOGLETRANSLATE(B10759,""en"",""de"")"),"Die Leute bewegen sich auf und ab Strahlen, während sie ihre Arme herum bewegen und eine Frau, die vorne führt.")</f>
        <v>Die Leute bewegen sich auf und ab Strahlen, während sie ihre Arme herum bewegen und eine Frau, die vorne führt.</v>
      </c>
    </row>
    <row r="10760">
      <c r="A10760" s="4" t="s">
        <v>13525</v>
      </c>
      <c r="B10760" s="4" t="s">
        <v>13528</v>
      </c>
      <c r="C10760" s="5" t="str">
        <f>IFERROR(__xludf.DUMMYFUNCTION("GOOGLETRANSLATE(B10760,""en"",""de"")"),"Die Gruppe tanzt weiter miteinander und endet mit einer Pose.")</f>
        <v>Die Gruppe tanzt weiter miteinander und endet mit einer Pose.</v>
      </c>
    </row>
    <row r="10761">
      <c r="A10761" s="4" t="s">
        <v>13529</v>
      </c>
      <c r="B10761" s="4" t="s">
        <v>13530</v>
      </c>
      <c r="C10761" s="5" t="str">
        <f>IFERROR(__xludf.DUMMYFUNCTION("GOOGLETRANSLATE(B10761,""en"",""de"")"),"Ein Baby in einem Hut sitzt auf einem Stuhl.")</f>
        <v>Ein Baby in einem Hut sitzt auf einem Stuhl.</v>
      </c>
    </row>
    <row r="10762">
      <c r="A10762" s="4" t="s">
        <v>13529</v>
      </c>
      <c r="B10762" s="4" t="s">
        <v>13531</v>
      </c>
      <c r="C10762" s="5" t="str">
        <f>IFERROR(__xludf.DUMMYFUNCTION("GOOGLETRANSLATE(B10762,""en"",""de"")"),"Ein Mann hält das Baby mit einem Ball.")</f>
        <v>Ein Mann hält das Baby mit einem Ball.</v>
      </c>
    </row>
    <row r="10763">
      <c r="A10763" s="4" t="s">
        <v>13529</v>
      </c>
      <c r="B10763" s="4" t="s">
        <v>13532</v>
      </c>
      <c r="C10763" s="5" t="str">
        <f>IFERROR(__xludf.DUMMYFUNCTION("GOOGLETRANSLATE(B10763,""en"",""de"")"),"Ein Baby schläft auf einer Couch.")</f>
        <v>Ein Baby schläft auf einer Couch.</v>
      </c>
    </row>
    <row r="10764">
      <c r="A10764" s="4" t="s">
        <v>13533</v>
      </c>
      <c r="B10764" s="4" t="s">
        <v>13534</v>
      </c>
      <c r="C10764" s="5" t="str">
        <f>IFERROR(__xludf.DUMMYFUNCTION("GOOGLETRANSLATE(B10764,""en"",""de"")"),"Wir sehen die Titelbildschirme für das Video.")</f>
        <v>Wir sehen die Titelbildschirme für das Video.</v>
      </c>
    </row>
    <row r="10765">
      <c r="A10765" s="4" t="s">
        <v>13533</v>
      </c>
      <c r="B10765" s="4" t="s">
        <v>13535</v>
      </c>
      <c r="C10765" s="5" t="str">
        <f>IFERROR(__xludf.DUMMYFUNCTION("GOOGLETRANSLATE(B10765,""en"",""de"")"),"Wir sehen eine Person Skifahren.")</f>
        <v>Wir sehen eine Person Skifahren.</v>
      </c>
    </row>
    <row r="10766">
      <c r="A10766" s="4" t="s">
        <v>13533</v>
      </c>
      <c r="B10766" s="4" t="s">
        <v>13536</v>
      </c>
      <c r="C10766" s="5" t="str">
        <f>IFERROR(__xludf.DUMMYFUNCTION("GOOGLETRANSLATE(B10766,""en"",""de"")"),"Wir wechseln zu einem Workshop und einer Liste von Tools.")</f>
        <v>Wir wechseln zu einem Workshop und einer Liste von Tools.</v>
      </c>
    </row>
    <row r="10767">
      <c r="A10767" s="4" t="s">
        <v>13533</v>
      </c>
      <c r="B10767" s="4" t="s">
        <v>13537</v>
      </c>
      <c r="C10767" s="5" t="str">
        <f>IFERROR(__xludf.DUMMYFUNCTION("GOOGLETRANSLATE(B10767,""en"",""de"")"),"Wir sehen, dass ein Mann eine Band auf einem Ski fügt und der Ski auf einer Apparat sitzt.")</f>
        <v>Wir sehen, dass ein Mann eine Band auf einem Ski fügt und der Ski auf einer Apparat sitzt.</v>
      </c>
    </row>
    <row r="10768">
      <c r="A10768" s="4" t="s">
        <v>13533</v>
      </c>
      <c r="B10768" s="4" t="s">
        <v>13538</v>
      </c>
      <c r="C10768" s="5" t="str">
        <f>IFERROR(__xludf.DUMMYFUNCTION("GOOGLETRANSLATE(B10768,""en"",""de"")"),"Ein Mann bürstet und reibt den Ski.")</f>
        <v>Ein Mann bürstet und reibt den Ski.</v>
      </c>
    </row>
    <row r="10769">
      <c r="A10769" s="4" t="s">
        <v>13533</v>
      </c>
      <c r="B10769" s="4" t="s">
        <v>13539</v>
      </c>
      <c r="C10769" s="5" t="str">
        <f>IFERROR(__xludf.DUMMYFUNCTION("GOOGLETRANSLATE(B10769,""en"",""de"")"),"Wir sehen farbenfrohes Wachs und einen Mann, der ein Zifferblatt dreht.")</f>
        <v>Wir sehen farbenfrohes Wachs und einen Mann, der ein Zifferblatt dreht.</v>
      </c>
    </row>
    <row r="10770">
      <c r="A10770" s="4" t="s">
        <v>13533</v>
      </c>
      <c r="B10770" s="4" t="s">
        <v>13540</v>
      </c>
      <c r="C10770" s="5" t="str">
        <f>IFERROR(__xludf.DUMMYFUNCTION("GOOGLETRANSLATE(B10770,""en"",""de"")"),"Der Mann gießt Wachs ein und wir erhalten Anweisungen, bevor er das Wachs auf dem Ski iron ist.")</f>
        <v>Der Mann gießt Wachs ein und wir erhalten Anweisungen, bevor er das Wachs auf dem Ski iron ist.</v>
      </c>
    </row>
    <row r="10771">
      <c r="A10771" s="4" t="s">
        <v>13533</v>
      </c>
      <c r="B10771" s="4" t="s">
        <v>13541</v>
      </c>
      <c r="C10771" s="5" t="str">
        <f>IFERROR(__xludf.DUMMYFUNCTION("GOOGLETRANSLATE(B10771,""en"",""de"")"),"Der Mann kratzt das Wachs und streift den Ski.")</f>
        <v>Der Mann kratzt das Wachs und streift den Ski.</v>
      </c>
    </row>
    <row r="10772">
      <c r="A10772" s="4" t="s">
        <v>13533</v>
      </c>
      <c r="B10772" s="4" t="s">
        <v>13542</v>
      </c>
      <c r="C10772" s="5" t="str">
        <f>IFERROR(__xludf.DUMMYFUNCTION("GOOGLETRANSLATE(B10772,""en"",""de"")"),"Wir bekommen eine Ski -Tatsache und die Video -End -Kartenshows.")</f>
        <v>Wir bekommen eine Ski -Tatsache und die Video -End -Kartenshows.</v>
      </c>
    </row>
    <row r="10773">
      <c r="A10773" s="4" t="s">
        <v>13543</v>
      </c>
      <c r="B10773" s="4" t="s">
        <v>13544</v>
      </c>
      <c r="C10773" s="5" t="str">
        <f>IFERROR(__xludf.DUMMYFUNCTION("GOOGLETRANSLATE(B10773,""en"",""de"")"),"Eine Person lässt eine Frisbee in die Ferne und ein Hund, der danach jagt.")</f>
        <v>Eine Person lässt eine Frisbee in die Ferne und ein Hund, der danach jagt.</v>
      </c>
    </row>
    <row r="10774">
      <c r="A10774" s="4" t="s">
        <v>13543</v>
      </c>
      <c r="B10774" s="4" t="s">
        <v>13545</v>
      </c>
      <c r="C10774" s="5" t="str">
        <f>IFERROR(__xludf.DUMMYFUNCTION("GOOGLETRANSLATE(B10774,""en"",""de"")"),"Es werden mehrere Schüsse von Hunden gezeigt, die Frisbees nach dem Unternehmer nach ihnen nachläuft.")</f>
        <v>Es werden mehrere Schüsse von Hunden gezeigt, die Frisbees nach dem Unternehmer nach ihnen nachläuft.</v>
      </c>
    </row>
    <row r="10775">
      <c r="A10775" s="4" t="s">
        <v>13543</v>
      </c>
      <c r="B10775" s="4" t="s">
        <v>13546</v>
      </c>
      <c r="C10775" s="5" t="str">
        <f>IFERROR(__xludf.DUMMYFUNCTION("GOOGLETRANSLATE(B10775,""en"",""de"")"),"Weitere Hunde werden den Frisbees nachjagen, während der Besitzer von hinten zusieht.")</f>
        <v>Weitere Hunde werden den Frisbees nachjagen, während der Besitzer von hinten zusieht.</v>
      </c>
    </row>
    <row r="10776">
      <c r="A10776" s="4" t="s">
        <v>13547</v>
      </c>
      <c r="B10776" s="4" t="s">
        <v>13548</v>
      </c>
      <c r="C10776" s="5" t="str">
        <f>IFERROR(__xludf.DUMMYFUNCTION("GOOGLETRANSLATE(B10776,""en"",""de"")"),"Eine Gruppe von Trainern, Turnen und Eltern stehen in einem Fitnessstudio und sitzen in einem Fitnessstudio, während einige der Turner auftreten oder üben.")</f>
        <v>Eine Gruppe von Trainern, Turnen und Eltern stehen in einem Fitnessstudio und sitzen in einem Fitnessstudio, während einige der Turner auftreten oder üben.</v>
      </c>
    </row>
    <row r="10777">
      <c r="A10777" s="4" t="s">
        <v>13547</v>
      </c>
      <c r="B10777" s="4" t="s">
        <v>13549</v>
      </c>
      <c r="C10777" s="5" t="str">
        <f>IFERROR(__xludf.DUMMYFUNCTION("GOOGLETRANSLATE(B10777,""en"",""de"")"),"Ein junges Mädchen in Lila macht eine Balancestrahlroutine.")</f>
        <v>Ein junges Mädchen in Lila macht eine Balancestrahlroutine.</v>
      </c>
    </row>
    <row r="10778">
      <c r="A10778" s="4" t="s">
        <v>13547</v>
      </c>
      <c r="B10778" s="4" t="s">
        <v>13550</v>
      </c>
      <c r="C10778" s="5" t="str">
        <f>IFERROR(__xludf.DUMMYFUNCTION("GOOGLETRANSLATE(B10778,""en"",""de"")"),"Ein Mädchen im hinteren Boden macht eine Bodenroutine.")</f>
        <v>Ein Mädchen im hinteren Boden macht eine Bodenroutine.</v>
      </c>
    </row>
    <row r="10779">
      <c r="A10779" s="4" t="s">
        <v>13547</v>
      </c>
      <c r="B10779" s="4" t="s">
        <v>13551</v>
      </c>
      <c r="C10779" s="5" t="str">
        <f>IFERROR(__xludf.DUMMYFUNCTION("GOOGLETRANSLATE(B10779,""en"",""de"")"),"Wenn die Bodenroutine beendet, stehen alle Klatschen und mehrere junge Turner auf und gehen herum.")</f>
        <v>Wenn die Bodenroutine beendet, stehen alle Klatschen und mehrere junge Turner auf und gehen herum.</v>
      </c>
    </row>
    <row r="10780">
      <c r="A10780" s="4" t="s">
        <v>13547</v>
      </c>
      <c r="B10780" s="4" t="s">
        <v>13552</v>
      </c>
      <c r="C10780" s="5" t="str">
        <f>IFERROR(__xludf.DUMMYFUNCTION("GOOGLETRANSLATE(B10780,""en"",""de"")"),"Eine Frau hält ein Schild mit der Aufschrift 965.")</f>
        <v>Eine Frau hält ein Schild mit der Aufschrift 965.</v>
      </c>
    </row>
    <row r="10781">
      <c r="A10781" s="4" t="s">
        <v>13547</v>
      </c>
      <c r="B10781" s="4" t="s">
        <v>13553</v>
      </c>
      <c r="C10781" s="5" t="str">
        <f>IFERROR(__xludf.DUMMYFUNCTION("GOOGLETRANSLATE(B10781,""en"",""de"")"),"Das Mädchen auf dem Balancestrahl beendet ihre Routine und geht hinüber und umarmt eine Frau in Lila.")</f>
        <v>Das Mädchen auf dem Balancestrahl beendet ihre Routine und geht hinüber und umarmt eine Frau in Lila.</v>
      </c>
    </row>
    <row r="10782">
      <c r="A10782" s="4" t="s">
        <v>13554</v>
      </c>
      <c r="B10782" s="4" t="s">
        <v>13555</v>
      </c>
      <c r="C10782" s="5" t="str">
        <f>IFERROR(__xludf.DUMMYFUNCTION("GOOGLETRANSLATE(B10782,""en"",""de"")"),"Ein Mann springt auf Stangen und beginnt auf sie zu schwingen.")</f>
        <v>Ein Mann springt auf Stangen und beginnt auf sie zu schwingen.</v>
      </c>
    </row>
    <row r="10783">
      <c r="A10783" s="4" t="s">
        <v>13554</v>
      </c>
      <c r="B10783" s="4" t="s">
        <v>13556</v>
      </c>
      <c r="C10783" s="5" t="str">
        <f>IFERROR(__xludf.DUMMYFUNCTION("GOOGLETRANSLATE(B10783,""en"",""de"")"),"Er macht sie und landet auf einer Matte.")</f>
        <v>Er macht sie und landet auf einer Matte.</v>
      </c>
    </row>
    <row r="10784">
      <c r="A10784" s="4" t="s">
        <v>13557</v>
      </c>
      <c r="B10784" s="4" t="s">
        <v>13558</v>
      </c>
      <c r="C10784" s="5" t="str">
        <f>IFERROR(__xludf.DUMMYFUNCTION("GOOGLETRANSLATE(B10784,""en"",""de"")"),"Eine medizinische Prozession steckt ein Gerät und eine Nadel in ein Gesicht.")</f>
        <v>Eine medizinische Prozession steckt ein Gerät und eine Nadel in ein Gesicht.</v>
      </c>
    </row>
    <row r="10785">
      <c r="A10785" s="4" t="s">
        <v>13557</v>
      </c>
      <c r="B10785" s="4" t="s">
        <v>13559</v>
      </c>
      <c r="C10785" s="5" t="str">
        <f>IFERROR(__xludf.DUMMYFUNCTION("GOOGLETRANSLATE(B10785,""en"",""de"")"),"Es ist eigentlich ein Piercing.")</f>
        <v>Es ist eigentlich ein Piercing.</v>
      </c>
    </row>
    <row r="10786">
      <c r="A10786" s="4" t="s">
        <v>13557</v>
      </c>
      <c r="B10786" s="4" t="s">
        <v>13560</v>
      </c>
      <c r="C10786" s="5" t="str">
        <f>IFERROR(__xludf.DUMMYFUNCTION("GOOGLETRANSLATE(B10786,""en"",""de"")"),"Er reinigt es und dann steht sie auf.")</f>
        <v>Er reinigt es und dann steht sie auf.</v>
      </c>
    </row>
    <row r="10787">
      <c r="A10787" s="4" t="s">
        <v>13561</v>
      </c>
      <c r="B10787" s="4" t="s">
        <v>13562</v>
      </c>
      <c r="C10787" s="5" t="str">
        <f>IFERROR(__xludf.DUMMYFUNCTION("GOOGLETRANSLATE(B10787,""en"",""de"")"),"Eine Gruppe von Fotografen macht Fotos, als ein Gewichtheber auf der Bühne auftaucht und seine Hände vorbereitet.")</f>
        <v>Eine Gruppe von Fotografen macht Fotos, als ein Gewichtheber auf der Bühne auftaucht und seine Hände vorbereitet.</v>
      </c>
    </row>
    <row r="10788">
      <c r="A10788" s="4" t="s">
        <v>13561</v>
      </c>
      <c r="B10788" s="4" t="s">
        <v>13563</v>
      </c>
      <c r="C10788" s="5" t="str">
        <f>IFERROR(__xludf.DUMMYFUNCTION("GOOGLETRANSLATE(B10788,""en"",""de"")"),"Er hebt eine Langhantel an den Knien und macht dann eine Pause an seiner Brust.")</f>
        <v>Er hebt eine Langhantel an den Knien und macht dann eine Pause an seiner Brust.</v>
      </c>
    </row>
    <row r="10789">
      <c r="A10789" s="4" t="s">
        <v>13561</v>
      </c>
      <c r="B10789" s="4" t="s">
        <v>13564</v>
      </c>
      <c r="C10789" s="5" t="str">
        <f>IFERROR(__xludf.DUMMYFUNCTION("GOOGLETRANSLATE(B10789,""en"",""de"")"),"Er hebt die Langhantel über seinen Kopf, bevor er sie zurück auf den Boden fallen lässt.")</f>
        <v>Er hebt die Langhantel über seinen Kopf, bevor er sie zurück auf den Boden fallen lässt.</v>
      </c>
    </row>
    <row r="10790">
      <c r="A10790" s="4" t="s">
        <v>13565</v>
      </c>
      <c r="B10790" s="4" t="s">
        <v>13566</v>
      </c>
      <c r="C10790" s="5" t="str">
        <f>IFERROR(__xludf.DUMMYFUNCTION("GOOGLETRANSLATE(B10790,""en"",""de"")"),"Eine Platte mit Limonadengetränken befindet sich auf einer Oberseite.")</f>
        <v>Eine Platte mit Limonadengetränken befindet sich auf einer Oberseite.</v>
      </c>
    </row>
    <row r="10791">
      <c r="A10791" s="4" t="s">
        <v>13565</v>
      </c>
      <c r="B10791" s="4" t="s">
        <v>13567</v>
      </c>
      <c r="C10791" s="5" t="str">
        <f>IFERROR(__xludf.DUMMYFUNCTION("GOOGLETRANSLATE(B10791,""en"",""de"")"),"Eine Frau drückt eine Zitrone.")</f>
        <v>Eine Frau drückt eine Zitrone.</v>
      </c>
    </row>
    <row r="10792">
      <c r="A10792" s="4" t="s">
        <v>13565</v>
      </c>
      <c r="B10792" s="4" t="s">
        <v>13568</v>
      </c>
      <c r="C10792" s="5" t="str">
        <f>IFERROR(__xludf.DUMMYFUNCTION("GOOGLETRANSLATE(B10792,""en"",""de"")"),"Sie fügt einem großen Krug Zucker hinzu.")</f>
        <v>Sie fügt einem großen Krug Zucker hinzu.</v>
      </c>
    </row>
    <row r="10793">
      <c r="A10793" s="4" t="s">
        <v>13565</v>
      </c>
      <c r="B10793" s="4" t="s">
        <v>13569</v>
      </c>
      <c r="C10793" s="5" t="str">
        <f>IFERROR(__xludf.DUMMYFUNCTION("GOOGLETRANSLATE(B10793,""en"",""de"")"),"Sie rührt den Zucker mit einem großen Holzlöffel.")</f>
        <v>Sie rührt den Zucker mit einem großen Holzlöffel.</v>
      </c>
    </row>
    <row r="10794">
      <c r="A10794" s="4" t="s">
        <v>13565</v>
      </c>
      <c r="B10794" s="4" t="s">
        <v>13570</v>
      </c>
      <c r="C10794" s="5" t="str">
        <f>IFERROR(__xludf.DUMMYFUNCTION("GOOGLETRANSLATE(B10794,""en"",""de"")"),"Sie fügt dem Krug Wasser hinzu, um zu verdünnen.")</f>
        <v>Sie fügt dem Krug Wasser hinzu, um zu verdünnen.</v>
      </c>
    </row>
    <row r="10795">
      <c r="A10795" s="4" t="s">
        <v>13565</v>
      </c>
      <c r="B10795" s="4" t="s">
        <v>13571</v>
      </c>
      <c r="C10795" s="5" t="str">
        <f>IFERROR(__xludf.DUMMYFUNCTION("GOOGLETRANSLATE(B10795,""en"",""de"")"),"Danach fügt sie dem Krug mehr Zucker hinzu.")</f>
        <v>Danach fügt sie dem Krug mehr Zucker hinzu.</v>
      </c>
    </row>
    <row r="10796">
      <c r="A10796" s="4" t="s">
        <v>13565</v>
      </c>
      <c r="B10796" s="4" t="s">
        <v>13572</v>
      </c>
      <c r="C10796" s="5" t="str">
        <f>IFERROR(__xludf.DUMMYFUNCTION("GOOGLETRANSLATE(B10796,""en"",""de"")"),"Sie gießt die fertige Limonade in eine Tasse.")</f>
        <v>Sie gießt die fertige Limonade in eine Tasse.</v>
      </c>
    </row>
    <row r="10797">
      <c r="A10797" s="4" t="s">
        <v>13565</v>
      </c>
      <c r="B10797" s="4" t="s">
        <v>13573</v>
      </c>
      <c r="C10797" s="5" t="str">
        <f>IFERROR(__xludf.DUMMYFUNCTION("GOOGLETRANSLATE(B10797,""en"",""de"")"),"Die Schritte zur Herstellung von Limonade werden erneut dargestellt.")</f>
        <v>Die Schritte zur Herstellung von Limonade werden erneut dargestellt.</v>
      </c>
    </row>
    <row r="10798">
      <c r="A10798" s="4" t="s">
        <v>13574</v>
      </c>
      <c r="B10798" s="4" t="s">
        <v>13575</v>
      </c>
      <c r="C10798" s="5" t="str">
        <f>IFERROR(__xludf.DUMMYFUNCTION("GOOGLETRANSLATE(B10798,""en"",""de"")"),"Eine Gruppe von Leuten, die Skateboards innehat, stehen an der Startlinie, dann Skateboard auf der Straße.")</f>
        <v>Eine Gruppe von Leuten, die Skateboards innehat, stehen an der Startlinie, dann Skateboard auf der Straße.</v>
      </c>
    </row>
    <row r="10799">
      <c r="A10799" s="4" t="s">
        <v>13574</v>
      </c>
      <c r="B10799" s="4" t="s">
        <v>13576</v>
      </c>
      <c r="C10799" s="5" t="str">
        <f>IFERROR(__xludf.DUMMYFUNCTION("GOOGLETRANSLATE(B10799,""en"",""de"")"),"Sie steigen in einen Schulbus, sie Skateboard auf der Straße.")</f>
        <v>Sie steigen in einen Schulbus, sie Skateboard auf der Straße.</v>
      </c>
    </row>
    <row r="10800">
      <c r="A10800" s="4" t="s">
        <v>13574</v>
      </c>
      <c r="B10800" s="4" t="s">
        <v>13577</v>
      </c>
      <c r="C10800" s="5" t="str">
        <f>IFERROR(__xludf.DUMMYFUNCTION("GOOGLETRANSLATE(B10800,""en"",""de"")"),"Ein Junge fällt auf den Boden, und andere Menschen setzen weiterhin Skateboarding.")</f>
        <v>Ein Junge fällt auf den Boden, und andere Menschen setzen weiterhin Skateboarding.</v>
      </c>
    </row>
    <row r="10801">
      <c r="A10801" s="4" t="s">
        <v>13574</v>
      </c>
      <c r="B10801" s="4" t="s">
        <v>13578</v>
      </c>
      <c r="C10801" s="5" t="str">
        <f>IFERROR(__xludf.DUMMYFUNCTION("GOOGLETRANSLATE(B10801,""en"",""de"")"),"Zwei Menschen fallen auf die Straße.")</f>
        <v>Zwei Menschen fallen auf die Straße.</v>
      </c>
    </row>
    <row r="10802">
      <c r="A10802" s="4" t="s">
        <v>13574</v>
      </c>
      <c r="B10802" s="4" t="s">
        <v>13579</v>
      </c>
      <c r="C10802" s="5" t="str">
        <f>IFERROR(__xludf.DUMMYFUNCTION("GOOGLETRANSLATE(B10802,""en"",""de"")"),"Danach startet ein Mann Menschen, die auf der Straße Skateboards bis zur Ziellinie erreichen, um ihre Trophäen zu erhalten.")</f>
        <v>Danach startet ein Mann Menschen, die auf der Straße Skateboards bis zur Ziellinie erreichen, um ihre Trophäen zu erhalten.</v>
      </c>
    </row>
    <row r="10803">
      <c r="A10803" s="4" t="s">
        <v>13574</v>
      </c>
      <c r="B10803" s="4" t="s">
        <v>13580</v>
      </c>
      <c r="C10803" s="5" t="str">
        <f>IFERROR(__xludf.DUMMYFUNCTION("GOOGLETRANSLATE(B10803,""en"",""de"")"),"Eine Person Skateboard springt auf eine Rampe.")</f>
        <v>Eine Person Skateboard springt auf eine Rampe.</v>
      </c>
    </row>
    <row r="10804">
      <c r="A10804" s="4" t="s">
        <v>13581</v>
      </c>
      <c r="B10804" s="4" t="s">
        <v>13582</v>
      </c>
      <c r="C10804" s="5" t="str">
        <f>IFERROR(__xludf.DUMMYFUNCTION("GOOGLETRANSLATE(B10804,""en"",""de"")"),"Eine Frau lächelt, bevor er einen Hügel auf einem Gefangenen hinunterschlitten.")</f>
        <v>Eine Frau lächelt, bevor er einen Hügel auf einem Gefangenen hinunterschlitten.</v>
      </c>
    </row>
    <row r="10805">
      <c r="A10805" s="4" t="s">
        <v>13581</v>
      </c>
      <c r="B10805" s="4" t="s">
        <v>13583</v>
      </c>
      <c r="C10805" s="5" t="str">
        <f>IFERROR(__xludf.DUMMYFUNCTION("GOOGLETRANSLATE(B10805,""en"",""de"")"),"Sie lacht und winkt auf dem Weg den Hügel hinunter in die Kamera.")</f>
        <v>Sie lacht und winkt auf dem Weg den Hügel hinunter in die Kamera.</v>
      </c>
    </row>
    <row r="10806">
      <c r="A10806" s="4" t="s">
        <v>13581</v>
      </c>
      <c r="B10806" s="4" t="s">
        <v>13584</v>
      </c>
      <c r="C10806" s="5" t="str">
        <f>IFERROR(__xludf.DUMMYFUNCTION("GOOGLETRANSLATE(B10806,""en"",""de"")"),"Mehrere Personen werden dann zusammengezogen, bevor sie an einem schneebedeckten Hang zum Stillstand kommen.")</f>
        <v>Mehrere Personen werden dann zusammengezogen, bevor sie an einem schneebedeckten Hang zum Stillstand kommen.</v>
      </c>
    </row>
    <row r="10807">
      <c r="A10807" s="4" t="s">
        <v>13585</v>
      </c>
      <c r="B10807" s="4" t="s">
        <v>13586</v>
      </c>
      <c r="C10807" s="5" t="str">
        <f>IFERROR(__xludf.DUMMYFUNCTION("GOOGLETRANSLATE(B10807,""en"",""de"")"),"Eine große Gruppe von Menschen schwimmt in einem Pool herum, der Wasserball spielt.")</f>
        <v>Eine große Gruppe von Menschen schwimmt in einem Pool herum, der Wasserball spielt.</v>
      </c>
    </row>
    <row r="10808">
      <c r="A10808" s="4" t="s">
        <v>13585</v>
      </c>
      <c r="B10808" s="4" t="s">
        <v>13587</v>
      </c>
      <c r="C10808" s="5" t="str">
        <f>IFERROR(__xludf.DUMMYFUNCTION("GOOGLETRANSLATE(B10808,""en"",""de"")"),"Das Match setzt sich weiter mit Menschen weiter, die den Ball um den Pool vorbeifahren, während viele am Seitenlinien am Rande sitzen und zuschauen.")</f>
        <v>Das Match setzt sich weiter mit Menschen weiter, die den Ball um den Pool vorbeifahren, während viele am Seitenlinien am Rande sitzen und zuschauen.</v>
      </c>
    </row>
    <row r="10809">
      <c r="A10809" s="4" t="s">
        <v>13588</v>
      </c>
      <c r="B10809" s="4" t="s">
        <v>13589</v>
      </c>
      <c r="C10809" s="5" t="str">
        <f>IFERROR(__xludf.DUMMYFUNCTION("GOOGLETRANSLATE(B10809,""en"",""de"")"),"Ein Mann in einem Basketballplatz im Freien erklärt, wie man mit zwei Schritten mit zwei Schritten ein Layup -Bohrer mit Armen, über Hand, Unterhand, rechts und linke Hand macht.")</f>
        <v>Ein Mann in einem Basketballplatz im Freien erklärt, wie man mit zwei Schritten mit zwei Schritten ein Layup -Bohrer mit Armen, über Hand, Unterhand, rechts und linke Hand macht.</v>
      </c>
    </row>
    <row r="10810">
      <c r="A10810" s="4" t="s">
        <v>13588</v>
      </c>
      <c r="B10810" s="4" t="s">
        <v>13590</v>
      </c>
      <c r="C10810" s="5" t="str">
        <f>IFERROR(__xludf.DUMMYFUNCTION("GOOGLETRANSLATE(B10810,""en"",""de"")"),"Anschließend geht er auf dem Platz zu den Hash -Markierungen und zeigt verschiedene Variationen eines Layups aus verschiedenen Entfernungen und wie man die Übungen zur Praxis macht.")</f>
        <v>Anschließend geht er auf dem Platz zu den Hash -Markierungen und zeigt verschiedene Variationen eines Layups aus verschiedenen Entfernungen und wie man die Übungen zur Praxis macht.</v>
      </c>
    </row>
    <row r="10811">
      <c r="A10811" s="4" t="s">
        <v>13588</v>
      </c>
      <c r="B10811" s="4" t="s">
        <v>13591</v>
      </c>
      <c r="C10811" s="5" t="str">
        <f>IFERROR(__xludf.DUMMYFUNCTION("GOOGLETRANSLATE(B10811,""en"",""de"")"),"Dann kommt er zur Kamera zurück und erklärt, was er getan hat.")</f>
        <v>Dann kommt er zur Kamera zurück und erklärt, was er getan hat.</v>
      </c>
    </row>
    <row r="10812">
      <c r="A10812" s="4" t="s">
        <v>13592</v>
      </c>
      <c r="B10812" s="4" t="s">
        <v>13593</v>
      </c>
      <c r="C10812" s="5" t="str">
        <f>IFERROR(__xludf.DUMMYFUNCTION("GOOGLETRANSLATE(B10812,""en"",""de"")"),"Ein Mann spielt das Akkordeon auf einer Bühne vor einem Musikständer, während er eine rote Anzugjacke trägt.")</f>
        <v>Ein Mann spielt das Akkordeon auf einer Bühne vor einem Musikständer, während er eine rote Anzugjacke trägt.</v>
      </c>
    </row>
    <row r="10813">
      <c r="A10813" s="4" t="s">
        <v>13592</v>
      </c>
      <c r="B10813" s="4" t="s">
        <v>13594</v>
      </c>
      <c r="C10813" s="5" t="str">
        <f>IFERROR(__xludf.DUMMYFUNCTION("GOOGLETRANSLATE(B10813,""en"",""de"")"),"Ein Mann sitzt auf einer Bühne auf einem Stuhl und spielt das Akkordeon vor einer Musikstand.")</f>
        <v>Ein Mann sitzt auf einer Bühne auf einem Stuhl und spielt das Akkordeon vor einer Musikstand.</v>
      </c>
    </row>
    <row r="10814">
      <c r="A10814" s="4" t="s">
        <v>13592</v>
      </c>
      <c r="B10814" s="4" t="s">
        <v>13595</v>
      </c>
      <c r="C10814" s="5" t="str">
        <f>IFERROR(__xludf.DUMMYFUNCTION("GOOGLETRANSLATE(B10814,""en"",""de"")"),"Der Mann läuft mit den Fingern die Schlüssel auf und ab und zieht das Akkordeon mit freien Händen auf und schloss, bevor er die Leistung beendet und sich mit seiner Hand die Haare reiet.")</f>
        <v>Der Mann läuft mit den Fingern die Schlüssel auf und ab und zieht das Akkordeon mit freien Händen auf und schloss, bevor er die Leistung beendet und sich mit seiner Hand die Haare reiet.</v>
      </c>
    </row>
    <row r="10815">
      <c r="A10815" s="4" t="s">
        <v>13596</v>
      </c>
      <c r="B10815" s="4" t="s">
        <v>13597</v>
      </c>
      <c r="C10815" s="5" t="str">
        <f>IFERROR(__xludf.DUMMYFUNCTION("GOOGLETRANSLATE(B10815,""en"",""de"")"),"Ein Mann springt auf parallele Bars und macht eine Gymnastikroutine.")</f>
        <v>Ein Mann springt auf parallele Bars und macht eine Gymnastikroutine.</v>
      </c>
    </row>
    <row r="10816">
      <c r="A10816" s="4" t="s">
        <v>13596</v>
      </c>
      <c r="B10816" s="4" t="s">
        <v>13598</v>
      </c>
      <c r="C10816" s="5" t="str">
        <f>IFERROR(__xludf.DUMMYFUNCTION("GOOGLETRANSLATE(B10816,""en"",""de"")"),"Das Publikum beobachtet ihn auf der Tribüne.")</f>
        <v>Das Publikum beobachtet ihn auf der Tribüne.</v>
      </c>
    </row>
    <row r="10817">
      <c r="A10817" s="4" t="s">
        <v>13596</v>
      </c>
      <c r="B10817" s="4" t="s">
        <v>13599</v>
      </c>
      <c r="C10817" s="5" t="str">
        <f>IFERROR(__xludf.DUMMYFUNCTION("GOOGLETRANSLATE(B10817,""en"",""de"")"),"Er springt weg und landet auf der Matte mit erhöhten Händen.")</f>
        <v>Er springt weg und landet auf der Matte mit erhöhten Händen.</v>
      </c>
    </row>
    <row r="10818">
      <c r="A10818" s="4" t="s">
        <v>13600</v>
      </c>
      <c r="B10818" s="4" t="s">
        <v>13601</v>
      </c>
      <c r="C10818" s="5" t="str">
        <f>IFERROR(__xludf.DUMMYFUNCTION("GOOGLETRANSLATE(B10818,""en"",""de"")"),"Ein Turner steht bereit und winkt einen Arm in die Luft.")</f>
        <v>Ein Turner steht bereit und winkt einen Arm in die Luft.</v>
      </c>
    </row>
    <row r="10819">
      <c r="A10819" s="4" t="s">
        <v>13600</v>
      </c>
      <c r="B10819" s="4" t="s">
        <v>13602</v>
      </c>
      <c r="C10819" s="5" t="str">
        <f>IFERROR(__xludf.DUMMYFUNCTION("GOOGLETRANSLATE(B10819,""en"",""de"")"),"Sie springt auf eine Reihe von ungleichmäßigen Bars und führt eine Gymnastikroutine durch, die auf Flips und Tricks besteht.")</f>
        <v>Sie springt auf eine Reihe von ungleichmäßigen Bars und führt eine Gymnastikroutine durch, die auf Flips und Tricks besteht.</v>
      </c>
    </row>
    <row r="10820">
      <c r="A10820" s="4" t="s">
        <v>13600</v>
      </c>
      <c r="B10820" s="4" t="s">
        <v>13603</v>
      </c>
      <c r="C10820" s="5" t="str">
        <f>IFERROR(__xludf.DUMMYFUNCTION("GOOGLETRANSLATE(B10820,""en"",""de"")"),"Sie springt am Ende von den Bars und winkt die Arme in die Luft, während ihr Trainer für sie klatscht.")</f>
        <v>Sie springt am Ende von den Bars und winkt die Arme in die Luft, während ihr Trainer für sie klatscht.</v>
      </c>
    </row>
    <row r="10821">
      <c r="A10821" s="4" t="s">
        <v>13604</v>
      </c>
      <c r="B10821" s="4" t="s">
        <v>13605</v>
      </c>
      <c r="C10821" s="5" t="str">
        <f>IFERROR(__xludf.DUMMYFUNCTION("GOOGLETRANSLATE(B10821,""en"",""de"")"),"Jungs spielen Hockey auf einer Eisarena.")</f>
        <v>Jungs spielen Hockey auf einer Eisarena.</v>
      </c>
    </row>
    <row r="10822">
      <c r="A10822" s="4" t="s">
        <v>13604</v>
      </c>
      <c r="B10822" s="4" t="s">
        <v>13606</v>
      </c>
      <c r="C10822" s="5" t="str">
        <f>IFERROR(__xludf.DUMMYFUNCTION("GOOGLETRANSLATE(B10822,""en"",""de"")"),"Einige Spieler sind angelegt.")</f>
        <v>Einige Spieler sind angelegt.</v>
      </c>
    </row>
    <row r="10823">
      <c r="A10823" s="4" t="s">
        <v>13604</v>
      </c>
      <c r="B10823" s="4" t="s">
        <v>13607</v>
      </c>
      <c r="C10823" s="5" t="str">
        <f>IFERROR(__xludf.DUMMYFUNCTION("GOOGLETRANSLATE(B10823,""en"",""de"")"),"Ein Haufen Spieler lag auf einem gefallenen Athleten.")</f>
        <v>Ein Haufen Spieler lag auf einem gefallenen Athleten.</v>
      </c>
    </row>
    <row r="10824">
      <c r="A10824" s="4" t="s">
        <v>13604</v>
      </c>
      <c r="B10824" s="4" t="s">
        <v>13608</v>
      </c>
      <c r="C10824" s="5" t="str">
        <f>IFERROR(__xludf.DUMMYFUNCTION("GOOGLETRANSLATE(B10824,""en"",""de"")"),"Ein Spieler wird auch auf das Eis und seinen Helm geworfen.")</f>
        <v>Ein Spieler wird auch auf das Eis und seinen Helm geworfen.</v>
      </c>
    </row>
    <row r="10825">
      <c r="A10825" s="4" t="s">
        <v>13604</v>
      </c>
      <c r="B10825" s="4" t="s">
        <v>13609</v>
      </c>
      <c r="C10825" s="5" t="str">
        <f>IFERROR(__xludf.DUMMYFUNCTION("GOOGLETRANSLATE(B10825,""en"",""de"")"),"Ein Mann hat eine Kopfverletzung und blüht nach dem Fall auf dem Eis.")</f>
        <v>Ein Mann hat eine Kopfverletzung und blüht nach dem Fall auf dem Eis.</v>
      </c>
    </row>
    <row r="10826">
      <c r="A10826" s="4" t="s">
        <v>13610</v>
      </c>
      <c r="B10826" s="4" t="s">
        <v>13611</v>
      </c>
      <c r="C10826" s="5" t="str">
        <f>IFERROR(__xludf.DUMMYFUNCTION("GOOGLETRANSLATE(B10826,""en"",""de"")"),"Ein Turner wird gesehen, wie sich über eine lange Bar beugt, mit einer Person neben ihr auf dem Boden.")</f>
        <v>Ein Turner wird gesehen, wie sich über eine lange Bar beugt, mit einer Person neben ihr auf dem Boden.</v>
      </c>
    </row>
    <row r="10827">
      <c r="A10827" s="4" t="s">
        <v>13610</v>
      </c>
      <c r="B10827" s="4" t="s">
        <v>13612</v>
      </c>
      <c r="C10827" s="5" t="str">
        <f>IFERROR(__xludf.DUMMYFUNCTION("GOOGLETRANSLATE(B10827,""en"",""de"")"),"Das Mädchen hüpft sich dann auf den Strahl.")</f>
        <v>Das Mädchen hüpft sich dann auf den Strahl.</v>
      </c>
    </row>
    <row r="10828">
      <c r="A10828" s="4" t="s">
        <v>13610</v>
      </c>
      <c r="B10828" s="4" t="s">
        <v>13613</v>
      </c>
      <c r="C10828" s="5" t="str">
        <f>IFERROR(__xludf.DUMMYFUNCTION("GOOGLETRANSLATE(B10828,""en"",""de"")"),"Schließlich beginnt das Mädchen herumzuschwingen.")</f>
        <v>Schließlich beginnt das Mädchen herumzuschwingen.</v>
      </c>
    </row>
    <row r="10829">
      <c r="A10829" s="4" t="s">
        <v>13614</v>
      </c>
      <c r="B10829" s="4" t="s">
        <v>13615</v>
      </c>
      <c r="C10829" s="5" t="str">
        <f>IFERROR(__xludf.DUMMYFUNCTION("GOOGLETRANSLATE(B10829,""en"",""de"")"),"Eine Gruppe steht an einem Bahnhof.")</f>
        <v>Eine Gruppe steht an einem Bahnhof.</v>
      </c>
    </row>
    <row r="10830">
      <c r="A10830" s="4" t="s">
        <v>13614</v>
      </c>
      <c r="B10830" s="4" t="s">
        <v>13616</v>
      </c>
      <c r="C10830" s="5" t="str">
        <f>IFERROR(__xludf.DUMMYFUNCTION("GOOGLETRANSLATE(B10830,""en"",""de"")"),"Ein Mann schaufelt Schnee aus dem Bürgersteig.")</f>
        <v>Ein Mann schaufelt Schnee aus dem Bürgersteig.</v>
      </c>
    </row>
    <row r="10831">
      <c r="A10831" s="4" t="s">
        <v>13614</v>
      </c>
      <c r="B10831" s="4" t="s">
        <v>13617</v>
      </c>
      <c r="C10831" s="5" t="str">
        <f>IFERROR(__xludf.DUMMYFUNCTION("GOOGLETRANSLATE(B10831,""en"",""de"")"),"Ein Mann im Rollstuhl fährt an einem kalten Wintertag einen Bürgersteig hinunter.")</f>
        <v>Ein Mann im Rollstuhl fährt an einem kalten Wintertag einen Bürgersteig hinunter.</v>
      </c>
    </row>
    <row r="10832">
      <c r="A10832" s="4" t="s">
        <v>13614</v>
      </c>
      <c r="B10832" s="4" t="s">
        <v>13618</v>
      </c>
      <c r="C10832" s="5" t="str">
        <f>IFERROR(__xludf.DUMMYFUNCTION("GOOGLETRANSLATE(B10832,""en"",""de"")"),"Eine Frau in Schneejacke schaufelt Schnee von einem Bürgersteig.")</f>
        <v>Eine Frau in Schneejacke schaufelt Schnee von einem Bürgersteig.</v>
      </c>
    </row>
    <row r="10833">
      <c r="A10833" s="4" t="s">
        <v>13614</v>
      </c>
      <c r="B10833" s="4" t="s">
        <v>13619</v>
      </c>
      <c r="C10833" s="5" t="str">
        <f>IFERROR(__xludf.DUMMYFUNCTION("GOOGLETRANSLATE(B10833,""en"",""de"")"),"Ein Mann bricht mit einem Spaten Eis auf.")</f>
        <v>Ein Mann bricht mit einem Spaten Eis auf.</v>
      </c>
    </row>
    <row r="10834">
      <c r="A10834" s="4" t="s">
        <v>13614</v>
      </c>
      <c r="B10834" s="4" t="s">
        <v>13620</v>
      </c>
      <c r="C10834" s="5" t="str">
        <f>IFERROR(__xludf.DUMMYFUNCTION("GOOGLETRANSLATE(B10834,""en"",""de"")"),"Ein Mann schaufelt Schnee von einem Bürgersteig in einen von Baum ausgekleideten Pflanzer.")</f>
        <v>Ein Mann schaufelt Schnee von einem Bürgersteig in einen von Baum ausgekleideten Pflanzer.</v>
      </c>
    </row>
    <row r="10835">
      <c r="A10835" s="4" t="s">
        <v>13621</v>
      </c>
      <c r="B10835" s="4" t="s">
        <v>13622</v>
      </c>
      <c r="C10835" s="5" t="str">
        <f>IFERROR(__xludf.DUMMYFUNCTION("GOOGLETRANSLATE(B10835,""en"",""de"")"),"Zwei Menschen haben Tennisschläger und schlagen einen Ball in einem kleinen Raum.")</f>
        <v>Zwei Menschen haben Tennisschläger und schlagen einen Ball in einem kleinen Raum.</v>
      </c>
    </row>
    <row r="10836">
      <c r="A10836" s="4" t="s">
        <v>13621</v>
      </c>
      <c r="B10836" s="4" t="s">
        <v>13623</v>
      </c>
      <c r="C10836" s="5" t="str">
        <f>IFERROR(__xludf.DUMMYFUNCTION("GOOGLETRANSLATE(B10836,""en"",""de"")"),"Die Männer schlugen den Ball weiter zurück und vierten zueinander und rennen den Ball durch den Treffer.")</f>
        <v>Die Männer schlugen den Ball weiter zurück und vierten zueinander und rennen den Ball durch den Treffer.</v>
      </c>
    </row>
    <row r="10837">
      <c r="A10837" s="4" t="s">
        <v>13624</v>
      </c>
      <c r="B10837" s="4" t="s">
        <v>13625</v>
      </c>
      <c r="C10837" s="5" t="str">
        <f>IFERROR(__xludf.DUMMYFUNCTION("GOOGLETRANSLATE(B10837,""en"",""de"")"),"Ein Mann steht auf den Feldern und zündet ein Stück Papier an.")</f>
        <v>Ein Mann steht auf den Feldern und zündet ein Stück Papier an.</v>
      </c>
    </row>
    <row r="10838">
      <c r="A10838" s="4" t="s">
        <v>13624</v>
      </c>
      <c r="B10838" s="4" t="s">
        <v>13626</v>
      </c>
      <c r="C10838" s="5" t="str">
        <f>IFERROR(__xludf.DUMMYFUNCTION("GOOGLETRANSLATE(B10838,""en"",""de"")"),"Ein Mann wirft das Stück Papier in Richtung Stapel von Holz und rennt dann.")</f>
        <v>Ein Mann wirft das Stück Papier in Richtung Stapel von Holz und rennt dann.</v>
      </c>
    </row>
    <row r="10839">
      <c r="A10839" s="4" t="s">
        <v>13624</v>
      </c>
      <c r="B10839" s="4" t="s">
        <v>13627</v>
      </c>
      <c r="C10839" s="5" t="str">
        <f>IFERROR(__xludf.DUMMYFUNCTION("GOOGLETRANSLATE(B10839,""en"",""de"")"),"Das Holz fängt in Brand.")</f>
        <v>Das Holz fängt in Brand.</v>
      </c>
    </row>
    <row r="10840">
      <c r="A10840" s="4" t="s">
        <v>13624</v>
      </c>
      <c r="B10840" s="4" t="s">
        <v>13628</v>
      </c>
      <c r="C10840" s="5" t="str">
        <f>IFERROR(__xludf.DUMMYFUNCTION("GOOGLETRANSLATE(B10840,""en"",""de"")"),"Der Typ geht auf einen Mann zu.")</f>
        <v>Der Typ geht auf einen Mann zu.</v>
      </c>
    </row>
    <row r="10841">
      <c r="A10841" s="4" t="s">
        <v>13629</v>
      </c>
      <c r="B10841" s="4" t="s">
        <v>13630</v>
      </c>
      <c r="C10841" s="5" t="str">
        <f>IFERROR(__xludf.DUMMYFUNCTION("GOOGLETRANSLATE(B10841,""en"",""de"")"),"Eine Kamera schwenkt rund um ein Indoor -Fitnessstudio und führt in Klammern von Menschen, die über eine Bar gesprengt werden.")</f>
        <v>Eine Kamera schwenkt rund um ein Indoor -Fitnessstudio und führt in Klammern von Menschen, die über eine Bar gesprengt werden.</v>
      </c>
    </row>
    <row r="10842">
      <c r="A10842" s="4" t="s">
        <v>13629</v>
      </c>
      <c r="B10842" s="4" t="s">
        <v>13631</v>
      </c>
      <c r="C10842" s="5" t="str">
        <f>IFERROR(__xludf.DUMMYFUNCTION("GOOGLETRANSLATE(B10842,""en"",""de"")"),"Mehrere Personen werden mit einem Pol über einem Strahl und auf eine Matte nach dem anderen laufen.")</f>
        <v>Mehrere Personen werden mit einem Pol über einem Strahl und auf eine Matte nach dem anderen laufen.</v>
      </c>
    </row>
    <row r="10843">
      <c r="A10843" s="4" t="s">
        <v>13629</v>
      </c>
      <c r="B10843" s="4" t="s">
        <v>13632</v>
      </c>
      <c r="C10843" s="5" t="str">
        <f>IFERROR(__xludf.DUMMYFUNCTION("GOOGLETRANSLATE(B10843,""en"",""de"")"),"Weitere Menschen ziehen sich an, während andere durch das Fitnessstudio gehen und sie an den Seiten beobachten.")</f>
        <v>Weitere Menschen ziehen sich an, während andere durch das Fitnessstudio gehen und sie an den Seiten beobachten.</v>
      </c>
    </row>
    <row r="10844">
      <c r="A10844" s="4" t="s">
        <v>13633</v>
      </c>
      <c r="B10844" s="4" t="s">
        <v>13634</v>
      </c>
      <c r="C10844" s="5" t="str">
        <f>IFERROR(__xludf.DUMMYFUNCTION("GOOGLETRANSLATE(B10844,""en"",""de"")"),"Das Wort Brenmar befindet sich in der Mitte des Bildschirms und wechselt dann zum Wort Uniiqu3 und Hoola Hoop.")</f>
        <v>Das Wort Brenmar befindet sich in der Mitte des Bildschirms und wechselt dann zum Wort Uniiqu3 und Hoola Hoop.</v>
      </c>
    </row>
    <row r="10845">
      <c r="A10845" s="4" t="s">
        <v>13633</v>
      </c>
      <c r="B10845" s="4" t="s">
        <v>13635</v>
      </c>
      <c r="C10845" s="5" t="str">
        <f>IFERROR(__xludf.DUMMYFUNCTION("GOOGLETRANSLATE(B10845,""en"",""de"")"),"Drei Frauen, die nur Schwarz tragen, stehen ein weißes Hoola -Hoope an ihren Händen.")</f>
        <v>Drei Frauen, die nur Schwarz tragen, stehen ein weißes Hoola -Hoope an ihren Händen.</v>
      </c>
    </row>
    <row r="10846">
      <c r="A10846" s="4" t="s">
        <v>13633</v>
      </c>
      <c r="B10846" s="4" t="s">
        <v>13636</v>
      </c>
      <c r="C10846" s="5" t="str">
        <f>IFERROR(__xludf.DUMMYFUNCTION("GOOGLETRANSLATE(B10846,""en"",""de"")"),"Ein Mann biegt auf dem von Hoola Hoops srrondierten Boden.")</f>
        <v>Ein Mann biegt auf dem von Hoola Hoops srrondierten Boden.</v>
      </c>
    </row>
    <row r="10847">
      <c r="A10847" s="4" t="s">
        <v>13633</v>
      </c>
      <c r="B10847" s="4" t="s">
        <v>13637</v>
      </c>
      <c r="C10847" s="5" t="str">
        <f>IFERROR(__xludf.DUMMYFUNCTION("GOOGLETRANSLATE(B10847,""en"",""de"")"),"Frau, die schwarze Hosen und weißes Hemd trägt, beginnt mit einem Hoola -Hoop zu tanzen.")</f>
        <v>Frau, die schwarze Hosen und weißes Hemd trägt, beginnt mit einem Hoola -Hoop zu tanzen.</v>
      </c>
    </row>
    <row r="10848">
      <c r="A10848" s="4" t="s">
        <v>13633</v>
      </c>
      <c r="B10848" s="4" t="s">
        <v>13638</v>
      </c>
      <c r="C10848" s="5" t="str">
        <f>IFERROR(__xludf.DUMMYFUNCTION("GOOGLETRANSLATE(B10848,""en"",""de"")"),"Die zweite Frau mit gelben Haaren tanzt zwei Personen, und eine Reihe tanzender Frauen erscheint mit einem Hoola -Hoop Tricks, während der Mann sie beobachtet. Frau mit grüner Jacke singt den Song.")</f>
        <v>Die zweite Frau mit gelben Haaren tanzt zwei Personen, und eine Reihe tanzender Frauen erscheint mit einem Hoola -Hoop Tricks, während der Mann sie beobachtet. Frau mit grüner Jacke singt den Song.</v>
      </c>
    </row>
    <row r="10849">
      <c r="A10849" s="4" t="s">
        <v>13633</v>
      </c>
      <c r="B10849" s="4" t="s">
        <v>13639</v>
      </c>
      <c r="C10849" s="5" t="str">
        <f>IFERROR(__xludf.DUMMYFUNCTION("GOOGLETRANSLATE(B10849,""en"",""de"")"),"Frauen erscheint in einem dunklen Raum mit brillanten Hoola -Hoops, die tanzen und Tricks machen, Frau mit gelbem Haar tanzt weiter alleine.")</f>
        <v>Frauen erscheint in einem dunklen Raum mit brillanten Hoola -Hoops, die tanzen und Tricks machen, Frau mit gelbem Haar tanzt weiter alleine.</v>
      </c>
    </row>
    <row r="10850">
      <c r="A10850" s="4" t="s">
        <v>13640</v>
      </c>
      <c r="B10850" s="4" t="s">
        <v>13641</v>
      </c>
      <c r="C10850" s="5" t="str">
        <f>IFERROR(__xludf.DUMMYFUNCTION("GOOGLETRANSLATE(B10850,""en"",""de"")"),"Der Mann im schwarzen Hemd kniet und griff nach seinem Hinterbein.")</f>
        <v>Der Mann im schwarzen Hemd kniet und griff nach seinem Hinterbein.</v>
      </c>
    </row>
    <row r="10851">
      <c r="A10851" s="4" t="s">
        <v>13640</v>
      </c>
      <c r="B10851" s="4" t="s">
        <v>13642</v>
      </c>
      <c r="C10851" s="5" t="str">
        <f>IFERROR(__xludf.DUMMYFUNCTION("GOOGLETRANSLATE(B10851,""en"",""de"")"),"Der Mann bewegte sich leicht vorwärts.")</f>
        <v>Der Mann bewegte sich leicht vorwärts.</v>
      </c>
    </row>
    <row r="10852">
      <c r="A10852" s="4" t="s">
        <v>13640</v>
      </c>
      <c r="B10852" s="4" t="s">
        <v>13643</v>
      </c>
      <c r="C10852" s="5" t="str">
        <f>IFERROR(__xludf.DUMMYFUNCTION("GOOGLETRANSLATE(B10852,""en"",""de"")"),"Der Mann hielt vor, während er seinen Knöchel hält.")</f>
        <v>Der Mann hielt vor, während er seinen Knöchel hält.</v>
      </c>
    </row>
    <row r="10853">
      <c r="A10853" s="4" t="s">
        <v>13644</v>
      </c>
      <c r="B10853" s="4" t="s">
        <v>13645</v>
      </c>
      <c r="C10853" s="5" t="str">
        <f>IFERROR(__xludf.DUMMYFUNCTION("GOOGLETRANSLATE(B10853,""en"",""de"")"),"Dieser Mann fährt Wasserski und setzt sich hin und steht auf, außer dass er sich an den Griffstangen nach hinten hält.")</f>
        <v>Dieser Mann fährt Wasserski und setzt sich hin und steht auf, außer dass er sich an den Griffstangen nach hinten hält.</v>
      </c>
    </row>
    <row r="10854">
      <c r="A10854" s="4" t="s">
        <v>13644</v>
      </c>
      <c r="B10854" s="4" t="s">
        <v>13646</v>
      </c>
      <c r="C10854" s="5" t="str">
        <f>IFERROR(__xludf.DUMMYFUNCTION("GOOGLETRANSLATE(B10854,""en"",""de"")"),"Während er Skifahren macht, versucht er, wie gewohnt nach vorne zu stehen, aber er fliegt, wenn er versucht, sich umzudrehen.")</f>
        <v>Während er Skifahren macht, versucht er, wie gewohnt nach vorne zu stehen, aber er fliegt, wenn er versucht, sich umzudrehen.</v>
      </c>
    </row>
    <row r="10855">
      <c r="A10855" s="4" t="s">
        <v>13647</v>
      </c>
      <c r="B10855" s="4" t="s">
        <v>13648</v>
      </c>
      <c r="C10855" s="5" t="str">
        <f>IFERROR(__xludf.DUMMYFUNCTION("GOOGLETRANSLATE(B10855,""en"",""de"")"),"Eine Person schaufelt Schnee von ihrem Bürgersteig.")</f>
        <v>Eine Person schaufelt Schnee von ihrem Bürgersteig.</v>
      </c>
    </row>
    <row r="10856">
      <c r="A10856" s="4" t="s">
        <v>13647</v>
      </c>
      <c r="B10856" s="4" t="s">
        <v>13649</v>
      </c>
      <c r="C10856" s="5" t="str">
        <f>IFERROR(__xludf.DUMMYFUNCTION("GOOGLETRANSLATE(B10856,""en"",""de"")"),"Ein Hund springt in den Schnee, den er wirft.")</f>
        <v>Ein Hund springt in den Schnee, den er wirft.</v>
      </c>
    </row>
    <row r="10857">
      <c r="A10857" s="4" t="s">
        <v>13647</v>
      </c>
      <c r="B10857" s="4" t="s">
        <v>13650</v>
      </c>
      <c r="C10857" s="5" t="str">
        <f>IFERROR(__xludf.DUMMYFUNCTION("GOOGLETRANSLATE(B10857,""en"",""de"")"),"Wörter kommen auf den Bildschirm.")</f>
        <v>Wörter kommen auf den Bildschirm.</v>
      </c>
    </row>
    <row r="10858">
      <c r="A10858" s="4" t="s">
        <v>13651</v>
      </c>
      <c r="B10858" s="4" t="s">
        <v>13652</v>
      </c>
      <c r="C10858" s="5" t="str">
        <f>IFERROR(__xludf.DUMMYFUNCTION("GOOGLETRANSLATE(B10858,""en"",""de"")"),"Ein Mann, der sich gegenüber einer Kamera gegenüber verrückt handelt, während er mit einem anderen Mann an einem Pokertisch sitzt.")</f>
        <v>Ein Mann, der sich gegenüber einer Kamera gegenüber verrückt handelt, während er mit einem anderen Mann an einem Pokertisch sitzt.</v>
      </c>
    </row>
    <row r="10859">
      <c r="A10859" s="4" t="s">
        <v>13651</v>
      </c>
      <c r="B10859" s="4" t="s">
        <v>13653</v>
      </c>
      <c r="C10859" s="5" t="str">
        <f>IFERROR(__xludf.DUMMYFUNCTION("GOOGLETRANSLATE(B10859,""en"",""de"")"),"Die Männer stecken ihre Zungen in die Kamera und die Kamera bewegt sich auf einen anderen Tisch, wenn Leute spielen.")</f>
        <v>Die Männer stecken ihre Zungen in die Kamera und die Kamera bewegt sich auf einen anderen Tisch, wenn Leute spielen.</v>
      </c>
    </row>
    <row r="10860">
      <c r="A10860" s="4" t="s">
        <v>13651</v>
      </c>
      <c r="B10860" s="4" t="s">
        <v>13654</v>
      </c>
      <c r="C10860" s="5" t="str">
        <f>IFERROR(__xludf.DUMMYFUNCTION("GOOGLETRANSLATE(B10860,""en"",""de"")"),"Am Ende steht er der Kamera zu sich selbst.")</f>
        <v>Am Ende steht er der Kamera zu sich selbst.</v>
      </c>
    </row>
    <row r="10861">
      <c r="A10861" s="4" t="s">
        <v>13655</v>
      </c>
      <c r="B10861" s="4" t="s">
        <v>13656</v>
      </c>
      <c r="C10861" s="5" t="str">
        <f>IFERROR(__xludf.DUMMYFUNCTION("GOOGLETRANSLATE(B10861,""en"",""de"")"),"Ein Teenager hält eine Geige und spielt dann auf anderen Teenagern, die sprechen und lachen.")</f>
        <v>Ein Teenager hält eine Geige und spielt dann auf anderen Teenagern, die sprechen und lachen.</v>
      </c>
    </row>
    <row r="10862">
      <c r="A10862" s="4" t="s">
        <v>13655</v>
      </c>
      <c r="B10862" s="4" t="s">
        <v>13657</v>
      </c>
      <c r="C10862" s="5" t="str">
        <f>IFERROR(__xludf.DUMMYFUNCTION("GOOGLETRANSLATE(B10862,""en"",""de"")"),"Jugendliche reden und machen Kommentare und eine Frau zum Lachen.")</f>
        <v>Jugendliche reden und machen Kommentare und eine Frau zum Lachen.</v>
      </c>
    </row>
    <row r="10863">
      <c r="A10863" s="4" t="s">
        <v>13655</v>
      </c>
      <c r="B10863" s="4" t="s">
        <v>13658</v>
      </c>
      <c r="C10863" s="5" t="str">
        <f>IFERROR(__xludf.DUMMYFUNCTION("GOOGLETRANSLATE(B10863,""en"",""de"")"),"Dann applaudiert die Leute im Raum.")</f>
        <v>Dann applaudiert die Leute im Raum.</v>
      </c>
    </row>
    <row r="10864">
      <c r="A10864" s="4" t="s">
        <v>13659</v>
      </c>
      <c r="B10864" s="4" t="s">
        <v>13660</v>
      </c>
      <c r="C10864" s="5" t="str">
        <f>IFERROR(__xludf.DUMMYFUNCTION("GOOGLETRANSLATE(B10864,""en"",""de"")"),"Zwei Frauen, die in der Küche stehen, trägt ein schwarzes Oberteil und das andere trägt ein beige Oberteil.")</f>
        <v>Zwei Frauen, die in der Küche stehen, trägt ein schwarzes Oberteil und das andere trägt ein beige Oberteil.</v>
      </c>
    </row>
    <row r="10865">
      <c r="A10865" s="4" t="s">
        <v>13659</v>
      </c>
      <c r="B10865" s="4" t="s">
        <v>13661</v>
      </c>
      <c r="C10865" s="5" t="str">
        <f>IFERROR(__xludf.DUMMYFUNCTION("GOOGLETRANSLATE(B10865,""en"",""de"")"),"Die Frau in Beige zeigte ein Sandwich an der Küchentheke und begann dann mit einem Schäler die grüne Gurke zu pinkeln und dann die Gurke zu schneiden.")</f>
        <v>Die Frau in Beige zeigte ein Sandwich an der Küchentheke und begann dann mit einem Schäler die grüne Gurke zu pinkeln und dann die Gurke zu schneiden.</v>
      </c>
    </row>
    <row r="10866">
      <c r="A10866" s="4" t="s">
        <v>13659</v>
      </c>
      <c r="B10866" s="4" t="s">
        <v>13662</v>
      </c>
      <c r="C10866" s="5" t="str">
        <f>IFERROR(__xludf.DUMMYFUNCTION("GOOGLETRANSLATE(B10866,""en"",""de"")"),"Dann breitete sie Butter auf das Brot, legte die geschnittene Gurke auf das Brot, strahlte etwas Salz, schnitt die Ränder des Brotes in Dreieck und legte dann auf den weißen Teller, dann aßen beide Frauen das Sandwich.")</f>
        <v>Dann breitete sie Butter auf das Brot, legte die geschnittene Gurke auf das Brot, strahlte etwas Salz, schnitt die Ränder des Brotes in Dreieck und legte dann auf den weißen Teller, dann aßen beide Frauen das Sandwich.</v>
      </c>
    </row>
    <row r="10867">
      <c r="A10867" s="4" t="s">
        <v>13663</v>
      </c>
      <c r="B10867" s="4" t="s">
        <v>13664</v>
      </c>
      <c r="C10867" s="5" t="str">
        <f>IFERROR(__xludf.DUMMYFUNCTION("GOOGLETRANSLATE(B10867,""en"",""de"")"),"Ein kleines Kind ist gesehen, wie er mit einem Stock in der Hand nach vorne geht und einen Puck auf eine Strecke drückt.")</f>
        <v>Ein kleines Kind ist gesehen, wie er mit einem Stock in der Hand nach vorne geht und einen Puck auf eine Strecke drückt.</v>
      </c>
    </row>
    <row r="10868">
      <c r="A10868" s="4" t="s">
        <v>13663</v>
      </c>
      <c r="B10868" s="4" t="s">
        <v>13665</v>
      </c>
      <c r="C10868" s="5" t="str">
        <f>IFERROR(__xludf.DUMMYFUNCTION("GOOGLETRANSLATE(B10868,""en"",""de"")"),"Er geht zurück, während ein anderer Junge den Puck trifft und mehrere Leute am Rande zuschauen.")</f>
        <v>Er geht zurück, während ein anderer Junge den Puck trifft und mehrere Leute am Rande zuschauen.</v>
      </c>
    </row>
    <row r="10869">
      <c r="A10869" s="4" t="s">
        <v>13663</v>
      </c>
      <c r="B10869" s="4" t="s">
        <v>13666</v>
      </c>
      <c r="C10869" s="5" t="str">
        <f>IFERROR(__xludf.DUMMYFUNCTION("GOOGLETRANSLATE(B10869,""en"",""de"")"),"Der kleine Junge geht weiterhin zurück und viertens.")</f>
        <v>Der kleine Junge geht weiterhin zurück und viertens.</v>
      </c>
    </row>
    <row r="10870">
      <c r="A10870" s="4" t="s">
        <v>13667</v>
      </c>
      <c r="B10870" s="4" t="s">
        <v>13668</v>
      </c>
      <c r="C10870" s="5" t="str">
        <f>IFERROR(__xludf.DUMMYFUNCTION("GOOGLETRANSLATE(B10870,""en"",""de"")"),"Ein Mann spricht mit der Kamera, gefolgt von verschiedenen Zutaten angelegt und er hackt Gemüse.")</f>
        <v>Ein Mann spricht mit der Kamera, gefolgt von verschiedenen Zutaten angelegt und er hackt Gemüse.</v>
      </c>
    </row>
    <row r="10871">
      <c r="A10871" s="4" t="s">
        <v>13667</v>
      </c>
      <c r="B10871" s="4" t="s">
        <v>13669</v>
      </c>
      <c r="C10871" s="5" t="str">
        <f>IFERROR(__xludf.DUMMYFUNCTION("GOOGLETRANSLATE(B10871,""en"",""de"")"),"Der Mann schneidet weiter und mischt die Zutaten in eine Schüssel.")</f>
        <v>Der Mann schneidet weiter und mischt die Zutaten in eine Schüssel.</v>
      </c>
    </row>
    <row r="10872">
      <c r="A10872" s="4" t="s">
        <v>13667</v>
      </c>
      <c r="B10872" s="4" t="s">
        <v>13670</v>
      </c>
      <c r="C10872" s="5" t="str">
        <f>IFERROR(__xludf.DUMMYFUNCTION("GOOGLETRANSLATE(B10872,""en"",""de"")"),"Er gießt Flüssigkeit in die Schüssel und endet, indem er sie auf einem Teller präsentiert.")</f>
        <v>Er gießt Flüssigkeit in die Schüssel und endet, indem er sie auf einem Teller präsentiert.</v>
      </c>
    </row>
    <row r="10873">
      <c r="A10873" s="4" t="s">
        <v>13671</v>
      </c>
      <c r="B10873" s="4" t="s">
        <v>13672</v>
      </c>
      <c r="C10873" s="5" t="str">
        <f>IFERROR(__xludf.DUMMYFUNCTION("GOOGLETRANSLATE(B10873,""en"",""de"")"),"Ein Video des Swan Lake Ballet wird gezeigt.")</f>
        <v>Ein Video des Swan Lake Ballet wird gezeigt.</v>
      </c>
    </row>
    <row r="10874">
      <c r="A10874" s="4" t="s">
        <v>13671</v>
      </c>
      <c r="B10874" s="4" t="s">
        <v>13673</v>
      </c>
      <c r="C10874" s="5" t="str">
        <f>IFERROR(__xludf.DUMMYFUNCTION("GOOGLETRANSLATE(B10874,""en"",""de"")"),"Sie führen die Tat aus und interviewen einige der Besetzung.")</f>
        <v>Sie führen die Tat aus und interviewen einige der Besetzung.</v>
      </c>
    </row>
    <row r="10875">
      <c r="A10875" s="4" t="s">
        <v>13674</v>
      </c>
      <c r="B10875" s="4" t="s">
        <v>13675</v>
      </c>
      <c r="C10875" s="5" t="str">
        <f>IFERROR(__xludf.DUMMYFUNCTION("GOOGLETRANSLATE(B10875,""en"",""de"")"),"Das Video führt zu mehreren Schüssen von Hunden, die herumlaufen und zu einer Frau führt, die ein Hundefell streichelt.")</f>
        <v>Das Video führt zu mehreren Schüssen von Hunden, die herumlaufen und zu einer Frau führt, die ein Hundefell streichelt.</v>
      </c>
    </row>
    <row r="10876">
      <c r="A10876" s="4" t="s">
        <v>13674</v>
      </c>
      <c r="B10876" s="4" t="s">
        <v>13676</v>
      </c>
      <c r="C10876" s="5" t="str">
        <f>IFERROR(__xludf.DUMMYFUNCTION("GOOGLETRANSLATE(B10876,""en"",""de"")"),"Die Frau bürstet weiter und zeigt Clips des Hundes entlang eines Parks.")</f>
        <v>Die Frau bürstet weiter und zeigt Clips des Hundes entlang eines Parks.</v>
      </c>
    </row>
    <row r="10877">
      <c r="A10877" s="4" t="s">
        <v>13677</v>
      </c>
      <c r="B10877" s="4" t="s">
        <v>13678</v>
      </c>
      <c r="C10877" s="5" t="str">
        <f>IFERROR(__xludf.DUMMYFUNCTION("GOOGLETRANSLATE(B10877,""en"",""de"")"),"Zwei erwachsene Männer in Helmen bringen kleine Jungen bei, wie man Eishockey spielt.")</f>
        <v>Zwei erwachsene Männer in Helmen bringen kleine Jungen bei, wie man Eishockey spielt.</v>
      </c>
    </row>
    <row r="10878">
      <c r="A10878" s="4" t="s">
        <v>13677</v>
      </c>
      <c r="B10878" s="4" t="s">
        <v>13679</v>
      </c>
      <c r="C10878" s="5" t="str">
        <f>IFERROR(__xludf.DUMMYFUNCTION("GOOGLETRANSLATE(B10878,""en"",""de"")"),"Die Jungen versammeln sich im Kreis und schlagen ihre Stöcke auf den Boden.")</f>
        <v>Die Jungen versammeln sich im Kreis und schlagen ihre Stöcke auf den Boden.</v>
      </c>
    </row>
    <row r="10879">
      <c r="A10879" s="4" t="s">
        <v>13677</v>
      </c>
      <c r="B10879" s="4" t="s">
        <v>13680</v>
      </c>
      <c r="C10879" s="5" t="str">
        <f>IFERROR(__xludf.DUMMYFUNCTION("GOOGLETRANSLATE(B10879,""en"",""de"")"),"Dann jubeln sie und feuchten weg.")</f>
        <v>Dann jubeln sie und feuchten weg.</v>
      </c>
    </row>
    <row r="10880">
      <c r="A10880" s="4" t="s">
        <v>13681</v>
      </c>
      <c r="B10880" s="4" t="s">
        <v>13682</v>
      </c>
      <c r="C10880" s="5" t="str">
        <f>IFERROR(__xludf.DUMMYFUNCTION("GOOGLETRANSLATE(B10880,""en"",""de"")"),"Eine Frau in einem weißen Kleid beginnt einen Rasenmäher.")</f>
        <v>Eine Frau in einem weißen Kleid beginnt einen Rasenmäher.</v>
      </c>
    </row>
    <row r="10881">
      <c r="A10881" s="4" t="s">
        <v>13681</v>
      </c>
      <c r="B10881" s="4" t="s">
        <v>13683</v>
      </c>
      <c r="C10881" s="5" t="str">
        <f>IFERROR(__xludf.DUMMYFUNCTION("GOOGLETRANSLATE(B10881,""en"",""de"")"),"Sie beginnt den Rasen zu mähen.")</f>
        <v>Sie beginnt den Rasen zu mähen.</v>
      </c>
    </row>
    <row r="10882">
      <c r="A10882" s="4" t="s">
        <v>13681</v>
      </c>
      <c r="B10882" s="4" t="s">
        <v>13684</v>
      </c>
      <c r="C10882" s="5" t="str">
        <f>IFERROR(__xludf.DUMMYFUNCTION("GOOGLETRANSLATE(B10882,""en"",""de"")"),"Sie dreht sich um und geht in die andere Richtung zurück.")</f>
        <v>Sie dreht sich um und geht in die andere Richtung zurück.</v>
      </c>
    </row>
    <row r="10883">
      <c r="A10883" s="4" t="s">
        <v>13685</v>
      </c>
      <c r="B10883" s="4" t="s">
        <v>13686</v>
      </c>
      <c r="C10883" s="5" t="str">
        <f>IFERROR(__xludf.DUMMYFUNCTION("GOOGLETRANSLATE(B10883,""en"",""de"")"),"Ein Mann steht auf einem Feld und beginnt ein Objekt um und herum zu schwingen.")</f>
        <v>Ein Mann steht auf einem Feld und beginnt ein Objekt um und herum zu schwingen.</v>
      </c>
    </row>
    <row r="10884">
      <c r="A10884" s="4" t="s">
        <v>13685</v>
      </c>
      <c r="B10884" s="4" t="s">
        <v>13687</v>
      </c>
      <c r="C10884" s="5" t="str">
        <f>IFERROR(__xludf.DUMMYFUNCTION("GOOGLETRANSLATE(B10884,""en"",""de"")"),"Er schwingt weiter und endet damit, auf dem Feld zu stehen.")</f>
        <v>Er schwingt weiter und endet damit, auf dem Feld zu stehen.</v>
      </c>
    </row>
    <row r="10885">
      <c r="A10885" s="4" t="s">
        <v>13688</v>
      </c>
      <c r="B10885" s="4" t="s">
        <v>13689</v>
      </c>
      <c r="C10885" s="5" t="str">
        <f>IFERROR(__xludf.DUMMYFUNCTION("GOOGLETRANSLATE(B10885,""en"",""de"")"),"Ein Schild besagt, dass Superfresco auf dem Bildschirm einfach ist.")</f>
        <v>Ein Schild besagt, dass Superfresco auf dem Bildschirm einfach ist.</v>
      </c>
    </row>
    <row r="10886">
      <c r="A10886" s="4" t="s">
        <v>13688</v>
      </c>
      <c r="B10886" s="4" t="s">
        <v>13690</v>
      </c>
      <c r="C10886" s="5" t="str">
        <f>IFERROR(__xludf.DUMMYFUNCTION("GOOGLETRANSLATE(B10886,""en"",""de"")"),"Ein Mann wird gezeigt, der eine Wand mit grauer Farbe malt.")</f>
        <v>Ein Mann wird gezeigt, der eine Wand mit grauer Farbe malt.</v>
      </c>
    </row>
    <row r="10887">
      <c r="A10887" s="4" t="s">
        <v>13688</v>
      </c>
      <c r="B10887" s="4" t="s">
        <v>13691</v>
      </c>
      <c r="C10887" s="5" t="str">
        <f>IFERROR(__xludf.DUMMYFUNCTION("GOOGLETRANSLATE(B10887,""en"",""de"")"),"Er benutzt breite Sweeps, um die Wand vollständig zu bedecken.")</f>
        <v>Er benutzt breite Sweeps, um die Wand vollständig zu bedecken.</v>
      </c>
    </row>
    <row r="10888">
      <c r="A10888" s="4" t="s">
        <v>13692</v>
      </c>
      <c r="B10888" s="4" t="s">
        <v>13693</v>
      </c>
      <c r="C10888" s="5" t="str">
        <f>IFERROR(__xludf.DUMMYFUNCTION("GOOGLETRANSLATE(B10888,""en"",""de"")"),"Aus der Innenseite eines Stadions sind mehrere Ansichten aus zu sehen.")</f>
        <v>Aus der Innenseite eines Stadions sind mehrere Ansichten aus zu sehen.</v>
      </c>
    </row>
    <row r="10889">
      <c r="A10889" s="4" t="s">
        <v>13692</v>
      </c>
      <c r="B10889" s="4" t="s">
        <v>13694</v>
      </c>
      <c r="C10889" s="5" t="str">
        <f>IFERROR(__xludf.DUMMYFUNCTION("GOOGLETRANSLATE(B10889,""en"",""de"")"),"Eine Gruppe von Teams geht auf das Feld und jubelt.")</f>
        <v>Eine Gruppe von Teams geht auf das Feld und jubelt.</v>
      </c>
    </row>
    <row r="10890">
      <c r="A10890" s="4" t="s">
        <v>13692</v>
      </c>
      <c r="B10890" s="4" t="s">
        <v>13695</v>
      </c>
      <c r="C10890" s="5" t="str">
        <f>IFERROR(__xludf.DUMMYFUNCTION("GOOGLETRANSLATE(B10890,""en"",""de"")"),"Die Menge jubelt, als die Teams während des Spiels Tore machen.")</f>
        <v>Die Menge jubelt, als die Teams während des Spiels Tore machen.</v>
      </c>
    </row>
    <row r="10891">
      <c r="A10891" s="4" t="s">
        <v>13696</v>
      </c>
      <c r="B10891" s="4" t="s">
        <v>13697</v>
      </c>
      <c r="C10891" s="5" t="str">
        <f>IFERROR(__xludf.DUMMYFUNCTION("GOOGLETRANSLATE(B10891,""en"",""de"")"),"Ein Mann in der Surfkleidung ist mit seinem Namen und seiner Größe seines Boards vorgestellt.")</f>
        <v>Ein Mann in der Surfkleidung ist mit seinem Namen und seiner Größe seines Boards vorgestellt.</v>
      </c>
    </row>
    <row r="10892">
      <c r="A10892" s="4" t="s">
        <v>13696</v>
      </c>
      <c r="B10892" s="4" t="s">
        <v>13698</v>
      </c>
      <c r="C10892" s="5" t="str">
        <f>IFERROR(__xludf.DUMMYFUNCTION("GOOGLETRANSLATE(B10892,""en"",""de"")"),"Das Video schneidet den Strand und der Mann beginnt zu surfen.")</f>
        <v>Das Video schneidet den Strand und der Mann beginnt zu surfen.</v>
      </c>
    </row>
    <row r="10893">
      <c r="A10893" s="4" t="s">
        <v>13696</v>
      </c>
      <c r="B10893" s="4" t="s">
        <v>13699</v>
      </c>
      <c r="C10893" s="5" t="str">
        <f>IFERROR(__xludf.DUMMYFUNCTION("GOOGLETRANSLATE(B10893,""en"",""de"")"),"Er fängt Wellen, wischt sich aber frühzeitig aus.")</f>
        <v>Er fängt Wellen, wischt sich aber frühzeitig aus.</v>
      </c>
    </row>
    <row r="10894">
      <c r="A10894" s="4" t="s">
        <v>13696</v>
      </c>
      <c r="B10894" s="4" t="s">
        <v>13700</v>
      </c>
      <c r="C10894" s="5" t="str">
        <f>IFERROR(__xludf.DUMMYFUNCTION("GOOGLETRANSLATE(B10894,""en"",""de"")"),"Ein Vogel scheint in den Ozean zu tauchen.")</f>
        <v>Ein Vogel scheint in den Ozean zu tauchen.</v>
      </c>
    </row>
    <row r="10895">
      <c r="A10895" s="4" t="s">
        <v>13696</v>
      </c>
      <c r="B10895" s="4" t="s">
        <v>13701</v>
      </c>
      <c r="C10895" s="5" t="str">
        <f>IFERROR(__xludf.DUMMYFUNCTION("GOOGLETRANSLATE(B10895,""en"",""de"")"),"Andere Surfer erscheinen weiter.")</f>
        <v>Andere Surfer erscheinen weiter.</v>
      </c>
    </row>
    <row r="10896">
      <c r="A10896" s="4" t="s">
        <v>13702</v>
      </c>
      <c r="B10896" s="4" t="s">
        <v>13703</v>
      </c>
      <c r="C10896" s="5" t="str">
        <f>IFERROR(__xludf.DUMMYFUNCTION("GOOGLETRANSLATE(B10896,""en"",""de"")"),"Eine Frau geht in die Küche und dreht die Knöpfe am Ofen.")</f>
        <v>Eine Frau geht in die Küche und dreht die Knöpfe am Ofen.</v>
      </c>
    </row>
    <row r="10897">
      <c r="A10897" s="4" t="s">
        <v>13702</v>
      </c>
      <c r="B10897" s="4" t="s">
        <v>13704</v>
      </c>
      <c r="C10897" s="5" t="str">
        <f>IFERROR(__xludf.DUMMYFUNCTION("GOOGLETRANSLATE(B10897,""en"",""de"")"),"Ein Mixer wird dann auf die Theke gelegt und der Hebel wird nach unten gezogen, gefolgt von einem Teebeutel in eine Tasse.")</f>
        <v>Ein Mixer wird dann auf die Theke gelegt und der Hebel wird nach unten gezogen, gefolgt von einem Teebeutel in eine Tasse.</v>
      </c>
    </row>
    <row r="10898">
      <c r="A10898" s="4" t="s">
        <v>13702</v>
      </c>
      <c r="B10898" s="4" t="s">
        <v>13705</v>
      </c>
      <c r="C10898" s="5" t="str">
        <f>IFERROR(__xludf.DUMMYFUNCTION("GOOGLETRANSLATE(B10898,""en"",""de"")"),"Die Dame bewegt sich dann zu einer Theke und fügt ein Stück Backpapier über zwei große Racks hinzu.")</f>
        <v>Die Dame bewegt sich dann zu einer Theke und fügt ein Stück Backpapier über zwei große Racks hinzu.</v>
      </c>
    </row>
    <row r="10899">
      <c r="A10899" s="4" t="s">
        <v>13702</v>
      </c>
      <c r="B10899" s="4" t="s">
        <v>13706</v>
      </c>
      <c r="C10899" s="5" t="str">
        <f>IFERROR(__xludf.DUMMYFUNCTION("GOOGLETRANSLATE(B10899,""en"",""de"")"),"Sie greift dann nach dem kochenden heißen Wasser und gießt es in den Becher.")</f>
        <v>Sie greift dann nach dem kochenden heißen Wasser und gießt es in den Becher.</v>
      </c>
    </row>
    <row r="10900">
      <c r="A10900" s="4" t="s">
        <v>13702</v>
      </c>
      <c r="B10900" s="4" t="s">
        <v>13707</v>
      </c>
      <c r="C10900" s="5" t="str">
        <f>IFERROR(__xludf.DUMMYFUNCTION("GOOGLETRANSLATE(B10900,""en"",""de"")"),"Sie kehrt zurück zur Theke und beginnt mit dem Platzieren von Keksteigrollen auf die Racks.")</f>
        <v>Sie kehrt zurück zur Theke und beginnt mit dem Platzieren von Keksteigrollen auf die Racks.</v>
      </c>
    </row>
    <row r="10901">
      <c r="A10901" s="4" t="s">
        <v>13702</v>
      </c>
      <c r="B10901" s="4" t="s">
        <v>13708</v>
      </c>
      <c r="C10901" s="5" t="str">
        <f>IFERROR(__xludf.DUMMYFUNCTION("GOOGLETRANSLATE(B10901,""en"",""de"")"),"Es ist endlich Zeit, dass die Kekse in den Ofen gesteckt werden, und sie setzt den Timer auf ihr Handy, damit sie sie nicht verbrennt.")</f>
        <v>Es ist endlich Zeit, dass die Kekse in den Ofen gesteckt werden, und sie setzt den Timer auf ihr Handy, damit sie sie nicht verbrennt.</v>
      </c>
    </row>
    <row r="10902">
      <c r="A10902" s="4" t="s">
        <v>13702</v>
      </c>
      <c r="B10902" s="4" t="s">
        <v>13709</v>
      </c>
      <c r="C10902" s="5" t="str">
        <f>IFERROR(__xludf.DUMMYFUNCTION("GOOGLETRANSLATE(B10902,""en"",""de"")"),"Nachdem die Zeit abgelaufen ist, nimmt sie sie aus dem Ofen und fügt einen auf einem Teller hinzu und bringt es zu einem Mädchen den Flur hinunter.")</f>
        <v>Nachdem die Zeit abgelaufen ist, nimmt sie sie aus dem Ofen und fügt einen auf einem Teller hinzu und bringt es zu einem Mädchen den Flur hinunter.</v>
      </c>
    </row>
    <row r="10903">
      <c r="A10903" s="4" t="s">
        <v>13710</v>
      </c>
      <c r="B10903" s="4" t="s">
        <v>13711</v>
      </c>
      <c r="C10903" s="5" t="str">
        <f>IFERROR(__xludf.DUMMYFUNCTION("GOOGLETRANSLATE(B10903,""en"",""de"")"),"Ein Mann spricht mit der Kamera.")</f>
        <v>Ein Mann spricht mit der Kamera.</v>
      </c>
    </row>
    <row r="10904">
      <c r="A10904" s="4" t="s">
        <v>13710</v>
      </c>
      <c r="B10904" s="4" t="s">
        <v>13712</v>
      </c>
      <c r="C10904" s="5" t="str">
        <f>IFERROR(__xludf.DUMMYFUNCTION("GOOGLETRANSLATE(B10904,""en"",""de"")"),"Er rollt eine große Schachtel in den Raum und öffnet eine Schachtel, in der ein Fahrrad im Inneren sitzt.")</f>
        <v>Er rollt eine große Schachtel in den Raum und öffnet eine Schachtel, in der ein Fahrrad im Inneren sitzt.</v>
      </c>
    </row>
    <row r="10905">
      <c r="A10905" s="4" t="s">
        <v>13710</v>
      </c>
      <c r="B10905" s="4" t="s">
        <v>13713</v>
      </c>
      <c r="C10905" s="5" t="str">
        <f>IFERROR(__xludf.DUMMYFUNCTION("GOOGLETRANSLATE(B10905,""en"",""de"")"),"Aus der Innenseite der Box nimmt er eine kleine Schachtel voller Werkzeuge aus, um das Fahrrad zu montieren.")</f>
        <v>Aus der Innenseite der Box nimmt er eine kleine Schachtel voller Werkzeuge aus, um das Fahrrad zu montieren.</v>
      </c>
    </row>
    <row r="10906">
      <c r="A10906" s="4" t="s">
        <v>13710</v>
      </c>
      <c r="B10906" s="4" t="s">
        <v>13714</v>
      </c>
      <c r="C10906" s="5" t="str">
        <f>IFERROR(__xludf.DUMMYFUNCTION("GOOGLETRANSLATE(B10906,""en"",""de"")"),"Er hat gesehen, wie er wieder mit der Kamera gesprochen hat.")</f>
        <v>Er hat gesehen, wie er wieder mit der Kamera gesprochen hat.</v>
      </c>
    </row>
    <row r="10907">
      <c r="A10907" s="4" t="s">
        <v>13710</v>
      </c>
      <c r="B10907" s="4" t="s">
        <v>13715</v>
      </c>
      <c r="C10907" s="5" t="str">
        <f>IFERROR(__xludf.DUMMYFUNCTION("GOOGLETRANSLATE(B10907,""en"",""de"")"),"Er entfernt alle Kisten, die um das Fahrrad sitzen und das Fahrrad zusammenstellen.")</f>
        <v>Er entfernt alle Kisten, die um das Fahrrad sitzen und das Fahrrad zusammenstellen.</v>
      </c>
    </row>
    <row r="10908">
      <c r="A10908" s="4" t="s">
        <v>13710</v>
      </c>
      <c r="B10908" s="4" t="s">
        <v>13716</v>
      </c>
      <c r="C10908" s="5" t="str">
        <f>IFERROR(__xludf.DUMMYFUNCTION("GOOGLETRANSLATE(B10908,""en"",""de"")"),"Wieder spricht er mit der Kamera.")</f>
        <v>Wieder spricht er mit der Kamera.</v>
      </c>
    </row>
    <row r="10909">
      <c r="A10909" s="4" t="s">
        <v>13710</v>
      </c>
      <c r="B10909" s="4" t="s">
        <v>13717</v>
      </c>
      <c r="C10909" s="5" t="str">
        <f>IFERROR(__xludf.DUMMYFUNCTION("GOOGLETRANSLATE(B10909,""en"",""de"")"),"Er entfernt zwei Pedale aus Taschen und befestigt beide Pedale am Fahrrad.")</f>
        <v>Er entfernt zwei Pedale aus Taschen und befestigt beide Pedale am Fahrrad.</v>
      </c>
    </row>
    <row r="10910">
      <c r="A10910" s="4" t="s">
        <v>13710</v>
      </c>
      <c r="B10910" s="4" t="s">
        <v>13718</v>
      </c>
      <c r="C10910" s="5" t="str">
        <f>IFERROR(__xludf.DUMMYFUNCTION("GOOGLETRANSLATE(B10910,""en"",""de"")"),"Er nimmt das Fahrrad für eine Fahrt.")</f>
        <v>Er nimmt das Fahrrad für eine Fahrt.</v>
      </c>
    </row>
    <row r="10911">
      <c r="A10911" s="4" t="s">
        <v>13710</v>
      </c>
      <c r="B10911" s="4" t="s">
        <v>13719</v>
      </c>
      <c r="C10911" s="5" t="str">
        <f>IFERROR(__xludf.DUMMYFUNCTION("GOOGLETRANSLATE(B10911,""en"",""de"")"),"Kurz gesagt, er spricht mit der Kamera.")</f>
        <v>Kurz gesagt, er spricht mit der Kamera.</v>
      </c>
    </row>
    <row r="10912">
      <c r="A10912" s="4" t="s">
        <v>13720</v>
      </c>
      <c r="B10912" s="4" t="s">
        <v>13721</v>
      </c>
      <c r="C10912" s="5" t="str">
        <f>IFERROR(__xludf.DUMMYFUNCTION("GOOGLETRANSLATE(B10912,""en"",""de"")"),"Wir sehen zwei Leute, die Foosball spielen.")</f>
        <v>Wir sehen zwei Leute, die Foosball spielen.</v>
      </c>
    </row>
    <row r="10913">
      <c r="A10913" s="4" t="s">
        <v>13720</v>
      </c>
      <c r="B10913" s="4" t="s">
        <v>13722</v>
      </c>
      <c r="C10913" s="5" t="str">
        <f>IFERROR(__xludf.DUMMYFUNCTION("GOOGLETRANSLATE(B10913,""en"",""de"")"),"Ein Mann in einem schwarzen Hemd verlässt den Raum und dreht sich um, bevor er geht.")</f>
        <v>Ein Mann in einem schwarzen Hemd verlässt den Raum und dreht sich um, bevor er geht.</v>
      </c>
    </row>
    <row r="10914">
      <c r="A10914" s="4" t="s">
        <v>13720</v>
      </c>
      <c r="B10914" s="4" t="s">
        <v>13723</v>
      </c>
      <c r="C10914" s="5" t="str">
        <f>IFERROR(__xludf.DUMMYFUNCTION("GOOGLETRANSLATE(B10914,""en"",""de"")"),"Ein Mann stellt sein Gesicht vor die Kamera.")</f>
        <v>Ein Mann stellt sein Gesicht vor die Kamera.</v>
      </c>
    </row>
    <row r="10915">
      <c r="A10915" s="4" t="s">
        <v>13724</v>
      </c>
      <c r="B10915" s="4" t="s">
        <v>13725</v>
      </c>
      <c r="C10915" s="5" t="str">
        <f>IFERROR(__xludf.DUMMYFUNCTION("GOOGLETRANSLATE(B10915,""en"",""de"")"),"Ein Mann zeigt einem Jungen, der versucht, einen Rubix -Würfel zu lösen.")</f>
        <v>Ein Mann zeigt einem Jungen, der versucht, einen Rubix -Würfel zu lösen.</v>
      </c>
    </row>
    <row r="10916">
      <c r="A10916" s="4" t="s">
        <v>13724</v>
      </c>
      <c r="B10916" s="4" t="s">
        <v>13726</v>
      </c>
      <c r="C10916" s="5" t="str">
        <f>IFERROR(__xludf.DUMMYFUNCTION("GOOGLETRANSLATE(B10916,""en"",""de"")"),"Ein Timer fährt zur Zeit, dass der Junge und andere Menschen um ihn herum versuchen.")</f>
        <v>Ein Timer fährt zur Zeit, dass der Junge und andere Menschen um ihn herum versuchen.</v>
      </c>
    </row>
    <row r="10917">
      <c r="A10917" s="4" t="s">
        <v>13724</v>
      </c>
      <c r="B10917" s="4" t="s">
        <v>13727</v>
      </c>
      <c r="C10917" s="5" t="str">
        <f>IFERROR(__xludf.DUMMYFUNCTION("GOOGLETRANSLATE(B10917,""en"",""de"")"),"Auf den Aussehen gehen von Tisch zu Tisch, um sie zu beobachten.")</f>
        <v>Auf den Aussehen gehen von Tisch zu Tisch, um sie zu beobachten.</v>
      </c>
    </row>
    <row r="10918">
      <c r="A10918" s="4" t="s">
        <v>13724</v>
      </c>
      <c r="B10918" s="4" t="s">
        <v>13728</v>
      </c>
      <c r="C10918" s="5" t="str">
        <f>IFERROR(__xludf.DUMMYFUNCTION("GOOGLETRANSLATE(B10918,""en"",""de"")"),"Ein Junge schnappt sich einen Stift und der Mann löst das Rätsel.")</f>
        <v>Ein Junge schnappt sich einen Stift und der Mann löst das Rätsel.</v>
      </c>
    </row>
    <row r="10919">
      <c r="A10919" s="4" t="s">
        <v>13729</v>
      </c>
      <c r="B10919" s="4" t="s">
        <v>13730</v>
      </c>
      <c r="C10919" s="5" t="str">
        <f>IFERROR(__xludf.DUMMYFUNCTION("GOOGLETRANSLATE(B10919,""en"",""de"")"),"Ein Mann in weißer Uniform steht an der Küchentheke.")</f>
        <v>Ein Mann in weißer Uniform steht an der Küchentheke.</v>
      </c>
    </row>
    <row r="10920">
      <c r="A10920" s="4" t="s">
        <v>13729</v>
      </c>
      <c r="B10920" s="4" t="s">
        <v>13731</v>
      </c>
      <c r="C10920" s="5" t="str">
        <f>IFERROR(__xludf.DUMMYFUNCTION("GOOGLETRANSLATE(B10920,""en"",""de"")"),"Der Mann zog ein Messer und einen Spitzer heraus, er berührte den Rand des Messers.")</f>
        <v>Der Mann zog ein Messer und einen Spitzer heraus, er berührte den Rand des Messers.</v>
      </c>
    </row>
    <row r="10921">
      <c r="A10921" s="4" t="s">
        <v>13729</v>
      </c>
      <c r="B10921" s="4" t="s">
        <v>13732</v>
      </c>
      <c r="C10921" s="5" t="str">
        <f>IFERROR(__xludf.DUMMYFUNCTION("GOOGLETRANSLATE(B10921,""en"",""de"")"),"Der Mann hält den Metallmesser -Schärfer und schärft das Messer langsam von Seite zur Seite.")</f>
        <v>Der Mann hält den Metallmesser -Schärfer und schärft das Messer langsam von Seite zur Seite.</v>
      </c>
    </row>
    <row r="10922">
      <c r="A10922" s="4" t="s">
        <v>13729</v>
      </c>
      <c r="B10922" s="4" t="s">
        <v>13733</v>
      </c>
      <c r="C10922" s="5" t="str">
        <f>IFERROR(__xludf.DUMMYFUNCTION("GOOGLETRANSLATE(B10922,""en"",""de"")"),"Der Mann verwendet verschiedene Arten von Werkzeugen, um das Messer wie Maschine und Wasserstein zu schärfen.")</f>
        <v>Der Mann verwendet verschiedene Arten von Werkzeugen, um das Messer wie Maschine und Wasserstein zu schärfen.</v>
      </c>
    </row>
    <row r="10923">
      <c r="A10923" s="4" t="s">
        <v>13734</v>
      </c>
      <c r="B10923" s="4" t="s">
        <v>13735</v>
      </c>
      <c r="C10923" s="5" t="str">
        <f>IFERROR(__xludf.DUMMYFUNCTION("GOOGLETRANSLATE(B10923,""en"",""de"")"),"Ein Mann lässt einen Tennisschläger mit Ball fallen und schlägt dann auf den Ball.")</f>
        <v>Ein Mann lässt einen Tennisschläger mit Ball fallen und schlägt dann auf den Ball.</v>
      </c>
    </row>
    <row r="10924">
      <c r="A10924" s="4" t="s">
        <v>13734</v>
      </c>
      <c r="B10924" s="4" t="s">
        <v>13736</v>
      </c>
      <c r="C10924" s="5" t="str">
        <f>IFERROR(__xludf.DUMMYFUNCTION("GOOGLETRANSLATE(B10924,""en"",""de"")"),"Eine andere Person macht den gleichen Trick und zeigt dann, dass er aus Serbien stammt.")</f>
        <v>Eine andere Person macht den gleichen Trick und zeigt dann, dass er aus Serbien stammt.</v>
      </c>
    </row>
    <row r="10925">
      <c r="A10925" s="4" t="s">
        <v>13737</v>
      </c>
      <c r="B10925" s="4" t="s">
        <v>13738</v>
      </c>
      <c r="C10925" s="5" t="str">
        <f>IFERROR(__xludf.DUMMYFUNCTION("GOOGLETRANSLATE(B10925,""en"",""de"")"),"Ein Mann spielt mit einem Hund im Gras.")</f>
        <v>Ein Mann spielt mit einem Hund im Gras.</v>
      </c>
    </row>
    <row r="10926">
      <c r="A10926" s="4" t="s">
        <v>13737</v>
      </c>
      <c r="B10926" s="4" t="s">
        <v>13739</v>
      </c>
      <c r="C10926" s="5" t="str">
        <f>IFERROR(__xludf.DUMMYFUNCTION("GOOGLETRANSLATE(B10926,""en"",""de"")"),"Dann dreht er und wirft eine Frisbee.")</f>
        <v>Dann dreht er und wirft eine Frisbee.</v>
      </c>
    </row>
    <row r="10927">
      <c r="A10927" s="4" t="s">
        <v>13737</v>
      </c>
      <c r="B10927" s="4" t="s">
        <v>13740</v>
      </c>
      <c r="C10927" s="5" t="str">
        <f>IFERROR(__xludf.DUMMYFUNCTION("GOOGLETRANSLATE(B10927,""en"",""de"")"),"Der Hund rennt eine Seite zur Seite und jagt ihn.")</f>
        <v>Der Hund rennt eine Seite zur Seite und jagt ihn.</v>
      </c>
    </row>
    <row r="10928">
      <c r="A10928" s="4" t="s">
        <v>13737</v>
      </c>
      <c r="B10928" s="4" t="s">
        <v>13741</v>
      </c>
      <c r="C10928" s="5" t="str">
        <f>IFERROR(__xludf.DUMMYFUNCTION("GOOGLETRANSLATE(B10928,""en"",""de"")"),"Er greift zwei andere Frisbees und wirft sie herum, während der Hund springt.")</f>
        <v>Er greift zwei andere Frisbees und wirft sie herum, während der Hund springt.</v>
      </c>
    </row>
    <row r="10929">
      <c r="A10929" s="4" t="s">
        <v>13737</v>
      </c>
      <c r="B10929" s="4" t="s">
        <v>13742</v>
      </c>
      <c r="C10929" s="5" t="str">
        <f>IFERROR(__xludf.DUMMYFUNCTION("GOOGLETRANSLATE(B10929,""en"",""de"")"),"Er wirft dem Frisbee noch etwas, während der Hund rennt.")</f>
        <v>Er wirft dem Frisbee noch etwas, während der Hund rennt.</v>
      </c>
    </row>
    <row r="10930">
      <c r="A10930" s="4" t="s">
        <v>13737</v>
      </c>
      <c r="B10930" s="4" t="s">
        <v>13743</v>
      </c>
      <c r="C10930" s="5" t="str">
        <f>IFERROR(__xludf.DUMMYFUNCTION("GOOGLETRANSLATE(B10930,""en"",""de"")"),"Der Hund springt weiter von Seite zur anderen und rennt in alle Richtungen, wenn sie geworfen werden.")</f>
        <v>Der Hund springt weiter von Seite zur anderen und rennt in alle Richtungen, wenn sie geworfen werden.</v>
      </c>
    </row>
    <row r="10931">
      <c r="A10931" s="4" t="s">
        <v>13744</v>
      </c>
      <c r="B10931" s="4" t="s">
        <v>13745</v>
      </c>
      <c r="C10931" s="5" t="str">
        <f>IFERROR(__xludf.DUMMYFUNCTION("GOOGLETRANSLATE(B10931,""en"",""de"")"),"Ein Mann und eine Frau nippen eine blaue Flüssigkeit und spülen seinen Mund.")</f>
        <v>Ein Mann und eine Frau nippen eine blaue Flüssigkeit und spülen seinen Mund.</v>
      </c>
    </row>
    <row r="10932">
      <c r="A10932" s="4" t="s">
        <v>13744</v>
      </c>
      <c r="B10932" s="4" t="s">
        <v>13746</v>
      </c>
      <c r="C10932" s="5" t="str">
        <f>IFERROR(__xludf.DUMMYFUNCTION("GOOGLETRANSLATE(B10932,""en"",""de"")"),"Dann beugen sich die Frau und wirft die Flüssigkeit, während der Mann seinen Mund weiterhin spült.")</f>
        <v>Dann beugen sich die Frau und wirft die Flüssigkeit, während der Mann seinen Mund weiterhin spült.</v>
      </c>
    </row>
    <row r="10933">
      <c r="A10933" s="4" t="s">
        <v>13747</v>
      </c>
      <c r="B10933" s="4" t="s">
        <v>13748</v>
      </c>
      <c r="C10933" s="5" t="str">
        <f>IFERROR(__xludf.DUMMYFUNCTION("GOOGLETRANSLATE(B10933,""en"",""de"")"),"Es wird eine Frau gezeigt, die mit der Kamera spricht und führt in ihren Beginn, ein Bild zu malen.")</f>
        <v>Es wird eine Frau gezeigt, die mit der Kamera spricht und führt in ihren Beginn, ein Bild zu malen.</v>
      </c>
    </row>
    <row r="10934">
      <c r="A10934" s="4" t="s">
        <v>13747</v>
      </c>
      <c r="B10934" s="4" t="s">
        <v>13749</v>
      </c>
      <c r="C10934" s="5" t="str">
        <f>IFERROR(__xludf.DUMMYFUNCTION("GOOGLETRANSLATE(B10934,""en"",""de"")"),"Sie bewegt ihre Bürste zurück und den vierten Platz auf der Leinwand und setzt verschiedene Farben und wirbelt um die Seiten.")</f>
        <v>Sie bewegt ihre Bürste zurück und den vierten Platz auf der Leinwand und setzt verschiedene Farben und wirbelt um die Seiten.</v>
      </c>
    </row>
    <row r="10935">
      <c r="A10935" s="4" t="s">
        <v>13750</v>
      </c>
      <c r="B10935" s="4" t="s">
        <v>13751</v>
      </c>
      <c r="C10935" s="5" t="str">
        <f>IFERROR(__xludf.DUMMYFUNCTION("GOOGLETRANSLATE(B10935,""en"",""de"")"),"Eine Person steht auf einem Tennisplatz, der einen Ball hüpft.")</f>
        <v>Eine Person steht auf einem Tennisplatz, der einen Ball hüpft.</v>
      </c>
    </row>
    <row r="10936">
      <c r="A10936" s="4" t="s">
        <v>13750</v>
      </c>
      <c r="B10936" s="4" t="s">
        <v>13752</v>
      </c>
      <c r="C10936" s="5" t="str">
        <f>IFERROR(__xludf.DUMMYFUNCTION("GOOGLETRANSLATE(B10936,""en"",""de"")"),"Ein anderer Mann steht auf der anderen Seite vor einem großen Publikum bereit.")</f>
        <v>Ein anderer Mann steht auf der anderen Seite vor einem großen Publikum bereit.</v>
      </c>
    </row>
    <row r="10937">
      <c r="A10937" s="4" t="s">
        <v>13750</v>
      </c>
      <c r="B10937" s="4" t="s">
        <v>13753</v>
      </c>
      <c r="C10937" s="5" t="str">
        <f>IFERROR(__xludf.DUMMYFUNCTION("GOOGLETRANSLATE(B10937,""en"",""de"")"),"Der Mann schlägt dann den Ball über das Netz und springt auf der anderen Seite zurück.")</f>
        <v>Der Mann schlägt dann den Ball über das Netz und springt auf der anderen Seite zurück.</v>
      </c>
    </row>
    <row r="10938">
      <c r="A10938" s="4" t="s">
        <v>13754</v>
      </c>
      <c r="B10938" s="4" t="s">
        <v>13755</v>
      </c>
      <c r="C10938" s="5" t="str">
        <f>IFERROR(__xludf.DUMMYFUNCTION("GOOGLETRANSLATE(B10938,""en"",""de"")"),"Ein Mädchen sitzt auf einem Stuhl mit einer anderen Person, die ihr Gesicht wischt und ihr einen Spiegel gibt, um hineinzuschauen.")</f>
        <v>Ein Mädchen sitzt auf einem Stuhl mit einer anderen Person, die ihr Gesicht wischt und ihr einen Spiegel gibt, um hineinzuschauen.</v>
      </c>
    </row>
    <row r="10939">
      <c r="A10939" s="4" t="s">
        <v>13754</v>
      </c>
      <c r="B10939" s="4" t="s">
        <v>13756</v>
      </c>
      <c r="C10939" s="5" t="str">
        <f>IFERROR(__xludf.DUMMYFUNCTION("GOOGLETRANSLATE(B10939,""en"",""de"")"),"Dann durchbohrt er die Wangen des Mädchens und die Kamera zoomt in das Gesicht des Mädchens, wenn er fertig ist.")</f>
        <v>Dann durchbohrt er die Wangen des Mädchens und die Kamera zoomt in das Gesicht des Mädchens, wenn er fertig ist.</v>
      </c>
    </row>
    <row r="10940">
      <c r="A10940" s="4" t="s">
        <v>13757</v>
      </c>
      <c r="B10940" s="4" t="s">
        <v>13758</v>
      </c>
      <c r="C10940" s="5" t="str">
        <f>IFERROR(__xludf.DUMMYFUNCTION("GOOGLETRANSLATE(B10940,""en"",""de"")"),"Eine Frau spricht mit der Kamera, während sie in einer Dusche steht und verschiedene Gegenstände hält.")</f>
        <v>Eine Frau spricht mit der Kamera, während sie in einer Dusche steht und verschiedene Gegenstände hält.</v>
      </c>
    </row>
    <row r="10941">
      <c r="A10941" s="4" t="s">
        <v>13757</v>
      </c>
      <c r="B10941" s="4" t="s">
        <v>13759</v>
      </c>
      <c r="C10941" s="5" t="str">
        <f>IFERROR(__xludf.DUMMYFUNCTION("GOOGLETRANSLATE(B10941,""en"",""de"")"),"Die Frau reibt dann Lotionen an ihren Beinen und beginnt, ihre Beine zu rasieren und zu enden, indem sie mit der Kamera sprechen.")</f>
        <v>Die Frau reibt dann Lotionen an ihren Beinen und beginnt, ihre Beine zu rasieren und zu enden, indem sie mit der Kamera sprechen.</v>
      </c>
    </row>
    <row r="10942">
      <c r="A10942" s="4" t="s">
        <v>13760</v>
      </c>
      <c r="B10942" s="4" t="s">
        <v>13761</v>
      </c>
      <c r="C10942" s="5" t="str">
        <f>IFERROR(__xludf.DUMMYFUNCTION("GOOGLETRANSLATE(B10942,""en"",""de"")"),"Ein Mann spricht mit der Kamera, die einen Basketball hält.")</f>
        <v>Ein Mann spricht mit der Kamera, die einen Basketball hält.</v>
      </c>
    </row>
    <row r="10943">
      <c r="A10943" s="4" t="s">
        <v>13760</v>
      </c>
      <c r="B10943" s="4" t="s">
        <v>13762</v>
      </c>
      <c r="C10943" s="5" t="str">
        <f>IFERROR(__xludf.DUMMYFUNCTION("GOOGLETRANSLATE(B10943,""en"",""de"")"),"Der Mann beginnt dann mehrmals den Ball in den Reifen.")</f>
        <v>Der Mann beginnt dann mehrmals den Ball in den Reifen.</v>
      </c>
    </row>
    <row r="10944">
      <c r="A10944" s="4" t="s">
        <v>13760</v>
      </c>
      <c r="B10944" s="4" t="s">
        <v>13763</v>
      </c>
      <c r="C10944" s="5" t="str">
        <f>IFERROR(__xludf.DUMMYFUNCTION("GOOGLETRANSLATE(B10944,""en"",""de"")"),"Er geht zurück zur Kamera und spricht weiter und bewegt seine Hände.")</f>
        <v>Er geht zurück zur Kamera und spricht weiter und bewegt seine Hände.</v>
      </c>
    </row>
    <row r="10945">
      <c r="A10945" s="4" t="s">
        <v>13764</v>
      </c>
      <c r="B10945" s="4" t="s">
        <v>13765</v>
      </c>
      <c r="C10945" s="5" t="str">
        <f>IFERROR(__xludf.DUMMYFUNCTION("GOOGLETRANSLATE(B10945,""en"",""de"")"),"Eine junge Frau spricht mit der Kamera und übergeht mit ihren Haaren vor ihrem Gesicht in sie.")</f>
        <v>Eine junge Frau spricht mit der Kamera und übergeht mit ihren Haaren vor ihrem Gesicht in sie.</v>
      </c>
    </row>
    <row r="10946">
      <c r="A10946" s="4" t="s">
        <v>13764</v>
      </c>
      <c r="B10946" s="4" t="s">
        <v>13766</v>
      </c>
      <c r="C10946" s="5" t="str">
        <f>IFERROR(__xludf.DUMMYFUNCTION("GOOGLETRANSLATE(B10946,""en"",""de"")"),"Sie bürstet und teilt sich langsam ihre Haare und dreht am Ende ihr Haar zurück.")</f>
        <v>Sie bürstet und teilt sich langsam ihre Haare und dreht am Ende ihr Haar zurück.</v>
      </c>
    </row>
    <row r="10947">
      <c r="A10947" s="4" t="s">
        <v>13767</v>
      </c>
      <c r="B10947" s="4" t="s">
        <v>13768</v>
      </c>
      <c r="C10947" s="5" t="str">
        <f>IFERROR(__xludf.DUMMYFUNCTION("GOOGLETRANSLATE(B10947,""en"",""de"")"),"Eine kleine Gruppe von Mädchen wird gesehen, wie sie sich zusammenkauert und sich auf dem Feld bewegen.")</f>
        <v>Eine kleine Gruppe von Mädchen wird gesehen, wie sie sich zusammenkauert und sich auf dem Feld bewegen.</v>
      </c>
    </row>
    <row r="10948">
      <c r="A10948" s="4" t="s">
        <v>13767</v>
      </c>
      <c r="B10948" s="4" t="s">
        <v>13769</v>
      </c>
      <c r="C10948" s="5" t="str">
        <f>IFERROR(__xludf.DUMMYFUNCTION("GOOGLETRANSLATE(B10948,""en"",""de"")"),"Weitere Frauen rennen durch das große Feldhockey.")</f>
        <v>Weitere Frauen rennen durch das große Feldhockey.</v>
      </c>
    </row>
    <row r="10949">
      <c r="A10949" s="4" t="s">
        <v>13767</v>
      </c>
      <c r="B10949" s="4" t="s">
        <v>13770</v>
      </c>
      <c r="C10949" s="5" t="str">
        <f>IFERROR(__xludf.DUMMYFUNCTION("GOOGLETRANSLATE(B10949,""en"",""de"")"),"Die Mädchen spielen weiter gegeneinander und enden mit Waling weg.")</f>
        <v>Die Mädchen spielen weiter gegeneinander und enden mit Waling weg.</v>
      </c>
    </row>
    <row r="10950">
      <c r="A10950" s="4" t="s">
        <v>13771</v>
      </c>
      <c r="B10950" s="4" t="s">
        <v>13772</v>
      </c>
      <c r="C10950" s="5" t="str">
        <f>IFERROR(__xludf.DUMMYFUNCTION("GOOGLETRANSLATE(B10950,""en"",""de"")"),"Eine Nahaufnahme zeigt ein kleines Kind, das sich auf einer Schaukel bewegt und Menschen um ihn herum stehen, um zu schieben.")</f>
        <v>Eine Nahaufnahme zeigt ein kleines Kind, das sich auf einer Schaukel bewegt und Menschen um ihn herum stehen, um zu schieben.</v>
      </c>
    </row>
    <row r="10951">
      <c r="A10951" s="4" t="s">
        <v>13771</v>
      </c>
      <c r="B10951" s="4" t="s">
        <v>13773</v>
      </c>
      <c r="C10951" s="5" t="str">
        <f>IFERROR(__xludf.DUMMYFUNCTION("GOOGLETRANSLATE(B10951,""en"",""de"")"),"Die Kamera folgt dem Jungen weiter um den Hof, während die Mutter im Gras liegt und dann die Tochter herumschwingt.")</f>
        <v>Die Kamera folgt dem Jungen weiter um den Hof, während die Mutter im Gras liegt und dann die Tochter herumschwingt.</v>
      </c>
    </row>
    <row r="10952">
      <c r="A10952" s="4" t="s">
        <v>13771</v>
      </c>
      <c r="B10952" s="4" t="s">
        <v>13774</v>
      </c>
      <c r="C10952" s="5" t="str">
        <f>IFERROR(__xludf.DUMMYFUNCTION("GOOGLETRANSLATE(B10952,""en"",""de"")"),"Die Eltern spielen mehr mit den Kindern, geben ihnen einen Kuss und der Vater geht mit der Tochter weg.")</f>
        <v>Die Eltern spielen mehr mit den Kindern, geben ihnen einen Kuss und der Vater geht mit der Tochter weg.</v>
      </c>
    </row>
    <row r="10953">
      <c r="A10953" s="4" t="s">
        <v>13775</v>
      </c>
      <c r="B10953" s="4" t="s">
        <v>13776</v>
      </c>
      <c r="C10953" s="5" t="str">
        <f>IFERROR(__xludf.DUMMYFUNCTION("GOOGLETRANSLATE(B10953,""en"",""de"")"),"Ein Straßenkünstler setzt sich auf eine Kiste und trommelt auf Eimer und Pfannen mit Drum -Sticks.")</f>
        <v>Ein Straßenkünstler setzt sich auf eine Kiste und trommelt auf Eimer und Pfannen mit Drum -Sticks.</v>
      </c>
    </row>
    <row r="10954">
      <c r="A10954" s="4" t="s">
        <v>13775</v>
      </c>
      <c r="B10954" s="4" t="s">
        <v>13777</v>
      </c>
      <c r="C10954" s="5" t="str">
        <f>IFERROR(__xludf.DUMMYFUNCTION("GOOGLETRANSLATE(B10954,""en"",""de"")"),"Er pleite von den Eimern und sticht ihn frustriert mit dem Stock.")</f>
        <v>Er pleite von den Eimern und sticht ihn frustriert mit dem Stock.</v>
      </c>
    </row>
    <row r="10955">
      <c r="A10955" s="4" t="s">
        <v>13775</v>
      </c>
      <c r="B10955" s="4" t="s">
        <v>13778</v>
      </c>
      <c r="C10955" s="5" t="str">
        <f>IFERROR(__xludf.DUMMYFUNCTION("GOOGLETRANSLATE(B10955,""en"",""de"")"),"Er ersetzt den Eimer und beginnt in seinem Beat von vorne, während sich eine Menge sammelt.")</f>
        <v>Er ersetzt den Eimer und beginnt in seinem Beat von vorne, während sich eine Menge sammelt.</v>
      </c>
    </row>
    <row r="10956">
      <c r="A10956" s="4" t="s">
        <v>13775</v>
      </c>
      <c r="B10956" s="4" t="s">
        <v>13779</v>
      </c>
      <c r="C10956" s="5" t="str">
        <f>IFERROR(__xludf.DUMMYFUNCTION("GOOGLETRANSLATE(B10956,""en"",""de"")"),"Er ordnet die Eimer erneut um und trommelt weiter.")</f>
        <v>Er ordnet die Eimer erneut um und trommelt weiter.</v>
      </c>
    </row>
    <row r="10957">
      <c r="A10957" s="4" t="s">
        <v>13780</v>
      </c>
      <c r="B10957" s="4" t="s">
        <v>13781</v>
      </c>
      <c r="C10957" s="5" t="str">
        <f>IFERROR(__xludf.DUMMYFUNCTION("GOOGLETRANSLATE(B10957,""en"",""de"")"),"Eine große Menge sitzt vor einem Pool, gefolgt von mehreren Schüssen von zwei Personen, die in einen Pool tauchen.")</f>
        <v>Eine große Menge sitzt vor einem Pool, gefolgt von mehreren Schüssen von zwei Personen, die in einen Pool tauchen.</v>
      </c>
    </row>
    <row r="10958">
      <c r="A10958" s="4" t="s">
        <v>13780</v>
      </c>
      <c r="B10958" s="4" t="s">
        <v>13782</v>
      </c>
      <c r="C10958" s="5" t="str">
        <f>IFERROR(__xludf.DUMMYFUNCTION("GOOGLETRANSLATE(B10958,""en"",""de"")"),"Weitere Aufnahmen von Tauchern, die beeindruckende Stunts in den Pool durchführen, und endet damit, dass sie weggehen und ihre Punktzahl gezeigt wird.")</f>
        <v>Weitere Aufnahmen von Tauchern, die beeindruckende Stunts in den Pool durchführen, und endet damit, dass sie weggehen und ihre Punktzahl gezeigt wird.</v>
      </c>
    </row>
    <row r="10959">
      <c r="A10959" s="4" t="s">
        <v>13780</v>
      </c>
      <c r="B10959" s="4" t="s">
        <v>13783</v>
      </c>
      <c r="C10959" s="5" t="str">
        <f>IFERROR(__xludf.DUMMYFUNCTION("GOOGLETRANSLATE(B10959,""en"",""de"")"),"Ein Mann spricht in die Ferne und die Taucher stehen zusammen, um ihre Medaillen zu erhalten.")</f>
        <v>Ein Mann spricht in die Ferne und die Taucher stehen zusammen, um ihre Medaillen zu erhalten.</v>
      </c>
    </row>
    <row r="10960">
      <c r="A10960" s="4" t="s">
        <v>13784</v>
      </c>
      <c r="B10960" s="4" t="s">
        <v>13785</v>
      </c>
      <c r="C10960" s="5" t="str">
        <f>IFERROR(__xludf.DUMMYFUNCTION("GOOGLETRANSLATE(B10960,""en"",""de"")"),"Ein Bildschirm erscheint mit einem schneebedeckten Berg mit Kiefern und einer Überlagerung auf dem Bildschirm eines Logos und mit Worten ""Effizientes heißes Wachspitzen reduziert Zeitmaterialverschwendung, Kosten und Durcheinander"".")</f>
        <v>Ein Bildschirm erscheint mit einem schneebedeckten Berg mit Kiefern und einer Überlagerung auf dem Bildschirm eines Logos und mit Worten "Effizientes heißes Wachspitzen reduziert Zeitmaterialverschwendung, Kosten und Durcheinander".</v>
      </c>
    </row>
    <row r="10961">
      <c r="A10961" s="4" t="s">
        <v>13784</v>
      </c>
      <c r="B10961" s="4" t="s">
        <v>13786</v>
      </c>
      <c r="C10961" s="5" t="str">
        <f>IFERROR(__xludf.DUMMYFUNCTION("GOOGLETRANSLATE(B10961,""en"",""de"")"),"Ein Paar Skier befindet sich in einem Workshop und ein Mann arbeitet einige Arbeiten, darunter Runden, die Wachs auf den Skiern, die Skier bügeln, Skier bügeln, Skiern abkratzen, während Wörter auf dem Boden während des gesamten Vorgangs erscheinen, wie e"&amp;"s erklärt, was getan wird.")</f>
        <v>Ein Paar Skier befindet sich in einem Workshop und ein Mann arbeitet einige Arbeiten, darunter Runden, die Wachs auf den Skiern, die Skier bügeln, Skier bügeln, Skiern abkratzen, während Wörter auf dem Boden während des gesamten Vorgangs erscheinen, wie es erklärt, was getan wird.</v>
      </c>
    </row>
    <row r="10962">
      <c r="A10962" s="4" t="s">
        <v>13784</v>
      </c>
      <c r="B10962" s="4" t="s">
        <v>13787</v>
      </c>
      <c r="C10962" s="5" t="str">
        <f>IFERROR(__xludf.DUMMYFUNCTION("GOOGLETRANSLATE(B10962,""en"",""de"")"),"Der Mann schärft nun die Ränder einer Akte und beginnt dann, die Skier zu kratzen, und endet dann durch Bügel mit unterschiedlichen Kleidern zwischen Eisen und Skier.")</f>
        <v>Der Mann schärft nun die Ränder einer Akte und beginnt dann, die Skier zu kratzen, und endet dann durch Bügel mit unterschiedlichen Kleidern zwischen Eisen und Skier.</v>
      </c>
    </row>
    <row r="10963">
      <c r="A10963" s="4" t="s">
        <v>13784</v>
      </c>
      <c r="B10963" s="4" t="s">
        <v>13788</v>
      </c>
      <c r="C10963" s="5" t="str">
        <f>IFERROR(__xludf.DUMMYFUNCTION("GOOGLETRANSLATE(B10963,""en"",""de"")"),"Der Outro -Bildschirm wird angezeigt und es ist das genaue Bild wie das Intro, aber die Wörter sagen jetzt ""Checkout unser Video -Scraping &amp; Pushing"" und enthält auch das Firmenlogo.")</f>
        <v>Der Outro -Bildschirm wird angezeigt und es ist das genaue Bild wie das Intro, aber die Wörter sagen jetzt "Checkout unser Video -Scraping &amp; Pushing" und enthält auch das Firmenlogo.</v>
      </c>
    </row>
    <row r="10964">
      <c r="A10964" s="4" t="s">
        <v>13789</v>
      </c>
      <c r="B10964" s="4" t="s">
        <v>13790</v>
      </c>
      <c r="C10964" s="5" t="str">
        <f>IFERROR(__xludf.DUMMYFUNCTION("GOOGLETRANSLATE(B10964,""en"",""de"")"),"Eine Frau spricht mit der Kamera, während sie verschiedene Taschen schnappt und sie auslegt.")</f>
        <v>Eine Frau spricht mit der Kamera, während sie verschiedene Taschen schnappt und sie auslegt.</v>
      </c>
    </row>
    <row r="10965">
      <c r="A10965" s="4" t="s">
        <v>13789</v>
      </c>
      <c r="B10965" s="4" t="s">
        <v>13791</v>
      </c>
      <c r="C10965" s="5" t="str">
        <f>IFERROR(__xludf.DUMMYFUNCTION("GOOGLETRANSLATE(B10965,""en"",""de"")"),"Sie setzt und einweht in eine Tasche, während sie auf eine Schachtel neben sich zeigt.")</f>
        <v>Sie setzt und einweht in eine Tasche, während sie auf eine Schachtel neben sich zeigt.</v>
      </c>
    </row>
    <row r="10966">
      <c r="A10966" s="4" t="s">
        <v>13789</v>
      </c>
      <c r="B10966" s="4" t="s">
        <v>13792</v>
      </c>
      <c r="C10966" s="5" t="str">
        <f>IFERROR(__xludf.DUMMYFUNCTION("GOOGLETRANSLATE(B10966,""en"",""de"")"),"Sie stopft Papier in die Tasche und endet, indem sie einen Bogen darüber bindet.")</f>
        <v>Sie stopft Papier in die Tasche und endet, indem sie einen Bogen darüber bindet.</v>
      </c>
    </row>
    <row r="10967">
      <c r="A10967" s="4" t="s">
        <v>13793</v>
      </c>
      <c r="B10967" s="4" t="s">
        <v>13794</v>
      </c>
      <c r="C10967" s="5" t="str">
        <f>IFERROR(__xludf.DUMMYFUNCTION("GOOGLETRANSLATE(B10967,""en"",""de"")"),"Ein Mann spielt die Mundharmonika vor einem Mikrofon, dann endet er und verabschiedet sich.")</f>
        <v>Ein Mann spielt die Mundharmonika vor einem Mikrofon, dann endet er und verabschiedet sich.</v>
      </c>
    </row>
    <row r="10968">
      <c r="A10968" s="4" t="s">
        <v>13793</v>
      </c>
      <c r="B10968" s="4" t="s">
        <v>13795</v>
      </c>
      <c r="C10968" s="5" t="str">
        <f>IFERROR(__xludf.DUMMYFUNCTION("GOOGLETRANSLATE(B10968,""en"",""de"")"),"Dann tritt ein Mädchen auf die Bühne und spricht mit dem Mikrofon.")</f>
        <v>Dann tritt ein Mädchen auf die Bühne und spricht mit dem Mikrofon.</v>
      </c>
    </row>
    <row r="10969">
      <c r="A10969" s="4" t="s">
        <v>13796</v>
      </c>
      <c r="B10969" s="4" t="s">
        <v>13797</v>
      </c>
      <c r="C10969" s="5" t="str">
        <f>IFERROR(__xludf.DUMMYFUNCTION("GOOGLETRANSLATE(B10969,""en"",""de"")"),"Es gibt vier Kinder mit unterschiedlichem Alter, die Kick Ball in ihrem Hinterhof spielen.")</f>
        <v>Es gibt vier Kinder mit unterschiedlichem Alter, die Kick Ball in ihrem Hinterhof spielen.</v>
      </c>
    </row>
    <row r="10970">
      <c r="A10970" s="4" t="s">
        <v>13796</v>
      </c>
      <c r="B10970" s="4" t="s">
        <v>13798</v>
      </c>
      <c r="C10970" s="5" t="str">
        <f>IFERROR(__xludf.DUMMYFUNCTION("GOOGLETRANSLATE(B10970,""en"",""de"")"),"Das Mädchen in Pink tritt ihren Bruder im orangefarbenen Hemd in den Ball, während die kleinen Kinder herumlaufen und spielen.")</f>
        <v>Das Mädchen in Pink tritt ihren Bruder im orangefarbenen Hemd in den Ball, während die kleinen Kinder herumlaufen und spielen.</v>
      </c>
    </row>
    <row r="10971">
      <c r="A10971" s="4" t="s">
        <v>13796</v>
      </c>
      <c r="B10971" s="4" t="s">
        <v>13799</v>
      </c>
      <c r="C10971" s="5" t="str">
        <f>IFERROR(__xludf.DUMMYFUNCTION("GOOGLETRANSLATE(B10971,""en"",""de"")"),"Es gibt ein kleines Baby, das in einem Baby -Türsteher auf dem Boden sitzt und sie spielen zu sehen.")</f>
        <v>Es gibt ein kleines Baby, das in einem Baby -Türsteher auf dem Boden sitzt und sie spielen zu sehen.</v>
      </c>
    </row>
    <row r="10972">
      <c r="A10972" s="4" t="s">
        <v>13800</v>
      </c>
      <c r="B10972" s="4" t="s">
        <v>13801</v>
      </c>
      <c r="C10972" s="5" t="str">
        <f>IFERROR(__xludf.DUMMYFUNCTION("GOOGLETRANSLATE(B10972,""en"",""de"")"),"Ein Mann spricht mit der Kamera, während er zeitweise Blätter schärft.")</f>
        <v>Ein Mann spricht mit der Kamera, während er zeitweise Blätter schärft.</v>
      </c>
    </row>
    <row r="10973">
      <c r="A10973" s="4" t="s">
        <v>13800</v>
      </c>
      <c r="B10973" s="4" t="s">
        <v>13802</v>
      </c>
      <c r="C10973" s="5" t="str">
        <f>IFERROR(__xludf.DUMMYFUNCTION("GOOGLETRANSLATE(B10973,""en"",""de"")"),"Eine Nahaufnahme eines Blätterhaufens wird gezeigt.")</f>
        <v>Eine Nahaufnahme eines Blätterhaufens wird gezeigt.</v>
      </c>
    </row>
    <row r="10974">
      <c r="A10974" s="4" t="s">
        <v>13803</v>
      </c>
      <c r="B10974" s="4" t="s">
        <v>13804</v>
      </c>
      <c r="C10974" s="5" t="str">
        <f>IFERROR(__xludf.DUMMYFUNCTION("GOOGLETRANSLATE(B10974,""en"",""de"")"),"Eine Dame spricht mit der Kamera, dann lacht sie und schaut nach unten und die Kamera konzentriert sich an anderer Stelle.")</f>
        <v>Eine Dame spricht mit der Kamera, dann lacht sie und schaut nach unten und die Kamera konzentriert sich an anderer Stelle.</v>
      </c>
    </row>
    <row r="10975">
      <c r="A10975" s="4" t="s">
        <v>13803</v>
      </c>
      <c r="B10975" s="4" t="s">
        <v>13805</v>
      </c>
      <c r="C10975" s="5" t="str">
        <f>IFERROR(__xludf.DUMMYFUNCTION("GOOGLETRANSLATE(B10975,""en"",""de"")"),"Die Kamera ist zurück zur Dame und ein Mann schneidet jetzt ihr Haar, da ihr Mund ungläubig ist und der Mann lacht, als er ihr Haar in einer schnellen Bewegung um ihren Kopf schneidet.")</f>
        <v>Die Kamera ist zurück zur Dame und ein Mann schneidet jetzt ihr Haar, da ihr Mund ungläubig ist und der Mann lacht, als er ihr Haar in einer schnellen Bewegung um ihren Kopf schneidet.</v>
      </c>
    </row>
    <row r="10976">
      <c r="A10976" s="4" t="s">
        <v>13803</v>
      </c>
      <c r="B10976" s="4" t="s">
        <v>13806</v>
      </c>
      <c r="C10976" s="5" t="str">
        <f>IFERROR(__xludf.DUMMYFUNCTION("GOOGLETRANSLATE(B10976,""en"",""de"")"),"Die Dame ist so schockiert und lässt Haare aus ihrem Schoß fallen und schaut bei all den Haaren auf den Boden, berührt ihre Haare, steht auf, um in den Spiegel zu schauen, schreie, weint, fängt aus, setzt sich wieder hin und steht wieder hoch hoch in den "&amp;"Spiegel schauen.")</f>
        <v>Die Dame ist so schockiert und lässt Haare aus ihrem Schoß fallen und schaut bei all den Haaren auf den Boden, berührt ihre Haare, steht auf, um in den Spiegel zu schauen, schreie, weint, fängt aus, setzt sich wieder hin und steht wieder hoch hoch in den Spiegel schauen.</v>
      </c>
    </row>
    <row r="10977">
      <c r="A10977" s="4" t="s">
        <v>13803</v>
      </c>
      <c r="B10977" s="4" t="s">
        <v>13807</v>
      </c>
      <c r="C10977" s="5" t="str">
        <f>IFERROR(__xludf.DUMMYFUNCTION("GOOGLETRANSLATE(B10977,""en"",""de"")"),"Die Dame schaut in den Spiegel und lächelt, aber man kann sagen, dass sie nicht glücklich ist.")</f>
        <v>Die Dame schaut in den Spiegel und lächelt, aber man kann sagen, dass sie nicht glücklich ist.</v>
      </c>
    </row>
    <row r="10978">
      <c r="A10978" s="4" t="s">
        <v>13808</v>
      </c>
      <c r="B10978" s="4" t="s">
        <v>13809</v>
      </c>
      <c r="C10978" s="5" t="str">
        <f>IFERROR(__xludf.DUMMYFUNCTION("GOOGLETRANSLATE(B10978,""en"",""de"")"),"Ein kleiner Junge lächelt und lacht in die Kamera und beginnt Klavier zu spielen.")</f>
        <v>Ein kleiner Junge lächelt und lacht in die Kamera und beginnt Klavier zu spielen.</v>
      </c>
    </row>
    <row r="10979">
      <c r="A10979" s="4" t="s">
        <v>13808</v>
      </c>
      <c r="B10979" s="4" t="s">
        <v>13810</v>
      </c>
      <c r="C10979" s="5" t="str">
        <f>IFERROR(__xludf.DUMMYFUNCTION("GOOGLETRANSLATE(B10979,""en"",""de"")"),"Der Junge spielt schnell auf dem Klavier in einem schnellen Tempo und führt in ihn ein anderes Hemd und spielt immer noch.")</f>
        <v>Der Junge spielt schnell auf dem Klavier in einem schnellen Tempo und führt in ihn ein anderes Hemd und spielt immer noch.</v>
      </c>
    </row>
    <row r="10980">
      <c r="A10980" s="4" t="s">
        <v>13808</v>
      </c>
      <c r="B10980" s="4" t="s">
        <v>13811</v>
      </c>
      <c r="C10980" s="5" t="str">
        <f>IFERROR(__xludf.DUMMYFUNCTION("GOOGLETRANSLATE(B10980,""en"",""de"")"),"Er beendet, indem er seinen Körper auf das Klavier legt und dann in die Kamera lächelt.")</f>
        <v>Er beendet, indem er seinen Körper auf das Klavier legt und dann in die Kamera lächelt.</v>
      </c>
    </row>
    <row r="10981">
      <c r="A10981" s="4" t="s">
        <v>13812</v>
      </c>
      <c r="B10981" s="4" t="s">
        <v>13813</v>
      </c>
      <c r="C10981" s="5" t="str">
        <f>IFERROR(__xludf.DUMMYFUNCTION("GOOGLETRANSLATE(B10981,""en"",""de"")"),"Ein Mann legt eine Koka -Cola -Flasche auf ein Heubündel.")</f>
        <v>Ein Mann legt eine Koka -Cola -Flasche auf ein Heubündel.</v>
      </c>
    </row>
    <row r="10982">
      <c r="A10982" s="4" t="s">
        <v>13812</v>
      </c>
      <c r="B10982" s="4" t="s">
        <v>13814</v>
      </c>
      <c r="C10982" s="5" t="str">
        <f>IFERROR(__xludf.DUMMYFUNCTION("GOOGLETRANSLATE(B10982,""en"",""de"")"),"Der Mann schießt einen Pfeil aus einem Bogen.")</f>
        <v>Der Mann schießt einen Pfeil aus einem Bogen.</v>
      </c>
    </row>
    <row r="10983">
      <c r="A10983" s="4" t="s">
        <v>13812</v>
      </c>
      <c r="B10983" s="4" t="s">
        <v>13815</v>
      </c>
      <c r="C10983" s="5" t="str">
        <f>IFERROR(__xludf.DUMMYFUNCTION("GOOGLETRANSLATE(B10983,""en"",""de"")"),"Der Pfeil entschlackt die Flasche.")</f>
        <v>Der Pfeil entschlackt die Flasche.</v>
      </c>
    </row>
    <row r="10984">
      <c r="A10984" s="4" t="s">
        <v>13816</v>
      </c>
      <c r="B10984" s="4" t="s">
        <v>13817</v>
      </c>
      <c r="C10984" s="5" t="str">
        <f>IFERROR(__xludf.DUMMYFUNCTION("GOOGLETRANSLATE(B10984,""en"",""de"")"),"Jemand legt eine Entlüftung auf dem Dach eines Hauses.")</f>
        <v>Jemand legt eine Entlüftung auf dem Dach eines Hauses.</v>
      </c>
    </row>
    <row r="10985">
      <c r="A10985" s="4" t="s">
        <v>13816</v>
      </c>
      <c r="B10985" s="4" t="s">
        <v>13818</v>
      </c>
      <c r="C10985" s="5" t="str">
        <f>IFERROR(__xludf.DUMMYFUNCTION("GOOGLETRANSLATE(B10985,""en"",""de"")"),"Sie versiegeln die Entlüftung mit Kleber.")</f>
        <v>Sie versiegeln die Entlüftung mit Kleber.</v>
      </c>
    </row>
    <row r="10986">
      <c r="A10986" s="4" t="s">
        <v>13819</v>
      </c>
      <c r="B10986" s="4" t="s">
        <v>13820</v>
      </c>
      <c r="C10986" s="5" t="str">
        <f>IFERROR(__xludf.DUMMYFUNCTION("GOOGLETRANSLATE(B10986,""en"",""de"")"),"Zwei Jungen stehen hinter einem Tisch.")</f>
        <v>Zwei Jungen stehen hinter einem Tisch.</v>
      </c>
    </row>
    <row r="10987">
      <c r="A10987" s="4" t="s">
        <v>13819</v>
      </c>
      <c r="B10987" s="4" t="s">
        <v>13821</v>
      </c>
      <c r="C10987" s="5" t="str">
        <f>IFERROR(__xludf.DUMMYFUNCTION("GOOGLETRANSLATE(B10987,""en"",""de"")"),"Sie haben ein Glas und eine Zitrone auf dem Tisch.")</f>
        <v>Sie haben ein Glas und eine Zitrone auf dem Tisch.</v>
      </c>
    </row>
    <row r="10988">
      <c r="A10988" s="4" t="s">
        <v>13819</v>
      </c>
      <c r="B10988" s="4" t="s">
        <v>13822</v>
      </c>
      <c r="C10988" s="5" t="str">
        <f>IFERROR(__xludf.DUMMYFUNCTION("GOOGLETRANSLATE(B10988,""en"",""de"")"),"Sie gießen es in einen Pitcher aus Wasser und trinken etwas.")</f>
        <v>Sie gießen es in einen Pitcher aus Wasser und trinken etwas.</v>
      </c>
    </row>
    <row r="10989">
      <c r="A10989" s="4" t="s">
        <v>13819</v>
      </c>
      <c r="B10989" s="4" t="s">
        <v>13823</v>
      </c>
      <c r="C10989" s="5" t="str">
        <f>IFERROR(__xludf.DUMMYFUNCTION("GOOGLETRANSLATE(B10989,""en"",""de"")"),"Sie gießen das Getränk in zwei Gläser.")</f>
        <v>Sie gießen das Getränk in zwei Gläser.</v>
      </c>
    </row>
    <row r="10990">
      <c r="A10990" s="4" t="s">
        <v>13819</v>
      </c>
      <c r="B10990" s="4" t="s">
        <v>13824</v>
      </c>
      <c r="C10990" s="5" t="str">
        <f>IFERROR(__xludf.DUMMYFUNCTION("GOOGLETRANSLATE(B10990,""en"",""de"")"),"Beide nehmen einen Getränk aus dem Strohhalm.")</f>
        <v>Beide nehmen einen Getränk aus dem Strohhalm.</v>
      </c>
    </row>
    <row r="10991">
      <c r="A10991" s="4" t="s">
        <v>13825</v>
      </c>
      <c r="B10991" s="4" t="s">
        <v>13826</v>
      </c>
      <c r="C10991" s="5" t="str">
        <f>IFERROR(__xludf.DUMMYFUNCTION("GOOGLETRANSLATE(B10991,""en"",""de"")"),"Jungen spielen in den Innenfußball, während sie den Ball treten und an Spielkameraden weitergeben. Dann tritt der Schiedsrichter in das Zentrum ein und gibt Anweisungen.")</f>
        <v>Jungen spielen in den Innenfußball, während sie den Ball treten und an Spielkameraden weitergeben. Dann tritt der Schiedsrichter in das Zentrum ein und gibt Anweisungen.</v>
      </c>
    </row>
    <row r="10992">
      <c r="A10992" s="4" t="s">
        <v>13825</v>
      </c>
      <c r="B10992" s="4" t="s">
        <v>13827</v>
      </c>
      <c r="C10992" s="5" t="str">
        <f>IFERROR(__xludf.DUMMYFUNCTION("GOOGLETRANSLATE(B10992,""en"",""de"")"),"Dann setzt der Schiedsrichter den Ball in den Torbereich und ein Junge tritt den Ball, aber der Torhüter stoppt den Ball.")</f>
        <v>Dann setzt der Schiedsrichter den Ball in den Torbereich und ein Junge tritt den Ball, aber der Torhüter stoppt den Ball.</v>
      </c>
    </row>
    <row r="10993">
      <c r="A10993" s="4" t="s">
        <v>13825</v>
      </c>
      <c r="B10993" s="4" t="s">
        <v>13828</v>
      </c>
      <c r="C10993" s="5" t="str">
        <f>IFERROR(__xludf.DUMMYFUNCTION("GOOGLETRANSLATE(B10993,""en"",""de"")"),"Die Jungs spielen den Ball zum Torhüter, der den Ball hält.")</f>
        <v>Die Jungs spielen den Ball zum Torhüter, der den Ball hält.</v>
      </c>
    </row>
    <row r="10994">
      <c r="A10994" s="4" t="s">
        <v>13825</v>
      </c>
      <c r="B10994" s="4" t="s">
        <v>13829</v>
      </c>
      <c r="C10994" s="5" t="str">
        <f>IFERROR(__xludf.DUMMYFUNCTION("GOOGLETRANSLATE(B10994,""en"",""de"")"),"Danach spielen ein Spieler und die Teams weiter.")</f>
        <v>Danach spielen ein Spieler und die Teams weiter.</v>
      </c>
    </row>
    <row r="10995">
      <c r="A10995" s="4" t="s">
        <v>13830</v>
      </c>
      <c r="B10995" s="4" t="s">
        <v>13831</v>
      </c>
      <c r="C10995" s="5" t="str">
        <f>IFERROR(__xludf.DUMMYFUNCTION("GOOGLETRANSLATE(B10995,""en"",""de"")"),"Es werden mehrere Schüsse von Landschaften gezeigt, die zu einem Mann und einer Frau führen, die mit der Kamera spricht.")</f>
        <v>Es werden mehrere Schüsse von Landschaften gezeigt, die zu einem Mann und einer Frau führen, die mit der Kamera spricht.</v>
      </c>
    </row>
    <row r="10996">
      <c r="A10996" s="4" t="s">
        <v>13830</v>
      </c>
      <c r="B10996" s="4" t="s">
        <v>13832</v>
      </c>
      <c r="C10996" s="5" t="str">
        <f>IFERROR(__xludf.DUMMYFUNCTION("GOOGLETRANSLATE(B10996,""en"",""de"")"),"Das Paar geht auf eine sandige Grube und schwenkt um eine Gruppe von Spielern.")</f>
        <v>Das Paar geht auf eine sandige Grube und schwenkt um eine Gruppe von Spielern.</v>
      </c>
    </row>
    <row r="10997">
      <c r="A10997" s="4" t="s">
        <v>13830</v>
      </c>
      <c r="B10997" s="4" t="s">
        <v>13833</v>
      </c>
      <c r="C10997" s="5" t="str">
        <f>IFERROR(__xludf.DUMMYFUNCTION("GOOGLETRANSLATE(B10997,""en"",""de"")"),"Weitere Leute sprechen mit der Kamera, die Aufnahmen von ihnen zeigt, wie sie Volleyball spielen und mit dem Paar enden.")</f>
        <v>Weitere Leute sprechen mit der Kamera, die Aufnahmen von ihnen zeigt, wie sie Volleyball spielen und mit dem Paar enden.</v>
      </c>
    </row>
    <row r="10998">
      <c r="A10998" s="4" t="s">
        <v>13834</v>
      </c>
      <c r="B10998" s="4" t="s">
        <v>13835</v>
      </c>
      <c r="C10998" s="5" t="str">
        <f>IFERROR(__xludf.DUMMYFUNCTION("GOOGLETRANSLATE(B10998,""en"",""de"")"),"Ein älterer Priester sitzt in einem großen Gebäude in seinem Stuhl in einem großen Gebäude und 3 verschiedene Männer brechen den Tanz auf dem Boden vor ihm, während die Menschen um ihn herum anfangen zu klatschen und die Lichter von allen Blitzen ausgehen"&amp;".")</f>
        <v>Ein älterer Priester sitzt in einem großen Gebäude in seinem Stuhl in einem großen Gebäude und 3 verschiedene Männer brechen den Tanz auf dem Boden vor ihm, während die Menschen um ihn herum anfangen zu klatschen und die Lichter von allen Blitzen ausgehen.</v>
      </c>
    </row>
    <row r="10999">
      <c r="A10999" s="4" t="s">
        <v>13834</v>
      </c>
      <c r="B10999" s="4" t="s">
        <v>13836</v>
      </c>
      <c r="C10999" s="5" t="str">
        <f>IFERROR(__xludf.DUMMYFUNCTION("GOOGLETRANSLATE(B10999,""en"",""de"")"),"Wenn die Männer getanzt werden, stehen sie vor den Menschen und dem Priester zusammen und neigen ihren Bogen vor dem Priester und dem Volk.")</f>
        <v>Wenn die Männer getanzt werden, stehen sie vor den Menschen und dem Priester zusammen und neigen ihren Bogen vor dem Priester und dem Volk.</v>
      </c>
    </row>
    <row r="11000">
      <c r="A11000" s="4" t="s">
        <v>13834</v>
      </c>
      <c r="B11000" s="4" t="s">
        <v>13837</v>
      </c>
      <c r="C11000" s="5" t="str">
        <f>IFERROR(__xludf.DUMMYFUNCTION("GOOGLETRANSLATE(B11000,""en"",""de"")"),"Die Männer gehen dann zum Priester hinüber und jeder küsst seine Hand und weiße Worte erscheinen auf dem Bildschirm und sagen ""Imbilder: Reuters Rediging: Malin Lagerlof"".")</f>
        <v>Die Männer gehen dann zum Priester hinüber und jeder küsst seine Hand und weiße Worte erscheinen auf dem Bildschirm und sagen "Imbilder: Reuters Rediging: Malin Lagerlof".</v>
      </c>
    </row>
    <row r="11001">
      <c r="A11001" s="4" t="s">
        <v>13838</v>
      </c>
      <c r="B11001" s="4" t="s">
        <v>13839</v>
      </c>
      <c r="C11001" s="5" t="str">
        <f>IFERROR(__xludf.DUMMYFUNCTION("GOOGLETRANSLATE(B11001,""en"",""de"")"),"Ein Ehow -Intro kommt mit Musik im Hintergrund auf den Bildschirm.")</f>
        <v>Ein Ehow -Intro kommt mit Musik im Hintergrund auf den Bildschirm.</v>
      </c>
    </row>
    <row r="11002">
      <c r="A11002" s="4" t="s">
        <v>13838</v>
      </c>
      <c r="B11002" s="4" t="s">
        <v>13840</v>
      </c>
      <c r="C11002" s="5" t="str">
        <f>IFERROR(__xludf.DUMMYFUNCTION("GOOGLETRANSLATE(B11002,""en"",""de"")"),"Ich Mann erscheint auf dem Bildschirm und erzähle das Video über die Rasur.")</f>
        <v>Ich Mann erscheint auf dem Bildschirm und erzähle das Video über die Rasur.</v>
      </c>
    </row>
    <row r="11003">
      <c r="A11003" s="4" t="s">
        <v>13838</v>
      </c>
      <c r="B11003" s="4" t="s">
        <v>13841</v>
      </c>
      <c r="C11003" s="5" t="str">
        <f>IFERROR(__xludf.DUMMYFUNCTION("GOOGLETRANSLATE(B11003,""en"",""de"")"),"Es wird gezeigt, dass ein Mann seine Haut mit Feuchtigkeit versorgt und Rasiercreme auf sein Gesicht gepackt hat.")</f>
        <v>Es wird gezeigt, dass ein Mann seine Haut mit Feuchtigkeit versorgt und Rasiercreme auf sein Gesicht gepackt hat.</v>
      </c>
    </row>
    <row r="11004">
      <c r="A11004" s="4" t="s">
        <v>13838</v>
      </c>
      <c r="B11004" s="4" t="s">
        <v>13842</v>
      </c>
      <c r="C11004" s="5" t="str">
        <f>IFERROR(__xludf.DUMMYFUNCTION("GOOGLETRANSLATE(B11004,""en"",""de"")"),"Das Video endet mit dem Abschluss von Credits.")</f>
        <v>Das Video endet mit dem Abschluss von Credits.</v>
      </c>
    </row>
    <row r="11005">
      <c r="A11005" s="4" t="s">
        <v>13843</v>
      </c>
      <c r="B11005" s="4" t="s">
        <v>13844</v>
      </c>
      <c r="C11005" s="5" t="str">
        <f>IFERROR(__xludf.DUMMYFUNCTION("GOOGLETRANSLATE(B11005,""en"",""de"")"),"Ein Mann hat ein paar Werkzeuge und pumpt sein Auto einige, damit er den Reifen ausziehen kann.")</f>
        <v>Ein Mann hat ein paar Werkzeuge und pumpt sein Auto einige, damit er den Reifen ausziehen kann.</v>
      </c>
    </row>
    <row r="11006">
      <c r="A11006" s="4" t="s">
        <v>13843</v>
      </c>
      <c r="B11006" s="4" t="s">
        <v>13845</v>
      </c>
      <c r="C11006" s="5" t="str">
        <f>IFERROR(__xludf.DUMMYFUNCTION("GOOGLETRANSLATE(B11006,""en"",""de"")"),"Er nutzt das Werkzeug, um alle Nüsse einzeln auszuziehen.")</f>
        <v>Er nutzt das Werkzeug, um alle Nüsse einzeln auszuziehen.</v>
      </c>
    </row>
    <row r="11007">
      <c r="A11007" s="4" t="s">
        <v>13843</v>
      </c>
      <c r="B11007" s="4" t="s">
        <v>13846</v>
      </c>
      <c r="C11007" s="5" t="str">
        <f>IFERROR(__xludf.DUMMYFUNCTION("GOOGLETRANSLATE(B11007,""en"",""de"")"),"Dann greift er den Reifen ab und bewegt ihn um und er zieht einen anderen Reifen an.")</f>
        <v>Dann greift er den Reifen ab und bewegt ihn um und er zieht einen anderen Reifen an.</v>
      </c>
    </row>
    <row r="11008">
      <c r="A11008" s="4" t="s">
        <v>13843</v>
      </c>
      <c r="B11008" s="4" t="s">
        <v>13847</v>
      </c>
      <c r="C11008" s="5" t="str">
        <f>IFERROR(__xludf.DUMMYFUNCTION("GOOGLETRANSLATE(B11008,""en"",""de"")"),"Er macht alles, was er zuvor getan hat, aber das Gegenteil, und legt die Nüsse wieder ein, um den Reifen anzuziehen. Dann bringt er das Auto wieder nach unten.")</f>
        <v>Er macht alles, was er zuvor getan hat, aber das Gegenteil, und legt die Nüsse wieder ein, um den Reifen anzuziehen. Dann bringt er das Auto wieder nach unten.</v>
      </c>
    </row>
    <row r="11009">
      <c r="A11009" s="4" t="s">
        <v>13848</v>
      </c>
      <c r="B11009" s="4" t="s">
        <v>13849</v>
      </c>
      <c r="C11009" s="5" t="str">
        <f>IFERROR(__xludf.DUMMYFUNCTION("GOOGLETRANSLATE(B11009,""en"",""de"")"),"Ein Teenager -Skateboards in einer Straße, dann geht er mit einem Freund, der sein Skateboard hält, und dann Skateboard.")</f>
        <v>Ein Teenager -Skateboards in einer Straße, dann geht er mit einem Freund, der sein Skateboard hält, und dann Skateboard.</v>
      </c>
    </row>
    <row r="11010">
      <c r="A11010" s="4" t="s">
        <v>13848</v>
      </c>
      <c r="B11010" s="4" t="s">
        <v>13850</v>
      </c>
      <c r="C11010" s="5" t="str">
        <f>IFERROR(__xludf.DUMMYFUNCTION("GOOGLETRANSLATE(B11010,""en"",""de"")"),"Ein Auto betritt die Straße, in der das Teen -Skateboard.")</f>
        <v>Ein Auto betritt die Straße, in der das Teen -Skateboard.</v>
      </c>
    </row>
    <row r="11011">
      <c r="A11011" s="4" t="s">
        <v>13848</v>
      </c>
      <c r="B11011" s="4" t="s">
        <v>13851</v>
      </c>
      <c r="C11011" s="5" t="str">
        <f>IFERROR(__xludf.DUMMYFUNCTION("GOOGLETRANSLATE(B11011,""en"",""de"")"),"Ein Jugendlicher, der ein rosa T-Shirt-Skateboard auf der Straße trägt.")</f>
        <v>Ein Jugendlicher, der ein rosa T-Shirt-Skateboard auf der Straße trägt.</v>
      </c>
    </row>
    <row r="11012">
      <c r="A11012" s="4" t="s">
        <v>13848</v>
      </c>
      <c r="B11012" s="4" t="s">
        <v>13852</v>
      </c>
      <c r="C11012" s="5" t="str">
        <f>IFERROR(__xludf.DUMMYFUNCTION("GOOGLETRANSLATE(B11012,""en"",""de"")"),"Der Teenager spaziert sein Skateboard.")</f>
        <v>Der Teenager spaziert sein Skateboard.</v>
      </c>
    </row>
    <row r="11013">
      <c r="A11013" s="4" t="s">
        <v>13848</v>
      </c>
      <c r="B11013" s="4" t="s">
        <v>13853</v>
      </c>
      <c r="C11013" s="5" t="str">
        <f>IFERROR(__xludf.DUMMYFUNCTION("GOOGLETRANSLATE(B11013,""en"",""de"")"),"Teenager Skateboard auf der Straße und wenden Sie sich um Tricks und drehen sich.")</f>
        <v>Teenager Skateboard auf der Straße und wenden Sie sich um Tricks und drehen sich.</v>
      </c>
    </row>
    <row r="11014">
      <c r="A11014" s="4" t="s">
        <v>13848</v>
      </c>
      <c r="B11014" s="4" t="s">
        <v>13854</v>
      </c>
      <c r="C11014" s="5" t="str">
        <f>IFERROR(__xludf.DUMMYFUNCTION("GOOGLETRANSLATE(B11014,""en"",""de"")"),"Danach gehen zwei Teenager auf der Straße und dann Skateboard.")</f>
        <v>Danach gehen zwei Teenager auf der Straße und dann Skateboard.</v>
      </c>
    </row>
    <row r="11015">
      <c r="A11015" s="4" t="s">
        <v>13855</v>
      </c>
      <c r="B11015" s="4" t="s">
        <v>13856</v>
      </c>
      <c r="C11015" s="5" t="str">
        <f>IFERROR(__xludf.DUMMYFUNCTION("GOOGLETRANSLATE(B11015,""en"",""de"")"),"Ein Mann steht nachts auf einer Bühne mit vielen Bühnenlichtern, einer Band hinter ihm und einer Menge vor sich und er spielt eine Taschenpfeife.")</f>
        <v>Ein Mann steht nachts auf einer Bühne mit vielen Bühnenlichtern, einer Band hinter ihm und einer Menge vor sich und er spielt eine Taschenpfeife.</v>
      </c>
    </row>
    <row r="11016">
      <c r="A11016" s="4" t="s">
        <v>13855</v>
      </c>
      <c r="B11016" s="4" t="s">
        <v>13857</v>
      </c>
      <c r="C11016" s="5" t="str">
        <f>IFERROR(__xludf.DUMMYFUNCTION("GOOGLETRANSLATE(B11016,""en"",""de"")"),"Ein anderer Mann kommt auf die Bühne und spielt Gitarre und die Lichter blinken.")</f>
        <v>Ein anderer Mann kommt auf die Bühne und spielt Gitarre und die Lichter blinken.</v>
      </c>
    </row>
    <row r="11017">
      <c r="A11017" s="4" t="s">
        <v>13855</v>
      </c>
      <c r="B11017" s="4" t="s">
        <v>13858</v>
      </c>
      <c r="C11017" s="5" t="str">
        <f>IFERROR(__xludf.DUMMYFUNCTION("GOOGLETRANSLATE(B11017,""en"",""de"")"),"Wenn der Mann fertig ist, spielt der Dudelsack ein anderer Mann auf der Bühne, um ihn von ihm zu ergreifen, und der Mann, der den Dudelsack spielte, bekommt etwas zu trinken, dann schnappt sich ein Mikrofon und beginnt zu singen und seinen rechten Arm in "&amp;"die Luft zu winken.")</f>
        <v>Wenn der Mann fertig ist, spielt der Dudelsack ein anderer Mann auf der Bühne, um ihn von ihm zu ergreifen, und der Mann, der den Dudelsack spielte, bekommt etwas zu trinken, dann schnappt sich ein Mikrofon und beginnt zu singen und seinen rechten Arm in die Luft zu winken.</v>
      </c>
    </row>
    <row r="11018">
      <c r="A11018" s="4" t="s">
        <v>13859</v>
      </c>
      <c r="B11018" s="4" t="s">
        <v>13860</v>
      </c>
      <c r="C11018" s="5" t="str">
        <f>IFERROR(__xludf.DUMMYFUNCTION("GOOGLETRANSLATE(B11018,""en"",""de"")"),"Zwei Männer draußen im Wald, während ein Mann, der eine Strickkappe trägt, auf einem Seil über zwei Bäume gebunden ist, während ein Mann mit einem schwarzen Bart den Mann mit der Strickkappe unterstützt.")</f>
        <v>Zwei Männer draußen im Wald, während ein Mann, der eine Strickkappe trägt, auf einem Seil über zwei Bäume gebunden ist, während ein Mann mit einem schwarzen Bart den Mann mit der Strickkappe unterstützt.</v>
      </c>
    </row>
    <row r="11019">
      <c r="A11019" s="4" t="s">
        <v>13859</v>
      </c>
      <c r="B11019" s="4" t="s">
        <v>13861</v>
      </c>
      <c r="C11019" s="5" t="str">
        <f>IFERROR(__xludf.DUMMYFUNCTION("GOOGLETRANSLATE(B11019,""en"",""de"")"),"Der Mann mit dem Bart gibt den Mann am Seil frei und bewegt sich weg.")</f>
        <v>Der Mann mit dem Bart gibt den Mann am Seil frei und bewegt sich weg.</v>
      </c>
    </row>
    <row r="11020">
      <c r="A11020" s="4" t="s">
        <v>13859</v>
      </c>
      <c r="B11020" s="4" t="s">
        <v>13862</v>
      </c>
      <c r="C11020" s="5" t="str">
        <f>IFERROR(__xludf.DUMMYFUNCTION("GOOGLETRANSLATE(B11020,""en"",""de"")"),"Ein Mann in einem grünen Kapuzenpullover am Seil basiert auf, während der Mann im Bart den Mann am Seil unterstützt.")</f>
        <v>Ein Mann in einem grünen Kapuzenpullover am Seil basiert auf, während der Mann im Bart den Mann am Seil unterstützt.</v>
      </c>
    </row>
    <row r="11021">
      <c r="A11021" s="4" t="s">
        <v>13859</v>
      </c>
      <c r="B11021" s="4" t="s">
        <v>13863</v>
      </c>
      <c r="C11021" s="5" t="str">
        <f>IFERROR(__xludf.DUMMYFUNCTION("GOOGLETRANSLATE(B11021,""en"",""de"")"),"Ein Mann in einem grauen Hemd schiebt einen Mann, der ein schwarzes Hemd trägt, und führt einen Rücken aus und landet fest auf dem mit Blatt bedeckten Boden.")</f>
        <v>Ein Mann in einem grauen Hemd schiebt einen Mann, der ein schwarzes Hemd trägt, und führt einen Rücken aus und landet fest auf dem mit Blatt bedeckten Boden.</v>
      </c>
    </row>
    <row r="11022">
      <c r="A11022" s="4" t="s">
        <v>13864</v>
      </c>
      <c r="B11022" s="4" t="s">
        <v>13865</v>
      </c>
      <c r="C11022" s="5" t="str">
        <f>IFERROR(__xludf.DUMMYFUNCTION("GOOGLETRANSLATE(B11022,""en"",""de"")"),"Ein weißer Intro -Bildschirm erscheint mit Spezialeffekten und vielen Farben, die Wörter, Zahlen und Logos enthalten.")</f>
        <v>Ein weißer Intro -Bildschirm erscheint mit Spezialeffekten und vielen Farben, die Wörter, Zahlen und Logos enthalten.</v>
      </c>
    </row>
    <row r="11023">
      <c r="A11023" s="4" t="s">
        <v>13864</v>
      </c>
      <c r="B11023" s="4" t="s">
        <v>13866</v>
      </c>
      <c r="C11023" s="5" t="str">
        <f>IFERROR(__xludf.DUMMYFUNCTION("GOOGLETRANSLATE(B11023,""en"",""de"")"),"Männer werden dann in einem dunklen Raum gezeigt, das mit Menschen gefüllt ist, während sie Hemden anziehen, mit anderen die Hände schütteln, posieren und dann ein Spiel mit Foosball beginnen, während Bilder ihrer Flagge kurz auf dem Bildschirm auftauchen"&amp;" und viele Menschen um sie herum zuschauen als verschiedene Männer gegeneinander antreten.")</f>
        <v>Männer werden dann in einem dunklen Raum gezeigt, das mit Menschen gefüllt ist, während sie Hemden anziehen, mit anderen die Hände schütteln, posieren und dann ein Spiel mit Foosball beginnen, während Bilder ihrer Flagge kurz auf dem Bildschirm auftauchen und viele Menschen um sie herum zuschauen als verschiedene Männer gegeneinander antreten.</v>
      </c>
    </row>
    <row r="11024">
      <c r="A11024" s="4" t="s">
        <v>13864</v>
      </c>
      <c r="B11024" s="4" t="s">
        <v>13867</v>
      </c>
      <c r="C11024" s="5" t="str">
        <f>IFERROR(__xludf.DUMMYFUNCTION("GOOGLETRANSLATE(B11024,""en"",""de"")"),"Wenn sie damit fertig sind, einen Mann zu spielen und eine Frau auf einem Mikrofon steht, während ein Mann eine Schachtel zu einem anderen Mann übergibt und sie von der Bühne gehen.")</f>
        <v>Wenn sie damit fertig sind, einen Mann zu spielen und eine Frau auf einem Mikrofon steht, während ein Mann eine Schachtel zu einem anderen Mann übergibt und sie von der Bühne gehen.</v>
      </c>
    </row>
    <row r="11025">
      <c r="A11025" s="4" t="s">
        <v>13864</v>
      </c>
      <c r="B11025" s="4" t="s">
        <v>13868</v>
      </c>
      <c r="C11025" s="5" t="str">
        <f>IFERROR(__xludf.DUMMYFUNCTION("GOOGLETRANSLATE(B11025,""en"",""de"")"),"Der gleiche weiße Bildschirm von Anfang an erscheint mit Spezialeffekten und vielen farbigen Wörtern, dann verblasst er schwarz.")</f>
        <v>Der gleiche weiße Bildschirm von Anfang an erscheint mit Spezialeffekten und vielen farbigen Wörtern, dann verblasst er schwarz.</v>
      </c>
    </row>
    <row r="11026">
      <c r="A11026" s="4" t="s">
        <v>13869</v>
      </c>
      <c r="B11026" s="4" t="s">
        <v>69</v>
      </c>
      <c r="C11026" s="5" t="str">
        <f>IFERROR(__xludf.DUMMYFUNCTION("GOOGLETRANSLATE(B11026,""en"",""de"")"),"Die Leute spielen Lacrosse auf einem Grasfeld.")</f>
        <v>Die Leute spielen Lacrosse auf einem Grasfeld.</v>
      </c>
    </row>
    <row r="11027">
      <c r="A11027" s="4" t="s">
        <v>13869</v>
      </c>
      <c r="B11027" s="4" t="s">
        <v>13870</v>
      </c>
      <c r="C11027" s="5" t="str">
        <f>IFERROR(__xludf.DUMMYFUNCTION("GOOGLETRANSLATE(B11027,""en"",""de"")"),"Ein Mann in einem weißen Hemd spricht mit der Kamera.")</f>
        <v>Ein Mann in einem weißen Hemd spricht mit der Kamera.</v>
      </c>
    </row>
    <row r="11028">
      <c r="A11028" s="4" t="s">
        <v>13869</v>
      </c>
      <c r="B11028" s="4" t="s">
        <v>13871</v>
      </c>
      <c r="C11028" s="5" t="str">
        <f>IFERROR(__xludf.DUMMYFUNCTION("GOOGLETRANSLATE(B11028,""en"",""de"")"),"Ein Mädchen spricht dann mit der Kamera.")</f>
        <v>Ein Mädchen spricht dann mit der Kamera.</v>
      </c>
    </row>
    <row r="11029">
      <c r="A11029" s="4" t="s">
        <v>13869</v>
      </c>
      <c r="B11029" s="4" t="s">
        <v>13872</v>
      </c>
      <c r="C11029" s="5" t="str">
        <f>IFERROR(__xludf.DUMMYFUNCTION("GOOGLETRANSLATE(B11029,""en"",""de"")"),"Pinkwasserflaschen sind in einer Schachtel.")</f>
        <v>Pinkwasserflaschen sind in einer Schachtel.</v>
      </c>
    </row>
    <row r="11030">
      <c r="A11030" s="4" t="s">
        <v>13869</v>
      </c>
      <c r="B11030" s="4" t="s">
        <v>13873</v>
      </c>
      <c r="C11030" s="5" t="str">
        <f>IFERROR(__xludf.DUMMYFUNCTION("GOOGLETRANSLATE(B11030,""en"",""de"")"),"Sie gehen auf das Feld und beginnen zu spielen.")</f>
        <v>Sie gehen auf das Feld und beginnen zu spielen.</v>
      </c>
    </row>
    <row r="11031">
      <c r="A11031" s="4" t="s">
        <v>13874</v>
      </c>
      <c r="B11031" s="4" t="s">
        <v>13875</v>
      </c>
      <c r="C11031" s="5" t="str">
        <f>IFERROR(__xludf.DUMMYFUNCTION("GOOGLETRANSLATE(B11031,""en"",""de"")"),"Als Computer erzeugte er ein Spiel eines Mannes, er dreht sich.")</f>
        <v>Als Computer erzeugte er ein Spiel eines Mannes, er dreht sich.</v>
      </c>
    </row>
    <row r="11032">
      <c r="A11032" s="4" t="s">
        <v>13874</v>
      </c>
      <c r="B11032" s="4" t="s">
        <v>13876</v>
      </c>
      <c r="C11032" s="5" t="str">
        <f>IFERROR(__xludf.DUMMYFUNCTION("GOOGLETRANSLATE(B11032,""en"",""de"")"),"Er dreht sich schnell um und lässt die Frisbee los und die Schiedsrichter rennen bis zu Mark, wo es landet.")</f>
        <v>Er dreht sich schnell um und lässt die Frisbee los und die Schiedsrichter rennen bis zu Mark, wo es landet.</v>
      </c>
    </row>
    <row r="11033">
      <c r="A11033" s="4" t="s">
        <v>13874</v>
      </c>
      <c r="B11033" s="4" t="s">
        <v>13877</v>
      </c>
      <c r="C11033" s="5" t="str">
        <f>IFERROR(__xludf.DUMMYFUNCTION("GOOGLETRANSLATE(B11033,""en"",""de"")"),"Der Mann beginnt es wieder zu tun, er dreht sich und wirft erneut.")</f>
        <v>Der Mann beginnt es wieder zu tun, er dreht sich und wirft erneut.</v>
      </c>
    </row>
    <row r="11034">
      <c r="A11034" s="4" t="s">
        <v>13874</v>
      </c>
      <c r="B11034" s="4" t="s">
        <v>13878</v>
      </c>
      <c r="C11034" s="5" t="str">
        <f>IFERROR(__xludf.DUMMYFUNCTION("GOOGLETRANSLATE(B11034,""en"",""de"")"),"Die Partitur zeigt sich auf dem Bildschirm, bevor er sich dreht und wieder wirft, und dann jubelt er vor Aufregung.")</f>
        <v>Die Partitur zeigt sich auf dem Bildschirm, bevor er sich dreht und wieder wirft, und dann jubelt er vor Aufregung.</v>
      </c>
    </row>
    <row r="11035">
      <c r="A11035" s="4" t="s">
        <v>13879</v>
      </c>
      <c r="B11035" s="4" t="s">
        <v>13880</v>
      </c>
      <c r="C11035" s="5" t="str">
        <f>IFERROR(__xludf.DUMMYFUNCTION("GOOGLETRANSLATE(B11035,""en"",""de"")"),"Einige tragen einen Instrumentenfall, der draußen herumläuft, sie legten den Fall auf den Boden und nehmen eine Geige heraus.")</f>
        <v>Einige tragen einen Instrumentenfall, der draußen herumläuft, sie legten den Fall auf den Boden und nehmen eine Geige heraus.</v>
      </c>
    </row>
    <row r="11036">
      <c r="A11036" s="4" t="s">
        <v>13879</v>
      </c>
      <c r="B11036" s="4" t="s">
        <v>13881</v>
      </c>
      <c r="C11036" s="5" t="str">
        <f>IFERROR(__xludf.DUMMYFUNCTION("GOOGLETRANSLATE(B11036,""en"",""de"")"),"Die Frau spielt überall die Geige, wo sie hingeht und sie tanzt, während sie auch spielt.")</f>
        <v>Die Frau spielt überall die Geige, wo sie hingeht und sie tanzt, während sie auch spielt.</v>
      </c>
    </row>
    <row r="11037">
      <c r="A11037" s="4" t="s">
        <v>13879</v>
      </c>
      <c r="B11037" s="4" t="s">
        <v>13882</v>
      </c>
      <c r="C11037" s="5" t="str">
        <f>IFERROR(__xludf.DUMMYFUNCTION("GOOGLETRANSLATE(B11037,""en"",""de"")"),"Sie macht einige Bewegungen ihres Körpers und lässt ihren Rücken fast den Boden berühren, während sie sich immer noch auf der Geige ausstößt.")</f>
        <v>Sie macht einige Bewegungen ihres Körpers und lässt ihren Rücken fast den Boden berühren, während sie sich immer noch auf der Geige ausstößt.</v>
      </c>
    </row>
    <row r="11038">
      <c r="A11038" s="4" t="s">
        <v>13879</v>
      </c>
      <c r="B11038" s="4" t="s">
        <v>13883</v>
      </c>
      <c r="C11038" s="5" t="str">
        <f>IFERROR(__xludf.DUMMYFUNCTION("GOOGLETRANSLATE(B11038,""en"",""de"")"),"Sie ist sehr intensiv, sie spielt und spielt und wenn sie fertig ist, geht sie beiläufig weg.")</f>
        <v>Sie ist sehr intensiv, sie spielt und spielt und wenn sie fertig ist, geht sie beiläufig weg.</v>
      </c>
    </row>
    <row r="11039">
      <c r="A11039" s="4" t="s">
        <v>13884</v>
      </c>
      <c r="B11039" s="4" t="s">
        <v>13885</v>
      </c>
      <c r="C11039" s="5" t="str">
        <f>IFERROR(__xludf.DUMMYFUNCTION("GOOGLETRANSLATE(B11039,""en"",""de"")"),"Eine Frau spielt Flöte auf einem Klavier, während sie ihre Füße bewegt.")</f>
        <v>Eine Frau spielt Flöte auf einem Klavier, während sie ihre Füße bewegt.</v>
      </c>
    </row>
    <row r="11040">
      <c r="A11040" s="4" t="s">
        <v>13884</v>
      </c>
      <c r="B11040" s="4" t="s">
        <v>13886</v>
      </c>
      <c r="C11040" s="5" t="str">
        <f>IFERROR(__xludf.DUMMYFUNCTION("GOOGLETRANSLATE(B11040,""en"",""de"")"),"Die Frau spielte beendet Bow und lächelt.")</f>
        <v>Die Frau spielte beendet Bow und lächelt.</v>
      </c>
    </row>
    <row r="11041">
      <c r="A11041" s="4" t="s">
        <v>13887</v>
      </c>
      <c r="B11041" s="4" t="s">
        <v>13888</v>
      </c>
      <c r="C11041" s="5" t="str">
        <f>IFERROR(__xludf.DUMMYFUNCTION("GOOGLETRANSLATE(B11041,""en"",""de"")"),"Eine Frau spricht mit der Kamera und gießt Flüssigkeiten in einen Gehäuse aus.")</f>
        <v>Eine Frau spricht mit der Kamera und gießt Flüssigkeiten in einen Gehäuse aus.</v>
      </c>
    </row>
    <row r="11042">
      <c r="A11042" s="4" t="s">
        <v>13887</v>
      </c>
      <c r="B11042" s="4" t="s">
        <v>13889</v>
      </c>
      <c r="C11042" s="5" t="str">
        <f>IFERROR(__xludf.DUMMYFUNCTION("GOOGLETRANSLATE(B11042,""en"",""de"")"),"Sie zieht dann Kontakte in den Gehäuse und legt dann einen in jedes Auge.")</f>
        <v>Sie zieht dann Kontakte in den Gehäuse und legt dann einen in jedes Auge.</v>
      </c>
    </row>
    <row r="11043">
      <c r="A11043" s="4" t="s">
        <v>13887</v>
      </c>
      <c r="B11043" s="4" t="s">
        <v>13890</v>
      </c>
      <c r="C11043" s="5" t="str">
        <f>IFERROR(__xludf.DUMMYFUNCTION("GOOGLETRANSLATE(B11043,""en"",""de"")"),"Sie hält den Fall am Ende auf, gefolgt davon, dass sie die Kontakte wieder in den Fall steckt.")</f>
        <v>Sie hält den Fall am Ende auf, gefolgt davon, dass sie die Kontakte wieder in den Fall steckt.</v>
      </c>
    </row>
    <row r="11044">
      <c r="A11044" s="4" t="s">
        <v>13891</v>
      </c>
      <c r="B11044" s="4" t="s">
        <v>13892</v>
      </c>
      <c r="C11044" s="5" t="str">
        <f>IFERROR(__xludf.DUMMYFUNCTION("GOOGLETRANSLATE(B11044,""en"",""de"")"),"Die Leute rufen einen felsigen Fluss hinunter.")</f>
        <v>Die Leute rufen einen felsigen Fluss hinunter.</v>
      </c>
    </row>
    <row r="11045">
      <c r="A11045" s="4" t="s">
        <v>13891</v>
      </c>
      <c r="B11045" s="4" t="s">
        <v>13893</v>
      </c>
      <c r="C11045" s="5" t="str">
        <f>IFERROR(__xludf.DUMMYFUNCTION("GOOGLETRANSLATE(B11045,""en"",""de"")"),"Plötzlich dreht sich das Boot um und alle Männer fallen ins Wasser.")</f>
        <v>Plötzlich dreht sich das Boot um und alle Männer fallen ins Wasser.</v>
      </c>
    </row>
    <row r="11046">
      <c r="A11046" s="4" t="s">
        <v>13891</v>
      </c>
      <c r="B11046" s="4" t="s">
        <v>13894</v>
      </c>
      <c r="C11046" s="5" t="str">
        <f>IFERROR(__xludf.DUMMYFUNCTION("GOOGLETRANSLATE(B11046,""en"",""de"")"),"Dann erreichen die Menschen das Ufer, während ein Mann einen Felsen steigt.")</f>
        <v>Dann erreichen die Menschen das Ufer, während ein Mann einen Felsen steigt.</v>
      </c>
    </row>
    <row r="11047">
      <c r="A11047" s="4" t="s">
        <v>13891</v>
      </c>
      <c r="B11047" s="4" t="s">
        <v>13895</v>
      </c>
      <c r="C11047" s="5" t="str">
        <f>IFERROR(__xludf.DUMMYFUNCTION("GOOGLETRANSLATE(B11047,""en"",""de"")"),"Danach retten Personen in einem Boot einen Mann im Wasser und holen das Boot zurück.")</f>
        <v>Danach retten Personen in einem Boot einen Mann im Wasser und holen das Boot zurück.</v>
      </c>
    </row>
    <row r="11048">
      <c r="A11048" s="4" t="s">
        <v>13891</v>
      </c>
      <c r="B11048" s="4" t="s">
        <v>13896</v>
      </c>
      <c r="C11048" s="5" t="str">
        <f>IFERROR(__xludf.DUMMYFUNCTION("GOOGLETRANSLATE(B11048,""en"",""de"")"),"Zwei Männer stehen am Ufer neben einer Leiter.")</f>
        <v>Zwei Männer stehen am Ufer neben einer Leiter.</v>
      </c>
    </row>
    <row r="11049">
      <c r="A11049" s="4" t="s">
        <v>13891</v>
      </c>
      <c r="B11049" s="4" t="s">
        <v>13897</v>
      </c>
      <c r="C11049" s="5" t="str">
        <f>IFERROR(__xludf.DUMMYFUNCTION("GOOGLETRANSLATE(B11049,""en"",""de"")"),"Sparren warten noch im Wasser.")</f>
        <v>Sparren warten noch im Wasser.</v>
      </c>
    </row>
    <row r="11050">
      <c r="A11050" s="4" t="s">
        <v>13898</v>
      </c>
      <c r="B11050" s="4" t="s">
        <v>13899</v>
      </c>
      <c r="C11050" s="5" t="str">
        <f>IFERROR(__xludf.DUMMYFUNCTION("GOOGLETRANSLATE(B11050,""en"",""de"")"),"Die Leute spielen Bierpong, während andere Personen zuschauen.")</f>
        <v>Die Leute spielen Bierpong, während andere Personen zuschauen.</v>
      </c>
    </row>
    <row r="11051">
      <c r="A11051" s="4" t="s">
        <v>13898</v>
      </c>
      <c r="B11051" s="4" t="s">
        <v>13900</v>
      </c>
      <c r="C11051" s="5" t="str">
        <f>IFERROR(__xludf.DUMMYFUNCTION("GOOGLETRANSLATE(B11051,""en"",""de"")"),"Die Leute werden glücklich, wenn der Ball in eine Tasse kommt.")</f>
        <v>Die Leute werden glücklich, wenn der Ball in eine Tasse kommt.</v>
      </c>
    </row>
    <row r="11052">
      <c r="A11052" s="4" t="s">
        <v>13898</v>
      </c>
      <c r="B11052" s="4" t="s">
        <v>13901</v>
      </c>
      <c r="C11052" s="5" t="str">
        <f>IFERROR(__xludf.DUMMYFUNCTION("GOOGLETRANSLATE(B11052,""en"",""de"")"),"Dann wirft ein Mann einen Ball in eine Tasse und eine Person trinkt die Flüssigkeit in der Tasse.")</f>
        <v>Dann wirft ein Mann einen Ball in eine Tasse und eine Person trinkt die Flüssigkeit in der Tasse.</v>
      </c>
    </row>
    <row r="11053">
      <c r="A11053" s="4" t="s">
        <v>13898</v>
      </c>
      <c r="B11053" s="4" t="s">
        <v>13902</v>
      </c>
      <c r="C11053" s="5" t="str">
        <f>IFERROR(__xludf.DUMMYFUNCTION("GOOGLETRANSLATE(B11053,""en"",""de"")"),"Ein Mann wirft einen Ball in eine Tasse und die Leute gratulieren und umarmen den Mann.")</f>
        <v>Ein Mann wirft einen Ball in eine Tasse und die Leute gratulieren und umarmen den Mann.</v>
      </c>
    </row>
    <row r="11054">
      <c r="A11054" s="4" t="s">
        <v>13903</v>
      </c>
      <c r="B11054" s="4" t="s">
        <v>13904</v>
      </c>
      <c r="C11054" s="5" t="str">
        <f>IFERROR(__xludf.DUMMYFUNCTION("GOOGLETRANSLATE(B11054,""en"",""de"")"),"Eine Person spricht mit der Kamera und geht in einen Tattoo -Laden, gefolgt von einer Person, die von einem Künstler tätowiert wird.")</f>
        <v>Eine Person spricht mit der Kamera und geht in einen Tattoo -Laden, gefolgt von einer Person, die von einem Künstler tätowiert wird.</v>
      </c>
    </row>
    <row r="11055">
      <c r="A11055" s="4" t="s">
        <v>13903</v>
      </c>
      <c r="B11055" s="4" t="s">
        <v>13905</v>
      </c>
      <c r="C11055" s="5" t="str">
        <f>IFERROR(__xludf.DUMMYFUNCTION("GOOGLETRANSLATE(B11055,""en"",""de"")"),"Der Mann spricht weiter mit der Kamera, während ein anderer im Hintergrund tätowiert wird und weiter mit der Kamera spricht.")</f>
        <v>Der Mann spricht weiter mit der Kamera, während ein anderer im Hintergrund tätowiert wird und weiter mit der Kamera spricht.</v>
      </c>
    </row>
    <row r="11056">
      <c r="A11056" s="4" t="s">
        <v>13906</v>
      </c>
      <c r="B11056" s="4" t="s">
        <v>13907</v>
      </c>
      <c r="C11056" s="5" t="str">
        <f>IFERROR(__xludf.DUMMYFUNCTION("GOOGLETRANSLATE(B11056,""en"",""de"")"),"Wir sehen eine blaue Titelkarte.")</f>
        <v>Wir sehen eine blaue Titelkarte.</v>
      </c>
    </row>
    <row r="11057">
      <c r="A11057" s="4" t="s">
        <v>13906</v>
      </c>
      <c r="B11057" s="4" t="s">
        <v>13908</v>
      </c>
      <c r="C11057" s="5" t="str">
        <f>IFERROR(__xludf.DUMMYFUNCTION("GOOGLETRANSLATE(B11057,""en"",""de"")"),"Ein Mann und eine Frau beginnen in einem Ballsaal zu tanzen.")</f>
        <v>Ein Mann und eine Frau beginnen in einem Ballsaal zu tanzen.</v>
      </c>
    </row>
    <row r="11058">
      <c r="A11058" s="4" t="s">
        <v>13906</v>
      </c>
      <c r="B11058" s="4" t="s">
        <v>13909</v>
      </c>
      <c r="C11058" s="5" t="str">
        <f>IFERROR(__xludf.DUMMYFUNCTION("GOOGLETRANSLATE(B11058,""en"",""de"")"),"Sie pausieren und die Dame fegt ihr Bein.")</f>
        <v>Sie pausieren und die Dame fegt ihr Bein.</v>
      </c>
    </row>
    <row r="11059">
      <c r="A11059" s="4" t="s">
        <v>13906</v>
      </c>
      <c r="B11059" s="4" t="s">
        <v>13910</v>
      </c>
      <c r="C11059" s="5" t="str">
        <f>IFERROR(__xludf.DUMMYFUNCTION("GOOGLETRANSLATE(B11059,""en"",""de"")"),"Der Mann taucht die Dame ab.")</f>
        <v>Der Mann taucht die Dame ab.</v>
      </c>
    </row>
    <row r="11060">
      <c r="A11060" s="4" t="s">
        <v>13906</v>
      </c>
      <c r="B11060" s="4" t="s">
        <v>13911</v>
      </c>
      <c r="C11060" s="5" t="str">
        <f>IFERROR(__xludf.DUMMYFUNCTION("GOOGLETRANSLATE(B11060,""en"",""de"")"),"Die Dame rutscht zu Boden.")</f>
        <v>Die Dame rutscht zu Boden.</v>
      </c>
    </row>
    <row r="11061">
      <c r="A11061" s="4" t="s">
        <v>13906</v>
      </c>
      <c r="B11061" s="4" t="s">
        <v>13912</v>
      </c>
      <c r="C11061" s="5" t="str">
        <f>IFERROR(__xludf.DUMMYFUNCTION("GOOGLETRANSLATE(B11061,""en"",""de"")"),"Die Dame macht die Spaltungen.")</f>
        <v>Die Dame macht die Spaltungen.</v>
      </c>
    </row>
    <row r="11062">
      <c r="A11062" s="4" t="s">
        <v>13906</v>
      </c>
      <c r="B11062" s="4" t="s">
        <v>13913</v>
      </c>
      <c r="C11062" s="5" t="str">
        <f>IFERROR(__xludf.DUMMYFUNCTION("GOOGLETRANSLATE(B11062,""en"",""de"")"),"Der Mann hebt die Dame in der Luft.")</f>
        <v>Der Mann hebt die Dame in der Luft.</v>
      </c>
    </row>
    <row r="11063">
      <c r="A11063" s="4" t="s">
        <v>13906</v>
      </c>
      <c r="B11063" s="4" t="s">
        <v>13914</v>
      </c>
      <c r="C11063" s="5" t="str">
        <f>IFERROR(__xludf.DUMMYFUNCTION("GOOGLETRANSLATE(B11063,""en"",""de"")"),"Wir wechseln und sehen Menschen an verschiedenen Orten tanzen.")</f>
        <v>Wir wechseln und sehen Menschen an verschiedenen Orten tanzen.</v>
      </c>
    </row>
    <row r="11064">
      <c r="A11064" s="4" t="s">
        <v>13906</v>
      </c>
      <c r="B11064" s="4" t="s">
        <v>13915</v>
      </c>
      <c r="C11064" s="5" t="str">
        <f>IFERROR(__xludf.DUMMYFUNCTION("GOOGLETRANSLATE(B11064,""en"",""de"")"),"Wir sehen den blauen Endbildschirm.")</f>
        <v>Wir sehen den blauen Endbildschirm.</v>
      </c>
    </row>
    <row r="11065">
      <c r="A11065" s="4" t="s">
        <v>13916</v>
      </c>
      <c r="B11065" s="4" t="s">
        <v>13917</v>
      </c>
      <c r="C11065" s="5" t="str">
        <f>IFERROR(__xludf.DUMMYFUNCTION("GOOGLETRANSLATE(B11065,""en"",""de"")"),"Ein Mann tanzt in einem Nachtclub mit zwei Frauen um ihn herum.")</f>
        <v>Ein Mann tanzt in einem Nachtclub mit zwei Frauen um ihn herum.</v>
      </c>
    </row>
    <row r="11066">
      <c r="A11066" s="4" t="s">
        <v>13916</v>
      </c>
      <c r="B11066" s="4" t="s">
        <v>13918</v>
      </c>
      <c r="C11066" s="5" t="str">
        <f>IFERROR(__xludf.DUMMYFUNCTION("GOOGLETRANSLATE(B11066,""en"",""de"")"),"Die drei tanzen weiter miteinander, während andere nebenbei tanzen.")</f>
        <v>Die drei tanzen weiter miteinander, während andere nebenbei tanzen.</v>
      </c>
    </row>
    <row r="11067">
      <c r="A11067" s="4" t="s">
        <v>13916</v>
      </c>
      <c r="B11067" s="4" t="s">
        <v>13919</v>
      </c>
      <c r="C11067" s="5" t="str">
        <f>IFERROR(__xludf.DUMMYFUNCTION("GOOGLETRANSLATE(B11067,""en"",""de"")"),"Die Leute tanzen umeinander umeinander, während die Kamera ihre Bewegungen einfängt.")</f>
        <v>Die Leute tanzen umeinander umeinander, während die Kamera ihre Bewegungen einfängt.</v>
      </c>
    </row>
    <row r="11068">
      <c r="A11068" s="4" t="s">
        <v>13920</v>
      </c>
      <c r="B11068" s="4" t="s">
        <v>13921</v>
      </c>
      <c r="C11068" s="5" t="str">
        <f>IFERROR(__xludf.DUMMYFUNCTION("GOOGLETRANSLATE(B11068,""en"",""de"")"),"Eine Person malt Nägel an eine Frau mit lila Nagellack.")</f>
        <v>Eine Person malt Nägel an eine Frau mit lila Nagellack.</v>
      </c>
    </row>
    <row r="11069">
      <c r="A11069" s="4" t="s">
        <v>13920</v>
      </c>
      <c r="B11069" s="4" t="s">
        <v>13922</v>
      </c>
      <c r="C11069" s="5" t="str">
        <f>IFERROR(__xludf.DUMMYFUNCTION("GOOGLETRANSLATE(B11069,""en"",""de"")"),"Eine Frau schaut nach unten.")</f>
        <v>Eine Frau schaut nach unten.</v>
      </c>
    </row>
    <row r="11070">
      <c r="A11070" s="4" t="s">
        <v>13923</v>
      </c>
      <c r="B11070" s="4" t="s">
        <v>13924</v>
      </c>
      <c r="C11070" s="5" t="str">
        <f>IFERROR(__xludf.DUMMYFUNCTION("GOOGLETRANSLATE(B11070,""en"",""de"")"),"Eine Frau sitzt auf einem Stuhl und winkt in die Kamera und schaut in einen Spiegel, der sie und den Kameramann zeigt.")</f>
        <v>Eine Frau sitzt auf einem Stuhl und winkt in die Kamera und schaut in einen Spiegel, der sie und den Kameramann zeigt.</v>
      </c>
    </row>
    <row r="11071">
      <c r="A11071" s="4" t="s">
        <v>13923</v>
      </c>
      <c r="B11071" s="4" t="s">
        <v>13925</v>
      </c>
      <c r="C11071" s="5" t="str">
        <f>IFERROR(__xludf.DUMMYFUNCTION("GOOGLETRANSLATE(B11071,""en"",""de"")"),"Ein Tätowierer tritt dann in den Rahmen und beginnt ein Symbol am Hals des Mädchens zu tätowieren.")</f>
        <v>Ein Tätowierer tritt dann in den Rahmen und beginnt ein Symbol am Hals des Mädchens zu tätowieren.</v>
      </c>
    </row>
    <row r="11072">
      <c r="A11072" s="4" t="s">
        <v>13923</v>
      </c>
      <c r="B11072" s="4" t="s">
        <v>13926</v>
      </c>
      <c r="C11072" s="5" t="str">
        <f>IFERROR(__xludf.DUMMYFUNCTION("GOOGLETRANSLATE(B11072,""en"",""de"")"),"Am Ende werden Bilder des Tattoo des Mädchens gezeigt.")</f>
        <v>Am Ende werden Bilder des Tattoo des Mädchens gezeigt.</v>
      </c>
    </row>
    <row r="11073">
      <c r="A11073" s="4" t="s">
        <v>13927</v>
      </c>
      <c r="B11073" s="4" t="s">
        <v>13928</v>
      </c>
      <c r="C11073" s="5" t="str">
        <f>IFERROR(__xludf.DUMMYFUNCTION("GOOGLETRANSLATE(B11073,""en"",""de"")"),"Ein Intro führt zu einer kleinen Gruppe kleiner Kinder, die auf einer Bühneninstrumente stehen.")</f>
        <v>Ein Intro führt zu einer kleinen Gruppe kleiner Kinder, die auf einer Bühneninstrumente stehen.</v>
      </c>
    </row>
    <row r="11074">
      <c r="A11074" s="4" t="s">
        <v>13927</v>
      </c>
      <c r="B11074" s="4" t="s">
        <v>13929</v>
      </c>
      <c r="C11074" s="5" t="str">
        <f>IFERROR(__xludf.DUMMYFUNCTION("GOOGLETRANSLATE(B11074,""en"",""de"")"),"Sie beginnen die Instrumente zu spielen, während die Kamera aus jedem von ihnen herausgespielt wird.")</f>
        <v>Sie beginnen die Instrumente zu spielen, während die Kamera aus jedem von ihnen herausgespielt wird.</v>
      </c>
    </row>
    <row r="11075">
      <c r="A11075" s="4" t="s">
        <v>13930</v>
      </c>
      <c r="B11075" s="4" t="s">
        <v>13931</v>
      </c>
      <c r="C11075" s="5" t="str">
        <f>IFERROR(__xludf.DUMMYFUNCTION("GOOGLETRANSLATE(B11075,""en"",""de"")"),"Eine Frau, die einen Weihnachtsmann -Hut trägt, spricht.")</f>
        <v>Eine Frau, die einen Weihnachtsmann -Hut trägt, spricht.</v>
      </c>
    </row>
    <row r="11076">
      <c r="A11076" s="4" t="s">
        <v>13930</v>
      </c>
      <c r="B11076" s="4" t="s">
        <v>13932</v>
      </c>
      <c r="C11076" s="5" t="str">
        <f>IFERROR(__xludf.DUMMYFUNCTION("GOOGLETRANSLATE(B11076,""en"",""de"")"),"Sie legt Weihnachtslichter auf den Baum.")</f>
        <v>Sie legt Weihnachtslichter auf den Baum.</v>
      </c>
    </row>
    <row r="11077">
      <c r="A11077" s="4" t="s">
        <v>13930</v>
      </c>
      <c r="B11077" s="4" t="s">
        <v>13933</v>
      </c>
      <c r="C11077" s="5" t="str">
        <f>IFERROR(__xludf.DUMMYFUNCTION("GOOGLETRANSLATE(B11077,""en"",""de"")"),"Sie legt Band um den Baum.")</f>
        <v>Sie legt Band um den Baum.</v>
      </c>
    </row>
    <row r="11078">
      <c r="A11078" s="4" t="s">
        <v>13930</v>
      </c>
      <c r="B11078" s="4" t="s">
        <v>13934</v>
      </c>
      <c r="C11078" s="5" t="str">
        <f>IFERROR(__xludf.DUMMYFUNCTION("GOOGLETRANSLATE(B11078,""en"",""de"")"),"Sie fält Dekorationen um den Baum.")</f>
        <v>Sie fält Dekorationen um den Baum.</v>
      </c>
    </row>
    <row r="11079">
      <c r="A11079" s="4" t="s">
        <v>13930</v>
      </c>
      <c r="B11079" s="4" t="s">
        <v>13935</v>
      </c>
      <c r="C11079" s="5" t="str">
        <f>IFERROR(__xludf.DUMMYFUNCTION("GOOGLETRANSLATE(B11079,""en"",""de"")"),"Sie legt Glühbirnen auf den Weihnachtsbaum.")</f>
        <v>Sie legt Glühbirnen auf den Weihnachtsbaum.</v>
      </c>
    </row>
    <row r="11080">
      <c r="A11080" s="4" t="s">
        <v>13930</v>
      </c>
      <c r="B11080" s="4" t="s">
        <v>13936</v>
      </c>
      <c r="C11080" s="5" t="str">
        <f>IFERROR(__xludf.DUMMYFUNCTION("GOOGLETRANSLATE(B11080,""en"",""de"")"),"Sie legt kleine Stofftiere auf den Baum.")</f>
        <v>Sie legt kleine Stofftiere auf den Baum.</v>
      </c>
    </row>
    <row r="11081">
      <c r="A11081" s="4" t="s">
        <v>13930</v>
      </c>
      <c r="B11081" s="4" t="s">
        <v>13937</v>
      </c>
      <c r="C11081" s="5" t="str">
        <f>IFERROR(__xludf.DUMMYFUNCTION("GOOGLETRANSLATE(B11081,""en"",""de"")"),"Sie legt Candy Canes auf den Baum.")</f>
        <v>Sie legt Candy Canes auf den Baum.</v>
      </c>
    </row>
    <row r="11082">
      <c r="A11082" s="4" t="s">
        <v>13930</v>
      </c>
      <c r="B11082" s="4" t="s">
        <v>13938</v>
      </c>
      <c r="C11082" s="5" t="str">
        <f>IFERROR(__xludf.DUMMYFUNCTION("GOOGLETRANSLATE(B11082,""en"",""de"")"),"Sie legt einen Stern auf den Baum.")</f>
        <v>Sie legt einen Stern auf den Baum.</v>
      </c>
    </row>
    <row r="11083">
      <c r="A11083" s="4" t="s">
        <v>13930</v>
      </c>
      <c r="B11083" s="4" t="s">
        <v>13939</v>
      </c>
      <c r="C11083" s="5" t="str">
        <f>IFERROR(__xludf.DUMMYFUNCTION("GOOGLETRANSLATE(B11083,""en"",""de"")"),"Der Stern fällt vom Baum.")</f>
        <v>Der Stern fällt vom Baum.</v>
      </c>
    </row>
    <row r="11084">
      <c r="A11084" s="4" t="s">
        <v>13930</v>
      </c>
      <c r="B11084" s="4" t="s">
        <v>13940</v>
      </c>
      <c r="C11084" s="5" t="str">
        <f>IFERROR(__xludf.DUMMYFUNCTION("GOOGLETRANSLATE(B11084,""en"",""de"")"),"Sie setzt Baumwolle unter den Baum.")</f>
        <v>Sie setzt Baumwolle unter den Baum.</v>
      </c>
    </row>
    <row r="11085">
      <c r="A11085" s="4" t="s">
        <v>13941</v>
      </c>
      <c r="B11085" s="4" t="s">
        <v>13942</v>
      </c>
      <c r="C11085" s="5" t="str">
        <f>IFERROR(__xludf.DUMMYFUNCTION("GOOGLETRANSLATE(B11085,""en"",""de"")"),"Ein junges Mädchen in einem Raum spricht mit einer Kamera und zeigt ihre Frisur.")</f>
        <v>Ein junges Mädchen in einem Raum spricht mit einer Kamera und zeigt ihre Frisur.</v>
      </c>
    </row>
    <row r="11086">
      <c r="A11086" s="4" t="s">
        <v>13941</v>
      </c>
      <c r="B11086" s="4" t="s">
        <v>13943</v>
      </c>
      <c r="C11086" s="5" t="str">
        <f>IFERROR(__xludf.DUMMYFUNCTION("GOOGLETRANSLATE(B11086,""en"",""de"")"),"Sie kehrt dann zurück, bevor es geflochten wurde, und kämmt es aus und dreht es ab.")</f>
        <v>Sie kehrt dann zurück, bevor es geflochten wurde, und kämmt es aus und dreht es ab.</v>
      </c>
    </row>
    <row r="11087">
      <c r="A11087" s="4" t="s">
        <v>13941</v>
      </c>
      <c r="B11087" s="4" t="s">
        <v>13944</v>
      </c>
      <c r="C11087" s="5" t="str">
        <f>IFERROR(__xludf.DUMMYFUNCTION("GOOGLETRANSLATE(B11087,""en"",""de"")"),"Sie nimmt dann zwei Abschnitte und verflechtet sie und schnappt sich mehr Haarlängen, während sie das Geflecht hinuntergeht.")</f>
        <v>Sie nimmt dann zwei Abschnitte und verflechtet sie und schnappt sich mehr Haarlängen, während sie das Geflecht hinuntergeht.</v>
      </c>
    </row>
    <row r="11088">
      <c r="A11088" s="4" t="s">
        <v>13941</v>
      </c>
      <c r="B11088" s="4" t="s">
        <v>13945</v>
      </c>
      <c r="C11088" s="5" t="str">
        <f>IFERROR(__xludf.DUMMYFUNCTION("GOOGLETRANSLATE(B11088,""en"",""de"")"),"Dann steckt sie das Geflecht zur Seite und greift Haarlängen, um es zur Seite zu befestigen, und enthält Längen aus ihrem Haar.")</f>
        <v>Dann steckt sie das Geflecht zur Seite und greift Haarlängen, um es zur Seite zu befestigen, und enthält Längen aus ihrem Haar.</v>
      </c>
    </row>
    <row r="11089">
      <c r="A11089" s="4" t="s">
        <v>13941</v>
      </c>
      <c r="B11089" s="4" t="s">
        <v>13946</v>
      </c>
      <c r="C11089" s="5" t="str">
        <f>IFERROR(__xludf.DUMMYFUNCTION("GOOGLETRANSLATE(B11089,""en"",""de"")"),"Ihr Haar ist erfolgreich geflochten und sie zeigt den fertigen Look.")</f>
        <v>Ihr Haar ist erfolgreich geflochten und sie zeigt den fertigen Look.</v>
      </c>
    </row>
    <row r="11090">
      <c r="A11090" s="4" t="s">
        <v>13947</v>
      </c>
      <c r="B11090" s="4" t="s">
        <v>13948</v>
      </c>
      <c r="C11090" s="5" t="str">
        <f>IFERROR(__xludf.DUMMYFUNCTION("GOOGLETRANSLATE(B11090,""en"",""de"")"),"Ein Mann in der Fechtenausrüstung beginnt über die Fechtenausrüstung zu sprechen, die sich darauf vorbereitet, über seine Zäunerlebnisse zu sprechen.")</f>
        <v>Ein Mann in der Fechtenausrüstung beginnt über die Fechtenausrüstung zu sprechen, die sich darauf vorbereitet, über seine Zäunerlebnisse zu sprechen.</v>
      </c>
    </row>
    <row r="11091">
      <c r="A11091" s="4" t="s">
        <v>13947</v>
      </c>
      <c r="B11091" s="4" t="s">
        <v>13949</v>
      </c>
      <c r="C11091" s="5" t="str">
        <f>IFERROR(__xludf.DUMMYFUNCTION("GOOGLETRANSLATE(B11091,""en"",""de"")"),"Er trägt sich in seine Ausrüstung und geht zum Training ins Studio.")</f>
        <v>Er trägt sich in seine Ausrüstung und geht zum Training ins Studio.</v>
      </c>
    </row>
    <row r="11092">
      <c r="A11092" s="4" t="s">
        <v>13947</v>
      </c>
      <c r="B11092" s="4" t="s">
        <v>13950</v>
      </c>
      <c r="C11092" s="5" t="str">
        <f>IFERROR(__xludf.DUMMYFUNCTION("GOOGLETRANSLATE(B11092,""en"",""de"")"),"Er und ein anderer Mann üben miteinander, während ein Timer läuft.")</f>
        <v>Er und ein anderer Mann üben miteinander, während ein Timer läuft.</v>
      </c>
    </row>
    <row r="11093">
      <c r="A11093" s="4" t="s">
        <v>13947</v>
      </c>
      <c r="B11093" s="4" t="s">
        <v>13951</v>
      </c>
      <c r="C11093" s="5" t="str">
        <f>IFERROR(__xludf.DUMMYFUNCTION("GOOGLETRANSLATE(B11093,""en"",""de"")"),"Es gibt eine bestimmte Haltung und eine Art und Weise, wie Sie Ihre Füße bewegen, wenn Sie zänen, der sich zum und aus dem Gegner bewegt.")</f>
        <v>Es gibt eine bestimmte Haltung und eine Art und Weise, wie Sie Ihre Füße bewegen, wenn Sie zänen, der sich zum und aus dem Gegner bewegt.</v>
      </c>
    </row>
    <row r="11094">
      <c r="A11094" s="4" t="s">
        <v>13952</v>
      </c>
      <c r="B11094" s="4" t="s">
        <v>13953</v>
      </c>
      <c r="C11094" s="5" t="str">
        <f>IFERROR(__xludf.DUMMYFUNCTION("GOOGLETRANSLATE(B11094,""en"",""de"")"),"Eine Kamera schwenkt rund um einen Himmel, der Drachen in der Luft zeigt.")</f>
        <v>Eine Kamera schwenkt rund um einen Himmel, der Drachen in der Luft zeigt.</v>
      </c>
    </row>
    <row r="11095">
      <c r="A11095" s="4" t="s">
        <v>13952</v>
      </c>
      <c r="B11095" s="4" t="s">
        <v>13954</v>
      </c>
      <c r="C11095" s="5" t="str">
        <f>IFERROR(__xludf.DUMMYFUNCTION("GOOGLETRANSLATE(B11095,""en"",""de"")"),"Anschließend fährt eine Person mit einem Kite -Board auf dem Wasser.")</f>
        <v>Anschließend fährt eine Person mit einem Kite -Board auf dem Wasser.</v>
      </c>
    </row>
    <row r="11096">
      <c r="A11096" s="4" t="s">
        <v>13952</v>
      </c>
      <c r="B11096" s="4" t="s">
        <v>13955</v>
      </c>
      <c r="C11096" s="5" t="str">
        <f>IFERROR(__xludf.DUMMYFUNCTION("GOOGLETRANSLATE(B11096,""en"",""de"")"),"Die Person fährt weiter herum, während die Kamera beobachtet.")</f>
        <v>Die Person fährt weiter herum, während die Kamera beobachtet.</v>
      </c>
    </row>
    <row r="11097">
      <c r="A11097" s="4" t="s">
        <v>13956</v>
      </c>
      <c r="B11097" s="4" t="s">
        <v>13957</v>
      </c>
      <c r="C11097" s="5" t="str">
        <f>IFERROR(__xludf.DUMMYFUNCTION("GOOGLETRANSLATE(B11097,""en"",""de"")"),"Ein junges Mädchen steht vor einer Reihe von Affenstangen und lächelt, während er mit der Kamera spricht.")</f>
        <v>Ein junges Mädchen steht vor einer Reihe von Affenstangen und lächelt, während er mit der Kamera spricht.</v>
      </c>
    </row>
    <row r="11098">
      <c r="A11098" s="4" t="s">
        <v>13956</v>
      </c>
      <c r="B11098" s="4" t="s">
        <v>13958</v>
      </c>
      <c r="C11098" s="5" t="str">
        <f>IFERROR(__xludf.DUMMYFUNCTION("GOOGLETRANSLATE(B11098,""en"",""de"")"),"Sie trägt sich dann entlang des Sets der Affenbars und bewegt sich zurück und den vierten Platz im Spielset.")</f>
        <v>Sie trägt sich dann entlang des Sets der Affenbars und bewegt sich zurück und den vierten Platz im Spielset.</v>
      </c>
    </row>
    <row r="11099">
      <c r="A11099" s="4" t="s">
        <v>13956</v>
      </c>
      <c r="B11099" s="4" t="s">
        <v>13959</v>
      </c>
      <c r="C11099" s="5" t="str">
        <f>IFERROR(__xludf.DUMMYFUNCTION("GOOGLETRANSLATE(B11099,""en"",""de"")"),"Sie macht sich zurück zum Start und klettert die Leiter hinunter und schaut endlich in die Kamera.")</f>
        <v>Sie macht sich zurück zum Start und klettert die Leiter hinunter und schaut endlich in die Kamera.</v>
      </c>
    </row>
    <row r="11100">
      <c r="A11100" s="4" t="s">
        <v>13960</v>
      </c>
      <c r="B11100" s="4" t="s">
        <v>13961</v>
      </c>
      <c r="C11100" s="5" t="str">
        <f>IFERROR(__xludf.DUMMYFUNCTION("GOOGLETRANSLATE(B11100,""en"",""de"")"),"Eine Frau spricht vor den Jalousien vorne.")</f>
        <v>Eine Frau spricht vor den Jalousien vorne.</v>
      </c>
    </row>
    <row r="11101">
      <c r="A11101" s="4" t="s">
        <v>13960</v>
      </c>
      <c r="B11101" s="4" t="s">
        <v>13962</v>
      </c>
      <c r="C11101" s="5" t="str">
        <f>IFERROR(__xludf.DUMMYFUNCTION("GOOGLETRANSLATE(B11101,""en"",""de"")"),"Dann spielt die Frau vier Tam-Tams, sie spielt hauptsächlich den Tam-Tam auf ihr.")</f>
        <v>Dann spielt die Frau vier Tam-Tams, sie spielt hauptsächlich den Tam-Tam auf ihr.</v>
      </c>
    </row>
    <row r="11102">
      <c r="A11102" s="4" t="s">
        <v>13960</v>
      </c>
      <c r="B11102" s="4" t="s">
        <v>13963</v>
      </c>
      <c r="C11102" s="5" t="str">
        <f>IFERROR(__xludf.DUMMYFUNCTION("GOOGLETRANSLATE(B11102,""en"",""de"")"),"Dann hört die Frau auf zu spielen und zu lächeln.")</f>
        <v>Dann hört die Frau auf zu spielen und zu lächeln.</v>
      </c>
    </row>
    <row r="11103">
      <c r="A11103" s="4" t="s">
        <v>13964</v>
      </c>
      <c r="B11103" s="4" t="s">
        <v>13965</v>
      </c>
      <c r="C11103" s="5" t="str">
        <f>IFERROR(__xludf.DUMMYFUNCTION("GOOGLETRANSLATE(B11103,""en"",""de"")"),"Ein Mann und zwei Frauen machen in einem Gebäude einen aeroben Tanz.")</f>
        <v>Ein Mann und zwei Frauen machen in einem Gebäude einen aeroben Tanz.</v>
      </c>
    </row>
    <row r="11104">
      <c r="A11104" s="4" t="s">
        <v>13964</v>
      </c>
      <c r="B11104" s="4" t="s">
        <v>13966</v>
      </c>
      <c r="C11104" s="5" t="str">
        <f>IFERROR(__xludf.DUMMYFUNCTION("GOOGLETRANSLATE(B11104,""en"",""de"")"),"Sie führen mehrere Bewegungen aus und beschleunigen mit der Zeit.")</f>
        <v>Sie führen mehrere Bewegungen aus und beschleunigen mit der Zeit.</v>
      </c>
    </row>
    <row r="11105">
      <c r="A11105" s="4" t="s">
        <v>13964</v>
      </c>
      <c r="B11105" s="4" t="s">
        <v>13967</v>
      </c>
      <c r="C11105" s="5" t="str">
        <f>IFERROR(__xludf.DUMMYFUNCTION("GOOGLETRANSLATE(B11105,""en"",""de"")"),"Sie hören auf, klatschten und wischen das Haar aus ihren Gesichtern, wenn sie fertig sind.")</f>
        <v>Sie hören auf, klatschten und wischen das Haar aus ihren Gesichtern, wenn sie fertig sind.</v>
      </c>
    </row>
    <row r="11106">
      <c r="A11106" s="4" t="s">
        <v>13968</v>
      </c>
      <c r="B11106" s="4" t="s">
        <v>13969</v>
      </c>
      <c r="C11106" s="5" t="str">
        <f>IFERROR(__xludf.DUMMYFUNCTION("GOOGLETRANSLATE(B11106,""en"",""de"")"),"Ein Mann geht auf einem Feld.")</f>
        <v>Ein Mann geht auf einem Feld.</v>
      </c>
    </row>
    <row r="11107">
      <c r="A11107" s="4" t="s">
        <v>13968</v>
      </c>
      <c r="B11107" s="4" t="s">
        <v>13970</v>
      </c>
      <c r="C11107" s="5" t="str">
        <f>IFERROR(__xludf.DUMMYFUNCTION("GOOGLETRANSLATE(B11107,""en"",""de"")"),"Wir sehen seinen Rücken und sehen Blut und ein Geschirr in seiner Haut und zwei weitere Männer, die den Hautgurt haben.")</f>
        <v>Wir sehen seinen Rücken und sehen Blut und ein Geschirr in seiner Haut und zwei weitere Männer, die den Hautgurt haben.</v>
      </c>
    </row>
    <row r="11108">
      <c r="A11108" s="4" t="s">
        <v>13968</v>
      </c>
      <c r="B11108" s="4" t="s">
        <v>13971</v>
      </c>
      <c r="C11108" s="5" t="str">
        <f>IFERROR(__xludf.DUMMYFUNCTION("GOOGLETRANSLATE(B11108,""en"",""de"")"),"Wir sehen die Männer klettern und auf einem Kran hoch am Himmel stehen.")</f>
        <v>Wir sehen die Männer klettern und auf einem Kran hoch am Himmel stehen.</v>
      </c>
    </row>
    <row r="11109">
      <c r="A11109" s="4" t="s">
        <v>13968</v>
      </c>
      <c r="B11109" s="4" t="s">
        <v>13972</v>
      </c>
      <c r="C11109" s="5" t="str">
        <f>IFERROR(__xludf.DUMMYFUNCTION("GOOGLETRANSLATE(B11109,""en"",""de"")"),"Die Männer mit dem Hautgurt springen von einem Kran hoch über einem Wald.")</f>
        <v>Die Männer mit dem Hautgurt springen von einem Kran hoch über einem Wald.</v>
      </c>
    </row>
    <row r="11110">
      <c r="A11110" s="4" t="s">
        <v>13968</v>
      </c>
      <c r="B11110" s="4" t="s">
        <v>13973</v>
      </c>
      <c r="C11110" s="5" t="str">
        <f>IFERROR(__xludf.DUMMYFUNCTION("GOOGLETRANSLATE(B11110,""en"",""de"")"),"Wir sehen den Boden unten.")</f>
        <v>Wir sehen den Boden unten.</v>
      </c>
    </row>
    <row r="11111">
      <c r="A11111" s="4" t="s">
        <v>13974</v>
      </c>
      <c r="B11111" s="4" t="s">
        <v>13975</v>
      </c>
      <c r="C11111" s="5" t="str">
        <f>IFERROR(__xludf.DUMMYFUNCTION("GOOGLETRANSLATE(B11111,""en"",""de"")"),"Es wird ein Cartoon eines Torbogens gezeigt und führt zu einem Mann, der Tomaten auf einen Teller legt.")</f>
        <v>Es wird ein Cartoon eines Torbogens gezeigt und führt zu einem Mann, der Tomaten auf einen Teller legt.</v>
      </c>
    </row>
    <row r="11112">
      <c r="A11112" s="4" t="s">
        <v>13974</v>
      </c>
      <c r="B11112" s="4" t="s">
        <v>13976</v>
      </c>
      <c r="C11112" s="5" t="str">
        <f>IFERROR(__xludf.DUMMYFUNCTION("GOOGLETRANSLATE(B11112,""en"",""de"")"),"Er legt Zwiebeln und andere Zutaten auf einen Teller und schneidet mehrere weitere Zutaten auf.")</f>
        <v>Er legt Zwiebeln und andere Zutaten auf einen Teller und schneidet mehrere weitere Zutaten auf.</v>
      </c>
    </row>
    <row r="11113">
      <c r="A11113" s="4" t="s">
        <v>13974</v>
      </c>
      <c r="B11113" s="4" t="s">
        <v>13977</v>
      </c>
      <c r="C11113" s="5" t="str">
        <f>IFERROR(__xludf.DUMMYFUNCTION("GOOGLETRANSLATE(B11113,""en"",""de"")"),"Er legt die letzten Zutaten in die Schüssel, während er mit der Kamera spricht und auf das Essen kommt, das er gemacht hat.")</f>
        <v>Er legt die letzten Zutaten in die Schüssel, während er mit der Kamera spricht und auf das Essen kommt, das er gemacht hat.</v>
      </c>
    </row>
    <row r="11114">
      <c r="A11114" s="4" t="s">
        <v>13978</v>
      </c>
      <c r="B11114" s="4" t="s">
        <v>13979</v>
      </c>
      <c r="C11114" s="5" t="str">
        <f>IFERROR(__xludf.DUMMYFUNCTION("GOOGLETRANSLATE(B11114,""en"",""de"")"),"Zwei männliche Kinder sind draußen auf einer Einfahrt und reden miteinander.")</f>
        <v>Zwei männliche Kinder sind draußen auf einer Einfahrt und reden miteinander.</v>
      </c>
    </row>
    <row r="11115">
      <c r="A11115" s="4" t="s">
        <v>13978</v>
      </c>
      <c r="B11115" s="4" t="s">
        <v>13980</v>
      </c>
      <c r="C11115" s="5" t="str">
        <f>IFERROR(__xludf.DUMMYFUNCTION("GOOGLETRANSLATE(B11115,""en"",""de"")"),"Sobald sie ihr Gespräch beendet haben, beginnen sie mit dem Skateboard die Straße hinunter in einen offenen Park.")</f>
        <v>Sobald sie ihr Gespräch beendet haben, beginnen sie mit dem Skateboard die Straße hinunter in einen offenen Park.</v>
      </c>
    </row>
    <row r="11116">
      <c r="A11116" s="4" t="s">
        <v>13978</v>
      </c>
      <c r="B11116" s="4" t="s">
        <v>13981</v>
      </c>
      <c r="C11116" s="5" t="str">
        <f>IFERROR(__xludf.DUMMYFUNCTION("GOOGLETRANSLATE(B11116,""en"",""de"")"),"Die beiden Jungen kommen an ihrem Ziel an und reden dann, dann startet einer und der andere Junge folgt ihm und sie werden weiterhin Rollerblading.")</f>
        <v>Die beiden Jungen kommen an ihrem Ziel an und reden dann, dann startet einer und der andere Junge folgt ihm und sie werden weiterhin Rollerblading.</v>
      </c>
    </row>
    <row r="11117">
      <c r="A11117" s="4" t="s">
        <v>13982</v>
      </c>
      <c r="B11117" s="4" t="s">
        <v>13983</v>
      </c>
      <c r="C11117" s="5" t="str">
        <f>IFERROR(__xludf.DUMMYFUNCTION("GOOGLETRANSLATE(B11117,""en"",""de"")"),"Eine Reihe von Frauen wird in der Nähe ihrer Gesichter gezeigt.")</f>
        <v>Eine Reihe von Frauen wird in der Nähe ihrer Gesichter gezeigt.</v>
      </c>
    </row>
    <row r="11118">
      <c r="A11118" s="4" t="s">
        <v>13982</v>
      </c>
      <c r="B11118" s="4" t="s">
        <v>13984</v>
      </c>
      <c r="C11118" s="5" t="str">
        <f>IFERROR(__xludf.DUMMYFUNCTION("GOOGLETRANSLATE(B11118,""en"",""de"")"),"Ein Stylist steht neben einem Mädchen, das auf seinem Stuhl sitzt.")</f>
        <v>Ein Stylist steht neben einem Mädchen, das auf seinem Stuhl sitzt.</v>
      </c>
    </row>
    <row r="11119">
      <c r="A11119" s="4" t="s">
        <v>13982</v>
      </c>
      <c r="B11119" s="4" t="s">
        <v>13985</v>
      </c>
      <c r="C11119" s="5" t="str">
        <f>IFERROR(__xludf.DUMMYFUNCTION("GOOGLETRANSLATE(B11119,""en"",""de"")"),"Er gibt Anweisungen, wie sie ihre Haare stylen können.")</f>
        <v>Er gibt Anweisungen, wie sie ihre Haare stylen können.</v>
      </c>
    </row>
    <row r="11120">
      <c r="A11120" s="4" t="s">
        <v>13982</v>
      </c>
      <c r="B11120" s="4" t="s">
        <v>13986</v>
      </c>
      <c r="C11120" s="5" t="str">
        <f>IFERROR(__xludf.DUMMYFUNCTION("GOOGLETRANSLATE(B11120,""en"",""de"")"),"Er benutzt einen Trockner, um sich die Haare zu blasen und dann ihn zu klammern.")</f>
        <v>Er benutzt einen Trockner, um sich die Haare zu blasen und dann ihn zu klammern.</v>
      </c>
    </row>
    <row r="11121">
      <c r="A11121" s="4" t="s">
        <v>13987</v>
      </c>
      <c r="B11121" s="4" t="s">
        <v>13988</v>
      </c>
      <c r="C11121" s="5" t="str">
        <f>IFERROR(__xludf.DUMMYFUNCTION("GOOGLETRANSLATE(B11121,""en"",""de"")"),"Ein Mann ist gesehen, wie er sich in den Rahmen biegt, um eine Reihe von Gewichten zu holen, und beginnt sich nach oben zu heben.")</f>
        <v>Ein Mann ist gesehen, wie er sich in den Rahmen biegt, um eine Reihe von Gewichten zu holen, und beginnt sich nach oben zu heben.</v>
      </c>
    </row>
    <row r="11122">
      <c r="A11122" s="4" t="s">
        <v>13987</v>
      </c>
      <c r="B11122" s="4" t="s">
        <v>13989</v>
      </c>
      <c r="C11122" s="5" t="str">
        <f>IFERROR(__xludf.DUMMYFUNCTION("GOOGLETRANSLATE(B11122,""en"",""de"")"),"Dann hebt er das Gewicht mehrmals über seine Schulter, während er springt, um sich Schwung zu geben.")</f>
        <v>Dann hebt er das Gewicht mehrmals über seine Schulter, während er springt, um sich Schwung zu geben.</v>
      </c>
    </row>
    <row r="11123">
      <c r="A11123" s="4" t="s">
        <v>13990</v>
      </c>
      <c r="B11123" s="4" t="s">
        <v>13991</v>
      </c>
      <c r="C11123" s="5" t="str">
        <f>IFERROR(__xludf.DUMMYFUNCTION("GOOGLETRANSLATE(B11123,""en"",""de"")"),"Ein Mann schnitzt einen Kürbis und ein Stück Eis, dann hält der Mann einen geschnitzten Kürbis und legt ihn auf eine Bank.")</f>
        <v>Ein Mann schnitzt einen Kürbis und ein Stück Eis, dann hält der Mann einen geschnitzten Kürbis und legt ihn auf eine Bank.</v>
      </c>
    </row>
    <row r="11124">
      <c r="A11124" s="4" t="s">
        <v>13990</v>
      </c>
      <c r="B11124" s="4" t="s">
        <v>13992</v>
      </c>
      <c r="C11124" s="5" t="str">
        <f>IFERROR(__xludf.DUMMYFUNCTION("GOOGLETRANSLATE(B11124,""en"",""de"")"),"Ein junger Mann macht Fotos von künstlerischen Eisskulpturen, während eine Person auf der Straße ein Stück Eis schnitzt.")</f>
        <v>Ein junger Mann macht Fotos von künstlerischen Eisskulpturen, während eine Person auf der Straße ein Stück Eis schnitzt.</v>
      </c>
    </row>
    <row r="11125">
      <c r="A11125" s="4" t="s">
        <v>13990</v>
      </c>
      <c r="B11125" s="4" t="s">
        <v>13993</v>
      </c>
      <c r="C11125" s="5" t="str">
        <f>IFERROR(__xludf.DUMMYFUNCTION("GOOGLETRANSLATE(B11125,""en"",""de"")"),"Der Mann zeigt, wie man einen Kürbis mit Schnitzwerkzeugen schnitzt, um Gesichter zu erstellen.")</f>
        <v>Der Mann zeigt, wie man einen Kürbis mit Schnitzwerkzeugen schnitzt, um Gesichter zu erstellen.</v>
      </c>
    </row>
    <row r="11126">
      <c r="A11126" s="4" t="s">
        <v>13990</v>
      </c>
      <c r="B11126" s="4" t="s">
        <v>13994</v>
      </c>
      <c r="C11126" s="5" t="str">
        <f>IFERROR(__xludf.DUMMYFUNCTION("GOOGLETRANSLATE(B11126,""en"",""de"")"),"Die geschnitzten Kürbisse mit gruseligen Gesichtern und Eisskulpturen werden in einem Raum angezeigt.")</f>
        <v>Die geschnitzten Kürbisse mit gruseligen Gesichtern und Eisskulpturen werden in einem Raum angezeigt.</v>
      </c>
    </row>
    <row r="11127">
      <c r="A11127" s="4" t="s">
        <v>13995</v>
      </c>
      <c r="B11127" s="4" t="s">
        <v>1251</v>
      </c>
      <c r="C11127" s="5" t="str">
        <f>IFERROR(__xludf.DUMMYFUNCTION("GOOGLETRANSLATE(B11127,""en"",""de"")"),"Die Credits des Clips werden angezeigt.")</f>
        <v>Die Credits des Clips werden angezeigt.</v>
      </c>
    </row>
    <row r="11128">
      <c r="A11128" s="4" t="s">
        <v>13995</v>
      </c>
      <c r="B11128" s="4" t="s">
        <v>13996</v>
      </c>
      <c r="C11128" s="5" t="str">
        <f>IFERROR(__xludf.DUMMYFUNCTION("GOOGLETRANSLATE(B11128,""en"",""de"")"),"Die Menschen drehen sich in Übungsrädern.")</f>
        <v>Die Menschen drehen sich in Übungsrädern.</v>
      </c>
    </row>
    <row r="11129">
      <c r="A11129" s="4" t="s">
        <v>13995</v>
      </c>
      <c r="B11129" s="4" t="s">
        <v>573</v>
      </c>
      <c r="C11129" s="5" t="str">
        <f>IFERROR(__xludf.DUMMYFUNCTION("GOOGLETRANSLATE(B11129,""en"",""de"")"),"Die Credits des Videos werden angezeigt.")</f>
        <v>Die Credits des Videos werden angezeigt.</v>
      </c>
    </row>
    <row r="11130">
      <c r="A11130" s="4" t="s">
        <v>13997</v>
      </c>
      <c r="B11130" s="4" t="s">
        <v>13998</v>
      </c>
      <c r="C11130" s="5" t="str">
        <f>IFERROR(__xludf.DUMMYFUNCTION("GOOGLETRANSLATE(B11130,""en"",""de"")"),"Eine Person, die eine Gesichtsbedeckung trägt, schleppt ein Innenrohrgerät entlang des Schnees, umgeben von anderen Menschen, die dasselbe tun.")</f>
        <v>Eine Person, die eine Gesichtsbedeckung trägt, schleppt ein Innenrohrgerät entlang des Schnees, umgeben von anderen Menschen, die dasselbe tun.</v>
      </c>
    </row>
    <row r="11131">
      <c r="A11131" s="4" t="s">
        <v>13997</v>
      </c>
      <c r="B11131" s="4" t="s">
        <v>13999</v>
      </c>
      <c r="C11131" s="5" t="str">
        <f>IFERROR(__xludf.DUMMYFUNCTION("GOOGLETRANSLATE(B11131,""en"",""de"")"),"Der Einzelne geht zu einer anderen Person, die eine rote Jacke trägt.")</f>
        <v>Der Einzelne geht zu einer anderen Person, die eine rote Jacke trägt.</v>
      </c>
    </row>
    <row r="11132">
      <c r="A11132" s="4" t="s">
        <v>13997</v>
      </c>
      <c r="B11132" s="4" t="s">
        <v>14000</v>
      </c>
      <c r="C11132" s="5" t="str">
        <f>IFERROR(__xludf.DUMMYFUNCTION("GOOGLETRANSLATE(B11132,""en"",""de"")"),"Der Einzelne übergibt das Gerät der Person in der roten Jacke und sitzt auf dem Gerät.")</f>
        <v>Der Einzelne übergibt das Gerät der Person in der roten Jacke und sitzt auf dem Gerät.</v>
      </c>
    </row>
    <row r="11133">
      <c r="A11133" s="4" t="s">
        <v>13997</v>
      </c>
      <c r="B11133" s="4" t="s">
        <v>14001</v>
      </c>
      <c r="C11133" s="5" t="str">
        <f>IFERROR(__xludf.DUMMYFUNCTION("GOOGLETRANSLATE(B11133,""en"",""de"")"),"Die Person in der roten Jacke zieht das Gerät bergab und die erste Person fährt den Hang hinunter.")</f>
        <v>Die Person in der roten Jacke zieht das Gerät bergab und die erste Person fährt den Hang hinunter.</v>
      </c>
    </row>
    <row r="11134">
      <c r="A11134" s="4" t="s">
        <v>13997</v>
      </c>
      <c r="B11134" s="4" t="s">
        <v>14002</v>
      </c>
      <c r="C11134" s="5" t="str">
        <f>IFERROR(__xludf.DUMMYFUNCTION("GOOGLETRANSLATE(B11134,""en"",""de"")"),"Die erste individuelle steigt und nimmt das Ziehen des Geräts wieder auf.")</f>
        <v>Die erste individuelle steigt und nimmt das Ziehen des Geräts wieder auf.</v>
      </c>
    </row>
    <row r="11135">
      <c r="A11135" s="4" t="s">
        <v>13997</v>
      </c>
      <c r="B11135" s="4" t="s">
        <v>14003</v>
      </c>
      <c r="C11135" s="5" t="str">
        <f>IFERROR(__xludf.DUMMYFUNCTION("GOOGLETRANSLATE(B11135,""en"",""de"")"),"Der Einzelne zieht das Gerät auf einer Art bedeckter Gehweg mit einem beweglichen Boden.")</f>
        <v>Der Einzelne zieht das Gerät auf einer Art bedeckter Gehweg mit einem beweglichen Boden.</v>
      </c>
    </row>
    <row r="11136">
      <c r="A11136" s="4" t="s">
        <v>14004</v>
      </c>
      <c r="B11136" s="4" t="s">
        <v>14005</v>
      </c>
      <c r="C11136" s="5" t="str">
        <f>IFERROR(__xludf.DUMMYFUNCTION("GOOGLETRANSLATE(B11136,""en"",""de"")"),"Ein Feld von zwei Teams wird gezeigt, wie sie mitten in einem großen grünen Feld um einen Lacrosse -Ball kämpft.")</f>
        <v>Ein Feld von zwei Teams wird gezeigt, wie sie mitten in einem großen grünen Feld um einen Lacrosse -Ball kämpft.</v>
      </c>
    </row>
    <row r="11137">
      <c r="A11137" s="4" t="s">
        <v>14004</v>
      </c>
      <c r="B11137" s="4" t="s">
        <v>14006</v>
      </c>
      <c r="C11137" s="5" t="str">
        <f>IFERROR(__xludf.DUMMYFUNCTION("GOOGLETRANSLATE(B11137,""en"",""de"")"),"Sie stehen dann auf und spielen weiter über das große Feld.")</f>
        <v>Sie stehen dann auf und spielen weiter über das große Feld.</v>
      </c>
    </row>
    <row r="11138">
      <c r="A11138" s="4" t="s">
        <v>14004</v>
      </c>
      <c r="B11138" s="4" t="s">
        <v>14007</v>
      </c>
      <c r="C11138" s="5" t="str">
        <f>IFERROR(__xludf.DUMMYFUNCTION("GOOGLETRANSLATE(B11138,""en"",""de"")"),"Kurz darauf beginnt eine kleine Schlägerei in der Mitte des Pools und ein Mann in einer schwarzen einheitlichen Nase beginnt zu bluten und das Spiel hält an und Wiederholungen werden gezeigt.")</f>
        <v>Kurz darauf beginnt eine kleine Schlägerei in der Mitte des Pools und ein Mann in einer schwarzen einheitlichen Nase beginnt zu bluten und das Spiel hält an und Wiederholungen werden gezeigt.</v>
      </c>
    </row>
    <row r="11139">
      <c r="A11139" s="4" t="s">
        <v>14008</v>
      </c>
      <c r="B11139" s="4" t="s">
        <v>14009</v>
      </c>
      <c r="C11139" s="5" t="str">
        <f>IFERROR(__xludf.DUMMYFUNCTION("GOOGLETRANSLATE(B11139,""en"",""de"")"),"Eine Anzeige für Beckon Call Services erscheint.")</f>
        <v>Eine Anzeige für Beckon Call Services erscheint.</v>
      </c>
    </row>
    <row r="11140">
      <c r="A11140" s="4" t="s">
        <v>14008</v>
      </c>
      <c r="B11140" s="4" t="s">
        <v>14010</v>
      </c>
      <c r="C11140" s="5" t="str">
        <f>IFERROR(__xludf.DUMMYFUNCTION("GOOGLETRANSLATE(B11140,""en"",""de"")"),"Ein Mann steht in einem Hinterhof und spricht.")</f>
        <v>Ein Mann steht in einem Hinterhof und spricht.</v>
      </c>
    </row>
    <row r="11141">
      <c r="A11141" s="4" t="s">
        <v>14008</v>
      </c>
      <c r="B11141" s="4" t="s">
        <v>14011</v>
      </c>
      <c r="C11141" s="5" t="str">
        <f>IFERROR(__xludf.DUMMYFUNCTION("GOOGLETRANSLATE(B11141,""en"",""de"")"),"Er nimmt mehrere Fensterbildschirme auf, während er darüber spricht.")</f>
        <v>Er nimmt mehrere Fensterbildschirme auf, während er darüber spricht.</v>
      </c>
    </row>
    <row r="11142">
      <c r="A11142" s="4" t="s">
        <v>14008</v>
      </c>
      <c r="B11142" s="4" t="s">
        <v>14012</v>
      </c>
      <c r="C11142" s="5" t="str">
        <f>IFERROR(__xludf.DUMMYFUNCTION("GOOGLETRANSLATE(B11142,""en"",""de"")"),"Er fügt sie zum Stapel hinzu und geht weg.")</f>
        <v>Er fügt sie zum Stapel hinzu und geht weg.</v>
      </c>
    </row>
    <row r="11143">
      <c r="A11143" s="4" t="s">
        <v>14013</v>
      </c>
      <c r="B11143" s="4" t="s">
        <v>14014</v>
      </c>
      <c r="C11143" s="5" t="str">
        <f>IFERROR(__xludf.DUMMYFUNCTION("GOOGLETRANSLATE(B11143,""en"",""de"")"),"Eine Blaskapelle steht auf einer Straße bereit, während ein Publikum zuschaut.")</f>
        <v>Eine Blaskapelle steht auf einer Straße bereit, während ein Publikum zuschaut.</v>
      </c>
    </row>
    <row r="11144">
      <c r="A11144" s="4" t="s">
        <v>14013</v>
      </c>
      <c r="B11144" s="4" t="s">
        <v>14015</v>
      </c>
      <c r="C11144" s="5" t="str">
        <f>IFERROR(__xludf.DUMMYFUNCTION("GOOGLETRANSLATE(B11144,""en"",""de"")"),"Der Leiter leitet die Band.")</f>
        <v>Der Leiter leitet die Band.</v>
      </c>
    </row>
    <row r="11145">
      <c r="A11145" s="4" t="s">
        <v>14013</v>
      </c>
      <c r="B11145" s="4" t="s">
        <v>14016</v>
      </c>
      <c r="C11145" s="5" t="str">
        <f>IFERROR(__xludf.DUMMYFUNCTION("GOOGLETRANSLATE(B11145,""en"",""de"")"),"Die Band spielt auf der Straße, während das Publikum zuschaut.")</f>
        <v>Die Band spielt auf der Straße, während das Publikum zuschaut.</v>
      </c>
    </row>
    <row r="11146">
      <c r="A11146" s="4" t="s">
        <v>14017</v>
      </c>
      <c r="B11146" s="4" t="s">
        <v>14018</v>
      </c>
      <c r="C11146" s="5" t="str">
        <f>IFERROR(__xludf.DUMMYFUNCTION("GOOGLETRANSLATE(B11146,""en"",""de"")"),"Ein junger Mann spricht mit der Kamera und hält eine Zigarette.")</f>
        <v>Ein junger Mann spricht mit der Kamera und hält eine Zigarette.</v>
      </c>
    </row>
    <row r="11147">
      <c r="A11147" s="4" t="s">
        <v>14017</v>
      </c>
      <c r="B11147" s="4" t="s">
        <v>14019</v>
      </c>
      <c r="C11147" s="5" t="str">
        <f>IFERROR(__xludf.DUMMYFUNCTION("GOOGLETRANSLATE(B11147,""en"",""de"")"),"Der Mann nimmt einen Zug aus der Zigarette, während er immer noch mit der Kamera spricht.")</f>
        <v>Der Mann nimmt einen Zug aus der Zigarette, während er immer noch mit der Kamera spricht.</v>
      </c>
    </row>
    <row r="11148">
      <c r="A11148" s="4" t="s">
        <v>14017</v>
      </c>
      <c r="B11148" s="4" t="s">
        <v>14020</v>
      </c>
      <c r="C11148" s="5" t="str">
        <f>IFERROR(__xludf.DUMMYFUNCTION("GOOGLETRANSLATE(B11148,""en"",""de"")"),"Der Mann raucht weiter, während er wegblickt und mit der Kamera spricht.")</f>
        <v>Der Mann raucht weiter, während er wegblickt und mit der Kamera spricht.</v>
      </c>
    </row>
    <row r="11149">
      <c r="A11149" s="4" t="s">
        <v>14021</v>
      </c>
      <c r="B11149" s="4" t="s">
        <v>14022</v>
      </c>
      <c r="C11149" s="5" t="str">
        <f>IFERROR(__xludf.DUMMYFUNCTION("GOOGLETRANSLATE(B11149,""en"",""de"")"),"Ein Titelbildschirm führt zu zwei Frauen, die auf einen Block auf und ab treten.")</f>
        <v>Ein Titelbildschirm führt zu zwei Frauen, die auf einen Block auf und ab treten.</v>
      </c>
    </row>
    <row r="11150">
      <c r="A11150" s="4" t="s">
        <v>14021</v>
      </c>
      <c r="B11150" s="4" t="s">
        <v>14023</v>
      </c>
      <c r="C11150" s="5" t="str">
        <f>IFERROR(__xludf.DUMMYFUNCTION("GOOGLETRANSLATE(B11150,""en"",""de"")"),"Sie führen verschiedene Übungen am Strahl durch und bewegen sich in einer synchronisierten Bewegung zusammen.")</f>
        <v>Sie führen verschiedene Übungen am Strahl durch und bewegen sich in einer synchronisierten Bewegung zusammen.</v>
      </c>
    </row>
    <row r="11151">
      <c r="A11151" s="4" t="s">
        <v>14021</v>
      </c>
      <c r="B11151" s="4" t="s">
        <v>14024</v>
      </c>
      <c r="C11151" s="5" t="str">
        <f>IFERROR(__xludf.DUMMYFUNCTION("GOOGLETRANSLATE(B11151,""en"",""de"")"),"Die Mädchen drehen sich rund und hoffen und hoffen dann wieder auf und dann auf den Strahl.")</f>
        <v>Die Mädchen drehen sich rund und hoffen und hoffen dann wieder auf und dann auf den Strahl.</v>
      </c>
    </row>
    <row r="11152">
      <c r="A11152" s="4" t="s">
        <v>14025</v>
      </c>
      <c r="B11152" s="4" t="s">
        <v>14026</v>
      </c>
      <c r="C11152" s="5" t="str">
        <f>IFERROR(__xludf.DUMMYFUNCTION("GOOGLETRANSLATE(B11152,""en"",""de"")"),"Zwei Teams sind mit Schiedsrichtern auf einem Feld.")</f>
        <v>Zwei Teams sind mit Schiedsrichtern auf einem Feld.</v>
      </c>
    </row>
    <row r="11153">
      <c r="A11153" s="4" t="s">
        <v>14025</v>
      </c>
      <c r="B11153" s="4" t="s">
        <v>14027</v>
      </c>
      <c r="C11153" s="5" t="str">
        <f>IFERROR(__xludf.DUMMYFUNCTION("GOOGLETRANSLATE(B11153,""en"",""de"")"),"Sie sind an einem Lacrosse -Spiel beteiligt.")</f>
        <v>Sie sind an einem Lacrosse -Spiel beteiligt.</v>
      </c>
    </row>
    <row r="11154">
      <c r="A11154" s="4" t="s">
        <v>14025</v>
      </c>
      <c r="B11154" s="4" t="s">
        <v>14028</v>
      </c>
      <c r="C11154" s="5" t="str">
        <f>IFERROR(__xludf.DUMMYFUNCTION("GOOGLETRANSLATE(B11154,""en"",""de"")"),"Sie rennen über das Feld und versuchen, den Ball aus dem Ziel des Gegners herauszuhalten.")</f>
        <v>Sie rennen über das Feld und versuchen, den Ball aus dem Ziel des Gegners herauszuhalten.</v>
      </c>
    </row>
    <row r="11155">
      <c r="A11155" s="4" t="s">
        <v>14029</v>
      </c>
      <c r="B11155" s="4" t="s">
        <v>14030</v>
      </c>
      <c r="C11155" s="5" t="str">
        <f>IFERROR(__xludf.DUMMYFUNCTION("GOOGLETRANSLATE(B11155,""en"",""de"")"),"Ein älterer Mann steht vor zwei Pucks, während eine andere Person sie über das Eis schiebt.")</f>
        <v>Ein älterer Mann steht vor zwei Pucks, während eine andere Person sie über das Eis schiebt.</v>
      </c>
    </row>
    <row r="11156">
      <c r="A11156" s="4" t="s">
        <v>14029</v>
      </c>
      <c r="B11156" s="4" t="s">
        <v>14031</v>
      </c>
      <c r="C11156" s="5" t="str">
        <f>IFERROR(__xludf.DUMMYFUNCTION("GOOGLETRANSLATE(B11156,""en"",""de"")"),"Der Mann beugt sich mehrmals hin und gleitet dann mit den Pucks über das Eis.")</f>
        <v>Der Mann beugt sich mehrmals hin und gleitet dann mit den Pucks über das Eis.</v>
      </c>
    </row>
    <row r="11157">
      <c r="A11157" s="4" t="s">
        <v>14032</v>
      </c>
      <c r="B11157" s="4" t="s">
        <v>14033</v>
      </c>
      <c r="C11157" s="5" t="str">
        <f>IFERROR(__xludf.DUMMYFUNCTION("GOOGLETRANSLATE(B11157,""en"",""de"")"),"Ein Intro führt zu einem Mann, der Pfeile auf ein Brett wirft.")</f>
        <v>Ein Intro führt zu einem Mann, der Pfeile auf ein Brett wirft.</v>
      </c>
    </row>
    <row r="11158">
      <c r="A11158" s="4" t="s">
        <v>14032</v>
      </c>
      <c r="B11158" s="4" t="s">
        <v>14034</v>
      </c>
      <c r="C11158" s="5" t="str">
        <f>IFERROR(__xludf.DUMMYFUNCTION("GOOGLETRANSLATE(B11158,""en"",""de"")"),"Er schaut eng in die Ferne und wirft weiterhin Darts.")</f>
        <v>Er schaut eng in die Ferne und wirft weiterhin Darts.</v>
      </c>
    </row>
    <row r="11159">
      <c r="A11159" s="4" t="s">
        <v>14032</v>
      </c>
      <c r="B11159" s="4" t="s">
        <v>14035</v>
      </c>
      <c r="C11159" s="5" t="str">
        <f>IFERROR(__xludf.DUMMYFUNCTION("GOOGLETRANSLATE(B11159,""en"",""de"")"),"Die Kamera zeigt das Brett am Ende und der Mann wirft es.")</f>
        <v>Die Kamera zeigt das Brett am Ende und der Mann wirft es.</v>
      </c>
    </row>
    <row r="11160">
      <c r="A11160" s="4" t="s">
        <v>14036</v>
      </c>
      <c r="B11160" s="4" t="s">
        <v>14037</v>
      </c>
      <c r="C11160" s="5" t="str">
        <f>IFERROR(__xludf.DUMMYFUNCTION("GOOGLETRANSLATE(B11160,""en"",""de"")"),"Eine Frau sitzt in der Ferne auf einem Rasenmäher.")</f>
        <v>Eine Frau sitzt in der Ferne auf einem Rasenmäher.</v>
      </c>
    </row>
    <row r="11161">
      <c r="A11161" s="4" t="s">
        <v>14036</v>
      </c>
      <c r="B11161" s="4" t="s">
        <v>14038</v>
      </c>
      <c r="C11161" s="5" t="str">
        <f>IFERROR(__xludf.DUMMYFUNCTION("GOOGLETRANSLATE(B11161,""en"",""de"")"),"Die Frau fährt den Rasenmäher zur Kamera.")</f>
        <v>Die Frau fährt den Rasenmäher zur Kamera.</v>
      </c>
    </row>
    <row r="11162">
      <c r="A11162" s="4" t="s">
        <v>14036</v>
      </c>
      <c r="B11162" s="4" t="s">
        <v>14039</v>
      </c>
      <c r="C11162" s="5" t="str">
        <f>IFERROR(__xludf.DUMMYFUNCTION("GOOGLETRANSLATE(B11162,""en"",""de"")"),"Die Frau beginnt den Mäher an einer Zaunecke zu drehen.")</f>
        <v>Die Frau beginnt den Mäher an einer Zaunecke zu drehen.</v>
      </c>
    </row>
    <row r="11163">
      <c r="A11163" s="4" t="s">
        <v>14040</v>
      </c>
      <c r="B11163" s="4" t="s">
        <v>4366</v>
      </c>
      <c r="C11163" s="5" t="str">
        <f>IFERROR(__xludf.DUMMYFUNCTION("GOOGLETRANSLATE(B11163,""en"",""de"")"),"Die Credits des Clips werden angezeigt.")</f>
        <v>Die Credits des Clips werden angezeigt.</v>
      </c>
    </row>
    <row r="11164">
      <c r="A11164" s="4" t="s">
        <v>14040</v>
      </c>
      <c r="B11164" s="4" t="s">
        <v>14041</v>
      </c>
      <c r="C11164" s="5" t="str">
        <f>IFERROR(__xludf.DUMMYFUNCTION("GOOGLETRANSLATE(B11164,""en"",""de"")"),"Eine Person repariert Stahl mit einer Schweißausrüstung.")</f>
        <v>Eine Person repariert Stahl mit einer Schweißausrüstung.</v>
      </c>
    </row>
    <row r="11165">
      <c r="A11165" s="4" t="s">
        <v>14040</v>
      </c>
      <c r="B11165" s="4" t="s">
        <v>14042</v>
      </c>
      <c r="C11165" s="5" t="str">
        <f>IFERROR(__xludf.DUMMYFUNCTION("GOOGLETRANSLATE(B11165,""en"",""de"")"),"Eine Person verwendet einen Hammer und eine flache Ausrüstung, um Trümmer zu entfernen.")</f>
        <v>Eine Person verwendet einen Hammer und eine flache Ausrüstung, um Trümmer zu entfernen.</v>
      </c>
    </row>
    <row r="11166">
      <c r="A11166" s="4" t="s">
        <v>14040</v>
      </c>
      <c r="B11166" s="4" t="s">
        <v>14043</v>
      </c>
      <c r="C11166" s="5" t="str">
        <f>IFERROR(__xludf.DUMMYFUNCTION("GOOGLETRANSLATE(B11166,""en"",""de"")"),"Eine Person verwendet eine flache Ausrüstung, um geschmolzene Stahlabfälle zu entfernen.")</f>
        <v>Eine Person verwendet eine flache Ausrüstung, um geschmolzene Stahlabfälle zu entfernen.</v>
      </c>
    </row>
    <row r="11167">
      <c r="A11167" s="4" t="s">
        <v>14040</v>
      </c>
      <c r="B11167" s="4" t="s">
        <v>14044</v>
      </c>
      <c r="C11167" s="5" t="str">
        <f>IFERROR(__xludf.DUMMYFUNCTION("GOOGLETRANSLATE(B11167,""en"",""de"")"),"Die Person stellt zwei mit der Hantel geformte Stahl in der Öffnung, die sie schweißt.")</f>
        <v>Die Person stellt zwei mit der Hantel geformte Stahl in der Öffnung, die sie schweißt.</v>
      </c>
    </row>
    <row r="11168">
      <c r="A11168" s="4" t="s">
        <v>14040</v>
      </c>
      <c r="B11168" s="4" t="s">
        <v>14045</v>
      </c>
      <c r="C11168" s="5" t="str">
        <f>IFERROR(__xludf.DUMMYFUNCTION("GOOGLETRANSLATE(B11168,""en"",""de"")"),"Eine Person verwendet eine flache Ausrüstung, um die geschweißte Öffnung zu reinigen.")</f>
        <v>Eine Person verwendet eine flache Ausrüstung, um die geschweißte Öffnung zu reinigen.</v>
      </c>
    </row>
    <row r="11169">
      <c r="A11169" s="4" t="s">
        <v>14040</v>
      </c>
      <c r="B11169" s="4" t="s">
        <v>14046</v>
      </c>
      <c r="C11169" s="5" t="str">
        <f>IFERROR(__xludf.DUMMYFUNCTION("GOOGLETRANSLATE(B11169,""en"",""de"")"),"Eine Person benutzt eine flache Ausrüstung, um die dumbelförmigen Stähle zu bewegen, und entfernt sie dann mit seiner Hand.")</f>
        <v>Eine Person benutzt eine flache Ausrüstung, um die dumbelförmigen Stähle zu bewegen, und entfernt sie dann mit seiner Hand.</v>
      </c>
    </row>
    <row r="11170">
      <c r="A11170" s="4" t="s">
        <v>14040</v>
      </c>
      <c r="B11170" s="4" t="s">
        <v>14047</v>
      </c>
      <c r="C11170" s="5" t="str">
        <f>IFERROR(__xludf.DUMMYFUNCTION("GOOGLETRANSLATE(B11170,""en"",""de"")"),"Die Credits des Videos werden angezeigt.")</f>
        <v>Die Credits des Videos werden angezeigt.</v>
      </c>
    </row>
    <row r="11171">
      <c r="A11171" s="4" t="s">
        <v>14048</v>
      </c>
      <c r="B11171" s="4" t="s">
        <v>14049</v>
      </c>
      <c r="C11171" s="5" t="str">
        <f>IFERROR(__xludf.DUMMYFUNCTION("GOOGLETRANSLATE(B11171,""en"",""de"")"),"Eine Frau hält aus einer roten Bar und macht mehrere Arm -Pulls.")</f>
        <v>Eine Frau hält aus einer roten Bar und macht mehrere Arm -Pulls.</v>
      </c>
    </row>
    <row r="11172">
      <c r="A11172" s="4" t="s">
        <v>14048</v>
      </c>
      <c r="B11172" s="4" t="s">
        <v>14050</v>
      </c>
      <c r="C11172" s="5" t="str">
        <f>IFERROR(__xludf.DUMMYFUNCTION("GOOGLETRANSLATE(B11172,""en"",""de"")"),"Sie entdeckt dann ihre Beine und springt mit den Händen an ihrer Seite hinunter.")</f>
        <v>Sie entdeckt dann ihre Beine und springt mit den Händen an ihrer Seite hinunter.</v>
      </c>
    </row>
    <row r="11173">
      <c r="A11173" s="4" t="s">
        <v>14048</v>
      </c>
      <c r="B11173" s="4" t="s">
        <v>14051</v>
      </c>
      <c r="C11173" s="5" t="str">
        <f>IFERROR(__xludf.DUMMYFUNCTION("GOOGLETRANSLATE(B11173,""en"",""de"")"),"Ein Lebensfitness -Logo blitzt dann auf dem Bildschirm.")</f>
        <v>Ein Lebensfitness -Logo blitzt dann auf dem Bildschirm.</v>
      </c>
    </row>
    <row r="11174">
      <c r="A11174" s="4" t="s">
        <v>14052</v>
      </c>
      <c r="B11174" s="4" t="s">
        <v>14053</v>
      </c>
      <c r="C11174" s="5" t="str">
        <f>IFERROR(__xludf.DUMMYFUNCTION("GOOGLETRANSLATE(B11174,""en"",""de"")"),"Eine Person ist zu sehen, die Blätter um einen Hof mit einem Blattgebläse auf dem Rücken blasen.")</f>
        <v>Eine Person ist zu sehen, die Blätter um einen Hof mit einem Blattgebläse auf dem Rücken blasen.</v>
      </c>
    </row>
    <row r="11175">
      <c r="A11175" s="4" t="s">
        <v>14052</v>
      </c>
      <c r="B11175" s="4" t="s">
        <v>14054</v>
      </c>
      <c r="C11175" s="5" t="str">
        <f>IFERROR(__xludf.DUMMYFUNCTION("GOOGLETRANSLATE(B11175,""en"",""de"")"),"Die Kamera folgt ihm, als der Mann den Hof auf und ab bewegt und rund um die Gegend blasen.")</f>
        <v>Die Kamera folgt ihm, als der Mann den Hof auf und ab bewegt und rund um die Gegend blasen.</v>
      </c>
    </row>
    <row r="11176">
      <c r="A11176" s="4" t="s">
        <v>14055</v>
      </c>
      <c r="B11176" s="4" t="s">
        <v>14056</v>
      </c>
      <c r="C11176" s="5" t="str">
        <f>IFERROR(__xludf.DUMMYFUNCTION("GOOGLETRANSLATE(B11176,""en"",""de"")"),"Ein Mann sitzt auf einem Fahrradrad, das trainiert.")</f>
        <v>Ein Mann sitzt auf einem Fahrradrad, das trainiert.</v>
      </c>
    </row>
    <row r="11177">
      <c r="A11177" s="4" t="s">
        <v>14055</v>
      </c>
      <c r="B11177" s="4" t="s">
        <v>14057</v>
      </c>
      <c r="C11177" s="5" t="str">
        <f>IFERROR(__xludf.DUMMYFUNCTION("GOOGLETRANSLATE(B11177,""en"",""de"")"),"Ein Mann steht neben ihm auf und redet.")</f>
        <v>Ein Mann steht neben ihm auf und redet.</v>
      </c>
    </row>
    <row r="11178">
      <c r="A11178" s="4" t="s">
        <v>14055</v>
      </c>
      <c r="B11178" s="4" t="s">
        <v>14058</v>
      </c>
      <c r="C11178" s="5" t="str">
        <f>IFERROR(__xludf.DUMMYFUNCTION("GOOGLETRANSLATE(B11178,""en"",""de"")"),"Ein schwarz -weißes Logo kommt auf den Bildschirm.")</f>
        <v>Ein schwarz -weißes Logo kommt auf den Bildschirm.</v>
      </c>
    </row>
    <row r="11179">
      <c r="A11179" s="4" t="s">
        <v>14059</v>
      </c>
      <c r="B11179" s="4" t="s">
        <v>14060</v>
      </c>
      <c r="C11179" s="5" t="str">
        <f>IFERROR(__xludf.DUMMYFUNCTION("GOOGLETRANSLATE(B11179,""en"",""de"")"),"Gymnast Micah Ross montiert vor einem berühmten Publikum den Balancestrahl, als die Menge ihren Namen jubelt und ruft.")</f>
        <v>Gymnast Micah Ross montiert vor einem berühmten Publikum den Balancestrahl, als die Menge ihren Namen jubelt und ruft.</v>
      </c>
    </row>
    <row r="11180">
      <c r="A11180" s="4" t="s">
        <v>14059</v>
      </c>
      <c r="B11180" s="4" t="s">
        <v>14061</v>
      </c>
      <c r="C11180" s="5" t="str">
        <f>IFERROR(__xludf.DUMMYFUNCTION("GOOGLETRANSLATE(B11180,""en"",""de"")"),"Ihre Routine beginnt mit einem Flip, Split und Summersault.")</f>
        <v>Ihre Routine beginnt mit einem Flip, Split und Summersault.</v>
      </c>
    </row>
    <row r="11181">
      <c r="A11181" s="4" t="s">
        <v>14059</v>
      </c>
      <c r="B11181" s="4" t="s">
        <v>14062</v>
      </c>
      <c r="C11181" s="5" t="str">
        <f>IFERROR(__xludf.DUMMYFUNCTION("GOOGLETRANSLATE(B11181,""en"",""de"")"),"Sie führt dann zwei Rückwärtsflips und eine Pirouette durch.")</f>
        <v>Sie führt dann zwei Rückwärtsflips und eine Pirouette durch.</v>
      </c>
    </row>
    <row r="11182">
      <c r="A11182" s="4" t="s">
        <v>14059</v>
      </c>
      <c r="B11182" s="4" t="s">
        <v>14063</v>
      </c>
      <c r="C11182" s="5" t="str">
        <f>IFERROR(__xludf.DUMMYFUNCTION("GOOGLETRANSLATE(B11182,""en"",""de"")"),"Ein Vorwärtsflip und Sprung folgt zusammen mit einem seitlichen Flip.")</f>
        <v>Ein Vorwärtsflip und Sprung folgt zusammen mit einem seitlichen Flip.</v>
      </c>
    </row>
    <row r="11183">
      <c r="A11183" s="4" t="s">
        <v>14059</v>
      </c>
      <c r="B11183" s="4" t="s">
        <v>14064</v>
      </c>
      <c r="C11183" s="5" t="str">
        <f>IFERROR(__xludf.DUMMYFUNCTION("GOOGLETRANSLATE(B11183,""en"",""de"")"),"Nachdem Micah kurz an der Bar gewechselt ist, erweckt er ihre Gelassenheit zurück und führt einen Vorwärts -Summersault durch.")</f>
        <v>Nachdem Micah kurz an der Bar gewechselt ist, erweckt er ihre Gelassenheit zurück und führt einen Vorwärts -Summersault durch.</v>
      </c>
    </row>
    <row r="11184">
      <c r="A11184" s="4" t="s">
        <v>14059</v>
      </c>
      <c r="B11184" s="4" t="s">
        <v>14065</v>
      </c>
      <c r="C11184" s="5" t="str">
        <f>IFERROR(__xludf.DUMMYFUNCTION("GOOGLETRANSLATE(B11184,""en"",""de"")"),"Ross steigt erfolgreich mit einem doppelten Flip zum Applaus des Publikums ab.")</f>
        <v>Ross steigt erfolgreich mit einem doppelten Flip zum Applaus des Publikums ab.</v>
      </c>
    </row>
    <row r="11185">
      <c r="A11185" s="4" t="s">
        <v>14066</v>
      </c>
      <c r="B11185" s="4" t="s">
        <v>14067</v>
      </c>
      <c r="C11185" s="5" t="str">
        <f>IFERROR(__xludf.DUMMYFUNCTION("GOOGLETRANSLATE(B11185,""en"",""de"")"),"Ein Schlagzeuger trommelt, dann brach der Stock.")</f>
        <v>Ein Schlagzeuger trommelt, dann brach der Stock.</v>
      </c>
    </row>
    <row r="11186">
      <c r="A11186" s="4" t="s">
        <v>14066</v>
      </c>
      <c r="B11186" s="4" t="s">
        <v>14068</v>
      </c>
      <c r="C11186" s="5" t="str">
        <f>IFERROR(__xludf.DUMMYFUNCTION("GOOGLETRANSLATE(B11186,""en"",""de"")"),"Ein Junge im blauen Hemd traf die Trommel, aber die große Trommel bewegt sich weiter, dann fiel es.")</f>
        <v>Ein Junge im blauen Hemd traf die Trommel, aber die große Trommel bewegt sich weiter, dann fiel es.</v>
      </c>
    </row>
    <row r="11187">
      <c r="A11187" s="4" t="s">
        <v>14066</v>
      </c>
      <c r="B11187" s="4" t="s">
        <v>14069</v>
      </c>
      <c r="C11187" s="5" t="str">
        <f>IFERROR(__xludf.DUMMYFUNCTION("GOOGLETRANSLATE(B11187,""en"",""de"")"),"Ein Junge mit Ohrhörern trommelt und der Stock wurde im Instrument stecken.")</f>
        <v>Ein Junge mit Ohrhörern trommelt und der Stock wurde im Instrument stecken.</v>
      </c>
    </row>
    <row r="11188">
      <c r="A11188" s="4" t="s">
        <v>14066</v>
      </c>
      <c r="B11188" s="4" t="s">
        <v>14070</v>
      </c>
      <c r="C11188" s="5" t="str">
        <f>IFERROR(__xludf.DUMMYFUNCTION("GOOGLETRANSLATE(B11188,""en"",""de"")"),"Die Band spielt, während der Mann singt, fiel der Schlagzeuger vom Stuhl.")</f>
        <v>Die Band spielt, während der Mann singt, fiel der Schlagzeuger vom Stuhl.</v>
      </c>
    </row>
    <row r="11189">
      <c r="A11189" s="4" t="s">
        <v>14066</v>
      </c>
      <c r="B11189" s="4" t="s">
        <v>14071</v>
      </c>
      <c r="C11189" s="5" t="str">
        <f>IFERROR(__xludf.DUMMYFUNCTION("GOOGLETRANSLATE(B11189,""en"",""de"")"),"Die Blaskapelle spielt ihre Schlagzeug, dann fiel einer der Schlagzeuger auf den Boden, eine Person kam, um ihm zu helfen.")</f>
        <v>Die Blaskapelle spielt ihre Schlagzeug, dann fiel einer der Schlagzeuger auf den Boden, eine Person kam, um ihm zu helfen.</v>
      </c>
    </row>
    <row r="11190">
      <c r="A11190" s="4" t="s">
        <v>14066</v>
      </c>
      <c r="B11190" s="4" t="s">
        <v>14072</v>
      </c>
      <c r="C11190" s="5" t="str">
        <f>IFERROR(__xludf.DUMMYFUNCTION("GOOGLETRANSLATE(B11190,""en"",""de"")"),"Ein Schlagzeuger auf der Bühne fiel der Bühne.")</f>
        <v>Ein Schlagzeuger auf der Bühne fiel der Bühne.</v>
      </c>
    </row>
    <row r="11191">
      <c r="A11191" s="4" t="s">
        <v>14073</v>
      </c>
      <c r="B11191" s="4" t="s">
        <v>14074</v>
      </c>
      <c r="C11191" s="5" t="str">
        <f>IFERROR(__xludf.DUMMYFUNCTION("GOOGLETRANSLATE(B11191,""en"",""de"")"),"Ein Typ und eine Dame interagieren.")</f>
        <v>Ein Typ und eine Dame interagieren.</v>
      </c>
    </row>
    <row r="11192">
      <c r="A11192" s="4" t="s">
        <v>14073</v>
      </c>
      <c r="B11192" s="4" t="s">
        <v>14075</v>
      </c>
      <c r="C11192" s="5" t="str">
        <f>IFERROR(__xludf.DUMMYFUNCTION("GOOGLETRANSLATE(B11192,""en"",""de"")"),"Die Dame hält Papiere und Bücher auf.")</f>
        <v>Die Dame hält Papiere und Bücher auf.</v>
      </c>
    </row>
    <row r="11193">
      <c r="A11193" s="4" t="s">
        <v>14073</v>
      </c>
      <c r="B11193" s="4" t="s">
        <v>14076</v>
      </c>
      <c r="C11193" s="5" t="str">
        <f>IFERROR(__xludf.DUMMYFUNCTION("GOOGLETRANSLATE(B11193,""en"",""de"")"),"Der Typ klatscht und jubelt.")</f>
        <v>Der Typ klatscht und jubelt.</v>
      </c>
    </row>
    <row r="11194">
      <c r="A11194" s="4" t="s">
        <v>14073</v>
      </c>
      <c r="B11194" s="4" t="s">
        <v>14077</v>
      </c>
      <c r="C11194" s="5" t="str">
        <f>IFERROR(__xludf.DUMMYFUNCTION("GOOGLETRANSLATE(B11194,""en"",""de"")"),"Die Dame spielt eine Flöte und schaut auf die Noten auf den Zeitungen hinunter.")</f>
        <v>Die Dame spielt eine Flöte und schaut auf die Noten auf den Zeitungen hinunter.</v>
      </c>
    </row>
    <row r="11195">
      <c r="A11195" s="4" t="s">
        <v>14073</v>
      </c>
      <c r="B11195" s="4" t="s">
        <v>14078</v>
      </c>
      <c r="C11195" s="5" t="str">
        <f>IFERROR(__xludf.DUMMYFUNCTION("GOOGLETRANSLATE(B11195,""en"",""de"")"),"Die Dame hört auf, die Flöte zu spielen und präsentiert sie.")</f>
        <v>Die Dame hört auf, die Flöte zu spielen und präsentiert sie.</v>
      </c>
    </row>
    <row r="11196">
      <c r="A11196" s="4" t="s">
        <v>14073</v>
      </c>
      <c r="B11196" s="4" t="s">
        <v>14079</v>
      </c>
      <c r="C11196" s="5" t="str">
        <f>IFERROR(__xludf.DUMMYFUNCTION("GOOGLETRANSLATE(B11196,""en"",""de"")"),"Der Typ spielt eine Mundharmonika.")</f>
        <v>Der Typ spielt eine Mundharmonika.</v>
      </c>
    </row>
    <row r="11197">
      <c r="A11197" s="4" t="s">
        <v>14073</v>
      </c>
      <c r="B11197" s="4" t="s">
        <v>14080</v>
      </c>
      <c r="C11197" s="5" t="str">
        <f>IFERROR(__xludf.DUMMYFUNCTION("GOOGLETRANSLATE(B11197,""en"",""de"")"),"Der Typ sieht wütend aus und die Dame sieht entschuldigend aus.")</f>
        <v>Der Typ sieht wütend aus und die Dame sieht entschuldigend aus.</v>
      </c>
    </row>
    <row r="11198">
      <c r="A11198" s="4" t="s">
        <v>14073</v>
      </c>
      <c r="B11198" s="4" t="s">
        <v>14081</v>
      </c>
      <c r="C11198" s="5" t="str">
        <f>IFERROR(__xludf.DUMMYFUNCTION("GOOGLETRANSLATE(B11198,""en"",""de"")"),"Der Typ legt seinen Kopf nieder.")</f>
        <v>Der Typ legt seinen Kopf nieder.</v>
      </c>
    </row>
    <row r="11199">
      <c r="A11199" s="4" t="s">
        <v>14073</v>
      </c>
      <c r="B11199" s="4" t="s">
        <v>14082</v>
      </c>
      <c r="C11199" s="5" t="str">
        <f>IFERROR(__xludf.DUMMYFUNCTION("GOOGLETRANSLATE(B11199,""en"",""de"")"),"Der Typ und die Lady winken auf Wiedersehen.")</f>
        <v>Der Typ und die Lady winken auf Wiedersehen.</v>
      </c>
    </row>
    <row r="11200">
      <c r="A11200" s="4" t="s">
        <v>14073</v>
      </c>
      <c r="B11200" s="4" t="s">
        <v>14083</v>
      </c>
      <c r="C11200" s="5" t="str">
        <f>IFERROR(__xludf.DUMMYFUNCTION("GOOGLETRANSLATE(B11200,""en"",""de"")"),"Der Typ nimmt die Flöte der Dame und gibt vor, sie auf ihr Kinn zu schlagen.")</f>
        <v>Der Typ nimmt die Flöte der Dame und gibt vor, sie auf ihr Kinn zu schlagen.</v>
      </c>
    </row>
    <row r="11201">
      <c r="A11201" s="4" t="s">
        <v>14084</v>
      </c>
      <c r="B11201" s="4" t="s">
        <v>14085</v>
      </c>
      <c r="C11201" s="5" t="str">
        <f>IFERROR(__xludf.DUMMYFUNCTION("GOOGLETRANSLATE(B11201,""en"",""de"")"),"Eine Frau steht im Sonnenlicht, posiert und modelliert für die Kamera.")</f>
        <v>Eine Frau steht im Sonnenlicht, posiert und modelliert für die Kamera.</v>
      </c>
    </row>
    <row r="11202">
      <c r="A11202" s="4" t="s">
        <v>14084</v>
      </c>
      <c r="B11202" s="4" t="s">
        <v>14086</v>
      </c>
      <c r="C11202" s="5" t="str">
        <f>IFERROR(__xludf.DUMMYFUNCTION("GOOGLETRANSLATE(B11202,""en"",""de"")"),"Sie zeigt ihr natürliches Haar und zeigt dann, wie man es mit einem Blopf stymt.")</f>
        <v>Sie zeigt ihr natürliches Haar und zeigt dann, wie man es mit einem Blopf stymt.</v>
      </c>
    </row>
    <row r="11203">
      <c r="A11203" s="4" t="s">
        <v>14087</v>
      </c>
      <c r="B11203" s="4" t="s">
        <v>14088</v>
      </c>
      <c r="C11203" s="5" t="str">
        <f>IFERROR(__xludf.DUMMYFUNCTION("GOOGLETRANSLATE(B11203,""en"",""de"")"),"Ein Mann steht mit hochem Armen und beginnt dann eine Turner -Routine.")</f>
        <v>Ein Mann steht mit hochem Armen und beginnt dann eine Turner -Routine.</v>
      </c>
    </row>
    <row r="11204">
      <c r="A11204" s="4" t="s">
        <v>14087</v>
      </c>
      <c r="B11204" s="4" t="s">
        <v>14089</v>
      </c>
      <c r="C11204" s="5" t="str">
        <f>IFERROR(__xludf.DUMMYFUNCTION("GOOGLETRANSLATE(B11204,""en"",""de"")"),"Der Mann schwingt weiter auf den ungleichmäßigen Bars herum und springt ab, um fertig zu werden.")</f>
        <v>Der Mann schwingt weiter auf den ungleichmäßigen Bars herum und springt ab, um fertig zu werden.</v>
      </c>
    </row>
    <row r="11205">
      <c r="A11205" s="4" t="s">
        <v>14087</v>
      </c>
      <c r="B11205" s="4" t="s">
        <v>14090</v>
      </c>
      <c r="C11205" s="5" t="str">
        <f>IFERROR(__xludf.DUMMYFUNCTION("GOOGLETRANSLATE(B11205,""en"",""de"")"),"Der Mann geht weg, während seine Punktzahl gezeigt wird und seine Routine in Zeitlupe erneut gezeigt wird.")</f>
        <v>Der Mann geht weg, während seine Punktzahl gezeigt wird und seine Routine in Zeitlupe erneut gezeigt wird.</v>
      </c>
    </row>
    <row r="11206">
      <c r="A11206" s="4" t="s">
        <v>14091</v>
      </c>
      <c r="B11206" s="4" t="s">
        <v>14092</v>
      </c>
      <c r="C11206" s="5" t="str">
        <f>IFERROR(__xludf.DUMMYFUNCTION("GOOGLETRANSLATE(B11206,""en"",""de"")"),"Ein Mann spricht auf einem Zaun eines Gartens.")</f>
        <v>Ein Mann spricht auf einem Zaun eines Gartens.</v>
      </c>
    </row>
    <row r="11207">
      <c r="A11207" s="4" t="s">
        <v>14091</v>
      </c>
      <c r="B11207" s="4" t="s">
        <v>14093</v>
      </c>
      <c r="C11207" s="5" t="str">
        <f>IFERROR(__xludf.DUMMYFUNCTION("GOOGLETRANSLATE(B11207,""en"",""de"")"),"Dann spricht der Mann eine Person in einer Lackiererei, und die Person zeigt ihm Werkzeuge in einem Schaufenster.")</f>
        <v>Dann spricht der Mann eine Person in einer Lackiererei, und die Person zeigt ihm Werkzeuge in einem Schaufenster.</v>
      </c>
    </row>
    <row r="11208">
      <c r="A11208" s="4" t="s">
        <v>14091</v>
      </c>
      <c r="B11208" s="4" t="s">
        <v>14094</v>
      </c>
      <c r="C11208" s="5" t="str">
        <f>IFERROR(__xludf.DUMMYFUNCTION("GOOGLETRANSLATE(B11208,""en"",""de"")"),"Danach zeigt der Mann die Knöpfe der Malerei im Hinterhof.")</f>
        <v>Danach zeigt der Mann die Knöpfe der Malerei im Hinterhof.</v>
      </c>
    </row>
    <row r="11209">
      <c r="A11209" s="4" t="s">
        <v>14091</v>
      </c>
      <c r="B11209" s="4" t="s">
        <v>14095</v>
      </c>
      <c r="C11209" s="5" t="str">
        <f>IFERROR(__xludf.DUMMYFUNCTION("GOOGLETRANSLATE(B11209,""en"",""de"")"),"Danach legt der Mann blaues Klebeband auf die Seite des Zauns und bedeckt eine Schiene.")</f>
        <v>Danach legt der Mann blaues Klebeband auf die Seite des Zauns und bedeckt eine Schiene.</v>
      </c>
    </row>
    <row r="11210">
      <c r="A11210" s="4" t="s">
        <v>14091</v>
      </c>
      <c r="B11210" s="4" t="s">
        <v>14096</v>
      </c>
      <c r="C11210" s="5" t="str">
        <f>IFERROR(__xludf.DUMMYFUNCTION("GOOGLETRANSLATE(B11210,""en"",""de"")"),"Dann malt der Mann den Zaun mit dem Schlauch der Maschine, während er eine Maske trägt.")</f>
        <v>Dann malt der Mann den Zaun mit dem Schlauch der Maschine, während er eine Maske trägt.</v>
      </c>
    </row>
    <row r="11211">
      <c r="A11211" s="4" t="s">
        <v>14091</v>
      </c>
      <c r="B11211" s="4" t="s">
        <v>14097</v>
      </c>
      <c r="C11211" s="5" t="str">
        <f>IFERROR(__xludf.DUMMYFUNCTION("GOOGLETRANSLATE(B11211,""en"",""de"")"),"Der Mann erklärt weiter vorne die Maschine und den Schaufel der Farbe.")</f>
        <v>Der Mann erklärt weiter vorne die Maschine und den Schaufel der Farbe.</v>
      </c>
    </row>
    <row r="11212">
      <c r="A11212" s="4" t="s">
        <v>14098</v>
      </c>
      <c r="B11212" s="4" t="s">
        <v>14099</v>
      </c>
      <c r="C11212" s="5" t="str">
        <f>IFERROR(__xludf.DUMMYFUNCTION("GOOGLETRANSLATE(B11212,""en"",""de"")"),"Eine Gruppe von Kindern befindet sich in einem Klassenzimmer, wie im Kreis stehen.")</f>
        <v>Eine Gruppe von Kindern befindet sich in einem Klassenzimmer, wie im Kreis stehen.</v>
      </c>
    </row>
    <row r="11213">
      <c r="A11213" s="4" t="s">
        <v>14098</v>
      </c>
      <c r="B11213" s="4" t="s">
        <v>14100</v>
      </c>
      <c r="C11213" s="5" t="str">
        <f>IFERROR(__xludf.DUMMYFUNCTION("GOOGLETRANSLATE(B11213,""en"",""de"")"),"In der Mitte des Kreises schlägt eine Frau auf eine Pinata, die mit blauem, wändepapier gewickelt ist.")</f>
        <v>In der Mitte des Kreises schlägt eine Frau auf eine Pinata, die mit blauem, wändepapier gewickelt ist.</v>
      </c>
    </row>
    <row r="11214">
      <c r="A11214" s="4" t="s">
        <v>14101</v>
      </c>
      <c r="B11214" s="4" t="s">
        <v>14102</v>
      </c>
      <c r="C11214" s="5" t="str">
        <f>IFERROR(__xludf.DUMMYFUNCTION("GOOGLETRANSLATE(B11214,""en"",""de"")"),"Little Kind springt auf trockene Blätter.")</f>
        <v>Little Kind springt auf trockene Blätter.</v>
      </c>
    </row>
    <row r="11215">
      <c r="A11215" s="4" t="s">
        <v>14101</v>
      </c>
      <c r="B11215" s="4" t="s">
        <v>14103</v>
      </c>
      <c r="C11215" s="5" t="str">
        <f>IFERROR(__xludf.DUMMYFUNCTION("GOOGLETRANSLATE(B11215,""en"",""de"")"),"Frau fährt trockene Blätter auf einem Hof.")</f>
        <v>Frau fährt trockene Blätter auf einem Hof.</v>
      </c>
    </row>
    <row r="11216">
      <c r="A11216" s="4" t="s">
        <v>14101</v>
      </c>
      <c r="B11216" s="4" t="s">
        <v>14104</v>
      </c>
      <c r="C11216" s="5" t="str">
        <f>IFERROR(__xludf.DUMMYFUNCTION("GOOGLETRANSLATE(B11216,""en"",""de"")"),"Kid kniet kniet und schnappt sich ein trockenes Blatt, um es in den Mülleimer zu stecken.")</f>
        <v>Kid kniet kniet und schnappt sich ein trockenes Blatt, um es in den Mülleimer zu stecken.</v>
      </c>
    </row>
    <row r="11217">
      <c r="A11217" s="4" t="s">
        <v>14105</v>
      </c>
      <c r="B11217" s="4" t="s">
        <v>14106</v>
      </c>
      <c r="C11217" s="5" t="str">
        <f>IFERROR(__xludf.DUMMYFUNCTION("GOOGLETRANSLATE(B11217,""en"",""de"")"),"Ein kleines Mädchen schwingt auf einem Spielplatz über die Affenbars.")</f>
        <v>Ein kleines Mädchen schwingt auf einem Spielplatz über die Affenbars.</v>
      </c>
    </row>
    <row r="11218">
      <c r="A11218" s="4" t="s">
        <v>14105</v>
      </c>
      <c r="B11218" s="4" t="s">
        <v>14107</v>
      </c>
      <c r="C11218" s="5" t="str">
        <f>IFERROR(__xludf.DUMMYFUNCTION("GOOGLETRANSLATE(B11218,""en"",""de"")"),"Sie geht über jede Bar, bevor sie zu Boden springt.")</f>
        <v>Sie geht über jede Bar, bevor sie zu Boden springt.</v>
      </c>
    </row>
    <row r="11219">
      <c r="A11219" s="4" t="s">
        <v>14105</v>
      </c>
      <c r="B11219" s="4" t="s">
        <v>14108</v>
      </c>
      <c r="C11219" s="5" t="str">
        <f>IFERROR(__xludf.DUMMYFUNCTION("GOOGLETRANSLATE(B11219,""en"",""de"")"),"Sie kehrt zum Anfang zurück und schwingt wieder über die Bars.")</f>
        <v>Sie kehrt zum Anfang zurück und schwingt wieder über die Bars.</v>
      </c>
    </row>
    <row r="11220">
      <c r="A11220" s="4" t="s">
        <v>14109</v>
      </c>
      <c r="B11220" s="4" t="s">
        <v>14110</v>
      </c>
      <c r="C11220" s="5" t="str">
        <f>IFERROR(__xludf.DUMMYFUNCTION("GOOGLETRANSLATE(B11220,""en"",""de"")"),"Ein junger Mann spricht mit der Kamera draußen und nimmt Puffs von einer Shisha ab.")</f>
        <v>Ein junger Mann spricht mit der Kamera draußen und nimmt Puffs von einer Shisha ab.</v>
      </c>
    </row>
    <row r="11221">
      <c r="A11221" s="4" t="s">
        <v>14109</v>
      </c>
      <c r="B11221" s="4" t="s">
        <v>14111</v>
      </c>
      <c r="C11221" s="5" t="str">
        <f>IFERROR(__xludf.DUMMYFUNCTION("GOOGLETRANSLATE(B11221,""en"",""de"")"),"Er legt die Pfeife weg und schwingt aus einem Energy -Drink.")</f>
        <v>Er legt die Pfeife weg und schwingt aus einem Energy -Drink.</v>
      </c>
    </row>
    <row r="11222">
      <c r="A11222" s="4" t="s">
        <v>14109</v>
      </c>
      <c r="B11222" s="4" t="s">
        <v>14112</v>
      </c>
      <c r="C11222" s="5" t="str">
        <f>IFERROR(__xludf.DUMMYFUNCTION("GOOGLETRANSLATE(B11222,""en"",""de"")"),"Er bewegt die Kamera, um einen anderen Mann zu zeigen, und raucht weiterhin die Shisha neben dem anderen Mann.")</f>
        <v>Er bewegt die Kamera, um einen anderen Mann zu zeigen, und raucht weiterhin die Shisha neben dem anderen Mann.</v>
      </c>
    </row>
    <row r="11223">
      <c r="A11223" s="4" t="s">
        <v>14109</v>
      </c>
      <c r="B11223" s="4" t="s">
        <v>14113</v>
      </c>
      <c r="C11223" s="5" t="str">
        <f>IFERROR(__xludf.DUMMYFUNCTION("GOOGLETRANSLATE(B11223,""en"",""de"")"),"Beide schauen während des Rauchens in die Kamera und der Junge trinkt immer noch das Energy -Drink.")</f>
        <v>Beide schauen während des Rauchens in die Kamera und der Junge trinkt immer noch das Energy -Drink.</v>
      </c>
    </row>
    <row r="11224">
      <c r="A11224" s="4" t="s">
        <v>14114</v>
      </c>
      <c r="B11224" s="4" t="s">
        <v>14115</v>
      </c>
      <c r="C11224" s="5" t="str">
        <f>IFERROR(__xludf.DUMMYFUNCTION("GOOGLETRANSLATE(B11224,""en"",""de"")"),"Viele Leute sitzen auf einem Stierstämmen.")</f>
        <v>Viele Leute sitzen auf einem Stierstämmen.</v>
      </c>
    </row>
    <row r="11225">
      <c r="A11225" s="4" t="s">
        <v>14114</v>
      </c>
      <c r="B11225" s="4" t="s">
        <v>14116</v>
      </c>
      <c r="C11225" s="5" t="str">
        <f>IFERROR(__xludf.DUMMYFUNCTION("GOOGLETRANSLATE(B11225,""en"",""de"")"),"Stierkämpfe halten rotes Tuch und rennen zu einem Stier.")</f>
        <v>Stierkämpfe halten rotes Tuch und rennen zu einem Stier.</v>
      </c>
    </row>
    <row r="11226">
      <c r="A11226" s="4" t="s">
        <v>14117</v>
      </c>
      <c r="B11226" s="4" t="s">
        <v>14118</v>
      </c>
      <c r="C11226" s="5" t="str">
        <f>IFERROR(__xludf.DUMMYFUNCTION("GOOGLETRANSLATE(B11226,""en"",""de"")"),"Über einem Feuerplatz werden mehrere Auszeichnungen abgebildet und bewegt sich dann links zur Wand.")</f>
        <v>Über einem Feuerplatz werden mehrere Auszeichnungen abgebildet und bewegt sich dann links zur Wand.</v>
      </c>
    </row>
    <row r="11227">
      <c r="A11227" s="4" t="s">
        <v>14117</v>
      </c>
      <c r="B11227" s="4" t="s">
        <v>14119</v>
      </c>
      <c r="C11227" s="5" t="str">
        <f>IFERROR(__xludf.DUMMYFUNCTION("GOOGLETRANSLATE(B11227,""en"",""de"")"),"Es wird eine Lebensmitteltabelle angezeigt und die Person, die die Person aufnimmt, schnappt sich einen Keks und verlässt den Raum.")</f>
        <v>Es wird eine Lebensmitteltabelle angezeigt und die Person, die die Person aufnimmt, schnappt sich einen Keks und verlässt den Raum.</v>
      </c>
    </row>
    <row r="11228">
      <c r="A11228" s="4" t="s">
        <v>14117</v>
      </c>
      <c r="B11228" s="4" t="s">
        <v>14120</v>
      </c>
      <c r="C11228" s="5" t="str">
        <f>IFERROR(__xludf.DUMMYFUNCTION("GOOGLETRANSLATE(B11228,""en"",""de"")"),"Im nächsten Raum, in dem er eintritt, stehen mehrere Leute herum, die herumspielen, und er geht durch das Haus.")</f>
        <v>Im nächsten Raum, in dem er eintritt, stehen mehrere Leute herum, die herumspielen, und er geht durch das Haus.</v>
      </c>
    </row>
    <row r="11229">
      <c r="A11229" s="4" t="s">
        <v>14121</v>
      </c>
      <c r="B11229" s="4" t="s">
        <v>14122</v>
      </c>
      <c r="C11229" s="5" t="str">
        <f>IFERROR(__xludf.DUMMYFUNCTION("GOOGLETRANSLATE(B11229,""en"",""de"")"),"Eine Frau wird in Wal-Mart gezeigt, lacht und wählt Ohrringe aus einem Gestell aus.")</f>
        <v>Eine Frau wird in Wal-Mart gezeigt, lacht und wählt Ohrringe aus einem Gestell aus.</v>
      </c>
    </row>
    <row r="11230">
      <c r="A11230" s="4" t="s">
        <v>14121</v>
      </c>
      <c r="B11230" s="4" t="s">
        <v>14123</v>
      </c>
      <c r="C11230" s="5" t="str">
        <f>IFERROR(__xludf.DUMMYFUNCTION("GOOGLETRANSLATE(B11230,""en"",""de"")"),"Sie sitzt auf einem Stuhl und ein Angestellter schießt mit einer durchdringenden Waffe einen Ohrring in ihren Lappen.")</f>
        <v>Sie sitzt auf einem Stuhl und ein Angestellter schießt mit einer durchdringenden Waffe einen Ohrring in ihren Lappen.</v>
      </c>
    </row>
    <row r="11231">
      <c r="A11231" s="4" t="s">
        <v>14121</v>
      </c>
      <c r="B11231" s="4" t="s">
        <v>14124</v>
      </c>
      <c r="C11231" s="5" t="str">
        <f>IFERROR(__xludf.DUMMYFUNCTION("GOOGLETRANSLATE(B11231,""en"",""de"")"),"Sie krampft vor Schmerzen, als es ihr Ohr betritt.")</f>
        <v>Sie krampft vor Schmerzen, als es ihr Ohr betritt.</v>
      </c>
    </row>
    <row r="11232">
      <c r="A11232" s="4" t="s">
        <v>14125</v>
      </c>
      <c r="B11232" s="4" t="s">
        <v>14126</v>
      </c>
      <c r="C11232" s="5" t="str">
        <f>IFERROR(__xludf.DUMMYFUNCTION("GOOGLETRANSLATE(B11232,""en"",""de"")"),"Wir sehen drei separate Intro -Bildschirme.")</f>
        <v>Wir sehen drei separate Intro -Bildschirme.</v>
      </c>
    </row>
    <row r="11233">
      <c r="A11233" s="4" t="s">
        <v>14125</v>
      </c>
      <c r="B11233" s="4" t="s">
        <v>14127</v>
      </c>
      <c r="C11233" s="5" t="str">
        <f>IFERROR(__xludf.DUMMYFUNCTION("GOOGLETRANSLATE(B11233,""en"",""de"")"),"Wir sehen einen Mann, der im Hockey mit Titelbildschirmen dazwischen Aufnahmen macht.")</f>
        <v>Wir sehen einen Mann, der im Hockey mit Titelbildschirmen dazwischen Aufnahmen macht.</v>
      </c>
    </row>
    <row r="11234">
      <c r="A11234" s="4" t="s">
        <v>14125</v>
      </c>
      <c r="B11234" s="4" t="s">
        <v>14128</v>
      </c>
      <c r="C11234" s="5" t="str">
        <f>IFERROR(__xludf.DUMMYFUNCTION("GOOGLETRANSLATE(B11234,""en"",""de"")"),"Ein Mann schießt einen Schuss auf Hockey und macht es und wir sehen eine Zeitlupe zusammen.")</f>
        <v>Ein Mann schießt einen Schuss auf Hockey und macht es und wir sehen eine Zeitlupe zusammen.</v>
      </c>
    </row>
    <row r="11235">
      <c r="A11235" s="4" t="s">
        <v>14125</v>
      </c>
      <c r="B11235" s="4" t="s">
        <v>14129</v>
      </c>
      <c r="C11235" s="5" t="str">
        <f>IFERROR(__xludf.DUMMYFUNCTION("GOOGLETRANSLATE(B11235,""en"",""de"")"),"Der Mann macht einen weiteren Schuss und macht es und wir sehen auch eine Zusammenfassung davon.")</f>
        <v>Der Mann macht einen weiteren Schuss und macht es und wir sehen auch eine Zusammenfassung davon.</v>
      </c>
    </row>
    <row r="11236">
      <c r="A11236" s="4" t="s">
        <v>14125</v>
      </c>
      <c r="B11236" s="4" t="s">
        <v>14130</v>
      </c>
      <c r="C11236" s="5" t="str">
        <f>IFERROR(__xludf.DUMMYFUNCTION("GOOGLETRANSLATE(B11236,""en"",""de"")"),"Wir sehen den Schuss von oben und eine Zusammenfassung.")</f>
        <v>Wir sehen den Schuss von oben und eine Zusammenfassung.</v>
      </c>
    </row>
    <row r="11237">
      <c r="A11237" s="4" t="s">
        <v>14131</v>
      </c>
      <c r="B11237" s="4" t="s">
        <v>14132</v>
      </c>
      <c r="C11237" s="5" t="str">
        <f>IFERROR(__xludf.DUMMYFUNCTION("GOOGLETRANSLATE(B11237,""en"",""de"")"),"Ein Mann betreibt einen elektrischen Drucker.")</f>
        <v>Ein Mann betreibt einen elektrischen Drucker.</v>
      </c>
    </row>
    <row r="11238">
      <c r="A11238" s="4" t="s">
        <v>14131</v>
      </c>
      <c r="B11238" s="4" t="s">
        <v>14133</v>
      </c>
      <c r="C11238" s="5" t="str">
        <f>IFERROR(__xludf.DUMMYFUNCTION("GOOGLETRANSLATE(B11238,""en"",""de"")"),"Ein Mann peitscht mit einem dunklen Teppich.")</f>
        <v>Ein Mann peitscht mit einem dunklen Teppich.</v>
      </c>
    </row>
    <row r="11239">
      <c r="A11239" s="4" t="s">
        <v>14131</v>
      </c>
      <c r="B11239" s="4" t="s">
        <v>14134</v>
      </c>
      <c r="C11239" s="5" t="str">
        <f>IFERROR(__xludf.DUMMYFUNCTION("GOOGLETRANSLATE(B11239,""en"",""de"")"),"Der Typ deutet auf die Arbeit der Maschine.")</f>
        <v>Der Typ deutet auf die Arbeit der Maschine.</v>
      </c>
    </row>
    <row r="11240">
      <c r="A11240" s="4" t="s">
        <v>14135</v>
      </c>
      <c r="B11240" s="4" t="s">
        <v>14136</v>
      </c>
      <c r="C11240" s="5" t="str">
        <f>IFERROR(__xludf.DUMMYFUNCTION("GOOGLETRANSLATE(B11240,""en"",""de"")"),"Eine Gruppe von Jungen spielt mit einem gelben Ball in einem von einem Zaun, hohen Bäumen und Laub umgebenen Außenpool einen Wasserfang.")</f>
        <v>Eine Gruppe von Jungen spielt mit einem gelben Ball in einem von einem Zaun, hohen Bäumen und Laub umgebenen Außenpool einen Wasserfang.</v>
      </c>
    </row>
    <row r="11241">
      <c r="A11241" s="4" t="s">
        <v>14135</v>
      </c>
      <c r="B11241" s="4" t="s">
        <v>14137</v>
      </c>
      <c r="C11241" s="5" t="str">
        <f>IFERROR(__xludf.DUMMYFUNCTION("GOOGLETRANSLATE(B11241,""en"",""de"")"),"Eine Gruppe von Jungen spielt in einem Outdoor -Pool mit einem gelben Ball, wirft den Ball gegenseitig und wirft dann den Ball aus dem Pool auf eine unsichtbare Party.")</f>
        <v>Eine Gruppe von Jungen spielt in einem Outdoor -Pool mit einem gelben Ball, wirft den Ball gegenseitig und wirft dann den Ball aus dem Pool auf eine unsichtbare Party.</v>
      </c>
    </row>
    <row r="11242">
      <c r="A11242" s="4" t="s">
        <v>14135</v>
      </c>
      <c r="B11242" s="4" t="s">
        <v>14138</v>
      </c>
      <c r="C11242" s="5" t="str">
        <f>IFERROR(__xludf.DUMMYFUNCTION("GOOGLETRANSLATE(B11242,""en"",""de"")"),"Der Ball wird zurück in den Pool geworfen und die Jungs werfen ihn wieder raus.")</f>
        <v>Der Ball wird zurück in den Pool geworfen und die Jungs werfen ihn wieder raus.</v>
      </c>
    </row>
    <row r="11243">
      <c r="A11243" s="4" t="s">
        <v>14139</v>
      </c>
      <c r="B11243" s="4" t="s">
        <v>14140</v>
      </c>
      <c r="C11243" s="5" t="str">
        <f>IFERROR(__xludf.DUMMYFUNCTION("GOOGLETRANSLATE(B11243,""en"",""de"")"),"Ein Intro gefüllt mit Spezialeffekten verschiedener Bildschirme erscheinen und das Endergebnis ist ein quadratisches Zeichen mit der Aufschrift ""Getitsweet Get It Sweet 2014"" und die Farbe, die sie ist, ist weiß, rosa, dunkelrosa und braun mit der Wirku"&amp;"ng von Schokoladen, der obere Teil des Zeichens.")</f>
        <v>Ein Intro gefüllt mit Spezialeffekten verschiedener Bildschirme erscheinen und das Endergebnis ist ein quadratisches Zeichen mit der Aufschrift "Getitsweet Get It Sweet 2014" und die Farbe, die sie ist, ist weiß, rosa, dunkelrosa und braun mit der Wirkung von Schokoladen, der obere Teil des Zeichens.</v>
      </c>
    </row>
    <row r="11244">
      <c r="A11244" s="4" t="s">
        <v>14139</v>
      </c>
      <c r="B11244" s="4" t="s">
        <v>14141</v>
      </c>
      <c r="C11244" s="5" t="str">
        <f>IFERROR(__xludf.DUMMYFUNCTION("GOOGLETRANSLATE(B11244,""en"",""de"")"),"Eine Menge Zimt -Rollkekse auf einem Tablett erscheint und eine kurze Liste der Zutaten erscheinen zusammen mit den tatsächlichen Zutaten in verschiedenen Schalen.")</f>
        <v>Eine Menge Zimt -Rollkekse auf einem Tablett erscheint und eine kurze Liste der Zutaten erscheinen zusammen mit den tatsächlichen Zutaten in verschiedenen Schalen.</v>
      </c>
    </row>
    <row r="11245">
      <c r="A11245" s="4" t="s">
        <v>14139</v>
      </c>
      <c r="B11245" s="4" t="s">
        <v>14142</v>
      </c>
      <c r="C11245" s="5" t="str">
        <f>IFERROR(__xludf.DUMMYFUNCTION("GOOGLETRANSLATE(B11245,""en"",""de"")"),"Die Zutaten werden jetzt gezeigt, dass sie in eine große klare Schüssel gegossen werden, die mit einem Handmixer verwechselt wird, und gelegentlich werden Anweisungen auf dem Bildschirm angezeigt.")</f>
        <v>Die Zutaten werden jetzt gezeigt, dass sie in eine große klare Schüssel gegossen werden, die mit einem Handmixer verwechselt wird, und gelegentlich werden Anweisungen auf dem Bildschirm angezeigt.</v>
      </c>
    </row>
    <row r="11246">
      <c r="A11246" s="4" t="s">
        <v>14139</v>
      </c>
      <c r="B11246" s="4" t="s">
        <v>14143</v>
      </c>
      <c r="C11246" s="5" t="str">
        <f>IFERROR(__xludf.DUMMYFUNCTION("GOOGLETRANSLATE(B11246,""en"",""de"")"),"Wenn die Zutaten gründlich gemischt werden, flacht die Person sie zwischen Plastik, kühlt sie und legt sie dann auf eine Schneidebrett, um sie herauszurollen, und fügt dann Zucker und Zimt auf die ebene Oberfläche hinzu.")</f>
        <v>Wenn die Zutaten gründlich gemischt werden, flacht die Person sie zwischen Plastik, kühlt sie und legt sie dann auf eine Schneidebrett, um sie herauszurollen, und fügt dann Zucker und Zimt auf die ebene Oberfläche hinzu.</v>
      </c>
    </row>
    <row r="11247">
      <c r="A11247" s="4" t="s">
        <v>14139</v>
      </c>
      <c r="B11247" s="4" t="s">
        <v>14144</v>
      </c>
      <c r="C11247" s="5" t="str">
        <f>IFERROR(__xludf.DUMMYFUNCTION("GOOGLETRANSLATE(B11247,""en"",""de"")"),"Die Person rollt es dann und legt es auf ein Stück Saran -Wrap, das sich neben dem Schneidebrett befindet, dann den Saran -Wickel um ihn herum und rollt sie ein wenig, wo die Anweisungen sagen, dass sie 30 Minuten lang abkühlen.")</f>
        <v>Die Person rollt es dann und legt es auf ein Stück Saran -Wrap, das sich neben dem Schneidebrett befindet, dann den Saran -Wickel um ihn herum und rollt sie ein wenig, wo die Anweisungen sagen, dass sie 30 Minuten lang abkühlen.</v>
      </c>
    </row>
    <row r="11248">
      <c r="A11248" s="4" t="s">
        <v>14139</v>
      </c>
      <c r="B11248" s="4" t="s">
        <v>14145</v>
      </c>
      <c r="C11248" s="5" t="str">
        <f>IFERROR(__xludf.DUMMYFUNCTION("GOOGLETRANSLATE(B11248,""en"",""de"")"),"Sobald es abgekühlt ist, wird es entfernt, auf das Schneidebrett geschnitten, auf ein Kochblatt gelegt und dann gekocht.")</f>
        <v>Sobald es abgekühlt ist, wird es entfernt, auf das Schneidebrett geschnitten, auf ein Kochblatt gelegt und dann gekocht.</v>
      </c>
    </row>
    <row r="11249">
      <c r="A11249" s="4" t="s">
        <v>14139</v>
      </c>
      <c r="B11249" s="4" t="s">
        <v>14146</v>
      </c>
      <c r="C11249" s="5" t="str">
        <f>IFERROR(__xludf.DUMMYFUNCTION("GOOGLETRANSLATE(B11249,""en"",""de"")"),"Die gekochten Produkte werden dann auf weißen Tellern mit einer Tasse Kaffee angezeigt und die Person nimmt sie auf und beißt sie.")</f>
        <v>Die gekochten Produkte werden dann auf weißen Tellern mit einer Tasse Kaffee angezeigt und die Person nimmt sie auf und beißt sie.</v>
      </c>
    </row>
    <row r="11250">
      <c r="A11250" s="4" t="s">
        <v>14139</v>
      </c>
      <c r="B11250" s="4" t="s">
        <v>14147</v>
      </c>
      <c r="C11250" s="5" t="str">
        <f>IFERROR(__xludf.DUMMYFUNCTION("GOOGLETRANSLATE(B11250,""en"",""de"")"),"Der letzte Bildschirm ist eine YouTube -Promotion des Kanals der Person mit zwei kleinen Videos, auf die Sie klicken können, und fordert Sie zum Abonnieren auf.")</f>
        <v>Der letzte Bildschirm ist eine YouTube -Promotion des Kanals der Person mit zwei kleinen Videos, auf die Sie klicken können, und fordert Sie zum Abonnieren auf.</v>
      </c>
    </row>
    <row r="11251">
      <c r="A11251" s="4" t="s">
        <v>14148</v>
      </c>
      <c r="B11251" s="4" t="s">
        <v>14149</v>
      </c>
      <c r="C11251" s="5" t="str">
        <f>IFERROR(__xludf.DUMMYFUNCTION("GOOGLETRANSLATE(B11251,""en"",""de"")"),"Die Leute sind in einem kleinen Raum, der eine Choreografie tanzt.")</f>
        <v>Die Leute sind in einem kleinen Raum, der eine Choreografie tanzt.</v>
      </c>
    </row>
    <row r="11252">
      <c r="A11252" s="4" t="s">
        <v>14148</v>
      </c>
      <c r="B11252" s="4" t="s">
        <v>14150</v>
      </c>
      <c r="C11252" s="5" t="str">
        <f>IFERROR(__xludf.DUMMYFUNCTION("GOOGLETRANSLATE(B11252,""en"",""de"")"),"Der Mann hört auf zu tanzen und macht die Choreografie weiter.")</f>
        <v>Der Mann hört auf zu tanzen und macht die Choreografie weiter.</v>
      </c>
    </row>
    <row r="11253">
      <c r="A11253" s="4" t="s">
        <v>14148</v>
      </c>
      <c r="B11253" s="4" t="s">
        <v>14151</v>
      </c>
      <c r="C11253" s="5" t="str">
        <f>IFERROR(__xludf.DUMMYFUNCTION("GOOGLETRANSLATE(B11253,""en"",""de"")"),"Mann, der rote Shorts und graues Hemd trägt, führt die Choreografie vor den Menschen im Raum.")</f>
        <v>Mann, der rote Shorts und graues Hemd trägt, führt die Choreografie vor den Menschen im Raum.</v>
      </c>
    </row>
    <row r="11254">
      <c r="A11254" s="4" t="s">
        <v>14152</v>
      </c>
      <c r="B11254" s="4" t="s">
        <v>14153</v>
      </c>
      <c r="C11254" s="5" t="str">
        <f>IFERROR(__xludf.DUMMYFUNCTION("GOOGLETRANSLATE(B11254,""en"",""de"")"),"Ein Fenster auf einem Auto ist berührt und ein hemdloser Mann geht zu der Are.")</f>
        <v>Ein Fenster auf einem Auto ist berührt und ein hemdloser Mann geht zu der Are.</v>
      </c>
    </row>
    <row r="11255">
      <c r="A11255" s="4" t="s">
        <v>14152</v>
      </c>
      <c r="B11255" s="4" t="s">
        <v>14154</v>
      </c>
      <c r="C11255" s="5" t="str">
        <f>IFERROR(__xludf.DUMMYFUNCTION("GOOGLETRANSLATE(B11255,""en"",""de"")"),"Wir sehen hemdlose Männer in kleinen, engen Unterwäsche, die Autos waschen.")</f>
        <v>Wir sehen hemdlose Männer in kleinen, engen Unterwäsche, die Autos waschen.</v>
      </c>
    </row>
    <row r="11256">
      <c r="A11256" s="4" t="s">
        <v>14152</v>
      </c>
      <c r="B11256" s="4" t="s">
        <v>14155</v>
      </c>
      <c r="C11256" s="5" t="str">
        <f>IFERROR(__xludf.DUMMYFUNCTION("GOOGLETRANSLATE(B11256,""en"",""de"")"),"Die Männer gehen auf dem Parkplatz in einer Linie mit nur Unterwäsche.")</f>
        <v>Die Männer gehen auf dem Parkplatz in einer Linie mit nur Unterwäsche.</v>
      </c>
    </row>
    <row r="11257">
      <c r="A11257" s="4" t="s">
        <v>14152</v>
      </c>
      <c r="B11257" s="4" t="s">
        <v>14156</v>
      </c>
      <c r="C11257" s="5" t="str">
        <f>IFERROR(__xludf.DUMMYFUNCTION("GOOGLETRANSLATE(B11257,""en"",""de"")"),"Ein Mann schüttelt sein nasses Haar.")</f>
        <v>Ein Mann schüttelt sein nasses Haar.</v>
      </c>
    </row>
    <row r="11258">
      <c r="A11258" s="4" t="s">
        <v>14152</v>
      </c>
      <c r="B11258" s="4" t="s">
        <v>14157</v>
      </c>
      <c r="C11258" s="5" t="str">
        <f>IFERROR(__xludf.DUMMYFUNCTION("GOOGLETRANSLATE(B11258,""en"",""de"")"),"Ein Mann wäscht den Hintern eines anderen Mannes.")</f>
        <v>Ein Mann wäscht den Hintern eines anderen Mannes.</v>
      </c>
    </row>
    <row r="11259">
      <c r="A11259" s="4" t="s">
        <v>14152</v>
      </c>
      <c r="B11259" s="4" t="s">
        <v>14158</v>
      </c>
      <c r="C11259" s="5" t="str">
        <f>IFERROR(__xludf.DUMMYFUNCTION("GOOGLETRANSLATE(B11259,""en"",""de"")"),"Ein Mann wischt das Wasser zurück und schaut in die Kamera.")</f>
        <v>Ein Mann wischt das Wasser zurück und schaut in die Kamera.</v>
      </c>
    </row>
    <row r="11260">
      <c r="A11260" s="4" t="s">
        <v>14152</v>
      </c>
      <c r="B11260" s="4" t="s">
        <v>14159</v>
      </c>
      <c r="C11260" s="5" t="str">
        <f>IFERROR(__xludf.DUMMYFUNCTION("GOOGLETRANSLATE(B11260,""en"",""de"")"),"Männer tanzt in einer Linie und Szenen des Waschens des Autos.")</f>
        <v>Männer tanzt in einer Linie und Szenen des Waschens des Autos.</v>
      </c>
    </row>
    <row r="11261">
      <c r="A11261" s="4" t="s">
        <v>14152</v>
      </c>
      <c r="B11261" s="4" t="s">
        <v>777</v>
      </c>
      <c r="C11261" s="5" t="str">
        <f>IFERROR(__xludf.DUMMYFUNCTION("GOOGLETRANSLATE(B11261,""en"",""de"")"),"Wir sehen den End -Titelbildschirm.")</f>
        <v>Wir sehen den End -Titelbildschirm.</v>
      </c>
    </row>
    <row r="11262">
      <c r="A11262" s="4" t="s">
        <v>14160</v>
      </c>
      <c r="B11262" s="4" t="s">
        <v>14161</v>
      </c>
      <c r="C11262" s="5" t="str">
        <f>IFERROR(__xludf.DUMMYFUNCTION("GOOGLETRANSLATE(B11262,""en"",""de"")"),"Zwei Sumo -Wrestler stehen in einer Arena.")</f>
        <v>Zwei Sumo -Wrestler stehen in einer Arena.</v>
      </c>
    </row>
    <row r="11263">
      <c r="A11263" s="4" t="s">
        <v>14160</v>
      </c>
      <c r="B11263" s="4" t="s">
        <v>14162</v>
      </c>
      <c r="C11263" s="5" t="str">
        <f>IFERROR(__xludf.DUMMYFUNCTION("GOOGLETRANSLATE(B11263,""en"",""de"")"),"Einer schlägt den anderen aus.")</f>
        <v>Einer schlägt den anderen aus.</v>
      </c>
    </row>
    <row r="11264">
      <c r="A11264" s="4" t="s">
        <v>14160</v>
      </c>
      <c r="B11264" s="4" t="s">
        <v>14163</v>
      </c>
      <c r="C11264" s="5" t="str">
        <f>IFERROR(__xludf.DUMMYFUNCTION("GOOGLETRANSLATE(B11264,""en"",""de"")"),"Der Gewinner steht groß auf der Arena.")</f>
        <v>Der Gewinner steht groß auf der Arena.</v>
      </c>
    </row>
    <row r="11265">
      <c r="A11265" s="4" t="s">
        <v>14160</v>
      </c>
      <c r="B11265" s="4" t="s">
        <v>14164</v>
      </c>
      <c r="C11265" s="5" t="str">
        <f>IFERROR(__xludf.DUMMYFUNCTION("GOOGLETRANSLATE(B11265,""en"",""de"")"),"Die Menge sieht den Gewinner an.")</f>
        <v>Die Menge sieht den Gewinner an.</v>
      </c>
    </row>
    <row r="11266">
      <c r="A11266" s="4" t="s">
        <v>14165</v>
      </c>
      <c r="B11266" s="4" t="s">
        <v>14166</v>
      </c>
      <c r="C11266" s="5" t="str">
        <f>IFERROR(__xludf.DUMMYFUNCTION("GOOGLETRANSLATE(B11266,""en"",""de"")"),"Das Video zeigt einen Mann in Gläser und Kopfhörern, der einen braunen Hut und Hemd trägt, das ein Tutorial zum Spielen einer PVC -Flöte macht.")</f>
        <v>Das Video zeigt einen Mann in Gläser und Kopfhörern, der einen braunen Hut und Hemd trägt, das ein Tutorial zum Spielen einer PVC -Flöte macht.</v>
      </c>
    </row>
    <row r="11267">
      <c r="A11267" s="4" t="s">
        <v>14165</v>
      </c>
      <c r="B11267" s="4" t="s">
        <v>14167</v>
      </c>
      <c r="C11267" s="5" t="str">
        <f>IFERROR(__xludf.DUMMYFUNCTION("GOOGLETRANSLATE(B11267,""en"",""de"")"),"Er nimmt die Flöte in seine Hände und beginnt zu spielen, indem er seine Finger entlang der Löcher bewegt, während er in die Flöte bläst.")</f>
        <v>Er nimmt die Flöte in seine Hände und beginnt zu spielen, indem er seine Finger entlang der Löcher bewegt, während er in die Flöte bläst.</v>
      </c>
    </row>
    <row r="11268">
      <c r="A11268" s="4" t="s">
        <v>14165</v>
      </c>
      <c r="B11268" s="4" t="s">
        <v>14168</v>
      </c>
      <c r="C11268" s="5" t="str">
        <f>IFERROR(__xludf.DUMMYFUNCTION("GOOGLETRANSLATE(B11268,""en"",""de"")"),"Er spielt weiterhin die Flöte, bis er die Melodie beendet.")</f>
        <v>Er spielt weiterhin die Flöte, bis er die Melodie beendet.</v>
      </c>
    </row>
    <row r="11269">
      <c r="A11269" s="4" t="s">
        <v>14169</v>
      </c>
      <c r="B11269" s="4" t="s">
        <v>14170</v>
      </c>
      <c r="C11269" s="5" t="str">
        <f>IFERROR(__xludf.DUMMYFUNCTION("GOOGLETRANSLATE(B11269,""en"",""de"")"),"Ein Mann spielt viele Spiele Shuffleboards in einem Raum, der von anderen Leuten und vielen anderen Shuffle -Boards besetzt ist.")</f>
        <v>Ein Mann spielt viele Spiele Shuffleboards in einem Raum, der von anderen Leuten und vielen anderen Shuffle -Boards besetzt ist.</v>
      </c>
    </row>
    <row r="11270">
      <c r="A11270" s="4" t="s">
        <v>14169</v>
      </c>
      <c r="B11270" s="4" t="s">
        <v>14171</v>
      </c>
      <c r="C11270" s="5" t="str">
        <f>IFERROR(__xludf.DUMMYFUNCTION("GOOGLETRANSLATE(B11270,""en"",""de"")"),"Ein Mann in einem Kragenhemd und einer Brille spielt Shuffleboard mit Metallpucks und einem langen hölzernen Shuffleboard vor einer beleuchteten Anzeigetafel in einem Raum.")</f>
        <v>Ein Mann in einem Kragenhemd und einer Brille spielt Shuffleboard mit Metallpucks und einem langen hölzernen Shuffleboard vor einer beleuchteten Anzeigetafel in einem Raum.</v>
      </c>
    </row>
    <row r="11271">
      <c r="A11271" s="4" t="s">
        <v>14169</v>
      </c>
      <c r="B11271" s="4" t="s">
        <v>14172</v>
      </c>
      <c r="C11271" s="5" t="str">
        <f>IFERROR(__xludf.DUMMYFUNCTION("GOOGLETRANSLATE(B11271,""en"",""de"")"),"Der Mann legt Papierhandtücher über seine Augen und unter seine Brille, um Schweiß aus der Intensität des Shuffleboard -Spiels zu absorbieren.")</f>
        <v>Der Mann legt Papierhandtücher über seine Augen und unter seine Brille, um Schweiß aus der Intensität des Shuffleboard -Spiels zu absorbieren.</v>
      </c>
    </row>
    <row r="11272">
      <c r="A11272" s="4" t="s">
        <v>14169</v>
      </c>
      <c r="B11272" s="4" t="s">
        <v>14173</v>
      </c>
      <c r="C11272" s="5" t="str">
        <f>IFERROR(__xludf.DUMMYFUNCTION("GOOGLETRANSLATE(B11272,""en"",""de"")"),"Der Mann spielt weiterhin Shuffleboard mit ein paar Zuschauern in einem Raum mit einer letzten visuellen Aufnahme von allen bis auf einen der Pucks von der Shuffleboard.")</f>
        <v>Der Mann spielt weiterhin Shuffleboard mit ein paar Zuschauern in einem Raum mit einer letzten visuellen Aufnahme von allen bis auf einen der Pucks von der Shuffleboard.</v>
      </c>
    </row>
    <row r="11273">
      <c r="A11273" s="4" t="s">
        <v>14174</v>
      </c>
      <c r="B11273" s="4" t="s">
        <v>14175</v>
      </c>
      <c r="C11273" s="5" t="str">
        <f>IFERROR(__xludf.DUMMYFUNCTION("GOOGLETRANSLATE(B11273,""en"",""de"")"),"Eine Frau, die Tauchausrüstung trägt, befindet sich unter dem Wasser.")</f>
        <v>Eine Frau, die Tauchausrüstung trägt, befindet sich unter dem Wasser.</v>
      </c>
    </row>
    <row r="11274">
      <c r="A11274" s="4" t="s">
        <v>14174</v>
      </c>
      <c r="B11274" s="4" t="s">
        <v>14176</v>
      </c>
      <c r="C11274" s="5" t="str">
        <f>IFERROR(__xludf.DUMMYFUNCTION("GOOGLETRANSLATE(B11274,""en"",""de"")"),"Sie erkundet den Meeresboden und betrachtet die Fische und die Tierwelt, während ein Mann hinter sich schwimmt.")</f>
        <v>Sie erkundet den Meeresboden und betrachtet die Fische und die Tierwelt, während ein Mann hinter sich schwimmt.</v>
      </c>
    </row>
    <row r="11275">
      <c r="A11275" s="4" t="s">
        <v>14174</v>
      </c>
      <c r="B11275" s="4" t="s">
        <v>14177</v>
      </c>
      <c r="C11275" s="5" t="str">
        <f>IFERROR(__xludf.DUMMYFUNCTION("GOOGLETRANSLATE(B11275,""en"",""de"")"),"Sie geben der Person mit der Kamera OK -Signale.")</f>
        <v>Sie geben der Person mit der Kamera OK -Signale.</v>
      </c>
    </row>
    <row r="11276">
      <c r="A11276" s="4" t="s">
        <v>14178</v>
      </c>
      <c r="B11276" s="4" t="s">
        <v>14179</v>
      </c>
      <c r="C11276" s="5" t="str">
        <f>IFERROR(__xludf.DUMMYFUNCTION("GOOGLETRANSLATE(B11276,""en"",""de"")"),"Es wird gezeigt, dass eine sportliche Frau in Zeitlupe über eine Stange springt, gefolgt von mehreren weiteren Frauen, die den gleichen Sprung versuchen.")</f>
        <v>Es wird gezeigt, dass eine sportliche Frau in Zeitlupe über eine Stange springt, gefolgt von mehreren weiteren Frauen, die den gleichen Sprung versuchen.</v>
      </c>
    </row>
    <row r="11277">
      <c r="A11277" s="4" t="s">
        <v>14178</v>
      </c>
      <c r="B11277" s="4" t="s">
        <v>14180</v>
      </c>
      <c r="C11277" s="5" t="str">
        <f>IFERROR(__xludf.DUMMYFUNCTION("GOOGLETRANSLATE(B11277,""en"",""de"")"),"Mehrere weitere Frauen folgen hinter dem Sprung, während die Kamera sie in Zeitlupe erfasst.")</f>
        <v>Mehrere weitere Frauen folgen hinter dem Sprung, während die Kamera sie in Zeitlupe erfasst.</v>
      </c>
    </row>
    <row r="11278">
      <c r="A11278" s="4" t="s">
        <v>14181</v>
      </c>
      <c r="B11278" s="4" t="s">
        <v>14182</v>
      </c>
      <c r="C11278" s="5" t="str">
        <f>IFERROR(__xludf.DUMMYFUNCTION("GOOGLETRANSLATE(B11278,""en"",""de"")"),"Die Menschen werden in diesem Marathon langsam joggen.")</f>
        <v>Die Menschen werden in diesem Marathon langsam joggen.</v>
      </c>
    </row>
    <row r="11279">
      <c r="A11279" s="4" t="s">
        <v>14181</v>
      </c>
      <c r="B11279" s="4" t="s">
        <v>14183</v>
      </c>
      <c r="C11279" s="5" t="str">
        <f>IFERROR(__xludf.DUMMYFUNCTION("GOOGLETRANSLATE(B11279,""en"",""de"")"),"Es gibt nur einen Mann, der weiße Bälle in seinen Händen jongliert, während er während der ganzen Sache rückwärts joggt.")</f>
        <v>Es gibt nur einen Mann, der weiße Bälle in seinen Händen jongliert, während er während der ganzen Sache rückwärts joggt.</v>
      </c>
    </row>
    <row r="11280">
      <c r="A11280" s="4" t="s">
        <v>14181</v>
      </c>
      <c r="B11280" s="4" t="s">
        <v>14184</v>
      </c>
      <c r="C11280" s="5" t="str">
        <f>IFERROR(__xludf.DUMMYFUNCTION("GOOGLETRANSLATE(B11280,""en"",""de"")"),"Am Ende verringert sich die Anzahl der Menschen und es läuft nur eine Person und der Mann, der Bälle jongliert.")</f>
        <v>Am Ende verringert sich die Anzahl der Menschen und es läuft nur eine Person und der Mann, der Bälle jongliert.</v>
      </c>
    </row>
    <row r="11281">
      <c r="A11281" s="4" t="s">
        <v>14185</v>
      </c>
      <c r="B11281" s="4" t="s">
        <v>14186</v>
      </c>
      <c r="C11281" s="5" t="str">
        <f>IFERROR(__xludf.DUMMYFUNCTION("GOOGLETRANSLATE(B11281,""en"",""de"")"),"Ein Mann ist draußen und versucht, den Schnee von seiner Windschutzscheibe abzuschaufeln.")</f>
        <v>Ein Mann ist draußen und versucht, den Schnee von seiner Windschutzscheibe abzuschaufeln.</v>
      </c>
    </row>
    <row r="11282">
      <c r="A11282" s="4" t="s">
        <v>14185</v>
      </c>
      <c r="B11282" s="4" t="s">
        <v>14187</v>
      </c>
      <c r="C11282" s="5" t="str">
        <f>IFERROR(__xludf.DUMMYFUNCTION("GOOGLETRANSLATE(B11282,""en"",""de"")"),"Der Mann geht dann hinein und beginnt zu reden.")</f>
        <v>Der Mann geht dann hinein und beginnt zu reden.</v>
      </c>
    </row>
    <row r="11283">
      <c r="A11283" s="4" t="s">
        <v>14185</v>
      </c>
      <c r="B11283" s="4" t="s">
        <v>14188</v>
      </c>
      <c r="C11283" s="5" t="str">
        <f>IFERROR(__xludf.DUMMYFUNCTION("GOOGLETRANSLATE(B11283,""en"",""de"")"),"Sobald er fertig ist, geht er von seiner Garage aus und testet das Produkt des ICESSCREENs.")</f>
        <v>Sobald er fertig ist, geht er von seiner Garage aus und testet das Produkt des ICESSCREENs.</v>
      </c>
    </row>
    <row r="11284">
      <c r="A11284" s="4" t="s">
        <v>14189</v>
      </c>
      <c r="B11284" s="4" t="s">
        <v>14190</v>
      </c>
      <c r="C11284" s="5" t="str">
        <f>IFERROR(__xludf.DUMMYFUNCTION("GOOGLETRANSLATE(B11284,""en"",""de"")"),"Die Leute stehen auf einem Feld, der zu Drachen am Himmel aufsieht.")</f>
        <v>Die Leute stehen auf einem Feld, der zu Drachen am Himmel aufsieht.</v>
      </c>
    </row>
    <row r="11285">
      <c r="A11285" s="4" t="s">
        <v>14189</v>
      </c>
      <c r="B11285" s="4" t="s">
        <v>14191</v>
      </c>
      <c r="C11285" s="5" t="str">
        <f>IFERROR(__xludf.DUMMYFUNCTION("GOOGLETRANSLATE(B11285,""en"",""de"")"),"Ein Drachen wird am Himmel von einem Baum gezeigt.")</f>
        <v>Ein Drachen wird am Himmel von einem Baum gezeigt.</v>
      </c>
    </row>
    <row r="11286">
      <c r="A11286" s="4" t="s">
        <v>14189</v>
      </c>
      <c r="B11286" s="4" t="s">
        <v>14192</v>
      </c>
      <c r="C11286" s="5" t="str">
        <f>IFERROR(__xludf.DUMMYFUNCTION("GOOGLETRANSLATE(B11286,""en"",""de"")"),"Ein Junge jagt nach dem Drachen und fangen Is.")</f>
        <v>Ein Junge jagt nach dem Drachen und fangen Is.</v>
      </c>
    </row>
    <row r="11287">
      <c r="A11287" s="4" t="s">
        <v>14193</v>
      </c>
      <c r="B11287" s="4" t="s">
        <v>14194</v>
      </c>
      <c r="C11287" s="5" t="str">
        <f>IFERROR(__xludf.DUMMYFUNCTION("GOOGLETRANSLATE(B11287,""en"",""de"")"),"Verschiedene Bilder zeigen, dass Menschen Kanus von einem Lastwagen bringen und sie ins Wasser laden.")</f>
        <v>Verschiedene Bilder zeigen, dass Menschen Kanus von einem Lastwagen bringen und sie ins Wasser laden.</v>
      </c>
    </row>
    <row r="11288">
      <c r="A11288" s="4" t="s">
        <v>14193</v>
      </c>
      <c r="B11288" s="4" t="s">
        <v>14195</v>
      </c>
      <c r="C11288" s="5" t="str">
        <f>IFERROR(__xludf.DUMMYFUNCTION("GOOGLETRANSLATE(B11288,""en"",""de"")"),"Die Menschen werden dann gesehen, wie sie angeln und den Fluss hinunter reiten, der in mehreren Bildern gezeigt ist.")</f>
        <v>Die Menschen werden dann gesehen, wie sie angeln und den Fluss hinunter reiten, der in mehreren Bildern gezeigt ist.</v>
      </c>
    </row>
    <row r="11289">
      <c r="A11289" s="4" t="s">
        <v>14196</v>
      </c>
      <c r="B11289" s="4" t="s">
        <v>14197</v>
      </c>
      <c r="C11289" s="5" t="str">
        <f>IFERROR(__xludf.DUMMYFUNCTION("GOOGLETRANSLATE(B11289,""en"",""de"")"),"Der Barfußmann serviert den Ball, verpasste ihn aber.")</f>
        <v>Der Barfußmann serviert den Ball, verpasste ihn aber.</v>
      </c>
    </row>
    <row r="11290">
      <c r="A11290" s="4" t="s">
        <v>14196</v>
      </c>
      <c r="B11290" s="4" t="s">
        <v>14198</v>
      </c>
      <c r="C11290" s="5" t="str">
        <f>IFERROR(__xludf.DUMMYFUNCTION("GOOGLETRANSLATE(B11290,""en"",""de"")"),"Der Mann servierte den Ball und schlug die Wand, aber er sprang so tief ab, dass der Mann ihn nicht treffen kann.")</f>
        <v>Der Mann servierte den Ball und schlug die Wand, aber er sprang so tief ab, dass der Mann ihn nicht treffen kann.</v>
      </c>
    </row>
    <row r="11291">
      <c r="A11291" s="4" t="s">
        <v>14196</v>
      </c>
      <c r="B11291" s="4" t="s">
        <v>14199</v>
      </c>
      <c r="C11291" s="5" t="str">
        <f>IFERROR(__xludf.DUMMYFUNCTION("GOOGLETRANSLATE(B11291,""en"",""de"")"),"Der Mann jagte nach dem Ball nach und schlug es, dann kam ein hemdloser Mann auf ihn zu und brachte ihm bei, wie man den Ball serviert.")</f>
        <v>Der Mann jagte nach dem Ball nach und schlug es, dann kam ein hemdloser Mann auf ihn zu und brachte ihm bei, wie man den Ball serviert.</v>
      </c>
    </row>
    <row r="11292">
      <c r="A11292" s="4" t="s">
        <v>14200</v>
      </c>
      <c r="B11292" s="4" t="s">
        <v>14201</v>
      </c>
      <c r="C11292" s="5" t="str">
        <f>IFERROR(__xludf.DUMMYFUNCTION("GOOGLETRANSLATE(B11292,""en"",""de"")"),"Eine Frau lächelt in die Kamera.")</f>
        <v>Eine Frau lächelt in die Kamera.</v>
      </c>
    </row>
    <row r="11293">
      <c r="A11293" s="4" t="s">
        <v>14200</v>
      </c>
      <c r="B11293" s="4" t="s">
        <v>14202</v>
      </c>
      <c r="C11293" s="5" t="str">
        <f>IFERROR(__xludf.DUMMYFUNCTION("GOOGLETRANSLATE(B11293,""en"",""de"")"),"Die Frau nimmt ein Bügeleisen und bügelt ein weißes Hemd in kleinen kreisförmigen Mustern.")</f>
        <v>Die Frau nimmt ein Bügeleisen und bügelt ein weißes Hemd in kleinen kreisförmigen Mustern.</v>
      </c>
    </row>
    <row r="11294">
      <c r="A11294" s="4" t="s">
        <v>14200</v>
      </c>
      <c r="B11294" s="4" t="s">
        <v>14203</v>
      </c>
      <c r="C11294" s="5" t="str">
        <f>IFERROR(__xludf.DUMMYFUNCTION("GOOGLETRANSLATE(B11294,""en"",""de"")"),"Die Frau benutzt beide Hände, um das Eisen zu schieben.")</f>
        <v>Die Frau benutzt beide Hände, um das Eisen zu schieben.</v>
      </c>
    </row>
    <row r="11295">
      <c r="A11295" s="4" t="s">
        <v>14200</v>
      </c>
      <c r="B11295" s="4" t="s">
        <v>14204</v>
      </c>
      <c r="C11295" s="5" t="str">
        <f>IFERROR(__xludf.DUMMYFUNCTION("GOOGLETRANSLATE(B11295,""en"",""de"")"),"Sie nimmt mit einer Hand an derselben Stelle das Bügel auf.")</f>
        <v>Sie nimmt mit einer Hand an derselben Stelle das Bügel auf.</v>
      </c>
    </row>
    <row r="11296">
      <c r="A11296" s="4" t="s">
        <v>14200</v>
      </c>
      <c r="B11296" s="4" t="s">
        <v>14205</v>
      </c>
      <c r="C11296" s="5" t="str">
        <f>IFERROR(__xludf.DUMMYFUNCTION("GOOGLETRANSLATE(B11296,""en"",""de"")"),"Die Frau inspiziert den Stern auf dem Hemd.")</f>
        <v>Die Frau inspiziert den Stern auf dem Hemd.</v>
      </c>
    </row>
    <row r="11297">
      <c r="A11297" s="4" t="s">
        <v>14200</v>
      </c>
      <c r="B11297" s="4" t="s">
        <v>14206</v>
      </c>
      <c r="C11297" s="5" t="str">
        <f>IFERROR(__xludf.DUMMYFUNCTION("GOOGLETRANSLATE(B11297,""en"",""de"")"),"Die Frau nimmt dann das Bügeln des Musters wieder auf.")</f>
        <v>Die Frau nimmt dann das Bügeln des Musters wieder auf.</v>
      </c>
    </row>
    <row r="11298">
      <c r="A11298" s="4" t="s">
        <v>14200</v>
      </c>
      <c r="B11298" s="4" t="s">
        <v>14207</v>
      </c>
      <c r="C11298" s="5" t="str">
        <f>IFERROR(__xludf.DUMMYFUNCTION("GOOGLETRANSLATE(B11298,""en"",""de"")"),"Die Frau schält das Papier vom Muster weg und nimmt dann das Bügeln wieder auf.")</f>
        <v>Die Frau schält das Papier vom Muster weg und nimmt dann das Bügeln wieder auf.</v>
      </c>
    </row>
    <row r="11299">
      <c r="A11299" s="4" t="s">
        <v>14200</v>
      </c>
      <c r="B11299" s="4" t="s">
        <v>14208</v>
      </c>
      <c r="C11299" s="5" t="str">
        <f>IFERROR(__xludf.DUMMYFUNCTION("GOOGLETRANSLATE(B11299,""en"",""de"")"),"Die Frau hält das Hemd hoch, nachdem sie fertig ist.")</f>
        <v>Die Frau hält das Hemd hoch, nachdem sie fertig ist.</v>
      </c>
    </row>
    <row r="11300">
      <c r="A11300" s="4" t="s">
        <v>14209</v>
      </c>
      <c r="B11300" s="4" t="s">
        <v>14210</v>
      </c>
      <c r="C11300" s="5" t="str">
        <f>IFERROR(__xludf.DUMMYFUNCTION("GOOGLETRANSLATE(B11300,""en"",""de"")"),"Ein Junge spricht mit einer Kamera, während er einen Lacrosse -Stock hält und Bälle in ein Netz schlägt.")</f>
        <v>Ein Junge spricht mit einer Kamera, während er einen Lacrosse -Stock hält und Bälle in ein Netz schlägt.</v>
      </c>
    </row>
    <row r="11301">
      <c r="A11301" s="4" t="s">
        <v>14209</v>
      </c>
      <c r="B11301" s="4" t="s">
        <v>14211</v>
      </c>
      <c r="C11301" s="5" t="str">
        <f>IFERROR(__xludf.DUMMYFUNCTION("GOOGLETRANSLATE(B11301,""en"",""de"")"),"Der Junge wirft mehrere Bälle immer wieder ins Netz und schlägt direkt ins Netz.")</f>
        <v>Der Junge wirft mehrere Bälle immer wieder ins Netz und schlägt direkt ins Netz.</v>
      </c>
    </row>
    <row r="11302">
      <c r="A11302" s="4" t="s">
        <v>14212</v>
      </c>
      <c r="B11302" s="4" t="s">
        <v>14213</v>
      </c>
      <c r="C11302" s="5" t="str">
        <f>IFERROR(__xludf.DUMMYFUNCTION("GOOGLETRANSLATE(B11302,""en"",""de"")"),"Ein Mann sitzt auf einer Couch und trinkt ein Bier aus einer Flasche.")</f>
        <v>Ein Mann sitzt auf einer Couch und trinkt ein Bier aus einer Flasche.</v>
      </c>
    </row>
    <row r="11303">
      <c r="A11303" s="4" t="s">
        <v>14212</v>
      </c>
      <c r="B11303" s="4" t="s">
        <v>14214</v>
      </c>
      <c r="C11303" s="5" t="str">
        <f>IFERROR(__xludf.DUMMYFUNCTION("GOOGLETRANSLATE(B11303,""en"",""de"")"),"Er lässt die Flasche aus seinem Mund fallen und lächelt.")</f>
        <v>Er lässt die Flasche aus seinem Mund fallen und lächelt.</v>
      </c>
    </row>
    <row r="11304">
      <c r="A11304" s="4" t="s">
        <v>14215</v>
      </c>
      <c r="B11304" s="4" t="s">
        <v>14216</v>
      </c>
      <c r="C11304" s="5" t="str">
        <f>IFERROR(__xludf.DUMMYFUNCTION("GOOGLETRANSLATE(B11304,""en"",""de"")"),"Menschen stehen im Kreis herum.")</f>
        <v>Menschen stehen im Kreis herum.</v>
      </c>
    </row>
    <row r="11305">
      <c r="A11305" s="4" t="s">
        <v>14215</v>
      </c>
      <c r="B11305" s="4" t="s">
        <v>14217</v>
      </c>
      <c r="C11305" s="5" t="str">
        <f>IFERROR(__xludf.DUMMYFUNCTION("GOOGLETRANSLATE(B11305,""en"",""de"")"),"Zwei Menschen kämpfen im Kreis.")</f>
        <v>Zwei Menschen kämpfen im Kreis.</v>
      </c>
    </row>
    <row r="11306">
      <c r="A11306" s="4" t="s">
        <v>14215</v>
      </c>
      <c r="B11306" s="4" t="s">
        <v>14218</v>
      </c>
      <c r="C11306" s="5" t="str">
        <f>IFERROR(__xludf.DUMMYFUNCTION("GOOGLETRANSLATE(B11306,""en"",""de"")"),"Ein Mann macht draußen auf dem Gras.")</f>
        <v>Ein Mann macht draußen auf dem Gras.</v>
      </c>
    </row>
    <row r="11307">
      <c r="A11307" s="4" t="s">
        <v>14215</v>
      </c>
      <c r="B11307" s="4" t="s">
        <v>14219</v>
      </c>
      <c r="C11307" s="5" t="str">
        <f>IFERROR(__xludf.DUMMYFUNCTION("GOOGLETRANSLATE(B11307,""en"",""de"")"),"Sie fliegen weiter im Kreis.")</f>
        <v>Sie fliegen weiter im Kreis.</v>
      </c>
    </row>
    <row r="11308">
      <c r="A11308" s="4" t="s">
        <v>14215</v>
      </c>
      <c r="B11308" s="4" t="s">
        <v>14220</v>
      </c>
      <c r="C11308" s="5" t="str">
        <f>IFERROR(__xludf.DUMMYFUNCTION("GOOGLETRANSLATE(B11308,""en"",""de"")"),"Ein Mann steht draußen und redet vor einer Straße.")</f>
        <v>Ein Mann steht draußen und redet vor einer Straße.</v>
      </c>
    </row>
    <row r="11309">
      <c r="A11309" s="4" t="s">
        <v>14215</v>
      </c>
      <c r="B11309" s="4" t="s">
        <v>14221</v>
      </c>
      <c r="C11309" s="5" t="str">
        <f>IFERROR(__xludf.DUMMYFUNCTION("GOOGLETRANSLATE(B11309,""en"",""de"")"),"Ein Mann macht mehrere Rückenflips im Gras.")</f>
        <v>Ein Mann macht mehrere Rückenflips im Gras.</v>
      </c>
    </row>
    <row r="11310">
      <c r="A11310" s="4" t="s">
        <v>14222</v>
      </c>
      <c r="B11310" s="4" t="s">
        <v>14223</v>
      </c>
      <c r="C11310" s="5" t="str">
        <f>IFERROR(__xludf.DUMMYFUNCTION("GOOGLETRANSLATE(B11310,""en"",""de"")"),"Eine Frau steht mit der Kamera mit einem Hund vor sich.")</f>
        <v>Eine Frau steht mit der Kamera mit einem Hund vor sich.</v>
      </c>
    </row>
    <row r="11311">
      <c r="A11311" s="4" t="s">
        <v>14222</v>
      </c>
      <c r="B11311" s="4" t="s">
        <v>14224</v>
      </c>
      <c r="C11311" s="5" t="str">
        <f>IFERROR(__xludf.DUMMYFUNCTION("GOOGLETRANSLATE(B11311,""en"",""de"")"),"Die Frau hält das Vorderbein des Hundes, als sie spricht.")</f>
        <v>Die Frau hält das Vorderbein des Hundes, als sie spricht.</v>
      </c>
    </row>
    <row r="11312">
      <c r="A11312" s="4" t="s">
        <v>14222</v>
      </c>
      <c r="B11312" s="4" t="s">
        <v>14225</v>
      </c>
      <c r="C11312" s="5" t="str">
        <f>IFERROR(__xludf.DUMMYFUNCTION("GOOGLETRANSLATE(B11312,""en"",""de"")"),"Die Frau streift den Hund mit einer blauen Bürste.")</f>
        <v>Die Frau streift den Hund mit einer blauen Bürste.</v>
      </c>
    </row>
    <row r="11313">
      <c r="A11313" s="4" t="s">
        <v>14226</v>
      </c>
      <c r="B11313" s="4" t="s">
        <v>14227</v>
      </c>
      <c r="C11313" s="5" t="str">
        <f>IFERROR(__xludf.DUMMYFUNCTION("GOOGLETRANSLATE(B11313,""en"",""de"")"),"Eine Anzeige für die Premier -Verpackung erscheint.")</f>
        <v>Eine Anzeige für die Premier -Verpackung erscheint.</v>
      </c>
    </row>
    <row r="11314">
      <c r="A11314" s="4" t="s">
        <v>14226</v>
      </c>
      <c r="B11314" s="4" t="s">
        <v>14228</v>
      </c>
      <c r="C11314" s="5" t="str">
        <f>IFERROR(__xludf.DUMMYFUNCTION("GOOGLETRANSLATE(B11314,""en"",""de"")"),"Eine Frau steht in einem Büro vor einem Korb mit kleinen Geschenken.")</f>
        <v>Eine Frau steht in einem Büro vor einem Korb mit kleinen Geschenken.</v>
      </c>
    </row>
    <row r="11315">
      <c r="A11315" s="4" t="s">
        <v>14226</v>
      </c>
      <c r="B11315" s="4" t="s">
        <v>14229</v>
      </c>
      <c r="C11315" s="5" t="str">
        <f>IFERROR(__xludf.DUMMYFUNCTION("GOOGLETRANSLATE(B11315,""en"",""de"")"),"Sie zeigt, wie sie Cellophan und einen Haartrockner benutzte, um die Geschenke im Korb zu verkleinern und den sicher und präsentabel zu halten.")</f>
        <v>Sie zeigt, wie sie Cellophan und einen Haartrockner benutzte, um die Geschenke im Korb zu verkleinern und den sicher und präsentabel zu halten.</v>
      </c>
    </row>
    <row r="11316">
      <c r="A11316" s="4" t="s">
        <v>14230</v>
      </c>
      <c r="B11316" s="4" t="s">
        <v>14231</v>
      </c>
      <c r="C11316" s="5" t="str">
        <f>IFERROR(__xludf.DUMMYFUNCTION("GOOGLETRANSLATE(B11316,""en"",""de"")"),"Eine Person fährt ein Wake Board hinter einem Boot durch das abgehackte Wasser.")</f>
        <v>Eine Person fährt ein Wake Board hinter einem Boot durch das abgehackte Wasser.</v>
      </c>
    </row>
    <row r="11317">
      <c r="A11317" s="4" t="s">
        <v>14230</v>
      </c>
      <c r="B11317" s="4" t="s">
        <v>14232</v>
      </c>
      <c r="C11317" s="5" t="str">
        <f>IFERROR(__xludf.DUMMYFUNCTION("GOOGLETRANSLATE(B11317,""en"",""de"")"),"Die Wake -Boarderin springt über die Spitze des Bootes und flieht.")</f>
        <v>Die Wake -Boarderin springt über die Spitze des Bootes und flieht.</v>
      </c>
    </row>
    <row r="11318">
      <c r="A11318" s="4" t="s">
        <v>14230</v>
      </c>
      <c r="B11318" s="4" t="s">
        <v>14233</v>
      </c>
      <c r="C11318" s="5" t="str">
        <f>IFERROR(__xludf.DUMMYFUNCTION("GOOGLETRANSLATE(B11318,""en"",""de"")"),"Der Wake Board macht einen letzten Sprung und fällt ins Wasser.")</f>
        <v>Der Wake Board macht einen letzten Sprung und fällt ins Wasser.</v>
      </c>
    </row>
    <row r="11319">
      <c r="A11319" s="4" t="s">
        <v>14234</v>
      </c>
      <c r="B11319" s="4" t="s">
        <v>14235</v>
      </c>
      <c r="C11319" s="5" t="str">
        <f>IFERROR(__xludf.DUMMYFUNCTION("GOOGLETRANSLATE(B11319,""en"",""de"")"),"Eine Nahaufnahme eines Kamins ist zu sehen, wobei sich die Kamera um die Vorderseite bewegt.")</f>
        <v>Eine Nahaufnahme eines Kamins ist zu sehen, wobei sich die Kamera um die Vorderseite bewegt.</v>
      </c>
    </row>
    <row r="11320">
      <c r="A11320" s="4" t="s">
        <v>14234</v>
      </c>
      <c r="B11320" s="4" t="s">
        <v>14236</v>
      </c>
      <c r="C11320" s="5" t="str">
        <f>IFERROR(__xludf.DUMMYFUNCTION("GOOGLETRANSLATE(B11320,""en"",""de"")"),"Die Kamera zoomt in die Grube und zeigt einen Mann, der vorne kniet.")</f>
        <v>Die Kamera zoomt in die Grube und zeigt einen Mann, der vorne kniet.</v>
      </c>
    </row>
    <row r="11321">
      <c r="A11321" s="4" t="s">
        <v>14234</v>
      </c>
      <c r="B11321" s="4" t="s">
        <v>14237</v>
      </c>
      <c r="C11321" s="5" t="str">
        <f>IFERROR(__xludf.DUMMYFUNCTION("GOOGLETRANSLATE(B11321,""en"",""de"")"),"Der Mann legt Gips auf der Vorderseite und legt das Fliesen über den Gips.")</f>
        <v>Der Mann legt Gips auf der Vorderseite und legt das Fliesen über den Gips.</v>
      </c>
    </row>
    <row r="11322">
      <c r="A11322" s="4" t="s">
        <v>14238</v>
      </c>
      <c r="B11322" s="4" t="s">
        <v>14239</v>
      </c>
      <c r="C11322" s="5" t="str">
        <f>IFERROR(__xludf.DUMMYFUNCTION("GOOGLETRANSLATE(B11322,""en"",""de"")"),"Die Videos verwandelt sich in mehrere Aufnahmen von Menschen, die Armringen spielen und danach schreien.")</f>
        <v>Die Videos verwandelt sich in mehrere Aufnahmen von Menschen, die Armringen spielen und danach schreien.</v>
      </c>
    </row>
    <row r="11323">
      <c r="A11323" s="4" t="s">
        <v>14238</v>
      </c>
      <c r="B11323" s="4" t="s">
        <v>14240</v>
      </c>
      <c r="C11323" s="5" t="str">
        <f>IFERROR(__xludf.DUMMYFUNCTION("GOOGLETRANSLATE(B11323,""en"",""de"")"),"Viele Menschen spielen miteinander und schreien nach ihrer Leistung zu der Menge.")</f>
        <v>Viele Menschen spielen miteinander und schreien nach ihrer Leistung zu der Menge.</v>
      </c>
    </row>
    <row r="11324">
      <c r="A11324" s="4" t="s">
        <v>14241</v>
      </c>
      <c r="B11324" s="4" t="s">
        <v>14242</v>
      </c>
      <c r="C11324" s="5" t="str">
        <f>IFERROR(__xludf.DUMMYFUNCTION("GOOGLETRANSLATE(B11324,""en"",""de"")"),"Ein Mann und eine Frau sitzen hinter einem Tisch.")</f>
        <v>Ein Mann und eine Frau sitzen hinter einem Tisch.</v>
      </c>
    </row>
    <row r="11325">
      <c r="A11325" s="4" t="s">
        <v>14241</v>
      </c>
      <c r="B11325" s="4" t="s">
        <v>14243</v>
      </c>
      <c r="C11325" s="5" t="str">
        <f>IFERROR(__xludf.DUMMYFUNCTION("GOOGLETRANSLATE(B11325,""en"",""de"")"),"Die Spieler spielen Fußball auf Dirt, draußen.")</f>
        <v>Die Spieler spielen Fußball auf Dirt, draußen.</v>
      </c>
    </row>
    <row r="11326">
      <c r="A11326" s="4" t="s">
        <v>14241</v>
      </c>
      <c r="B11326" s="4" t="s">
        <v>14244</v>
      </c>
      <c r="C11326" s="5" t="str">
        <f>IFERROR(__xludf.DUMMYFUNCTION("GOOGLETRANSLATE(B11326,""en"",""de"")"),"Fans und Spieler jubeln oder feiern.")</f>
        <v>Fans und Spieler jubeln oder feiern.</v>
      </c>
    </row>
    <row r="11327">
      <c r="A11327" s="4" t="s">
        <v>14245</v>
      </c>
      <c r="B11327" s="4" t="s">
        <v>14246</v>
      </c>
      <c r="C11327" s="5" t="str">
        <f>IFERROR(__xludf.DUMMYFUNCTION("GOOGLETRANSLATE(B11327,""en"",""de"")"),"Eine Person geht vorwärts und springt auf und ab und taucht in einem Pool.")</f>
        <v>Eine Person geht vorwärts und springt auf und ab und taucht in einem Pool.</v>
      </c>
    </row>
    <row r="11328">
      <c r="A11328" s="4" t="s">
        <v>14245</v>
      </c>
      <c r="B11328" s="4" t="s">
        <v>14247</v>
      </c>
      <c r="C11328" s="5" t="str">
        <f>IFERROR(__xludf.DUMMYFUNCTION("GOOGLETRANSLATE(B11328,""en"",""de"")"),"Dieselbe Person wird noch einmal gezeigt, dass sie verschiedene Tauchgänge vor einem hohen Brett durchführen, während die Kamera ihn aus mehreren Blickwinkeln erfasst.")</f>
        <v>Dieselbe Person wird noch einmal gezeigt, dass sie verschiedene Tauchgänge vor einem hohen Brett durchführen, während die Kamera ihn aus mehreren Blickwinkeln erfasst.</v>
      </c>
    </row>
    <row r="11329">
      <c r="A11329" s="4" t="s">
        <v>14248</v>
      </c>
      <c r="B11329" s="4" t="s">
        <v>14249</v>
      </c>
      <c r="C11329" s="5" t="str">
        <f>IFERROR(__xludf.DUMMYFUNCTION("GOOGLETRANSLATE(B11329,""en"",""de"")"),"Ein Video -Tutorial spielt mit einer Frau, die im Hintergrund darüber spricht, wie Sie Ihre Zähne putzen können.")</f>
        <v>Ein Video -Tutorial spielt mit einer Frau, die im Hintergrund darüber spricht, wie Sie Ihre Zähne putzen können.</v>
      </c>
    </row>
    <row r="11330">
      <c r="A11330" s="4" t="s">
        <v>14248</v>
      </c>
      <c r="B11330" s="4" t="s">
        <v>14250</v>
      </c>
      <c r="C11330" s="5" t="str">
        <f>IFERROR(__xludf.DUMMYFUNCTION("GOOGLETRANSLATE(B11330,""en"",""de"")"),"Sie listet die Tools auf, die Sie benötigen, und Schritte zum Bürsten.")</f>
        <v>Sie listet die Tools auf, die Sie benötigen, und Schritte zum Bürsten.</v>
      </c>
    </row>
    <row r="11331">
      <c r="A11331" s="4" t="s">
        <v>14248</v>
      </c>
      <c r="B11331" s="4" t="s">
        <v>14251</v>
      </c>
      <c r="C11331" s="5" t="str">
        <f>IFERROR(__xludf.DUMMYFUNCTION("GOOGLETRANSLATE(B11331,""en"",""de"")"),"Ein Mann öffnet eine Flasche und legt Zahnpasta darauf.")</f>
        <v>Ein Mann öffnet eine Flasche und legt Zahnpasta darauf.</v>
      </c>
    </row>
    <row r="11332">
      <c r="A11332" s="4" t="s">
        <v>14248</v>
      </c>
      <c r="B11332" s="4" t="s">
        <v>14252</v>
      </c>
      <c r="C11332" s="5" t="str">
        <f>IFERROR(__xludf.DUMMYFUNCTION("GOOGLETRANSLATE(B11332,""en"",""de"")"),"Er beginnt, die Zähne nach den Anweisungen der Frau zu putzen.")</f>
        <v>Er beginnt, die Zähne nach den Anweisungen der Frau zu putzen.</v>
      </c>
    </row>
    <row r="11333">
      <c r="A11333" s="4" t="s">
        <v>14248</v>
      </c>
      <c r="B11333" s="4" t="s">
        <v>14253</v>
      </c>
      <c r="C11333" s="5" t="str">
        <f>IFERROR(__xludf.DUMMYFUNCTION("GOOGLETRANSLATE(B11333,""en"",""de"")"),"Der Mann spügt seinen Mund mit Wasser aus und lächelt mit der Stimme der Frau.")</f>
        <v>Der Mann spügt seinen Mund mit Wasser aus und lächelt mit der Stimme der Frau.</v>
      </c>
    </row>
    <row r="11334">
      <c r="A11334" s="4" t="s">
        <v>14254</v>
      </c>
      <c r="B11334" s="4" t="s">
        <v>14255</v>
      </c>
      <c r="C11334" s="5" t="str">
        <f>IFERROR(__xludf.DUMMYFUNCTION("GOOGLETRANSLATE(B11334,""en"",""de"")"),"Ein Mann spricht in einem blauen Raum, sprüht dann ein Spielzeugauto und gibt vor, es zu waschen.")</f>
        <v>Ein Mann spricht in einem blauen Raum, sprüht dann ein Spielzeugauto und gibt vor, es zu waschen.</v>
      </c>
    </row>
    <row r="11335">
      <c r="A11335" s="4" t="s">
        <v>14254</v>
      </c>
      <c r="B11335" s="4" t="s">
        <v>14256</v>
      </c>
      <c r="C11335" s="5" t="str">
        <f>IFERROR(__xludf.DUMMYFUNCTION("GOOGLETRANSLATE(B11335,""en"",""de"")"),"Wir sehen einen Titelbildschirm und Leute in Anzügen als Witz.")</f>
        <v>Wir sehen einen Titelbildschirm und Leute in Anzügen als Witz.</v>
      </c>
    </row>
    <row r="11336">
      <c r="A11336" s="4" t="s">
        <v>14254</v>
      </c>
      <c r="B11336" s="4" t="s">
        <v>14257</v>
      </c>
      <c r="C11336" s="5" t="str">
        <f>IFERROR(__xludf.DUMMYFUNCTION("GOOGLETRANSLATE(B11336,""en"",""de"")"),"Ein Mann und ein kleiner Junge mit hochwertigen Schläuchen waschen Autos, gefolgt von Cheerleadern.")</f>
        <v>Ein Mann und ein kleiner Junge mit hochwertigen Schläuchen waschen Autos, gefolgt von Cheerleadern.</v>
      </c>
    </row>
    <row r="11337">
      <c r="A11337" s="4" t="s">
        <v>14254</v>
      </c>
      <c r="B11337" s="4" t="s">
        <v>14258</v>
      </c>
      <c r="C11337" s="5" t="str">
        <f>IFERROR(__xludf.DUMMYFUNCTION("GOOGLETRANSLATE(B11337,""en"",""de"")"),"Wir sehen einen schwarzen Van mit Menschen, die rauskommen und einen Mann in einem Top -Hut das Auto berühren.")</f>
        <v>Wir sehen einen schwarzen Van mit Menschen, die rauskommen und einen Mann in einem Top -Hut das Auto berühren.</v>
      </c>
    </row>
    <row r="11338">
      <c r="A11338" s="4" t="s">
        <v>14254</v>
      </c>
      <c r="B11338" s="4" t="s">
        <v>14259</v>
      </c>
      <c r="C11338" s="5" t="str">
        <f>IFERROR(__xludf.DUMMYFUNCTION("GOOGLETRANSLATE(B11338,""en"",""de"")"),"Die Leute steigen in den schwarzen Van und fahren auf der Straße.")</f>
        <v>Die Leute steigen in den schwarzen Van und fahren auf der Straße.</v>
      </c>
    </row>
    <row r="11339">
      <c r="A11339" s="4" t="s">
        <v>14254</v>
      </c>
      <c r="B11339" s="4" t="s">
        <v>14260</v>
      </c>
      <c r="C11339" s="5" t="str">
        <f>IFERROR(__xludf.DUMMYFUNCTION("GOOGLETRANSLATE(B11339,""en"",""de"")"),"Wir sehen dann die Endszene.")</f>
        <v>Wir sehen dann die Endszene.</v>
      </c>
    </row>
    <row r="11340">
      <c r="A11340" s="4" t="s">
        <v>14261</v>
      </c>
      <c r="B11340" s="4" t="s">
        <v>14262</v>
      </c>
      <c r="C11340" s="5" t="str">
        <f>IFERROR(__xludf.DUMMYFUNCTION("GOOGLETRANSLATE(B11340,""en"",""de"")"),"Ein Mann raucht eine Pfeife und bläst Rauchringe.")</f>
        <v>Ein Mann raucht eine Pfeife und bläst Rauchringe.</v>
      </c>
    </row>
    <row r="11341">
      <c r="A11341" s="4" t="s">
        <v>14261</v>
      </c>
      <c r="B11341" s="4" t="s">
        <v>14263</v>
      </c>
      <c r="C11341" s="5" t="str">
        <f>IFERROR(__xludf.DUMMYFUNCTION("GOOGLETRANSLATE(B11341,""en"",""de"")"),"Der Mann verwendet Profanität und rastet die Kamera ab.")</f>
        <v>Der Mann verwendet Profanität und rastet die Kamera ab.</v>
      </c>
    </row>
    <row r="11342">
      <c r="A11342" s="4" t="s">
        <v>14261</v>
      </c>
      <c r="B11342" s="4" t="s">
        <v>14264</v>
      </c>
      <c r="C11342" s="5" t="str">
        <f>IFERROR(__xludf.DUMMYFUNCTION("GOOGLETRANSLATE(B11342,""en"",""de"")"),"Ein anderer Mann steht, indem er ihn beobachtet.")</f>
        <v>Ein anderer Mann steht, indem er ihn beobachtet.</v>
      </c>
    </row>
    <row r="11343">
      <c r="A11343" s="4" t="s">
        <v>14265</v>
      </c>
      <c r="B11343" s="4" t="s">
        <v>14266</v>
      </c>
      <c r="C11343" s="5" t="str">
        <f>IFERROR(__xludf.DUMMYFUNCTION("GOOGLETRANSLATE(B11343,""en"",""de"")"),"In einem dunklen Raum geht eine Person in den Rahmen und geht eine lange Treppe hinunter.")</f>
        <v>In einem dunklen Raum geht eine Person in den Rahmen und geht eine lange Treppe hinunter.</v>
      </c>
    </row>
    <row r="11344">
      <c r="A11344" s="4" t="s">
        <v>14265</v>
      </c>
      <c r="B11344" s="4" t="s">
        <v>14267</v>
      </c>
      <c r="C11344" s="5" t="str">
        <f>IFERROR(__xludf.DUMMYFUNCTION("GOOGLETRANSLATE(B11344,""en"",""de"")"),"Ein Mann wird in der Ecke gesehen, die sich zurück und vierten bei Trainingsausrüstung bewegt.")</f>
        <v>Ein Mann wird in der Ecke gesehen, die sich zurück und vierten bei Trainingsausrüstung bewegt.</v>
      </c>
    </row>
    <row r="11345">
      <c r="A11345" s="4" t="s">
        <v>14265</v>
      </c>
      <c r="B11345" s="4" t="s">
        <v>14268</v>
      </c>
      <c r="C11345" s="5" t="str">
        <f>IFERROR(__xludf.DUMMYFUNCTION("GOOGLETRANSLATE(B11345,""en"",""de"")"),"Eine Frau spricht dann mit dem Mann, als er weiter rudert und eine Nahaufnahme der Maschine zeigt.")</f>
        <v>Eine Frau spricht dann mit dem Mann, als er weiter rudert und eine Nahaufnahme der Maschine zeigt.</v>
      </c>
    </row>
    <row r="11346">
      <c r="A11346" s="4" t="s">
        <v>14269</v>
      </c>
      <c r="B11346" s="4" t="s">
        <v>14270</v>
      </c>
      <c r="C11346" s="5" t="str">
        <f>IFERROR(__xludf.DUMMYFUNCTION("GOOGLETRANSLATE(B11346,""en"",""de"")"),"Ein Mann geht mit einem Mopp und einem Eimer auf.")</f>
        <v>Ein Mann geht mit einem Mopp und einem Eimer auf.</v>
      </c>
    </row>
    <row r="11347">
      <c r="A11347" s="4" t="s">
        <v>14269</v>
      </c>
      <c r="B11347" s="4" t="s">
        <v>14271</v>
      </c>
      <c r="C11347" s="5" t="str">
        <f>IFERROR(__xludf.DUMMYFUNCTION("GOOGLETRANSLATE(B11347,""en"",""de"")"),"Er nimmt sie aus dem Eimer und beginnt, den Boden zu wischen.")</f>
        <v>Er nimmt sie aus dem Eimer und beginnt, den Boden zu wischen.</v>
      </c>
    </row>
    <row r="11348">
      <c r="A11348" s="4" t="s">
        <v>14269</v>
      </c>
      <c r="B11348" s="4" t="s">
        <v>14272</v>
      </c>
      <c r="C11348" s="5" t="str">
        <f>IFERROR(__xludf.DUMMYFUNCTION("GOOGLETRANSLATE(B11348,""en"",""de"")"),"Nach einem Moment beginnt sie so zu tun, als würde er mit dem Mopp tanzen.")</f>
        <v>Nach einem Moment beginnt sie so zu tun, als würde er mit dem Mopp tanzen.</v>
      </c>
    </row>
    <row r="11349">
      <c r="A11349" s="4" t="s">
        <v>14273</v>
      </c>
      <c r="B11349" s="4" t="s">
        <v>14274</v>
      </c>
      <c r="C11349" s="5" t="str">
        <f>IFERROR(__xludf.DUMMYFUNCTION("GOOGLETRANSLATE(B11349,""en"",""de"")"),"Ein Mann in einem blauen Hemd spielt Basketball auf einem Platz.")</f>
        <v>Ein Mann in einem blauen Hemd spielt Basketball auf einem Platz.</v>
      </c>
    </row>
    <row r="11350">
      <c r="A11350" s="4" t="s">
        <v>14273</v>
      </c>
      <c r="B11350" s="4" t="s">
        <v>14275</v>
      </c>
      <c r="C11350" s="5" t="str">
        <f>IFERROR(__xludf.DUMMYFUNCTION("GOOGLETRANSLATE(B11350,""en"",""de"")"),"Er schießt auf den Reifen und vermisst es.")</f>
        <v>Er schießt auf den Reifen und vermisst es.</v>
      </c>
    </row>
    <row r="11351">
      <c r="A11351" s="4" t="s">
        <v>14273</v>
      </c>
      <c r="B11351" s="4" t="s">
        <v>14276</v>
      </c>
      <c r="C11351" s="5" t="str">
        <f>IFERROR(__xludf.DUMMYFUNCTION("GOOGLETRANSLATE(B11351,""en"",""de"")"),"Eine Person in einem weißen Hemd steht hinter ihnen auf einem Tennisplatz.")</f>
        <v>Eine Person in einem weißen Hemd steht hinter ihnen auf einem Tennisplatz.</v>
      </c>
    </row>
    <row r="11352">
      <c r="A11352" s="4" t="s">
        <v>14277</v>
      </c>
      <c r="B11352" s="4" t="s">
        <v>14278</v>
      </c>
      <c r="C11352" s="5" t="str">
        <f>IFERROR(__xludf.DUMMYFUNCTION("GOOGLETRANSLATE(B11352,""en"",""de"")"),"Ein kleiner Junge versucht, eine Pinata auf seiner Geburtstagsfeier in einer Garage aufzubrechen.")</f>
        <v>Ein kleiner Junge versucht, eine Pinata auf seiner Geburtstagsfeier in einer Garage aufzubrechen.</v>
      </c>
    </row>
    <row r="11353">
      <c r="A11353" s="4" t="s">
        <v>14277</v>
      </c>
      <c r="B11353" s="4" t="s">
        <v>14279</v>
      </c>
      <c r="C11353" s="5" t="str">
        <f>IFERROR(__xludf.DUMMYFUNCTION("GOOGLETRANSLATE(B11353,""en"",""de"")"),"Ein anderer Junge geht fast in die Reichweite des Jungenstabes, wird aber von einem Erwachsenen gerettet.")</f>
        <v>Ein anderer Junge geht fast in die Reichweite des Jungenstabes, wird aber von einem Erwachsenen gerettet.</v>
      </c>
    </row>
    <row r="11354">
      <c r="A11354" s="4" t="s">
        <v>14277</v>
      </c>
      <c r="B11354" s="4" t="s">
        <v>14280</v>
      </c>
      <c r="C11354" s="5" t="str">
        <f>IFERROR(__xludf.DUMMYFUNCTION("GOOGLETRANSLATE(B11354,""en"",""de"")"),"Der Junge verprügelt weiter die Pinata, bevor er eine Pause einbrachte und dem Stock an einen anderen Jungen übergibt.")</f>
        <v>Der Junge verprügelt weiter die Pinata, bevor er eine Pause einbrachte und dem Stock an einen anderen Jungen übergibt.</v>
      </c>
    </row>
    <row r="11355">
      <c r="A11355" s="4" t="s">
        <v>14281</v>
      </c>
      <c r="B11355" s="4" t="s">
        <v>14282</v>
      </c>
      <c r="C11355" s="5" t="str">
        <f>IFERROR(__xludf.DUMMYFUNCTION("GOOGLETRANSLATE(B11355,""en"",""de"")"),"Eine brünette Frau sitzt in einem Schaumbad mit einem Bein, der es mit einem rosa Rasiermesser rasiert.")</f>
        <v>Eine brünette Frau sitzt in einem Schaumbad mit einem Bein, der es mit einem rosa Rasiermesser rasiert.</v>
      </c>
    </row>
    <row r="11356">
      <c r="A11356" s="4" t="s">
        <v>14281</v>
      </c>
      <c r="B11356" s="4" t="s">
        <v>14283</v>
      </c>
      <c r="C11356" s="5" t="str">
        <f>IFERROR(__xludf.DUMMYFUNCTION("GOOGLETRANSLATE(B11356,""en"",""de"")"),"Die Frau steigt um einen Schlag des Rasiermessers und beginnt wieder.")</f>
        <v>Die Frau steigt um einen Schlag des Rasiermessers und beginnt wieder.</v>
      </c>
    </row>
    <row r="11357">
      <c r="A11357" s="4" t="s">
        <v>14281</v>
      </c>
      <c r="B11357" s="4" t="s">
        <v>14284</v>
      </c>
      <c r="C11357" s="5" t="str">
        <f>IFERROR(__xludf.DUMMYFUNCTION("GOOGLETRANSLATE(B11357,""en"",""de"")"),"Sie wiederholt diesen Vorgang, der das Bein rasiert und ein paar Mal um ihr Bein anfängt.")</f>
        <v>Sie wiederholt diesen Vorgang, der das Bein rasiert und ein paar Mal um ihr Bein anfängt.</v>
      </c>
    </row>
    <row r="11358">
      <c r="A11358" s="4" t="s">
        <v>14285</v>
      </c>
      <c r="B11358" s="4" t="s">
        <v>14286</v>
      </c>
      <c r="C11358" s="5" t="str">
        <f>IFERROR(__xludf.DUMMYFUNCTION("GOOGLETRANSLATE(B11358,""en"",""de"")"),"In einem blauen Raum verwenden zwei Männer Werkzeuge und reparieren den Teppich.")</f>
        <v>In einem blauen Raum verwenden zwei Männer Werkzeuge und reparieren den Teppich.</v>
      </c>
    </row>
    <row r="11359">
      <c r="A11359" s="4" t="s">
        <v>14285</v>
      </c>
      <c r="B11359" s="4" t="s">
        <v>14287</v>
      </c>
      <c r="C11359" s="5" t="str">
        <f>IFERROR(__xludf.DUMMYFUNCTION("GOOGLETRANSLATE(B11359,""en"",""de"")"),"Es scheint, als hätten sie nur einen neuen Teppich eingebracht und jetzt stellen sie sicher, dass es richtig gehalten wird.")</f>
        <v>Es scheint, als hätten sie nur einen neuen Teppich eingebracht und jetzt stellen sie sicher, dass es richtig gehalten wird.</v>
      </c>
    </row>
    <row r="11360">
      <c r="A11360" s="4" t="s">
        <v>14285</v>
      </c>
      <c r="B11360" s="4" t="s">
        <v>14288</v>
      </c>
      <c r="C11360" s="5" t="str">
        <f>IFERROR(__xludf.DUMMYFUNCTION("GOOGLETRANSLATE(B11360,""en"",""de"")"),"Sie verwenden eine Nagelpistole, um die Enden der Ecke zu nageln.")</f>
        <v>Sie verwenden eine Nagelpistole, um die Enden der Ecke zu nageln.</v>
      </c>
    </row>
    <row r="11361">
      <c r="A11361" s="4" t="s">
        <v>14285</v>
      </c>
      <c r="B11361" s="4" t="s">
        <v>14289</v>
      </c>
      <c r="C11361" s="5" t="str">
        <f>IFERROR(__xludf.DUMMYFUNCTION("GOOGLETRANSLATE(B11361,""en"",""de"")"),"Einer der Männer geht herum und prüft, ob etwas vermisst wird.")</f>
        <v>Einer der Männer geht herum und prüft, ob etwas vermisst wird.</v>
      </c>
    </row>
    <row r="11362">
      <c r="A11362" s="4" t="s">
        <v>14290</v>
      </c>
      <c r="B11362" s="4" t="s">
        <v>14291</v>
      </c>
      <c r="C11362" s="5" t="str">
        <f>IFERROR(__xludf.DUMMYFUNCTION("GOOGLETRANSLATE(B11362,""en"",""de"")"),"Wir sehen eine Lichtung im Wald.")</f>
        <v>Wir sehen eine Lichtung im Wald.</v>
      </c>
    </row>
    <row r="11363">
      <c r="A11363" s="4" t="s">
        <v>14290</v>
      </c>
      <c r="B11363" s="4" t="s">
        <v>14292</v>
      </c>
      <c r="C11363" s="5" t="str">
        <f>IFERROR(__xludf.DUMMYFUNCTION("GOOGLETRANSLATE(B11363,""en"",""de"")"),"Wir zoomen in einem Bock im Wald.")</f>
        <v>Wir zoomen in einem Bock im Wald.</v>
      </c>
    </row>
    <row r="11364">
      <c r="A11364" s="4" t="s">
        <v>14290</v>
      </c>
      <c r="B11364" s="4" t="s">
        <v>14293</v>
      </c>
      <c r="C11364" s="5" t="str">
        <f>IFERROR(__xludf.DUMMYFUNCTION("GOOGLETRANSLATE(B11364,""en"",""de"")"),"Das Geld hält und sieht nach links und dann nach rechts aus.")</f>
        <v>Das Geld hält und sieht nach links und dann nach rechts aus.</v>
      </c>
    </row>
    <row r="11365">
      <c r="A11365" s="4" t="s">
        <v>14290</v>
      </c>
      <c r="B11365" s="4" t="s">
        <v>14294</v>
      </c>
      <c r="C11365" s="5" t="str">
        <f>IFERROR(__xludf.DUMMYFUNCTION("GOOGLETRANSLATE(B11365,""en"",""de"")"),"Das Geld trinkt aus einer Pfütze die Runs erschrocken.")</f>
        <v>Das Geld trinkt aus einer Pfütze die Runs erschrocken.</v>
      </c>
    </row>
    <row r="11366">
      <c r="A11366" s="4" t="s">
        <v>14290</v>
      </c>
      <c r="B11366" s="4" t="s">
        <v>14295</v>
      </c>
      <c r="C11366" s="5" t="str">
        <f>IFERROR(__xludf.DUMMYFUNCTION("GOOGLETRANSLATE(B11366,""en"",""de"")"),"Das Geld steht in der Lichtung.")</f>
        <v>Das Geld steht in der Lichtung.</v>
      </c>
    </row>
    <row r="11367">
      <c r="A11367" s="4" t="s">
        <v>14290</v>
      </c>
      <c r="B11367" s="4" t="s">
        <v>14296</v>
      </c>
      <c r="C11367" s="5" t="str">
        <f>IFERROR(__xludf.DUMMYFUNCTION("GOOGLETRANSLATE(B11367,""en"",""de"")"),"Ein Mann arbeitet mit einem Bogen, während ein anderer das Tier filmt.")</f>
        <v>Ein Mann arbeitet mit einem Bogen, während ein anderer das Tier filmt.</v>
      </c>
    </row>
    <row r="11368">
      <c r="A11368" s="4" t="s">
        <v>14290</v>
      </c>
      <c r="B11368" s="4" t="s">
        <v>14297</v>
      </c>
      <c r="C11368" s="5" t="str">
        <f>IFERROR(__xludf.DUMMYFUNCTION("GOOGLETRANSLATE(B11368,""en"",""de"")"),"Der Jäger schießt das Tier mit einem Bogen und es stirbt langsam.")</f>
        <v>Der Jäger schießt das Tier mit einem Bogen und es stirbt langsam.</v>
      </c>
    </row>
    <row r="11369">
      <c r="A11369" s="4" t="s">
        <v>14290</v>
      </c>
      <c r="B11369" s="4" t="s">
        <v>14298</v>
      </c>
      <c r="C11369" s="5" t="str">
        <f>IFERROR(__xludf.DUMMYFUNCTION("GOOGLETRANSLATE(B11369,""en"",""de"")"),"Der Jäger wird mit dem toten Tier fotografiert.")</f>
        <v>Der Jäger wird mit dem toten Tier fotografiert.</v>
      </c>
    </row>
    <row r="11370">
      <c r="A11370" s="4" t="s">
        <v>14299</v>
      </c>
      <c r="B11370" s="4" t="s">
        <v>14300</v>
      </c>
      <c r="C11370" s="5" t="str">
        <f>IFERROR(__xludf.DUMMYFUNCTION("GOOGLETRANSLATE(B11370,""en"",""de"")"),"Es werden mehrere Schüsse eines Casinos gezeigt und Leute, die Pässe bekommen und herumlaufen.")</f>
        <v>Es werden mehrere Schüsse eines Casinos gezeigt und Leute, die Pässe bekommen und herumlaufen.</v>
      </c>
    </row>
    <row r="11371">
      <c r="A11371" s="4" t="s">
        <v>14299</v>
      </c>
      <c r="B11371" s="4" t="s">
        <v>14301</v>
      </c>
      <c r="C11371" s="5" t="str">
        <f>IFERROR(__xludf.DUMMYFUNCTION("GOOGLETRANSLATE(B11371,""en"",""de"")"),"Die Kamera schwenkt um mehrere Tische von Spielen, die gespielt werden, sowie Spielautomaten und Leute, die miteinander spielen.")</f>
        <v>Die Kamera schwenkt um mehrere Tische von Spielen, die gespielt werden, sowie Spielautomaten und Leute, die miteinander spielen.</v>
      </c>
    </row>
    <row r="11372">
      <c r="A11372" s="4" t="s">
        <v>14302</v>
      </c>
      <c r="B11372" s="4" t="s">
        <v>14303</v>
      </c>
      <c r="C11372" s="5" t="str">
        <f>IFERROR(__xludf.DUMMYFUNCTION("GOOGLETRANSLATE(B11372,""en"",""de"")"),"Ein Mädchen mit geflochtenem Haar fragt einen Arbeiter in einem Reitzentrum einige Fragen.")</f>
        <v>Ein Mädchen mit geflochtenem Haar fragt einen Arbeiter in einem Reitzentrum einige Fragen.</v>
      </c>
    </row>
    <row r="11373">
      <c r="A11373" s="4" t="s">
        <v>14302</v>
      </c>
      <c r="B11373" s="4" t="s">
        <v>14304</v>
      </c>
      <c r="C11373" s="5" t="str">
        <f>IFERROR(__xludf.DUMMYFUNCTION("GOOGLETRANSLATE(B11373,""en"",""de"")"),"Die Frau antwortet und spricht über Pferdepflege.")</f>
        <v>Die Frau antwortet und spricht über Pferdepflege.</v>
      </c>
    </row>
    <row r="11374">
      <c r="A11374" s="4" t="s">
        <v>14302</v>
      </c>
      <c r="B11374" s="4" t="s">
        <v>14305</v>
      </c>
      <c r="C11374" s="5" t="str">
        <f>IFERROR(__xludf.DUMMYFUNCTION("GOOGLETRANSLATE(B11374,""en"",""de"")"),"Das Mädchen streift die Mähne des Pferdes.")</f>
        <v>Das Mädchen streift die Mähne des Pferdes.</v>
      </c>
    </row>
    <row r="11375">
      <c r="A11375" s="4" t="s">
        <v>14302</v>
      </c>
      <c r="B11375" s="4" t="s">
        <v>14306</v>
      </c>
      <c r="C11375" s="5" t="str">
        <f>IFERROR(__xludf.DUMMYFUNCTION("GOOGLETRANSLATE(B11375,""en"",""de"")"),"Die beiden gehen weiter über die Pferdepflege.")</f>
        <v>Die beiden gehen weiter über die Pferdepflege.</v>
      </c>
    </row>
    <row r="11376">
      <c r="A11376" s="4" t="s">
        <v>14302</v>
      </c>
      <c r="B11376" s="4" t="s">
        <v>14307</v>
      </c>
      <c r="C11376" s="5" t="str">
        <f>IFERROR(__xludf.DUMMYFUNCTION("GOOGLETRANSLATE(B11376,""en"",""de"")"),"Das Mädchen und die Frau arbeiten beide an Bürstentechniken.")</f>
        <v>Das Mädchen und die Frau arbeiten beide an Bürstentechniken.</v>
      </c>
    </row>
    <row r="11377">
      <c r="A11377" s="4" t="s">
        <v>14302</v>
      </c>
      <c r="B11377" s="4" t="s">
        <v>14308</v>
      </c>
      <c r="C11377" s="5" t="str">
        <f>IFERROR(__xludf.DUMMYFUNCTION("GOOGLETRANSLATE(B11377,""en"",""de"")"),"Die Frau streift den Pferdeschwanz, der viel Sorgfalt ist, wenn das Mädchen zuschaut.")</f>
        <v>Die Frau streift den Pferdeschwanz, der viel Sorgfalt ist, wenn das Mädchen zuschaut.</v>
      </c>
    </row>
    <row r="11378">
      <c r="A11378" s="4" t="s">
        <v>14309</v>
      </c>
      <c r="B11378" s="4" t="s">
        <v>14310</v>
      </c>
      <c r="C11378" s="5" t="str">
        <f>IFERROR(__xludf.DUMMYFUNCTION("GOOGLETRANSLATE(B11378,""en"",""de"")"),"Eine Frau steht und beobachtet, wie ein Koch Blätter aus einem Stück Salat entzieht.")</f>
        <v>Eine Frau steht und beobachtet, wie ein Koch Blätter aus einem Stück Salat entzieht.</v>
      </c>
    </row>
    <row r="11379">
      <c r="A11379" s="4" t="s">
        <v>14309</v>
      </c>
      <c r="B11379" s="4" t="s">
        <v>14311</v>
      </c>
      <c r="C11379" s="5" t="str">
        <f>IFERROR(__xludf.DUMMYFUNCTION("GOOGLETRANSLATE(B11379,""en"",""de"")"),"Der Koch zeigt der Frau, wie man einige Teile des Salat schneidet.")</f>
        <v>Der Koch zeigt der Frau, wie man einige Teile des Salat schneidet.</v>
      </c>
    </row>
    <row r="11380">
      <c r="A11380" s="4" t="s">
        <v>14309</v>
      </c>
      <c r="B11380" s="4" t="s">
        <v>14312</v>
      </c>
      <c r="C11380" s="5" t="str">
        <f>IFERROR(__xludf.DUMMYFUNCTION("GOOGLETRANSLATE(B11380,""en"",""de"")"),"Der Küchenchef und die Frau führen ein langes Gespräch über den Salat.")</f>
        <v>Der Küchenchef und die Frau führen ein langes Gespräch über den Salat.</v>
      </c>
    </row>
    <row r="11381">
      <c r="A11381" s="4" t="s">
        <v>14313</v>
      </c>
      <c r="B11381" s="4" t="s">
        <v>14314</v>
      </c>
      <c r="C11381" s="5" t="str">
        <f>IFERROR(__xludf.DUMMYFUNCTION("GOOGLETRANSLATE(B11381,""en"",""de"")"),"Eine Frau sitzt auf einer Rudermaschine.")</f>
        <v>Eine Frau sitzt auf einer Rudermaschine.</v>
      </c>
    </row>
    <row r="11382">
      <c r="A11382" s="4" t="s">
        <v>14313</v>
      </c>
      <c r="B11382" s="4" t="s">
        <v>14315</v>
      </c>
      <c r="C11382" s="5" t="str">
        <f>IFERROR(__xludf.DUMMYFUNCTION("GOOGLETRANSLATE(B11382,""en"",""de"")"),"Die Frau legt ihre Füße in die Gurte der Rudermaschine.")</f>
        <v>Die Frau legt ihre Füße in die Gurte der Rudermaschine.</v>
      </c>
    </row>
    <row r="11383">
      <c r="A11383" s="4" t="s">
        <v>14313</v>
      </c>
      <c r="B11383" s="4" t="s">
        <v>14316</v>
      </c>
      <c r="C11383" s="5" t="str">
        <f>IFERROR(__xludf.DUMMYFUNCTION("GOOGLETRANSLATE(B11383,""en"",""de"")"),"Die Frau hält sich an den Ruderkabeln und Reihen fest.")</f>
        <v>Die Frau hält sich an den Ruderkabeln und Reihen fest.</v>
      </c>
    </row>
    <row r="11384">
      <c r="A11384" s="4" t="s">
        <v>14313</v>
      </c>
      <c r="B11384" s="4" t="s">
        <v>14317</v>
      </c>
      <c r="C11384" s="5" t="str">
        <f>IFERROR(__xludf.DUMMYFUNCTION("GOOGLETRANSLATE(B11384,""en"",""de"")"),"Die Frau stoppt und demonstriert den motorischen Bereich der Maschine.")</f>
        <v>Die Frau stoppt und demonstriert den motorischen Bereich der Maschine.</v>
      </c>
    </row>
    <row r="11385">
      <c r="A11385" s="4" t="s">
        <v>14313</v>
      </c>
      <c r="B11385" s="4" t="s">
        <v>14318</v>
      </c>
      <c r="C11385" s="5" t="str">
        <f>IFERROR(__xludf.DUMMYFUNCTION("GOOGLETRANSLATE(B11385,""en"",""de"")"),"Zurück auf der Rudermaschine zählt sie noch einmal und legt die Kabel ab.")</f>
        <v>Zurück auf der Rudermaschine zählt sie noch einmal und legt die Kabel ab.</v>
      </c>
    </row>
    <row r="11386">
      <c r="A11386" s="4" t="s">
        <v>14313</v>
      </c>
      <c r="B11386" s="4" t="s">
        <v>14319</v>
      </c>
      <c r="C11386" s="5" t="str">
        <f>IFERROR(__xludf.DUMMYFUNCTION("GOOGLETRANSLATE(B11386,""en"",""de"")"),"Die Frau entfernt ihre Füße von den Gurten.")</f>
        <v>Die Frau entfernt ihre Füße von den Gurten.</v>
      </c>
    </row>
    <row r="11387">
      <c r="A11387" s="4" t="s">
        <v>14320</v>
      </c>
      <c r="B11387" s="4" t="s">
        <v>14321</v>
      </c>
      <c r="C11387" s="5" t="str">
        <f>IFERROR(__xludf.DUMMYFUNCTION("GOOGLETRANSLATE(B11387,""en"",""de"")"),"Ein Mann liegt auf dem Boden und zeigt, wie man Tanzbewegungen und den falschen Weg zur Ausführung von Tanzbewegungen zeigt.")</f>
        <v>Ein Mann liegt auf dem Boden und zeigt, wie man Tanzbewegungen und den falschen Weg zur Ausführung von Tanzbewegungen zeigt.</v>
      </c>
    </row>
    <row r="11388">
      <c r="A11388" s="4" t="s">
        <v>14320</v>
      </c>
      <c r="B11388" s="4" t="s">
        <v>14322</v>
      </c>
      <c r="C11388" s="5" t="str">
        <f>IFERROR(__xludf.DUMMYFUNCTION("GOOGLETRANSLATE(B11388,""en"",""de"")"),"Der Mann bewegt sich weiter über den Boden und führt in mehrere Clips von Menschen, die die Bewegung ausführen.")</f>
        <v>Der Mann bewegt sich weiter über den Boden und führt in mehrere Clips von Menschen, die die Bewegung ausführen.</v>
      </c>
    </row>
    <row r="11389">
      <c r="A11389" s="4" t="s">
        <v>14323</v>
      </c>
      <c r="B11389" s="4" t="s">
        <v>14324</v>
      </c>
      <c r="C11389" s="5" t="str">
        <f>IFERROR(__xludf.DUMMYFUNCTION("GOOGLETRANSLATE(B11389,""en"",""de"")"),"Ein Mann reinigt den Schnee mit einer selbst angehobenen Schaufel, die eine Stange hat, um die Schaufel zu impulsen.")</f>
        <v>Ein Mann reinigt den Schnee mit einer selbst angehobenen Schaufel, die eine Stange hat, um die Schaufel zu impulsen.</v>
      </c>
    </row>
    <row r="11390">
      <c r="A11390" s="4" t="s">
        <v>14323</v>
      </c>
      <c r="B11390" s="4" t="s">
        <v>14325</v>
      </c>
      <c r="C11390" s="5" t="str">
        <f>IFERROR(__xludf.DUMMYFUNCTION("GOOGLETRANSLATE(B11390,""en"",""de"")"),"Der Mann steckt die Schaufel in den Schnee und er hebt und wirft Schnee.")</f>
        <v>Der Mann steckt die Schaufel in den Schnee und er hebt und wirft Schnee.</v>
      </c>
    </row>
    <row r="11391">
      <c r="A11391" s="4" t="s">
        <v>14323</v>
      </c>
      <c r="B11391" s="4" t="s">
        <v>14326</v>
      </c>
      <c r="C11391" s="5" t="str">
        <f>IFERROR(__xludf.DUMMYFUNCTION("GOOGLETRANSLATE(B11391,""en"",""de"")"),"Der Mann schaufelt mühelos schweres gehärteter Schnee aus dem Boden.")</f>
        <v>Der Mann schaufelt mühelos schweres gehärteter Schnee aus dem Boden.</v>
      </c>
    </row>
    <row r="11392">
      <c r="A11392" s="4" t="s">
        <v>14323</v>
      </c>
      <c r="B11392" s="4" t="s">
        <v>14327</v>
      </c>
      <c r="C11392" s="5" t="str">
        <f>IFERROR(__xludf.DUMMYFUNCTION("GOOGLETRANSLATE(B11392,""en"",""de"")"),"Die Person zeigt die Schaufel, die hinter einem Gewichtheber liegt.")</f>
        <v>Die Person zeigt die Schaufel, die hinter einem Gewichtheber liegt.</v>
      </c>
    </row>
    <row r="11393">
      <c r="A11393" s="4" t="s">
        <v>14328</v>
      </c>
      <c r="B11393" s="4" t="s">
        <v>14329</v>
      </c>
      <c r="C11393" s="5" t="str">
        <f>IFERROR(__xludf.DUMMYFUNCTION("GOOGLETRANSLATE(B11393,""en"",""de"")"),"Es werden mehrere Schüsse von Menschen gezeigt, die an einem Strand laufen und zu vielen Menschen führen, die auf dem Wasser surfen.")</f>
        <v>Es werden mehrere Schüsse von Menschen gezeigt, die an einem Strand laufen und zu vielen Menschen führen, die auf dem Wasser surfen.</v>
      </c>
    </row>
    <row r="11394">
      <c r="A11394" s="4" t="s">
        <v>14328</v>
      </c>
      <c r="B11394" s="4" t="s">
        <v>14330</v>
      </c>
      <c r="C11394" s="5" t="str">
        <f>IFERROR(__xludf.DUMMYFUNCTION("GOOGLETRANSLATE(B11394,""en"",""de"")"),"Dutzende von Menschen werden in verschiedenen Clips gezeigt, die im Wasser entlang Wellen fahren, sowie Menschen, die von hinten im Wasser sitzen.")</f>
        <v>Dutzende von Menschen werden in verschiedenen Clips gezeigt, die im Wasser entlang Wellen fahren, sowie Menschen, die von hinten im Wasser sitzen.</v>
      </c>
    </row>
    <row r="11395">
      <c r="A11395" s="4" t="s">
        <v>14331</v>
      </c>
      <c r="B11395" s="4" t="s">
        <v>14332</v>
      </c>
      <c r="C11395" s="5" t="str">
        <f>IFERROR(__xludf.DUMMYFUNCTION("GOOGLETRANSLATE(B11395,""en"",""de"")"),"Eine Frau steht auf und beginnt mit dem Springen.")</f>
        <v>Eine Frau steht auf und beginnt mit dem Springen.</v>
      </c>
    </row>
    <row r="11396">
      <c r="A11396" s="4" t="s">
        <v>14331</v>
      </c>
      <c r="B11396" s="4" t="s">
        <v>14333</v>
      </c>
      <c r="C11396" s="5" t="str">
        <f>IFERROR(__xludf.DUMMYFUNCTION("GOOGLETRANSLATE(B11396,""en"",""de"")"),"Der Rest der Frauen steht auf und schließt sich ihrem Sprungbügel an.")</f>
        <v>Der Rest der Frauen steht auf und schließt sich ihrem Sprungbügel an.</v>
      </c>
    </row>
    <row r="11397">
      <c r="A11397" s="4" t="s">
        <v>14331</v>
      </c>
      <c r="B11397" s="4" t="s">
        <v>14334</v>
      </c>
      <c r="C11397" s="5" t="str">
        <f>IFERROR(__xludf.DUMMYFUNCTION("GOOGLETRANSLATE(B11397,""en"",""de"")"),"Sie stehen auf dem Boden vor ihnen.")</f>
        <v>Sie stehen auf dem Boden vor ihnen.</v>
      </c>
    </row>
    <row r="11398">
      <c r="A11398" s="4" t="s">
        <v>14335</v>
      </c>
      <c r="B11398" s="4" t="s">
        <v>14336</v>
      </c>
      <c r="C11398" s="5" t="str">
        <f>IFERROR(__xludf.DUMMYFUNCTION("GOOGLETRANSLATE(B11398,""en"",""de"")"),"Ein kleines Kind geht über Sand mit der Taille über Sand.")</f>
        <v>Ein kleines Kind geht über Sand mit der Taille über Sand.</v>
      </c>
    </row>
    <row r="11399">
      <c r="A11399" s="4" t="s">
        <v>14335</v>
      </c>
      <c r="B11399" s="4" t="s">
        <v>14337</v>
      </c>
      <c r="C11399" s="5" t="str">
        <f>IFERROR(__xludf.DUMMYFUNCTION("GOOGLETRANSLATE(B11399,""en"",""de"")"),"Auf einem Schulfeld wirft sie einen Stock.")</f>
        <v>Auf einem Schulfeld wirft sie einen Stock.</v>
      </c>
    </row>
    <row r="11400">
      <c r="A11400" s="4" t="s">
        <v>14335</v>
      </c>
      <c r="B11400" s="4" t="s">
        <v>14338</v>
      </c>
      <c r="C11400" s="5" t="str">
        <f>IFERROR(__xludf.DUMMYFUNCTION("GOOGLETRANSLATE(B11400,""en"",""de"")"),"Zurück im Sand geht sie weiter mit der an ihrer Taille befestigten Ausrüstung.")</f>
        <v>Zurück im Sand geht sie weiter mit der an ihrer Taille befestigten Ausrüstung.</v>
      </c>
    </row>
    <row r="11401">
      <c r="A11401" s="4" t="s">
        <v>14335</v>
      </c>
      <c r="B11401" s="4" t="s">
        <v>14339</v>
      </c>
      <c r="C11401" s="5" t="str">
        <f>IFERROR(__xludf.DUMMYFUNCTION("GOOGLETRANSLATE(B11401,""en"",""de"")"),"Sie wirft einen Kiesel in den Strand.")</f>
        <v>Sie wirft einen Kiesel in den Strand.</v>
      </c>
    </row>
    <row r="11402">
      <c r="A11402" s="4" t="s">
        <v>14335</v>
      </c>
      <c r="B11402" s="4" t="s">
        <v>14340</v>
      </c>
      <c r="C11402" s="5" t="str">
        <f>IFERROR(__xludf.DUMMYFUNCTION("GOOGLETRANSLATE(B11402,""en"",""de"")"),"Auf einer Schulstrecke wirft sie einen Stock.")</f>
        <v>Auf einer Schulstrecke wirft sie einen Stock.</v>
      </c>
    </row>
    <row r="11403">
      <c r="A11403" s="4" t="s">
        <v>14335</v>
      </c>
      <c r="B11403" s="4" t="s">
        <v>14341</v>
      </c>
      <c r="C11403" s="5" t="str">
        <f>IFERROR(__xludf.DUMMYFUNCTION("GOOGLETRANSLATE(B11403,""en"",""de"")"),"Sie wirft einen weiteren Stock in ein Grasfeld, wo ihre Trainer weiterschauen.")</f>
        <v>Sie wirft einen weiteren Stock in ein Grasfeld, wo ihre Trainer weiterschauen.</v>
      </c>
    </row>
    <row r="11404">
      <c r="A11404" s="4" t="s">
        <v>14335</v>
      </c>
      <c r="B11404" s="4" t="s">
        <v>14342</v>
      </c>
      <c r="C11404" s="5" t="str">
        <f>IFERROR(__xludf.DUMMYFUNCTION("GOOGLETRANSLATE(B11404,""en"",""de"")"),"Ein Mann gibt ihr eine Medaille.")</f>
        <v>Ein Mann gibt ihr eine Medaille.</v>
      </c>
    </row>
    <row r="11405">
      <c r="A11405" s="4" t="s">
        <v>14335</v>
      </c>
      <c r="B11405" s="4" t="s">
        <v>14343</v>
      </c>
      <c r="C11405" s="5" t="str">
        <f>IFERROR(__xludf.DUMMYFUNCTION("GOOGLETRANSLATE(B11405,""en"",""de"")"),"In einem Grasfeld wirft sie einen Stock.")</f>
        <v>In einem Grasfeld wirft sie einen Stock.</v>
      </c>
    </row>
    <row r="11406">
      <c r="A11406" s="4" t="s">
        <v>14344</v>
      </c>
      <c r="B11406" s="4" t="s">
        <v>14345</v>
      </c>
      <c r="C11406" s="5" t="str">
        <f>IFERROR(__xludf.DUMMYFUNCTION("GOOGLETRANSLATE(B11406,""en"",""de"")"),"Ein Bild eines Mannes wird gezeigt und dann Zeichnungen menschlicher Wirbel.")</f>
        <v>Ein Bild eines Mannes wird gezeigt und dann Zeichnungen menschlicher Wirbel.</v>
      </c>
    </row>
    <row r="11407">
      <c r="A11407" s="4" t="s">
        <v>14344</v>
      </c>
      <c r="B11407" s="4" t="s">
        <v>14346</v>
      </c>
      <c r="C11407" s="5" t="str">
        <f>IFERROR(__xludf.DUMMYFUNCTION("GOOGLETRANSLATE(B11407,""en"",""de"")"),"Der Mann in Grey Out steht in einem Raum und begann seine Hände nach vorne und rückwärts zu drehen.")</f>
        <v>Der Mann in Grey Out steht in einem Raum und begann seine Hände nach vorne und rückwärts zu drehen.</v>
      </c>
    </row>
    <row r="11408">
      <c r="A11408" s="4" t="s">
        <v>14344</v>
      </c>
      <c r="B11408" s="4" t="s">
        <v>14347</v>
      </c>
      <c r="C11408" s="5" t="str">
        <f>IFERROR(__xludf.DUMMYFUNCTION("GOOGLETRANSLATE(B11408,""en"",""de"")"),"Der Mann schwankt von Seite zur anderen und bewegt seine Arme vor sich.")</f>
        <v>Der Mann schwankt von Seite zur anderen und bewegt seine Arme vor sich.</v>
      </c>
    </row>
    <row r="11409">
      <c r="A11409" s="4" t="s">
        <v>14348</v>
      </c>
      <c r="B11409" s="4" t="s">
        <v>14349</v>
      </c>
      <c r="C11409" s="5" t="str">
        <f>IFERROR(__xludf.DUMMYFUNCTION("GOOGLETRANSLATE(B11409,""en"",""de"")"),"Ein Mann steht vor einer Katze, die immer wieder auf seinem Verpackungspapier spaziert.")</f>
        <v>Ein Mann steht vor einer Katze, die immer wieder auf seinem Verpackungspapier spaziert.</v>
      </c>
    </row>
    <row r="11410">
      <c r="A11410" s="4" t="s">
        <v>14348</v>
      </c>
      <c r="B11410" s="4" t="s">
        <v>14350</v>
      </c>
      <c r="C11410" s="5" t="str">
        <f>IFERROR(__xludf.DUMMYFUNCTION("GOOGLETRANSLATE(B11410,""en"",""de"")"),"Der Mann schiebt die Katze auf das Papier und faltet sie um die Katze.")</f>
        <v>Der Mann schiebt die Katze auf das Papier und faltet sie um die Katze.</v>
      </c>
    </row>
    <row r="11411">
      <c r="A11411" s="4" t="s">
        <v>14348</v>
      </c>
      <c r="B11411" s="4" t="s">
        <v>14351</v>
      </c>
      <c r="C11411" s="5" t="str">
        <f>IFERROR(__xludf.DUMMYFUNCTION("GOOGLETRANSLATE(B11411,""en"",""de"")"),"Dann klebt er das Papier an die Katze und lässt nur den Kopf herausragen.")</f>
        <v>Dann klebt er das Papier an die Katze und lässt nur den Kopf herausragen.</v>
      </c>
    </row>
    <row r="11412">
      <c r="A11412" s="4" t="s">
        <v>14348</v>
      </c>
      <c r="B11412" s="4" t="s">
        <v>14352</v>
      </c>
      <c r="C11412" s="5" t="str">
        <f>IFERROR(__xludf.DUMMYFUNCTION("GOOGLETRANSLATE(B11412,""en"",""de"")"),"Dann setzt er einen Bogen auf den Kopf der Katze.")</f>
        <v>Dann setzt er einen Bogen auf den Kopf der Katze.</v>
      </c>
    </row>
    <row r="11413">
      <c r="A11413" s="4" t="s">
        <v>14353</v>
      </c>
      <c r="B11413" s="4" t="s">
        <v>14354</v>
      </c>
      <c r="C11413" s="5" t="str">
        <f>IFERROR(__xludf.DUMMYFUNCTION("GOOGLETRANSLATE(B11413,""en"",""de"")"),"Eine Mutter versucht die Zähne eines Babys zu putzen.")</f>
        <v>Eine Mutter versucht die Zähne eines Babys zu putzen.</v>
      </c>
    </row>
    <row r="11414">
      <c r="A11414" s="4" t="s">
        <v>14353</v>
      </c>
      <c r="B11414" s="4" t="s">
        <v>14355</v>
      </c>
      <c r="C11414" s="5" t="str">
        <f>IFERROR(__xludf.DUMMYFUNCTION("GOOGLETRANSLATE(B11414,""en"",""de"")"),"Das Baby nimmt die Zahnbürste und versucht sich.")</f>
        <v>Das Baby nimmt die Zahnbürste und versucht sich.</v>
      </c>
    </row>
    <row r="11415">
      <c r="A11415" s="4" t="s">
        <v>14353</v>
      </c>
      <c r="B11415" s="4" t="s">
        <v>14356</v>
      </c>
      <c r="C11415" s="5" t="str">
        <f>IFERROR(__xludf.DUMMYFUNCTION("GOOGLETRANSLATE(B11415,""en"",""de"")"),"Das Baby spuckt einen Teil dieser Zahnpasta aus, versuche es aber weiter.")</f>
        <v>Das Baby spuckt einen Teil dieser Zahnpasta aus, versuche es aber weiter.</v>
      </c>
    </row>
    <row r="11416">
      <c r="A11416" s="4" t="s">
        <v>14357</v>
      </c>
      <c r="B11416" s="4" t="s">
        <v>14358</v>
      </c>
      <c r="C11416" s="5" t="str">
        <f>IFERROR(__xludf.DUMMYFUNCTION("GOOGLETRANSLATE(B11416,""en"",""de"")"),"Ein schwarzes und gelbes Sprungseil liegt auf dem Boden, während drei Personen im Hintergrund sind.")</f>
        <v>Ein schwarzes und gelbes Sprungseil liegt auf dem Boden, während drei Personen im Hintergrund sind.</v>
      </c>
    </row>
    <row r="11417">
      <c r="A11417" s="4" t="s">
        <v>14357</v>
      </c>
      <c r="B11417" s="4" t="s">
        <v>14359</v>
      </c>
      <c r="C11417" s="5" t="str">
        <f>IFERROR(__xludf.DUMMYFUNCTION("GOOGLETRANSLATE(B11417,""en"",""de"")"),"Der Titel ""Jump Rope Steffisburg"" erscheint auf dem Bildschirm, während mehrere Personen in grünen Hemden dahinter rennen.")</f>
        <v>Der Titel "Jump Rope Steffisburg" erscheint auf dem Bildschirm, während mehrere Personen in grünen Hemden dahinter rennen.</v>
      </c>
    </row>
    <row r="11418">
      <c r="A11418" s="4" t="s">
        <v>14357</v>
      </c>
      <c r="B11418" s="4" t="s">
        <v>14360</v>
      </c>
      <c r="C11418" s="5" t="str">
        <f>IFERROR(__xludf.DUMMYFUNCTION("GOOGLETRANSLATE(B11418,""en"",""de"")"),"Zwei junge Frauen führen einen Somersault aus.")</f>
        <v>Zwei junge Frauen führen einen Somersault aus.</v>
      </c>
    </row>
    <row r="11419">
      <c r="A11419" s="4" t="s">
        <v>14357</v>
      </c>
      <c r="B11419" s="4" t="s">
        <v>14361</v>
      </c>
      <c r="C11419" s="5" t="str">
        <f>IFERROR(__xludf.DUMMYFUNCTION("GOOGLETRANSLATE(B11419,""en"",""de"")"),"Eine große Gruppe von Menschen in grünen Hemden führt in einer großen Gymnasium verschiedene Sprungseilstunts durch.")</f>
        <v>Eine große Gruppe von Menschen in grünen Hemden führt in einer großen Gymnasium verschiedene Sprungseilstunts durch.</v>
      </c>
    </row>
    <row r="11420">
      <c r="A11420" s="4" t="s">
        <v>14357</v>
      </c>
      <c r="B11420" s="4" t="s">
        <v>14362</v>
      </c>
      <c r="C11420" s="5" t="str">
        <f>IFERROR(__xludf.DUMMYFUNCTION("GOOGLETRANSLATE(B11420,""en"",""de"")"),"Jemand nimmt ein gelbes und schwarzes Sprungseil vom Boden und geht damit davon.")</f>
        <v>Jemand nimmt ein gelbes und schwarzes Sprungseil vom Boden und geht damit davon.</v>
      </c>
    </row>
    <row r="11421">
      <c r="A11421" s="4" t="s">
        <v>14363</v>
      </c>
      <c r="B11421" s="4" t="s">
        <v>14364</v>
      </c>
      <c r="C11421" s="5" t="str">
        <f>IFERROR(__xludf.DUMMYFUNCTION("GOOGLETRANSLATE(B11421,""en"",""de"")"),"Ein schwarzer Bildschirm wirbt für das Video.")</f>
        <v>Ein schwarzer Bildschirm wirbt für das Video.</v>
      </c>
    </row>
    <row r="11422">
      <c r="A11422" s="4" t="s">
        <v>14363</v>
      </c>
      <c r="B11422" s="4" t="s">
        <v>14365</v>
      </c>
      <c r="C11422" s="5" t="str">
        <f>IFERROR(__xludf.DUMMYFUNCTION("GOOGLETRANSLATE(B11422,""en"",""de"")"),"Ein Mann wird gezeigt, während jemand seinen Bart rasiert.")</f>
        <v>Ein Mann wird gezeigt, während jemand seinen Bart rasiert.</v>
      </c>
    </row>
    <row r="11423">
      <c r="A11423" s="4" t="s">
        <v>14363</v>
      </c>
      <c r="B11423" s="4" t="s">
        <v>14366</v>
      </c>
      <c r="C11423" s="5" t="str">
        <f>IFERROR(__xludf.DUMMYFUNCTION("GOOGLETRANSLATE(B11423,""en"",""de"")"),"Die Klinge ist sehr nahe an der Haut gezeigt, als der Mann ihn vorsichtig rasiert und zwischen Schablonen spült.")</f>
        <v>Die Klinge ist sehr nahe an der Haut gezeigt, als der Mann ihn vorsichtig rasiert und zwischen Schablonen spült.</v>
      </c>
    </row>
    <row r="11424">
      <c r="A11424" s="4" t="s">
        <v>14363</v>
      </c>
      <c r="B11424" s="4" t="s">
        <v>14367</v>
      </c>
      <c r="C11424" s="5" t="str">
        <f>IFERROR(__xludf.DUMMYFUNCTION("GOOGLETRANSLATE(B11424,""en"",""de"")"),"Der Bildschirm verblasst schwarz, als der Mann die Rasur beendet.")</f>
        <v>Der Bildschirm verblasst schwarz, als der Mann die Rasur beendet.</v>
      </c>
    </row>
    <row r="11425">
      <c r="A11425" s="4" t="s">
        <v>14368</v>
      </c>
      <c r="B11425" s="4" t="s">
        <v>14369</v>
      </c>
      <c r="C11425" s="5" t="str">
        <f>IFERROR(__xludf.DUMMYFUNCTION("GOOGLETRANSLATE(B11425,""en"",""de"")"),"Zwei Männer spielen Tischtennis in einem kleinen Raum.")</f>
        <v>Zwei Männer spielen Tischtennis in einem kleinen Raum.</v>
      </c>
    </row>
    <row r="11426">
      <c r="A11426" s="4" t="s">
        <v>14368</v>
      </c>
      <c r="B11426" s="4" t="s">
        <v>14370</v>
      </c>
      <c r="C11426" s="5" t="str">
        <f>IFERROR(__xludf.DUMMYFUNCTION("GOOGLETRANSLATE(B11426,""en"",""de"")"),"Ein anderer Mann geht im Hintergrund.")</f>
        <v>Ein anderer Mann geht im Hintergrund.</v>
      </c>
    </row>
    <row r="11427">
      <c r="A11427" s="4" t="s">
        <v>14371</v>
      </c>
      <c r="B11427" s="4" t="s">
        <v>14372</v>
      </c>
      <c r="C11427" s="5" t="str">
        <f>IFERROR(__xludf.DUMMYFUNCTION("GOOGLETRANSLATE(B11427,""en"",""de"")"),"Eine Gruppe von Frauen steht herum, als einer von ihnen auf einem Kamel ist.")</f>
        <v>Eine Gruppe von Frauen steht herum, als einer von ihnen auf einem Kamel ist.</v>
      </c>
    </row>
    <row r="11428">
      <c r="A11428" s="4" t="s">
        <v>14371</v>
      </c>
      <c r="B11428" s="4" t="s">
        <v>14373</v>
      </c>
      <c r="C11428" s="5" t="str">
        <f>IFERROR(__xludf.DUMMYFUNCTION("GOOGLETRANSLATE(B11428,""en"",""de"")"),"Das Kamel hebt die Trainer und andere Freunde auf.")</f>
        <v>Das Kamel hebt die Trainer und andere Freunde auf.</v>
      </c>
    </row>
    <row r="11429">
      <c r="A11429" s="4" t="s">
        <v>14371</v>
      </c>
      <c r="B11429" s="4" t="s">
        <v>14374</v>
      </c>
      <c r="C11429" s="5" t="str">
        <f>IFERROR(__xludf.DUMMYFUNCTION("GOOGLETRANSLATE(B11429,""en"",""de"")"),"Sie scheinen eine tolle Zeit zu haben, während sich die Kamera zurückzieht, um sie alle zu zeigen.")</f>
        <v>Sie scheinen eine tolle Zeit zu haben, während sich die Kamera zurückzieht, um sie alle zu zeigen.</v>
      </c>
    </row>
    <row r="11430">
      <c r="A11430" s="4" t="s">
        <v>14371</v>
      </c>
      <c r="B11430" s="4" t="s">
        <v>14375</v>
      </c>
      <c r="C11430" s="5" t="str">
        <f>IFERROR(__xludf.DUMMYFUNCTION("GOOGLETRANSLATE(B11430,""en"",""de"")"),"Sie bewegen sich mit dem Kamel sehr langsam und die Dame reitet sie wellen.")</f>
        <v>Sie bewegen sich mit dem Kamel sehr langsam und die Dame reitet sie wellen.</v>
      </c>
    </row>
    <row r="11431">
      <c r="A11431" s="4" t="s">
        <v>14371</v>
      </c>
      <c r="B11431" s="4" t="s">
        <v>14376</v>
      </c>
      <c r="C11431" s="5" t="str">
        <f>IFERROR(__xludf.DUMMYFUNCTION("GOOGLETRANSLATE(B11431,""en"",""de"")"),"Das Video schneidet dann und zeigt, wie das Kamel zum Stillstand kommt, bevor er zum Boden fällt, um die Frau loszulassen.")</f>
        <v>Das Video schneidet dann und zeigt, wie das Kamel zum Stillstand kommt, bevor er zum Boden fällt, um die Frau loszulassen.</v>
      </c>
    </row>
    <row r="11432">
      <c r="A11432" s="4" t="s">
        <v>14371</v>
      </c>
      <c r="B11432" s="4" t="s">
        <v>14377</v>
      </c>
      <c r="C11432" s="5" t="str">
        <f>IFERROR(__xludf.DUMMYFUNCTION("GOOGLETRANSLATE(B11432,""en"",""de"")"),"Sie streichelt es und das Video endet.")</f>
        <v>Sie streichelt es und das Video endet.</v>
      </c>
    </row>
    <row r="11433">
      <c r="A11433" s="4" t="s">
        <v>14378</v>
      </c>
      <c r="B11433" s="4" t="s">
        <v>14379</v>
      </c>
      <c r="C11433" s="5" t="str">
        <f>IFERROR(__xludf.DUMMYFUNCTION("GOOGLETRANSLATE(B11433,""en"",""de"")"),"Jungs stehen in der Nähe eines Standes herum.")</f>
        <v>Jungs stehen in der Nähe eines Standes herum.</v>
      </c>
    </row>
    <row r="11434">
      <c r="A11434" s="4" t="s">
        <v>14378</v>
      </c>
      <c r="B11434" s="4" t="s">
        <v>14380</v>
      </c>
      <c r="C11434" s="5" t="str">
        <f>IFERROR(__xludf.DUMMYFUNCTION("GOOGLETRANSLATE(B11434,""en"",""de"")"),"Ein Mann reitet ein Rinder.")</f>
        <v>Ein Mann reitet ein Rinder.</v>
      </c>
    </row>
    <row r="11435">
      <c r="A11435" s="4" t="s">
        <v>14378</v>
      </c>
      <c r="B11435" s="4" t="s">
        <v>14381</v>
      </c>
      <c r="C11435" s="5" t="str">
        <f>IFERROR(__xludf.DUMMYFUNCTION("GOOGLETRANSLATE(B11435,""en"",""de"")"),"Der Typ lässt das Vieh und steigt von seinem Pferd, um die Beine des Rinders zu binden.")</f>
        <v>Der Typ lässt das Vieh und steigt von seinem Pferd, um die Beine des Rinders zu binden.</v>
      </c>
    </row>
    <row r="11436">
      <c r="A11436" s="4" t="s">
        <v>14378</v>
      </c>
      <c r="B11436" s="4" t="s">
        <v>14382</v>
      </c>
      <c r="C11436" s="5" t="str">
        <f>IFERROR(__xludf.DUMMYFUNCTION("GOOGLETRANSLATE(B11436,""en"",""de"")"),"Zwei Männer entfernen das Seil um den Hals und die Beine des Rinders.")</f>
        <v>Zwei Männer entfernen das Seil um den Hals und die Beine des Rinders.</v>
      </c>
    </row>
    <row r="11437">
      <c r="A11437" s="4" t="s">
        <v>14378</v>
      </c>
      <c r="B11437" s="4" t="s">
        <v>14383</v>
      </c>
      <c r="C11437" s="5" t="str">
        <f>IFERROR(__xludf.DUMMYFUNCTION("GOOGLETRANSLATE(B11437,""en"",""de"")"),"Das Vieh steigt und rennt weg.")</f>
        <v>Das Vieh steigt und rennt weg.</v>
      </c>
    </row>
    <row r="11438">
      <c r="A11438" s="4" t="s">
        <v>14384</v>
      </c>
      <c r="B11438" s="4" t="s">
        <v>14385</v>
      </c>
      <c r="C11438" s="5" t="str">
        <f>IFERROR(__xludf.DUMMYFUNCTION("GOOGLETRANSLATE(B11438,""en"",""de"")"),"Eine Person wird gesehen, die Markierungen auf einem Papier mit einem Werkzeug sowie einem Bleistift herstellen.")</f>
        <v>Eine Person wird gesehen, die Markierungen auf einem Papier mit einem Werkzeug sowie einem Bleistift herstellen.</v>
      </c>
    </row>
    <row r="11439">
      <c r="A11439" s="4" t="s">
        <v>14384</v>
      </c>
      <c r="B11439" s="4" t="s">
        <v>14386</v>
      </c>
      <c r="C11439" s="5" t="str">
        <f>IFERROR(__xludf.DUMMYFUNCTION("GOOGLETRANSLATE(B11439,""en"",""de"")"),"Dann schraubt er die Werkzeuge anstelle der Löcher und die Kamera schwenkt den fertigen Bereich hinunter.")</f>
        <v>Dann schraubt er die Werkzeuge anstelle der Löcher und die Kamera schwenkt den fertigen Bereich hinunter.</v>
      </c>
    </row>
    <row r="11440">
      <c r="A11440" s="4" t="s">
        <v>14384</v>
      </c>
      <c r="B11440" s="4" t="s">
        <v>14387</v>
      </c>
      <c r="C11440" s="5" t="str">
        <f>IFERROR(__xludf.DUMMYFUNCTION("GOOGLETRANSLATE(B11440,""en"",""de"")"),"Dann wischt er den Bereich ab, misst mehr Fläche und rollt dann das Papier über ein Werkzeug.")</f>
        <v>Dann wischt er den Bereich ab, misst mehr Fläche und rollt dann das Papier über ein Werkzeug.</v>
      </c>
    </row>
    <row r="11441">
      <c r="A11441" s="4" t="s">
        <v>14384</v>
      </c>
      <c r="B11441" s="4" t="s">
        <v>14388</v>
      </c>
      <c r="C11441" s="5" t="str">
        <f>IFERROR(__xludf.DUMMYFUNCTION("GOOGLETRANSLATE(B11441,""en"",""de"")"),"Schließlich nimmt er ein scharfes Objekt und leitet es die ganze Zeit über das Papier.")</f>
        <v>Schließlich nimmt er ein scharfes Objekt und leitet es die ganze Zeit über das Papier.</v>
      </c>
    </row>
    <row r="11442">
      <c r="A11442" s="4" t="s">
        <v>14389</v>
      </c>
      <c r="B11442" s="4" t="s">
        <v>14390</v>
      </c>
      <c r="C11442" s="5" t="str">
        <f>IFERROR(__xludf.DUMMYFUNCTION("GOOGLETRANSLATE(B11442,""en"",""de"")"),"Eine Person in einem Rubik -Würfel.")</f>
        <v>Eine Person in einem Rubik -Würfel.</v>
      </c>
    </row>
    <row r="11443">
      <c r="A11443" s="4" t="s">
        <v>14389</v>
      </c>
      <c r="B11443" s="4" t="s">
        <v>14391</v>
      </c>
      <c r="C11443" s="5" t="str">
        <f>IFERROR(__xludf.DUMMYFUNCTION("GOOGLETRANSLATE(B11443,""en"",""de"")"),"Die Person beginnt, den Rubik's Cube zu lösen.")</f>
        <v>Die Person beginnt, den Rubik's Cube zu lösen.</v>
      </c>
    </row>
    <row r="11444">
      <c r="A11444" s="4" t="s">
        <v>14389</v>
      </c>
      <c r="B11444" s="4" t="s">
        <v>14392</v>
      </c>
      <c r="C11444" s="5" t="str">
        <f>IFERROR(__xludf.DUMMYFUNCTION("GOOGLETRANSLATE(B11444,""en"",""de"")"),"Die Person legt den gelösten Rubik's Cube auf den Schreibtisch und klickt in hastiges.")</f>
        <v>Die Person legt den gelösten Rubik's Cube auf den Schreibtisch und klickt in hastiges.</v>
      </c>
    </row>
    <row r="11445">
      <c r="A11445" s="4" t="s">
        <v>14389</v>
      </c>
      <c r="B11445" s="4" t="s">
        <v>14393</v>
      </c>
      <c r="C11445" s="5" t="str">
        <f>IFERROR(__xludf.DUMMYFUNCTION("GOOGLETRANSLATE(B11445,""en"",""de"")"),"Die Person zeigt ihren Computerbildschirm.")</f>
        <v>Die Person zeigt ihren Computerbildschirm.</v>
      </c>
    </row>
    <row r="11446">
      <c r="A11446" s="4" t="s">
        <v>14389</v>
      </c>
      <c r="B11446" s="4" t="s">
        <v>14394</v>
      </c>
      <c r="C11446" s="5" t="str">
        <f>IFERROR(__xludf.DUMMYFUNCTION("GOOGLETRANSLATE(B11446,""en"",""de"")"),"Die Person nimmt den Rubik -Würfel auf und zeigt jedes Gesicht des gelösten Rubikswürfel.")</f>
        <v>Die Person nimmt den Rubik -Würfel auf und zeigt jedes Gesicht des gelösten Rubikswürfel.</v>
      </c>
    </row>
    <row r="11447">
      <c r="A11447" s="4" t="s">
        <v>14395</v>
      </c>
      <c r="B11447" s="4" t="s">
        <v>14396</v>
      </c>
      <c r="C11447" s="5" t="str">
        <f>IFERROR(__xludf.DUMMYFUNCTION("GOOGLETRANSLATE(B11447,""en"",""de"")"),"Der Junge steht unter dem Baum mit Augenbinde, um die Pinata zu treffen, aber sie hat es verpasst.")</f>
        <v>Der Junge steht unter dem Baum mit Augenbinde, um die Pinata zu treffen, aber sie hat es verpasst.</v>
      </c>
    </row>
    <row r="11448">
      <c r="A11448" s="4" t="s">
        <v>14395</v>
      </c>
      <c r="B11448" s="4" t="s">
        <v>14397</v>
      </c>
      <c r="C11448" s="5" t="str">
        <f>IFERROR(__xludf.DUMMYFUNCTION("GOOGLETRANSLATE(B11448,""en"",""de"")"),"Ein Mann kam auf ihn zu und half ihm, der Junge schlug einmal die Pinata.")</f>
        <v>Ein Mann kam auf ihn zu und half ihm, der Junge schlug einmal die Pinata.</v>
      </c>
    </row>
    <row r="11449">
      <c r="A11449" s="4" t="s">
        <v>14395</v>
      </c>
      <c r="B11449" s="4" t="s">
        <v>14398</v>
      </c>
      <c r="C11449" s="5" t="str">
        <f>IFERROR(__xludf.DUMMYFUNCTION("GOOGLETRANSLATE(B11449,""en"",""de"")"),"Der Mann dreht das kleine Mädchen und ließ dann ein wenig laufen und das Mädchen schlug die Pinata.")</f>
        <v>Der Mann dreht das kleine Mädchen und ließ dann ein wenig laufen und das Mädchen schlug die Pinata.</v>
      </c>
    </row>
    <row r="11450">
      <c r="A11450" s="4" t="s">
        <v>14395</v>
      </c>
      <c r="B11450" s="4" t="s">
        <v>14399</v>
      </c>
      <c r="C11450" s="5" t="str">
        <f>IFERROR(__xludf.DUMMYFUNCTION("GOOGLETRANSLATE(B11450,""en"",""de"")"),"Ein junger Mann traf die Pinata -Anzeige, die Kinder stammen aus, um sich zu drehen, um die Pinata zu treffen.")</f>
        <v>Ein junger Mann traf die Pinata -Anzeige, die Kinder stammen aus, um sich zu drehen, um die Pinata zu treffen.</v>
      </c>
    </row>
    <row r="11451">
      <c r="A11451" s="4" t="s">
        <v>14400</v>
      </c>
      <c r="B11451" s="4" t="s">
        <v>14401</v>
      </c>
      <c r="C11451" s="5" t="str">
        <f>IFERROR(__xludf.DUMMYFUNCTION("GOOGLETRANSLATE(B11451,""en"",""de"")"),"Ein Wrestler in Maroon Brief provoziert den schwarzen Mann.")</f>
        <v>Ein Wrestler in Maroon Brief provoziert den schwarzen Mann.</v>
      </c>
    </row>
    <row r="11452">
      <c r="A11452" s="4" t="s">
        <v>14400</v>
      </c>
      <c r="B11452" s="4" t="s">
        <v>14402</v>
      </c>
      <c r="C11452" s="5" t="str">
        <f>IFERROR(__xludf.DUMMYFUNCTION("GOOGLETRANSLATE(B11452,""en"",""de"")"),"Der schwarze Mann griff den anderen Wrestler an, aber er wurde niedergeschlagen.")</f>
        <v>Der schwarze Mann griff den anderen Wrestler an, aber er wurde niedergeschlagen.</v>
      </c>
    </row>
    <row r="11453">
      <c r="A11453" s="4" t="s">
        <v>14400</v>
      </c>
      <c r="B11453" s="4" t="s">
        <v>14403</v>
      </c>
      <c r="C11453" s="5" t="str">
        <f>IFERROR(__xludf.DUMMYFUNCTION("GOOGLETRANSLATE(B11453,""en"",""de"")"),"Der Wrestler mit Maroon Brief trug den schwarzen Mann und knallte ihn auf den Boden.")</f>
        <v>Der Wrestler mit Maroon Brief trug den schwarzen Mann und knallte ihn auf den Boden.</v>
      </c>
    </row>
    <row r="11454">
      <c r="A11454" s="4" t="s">
        <v>14404</v>
      </c>
      <c r="B11454" s="4" t="s">
        <v>14405</v>
      </c>
      <c r="C11454" s="5" t="str">
        <f>IFERROR(__xludf.DUMMYFUNCTION("GOOGLETRANSLATE(B11454,""en"",""de"")"),"Es sitzt ein Mann mit dem Olympischen Spiel hinter sich und spricht über Sport.")</f>
        <v>Es sitzt ein Mann mit dem Olympischen Spiel hinter sich und spricht über Sport.</v>
      </c>
    </row>
    <row r="11455">
      <c r="A11455" s="4" t="s">
        <v>14404</v>
      </c>
      <c r="B11455" s="4" t="s">
        <v>14406</v>
      </c>
      <c r="C11455" s="5" t="str">
        <f>IFERROR(__xludf.DUMMYFUNCTION("GOOGLETRANSLATE(B11455,""en"",""de"")"),"Ein Gruppenfoto von vielen Menschen verschiedener Altersgruppen wird gezeigt.")</f>
        <v>Ein Gruppenfoto von vielen Menschen verschiedener Altersgruppen wird gezeigt.</v>
      </c>
    </row>
    <row r="11456">
      <c r="A11456" s="4" t="s">
        <v>14404</v>
      </c>
      <c r="B11456" s="4" t="s">
        <v>14407</v>
      </c>
      <c r="C11456" s="5" t="str">
        <f>IFERROR(__xludf.DUMMYFUNCTION("GOOGLETRANSLATE(B11456,""en"",""de"")"),"Es gibt einige Leute, die an einem sonnigen Tag im Sand am Strandvolleyball spielen und mehrere Leute sie beobachten.")</f>
        <v>Es gibt einige Leute, die an einem sonnigen Tag im Sand am Strandvolleyball spielen und mehrere Leute sie beobachten.</v>
      </c>
    </row>
    <row r="11457">
      <c r="A11457" s="4" t="s">
        <v>14404</v>
      </c>
      <c r="B11457" s="4" t="s">
        <v>14408</v>
      </c>
      <c r="C11457" s="5" t="str">
        <f>IFERROR(__xludf.DUMMYFUNCTION("GOOGLETRANSLATE(B11457,""en"",""de"")"),"Einer der Spieler schlägt den Ball zu seinem Gegner, indem er ihn mit seiner Faust schlägt.")</f>
        <v>Einer der Spieler schlägt den Ball zu seinem Gegner, indem er ihn mit seiner Faust schlägt.</v>
      </c>
    </row>
    <row r="11458">
      <c r="A11458" s="4" t="s">
        <v>14404</v>
      </c>
      <c r="B11458" s="4" t="s">
        <v>14409</v>
      </c>
      <c r="C11458" s="5" t="str">
        <f>IFERROR(__xludf.DUMMYFUNCTION("GOOGLETRANSLATE(B11458,""en"",""de"")"),"Ein anderer Spieler gibt den Ball zurück, indem er ihn über das Netz tritt.")</f>
        <v>Ein anderer Spieler gibt den Ball zurück, indem er ihn über das Netz tritt.</v>
      </c>
    </row>
    <row r="11459">
      <c r="A11459" s="4" t="s">
        <v>14404</v>
      </c>
      <c r="B11459" s="4" t="s">
        <v>14410</v>
      </c>
      <c r="C11459" s="5" t="str">
        <f>IFERROR(__xludf.DUMMYFUNCTION("GOOGLETRANSLATE(B11459,""en"",""de"")"),"Die Spieler spielen das Spiel weiter, indem sie den Ball über das Netz schlagen.")</f>
        <v>Die Spieler spielen das Spiel weiter, indem sie den Ball über das Netz schlagen.</v>
      </c>
    </row>
    <row r="11460">
      <c r="A11460" s="4" t="s">
        <v>14411</v>
      </c>
      <c r="B11460" s="4" t="s">
        <v>14412</v>
      </c>
      <c r="C11460" s="5" t="str">
        <f>IFERROR(__xludf.DUMMYFUNCTION("GOOGLETRANSLATE(B11460,""en"",""de"")"),"Ein offenes Feld ist mit Schnee bedeckt und plötzlich erscheint plötzlich ein großer Bär auf einem Tisch und wird dann in eine Schachtel gestellt.")</f>
        <v>Ein offenes Feld ist mit Schnee bedeckt und plötzlich erscheint plötzlich ein großer Bär auf einem Tisch und wird dann in eine Schachtel gestellt.</v>
      </c>
    </row>
    <row r="11461">
      <c r="A11461" s="4" t="s">
        <v>14411</v>
      </c>
      <c r="B11461" s="4" t="s">
        <v>14413</v>
      </c>
      <c r="C11461" s="5" t="str">
        <f>IFERROR(__xludf.DUMMYFUNCTION("GOOGLETRANSLATE(B11461,""en"",""de"")"),"Martha Stewart beginnt dann, die Box zu erklimmen.")</f>
        <v>Martha Stewart beginnt dann, die Box zu erklimmen.</v>
      </c>
    </row>
    <row r="11462">
      <c r="A11462" s="4" t="s">
        <v>14411</v>
      </c>
      <c r="B11462" s="4" t="s">
        <v>14414</v>
      </c>
      <c r="C11462" s="5" t="str">
        <f>IFERROR(__xludf.DUMMYFUNCTION("GOOGLETRANSLATE(B11462,""en"",""de"")"),"Die Schachtel wird dann oben auf der Theke gelegt und ein Packpapier wird an beiden Enden auf etwa sechs Zoll hoch in die Box gelegt.")</f>
        <v>Die Schachtel wird dann oben auf der Theke gelegt und ein Packpapier wird an beiden Enden auf etwa sechs Zoll hoch in die Box gelegt.</v>
      </c>
    </row>
    <row r="11463">
      <c r="A11463" s="4" t="s">
        <v>14411</v>
      </c>
      <c r="B11463" s="4" t="s">
        <v>14415</v>
      </c>
      <c r="C11463" s="5" t="str">
        <f>IFERROR(__xludf.DUMMYFUNCTION("GOOGLETRANSLATE(B11463,""en"",""de"")"),"Weitere Verpackungspapier wird dann herausgezogen und um die jetzt abgedeckte Schachtel in der Mitte gewickelt.")</f>
        <v>Weitere Verpackungspapier wird dann herausgezogen und um die jetzt abgedeckte Schachtel in der Mitte gewickelt.</v>
      </c>
    </row>
    <row r="11464">
      <c r="A11464" s="4" t="s">
        <v>14411</v>
      </c>
      <c r="B11464" s="4" t="s">
        <v>14416</v>
      </c>
      <c r="C11464" s="5" t="str">
        <f>IFERROR(__xludf.DUMMYFUNCTION("GOOGLETRANSLATE(B11464,""en"",""de"")"),"Nach dem Kleber werden mehrere rote Glitzerbögen auf das Verpackungspapier gelegt.")</f>
        <v>Nach dem Kleber werden mehrere rote Glitzerbögen auf das Verpackungspapier gelegt.</v>
      </c>
    </row>
    <row r="11465">
      <c r="A11465" s="4" t="s">
        <v>14411</v>
      </c>
      <c r="B11465" s="4" t="s">
        <v>14417</v>
      </c>
      <c r="C11465" s="5" t="str">
        <f>IFERROR(__xludf.DUMMYFUNCTION("GOOGLETRANSLATE(B11465,""en"",""de"")"),"Auf der Theke erscheint mehrere weitere Reihen Rappenpapier und Röhrchen.")</f>
        <v>Auf der Theke erscheint mehrere weitere Reihen Rappenpapier und Röhrchen.</v>
      </c>
    </row>
    <row r="11466">
      <c r="A11466" s="4" t="s">
        <v>14411</v>
      </c>
      <c r="B11466" s="4" t="s">
        <v>14418</v>
      </c>
      <c r="C11466" s="5" t="str">
        <f>IFERROR(__xludf.DUMMYFUNCTION("GOOGLETRANSLATE(B11466,""en"",""de"")"),"Die Socken werden dann in ein Rohr gelegt und mit dem Silberpapier bedeckt.")</f>
        <v>Die Socken werden dann in ein Rohr gelegt und mit dem Silberpapier bedeckt.</v>
      </c>
    </row>
    <row r="11467">
      <c r="A11467" s="4" t="s">
        <v>14411</v>
      </c>
      <c r="B11467" s="4" t="s">
        <v>14419</v>
      </c>
      <c r="C11467" s="5" t="str">
        <f>IFERROR(__xludf.DUMMYFUNCTION("GOOGLETRANSLATE(B11467,""en"",""de"")"),"Die Frau nimmt dann ein kreisförmiges Objekt und verfolgt es mit einem Bleistift und macht Schwirge in der Mitte.")</f>
        <v>Die Frau nimmt dann ein kreisförmiges Objekt und verfolgt es mit einem Bleistift und macht Schwirge in der Mitte.</v>
      </c>
    </row>
    <row r="11468">
      <c r="A11468" s="4" t="s">
        <v>14411</v>
      </c>
      <c r="B11468" s="4" t="s">
        <v>14420</v>
      </c>
      <c r="C11468" s="5" t="str">
        <f>IFERROR(__xludf.DUMMYFUNCTION("GOOGLETRANSLATE(B11468,""en"",""de"")"),"Nachdem sie ausgeschnitten sind, werden sie am Ende der Röhrchen platziert und zusammen gestapelt, um die Illusion von Feuerholz zu geben.")</f>
        <v>Nachdem sie ausgeschnitten sind, werden sie am Ende der Röhrchen platziert und zusammen gestapelt, um die Illusion von Feuerholz zu geben.</v>
      </c>
    </row>
    <row r="11469">
      <c r="A11469" s="4" t="s">
        <v>14421</v>
      </c>
      <c r="B11469" s="4" t="s">
        <v>14422</v>
      </c>
      <c r="C11469" s="5" t="str">
        <f>IFERROR(__xludf.DUMMYFUNCTION("GOOGLETRANSLATE(B11469,""en"",""de"")"),"Eine Gruppe von Kindern wirft sich in einem Hüpfbahnen, in dem die Böden aufblasbare Sprungplattformen sind, Bälle aufeinander.")</f>
        <v>Eine Gruppe von Kindern wirft sich in einem Hüpfbahnen, in dem die Böden aufblasbare Sprungplattformen sind, Bälle aufeinander.</v>
      </c>
    </row>
    <row r="11470">
      <c r="A11470" s="4" t="s">
        <v>14421</v>
      </c>
      <c r="B11470" s="4" t="s">
        <v>14423</v>
      </c>
      <c r="C11470" s="5" t="str">
        <f>IFERROR(__xludf.DUMMYFUNCTION("GOOGLETRANSLATE(B11470,""en"",""de"")"),"Die Kinder auf der rechten Seite des Raums werfen die Kinder auf der linken Seite des Raumes auf die Bälle, während die Bälle auf die Seite der Matte fliegen, um sie zu treffen.")</f>
        <v>Die Kinder auf der rechten Seite des Raums werfen die Kinder auf der linken Seite des Raumes auf die Bälle, während die Bälle auf die Seite der Matte fliegen, um sie zu treffen.</v>
      </c>
    </row>
    <row r="11471">
      <c r="A11471" s="4" t="s">
        <v>14421</v>
      </c>
      <c r="B11471" s="4" t="s">
        <v>14424</v>
      </c>
      <c r="C11471" s="5" t="str">
        <f>IFERROR(__xludf.DUMMYFUNCTION("GOOGLETRANSLATE(B11471,""en"",""de"")"),"Die Kinder schleudern und weichen mit einem Kind in einem blauen T-Shirt aus und ziehen sich in die äußerste rechte Ecke des Bounce-Raums zurück, um zu versuchen, einen Ball zu vermeiden, der ihn von der anderen Seite auf ihn schleudert.")</f>
        <v>Die Kinder schleudern und weichen mit einem Kind in einem blauen T-Shirt aus und ziehen sich in die äußerste rechte Ecke des Bounce-Raums zurück, um zu versuchen, einen Ball zu vermeiden, der ihn von der anderen Seite auf ihn schleudert.</v>
      </c>
    </row>
    <row r="11472">
      <c r="A11472" s="4" t="s">
        <v>14425</v>
      </c>
      <c r="B11472" s="4" t="s">
        <v>14426</v>
      </c>
      <c r="C11472" s="5" t="str">
        <f>IFERROR(__xludf.DUMMYFUNCTION("GOOGLETRANSLATE(B11472,""en"",""de"")"),"Ein kleines Kind wird gesehen, wie er einen Boden mit einem Mopp wischt und sich in allen Bereichen des Raums bewegt.")</f>
        <v>Ein kleines Kind wird gesehen, wie er einen Boden mit einem Mopp wischt und sich in allen Bereichen des Raums bewegt.</v>
      </c>
    </row>
    <row r="11473">
      <c r="A11473" s="4" t="s">
        <v>14425</v>
      </c>
      <c r="B11473" s="4" t="s">
        <v>14427</v>
      </c>
      <c r="C11473" s="5" t="str">
        <f>IFERROR(__xludf.DUMMYFUNCTION("GOOGLETRANSLATE(B11473,""en"",""de"")"),"Er hält ein, um mit dem Mopp ein bisschen zu spielen und drückt eine Schachtel zurück unter einen Ständer.")</f>
        <v>Er hält ein, um mit dem Mopp ein bisschen zu spielen und drückt eine Schachtel zurück unter einen Ständer.</v>
      </c>
    </row>
    <row r="11474">
      <c r="A11474" s="4" t="s">
        <v>14428</v>
      </c>
      <c r="B11474" s="4" t="s">
        <v>14429</v>
      </c>
      <c r="C11474" s="5" t="str">
        <f>IFERROR(__xludf.DUMMYFUNCTION("GOOGLETRANSLATE(B11474,""en"",""de"")"),"Eine Frau in einem schwarzen Hemd tanzt in einem Raum.")</f>
        <v>Eine Frau in einem schwarzen Hemd tanzt in einem Raum.</v>
      </c>
    </row>
    <row r="11475">
      <c r="A11475" s="4" t="s">
        <v>14428</v>
      </c>
      <c r="B11475" s="4" t="s">
        <v>14430</v>
      </c>
      <c r="C11475" s="5" t="str">
        <f>IFERROR(__xludf.DUMMYFUNCTION("GOOGLETRANSLATE(B11475,""en"",""de"")"),"Ein kleiner Hund auf dem Boden neben ihren Uhren.")</f>
        <v>Ein kleiner Hund auf dem Boden neben ihren Uhren.</v>
      </c>
    </row>
    <row r="11476">
      <c r="A11476" s="4" t="s">
        <v>14428</v>
      </c>
      <c r="B11476" s="4" t="s">
        <v>14431</v>
      </c>
      <c r="C11476" s="5" t="str">
        <f>IFERROR(__xludf.DUMMYFUNCTION("GOOGLETRANSLATE(B11476,""en"",""de"")"),"Sie klatscht am Ende in die Hände.")</f>
        <v>Sie klatscht am Ende in die Hände.</v>
      </c>
    </row>
    <row r="11477">
      <c r="A11477" s="4" t="s">
        <v>14432</v>
      </c>
      <c r="B11477" s="4" t="s">
        <v>14433</v>
      </c>
      <c r="C11477" s="5" t="str">
        <f>IFERROR(__xludf.DUMMYFUNCTION("GOOGLETRANSLATE(B11477,""en"",""de"")"),"Eine Gruppe von Menschen geht in eine Kegelbahn und scheitert komisch.")</f>
        <v>Eine Gruppe von Menschen geht in eine Kegelbahn und scheitert komisch.</v>
      </c>
    </row>
    <row r="11478">
      <c r="A11478" s="4" t="s">
        <v>14432</v>
      </c>
      <c r="B11478" s="4" t="s">
        <v>14434</v>
      </c>
      <c r="C11478" s="5" t="str">
        <f>IFERROR(__xludf.DUMMYFUNCTION("GOOGLETRANSLATE(B11478,""en"",""de"")"),"Eine Frau spricht mit den Stiften und findet heraus, wie die Stifte eingerichtet und ersetzt werden.")</f>
        <v>Eine Frau spricht mit den Stiften und findet heraus, wie die Stifte eingerichtet und ersetzt werden.</v>
      </c>
    </row>
    <row r="11479">
      <c r="A11479" s="4" t="s">
        <v>14435</v>
      </c>
      <c r="B11479" s="4" t="s">
        <v>14436</v>
      </c>
      <c r="C11479" s="5" t="str">
        <f>IFERROR(__xludf.DUMMYFUNCTION("GOOGLETRANSLATE(B11479,""en"",""de"")"),"Eine kleine Gruppe von Menschen sitzt an einem Tisch und spricht gleichzeitig mit einem Shisha- und Dampfstift.")</f>
        <v>Eine kleine Gruppe von Menschen sitzt an einem Tisch und spricht gleichzeitig mit einem Shisha- und Dampfstift.</v>
      </c>
    </row>
    <row r="11480">
      <c r="A11480" s="4" t="s">
        <v>14435</v>
      </c>
      <c r="B11480" s="4" t="s">
        <v>14437</v>
      </c>
      <c r="C11480" s="5" t="str">
        <f>IFERROR(__xludf.DUMMYFUNCTION("GOOGLETRANSLATE(B11480,""en"",""de"")"),"Die Männer rauchen weiter und schauen in die Kamera, wenn man anfängt, seinen Körper zu zeigen und durch den Raum zu schwingen.")</f>
        <v>Die Männer rauchen weiter und schauen in die Kamera, wenn man anfängt, seinen Körper zu zeigen und durch den Raum zu schwingen.</v>
      </c>
    </row>
    <row r="11481">
      <c r="A11481" s="4" t="s">
        <v>14438</v>
      </c>
      <c r="B11481" s="4" t="s">
        <v>14439</v>
      </c>
      <c r="C11481" s="5" t="str">
        <f>IFERROR(__xludf.DUMMYFUNCTION("GOOGLETRANSLATE(B11481,""en"",""de"")"),"Ein Tutorial zum Wickeln eines Geschenks. Zuerst setzen Sie Doe genug Packpapier und legen das Geschenk darauf, um sicherzustellen, dass es eine anständige Größe hat.")</f>
        <v>Ein Tutorial zum Wickeln eines Geschenks. Zuerst setzen Sie Doe genug Packpapier und legen das Geschenk darauf, um sicherzustellen, dass es eine anständige Größe hat.</v>
      </c>
    </row>
    <row r="11482">
      <c r="A11482" s="4" t="s">
        <v>14438</v>
      </c>
      <c r="B11482" s="4" t="s">
        <v>14440</v>
      </c>
      <c r="C11482" s="5" t="str">
        <f>IFERROR(__xludf.DUMMYFUNCTION("GOOGLETRANSLATE(B11482,""en"",""de"")"),"Dann falten Sie einen der Ecken des Verpackungspapiers in Dreiecke und drücken es wiederholt aus.")</f>
        <v>Dann falten Sie einen der Ecken des Verpackungspapiers in Dreiecke und drücken es wiederholt aus.</v>
      </c>
    </row>
    <row r="11483">
      <c r="A11483" s="4" t="s">
        <v>14438</v>
      </c>
      <c r="B11483" s="4" t="s">
        <v>14441</v>
      </c>
      <c r="C11483" s="5" t="str">
        <f>IFERROR(__xludf.DUMMYFUNCTION("GOOGLETRANSLATE(B11483,""en"",""de"")"),"Sie würden dann die Kanten schneiden und die Außenseite der Verpackung aufnehmen, damit sie nach unten klebt.")</f>
        <v>Sie würden dann die Kanten schneiden und die Außenseite der Verpackung aufnehmen, damit sie nach unten klebt.</v>
      </c>
    </row>
    <row r="11484">
      <c r="A11484" s="4" t="s">
        <v>14438</v>
      </c>
      <c r="B11484" s="4" t="s">
        <v>14442</v>
      </c>
      <c r="C11484" s="5" t="str">
        <f>IFERROR(__xludf.DUMMYFUNCTION("GOOGLETRANSLATE(B11484,""en"",""de"")"),"Schließlich legen Sie das Geschenk in das Papier und falten das Papier gut um es herum und kleben Sie es und Sie haben ein hübsches verpacktes Geschenk.")</f>
        <v>Schließlich legen Sie das Geschenk in das Papier und falten das Papier gut um es herum und kleben Sie es und Sie haben ein hübsches verpacktes Geschenk.</v>
      </c>
    </row>
    <row r="11485">
      <c r="A11485" s="4" t="s">
        <v>14443</v>
      </c>
      <c r="B11485" s="4" t="s">
        <v>14444</v>
      </c>
      <c r="C11485" s="5" t="str">
        <f>IFERROR(__xludf.DUMMYFUNCTION("GOOGLETRANSLATE(B11485,""en"",""de"")"),"Verschiedene Bilder von Männern werden zu Beginn des Videos gezeigt, gefolgt von verschiedenen Textzeilen.")</f>
        <v>Verschiedene Bilder von Männern werden zu Beginn des Videos gezeigt, gefolgt von verschiedenen Textzeilen.</v>
      </c>
    </row>
    <row r="11486">
      <c r="A11486" s="4" t="s">
        <v>14443</v>
      </c>
      <c r="B11486" s="4" t="s">
        <v>14445</v>
      </c>
      <c r="C11486" s="5" t="str">
        <f>IFERROR(__xludf.DUMMYFUNCTION("GOOGLETRANSLATE(B11486,""en"",""de"")"),"Die Männer werden dann gesehen, wie sie Fußballbälle in ein Tor treten, während sie einige und die Torwartblöcke retten.")</f>
        <v>Die Männer werden dann gesehen, wie sie Fußballbälle in ein Tor treten, während sie einige und die Torwartblöcke retten.</v>
      </c>
    </row>
    <row r="11487">
      <c r="A11487" s="4" t="s">
        <v>14446</v>
      </c>
      <c r="B11487" s="4" t="s">
        <v>14447</v>
      </c>
      <c r="C11487" s="5" t="str">
        <f>IFERROR(__xludf.DUMMYFUNCTION("GOOGLETRANSLATE(B11487,""en"",""de"")"),"Ein Mann spielt eine Geige, während die Kamera überall um ihn herum schwenkte Arme auf und ab.")</f>
        <v>Ein Mann spielt eine Geige, während die Kamera überall um ihn herum schwenkte Arme auf und ab.</v>
      </c>
    </row>
    <row r="11488">
      <c r="A11488" s="4" t="s">
        <v>14446</v>
      </c>
      <c r="B11488" s="4" t="s">
        <v>14448</v>
      </c>
      <c r="C11488" s="5" t="str">
        <f>IFERROR(__xludf.DUMMYFUNCTION("GOOGLETRANSLATE(B11488,""en"",""de"")"),"Der Mann spielt weiterhin, während andere hinter ihm spielen und der Geiger spielt und das Publikum betrachtet.")</f>
        <v>Der Mann spielt weiterhin, während andere hinter ihm spielen und der Geiger spielt und das Publikum betrachtet.</v>
      </c>
    </row>
    <row r="11489">
      <c r="A11489" s="4" t="s">
        <v>14449</v>
      </c>
      <c r="B11489" s="4" t="s">
        <v>14450</v>
      </c>
      <c r="C11489" s="5" t="str">
        <f>IFERROR(__xludf.DUMMYFUNCTION("GOOGLETRANSLATE(B11489,""en"",""de"")"),"Eine Gruppe von Menschen spielt ein Fußballspiel in einem Indoor -Feld, während eine Gruppe von Menschen an den Seiten zuschauen.")</f>
        <v>Eine Gruppe von Menschen spielt ein Fußballspiel in einem Indoor -Feld, während eine Gruppe von Menschen an den Seiten zuschauen.</v>
      </c>
    </row>
    <row r="11490">
      <c r="A11490" s="4" t="s">
        <v>14449</v>
      </c>
      <c r="B11490" s="4" t="s">
        <v>14451</v>
      </c>
      <c r="C11490" s="5" t="str">
        <f>IFERROR(__xludf.DUMMYFUNCTION("GOOGLETRANSLATE(B11490,""en"",""de"")"),"Die Leute zeigten sich auf der Tribüne und Spieler herumlaufen und beobachten den Kampf und die Sanitäter nehmen einen Mann weg.")</f>
        <v>Die Leute zeigten sich auf der Tribüne und Spieler herumlaufen und beobachten den Kampf und die Sanitäter nehmen einen Mann weg.</v>
      </c>
    </row>
    <row r="11491">
      <c r="A11491" s="4" t="s">
        <v>14452</v>
      </c>
      <c r="B11491" s="4" t="s">
        <v>14453</v>
      </c>
      <c r="C11491" s="5" t="str">
        <f>IFERROR(__xludf.DUMMYFUNCTION("GOOGLETRANSLATE(B11491,""en"",""de"")"),"Ein Bildschirm mit Text enthält Details eines Ereignisses.")</f>
        <v>Ein Bildschirm mit Text enthält Details eines Ereignisses.</v>
      </c>
    </row>
    <row r="11492">
      <c r="A11492" s="4" t="s">
        <v>14452</v>
      </c>
      <c r="B11492" s="4" t="s">
        <v>14454</v>
      </c>
      <c r="C11492" s="5" t="str">
        <f>IFERROR(__xludf.DUMMYFUNCTION("GOOGLETRANSLATE(B11492,""en"",""de"")"),"Jungengesichter werden in einem intensiven Gesichtsausdruck aus der Nähe gesehen.")</f>
        <v>Jungengesichter werden in einem intensiven Gesichtsausdruck aus der Nähe gesehen.</v>
      </c>
    </row>
    <row r="11493">
      <c r="A11493" s="4" t="s">
        <v>14452</v>
      </c>
      <c r="B11493" s="4" t="s">
        <v>14455</v>
      </c>
      <c r="C11493" s="5" t="str">
        <f>IFERROR(__xludf.DUMMYFUNCTION("GOOGLETRANSLATE(B11493,""en"",""de"")"),"Zwei Jungen spielen ein intensives Tischfußballspiel.")</f>
        <v>Zwei Jungen spielen ein intensives Tischfußballspiel.</v>
      </c>
    </row>
    <row r="11494">
      <c r="A11494" s="4" t="s">
        <v>14452</v>
      </c>
      <c r="B11494" s="4" t="s">
        <v>14456</v>
      </c>
      <c r="C11494" s="5" t="str">
        <f>IFERROR(__xludf.DUMMYFUNCTION("GOOGLETRANSLATE(B11494,""en"",""de"")"),"Der Junge gewinnt das Spiel und der andere schlägt ihn mit einem Griff des Tischtennisspiels.")</f>
        <v>Der Junge gewinnt das Spiel und der andere schlägt ihn mit einem Griff des Tischtennisspiels.</v>
      </c>
    </row>
    <row r="11495">
      <c r="A11495" s="4" t="s">
        <v>14457</v>
      </c>
      <c r="B11495" s="4" t="s">
        <v>14458</v>
      </c>
      <c r="C11495" s="5" t="str">
        <f>IFERROR(__xludf.DUMMYFUNCTION("GOOGLETRANSLATE(B11495,""en"",""de"")"),"Ein Mann ist in seinem Vorgarten und mäht seinen Rasen hin und her.")</f>
        <v>Ein Mann ist in seinem Vorgarten und mäht seinen Rasen hin und her.</v>
      </c>
    </row>
    <row r="11496">
      <c r="A11496" s="4" t="s">
        <v>14457</v>
      </c>
      <c r="B11496" s="4" t="s">
        <v>14459</v>
      </c>
      <c r="C11496" s="5" t="str">
        <f>IFERROR(__xludf.DUMMYFUNCTION("GOOGLETRANSLATE(B11496,""en"",""de"")"),"Das Video zeigt dann, wie er den Rasen an einem anderen Ort als an dem ersten Ort mäht.")</f>
        <v>Das Video zeigt dann, wie er den Rasen an einem anderen Ort als an dem ersten Ort mäht.</v>
      </c>
    </row>
    <row r="11497">
      <c r="A11497" s="4" t="s">
        <v>14460</v>
      </c>
      <c r="B11497" s="4" t="s">
        <v>14461</v>
      </c>
      <c r="C11497" s="5" t="str">
        <f>IFERROR(__xludf.DUMMYFUNCTION("GOOGLETRANSLATE(B11497,""en"",""de"")"),"Ein Mann spricht mit der Kamera, während er hinter einem Satz Gewicht steht und auf seinen Körper zeigt.")</f>
        <v>Ein Mann spricht mit der Kamera, während er hinter einem Satz Gewicht steht und auf seinen Körper zeigt.</v>
      </c>
    </row>
    <row r="11498">
      <c r="A11498" s="4" t="s">
        <v>14460</v>
      </c>
      <c r="B11498" s="4" t="s">
        <v>14462</v>
      </c>
      <c r="C11498" s="5" t="str">
        <f>IFERROR(__xludf.DUMMYFUNCTION("GOOGLETRANSLATE(B11498,""en"",""de"")"),"Der Mann beugt sich dann hin und greift die Bar, während er immer noch mit der Kamera spricht.")</f>
        <v>Der Mann beugt sich dann hin und greift die Bar, während er immer noch mit der Kamera spricht.</v>
      </c>
    </row>
    <row r="11499">
      <c r="A11499" s="4" t="s">
        <v>14460</v>
      </c>
      <c r="B11499" s="4" t="s">
        <v>14463</v>
      </c>
      <c r="C11499" s="5" t="str">
        <f>IFERROR(__xludf.DUMMYFUNCTION("GOOGLETRANSLATE(B11499,""en"",""de"")"),"Der Mann hebt die Stange nach oben und dann wieder nach unten, während er immer noch mit der Kamera spricht.")</f>
        <v>Der Mann hebt die Stange nach oben und dann wieder nach unten, während er immer noch mit der Kamera spricht.</v>
      </c>
    </row>
    <row r="11500">
      <c r="A11500" s="4" t="s">
        <v>14464</v>
      </c>
      <c r="B11500" s="4" t="s">
        <v>14465</v>
      </c>
      <c r="C11500" s="5" t="str">
        <f>IFERROR(__xludf.DUMMYFUNCTION("GOOGLETRANSLATE(B11500,""en"",""de"")"),"Ein Mann in einem weißen Smoking wird von einer Frau in einem Hochzeitskleid zu einer Pinata geführt.")</f>
        <v>Ein Mann in einem weißen Smoking wird von einer Frau in einem Hochzeitskleid zu einer Pinata geführt.</v>
      </c>
    </row>
    <row r="11501">
      <c r="A11501" s="4" t="s">
        <v>14464</v>
      </c>
      <c r="B11501" s="4" t="s">
        <v>14466</v>
      </c>
      <c r="C11501" s="5" t="str">
        <f>IFERROR(__xludf.DUMMYFUNCTION("GOOGLETRANSLATE(B11501,""en"",""de"")"),"Er schlägt auf die Pinata, die sich immer wieder auf und ab bewegt.")</f>
        <v>Er schlägt auf die Pinata, die sich immer wieder auf und ab bewegt.</v>
      </c>
    </row>
    <row r="11502">
      <c r="A11502" s="4" t="s">
        <v>14467</v>
      </c>
      <c r="B11502" s="4" t="s">
        <v>14468</v>
      </c>
      <c r="C11502" s="5" t="str">
        <f>IFERROR(__xludf.DUMMYFUNCTION("GOOGLETRANSLATE(B11502,""en"",""de"")"),"Ein Mann arbeitet in einem Geschäft.")</f>
        <v>Ein Mann arbeitet in einem Geschäft.</v>
      </c>
    </row>
    <row r="11503">
      <c r="A11503" s="4" t="s">
        <v>14467</v>
      </c>
      <c r="B11503" s="4" t="s">
        <v>14469</v>
      </c>
      <c r="C11503" s="5" t="str">
        <f>IFERROR(__xludf.DUMMYFUNCTION("GOOGLETRANSLATE(B11503,""en"",""de"")"),"Er rollt einen Reifen zu einem Gerät.")</f>
        <v>Er rollt einen Reifen zu einem Gerät.</v>
      </c>
    </row>
    <row r="11504">
      <c r="A11504" s="4" t="s">
        <v>14467</v>
      </c>
      <c r="B11504" s="4" t="s">
        <v>14470</v>
      </c>
      <c r="C11504" s="5" t="str">
        <f>IFERROR(__xludf.DUMMYFUNCTION("GOOGLETRANSLATE(B11504,""en"",""de"")"),"Er zeigt, wie man den Reifen auf die Ausrüstung montiert.")</f>
        <v>Er zeigt, wie man den Reifen auf die Ausrüstung montiert.</v>
      </c>
    </row>
    <row r="11505">
      <c r="A11505" s="4" t="s">
        <v>14471</v>
      </c>
      <c r="B11505" s="4" t="s">
        <v>14472</v>
      </c>
      <c r="C11505" s="5" t="str">
        <f>IFERROR(__xludf.DUMMYFUNCTION("GOOGLETRANSLATE(B11505,""en"",""de"")"),"Eine Frau spricht in einem Büro.")</f>
        <v>Eine Frau spricht in einem Büro.</v>
      </c>
    </row>
    <row r="11506">
      <c r="A11506" s="4" t="s">
        <v>14471</v>
      </c>
      <c r="B11506" s="4" t="s">
        <v>14473</v>
      </c>
      <c r="C11506" s="5" t="str">
        <f>IFERROR(__xludf.DUMMYFUNCTION("GOOGLETRANSLATE(B11506,""en"",""de"")"),"Sie wird gezeigt, dass eine ältere Frau eine Gesichtsbehandlung gibt.")</f>
        <v>Sie wird gezeigt, dass eine ältere Frau eine Gesichtsbehandlung gibt.</v>
      </c>
    </row>
    <row r="11507">
      <c r="A11507" s="4" t="s">
        <v>14471</v>
      </c>
      <c r="B11507" s="4" t="s">
        <v>14474</v>
      </c>
      <c r="C11507" s="5" t="str">
        <f>IFERROR(__xludf.DUMMYFUNCTION("GOOGLETRANSLATE(B11507,""en"",""de"")"),"Sie wischt sich mit Substanzen und Lotionen mit dem Gesicht nach unten.")</f>
        <v>Sie wischt sich mit Substanzen und Lotionen mit dem Gesicht nach unten.</v>
      </c>
    </row>
    <row r="11508">
      <c r="A11508" s="4" t="s">
        <v>14475</v>
      </c>
      <c r="B11508" s="4" t="s">
        <v>14476</v>
      </c>
      <c r="C11508" s="5" t="str">
        <f>IFERROR(__xludf.DUMMYFUNCTION("GOOGLETRANSLATE(B11508,""en"",""de"")"),"Eine Frau in einem schwarzen Kleid spielt auf der Bühne eine Taschenpfeife.")</f>
        <v>Eine Frau in einem schwarzen Kleid spielt auf der Bühne eine Taschenpfeife.</v>
      </c>
    </row>
    <row r="11509">
      <c r="A11509" s="4" t="s">
        <v>14475</v>
      </c>
      <c r="B11509" s="4" t="s">
        <v>14477</v>
      </c>
      <c r="C11509" s="5" t="str">
        <f>IFERROR(__xludf.DUMMYFUNCTION("GOOGLETRANSLATE(B11509,""en"",""de"")"),"Das Wort ""Ilbo"" befindet sich in einer roten Schrift und scrollt auf der linken Seite des Bildschirms nach unten.")</f>
        <v>Das Wort "Ilbo" befindet sich in einer roten Schrift und scrollt auf der linken Seite des Bildschirms nach unten.</v>
      </c>
    </row>
    <row r="11510">
      <c r="A11510" s="4" t="s">
        <v>14475</v>
      </c>
      <c r="B11510" s="4" t="s">
        <v>14478</v>
      </c>
      <c r="C11510" s="5" t="str">
        <f>IFERROR(__xludf.DUMMYFUNCTION("GOOGLETRANSLATE(B11510,""en"",""de"")"),"Die Kamera zoomt in die Finger der Frau.")</f>
        <v>Die Kamera zoomt in die Finger der Frau.</v>
      </c>
    </row>
    <row r="11511">
      <c r="A11511" s="4" t="s">
        <v>14475</v>
      </c>
      <c r="B11511" s="4" t="s">
        <v>14479</v>
      </c>
      <c r="C11511" s="5" t="str">
        <f>IFERROR(__xludf.DUMMYFUNCTION("GOOGLETRANSLATE(B11511,""en"",""de"")"),"Die Kamera wechselt an jemanden, der ein Klavier spielt.")</f>
        <v>Die Kamera wechselt an jemanden, der ein Klavier spielt.</v>
      </c>
    </row>
    <row r="11512">
      <c r="A11512" s="4" t="s">
        <v>14475</v>
      </c>
      <c r="B11512" s="4" t="s">
        <v>14480</v>
      </c>
      <c r="C11512" s="5" t="str">
        <f>IFERROR(__xludf.DUMMYFUNCTION("GOOGLETRANSLATE(B11512,""en"",""de"")"),"Eine Band spielt auch Musikinstrumente im Hintergrund.")</f>
        <v>Eine Band spielt auch Musikinstrumente im Hintergrund.</v>
      </c>
    </row>
    <row r="11513">
      <c r="A11513" s="4" t="s">
        <v>14475</v>
      </c>
      <c r="B11513" s="4" t="s">
        <v>14481</v>
      </c>
      <c r="C11513" s="5" t="str">
        <f>IFERROR(__xludf.DUMMYFUNCTION("GOOGLETRANSLATE(B11513,""en"",""de"")"),"Die Kamera zoomt in das Gesicht der Frau, die die Taschenrohr spielt.")</f>
        <v>Die Kamera zoomt in das Gesicht der Frau, die die Taschenrohr spielt.</v>
      </c>
    </row>
    <row r="11514">
      <c r="A11514" s="4" t="s">
        <v>14475</v>
      </c>
      <c r="B11514" s="4" t="s">
        <v>14482</v>
      </c>
      <c r="C11514" s="5" t="str">
        <f>IFERROR(__xludf.DUMMYFUNCTION("GOOGLETRANSLATE(B11514,""en"",""de"")"),"Die Frau beendet das Spielen und das Publikum Applaus.")</f>
        <v>Die Frau beendet das Spielen und das Publikum Applaus.</v>
      </c>
    </row>
    <row r="11515">
      <c r="A11515" s="4" t="s">
        <v>14483</v>
      </c>
      <c r="B11515" s="4" t="s">
        <v>14484</v>
      </c>
      <c r="C11515" s="5" t="str">
        <f>IFERROR(__xludf.DUMMYFUNCTION("GOOGLETRANSLATE(B11515,""en"",""de"")"),"Ein Junge sitzt in seinem Zimmer hinter einem großen Schlagzeug.")</f>
        <v>Ein Junge sitzt in seinem Zimmer hinter einem großen Schlagzeug.</v>
      </c>
    </row>
    <row r="11516">
      <c r="A11516" s="4" t="s">
        <v>14483</v>
      </c>
      <c r="B11516" s="4" t="s">
        <v>14485</v>
      </c>
      <c r="C11516" s="5" t="str">
        <f>IFERROR(__xludf.DUMMYFUNCTION("GOOGLETRANSLATE(B11516,""en"",""de"")"),"Er spielt sanft Schlagzeug und Becken.")</f>
        <v>Er spielt sanft Schlagzeug und Becken.</v>
      </c>
    </row>
    <row r="11517">
      <c r="A11517" s="4" t="s">
        <v>14483</v>
      </c>
      <c r="B11517" s="4" t="s">
        <v>14486</v>
      </c>
      <c r="C11517" s="5" t="str">
        <f>IFERROR(__xludf.DUMMYFUNCTION("GOOGLETRANSLATE(B11517,""en"",""de"")"),"Er beschleunigt sein Tempo und seine Stärke, als er Vertrauen aufbaut.")</f>
        <v>Er beschleunigt sein Tempo und seine Stärke, als er Vertrauen aufbaut.</v>
      </c>
    </row>
    <row r="11518">
      <c r="A11518" s="4" t="s">
        <v>14487</v>
      </c>
      <c r="B11518" s="4" t="s">
        <v>14488</v>
      </c>
      <c r="C11518" s="5" t="str">
        <f>IFERROR(__xludf.DUMMYFUNCTION("GOOGLETRANSLATE(B11518,""en"",""de"")"),"Ein Mann steht an einem Strand, der mit einem Drachen fliegt.")</f>
        <v>Ein Mann steht an einem Strand, der mit einem Drachen fliegt.</v>
      </c>
    </row>
    <row r="11519">
      <c r="A11519" s="4" t="s">
        <v>14487</v>
      </c>
      <c r="B11519" s="4" t="s">
        <v>14489</v>
      </c>
      <c r="C11519" s="5" t="str">
        <f>IFERROR(__xludf.DUMMYFUNCTION("GOOGLETRANSLATE(B11519,""en"",""de"")"),"Der Typ schaut ständig von der Position des Kite weg.")</f>
        <v>Der Typ schaut ständig von der Position des Kite weg.</v>
      </c>
    </row>
    <row r="11520">
      <c r="A11520" s="4" t="s">
        <v>14487</v>
      </c>
      <c r="B11520" s="4" t="s">
        <v>14490</v>
      </c>
      <c r="C11520" s="5" t="str">
        <f>IFERROR(__xludf.DUMMYFUNCTION("GOOGLETRANSLATE(B11520,""en"",""de"")"),"Ein Mann nähert sich dem Kerl.")</f>
        <v>Ein Mann nähert sich dem Kerl.</v>
      </c>
    </row>
    <row r="11521">
      <c r="A11521" s="4" t="s">
        <v>14491</v>
      </c>
      <c r="B11521" s="4" t="s">
        <v>14492</v>
      </c>
      <c r="C11521" s="5" t="str">
        <f>IFERROR(__xludf.DUMMYFUNCTION("GOOGLETRANSLATE(B11521,""en"",""de"")"),"Ein Mann trägt Schutzausrüstung.")</f>
        <v>Ein Mann trägt Schutzausrüstung.</v>
      </c>
    </row>
    <row r="11522">
      <c r="A11522" s="4" t="s">
        <v>14491</v>
      </c>
      <c r="B11522" s="4" t="s">
        <v>14493</v>
      </c>
      <c r="C11522" s="5" t="str">
        <f>IFERROR(__xludf.DUMMYFUNCTION("GOOGLETRANSLATE(B11522,""en"",""de"")"),"Er benutzt einen Schweißer und schafft ein helles Licht, während er an Metall arbeitet.")</f>
        <v>Er benutzt einen Schweißer und schafft ein helles Licht, während er an Metall arbeitet.</v>
      </c>
    </row>
    <row r="11523">
      <c r="A11523" s="4" t="s">
        <v>14491</v>
      </c>
      <c r="B11523" s="4" t="s">
        <v>14494</v>
      </c>
      <c r="C11523" s="5" t="str">
        <f>IFERROR(__xludf.DUMMYFUNCTION("GOOGLETRANSLATE(B11523,""en"",""de"")"),"Wenn er fertig ist, hält er an und schaut in die Kamera und zeigt das fertige Schweißen.")</f>
        <v>Wenn er fertig ist, hält er an und schaut in die Kamera und zeigt das fertige Schweißen.</v>
      </c>
    </row>
    <row r="11524">
      <c r="A11524" s="4" t="s">
        <v>14495</v>
      </c>
      <c r="B11524" s="4" t="s">
        <v>14496</v>
      </c>
      <c r="C11524" s="5" t="str">
        <f>IFERROR(__xludf.DUMMYFUNCTION("GOOGLETRANSLATE(B11524,""en"",""de"")"),"Es wird ein großes Outdoor -Sportfeld gezeigt.")</f>
        <v>Es wird ein großes Outdoor -Sportfeld gezeigt.</v>
      </c>
    </row>
    <row r="11525">
      <c r="A11525" s="4" t="s">
        <v>14495</v>
      </c>
      <c r="B11525" s="4" t="s">
        <v>14497</v>
      </c>
      <c r="C11525" s="5" t="str">
        <f>IFERROR(__xludf.DUMMYFUNCTION("GOOGLETRANSLATE(B11525,""en"",""de"")"),"Ein Mann rennt und macht ein erfolgreiches Stabhochsprung.")</f>
        <v>Ein Mann rennt und macht ein erfolgreiches Stabhochsprung.</v>
      </c>
    </row>
    <row r="11526">
      <c r="A11526" s="4" t="s">
        <v>14495</v>
      </c>
      <c r="B11526" s="4" t="s">
        <v>14498</v>
      </c>
      <c r="C11526" s="5" t="str">
        <f>IFERROR(__xludf.DUMMYFUNCTION("GOOGLETRANSLATE(B11526,""en"",""de"")"),"Er steht vom Pad auf und nimmt die Stange auf.")</f>
        <v>Er steht vom Pad auf und nimmt die Stange auf.</v>
      </c>
    </row>
    <row r="11527">
      <c r="A11527" s="4" t="s">
        <v>14499</v>
      </c>
      <c r="B11527" s="4" t="s">
        <v>14500</v>
      </c>
      <c r="C11527" s="5" t="str">
        <f>IFERROR(__xludf.DUMMYFUNCTION("GOOGLETRANSLATE(B11527,""en"",""de"")"),"Eine Kamera schwenkt um einen Park sowie einen See und ein Mann, der mit der Kamera spricht.")</f>
        <v>Eine Kamera schwenkt um einen Park sowie einen See und ein Mann, der mit der Kamera spricht.</v>
      </c>
    </row>
    <row r="11528">
      <c r="A11528" s="4" t="s">
        <v>14499</v>
      </c>
      <c r="B11528" s="4" t="s">
        <v>14501</v>
      </c>
      <c r="C11528" s="5" t="str">
        <f>IFERROR(__xludf.DUMMYFUNCTION("GOOGLETRANSLATE(B11528,""en"",""de"")"),"Die Kamera schwenkt um ein mit Objekten gefüllter Kanu und führt in den Mann, der niederschlägt und mit der Kamera spricht.")</f>
        <v>Die Kamera schwenkt um ein mit Objekten gefüllter Kanu und führt in den Mann, der niederschlägt und mit der Kamera spricht.</v>
      </c>
    </row>
    <row r="11529">
      <c r="A11529" s="4" t="s">
        <v>14499</v>
      </c>
      <c r="B11529" s="4" t="s">
        <v>14502</v>
      </c>
      <c r="C11529" s="5" t="str">
        <f>IFERROR(__xludf.DUMMYFUNCTION("GOOGLETRANSLATE(B11529,""en"",""de"")"),"Weitere Aufnahmen von Tieren in der Nähe sowie von Mann und Frau, die mit der Kamera sprechen.")</f>
        <v>Weitere Aufnahmen von Tieren in der Nähe sowie von Mann und Frau, die mit der Kamera sprechen.</v>
      </c>
    </row>
    <row r="11530">
      <c r="A11530" s="4" t="s">
        <v>14503</v>
      </c>
      <c r="B11530" s="4" t="s">
        <v>14504</v>
      </c>
      <c r="C11530" s="5" t="str">
        <f>IFERROR(__xludf.DUMMYFUNCTION("GOOGLETRANSLATE(B11530,""en"",""de"")"),"Die Leute spielen Volleyball an einem Strand.")</f>
        <v>Die Leute spielen Volleyball an einem Strand.</v>
      </c>
    </row>
    <row r="11531">
      <c r="A11531" s="4" t="s">
        <v>14503</v>
      </c>
      <c r="B11531" s="4" t="s">
        <v>14505</v>
      </c>
      <c r="C11531" s="5" t="str">
        <f>IFERROR(__xludf.DUMMYFUNCTION("GOOGLETRANSLATE(B11531,""en"",""de"")"),"Ein Mädchen fällt auf den Sand.")</f>
        <v>Ein Mädchen fällt auf den Sand.</v>
      </c>
    </row>
    <row r="11532">
      <c r="A11532" s="4" t="s">
        <v>14503</v>
      </c>
      <c r="B11532" s="4" t="s">
        <v>14506</v>
      </c>
      <c r="C11532" s="5" t="str">
        <f>IFERROR(__xludf.DUMMYFUNCTION("GOOGLETRANSLATE(B11532,""en"",""de"")"),"Ein Mädchen hebt ihre Hände in der Luft.")</f>
        <v>Ein Mädchen hebt ihre Hände in der Luft.</v>
      </c>
    </row>
    <row r="11533">
      <c r="A11533" s="4" t="s">
        <v>14507</v>
      </c>
      <c r="B11533" s="4" t="s">
        <v>14508</v>
      </c>
      <c r="C11533" s="5" t="str">
        <f>IFERROR(__xludf.DUMMYFUNCTION("GOOGLETRANSLATE(B11533,""en"",""de"")"),"Ein weißer Bildschirm wird mit schwarzem Text angezeigt, der zweimal auf dem Bildschirm erhältlich ist, und scrollt dann vom Bildschirm aus, während er verblasst.")</f>
        <v>Ein weißer Bildschirm wird mit schwarzem Text angezeigt, der zweimal auf dem Bildschirm erhältlich ist, und scrollt dann vom Bildschirm aus, während er verblasst.</v>
      </c>
    </row>
    <row r="11534">
      <c r="A11534" s="4" t="s">
        <v>14507</v>
      </c>
      <c r="B11534" s="4" t="s">
        <v>14509</v>
      </c>
      <c r="C11534" s="5" t="str">
        <f>IFERROR(__xludf.DUMMYFUNCTION("GOOGLETRANSLATE(B11534,""en"",""de"")"),"Drei Kinder im Lebenswesten und zwei beaufsichtigende Erwachsene warten auf ein Floß, das auf Rafting geht.")</f>
        <v>Drei Kinder im Lebenswesten und zwei beaufsichtigende Erwachsene warten auf ein Floß, das auf Rafting geht.</v>
      </c>
    </row>
    <row r="11535">
      <c r="A11535" s="4" t="s">
        <v>14507</v>
      </c>
      <c r="B11535" s="4" t="s">
        <v>14510</v>
      </c>
      <c r="C11535" s="5" t="str">
        <f>IFERROR(__xludf.DUMMYFUNCTION("GOOGLETRANSLATE(B11535,""en"",""de"")"),"Die Gruppe rafting einen Fluss mit all den Beulen und dem Wasserspritzen.")</f>
        <v>Die Gruppe rafting einen Fluss mit all den Beulen und dem Wasserspritzen.</v>
      </c>
    </row>
    <row r="11536">
      <c r="A11536" s="4" t="s">
        <v>14507</v>
      </c>
      <c r="B11536" s="4" t="s">
        <v>14511</v>
      </c>
      <c r="C11536" s="5" t="str">
        <f>IFERROR(__xludf.DUMMYFUNCTION("GOOGLETRANSLATE(B11536,""en"",""de"")"),"Es gibt einen gelben Text, der auf dem Bildschirm angezeigt wird, an dem sie sich befinden.")</f>
        <v>Es gibt einen gelben Text, der auf dem Bildschirm angezeigt wird, an dem sie sich befinden.</v>
      </c>
    </row>
    <row r="11537">
      <c r="A11537" s="4" t="s">
        <v>14507</v>
      </c>
      <c r="B11537" s="4" t="s">
        <v>14512</v>
      </c>
      <c r="C11537" s="5" t="str">
        <f>IFERROR(__xludf.DUMMYFUNCTION("GOOGLETRANSLATE(B11537,""en"",""de"")"),"Die Kinder sind am Ziel am Ziel, als ein junges Mädchen der Kamera nahe kommt und sich winkt.")</f>
        <v>Die Kinder sind am Ziel am Ziel, als ein junges Mädchen der Kamera nahe kommt und sich winkt.</v>
      </c>
    </row>
    <row r="11538">
      <c r="A11538" s="4" t="s">
        <v>14507</v>
      </c>
      <c r="B11538" s="4" t="s">
        <v>14513</v>
      </c>
      <c r="C11538" s="5" t="str">
        <f>IFERROR(__xludf.DUMMYFUNCTION("GOOGLETRANSLATE(B11538,""en"",""de"")"),"Ein weißer Bildschirm wird angezeigt und zwei Wörter sehen sich oben in der Sceeen und eines in Blau auf dem Bildschirm gelb.")</f>
        <v>Ein weißer Bildschirm wird angezeigt und zwei Wörter sehen sich oben in der Sceeen und eines in Blau auf dem Bildschirm gelb.</v>
      </c>
    </row>
    <row r="11539">
      <c r="A11539" s="4" t="s">
        <v>14514</v>
      </c>
      <c r="B11539" s="4" t="s">
        <v>14515</v>
      </c>
      <c r="C11539" s="5" t="str">
        <f>IFERROR(__xludf.DUMMYFUNCTION("GOOGLETRANSLATE(B11539,""en"",""de"")"),"Eine Frau ist auf der Bühne mit einem kleinen Mädchen, während er ein Mikrofon hält.")</f>
        <v>Eine Frau ist auf der Bühne mit einem kleinen Mädchen, während er ein Mikrofon hält.</v>
      </c>
    </row>
    <row r="11540">
      <c r="A11540" s="4" t="s">
        <v>14514</v>
      </c>
      <c r="B11540" s="4" t="s">
        <v>14516</v>
      </c>
      <c r="C11540" s="5" t="str">
        <f>IFERROR(__xludf.DUMMYFUNCTION("GOOGLETRANSLATE(B11540,""en"",""de"")"),"Das Mädchen spricht in das Mikrofon und führt dann ein Ballettstück aus.")</f>
        <v>Das Mädchen spricht in das Mikrofon und führt dann ein Ballettstück aus.</v>
      </c>
    </row>
    <row r="11541">
      <c r="A11541" s="4" t="s">
        <v>14514</v>
      </c>
      <c r="B11541" s="4" t="s">
        <v>14517</v>
      </c>
      <c r="C11541" s="5" t="str">
        <f>IFERROR(__xludf.DUMMYFUNCTION("GOOGLETRANSLATE(B11541,""en"",""de"")"),"Sie tanzt auf der Bühne für das Publikum.")</f>
        <v>Sie tanzt auf der Bühne für das Publikum.</v>
      </c>
    </row>
    <row r="11542">
      <c r="A11542" s="4" t="s">
        <v>14514</v>
      </c>
      <c r="B11542" s="4" t="s">
        <v>14518</v>
      </c>
      <c r="C11542" s="5" t="str">
        <f>IFERROR(__xludf.DUMMYFUNCTION("GOOGLETRANSLATE(B11542,""en"",""de"")"),"Sie fällt auf ein Knie, als sie ihre Leistung vervollständigt.")</f>
        <v>Sie fällt auf ein Knie, als sie ihre Leistung vervollständigt.</v>
      </c>
    </row>
    <row r="11543">
      <c r="A11543" s="4" t="s">
        <v>14519</v>
      </c>
      <c r="B11543" s="4" t="s">
        <v>14520</v>
      </c>
      <c r="C11543" s="5" t="str">
        <f>IFERROR(__xludf.DUMMYFUNCTION("GOOGLETRANSLATE(B11543,""en"",""de"")"),"Eine Person rührt eine große Schüssel Limonade.")</f>
        <v>Eine Person rührt eine große Schüssel Limonade.</v>
      </c>
    </row>
    <row r="11544">
      <c r="A11544" s="4" t="s">
        <v>14519</v>
      </c>
      <c r="B11544" s="4" t="s">
        <v>14521</v>
      </c>
      <c r="C11544" s="5" t="str">
        <f>IFERROR(__xludf.DUMMYFUNCTION("GOOGLETRANSLATE(B11544,""en"",""de"")"),"Eine Frau hackt eine Kartoffel.")</f>
        <v>Eine Frau hackt eine Kartoffel.</v>
      </c>
    </row>
    <row r="11545">
      <c r="A11545" s="4" t="s">
        <v>14519</v>
      </c>
      <c r="B11545" s="4" t="s">
        <v>14522</v>
      </c>
      <c r="C11545" s="5" t="str">
        <f>IFERROR(__xludf.DUMMYFUNCTION("GOOGLETRANSLATE(B11545,""en"",""de"")"),"Sie fügt die Kartoffel in einen großen Topf Wasser hinzu.")</f>
        <v>Sie fügt die Kartoffel in einen großen Topf Wasser hinzu.</v>
      </c>
    </row>
    <row r="11546">
      <c r="A11546" s="4" t="s">
        <v>14519</v>
      </c>
      <c r="B11546" s="4" t="s">
        <v>14523</v>
      </c>
      <c r="C11546" s="5" t="str">
        <f>IFERROR(__xludf.DUMMYFUNCTION("GOOGLETRANSLATE(B11546,""en"",""de"")"),"Sie fügt Zitronen und Salat und Gurken in die Schüssel hinzu.")</f>
        <v>Sie fügt Zitronen und Salat und Gurken in die Schüssel hinzu.</v>
      </c>
    </row>
    <row r="11547">
      <c r="A11547" s="4" t="s">
        <v>14519</v>
      </c>
      <c r="B11547" s="4" t="s">
        <v>14524</v>
      </c>
      <c r="C11547" s="5" t="str">
        <f>IFERROR(__xludf.DUMMYFUNCTION("GOOGLETRANSLATE(B11547,""en"",""de"")"),"Sie mischt alles in einer Schüssel.")</f>
        <v>Sie mischt alles in einer Schüssel.</v>
      </c>
    </row>
    <row r="11548">
      <c r="A11548" s="4" t="s">
        <v>14525</v>
      </c>
      <c r="B11548" s="4" t="s">
        <v>14526</v>
      </c>
      <c r="C11548" s="5" t="str">
        <f>IFERROR(__xludf.DUMMYFUNCTION("GOOGLETRANSLATE(B11548,""en"",""de"")"),"Wir sehen einen Mann, der einen anderen Mann beim Schießen von Pfeil anweisen.")</f>
        <v>Wir sehen einen Mann, der einen anderen Mann beim Schießen von Pfeil anweisen.</v>
      </c>
    </row>
    <row r="11549">
      <c r="A11549" s="4" t="s">
        <v>14525</v>
      </c>
      <c r="B11549" s="4" t="s">
        <v>14527</v>
      </c>
      <c r="C11549" s="5" t="str">
        <f>IFERROR(__xludf.DUMMYFUNCTION("GOOGLETRANSLATE(B11549,""en"",""de"")"),"Der erste Pfeil fehlt.")</f>
        <v>Der erste Pfeil fehlt.</v>
      </c>
    </row>
    <row r="11550">
      <c r="A11550" s="4" t="s">
        <v>14525</v>
      </c>
      <c r="B11550" s="4" t="s">
        <v>14528</v>
      </c>
      <c r="C11550" s="5" t="str">
        <f>IFERROR(__xludf.DUMMYFUNCTION("GOOGLETRANSLATE(B11550,""en"",""de"")"),"Der Mann lädt einen weiteren Pfeil.")</f>
        <v>Der Mann lädt einen weiteren Pfeil.</v>
      </c>
    </row>
    <row r="11551">
      <c r="A11551" s="4" t="s">
        <v>14525</v>
      </c>
      <c r="B11551" s="4" t="s">
        <v>14529</v>
      </c>
      <c r="C11551" s="5" t="str">
        <f>IFERROR(__xludf.DUMMYFUNCTION("GOOGLETRANSLATE(B11551,""en"",""de"")"),"Wir sehen die Ziele vor einem Hintergrund.")</f>
        <v>Wir sehen die Ziele vor einem Hintergrund.</v>
      </c>
    </row>
    <row r="11552">
      <c r="A11552" s="4" t="s">
        <v>14525</v>
      </c>
      <c r="B11552" s="4" t="s">
        <v>14530</v>
      </c>
      <c r="C11552" s="5" t="str">
        <f>IFERROR(__xludf.DUMMYFUNCTION("GOOGLETRANSLATE(B11552,""en"",""de"")"),"Der Mann schlägt den Hintergrund und er bricht zusammen.")</f>
        <v>Der Mann schlägt den Hintergrund und er bricht zusammen.</v>
      </c>
    </row>
    <row r="11553">
      <c r="A11553" s="4" t="s">
        <v>14525</v>
      </c>
      <c r="B11553" s="4" t="s">
        <v>14531</v>
      </c>
      <c r="C11553" s="5" t="str">
        <f>IFERROR(__xludf.DUMMYFUNCTION("GOOGLETRANSLATE(B11553,""en"",""de"")"),"Die Leute stehen alle zum Lachen.")</f>
        <v>Die Leute stehen alle zum Lachen.</v>
      </c>
    </row>
    <row r="11554">
      <c r="A11554" s="4" t="s">
        <v>14525</v>
      </c>
      <c r="B11554" s="4" t="s">
        <v>14532</v>
      </c>
      <c r="C11554" s="5" t="str">
        <f>IFERROR(__xludf.DUMMYFUNCTION("GOOGLETRANSLATE(B11554,""en"",""de"")"),"Der Ausbilder geht zu den Zielen.")</f>
        <v>Der Ausbilder geht zu den Zielen.</v>
      </c>
    </row>
    <row r="11555">
      <c r="A11555" s="4" t="s">
        <v>14533</v>
      </c>
      <c r="B11555" s="4" t="s">
        <v>14534</v>
      </c>
      <c r="C11555" s="5" t="str">
        <f>IFERROR(__xludf.DUMMYFUNCTION("GOOGLETRANSLATE(B11555,""en"",""de"")"),"Es wird eine Rauchwolke gezeigt, die über ein Paar Skier führt.")</f>
        <v>Es wird eine Rauchwolke gezeigt, die über ein Paar Skier führt.</v>
      </c>
    </row>
    <row r="11556">
      <c r="A11556" s="4" t="s">
        <v>14533</v>
      </c>
      <c r="B11556" s="4" t="s">
        <v>14535</v>
      </c>
      <c r="C11556" s="5" t="str">
        <f>IFERROR(__xludf.DUMMYFUNCTION("GOOGLETRANSLATE(B11556,""en"",""de"")"),"Ein Mann schnitzt Designs und verbrennt sie in das Holz.")</f>
        <v>Ein Mann schnitzt Designs und verbrennt sie in das Holz.</v>
      </c>
    </row>
    <row r="11557">
      <c r="A11557" s="4" t="s">
        <v>14533</v>
      </c>
      <c r="B11557" s="4" t="s">
        <v>14536</v>
      </c>
      <c r="C11557" s="5" t="str">
        <f>IFERROR(__xludf.DUMMYFUNCTION("GOOGLETRANSLATE(B11557,""en"",""de"")"),"Dann retelt er ein Eisen über die Bretter und setzt das Bild.")</f>
        <v>Dann retelt er ein Eisen über die Bretter und setzt das Bild.</v>
      </c>
    </row>
    <row r="11558">
      <c r="A11558" s="4" t="s">
        <v>14537</v>
      </c>
      <c r="B11558" s="4" t="s">
        <v>14538</v>
      </c>
      <c r="C11558" s="5" t="str">
        <f>IFERROR(__xludf.DUMMYFUNCTION("GOOGLETRANSLATE(B11558,""en"",""de"")"),"Ein Mann spricht in einen Mikrofon, der in eine Nahaufnahme eines Bier -Pong -Tisches sowie in Menschen spielt.")</f>
        <v>Ein Mann spricht in einen Mikrofon, der in eine Nahaufnahme eines Bier -Pong -Tisches sowie in Menschen spielt.</v>
      </c>
    </row>
    <row r="11559">
      <c r="A11559" s="4" t="s">
        <v>14537</v>
      </c>
      <c r="B11559" s="4" t="s">
        <v>14539</v>
      </c>
      <c r="C11559" s="5" t="str">
        <f>IFERROR(__xludf.DUMMYFUNCTION("GOOGLETRANSLATE(B11559,""en"",""de"")"),"Bieraufnahmen werden gegossen, Leute spielen Rock, Papier, Schere, Handel und Computerbildschirme für Musik.")</f>
        <v>Bieraufnahmen werden gegossen, Leute spielen Rock, Papier, Schere, Handel und Computerbildschirme für Musik.</v>
      </c>
    </row>
    <row r="11560">
      <c r="A11560" s="4" t="s">
        <v>14537</v>
      </c>
      <c r="B11560" s="4" t="s">
        <v>14540</v>
      </c>
      <c r="C11560" s="5" t="str">
        <f>IFERROR(__xludf.DUMMYFUNCTION("GOOGLETRANSLATE(B11560,""en"",""de"")"),"Es werden mehr Leute gezeigt, die Bierpong spielen, während sie vor der Kamera interviewt werden und durch einen Raum gehen.")</f>
        <v>Es werden mehr Leute gezeigt, die Bierpong spielen, während sie vor der Kamera interviewt werden und durch einen Raum gehen.</v>
      </c>
    </row>
    <row r="11561">
      <c r="A11561" s="4" t="s">
        <v>14537</v>
      </c>
      <c r="B11561" s="4" t="s">
        <v>14541</v>
      </c>
      <c r="C11561" s="5" t="str">
        <f>IFERROR(__xludf.DUMMYFUNCTION("GOOGLETRANSLATE(B11561,""en"",""de"")"),"Es werden einige weitere Schüsse gezeigt, wie Menschen tanzen, Pong spielen, kämpfen und miteinander sprechen.")</f>
        <v>Es werden einige weitere Schüsse gezeigt, wie Menschen tanzen, Pong spielen, kämpfen und miteinander sprechen.</v>
      </c>
    </row>
    <row r="11562">
      <c r="A11562" s="4" t="s">
        <v>14542</v>
      </c>
      <c r="B11562" s="4" t="s">
        <v>14543</v>
      </c>
      <c r="C11562" s="5" t="str">
        <f>IFERROR(__xludf.DUMMYFUNCTION("GOOGLETRANSLATE(B11562,""en"",""de"")"),"Zwei Personen sprechen mit der Kamera und führen in mehrere Clips von Leuten, die miteinander Volleyball spielen.")</f>
        <v>Zwei Personen sprechen mit der Kamera und führen in mehrere Clips von Leuten, die miteinander Volleyball spielen.</v>
      </c>
    </row>
    <row r="11563">
      <c r="A11563" s="4" t="s">
        <v>14542</v>
      </c>
      <c r="B11563" s="4" t="s">
        <v>14544</v>
      </c>
      <c r="C11563" s="5" t="str">
        <f>IFERROR(__xludf.DUMMYFUNCTION("GOOGLETRANSLATE(B11563,""en"",""de"")"),"Die Leute spielen weiterhin den Sport, während andere mit der Kamera sprechen und an den Seiten und hohen fünf gegenseitig zuschauen.")</f>
        <v>Die Leute spielen weiterhin den Sport, während andere mit der Kamera sprechen und an den Seiten und hohen fünf gegenseitig zuschauen.</v>
      </c>
    </row>
    <row r="11564">
      <c r="A11564" s="4" t="s">
        <v>14545</v>
      </c>
      <c r="B11564" s="4" t="s">
        <v>14546</v>
      </c>
      <c r="C11564" s="5" t="str">
        <f>IFERROR(__xludf.DUMMYFUNCTION("GOOGLETRANSLATE(B11564,""en"",""de"")"),"Ein Mann geht ein nacktes Feld entlang, während eine Frau neben ihm herumläuft.")</f>
        <v>Ein Mann geht ein nacktes Feld entlang, während eine Frau neben ihm herumläuft.</v>
      </c>
    </row>
    <row r="11565">
      <c r="A11565" s="4" t="s">
        <v>14545</v>
      </c>
      <c r="B11565" s="4" t="s">
        <v>14547</v>
      </c>
      <c r="C11565" s="5" t="str">
        <f>IFERROR(__xludf.DUMMYFUNCTION("GOOGLETRANSLATE(B11565,""en"",""de"")"),"Er geht zurück und vorbereitet sich auf das Springen und springt schließlich über eine Stange.")</f>
        <v>Er geht zurück und vorbereitet sich auf das Springen und springt schließlich über eine Stange.</v>
      </c>
    </row>
    <row r="11566">
      <c r="A11566" s="4" t="s">
        <v>14545</v>
      </c>
      <c r="B11566" s="4" t="s">
        <v>14548</v>
      </c>
      <c r="C11566" s="5" t="str">
        <f>IFERROR(__xludf.DUMMYFUNCTION("GOOGLETRANSLATE(B11566,""en"",""de"")"),"Ein Mädchen klatscht für ihn und die gleiche Bewegung wird in Zeitlupe wieder angezeigt.")</f>
        <v>Ein Mädchen klatscht für ihn und die gleiche Bewegung wird in Zeitlupe wieder angezeigt.</v>
      </c>
    </row>
    <row r="11567">
      <c r="A11567" s="4" t="s">
        <v>14549</v>
      </c>
      <c r="B11567" s="4" t="s">
        <v>14550</v>
      </c>
      <c r="C11567" s="5" t="str">
        <f>IFERROR(__xludf.DUMMYFUNCTION("GOOGLETRANSLATE(B11567,""en"",""de"")"),"Ein Video zeigt, wie man Schnee von einem Auto reinigt.")</f>
        <v>Ein Video zeigt, wie man Schnee von einem Auto reinigt.</v>
      </c>
    </row>
    <row r="11568">
      <c r="A11568" s="4" t="s">
        <v>14549</v>
      </c>
      <c r="B11568" s="4" t="s">
        <v>14551</v>
      </c>
      <c r="C11568" s="5" t="str">
        <f>IFERROR(__xludf.DUMMYFUNCTION("GOOGLETRANSLATE(B11568,""en"",""de"")"),"Eine Person faltet ein blaues Tuch und wickelt es ordentlich um eine Schneebürste.")</f>
        <v>Eine Person faltet ein blaues Tuch und wickelt es ordentlich um eine Schneebürste.</v>
      </c>
    </row>
    <row r="11569">
      <c r="A11569" s="4" t="s">
        <v>14549</v>
      </c>
      <c r="B11569" s="4" t="s">
        <v>14552</v>
      </c>
      <c r="C11569" s="5" t="str">
        <f>IFERROR(__xludf.DUMMYFUNCTION("GOOGLETRANSLATE(B11569,""en"",""de"")"),"Dann benutzt er die Bürste, um den Schnee sanft von einem Fahrzeug abzuwischen.")</f>
        <v>Dann benutzt er die Bürste, um den Schnee sanft von einem Fahrzeug abzuwischen.</v>
      </c>
    </row>
    <row r="11570">
      <c r="A11570" s="4" t="s">
        <v>14549</v>
      </c>
      <c r="B11570" s="4" t="s">
        <v>14553</v>
      </c>
      <c r="C11570" s="5" t="str">
        <f>IFERROR(__xludf.DUMMYFUNCTION("GOOGLETRANSLATE(B11570,""en"",""de"")"),"Das Video endet mit einer Anzeige für einen Autoladen.")</f>
        <v>Das Video endet mit einer Anzeige für einen Autoladen.</v>
      </c>
    </row>
    <row r="11571">
      <c r="A11571" s="4" t="s">
        <v>14554</v>
      </c>
      <c r="B11571" s="4" t="s">
        <v>14555</v>
      </c>
      <c r="C11571" s="5" t="str">
        <f>IFERROR(__xludf.DUMMYFUNCTION("GOOGLETRANSLATE(B11571,""en"",""de"")"),"Eine schwangere Frau bereitet einen Kürbis auf Dekoration und Schnitzen vor.")</f>
        <v>Eine schwangere Frau bereitet einen Kürbis auf Dekoration und Schnitzen vor.</v>
      </c>
    </row>
    <row r="11572">
      <c r="A11572" s="4" t="s">
        <v>14554</v>
      </c>
      <c r="B11572" s="4" t="s">
        <v>14556</v>
      </c>
      <c r="C11572" s="5" t="str">
        <f>IFERROR(__xludf.DUMMYFUNCTION("GOOGLETRANSLATE(B11572,""en"",""de"")"),"Die Dame legt Wachspapier über den Kürbis und steckt Löcher über die Wachspapierzeichnung.")</f>
        <v>Die Dame legt Wachspapier über den Kürbis und steckt Löcher über die Wachspapierzeichnung.</v>
      </c>
    </row>
    <row r="11573">
      <c r="A11573" s="4" t="s">
        <v>14554</v>
      </c>
      <c r="B11573" s="4" t="s">
        <v>14557</v>
      </c>
      <c r="C11573" s="5" t="str">
        <f>IFERROR(__xludf.DUMMYFUNCTION("GOOGLETRANSLATE(B11573,""en"",""de"")"),"Die Dame entfernt das Wachspapier und schneidet die Loch -Tracings des Mundes und die Augen aus, die mit den gestanzten Löchern aus dem Wachspapier verfolgt wurden.")</f>
        <v>Die Dame entfernt das Wachspapier und schneidet die Loch -Tracings des Mundes und die Augen aus, die mit den gestanzten Löchern aus dem Wachspapier verfolgt wurden.</v>
      </c>
    </row>
    <row r="11574">
      <c r="A11574" s="4" t="s">
        <v>14554</v>
      </c>
      <c r="B11574" s="4" t="s">
        <v>14558</v>
      </c>
      <c r="C11574" s="5" t="str">
        <f>IFERROR(__xludf.DUMMYFUNCTION("GOOGLETRANSLATE(B11574,""en"",""de"")"),"Die fertigen geschnitzten Kürbisse werden angezeigt.")</f>
        <v>Die fertigen geschnitzten Kürbisse werden angezeigt.</v>
      </c>
    </row>
    <row r="11575">
      <c r="A11575" s="4" t="s">
        <v>14559</v>
      </c>
      <c r="B11575" s="4" t="s">
        <v>14560</v>
      </c>
      <c r="C11575" s="5" t="str">
        <f>IFERROR(__xludf.DUMMYFUNCTION("GOOGLETRANSLATE(B11575,""en"",""de"")"),"Mehrere Taucher werden im Meer schwimmen, während sich Haie darunter herum bewegen.")</f>
        <v>Mehrere Taucher werden im Meer schwimmen, während sich Haie darunter herum bewegen.</v>
      </c>
    </row>
    <row r="11576">
      <c r="A11576" s="4" t="s">
        <v>14559</v>
      </c>
      <c r="B11576" s="4" t="s">
        <v>14561</v>
      </c>
      <c r="C11576" s="5" t="str">
        <f>IFERROR(__xludf.DUMMYFUNCTION("GOOGLETRANSLATE(B11576,""en"",""de"")"),"Die Kamera folgt kontinuierlich den Haie rund um das Wasser und die Taucher der Taucher interagieren miteinander, während sie sich bewegen.")</f>
        <v>Die Kamera folgt kontinuierlich den Haie rund um das Wasser und die Taucher der Taucher interagieren miteinander, während sie sich bewegen.</v>
      </c>
    </row>
    <row r="11577">
      <c r="A11577" s="4" t="s">
        <v>14562</v>
      </c>
      <c r="B11577" s="4" t="s">
        <v>14563</v>
      </c>
      <c r="C11577" s="5" t="str">
        <f>IFERROR(__xludf.DUMMYFUNCTION("GOOGLETRANSLATE(B11577,""en"",""de"")"),"Ein blauer Bildschirm erscheint und auf der linken Seite gießt eine klare Flasche Flüssigkeit in ein klares Glas Martini, und weiße Worte erscheinen auf der linken Seite des Bildschirms mit ""Mädchen, die Getränke mischen dot com Notre Dame Pick-up mit St"&amp;"acey"".")</f>
        <v>Ein blauer Bildschirm erscheint und auf der linken Seite gießt eine klare Flasche Flüssigkeit in ein klares Glas Martini, und weiße Worte erscheinen auf der linken Seite des Bildschirms mit "Mädchen, die Getränke mischen dot com Notre Dame Pick-up mit Stacey".</v>
      </c>
    </row>
    <row r="11578">
      <c r="A11578" s="4" t="s">
        <v>14562</v>
      </c>
      <c r="B11578" s="4" t="s">
        <v>14564</v>
      </c>
      <c r="C11578" s="5" t="str">
        <f>IFERROR(__xludf.DUMMYFUNCTION("GOOGLETRANSLATE(B11578,""en"",""de"")"),"Eine brünette Frau, die alles Schwarz trägt, steht in einer Bar und spricht ein klares Trinkglas, steckt Eis hinein und berührt alle Zutaten, die sie benutzen wird, während sie über sie spricht.")</f>
        <v>Eine brünette Frau, die alles Schwarz trägt, steht in einer Bar und spricht ein klares Trinkglas, steckt Eis hinein und berührt alle Zutaten, die sie benutzen wird, während sie über sie spricht.</v>
      </c>
    </row>
    <row r="11579">
      <c r="A11579" s="4" t="s">
        <v>14562</v>
      </c>
      <c r="B11579" s="4" t="s">
        <v>14565</v>
      </c>
      <c r="C11579" s="5" t="str">
        <f>IFERROR(__xludf.DUMMYFUNCTION("GOOGLETRANSLATE(B11579,""en"",""de"")"),"Die Frau misst dann jeden Alkohol in ein Schnapsglas, gießt sie in die Tasse, spritzt Flüssigkeit aus einer klaren Flasche in die Tasse, gießt etwas Limonade aus einer Dose in die Tasse, gießt Saft aus einer Schachtel in die Tasse, dann in die Tasse, dann"&amp;" in die Tasse, dann gießt sie dann Saft in die Tasse, dann in die Tasse. Fügt der Tasse einen Strohhalm hinzu und schiebt die Tasse zur Vorderseite der Theke.")</f>
        <v>Die Frau misst dann jeden Alkohol in ein Schnapsglas, gießt sie in die Tasse, spritzt Flüssigkeit aus einer klaren Flasche in die Tasse, gießt etwas Limonade aus einer Dose in die Tasse, gießt Saft aus einer Schachtel in die Tasse, dann in die Tasse, dann in die Tasse, dann gießt sie dann Saft in die Tasse, dann in die Tasse. Fügt der Tasse einen Strohhalm hinzu und schiebt die Tasse zur Vorderseite der Theke.</v>
      </c>
    </row>
    <row r="11580">
      <c r="A11580" s="4" t="s">
        <v>14562</v>
      </c>
      <c r="B11580" s="4" t="s">
        <v>14566</v>
      </c>
      <c r="C11580" s="5" t="str">
        <f>IFERROR(__xludf.DUMMYFUNCTION("GOOGLETRANSLATE(B11580,""en"",""de"")"),"Während der ganzen Zeit taucht die Website am Ende des Bildschirms von Zeit zu Zeit auf, dann erscheint der Outro -Bildschirm mit einem rot -diagonalen Hintergrund von zwei Tönen dicker Streifen und der Website in der Mitte liest www dot girlsmakingdrinks"&amp;" dot com .")</f>
        <v>Während der ganzen Zeit taucht die Website am Ende des Bildschirms von Zeit zu Zeit auf, dann erscheint der Outro -Bildschirm mit einem rot -diagonalen Hintergrund von zwei Tönen dicker Streifen und der Website in der Mitte liest www dot girlsmakingdrinks dot com .</v>
      </c>
    </row>
    <row r="11581">
      <c r="A11581" s="4" t="s">
        <v>14567</v>
      </c>
      <c r="B11581" s="4" t="s">
        <v>14568</v>
      </c>
      <c r="C11581" s="5" t="str">
        <f>IFERROR(__xludf.DUMMYFUNCTION("GOOGLETRANSLATE(B11581,""en"",""de"")"),"Eine Frau steht hinter einer Theke, die ein Messer schärft.")</f>
        <v>Eine Frau steht hinter einer Theke, die ein Messer schärft.</v>
      </c>
    </row>
    <row r="11582">
      <c r="A11582" s="4" t="s">
        <v>14567</v>
      </c>
      <c r="B11582" s="4" t="s">
        <v>14569</v>
      </c>
      <c r="C11582" s="5" t="str">
        <f>IFERROR(__xludf.DUMMYFUNCTION("GOOGLETRANSLATE(B11582,""en"",""de"")"),"Sie gießt Wasser auf den Messerschärfer und schärft das Messer weiter.")</f>
        <v>Sie gießt Wasser auf den Messerschärfer und schärft das Messer weiter.</v>
      </c>
    </row>
    <row r="11583">
      <c r="A11583" s="4" t="s">
        <v>14567</v>
      </c>
      <c r="B11583" s="4" t="s">
        <v>14570</v>
      </c>
      <c r="C11583" s="5" t="str">
        <f>IFERROR(__xludf.DUMMYFUNCTION("GOOGLETRANSLATE(B11583,""en"",""de"")"),"Sie nimmt einen Messerschärfer auf und schärft das Messer.")</f>
        <v>Sie nimmt einen Messerschärfer auf und schärft das Messer.</v>
      </c>
    </row>
    <row r="11584">
      <c r="A11584" s="4" t="s">
        <v>14571</v>
      </c>
      <c r="B11584" s="4" t="s">
        <v>14572</v>
      </c>
      <c r="C11584" s="5" t="str">
        <f>IFERROR(__xludf.DUMMYFUNCTION("GOOGLETRANSLATE(B11584,""en"",""de"")"),"Männer erscheinen auf einem Feld mit Bullen und die Worte ""Bullampight Laos"" erscheinen auf dem Bildschirm.")</f>
        <v>Männer erscheinen auf einem Feld mit Bullen und die Worte "Bullampight Laos" erscheinen auf dem Bildschirm.</v>
      </c>
    </row>
    <row r="11585">
      <c r="A11585" s="4" t="s">
        <v>14571</v>
      </c>
      <c r="B11585" s="4" t="s">
        <v>14573</v>
      </c>
      <c r="C11585" s="5" t="str">
        <f>IFERROR(__xludf.DUMMYFUNCTION("GOOGLETRANSLATE(B11585,""en"",""de"")"),"Die Männer versammeln sich um das Feld, wo sich zwei Bullen befinden.")</f>
        <v>Die Männer versammeln sich um das Feld, wo sich zwei Bullen befinden.</v>
      </c>
    </row>
    <row r="11586">
      <c r="A11586" s="4" t="s">
        <v>14571</v>
      </c>
      <c r="B11586" s="4" t="s">
        <v>14574</v>
      </c>
      <c r="C11586" s="5" t="str">
        <f>IFERROR(__xludf.DUMMYFUNCTION("GOOGLETRANSLATE(B11586,""en"",""de"")"),"Die Bullen werden ermutigt, mit ihren Hörnern zu kämpfen, während die Menschen zuschauen.")</f>
        <v>Die Bullen werden ermutigt, mit ihren Hörnern zu kämpfen, während die Menschen zuschauen.</v>
      </c>
    </row>
    <row r="11587">
      <c r="A11587" s="4" t="s">
        <v>14575</v>
      </c>
      <c r="B11587" s="4" t="s">
        <v>14576</v>
      </c>
      <c r="C11587" s="5" t="str">
        <f>IFERROR(__xludf.DUMMYFUNCTION("GOOGLETRANSLATE(B11587,""en"",""de"")"),"Ein kleines Baby trifft einen Bongo in einem Raum.")</f>
        <v>Ein kleines Baby trifft einen Bongo in einem Raum.</v>
      </c>
    </row>
    <row r="11588">
      <c r="A11588" s="4" t="s">
        <v>14575</v>
      </c>
      <c r="B11588" s="4" t="s">
        <v>14577</v>
      </c>
      <c r="C11588" s="5" t="str">
        <f>IFERROR(__xludf.DUMMYFUNCTION("GOOGLETRANSLATE(B11588,""en"",""de"")"),"Das Baby hält und nimmt etwas von seiner Hand.")</f>
        <v>Das Baby hält und nimmt etwas von seiner Hand.</v>
      </c>
    </row>
    <row r="11589">
      <c r="A11589" s="4" t="s">
        <v>14575</v>
      </c>
      <c r="B11589" s="4" t="s">
        <v>14578</v>
      </c>
      <c r="C11589" s="5" t="str">
        <f>IFERROR(__xludf.DUMMYFUNCTION("GOOGLETRANSLATE(B11589,""en"",""de"")"),"Das Baby kehrt zurück zum Drum.")</f>
        <v>Das Baby kehrt zurück zum Drum.</v>
      </c>
    </row>
    <row r="11590">
      <c r="A11590" s="4" t="s">
        <v>14579</v>
      </c>
      <c r="B11590" s="4" t="s">
        <v>14580</v>
      </c>
      <c r="C11590" s="5" t="str">
        <f>IFERROR(__xludf.DUMMYFUNCTION("GOOGLETRANSLATE(B11590,""en"",""de"")"),"Wir sehen die Außenseite eines Restaurants mit einer schneeartigen Grafik am Boden.")</f>
        <v>Wir sehen die Außenseite eines Restaurants mit einer schneeartigen Grafik am Boden.</v>
      </c>
    </row>
    <row r="11591">
      <c r="A11591" s="4" t="s">
        <v>14579</v>
      </c>
      <c r="B11591" s="4" t="s">
        <v>14581</v>
      </c>
      <c r="C11591" s="5" t="str">
        <f>IFERROR(__xludf.DUMMYFUNCTION("GOOGLETRANSLATE(B11591,""en"",""de"")"),"Wir sehen Männer in der Bar und einen Mann, der in ein Mikrofon spricht.")</f>
        <v>Wir sehen Männer in der Bar und einen Mann, der in ein Mikrofon spricht.</v>
      </c>
    </row>
    <row r="11592">
      <c r="A11592" s="4" t="s">
        <v>14579</v>
      </c>
      <c r="B11592" s="4" t="s">
        <v>14582</v>
      </c>
      <c r="C11592" s="5" t="str">
        <f>IFERROR(__xludf.DUMMYFUNCTION("GOOGLETRANSLATE(B11592,""en"",""de"")"),"Wir sehen dann Damen, die Bierpong gegen ein Team von Männern spielen.")</f>
        <v>Wir sehen dann Damen, die Bierpong gegen ein Team von Männern spielen.</v>
      </c>
    </row>
    <row r="11593">
      <c r="A11593" s="4" t="s">
        <v>14579</v>
      </c>
      <c r="B11593" s="4" t="s">
        <v>14583</v>
      </c>
      <c r="C11593" s="5" t="str">
        <f>IFERROR(__xludf.DUMMYFUNCTION("GOOGLETRANSLATE(B11593,""en"",""de"")"),"Zwei Mannschaften von Männern spielen zusammen Bierpong, während ein Mann hinter ihnen steht und eine Kamera in der Luft hält.")</f>
        <v>Zwei Mannschaften von Männern spielen zusammen Bierpong, während ein Mann hinter ihnen steht und eine Kamera in der Luft hält.</v>
      </c>
    </row>
    <row r="11594">
      <c r="A11594" s="4" t="s">
        <v>14579</v>
      </c>
      <c r="B11594" s="4" t="s">
        <v>14584</v>
      </c>
      <c r="C11594" s="5" t="str">
        <f>IFERROR(__xludf.DUMMYFUNCTION("GOOGLETRANSLATE(B11594,""en"",""de"")"),"Wir wechseln und sehen andere Teams im Raum spielen und sehen zwei Damen reden.")</f>
        <v>Wir wechseln und sehen andere Teams im Raum spielen und sehen zwei Damen reden.</v>
      </c>
    </row>
    <row r="11595">
      <c r="A11595" s="4" t="s">
        <v>14579</v>
      </c>
      <c r="B11595" s="4" t="s">
        <v>14585</v>
      </c>
      <c r="C11595" s="5" t="str">
        <f>IFERROR(__xludf.DUMMYFUNCTION("GOOGLETRANSLATE(B11595,""en"",""de"")"),"Wir sehen dann eine Dame einen Ball über einen Tisch werfen.")</f>
        <v>Wir sehen dann eine Dame einen Ball über einen Tisch werfen.</v>
      </c>
    </row>
    <row r="11596">
      <c r="A11596" s="4" t="s">
        <v>14579</v>
      </c>
      <c r="B11596" s="4" t="s">
        <v>3608</v>
      </c>
      <c r="C11596" s="5" t="str">
        <f>IFERROR(__xludf.DUMMYFUNCTION("GOOGLETRANSLATE(B11596,""en"",""de"")"),"Wir sehen den Endbildschirm.")</f>
        <v>Wir sehen den Endbildschirm.</v>
      </c>
    </row>
    <row r="11597">
      <c r="A11597" s="4" t="s">
        <v>14586</v>
      </c>
      <c r="B11597" s="4" t="s">
        <v>14587</v>
      </c>
      <c r="C11597" s="5" t="str">
        <f>IFERROR(__xludf.DUMMYFUNCTION("GOOGLETRANSLATE(B11597,""en"",""de"")"),"Auf dem Bildschirm wird eine Zeichnung eines Gerichts angezeigt.")</f>
        <v>Auf dem Bildschirm wird eine Zeichnung eines Gerichts angezeigt.</v>
      </c>
    </row>
    <row r="11598">
      <c r="A11598" s="4" t="s">
        <v>14586</v>
      </c>
      <c r="B11598" s="4" t="s">
        <v>14588</v>
      </c>
      <c r="C11598" s="5" t="str">
        <f>IFERROR(__xludf.DUMMYFUNCTION("GOOGLETRANSLATE(B11598,""en"",""de"")"),"Wir sehen ein Fußballspiel auf einem Feld im Freien.")</f>
        <v>Wir sehen ein Fußballspiel auf einem Feld im Freien.</v>
      </c>
    </row>
    <row r="11599">
      <c r="A11599" s="4" t="s">
        <v>14586</v>
      </c>
      <c r="B11599" s="4" t="s">
        <v>14589</v>
      </c>
      <c r="C11599" s="5" t="str">
        <f>IFERROR(__xludf.DUMMYFUNCTION("GOOGLETRANSLATE(B11599,""en"",""de"")"),"Die Männer treten den Ball voneinander weg.")</f>
        <v>Die Männer treten den Ball voneinander weg.</v>
      </c>
    </row>
    <row r="11600">
      <c r="A11600" s="4" t="s">
        <v>14586</v>
      </c>
      <c r="B11600" s="4" t="s">
        <v>14590</v>
      </c>
      <c r="C11600" s="5" t="str">
        <f>IFERROR(__xludf.DUMMYFUNCTION("GOOGLETRANSLATE(B11600,""en"",""de"")"),"Sie versuchen, den Ball in die gegnerischen Tore zu bringen.")</f>
        <v>Sie versuchen, den Ball in die gegnerischen Tore zu bringen.</v>
      </c>
    </row>
    <row r="11601">
      <c r="A11601" s="4" t="s">
        <v>14591</v>
      </c>
      <c r="B11601" s="4" t="s">
        <v>14592</v>
      </c>
      <c r="C11601" s="5" t="str">
        <f>IFERROR(__xludf.DUMMYFUNCTION("GOOGLETRANSLATE(B11601,""en"",""de"")"),"Zwei Wrestler treffen sich an einem Tisch in einem Wrestling -Ring.")</f>
        <v>Zwei Wrestler treffen sich an einem Tisch in einem Wrestling -Ring.</v>
      </c>
    </row>
    <row r="11602">
      <c r="A11602" s="4" t="s">
        <v>14591</v>
      </c>
      <c r="B11602" s="4" t="s">
        <v>14593</v>
      </c>
      <c r="C11602" s="5" t="str">
        <f>IFERROR(__xludf.DUMMYFUNCTION("GOOGLETRANSLATE(B11602,""en"",""de"")"),"Sie sitzen am Tisch und halten sich gegenseitig die Hände, bereit, um zu ringen.")</f>
        <v>Sie sitzen am Tisch und halten sich gegenseitig die Hände, bereit, um zu ringen.</v>
      </c>
    </row>
    <row r="11603">
      <c r="A11603" s="4" t="s">
        <v>14591</v>
      </c>
      <c r="B11603" s="4" t="s">
        <v>14594</v>
      </c>
      <c r="C11603" s="5" t="str">
        <f>IFERROR(__xludf.DUMMYFUNCTION("GOOGLETRANSLATE(B11603,""en"",""de"")"),"Die Männer bemühen sich, sich gegenseitig zu schlagen und auf jeder Seite hart zu drücken.")</f>
        <v>Die Männer bemühen sich, sich gegenseitig zu schlagen und auf jeder Seite hart zu drücken.</v>
      </c>
    </row>
    <row r="11604">
      <c r="A11604" s="4" t="s">
        <v>14591</v>
      </c>
      <c r="B11604" s="4" t="s">
        <v>14595</v>
      </c>
      <c r="C11604" s="5" t="str">
        <f>IFERROR(__xludf.DUMMYFUNCTION("GOOGLETRANSLATE(B11604,""en"",""de"")"),"Man gewinnt, dann stehen sie auf und beginnen im Ring zu kämpfen.")</f>
        <v>Man gewinnt, dann stehen sie auf und beginnen im Ring zu kämpfen.</v>
      </c>
    </row>
    <row r="11605">
      <c r="A11605" s="4" t="s">
        <v>14591</v>
      </c>
      <c r="B11605" s="4" t="s">
        <v>14596</v>
      </c>
      <c r="C11605" s="5" t="str">
        <f>IFERROR(__xludf.DUMMYFUNCTION("GOOGLETRANSLATE(B11605,""en"",""de"")"),"Einer wird aus dem Ring geworfen und den Riesen als Sieger zurückgelassen.")</f>
        <v>Einer wird aus dem Ring geworfen und den Riesen als Sieger zurückgelassen.</v>
      </c>
    </row>
    <row r="11606">
      <c r="A11606" s="4" t="s">
        <v>14597</v>
      </c>
      <c r="B11606" s="4" t="s">
        <v>14598</v>
      </c>
      <c r="C11606" s="5" t="str">
        <f>IFERROR(__xludf.DUMMYFUNCTION("GOOGLETRANSLATE(B11606,""en"",""de"")"),"Ein Hund rennt an einem See.")</f>
        <v>Ein Hund rennt an einem See.</v>
      </c>
    </row>
    <row r="11607">
      <c r="A11607" s="4" t="s">
        <v>14597</v>
      </c>
      <c r="B11607" s="4" t="s">
        <v>14599</v>
      </c>
      <c r="C11607" s="5" t="str">
        <f>IFERROR(__xludf.DUMMYFUNCTION("GOOGLETRANSLATE(B11607,""en"",""de"")"),"Ein Mann steigt hinter einem Boot ein.")</f>
        <v>Ein Mann steigt hinter einem Boot ein.</v>
      </c>
    </row>
    <row r="11608">
      <c r="A11608" s="4" t="s">
        <v>14597</v>
      </c>
      <c r="B11608" s="4" t="s">
        <v>14600</v>
      </c>
      <c r="C11608" s="5" t="str">
        <f>IFERROR(__xludf.DUMMYFUNCTION("GOOGLETRANSLATE(B11608,""en"",""de"")"),"Eine Person sitzt im Wasser.")</f>
        <v>Eine Person sitzt im Wasser.</v>
      </c>
    </row>
    <row r="11609">
      <c r="A11609" s="4" t="s">
        <v>14601</v>
      </c>
      <c r="B11609" s="4" t="s">
        <v>14602</v>
      </c>
      <c r="C11609" s="5" t="str">
        <f>IFERROR(__xludf.DUMMYFUNCTION("GOOGLETRANSLATE(B11609,""en"",""de"")"),"Ein Mann fährt mit einem Wassermotorboot im Ozean.")</f>
        <v>Ein Mann fährt mit einem Wassermotorboot im Ozean.</v>
      </c>
    </row>
    <row r="11610">
      <c r="A11610" s="4" t="s">
        <v>14601</v>
      </c>
      <c r="B11610" s="4" t="s">
        <v>14603</v>
      </c>
      <c r="C11610" s="5" t="str">
        <f>IFERROR(__xludf.DUMMYFUNCTION("GOOGLETRANSLATE(B11610,""en"",""de"")"),"Neben ihm erscheint ein Mann auf einem Surfbrett.")</f>
        <v>Neben ihm erscheint ein Mann auf einem Surfbrett.</v>
      </c>
    </row>
    <row r="11611">
      <c r="A11611" s="4" t="s">
        <v>14601</v>
      </c>
      <c r="B11611" s="4" t="s">
        <v>14604</v>
      </c>
      <c r="C11611" s="5" t="str">
        <f>IFERROR(__xludf.DUMMYFUNCTION("GOOGLETRANSLATE(B11611,""en"",""de"")"),"Der Mann auf dem Surfbrett beschleunigt vorbei und lässt ihn hinter sich.")</f>
        <v>Der Mann auf dem Surfbrett beschleunigt vorbei und lässt ihn hinter sich.</v>
      </c>
    </row>
    <row r="11612">
      <c r="A11612" s="4" t="s">
        <v>14605</v>
      </c>
      <c r="B11612" s="4" t="s">
        <v>14606</v>
      </c>
      <c r="C11612" s="5" t="str">
        <f>IFERROR(__xludf.DUMMYFUNCTION("GOOGLETRANSLATE(B11612,""en"",""de"")"),"Eine kleine Gruppe von Menschen spielt in einem großen Gymnasium Spiele miteinander.")</f>
        <v>Eine kleine Gruppe von Menschen spielt in einem großen Gymnasium Spiele miteinander.</v>
      </c>
    </row>
    <row r="11613">
      <c r="A11613" s="4" t="s">
        <v>14605</v>
      </c>
      <c r="B11613" s="4" t="s">
        <v>14607</v>
      </c>
      <c r="C11613" s="5" t="str">
        <f>IFERROR(__xludf.DUMMYFUNCTION("GOOGLETRANSLATE(B11613,""en"",""de"")"),"Viele Leute sehen am Rande an und die Leute passieren einen schlechten Faust zurück und den vierten zueinander.")</f>
        <v>Viele Leute sehen am Rande an und die Leute passieren einen schlechten Faust zurück und den vierten zueinander.</v>
      </c>
    </row>
    <row r="11614">
      <c r="A11614" s="4" t="s">
        <v>14608</v>
      </c>
      <c r="B11614" s="4" t="s">
        <v>14609</v>
      </c>
      <c r="C11614" s="5" t="str">
        <f>IFERROR(__xludf.DUMMYFUNCTION("GOOGLETRANSLATE(B11614,""en"",""de"")"),"Ein Mann in einem schwarzen Speedo steht auf einem Tauchbrett mit seiner Hand an seinen Seiten.")</f>
        <v>Ein Mann in einem schwarzen Speedo steht auf einem Tauchbrett mit seiner Hand an seinen Seiten.</v>
      </c>
    </row>
    <row r="11615">
      <c r="A11615" s="4" t="s">
        <v>14608</v>
      </c>
      <c r="B11615" s="4" t="s">
        <v>14610</v>
      </c>
      <c r="C11615" s="5" t="str">
        <f>IFERROR(__xludf.DUMMYFUNCTION("GOOGLETRANSLATE(B11615,""en"",""de"")"),"Dann beginnt er zu laufen und macht zwei Hopfen, um am Ende des Bretts zu gelangen.")</f>
        <v>Dann beginnt er zu laufen und macht zwei Hopfen, um am Ende des Bretts zu gelangen.</v>
      </c>
    </row>
    <row r="11616">
      <c r="A11616" s="4" t="s">
        <v>14608</v>
      </c>
      <c r="B11616" s="4" t="s">
        <v>14611</v>
      </c>
      <c r="C11616" s="5" t="str">
        <f>IFERROR(__xludf.DUMMYFUNCTION("GOOGLETRANSLATE(B11616,""en"",""de"")"),"Schließlich befindet er sich am Ende des Tauchbretts und dreht sich ins Wasser, während die Menge auf der Seite zuschaut.")</f>
        <v>Schließlich befindet er sich am Ende des Tauchbretts und dreht sich ins Wasser, während die Menge auf der Seite zuschaut.</v>
      </c>
    </row>
    <row r="11617">
      <c r="A11617" s="4" t="s">
        <v>14612</v>
      </c>
      <c r="B11617" s="4" t="s">
        <v>14613</v>
      </c>
      <c r="C11617" s="5" t="str">
        <f>IFERROR(__xludf.DUMMYFUNCTION("GOOGLETRANSLATE(B11617,""en"",""de"")"),"Eine große Gruppe von Menschen ist gesehen, wie ein Feld ein Lacrosse -Spiel spielt.")</f>
        <v>Eine große Gruppe von Menschen ist gesehen, wie ein Feld ein Lacrosse -Spiel spielt.</v>
      </c>
    </row>
    <row r="11618">
      <c r="A11618" s="4" t="s">
        <v>14612</v>
      </c>
      <c r="B11618" s="4" t="s">
        <v>14614</v>
      </c>
      <c r="C11618" s="5" t="str">
        <f>IFERROR(__xludf.DUMMYFUNCTION("GOOGLETRANSLATE(B11618,""en"",""de"")"),"Die Leute schlugen den Ball entlang des Feldes, während ein Schiedsrichter sie auf der Seite beobachtet.")</f>
        <v>Die Leute schlugen den Ball entlang des Feldes, während ein Schiedsrichter sie auf der Seite beobachtet.</v>
      </c>
    </row>
    <row r="11619">
      <c r="A11619" s="4" t="s">
        <v>14612</v>
      </c>
      <c r="B11619" s="4" t="s">
        <v>14615</v>
      </c>
      <c r="C11619" s="5" t="str">
        <f>IFERROR(__xludf.DUMMYFUNCTION("GOOGLETRANSLATE(B11619,""en"",""de"")"),"Die Gruppe spielt weiter zusammen, während sich die Kamera zurück und um den vierten Platz bewegt.")</f>
        <v>Die Gruppe spielt weiter zusammen, während sich die Kamera zurück und um den vierten Platz bewegt.</v>
      </c>
    </row>
    <row r="11620">
      <c r="A11620" s="4" t="s">
        <v>14616</v>
      </c>
      <c r="B11620" s="4" t="s">
        <v>14617</v>
      </c>
      <c r="C11620" s="5" t="str">
        <f>IFERROR(__xludf.DUMMYFUNCTION("GOOGLETRANSLATE(B11620,""en"",""de"")"),"Ein großer Drachen fliegt über einen Strand mit Menschen, die an den Seiten herumwandern.")</f>
        <v>Ein großer Drachen fliegt über einen Strand mit Menschen, die an den Seiten herumwandern.</v>
      </c>
    </row>
    <row r="11621">
      <c r="A11621" s="4" t="s">
        <v>14616</v>
      </c>
      <c r="B11621" s="4" t="s">
        <v>14618</v>
      </c>
      <c r="C11621" s="5" t="str">
        <f>IFERROR(__xludf.DUMMYFUNCTION("GOOGLETRANSLATE(B11621,""en"",""de"")"),"Ein Mann wird gesehen, wie er den großen Drachen fliegt, während andere ihn nebenbei beobachten.")</f>
        <v>Ein Mann wird gesehen, wie er den großen Drachen fliegt, während andere ihn nebenbei beobachten.</v>
      </c>
    </row>
    <row r="11622">
      <c r="A11622" s="4" t="s">
        <v>14616</v>
      </c>
      <c r="B11622" s="4" t="s">
        <v>14619</v>
      </c>
      <c r="C11622" s="5" t="str">
        <f>IFERROR(__xludf.DUMMYFUNCTION("GOOGLETRANSLATE(B11622,""en"",""de"")"),"Ein weiterer Drachen flogt neben seinen und führt in eine Show des Ozeans.")</f>
        <v>Ein weiterer Drachen flogt neben seinen und führt in eine Show des Ozeans.</v>
      </c>
    </row>
    <row r="11623">
      <c r="A11623" s="4" t="s">
        <v>14620</v>
      </c>
      <c r="B11623" s="4" t="s">
        <v>14621</v>
      </c>
      <c r="C11623" s="5" t="str">
        <f>IFERROR(__xludf.DUMMYFUNCTION("GOOGLETRANSLATE(B11623,""en"",""de"")"),"Ein kleiner Junge wird sich im Kreis erstreckt, während er sein Hemd auszieht und in die Ferne schaut.")</f>
        <v>Ein kleiner Junge wird sich im Kreis erstreckt, während er sein Hemd auszieht und in die Ferne schaut.</v>
      </c>
    </row>
    <row r="11624">
      <c r="A11624" s="4" t="s">
        <v>14620</v>
      </c>
      <c r="B11624" s="4" t="s">
        <v>14622</v>
      </c>
      <c r="C11624" s="5" t="str">
        <f>IFERROR(__xludf.DUMMYFUNCTION("GOOGLETRANSLATE(B11624,""en"",""de"")"),"Der Junge beginnt dann, verschiedene Kampfkünste vor einer großen Menge zu spielen.")</f>
        <v>Der Junge beginnt dann, verschiedene Kampfkünste vor einer großen Menge zu spielen.</v>
      </c>
    </row>
    <row r="11625">
      <c r="A11625" s="4" t="s">
        <v>14620</v>
      </c>
      <c r="B11625" s="4" t="s">
        <v>14623</v>
      </c>
      <c r="C11625" s="5" t="str">
        <f>IFERROR(__xludf.DUMMYFUNCTION("GOOGLETRANSLATE(B11625,""en"",""de"")"),"Der Junge tritt weiter und dreht sich, während er sich vor der Kamera verbeugt.")</f>
        <v>Der Junge tritt weiter und dreht sich, während er sich vor der Kamera verbeugt.</v>
      </c>
    </row>
    <row r="11626">
      <c r="A11626" s="4" t="s">
        <v>14624</v>
      </c>
      <c r="B11626" s="4" t="s">
        <v>14625</v>
      </c>
      <c r="C11626" s="5" t="str">
        <f>IFERROR(__xludf.DUMMYFUNCTION("GOOGLETRANSLATE(B11626,""en"",""de"")"),"Ein Autowerbung beginnt mit zahlreichen Menschen, die ein Fahrzeug waschen, wenn es eine professionelle Autowäsche durchläuft.")</f>
        <v>Ein Autowerbung beginnt mit zahlreichen Menschen, die ein Fahrzeug waschen, wenn es eine professionelle Autowäsche durchläuft.</v>
      </c>
    </row>
    <row r="11627">
      <c r="A11627" s="4" t="s">
        <v>14624</v>
      </c>
      <c r="B11627" s="4" t="s">
        <v>14626</v>
      </c>
      <c r="C11627" s="5" t="str">
        <f>IFERROR(__xludf.DUMMYFUNCTION("GOOGLETRANSLATE(B11627,""en"",""de"")"),"Die Leute stehen in einer Gruppe und winken mit ihren Lumpen in der Luft in der Kamera, als ob sie sich verabschieden möchten.")</f>
        <v>Die Leute stehen in einer Gruppe und winken mit ihren Lumpen in der Luft in der Kamera, als ob sie sich verabschieden möchten.</v>
      </c>
    </row>
    <row r="11628">
      <c r="A11628" s="4" t="s">
        <v>14624</v>
      </c>
      <c r="B11628" s="4" t="s">
        <v>14627</v>
      </c>
      <c r="C11628" s="5" t="str">
        <f>IFERROR(__xludf.DUMMYFUNCTION("GOOGLETRANSLATE(B11628,""en"",""de"")"),"Dann schneidet es einen letzten Bildschirm, der den Namen des Dienstes bewirbt.")</f>
        <v>Dann schneidet es einen letzten Bildschirm, der den Namen des Dienstes bewirbt.</v>
      </c>
    </row>
    <row r="11629">
      <c r="A11629" s="4" t="s">
        <v>14628</v>
      </c>
      <c r="B11629" s="4" t="s">
        <v>14629</v>
      </c>
      <c r="C11629" s="5" t="str">
        <f>IFERROR(__xludf.DUMMYFUNCTION("GOOGLETRANSLATE(B11629,""en"",""de"")"),"Ein Polizist fährt sehr langsam auf einem Pferd die Straße hinunter.")</f>
        <v>Ein Polizist fährt sehr langsam auf einem Pferd die Straße hinunter.</v>
      </c>
    </row>
    <row r="11630">
      <c r="A11630" s="4" t="s">
        <v>14628</v>
      </c>
      <c r="B11630" s="4" t="s">
        <v>14630</v>
      </c>
      <c r="C11630" s="5" t="str">
        <f>IFERROR(__xludf.DUMMYFUNCTION("GOOGLETRANSLATE(B11630,""en"",""de"")"),"Viele Zuschauer gehen vorbei, Autos fahren vorbei und bewegen sich beiläufig mit.")</f>
        <v>Viele Zuschauer gehen vorbei, Autos fahren vorbei und bewegen sich beiläufig mit.</v>
      </c>
    </row>
    <row r="11631">
      <c r="A11631" s="4" t="s">
        <v>14628</v>
      </c>
      <c r="B11631" s="4" t="s">
        <v>14631</v>
      </c>
      <c r="C11631" s="5" t="str">
        <f>IFERROR(__xludf.DUMMYFUNCTION("GOOGLETRANSLATE(B11631,""en"",""de"")"),"Es ist nur ein normaler Tag, der die Straße entlang fährt, um das Servieren zu schützen und sicherzustellen, dass keine Verbrechen begangen werden.")</f>
        <v>Es ist nur ein normaler Tag, der die Straße entlang fährt, um das Servieren zu schützen und sicherzustellen, dass keine Verbrechen begangen werden.</v>
      </c>
    </row>
    <row r="11632">
      <c r="A11632" s="4" t="s">
        <v>14628</v>
      </c>
      <c r="B11632" s="4" t="s">
        <v>14632</v>
      </c>
      <c r="C11632" s="5" t="str">
        <f>IFERROR(__xludf.DUMMYFUNCTION("GOOGLETRANSLATE(B11632,""en"",""de"")"),"Er reitet mit einer seiner Hände an seiner Waffe und der anderen das Pferd.")</f>
        <v>Er reitet mit einer seiner Hände an seiner Waffe und der anderen das Pferd.</v>
      </c>
    </row>
    <row r="11633">
      <c r="A11633" s="4" t="s">
        <v>14633</v>
      </c>
      <c r="B11633" s="4" t="s">
        <v>14634</v>
      </c>
      <c r="C11633" s="5" t="str">
        <f>IFERROR(__xludf.DUMMYFUNCTION("GOOGLETRANSLATE(B11633,""en"",""de"")"),"Wir sehen einen grünen Öffnungsbildschirm.")</f>
        <v>Wir sehen einen grünen Öffnungsbildschirm.</v>
      </c>
    </row>
    <row r="11634">
      <c r="A11634" s="4" t="s">
        <v>14633</v>
      </c>
      <c r="B11634" s="4" t="s">
        <v>14635</v>
      </c>
      <c r="C11634" s="5" t="str">
        <f>IFERROR(__xludf.DUMMYFUNCTION("GOOGLETRANSLATE(B11634,""en"",""de"")"),"Wir sehen ein Damenhaar in der Nähe.")</f>
        <v>Wir sehen ein Damenhaar in der Nähe.</v>
      </c>
    </row>
    <row r="11635">
      <c r="A11635" s="4" t="s">
        <v>14633</v>
      </c>
      <c r="B11635" s="4" t="s">
        <v>14636</v>
      </c>
      <c r="C11635" s="5" t="str">
        <f>IFERROR(__xludf.DUMMYFUNCTION("GOOGLETRANSLATE(B11635,""en"",""de"")"),"Eine Dame spricht, während er auf einer Couch sitzt.")</f>
        <v>Eine Dame spricht, während er auf einer Couch sitzt.</v>
      </c>
    </row>
    <row r="11636">
      <c r="A11636" s="4" t="s">
        <v>14633</v>
      </c>
      <c r="B11636" s="4" t="s">
        <v>14637</v>
      </c>
      <c r="C11636" s="5" t="str">
        <f>IFERROR(__xludf.DUMMYFUNCTION("GOOGLETRANSLATE(B11636,""en"",""de"")"),"Wir sehen eine Dame, die eine Rolle in ihre Haare steckt.")</f>
        <v>Wir sehen eine Dame, die eine Rolle in ihre Haare steckt.</v>
      </c>
    </row>
    <row r="11637">
      <c r="A11637" s="4" t="s">
        <v>14633</v>
      </c>
      <c r="B11637" s="4" t="s">
        <v>14638</v>
      </c>
      <c r="C11637" s="5" t="str">
        <f>IFERROR(__xludf.DUMMYFUNCTION("GOOGLETRANSLATE(B11637,""en"",""de"")"),"Wir sehen dann das fertige Produkt.")</f>
        <v>Wir sehen dann das fertige Produkt.</v>
      </c>
    </row>
    <row r="11638">
      <c r="A11638" s="4" t="s">
        <v>14639</v>
      </c>
      <c r="B11638" s="4" t="s">
        <v>14640</v>
      </c>
      <c r="C11638" s="5" t="str">
        <f>IFERROR(__xludf.DUMMYFUNCTION("GOOGLETRANSLATE(B11638,""en"",""de"")"),"Ein Mann schaltet eine Kamera ein.")</f>
        <v>Ein Mann schaltet eine Kamera ein.</v>
      </c>
    </row>
    <row r="11639">
      <c r="A11639" s="4" t="s">
        <v>14639</v>
      </c>
      <c r="B11639" s="4" t="s">
        <v>14641</v>
      </c>
      <c r="C11639" s="5" t="str">
        <f>IFERROR(__xludf.DUMMYFUNCTION("GOOGLETRANSLATE(B11639,""en"",""de"")"),"Ein Mann in einem schwarzen Hemd hockt auf einer Couch und raucht Shisha.")</f>
        <v>Ein Mann in einem schwarzen Hemd hockt auf einer Couch und raucht Shisha.</v>
      </c>
    </row>
    <row r="11640">
      <c r="A11640" s="4" t="s">
        <v>14639</v>
      </c>
      <c r="B11640" s="4" t="s">
        <v>14642</v>
      </c>
      <c r="C11640" s="5" t="str">
        <f>IFERROR(__xludf.DUMMYFUNCTION("GOOGLETRANSLATE(B11640,""en"",""de"")"),"Der Mann versucht, Rauchringe zu blasen.")</f>
        <v>Der Mann versucht, Rauchringe zu blasen.</v>
      </c>
    </row>
    <row r="11641">
      <c r="A11641" s="4" t="s">
        <v>14639</v>
      </c>
      <c r="B11641" s="4" t="s">
        <v>14643</v>
      </c>
      <c r="C11641" s="5" t="str">
        <f>IFERROR(__xludf.DUMMYFUNCTION("GOOGLETRANSLATE(B11641,""en"",""de"")"),"Der Mann bläst Rauch direkt in die Kamera.")</f>
        <v>Der Mann bläst Rauch direkt in die Kamera.</v>
      </c>
    </row>
    <row r="11642">
      <c r="A11642" s="4" t="s">
        <v>14639</v>
      </c>
      <c r="B11642" s="4" t="s">
        <v>14644</v>
      </c>
      <c r="C11642" s="5" t="str">
        <f>IFERROR(__xludf.DUMMYFUNCTION("GOOGLETRANSLATE(B11642,""en"",""de"")"),"Der Mann bläst erneut Rauch direkt in die Kamera.")</f>
        <v>Der Mann bläst erneut Rauch direkt in die Kamera.</v>
      </c>
    </row>
    <row r="11643">
      <c r="A11643" s="4" t="s">
        <v>14639</v>
      </c>
      <c r="B11643" s="4" t="s">
        <v>14645</v>
      </c>
      <c r="C11643" s="5" t="str">
        <f>IFERROR(__xludf.DUMMYFUNCTION("GOOGLETRANSLATE(B11643,""en"",""de"")"),"Der Mann greift um die Kamera aus.")</f>
        <v>Der Mann greift um die Kamera aus.</v>
      </c>
    </row>
    <row r="11644">
      <c r="A11644" s="4" t="s">
        <v>14646</v>
      </c>
      <c r="B11644" s="4" t="s">
        <v>14647</v>
      </c>
      <c r="C11644" s="5" t="str">
        <f>IFERROR(__xludf.DUMMYFUNCTION("GOOGLETRANSLATE(B11644,""en"",""de"")"),"Die Kamera zoomt ein, um das vordere rechte Rad des Autos anzuzeigen.")</f>
        <v>Die Kamera zoomt ein, um das vordere rechte Rad des Autos anzuzeigen.</v>
      </c>
    </row>
    <row r="11645">
      <c r="A11645" s="4" t="s">
        <v>14646</v>
      </c>
      <c r="B11645" s="4" t="s">
        <v>14648</v>
      </c>
      <c r="C11645" s="5" t="str">
        <f>IFERROR(__xludf.DUMMYFUNCTION("GOOGLETRANSLATE(B11645,""en"",""de"")"),"Die Kamera zoomt aus, um dem Mann das Auto mit Seife zu zeigen.")</f>
        <v>Die Kamera zoomt aus, um dem Mann das Auto mit Seife zu zeigen.</v>
      </c>
    </row>
    <row r="11646">
      <c r="A11646" s="4" t="s">
        <v>14646</v>
      </c>
      <c r="B11646" s="4" t="s">
        <v>14649</v>
      </c>
      <c r="C11646" s="5" t="str">
        <f>IFERROR(__xludf.DUMMYFUNCTION("GOOGLETRANSLATE(B11646,""en"",""de"")"),"Die Kamera zoomt erneut ein, um die Seife auf der Rückseite des Autos zu zeigen, und dann bewegt sich die Kamera, um die linke Seite des Autos anzuzeigen.")</f>
        <v>Die Kamera zoomt erneut ein, um die Seife auf der Rückseite des Autos zu zeigen, und dann bewegt sich die Kamera, um die linke Seite des Autos anzuzeigen.</v>
      </c>
    </row>
    <row r="11647">
      <c r="A11647" s="4" t="s">
        <v>14646</v>
      </c>
      <c r="B11647" s="4" t="s">
        <v>14650</v>
      </c>
      <c r="C11647" s="5" t="str">
        <f>IFERROR(__xludf.DUMMYFUNCTION("GOOGLETRANSLATE(B11647,""en"",""de"")"),"Dann sprühen zwei Männer Wasser auf das Auto, um die Seife abzuwaschen.")</f>
        <v>Dann sprühen zwei Männer Wasser auf das Auto, um die Seife abzuwaschen.</v>
      </c>
    </row>
    <row r="11648">
      <c r="A11648" s="4" t="s">
        <v>14651</v>
      </c>
      <c r="B11648" s="4" t="s">
        <v>14652</v>
      </c>
      <c r="C11648" s="5" t="str">
        <f>IFERROR(__xludf.DUMMYFUNCTION("GOOGLETRANSLATE(B11648,""en"",""de"")"),"Eine Frau geht in die Mitte des Raumes.")</f>
        <v>Eine Frau geht in die Mitte des Raumes.</v>
      </c>
    </row>
    <row r="11649">
      <c r="A11649" s="4" t="s">
        <v>14651</v>
      </c>
      <c r="B11649" s="4" t="s">
        <v>14653</v>
      </c>
      <c r="C11649" s="5" t="str">
        <f>IFERROR(__xludf.DUMMYFUNCTION("GOOGLETRANSLATE(B11649,""en"",""de"")"),"Sie führt Bauchtanzbewegungen durch.")</f>
        <v>Sie führt Bauchtanzbewegungen durch.</v>
      </c>
    </row>
    <row r="11650">
      <c r="A11650" s="4" t="s">
        <v>14651</v>
      </c>
      <c r="B11650" s="4" t="s">
        <v>14654</v>
      </c>
      <c r="C11650" s="5" t="str">
        <f>IFERROR(__xludf.DUMMYFUNCTION("GOOGLETRANSLATE(B11650,""en"",""de"")"),"Sie erweitert ihre Finger aus und beendet ihr Tanzen.")</f>
        <v>Sie erweitert ihre Finger aus und beendet ihr Tanzen.</v>
      </c>
    </row>
    <row r="11651">
      <c r="A11651" s="4" t="s">
        <v>14655</v>
      </c>
      <c r="B11651" s="4" t="s">
        <v>14656</v>
      </c>
      <c r="C11651" s="5" t="str">
        <f>IFERROR(__xludf.DUMMYFUNCTION("GOOGLETRANSLATE(B11651,""en"",""de"")"),"Eine Frau dreht eine Augenbinde, die einen Stock auf einem Piñata auf der Vorderseite hält.")</f>
        <v>Eine Frau dreht eine Augenbinde, die einen Stock auf einem Piñata auf der Vorderseite hält.</v>
      </c>
    </row>
    <row r="11652">
      <c r="A11652" s="4" t="s">
        <v>14655</v>
      </c>
      <c r="B11652" s="4" t="s">
        <v>14657</v>
      </c>
      <c r="C11652" s="5" t="str">
        <f>IFERROR(__xludf.DUMMYFUNCTION("GOOGLETRANSLATE(B11652,""en"",""de"")"),"Dann schlägt die Person die Starke, während sich die Piñata bewegt.")</f>
        <v>Dann schlägt die Person die Starke, während sich die Piñata bewegt.</v>
      </c>
    </row>
    <row r="11653">
      <c r="A11653" s="4" t="s">
        <v>14655</v>
      </c>
      <c r="B11653" s="4" t="s">
        <v>14658</v>
      </c>
      <c r="C11653" s="5" t="str">
        <f>IFERROR(__xludf.DUMMYFUNCTION("GOOGLETRANSLATE(B11653,""en"",""de"")"),"Die Person lacht und die Frau nähert sich ihr.")</f>
        <v>Die Person lacht und die Frau nähert sich ihr.</v>
      </c>
    </row>
    <row r="11654">
      <c r="A11654" s="4" t="s">
        <v>14659</v>
      </c>
      <c r="B11654" s="4" t="s">
        <v>14660</v>
      </c>
      <c r="C11654" s="5" t="str">
        <f>IFERROR(__xludf.DUMMYFUNCTION("GOOGLETRANSLATE(B11654,""en"",""de"")"),"Für ein Video wird eine Einführung über die Reinigung von Laufspitzen angezeigt.")</f>
        <v>Für ein Video wird eine Einführung über die Reinigung von Laufspitzen angezeigt.</v>
      </c>
    </row>
    <row r="11655">
      <c r="A11655" s="4" t="s">
        <v>14659</v>
      </c>
      <c r="B11655" s="4" t="s">
        <v>14661</v>
      </c>
      <c r="C11655" s="5" t="str">
        <f>IFERROR(__xludf.DUMMYFUNCTION("GOOGLETRANSLATE(B11655,""en"",""de"")"),"Ein Mann erklärt, dass er die Spikes reinigen wird, während er den Schmutz auf den Stacheln zeigt.")</f>
        <v>Ein Mann erklärt, dass er die Spikes reinigen wird, während er den Schmutz auf den Stacheln zeigt.</v>
      </c>
    </row>
    <row r="11656">
      <c r="A11656" s="4" t="s">
        <v>14659</v>
      </c>
      <c r="B11656" s="4" t="s">
        <v>14662</v>
      </c>
      <c r="C11656" s="5" t="str">
        <f>IFERROR(__xludf.DUMMYFUNCTION("GOOGLETRANSLATE(B11656,""en"",""de"")"),"Er beginnt damit, Schlamm von den Stacheln in ein Waschbecken zu putzen.")</f>
        <v>Er beginnt damit, Schlamm von den Stacheln in ein Waschbecken zu putzen.</v>
      </c>
    </row>
    <row r="11657">
      <c r="A11657" s="4" t="s">
        <v>14659</v>
      </c>
      <c r="B11657" s="4" t="s">
        <v>14663</v>
      </c>
      <c r="C11657" s="5" t="str">
        <f>IFERROR(__xludf.DUMMYFUNCTION("GOOGLETRANSLATE(B11657,""en"",""de"")"),"Er steckt eine kleine Menge Wasser in die Spüle und schrubbt weiter.")</f>
        <v>Er steckt eine kleine Menge Wasser in die Spüle und schrubbt weiter.</v>
      </c>
    </row>
    <row r="11658">
      <c r="A11658" s="4" t="s">
        <v>14659</v>
      </c>
      <c r="B11658" s="4" t="s">
        <v>14664</v>
      </c>
      <c r="C11658" s="5" t="str">
        <f>IFERROR(__xludf.DUMMYFUNCTION("GOOGLETRANSLATE(B11658,""en"",""de"")"),"Er nimmt sie aus dem Waschbecken und steckt einige Zeitungen in die Shows, um sie zu trocknen.")</f>
        <v>Er nimmt sie aus dem Waschbecken und steckt einige Zeitungen in die Shows, um sie zu trocknen.</v>
      </c>
    </row>
    <row r="11659">
      <c r="A11659" s="4" t="s">
        <v>14665</v>
      </c>
      <c r="B11659" s="4" t="s">
        <v>14666</v>
      </c>
      <c r="C11659" s="5" t="str">
        <f>IFERROR(__xludf.DUMMYFUNCTION("GOOGLETRANSLATE(B11659,""en"",""de"")"),"Eine Person verwendet einen Staubsaugerschlauch, um mit einem Hund zu spielen.")</f>
        <v>Eine Person verwendet einen Staubsaugerschlauch, um mit einem Hund zu spielen.</v>
      </c>
    </row>
    <row r="11660">
      <c r="A11660" s="4" t="s">
        <v>14665</v>
      </c>
      <c r="B11660" s="4" t="s">
        <v>14667</v>
      </c>
      <c r="C11660" s="5" t="str">
        <f>IFERROR(__xludf.DUMMYFUNCTION("GOOGLETRANSLATE(B11660,""en"",""de"")"),"Die Kamera wechselt zu einer Nebenansicht des Hundes.")</f>
        <v>Die Kamera wechselt zu einer Nebenansicht des Hundes.</v>
      </c>
    </row>
    <row r="11661">
      <c r="A11661" s="4" t="s">
        <v>14665</v>
      </c>
      <c r="B11661" s="4" t="s">
        <v>14668</v>
      </c>
      <c r="C11661" s="5" t="str">
        <f>IFERROR(__xludf.DUMMYFUNCTION("GOOGLETRANSLATE(B11661,""en"",""de"")"),"Die Kamera wechselt zu einer oberen Übersicht über den Hund.")</f>
        <v>Die Kamera wechselt zu einer oberen Übersicht über den Hund.</v>
      </c>
    </row>
    <row r="11662">
      <c r="A11662" s="4" t="s">
        <v>14669</v>
      </c>
      <c r="B11662" s="4" t="s">
        <v>14670</v>
      </c>
      <c r="C11662" s="5" t="str">
        <f>IFERROR(__xludf.DUMMYFUNCTION("GOOGLETRANSLATE(B11662,""en"",""de"")"),"Ein Mann taucht einen Schwamm in einen Eimer.")</f>
        <v>Ein Mann taucht einen Schwamm in einen Eimer.</v>
      </c>
    </row>
    <row r="11663">
      <c r="A11663" s="4" t="s">
        <v>14669</v>
      </c>
      <c r="B11663" s="4" t="s">
        <v>14671</v>
      </c>
      <c r="C11663" s="5" t="str">
        <f>IFERROR(__xludf.DUMMYFUNCTION("GOOGLETRANSLATE(B11663,""en"",""de"")"),"Er benutzt den Schwamm, um schwarzen Schlamm über einen Jungen zu wischen.")</f>
        <v>Er benutzt den Schwamm, um schwarzen Schlamm über einen Jungen zu wischen.</v>
      </c>
    </row>
    <row r="11664">
      <c r="A11664" s="4" t="s">
        <v>14669</v>
      </c>
      <c r="B11664" s="4" t="s">
        <v>14672</v>
      </c>
      <c r="C11664" s="5" t="str">
        <f>IFERROR(__xludf.DUMMYFUNCTION("GOOGLETRANSLATE(B11664,""en"",""de"")"),"Andere Menschen bedecken Menschen in Farbe.")</f>
        <v>Andere Menschen bedecken Menschen in Farbe.</v>
      </c>
    </row>
    <row r="11665">
      <c r="A11665" s="4" t="s">
        <v>14669</v>
      </c>
      <c r="B11665" s="4" t="s">
        <v>14673</v>
      </c>
      <c r="C11665" s="5" t="str">
        <f>IFERROR(__xludf.DUMMYFUNCTION("GOOGLETRANSLATE(B11665,""en"",""de"")"),"Sie bereiten sich auf das Lauf der Bullen in Spanien vor.")</f>
        <v>Sie bereiten sich auf das Lauf der Bullen in Spanien vor.</v>
      </c>
    </row>
    <row r="11666">
      <c r="A11666" s="4" t="s">
        <v>14674</v>
      </c>
      <c r="B11666" s="4" t="s">
        <v>14675</v>
      </c>
      <c r="C11666" s="5" t="str">
        <f>IFERROR(__xludf.DUMMYFUNCTION("GOOGLETRANSLATE(B11666,""en"",""de"")"),"Wir sehen einen Titelbildschirm auf Weiß.")</f>
        <v>Wir sehen einen Titelbildschirm auf Weiß.</v>
      </c>
    </row>
    <row r="11667">
      <c r="A11667" s="4" t="s">
        <v>14674</v>
      </c>
      <c r="B11667" s="4" t="s">
        <v>14676</v>
      </c>
      <c r="C11667" s="5" t="str">
        <f>IFERROR(__xludf.DUMMYFUNCTION("GOOGLETRANSLATE(B11667,""en"",""de"")"),"Eine Dame hat einen Kuchen auf den Kopf gestellt, den sie in das Tablett steckt.")</f>
        <v>Eine Dame hat einen Kuchen auf den Kopf gestellt, den sie in das Tablett steckt.</v>
      </c>
    </row>
    <row r="11668">
      <c r="A11668" s="4" t="s">
        <v>14674</v>
      </c>
      <c r="B11668" s="4" t="s">
        <v>14677</v>
      </c>
      <c r="C11668" s="5" t="str">
        <f>IFERROR(__xludf.DUMMYFUNCTION("GOOGLETRANSLATE(B11668,""en"",""de"")"),"Die Dame schneidet Teile des Kuchens und dreht es erneut um.")</f>
        <v>Die Dame schneidet Teile des Kuchens und dreht es erneut um.</v>
      </c>
    </row>
    <row r="11669">
      <c r="A11669" s="4" t="s">
        <v>14674</v>
      </c>
      <c r="B11669" s="4" t="s">
        <v>14678</v>
      </c>
      <c r="C11669" s="5" t="str">
        <f>IFERROR(__xludf.DUMMYFUNCTION("GOOGLETRANSLATE(B11669,""en"",""de"")"),"Die Dame schneidet die Kanten vom Kuchen ab.")</f>
        <v>Die Dame schneidet die Kanten vom Kuchen ab.</v>
      </c>
    </row>
    <row r="11670">
      <c r="A11670" s="4" t="s">
        <v>14674</v>
      </c>
      <c r="B11670" s="4" t="s">
        <v>14679</v>
      </c>
      <c r="C11670" s="5" t="str">
        <f>IFERROR(__xludf.DUMMYFUNCTION("GOOGLETRANSLATE(B11670,""en"",""de"")"),"Die Dame bewegt alles und bringt es zurück.")</f>
        <v>Die Dame bewegt alles und bringt es zurück.</v>
      </c>
    </row>
    <row r="11671">
      <c r="A11671" s="4" t="s">
        <v>14674</v>
      </c>
      <c r="B11671" s="4" t="s">
        <v>1380</v>
      </c>
      <c r="C11671" s="5" t="str">
        <f>IFERROR(__xludf.DUMMYFUNCTION("GOOGLETRANSLATE(B11671,""en"",""de"")"),"Wir sehen dann die Endgutschrift.")</f>
        <v>Wir sehen dann die Endgutschrift.</v>
      </c>
    </row>
    <row r="11672">
      <c r="A11672" s="4" t="s">
        <v>14680</v>
      </c>
      <c r="B11672" s="4" t="s">
        <v>14681</v>
      </c>
      <c r="C11672" s="5" t="str">
        <f>IFERROR(__xludf.DUMMYFUNCTION("GOOGLETRANSLATE(B11672,""en"",""de"")"),"Ein Mann wird neben einer Hecke in einer öffentlichen Gegend mit einem Hund neben ihm gesehen.")</f>
        <v>Ein Mann wird neben einer Hecke in einer öffentlichen Gegend mit einem Hund neben ihm gesehen.</v>
      </c>
    </row>
    <row r="11673">
      <c r="A11673" s="4" t="s">
        <v>14680</v>
      </c>
      <c r="B11673" s="4" t="s">
        <v>14682</v>
      </c>
      <c r="C11673" s="5" t="str">
        <f>IFERROR(__xludf.DUMMYFUNCTION("GOOGLETRANSLATE(B11673,""en"",""de"")"),"Der Hund ist auf den zwei Beinen zu sehen und hüpft am Ende runter.")</f>
        <v>Der Hund ist auf den zwei Beinen zu sehen und hüpft am Ende runter.</v>
      </c>
    </row>
    <row r="11674">
      <c r="A11674" s="4" t="s">
        <v>14683</v>
      </c>
      <c r="B11674" s="4" t="s">
        <v>14684</v>
      </c>
      <c r="C11674" s="5" t="str">
        <f>IFERROR(__xludf.DUMMYFUNCTION("GOOGLETRANSLATE(B11674,""en"",""de"")"),"Jemand zeichnet auf Band und schneidet es aus.")</f>
        <v>Jemand zeichnet auf Band und schneidet es aus.</v>
      </c>
    </row>
    <row r="11675">
      <c r="A11675" s="4" t="s">
        <v>14683</v>
      </c>
      <c r="B11675" s="4" t="s">
        <v>14685</v>
      </c>
      <c r="C11675" s="5" t="str">
        <f>IFERROR(__xludf.DUMMYFUNCTION("GOOGLETRANSLATE(B11675,""en"",""de"")"),"Sie tauchen einen Pinsel in die Farbe ein und malen sie auf einen Schwamm.")</f>
        <v>Sie tauchen einen Pinsel in die Farbe ein und malen sie auf einen Schwamm.</v>
      </c>
    </row>
    <row r="11676">
      <c r="A11676" s="4" t="s">
        <v>14683</v>
      </c>
      <c r="B11676" s="4" t="s">
        <v>14686</v>
      </c>
      <c r="C11676" s="5" t="str">
        <f>IFERROR(__xludf.DUMMYFUNCTION("GOOGLETRANSLATE(B11676,""en"",""de"")"),"Sie zogen das auf ihren Nagel und zogen einen Deckmantel an.")</f>
        <v>Sie zogen das auf ihren Nagel und zogen einen Deckmantel an.</v>
      </c>
    </row>
    <row r="11677">
      <c r="A11677" s="4" t="s">
        <v>14683</v>
      </c>
      <c r="B11677" s="4" t="s">
        <v>14687</v>
      </c>
      <c r="C11677" s="5" t="str">
        <f>IFERROR(__xludf.DUMMYFUNCTION("GOOGLETRANSLATE(B11677,""en"",""de"")"),"Sie legen Glitzer über das Herz auf den Nagel.")</f>
        <v>Sie legen Glitzer über das Herz auf den Nagel.</v>
      </c>
    </row>
    <row r="11678">
      <c r="A11678" s="4" t="s">
        <v>14688</v>
      </c>
      <c r="B11678" s="4" t="s">
        <v>14689</v>
      </c>
      <c r="C11678" s="5" t="str">
        <f>IFERROR(__xludf.DUMMYFUNCTION("GOOGLETRANSLATE(B11678,""en"",""de"")"),"Ein junges Mädchen hat mehrere Leute, die ihr Auge offen halten, während ein anderer versucht, eine Kontaktlinse einzulegen.")</f>
        <v>Ein junges Mädchen hat mehrere Leute, die ihr Auge offen halten, während ein anderer versucht, eine Kontaktlinse einzulegen.</v>
      </c>
    </row>
    <row r="11679">
      <c r="A11679" s="4" t="s">
        <v>14688</v>
      </c>
      <c r="B11679" s="4" t="s">
        <v>14690</v>
      </c>
      <c r="C11679" s="5" t="str">
        <f>IFERROR(__xludf.DUMMYFUNCTION("GOOGLETRANSLATE(B11679,""en"",""de"")"),"Sie können das Objektiv zuerst nicht im Auge einbringen und versuchen immer wieder.")</f>
        <v>Sie können das Objektiv zuerst nicht im Auge einbringen und versuchen immer wieder.</v>
      </c>
    </row>
    <row r="11680">
      <c r="A11680" s="4" t="s">
        <v>14688</v>
      </c>
      <c r="B11680" s="4" t="s">
        <v>14691</v>
      </c>
      <c r="C11680" s="5" t="str">
        <f>IFERROR(__xludf.DUMMYFUNCTION("GOOGLETRANSLATE(B11680,""en"",""de"")"),"Es gelingt ihnen schließlich, das Objektiv hineinzubekommen, aber das Mädchen steht auf, während sie lachen.")</f>
        <v>Es gelingt ihnen schließlich, das Objektiv hineinzubekommen, aber das Mädchen steht auf, während sie lachen.</v>
      </c>
    </row>
    <row r="11681">
      <c r="A11681" s="4" t="s">
        <v>14692</v>
      </c>
      <c r="B11681" s="4" t="s">
        <v>14693</v>
      </c>
      <c r="C11681" s="5" t="str">
        <f>IFERROR(__xludf.DUMMYFUNCTION("GOOGLETRANSLATE(B11681,""en"",""de"")"),"Die Menschen reiten Pferde in einer Innenräume.")</f>
        <v>Die Menschen reiten Pferde in einer Innenräume.</v>
      </c>
    </row>
    <row r="11682">
      <c r="A11682" s="4" t="s">
        <v>14692</v>
      </c>
      <c r="B11682" s="4" t="s">
        <v>14694</v>
      </c>
      <c r="C11682" s="5" t="str">
        <f>IFERROR(__xludf.DUMMYFUNCTION("GOOGLETRANSLATE(B11682,""en"",""de"")"),"Die Leute sitzen außerhalb der Arena und beobachten sie.")</f>
        <v>Die Leute sitzen außerhalb der Arena und beobachten sie.</v>
      </c>
    </row>
    <row r="11683">
      <c r="A11683" s="4" t="s">
        <v>14692</v>
      </c>
      <c r="B11683" s="4" t="s">
        <v>14695</v>
      </c>
      <c r="C11683" s="5" t="str">
        <f>IFERROR(__xludf.DUMMYFUNCTION("GOOGLETRANSLATE(B11683,""en"",""de"")"),"Sie stoppen die Pferde und das Mädchen dreht sich um.")</f>
        <v>Sie stoppen die Pferde und das Mädchen dreht sich um.</v>
      </c>
    </row>
    <row r="11684">
      <c r="A11684" s="4" t="s">
        <v>14696</v>
      </c>
      <c r="B11684" s="4" t="s">
        <v>14697</v>
      </c>
      <c r="C11684" s="5" t="str">
        <f>IFERROR(__xludf.DUMMYFUNCTION("GOOGLETRANSLATE(B11684,""en"",""de"")"),"Ein Mann und eine Frau sitzen in Hooters, das Restaurant, die Frau ist eine Angestellte und der Typ ist ein Stammkunde.")</f>
        <v>Ein Mann und eine Frau sitzen in Hooters, das Restaurant, die Frau ist eine Angestellte und der Typ ist ein Stammkunde.</v>
      </c>
    </row>
    <row r="11685">
      <c r="A11685" s="4" t="s">
        <v>14696</v>
      </c>
      <c r="B11685" s="4" t="s">
        <v>14698</v>
      </c>
      <c r="C11685" s="5" t="str">
        <f>IFERROR(__xludf.DUMMYFUNCTION("GOOGLETRANSLATE(B11685,""en"",""de"")"),"Er schnappt sich ein Bier und küsst dann die Mädchen.")</f>
        <v>Er schnappt sich ein Bier und küsst dann die Mädchen.</v>
      </c>
    </row>
    <row r="11686">
      <c r="A11686" s="4" t="s">
        <v>14696</v>
      </c>
      <c r="B11686" s="4" t="s">
        <v>14699</v>
      </c>
      <c r="C11686" s="5" t="str">
        <f>IFERROR(__xludf.DUMMYFUNCTION("GOOGLETRANSLATE(B11686,""en"",""de"")"),"Er versucht noch dreimal und er ist erfolgreich, aber das dritte Mädchen war zufällig und sie schlägt den Kerl und ist äußerst verärgert darüber.")</f>
        <v>Er versucht noch dreimal und er ist erfolgreich, aber das dritte Mädchen war zufällig und sie schlägt den Kerl und ist äußerst verärgert darüber.</v>
      </c>
    </row>
    <row r="11687">
      <c r="A11687" s="4" t="s">
        <v>14696</v>
      </c>
      <c r="B11687" s="4" t="s">
        <v>14700</v>
      </c>
      <c r="C11687" s="5" t="str">
        <f>IFERROR(__xludf.DUMMYFUNCTION("GOOGLETRANSLATE(B11687,""en"",""de"")"),"Der Mann macht es wieder und mehr Mädchen im Restaurant küssen ihn.")</f>
        <v>Der Mann macht es wieder und mehr Mädchen im Restaurant küssen ihn.</v>
      </c>
    </row>
    <row r="11688">
      <c r="A11688" s="4" t="s">
        <v>14701</v>
      </c>
      <c r="B11688" s="4" t="s">
        <v>14702</v>
      </c>
      <c r="C11688" s="5" t="str">
        <f>IFERROR(__xludf.DUMMYFUNCTION("GOOGLETRANSLATE(B11688,""en"",""de"")"),"Es gibt einen Mann im Schwimmbad, der Wasserball spielt.")</f>
        <v>Es gibt einen Mann im Schwimmbad, der Wasserball spielt.</v>
      </c>
    </row>
    <row r="11689">
      <c r="A11689" s="4" t="s">
        <v>14701</v>
      </c>
      <c r="B11689" s="4" t="s">
        <v>14703</v>
      </c>
      <c r="C11689" s="5" t="str">
        <f>IFERROR(__xludf.DUMMYFUNCTION("GOOGLETRANSLATE(B11689,""en"",""de"")"),"Er ist im Pool und spielt mit einem gelben Ball und zwei anderen Menschen Wasserball.")</f>
        <v>Er ist im Pool und spielt mit einem gelben Ball und zwei anderen Menschen Wasserball.</v>
      </c>
    </row>
    <row r="11690">
      <c r="A11690" s="4" t="s">
        <v>14701</v>
      </c>
      <c r="B11690" s="4" t="s">
        <v>14704</v>
      </c>
      <c r="C11690" s="5" t="str">
        <f>IFERROR(__xludf.DUMMYFUNCTION("GOOGLETRANSLATE(B11690,""en"",""de"")"),"Er wirft den Ball hinüber und die Leute, die am Pool sitzen und ihn laut Jubel spielen.")</f>
        <v>Er wirft den Ball hinüber und die Leute, die am Pool sitzen und ihn laut Jubel spielen.</v>
      </c>
    </row>
    <row r="11691">
      <c r="A11691" s="4" t="s">
        <v>14705</v>
      </c>
      <c r="B11691" s="4" t="s">
        <v>14706</v>
      </c>
      <c r="C11691" s="5" t="str">
        <f>IFERROR(__xludf.DUMMYFUNCTION("GOOGLETRANSLATE(B11691,""en"",""de"")"),"Zwei Männer tragen Boxhandschuhe und schlagen und treten gegenseitig.")</f>
        <v>Zwei Männer tragen Boxhandschuhe und schlagen und treten gegenseitig.</v>
      </c>
    </row>
    <row r="11692">
      <c r="A11692" s="4" t="s">
        <v>14705</v>
      </c>
      <c r="B11692" s="4" t="s">
        <v>14707</v>
      </c>
      <c r="C11692" s="5" t="str">
        <f>IFERROR(__xludf.DUMMYFUNCTION("GOOGLETRANSLATE(B11692,""en"",""de"")"),"Die Männer gehen weiterhin zurück und viertes miteinander und am Ende des Videos erscheint ein Text.")</f>
        <v>Die Männer gehen weiterhin zurück und viertes miteinander und am Ende des Videos erscheint ein Text.</v>
      </c>
    </row>
    <row r="11693">
      <c r="A11693" s="4" t="s">
        <v>14708</v>
      </c>
      <c r="B11693" s="4" t="s">
        <v>14709</v>
      </c>
      <c r="C11693" s="5" t="str">
        <f>IFERROR(__xludf.DUMMYFUNCTION("GOOGLETRANSLATE(B11693,""en"",""de"")"),"Ein Junge trifft auf den Schuss und tritt einen Fußball.")</f>
        <v>Ein Junge trifft auf den Schuss und tritt einen Fußball.</v>
      </c>
    </row>
    <row r="11694">
      <c r="A11694" s="4" t="s">
        <v>14708</v>
      </c>
      <c r="B11694" s="4" t="s">
        <v>14710</v>
      </c>
      <c r="C11694" s="5" t="str">
        <f>IFERROR(__xludf.DUMMYFUNCTION("GOOGLETRANSLATE(B11694,""en"",""de"")"),"Der Ball leuchtet in Richtung einer Menschenmenge in einem Park.")</f>
        <v>Der Ball leuchtet in Richtung einer Menschenmenge in einem Park.</v>
      </c>
    </row>
    <row r="11695">
      <c r="A11695" s="4" t="s">
        <v>14708</v>
      </c>
      <c r="B11695" s="4" t="s">
        <v>14711</v>
      </c>
      <c r="C11695" s="5" t="str">
        <f>IFERROR(__xludf.DUMMYFUNCTION("GOOGLETRANSLATE(B11695,""en"",""de"")"),"Nur wenige andere Jungen versuchen, den bewegenden Ball zu fangen.")</f>
        <v>Nur wenige andere Jungen versuchen, den bewegenden Ball zu fangen.</v>
      </c>
    </row>
    <row r="11696">
      <c r="A11696" s="4" t="s">
        <v>14708</v>
      </c>
      <c r="B11696" s="4" t="s">
        <v>14712</v>
      </c>
      <c r="C11696" s="5" t="str">
        <f>IFERROR(__xludf.DUMMYFUNCTION("GOOGLETRANSLATE(B11696,""en"",""de"")"),"Ein Junge tritt schließlich den Ball zurück zur Kamera.")</f>
        <v>Ein Junge tritt schließlich den Ball zurück zur Kamera.</v>
      </c>
    </row>
    <row r="11697">
      <c r="A11697" s="4" t="s">
        <v>14708</v>
      </c>
      <c r="B11697" s="4" t="s">
        <v>14713</v>
      </c>
      <c r="C11697" s="5" t="str">
        <f>IFERROR(__xludf.DUMMYFUNCTION("GOOGLETRANSLATE(B11697,""en"",""de"")"),"Ein Mädchen kommt von der Seitenlinie herein und tritt den Ball zurück in die Menge der Jungen, und die Kinder setzen diesen Kickzyklus fort.")</f>
        <v>Ein Mädchen kommt von der Seitenlinie herein und tritt den Ball zurück in die Menge der Jungen, und die Kinder setzen diesen Kickzyklus fort.</v>
      </c>
    </row>
    <row r="11698">
      <c r="A11698" s="4" t="s">
        <v>14714</v>
      </c>
      <c r="B11698" s="4" t="s">
        <v>14715</v>
      </c>
      <c r="C11698" s="5" t="str">
        <f>IFERROR(__xludf.DUMMYFUNCTION("GOOGLETRANSLATE(B11698,""en"",""de"")"),"Ein Mann und eine Frau werden gezeigt, die mit einer Zigarette im Mund an einem Tisch sitzen und sich gegenseitig verschränkt.")</f>
        <v>Ein Mann und eine Frau werden gezeigt, die mit einer Zigarette im Mund an einem Tisch sitzen und sich gegenseitig verschränkt.</v>
      </c>
    </row>
    <row r="11699">
      <c r="A11699" s="4" t="s">
        <v>14714</v>
      </c>
      <c r="B11699" s="4" t="s">
        <v>14716</v>
      </c>
      <c r="C11699" s="5" t="str">
        <f>IFERROR(__xludf.DUMMYFUNCTION("GOOGLETRANSLATE(B11699,""en"",""de"")"),"Sie beginnen Armringen und das Mädchen mit der Zigarette schlägt den Mann.")</f>
        <v>Sie beginnen Armringen und das Mädchen mit der Zigarette schlägt den Mann.</v>
      </c>
    </row>
    <row r="11700">
      <c r="A11700" s="4" t="s">
        <v>14717</v>
      </c>
      <c r="B11700" s="4" t="s">
        <v>14718</v>
      </c>
      <c r="C11700" s="5" t="str">
        <f>IFERROR(__xludf.DUMMYFUNCTION("GOOGLETRANSLATE(B11700,""en"",""de"")"),"Eine Person bewegt sich eine Reihe von Treppen hinunter und hält verschiedene Messelemente aus.")</f>
        <v>Eine Person bewegt sich eine Reihe von Treppen hinunter und hält verschiedene Messelemente aus.</v>
      </c>
    </row>
    <row r="11701">
      <c r="A11701" s="4" t="s">
        <v>14717</v>
      </c>
      <c r="B11701" s="4" t="s">
        <v>14719</v>
      </c>
      <c r="C11701" s="5" t="str">
        <f>IFERROR(__xludf.DUMMYFUNCTION("GOOGLETRANSLATE(B11701,""en"",""de"")"),"Der Mann kniet sich nieder und beginnt Teppiche auf den Boden und auf die Treppe.")</f>
        <v>Der Mann kniet sich nieder und beginnt Teppiche auf den Boden und auf die Treppe.</v>
      </c>
    </row>
    <row r="11702">
      <c r="A11702" s="4" t="s">
        <v>14717</v>
      </c>
      <c r="B11702" s="4" t="s">
        <v>14720</v>
      </c>
      <c r="C11702" s="5" t="str">
        <f>IFERROR(__xludf.DUMMYFUNCTION("GOOGLETRANSLATE(B11702,""en"",""de"")"),"Der Mann beendet den Teppich und die Kamera zoomt auf seine Arbeit.")</f>
        <v>Der Mann beendet den Teppich und die Kamera zoomt auf seine Arbeit.</v>
      </c>
    </row>
    <row r="11703">
      <c r="A11703" s="4" t="s">
        <v>14721</v>
      </c>
      <c r="B11703" s="4" t="s">
        <v>14722</v>
      </c>
      <c r="C11703" s="5" t="str">
        <f>IFERROR(__xludf.DUMMYFUNCTION("GOOGLETRANSLATE(B11703,""en"",""de"")"),"Ein sitzender Mann schaut auf eine Zwischenablage.")</f>
        <v>Ein sitzender Mann schaut auf eine Zwischenablage.</v>
      </c>
    </row>
    <row r="11704">
      <c r="A11704" s="4" t="s">
        <v>14721</v>
      </c>
      <c r="B11704" s="4" t="s">
        <v>14723</v>
      </c>
      <c r="C11704" s="5" t="str">
        <f>IFERROR(__xludf.DUMMYFUNCTION("GOOGLETRANSLATE(B11704,""en"",""de"")"),"Der Mann beginnt von einer großen Pfeife zu rauchen.")</f>
        <v>Der Mann beginnt von einer großen Pfeife zu rauchen.</v>
      </c>
    </row>
    <row r="11705">
      <c r="A11705" s="4" t="s">
        <v>14721</v>
      </c>
      <c r="B11705" s="4" t="s">
        <v>14724</v>
      </c>
      <c r="C11705" s="5" t="str">
        <f>IFERROR(__xludf.DUMMYFUNCTION("GOOGLETRANSLATE(B11705,""en"",""de"")"),"Die Kamera schwenkt nach unten, um die verschiedenen Gegenstände auf dem Tisch vor ihm zu zeigen.")</f>
        <v>Die Kamera schwenkt nach unten, um die verschiedenen Gegenstände auf dem Tisch vor ihm zu zeigen.</v>
      </c>
    </row>
    <row r="11706">
      <c r="A11706" s="4" t="s">
        <v>14721</v>
      </c>
      <c r="B11706" s="4" t="s">
        <v>14725</v>
      </c>
      <c r="C11706" s="5" t="str">
        <f>IFERROR(__xludf.DUMMYFUNCTION("GOOGLETRANSLATE(B11706,""en"",""de"")"),"Die Kamera schwenkt wieder auf den Mann.")</f>
        <v>Die Kamera schwenkt wieder auf den Mann.</v>
      </c>
    </row>
    <row r="11707">
      <c r="A11707" s="4" t="s">
        <v>14726</v>
      </c>
      <c r="B11707" s="4" t="s">
        <v>14727</v>
      </c>
      <c r="C11707" s="5" t="str">
        <f>IFERROR(__xludf.DUMMYFUNCTION("GOOGLETRANSLATE(B11707,""en"",""de"")"),"Die Leute segeln in einem Boot in einem Fluss, und ein Mann zieht eine Person, die sich bereitet, um Wasserski durchzuführen.")</f>
        <v>Die Leute segeln in einem Boot in einem Fluss, und ein Mann zieht eine Person, die sich bereitet, um Wasserski durchzuführen.</v>
      </c>
    </row>
    <row r="11708">
      <c r="A11708" s="4" t="s">
        <v>14726</v>
      </c>
      <c r="B11708" s="4" t="s">
        <v>14728</v>
      </c>
      <c r="C11708" s="5" t="str">
        <f>IFERROR(__xludf.DUMMYFUNCTION("GOOGLETRANSLATE(B11708,""en"",""de"")"),"Dann die Person, die Wasser hinter dem Boot fährt, während die Leute zuschauen.")</f>
        <v>Dann die Person, die Wasser hinter dem Boot fährt, während die Leute zuschauen.</v>
      </c>
    </row>
    <row r="11709">
      <c r="A11709" s="4" t="s">
        <v>14726</v>
      </c>
      <c r="B11709" s="4" t="s">
        <v>14729</v>
      </c>
      <c r="C11709" s="5" t="str">
        <f>IFERROR(__xludf.DUMMYFUNCTION("GOOGLETRANSLATE(B11709,""en"",""de"")"),"Die Person fällt ins Wasser, steht aber wieder und macht weiterhin Wasserski.")</f>
        <v>Die Person fällt ins Wasser, steht aber wieder und macht weiterhin Wasserski.</v>
      </c>
    </row>
    <row r="11710">
      <c r="A11710" s="4" t="s">
        <v>14726</v>
      </c>
      <c r="B11710" s="4" t="s">
        <v>14730</v>
      </c>
      <c r="C11710" s="5" t="str">
        <f>IFERROR(__xludf.DUMMYFUNCTION("GOOGLETRANSLATE(B11710,""en"",""de"")"),"Ein Boot erscheint im Fluss hinter der Person, während die Person Water Ski.")</f>
        <v>Ein Boot erscheint im Fluss hinter der Person, während die Person Water Ski.</v>
      </c>
    </row>
    <row r="11711">
      <c r="A11711" s="4" t="s">
        <v>14726</v>
      </c>
      <c r="B11711" s="4" t="s">
        <v>14731</v>
      </c>
      <c r="C11711" s="5" t="str">
        <f>IFERROR(__xludf.DUMMYFUNCTION("GOOGLETRANSLATE(B11711,""en"",""de"")"),"Die Person fällt wieder ins Wasser, die Menschen im Boot lachen und ein Mann macht Daumen hoch.")</f>
        <v>Die Person fällt wieder ins Wasser, die Menschen im Boot lachen und ein Mann macht Daumen hoch.</v>
      </c>
    </row>
    <row r="11712">
      <c r="A11712" s="4" t="s">
        <v>14732</v>
      </c>
      <c r="B11712" s="4" t="s">
        <v>14733</v>
      </c>
      <c r="C11712" s="5" t="str">
        <f>IFERROR(__xludf.DUMMYFUNCTION("GOOGLETRANSLATE(B11712,""en"",""de"")"),"Ein Mädchen mit einem Sprungseil befindet sich in sportlichen Shorts und einem T-Shirt, das ein Sprungstreifen hält.")</f>
        <v>Ein Mädchen mit einem Sprungseil befindet sich in sportlichen Shorts und einem T-Shirt, das ein Sprungstreifen hält.</v>
      </c>
    </row>
    <row r="11713">
      <c r="A11713" s="4" t="s">
        <v>14732</v>
      </c>
      <c r="B11713" s="4" t="s">
        <v>14734</v>
      </c>
      <c r="C11713" s="5" t="str">
        <f>IFERROR(__xludf.DUMMYFUNCTION("GOOGLETRANSLATE(B11713,""en"",""de"")"),"Sie beginnt, komplizierte Stunts wie Handständer, Flips und Splits beim Springenseil zu präformieren.")</f>
        <v>Sie beginnt, komplizierte Stunts wie Handständer, Flips und Splits beim Springenseil zu präformieren.</v>
      </c>
    </row>
    <row r="11714">
      <c r="A11714" s="4" t="s">
        <v>14732</v>
      </c>
      <c r="B11714" s="4" t="s">
        <v>14735</v>
      </c>
      <c r="C11714" s="5" t="str">
        <f>IFERROR(__xludf.DUMMYFUNCTION("GOOGLETRANSLATE(B11714,""en"",""de"")"),"Sie hat ein kurzes Missgeschick, als sie das Sprungseil fallen lässt und es dann aufnimmt, um ihre Leistung wieder aufzunehmen.")</f>
        <v>Sie hat ein kurzes Missgeschick, als sie das Sprungseil fallen lässt und es dann aufnimmt, um ihre Leistung wieder aufzunehmen.</v>
      </c>
    </row>
    <row r="11715">
      <c r="A11715" s="4" t="s">
        <v>14732</v>
      </c>
      <c r="B11715" s="4" t="s">
        <v>14736</v>
      </c>
      <c r="C11715" s="5" t="str">
        <f>IFERROR(__xludf.DUMMYFUNCTION("GOOGLETRANSLATE(B11715,""en"",""de"")"),"Viele Menschen sitzen am Rande, einige sehen als Publikum zu, einige sind Richter, einige drehen die Veranstaltung.")</f>
        <v>Viele Menschen sitzen am Rande, einige sehen als Publikum zu, einige sind Richter, einige drehen die Veranstaltung.</v>
      </c>
    </row>
    <row r="11716">
      <c r="A11716" s="4" t="s">
        <v>14737</v>
      </c>
      <c r="B11716" s="4" t="s">
        <v>14738</v>
      </c>
      <c r="C11716" s="5" t="str">
        <f>IFERROR(__xludf.DUMMYFUNCTION("GOOGLETRANSLATE(B11716,""en"",""de"")"),"Eine Kamera schwenkt um einen großen Hof, um zwei Personen eine Holzbar zu zeigen.")</f>
        <v>Eine Kamera schwenkt um einen großen Hof, um zwei Personen eine Holzbar zu zeigen.</v>
      </c>
    </row>
    <row r="11717">
      <c r="A11717" s="4" t="s">
        <v>14737</v>
      </c>
      <c r="B11717" s="4" t="s">
        <v>14739</v>
      </c>
      <c r="C11717" s="5" t="str">
        <f>IFERROR(__xludf.DUMMYFUNCTION("GOOGLETRANSLATE(B11717,""en"",""de"")"),"Ein Mann tritt dann auf die Stange und beginnt ein Werkzeug, um die Hecken abzuschneiden.")</f>
        <v>Ein Mann tritt dann auf die Stange und beginnt ein Werkzeug, um die Hecken abzuschneiden.</v>
      </c>
    </row>
    <row r="11718">
      <c r="A11718" s="4" t="s">
        <v>14737</v>
      </c>
      <c r="B11718" s="4" t="s">
        <v>14740</v>
      </c>
      <c r="C11718" s="5" t="str">
        <f>IFERROR(__xludf.DUMMYFUNCTION("GOOGLETRANSLATE(B11718,""en"",""de"")"),"Der Mann schaut zurück zum Sprechen zur Kamera und die Männer bewegen die Bar.")</f>
        <v>Der Mann schaut zurück zum Sprechen zur Kamera und die Männer bewegen die Bar.</v>
      </c>
    </row>
    <row r="11719">
      <c r="A11719" s="4" t="s">
        <v>14741</v>
      </c>
      <c r="B11719" s="4" t="s">
        <v>14742</v>
      </c>
      <c r="C11719" s="5" t="str">
        <f>IFERROR(__xludf.DUMMYFUNCTION("GOOGLETRANSLATE(B11719,""en"",""de"")"),"Wir sehen einen Mann in einem Fitnessstudio mit einem Sprungseil.")</f>
        <v>Wir sehen einen Mann in einem Fitnessstudio mit einem Sprungseil.</v>
      </c>
    </row>
    <row r="11720">
      <c r="A11720" s="4" t="s">
        <v>14741</v>
      </c>
      <c r="B11720" s="4" t="s">
        <v>14743</v>
      </c>
      <c r="C11720" s="5" t="str">
        <f>IFERROR(__xludf.DUMMYFUNCTION("GOOGLETRANSLATE(B11720,""en"",""de"")"),"Der Typ macht eine Jump -Seilroutine.")</f>
        <v>Der Typ macht eine Jump -Seilroutine.</v>
      </c>
    </row>
    <row r="11721">
      <c r="A11721" s="4" t="s">
        <v>14741</v>
      </c>
      <c r="B11721" s="4" t="s">
        <v>14744</v>
      </c>
      <c r="C11721" s="5" t="str">
        <f>IFERROR(__xludf.DUMMYFUNCTION("GOOGLETRANSLATE(B11721,""en"",""de"")"),"Der Typ macht einen Flip mit dem Seil.")</f>
        <v>Der Typ macht einen Flip mit dem Seil.</v>
      </c>
    </row>
    <row r="11722">
      <c r="A11722" s="4" t="s">
        <v>14741</v>
      </c>
      <c r="B11722" s="4" t="s">
        <v>14745</v>
      </c>
      <c r="C11722" s="5" t="str">
        <f>IFERROR(__xludf.DUMMYFUNCTION("GOOGLETRANSLATE(B11722,""en"",""de"")"),"Der Typ macht zwei Liegestütze.")</f>
        <v>Der Typ macht zwei Liegestütze.</v>
      </c>
    </row>
    <row r="11723">
      <c r="A11723" s="4" t="s">
        <v>14741</v>
      </c>
      <c r="B11723" s="4" t="s">
        <v>14746</v>
      </c>
      <c r="C11723" s="5" t="str">
        <f>IFERROR(__xludf.DUMMYFUNCTION("GOOGLETRANSLATE(B11723,""en"",""de"")"),"Das Jungsbein wird am Seil erwischt.")</f>
        <v>Das Jungsbein wird am Seil erwischt.</v>
      </c>
    </row>
    <row r="11724">
      <c r="A11724" s="4" t="s">
        <v>14741</v>
      </c>
      <c r="B11724" s="4" t="s">
        <v>14747</v>
      </c>
      <c r="C11724" s="5" t="str">
        <f>IFERROR(__xludf.DUMMYFUNCTION("GOOGLETRANSLATE(B11724,""en"",""de"")"),"Der Typ springt hoch und das Seil wird wieder verheddert.")</f>
        <v>Der Typ springt hoch und das Seil wird wieder verheddert.</v>
      </c>
    </row>
    <row r="11725">
      <c r="A11725" s="4" t="s">
        <v>14741</v>
      </c>
      <c r="B11725" s="4" t="s">
        <v>14748</v>
      </c>
      <c r="C11725" s="5" t="str">
        <f>IFERROR(__xludf.DUMMYFUNCTION("GOOGLETRANSLATE(B11725,""en"",""de"")"),"Der Typ endet und liegt auf dem Boden.")</f>
        <v>Der Typ endet und liegt auf dem Boden.</v>
      </c>
    </row>
    <row r="11726">
      <c r="A11726" s="4" t="s">
        <v>14741</v>
      </c>
      <c r="B11726" s="4" t="s">
        <v>14749</v>
      </c>
      <c r="C11726" s="5" t="str">
        <f>IFERROR(__xludf.DUMMYFUNCTION("GOOGLETRANSLATE(B11726,""en"",""de"")"),"Der Typ steht auf und geht weg.")</f>
        <v>Der Typ steht auf und geht weg.</v>
      </c>
    </row>
    <row r="11727">
      <c r="A11727" s="4" t="s">
        <v>14750</v>
      </c>
      <c r="B11727" s="4" t="s">
        <v>14751</v>
      </c>
      <c r="C11727" s="5" t="str">
        <f>IFERROR(__xludf.DUMMYFUNCTION("GOOGLETRANSLATE(B11727,""en"",""de"")"),"Eine Frau posiert auf einem Tauchbrett.")</f>
        <v>Eine Frau posiert auf einem Tauchbrett.</v>
      </c>
    </row>
    <row r="11728">
      <c r="A11728" s="4" t="s">
        <v>14750</v>
      </c>
      <c r="B11728" s="4" t="s">
        <v>14752</v>
      </c>
      <c r="C11728" s="5" t="str">
        <f>IFERROR(__xludf.DUMMYFUNCTION("GOOGLETRANSLATE(B11728,""en"",""de"")"),"Sie springt vor einer Beobachtungsgruppe rückwärts ins Wasser.")</f>
        <v>Sie springt vor einer Beobachtungsgruppe rückwärts ins Wasser.</v>
      </c>
    </row>
    <row r="11729">
      <c r="A11729" s="4" t="s">
        <v>14753</v>
      </c>
      <c r="B11729" s="4" t="s">
        <v>14754</v>
      </c>
      <c r="C11729" s="5" t="str">
        <f>IFERROR(__xludf.DUMMYFUNCTION("GOOGLETRANSLATE(B11729,""en"",""de"")"),"In einem Club tanzen wir ein paar tanzen auf einer Tanzfläche.")</f>
        <v>In einem Club tanzen wir ein paar tanzen auf einer Tanzfläche.</v>
      </c>
    </row>
    <row r="11730">
      <c r="A11730" s="4" t="s">
        <v>14753</v>
      </c>
      <c r="B11730" s="4" t="s">
        <v>14755</v>
      </c>
      <c r="C11730" s="5" t="str">
        <f>IFERROR(__xludf.DUMMYFUNCTION("GOOGLETRANSLATE(B11730,""en"",""de"")"),"Wir sehen, dass ein Mann in die Kamera schaut und seinen Mund öffnet, während eine Gruppe von Menschen vorbeikommt.")</f>
        <v>Wir sehen, dass ein Mann in die Kamera schaut und seinen Mund öffnet, während eine Gruppe von Menschen vorbeikommt.</v>
      </c>
    </row>
    <row r="11731">
      <c r="A11731" s="4" t="s">
        <v>14753</v>
      </c>
      <c r="B11731" s="4" t="s">
        <v>14756</v>
      </c>
      <c r="C11731" s="5" t="str">
        <f>IFERROR(__xludf.DUMMYFUNCTION("GOOGLETRANSLATE(B11731,""en"",""de"")"),"Ein Mann in einem schwarzen Hemd geht an der Kamera vorbei und steht für einen Moment.")</f>
        <v>Ein Mann in einem schwarzen Hemd geht an der Kamera vorbei und steht für einen Moment.</v>
      </c>
    </row>
    <row r="11732">
      <c r="A11732" s="4" t="s">
        <v>14753</v>
      </c>
      <c r="B11732" s="4" t="s">
        <v>14757</v>
      </c>
      <c r="C11732" s="5" t="str">
        <f>IFERROR(__xludf.DUMMYFUNCTION("GOOGLETRANSLATE(B11732,""en"",""de"")"),"Die Lady Shimmy's und biegt sich auf den Boden und wieder auf.")</f>
        <v>Die Lady Shimmy's und biegt sich auf den Boden und wieder auf.</v>
      </c>
    </row>
    <row r="11733">
      <c r="A11733" s="4" t="s">
        <v>14753</v>
      </c>
      <c r="B11733" s="4" t="s">
        <v>14758</v>
      </c>
      <c r="C11733" s="5" t="str">
        <f>IFERROR(__xludf.DUMMYFUNCTION("GOOGLETRANSLATE(B11733,""en"",""de"")"),"Der Mann taucht die Frau und das Lächeln in die Kamera ab.")</f>
        <v>Der Mann taucht die Frau und das Lächeln in die Kamera ab.</v>
      </c>
    </row>
    <row r="11734">
      <c r="A11734" s="4" t="s">
        <v>14759</v>
      </c>
      <c r="B11734" s="4" t="s">
        <v>14760</v>
      </c>
      <c r="C11734" s="5" t="str">
        <f>IFERROR(__xludf.DUMMYFUNCTION("GOOGLETRANSLATE(B11734,""en"",""de"")"),"Eine kleine Gruppe von Menschen ist gesehen, wie sie in einer Arena im Freien herumläuft und Paintball miteinander spielt.")</f>
        <v>Eine kleine Gruppe von Menschen ist gesehen, wie sie in einer Arena im Freien herumläuft und Paintball miteinander spielt.</v>
      </c>
    </row>
    <row r="11735">
      <c r="A11735" s="4" t="s">
        <v>14759</v>
      </c>
      <c r="B11735" s="4" t="s">
        <v>14761</v>
      </c>
      <c r="C11735" s="5" t="str">
        <f>IFERROR(__xludf.DUMMYFUNCTION("GOOGLETRANSLATE(B11735,""en"",""de"")"),"Ein Mann rennt vorwärts und eine große Rauchwolke dreht sich herum und ein Mann winkt die Arme in die Luft, während ein anderer hilft.")</f>
        <v>Ein Mann rennt vorwärts und eine große Rauchwolke dreht sich herum und ein Mann winkt die Arme in die Luft, während ein anderer hilft.</v>
      </c>
    </row>
    <row r="11736">
      <c r="A11736" s="4" t="s">
        <v>14762</v>
      </c>
      <c r="B11736" s="4" t="s">
        <v>14763</v>
      </c>
      <c r="C11736" s="5" t="str">
        <f>IFERROR(__xludf.DUMMYFUNCTION("GOOGLETRANSLATE(B11736,""en"",""de"")"),"Die Leute sitzen auf Stühlen, die Schlagzeug spielen.")</f>
        <v>Die Leute sitzen auf Stühlen, die Schlagzeug spielen.</v>
      </c>
    </row>
    <row r="11737">
      <c r="A11737" s="4" t="s">
        <v>14762</v>
      </c>
      <c r="B11737" s="4" t="s">
        <v>14764</v>
      </c>
      <c r="C11737" s="5" t="str">
        <f>IFERROR(__xludf.DUMMYFUNCTION("GOOGLETRANSLATE(B11737,""en"",""de"")"),"Die Leute gehen auf dem Bürgersteig vorbei.")</f>
        <v>Die Leute gehen auf dem Bürgersteig vorbei.</v>
      </c>
    </row>
    <row r="11738">
      <c r="A11738" s="4" t="s">
        <v>14762</v>
      </c>
      <c r="B11738" s="4" t="s">
        <v>14765</v>
      </c>
      <c r="C11738" s="5" t="str">
        <f>IFERROR(__xludf.DUMMYFUNCTION("GOOGLETRANSLATE(B11738,""en"",""de"")"),"Eine Person, die einen Kinderwagen schiebt, geht hinter sie.")</f>
        <v>Eine Person, die einen Kinderwagen schiebt, geht hinter sie.</v>
      </c>
    </row>
    <row r="11739">
      <c r="A11739" s="4" t="s">
        <v>14766</v>
      </c>
      <c r="B11739" s="4" t="s">
        <v>14767</v>
      </c>
      <c r="C11739" s="5" t="str">
        <f>IFERROR(__xludf.DUMMYFUNCTION("GOOGLETRANSLATE(B11739,""en"",""de"")"),"Eine Katze steht auf einem Tisch und wird gestreichelt.")</f>
        <v>Eine Katze steht auf einem Tisch und wird gestreichelt.</v>
      </c>
    </row>
    <row r="11740">
      <c r="A11740" s="4" t="s">
        <v>14766</v>
      </c>
      <c r="B11740" s="4" t="s">
        <v>14768</v>
      </c>
      <c r="C11740" s="5" t="str">
        <f>IFERROR(__xludf.DUMMYFUNCTION("GOOGLETRANSLATE(B11740,""en"",""de"")"),"Eine Person nimmt die Katzenpfote und beginnt ihre Nägel zu schneiden.")</f>
        <v>Eine Person nimmt die Katzenpfote und beginnt ihre Nägel zu schneiden.</v>
      </c>
    </row>
    <row r="11741">
      <c r="A11741" s="4" t="s">
        <v>14766</v>
      </c>
      <c r="B11741" s="4" t="s">
        <v>14769</v>
      </c>
      <c r="C11741" s="5" t="str">
        <f>IFERROR(__xludf.DUMMYFUNCTION("GOOGLETRANSLATE(B11741,""en"",""de"")"),"Die Person nimmt die Katze ab, um ihre hinteren Pfoten zu schneiden.")</f>
        <v>Die Person nimmt die Katze ab, um ihre hinteren Pfoten zu schneiden.</v>
      </c>
    </row>
    <row r="11742">
      <c r="A11742" s="4" t="s">
        <v>14766</v>
      </c>
      <c r="B11742" s="4" t="s">
        <v>14770</v>
      </c>
      <c r="C11742" s="5" t="str">
        <f>IFERROR(__xludf.DUMMYFUNCTION("GOOGLETRANSLATE(B11742,""en"",""de"")"),"Die Person streichelt die Katze, nachdem sie ihre Nägel abgeschnitten hat.")</f>
        <v>Die Person streichelt die Katze, nachdem sie ihre Nägel abgeschnitten hat.</v>
      </c>
    </row>
    <row r="11743">
      <c r="A11743" s="4" t="s">
        <v>14771</v>
      </c>
      <c r="B11743" s="4" t="s">
        <v>14772</v>
      </c>
      <c r="C11743" s="5" t="str">
        <f>IFERROR(__xludf.DUMMYFUNCTION("GOOGLETRANSLATE(B11743,""en"",""de"")"),"Eine Frau schaut in die Kamera und weint und umarmt eine Gruppe von Menschen.")</f>
        <v>Eine Frau schaut in die Kamera und weint und umarmt eine Gruppe von Menschen.</v>
      </c>
    </row>
    <row r="11744">
      <c r="A11744" s="4" t="s">
        <v>14771</v>
      </c>
      <c r="B11744" s="4" t="s">
        <v>14773</v>
      </c>
      <c r="C11744" s="5" t="str">
        <f>IFERROR(__xludf.DUMMYFUNCTION("GOOGLETRANSLATE(B11744,""en"",""de"")"),"Aufnahmen von Leuten, die Shuffle Board spielen, werden von Leuten gezeigt, die feiern und die Frau, die mit der Kamera spricht.")</f>
        <v>Aufnahmen von Leuten, die Shuffle Board spielen, werden von Leuten gezeigt, die feiern und die Frau, die mit der Kamera spricht.</v>
      </c>
    </row>
    <row r="11745">
      <c r="A11745" s="4" t="s">
        <v>14771</v>
      </c>
      <c r="B11745" s="4" t="s">
        <v>14774</v>
      </c>
      <c r="C11745" s="5" t="str">
        <f>IFERROR(__xludf.DUMMYFUNCTION("GOOGLETRANSLATE(B11745,""en"",""de"")"),"Weitere Aufnahmen von Feiern werden gezeigt und die Teamkollegen umarmen sich alle.")</f>
        <v>Weitere Aufnahmen von Feiern werden gezeigt und die Teamkollegen umarmen sich alle.</v>
      </c>
    </row>
    <row r="11746">
      <c r="A11746" s="4" t="s">
        <v>14775</v>
      </c>
      <c r="B11746" s="4" t="s">
        <v>14776</v>
      </c>
      <c r="C11746" s="5" t="str">
        <f>IFERROR(__xludf.DUMMYFUNCTION("GOOGLETRANSLATE(B11746,""en"",""de"")"),"Ein kleiner Junge steht im Gras und schwingt einen Schläger an einer Pinata.")</f>
        <v>Ein kleiner Junge steht im Gras und schwingt einen Schläger an einer Pinata.</v>
      </c>
    </row>
    <row r="11747">
      <c r="A11747" s="4" t="s">
        <v>14775</v>
      </c>
      <c r="B11747" s="4" t="s">
        <v>14777</v>
      </c>
      <c r="C11747" s="5" t="str">
        <f>IFERROR(__xludf.DUMMYFUNCTION("GOOGLETRANSLATE(B11747,""en"",""de"")"),"Die Leute beobachten den Jungen.")</f>
        <v>Die Leute beobachten den Jungen.</v>
      </c>
    </row>
    <row r="11748">
      <c r="A11748" s="4" t="s">
        <v>14775</v>
      </c>
      <c r="B11748" s="4" t="s">
        <v>14778</v>
      </c>
      <c r="C11748" s="5" t="str">
        <f>IFERROR(__xludf.DUMMYFUNCTION("GOOGLETRANSLATE(B11748,""en"",""de"")"),"Ein Mädchen in einem blauen Badeanzug nimmt den Schläger und schwingt an der Pinata.")</f>
        <v>Ein Mädchen in einem blauen Badeanzug nimmt den Schläger und schwingt an der Pinata.</v>
      </c>
    </row>
    <row r="11749">
      <c r="A11749" s="4" t="s">
        <v>14779</v>
      </c>
      <c r="B11749" s="4" t="s">
        <v>14780</v>
      </c>
      <c r="C11749" s="5" t="str">
        <f>IFERROR(__xludf.DUMMYFUNCTION("GOOGLETRANSLATE(B11749,""en"",""de"")"),"Wir sehen eine Gopro und die Titelkarte.")</f>
        <v>Wir sehen eine Gopro und die Titelkarte.</v>
      </c>
    </row>
    <row r="11750">
      <c r="A11750" s="4" t="s">
        <v>14779</v>
      </c>
      <c r="B11750" s="4" t="s">
        <v>14781</v>
      </c>
      <c r="C11750" s="5" t="str">
        <f>IFERROR(__xludf.DUMMYFUNCTION("GOOGLETRANSLATE(B11750,""en"",""de"")"),"Wir sehen das Wasser und ein Boot voller Menschen auf dem Wasser und ziehen nasse Anzüge an und betreten das Wasser.")</f>
        <v>Wir sehen das Wasser und ein Boot voller Menschen auf dem Wasser und ziehen nasse Anzüge an und betreten das Wasser.</v>
      </c>
    </row>
    <row r="11751">
      <c r="A11751" s="4" t="s">
        <v>14779</v>
      </c>
      <c r="B11751" s="4" t="s">
        <v>14782</v>
      </c>
      <c r="C11751" s="5" t="str">
        <f>IFERROR(__xludf.DUMMYFUNCTION("GOOGLETRANSLATE(B11751,""en"",""de"")"),"Wir sehen die Menschen unter Wasser schwimmen.")</f>
        <v>Wir sehen die Menschen unter Wasser schwimmen.</v>
      </c>
    </row>
    <row r="11752">
      <c r="A11752" s="4" t="s">
        <v>14779</v>
      </c>
      <c r="B11752" s="4" t="s">
        <v>14783</v>
      </c>
      <c r="C11752" s="5" t="str">
        <f>IFERROR(__xludf.DUMMYFUNCTION("GOOGLETRANSLATE(B11752,""en"",""de"")"),"Eine Person schwimmt in einer Spalte.")</f>
        <v>Eine Person schwimmt in einer Spalte.</v>
      </c>
    </row>
    <row r="11753">
      <c r="A11753" s="4" t="s">
        <v>14779</v>
      </c>
      <c r="B11753" s="4" t="s">
        <v>14784</v>
      </c>
      <c r="C11753" s="5" t="str">
        <f>IFERROR(__xludf.DUMMYFUNCTION("GOOGLETRANSLATE(B11753,""en"",""de"")"),"Wir sehen ein Tier auf einem Felsen.")</f>
        <v>Wir sehen ein Tier auf einem Felsen.</v>
      </c>
    </row>
    <row r="11754">
      <c r="A11754" s="4" t="s">
        <v>14779</v>
      </c>
      <c r="B11754" s="4" t="s">
        <v>14785</v>
      </c>
      <c r="C11754" s="5" t="str">
        <f>IFERROR(__xludf.DUMMYFUNCTION("GOOGLETRANSLATE(B11754,""en"",""de"")"),"Wir sehen einen Teil eines Schiffes.")</f>
        <v>Wir sehen einen Teil eines Schiffes.</v>
      </c>
    </row>
    <row r="11755">
      <c r="A11755" s="4" t="s">
        <v>14779</v>
      </c>
      <c r="B11755" s="4" t="s">
        <v>14786</v>
      </c>
      <c r="C11755" s="5" t="str">
        <f>IFERROR(__xludf.DUMMYFUNCTION("GOOGLETRANSLATE(B11755,""en"",""de"")"),"Uns wird verschiedene Meeresleben gezeigt.")</f>
        <v>Uns wird verschiedene Meeresleben gezeigt.</v>
      </c>
    </row>
    <row r="11756">
      <c r="A11756" s="4" t="s">
        <v>14779</v>
      </c>
      <c r="B11756" s="4" t="s">
        <v>14787</v>
      </c>
      <c r="C11756" s="5" t="str">
        <f>IFERROR(__xludf.DUMMYFUNCTION("GOOGLETRANSLATE(B11756,""en"",""de"")"),"Wir sehen die Menschen in der Nähe des Schiffes.")</f>
        <v>Wir sehen die Menschen in der Nähe des Schiffes.</v>
      </c>
    </row>
    <row r="11757">
      <c r="A11757" s="4" t="s">
        <v>14779</v>
      </c>
      <c r="B11757" s="4" t="s">
        <v>14788</v>
      </c>
      <c r="C11757" s="5" t="str">
        <f>IFERROR(__xludf.DUMMYFUNCTION("GOOGLETRANSLATE(B11757,""en"",""de"")"),"Die Menschen halten eine große Seeschleize.")</f>
        <v>Die Menschen halten eine große Seeschleize.</v>
      </c>
    </row>
    <row r="11758">
      <c r="A11758" s="4" t="s">
        <v>14779</v>
      </c>
      <c r="B11758" s="4" t="s">
        <v>14789</v>
      </c>
      <c r="C11758" s="5" t="str">
        <f>IFERROR(__xludf.DUMMYFUNCTION("GOOGLETRANSLATE(B11758,""en"",""de"")"),"Wir sehen eine große Unterwasserschildkröte auf dem Boden.")</f>
        <v>Wir sehen eine große Unterwasserschildkröte auf dem Boden.</v>
      </c>
    </row>
    <row r="11759">
      <c r="A11759" s="4" t="s">
        <v>14779</v>
      </c>
      <c r="B11759" s="4" t="s">
        <v>14790</v>
      </c>
      <c r="C11759" s="5" t="str">
        <f>IFERROR(__xludf.DUMMYFUNCTION("GOOGLETRANSLATE(B11759,""en"",""de"")"),"Blasen schweben zur Oberfläche und das Video endet.")</f>
        <v>Blasen schweben zur Oberfläche und das Video endet.</v>
      </c>
    </row>
    <row r="11760">
      <c r="A11760" s="4" t="s">
        <v>14791</v>
      </c>
      <c r="B11760" s="4" t="s">
        <v>14792</v>
      </c>
      <c r="C11760" s="5" t="str">
        <f>IFERROR(__xludf.DUMMYFUNCTION("GOOGLETRANSLATE(B11760,""en"",""de"")"),"Ein schwarzer Intro -Bildschirm mit weißen Wörtern erscheinen und stellt den Ort, die Menschen und den Kuchen fest, den sie machen werden.")</f>
        <v>Ein schwarzer Intro -Bildschirm mit weißen Wörtern erscheinen und stellt den Ort, die Menschen und den Kuchen fest, den sie machen werden.</v>
      </c>
    </row>
    <row r="11761">
      <c r="A11761" s="4" t="s">
        <v>14791</v>
      </c>
      <c r="B11761" s="4" t="s">
        <v>14793</v>
      </c>
      <c r="C11761" s="5" t="str">
        <f>IFERROR(__xludf.DUMMYFUNCTION("GOOGLETRANSLATE(B11761,""en"",""de"")"),"Ein Mann und eine Frau, die rote Schürzen in einer Küche mit einem weißen Küchenhilfemixer vor sich und einem Banner auf dem Bildschirm erscheinen, das alle Zutaten zeigt.")</f>
        <v>Ein Mann und eine Frau, die rote Schürzen in einer Küche mit einem weißen Küchenhilfemixer vor sich und einem Banner auf dem Bildschirm erscheinen, das alle Zutaten zeigt.</v>
      </c>
    </row>
    <row r="11762">
      <c r="A11762" s="4" t="s">
        <v>14791</v>
      </c>
      <c r="B11762" s="4" t="s">
        <v>14794</v>
      </c>
      <c r="C11762" s="5" t="str">
        <f>IFERROR(__xludf.DUMMYFUNCTION("GOOGLETRANSLATE(B11762,""en"",""de"")"),"Die Ansicht wechselt dann zu einem Schuss von oben, um zu zeigen, was der Mann tut, und das Banner auf dem Bildschirm zeigt immer noch die Zutaten an, die verwendet werden.")</f>
        <v>Die Ansicht wechselt dann zu einem Schuss von oben, um zu zeigen, was der Mann tut, und das Banner auf dem Bildschirm zeigt immer noch die Zutaten an, die verwendet werden.</v>
      </c>
    </row>
    <row r="11763">
      <c r="A11763" s="4" t="s">
        <v>14791</v>
      </c>
      <c r="B11763" s="4" t="s">
        <v>14795</v>
      </c>
      <c r="C11763" s="5" t="str">
        <f>IFERROR(__xludf.DUMMYFUNCTION("GOOGLETRANSLATE(B11763,""en"",""de"")"),"Die Ansicht wechselt von vorne zu einem oberen Winkel, wenn der Mann die Zutaten mischt.")</f>
        <v>Die Ansicht wechselt von vorne zu einem oberen Winkel, wenn der Mann die Zutaten mischt.</v>
      </c>
    </row>
    <row r="11764">
      <c r="A11764" s="4" t="s">
        <v>14791</v>
      </c>
      <c r="B11764" s="4" t="s">
        <v>14796</v>
      </c>
      <c r="C11764" s="5" t="str">
        <f>IFERROR(__xludf.DUMMYFUNCTION("GOOGLETRANSLATE(B11764,""en"",""de"")"),"Die Aussicht wechselt dann wieder zu einer vorderen Aussicht und der Mann bewegt die Küchenhilfe zur Seite und greift von der Theke hinter ihnen, einem gebackenen Kuchen und einem Teller mit einem Stück Kuchen.")</f>
        <v>Die Aussicht wechselt dann wieder zu einer vorderen Aussicht und der Mann bewegt die Küchenhilfe zur Seite und greift von der Theke hinter ihnen, einem gebackenen Kuchen und einem Teller mit einem Stück Kuchen.</v>
      </c>
    </row>
    <row r="11765">
      <c r="A11765" s="4" t="s">
        <v>14791</v>
      </c>
      <c r="B11765" s="4" t="s">
        <v>14797</v>
      </c>
      <c r="C11765" s="5" t="str">
        <f>IFERROR(__xludf.DUMMYFUNCTION("GOOGLETRANSLATE(B11765,""en"",""de"")"),"Das Outro enthält ein Bild von Mann und Frau, die zusammen stehen, ihre Namen, den Namen des Kuchens, ihre Adresse und die Nachrichtensender, die es ausgestrahlt hat.")</f>
        <v>Das Outro enthält ein Bild von Mann und Frau, die zusammen stehen, ihre Namen, den Namen des Kuchens, ihre Adresse und die Nachrichtensender, die es ausgestrahlt hat.</v>
      </c>
    </row>
    <row r="11766">
      <c r="A11766" s="4" t="s">
        <v>14791</v>
      </c>
      <c r="B11766" s="4" t="s">
        <v>14798</v>
      </c>
      <c r="C11766" s="5" t="str">
        <f>IFERROR(__xludf.DUMMYFUNCTION("GOOGLETRANSLATE(B11766,""en"",""de"")"),"Die Credits beginnen dann mit weißen Buchstaben von unten nach oben auf einem schwarzen Bildschirm zu scrollen.")</f>
        <v>Die Credits beginnen dann mit weißen Buchstaben von unten nach oben auf einem schwarzen Bildschirm zu scrollen.</v>
      </c>
    </row>
    <row r="11767">
      <c r="A11767" s="4" t="s">
        <v>14799</v>
      </c>
      <c r="B11767" s="4" t="s">
        <v>14800</v>
      </c>
      <c r="C11767" s="5" t="str">
        <f>IFERROR(__xludf.DUMMYFUNCTION("GOOGLETRANSLATE(B11767,""en"",""de"")"),"Eine Gruppe von Männern spielt Fußball.")</f>
        <v>Eine Gruppe von Männern spielt Fußball.</v>
      </c>
    </row>
    <row r="11768">
      <c r="A11768" s="4" t="s">
        <v>14799</v>
      </c>
      <c r="B11768" s="4" t="s">
        <v>14801</v>
      </c>
      <c r="C11768" s="5" t="str">
        <f>IFERROR(__xludf.DUMMYFUNCTION("GOOGLETRANSLATE(B11768,""en"",""de"")"),"Ein Spieler tritt den Ball in das Tor, bevor er das gegnerische Tor erzielt.")</f>
        <v>Ein Spieler tritt den Ball in das Tor, bevor er das gegnerische Tor erzielt.</v>
      </c>
    </row>
    <row r="11769">
      <c r="A11769" s="4" t="s">
        <v>14799</v>
      </c>
      <c r="B11769" s="4" t="s">
        <v>14802</v>
      </c>
      <c r="C11769" s="5" t="str">
        <f>IFERROR(__xludf.DUMMYFUNCTION("GOOGLETRANSLATE(B11769,""en"",""de"")"),"Sie kämpfen weiter über den Ball über einen längeren Zeitraum.")</f>
        <v>Sie kämpfen weiter über den Ball über einen längeren Zeitraum.</v>
      </c>
    </row>
    <row r="11770">
      <c r="A11770" s="4" t="s">
        <v>14803</v>
      </c>
      <c r="B11770" s="4" t="s">
        <v>14804</v>
      </c>
      <c r="C11770" s="5" t="str">
        <f>IFERROR(__xludf.DUMMYFUNCTION("GOOGLETRANSLATE(B11770,""en"",""de"")"),"Eine Dame im weißen Streifenhemd steht neben einem Jungen, sie stehen an der Theke, sie schneiden die Seite des Brotes, legen auf es, rollen das Brot in einen Plastik, schneiden die Seite des Brotes, legen Sie Fleisch Rollen Sie das Brot auf dem Brot den "&amp;"Käse in den Plastik.")</f>
        <v>Eine Dame im weißen Streifenhemd steht neben einem Jungen, sie stehen an der Theke, sie schneiden die Seite des Brotes, legen auf es, rollen das Brot in einen Plastik, schneiden die Seite des Brotes, legen Sie Fleisch Rollen Sie das Brot auf dem Brot den Käse in den Plastik.</v>
      </c>
    </row>
    <row r="11771">
      <c r="A11771" s="4" t="s">
        <v>14803</v>
      </c>
      <c r="B11771" s="4" t="s">
        <v>14805</v>
      </c>
      <c r="C11771" s="5" t="str">
        <f>IFERROR(__xludf.DUMMYFUNCTION("GOOGLETRANSLATE(B11771,""en"",""de"")"),"Die Frau in Scheiben des Plastiks mit Brot in ihn dann in eine Rechteckplatte steckte.")</f>
        <v>Die Frau in Scheiben des Plastiks mit Brot in ihn dann in eine Rechteckplatte steckte.</v>
      </c>
    </row>
    <row r="11772">
      <c r="A11772" s="4" t="s">
        <v>14806</v>
      </c>
      <c r="B11772" s="4" t="s">
        <v>14807</v>
      </c>
      <c r="C11772" s="5" t="str">
        <f>IFERROR(__xludf.DUMMYFUNCTION("GOOGLETRANSLATE(B11772,""en"",""de"")"),"Eine Frau sitzt auf einem Stuhl, der ein Akkordeon spielt.")</f>
        <v>Eine Frau sitzt auf einem Stuhl, der ein Akkordeon spielt.</v>
      </c>
    </row>
    <row r="11773">
      <c r="A11773" s="4" t="s">
        <v>14806</v>
      </c>
      <c r="B11773" s="4" t="s">
        <v>14808</v>
      </c>
      <c r="C11773" s="5" t="str">
        <f>IFERROR(__xludf.DUMMYFUNCTION("GOOGLETRANSLATE(B11773,""en"",""de"")"),"Sie hört auf zu spielen und legt ihren Arm nieder.")</f>
        <v>Sie hört auf zu spielen und legt ihren Arm nieder.</v>
      </c>
    </row>
    <row r="11774">
      <c r="A11774" s="4" t="s">
        <v>14806</v>
      </c>
      <c r="B11774" s="4" t="s">
        <v>14809</v>
      </c>
      <c r="C11774" s="5" t="str">
        <f>IFERROR(__xludf.DUMMYFUNCTION("GOOGLETRANSLATE(B11774,""en"",""de"")"),"Wörter blinken auf den Bildschirm.")</f>
        <v>Wörter blinken auf den Bildschirm.</v>
      </c>
    </row>
    <row r="11775">
      <c r="A11775" s="4" t="s">
        <v>14810</v>
      </c>
      <c r="B11775" s="4" t="s">
        <v>14811</v>
      </c>
      <c r="C11775" s="5" t="str">
        <f>IFERROR(__xludf.DUMMYFUNCTION("GOOGLETRANSLATE(B11775,""en"",""de"")"),"Eine Person rasiert die hinteren Beine eines Mannes, der einen Rasierer benutzt, während sie sich mit dem Gesicht nach unten liege.")</f>
        <v>Eine Person rasiert die hinteren Beine eines Mannes, der einen Rasierer benutzt, während sie sich mit dem Gesicht nach unten liege.</v>
      </c>
    </row>
    <row r="11776">
      <c r="A11776" s="4" t="s">
        <v>14810</v>
      </c>
      <c r="B11776" s="4" t="s">
        <v>14812</v>
      </c>
      <c r="C11776" s="5" t="str">
        <f>IFERROR(__xludf.DUMMYFUNCTION("GOOGLETRANSLATE(B11776,""en"",""de"")"),"Dann dreht sich der Mann gegenüber und die Person beginnt sich zu rasieren, die Beine.")</f>
        <v>Dann dreht sich der Mann gegenüber und die Person beginnt sich zu rasieren, die Beine.</v>
      </c>
    </row>
    <row r="11777">
      <c r="A11777" s="4" t="s">
        <v>14810</v>
      </c>
      <c r="B11777" s="4" t="s">
        <v>14813</v>
      </c>
      <c r="C11777" s="5" t="str">
        <f>IFERROR(__xludf.DUMMYFUNCTION("GOOGLETRANSLATE(B11777,""en"",""de"")"),"Danach verwendet die Person eine Maschine an den Beinen, und dann zeigt ein Bild die Beine vor und nach der Rasur.")</f>
        <v>Danach verwendet die Person eine Maschine an den Beinen, und dann zeigt ein Bild die Beine vor und nach der Rasur.</v>
      </c>
    </row>
    <row r="11778">
      <c r="A11778" s="4" t="s">
        <v>14814</v>
      </c>
      <c r="B11778" s="4" t="s">
        <v>14815</v>
      </c>
      <c r="C11778" s="5" t="str">
        <f>IFERROR(__xludf.DUMMYFUNCTION("GOOGLETRANSLATE(B11778,""en"",""de"")"),"Eine Frau hinter einem Zaun beobachtete eine Gruppe von Spielern auf einem Feld.")</f>
        <v>Eine Frau hinter einem Zaun beobachtete eine Gruppe von Spielern auf einem Feld.</v>
      </c>
    </row>
    <row r="11779">
      <c r="A11779" s="4" t="s">
        <v>14814</v>
      </c>
      <c r="B11779" s="4" t="s">
        <v>14816</v>
      </c>
      <c r="C11779" s="5" t="str">
        <f>IFERROR(__xludf.DUMMYFUNCTION("GOOGLETRANSLATE(B11779,""en"",""de"")"),"Eine alte Dame ist hinter der Frau vorbei.")</f>
        <v>Eine alte Dame ist hinter der Frau vorbei.</v>
      </c>
    </row>
    <row r="11780">
      <c r="A11780" s="4" t="s">
        <v>14814</v>
      </c>
      <c r="B11780" s="4" t="s">
        <v>14817</v>
      </c>
      <c r="C11780" s="5" t="str">
        <f>IFERROR(__xludf.DUMMYFUNCTION("GOOGLETRANSLATE(B11780,""en"",""de"")"),"Die Leute spielen auf einem Feld.")</f>
        <v>Die Leute spielen auf einem Feld.</v>
      </c>
    </row>
    <row r="11781">
      <c r="A11781" s="4" t="s">
        <v>14818</v>
      </c>
      <c r="B11781" s="4" t="s">
        <v>14819</v>
      </c>
      <c r="C11781" s="5" t="str">
        <f>IFERROR(__xludf.DUMMYFUNCTION("GOOGLETRANSLATE(B11781,""en"",""de"")"),"Ein Mann legt einen Reifen über eine Maschine und dreht den Rime.")</f>
        <v>Ein Mann legt einen Reifen über eine Maschine und dreht den Rime.</v>
      </c>
    </row>
    <row r="11782">
      <c r="A11782" s="4" t="s">
        <v>14818</v>
      </c>
      <c r="B11782" s="4" t="s">
        <v>14820</v>
      </c>
      <c r="C11782" s="5" t="str">
        <f>IFERROR(__xludf.DUMMYFUNCTION("GOOGLETRANSLATE(B11782,""en"",""de"")"),"Dann verliert der Mann ein Werkzeug, um den Rime zu verlieren, und dann entfernt die Maschine den Gummireifen.")</f>
        <v>Dann verliert der Mann ein Werkzeug, um den Rime zu verlieren, und dann entfernt die Maschine den Gummireifen.</v>
      </c>
    </row>
    <row r="11783">
      <c r="A11783" s="4" t="s">
        <v>14818</v>
      </c>
      <c r="B11783" s="4" t="s">
        <v>14821</v>
      </c>
      <c r="C11783" s="5" t="str">
        <f>IFERROR(__xludf.DUMMYFUNCTION("GOOGLETRANSLATE(B11783,""en"",""de"")"),"Danach nimmt der Mann Kleber und streift den Reifen und verwendet dann die Maschine den Gummireifen in den Rand.")</f>
        <v>Danach nimmt der Mann Kleber und streift den Reifen und verwendet dann die Maschine den Gummireifen in den Rand.</v>
      </c>
    </row>
    <row r="11784">
      <c r="A11784" s="4" t="s">
        <v>14822</v>
      </c>
      <c r="B11784" s="4" t="s">
        <v>14823</v>
      </c>
      <c r="C11784" s="5" t="str">
        <f>IFERROR(__xludf.DUMMYFUNCTION("GOOGLETRANSLATE(B11784,""en"",""de"")"),"Mehrere Personen sind im Freien, von denen eines reitet und Tricks auf einem Skateboard durchführt.")</f>
        <v>Mehrere Personen sind im Freien, von denen eines reitet und Tricks auf einem Skateboard durchführt.</v>
      </c>
    </row>
    <row r="11785">
      <c r="A11785" s="4" t="s">
        <v>14822</v>
      </c>
      <c r="B11785" s="4" t="s">
        <v>14824</v>
      </c>
      <c r="C11785" s="5" t="str">
        <f>IFERROR(__xludf.DUMMYFUNCTION("GOOGLETRANSLATE(B11785,""en"",""de"")"),"Der Mann geht vor einem anderen Mann in eine Gruppe von Menschen, dann wird ein anderer gezeigt, dass er auf der Straße bergab geht, um ihre Skateboards zu fahren.")</f>
        <v>Der Mann geht vor einem anderen Mann in eine Gruppe von Menschen, dann wird ein anderer gezeigt, dass er auf der Straße bergab geht, um ihre Skateboards zu fahren.</v>
      </c>
    </row>
    <row r="11786">
      <c r="A11786" s="4" t="s">
        <v>14822</v>
      </c>
      <c r="B11786" s="4" t="s">
        <v>14825</v>
      </c>
      <c r="C11786" s="5" t="str">
        <f>IFERROR(__xludf.DUMMYFUNCTION("GOOGLETRANSLATE(B11786,""en"",""de"")"),"Sie führen mehrere Tricks und Flips durch, während sie gehen.")</f>
        <v>Sie führen mehrere Tricks und Flips durch, während sie gehen.</v>
      </c>
    </row>
    <row r="11787">
      <c r="A11787" s="4" t="s">
        <v>14822</v>
      </c>
      <c r="B11787" s="4" t="s">
        <v>14826</v>
      </c>
      <c r="C11787" s="5" t="str">
        <f>IFERROR(__xludf.DUMMYFUNCTION("GOOGLETRANSLATE(B11787,""en"",""de"")"),"Die Leute klatschen, wie der Gewinner angekündigt wird.")</f>
        <v>Die Leute klatschen, wie der Gewinner angekündigt wird.</v>
      </c>
    </row>
    <row r="11788">
      <c r="A11788" s="4" t="s">
        <v>14827</v>
      </c>
      <c r="B11788" s="4" t="s">
        <v>14828</v>
      </c>
      <c r="C11788" s="5" t="str">
        <f>IFERROR(__xludf.DUMMYFUNCTION("GOOGLETRANSLATE(B11788,""en"",""de"")"),"Männer heben mehrmals schwere Gewichte über dem Kopf.")</f>
        <v>Männer heben mehrmals schwere Gewichte über dem Kopf.</v>
      </c>
    </row>
    <row r="11789">
      <c r="A11789" s="4" t="s">
        <v>14827</v>
      </c>
      <c r="B11789" s="4" t="s">
        <v>14829</v>
      </c>
      <c r="C11789" s="5" t="str">
        <f>IFERROR(__xludf.DUMMYFUNCTION("GOOGLETRANSLATE(B11789,""en"",""de"")"),"Ein Mann in einem blauen Hemd beobachtet einen der Männer.")</f>
        <v>Ein Mann in einem blauen Hemd beobachtet einen der Männer.</v>
      </c>
    </row>
    <row r="11790">
      <c r="A11790" s="4" t="s">
        <v>14827</v>
      </c>
      <c r="B11790" s="4" t="s">
        <v>14830</v>
      </c>
      <c r="C11790" s="5" t="str">
        <f>IFERROR(__xludf.DUMMYFUNCTION("GOOGLETRANSLATE(B11790,""en"",""de"")"),"Ein Mann in einem grauen Hemd ahmt die Person nach, die das Gewicht hebt.")</f>
        <v>Ein Mann in einem grauen Hemd ahmt die Person nach, die das Gewicht hebt.</v>
      </c>
    </row>
    <row r="11791">
      <c r="A11791" s="4" t="s">
        <v>14831</v>
      </c>
      <c r="B11791" s="4" t="s">
        <v>14832</v>
      </c>
      <c r="C11791" s="5" t="str">
        <f>IFERROR(__xludf.DUMMYFUNCTION("GOOGLETRANSLATE(B11791,""en"",""de"")"),"Eine große Gruppe von Kindern praktiziert Basketballübungen auf einem Platz und gibt den Ball schnell aneinander weiter.")</f>
        <v>Eine große Gruppe von Kindern praktiziert Basketballübungen auf einem Platz und gibt den Ball schnell aneinander weiter.</v>
      </c>
    </row>
    <row r="11792">
      <c r="A11792" s="4" t="s">
        <v>14831</v>
      </c>
      <c r="B11792" s="4" t="s">
        <v>14833</v>
      </c>
      <c r="C11792" s="5" t="str">
        <f>IFERROR(__xludf.DUMMYFUNCTION("GOOGLETRANSLATE(B11792,""en"",""de"")"),"Mehrere Jungen machen Körbe, während sie immer noch miteinander sprechen. Der Trainer zieht ein und spricht mit den Jungs.")</f>
        <v>Mehrere Jungen machen Körbe, während sie immer noch miteinander sprechen. Der Trainer zieht ein und spricht mit den Jungs.</v>
      </c>
    </row>
    <row r="11793">
      <c r="A11793" s="4" t="s">
        <v>14831</v>
      </c>
      <c r="B11793" s="4" t="s">
        <v>14834</v>
      </c>
      <c r="C11793" s="5" t="str">
        <f>IFERROR(__xludf.DUMMYFUNCTION("GOOGLETRANSLATE(B11793,""en"",""de"")"),"Er geht weg und mit den Jungen werden weitere Übungen gezeigt.")</f>
        <v>Er geht weg und mit den Jungen werden weitere Übungen gezeigt.</v>
      </c>
    </row>
    <row r="11794">
      <c r="A11794" s="4" t="s">
        <v>14835</v>
      </c>
      <c r="B11794" s="4" t="s">
        <v>14836</v>
      </c>
      <c r="C11794" s="5" t="str">
        <f>IFERROR(__xludf.DUMMYFUNCTION("GOOGLETRANSLATE(B11794,""en"",""de"")"),"Es werden mehrere Nahaufnahmen von Pflanzen gezeigt, wenn ein Mann in den Rahmen geht und mit der Kamera spricht.")</f>
        <v>Es werden mehrere Nahaufnahmen von Pflanzen gezeigt, wenn ein Mann in den Rahmen geht und mit der Kamera spricht.</v>
      </c>
    </row>
    <row r="11795">
      <c r="A11795" s="4" t="s">
        <v>14835</v>
      </c>
      <c r="B11795" s="4" t="s">
        <v>14837</v>
      </c>
      <c r="C11795" s="5" t="str">
        <f>IFERROR(__xludf.DUMMYFUNCTION("GOOGLETRANSLATE(B11795,""en"",""de"")"),"Der Mann spricht weiterhin und zeigt auf die Kamera und beginnt Mulch auszulegen, um über die Pflanzen zu legen.")</f>
        <v>Der Mann spricht weiterhin und zeigt auf die Kamera und beginnt Mulch auszulegen, um über die Pflanzen zu legen.</v>
      </c>
    </row>
    <row r="11796">
      <c r="A11796" s="4" t="s">
        <v>14835</v>
      </c>
      <c r="B11796" s="4" t="s">
        <v>14838</v>
      </c>
      <c r="C11796" s="5" t="str">
        <f>IFERROR(__xludf.DUMMYFUNCTION("GOOGLETRANSLATE(B11796,""en"",""de"")"),"Der Mann drückt den Schmutz weiter herum und endet, indem er alle Pflanzen gießt.")</f>
        <v>Der Mann drückt den Schmutz weiter herum und endet, indem er alle Pflanzen gießt.</v>
      </c>
    </row>
    <row r="11797">
      <c r="A11797" s="4" t="s">
        <v>14839</v>
      </c>
      <c r="B11797" s="4" t="s">
        <v>14840</v>
      </c>
      <c r="C11797" s="5" t="str">
        <f>IFERROR(__xludf.DUMMYFUNCTION("GOOGLETRANSLATE(B11797,""en"",""de"")"),"Das Intro ist ein weißer Bildschirm, die Website oben links, die Wörter ""Howcast Original"" erscheinen und danach wird ein weiterer Satz von Wörtern angezeigt, die die Lektion beschreiben.")</f>
        <v>Das Intro ist ein weißer Bildschirm, die Website oben links, die Wörter "Howcast Original" erscheinen und danach wird ein weiterer Satz von Wörtern angezeigt, die die Lektion beschreiben.</v>
      </c>
    </row>
    <row r="11798">
      <c r="A11798" s="4" t="s">
        <v>14839</v>
      </c>
      <c r="B11798" s="4" t="s">
        <v>14841</v>
      </c>
      <c r="C11798" s="5" t="str">
        <f>IFERROR(__xludf.DUMMYFUNCTION("GOOGLETRANSLATE(B11798,""en"",""de"")"),"Eine Frau namens Julie Arttzt Becker hält ihre Geige und redet vor einem blauen Bildschirm.")</f>
        <v>Eine Frau namens Julie Arttzt Becker hält ihre Geige und redet vor einem blauen Bildschirm.</v>
      </c>
    </row>
    <row r="11799">
      <c r="A11799" s="4" t="s">
        <v>14839</v>
      </c>
      <c r="B11799" s="4" t="s">
        <v>14842</v>
      </c>
      <c r="C11799" s="5" t="str">
        <f>IFERROR(__xludf.DUMMYFUNCTION("GOOGLETRANSLATE(B11799,""en"",""de"")"),"Die Frau legt die Geige an ihr Kinn und redet weiter.")</f>
        <v>Die Frau legt die Geige an ihr Kinn und redet weiter.</v>
      </c>
    </row>
    <row r="11800">
      <c r="A11800" s="4" t="s">
        <v>14839</v>
      </c>
      <c r="B11800" s="4" t="s">
        <v>14843</v>
      </c>
      <c r="C11800" s="5" t="str">
        <f>IFERROR(__xludf.DUMMYFUNCTION("GOOGLETRANSLATE(B11800,""en"",""de"")"),"Die Frau legt dann ihre Finger auf die Fäden und mit ihrer anderen Hand berührt und zeigt sie auf den Fingern auf den Fäden und nimmt ab und zu den Bogen vor ihre Fäden.")</f>
        <v>Die Frau legt dann ihre Finger auf die Fäden und mit ihrer anderen Hand berührt und zeigt sie auf den Fingern auf den Fäden und nimmt ab und zu den Bogen vor ihre Fäden.</v>
      </c>
    </row>
    <row r="11801">
      <c r="A11801" s="4" t="s">
        <v>14839</v>
      </c>
      <c r="B11801" s="4" t="s">
        <v>14844</v>
      </c>
      <c r="C11801" s="5" t="str">
        <f>IFERROR(__xludf.DUMMYFUNCTION("GOOGLETRANSLATE(B11801,""en"",""de"")"),"Die Frau spricht während des gesamten Videos, als sie ihre Bewegungen demonstriert oder auf ihre Fingerbewegungen hinweist.")</f>
        <v>Die Frau spricht während des gesamten Videos, als sie ihre Bewegungen demonstriert oder auf ihre Fingerbewegungen hinweist.</v>
      </c>
    </row>
    <row r="11802">
      <c r="A11802" s="4" t="s">
        <v>14839</v>
      </c>
      <c r="B11802" s="4" t="s">
        <v>14845</v>
      </c>
      <c r="C11802" s="5" t="str">
        <f>IFERROR(__xludf.DUMMYFUNCTION("GOOGLETRANSLATE(B11802,""en"",""de"")"),"Schließlich hört die Frau auf zu reden und endet mit einem Lächeln und die Worte ""Howcast Original"" erscheinen auf dem weißen Bildschirm.")</f>
        <v>Schließlich hört die Frau auf zu reden und endet mit einem Lächeln und die Worte "Howcast Original" erscheinen auf dem weißen Bildschirm.</v>
      </c>
    </row>
    <row r="11803">
      <c r="A11803" s="4" t="s">
        <v>14846</v>
      </c>
      <c r="B11803" s="4" t="s">
        <v>14847</v>
      </c>
      <c r="C11803" s="5" t="str">
        <f>IFERROR(__xludf.DUMMYFUNCTION("GOOGLETRANSLATE(B11803,""en"",""de"")"),"Zwei Männer kämpfen in einer asiatischen Kunstform draußen.")</f>
        <v>Zwei Männer kämpfen in einer asiatischen Kunstform draußen.</v>
      </c>
    </row>
    <row r="11804">
      <c r="A11804" s="4" t="s">
        <v>14846</v>
      </c>
      <c r="B11804" s="4" t="s">
        <v>14848</v>
      </c>
      <c r="C11804" s="5" t="str">
        <f>IFERROR(__xludf.DUMMYFUNCTION("GOOGLETRANSLATE(B11804,""en"",""de"")"),"Sie nehmen Schaukeln und Hits sowie Tritte durchweg.")</f>
        <v>Sie nehmen Schaukeln und Hits sowie Tritte durchweg.</v>
      </c>
    </row>
    <row r="11805">
      <c r="A11805" s="4" t="s">
        <v>14849</v>
      </c>
      <c r="B11805" s="4" t="s">
        <v>14850</v>
      </c>
      <c r="C11805" s="5" t="str">
        <f>IFERROR(__xludf.DUMMYFUNCTION("GOOGLETRANSLATE(B11805,""en"",""de"")"),"Ein Mann steht in einer Küche vor einem kleinen Tisch.")</f>
        <v>Ein Mann steht in einer Küche vor einem kleinen Tisch.</v>
      </c>
    </row>
    <row r="11806">
      <c r="A11806" s="4" t="s">
        <v>14849</v>
      </c>
      <c r="B11806" s="4" t="s">
        <v>14851</v>
      </c>
      <c r="C11806" s="5" t="str">
        <f>IFERROR(__xludf.DUMMYFUNCTION("GOOGLETRANSLATE(B11806,""en"",""de"")"),"Er zeigt und spricht über Olivenöl und Zitronensaft.")</f>
        <v>Er zeigt und spricht über Olivenöl und Zitronensaft.</v>
      </c>
    </row>
    <row r="11807">
      <c r="A11807" s="4" t="s">
        <v>14849</v>
      </c>
      <c r="B11807" s="4" t="s">
        <v>14852</v>
      </c>
      <c r="C11807" s="5" t="str">
        <f>IFERROR(__xludf.DUMMYFUNCTION("GOOGLETRANSLATE(B11807,""en"",""de"")"),"Er verwendet die Gegenstände, um den Kratztisch zu reinigen und zu polieren.")</f>
        <v>Er verwendet die Gegenstände, um den Kratztisch zu reinigen und zu polieren.</v>
      </c>
    </row>
    <row r="11808">
      <c r="A11808" s="4" t="s">
        <v>14853</v>
      </c>
      <c r="B11808" s="4" t="s">
        <v>14854</v>
      </c>
      <c r="C11808" s="5" t="str">
        <f>IFERROR(__xludf.DUMMYFUNCTION("GOOGLETRANSLATE(B11808,""en"",""de"")"),"Ein Intro führt zu einer Frau, die mit einer Bürste mit einem großen Hund die Haare von einem großen Hund schob.")</f>
        <v>Ein Intro führt zu einer Frau, die mit einer Bürste mit einem großen Hund die Haare von einem großen Hund schob.</v>
      </c>
    </row>
    <row r="11809">
      <c r="A11809" s="4" t="s">
        <v>14853</v>
      </c>
      <c r="B11809" s="4" t="s">
        <v>14855</v>
      </c>
      <c r="C11809" s="5" t="str">
        <f>IFERROR(__xludf.DUMMYFUNCTION("GOOGLETRANSLATE(B11809,""en"",""de"")"),"Sie streift weiterhin mehrere andere Hunde an und gibt ihnen Haustiere, bevor sie sich hinsetzt und sie streichle.")</f>
        <v>Sie streift weiterhin mehrere andere Hunde an und gibt ihnen Haustiere, bevor sie sich hinsetzt und sie streichle.</v>
      </c>
    </row>
    <row r="11810">
      <c r="A11810" s="4" t="s">
        <v>14856</v>
      </c>
      <c r="B11810" s="4" t="s">
        <v>14857</v>
      </c>
      <c r="C11810" s="5" t="str">
        <f>IFERROR(__xludf.DUMMYFUNCTION("GOOGLETRANSLATE(B11810,""en"",""de"")"),"Ein Mann in Brille spricht mit der Kamera.")</f>
        <v>Ein Mann in Brille spricht mit der Kamera.</v>
      </c>
    </row>
    <row r="11811">
      <c r="A11811" s="4" t="s">
        <v>14856</v>
      </c>
      <c r="B11811" s="4" t="s">
        <v>14858</v>
      </c>
      <c r="C11811" s="5" t="str">
        <f>IFERROR(__xludf.DUMMYFUNCTION("GOOGLETRANSLATE(B11811,""en"",""de"")"),"Er demonstriert einen Schlüssel um seinen Hals und zeigt auf seine Trompete.")</f>
        <v>Er demonstriert einen Schlüssel um seinen Hals und zeigt auf seine Trompete.</v>
      </c>
    </row>
    <row r="11812">
      <c r="A11812" s="4" t="s">
        <v>14856</v>
      </c>
      <c r="B11812" s="4" t="s">
        <v>14859</v>
      </c>
      <c r="C11812" s="5" t="str">
        <f>IFERROR(__xludf.DUMMYFUNCTION("GOOGLETRANSLATE(B11812,""en"",""de"")"),"Er bindet den Schlüssel zur Trompete und spricht weiterhin wichtige Merkmale der Trompete.")</f>
        <v>Er bindet den Schlüssel zur Trompete und spricht weiterhin wichtige Merkmale der Trompete.</v>
      </c>
    </row>
    <row r="11813">
      <c r="A11813" s="4" t="s">
        <v>14860</v>
      </c>
      <c r="B11813" s="4" t="s">
        <v>14861</v>
      </c>
      <c r="C11813" s="5" t="str">
        <f>IFERROR(__xludf.DUMMYFUNCTION("GOOGLETRANSLATE(B11813,""en"",""de"")"),"Zwei Personen werden gesehen, die ein Auto reparieren und die Reifen auf einem Fahrzeug wechseln.")</f>
        <v>Zwei Personen werden gesehen, die ein Auto reparieren und die Reifen auf einem Fahrzeug wechseln.</v>
      </c>
    </row>
    <row r="11814">
      <c r="A11814" s="4" t="s">
        <v>14860</v>
      </c>
      <c r="B11814" s="4" t="s">
        <v>14862</v>
      </c>
      <c r="C11814" s="5" t="str">
        <f>IFERROR(__xludf.DUMMYFUNCTION("GOOGLETRANSLATE(B11814,""en"",""de"")"),"Ein anderer Mann betritt den Rahmen sowie mehrere andere, die den Vorfall aufzeichnen.")</f>
        <v>Ein anderer Mann betritt den Rahmen sowie mehrere andere, die den Vorfall aufzeichnen.</v>
      </c>
    </row>
    <row r="11815">
      <c r="A11815" s="4" t="s">
        <v>14860</v>
      </c>
      <c r="B11815" s="4" t="s">
        <v>14863</v>
      </c>
      <c r="C11815" s="5" t="str">
        <f>IFERROR(__xludf.DUMMYFUNCTION("GOOGLETRANSLATE(B11815,""en"",""de"")"),"Eine Person steigt ins Auto und fährt mit, dass alle zuschauen.")</f>
        <v>Eine Person steigt ins Auto und fährt mit, dass alle zuschauen.</v>
      </c>
    </row>
    <row r="11816">
      <c r="A11816" s="4" t="s">
        <v>14864</v>
      </c>
      <c r="B11816" s="4" t="s">
        <v>14865</v>
      </c>
      <c r="C11816" s="5" t="str">
        <f>IFERROR(__xludf.DUMMYFUNCTION("GOOGLETRANSLATE(B11816,""en"",""de"")"),"Eine Person hält ein rotes Blattgebläse.")</f>
        <v>Eine Person hält ein rotes Blattgebläse.</v>
      </c>
    </row>
    <row r="11817">
      <c r="A11817" s="4" t="s">
        <v>14864</v>
      </c>
      <c r="B11817" s="4" t="s">
        <v>14866</v>
      </c>
      <c r="C11817" s="5" t="str">
        <f>IFERROR(__xludf.DUMMYFUNCTION("GOOGLETRANSLATE(B11817,""en"",""de"")"),"Sie beginnen die Blätter im Hof ​​zu blasen.")</f>
        <v>Sie beginnen die Blätter im Hof ​​zu blasen.</v>
      </c>
    </row>
    <row r="11818">
      <c r="A11818" s="4" t="s">
        <v>14864</v>
      </c>
      <c r="B11818" s="4" t="s">
        <v>14867</v>
      </c>
      <c r="C11818" s="5" t="str">
        <f>IFERROR(__xludf.DUMMYFUNCTION("GOOGLETRANSLATE(B11818,""en"",""de"")"),"Sie zeigen das Blattgebläse wieder.")</f>
        <v>Sie zeigen das Blattgebläse wieder.</v>
      </c>
    </row>
    <row r="11819">
      <c r="A11819" s="4" t="s">
        <v>14868</v>
      </c>
      <c r="B11819" s="4" t="s">
        <v>14869</v>
      </c>
      <c r="C11819" s="5" t="str">
        <f>IFERROR(__xludf.DUMMYFUNCTION("GOOGLETRANSLATE(B11819,""en"",""de"")"),"Ein älterer Mann und eine junge Frau, die sich um einen Stock dreht, während das Mädchen mit verbundenen Augen und Menschen um ihre Uhr sitzen.")</f>
        <v>Ein älterer Mann und eine junge Frau, die sich um einen Stock dreht, während das Mädchen mit verbundenen Augen und Menschen um ihre Uhr sitzen.</v>
      </c>
    </row>
    <row r="11820">
      <c r="A11820" s="4" t="s">
        <v>14868</v>
      </c>
      <c r="B11820" s="4" t="s">
        <v>14870</v>
      </c>
      <c r="C11820" s="5" t="str">
        <f>IFERROR(__xludf.DUMMYFUNCTION("GOOGLETRANSLATE(B11820,""en"",""de"")"),"Das Mädchen schwingt dann den Stick um die Luft, die auf die Pinata abzielt und das Objekt mehrmals schlägt.")</f>
        <v>Das Mädchen schwingt dann den Stick um die Luft, die auf die Pinata abzielt und das Objekt mehrmals schlägt.</v>
      </c>
    </row>
    <row r="11821">
      <c r="A11821" s="4" t="s">
        <v>14868</v>
      </c>
      <c r="B11821" s="4" t="s">
        <v>14871</v>
      </c>
      <c r="C11821" s="5" t="str">
        <f>IFERROR(__xludf.DUMMYFUNCTION("GOOGLETRANSLATE(B11821,""en"",""de"")"),"Sie schwingt weiter um die Luft bis zum Ende, als sie es schließlich trifft.")</f>
        <v>Sie schwingt weiter um die Luft bis zum Ende, als sie es schließlich trifft.</v>
      </c>
    </row>
    <row r="11822">
      <c r="A11822" s="4" t="s">
        <v>14872</v>
      </c>
      <c r="B11822" s="4" t="s">
        <v>14873</v>
      </c>
      <c r="C11822" s="5" t="str">
        <f>IFERROR(__xludf.DUMMYFUNCTION("GOOGLETRANSLATE(B11822,""en"",""de"")"),"Einige Leute fahren einen Berg hinunter und folgen einander.")</f>
        <v>Einige Leute fahren einen Berg hinunter und folgen einander.</v>
      </c>
    </row>
    <row r="11823">
      <c r="A11823" s="4" t="s">
        <v>14872</v>
      </c>
      <c r="B11823" s="4" t="s">
        <v>14874</v>
      </c>
      <c r="C11823" s="5" t="str">
        <f>IFERROR(__xludf.DUMMYFUNCTION("GOOGLETRANSLATE(B11823,""en"",""de"")"),"Sie gehen, indem sie schneller und schneller gehen, bis sie fertig sind.")</f>
        <v>Sie gehen, indem sie schneller und schneller gehen, bis sie fertig sind.</v>
      </c>
    </row>
    <row r="11824">
      <c r="A11824" s="4" t="s">
        <v>14875</v>
      </c>
      <c r="B11824" s="4" t="s">
        <v>14876</v>
      </c>
      <c r="C11824" s="5" t="str">
        <f>IFERROR(__xludf.DUMMYFUNCTION("GOOGLETRANSLATE(B11824,""en"",""de"")"),"Viele Männer stehen im Freien auf einem Schmutzfeld und es stehen zwei Teams entlang eines Seils, während viele Menschen herumstehen und sie beobachten.")</f>
        <v>Viele Männer stehen im Freien auf einem Schmutzfeld und es stehen zwei Teams entlang eines Seils, während viele Menschen herumstehen und sie beobachten.</v>
      </c>
    </row>
    <row r="11825">
      <c r="A11825" s="4" t="s">
        <v>14875</v>
      </c>
      <c r="B11825" s="4" t="s">
        <v>14877</v>
      </c>
      <c r="C11825" s="5" t="str">
        <f>IFERROR(__xludf.DUMMYFUNCTION("GOOGLETRANSLATE(B11825,""en"",""de"")"),"Die Männer, die gelbe und blaue Hemden tragen, nehmen das Seil auf und spielen in Position, um einen Krieg zu spielen.")</f>
        <v>Die Männer, die gelbe und blaue Hemden tragen, nehmen das Seil auf und spielen in Position, um einen Krieg zu spielen.</v>
      </c>
    </row>
    <row r="11826">
      <c r="A11826" s="4" t="s">
        <v>14875</v>
      </c>
      <c r="B11826" s="4" t="s">
        <v>14878</v>
      </c>
      <c r="C11826" s="5" t="str">
        <f>IFERROR(__xludf.DUMMYFUNCTION("GOOGLETRANSLATE(B11826,""en"",""de"")"),"Plötzlich ziehen die Männer am Seil an, während andere Männer sie anweisen und die Zuschauer jubeln.")</f>
        <v>Plötzlich ziehen die Männer am Seil an, während andere Männer sie anweisen und die Zuschauer jubeln.</v>
      </c>
    </row>
    <row r="11827">
      <c r="A11827" s="4" t="s">
        <v>14875</v>
      </c>
      <c r="B11827" s="4" t="s">
        <v>14879</v>
      </c>
      <c r="C11827" s="5" t="str">
        <f>IFERROR(__xludf.DUMMYFUNCTION("GOOGLETRANSLATE(B11827,""en"",""de"")"),"Die Männer in den gelben und blauen Hemden ziehen leicht das Seil und haben gewonnen, während die Menschen um sie herum jubeln.")</f>
        <v>Die Männer in den gelben und blauen Hemden ziehen leicht das Seil und haben gewonnen, während die Menschen um sie herum jubeln.</v>
      </c>
    </row>
    <row r="11828">
      <c r="A11828" s="4" t="s">
        <v>14880</v>
      </c>
      <c r="B11828" s="4" t="s">
        <v>14881</v>
      </c>
      <c r="C11828" s="5" t="str">
        <f>IFERROR(__xludf.DUMMYFUNCTION("GOOGLETRANSLATE(B11828,""en"",""de"")"),"Zigaretten werden auf einen Tisch gelegt.")</f>
        <v>Zigaretten werden auf einen Tisch gelegt.</v>
      </c>
    </row>
    <row r="11829">
      <c r="A11829" s="4" t="s">
        <v>14880</v>
      </c>
      <c r="B11829" s="4" t="s">
        <v>14882</v>
      </c>
      <c r="C11829" s="5" t="str">
        <f>IFERROR(__xludf.DUMMYFUNCTION("GOOGLETRANSLATE(B11829,""en"",""de"")"),"Jemand mischt Karten auf den Tisch.")</f>
        <v>Jemand mischt Karten auf den Tisch.</v>
      </c>
    </row>
    <row r="11830">
      <c r="A11830" s="4" t="s">
        <v>14880</v>
      </c>
      <c r="B11830" s="4" t="s">
        <v>14883</v>
      </c>
      <c r="C11830" s="5" t="str">
        <f>IFERROR(__xludf.DUMMYFUNCTION("GOOGLETRANSLATE(B11830,""en"",""de"")"),"Ein Mann schiebt einen Besen hinter sich.")</f>
        <v>Ein Mann schiebt einen Besen hinter sich.</v>
      </c>
    </row>
    <row r="11831">
      <c r="A11831" s="4" t="s">
        <v>14880</v>
      </c>
      <c r="B11831" s="4" t="s">
        <v>14884</v>
      </c>
      <c r="C11831" s="5" t="str">
        <f>IFERROR(__xludf.DUMMYFUNCTION("GOOGLETRANSLATE(B11831,""en"",""de"")"),"Sie spielen weiterhin Karten am Tisch.")</f>
        <v>Sie spielen weiterhin Karten am Tisch.</v>
      </c>
    </row>
    <row r="11832">
      <c r="A11832" s="4" t="s">
        <v>14885</v>
      </c>
      <c r="B11832" s="4" t="s">
        <v>14886</v>
      </c>
      <c r="C11832" s="5" t="str">
        <f>IFERROR(__xludf.DUMMYFUNCTION("GOOGLETRANSLATE(B11832,""en"",""de"")"),"Ein Video führt zu mehreren Clips eines Mannes, der mit einem Hund Tricks ausführt.")</f>
        <v>Ein Video führt zu mehreren Clips eines Mannes, der mit einem Hund Tricks ausführt.</v>
      </c>
    </row>
    <row r="11833">
      <c r="A11833" s="4" t="s">
        <v>14885</v>
      </c>
      <c r="B11833" s="4" t="s">
        <v>14887</v>
      </c>
      <c r="C11833" s="5" t="str">
        <f>IFERROR(__xludf.DUMMYFUNCTION("GOOGLETRANSLATE(B11833,""en"",""de"")"),"Der Mann führt weiterhin Tricks mit dem Hund durch, während die Kamera ihn aus mehreren Blickwinkeln und anderen mit ihren Hunden erfasst.")</f>
        <v>Der Mann führt weiterhin Tricks mit dem Hund durch, während die Kamera ihn aus mehreren Blickwinkeln und anderen mit ihren Hunden erfasst.</v>
      </c>
    </row>
    <row r="11834">
      <c r="A11834" s="4" t="s">
        <v>14888</v>
      </c>
      <c r="B11834" s="4" t="s">
        <v>14889</v>
      </c>
      <c r="C11834" s="5" t="str">
        <f>IFERROR(__xludf.DUMMYFUNCTION("GOOGLETRANSLATE(B11834,""en"",""de"")"),"Ein kleines Mädchen geht in ein Badezimmer und beginnt mit der Kamera zu sprechen.")</f>
        <v>Ein kleines Mädchen geht in ein Badezimmer und beginnt mit der Kamera zu sprechen.</v>
      </c>
    </row>
    <row r="11835">
      <c r="A11835" s="4" t="s">
        <v>14888</v>
      </c>
      <c r="B11835" s="4" t="s">
        <v>14890</v>
      </c>
      <c r="C11835" s="5" t="str">
        <f>IFERROR(__xludf.DUMMYFUNCTION("GOOGLETRANSLATE(B11835,""en"",""de"")"),"Das Badezimmer verwandelt sich in eine Fabrik.")</f>
        <v>Das Badezimmer verwandelt sich in eine Fabrik.</v>
      </c>
    </row>
    <row r="11836">
      <c r="A11836" s="4" t="s">
        <v>14888</v>
      </c>
      <c r="B11836" s="4" t="s">
        <v>14891</v>
      </c>
      <c r="C11836" s="5" t="str">
        <f>IFERROR(__xludf.DUMMYFUNCTION("GOOGLETRANSLATE(B11836,""en"",""de"")"),"Das Mädchen nimmt eine Zahnbürste auf und redet weiter.")</f>
        <v>Das Mädchen nimmt eine Zahnbürste auf und redet weiter.</v>
      </c>
    </row>
    <row r="11837">
      <c r="A11837" s="4" t="s">
        <v>14888</v>
      </c>
      <c r="B11837" s="4" t="s">
        <v>14892</v>
      </c>
      <c r="C11837" s="5" t="str">
        <f>IFERROR(__xludf.DUMMYFUNCTION("GOOGLETRANSLATE(B11837,""en"",""de"")"),"Zahnpasta wird auf eine Zahnbürste aufgetragen.")</f>
        <v>Zahnpasta wird auf eine Zahnbürste aufgetragen.</v>
      </c>
    </row>
    <row r="11838">
      <c r="A11838" s="4" t="s">
        <v>14888</v>
      </c>
      <c r="B11838" s="4" t="s">
        <v>14893</v>
      </c>
      <c r="C11838" s="5" t="str">
        <f>IFERROR(__xludf.DUMMYFUNCTION("GOOGLETRANSLATE(B11838,""en"",""de"")"),"Das Mädchen putzt die Zähne und die Fabrik wechselt zurück in ein Badezimmer.")</f>
        <v>Das Mädchen putzt die Zähne und die Fabrik wechselt zurück in ein Badezimmer.</v>
      </c>
    </row>
    <row r="11839">
      <c r="A11839" s="4" t="s">
        <v>14894</v>
      </c>
      <c r="B11839" s="4" t="s">
        <v>14895</v>
      </c>
      <c r="C11839" s="5" t="str">
        <f>IFERROR(__xludf.DUMMYFUNCTION("GOOGLETRANSLATE(B11839,""en"",""de"")"),"Ein Mann spricht in ein Mikrofon.")</f>
        <v>Ein Mann spricht in ein Mikrofon.</v>
      </c>
    </row>
    <row r="11840">
      <c r="A11840" s="4" t="s">
        <v>14894</v>
      </c>
      <c r="B11840" s="4" t="s">
        <v>14896</v>
      </c>
      <c r="C11840" s="5" t="str">
        <f>IFERROR(__xludf.DUMMYFUNCTION("GOOGLETRANSLATE(B11840,""en"",""de"")"),"Ein Mann, der ein schwarzes Umhang trägt, lässt seinen Bart rasieren.")</f>
        <v>Ein Mann, der ein schwarzes Umhang trägt, lässt seinen Bart rasieren.</v>
      </c>
    </row>
    <row r="11841">
      <c r="A11841" s="4" t="s">
        <v>14894</v>
      </c>
      <c r="B11841" s="4" t="s">
        <v>14897</v>
      </c>
      <c r="C11841" s="5" t="str">
        <f>IFERROR(__xludf.DUMMYFUNCTION("GOOGLETRANSLATE(B11841,""en"",""de"")"),"Eine Person legt ein weißes Handtuch über das Gesicht des Mannes.")</f>
        <v>Eine Person legt ein weißes Handtuch über das Gesicht des Mannes.</v>
      </c>
    </row>
    <row r="11842">
      <c r="A11842" s="4" t="s">
        <v>14894</v>
      </c>
      <c r="B11842" s="4" t="s">
        <v>14898</v>
      </c>
      <c r="C11842" s="5" t="str">
        <f>IFERROR(__xludf.DUMMYFUNCTION("GOOGLETRANSLATE(B11842,""en"",""de"")"),"Er legt Rasiercreme auf das Gesicht des Mannes.")</f>
        <v>Er legt Rasiercreme auf das Gesicht des Mannes.</v>
      </c>
    </row>
    <row r="11843">
      <c r="A11843" s="4" t="s">
        <v>14894</v>
      </c>
      <c r="B11843" s="4" t="s">
        <v>14899</v>
      </c>
      <c r="C11843" s="5" t="str">
        <f>IFERROR(__xludf.DUMMYFUNCTION("GOOGLETRANSLATE(B11843,""en"",""de"")"),"Dann legt er wieder ein Handtuch über das Gesicht des Mannes.")</f>
        <v>Dann legt er wieder ein Handtuch über das Gesicht des Mannes.</v>
      </c>
    </row>
    <row r="11844">
      <c r="A11844" s="4" t="s">
        <v>14894</v>
      </c>
      <c r="B11844" s="4" t="s">
        <v>14900</v>
      </c>
      <c r="C11844" s="5" t="str">
        <f>IFERROR(__xludf.DUMMYFUNCTION("GOOGLETRANSLATE(B11844,""en"",""de"")"),"Dann rasiert er den Bart des Mannes mit einem Rasierer.")</f>
        <v>Dann rasiert er den Bart des Mannes mit einem Rasierer.</v>
      </c>
    </row>
    <row r="11845">
      <c r="A11845" s="4" t="s">
        <v>14894</v>
      </c>
      <c r="B11845" s="4" t="s">
        <v>14901</v>
      </c>
      <c r="C11845" s="5" t="str">
        <f>IFERROR(__xludf.DUMMYFUNCTION("GOOGLETRANSLATE(B11845,""en"",""de"")"),"Der Mann legt wieder ein Handtuch auf das Gesicht des anderen Mannes.")</f>
        <v>Der Mann legt wieder ein Handtuch auf das Gesicht des anderen Mannes.</v>
      </c>
    </row>
    <row r="11846">
      <c r="A11846" s="4" t="s">
        <v>14894</v>
      </c>
      <c r="B11846" s="4" t="s">
        <v>14902</v>
      </c>
      <c r="C11846" s="5" t="str">
        <f>IFERROR(__xludf.DUMMYFUNCTION("GOOGLETRANSLATE(B11846,""en"",""de"")"),"Er nimmt den Umhang aus und steht auf.")</f>
        <v>Er nimmt den Umhang aus und steht auf.</v>
      </c>
    </row>
    <row r="11847">
      <c r="A11847" s="4" t="s">
        <v>14903</v>
      </c>
      <c r="B11847" s="4" t="s">
        <v>14904</v>
      </c>
      <c r="C11847" s="5" t="str">
        <f>IFERROR(__xludf.DUMMYFUNCTION("GOOGLETRANSLATE(B11847,""en"",""de"")"),"Ein paar tanzt auf einem Ballsaalboden mit Leuten an Tischen in der Nähe.")</f>
        <v>Ein paar tanzt auf einem Ballsaalboden mit Leuten an Tischen in der Nähe.</v>
      </c>
    </row>
    <row r="11848">
      <c r="A11848" s="4" t="s">
        <v>14903</v>
      </c>
      <c r="B11848" s="4" t="s">
        <v>14905</v>
      </c>
      <c r="C11848" s="5" t="str">
        <f>IFERROR(__xludf.DUMMYFUNCTION("GOOGLETRANSLATE(B11848,""en"",""de"")"),"Leute in der Nähe machen Fotos des Paares.")</f>
        <v>Leute in der Nähe machen Fotos des Paares.</v>
      </c>
    </row>
    <row r="11849">
      <c r="A11849" s="4" t="s">
        <v>14903</v>
      </c>
      <c r="B11849" s="4" t="s">
        <v>14906</v>
      </c>
      <c r="C11849" s="5" t="str">
        <f>IFERROR(__xludf.DUMMYFUNCTION("GOOGLETRANSLATE(B11849,""en"",""de"")"),"Das Paar endet und verlässt die Tanzfläche.")</f>
        <v>Das Paar endet und verlässt die Tanzfläche.</v>
      </c>
    </row>
    <row r="11850">
      <c r="A11850" s="4" t="s">
        <v>14907</v>
      </c>
      <c r="B11850" s="4" t="s">
        <v>14908</v>
      </c>
      <c r="C11850" s="5" t="str">
        <f>IFERROR(__xludf.DUMMYFUNCTION("GOOGLETRANSLATE(B11850,""en"",""de"")"),"Ein junges Mädchen zeigt seine langen Haare bis zur Taille.")</f>
        <v>Ein junges Mädchen zeigt seine langen Haare bis zur Taille.</v>
      </c>
    </row>
    <row r="11851">
      <c r="A11851" s="4" t="s">
        <v>14907</v>
      </c>
      <c r="B11851" s="4" t="s">
        <v>14909</v>
      </c>
      <c r="C11851" s="5" t="str">
        <f>IFERROR(__xludf.DUMMYFUNCTION("GOOGLETRANSLATE(B11851,""en"",""de"")"),"Dann schneidet ein Friseur die Haare des jungen Mädchens ab.")</f>
        <v>Dann schneidet ein Friseur die Haare des jungen Mädchens ab.</v>
      </c>
    </row>
    <row r="11852">
      <c r="A11852" s="4" t="s">
        <v>14907</v>
      </c>
      <c r="B11852" s="4" t="s">
        <v>14910</v>
      </c>
      <c r="C11852" s="5" t="str">
        <f>IFERROR(__xludf.DUMMYFUNCTION("GOOGLETRANSLATE(B11852,""en"",""de"")"),"Danach zeigt das Mädchen ihr kurzes und langes Haar und zwei Zöpfe.")</f>
        <v>Danach zeigt das Mädchen ihr kurzes und langes Haar und zwei Zöpfe.</v>
      </c>
    </row>
    <row r="11853">
      <c r="A11853" s="4" t="s">
        <v>14911</v>
      </c>
      <c r="B11853" s="4" t="s">
        <v>14912</v>
      </c>
      <c r="C11853" s="5" t="str">
        <f>IFERROR(__xludf.DUMMYFUNCTION("GOOGLETRANSLATE(B11853,""en"",""de"")"),"Es gibt eine Person in einem blauen Track -Anzug, der zeigt, wie man eine Rudermaschine benutzt.")</f>
        <v>Es gibt eine Person in einem blauen Track -Anzug, der zeigt, wie man eine Rudermaschine benutzt.</v>
      </c>
    </row>
    <row r="11854">
      <c r="A11854" s="4" t="s">
        <v>14911</v>
      </c>
      <c r="B11854" s="4" t="s">
        <v>14913</v>
      </c>
      <c r="C11854" s="5" t="str">
        <f>IFERROR(__xludf.DUMMYFUNCTION("GOOGLETRANSLATE(B11854,""en"",""de"")"),"Er sitzt an der Bar der Maschine und schützt seine Füße in die Fußruhe.")</f>
        <v>Er sitzt an der Bar der Maschine und schützt seine Füße in die Fußruhe.</v>
      </c>
    </row>
    <row r="11855">
      <c r="A11855" s="4" t="s">
        <v>14911</v>
      </c>
      <c r="B11855" s="4" t="s">
        <v>14914</v>
      </c>
      <c r="C11855" s="5" t="str">
        <f>IFERROR(__xludf.DUMMYFUNCTION("GOOGLETRANSLATE(B11855,""en"",""de"")"),"Dann beginnt er damit, das Seil zu seiner Brust zu ziehen, während er seine Beine glättet.")</f>
        <v>Dann beginnt er damit, das Seil zu seiner Brust zu ziehen, während er seine Beine glättet.</v>
      </c>
    </row>
    <row r="11856">
      <c r="A11856" s="4" t="s">
        <v>14911</v>
      </c>
      <c r="B11856" s="4" t="s">
        <v>14915</v>
      </c>
      <c r="C11856" s="5" t="str">
        <f>IFERROR(__xludf.DUMMYFUNCTION("GOOGLETRANSLATE(B11856,""en"",""de"")"),"Dann benutzt er weiterhin die Maschine in der Hin- und Herbewegung.")</f>
        <v>Dann benutzt er weiterhin die Maschine in der Hin- und Herbewegung.</v>
      </c>
    </row>
    <row r="11857">
      <c r="A11857" s="4" t="s">
        <v>14911</v>
      </c>
      <c r="B11857" s="4" t="s">
        <v>14916</v>
      </c>
      <c r="C11857" s="5" t="str">
        <f>IFERROR(__xludf.DUMMYFUNCTION("GOOGLETRANSLATE(B11857,""en"",""de"")"),"Dann kommt es zur Ruhe, indem er das Seil freigibt und sich rückwärts lehne.")</f>
        <v>Dann kommt es zur Ruhe, indem er das Seil freigibt und sich rückwärts lehne.</v>
      </c>
    </row>
    <row r="11858">
      <c r="A11858" s="4" t="s">
        <v>14917</v>
      </c>
      <c r="B11858" s="4" t="s">
        <v>14918</v>
      </c>
      <c r="C11858" s="5" t="str">
        <f>IFERROR(__xludf.DUMMYFUNCTION("GOOGLETRANSLATE(B11858,""en"",""de"")"),"Eine Nahaufnahme eines Sneakers wird gezeigt, gefolgt von einer Person, die einen Wasserhahn einschaltet und das Wasser über den Schuh laufen lässt.")</f>
        <v>Eine Nahaufnahme eines Sneakers wird gezeigt, gefolgt von einer Person, die einen Wasserhahn einschaltet und das Wasser über den Schuh laufen lässt.</v>
      </c>
    </row>
    <row r="11859">
      <c r="A11859" s="4" t="s">
        <v>14917</v>
      </c>
      <c r="B11859" s="4" t="s">
        <v>14919</v>
      </c>
      <c r="C11859" s="5" t="str">
        <f>IFERROR(__xludf.DUMMYFUNCTION("GOOGLETRANSLATE(B11859,""en"",""de"")"),"Die Person nimmt dann Show Polish und beginnt mit einer Zahnbürste den Schuh, während er ihn noch unter dem Wasser läuft.")</f>
        <v>Die Person nimmt dann Show Polish und beginnt mit einer Zahnbürste den Schuh, während er ihn noch unter dem Wasser läuft.</v>
      </c>
    </row>
    <row r="11860">
      <c r="A11860" s="4" t="s">
        <v>14917</v>
      </c>
      <c r="B11860" s="4" t="s">
        <v>14920</v>
      </c>
      <c r="C11860" s="5" t="str">
        <f>IFERROR(__xludf.DUMMYFUNCTION("GOOGLETRANSLATE(B11860,""en"",""de"")"),"Die Person schaltet das Wasser aus und präsentiert den Schuh in der Spüle.")</f>
        <v>Die Person schaltet das Wasser aus und präsentiert den Schuh in der Spüle.</v>
      </c>
    </row>
    <row r="11861">
      <c r="A11861" s="4" t="s">
        <v>14921</v>
      </c>
      <c r="B11861" s="4" t="s">
        <v>14922</v>
      </c>
      <c r="C11861" s="5" t="str">
        <f>IFERROR(__xludf.DUMMYFUNCTION("GOOGLETRANSLATE(B11861,""en"",""de"")"),"Eine Frau springt in zwei Bars und macht eine Gymnastikroutine.")</f>
        <v>Eine Frau springt in zwei Bars und macht eine Gymnastikroutine.</v>
      </c>
    </row>
    <row r="11862">
      <c r="A11862" s="4" t="s">
        <v>14921</v>
      </c>
      <c r="B11862" s="4" t="s">
        <v>14923</v>
      </c>
      <c r="C11862" s="5" t="str">
        <f>IFERROR(__xludf.DUMMYFUNCTION("GOOGLETRANSLATE(B11862,""en"",""de"")"),"Das Publikum beobachtet sie.")</f>
        <v>Das Publikum beobachtet sie.</v>
      </c>
    </row>
    <row r="11863">
      <c r="A11863" s="4" t="s">
        <v>14921</v>
      </c>
      <c r="B11863" s="4" t="s">
        <v>14924</v>
      </c>
      <c r="C11863" s="5" t="str">
        <f>IFERROR(__xludf.DUMMYFUNCTION("GOOGLETRANSLATE(B11863,""en"",""de"")"),"Sie springt von den Bars und landet mit den Händen in der Luft auf der Matte.")</f>
        <v>Sie springt von den Bars und landet mit den Händen in der Luft auf der Matte.</v>
      </c>
    </row>
    <row r="11864">
      <c r="A11864" s="4" t="s">
        <v>14921</v>
      </c>
      <c r="B11864" s="4" t="s">
        <v>14925</v>
      </c>
      <c r="C11864" s="5" t="str">
        <f>IFERROR(__xludf.DUMMYFUNCTION("GOOGLETRANSLATE(B11864,""en"",""de"")"),"Eine Wiederholung ihrer Leistung wird gezeigt.")</f>
        <v>Eine Wiederholung ihrer Leistung wird gezeigt.</v>
      </c>
    </row>
    <row r="11865">
      <c r="A11865" s="4" t="s">
        <v>14921</v>
      </c>
      <c r="B11865" s="4" t="s">
        <v>14926</v>
      </c>
      <c r="C11865" s="5" t="str">
        <f>IFERROR(__xludf.DUMMYFUNCTION("GOOGLETRANSLATE(B11865,""en"",""de"")"),"Wörter werden dann auf dem Bildschirm angezeigt.")</f>
        <v>Wörter werden dann auf dem Bildschirm angezeigt.</v>
      </c>
    </row>
    <row r="11866">
      <c r="A11866" s="4" t="s">
        <v>14927</v>
      </c>
      <c r="B11866" s="4" t="s">
        <v>14928</v>
      </c>
      <c r="C11866" s="5" t="str">
        <f>IFERROR(__xludf.DUMMYFUNCTION("GOOGLETRANSLATE(B11866,""en"",""de"")"),"Zwei Männer spielen Kürbis in einem Raum.")</f>
        <v>Zwei Männer spielen Kürbis in einem Raum.</v>
      </c>
    </row>
    <row r="11867">
      <c r="A11867" s="4" t="s">
        <v>14927</v>
      </c>
      <c r="B11867" s="4" t="s">
        <v>14929</v>
      </c>
      <c r="C11867" s="5" t="str">
        <f>IFERROR(__xludf.DUMMYFUNCTION("GOOGLETRANSLATE(B11867,""en"",""de"")"),"Ein Spieler findet den Ball und wirft ihn seinem Partner.")</f>
        <v>Ein Spieler findet den Ball und wirft ihn seinem Partner.</v>
      </c>
    </row>
    <row r="11868">
      <c r="A11868" s="4" t="s">
        <v>14927</v>
      </c>
      <c r="B11868" s="4" t="s">
        <v>14930</v>
      </c>
      <c r="C11868" s="5" t="str">
        <f>IFERROR(__xludf.DUMMYFUNCTION("GOOGLETRANSLATE(B11868,""en"",""de"")"),"Dann spielen die beiden Männer weiter.")</f>
        <v>Dann spielen die beiden Männer weiter.</v>
      </c>
    </row>
    <row r="11869">
      <c r="A11869" s="4" t="s">
        <v>14927</v>
      </c>
      <c r="B11869" s="4" t="s">
        <v>14931</v>
      </c>
      <c r="C11869" s="5" t="str">
        <f>IFERROR(__xludf.DUMMYFUNCTION("GOOGLETRANSLATE(B11869,""en"",""de"")"),"Ein Mann nimmt einen Ball aus dem Boden und setzt den Kürbis fort.")</f>
        <v>Ein Mann nimmt einen Ball aus dem Boden und setzt den Kürbis fort.</v>
      </c>
    </row>
    <row r="11870">
      <c r="A11870" s="4" t="s">
        <v>14932</v>
      </c>
      <c r="B11870" s="4" t="s">
        <v>14933</v>
      </c>
      <c r="C11870" s="5" t="str">
        <f>IFERROR(__xludf.DUMMYFUNCTION("GOOGLETRANSLATE(B11870,""en"",""de"")"),"Zwei Menschen sind in der Mitte des Waldkajakfahrens in lebendigem Weißwasser, umgeben von großen Felsen.")</f>
        <v>Zwei Menschen sind in der Mitte des Waldkajakfahrens in lebendigem Weißwasser, umgeben von großen Felsen.</v>
      </c>
    </row>
    <row r="11871">
      <c r="A11871" s="4" t="s">
        <v>14932</v>
      </c>
      <c r="B11871" s="4" t="s">
        <v>14934</v>
      </c>
      <c r="C11871" s="5" t="str">
        <f>IFERROR(__xludf.DUMMYFUNCTION("GOOGLETRANSLATE(B11871,""en"",""de"")"),"Sie beginnen sich zu ihrer Linken zu bewegen und fallen über den ersten Hügel großer Felsen und treffen sich in der Ecke und beginnen zu reden.")</f>
        <v>Sie beginnen sich zu ihrer Linken zu bewegen und fallen über den ersten Hügel großer Felsen und treffen sich in der Ecke und beginnen zu reden.</v>
      </c>
    </row>
    <row r="11872">
      <c r="A11872" s="4" t="s">
        <v>14932</v>
      </c>
      <c r="B11872" s="4" t="s">
        <v>14935</v>
      </c>
      <c r="C11872" s="5" t="str">
        <f>IFERROR(__xludf.DUMMYFUNCTION("GOOGLETRANSLATE(B11872,""en"",""de"")"),"Die zweite Person beginnt zu Kajak und geht wild den nächsten steilen Hügel von Felsen und Waits.")</f>
        <v>Die zweite Person beginnt zu Kajak und geht wild den nächsten steilen Hügel von Felsen und Waits.</v>
      </c>
    </row>
    <row r="11873">
      <c r="A11873" s="4" t="s">
        <v>14932</v>
      </c>
      <c r="B11873" s="4" t="s">
        <v>14936</v>
      </c>
      <c r="C11873" s="5" t="str">
        <f>IFERROR(__xludf.DUMMYFUNCTION("GOOGLETRANSLATE(B11873,""en"",""de"")"),"Kurz darauf folgt der Mann in der blauen Jacke nach und kommt dahinter.")</f>
        <v>Kurz darauf folgt der Mann in der blauen Jacke nach und kommt dahinter.</v>
      </c>
    </row>
    <row r="11874">
      <c r="A11874" s="4" t="s">
        <v>14932</v>
      </c>
      <c r="B11874" s="4" t="s">
        <v>14937</v>
      </c>
      <c r="C11874" s="5" t="str">
        <f>IFERROR(__xludf.DUMMYFUNCTION("GOOGLETRANSLATE(B11874,""en"",""de"")"),"Zuletzt machen sie zwei Bilder mit dem Wald, als Rücken in der Nähe eines braunen Zeichens mit weißen Worten, die Great Falls lesen, übersehen.")</f>
        <v>Zuletzt machen sie zwei Bilder mit dem Wald, als Rücken in der Nähe eines braunen Zeichens mit weißen Worten, die Great Falls lesen, übersehen.</v>
      </c>
    </row>
    <row r="11875">
      <c r="A11875" s="4" t="s">
        <v>14938</v>
      </c>
      <c r="B11875" s="4" t="s">
        <v>14939</v>
      </c>
      <c r="C11875" s="5" t="str">
        <f>IFERROR(__xludf.DUMMYFUNCTION("GOOGLETRANSLATE(B11875,""en"",""de"")"),"Die Person drückt die Zitronen im Squeezer.")</f>
        <v>Die Person drückt die Zitronen im Squeezer.</v>
      </c>
    </row>
    <row r="11876">
      <c r="A11876" s="4" t="s">
        <v>14938</v>
      </c>
      <c r="B11876" s="4" t="s">
        <v>14940</v>
      </c>
      <c r="C11876" s="5" t="str">
        <f>IFERROR(__xludf.DUMMYFUNCTION("GOOGLETRANSLATE(B11876,""en"",""de"")"),"Die Person gießt die Zitrone in die weiße Sprühflasche und fügte Wasser hinzu.")</f>
        <v>Die Person gießt die Zitrone in die weiße Sprühflasche und fügte Wasser hinzu.</v>
      </c>
    </row>
    <row r="11877">
      <c r="A11877" s="4" t="s">
        <v>14938</v>
      </c>
      <c r="B11877" s="4" t="s">
        <v>14941</v>
      </c>
      <c r="C11877" s="5" t="str">
        <f>IFERROR(__xludf.DUMMYFUNCTION("GOOGLETRANSLATE(B11877,""en"",""de"")"),"Die Person besprühen Sie den Zitronensaft in einen Bug und reiben Sie die Schüssel mit Schwamm.")</f>
        <v>Die Person besprühen Sie den Zitronensaft in einen Bug und reiben Sie die Schüssel mit Schwamm.</v>
      </c>
    </row>
    <row r="11878">
      <c r="A11878" s="4" t="s">
        <v>14942</v>
      </c>
      <c r="B11878" s="4" t="s">
        <v>14943</v>
      </c>
      <c r="C11878" s="5" t="str">
        <f>IFERROR(__xludf.DUMMYFUNCTION("GOOGLETRANSLATE(B11878,""en"",""de"")"),"Ein Sportler startet einen Speer in einem Stadion.")</f>
        <v>Ein Sportler startet einen Speer in einem Stadion.</v>
      </c>
    </row>
    <row r="11879">
      <c r="A11879" s="4" t="s">
        <v>14942</v>
      </c>
      <c r="B11879" s="4" t="s">
        <v>14944</v>
      </c>
      <c r="C11879" s="5" t="str">
        <f>IFERROR(__xludf.DUMMYFUNCTION("GOOGLETRANSLATE(B11879,""en"",""de"")"),"Der Speer fliegt in der Luft und landet in der grünen Spur, dann rennt ein Mann darauf.")</f>
        <v>Der Speer fliegt in der Luft und landet in der grünen Spur, dann rennt ein Mann darauf.</v>
      </c>
    </row>
    <row r="11880">
      <c r="A11880" s="4" t="s">
        <v>14942</v>
      </c>
      <c r="B11880" s="4" t="s">
        <v>14945</v>
      </c>
      <c r="C11880" s="5" t="str">
        <f>IFERROR(__xludf.DUMMYFUNCTION("GOOGLETRANSLATE(B11880,""en"",""de"")"),"Der Sportler spaziert und hebt die Hände und klatscht in die Hände.")</f>
        <v>Der Sportler spaziert und hebt die Hände und klatscht in die Hände.</v>
      </c>
    </row>
    <row r="11881">
      <c r="A11881" s="4" t="s">
        <v>14942</v>
      </c>
      <c r="B11881" s="4" t="s">
        <v>14946</v>
      </c>
      <c r="C11881" s="5" t="str">
        <f>IFERROR(__xludf.DUMMYFUNCTION("GOOGLETRANSLATE(B11881,""en"",""de"")"),"Ein Kameramannfilm The Athlet.")</f>
        <v>Ein Kameramannfilm The Athlet.</v>
      </c>
    </row>
    <row r="11882">
      <c r="A11882" s="4" t="s">
        <v>14942</v>
      </c>
      <c r="B11882" s="4" t="s">
        <v>14947</v>
      </c>
      <c r="C11882" s="5" t="str">
        <f>IFERROR(__xludf.DUMMYFUNCTION("GOOGLETRANSLATE(B11882,""en"",""de"")"),"Der Turner startet einen Speer im Stadion.")</f>
        <v>Der Turner startet einen Speer im Stadion.</v>
      </c>
    </row>
    <row r="11883">
      <c r="A11883" s="4" t="s">
        <v>14948</v>
      </c>
      <c r="B11883" s="4" t="s">
        <v>14949</v>
      </c>
      <c r="C11883" s="5" t="str">
        <f>IFERROR(__xludf.DUMMYFUNCTION("GOOGLETRANSLATE(B11883,""en"",""de"")"),"Es werden mehrere Bilder von Menschen gezeigt, die Schuhe für andere an verschiedenen Orten mit Lappen und Pinsel auf ihren Schuhen leuchten.")</f>
        <v>Es werden mehrere Bilder von Menschen gezeigt, die Schuhe für andere an verschiedenen Orten mit Lappen und Pinsel auf ihren Schuhen leuchten.</v>
      </c>
    </row>
    <row r="11884">
      <c r="A11884" s="4" t="s">
        <v>14948</v>
      </c>
      <c r="B11884" s="4" t="s">
        <v>14950</v>
      </c>
      <c r="C11884" s="5" t="str">
        <f>IFERROR(__xludf.DUMMYFUNCTION("GOOGLETRANSLATE(B11884,""en"",""de"")"),"Das Video setzt sich mit vielen weiteren Bildern fort, die von Menschen gezeigt werden, die Schuhe leuchten, und ein Mann, der am Ende mit einer Schürze steht.")</f>
        <v>Das Video setzt sich mit vielen weiteren Bildern fort, die von Menschen gezeigt werden, die Schuhe leuchten, und ein Mann, der am Ende mit einer Schürze steht.</v>
      </c>
    </row>
    <row r="11885">
      <c r="A11885" s="4" t="s">
        <v>14951</v>
      </c>
      <c r="B11885" s="4" t="s">
        <v>14952</v>
      </c>
      <c r="C11885" s="5" t="str">
        <f>IFERROR(__xludf.DUMMYFUNCTION("GOOGLETRANSLATE(B11885,""en"",""de"")"),"Eine Tür mit roten Schildern bedecken sie.")</f>
        <v>Eine Tür mit roten Schildern bedecken sie.</v>
      </c>
    </row>
    <row r="11886">
      <c r="A11886" s="4" t="s">
        <v>14951</v>
      </c>
      <c r="B11886" s="4" t="s">
        <v>14953</v>
      </c>
      <c r="C11886" s="5" t="str">
        <f>IFERROR(__xludf.DUMMYFUNCTION("GOOGLETRANSLATE(B11886,""en"",""de"")"),"Ein Feuerwehrmann rennt draußen mit einem Brett.")</f>
        <v>Ein Feuerwehrmann rennt draußen mit einem Brett.</v>
      </c>
    </row>
    <row r="11887">
      <c r="A11887" s="4" t="s">
        <v>14951</v>
      </c>
      <c r="B11887" s="4" t="s">
        <v>14954</v>
      </c>
      <c r="C11887" s="5" t="str">
        <f>IFERROR(__xludf.DUMMYFUNCTION("GOOGLETRANSLATE(B11887,""en"",""de"")"),"Er schlägt die Straße hinter einem Auto hinunter, geht um die Kurven und fällt ein paar Mal hinunter.")</f>
        <v>Er schlägt die Straße hinter einem Auto hinunter, geht um die Kurven und fällt ein paar Mal hinunter.</v>
      </c>
    </row>
    <row r="11888">
      <c r="A11888" s="4" t="s">
        <v>14955</v>
      </c>
      <c r="B11888" s="4" t="s">
        <v>14956</v>
      </c>
      <c r="C11888" s="5" t="str">
        <f>IFERROR(__xludf.DUMMYFUNCTION("GOOGLETRANSLATE(B11888,""en"",""de"")"),"Ein Mädchen in einer lila Bluse sitzt auf einem Zaunpfosten, als sie ein Pferd streift, das an den Zaun gebunden ist.")</f>
        <v>Ein Mädchen in einer lila Bluse sitzt auf einem Zaunpfosten, als sie ein Pferd streift, das an den Zaun gebunden ist.</v>
      </c>
    </row>
    <row r="11889">
      <c r="A11889" s="4" t="s">
        <v>14955</v>
      </c>
      <c r="B11889" s="4" t="s">
        <v>14957</v>
      </c>
      <c r="C11889" s="5" t="str">
        <f>IFERROR(__xludf.DUMMYFUNCTION("GOOGLETRANSLATE(B11889,""en"",""de"")"),"Das Mädchen steht auf dem Zaunpfosten, während er die Pferdemähne streift.")</f>
        <v>Das Mädchen steht auf dem Zaunpfosten, während er die Pferdemähne streift.</v>
      </c>
    </row>
    <row r="11890">
      <c r="A11890" s="4" t="s">
        <v>14955</v>
      </c>
      <c r="B11890" s="4" t="s">
        <v>14958</v>
      </c>
      <c r="C11890" s="5" t="str">
        <f>IFERROR(__xludf.DUMMYFUNCTION("GOOGLETRANSLATE(B11890,""en"",""de"")"),"Das Mädchen steht weiter auf dem Zaunpfosten, der sich auf die Pferde zurücklehnt und die Rückseite des Pferdes streift, während sie in die Kamera lächelt.")</f>
        <v>Das Mädchen steht weiter auf dem Zaunpfosten, der sich auf die Pferde zurücklehnt und die Rückseite des Pferdes streift, während sie in die Kamera lächelt.</v>
      </c>
    </row>
    <row r="11891">
      <c r="A11891" s="4" t="s">
        <v>14955</v>
      </c>
      <c r="B11891" s="4" t="s">
        <v>14959</v>
      </c>
      <c r="C11891" s="5" t="str">
        <f>IFERROR(__xludf.DUMMYFUNCTION("GOOGLETRANSLATE(B11891,""en"",""de"")"),"Das Mädchen steigt auf den Pferden zurück, als sie weiterhin den Pferdehals und die Mähne streift.")</f>
        <v>Das Mädchen steigt auf den Pferden zurück, als sie weiterhin den Pferdehals und die Mähne streift.</v>
      </c>
    </row>
    <row r="11892">
      <c r="A11892" s="4" t="s">
        <v>14955</v>
      </c>
      <c r="B11892" s="4" t="s">
        <v>14960</v>
      </c>
      <c r="C11892" s="5" t="str">
        <f>IFERROR(__xludf.DUMMYFUNCTION("GOOGLETRANSLATE(B11892,""en"",""de"")"),"Das Mädchen in der lila Bluse steigt das Pferd ab und steht auf dem Zaunpfosten, das die Pferde hinter Viertel bürstet.")</f>
        <v>Das Mädchen in der lila Bluse steigt das Pferd ab und steht auf dem Zaunpfosten, das die Pferde hinter Viertel bürstet.</v>
      </c>
    </row>
    <row r="11893">
      <c r="A11893" s="4" t="s">
        <v>14961</v>
      </c>
      <c r="B11893" s="4" t="s">
        <v>14962</v>
      </c>
      <c r="C11893" s="5" t="str">
        <f>IFERROR(__xludf.DUMMYFUNCTION("GOOGLETRANSLATE(B11893,""en"",""de"")"),"Verschiedene Bilder von Zutaten werden mit Text über dem Bildschirm angezeigt und führen zu einer Frau, die Zitronen wäscht und schält.")</f>
        <v>Verschiedene Bilder von Zutaten werden mit Text über dem Bildschirm angezeigt und führen zu einer Frau, die Zitronen wäscht und schält.</v>
      </c>
    </row>
    <row r="11894">
      <c r="A11894" s="4" t="s">
        <v>14961</v>
      </c>
      <c r="B11894" s="4" t="s">
        <v>14963</v>
      </c>
      <c r="C11894" s="5" t="str">
        <f>IFERROR(__xludf.DUMMYFUNCTION("GOOGLETRANSLATE(B11894,""en"",""de"")"),"Sie rollt die Zitronen auf einen Tisch und schnitt sie in Hälften.")</f>
        <v>Sie rollt die Zitronen auf einen Tisch und schnitt sie in Hälften.</v>
      </c>
    </row>
    <row r="11895">
      <c r="A11895" s="4" t="s">
        <v>14961</v>
      </c>
      <c r="B11895" s="4" t="s">
        <v>14964</v>
      </c>
      <c r="C11895" s="5" t="str">
        <f>IFERROR(__xludf.DUMMYFUNCTION("GOOGLETRANSLATE(B11895,""en"",""de"")"),"Dann sägt sie die Zitrone und gießt die Mischung mit Zucker in einen großen Topf.")</f>
        <v>Dann sägt sie die Zitrone und gießt die Mischung mit Zucker in einen großen Topf.</v>
      </c>
    </row>
    <row r="11896">
      <c r="A11896" s="4" t="s">
        <v>14961</v>
      </c>
      <c r="B11896" s="4" t="s">
        <v>14965</v>
      </c>
      <c r="C11896" s="5" t="str">
        <f>IFERROR(__xludf.DUMMYFUNCTION("GOOGLETRANSLATE(B11896,""en"",""de"")"),"Sie kocht den Topf und gießt das Endergebnis in mehrere Gläser und genießt am Ende einen Schluck.")</f>
        <v>Sie kocht den Topf und gießt das Endergebnis in mehrere Gläser und genießt am Ende einen Schluck.</v>
      </c>
    </row>
    <row r="11897">
      <c r="A11897" s="4" t="s">
        <v>14966</v>
      </c>
      <c r="B11897" s="4" t="s">
        <v>14967</v>
      </c>
      <c r="C11897" s="5" t="str">
        <f>IFERROR(__xludf.DUMMYFUNCTION("GOOGLETRANSLATE(B11897,""en"",""de"")"),"Es wird eine Schweineborstenpinsel gezeigt, dann eine Video -DVD mit der Rasur.")</f>
        <v>Es wird eine Schweineborstenpinsel gezeigt, dann eine Video -DVD mit der Rasur.</v>
      </c>
    </row>
    <row r="11898">
      <c r="A11898" s="4" t="s">
        <v>14966</v>
      </c>
      <c r="B11898" s="4" t="s">
        <v>14968</v>
      </c>
      <c r="C11898" s="5" t="str">
        <f>IFERROR(__xludf.DUMMYFUNCTION("GOOGLETRANSLATE(B11898,""en"",""de"")"),"Ein Mann legt sich hin, schäbelt sein Gesicht, während ein Friseur seinen Bart rasiert.")</f>
        <v>Ein Mann legt sich hin, schäbelt sein Gesicht, während ein Friseur seinen Bart rasiert.</v>
      </c>
    </row>
    <row r="11899">
      <c r="A11899" s="4" t="s">
        <v>14966</v>
      </c>
      <c r="B11899" s="4" t="s">
        <v>14969</v>
      </c>
      <c r="C11899" s="5" t="str">
        <f>IFERROR(__xludf.DUMMYFUNCTION("GOOGLETRANSLATE(B11899,""en"",""de"")"),"Der Mann schenkt dann den Kopf und rasiert ihn auch mit einem geraden Rasiermesser.")</f>
        <v>Der Mann schenkt dann den Kopf und rasiert ihn auch mit einem geraden Rasiermesser.</v>
      </c>
    </row>
    <row r="11900">
      <c r="A11900" s="4" t="s">
        <v>14966</v>
      </c>
      <c r="B11900" s="4" t="s">
        <v>14970</v>
      </c>
      <c r="C11900" s="5" t="str">
        <f>IFERROR(__xludf.DUMMYFUNCTION("GOOGLETRANSLATE(B11900,""en"",""de"")"),"Ein Bild der DVD wird erneut angezeigt.")</f>
        <v>Ein Bild der DVD wird erneut angezeigt.</v>
      </c>
    </row>
    <row r="11901">
      <c r="A11901" s="4" t="s">
        <v>14971</v>
      </c>
      <c r="B11901" s="4" t="s">
        <v>14972</v>
      </c>
      <c r="C11901" s="5" t="str">
        <f>IFERROR(__xludf.DUMMYFUNCTION("GOOGLETRANSLATE(B11901,""en"",""de"")"),"Ein Mann und ein Hund stehen auf einem Feld, das von einer Gruppe von Menschen umgeben ist.")</f>
        <v>Ein Mann und ein Hund stehen auf einem Feld, das von einer Gruppe von Menschen umgeben ist.</v>
      </c>
    </row>
    <row r="11902">
      <c r="A11902" s="4" t="s">
        <v>14971</v>
      </c>
      <c r="B11902" s="4" t="s">
        <v>14973</v>
      </c>
      <c r="C11902" s="5" t="str">
        <f>IFERROR(__xludf.DUMMYFUNCTION("GOOGLETRANSLATE(B11902,""en"",""de"")"),"Der Hund geht weiter und dann wird der Mann vom Feld gelaufen.")</f>
        <v>Der Hund geht weiter und dann wird der Mann vom Feld gelaufen.</v>
      </c>
    </row>
    <row r="11903">
      <c r="A11903" s="4" t="s">
        <v>14971</v>
      </c>
      <c r="B11903" s="4" t="s">
        <v>14974</v>
      </c>
      <c r="C11903" s="5" t="str">
        <f>IFERROR(__xludf.DUMMYFUNCTION("GOOGLETRANSLATE(B11903,""en"",""de"")"),"Eine Dame bleibt jedoch und sie und ihr Hund beginnen Frisbee und Tricks bei der Purina Dog Challenge.")</f>
        <v>Eine Dame bleibt jedoch und sie und ihr Hund beginnen Frisbee und Tricks bei der Purina Dog Challenge.</v>
      </c>
    </row>
    <row r="11904">
      <c r="A11904" s="4" t="s">
        <v>14975</v>
      </c>
      <c r="B11904" s="4" t="s">
        <v>14976</v>
      </c>
      <c r="C11904" s="5" t="str">
        <f>IFERROR(__xludf.DUMMYFUNCTION("GOOGLETRANSLATE(B11904,""en"",""de"")"),"Ein Mann Wasserski vorne ein Gletscher.")</f>
        <v>Ein Mann Wasserski vorne ein Gletscher.</v>
      </c>
    </row>
    <row r="11905">
      <c r="A11905" s="4" t="s">
        <v>14975</v>
      </c>
      <c r="B11905" s="4" t="s">
        <v>14977</v>
      </c>
      <c r="C11905" s="5" t="str">
        <f>IFERROR(__xludf.DUMMYFUNCTION("GOOGLETRANSLATE(B11905,""en"",""de"")"),"Der Mann beobachtet ein Siegel und einen Wal im kalten Wasser.")</f>
        <v>Der Mann beobachtet ein Siegel und einen Wal im kalten Wasser.</v>
      </c>
    </row>
    <row r="11906">
      <c r="A11906" s="4" t="s">
        <v>14975</v>
      </c>
      <c r="B11906" s="4" t="s">
        <v>14978</v>
      </c>
      <c r="C11906" s="5" t="str">
        <f>IFERROR(__xludf.DUMMYFUNCTION("GOOGLETRANSLATE(B11906,""en"",""de"")"),"Der Mann Wasserski im Wasser hält ein Seil, das von einem Boot gezogen wurde.")</f>
        <v>Der Mann Wasserski im Wasser hält ein Seil, das von einem Boot gezogen wurde.</v>
      </c>
    </row>
    <row r="11907">
      <c r="A11907" s="4" t="s">
        <v>14975</v>
      </c>
      <c r="B11907" s="4" t="s">
        <v>14979</v>
      </c>
      <c r="C11907" s="5" t="str">
        <f>IFERROR(__xludf.DUMMYFUNCTION("GOOGLETRANSLATE(B11907,""en"",""de"")"),"Der Mann biegt sich, einen Gletscher zu bestehen, dann geht er über einen Eisberg vorbei.")</f>
        <v>Der Mann biegt sich, einen Gletscher zu bestehen, dann geht er über einen Eisberg vorbei.</v>
      </c>
    </row>
    <row r="11908">
      <c r="A11908" s="4" t="s">
        <v>14975</v>
      </c>
      <c r="B11908" s="4" t="s">
        <v>14980</v>
      </c>
      <c r="C11908" s="5" t="str">
        <f>IFERROR(__xludf.DUMMYFUNCTION("GOOGLETRANSLATE(B11908,""en"",""de"")"),"Ein Walschwimmen im Meer.")</f>
        <v>Ein Walschwimmen im Meer.</v>
      </c>
    </row>
    <row r="11909">
      <c r="A11909" s="4" t="s">
        <v>14975</v>
      </c>
      <c r="B11909" s="4" t="s">
        <v>14981</v>
      </c>
      <c r="C11909" s="5" t="str">
        <f>IFERROR(__xludf.DUMMYFUNCTION("GOOGLETRANSLATE(B11909,""en"",""de"")"),"Danach geht der Mann über einen Eisberg und dreht sich, dann Snowboard über einen großen Eisberg.")</f>
        <v>Danach geht der Mann über einen Eisberg und dreht sich, dann Snowboard über einen großen Eisberg.</v>
      </c>
    </row>
    <row r="11910">
      <c r="A11910" s="4" t="s">
        <v>14975</v>
      </c>
      <c r="B11910" s="4" t="s">
        <v>14982</v>
      </c>
      <c r="C11910" s="5" t="str">
        <f>IFERROR(__xludf.DUMMYFUNCTION("GOOGLETRANSLATE(B11910,""en"",""de"")"),"Der Mann rutscht von einem Eisberg und fällt ins Wasser, und die Leute sehen einen Eisberg Falls.")</f>
        <v>Der Mann rutscht von einem Eisberg und fällt ins Wasser, und die Leute sehen einen Eisberg Falls.</v>
      </c>
    </row>
    <row r="11911">
      <c r="A11911" s="4" t="s">
        <v>14983</v>
      </c>
      <c r="B11911" s="4" t="s">
        <v>14984</v>
      </c>
      <c r="C11911" s="5" t="str">
        <f>IFERROR(__xludf.DUMMYFUNCTION("GOOGLETRANSLATE(B11911,""en"",""de"")"),"Ein Snowboarder gibt ein Tutorial, wie man einen Sprung schlägt.")</f>
        <v>Ein Snowboarder gibt ein Tutorial, wie man einen Sprung schlägt.</v>
      </c>
    </row>
    <row r="11912">
      <c r="A11912" s="4" t="s">
        <v>14983</v>
      </c>
      <c r="B11912" s="4" t="s">
        <v>14985</v>
      </c>
      <c r="C11912" s="5" t="str">
        <f>IFERROR(__xludf.DUMMYFUNCTION("GOOGLETRANSLATE(B11912,""en"",""de"")"),"Einige Techniken sind in vier Teilen gezeigt.")</f>
        <v>Einige Techniken sind in vier Teilen gezeigt.</v>
      </c>
    </row>
    <row r="11913">
      <c r="A11913" s="4" t="s">
        <v>14986</v>
      </c>
      <c r="B11913" s="4" t="s">
        <v>14987</v>
      </c>
      <c r="C11913" s="5" t="str">
        <f>IFERROR(__xludf.DUMMYFUNCTION("GOOGLETRANSLATE(B11913,""en"",""de"")"),"Das Intro kommt auf den Bildschirm und führt ein Video über Ho vor, um Steine ​​zu besteigen.")</f>
        <v>Das Intro kommt auf den Bildschirm und führt ein Video über Ho vor, um Steine ​​zu besteigen.</v>
      </c>
    </row>
    <row r="11914">
      <c r="A11914" s="4" t="s">
        <v>14986</v>
      </c>
      <c r="B11914" s="4" t="s">
        <v>14988</v>
      </c>
      <c r="C11914" s="5" t="str">
        <f>IFERROR(__xludf.DUMMYFUNCTION("GOOGLETRANSLATE(B11914,""en"",""de"")"),"Ein Mann erscheint auf dem Bildschirm, der von einem Geschirr hängt, um einige Anweisungen zu geben.")</f>
        <v>Ein Mann erscheint auf dem Bildschirm, der von einem Geschirr hängt, um einige Anweisungen zu geben.</v>
      </c>
    </row>
    <row r="11915">
      <c r="A11915" s="4" t="s">
        <v>14986</v>
      </c>
      <c r="B11915" s="4" t="s">
        <v>14989</v>
      </c>
      <c r="C11915" s="5" t="str">
        <f>IFERROR(__xludf.DUMMYFUNCTION("GOOGLETRANSLATE(B11915,""en"",""de"")"),"Das Video schneidet ihn an die Wand, während er seine Erzählung fortsetzt.")</f>
        <v>Das Video schneidet ihn an die Wand, während er seine Erzählung fortsetzt.</v>
      </c>
    </row>
    <row r="11916">
      <c r="A11916" s="4" t="s">
        <v>14986</v>
      </c>
      <c r="B11916" s="4" t="s">
        <v>14990</v>
      </c>
      <c r="C11916" s="5" t="str">
        <f>IFERROR(__xludf.DUMMYFUNCTION("GOOGLETRANSLATE(B11916,""en"",""de"")"),"Das Video schneidet eine andere Person in einem grünen Hemd und bekommt Hilfe, um die Wand zu besteigen.")</f>
        <v>Das Video schneidet eine andere Person in einem grünen Hemd und bekommt Hilfe, um die Wand zu besteigen.</v>
      </c>
    </row>
    <row r="11917">
      <c r="A11917" s="4" t="s">
        <v>14986</v>
      </c>
      <c r="B11917" s="4" t="s">
        <v>14991</v>
      </c>
      <c r="C11917" s="5" t="str">
        <f>IFERROR(__xludf.DUMMYFUNCTION("GOOGLETRANSLATE(B11917,""en"",""de"")"),"Das Video zeigt einen geteilten Bildschirm mit zwei Ansichten eines Mannes, der die Wand klettert.")</f>
        <v>Das Video zeigt einen geteilten Bildschirm mit zwei Ansichten eines Mannes, der die Wand klettert.</v>
      </c>
    </row>
    <row r="11918">
      <c r="A11918" s="4" t="s">
        <v>14986</v>
      </c>
      <c r="B11918" s="4" t="s">
        <v>14992</v>
      </c>
      <c r="C11918" s="5" t="str">
        <f>IFERROR(__xludf.DUMMYFUNCTION("GOOGLETRANSLATE(B11918,""en"",""de"")"),"Dann wird eine Frau gezeigt, die versucht, die Wand zu besteigen.")</f>
        <v>Dann wird eine Frau gezeigt, die versucht, die Wand zu besteigen.</v>
      </c>
    </row>
    <row r="11919">
      <c r="A11919" s="4" t="s">
        <v>14986</v>
      </c>
      <c r="B11919" s="4" t="s">
        <v>14993</v>
      </c>
      <c r="C11919" s="5" t="str">
        <f>IFERROR(__xludf.DUMMYFUNCTION("GOOGLETRANSLATE(B11919,""en"",""de"")"),"Eine Warnung wird auf dem Bildschirm am Ende des Videos angezeigt.")</f>
        <v>Eine Warnung wird auf dem Bildschirm am Ende des Videos angezeigt.</v>
      </c>
    </row>
    <row r="11920">
      <c r="A11920" s="4" t="s">
        <v>14994</v>
      </c>
      <c r="B11920" s="4" t="s">
        <v>14995</v>
      </c>
      <c r="C11920" s="5" t="str">
        <f>IFERROR(__xludf.DUMMYFUNCTION("GOOGLETRANSLATE(B11920,""en"",""de"")"),"Wir sehen die Eröffnungskredite auf einem schwarzen Bildschirm.")</f>
        <v>Wir sehen die Eröffnungskredite auf einem schwarzen Bildschirm.</v>
      </c>
    </row>
    <row r="11921">
      <c r="A11921" s="4" t="s">
        <v>14994</v>
      </c>
      <c r="B11921" s="4" t="s">
        <v>14996</v>
      </c>
      <c r="C11921" s="5" t="str">
        <f>IFERROR(__xludf.DUMMYFUNCTION("GOOGLETRANSLATE(B11921,""en"",""de"")"),"Wir sehen dann einen Mann, der einen Mann in einer Garage trainiert und mit der Kamera spricht.")</f>
        <v>Wir sehen dann einen Mann, der einen Mann in einer Garage trainiert und mit der Kamera spricht.</v>
      </c>
    </row>
    <row r="11922">
      <c r="A11922" s="4" t="s">
        <v>14994</v>
      </c>
      <c r="B11922" s="4" t="s">
        <v>14997</v>
      </c>
      <c r="C11922" s="5" t="str">
        <f>IFERROR(__xludf.DUMMYFUNCTION("GOOGLETRANSLATE(B11922,""en"",""de"")"),"Der Mann in Grau steigt auf der blauen Matte auf sein Knie.")</f>
        <v>Der Mann in Grau steigt auf der blauen Matte auf sein Knie.</v>
      </c>
    </row>
    <row r="11923">
      <c r="A11923" s="4" t="s">
        <v>14994</v>
      </c>
      <c r="B11923" s="4" t="s">
        <v>14998</v>
      </c>
      <c r="C11923" s="5" t="str">
        <f>IFERROR(__xludf.DUMMYFUNCTION("GOOGLETRANSLATE(B11923,""en"",""de"")"),"Der Mann steht und steigt auf beide Knie.")</f>
        <v>Der Mann steht und steigt auf beide Knie.</v>
      </c>
    </row>
    <row r="11924">
      <c r="A11924" s="4" t="s">
        <v>14994</v>
      </c>
      <c r="B11924" s="4" t="s">
        <v>14999</v>
      </c>
      <c r="C11924" s="5" t="str">
        <f>IFERROR(__xludf.DUMMYFUNCTION("GOOGLETRANSLATE(B11924,""en"",""de"")"),"Der kniende Mann steht wieder auf.")</f>
        <v>Der kniende Mann steht wieder auf.</v>
      </c>
    </row>
    <row r="11925">
      <c r="A11925" s="4" t="s">
        <v>14994</v>
      </c>
      <c r="B11925" s="4" t="s">
        <v>15000</v>
      </c>
      <c r="C11925" s="5" t="str">
        <f>IFERROR(__xludf.DUMMYFUNCTION("GOOGLETRANSLATE(B11925,""en"",""de"")"),"Wir sehen einen Titelbildschirm und sehen den knienden Mann, der eine Maschine hält, die er nach unten und aus zieht.")</f>
        <v>Wir sehen einen Titelbildschirm und sehen den knienden Mann, der eine Maschine hält, die er nach unten und aus zieht.</v>
      </c>
    </row>
    <row r="11926">
      <c r="A11926" s="4" t="s">
        <v>14994</v>
      </c>
      <c r="B11926" s="4" t="s">
        <v>15001</v>
      </c>
      <c r="C11926" s="5" t="str">
        <f>IFERROR(__xludf.DUMMYFUNCTION("GOOGLETRANSLATE(B11926,""en"",""de"")"),"Er veröffentlicht die Kabel, die Credits im Video -Lauf.")</f>
        <v>Er veröffentlicht die Kabel, die Credits im Video -Lauf.</v>
      </c>
    </row>
    <row r="11927">
      <c r="A11927" s="4" t="s">
        <v>15002</v>
      </c>
      <c r="B11927" s="4" t="s">
        <v>15003</v>
      </c>
      <c r="C11927" s="5" t="str">
        <f>IFERROR(__xludf.DUMMYFUNCTION("GOOGLETRANSLATE(B11927,""en"",""de"")"),"Litle Kids stehen vor einer Ouse, die mit der Kamera spricht und Limonade macht.")</f>
        <v>Litle Kids stehen vor einer Ouse, die mit der Kamera spricht und Limonade macht.</v>
      </c>
    </row>
    <row r="11928">
      <c r="A11928" s="4" t="s">
        <v>15002</v>
      </c>
      <c r="B11928" s="4" t="s">
        <v>15004</v>
      </c>
      <c r="C11928" s="5" t="str">
        <f>IFERROR(__xludf.DUMMYFUNCTION("GOOGLETRANSLATE(B11928,""en"",""de"")"),"Das Kind öffnet einen Topf und greift Zucker und goss in eine Tasse Wasser, Zitronensaft und mischt ihn mit einem Löffel.")</f>
        <v>Das Kind öffnet einen Topf und greift Zucker und goss in eine Tasse Wasser, Zitronensaft und mischt ihn mit einem Löffel.</v>
      </c>
    </row>
    <row r="11929">
      <c r="A11929" s="4" t="s">
        <v>15005</v>
      </c>
      <c r="B11929" s="4" t="s">
        <v>15006</v>
      </c>
      <c r="C11929" s="5" t="str">
        <f>IFERROR(__xludf.DUMMYFUNCTION("GOOGLETRANSLATE(B11929,""en"",""de"")"),"Ein Mann steht bereit mit einem Set Dudelsack und beginnt, sie für die Kamera zu spielen.")</f>
        <v>Ein Mann steht bereit mit einem Set Dudelsack und beginnt, sie für die Kamera zu spielen.</v>
      </c>
    </row>
    <row r="11930">
      <c r="A11930" s="4" t="s">
        <v>15005</v>
      </c>
      <c r="B11930" s="4" t="s">
        <v>15007</v>
      </c>
      <c r="C11930" s="5" t="str">
        <f>IFERROR(__xludf.DUMMYFUNCTION("GOOGLETRANSLATE(B11930,""en"",""de"")"),"Der Mann spielt weiter und hält dann an, um in die Kamera zu schauen.")</f>
        <v>Der Mann spielt weiter und hält dann an, um in die Kamera zu schauen.</v>
      </c>
    </row>
    <row r="11931">
      <c r="A11931" s="4" t="s">
        <v>15008</v>
      </c>
      <c r="B11931" s="4" t="s">
        <v>15009</v>
      </c>
      <c r="C11931" s="5" t="str">
        <f>IFERROR(__xludf.DUMMYFUNCTION("GOOGLETRANSLATE(B11931,""en"",""de"")"),"Ein weißer Bildschirm mit blauen und weißen Formen und schwarzen Wörtern blitzt über den Bildschirm.")</f>
        <v>Ein weißer Bildschirm mit blauen und weißen Formen und schwarzen Wörtern blitzt über den Bildschirm.</v>
      </c>
    </row>
    <row r="11932">
      <c r="A11932" s="4" t="s">
        <v>15008</v>
      </c>
      <c r="B11932" s="4" t="s">
        <v>15010</v>
      </c>
      <c r="C11932" s="5" t="str">
        <f>IFERROR(__xludf.DUMMYFUNCTION("GOOGLETRANSLATE(B11932,""en"",""de"")"),"Ein lächelnder schwarzer Mann befindet sich in einer Wohnküche und er trägt einen Weihnachtsmütze und gießt Zutaten in eine große Schüssel.")</f>
        <v>Ein lächelnder schwarzer Mann befindet sich in einer Wohnküche und er trägt einen Weihnachtsmütze und gießt Zutaten in eine große Schüssel.</v>
      </c>
    </row>
    <row r="11933">
      <c r="A11933" s="4" t="s">
        <v>15008</v>
      </c>
      <c r="B11933" s="4" t="s">
        <v>15011</v>
      </c>
      <c r="C11933" s="5" t="str">
        <f>IFERROR(__xludf.DUMMYFUNCTION("GOOGLETRANSLATE(B11933,""en"",""de"")"),"Eine Hand drückt eine klare Schüssel mit dunklen Feigen, und sofort danach erscheint eine Schneidebrett, und die Anweisungen auf dem Bildschirm sagen, dass sie die Stiele von 1 Pfund Feigen abschneiden und sie vierteln.")</f>
        <v>Eine Hand drückt eine klare Schüssel mit dunklen Feigen, und sofort danach erscheint eine Schneidebrett, und die Anweisungen auf dem Bildschirm sagen, dass sie die Stiele von 1 Pfund Feigen abschneiden und sie vierteln.</v>
      </c>
    </row>
    <row r="11934">
      <c r="A11934" s="4" t="s">
        <v>15008</v>
      </c>
      <c r="B11934" s="4" t="s">
        <v>15012</v>
      </c>
      <c r="C11934" s="5" t="str">
        <f>IFERROR(__xludf.DUMMYFUNCTION("GOOGLETRANSLATE(B11934,""en"",""de"")"),"Während die Liste der Zutaten angezeigt wird, darunter: 1 Pfund Fig. 1, 1lb Rosinen, 1lb -Kirschen, 1 Pfund -Johannisbeere, 1 Pfund -Pflaumen, Portwein und Angostura -Bitter; Sie werden alle in einen weißen Eimer gegossen.")</f>
        <v>Während die Liste der Zutaten angezeigt wird, darunter: 1 Pfund Fig. 1, 1lb Rosinen, 1lb -Kirschen, 1 Pfund -Johannisbeere, 1 Pfund -Pflaumen, Portwein und Angostura -Bitter; Sie werden alle in einen weißen Eimer gegossen.</v>
      </c>
    </row>
    <row r="11935">
      <c r="A11935" s="4" t="s">
        <v>15008</v>
      </c>
      <c r="B11935" s="4" t="s">
        <v>15013</v>
      </c>
      <c r="C11935" s="5" t="str">
        <f>IFERROR(__xludf.DUMMYFUNCTION("GOOGLETRANSLATE(B11935,""en"",""de"")"),"Das Rühren beginnt sofort und die Anweisungen auf dem Bildschirm sagen, dass es mindestens zwei Wochen auf bis zu 30 Tage einweichen lässt.")</f>
        <v>Das Rühren beginnt sofort und die Anweisungen auf dem Bildschirm sagen, dass es mindestens zwei Wochen auf bis zu 30 Tage einweichen lässt.</v>
      </c>
    </row>
    <row r="11936">
      <c r="A11936" s="4" t="s">
        <v>15008</v>
      </c>
      <c r="B11936" s="4" t="s">
        <v>15014</v>
      </c>
      <c r="C11936" s="5" t="str">
        <f>IFERROR(__xludf.DUMMYFUNCTION("GOOGLETRANSLATE(B11936,""en"",""de"")"),"30 Tage später werden der Inhalt gerührt und in eine Küchenmaschine gestellt und in eine Paste verwandelt.")</f>
        <v>30 Tage später werden der Inhalt gerührt und in eine Küchenmaschine gestellt und in eine Paste verwandelt.</v>
      </c>
    </row>
    <row r="11937">
      <c r="A11937" s="4" t="s">
        <v>15008</v>
      </c>
      <c r="B11937" s="4" t="s">
        <v>15015</v>
      </c>
      <c r="C11937" s="5" t="str">
        <f>IFERROR(__xludf.DUMMYFUNCTION("GOOGLETRANSLATE(B11937,""en"",""de"")"),"Der Mann fettet eine 10x3 runde Kuchenform und bedeckt sie mit Pergamentpapier.")</f>
        <v>Der Mann fettet eine 10x3 runde Kuchenform und bedeckt sie mit Pergamentpapier.</v>
      </c>
    </row>
    <row r="11938">
      <c r="A11938" s="4" t="s">
        <v>15008</v>
      </c>
      <c r="B11938" s="4" t="s">
        <v>15016</v>
      </c>
      <c r="C11938" s="5" t="str">
        <f>IFERROR(__xludf.DUMMYFUNCTION("GOOGLETRANSLATE(B11938,""en"",""de"")"),"Eine Liste und Schalen mit weiteren Zutaten werden zubereitet und in einen großen Metalltopf gegossen und energisch gerührt.")</f>
        <v>Eine Liste und Schalen mit weiteren Zutaten werden zubereitet und in einen großen Metalltopf gegossen und energisch gerührt.</v>
      </c>
    </row>
    <row r="11939">
      <c r="A11939" s="4" t="s">
        <v>15008</v>
      </c>
      <c r="B11939" s="4" t="s">
        <v>15017</v>
      </c>
      <c r="C11939" s="5" t="str">
        <f>IFERROR(__xludf.DUMMYFUNCTION("GOOGLETRANSLATE(B11939,""en"",""de"")"),"Eine große rechteckige Metallpfanne erscheint mit Anweisungen, in denen sie mit einer Pfanne heißem Wasser gefüllt werden sollen.")</f>
        <v>Eine große rechteckige Metallpfanne erscheint mit Anweisungen, in denen sie mit einer Pfanne heißem Wasser gefüllt werden sollen.</v>
      </c>
    </row>
    <row r="11940">
      <c r="A11940" s="4" t="s">
        <v>15008</v>
      </c>
      <c r="B11940" s="4" t="s">
        <v>15018</v>
      </c>
      <c r="C11940" s="5" t="str">
        <f>IFERROR(__xludf.DUMMYFUNCTION("GOOGLETRANSLATE(B11940,""en"",""de"")"),"Die kreisförmige Kuchenpfanne, die zuvor gefettet war, erscheint, und der gerührte Inhalt wird hineingegossen und in die Pfanne mit heißem Wasser gelegt, wo sie alle in den Ofen gelegt werden.")</f>
        <v>Die kreisförmige Kuchenpfanne, die zuvor gefettet war, erscheint, und der gerührte Inhalt wird hineingegossen und in die Pfanne mit heißem Wasser gelegt, wo sie alle in den Ofen gelegt werden.</v>
      </c>
    </row>
    <row r="11941">
      <c r="A11941" s="4" t="s">
        <v>15008</v>
      </c>
      <c r="B11941" s="4" t="s">
        <v>15019</v>
      </c>
      <c r="C11941" s="5" t="str">
        <f>IFERROR(__xludf.DUMMYFUNCTION("GOOGLETRANSLATE(B11941,""en"",""de"")"),"Wenn es fertig ist, wird der Kuchen auf einen Teller gelegt, auf dem er glasiert ist, geschnitten und eine Scheibe auf einen anderen Teller gelegt wird.")</f>
        <v>Wenn es fertig ist, wird der Kuchen auf einen Teller gelegt, auf dem er glasiert ist, geschnitten und eine Scheibe auf einen anderen Teller gelegt wird.</v>
      </c>
    </row>
    <row r="11942">
      <c r="A11942" s="4" t="s">
        <v>15020</v>
      </c>
      <c r="B11942" s="4" t="s">
        <v>15021</v>
      </c>
      <c r="C11942" s="5" t="str">
        <f>IFERROR(__xludf.DUMMYFUNCTION("GOOGLETRANSLATE(B11942,""en"",""de"")"),"Ein Mann mit verbundenen Augen schwingt mit einem Fledermaus mit einem Pinata an, während andere von den nahe gelegenen Sitzen zuschauen.")</f>
        <v>Ein Mann mit verbundenen Augen schwingt mit einem Fledermaus mit einem Pinata an, während andere von den nahe gelegenen Sitzen zuschauen.</v>
      </c>
    </row>
    <row r="11943">
      <c r="A11943" s="4" t="s">
        <v>15020</v>
      </c>
      <c r="B11943" s="4" t="s">
        <v>15022</v>
      </c>
      <c r="C11943" s="5" t="str">
        <f>IFERROR(__xludf.DUMMYFUNCTION("GOOGLETRANSLATE(B11943,""en"",""de"")"),"Der Mann gelingt es, die Pinata zu brechen.")</f>
        <v>Der Mann gelingt es, die Pinata zu brechen.</v>
      </c>
    </row>
    <row r="11944">
      <c r="A11944" s="4" t="s">
        <v>15020</v>
      </c>
      <c r="B11944" s="4" t="s">
        <v>15023</v>
      </c>
      <c r="C11944" s="5" t="str">
        <f>IFERROR(__xludf.DUMMYFUNCTION("GOOGLETRANSLATE(B11944,""en"",""de"")"),"Der Mann entfernt seine Augenbinde, als sich einige der anderen ihm nähern.")</f>
        <v>Der Mann entfernt seine Augenbinde, als sich einige der anderen ihm nähern.</v>
      </c>
    </row>
    <row r="11945">
      <c r="A11945" s="4" t="s">
        <v>15024</v>
      </c>
      <c r="B11945" s="4" t="s">
        <v>15025</v>
      </c>
      <c r="C11945" s="5" t="str">
        <f>IFERROR(__xludf.DUMMYFUNCTION("GOOGLETRANSLATE(B11945,""en"",""de"")"),"Zwei Männer betreten einen Kürbisgericht, um an einem Kürbisspiel teilzunehmen.")</f>
        <v>Zwei Männer betreten einen Kürbisgericht, um an einem Kürbisspiel teilzunehmen.</v>
      </c>
    </row>
    <row r="11946">
      <c r="A11946" s="4" t="s">
        <v>15024</v>
      </c>
      <c r="B11946" s="4" t="s">
        <v>15026</v>
      </c>
      <c r="C11946" s="5" t="str">
        <f>IFERROR(__xludf.DUMMYFUNCTION("GOOGLETRANSLATE(B11946,""en"",""de"")"),"Ein Mann trägt ein weißes Hemd und der andere Mann trägt ein dunkles Hemd.")</f>
        <v>Ein Mann trägt ein weißes Hemd und der andere Mann trägt ein dunkles Hemd.</v>
      </c>
    </row>
    <row r="11947">
      <c r="A11947" s="4" t="s">
        <v>15024</v>
      </c>
      <c r="B11947" s="4" t="s">
        <v>15027</v>
      </c>
      <c r="C11947" s="5" t="str">
        <f>IFERROR(__xludf.DUMMYFUNCTION("GOOGLETRANSLATE(B11947,""en"",""de"")"),"Die Männer beginnen zu spielen, während das Spiel voranschreitet, dass jeder Mann aus der Servierkiste dient.")</f>
        <v>Die Männer beginnen zu spielen, während das Spiel voranschreitet, dass jeder Mann aus der Servierkiste dient.</v>
      </c>
    </row>
    <row r="11948">
      <c r="A11948" s="4" t="s">
        <v>15024</v>
      </c>
      <c r="B11948" s="4" t="s">
        <v>15028</v>
      </c>
      <c r="C11948" s="5" t="str">
        <f>IFERROR(__xludf.DUMMYFUNCTION("GOOGLETRANSLATE(B11948,""en"",""de"")"),"Das Spiel endet mit einem Handschütteln und einer Welle der Menge.")</f>
        <v>Das Spiel endet mit einem Handschütteln und einer Welle der Menge.</v>
      </c>
    </row>
    <row r="11949">
      <c r="A11949" s="4" t="s">
        <v>15024</v>
      </c>
      <c r="B11949" s="4" t="s">
        <v>15029</v>
      </c>
      <c r="C11949" s="5" t="str">
        <f>IFERROR(__xludf.DUMMYFUNCTION("GOOGLETRANSLATE(B11949,""en"",""de"")"),"Ein Mädchen in einer rosa Bluse betritt das Kürbisgericht, als ein anderer Mann das Gericht betritt.")</f>
        <v>Ein Mädchen in einer rosa Bluse betritt das Kürbisgericht, als ein anderer Mann das Gericht betritt.</v>
      </c>
    </row>
    <row r="11950">
      <c r="A11950" s="4" t="s">
        <v>15030</v>
      </c>
      <c r="B11950" s="4" t="s">
        <v>15031</v>
      </c>
      <c r="C11950" s="5" t="str">
        <f>IFERROR(__xludf.DUMMYFUNCTION("GOOGLETRANSLATE(B11950,""en"",""de"")"),"Mehrere Bilder führen in Clips von Menschen, die einen Fluss auf Kanus und Kajaks hinunter reiten.")</f>
        <v>Mehrere Bilder führen in Clips von Menschen, die einen Fluss auf Kanus und Kajaks hinunter reiten.</v>
      </c>
    </row>
    <row r="11951">
      <c r="A11951" s="4" t="s">
        <v>15030</v>
      </c>
      <c r="B11951" s="4" t="s">
        <v>15032</v>
      </c>
      <c r="C11951" s="5" t="str">
        <f>IFERROR(__xludf.DUMMYFUNCTION("GOOGLETRANSLATE(B11951,""en"",""de"")"),"Mehrere Menschen werden gezeigt, wie sie sich entlang der rauen Flüsse reiten, während sie sich entlang paddeln.")</f>
        <v>Mehrere Menschen werden gezeigt, wie sie sich entlang der rauen Flüsse reiten, während sie sich entlang paddeln.</v>
      </c>
    </row>
    <row r="11952">
      <c r="A11952" s="4" t="s">
        <v>15030</v>
      </c>
      <c r="B11952" s="4" t="s">
        <v>15033</v>
      </c>
      <c r="C11952" s="5" t="str">
        <f>IFERROR(__xludf.DUMMYFUNCTION("GOOGLETRANSLATE(B11952,""en"",""de"")"),"Die Menschen schieben sich weiterhin über das Wasser, während die Kamera ihren Bewegungen folgt.")</f>
        <v>Die Menschen schieben sich weiterhin über das Wasser, während die Kamera ihren Bewegungen folgt.</v>
      </c>
    </row>
    <row r="11953">
      <c r="A11953" s="4" t="s">
        <v>15034</v>
      </c>
      <c r="B11953" s="4" t="s">
        <v>15035</v>
      </c>
      <c r="C11953" s="5" t="str">
        <f>IFERROR(__xludf.DUMMYFUNCTION("GOOGLETRANSLATE(B11953,""en"",""de"")"),"Frauen sitzen draußen in kleinen Stühlen und waschen Kleidung in Plastikwannen.")</f>
        <v>Frauen sitzen draußen in kleinen Stühlen und waschen Kleidung in Plastikwannen.</v>
      </c>
    </row>
    <row r="11954">
      <c r="A11954" s="4" t="s">
        <v>15034</v>
      </c>
      <c r="B11954" s="4" t="s">
        <v>15036</v>
      </c>
      <c r="C11954" s="5" t="str">
        <f>IFERROR(__xludf.DUMMYFUNCTION("GOOGLETRANSLATE(B11954,""en"",""de"")"),"Die Dame schrubbt ein Kleidungsstück auf einem Holzbrett.")</f>
        <v>Die Dame schrubbt ein Kleidungsstück auf einem Holzbrett.</v>
      </c>
    </row>
    <row r="11955">
      <c r="A11955" s="4" t="s">
        <v>15034</v>
      </c>
      <c r="B11955" s="4" t="s">
        <v>15037</v>
      </c>
      <c r="C11955" s="5" t="str">
        <f>IFERROR(__xludf.DUMMYFUNCTION("GOOGLETRANSLATE(B11955,""en"",""de"")"),"Die Dame klingelt aus einem Kleidungsstück aus dem Wasser und wirft es beiseite, wenn es fertig ist, wenn es fertig ist.")</f>
        <v>Die Dame klingelt aus einem Kleidungsstück aus dem Wasser und wirft es beiseite, wenn es fertig ist, wenn es fertig ist.</v>
      </c>
    </row>
    <row r="11956">
      <c r="A11956" s="4" t="s">
        <v>15038</v>
      </c>
      <c r="B11956" s="4" t="s">
        <v>15039</v>
      </c>
      <c r="C11956" s="5" t="str">
        <f>IFERROR(__xludf.DUMMYFUNCTION("GOOGLETRANSLATE(B11956,""en"",""de"")"),"Ein Junge skaniert auf einem Parkplatz.")</f>
        <v>Ein Junge skaniert auf einem Parkplatz.</v>
      </c>
    </row>
    <row r="11957">
      <c r="A11957" s="4" t="s">
        <v>15038</v>
      </c>
      <c r="B11957" s="4" t="s">
        <v>15040</v>
      </c>
      <c r="C11957" s="5" t="str">
        <f>IFERROR(__xludf.DUMMYFUNCTION("GOOGLETRANSLATE(B11957,""en"",""de"")"),"Er macht mehrere Bewegungen, tanzt und redet.")</f>
        <v>Er macht mehrere Bewegungen, tanzt und redet.</v>
      </c>
    </row>
    <row r="11958">
      <c r="A11958" s="4" t="s">
        <v>15038</v>
      </c>
      <c r="B11958" s="4" t="s">
        <v>15041</v>
      </c>
      <c r="C11958" s="5" t="str">
        <f>IFERROR(__xludf.DUMMYFUNCTION("GOOGLETRANSLATE(B11958,""en"",""de"")"),"Der Jungen schließt auf dem Parkplatz auf Inline -Schlittschuhen.")</f>
        <v>Der Jungen schließt auf dem Parkplatz auf Inline -Schlittschuhen.</v>
      </c>
    </row>
    <row r="11959">
      <c r="A11959" s="4" t="s">
        <v>15042</v>
      </c>
      <c r="B11959" s="4" t="s">
        <v>15043</v>
      </c>
      <c r="C11959" s="5" t="str">
        <f>IFERROR(__xludf.DUMMYFUNCTION("GOOGLETRANSLATE(B11959,""en"",""de"")"),"Eine große Gruppe von Menschen ist auf einer Bühne zu sehen, als ein Mann mit der Menge spricht, und führt in die Gruppe, die miteinander tanzt.")</f>
        <v>Eine große Gruppe von Menschen ist auf einer Bühne zu sehen, als ein Mann mit der Menge spricht, und führt in die Gruppe, die miteinander tanzt.</v>
      </c>
    </row>
    <row r="11960">
      <c r="A11960" s="4" t="s">
        <v>15042</v>
      </c>
      <c r="B11960" s="4" t="s">
        <v>15044</v>
      </c>
      <c r="C11960" s="5" t="str">
        <f>IFERROR(__xludf.DUMMYFUNCTION("GOOGLETRANSLATE(B11960,""en"",""de"")"),"Die Menschen tanzen weiter zusammen, als die Kamera sie aus mehreren Blickwinkeln erfasst.")</f>
        <v>Die Menschen tanzen weiter zusammen, als die Kamera sie aus mehreren Blickwinkeln erfasst.</v>
      </c>
    </row>
    <row r="11961">
      <c r="A11961" s="4" t="s">
        <v>15045</v>
      </c>
      <c r="B11961" s="4" t="s">
        <v>15046</v>
      </c>
      <c r="C11961" s="5" t="str">
        <f>IFERROR(__xludf.DUMMYFUNCTION("GOOGLETRANSLATE(B11961,""en"",""de"")"),"Die Kamera konzentriert sich auf einen Mann, der ein Segelboot in einer Harbor -Umgebung pilotiert.")</f>
        <v>Die Kamera konzentriert sich auf einen Mann, der ein Segelboot in einer Harbor -Umgebung pilotiert.</v>
      </c>
    </row>
    <row r="11962">
      <c r="A11962" s="4" t="s">
        <v>15045</v>
      </c>
      <c r="B11962" s="4" t="s">
        <v>15047</v>
      </c>
      <c r="C11962" s="5" t="str">
        <f>IFERROR(__xludf.DUMMYFUNCTION("GOOGLETRANSLATE(B11962,""en"",""de"")"),"Das Segel des Bootes taucht ins Wasser ein.")</f>
        <v>Das Segel des Bootes taucht ins Wasser ein.</v>
      </c>
    </row>
    <row r="11963">
      <c r="A11963" s="4" t="s">
        <v>15045</v>
      </c>
      <c r="B11963" s="4" t="s">
        <v>15048</v>
      </c>
      <c r="C11963" s="5" t="str">
        <f>IFERROR(__xludf.DUMMYFUNCTION("GOOGLETRANSLATE(B11963,""en"",""de"")"),"Der Mann Rechte das Segelboot und geht weiter.")</f>
        <v>Der Mann Rechte das Segelboot und geht weiter.</v>
      </c>
    </row>
    <row r="11964">
      <c r="A11964" s="4" t="s">
        <v>15049</v>
      </c>
      <c r="B11964" s="4" t="s">
        <v>15050</v>
      </c>
      <c r="C11964" s="5" t="str">
        <f>IFERROR(__xludf.DUMMYFUNCTION("GOOGLETRANSLATE(B11964,""en"",""de"")"),"Ein Mann praktiziert drinnen, er macht beim Laufen Intervalle des Springens.")</f>
        <v>Ein Mann praktiziert drinnen, er macht beim Laufen Intervalle des Springens.</v>
      </c>
    </row>
    <row r="11965">
      <c r="A11965" s="4" t="s">
        <v>15049</v>
      </c>
      <c r="B11965" s="4" t="s">
        <v>15051</v>
      </c>
      <c r="C11965" s="5" t="str">
        <f>IFERROR(__xludf.DUMMYFUNCTION("GOOGLETRANSLATE(B11965,""en"",""de"")"),"Sobald er im Sand landet, geht er zurück, um von vorne zu beginnen.")</f>
        <v>Sobald er im Sand landet, geht er zurück, um von vorne zu beginnen.</v>
      </c>
    </row>
    <row r="11966">
      <c r="A11966" s="4" t="s">
        <v>15049</v>
      </c>
      <c r="B11966" s="4" t="s">
        <v>15052</v>
      </c>
      <c r="C11966" s="5" t="str">
        <f>IFERROR(__xludf.DUMMYFUNCTION("GOOGLETRANSLATE(B11966,""en"",""de"")"),"Er macht dies immer wieder, wenn er weiter zurück anfängt.")</f>
        <v>Er macht dies immer wieder, wenn er weiter zurück anfängt.</v>
      </c>
    </row>
    <row r="11967">
      <c r="A11967" s="4" t="s">
        <v>15049</v>
      </c>
      <c r="B11967" s="4" t="s">
        <v>15053</v>
      </c>
      <c r="C11967" s="5" t="str">
        <f>IFERROR(__xludf.DUMMYFUNCTION("GOOGLETRANSLATE(B11967,""en"",""de"")"),"Dann ist die Praxis vorbei und es ist fertig.")</f>
        <v>Dann ist die Praxis vorbei und es ist fertig.</v>
      </c>
    </row>
    <row r="11968">
      <c r="A11968" s="4" t="s">
        <v>15054</v>
      </c>
      <c r="B11968" s="4" t="s">
        <v>15055</v>
      </c>
      <c r="C11968" s="5" t="str">
        <f>IFERROR(__xludf.DUMMYFUNCTION("GOOGLETRANSLATE(B11968,""en"",""de"")"),"Ein Van fährt eine Landstraße hinunter und zieht mit einem platten Reifen an der Straße.")</f>
        <v>Ein Van fährt eine Landstraße hinunter und zieht mit einem platten Reifen an der Straße.</v>
      </c>
    </row>
    <row r="11969">
      <c r="A11969" s="4" t="s">
        <v>15054</v>
      </c>
      <c r="B11969" s="4" t="s">
        <v>15056</v>
      </c>
      <c r="C11969" s="5" t="str">
        <f>IFERROR(__xludf.DUMMYFUNCTION("GOOGLETRANSLATE(B11969,""en"",""de"")"),"Der Fahrer fummelt mit einer Handbuchse und ist frustriert.")</f>
        <v>Der Fahrer fummelt mit einer Handbuchse und ist frustriert.</v>
      </c>
    </row>
    <row r="11970">
      <c r="A11970" s="4" t="s">
        <v>15054</v>
      </c>
      <c r="B11970" s="4" t="s">
        <v>15057</v>
      </c>
      <c r="C11970" s="5" t="str">
        <f>IFERROR(__xludf.DUMMYFUNCTION("GOOGLETRANSLATE(B11970,""en"",""de"")"),"Der Fahrer nutzt dann eine Elektroauto -Buchse, um das Autorad stattdessen zu heben.")</f>
        <v>Der Fahrer nutzt dann eine Elektroauto -Buchse, um das Autorad stattdessen zu heben.</v>
      </c>
    </row>
    <row r="11971">
      <c r="A11971" s="4" t="s">
        <v>15054</v>
      </c>
      <c r="B11971" s="4" t="s">
        <v>15058</v>
      </c>
      <c r="C11971" s="5" t="str">
        <f>IFERROR(__xludf.DUMMYFUNCTION("GOOGLETRANSLATE(B11971,""en"",""de"")"),"Die Frau steckt eine elektrische Handbohrmaschine mit und entfernen die Lugmuttern.")</f>
        <v>Die Frau steckt eine elektrische Handbohrmaschine mit und entfernen die Lugmuttern.</v>
      </c>
    </row>
    <row r="11972">
      <c r="A11972" s="4" t="s">
        <v>15054</v>
      </c>
      <c r="B11972" s="4" t="s">
        <v>15059</v>
      </c>
      <c r="C11972" s="5" t="str">
        <f>IFERROR(__xludf.DUMMYFUNCTION("GOOGLETRANSLATE(B11972,""en"",""de"")"),"Die Frau legt einen neuen Reifen auf das Auto und schraubt es an Ort und Stelle.")</f>
        <v>Die Frau legt einen neuen Reifen auf das Auto und schraubt es an Ort und Stelle.</v>
      </c>
    </row>
    <row r="11973">
      <c r="A11973" s="4" t="s">
        <v>15054</v>
      </c>
      <c r="B11973" s="4" t="s">
        <v>15060</v>
      </c>
      <c r="C11973" s="5" t="str">
        <f>IFERROR(__xludf.DUMMYFUNCTION("GOOGLETRANSLATE(B11973,""en"",""de"")"),"Die Frau senkt das Autorad von der Buchse.")</f>
        <v>Die Frau senkt das Autorad von der Buchse.</v>
      </c>
    </row>
    <row r="11974">
      <c r="A11974" s="4" t="s">
        <v>15054</v>
      </c>
      <c r="B11974" s="4" t="s">
        <v>15061</v>
      </c>
      <c r="C11974" s="5" t="str">
        <f>IFERROR(__xludf.DUMMYFUNCTION("GOOGLETRANSLATE(B11974,""en"",""de"")"),"Ein Mann verweist auf die verschiedenen Werkzeuge in einer Werkzeugkasten.")</f>
        <v>Ein Mann verweist auf die verschiedenen Werkzeuge in einer Werkzeugkasten.</v>
      </c>
    </row>
    <row r="11975">
      <c r="A11975" s="4" t="s">
        <v>15054</v>
      </c>
      <c r="B11975" s="4" t="s">
        <v>15062</v>
      </c>
      <c r="C11975" s="5" t="str">
        <f>IFERROR(__xludf.DUMMYFUNCTION("GOOGLETRANSLATE(B11975,""en"",""de"")"),"Der Mann hängt ein Ladegerät an die Autobatterie.")</f>
        <v>Der Mann hängt ein Ladegerät an die Autobatterie.</v>
      </c>
    </row>
    <row r="11976">
      <c r="A11976" s="4" t="s">
        <v>15063</v>
      </c>
      <c r="B11976" s="4" t="s">
        <v>15064</v>
      </c>
      <c r="C11976" s="5" t="str">
        <f>IFERROR(__xludf.DUMMYFUNCTION("GOOGLETRANSLATE(B11976,""en"",""de"")"),"Ein Mann knien an einem Ball und hält eine Stange.")</f>
        <v>Ein Mann knien an einem Ball und hält eine Stange.</v>
      </c>
    </row>
    <row r="11977">
      <c r="A11977" s="4" t="s">
        <v>15063</v>
      </c>
      <c r="B11977" s="4" t="s">
        <v>15065</v>
      </c>
      <c r="C11977" s="5" t="str">
        <f>IFERROR(__xludf.DUMMYFUNCTION("GOOGLETRANSLATE(B11977,""en"",""de"")"),"Der Mann schiebt ihren Körper nach vorne und schob die Stange.")</f>
        <v>Der Mann schiebt ihren Körper nach vorne und schob die Stange.</v>
      </c>
    </row>
    <row r="11978">
      <c r="A11978" s="4" t="s">
        <v>15063</v>
      </c>
      <c r="B11978" s="4" t="s">
        <v>15066</v>
      </c>
      <c r="C11978" s="5" t="str">
        <f>IFERROR(__xludf.DUMMYFUNCTION("GOOGLETRANSLATE(B11978,""en"",""de"")"),"Dann bringt der Mann seinen Körper in eine gerade Position und bringt dann wieder seinen Körper nach vorne.")</f>
        <v>Dann bringt der Mann seinen Körper in eine gerade Position und bringt dann wieder seinen Körper nach vorne.</v>
      </c>
    </row>
    <row r="11979">
      <c r="A11979" s="4" t="s">
        <v>15067</v>
      </c>
      <c r="B11979" s="4" t="s">
        <v>15068</v>
      </c>
      <c r="C11979" s="5" t="str">
        <f>IFERROR(__xludf.DUMMYFUNCTION("GOOGLETRANSLATE(B11979,""en"",""de"")"),"Eine Frau wischt mit einem Mopp den weißen gefliesten Boden.")</f>
        <v>Eine Frau wischt mit einem Mopp den weißen gefliesten Boden.</v>
      </c>
    </row>
    <row r="11980">
      <c r="A11980" s="4" t="s">
        <v>15067</v>
      </c>
      <c r="B11980" s="4" t="s">
        <v>15069</v>
      </c>
      <c r="C11980" s="5" t="str">
        <f>IFERROR(__xludf.DUMMYFUNCTION("GOOGLETRANSLATE(B11980,""en"",""de"")"),"Die Frau legte den Mopp in einen grünen Eimer und legte sie in ein Sieb, um das überschüssige Wasser auszudrücken, dann schob sie den Bodenkarte, als sie das Wasser herausquat Couch, die Flüssigkeit auf dem Boden.")</f>
        <v>Die Frau legte den Mopp in einen grünen Eimer und legte sie in ein Sieb, um das überschüssige Wasser auszudrücken, dann schob sie den Bodenkarte, als sie das Wasser herausquat Couch, die Flüssigkeit auf dem Boden.</v>
      </c>
    </row>
    <row r="11981">
      <c r="A11981" s="4" t="s">
        <v>15070</v>
      </c>
      <c r="B11981" s="4" t="s">
        <v>15071</v>
      </c>
      <c r="C11981" s="5" t="str">
        <f>IFERROR(__xludf.DUMMYFUNCTION("GOOGLETRANSLATE(B11981,""en"",""de"")"),"Eine schwarze Frau macht eine Routine auf dem Balancestrahl.")</f>
        <v>Eine schwarze Frau macht eine Routine auf dem Balancestrahl.</v>
      </c>
    </row>
    <row r="11982">
      <c r="A11982" s="4" t="s">
        <v>15070</v>
      </c>
      <c r="B11982" s="4" t="s">
        <v>15072</v>
      </c>
      <c r="C11982" s="5" t="str">
        <f>IFERROR(__xludf.DUMMYFUNCTION("GOOGLETRANSLATE(B11982,""en"",""de"")"),"Sie dreht sich, springt, wirbelt und dreht sich um.")</f>
        <v>Sie dreht sich, springt, wirbelt und dreht sich um.</v>
      </c>
    </row>
    <row r="11983">
      <c r="A11983" s="4" t="s">
        <v>15070</v>
      </c>
      <c r="B11983" s="4" t="s">
        <v>15073</v>
      </c>
      <c r="C11983" s="5" t="str">
        <f>IFERROR(__xludf.DUMMYFUNCTION("GOOGLETRANSLATE(B11983,""en"",""de"")"),"Sie fällt ab, beendet ihre Routine und sie steigen zu einem klatschenden Publikum ab.")</f>
        <v>Sie fällt ab, beendet ihre Routine und sie steigen zu einem klatschenden Publikum ab.</v>
      </c>
    </row>
    <row r="11984">
      <c r="A11984" s="4" t="s">
        <v>15074</v>
      </c>
      <c r="B11984" s="4" t="s">
        <v>15075</v>
      </c>
      <c r="C11984" s="5" t="str">
        <f>IFERROR(__xludf.DUMMYFUNCTION("GOOGLETRANSLATE(B11984,""en"",""de"")"),"Menschen auf einem Bootsanzug in Tauchausrüstung springen dann ins Wasser.")</f>
        <v>Menschen auf einem Bootsanzug in Tauchausrüstung springen dann ins Wasser.</v>
      </c>
    </row>
    <row r="11985">
      <c r="A11985" s="4" t="s">
        <v>15074</v>
      </c>
      <c r="B11985" s="4" t="s">
        <v>15076</v>
      </c>
      <c r="C11985" s="5" t="str">
        <f>IFERROR(__xludf.DUMMYFUNCTION("GOOGLETRANSLATE(B11985,""en"",""de"")"),"Taucher schwimmen durch einen Höhlengebiet.")</f>
        <v>Taucher schwimmen durch einen Höhlengebiet.</v>
      </c>
    </row>
    <row r="11986">
      <c r="A11986" s="4" t="s">
        <v>15074</v>
      </c>
      <c r="B11986" s="4" t="s">
        <v>15077</v>
      </c>
      <c r="C11986" s="5" t="str">
        <f>IFERROR(__xludf.DUMMYFUNCTION("GOOGLETRANSLATE(B11986,""en"",""de"")"),"Ein tropischer Strand ist zu sehen.")</f>
        <v>Ein tropischer Strand ist zu sehen.</v>
      </c>
    </row>
    <row r="11987">
      <c r="A11987" s="4" t="s">
        <v>15074</v>
      </c>
      <c r="B11987" s="4" t="s">
        <v>15078</v>
      </c>
      <c r="C11987" s="5" t="str">
        <f>IFERROR(__xludf.DUMMYFUNCTION("GOOGLETRANSLATE(B11987,""en"",""de"")"),"Meeresschildkröten weiden und schwimmen im Meer.")</f>
        <v>Meeresschildkröten weiden und schwimmen im Meer.</v>
      </c>
    </row>
    <row r="11988">
      <c r="A11988" s="4" t="s">
        <v>15074</v>
      </c>
      <c r="B11988" s="4" t="s">
        <v>15079</v>
      </c>
      <c r="C11988" s="5" t="str">
        <f>IFERROR(__xludf.DUMMYFUNCTION("GOOGLETRANSLATE(B11988,""en"",""de"")"),"Verschiedene Fische schwimmen durch das Riff.")</f>
        <v>Verschiedene Fische schwimmen durch das Riff.</v>
      </c>
    </row>
    <row r="11989">
      <c r="A11989" s="4" t="s">
        <v>15074</v>
      </c>
      <c r="B11989" s="4" t="s">
        <v>15080</v>
      </c>
      <c r="C11989" s="5" t="str">
        <f>IFERROR(__xludf.DUMMYFUNCTION("GOOGLETRANSLATE(B11989,""en"",""de"")"),"Ein Manta Ray schwimmt im Meer über einem Riff.")</f>
        <v>Ein Manta Ray schwimmt im Meer über einem Riff.</v>
      </c>
    </row>
    <row r="11990">
      <c r="A11990" s="4" t="s">
        <v>15081</v>
      </c>
      <c r="B11990" s="4" t="s">
        <v>15082</v>
      </c>
      <c r="C11990" s="5" t="str">
        <f>IFERROR(__xludf.DUMMYFUNCTION("GOOGLETRANSLATE(B11990,""en"",""de"")"),"Von außen wird ein Tattoo -Salon von außen angezeigt, dann innen.")</f>
        <v>Von außen wird ein Tattoo -Salon von außen angezeigt, dann innen.</v>
      </c>
    </row>
    <row r="11991">
      <c r="A11991" s="4" t="s">
        <v>15081</v>
      </c>
      <c r="B11991" s="4" t="s">
        <v>15083</v>
      </c>
      <c r="C11991" s="5" t="str">
        <f>IFERROR(__xludf.DUMMYFUNCTION("GOOGLETRANSLATE(B11991,""en"",""de"")"),"Eine Reihe von Tattoo -Auswahlmöglichkeiten wird an einer Wand angezeigt.")</f>
        <v>Eine Reihe von Tattoo -Auswahlmöglichkeiten wird an einer Wand angezeigt.</v>
      </c>
    </row>
    <row r="11992">
      <c r="A11992" s="4" t="s">
        <v>15081</v>
      </c>
      <c r="B11992" s="4" t="s">
        <v>15084</v>
      </c>
      <c r="C11992" s="5" t="str">
        <f>IFERROR(__xludf.DUMMYFUNCTION("GOOGLETRANSLATE(B11992,""en"",""de"")"),"Ein Künstler zeichnet und färben in Tätowierungen auf einem Blatt Papier.")</f>
        <v>Ein Künstler zeichnet und färben in Tätowierungen auf einem Blatt Papier.</v>
      </c>
    </row>
    <row r="11993">
      <c r="A11993" s="4" t="s">
        <v>15085</v>
      </c>
      <c r="B11993" s="4" t="s">
        <v>15086</v>
      </c>
      <c r="C11993" s="5" t="str">
        <f>IFERROR(__xludf.DUMMYFUNCTION("GOOGLETRANSLATE(B11993,""en"",""de"")"),"Eine Gruppe von Menschen ist auf einem schneebedeckten Hügel versammelt.")</f>
        <v>Eine Gruppe von Menschen ist auf einem schneebedeckten Hügel versammelt.</v>
      </c>
    </row>
    <row r="11994">
      <c r="A11994" s="4" t="s">
        <v>15085</v>
      </c>
      <c r="B11994" s="4" t="s">
        <v>15087</v>
      </c>
      <c r="C11994" s="5" t="str">
        <f>IFERROR(__xludf.DUMMYFUNCTION("GOOGLETRANSLATE(B11994,""en"",""de"")"),"Sie gehen mit Gezeiten herum.")</f>
        <v>Sie gehen mit Gezeiten herum.</v>
      </c>
    </row>
    <row r="11995">
      <c r="A11995" s="4" t="s">
        <v>15085</v>
      </c>
      <c r="B11995" s="4" t="s">
        <v>15088</v>
      </c>
      <c r="C11995" s="5" t="str">
        <f>IFERROR(__xludf.DUMMYFUNCTION("GOOGLETRANSLATE(B11995,""en"",""de"")"),"Sie reiten die Gefangenen den schneebedeckten Bergside hinunter.")</f>
        <v>Sie reiten die Gefangenen den schneebedeckten Bergside hinunter.</v>
      </c>
    </row>
    <row r="11996">
      <c r="A11996" s="4" t="s">
        <v>15089</v>
      </c>
      <c r="B11996" s="4" t="s">
        <v>15090</v>
      </c>
      <c r="C11996" s="5" t="str">
        <f>IFERROR(__xludf.DUMMYFUNCTION("GOOGLETRANSLATE(B11996,""en"",""de"")"),"Eine junge Ballerina, die einen Tutu trägt, steht an einem Ballettfass, das verschiedene Ballettbewegungen ausführt und sich zu Boden bewegt.")</f>
        <v>Eine junge Ballerina, die einen Tutu trägt, steht an einem Ballettfass, das verschiedene Ballettbewegungen ausführt und sich zu Boden bewegt.</v>
      </c>
    </row>
    <row r="11997">
      <c r="A11997" s="4" t="s">
        <v>15089</v>
      </c>
      <c r="B11997" s="4" t="s">
        <v>15091</v>
      </c>
      <c r="C11997" s="5" t="str">
        <f>IFERROR(__xludf.DUMMYFUNCTION("GOOGLETRANSLATE(B11997,""en"",""de"")"),"Sie bewegt sich weiter über den Boden und tanzt und führt dazu, dass sie einen Rasierer hält und Lotion auf ihre Beine legt.")</f>
        <v>Sie bewegt sich weiter über den Boden und tanzt und führt dazu, dass sie einen Rasierer hält und Lotion auf ihre Beine legt.</v>
      </c>
    </row>
    <row r="11998">
      <c r="A11998" s="4" t="s">
        <v>15089</v>
      </c>
      <c r="B11998" s="4" t="s">
        <v>15092</v>
      </c>
      <c r="C11998" s="5" t="str">
        <f>IFERROR(__xludf.DUMMYFUNCTION("GOOGLETRANSLATE(B11998,""en"",""de"")"),"Sie rasiert ihre Beine, während sie ihre Beine herum bewegt und tanzt weiter mit dem Rasiermesser in Sicht.")</f>
        <v>Sie rasiert ihre Beine, während sie ihre Beine herum bewegt und tanzt weiter mit dem Rasiermesser in Sicht.</v>
      </c>
    </row>
    <row r="11999">
      <c r="A11999" s="4" t="s">
        <v>15093</v>
      </c>
      <c r="B11999" s="4" t="s">
        <v>15094</v>
      </c>
      <c r="C11999" s="5" t="str">
        <f>IFERROR(__xludf.DUMMYFUNCTION("GOOGLETRANSLATE(B11999,""en"",""de"")"),"Ein Mann wirft einen Ball in eine Tasse.")</f>
        <v>Ein Mann wirft einen Ball in eine Tasse.</v>
      </c>
    </row>
    <row r="12000">
      <c r="A12000" s="4" t="s">
        <v>15093</v>
      </c>
      <c r="B12000" s="4" t="s">
        <v>15095</v>
      </c>
      <c r="C12000" s="5" t="str">
        <f>IFERROR(__xludf.DUMMYFUNCTION("GOOGLETRANSLATE(B12000,""en"",""de"")"),"Ein anderer Mann wirft einen Ball in eine Tasse.")</f>
        <v>Ein anderer Mann wirft einen Ball in eine Tasse.</v>
      </c>
    </row>
    <row r="12001">
      <c r="A12001" s="4" t="s">
        <v>15093</v>
      </c>
      <c r="B12001" s="4" t="s">
        <v>15096</v>
      </c>
      <c r="C12001" s="5" t="str">
        <f>IFERROR(__xludf.DUMMYFUNCTION("GOOGLETRANSLATE(B12001,""en"",""de"")"),"Die beiden Männer nehmen eine Tasse und trinken sie.")</f>
        <v>Die beiden Männer nehmen eine Tasse und trinken sie.</v>
      </c>
    </row>
    <row r="12002">
      <c r="A12002" s="4" t="s">
        <v>15097</v>
      </c>
      <c r="B12002" s="4" t="s">
        <v>15098</v>
      </c>
      <c r="C12002" s="5" t="str">
        <f>IFERROR(__xludf.DUMMYFUNCTION("GOOGLETRANSLATE(B12002,""en"",""de"")"),"Ein Mann steht vor Drähten und legt einen Schweißhelm auf.")</f>
        <v>Ein Mann steht vor Drähten und legt einen Schweißhelm auf.</v>
      </c>
    </row>
    <row r="12003">
      <c r="A12003" s="4" t="s">
        <v>15097</v>
      </c>
      <c r="B12003" s="4" t="s">
        <v>15099</v>
      </c>
      <c r="C12003" s="5" t="str">
        <f>IFERROR(__xludf.DUMMYFUNCTION("GOOGLETRANSLATE(B12003,""en"",""de"")"),"Er beginnt die Ecke des Raumes zu schweißen.")</f>
        <v>Er beginnt die Ecke des Raumes zu schweißen.</v>
      </c>
    </row>
    <row r="12004">
      <c r="A12004" s="4" t="s">
        <v>15097</v>
      </c>
      <c r="B12004" s="4" t="s">
        <v>15100</v>
      </c>
      <c r="C12004" s="5" t="str">
        <f>IFERROR(__xludf.DUMMYFUNCTION("GOOGLETRANSLATE(B12004,""en"",""de"")"),"Der Mann sandt die Ecke, in der er schweißte.")</f>
        <v>Der Mann sandt die Ecke, in der er schweißte.</v>
      </c>
    </row>
    <row r="12005">
      <c r="A12005" s="4" t="s">
        <v>15097</v>
      </c>
      <c r="B12005" s="4" t="s">
        <v>15101</v>
      </c>
      <c r="C12005" s="5" t="str">
        <f>IFERROR(__xludf.DUMMYFUNCTION("GOOGLETRANSLATE(B12005,""en"",""de"")"),"Er schweißt sich weiter in derselben Ecke.")</f>
        <v>Er schweißt sich weiter in derselben Ecke.</v>
      </c>
    </row>
    <row r="12006">
      <c r="A12006" s="4" t="s">
        <v>15097</v>
      </c>
      <c r="B12006" s="4" t="s">
        <v>15102</v>
      </c>
      <c r="C12006" s="5" t="str">
        <f>IFERROR(__xludf.DUMMYFUNCTION("GOOGLETRANSLATE(B12006,""en"",""de"")"),"Der Mann schiebt seinen Helm hoch und ersetzt die Drähte und sandt den gleichen Bereich wieder.")</f>
        <v>Der Mann schiebt seinen Helm hoch und ersetzt die Drähte und sandt den gleichen Bereich wieder.</v>
      </c>
    </row>
    <row r="12007">
      <c r="A12007" s="4" t="s">
        <v>15097</v>
      </c>
      <c r="B12007" s="4" t="s">
        <v>15103</v>
      </c>
      <c r="C12007" s="5" t="str">
        <f>IFERROR(__xludf.DUMMYFUNCTION("GOOGLETRANSLATE(B12007,""en"",""de"")"),"Er legt seine Handschuhe nieder und zeigt die Schweißnaht, die er beendet hat.")</f>
        <v>Er legt seine Handschuhe nieder und zeigt die Schweißnaht, die er beendet hat.</v>
      </c>
    </row>
    <row r="12008">
      <c r="A12008" s="4" t="s">
        <v>15104</v>
      </c>
      <c r="B12008" s="4" t="s">
        <v>15105</v>
      </c>
      <c r="C12008" s="5" t="str">
        <f>IFERROR(__xludf.DUMMYFUNCTION("GOOGLETRANSLATE(B12008,""en"",""de"")"),"Ein Mann steht draußen und hält eine Flasche Sonnenschirm und redet.")</f>
        <v>Ein Mann steht draußen und hält eine Flasche Sonnenschirm und redet.</v>
      </c>
    </row>
    <row r="12009">
      <c r="A12009" s="4" t="s">
        <v>15104</v>
      </c>
      <c r="B12009" s="4" t="s">
        <v>15106</v>
      </c>
      <c r="C12009" s="5" t="str">
        <f>IFERROR(__xludf.DUMMYFUNCTION("GOOGLETRANSLATE(B12009,""en"",""de"")"),"Er sprüht den Sonnenschirm auf seinen Arm und reibt ihn hinein.")</f>
        <v>Er sprüht den Sonnenschirm auf seinen Arm und reibt ihn hinein.</v>
      </c>
    </row>
    <row r="12010">
      <c r="A12010" s="4" t="s">
        <v>15107</v>
      </c>
      <c r="B12010" s="4" t="s">
        <v>15108</v>
      </c>
      <c r="C12010" s="5" t="str">
        <f>IFERROR(__xludf.DUMMYFUNCTION("GOOGLETRANSLATE(B12010,""en"",""de"")"),"Ein Mann, der ein blaues Hemd trägt, wirft einen Bowlingkugel in eine Kegelbahn.")</f>
        <v>Ein Mann, der ein blaues Hemd trägt, wirft einen Bowlingkugel in eine Kegelbahn.</v>
      </c>
    </row>
    <row r="12011">
      <c r="A12011" s="4" t="s">
        <v>15107</v>
      </c>
      <c r="B12011" s="4" t="s">
        <v>15109</v>
      </c>
      <c r="C12011" s="5" t="str">
        <f>IFERROR(__xludf.DUMMYFUNCTION("GOOGLETRANSLATE(B12011,""en"",""de"")"),"Der Ball schlägt sowohl Stifte als auch in die angrenzende Gasse, die dort auch den Stift hinunter schlägt.")</f>
        <v>Der Ball schlägt sowohl Stifte als auch in die angrenzende Gasse, die dort auch den Stift hinunter schlägt.</v>
      </c>
    </row>
    <row r="12012">
      <c r="A12012" s="4" t="s">
        <v>15107</v>
      </c>
      <c r="B12012" s="4" t="s">
        <v>15110</v>
      </c>
      <c r="C12012" s="5" t="str">
        <f>IFERROR(__xludf.DUMMYFUNCTION("GOOGLETRANSLATE(B12012,""en"",""de"")"),"Ein sitzender Mann in einem roten Hemd schüttelt den Kopf.")</f>
        <v>Ein sitzender Mann in einem roten Hemd schüttelt den Kopf.</v>
      </c>
    </row>
    <row r="12013">
      <c r="A12013" s="4" t="s">
        <v>15107</v>
      </c>
      <c r="B12013" s="4" t="s">
        <v>15111</v>
      </c>
      <c r="C12013" s="5" t="str">
        <f>IFERROR(__xludf.DUMMYFUNCTION("GOOGLETRANSLATE(B12013,""en"",""de"")"),"Der Mann im blauen Hemd geht zurück.")</f>
        <v>Der Mann im blauen Hemd geht zurück.</v>
      </c>
    </row>
    <row r="12014">
      <c r="A12014" s="4" t="s">
        <v>15112</v>
      </c>
      <c r="B12014" s="4" t="s">
        <v>15113</v>
      </c>
      <c r="C12014" s="5" t="str">
        <f>IFERROR(__xludf.DUMMYFUNCTION("GOOGLETRANSLATE(B12014,""en"",""de"")"),"Eine Einführung kommt auf den Bildschirm für ein Video über das Wintersport -Curling.")</f>
        <v>Eine Einführung kommt auf den Bildschirm für ein Video über das Wintersport -Curling.</v>
      </c>
    </row>
    <row r="12015">
      <c r="A12015" s="4" t="s">
        <v>15112</v>
      </c>
      <c r="B12015" s="4" t="s">
        <v>15114</v>
      </c>
      <c r="C12015" s="5" t="str">
        <f>IFERROR(__xludf.DUMMYFUNCTION("GOOGLETRANSLATE(B12015,""en"",""de"")"),"Locken sind gezeigt, als sie unterschiedliche Schüsse machen und das Eis hinunterfegen.")</f>
        <v>Locken sind gezeigt, als sie unterschiedliche Schüsse machen und das Eis hinunterfegen.</v>
      </c>
    </row>
    <row r="12016">
      <c r="A12016" s="4" t="s">
        <v>15112</v>
      </c>
      <c r="B12016" s="4" t="s">
        <v>15115</v>
      </c>
      <c r="C12016" s="5" t="str">
        <f>IFERROR(__xludf.DUMMYFUNCTION("GOOGLETRANSLATE(B12016,""en"",""de"")"),"Das Video endet mit den Abspannungen und Grafiken.")</f>
        <v>Das Video endet mit den Abspannungen und Grafiken.</v>
      </c>
    </row>
    <row r="12017">
      <c r="A12017" s="4" t="s">
        <v>15116</v>
      </c>
      <c r="B12017" s="4" t="s">
        <v>15117</v>
      </c>
      <c r="C12017" s="5" t="str">
        <f>IFERROR(__xludf.DUMMYFUNCTION("GOOGLETRANSLATE(B12017,""en"",""de"")"),"Ein Mann kratzt Schnee von der Seite eines Autos.")</f>
        <v>Ein Mann kratzt Schnee von der Seite eines Autos.</v>
      </c>
    </row>
    <row r="12018">
      <c r="A12018" s="4" t="s">
        <v>15116</v>
      </c>
      <c r="B12018" s="4" t="s">
        <v>15118</v>
      </c>
      <c r="C12018" s="5" t="str">
        <f>IFERROR(__xludf.DUMMYFUNCTION("GOOGLETRANSLATE(B12018,""en"",""de"")"),"Dann kratzt er Schnee von der Motorhaube.")</f>
        <v>Dann kratzt er Schnee von der Motorhaube.</v>
      </c>
    </row>
    <row r="12019">
      <c r="A12019" s="4" t="s">
        <v>15116</v>
      </c>
      <c r="B12019" s="4" t="s">
        <v>15119</v>
      </c>
      <c r="C12019" s="5" t="str">
        <f>IFERROR(__xludf.DUMMYFUNCTION("GOOGLETRANSLATE(B12019,""en"",""de"")"),"Dann bewegt er sich zur anderen Seite, um mehr Schnee zu entfernen.")</f>
        <v>Dann bewegt er sich zur anderen Seite, um mehr Schnee zu entfernen.</v>
      </c>
    </row>
    <row r="12020">
      <c r="A12020" s="4" t="s">
        <v>15116</v>
      </c>
      <c r="B12020" s="4" t="s">
        <v>15120</v>
      </c>
      <c r="C12020" s="5" t="str">
        <f>IFERROR(__xludf.DUMMYFUNCTION("GOOGLETRANSLATE(B12020,""en"",""de"")"),"Schließlich beendet er das Auto.")</f>
        <v>Schließlich beendet er das Auto.</v>
      </c>
    </row>
    <row r="12021">
      <c r="A12021" s="4" t="s">
        <v>15121</v>
      </c>
      <c r="B12021" s="4" t="s">
        <v>15122</v>
      </c>
      <c r="C12021" s="5" t="str">
        <f>IFERROR(__xludf.DUMMYFUNCTION("GOOGLETRANSLATE(B12021,""en"",""de"")"),"Ein kleiner Junge sitzt in seinem Hochstuhl und taucht eine Gabel in ein Glas Schokoladenmilch ein, das von einem Erwachsenen gehalten wird.")</f>
        <v>Ein kleiner Junge sitzt in seinem Hochstuhl und taucht eine Gabel in ein Glas Schokoladenmilch ein, das von einem Erwachsenen gehalten wird.</v>
      </c>
    </row>
    <row r="12022">
      <c r="A12022" s="4" t="s">
        <v>15121</v>
      </c>
      <c r="B12022" s="4" t="s">
        <v>15123</v>
      </c>
      <c r="C12022" s="5" t="str">
        <f>IFERROR(__xludf.DUMMYFUNCTION("GOOGLETRANSLATE(B12022,""en"",""de"")"),"Der Erwachsene nimmt mehrere Drehungen, um die Gabel in die Tasse zu tauchen und sie zu lecken.")</f>
        <v>Der Erwachsene nimmt mehrere Drehungen, um die Gabel in die Tasse zu tauchen und sie zu lecken.</v>
      </c>
    </row>
    <row r="12023">
      <c r="A12023" s="4" t="s">
        <v>15121</v>
      </c>
      <c r="B12023" s="4" t="s">
        <v>15124</v>
      </c>
      <c r="C12023" s="5" t="str">
        <f>IFERROR(__xludf.DUMMYFUNCTION("GOOGLETRANSLATE(B12023,""en"",""de"")"),"Dann macht er eine Minute und beginnt mit der Gabel zu spielen.")</f>
        <v>Dann macht er eine Minute und beginnt mit der Gabel zu spielen.</v>
      </c>
    </row>
    <row r="12024">
      <c r="A12024" s="4" t="s">
        <v>15125</v>
      </c>
      <c r="B12024" s="4" t="s">
        <v>15126</v>
      </c>
      <c r="C12024" s="5" t="str">
        <f>IFERROR(__xludf.DUMMYFUNCTION("GOOGLETRANSLATE(B12024,""en"",""de"")"),"Es wird ein Weihnachtsbaum gezeigt, gefolgt von mehreren Personen, die sich in einer schnellen Bewegung bewegt, die eine Menge Lichter aufhalten.")</f>
        <v>Es wird ein Weihnachtsbaum gezeigt, gefolgt von mehreren Personen, die sich in einer schnellen Bewegung bewegt, die eine Menge Lichter aufhalten.</v>
      </c>
    </row>
    <row r="12025">
      <c r="A12025" s="4" t="s">
        <v>15125</v>
      </c>
      <c r="B12025" s="4" t="s">
        <v>15127</v>
      </c>
      <c r="C12025" s="5" t="str">
        <f>IFERROR(__xludf.DUMMYFUNCTION("GOOGLETRANSLATE(B12025,""en"",""de"")"),"Die Leute bewegen sich rund um das Haus auf und ab und enden, indem sie die Lichter ausschalten, um sie zu sehen.")</f>
        <v>Die Leute bewegen sich rund um das Haus auf und ab und enden, indem sie die Lichter ausschalten, um sie zu sehen.</v>
      </c>
    </row>
    <row r="12026">
      <c r="A12026" s="4" t="s">
        <v>15128</v>
      </c>
      <c r="B12026" s="4" t="s">
        <v>15129</v>
      </c>
      <c r="C12026" s="5" t="str">
        <f>IFERROR(__xludf.DUMMYFUNCTION("GOOGLETRANSLATE(B12026,""en"",""de"")"),"Ein sehr langsames Video eines sehr starken Mannes wird gezeigt, als er eine Langhantel aufnimmt, die viele schwere Gewichte aufweist, und er hockt ein wenig mit ihm an seiner Brust.")</f>
        <v>Ein sehr langsames Video eines sehr starken Mannes wird gezeigt, als er eine Langhantel aufnimmt, die viele schwere Gewichte aufweist, und er hockt ein wenig mit ihm an seiner Brust.</v>
      </c>
    </row>
    <row r="12027">
      <c r="A12027" s="4" t="s">
        <v>15128</v>
      </c>
      <c r="B12027" s="4" t="s">
        <v>15130</v>
      </c>
      <c r="C12027" s="5" t="str">
        <f>IFERROR(__xludf.DUMMYFUNCTION("GOOGLETRANSLATE(B12027,""en"",""de"")"),"Der Mann steht dann auf und hält die Langhantel an seiner Brust.")</f>
        <v>Der Mann steht dann auf und hält die Langhantel an seiner Brust.</v>
      </c>
    </row>
    <row r="12028">
      <c r="A12028" s="4" t="s">
        <v>15128</v>
      </c>
      <c r="B12028" s="4" t="s">
        <v>15131</v>
      </c>
      <c r="C12028" s="5" t="str">
        <f>IFERROR(__xludf.DUMMYFUNCTION("GOOGLETRANSLATE(B12028,""en"",""de"")"),"Der Mann versucht dann, die Langhantel über seinem Kopf zu halten, während er knackt, aber er lässt die Langhantel fallen und schaut dann in seine Hände, als ob sie ihn versagten.")</f>
        <v>Der Mann versucht dann, die Langhantel über seinem Kopf zu halten, während er knackt, aber er lässt die Langhantel fallen und schaut dann in seine Hände, als ob sie ihn versagten.</v>
      </c>
    </row>
    <row r="12029">
      <c r="A12029" s="4" t="s">
        <v>15132</v>
      </c>
      <c r="B12029" s="4" t="s">
        <v>15133</v>
      </c>
      <c r="C12029" s="5" t="str">
        <f>IFERROR(__xludf.DUMMYFUNCTION("GOOGLETRANSLATE(B12029,""en"",""de"")"),"Ein Spezialeffekt -Bowling -Thema Intro erscheint und der Text in der Mitte lautete ""Chris Hardwicks All Star Celebrity Bowling"".")</f>
        <v>Ein Spezialeffekt -Bowling -Thema Intro erscheint und der Text in der Mitte lautete "Chris Hardwicks All Star Celebrity Bowling".</v>
      </c>
    </row>
    <row r="12030">
      <c r="A12030" s="4" t="s">
        <v>15132</v>
      </c>
      <c r="B12030" s="4" t="s">
        <v>15134</v>
      </c>
      <c r="C12030" s="5" t="str">
        <f>IFERROR(__xludf.DUMMYFUNCTION("GOOGLETRANSLATE(B12030,""en"",""de"")"),"Es gibt vier Männer, die sich in einer Kegelbahn posieren, alle tragen gelbe Hemden und ihren Teamnamen -Text Says ""Nerdist"".")</f>
        <v>Es gibt vier Männer, die sich in einer Kegelbahn posieren, alle tragen gelbe Hemden und ihren Teamnamen -Text Says "Nerdist".</v>
      </c>
    </row>
    <row r="12031">
      <c r="A12031" s="4" t="s">
        <v>15132</v>
      </c>
      <c r="B12031" s="4" t="s">
        <v>15135</v>
      </c>
      <c r="C12031" s="5" t="str">
        <f>IFERROR(__xludf.DUMMYFUNCTION("GOOGLETRANSLATE(B12031,""en"",""de"")"),"Als nächstes erscheinen eine Gruppe von 4 Personen und es gibt 3 Männer und 1 Frau und der Teamname Text Says ""WWE Superstars"".")</f>
        <v>Als nächstes erscheinen eine Gruppe von 4 Personen und es gibt 3 Männer und 1 Frau und der Teamname Text Says "WWE Superstars".</v>
      </c>
    </row>
    <row r="12032">
      <c r="A12032" s="4" t="s">
        <v>15132</v>
      </c>
      <c r="B12032" s="4" t="s">
        <v>15136</v>
      </c>
      <c r="C12032" s="5" t="str">
        <f>IFERROR(__xludf.DUMMYFUNCTION("GOOGLETRANSLATE(B12032,""en"",""de"")"),"Clips beginnen zu spielen und beinhaltet verschiedene Leute, die Bowling, reden, Bowling demonstrieren, Interviews geben, rumhängen, lachen, herumspielen, Gesichtshaare rasieren, Liegestütze machen, essen, sich gegenseitig füttern und etcetera.")</f>
        <v>Clips beginnen zu spielen und beinhaltet verschiedene Leute, die Bowling, reden, Bowling demonstrieren, Interviews geben, rumhängen, lachen, herumspielen, Gesichtshaare rasieren, Liegestütze machen, essen, sich gegenseitig füttern und etcetera.</v>
      </c>
    </row>
    <row r="12033">
      <c r="A12033" s="4" t="s">
        <v>15132</v>
      </c>
      <c r="B12033" s="4" t="s">
        <v>15137</v>
      </c>
      <c r="C12033" s="5" t="str">
        <f>IFERROR(__xludf.DUMMYFUNCTION("GOOGLETRANSLATE(B12033,""en"",""de"")"),"Große gelbe Wörter auf dem Bildschirm erscheinen und sagen ""Team Nerdist gewinnt!"" Und das gesamte Team steht auf und feiert.")</f>
        <v>Große gelbe Wörter auf dem Bildschirm erscheinen und sagen "Team Nerdist gewinnt!" Und das gesamte Team steht auf und feiert.</v>
      </c>
    </row>
    <row r="12034">
      <c r="A12034" s="4" t="s">
        <v>15132</v>
      </c>
      <c r="B12034" s="4" t="s">
        <v>15138</v>
      </c>
      <c r="C12034" s="5" t="str">
        <f>IFERROR(__xludf.DUMMYFUNCTION("GOOGLETRANSLATE(B12034,""en"",""de"")"),"Ein Nerdist -Teammitglied spricht glücklich in die Kamera und dann unglückliches Mitglied eines anderen Teams, das unglücklich mit der Kamera spricht.")</f>
        <v>Ein Nerdist -Teammitglied spricht glücklich in die Kamera und dann unglückliches Mitglied eines anderen Teams, das unglücklich mit der Kamera spricht.</v>
      </c>
    </row>
    <row r="12035">
      <c r="A12035" s="4" t="s">
        <v>15139</v>
      </c>
      <c r="B12035" s="4" t="s">
        <v>15140</v>
      </c>
      <c r="C12035" s="5" t="str">
        <f>IFERROR(__xludf.DUMMYFUNCTION("GOOGLETRANSLATE(B12035,""en"",""de"")"),"Wir sehen eine Titelkarte auf einem schwarzen Bildschirm.")</f>
        <v>Wir sehen eine Titelkarte auf einem schwarzen Bildschirm.</v>
      </c>
    </row>
    <row r="12036">
      <c r="A12036" s="4" t="s">
        <v>15139</v>
      </c>
      <c r="B12036" s="4" t="s">
        <v>15141</v>
      </c>
      <c r="C12036" s="5" t="str">
        <f>IFERROR(__xludf.DUMMYFUNCTION("GOOGLETRANSLATE(B12036,""en"",""de"")"),"Es ändert sich im Skateboarding -Tricks.")</f>
        <v>Es ändert sich im Skateboarding -Tricks.</v>
      </c>
    </row>
    <row r="12037">
      <c r="A12037" s="4" t="s">
        <v>15139</v>
      </c>
      <c r="B12037" s="4" t="s">
        <v>15142</v>
      </c>
      <c r="C12037" s="5" t="str">
        <f>IFERROR(__xludf.DUMMYFUNCTION("GOOGLETRANSLATE(B12037,""en"",""de"")"),"Wir sehen einen Fotografen, der Fotos macht.")</f>
        <v>Wir sehen einen Fotografen, der Fotos macht.</v>
      </c>
    </row>
    <row r="12038">
      <c r="A12038" s="4" t="s">
        <v>15139</v>
      </c>
      <c r="B12038" s="4" t="s">
        <v>15143</v>
      </c>
      <c r="C12038" s="5" t="str">
        <f>IFERROR(__xludf.DUMMYFUNCTION("GOOGLETRANSLATE(B12038,""en"",""de"")"),"Ein Mann springt mit einem Feuerhydranten.")</f>
        <v>Ein Mann springt mit einem Feuerhydranten.</v>
      </c>
    </row>
    <row r="12039">
      <c r="A12039" s="4" t="s">
        <v>15139</v>
      </c>
      <c r="B12039" s="4" t="s">
        <v>15144</v>
      </c>
      <c r="C12039" s="5" t="str">
        <f>IFERROR(__xludf.DUMMYFUNCTION("GOOGLETRANSLATE(B12039,""en"",""de"")"),"Wir sehen einen Mann aus der Nähe über die Treppe springen.")</f>
        <v>Wir sehen einen Mann aus der Nähe über die Treppe springen.</v>
      </c>
    </row>
    <row r="12040">
      <c r="A12040" s="4" t="s">
        <v>15139</v>
      </c>
      <c r="B12040" s="4" t="s">
        <v>15145</v>
      </c>
      <c r="C12040" s="5" t="str">
        <f>IFERROR(__xludf.DUMMYFUNCTION("GOOGLETRANSLATE(B12040,""en"",""de"")"),"Ein Mann fährt mit vielen Kameras.")</f>
        <v>Ein Mann fährt mit vielen Kameras.</v>
      </c>
    </row>
    <row r="12041">
      <c r="A12041" s="4" t="s">
        <v>15139</v>
      </c>
      <c r="B12041" s="4" t="s">
        <v>15146</v>
      </c>
      <c r="C12041" s="5" t="str">
        <f>IFERROR(__xludf.DUMMYFUNCTION("GOOGLETRANSLATE(B12041,""en"",""de"")"),"Die Kamera verlangsamt sich und die Szene endet.")</f>
        <v>Die Kamera verlangsamt sich und die Szene endet.</v>
      </c>
    </row>
    <row r="12042">
      <c r="A12042" s="4" t="s">
        <v>15139</v>
      </c>
      <c r="B12042" s="4" t="s">
        <v>15147</v>
      </c>
      <c r="C12042" s="5" t="str">
        <f>IFERROR(__xludf.DUMMYFUNCTION("GOOGLETRANSLATE(B12042,""en"",""de"")"),"Wir sehen einen schwarzen Bildschirm und einen Credits.")</f>
        <v>Wir sehen einen schwarzen Bildschirm und einen Credits.</v>
      </c>
    </row>
    <row r="12043">
      <c r="A12043" s="4" t="s">
        <v>15148</v>
      </c>
      <c r="B12043" s="4" t="s">
        <v>15149</v>
      </c>
      <c r="C12043" s="5" t="str">
        <f>IFERROR(__xludf.DUMMYFUNCTION("GOOGLETRANSLATE(B12043,""en"",""de"")"),"Ein junger Mann pumpt auf beiden Beinen auf und ab.")</f>
        <v>Ein junger Mann pumpt auf beiden Beinen auf und ab.</v>
      </c>
    </row>
    <row r="12044">
      <c r="A12044" s="4" t="s">
        <v>15148</v>
      </c>
      <c r="B12044" s="4" t="s">
        <v>15150</v>
      </c>
      <c r="C12044" s="5" t="str">
        <f>IFERROR(__xludf.DUMMYFUNCTION("GOOGLETRANSLATE(B12044,""en"",""de"")"),"Der Schüler springt aus der knienden Position auf und landet auf einem Stapel Matte und landet dann auf dem Boden.")</f>
        <v>Der Schüler springt aus der knienden Position auf und landet auf einem Stapel Matte und landet dann auf dem Boden.</v>
      </c>
    </row>
    <row r="12045">
      <c r="A12045" s="4" t="s">
        <v>15151</v>
      </c>
      <c r="B12045" s="4" t="s">
        <v>15152</v>
      </c>
      <c r="C12045" s="5" t="str">
        <f>IFERROR(__xludf.DUMMYFUNCTION("GOOGLETRANSLATE(B12045,""en"",""de"")"),"Menschen und Hunde gehen einen Weg entlang.")</f>
        <v>Menschen und Hunde gehen einen Weg entlang.</v>
      </c>
    </row>
    <row r="12046">
      <c r="A12046" s="4" t="s">
        <v>15151</v>
      </c>
      <c r="B12046" s="4" t="s">
        <v>15153</v>
      </c>
      <c r="C12046" s="5" t="str">
        <f>IFERROR(__xludf.DUMMYFUNCTION("GOOGLETRANSLATE(B12046,""en"",""de"")"),"Rosa Blumen auf einem Busch werden gezeigt.")</f>
        <v>Rosa Blumen auf einem Busch werden gezeigt.</v>
      </c>
    </row>
    <row r="12047">
      <c r="A12047" s="4" t="s">
        <v>15151</v>
      </c>
      <c r="B12047" s="4" t="s">
        <v>15154</v>
      </c>
      <c r="C12047" s="5" t="str">
        <f>IFERROR(__xludf.DUMMYFUNCTION("GOOGLETRANSLATE(B12047,""en"",""de"")"),"Die Menschen gehen Hunde an den Leinen eine Straße hinunter.")</f>
        <v>Die Menschen gehen Hunde an den Leinen eine Straße hinunter.</v>
      </c>
    </row>
    <row r="12048">
      <c r="A12048" s="4" t="s">
        <v>15155</v>
      </c>
      <c r="B12048" s="4" t="s">
        <v>15156</v>
      </c>
      <c r="C12048" s="5" t="str">
        <f>IFERROR(__xludf.DUMMYFUNCTION("GOOGLETRANSLATE(B12048,""en"",""de"")"),"Ein Stier befindet sich in einem Ring und betrachtet die Stierkämpfe außen.")</f>
        <v>Ein Stier befindet sich in einem Ring und betrachtet die Stierkämpfe außen.</v>
      </c>
    </row>
    <row r="12049">
      <c r="A12049" s="4" t="s">
        <v>15155</v>
      </c>
      <c r="B12049" s="4" t="s">
        <v>15157</v>
      </c>
      <c r="C12049" s="5" t="str">
        <f>IFERROR(__xludf.DUMMYFUNCTION("GOOGLETRANSLATE(B12049,""en"",""de"")"),"Ein Haufen Kämpfer gehen dahinter.")</f>
        <v>Ein Haufen Kämpfer gehen dahinter.</v>
      </c>
    </row>
    <row r="12050">
      <c r="A12050" s="4" t="s">
        <v>15155</v>
      </c>
      <c r="B12050" s="4" t="s">
        <v>15158</v>
      </c>
      <c r="C12050" s="5" t="str">
        <f>IFERROR(__xludf.DUMMYFUNCTION("GOOGLETRANSLATE(B12050,""en"",""de"")"),"Sie beginnen mit dem Stier zu kämpfen, ziehen manchmal seinen Schwanz und schwenkt mit dem Umhang vor sich, damit er den Anklage erhebt.")</f>
        <v>Sie beginnen mit dem Stier zu kämpfen, ziehen manchmal seinen Schwanz und schwenkt mit dem Umhang vor sich, damit er den Anklage erhebt.</v>
      </c>
    </row>
    <row r="12051">
      <c r="A12051" s="4" t="s">
        <v>15159</v>
      </c>
      <c r="B12051" s="4" t="s">
        <v>15160</v>
      </c>
      <c r="C12051" s="5" t="str">
        <f>IFERROR(__xludf.DUMMYFUNCTION("GOOGLETRANSLATE(B12051,""en"",""de"")"),"Ein Mann spricht mit der Kamera, während er einen Tennisschläger hält, und schlägt den Ball gegen die Wand.")</f>
        <v>Ein Mann spricht mit der Kamera, während er einen Tennisschläger hält, und schlägt den Ball gegen die Wand.</v>
      </c>
    </row>
    <row r="12052">
      <c r="A12052" s="4" t="s">
        <v>15159</v>
      </c>
      <c r="B12052" s="4" t="s">
        <v>15161</v>
      </c>
      <c r="C12052" s="5" t="str">
        <f>IFERROR(__xludf.DUMMYFUNCTION("GOOGLETRANSLATE(B12052,""en"",""de"")"),"Er spricht weiterhin mit der Kamera und übergeht zu ihm, als er den Ball schlägt.")</f>
        <v>Er spricht weiterhin mit der Kamera und übergeht zu ihm, als er den Ball schlägt.</v>
      </c>
    </row>
    <row r="12053">
      <c r="A12053" s="4" t="s">
        <v>15162</v>
      </c>
      <c r="B12053" s="4" t="s">
        <v>15163</v>
      </c>
      <c r="C12053" s="5" t="str">
        <f>IFERROR(__xludf.DUMMYFUNCTION("GOOGLETRANSLATE(B12053,""en"",""de"")"),"Ein Mann in einem grauen Schweißhemd steht an einer Bushaltestelle.")</f>
        <v>Ein Mann in einem grauen Schweißhemd steht an einer Bushaltestelle.</v>
      </c>
    </row>
    <row r="12054">
      <c r="A12054" s="4" t="s">
        <v>15162</v>
      </c>
      <c r="B12054" s="4" t="s">
        <v>15164</v>
      </c>
      <c r="C12054" s="5" t="str">
        <f>IFERROR(__xludf.DUMMYFUNCTION("GOOGLETRANSLATE(B12054,""en"",""de"")"),"Er fängt an, eine Straße entlang zu klingen und Tricks zu machen.")</f>
        <v>Er fängt an, eine Straße entlang zu klingen und Tricks zu machen.</v>
      </c>
    </row>
    <row r="12055">
      <c r="A12055" s="4" t="s">
        <v>15162</v>
      </c>
      <c r="B12055" s="4" t="s">
        <v>15165</v>
      </c>
      <c r="C12055" s="5" t="str">
        <f>IFERROR(__xludf.DUMMYFUNCTION("GOOGLETRANSLATE(B12055,""en"",""de"")"),"Der Mann fährt rückwärts.")</f>
        <v>Der Mann fährt rückwärts.</v>
      </c>
    </row>
    <row r="12056">
      <c r="A12056" s="4" t="s">
        <v>15166</v>
      </c>
      <c r="B12056" s="4" t="s">
        <v>15167</v>
      </c>
      <c r="C12056" s="5" t="str">
        <f>IFERROR(__xludf.DUMMYFUNCTION("GOOGLETRANSLATE(B12056,""en"",""de"")"),"Ein Mann in schwarzen Hosen steht auf einem Dach und nagelt einen langen Schindel auf das Dach.")</f>
        <v>Ein Mann in schwarzen Hosen steht auf einem Dach und nagelt einen langen Schindel auf das Dach.</v>
      </c>
    </row>
    <row r="12057">
      <c r="A12057" s="4" t="s">
        <v>15166</v>
      </c>
      <c r="B12057" s="4" t="s">
        <v>15168</v>
      </c>
      <c r="C12057" s="5" t="str">
        <f>IFERROR(__xludf.DUMMYFUNCTION("GOOGLETRANSLATE(B12057,""en"",""de"")"),"Ein Mann in blauen Shorts erscheint rechts und nagelt auch lange Schindeln auf dem Dach.")</f>
        <v>Ein Mann in blauen Shorts erscheint rechts und nagelt auch lange Schindeln auf dem Dach.</v>
      </c>
    </row>
    <row r="12058">
      <c r="A12058" s="4" t="s">
        <v>15166</v>
      </c>
      <c r="B12058" s="4" t="s">
        <v>15169</v>
      </c>
      <c r="C12058" s="5" t="str">
        <f>IFERROR(__xludf.DUMMYFUNCTION("GOOGLETRANSLATE(B12058,""en"",""de"")"),"Der Zoom geht in die langen schwarzen Hose ein und er nagelt Schindeln auf den Außenbereich des Daches.")</f>
        <v>Der Zoom geht in die langen schwarzen Hose ein und er nagelt Schindeln auf den Außenbereich des Daches.</v>
      </c>
    </row>
    <row r="12059">
      <c r="A12059" s="4" t="s">
        <v>15170</v>
      </c>
      <c r="B12059" s="4" t="s">
        <v>15171</v>
      </c>
      <c r="C12059" s="5" t="str">
        <f>IFERROR(__xludf.DUMMYFUNCTION("GOOGLETRANSLATE(B12059,""en"",""de"")"),"Eine Frau spielt eine Flöte, während ein Mann in ein Mikrofon spricht und zwei Leute das Klavier hinter sich spielen.")</f>
        <v>Eine Frau spielt eine Flöte, während ein Mann in ein Mikrofon spricht und zwei Leute das Klavier hinter sich spielen.</v>
      </c>
    </row>
    <row r="12060">
      <c r="A12060" s="4" t="s">
        <v>15170</v>
      </c>
      <c r="B12060" s="4" t="s">
        <v>15172</v>
      </c>
      <c r="C12060" s="5" t="str">
        <f>IFERROR(__xludf.DUMMYFUNCTION("GOOGLETRANSLATE(B12060,""en"",""de"")"),"Die Frau hält eine Pause, um mit dem Mann zu sprechen, und der Mann nimmt die Flöte von ihr und spielt.")</f>
        <v>Die Frau hält eine Pause, um mit dem Mann zu sprechen, und der Mann nimmt die Flöte von ihr und spielt.</v>
      </c>
    </row>
    <row r="12061">
      <c r="A12061" s="4" t="s">
        <v>15170</v>
      </c>
      <c r="B12061" s="4" t="s">
        <v>15173</v>
      </c>
      <c r="C12061" s="5" t="str">
        <f>IFERROR(__xludf.DUMMYFUNCTION("GOOGLETRANSLATE(B12061,""en"",""de"")"),"Der Mann gibt ihr die Flöte zurück, um zu spielen, und endet, indem sie immer noch mit ihr spricht.")</f>
        <v>Der Mann gibt ihr die Flöte zurück, um zu spielen, und endet, indem sie immer noch mit ihr spricht.</v>
      </c>
    </row>
    <row r="12062">
      <c r="A12062" s="4" t="s">
        <v>15174</v>
      </c>
      <c r="B12062" s="4" t="s">
        <v>15175</v>
      </c>
      <c r="C12062" s="5" t="str">
        <f>IFERROR(__xludf.DUMMYFUNCTION("GOOGLETRANSLATE(B12062,""en"",""de"")"),"Ein sportlicher Mann läuft über eine Strecke in eine Grube.")</f>
        <v>Ein sportlicher Mann läuft über eine Strecke in eine Grube.</v>
      </c>
    </row>
    <row r="12063">
      <c r="A12063" s="4" t="s">
        <v>15174</v>
      </c>
      <c r="B12063" s="4" t="s">
        <v>15176</v>
      </c>
      <c r="C12063" s="5" t="str">
        <f>IFERROR(__xludf.DUMMYFUNCTION("GOOGLETRANSLATE(B12063,""en"",""de"")"),"Mehrere weitere Menschen sind gesehen, wie sie die Strecke in eine Grube hinunterlaufen.")</f>
        <v>Mehrere weitere Menschen sind gesehen, wie sie die Strecke in eine Grube hinunterlaufen.</v>
      </c>
    </row>
    <row r="12064">
      <c r="A12064" s="4" t="s">
        <v>15174</v>
      </c>
      <c r="B12064" s="4" t="s">
        <v>15177</v>
      </c>
      <c r="C12064" s="5" t="str">
        <f>IFERROR(__xludf.DUMMYFUNCTION("GOOGLETRANSLATE(B12064,""en"",""de"")"),"Eins nacheinander springen mehr Leute.")</f>
        <v>Eins nacheinander springen mehr Leute.</v>
      </c>
    </row>
    <row r="12065">
      <c r="A12065" s="4" t="s">
        <v>15178</v>
      </c>
      <c r="B12065" s="4" t="s">
        <v>15179</v>
      </c>
      <c r="C12065" s="5" t="str">
        <f>IFERROR(__xludf.DUMMYFUNCTION("GOOGLETRANSLATE(B12065,""en"",""de"")"),"Ein Nachrichtenanker im weißen Mantel spricht vor der Kamera.")</f>
        <v>Ein Nachrichtenanker im weißen Mantel spricht vor der Kamera.</v>
      </c>
    </row>
    <row r="12066">
      <c r="A12066" s="4" t="s">
        <v>15178</v>
      </c>
      <c r="B12066" s="4" t="s">
        <v>15180</v>
      </c>
      <c r="C12066" s="5" t="str">
        <f>IFERROR(__xludf.DUMMYFUNCTION("GOOGLETRANSLATE(B12066,""en"",""de"")"),"Der Spieler trat den Ball und traf das Tor.")</f>
        <v>Der Spieler trat den Ball und traf das Tor.</v>
      </c>
    </row>
    <row r="12067">
      <c r="A12067" s="4" t="s">
        <v>15178</v>
      </c>
      <c r="B12067" s="4" t="s">
        <v>15181</v>
      </c>
      <c r="C12067" s="5" t="str">
        <f>IFERROR(__xludf.DUMMYFUNCTION("GOOGLETRANSLATE(B12067,""en"",""de"")"),"Zwei Spieler im Platz begannen sich zu streiten und schob sich gegenseitig und kämpften sich, einer der Spieler warf den Ball zur anderen Person, die Spieler begannen sich zu jagen und schob sich gegenseitig, dann gingen das Team in blauen Uniformen weg.")</f>
        <v>Zwei Spieler im Platz begannen sich zu streiten und schob sich gegenseitig und kämpften sich, einer der Spieler warf den Ball zur anderen Person, die Spieler begannen sich zu jagen und schob sich gegenseitig, dann gingen das Team in blauen Uniformen weg.</v>
      </c>
    </row>
    <row r="12068">
      <c r="A12068" s="4" t="s">
        <v>15178</v>
      </c>
      <c r="B12068" s="4" t="s">
        <v>15182</v>
      </c>
      <c r="C12068" s="5" t="str">
        <f>IFERROR(__xludf.DUMMYFUNCTION("GOOGLETRANSLATE(B12068,""en"",""de"")"),"Das Team in weißen Uniformen blieb am Platz und jubelte.")</f>
        <v>Das Team in weißen Uniformen blieb am Platz und jubelte.</v>
      </c>
    </row>
    <row r="12069">
      <c r="A12069" s="4" t="s">
        <v>15183</v>
      </c>
      <c r="B12069" s="4" t="s">
        <v>15184</v>
      </c>
      <c r="C12069" s="5" t="str">
        <f>IFERROR(__xludf.DUMMYFUNCTION("GOOGLETRANSLATE(B12069,""en"",""de"")"),"Ein Intro wird von einer Frau gezeigt, die mit ihren Händen strickt, während verschiedene Bilder von Katzen im Hintergrund angezeigt werden.")</f>
        <v>Ein Intro wird von einer Frau gezeigt, die mit ihren Händen strickt, während verschiedene Bilder von Katzen im Hintergrund angezeigt werden.</v>
      </c>
    </row>
    <row r="12070">
      <c r="A12070" s="4" t="s">
        <v>15183</v>
      </c>
      <c r="B12070" s="4" t="s">
        <v>15185</v>
      </c>
      <c r="C12070" s="5" t="str">
        <f>IFERROR(__xludf.DUMMYFUNCTION("GOOGLETRANSLATE(B12070,""en"",""de"")"),"Text darüber, wie man strickt, erscheint, während ihre Hände sich weiter bewegen, um zu demonstrieren, wie man richtig strickt.")</f>
        <v>Text darüber, wie man strickt, erscheint, während ihre Hände sich weiter bewegen, um zu demonstrieren, wie man richtig strickt.</v>
      </c>
    </row>
    <row r="12071">
      <c r="A12071" s="4" t="s">
        <v>15186</v>
      </c>
      <c r="B12071" s="4" t="s">
        <v>15187</v>
      </c>
      <c r="C12071" s="5" t="str">
        <f>IFERROR(__xludf.DUMMYFUNCTION("GOOGLETRANSLATE(B12071,""en"",""de"")"),"Eine Frau spricht und legt sich auf den Boden, dann biegt sie ihre Beine und hebt beide.")</f>
        <v>Eine Frau spricht und legt sich auf den Boden, dann biegt sie ihre Beine und hebt beide.</v>
      </c>
    </row>
    <row r="12072">
      <c r="A12072" s="4" t="s">
        <v>15186</v>
      </c>
      <c r="B12072" s="4" t="s">
        <v>15188</v>
      </c>
      <c r="C12072" s="5" t="str">
        <f>IFERROR(__xludf.DUMMYFUNCTION("GOOGLETRANSLATE(B12072,""en"",""de"")"),"Dann hebt die Frau die beiden Beine gerade.")</f>
        <v>Dann hebt die Frau die beiden Beine gerade.</v>
      </c>
    </row>
    <row r="12073">
      <c r="A12073" s="4" t="s">
        <v>15186</v>
      </c>
      <c r="B12073" s="4" t="s">
        <v>15189</v>
      </c>
      <c r="C12073" s="5" t="str">
        <f>IFERROR(__xludf.DUMMYFUNCTION("GOOGLETRANSLATE(B12073,""en"",""de"")"),"Danach hebt die Frau nur ein Bein und das andere Bein ruhen sich auf den Boden.")</f>
        <v>Danach hebt die Frau nur ein Bein und das andere Bein ruhen sich auf den Boden.</v>
      </c>
    </row>
    <row r="12074">
      <c r="A12074" s="4" t="s">
        <v>15190</v>
      </c>
      <c r="B12074" s="4" t="s">
        <v>15191</v>
      </c>
      <c r="C12074" s="5" t="str">
        <f>IFERROR(__xludf.DUMMYFUNCTION("GOOGLETRANSLATE(B12074,""en"",""de"")"),"Der kleine Junge sitzt im blauen Kajak mit Paddeln.")</f>
        <v>Der kleine Junge sitzt im blauen Kajak mit Paddeln.</v>
      </c>
    </row>
    <row r="12075">
      <c r="A12075" s="4" t="s">
        <v>15190</v>
      </c>
      <c r="B12075" s="4" t="s">
        <v>15192</v>
      </c>
      <c r="C12075" s="5" t="str">
        <f>IFERROR(__xludf.DUMMYFUNCTION("GOOGLETRANSLATE(B12075,""en"",""de"")"),"Dann wird jemand anderes gezeigt, der im Wasser paddelt, und es stehen Menschen an Land.")</f>
        <v>Dann wird jemand anderes gezeigt, der im Wasser paddelt, und es stehen Menschen an Land.</v>
      </c>
    </row>
    <row r="12076">
      <c r="A12076" s="4" t="s">
        <v>15190</v>
      </c>
      <c r="B12076" s="4" t="s">
        <v>15193</v>
      </c>
      <c r="C12076" s="5" t="str">
        <f>IFERROR(__xludf.DUMMYFUNCTION("GOOGLETRANSLATE(B12076,""en"",""de"")"),"Die Kamera dreht sich ein paar Mal um, um die Bäume und den Himmel zu zeigen.")</f>
        <v>Die Kamera dreht sich ein paar Mal um, um die Bäume und den Himmel zu zeigen.</v>
      </c>
    </row>
    <row r="12077">
      <c r="A12077" s="4" t="s">
        <v>15194</v>
      </c>
      <c r="B12077" s="4" t="s">
        <v>15195</v>
      </c>
      <c r="C12077" s="5" t="str">
        <f>IFERROR(__xludf.DUMMYFUNCTION("GOOGLETRANSLATE(B12077,""en"",""de"")"),"Eine weibliche Nachrichtenfrau spricht in einem Nachrichtenzimmer mit der Kamera.")</f>
        <v>Eine weibliche Nachrichtenfrau spricht in einem Nachrichtenzimmer mit der Kamera.</v>
      </c>
    </row>
    <row r="12078">
      <c r="A12078" s="4" t="s">
        <v>15194</v>
      </c>
      <c r="B12078" s="4" t="s">
        <v>15196</v>
      </c>
      <c r="C12078" s="5" t="str">
        <f>IFERROR(__xludf.DUMMYFUNCTION("GOOGLETRANSLATE(B12078,""en"",""de"")"),"Eine andere Frau zeigt eine Reihe von Reinigungsmitteln.")</f>
        <v>Eine andere Frau zeigt eine Reihe von Reinigungsmitteln.</v>
      </c>
    </row>
    <row r="12079">
      <c r="A12079" s="4" t="s">
        <v>15194</v>
      </c>
      <c r="B12079" s="4" t="s">
        <v>15197</v>
      </c>
      <c r="C12079" s="5" t="str">
        <f>IFERROR(__xludf.DUMMYFUNCTION("GOOGLETRANSLATE(B12079,""en"",""de"")"),"Sie weist an, wie sie sie benutzt, aber bestimmte Elemente nicht mischen.")</f>
        <v>Sie weist an, wie sie sie benutzt, aber bestimmte Elemente nicht mischen.</v>
      </c>
    </row>
    <row r="12080">
      <c r="A12080" s="4" t="s">
        <v>15194</v>
      </c>
      <c r="B12080" s="4" t="s">
        <v>15198</v>
      </c>
      <c r="C12080" s="5" t="str">
        <f>IFERROR(__xludf.DUMMYFUNCTION("GOOGLETRANSLATE(B12080,""en"",""de"")"),"Sie gießt die Flüssigkeiten in Tassen und verwandelt sich in eine Sprühflasche, um eine Küche zu reinigen.")</f>
        <v>Sie gießt die Flüssigkeiten in Tassen und verwandelt sich in eine Sprühflasche, um eine Küche zu reinigen.</v>
      </c>
    </row>
    <row r="12081">
      <c r="A12081" s="4" t="s">
        <v>15199</v>
      </c>
      <c r="B12081" s="4" t="s">
        <v>15200</v>
      </c>
      <c r="C12081" s="5" t="str">
        <f>IFERROR(__xludf.DUMMYFUNCTION("GOOGLETRANSLATE(B12081,""en"",""de"")"),"Ein Mann steht an einer Theke mit einem Smith -Messer.")</f>
        <v>Ein Mann steht an einer Theke mit einem Smith -Messer.</v>
      </c>
    </row>
    <row r="12082">
      <c r="A12082" s="4" t="s">
        <v>15199</v>
      </c>
      <c r="B12082" s="4" t="s">
        <v>15201</v>
      </c>
      <c r="C12082" s="5" t="str">
        <f>IFERROR(__xludf.DUMMYFUNCTION("GOOGLETRANSLATE(B12082,""en"",""de"")"),"Er zeigt, wie man das Messer schärft.")</f>
        <v>Er zeigt, wie man das Messer schärft.</v>
      </c>
    </row>
    <row r="12083">
      <c r="A12083" s="4" t="s">
        <v>15199</v>
      </c>
      <c r="B12083" s="4" t="s">
        <v>15202</v>
      </c>
      <c r="C12083" s="5" t="str">
        <f>IFERROR(__xludf.DUMMYFUNCTION("GOOGLETRANSLATE(B12083,""en"",""de"")"),"Er gießt Öl in das Schärfen und leitet das Messer darüber.")</f>
        <v>Er gießt Öl in das Schärfen und leitet das Messer darüber.</v>
      </c>
    </row>
    <row r="12084">
      <c r="A12084" s="4" t="s">
        <v>15199</v>
      </c>
      <c r="B12084" s="4" t="s">
        <v>15203</v>
      </c>
      <c r="C12084" s="5" t="str">
        <f>IFERROR(__xludf.DUMMYFUNCTION("GOOGLETRANSLATE(B12084,""en"",""de"")"),"Er reinigt das Werkzeug und legt es weg.")</f>
        <v>Er reinigt das Werkzeug und legt es weg.</v>
      </c>
    </row>
    <row r="12085">
      <c r="A12085" s="4" t="s">
        <v>15204</v>
      </c>
      <c r="B12085" s="4" t="s">
        <v>15205</v>
      </c>
      <c r="C12085" s="5" t="str">
        <f>IFERROR(__xludf.DUMMYFUNCTION("GOOGLETRANSLATE(B12085,""en"",""de"")"),"Eine Frau in Rot steht neben einem Tisch und erklärt einige Dinge.")</f>
        <v>Eine Frau in Rot steht neben einem Tisch und erklärt einige Dinge.</v>
      </c>
    </row>
    <row r="12086">
      <c r="A12086" s="4" t="s">
        <v>15204</v>
      </c>
      <c r="B12086" s="4" t="s">
        <v>15206</v>
      </c>
      <c r="C12086" s="5" t="str">
        <f>IFERROR(__xludf.DUMMYFUNCTION("GOOGLETRANSLATE(B12086,""en"",""de"")"),"Sie legt ihre Hand auf den Weihnachtsbaum und spricht mehr darüber.")</f>
        <v>Sie legt ihre Hand auf den Weihnachtsbaum und spricht mehr darüber.</v>
      </c>
    </row>
    <row r="12087">
      <c r="A12087" s="4" t="s">
        <v>15204</v>
      </c>
      <c r="B12087" s="4" t="s">
        <v>15207</v>
      </c>
      <c r="C12087" s="5" t="str">
        <f>IFERROR(__xludf.DUMMYFUNCTION("GOOGLETRANSLATE(B12087,""en"",""de"")"),"Sie schnappt sich ein rotes Band und fängt an, in einen Bug zu binden.")</f>
        <v>Sie schnappt sich ein rotes Band und fängt an, in einen Bug zu binden.</v>
      </c>
    </row>
    <row r="12088">
      <c r="A12088" s="4" t="s">
        <v>15204</v>
      </c>
      <c r="B12088" s="4" t="s">
        <v>15208</v>
      </c>
      <c r="C12088" s="5" t="str">
        <f>IFERROR(__xludf.DUMMYFUNCTION("GOOGLETRANSLATE(B12088,""en"",""de"")"),"Sie geht dann zum Weihnachtsbaum und spricht weiter darüber.")</f>
        <v>Sie geht dann zum Weihnachtsbaum und spricht weiter darüber.</v>
      </c>
    </row>
    <row r="12089">
      <c r="A12089" s="4" t="s">
        <v>15209</v>
      </c>
      <c r="B12089" s="4" t="s">
        <v>15210</v>
      </c>
      <c r="C12089" s="5" t="str">
        <f>IFERROR(__xludf.DUMMYFUNCTION("GOOGLETRANSLATE(B12089,""en"",""de"")"),"Frisurenwerkzeuge werden in der Nahaufnahme gezeigt.")</f>
        <v>Frisurenwerkzeuge werden in der Nahaufnahme gezeigt.</v>
      </c>
    </row>
    <row r="12090">
      <c r="A12090" s="4" t="s">
        <v>15209</v>
      </c>
      <c r="B12090" s="4" t="s">
        <v>15211</v>
      </c>
      <c r="C12090" s="5" t="str">
        <f>IFERROR(__xludf.DUMMYFUNCTION("GOOGLETRANSLATE(B12090,""en"",""de"")"),"Eine Frau geht eine Straße hinunter in einen Salon.")</f>
        <v>Eine Frau geht eine Straße hinunter in einen Salon.</v>
      </c>
    </row>
    <row r="12091">
      <c r="A12091" s="4" t="s">
        <v>15209</v>
      </c>
      <c r="B12091" s="4" t="s">
        <v>15212</v>
      </c>
      <c r="C12091" s="5" t="str">
        <f>IFERROR(__xludf.DUMMYFUNCTION("GOOGLETRANSLATE(B12091,""en"",""de"")"),"Die Frau interagiert mit einem Mann im Salon.")</f>
        <v>Die Frau interagiert mit einem Mann im Salon.</v>
      </c>
    </row>
    <row r="12092">
      <c r="A12092" s="4" t="s">
        <v>15209</v>
      </c>
      <c r="B12092" s="4" t="s">
        <v>15213</v>
      </c>
      <c r="C12092" s="5" t="str">
        <f>IFERROR(__xludf.DUMMYFUNCTION("GOOGLETRANSLATE(B12092,""en"",""de"")"),"Der Mann und die Frau schauen sich zusammen Bilder von Frisuren an.")</f>
        <v>Der Mann und die Frau schauen sich zusammen Bilder von Frisuren an.</v>
      </c>
    </row>
    <row r="12093">
      <c r="A12093" s="4" t="s">
        <v>15209</v>
      </c>
      <c r="B12093" s="4" t="s">
        <v>15214</v>
      </c>
      <c r="C12093" s="5" t="str">
        <f>IFERROR(__xludf.DUMMYFUNCTION("GOOGLETRANSLATE(B12093,""en"",""de"")"),"Es werden Szenen der Frau gezeigt, mit denen ihr Haar geschnitten und gestylt wird.")</f>
        <v>Es werden Szenen der Frau gezeigt, mit denen ihr Haar geschnitten und gestylt wird.</v>
      </c>
    </row>
    <row r="12094">
      <c r="A12094" s="4" t="s">
        <v>15209</v>
      </c>
      <c r="B12094" s="4" t="s">
        <v>15215</v>
      </c>
      <c r="C12094" s="5" t="str">
        <f>IFERROR(__xludf.DUMMYFUNCTION("GOOGLETRANSLATE(B12094,""en"",""de"")"),"Der Mann und die Frau interagieren, während sie ihren neuen Stil untersuchen.")</f>
        <v>Der Mann und die Frau interagieren, während sie ihren neuen Stil untersuchen.</v>
      </c>
    </row>
    <row r="12095">
      <c r="A12095" s="4" t="s">
        <v>15209</v>
      </c>
      <c r="B12095" s="4" t="s">
        <v>15216</v>
      </c>
      <c r="C12095" s="5" t="str">
        <f>IFERROR(__xludf.DUMMYFUNCTION("GOOGLETRANSLATE(B12095,""en"",""de"")"),"Eine Nahaufnahme von Haaren auf dem Boden wird gezeigt.")</f>
        <v>Eine Nahaufnahme von Haaren auf dem Boden wird gezeigt.</v>
      </c>
    </row>
    <row r="12096">
      <c r="A12096" s="4" t="s">
        <v>15217</v>
      </c>
      <c r="B12096" s="4" t="s">
        <v>15218</v>
      </c>
      <c r="C12096" s="5" t="str">
        <f>IFERROR(__xludf.DUMMYFUNCTION("GOOGLETRANSLATE(B12096,""en"",""de"")"),"Ein Mann und eine Frau sprechen mit einer Kamera und das Mädchen zeigt, wie man einen Diskussion richtig hält.")</f>
        <v>Ein Mann und eine Frau sprechen mit einer Kamera und das Mädchen zeigt, wie man einen Diskussion richtig hält.</v>
      </c>
    </row>
    <row r="12097">
      <c r="A12097" s="4" t="s">
        <v>15217</v>
      </c>
      <c r="B12097" s="4" t="s">
        <v>15219</v>
      </c>
      <c r="C12097" s="5" t="str">
        <f>IFERROR(__xludf.DUMMYFUNCTION("GOOGLETRANSLATE(B12097,""en"",""de"")"),"Zweitens zeigt sie die richtige Haltung, den Gegenstand zu werfen, und wirft die Diskussion in die Luft.")</f>
        <v>Zweitens zeigt sie die richtige Haltung, den Gegenstand zu werfen, und wirft die Diskussion in die Luft.</v>
      </c>
    </row>
    <row r="12098">
      <c r="A12098" s="4" t="s">
        <v>15217</v>
      </c>
      <c r="B12098" s="4" t="s">
        <v>15220</v>
      </c>
      <c r="C12098" s="5" t="str">
        <f>IFERROR(__xludf.DUMMYFUNCTION("GOOGLETRANSLATE(B12098,""en"",""de"")"),"Sie demonstriert, dass sie sich biegt und sich mit der Scheibe dreht und einen voll ausgeht.")</f>
        <v>Sie demonstriert, dass sie sich biegt und sich mit der Scheibe dreht und einen voll ausgeht.</v>
      </c>
    </row>
    <row r="12099">
      <c r="A12099" s="4" t="s">
        <v>15217</v>
      </c>
      <c r="B12099" s="4" t="s">
        <v>15221</v>
      </c>
      <c r="C12099" s="5" t="str">
        <f>IFERROR(__xludf.DUMMYFUNCTION("GOOGLETRANSLATE(B12099,""en"",""de"")"),"Der Mann versucht dann zu werfen, wie die Frau es getan hat, und versucht, mehr zu werfen und besser zu werden.")</f>
        <v>Der Mann versucht dann zu werfen, wie die Frau es getan hat, und versucht, mehr zu werfen und besser zu werden.</v>
      </c>
    </row>
    <row r="12100">
      <c r="A12100" s="4" t="s">
        <v>15222</v>
      </c>
      <c r="B12100" s="4" t="s">
        <v>15223</v>
      </c>
      <c r="C12100" s="5" t="str">
        <f>IFERROR(__xludf.DUMMYFUNCTION("GOOGLETRANSLATE(B12100,""en"",""de"")"),"Die Leute sitzen in Stoßstangenautos, die gegenseitig ineinander krachen.")</f>
        <v>Die Leute sitzen in Stoßstangenautos, die gegenseitig ineinander krachen.</v>
      </c>
    </row>
    <row r="12101">
      <c r="A12101" s="4" t="s">
        <v>15222</v>
      </c>
      <c r="B12101" s="4" t="s">
        <v>15224</v>
      </c>
      <c r="C12101" s="5" t="str">
        <f>IFERROR(__xludf.DUMMYFUNCTION("GOOGLETRANSLATE(B12101,""en"",""de"")"),"Sie halten an und steigen aus den Autos.")</f>
        <v>Sie halten an und steigen aus den Autos.</v>
      </c>
    </row>
    <row r="12102">
      <c r="A12102" s="4" t="s">
        <v>15222</v>
      </c>
      <c r="B12102" s="4" t="s">
        <v>15225</v>
      </c>
      <c r="C12102" s="5" t="str">
        <f>IFERROR(__xludf.DUMMYFUNCTION("GOOGLETRANSLATE(B12102,""en"",""de"")"),"Ein Junge in einem weißen Hemd geht mit einem Jungen in einem blauen Hemd hinaus.")</f>
        <v>Ein Junge in einem weißen Hemd geht mit einem Jungen in einem blauen Hemd hinaus.</v>
      </c>
    </row>
    <row r="12103">
      <c r="A12103" s="4" t="s">
        <v>15226</v>
      </c>
      <c r="B12103" s="4" t="s">
        <v>15227</v>
      </c>
      <c r="C12103" s="5" t="str">
        <f>IFERROR(__xludf.DUMMYFUNCTION("GOOGLETRANSLATE(B12103,""en"",""de"")"),"Eine Frau sitzt auf einem Übungsgerät mit festgeschnallten Armen und Beinen.")</f>
        <v>Eine Frau sitzt auf einem Übungsgerät mit festgeschnallten Armen und Beinen.</v>
      </c>
    </row>
    <row r="12104">
      <c r="A12104" s="4" t="s">
        <v>15226</v>
      </c>
      <c r="B12104" s="4" t="s">
        <v>15228</v>
      </c>
      <c r="C12104" s="5" t="str">
        <f>IFERROR(__xludf.DUMMYFUNCTION("GOOGLETRANSLATE(B12104,""en"",""de"")"),"Die Frau bewegt sich zurück und vierte auf der Maschine, während sie sich nach vorne freuen.")</f>
        <v>Die Frau bewegt sich zurück und vierte auf der Maschine, während sie sich nach vorne freuen.</v>
      </c>
    </row>
    <row r="12105">
      <c r="A12105" s="4" t="s">
        <v>15226</v>
      </c>
      <c r="B12105" s="4" t="s">
        <v>15229</v>
      </c>
      <c r="C12105" s="5" t="str">
        <f>IFERROR(__xludf.DUMMYFUNCTION("GOOGLETRANSLATE(B12105,""en"",""de"")"),"Die Frau bewegt sich weiter auf der Maschine, während die Kamera ihre Bewegungen beobachtet.")</f>
        <v>Die Frau bewegt sich weiter auf der Maschine, während die Kamera ihre Bewegungen beobachtet.</v>
      </c>
    </row>
    <row r="12106">
      <c r="A12106" s="4" t="s">
        <v>15230</v>
      </c>
      <c r="B12106" s="4" t="s">
        <v>1487</v>
      </c>
      <c r="C12106" s="5" t="str">
        <f>IFERROR(__xludf.DUMMYFUNCTION("GOOGLETRANSLATE(B12106,""en"",""de"")"),"Wir sehen einen Öffnungsbildschirm.")</f>
        <v>Wir sehen einen Öffnungsbildschirm.</v>
      </c>
    </row>
    <row r="12107">
      <c r="A12107" s="4" t="s">
        <v>15230</v>
      </c>
      <c r="B12107" s="4" t="s">
        <v>15231</v>
      </c>
      <c r="C12107" s="5" t="str">
        <f>IFERROR(__xludf.DUMMYFUNCTION("GOOGLETRANSLATE(B12107,""en"",""de"")"),"Eine Dame zeigt ihre Fingernägel.")</f>
        <v>Eine Dame zeigt ihre Fingernägel.</v>
      </c>
    </row>
    <row r="12108">
      <c r="A12108" s="4" t="s">
        <v>15230</v>
      </c>
      <c r="B12108" s="4" t="s">
        <v>15232</v>
      </c>
      <c r="C12108" s="5" t="str">
        <f>IFERROR(__xludf.DUMMYFUNCTION("GOOGLETRANSLATE(B12108,""en"",""de"")"),"Die Dame legt Tropfen weiße Farbe auf ihre Fingernägel.")</f>
        <v>Die Dame legt Tropfen weiße Farbe auf ihre Fingernägel.</v>
      </c>
    </row>
    <row r="12109">
      <c r="A12109" s="4" t="s">
        <v>15230</v>
      </c>
      <c r="B12109" s="4" t="s">
        <v>15233</v>
      </c>
      <c r="C12109" s="5" t="str">
        <f>IFERROR(__xludf.DUMMYFUNCTION("GOOGLETRANSLATE(B12109,""en"",""de"")"),"Die Dame benutzt einen Zahnstocher und schleppt ihn durch die weiße Farbe.")</f>
        <v>Die Dame benutzt einen Zahnstocher und schleppt ihn durch die weiße Farbe.</v>
      </c>
    </row>
    <row r="12110">
      <c r="A12110" s="4" t="s">
        <v>15230</v>
      </c>
      <c r="B12110" s="4" t="s">
        <v>15234</v>
      </c>
      <c r="C12110" s="5" t="str">
        <f>IFERROR(__xludf.DUMMYFUNCTION("GOOGLETRANSLATE(B12110,""en"",""de"")"),"Sie machte einen weiteren Fingernagel mit dem gleichen Prozess.")</f>
        <v>Sie machte einen weiteren Fingernagel mit dem gleichen Prozess.</v>
      </c>
    </row>
    <row r="12111">
      <c r="A12111" s="4" t="s">
        <v>15230</v>
      </c>
      <c r="B12111" s="4" t="s">
        <v>15235</v>
      </c>
      <c r="C12111" s="5" t="str">
        <f>IFERROR(__xludf.DUMMYFUNCTION("GOOGLETRANSLATE(B12111,""en"",""de"")"),"Die Dame zeigt uns die Blumenentwürfe auf ihren Nägeln.")</f>
        <v>Die Dame zeigt uns die Blumenentwürfe auf ihren Nägeln.</v>
      </c>
    </row>
    <row r="12112">
      <c r="A12112" s="4" t="s">
        <v>15236</v>
      </c>
      <c r="B12112" s="4" t="s">
        <v>15237</v>
      </c>
      <c r="C12112" s="5" t="str">
        <f>IFERROR(__xludf.DUMMYFUNCTION("GOOGLETRANSLATE(B12112,""en"",""de"")"),"Die Marschbänder sind auf dem Feld positioniert.")</f>
        <v>Die Marschbänder sind auf dem Feld positioniert.</v>
      </c>
    </row>
    <row r="12113">
      <c r="A12113" s="4" t="s">
        <v>15236</v>
      </c>
      <c r="B12113" s="4" t="s">
        <v>15238</v>
      </c>
      <c r="C12113" s="5" t="str">
        <f>IFERROR(__xludf.DUMMYFUNCTION("GOOGLETRANSLATE(B12113,""en"",""de"")"),"Dann begann die Band ihre Instrumente zu spielen.")</f>
        <v>Dann begann die Band ihre Instrumente zu spielen.</v>
      </c>
    </row>
    <row r="12114">
      <c r="A12114" s="4" t="s">
        <v>15236</v>
      </c>
      <c r="B12114" s="4" t="s">
        <v>15239</v>
      </c>
      <c r="C12114" s="5" t="str">
        <f>IFERROR(__xludf.DUMMYFUNCTION("GOOGLETRANSLATE(B12114,""en"",""de"")"),"Die Damen mit Flaggen bewegten ihre Flaggen auf und ab und drehen sie, während die Band spielt.")</f>
        <v>Die Damen mit Flaggen bewegten ihre Flaggen auf und ab und drehen sie, während die Band spielt.</v>
      </c>
    </row>
    <row r="12115">
      <c r="A12115" s="4" t="s">
        <v>15240</v>
      </c>
      <c r="B12115" s="4" t="s">
        <v>15241</v>
      </c>
      <c r="C12115" s="5" t="str">
        <f>IFERROR(__xludf.DUMMYFUNCTION("GOOGLETRANSLATE(B12115,""en"",""de"")"),"Ein Mann steht draußen, der ein Seil hält und es um eine Baumrinde zusammenbindet.")</f>
        <v>Ein Mann steht draußen, der ein Seil hält und es um eine Baumrinde zusammenbindet.</v>
      </c>
    </row>
    <row r="12116">
      <c r="A12116" s="4" t="s">
        <v>15240</v>
      </c>
      <c r="B12116" s="4" t="s">
        <v>15242</v>
      </c>
      <c r="C12116" s="5" t="str">
        <f>IFERROR(__xludf.DUMMYFUNCTION("GOOGLETRANSLATE(B12116,""en"",""de"")"),"Dann ägt er das Protokoll auf dem Boden und bricht es in zwei.")</f>
        <v>Dann ägt er das Protokoll auf dem Boden und bricht es in zwei.</v>
      </c>
    </row>
    <row r="12117">
      <c r="A12117" s="4" t="s">
        <v>15243</v>
      </c>
      <c r="B12117" s="4" t="s">
        <v>15244</v>
      </c>
      <c r="C12117" s="5" t="str">
        <f>IFERROR(__xludf.DUMMYFUNCTION("GOOGLETRANSLATE(B12117,""en"",""de"")"),"Ein Mann wird gezeigt, der auf einen Fahrradreifen zeigt und ein Stück Draht mit Zange schneidet.")</f>
        <v>Ein Mann wird gezeigt, der auf einen Fahrradreifen zeigt und ein Stück Draht mit Zange schneidet.</v>
      </c>
    </row>
    <row r="12118">
      <c r="A12118" s="4" t="s">
        <v>15243</v>
      </c>
      <c r="B12118" s="4" t="s">
        <v>15245</v>
      </c>
      <c r="C12118" s="5" t="str">
        <f>IFERROR(__xludf.DUMMYFUNCTION("GOOGLETRANSLATE(B12118,""en"",""de"")"),"Dann bewegt er sich in die Riegel herum und dreht das Rad, gefolgt von einem gegen den Reifen gedrückten Stock.")</f>
        <v>Dann bewegt er sich in die Riegel herum und dreht das Rad, gefolgt von einem gegen den Reifen gedrückten Stock.</v>
      </c>
    </row>
    <row r="12119">
      <c r="A12119" s="4" t="s">
        <v>15243</v>
      </c>
      <c r="B12119" s="4" t="s">
        <v>15246</v>
      </c>
      <c r="C12119" s="5" t="str">
        <f>IFERROR(__xludf.DUMMYFUNCTION("GOOGLETRANSLATE(B12119,""en"",""de"")"),"Er drückt ein Röhrchen in den Reifen und passt die Drähte mit einem Gerät ein.")</f>
        <v>Er drückt ein Röhrchen in den Reifen und passt die Drähte mit einem Gerät ein.</v>
      </c>
    </row>
    <row r="12120">
      <c r="A12120" s="4" t="s">
        <v>15243</v>
      </c>
      <c r="B12120" s="4" t="s">
        <v>15247</v>
      </c>
      <c r="C12120" s="5" t="str">
        <f>IFERROR(__xludf.DUMMYFUNCTION("GOOGLETRANSLATE(B12120,""en"",""de"")"),"Er testet das Rad gründlich aus und versichert, dass das Fahrrad bereit ist zu gehen.")</f>
        <v>Er testet das Rad gründlich aus und versichert, dass das Fahrrad bereit ist zu gehen.</v>
      </c>
    </row>
    <row r="12121">
      <c r="A12121" s="4" t="s">
        <v>15248</v>
      </c>
      <c r="B12121" s="4" t="s">
        <v>15249</v>
      </c>
      <c r="C12121" s="5" t="str">
        <f>IFERROR(__xludf.DUMMYFUNCTION("GOOGLETRANSLATE(B12121,""en"",""de"")"),"Eine Frau spricht mit einer Kamera.")</f>
        <v>Eine Frau spricht mit einer Kamera.</v>
      </c>
    </row>
    <row r="12122">
      <c r="A12122" s="4" t="s">
        <v>15248</v>
      </c>
      <c r="B12122" s="4" t="s">
        <v>15250</v>
      </c>
      <c r="C12122" s="5" t="str">
        <f>IFERROR(__xludf.DUMMYFUNCTION("GOOGLETRANSLATE(B12122,""en"",""de"")"),"Sie nimmt eine Flöte und beginnt zu spielen.")</f>
        <v>Sie nimmt eine Flöte und beginnt zu spielen.</v>
      </c>
    </row>
    <row r="12123">
      <c r="A12123" s="4" t="s">
        <v>15248</v>
      </c>
      <c r="B12123" s="4" t="s">
        <v>15251</v>
      </c>
      <c r="C12123" s="5" t="str">
        <f>IFERROR(__xludf.DUMMYFUNCTION("GOOGLETRANSLATE(B12123,""en"",""de"")"),"Sie legt den Rauch auf ihren Schoß und redet weiter.")</f>
        <v>Sie legt den Rauch auf ihren Schoß und redet weiter.</v>
      </c>
    </row>
    <row r="12124">
      <c r="A12124" s="4" t="s">
        <v>15248</v>
      </c>
      <c r="B12124" s="4" t="s">
        <v>15252</v>
      </c>
      <c r="C12124" s="5" t="str">
        <f>IFERROR(__xludf.DUMMYFUNCTION("GOOGLETRANSLATE(B12124,""en"",""de"")"),"Sie legt die Flöte wieder in ihren Mund und spielt weiter.")</f>
        <v>Sie legt die Flöte wieder in ihren Mund und spielt weiter.</v>
      </c>
    </row>
    <row r="12125">
      <c r="A12125" s="4" t="s">
        <v>15248</v>
      </c>
      <c r="B12125" s="4" t="s">
        <v>15253</v>
      </c>
      <c r="C12125" s="5" t="str">
        <f>IFERROR(__xludf.DUMMYFUNCTION("GOOGLETRANSLATE(B12125,""en"",""de"")"),"Sie legt die Flöte zurück und nickt mit dem Kopf.")</f>
        <v>Sie legt die Flöte zurück und nickt mit dem Kopf.</v>
      </c>
    </row>
    <row r="12126">
      <c r="A12126" s="4" t="s">
        <v>15248</v>
      </c>
      <c r="B12126" s="4" t="s">
        <v>15254</v>
      </c>
      <c r="C12126" s="5" t="str">
        <f>IFERROR(__xludf.DUMMYFUNCTION("GOOGLETRANSLATE(B12126,""en"",""de"")"),"Sie legt die Flöte wieder auf die Lippen und Theaterstücke.")</f>
        <v>Sie legt die Flöte wieder auf die Lippen und Theaterstücke.</v>
      </c>
    </row>
    <row r="12127">
      <c r="A12127" s="4" t="s">
        <v>15255</v>
      </c>
      <c r="B12127" s="4" t="s">
        <v>15256</v>
      </c>
      <c r="C12127" s="5" t="str">
        <f>IFERROR(__xludf.DUMMYFUNCTION("GOOGLETRANSLATE(B12127,""en"",""de"")"),"Eine Person Skifahrten hinter einem Boot.")</f>
        <v>Eine Person Skifahrten hinter einem Boot.</v>
      </c>
    </row>
    <row r="12128">
      <c r="A12128" s="4" t="s">
        <v>15255</v>
      </c>
      <c r="B12128" s="4" t="s">
        <v>15257</v>
      </c>
      <c r="C12128" s="5" t="str">
        <f>IFERROR(__xludf.DUMMYFUNCTION("GOOGLETRANSLATE(B12128,""en"",""de"")"),"Ein anderes Boot ist im Wasser hinter ihnen zu sehen.")</f>
        <v>Ein anderes Boot ist im Wasser hinter ihnen zu sehen.</v>
      </c>
    </row>
    <row r="12129">
      <c r="A12129" s="4" t="s">
        <v>15255</v>
      </c>
      <c r="B12129" s="4" t="s">
        <v>15258</v>
      </c>
      <c r="C12129" s="5" t="str">
        <f>IFERROR(__xludf.DUMMYFUNCTION("GOOGLETRANSLATE(B12129,""en"",""de"")"),"Sie gehen um gelbe Kegel im Wasser herum.")</f>
        <v>Sie gehen um gelbe Kegel im Wasser herum.</v>
      </c>
    </row>
    <row r="12130">
      <c r="A12130" s="4" t="s">
        <v>15259</v>
      </c>
      <c r="B12130" s="4" t="s">
        <v>15260</v>
      </c>
      <c r="C12130" s="5" t="str">
        <f>IFERROR(__xludf.DUMMYFUNCTION("GOOGLETRANSLATE(B12130,""en"",""de"")"),"Ein Mann sieht ein Feld hinunter, gefolgt von mehreren Leuten, die zurück und um den vierten Platz rennen.")</f>
        <v>Ein Mann sieht ein Feld hinunter, gefolgt von mehreren Leuten, die zurück und um den vierten Platz rennen.</v>
      </c>
    </row>
    <row r="12131">
      <c r="A12131" s="4" t="s">
        <v>15259</v>
      </c>
      <c r="B12131" s="4" t="s">
        <v>15261</v>
      </c>
      <c r="C12131" s="5" t="str">
        <f>IFERROR(__xludf.DUMMYFUNCTION("GOOGLETRANSLATE(B12131,""en"",""de"")"),"Die Männer werfen den Ball um den Hof und rennen weiter auf dem Gras auf und ab.")</f>
        <v>Die Männer werfen den Ball um den Hof und rennen weiter auf dem Gras auf und ab.</v>
      </c>
    </row>
    <row r="12132">
      <c r="A12132" s="4" t="s">
        <v>15262</v>
      </c>
      <c r="B12132" s="4" t="s">
        <v>15263</v>
      </c>
      <c r="C12132" s="5" t="str">
        <f>IFERROR(__xludf.DUMMYFUNCTION("GOOGLETRANSLATE(B12132,""en"",""de"")"),"Zwei Paar Männer bereiten sich auf das Box vor.")</f>
        <v>Zwei Paar Männer bereiten sich auf das Box vor.</v>
      </c>
    </row>
    <row r="12133">
      <c r="A12133" s="4" t="s">
        <v>15262</v>
      </c>
      <c r="B12133" s="4" t="s">
        <v>15264</v>
      </c>
      <c r="C12133" s="5" t="str">
        <f>IFERROR(__xludf.DUMMYFUNCTION("GOOGLETRANSLATE(B12133,""en"",""de"")"),"Beide Männerpaare werden Boxen gesehen.")</f>
        <v>Beide Männerpaare werden Boxen gesehen.</v>
      </c>
    </row>
    <row r="12134">
      <c r="A12134" s="4" t="s">
        <v>15262</v>
      </c>
      <c r="B12134" s="4" t="s">
        <v>15265</v>
      </c>
      <c r="C12134" s="5" t="str">
        <f>IFERROR(__xludf.DUMMYFUNCTION("GOOGLETRANSLATE(B12134,""en"",""de"")"),"Ein weiteres Paar Männer redet und deutet über das Boxen in der Ferne.")</f>
        <v>Ein weiteres Paar Männer redet und deutet über das Boxen in der Ferne.</v>
      </c>
    </row>
    <row r="12135">
      <c r="A12135" s="4" t="s">
        <v>15262</v>
      </c>
      <c r="B12135" s="4" t="s">
        <v>15266</v>
      </c>
      <c r="C12135" s="5" t="str">
        <f>IFERROR(__xludf.DUMMYFUNCTION("GOOGLETRANSLATE(B12135,""en"",""de"")"),"Das Hauptboxerpaar macht eine kurze Pause.")</f>
        <v>Das Hauptboxerpaar macht eine kurze Pause.</v>
      </c>
    </row>
    <row r="12136">
      <c r="A12136" s="4" t="s">
        <v>15262</v>
      </c>
      <c r="B12136" s="4" t="s">
        <v>15267</v>
      </c>
      <c r="C12136" s="5" t="str">
        <f>IFERROR(__xludf.DUMMYFUNCTION("GOOGLETRANSLATE(B12136,""en"",""de"")"),"Alle Gruppen stoppen das Boxen und beginnen zu reden.")</f>
        <v>Alle Gruppen stoppen das Boxen und beginnen zu reden.</v>
      </c>
    </row>
    <row r="12137">
      <c r="A12137" s="4" t="s">
        <v>15262</v>
      </c>
      <c r="B12137" s="4" t="s">
        <v>15268</v>
      </c>
      <c r="C12137" s="5" t="str">
        <f>IFERROR(__xludf.DUMMYFUNCTION("GOOGLETRANSLATE(B12137,""en"",""de"")"),"Einer der Männer fängt an, an einem Seil zu hängen und nach vorne und rückwärts zu schwingen.")</f>
        <v>Einer der Männer fängt an, an einem Seil zu hängen und nach vorne und rückwärts zu schwingen.</v>
      </c>
    </row>
    <row r="12138">
      <c r="A12138" s="4" t="s">
        <v>15269</v>
      </c>
      <c r="B12138" s="4" t="s">
        <v>15270</v>
      </c>
      <c r="C12138" s="5" t="str">
        <f>IFERROR(__xludf.DUMMYFUNCTION("GOOGLETRANSLATE(B12138,""en"",""de"")"),"Eine Frau in einem schwarzen Tanktop und schwarzen Strumpfhosen macht Magenknirschen auf einer Matte.")</f>
        <v>Eine Frau in einem schwarzen Tanktop und schwarzen Strumpfhosen macht Magenknirschen auf einer Matte.</v>
      </c>
    </row>
    <row r="12139">
      <c r="A12139" s="4" t="s">
        <v>15269</v>
      </c>
      <c r="B12139" s="4" t="s">
        <v>15271</v>
      </c>
      <c r="C12139" s="5" t="str">
        <f>IFERROR(__xludf.DUMMYFUNCTION("GOOGLETRANSLATE(B12139,""en"",""de"")"),"Sie trainiert auf einem Hartholzboden im Fitnessstudio.")</f>
        <v>Sie trainiert auf einem Hartholzboden im Fitnessstudio.</v>
      </c>
    </row>
    <row r="12140">
      <c r="A12140" s="4" t="s">
        <v>15269</v>
      </c>
      <c r="B12140" s="4" t="s">
        <v>15272</v>
      </c>
      <c r="C12140" s="5" t="str">
        <f>IFERROR(__xludf.DUMMYFUNCTION("GOOGLETRANSLATE(B12140,""en"",""de"")"),"Sie macht ihren Magencrunches weiter.")</f>
        <v>Sie macht ihren Magencrunches weiter.</v>
      </c>
    </row>
    <row r="12141">
      <c r="A12141" s="4" t="s">
        <v>15273</v>
      </c>
      <c r="B12141" s="4" t="s">
        <v>15274</v>
      </c>
      <c r="C12141" s="5" t="str">
        <f>IFERROR(__xludf.DUMMYFUNCTION("GOOGLETRANSLATE(B12141,""en"",""de"")"),"Ein Intro führt in eine Nahaufnahme eines Fooseball -Tisches und schwenkt um mehrere Spezifikationen des Tisches.")</f>
        <v>Ein Intro führt in eine Nahaufnahme eines Fooseball -Tisches und schwenkt um mehrere Spezifikationen des Tisches.</v>
      </c>
    </row>
    <row r="12142">
      <c r="A12142" s="4" t="s">
        <v>15273</v>
      </c>
      <c r="B12142" s="4" t="s">
        <v>15275</v>
      </c>
      <c r="C12142" s="5" t="str">
        <f>IFERROR(__xludf.DUMMYFUNCTION("GOOGLETRANSLATE(B12142,""en"",""de"")"),"Zwei Leute spielen miteinander, während die Kamera den Tisch an mehreren Stellen zeigt und die Jungen sich gegenseitig hochfischen.")</f>
        <v>Zwei Leute spielen miteinander, während die Kamera den Tisch an mehreren Stellen zeigt und die Jungen sich gegenseitig hochfischen.</v>
      </c>
    </row>
    <row r="12143">
      <c r="A12143" s="4" t="s">
        <v>15276</v>
      </c>
      <c r="B12143" s="4" t="s">
        <v>15277</v>
      </c>
      <c r="C12143" s="5" t="str">
        <f>IFERROR(__xludf.DUMMYFUNCTION("GOOGLETRANSLATE(B12143,""en"",""de"")"),"Verschiedene Bilder von Personen, die Malereien malen, werden mit mehreren Werkzeugen an harten Wänden angezeigt.")</f>
        <v>Verschiedene Bilder von Personen, die Malereien malen, werden mit mehreren Werkzeugen an harten Wänden angezeigt.</v>
      </c>
    </row>
    <row r="12144">
      <c r="A12144" s="4" t="s">
        <v>15276</v>
      </c>
      <c r="B12144" s="4" t="s">
        <v>15278</v>
      </c>
      <c r="C12144" s="5" t="str">
        <f>IFERROR(__xludf.DUMMYFUNCTION("GOOGLETRANSLATE(B12144,""en"",""de"")"),"Weitere Bilder werden von Personen gezeigt, die mit verschiedenen im Inneren gezeigten Textbildern putzen.")</f>
        <v>Weitere Bilder werden von Personen gezeigt, die mit verschiedenen im Inneren gezeigten Textbildern putzen.</v>
      </c>
    </row>
    <row r="12145">
      <c r="A12145" s="4" t="s">
        <v>15279</v>
      </c>
      <c r="B12145" s="4" t="s">
        <v>15280</v>
      </c>
      <c r="C12145" s="5" t="str">
        <f>IFERROR(__xludf.DUMMYFUNCTION("GOOGLETRANSLATE(B12145,""en"",""de"")"),"Ein Mann versammelt ein Fahrrad auf einem Tisch.")</f>
        <v>Ein Mann versammelt ein Fahrrad auf einem Tisch.</v>
      </c>
    </row>
    <row r="12146">
      <c r="A12146" s="4" t="s">
        <v>15279</v>
      </c>
      <c r="B12146" s="4" t="s">
        <v>15281</v>
      </c>
      <c r="C12146" s="5" t="str">
        <f>IFERROR(__xludf.DUMMYFUNCTION("GOOGLETRANSLATE(B12146,""en"",""de"")"),"Er legt Trainingsräder auf das Hinterrad des Fahrrads.")</f>
        <v>Er legt Trainingsräder auf das Hinterrad des Fahrrads.</v>
      </c>
    </row>
    <row r="12147">
      <c r="A12147" s="4" t="s">
        <v>15279</v>
      </c>
      <c r="B12147" s="4" t="s">
        <v>15282</v>
      </c>
      <c r="C12147" s="5" t="str">
        <f>IFERROR(__xludf.DUMMYFUNCTION("GOOGLETRANSLATE(B12147,""en"",""de"")"),"Er legt den Vorderreifen auf das Fahrrad.")</f>
        <v>Er legt den Vorderreifen auf das Fahrrad.</v>
      </c>
    </row>
    <row r="12148">
      <c r="A12148" s="4" t="s">
        <v>15279</v>
      </c>
      <c r="B12148" s="4" t="s">
        <v>15283</v>
      </c>
      <c r="C12148" s="5" t="str">
        <f>IFERROR(__xludf.DUMMYFUNCTION("GOOGLETRANSLATE(B12148,""en"",""de"")"),"Er legt den Lenker auf das Fahrrad.")</f>
        <v>Er legt den Lenker auf das Fahrrad.</v>
      </c>
    </row>
    <row r="12149">
      <c r="A12149" s="4" t="s">
        <v>15279</v>
      </c>
      <c r="B12149" s="4" t="s">
        <v>15284</v>
      </c>
      <c r="C12149" s="5" t="str">
        <f>IFERROR(__xludf.DUMMYFUNCTION("GOOGLETRANSLATE(B12149,""en"",""de"")"),"Er legt die Pedale auf das Fahrrad.")</f>
        <v>Er legt die Pedale auf das Fahrrad.</v>
      </c>
    </row>
    <row r="12150">
      <c r="A12150" s="4" t="s">
        <v>15279</v>
      </c>
      <c r="B12150" s="4" t="s">
        <v>15285</v>
      </c>
      <c r="C12150" s="5" t="str">
        <f>IFERROR(__xludf.DUMMYFUNCTION("GOOGLETRANSLATE(B12150,""en"",""de"")"),"Er legt den Sitz auf das Fahrrad.")</f>
        <v>Er legt den Sitz auf das Fahrrad.</v>
      </c>
    </row>
    <row r="12151">
      <c r="A12151" s="4" t="s">
        <v>15286</v>
      </c>
      <c r="B12151" s="4" t="s">
        <v>15287</v>
      </c>
      <c r="C12151" s="5" t="str">
        <f>IFERROR(__xludf.DUMMYFUNCTION("GOOGLETRANSLATE(B12151,""en"",""de"")"),"Ein Mann schwingt einen Baseballschläger.")</f>
        <v>Ein Mann schwingt einen Baseballschläger.</v>
      </c>
    </row>
    <row r="12152">
      <c r="A12152" s="4" t="s">
        <v>15286</v>
      </c>
      <c r="B12152" s="4" t="s">
        <v>15288</v>
      </c>
      <c r="C12152" s="5" t="str">
        <f>IFERROR(__xludf.DUMMYFUNCTION("GOOGLETRANSLATE(B12152,""en"",""de"")"),"Er trifft einen Ball und er geht auf ein Dach.")</f>
        <v>Er trifft einen Ball und er geht auf ein Dach.</v>
      </c>
    </row>
    <row r="12153">
      <c r="A12153" s="4" t="s">
        <v>15286</v>
      </c>
      <c r="B12153" s="4" t="s">
        <v>15289</v>
      </c>
      <c r="C12153" s="5" t="str">
        <f>IFERROR(__xludf.DUMMYFUNCTION("GOOGLETRANSLATE(B12153,""en"",""de"")"),"Ein Mann rennt und wirft einen Ball.")</f>
        <v>Ein Mann rennt und wirft einen Ball.</v>
      </c>
    </row>
    <row r="12154">
      <c r="A12154" s="4" t="s">
        <v>15290</v>
      </c>
      <c r="B12154" s="4" t="s">
        <v>15291</v>
      </c>
      <c r="C12154" s="5" t="str">
        <f>IFERROR(__xludf.DUMMYFUNCTION("GOOGLETRANSLATE(B12154,""en"",""de"")"),"Eine Frau gießt Schüsse Alkohol in ein Glas Eis.")</f>
        <v>Eine Frau gießt Schüsse Alkohol in ein Glas Eis.</v>
      </c>
    </row>
    <row r="12155">
      <c r="A12155" s="4" t="s">
        <v>15290</v>
      </c>
      <c r="B12155" s="4" t="s">
        <v>15292</v>
      </c>
      <c r="C12155" s="5" t="str">
        <f>IFERROR(__xludf.DUMMYFUNCTION("GOOGLETRANSLATE(B12155,""en"",""de"")"),"Sie schüttelt das Glas und setzt es ab.")</f>
        <v>Sie schüttelt das Glas und setzt es ab.</v>
      </c>
    </row>
    <row r="12156">
      <c r="A12156" s="4" t="s">
        <v>15290</v>
      </c>
      <c r="B12156" s="4" t="s">
        <v>15293</v>
      </c>
      <c r="C12156" s="5" t="str">
        <f>IFERROR(__xludf.DUMMYFUNCTION("GOOGLETRANSLATE(B12156,""en"",""de"")"),"Dann gießt sie es in ein anderes Glas und steckt einen Strohhalm hinein.")</f>
        <v>Dann gießt sie es in ein anderes Glas und steckt einen Strohhalm hinein.</v>
      </c>
    </row>
    <row r="12157">
      <c r="A12157" s="4" t="s">
        <v>15290</v>
      </c>
      <c r="B12157" s="4" t="s">
        <v>15294</v>
      </c>
      <c r="C12157" s="5" t="str">
        <f>IFERROR(__xludf.DUMMYFUNCTION("GOOGLETRANSLATE(B12157,""en"",""de"")"),"Sie hält das Getränk auf, während sie redet.")</f>
        <v>Sie hält das Getränk auf, während sie redet.</v>
      </c>
    </row>
    <row r="12158">
      <c r="A12158" s="4" t="s">
        <v>15295</v>
      </c>
      <c r="B12158" s="4" t="s">
        <v>15296</v>
      </c>
      <c r="C12158" s="5" t="str">
        <f>IFERROR(__xludf.DUMMYFUNCTION("GOOGLETRANSLATE(B12158,""en"",""de"")"),"Zwei Gruppen von Männern, die Uniformen tragen, eine mit dunklen Hemden und eine mit weißen Hemden, spielen auf einem Innenvolleyballplatz.")</f>
        <v>Zwei Gruppen von Männern, die Uniformen tragen, eine mit dunklen Hemden und eine mit weißen Hemden, spielen auf einem Innenvolleyballplatz.</v>
      </c>
    </row>
    <row r="12159">
      <c r="A12159" s="4" t="s">
        <v>15295</v>
      </c>
      <c r="B12159" s="4" t="s">
        <v>15297</v>
      </c>
      <c r="C12159" s="5" t="str">
        <f>IFERROR(__xludf.DUMMYFUNCTION("GOOGLETRANSLATE(B12159,""en"",""de"")"),"Der Mann im dunkleren Trikot taucht Nummer 17 auf den Boden, um den Ball zu retten.")</f>
        <v>Der Mann im dunkleren Trikot taucht Nummer 17 auf den Boden, um den Ball zu retten.</v>
      </c>
    </row>
    <row r="12160">
      <c r="A12160" s="4" t="s">
        <v>15295</v>
      </c>
      <c r="B12160" s="4" t="s">
        <v>15298</v>
      </c>
      <c r="C12160" s="5" t="str">
        <f>IFERROR(__xludf.DUMMYFUNCTION("GOOGLETRANSLATE(B12160,""en"",""de"")"),"Ein Teammitglied, das ein dunkles Hemd trägt, stellt den Ball aus, aber es geht aus den Grenzen und das Team mit den leichteren Hemden jubelt, während der Typ, der den Ball aus den Grenzen steckt, enttäuscht bewegt.")</f>
        <v>Ein Teammitglied, das ein dunkles Hemd trägt, stellt den Ball aus, aber es geht aus den Grenzen und das Team mit den leichteren Hemden jubelt, während der Typ, der den Ball aus den Grenzen steckt, enttäuscht bewegt.</v>
      </c>
    </row>
    <row r="12161">
      <c r="A12161" s="4" t="s">
        <v>15299</v>
      </c>
      <c r="B12161" s="4" t="s">
        <v>15300</v>
      </c>
      <c r="C12161" s="5" t="str">
        <f>IFERROR(__xludf.DUMMYFUNCTION("GOOGLETRANSLATE(B12161,""en"",""de"")"),"Zwei Staubsauger einer größer und einer ist kürzer ist Show.")</f>
        <v>Zwei Staubsauger einer größer und einer ist kürzer ist Show.</v>
      </c>
    </row>
    <row r="12162">
      <c r="A12162" s="4" t="s">
        <v>15299</v>
      </c>
      <c r="B12162" s="4" t="s">
        <v>15301</v>
      </c>
      <c r="C12162" s="5" t="str">
        <f>IFERROR(__xludf.DUMMYFUNCTION("GOOGLETRANSLATE(B12162,""en"",""de"")"),"Das Vakuum wird auf dem Teppich, des Holzbodens, am Ecke, unter dem Tisch und auf der Seite des Mülldoses und dann auf dem Teppich verwendet.")</f>
        <v>Das Vakuum wird auf dem Teppich, des Holzbodens, am Ecke, unter dem Tisch und auf der Seite des Mülldoses und dann auf dem Teppich verwendet.</v>
      </c>
    </row>
    <row r="12163">
      <c r="A12163" s="4" t="s">
        <v>15299</v>
      </c>
      <c r="B12163" s="4" t="s">
        <v>15302</v>
      </c>
      <c r="C12163" s="5" t="str">
        <f>IFERROR(__xludf.DUMMYFUNCTION("GOOGLETRANSLATE(B12163,""en"",""de"")"),"Eine Hand zieht ein Röhrchen heraus, benutzt das Röhrchen, um die Treppe und die Ecke der Decke zu staubsaugen, dann nahm eine Hand das Rohr heraus und warf den Staub aus dem transparenten Rohr weg.")</f>
        <v>Eine Hand zieht ein Röhrchen heraus, benutzt das Röhrchen, um die Treppe und die Ecke der Decke zu staubsaugen, dann nahm eine Hand das Rohr heraus und warf den Staub aus dem transparenten Rohr weg.</v>
      </c>
    </row>
    <row r="12164">
      <c r="A12164" s="4" t="s">
        <v>15299</v>
      </c>
      <c r="B12164" s="4" t="s">
        <v>15303</v>
      </c>
      <c r="C12164" s="5" t="str">
        <f>IFERROR(__xludf.DUMMYFUNCTION("GOOGLETRANSLATE(B12164,""en"",""de"")"),"Eine Frau trägt das Vakuum und steckt es in die Lagerung.")</f>
        <v>Eine Frau trägt das Vakuum und steckt es in die Lagerung.</v>
      </c>
    </row>
    <row r="12165">
      <c r="A12165" s="4" t="s">
        <v>15299</v>
      </c>
      <c r="B12165" s="4" t="s">
        <v>15304</v>
      </c>
      <c r="C12165" s="5" t="str">
        <f>IFERROR(__xludf.DUMMYFUNCTION("GOOGLETRANSLATE(B12165,""en"",""de"")"),"Eine Frau läuft in der Fabrik, dann zieht eine Person das Vakuum in ein weißes Blatt.")</f>
        <v>Eine Frau läuft in der Fabrik, dann zieht eine Person das Vakuum in ein weißes Blatt.</v>
      </c>
    </row>
    <row r="12166">
      <c r="A12166" s="4" t="s">
        <v>15305</v>
      </c>
      <c r="B12166" s="4" t="s">
        <v>15306</v>
      </c>
      <c r="C12166" s="5" t="str">
        <f>IFERROR(__xludf.DUMMYFUNCTION("GOOGLETRANSLATE(B12166,""en"",""de"")"),"Eine Person ist ein braunes Papier.")</f>
        <v>Eine Person ist ein braunes Papier.</v>
      </c>
    </row>
    <row r="12167">
      <c r="A12167" s="4" t="s">
        <v>15305</v>
      </c>
      <c r="B12167" s="4" t="s">
        <v>15307</v>
      </c>
      <c r="C12167" s="5" t="str">
        <f>IFERROR(__xludf.DUMMYFUNCTION("GOOGLETRANSLATE(B12167,""en"",""de"")"),"Die Person dreht das Eisen um und bügelt weiter.")</f>
        <v>Die Person dreht das Eisen um und bügelt weiter.</v>
      </c>
    </row>
    <row r="12168">
      <c r="A12168" s="4" t="s">
        <v>15305</v>
      </c>
      <c r="B12168" s="4" t="s">
        <v>15308</v>
      </c>
      <c r="C12168" s="5" t="str">
        <f>IFERROR(__xludf.DUMMYFUNCTION("GOOGLETRANSLATE(B12168,""en"",""de"")"),"Das schweigt das gebügelte Papier ab und legt es ab.")</f>
        <v>Das schweigt das gebügelte Papier ab und legt es ab.</v>
      </c>
    </row>
    <row r="12169">
      <c r="A12169" s="4" t="s">
        <v>15305</v>
      </c>
      <c r="B12169" s="4" t="s">
        <v>15309</v>
      </c>
      <c r="C12169" s="5" t="str">
        <f>IFERROR(__xludf.DUMMYFUNCTION("GOOGLETRANSLATE(B12169,""en"",""de"")"),"Die Person verlässt das Eisen auf einem neuen braunen Papier.")</f>
        <v>Die Person verlässt das Eisen auf einem neuen braunen Papier.</v>
      </c>
    </row>
    <row r="12170">
      <c r="A12170" s="4" t="s">
        <v>15310</v>
      </c>
      <c r="B12170" s="4" t="s">
        <v>15311</v>
      </c>
      <c r="C12170" s="5" t="str">
        <f>IFERROR(__xludf.DUMMYFUNCTION("GOOGLETRANSLATE(B12170,""en"",""de"")"),"Eine Menge sieht zu, wie mehrere Läufer in einem Rennen vorbei joggen.")</f>
        <v>Eine Menge sieht zu, wie mehrere Läufer in einem Rennen vorbei joggen.</v>
      </c>
    </row>
    <row r="12171">
      <c r="A12171" s="4" t="s">
        <v>15310</v>
      </c>
      <c r="B12171" s="4" t="s">
        <v>15312</v>
      </c>
      <c r="C12171" s="5" t="str">
        <f>IFERROR(__xludf.DUMMYFUNCTION("GOOGLETRANSLATE(B12171,""en"",""de"")"),"Sie alle joggen weiter und kommen am Ende des Rennens herein.")</f>
        <v>Sie alle joggen weiter und kommen am Ende des Rennens herein.</v>
      </c>
    </row>
    <row r="12172">
      <c r="A12172" s="4" t="s">
        <v>15313</v>
      </c>
      <c r="B12172" s="4" t="s">
        <v>15314</v>
      </c>
      <c r="C12172" s="5" t="str">
        <f>IFERROR(__xludf.DUMMYFUNCTION("GOOGLETRANSLATE(B12172,""en"",""de"")"),"Eine Katze ist im Schoß einer Frau im Badezimmer.")</f>
        <v>Eine Katze ist im Schoß einer Frau im Badezimmer.</v>
      </c>
    </row>
    <row r="12173">
      <c r="A12173" s="4" t="s">
        <v>15313</v>
      </c>
      <c r="B12173" s="4" t="s">
        <v>15315</v>
      </c>
      <c r="C12173" s="5" t="str">
        <f>IFERROR(__xludf.DUMMYFUNCTION("GOOGLETRANSLATE(B12173,""en"",""de"")"),"Sie zieht ein Handtuch über den Kopf der Katze.")</f>
        <v>Sie zieht ein Handtuch über den Kopf der Katze.</v>
      </c>
    </row>
    <row r="12174">
      <c r="A12174" s="4" t="s">
        <v>15313</v>
      </c>
      <c r="B12174" s="4" t="s">
        <v>15316</v>
      </c>
      <c r="C12174" s="5" t="str">
        <f>IFERROR(__xludf.DUMMYFUNCTION("GOOGLETRANSLATE(B12174,""en"",""de"")"),"Sie versucht dann sanft, seine Krallen nacheinander zu bestimmen.")</f>
        <v>Sie versucht dann sanft, seine Krallen nacheinander zu bestimmen.</v>
      </c>
    </row>
    <row r="12175">
      <c r="A12175" s="4" t="s">
        <v>15317</v>
      </c>
      <c r="B12175" s="4" t="s">
        <v>15318</v>
      </c>
      <c r="C12175" s="5" t="str">
        <f>IFERROR(__xludf.DUMMYFUNCTION("GOOGLETRANSLATE(B12175,""en"",""de"")"),"Eine Frau schrubbt einen weißen Stuhl mit einem gelben Schwamm.")</f>
        <v>Eine Frau schrubbt einen weißen Stuhl mit einem gelben Schwamm.</v>
      </c>
    </row>
    <row r="12176">
      <c r="A12176" s="4" t="s">
        <v>15317</v>
      </c>
      <c r="B12176" s="4" t="s">
        <v>15319</v>
      </c>
      <c r="C12176" s="5" t="str">
        <f>IFERROR(__xludf.DUMMYFUNCTION("GOOGLETRANSLATE(B12176,""en"",""de"")"),"Sie gießt jetzt etwas auf einen Lappen und wäscht einen weißen Tisch.")</f>
        <v>Sie gießt jetzt etwas auf einen Lappen und wäscht einen weißen Tisch.</v>
      </c>
    </row>
    <row r="12177">
      <c r="A12177" s="4" t="s">
        <v>15317</v>
      </c>
      <c r="B12177" s="4" t="s">
        <v>15320</v>
      </c>
      <c r="C12177" s="5" t="str">
        <f>IFERROR(__xludf.DUMMYFUNCTION("GOOGLETRANSLATE(B12177,""en"",""de"")"),"Sie sprüht den Stuhl und den Tisch, den sie gerade gewaschen hat.")</f>
        <v>Sie sprüht den Stuhl und den Tisch, den sie gerade gewaschen hat.</v>
      </c>
    </row>
    <row r="12178">
      <c r="A12178" s="4" t="s">
        <v>15317</v>
      </c>
      <c r="B12178" s="4" t="s">
        <v>15321</v>
      </c>
      <c r="C12178" s="5" t="str">
        <f>IFERROR(__xludf.DUMMYFUNCTION("GOOGLETRANSLATE(B12178,""en"",""de"")"),"Die fertigen Möbel werden gezeigt.")</f>
        <v>Die fertigen Möbel werden gezeigt.</v>
      </c>
    </row>
    <row r="12179">
      <c r="A12179" s="4" t="s">
        <v>15322</v>
      </c>
      <c r="B12179" s="4" t="s">
        <v>15323</v>
      </c>
      <c r="C12179" s="5" t="str">
        <f>IFERROR(__xludf.DUMMYFUNCTION("GOOGLETRANSLATE(B12179,""en"",""de"")"),"Ein kleines Kind sitzt auf einem Drum -Set.")</f>
        <v>Ein kleines Kind sitzt auf einem Drum -Set.</v>
      </c>
    </row>
    <row r="12180">
      <c r="A12180" s="4" t="s">
        <v>15322</v>
      </c>
      <c r="B12180" s="4" t="s">
        <v>15324</v>
      </c>
      <c r="C12180" s="5" t="str">
        <f>IFERROR(__xludf.DUMMYFUNCTION("GOOGLETRANSLATE(B12180,""en"",""de"")"),"Mit seinem Fuß für die Basis benutzen und wie ein Naturtöne auf die Schlinge trommeln.")</f>
        <v>Mit seinem Fuß für die Basis benutzen und wie ein Naturtöne auf die Schlinge trommeln.</v>
      </c>
    </row>
    <row r="12181">
      <c r="A12181" s="4" t="s">
        <v>15322</v>
      </c>
      <c r="B12181" s="4" t="s">
        <v>15325</v>
      </c>
      <c r="C12181" s="5" t="str">
        <f>IFERROR(__xludf.DUMMYFUNCTION("GOOGLETRANSLATE(B12181,""en"",""de"")"),"Eine Frau ist auf einem Klavier und spielt mit dem Kind zusammen.")</f>
        <v>Eine Frau ist auf einem Klavier und spielt mit dem Kind zusammen.</v>
      </c>
    </row>
    <row r="12182">
      <c r="A12182" s="4" t="s">
        <v>15322</v>
      </c>
      <c r="B12182" s="4" t="s">
        <v>15326</v>
      </c>
      <c r="C12182" s="5" t="str">
        <f>IFERROR(__xludf.DUMMYFUNCTION("GOOGLETRANSLATE(B12182,""en"",""de"")"),"Sie haben ein kleines Publikum sitzen und beobachten, wie sie auftreten.")</f>
        <v>Sie haben ein kleines Publikum sitzen und beobachten, wie sie auftreten.</v>
      </c>
    </row>
    <row r="12183">
      <c r="A12183" s="4" t="s">
        <v>15327</v>
      </c>
      <c r="B12183" s="4" t="s">
        <v>15328</v>
      </c>
      <c r="C12183" s="5" t="str">
        <f>IFERROR(__xludf.DUMMYFUNCTION("GOOGLETRANSLATE(B12183,""en"",""de"")"),"Ein Mann, der in einer blauen Uniform gekleidet ist, kämpft gegen einen Mann, der in einer roten Uniform gekleidet ist.")</f>
        <v>Ein Mann, der in einer blauen Uniform gekleidet ist, kämpft gegen einen Mann, der in einer roten Uniform gekleidet ist.</v>
      </c>
    </row>
    <row r="12184">
      <c r="A12184" s="4" t="s">
        <v>15327</v>
      </c>
      <c r="B12184" s="4" t="s">
        <v>15329</v>
      </c>
      <c r="C12184" s="5" t="str">
        <f>IFERROR(__xludf.DUMMYFUNCTION("GOOGLETRANSLATE(B12184,""en"",""de"")"),"Der Mann im Rot hebt ihn hoch und lässt ihn auf das Wrestling -Match fallen.")</f>
        <v>Der Mann im Rot hebt ihn hoch und lässt ihn auf das Wrestling -Match fallen.</v>
      </c>
    </row>
    <row r="12185">
      <c r="A12185" s="4" t="s">
        <v>15327</v>
      </c>
      <c r="B12185" s="4" t="s">
        <v>15330</v>
      </c>
      <c r="C12185" s="5" t="str">
        <f>IFERROR(__xludf.DUMMYFUNCTION("GOOGLETRANSLATE(B12185,""en"",""de"")"),"Danach fällt der Schiedsrichter herunter und hämmert die Matte, die das Ende des Spiels abzählt.")</f>
        <v>Danach fällt der Schiedsrichter herunter und hämmert die Matte, die das Ende des Spiels abzählt.</v>
      </c>
    </row>
    <row r="12186">
      <c r="A12186" s="4" t="s">
        <v>15331</v>
      </c>
      <c r="B12186" s="4" t="s">
        <v>15332</v>
      </c>
      <c r="C12186" s="5" t="str">
        <f>IFERROR(__xludf.DUMMYFUNCTION("GOOGLETRANSLATE(B12186,""en"",""de"")"),"Eine junge Frau spricht, als sie lächelt.")</f>
        <v>Eine junge Frau spricht, als sie lächelt.</v>
      </c>
    </row>
    <row r="12187">
      <c r="A12187" s="4" t="s">
        <v>15331</v>
      </c>
      <c r="B12187" s="4" t="s">
        <v>15333</v>
      </c>
      <c r="C12187" s="5" t="str">
        <f>IFERROR(__xludf.DUMMYFUNCTION("GOOGLETRANSLATE(B12187,""en"",""de"")"),"Sie drückt die Seite ihres rechten Auges und steigt eine Kontaktlinse heraus.")</f>
        <v>Sie drückt die Seite ihres rechten Auges und steigt eine Kontaktlinse heraus.</v>
      </c>
    </row>
    <row r="12188">
      <c r="A12188" s="4" t="s">
        <v>15331</v>
      </c>
      <c r="B12188" s="4" t="s">
        <v>15334</v>
      </c>
      <c r="C12188" s="5" t="str">
        <f>IFERROR(__xludf.DUMMYFUNCTION("GOOGLETRANSLATE(B12188,""en"",""de"")"),"Sie geht weiter zu ihrem linken Auge und steigt eine Kontaktlinse heraus.")</f>
        <v>Sie geht weiter zu ihrem linken Auge und steigt eine Kontaktlinse heraus.</v>
      </c>
    </row>
    <row r="12189">
      <c r="A12189" s="4" t="s">
        <v>15335</v>
      </c>
      <c r="B12189" s="4" t="s">
        <v>15336</v>
      </c>
      <c r="C12189" s="5" t="str">
        <f>IFERROR(__xludf.DUMMYFUNCTION("GOOGLETRANSLATE(B12189,""en"",""de"")"),"Eine Gruppe von Spielerninnen betritt einen Platz hinter ihrem Trainer.")</f>
        <v>Eine Gruppe von Spielerninnen betritt einen Platz hinter ihrem Trainer.</v>
      </c>
    </row>
    <row r="12190">
      <c r="A12190" s="4" t="s">
        <v>15335</v>
      </c>
      <c r="B12190" s="4" t="s">
        <v>15337</v>
      </c>
      <c r="C12190" s="5" t="str">
        <f>IFERROR(__xludf.DUMMYFUNCTION("GOOGLETRANSLATE(B12190,""en"",""de"")"),"Sie beschäftigen sich mit einem Lacrosse -Spiel und kämpfen mit ihren Fledermäusen um den Ball.")</f>
        <v>Sie beschäftigen sich mit einem Lacrosse -Spiel und kämpfen mit ihren Fledermäusen um den Ball.</v>
      </c>
    </row>
    <row r="12191">
      <c r="A12191" s="4" t="s">
        <v>15335</v>
      </c>
      <c r="B12191" s="4" t="s">
        <v>15338</v>
      </c>
      <c r="C12191" s="5" t="str">
        <f>IFERROR(__xludf.DUMMYFUNCTION("GOOGLETRANSLATE(B12191,""en"",""de"")"),"Die Mädchen feiern ihren Sieg mit Blumen und Umarmungen.")</f>
        <v>Die Mädchen feiern ihren Sieg mit Blumen und Umarmungen.</v>
      </c>
    </row>
    <row r="12192">
      <c r="A12192" s="4" t="s">
        <v>15339</v>
      </c>
      <c r="B12192" s="4" t="s">
        <v>15340</v>
      </c>
      <c r="C12192" s="5" t="str">
        <f>IFERROR(__xludf.DUMMYFUNCTION("GOOGLETRANSLATE(B12192,""en"",""de"")"),"Ein Turner steht mit außen und hüpft auf einem Brett.")</f>
        <v>Ein Turner steht mit außen und hüpft auf einem Brett.</v>
      </c>
    </row>
    <row r="12193">
      <c r="A12193" s="4" t="s">
        <v>15339</v>
      </c>
      <c r="B12193" s="4" t="s">
        <v>15341</v>
      </c>
      <c r="C12193" s="5" t="str">
        <f>IFERROR(__xludf.DUMMYFUNCTION("GOOGLETRANSLATE(B12193,""en"",""de"")"),"Dann beginnt er sich zu drehen, während die Richter an den Seiten zuschauen.")</f>
        <v>Dann beginnt er sich zu drehen, während die Richter an den Seiten zuschauen.</v>
      </c>
    </row>
    <row r="12194">
      <c r="A12194" s="4" t="s">
        <v>15339</v>
      </c>
      <c r="B12194" s="4" t="s">
        <v>15342</v>
      </c>
      <c r="C12194" s="5" t="str">
        <f>IFERROR(__xludf.DUMMYFUNCTION("GOOGLETRANSLATE(B12194,""en"",""de"")"),"Er setzt seine Routine fort und springt mit den Armen nach unten.")</f>
        <v>Er setzt seine Routine fort und springt mit den Armen nach unten.</v>
      </c>
    </row>
    <row r="12195">
      <c r="A12195" s="4" t="s">
        <v>15343</v>
      </c>
      <c r="B12195" s="4" t="s">
        <v>15344</v>
      </c>
      <c r="C12195" s="5" t="str">
        <f>IFERROR(__xludf.DUMMYFUNCTION("GOOGLETRANSLATE(B12195,""en"",""de"")"),"Ein neues Segment führt zu Clips einer Frau, die zur Kamera spricht und einen Bogen und einen Pfeil hochhält.")</f>
        <v>Ein neues Segment führt zu Clips einer Frau, die zur Kamera spricht und einen Bogen und einen Pfeil hochhält.</v>
      </c>
    </row>
    <row r="12196">
      <c r="A12196" s="4" t="s">
        <v>15343</v>
      </c>
      <c r="B12196" s="4" t="s">
        <v>15345</v>
      </c>
      <c r="C12196" s="5" t="str">
        <f>IFERROR(__xludf.DUMMYFUNCTION("GOOGLETRANSLATE(B12196,""en"",""de"")"),"Das Mädchen schießt den Bogen, während er immer noch mit der Kamera spricht und den Bogen beugt.")</f>
        <v>Das Mädchen schießt den Bogen, während er immer noch mit der Kamera spricht und den Bogen beugt.</v>
      </c>
    </row>
    <row r="12197">
      <c r="A12197" s="4" t="s">
        <v>15343</v>
      </c>
      <c r="B12197" s="4" t="s">
        <v>15346</v>
      </c>
      <c r="C12197" s="5" t="str">
        <f>IFERROR(__xludf.DUMMYFUNCTION("GOOGLETRANSLATE(B12197,""en"",""de"")"),"Sie spricht weiter, während sie ihre Hände benutzt und der Kamera Bilder zeigt.")</f>
        <v>Sie spricht weiter, während sie ihre Hände benutzt und der Kamera Bilder zeigt.</v>
      </c>
    </row>
    <row r="12198">
      <c r="A12198" s="4" t="s">
        <v>15347</v>
      </c>
      <c r="B12198" s="4" t="s">
        <v>15348</v>
      </c>
      <c r="C12198" s="5" t="str">
        <f>IFERROR(__xludf.DUMMYFUNCTION("GOOGLETRANSLATE(B12198,""en"",""de"")"),"Ein Mädchen tanzt, als sie in einem Stand sitzt.")</f>
        <v>Ein Mädchen tanzt, als sie in einem Stand sitzt.</v>
      </c>
    </row>
    <row r="12199">
      <c r="A12199" s="4" t="s">
        <v>15347</v>
      </c>
      <c r="B12199" s="4" t="s">
        <v>15349</v>
      </c>
      <c r="C12199" s="5" t="str">
        <f>IFERROR(__xludf.DUMMYFUNCTION("GOOGLETRANSLATE(B12199,""en"",""de"")"),"Das Mädchen mischt Zutaten in einem Topf.")</f>
        <v>Das Mädchen mischt Zutaten in einem Topf.</v>
      </c>
    </row>
    <row r="12200">
      <c r="A12200" s="4" t="s">
        <v>15347</v>
      </c>
      <c r="B12200" s="4" t="s">
        <v>15350</v>
      </c>
      <c r="C12200" s="5" t="str">
        <f>IFERROR(__xludf.DUMMYFUNCTION("GOOGLETRANSLATE(B12200,""en"",""de"")"),"Das Mädchen fügt dem Topf getrocknete Zutaten hinzu.")</f>
        <v>Das Mädchen fügt dem Topf getrocknete Zutaten hinzu.</v>
      </c>
    </row>
    <row r="12201">
      <c r="A12201" s="4" t="s">
        <v>15347</v>
      </c>
      <c r="B12201" s="4" t="s">
        <v>15351</v>
      </c>
      <c r="C12201" s="5" t="str">
        <f>IFERROR(__xludf.DUMMYFUNCTION("GOOGLETRANSLATE(B12201,""en"",""de"")"),"Das Mädchen fügt Tomaten und Eier von einem Teller zum Topf hinzu.")</f>
        <v>Das Mädchen fügt Tomaten und Eier von einem Teller zum Topf hinzu.</v>
      </c>
    </row>
    <row r="12202">
      <c r="A12202" s="4" t="s">
        <v>15347</v>
      </c>
      <c r="B12202" s="4" t="s">
        <v>15352</v>
      </c>
      <c r="C12202" s="5" t="str">
        <f>IFERROR(__xludf.DUMMYFUNCTION("GOOGLETRANSLATE(B12202,""en"",""de"")"),"Die Mädchen winken verabschiedet und lehnt sich zurück auf den Stand.")</f>
        <v>Die Mädchen winken verabschiedet und lehnt sich zurück auf den Stand.</v>
      </c>
    </row>
    <row r="12203">
      <c r="A12203" s="4" t="s">
        <v>15353</v>
      </c>
      <c r="B12203" s="4" t="s">
        <v>15354</v>
      </c>
      <c r="C12203" s="5" t="str">
        <f>IFERROR(__xludf.DUMMYFUNCTION("GOOGLETRANSLATE(B12203,""en"",""de"")"),"Vor einem Poloclub ist ein braunes Pferd gebunden.")</f>
        <v>Vor einem Poloclub ist ein braunes Pferd gebunden.</v>
      </c>
    </row>
    <row r="12204">
      <c r="A12204" s="4" t="s">
        <v>15353</v>
      </c>
      <c r="B12204" s="4" t="s">
        <v>15355</v>
      </c>
      <c r="C12204" s="5" t="str">
        <f>IFERROR(__xludf.DUMMYFUNCTION("GOOGLETRANSLATE(B12204,""en"",""de"")"),"Bei einer Veranstaltung gibt es mehrere Jockeys, die Polo auf dem Feld spielen.")</f>
        <v>Bei einer Veranstaltung gibt es mehrere Jockeys, die Polo auf dem Feld spielen.</v>
      </c>
    </row>
    <row r="12205">
      <c r="A12205" s="4" t="s">
        <v>15353</v>
      </c>
      <c r="B12205" s="4" t="s">
        <v>15356</v>
      </c>
      <c r="C12205" s="5" t="str">
        <f>IFERROR(__xludf.DUMMYFUNCTION("GOOGLETRANSLATE(B12205,""en"",""de"")"),"Es stehen auch mehrere Zuschauer, die das Ereignis beobachten und beobachten.")</f>
        <v>Es stehen auch mehrere Zuschauer, die das Ereignis beobachten und beobachten.</v>
      </c>
    </row>
    <row r="12206">
      <c r="A12206" s="4" t="s">
        <v>15353</v>
      </c>
      <c r="B12206" s="4" t="s">
        <v>15357</v>
      </c>
      <c r="C12206" s="5" t="str">
        <f>IFERROR(__xludf.DUMMYFUNCTION("GOOGLETRANSLATE(B12206,""en"",""de"")"),"Einer der Polo -Spieler trott auf das Pferd über das Feld.")</f>
        <v>Einer der Polo -Spieler trott auf das Pferd über das Feld.</v>
      </c>
    </row>
    <row r="12207">
      <c r="A12207" s="4" t="s">
        <v>15353</v>
      </c>
      <c r="B12207" s="4" t="s">
        <v>15358</v>
      </c>
      <c r="C12207" s="5" t="str">
        <f>IFERROR(__xludf.DUMMYFUNCTION("GOOGLETRANSLATE(B12207,""en"",""de"")"),"Ein weiteres Polospiel findet statt, bei dem mehrere Zuschauer zuschauen.")</f>
        <v>Ein weiteres Polospiel findet statt, bei dem mehrere Zuschauer zuschauen.</v>
      </c>
    </row>
    <row r="12208">
      <c r="A12208" s="4" t="s">
        <v>15353</v>
      </c>
      <c r="B12208" s="4" t="s">
        <v>15359</v>
      </c>
      <c r="C12208" s="5" t="str">
        <f>IFERROR(__xludf.DUMMYFUNCTION("GOOGLETRANSLATE(B12208,""en"",""de"")"),"Nachdem die Veranstaltung vorbei ist, gibt der Richter den Gewinnern aus.")</f>
        <v>Nachdem die Veranstaltung vorbei ist, gibt der Richter den Gewinnern aus.</v>
      </c>
    </row>
    <row r="12209">
      <c r="A12209" s="4" t="s">
        <v>15353</v>
      </c>
      <c r="B12209" s="4" t="s">
        <v>15360</v>
      </c>
      <c r="C12209" s="5" t="str">
        <f>IFERROR(__xludf.DUMMYFUNCTION("GOOGLETRANSLATE(B12209,""en"",""de"")"),"Es gibt eine britische Flagge im Feld hoch.")</f>
        <v>Es gibt eine britische Flagge im Feld hoch.</v>
      </c>
    </row>
    <row r="12210">
      <c r="A12210" s="4" t="s">
        <v>15361</v>
      </c>
      <c r="B12210" s="4" t="s">
        <v>15362</v>
      </c>
      <c r="C12210" s="5" t="str">
        <f>IFERROR(__xludf.DUMMYFUNCTION("GOOGLETRANSLATE(B12210,""en"",""de"")"),"Ein Bauchtänzer betritt die Bühne hinter den Vorhängen.")</f>
        <v>Ein Bauchtänzer betritt die Bühne hinter den Vorhängen.</v>
      </c>
    </row>
    <row r="12211">
      <c r="A12211" s="4" t="s">
        <v>15361</v>
      </c>
      <c r="B12211" s="4" t="s">
        <v>15363</v>
      </c>
      <c r="C12211" s="5" t="str">
        <f>IFERROR(__xludf.DUMMYFUNCTION("GOOGLETRANSLATE(B12211,""en"",""de"")"),"Die Bauchtänzerin tanzt auf der Bühne ihre Hüften und ihren Körper.")</f>
        <v>Die Bauchtänzerin tanzt auf der Bühne ihre Hüften und ihren Körper.</v>
      </c>
    </row>
    <row r="12212">
      <c r="A12212" s="4" t="s">
        <v>15361</v>
      </c>
      <c r="B12212" s="4" t="s">
        <v>15364</v>
      </c>
      <c r="C12212" s="5" t="str">
        <f>IFERROR(__xludf.DUMMYFUNCTION("GOOGLETRANSLATE(B12212,""en"",""de"")"),"Der Bauchtänzer dreht sich während der Aufführung in Kreise.")</f>
        <v>Der Bauchtänzer dreht sich während der Aufführung in Kreise.</v>
      </c>
    </row>
    <row r="12213">
      <c r="A12213" s="4" t="s">
        <v>15361</v>
      </c>
      <c r="B12213" s="4" t="s">
        <v>15365</v>
      </c>
      <c r="C12213" s="5" t="str">
        <f>IFERROR(__xludf.DUMMYFUNCTION("GOOGLETRANSLATE(B12213,""en"",""de"")"),"Die Tänzer dreht sich mit ihrem Rücken zum Publikum und dem Tanz um.")</f>
        <v>Die Tänzer dreht sich mit ihrem Rücken zum Publikum und dem Tanz um.</v>
      </c>
    </row>
    <row r="12214">
      <c r="A12214" s="4" t="s">
        <v>15361</v>
      </c>
      <c r="B12214" s="4" t="s">
        <v>15366</v>
      </c>
      <c r="C12214" s="5" t="str">
        <f>IFERROR(__xludf.DUMMYFUNCTION("GOOGLETRANSLATE(B12214,""en"",""de"")"),"Der Tänzer beugt am Ende der Leistung.")</f>
        <v>Der Tänzer beugt am Ende der Leistung.</v>
      </c>
    </row>
    <row r="12215">
      <c r="A12215" s="4" t="s">
        <v>15367</v>
      </c>
      <c r="B12215" s="4" t="s">
        <v>15368</v>
      </c>
      <c r="C12215" s="5" t="str">
        <f>IFERROR(__xludf.DUMMYFUNCTION("GOOGLETRANSLATE(B12215,""en"",""de"")"),"Zwei Kinder sind in einem Litle -Auto und beobachten ein kleines Kind, das eine Stange hält, die einen leichten McQueen Piñata schlägt.")</f>
        <v>Zwei Kinder sind in einem Litle -Auto und beobachten ein kleines Kind, das eine Stange hält, die einen leichten McQueen Piñata schlägt.</v>
      </c>
    </row>
    <row r="12216">
      <c r="A12216" s="4" t="s">
        <v>15367</v>
      </c>
      <c r="B12216" s="4" t="s">
        <v>15369</v>
      </c>
      <c r="C12216" s="5" t="str">
        <f>IFERROR(__xludf.DUMMYFUNCTION("GOOGLETRANSLATE(B12216,""en"",""de"")"),"Menschen sind um das kleine Kind versammelt.")</f>
        <v>Menschen sind um das kleine Kind versammelt.</v>
      </c>
    </row>
    <row r="12217">
      <c r="A12217" s="4" t="s">
        <v>15370</v>
      </c>
      <c r="B12217" s="4" t="s">
        <v>15371</v>
      </c>
      <c r="C12217" s="5" t="str">
        <f>IFERROR(__xludf.DUMMYFUNCTION("GOOGLETRANSLATE(B12217,""en"",""de"")"),"Es gibt zwei Leute, die über Stelzen sprechen, die von Stunt -Männern verwendet werden.")</f>
        <v>Es gibt zwei Leute, die über Stelzen sprechen, die von Stunt -Männern verwendet werden.</v>
      </c>
    </row>
    <row r="12218">
      <c r="A12218" s="4" t="s">
        <v>15370</v>
      </c>
      <c r="B12218" s="4" t="s">
        <v>15372</v>
      </c>
      <c r="C12218" s="5" t="str">
        <f>IFERROR(__xludf.DUMMYFUNCTION("GOOGLETRANSLATE(B12218,""en"",""de"")"),"Sie stehen auf einer Straße in der Nähe mehrerer Clubs und Restaurants.")</f>
        <v>Sie stehen auf einer Straße in der Nähe mehrerer Clubs und Restaurants.</v>
      </c>
    </row>
    <row r="12219">
      <c r="A12219" s="4" t="s">
        <v>15370</v>
      </c>
      <c r="B12219" s="4" t="s">
        <v>15373</v>
      </c>
      <c r="C12219" s="5" t="str">
        <f>IFERROR(__xludf.DUMMYFUNCTION("GOOGLETRANSLATE(B12219,""en"",""de"")"),"Einer der Männer zeigt, wie die Stelzen in Stunts verwendet werden.")</f>
        <v>Einer der Männer zeigt, wie die Stelzen in Stunts verwendet werden.</v>
      </c>
    </row>
    <row r="12220">
      <c r="A12220" s="4" t="s">
        <v>15370</v>
      </c>
      <c r="B12220" s="4" t="s">
        <v>15374</v>
      </c>
      <c r="C12220" s="5" t="str">
        <f>IFERROR(__xludf.DUMMYFUNCTION("GOOGLETRANSLATE(B12220,""en"",""de"")"),"Henry, der in das weiße Hemd gekleidete Typ zeigt, wie hoch er mit den Stelzen springen und Stunts durchführen kann.")</f>
        <v>Henry, der in das weiße Hemd gekleidete Typ zeigt, wie hoch er mit den Stelzen springen und Stunts durchführen kann.</v>
      </c>
    </row>
    <row r="12221">
      <c r="A12221" s="4" t="s">
        <v>15370</v>
      </c>
      <c r="B12221" s="4" t="s">
        <v>15375</v>
      </c>
      <c r="C12221" s="5" t="str">
        <f>IFERROR(__xludf.DUMMYFUNCTION("GOOGLETRANSLATE(B12221,""en"",""de"")"),"Er zeigt zahlreiche Tricks darüber, wie er hoch und über Bänke und Tische springt.")</f>
        <v>Er zeigt zahlreiche Tricks darüber, wie er hoch und über Bänke und Tische springt.</v>
      </c>
    </row>
    <row r="12222">
      <c r="A12222" s="4" t="s">
        <v>15370</v>
      </c>
      <c r="B12222" s="4" t="s">
        <v>15376</v>
      </c>
      <c r="C12222" s="5" t="str">
        <f>IFERROR(__xludf.DUMMYFUNCTION("GOOGLETRANSLATE(B12222,""en"",""de"")"),"Er zeigt, wie er mit den Power Riser -Sprungfähigkeiten auf den Straßen und im Park einsetzt.")</f>
        <v>Er zeigt, wie er mit den Power Riser -Sprungfähigkeiten auf den Straßen und im Park einsetzt.</v>
      </c>
    </row>
    <row r="12223">
      <c r="A12223" s="4" t="s">
        <v>15377</v>
      </c>
      <c r="B12223" s="4" t="s">
        <v>15378</v>
      </c>
      <c r="C12223" s="5" t="str">
        <f>IFERROR(__xludf.DUMMYFUNCTION("GOOGLETRANSLATE(B12223,""en"",""de"")"),"Eine Frau spielt eine Bauch -Tanzroutine auf einer Bühne mit Blumen im Hintergrund.")</f>
        <v>Eine Frau spielt eine Bauch -Tanzroutine auf einer Bühne mit Blumen im Hintergrund.</v>
      </c>
    </row>
    <row r="12224">
      <c r="A12224" s="4" t="s">
        <v>15377</v>
      </c>
      <c r="B12224" s="4" t="s">
        <v>15379</v>
      </c>
      <c r="C12224" s="5" t="str">
        <f>IFERROR(__xludf.DUMMYFUNCTION("GOOGLETRANSLATE(B12224,""en"",""de"")"),"Sie führt ihre Routine weiter aus und endet, indem sie sich herumdreht und posiert.")</f>
        <v>Sie führt ihre Routine weiter aus und endet, indem sie sich herumdreht und posiert.</v>
      </c>
    </row>
    <row r="12225">
      <c r="A12225" s="4" t="s">
        <v>15380</v>
      </c>
      <c r="B12225" s="4" t="s">
        <v>15381</v>
      </c>
      <c r="C12225" s="5" t="str">
        <f>IFERROR(__xludf.DUMMYFUNCTION("GOOGLETRANSLATE(B12225,""en"",""de"")"),"Eine große Gruppe von Menschen steht herum und lächelt zueinander.")</f>
        <v>Eine große Gruppe von Menschen steht herum und lächelt zueinander.</v>
      </c>
    </row>
    <row r="12226">
      <c r="A12226" s="4" t="s">
        <v>15380</v>
      </c>
      <c r="B12226" s="4" t="s">
        <v>15382</v>
      </c>
      <c r="C12226" s="5" t="str">
        <f>IFERROR(__xludf.DUMMYFUNCTION("GOOGLETRANSLATE(B12226,""en"",""de"")"),"Sie spielen eine Reihe von Schlagzeug, während ein anderer Mann gesehen wird, wie sie Klavier spielen.")</f>
        <v>Sie spielen eine Reihe von Schlagzeug, während ein anderer Mann gesehen wird, wie sie Klavier spielen.</v>
      </c>
    </row>
    <row r="12227">
      <c r="A12227" s="4" t="s">
        <v>15380</v>
      </c>
      <c r="B12227" s="4" t="s">
        <v>15383</v>
      </c>
      <c r="C12227" s="5" t="str">
        <f>IFERROR(__xludf.DUMMYFUNCTION("GOOGLETRANSLATE(B12227,""en"",""de"")"),"Mehr Menschen werden an den Seiten gesehen, die zur Musik tanzen.")</f>
        <v>Mehr Menschen werden an den Seiten gesehen, die zur Musik tanzen.</v>
      </c>
    </row>
    <row r="12228">
      <c r="A12228" s="4" t="s">
        <v>15384</v>
      </c>
      <c r="B12228" s="4" t="s">
        <v>15385</v>
      </c>
      <c r="C12228" s="5" t="str">
        <f>IFERROR(__xludf.DUMMYFUNCTION("GOOGLETRANSLATE(B12228,""en"",""de"")"),"Eine Frau im weißen Hemd steht neben einem Metallwaschbecken. Sie nimmt zwei weiße Teller, Silberbehälter, Sieb, Löffel heraus und legte sie auf den Metallbehälter neben der Spüle.")</f>
        <v>Eine Frau im weißen Hemd steht neben einem Metallwaschbecken. Sie nimmt zwei weiße Teller, Silberbehälter, Sieb, Löffel heraus und legte sie auf den Metallbehälter neben der Spüle.</v>
      </c>
    </row>
    <row r="12229">
      <c r="A12229" s="4" t="s">
        <v>15384</v>
      </c>
      <c r="B12229" s="4" t="s">
        <v>15386</v>
      </c>
      <c r="C12229" s="5" t="str">
        <f>IFERROR(__xludf.DUMMYFUNCTION("GOOGLETRANSLATE(B12229,""en"",""de"")"),"Sie nimmt dann eine Pfanne in die Spüle, legte Wasser, legte flüssige Seife in einen Schwamm, reibt sie auf die Platten, den Deckel, den Behälter, die Löffel.")</f>
        <v>Sie nimmt dann eine Pfanne in die Spüle, legte Wasser, legte flüssige Seife in einen Schwamm, reibt sie auf die Platten, den Deckel, den Behälter, die Löffel.</v>
      </c>
    </row>
    <row r="12230">
      <c r="A12230" s="4" t="s">
        <v>15384</v>
      </c>
      <c r="B12230" s="4" t="s">
        <v>15387</v>
      </c>
      <c r="C12230" s="5" t="str">
        <f>IFERROR(__xludf.DUMMYFUNCTION("GOOGLETRANSLATE(B12230,""en"",""de"")"),"Sie wischte sich die Theke mit ihrer Hand ab, legte dann einen grünen Korb, spüle die Teller, den Deckel, den Behälter, die Pfanne und legte sie in den Korb.")</f>
        <v>Sie wischte sich die Theke mit ihrer Hand ab, legte dann einen grünen Korb, spüle die Teller, den Deckel, den Behälter, die Pfanne und legte sie in den Korb.</v>
      </c>
    </row>
    <row r="12231">
      <c r="A12231" s="4" t="s">
        <v>15388</v>
      </c>
      <c r="B12231" s="4" t="s">
        <v>15389</v>
      </c>
      <c r="C12231" s="5" t="str">
        <f>IFERROR(__xludf.DUMMYFUNCTION("GOOGLETRANSLATE(B12231,""en"",""de"")"),"Eine Frau in einem blauen Hemd steht neben einem braunen Pferd.")</f>
        <v>Eine Frau in einem blauen Hemd steht neben einem braunen Pferd.</v>
      </c>
    </row>
    <row r="12232">
      <c r="A12232" s="4" t="s">
        <v>15388</v>
      </c>
      <c r="B12232" s="4" t="s">
        <v>15390</v>
      </c>
      <c r="C12232" s="5" t="str">
        <f>IFERROR(__xludf.DUMMYFUNCTION("GOOGLETRANSLATE(B12232,""en"",""de"")"),"Sie hält sich an den roten Blei an den Pferden.")</f>
        <v>Sie hält sich an den roten Blei an den Pferden.</v>
      </c>
    </row>
    <row r="12233">
      <c r="A12233" s="4" t="s">
        <v>15388</v>
      </c>
      <c r="B12233" s="4" t="s">
        <v>15391</v>
      </c>
      <c r="C12233" s="5" t="str">
        <f>IFERROR(__xludf.DUMMYFUNCTION("GOOGLETRANSLATE(B12233,""en"",""de"")"),"Sie putzt die Seite des Pferdes.")</f>
        <v>Sie putzt die Seite des Pferdes.</v>
      </c>
    </row>
    <row r="12234">
      <c r="A12234" s="4" t="s">
        <v>15388</v>
      </c>
      <c r="B12234" s="4" t="s">
        <v>15392</v>
      </c>
      <c r="C12234" s="5" t="str">
        <f>IFERROR(__xludf.DUMMYFUNCTION("GOOGLETRANSLATE(B12234,""en"",""de"")"),"Sie tritt vom Pferd weg und biegt sich nieder.")</f>
        <v>Sie tritt vom Pferd weg und biegt sich nieder.</v>
      </c>
    </row>
    <row r="12235">
      <c r="A12235" s="4" t="s">
        <v>15388</v>
      </c>
      <c r="B12235" s="4" t="s">
        <v>15393</v>
      </c>
      <c r="C12235" s="5" t="str">
        <f>IFERROR(__xludf.DUMMYFUNCTION("GOOGLETRANSLATE(B12235,""en"",""de"")"),"Sie nimmt eine größere Bürste auf und beginnt das Pferd erneut zu bürsten.")</f>
        <v>Sie nimmt eine größere Bürste auf und beginnt das Pferd erneut zu bürsten.</v>
      </c>
    </row>
    <row r="12236">
      <c r="A12236" s="4" t="s">
        <v>15388</v>
      </c>
      <c r="B12236" s="4" t="s">
        <v>15394</v>
      </c>
      <c r="C12236" s="5" t="str">
        <f>IFERROR(__xludf.DUMMYFUNCTION("GOOGLETRANSLATE(B12236,""en"",""de"")"),"Sie putzt das Pferdegesicht und den Hals.")</f>
        <v>Sie putzt das Pferdegesicht und den Hals.</v>
      </c>
    </row>
    <row r="12237">
      <c r="A12237" s="4" t="s">
        <v>15388</v>
      </c>
      <c r="B12237" s="4" t="s">
        <v>15395</v>
      </c>
      <c r="C12237" s="5" t="str">
        <f>IFERROR(__xludf.DUMMYFUNCTION("GOOGLETRANSLATE(B12237,""en"",""de"")"),"Sie bürstet das Vorderbein der Pferde in einer Abwärtsbewegung.")</f>
        <v>Sie bürstet das Vorderbein der Pferde in einer Abwärtsbewegung.</v>
      </c>
    </row>
    <row r="12238">
      <c r="A12238" s="4" t="s">
        <v>15396</v>
      </c>
      <c r="B12238" s="4" t="s">
        <v>15397</v>
      </c>
      <c r="C12238" s="5" t="str">
        <f>IFERROR(__xludf.DUMMYFUNCTION("GOOGLETRANSLATE(B12238,""en"",""de"")"),"Ein Tattoo -Salon hat einen metallischen blauen Motorradzyklus gezeigt.")</f>
        <v>Ein Tattoo -Salon hat einen metallischen blauen Motorradzyklus gezeigt.</v>
      </c>
    </row>
    <row r="12239">
      <c r="A12239" s="4" t="s">
        <v>15396</v>
      </c>
      <c r="B12239" s="4" t="s">
        <v>15398</v>
      </c>
      <c r="C12239" s="5" t="str">
        <f>IFERROR(__xludf.DUMMYFUNCTION("GOOGLETRANSLATE(B12239,""en"",""de"")"),"Auf der Theke des Salons sitzt eine Person.")</f>
        <v>Auf der Theke des Salons sitzt eine Person.</v>
      </c>
    </row>
    <row r="12240">
      <c r="A12240" s="4" t="s">
        <v>15396</v>
      </c>
      <c r="B12240" s="4" t="s">
        <v>15399</v>
      </c>
      <c r="C12240" s="5" t="str">
        <f>IFERROR(__xludf.DUMMYFUNCTION("GOOGLETRANSLATE(B12240,""en"",""de"")"),"Ein Kunde kommt herein und gibt dem Tätowierer ein Bild eines Kindes.")</f>
        <v>Ein Kunde kommt herein und gibt dem Tätowierer ein Bild eines Kindes.</v>
      </c>
    </row>
    <row r="12241">
      <c r="A12241" s="4" t="s">
        <v>15396</v>
      </c>
      <c r="B12241" s="4" t="s">
        <v>15400</v>
      </c>
      <c r="C12241" s="5" t="str">
        <f>IFERROR(__xludf.DUMMYFUNCTION("GOOGLETRANSLATE(B12241,""en"",""de"")"),"Der Tätowierer verfolgt das Bild des Kindes auf einer Zeitung.")</f>
        <v>Der Tätowierer verfolgt das Bild des Kindes auf einer Zeitung.</v>
      </c>
    </row>
    <row r="12242">
      <c r="A12242" s="4" t="s">
        <v>15396</v>
      </c>
      <c r="B12242" s="4" t="s">
        <v>15401</v>
      </c>
      <c r="C12242" s="5" t="str">
        <f>IFERROR(__xludf.DUMMYFUNCTION("GOOGLETRANSLATE(B12242,""en"",""de"")"),"Dann reinigt er die Arme des Klienten mit Alkohol.")</f>
        <v>Dann reinigt er die Arme des Klienten mit Alkohol.</v>
      </c>
    </row>
    <row r="12243">
      <c r="A12243" s="4" t="s">
        <v>15396</v>
      </c>
      <c r="B12243" s="4" t="s">
        <v>15402</v>
      </c>
      <c r="C12243" s="5" t="str">
        <f>IFERROR(__xludf.DUMMYFUNCTION("GOOGLETRANSLATE(B12243,""en"",""de"")"),"Der Künstler trägt ein Paar Latexhandschuhe und beginnt, den Arm des Kunden zu tätowieren.")</f>
        <v>Der Künstler trägt ein Paar Latexhandschuhe und beginnt, den Arm des Kunden zu tätowieren.</v>
      </c>
    </row>
    <row r="12244">
      <c r="A12244" s="4" t="s">
        <v>15396</v>
      </c>
      <c r="B12244" s="4" t="s">
        <v>15403</v>
      </c>
      <c r="C12244" s="5" t="str">
        <f>IFERROR(__xludf.DUMMYFUNCTION("GOOGLETRANSLATE(B12244,""en"",""de"")"),"Er reproduziert das Bild, das aus dem Bild des Kunden des Kunden zusammen mit einigen zusätzlichen Designs aufgezeichnet wurde.")</f>
        <v>Er reproduziert das Bild, das aus dem Bild des Kunden des Kunden zusammen mit einigen zusätzlichen Designs aufgezeichnet wurde.</v>
      </c>
    </row>
    <row r="12245">
      <c r="A12245" s="4" t="s">
        <v>15396</v>
      </c>
      <c r="B12245" s="4" t="s">
        <v>15404</v>
      </c>
      <c r="C12245" s="5" t="str">
        <f>IFERROR(__xludf.DUMMYFUNCTION("GOOGLETRANSLATE(B12245,""en"",""de"")"),"Anschließend macht er ein Bild von dem tätowierten Arm des Kunden auf einem Handy.")</f>
        <v>Anschließend macht er ein Bild von dem tätowierten Arm des Kunden auf einem Handy.</v>
      </c>
    </row>
    <row r="12246">
      <c r="A12246" s="4" t="s">
        <v>15405</v>
      </c>
      <c r="B12246" s="4" t="s">
        <v>15406</v>
      </c>
      <c r="C12246" s="5" t="str">
        <f>IFERROR(__xludf.DUMMYFUNCTION("GOOGLETRANSLATE(B12246,""en"",""de"")"),"Eine große Gruppe von Menschen schwimmt in einem Pool, das ein Spiel spielt, während das Video in der Pause einbringt, um Spieler zu zeigen.")</f>
        <v>Eine große Gruppe von Menschen schwimmt in einem Pool, das ein Spiel spielt, während das Video in der Pause einbringt, um Spieler zu zeigen.</v>
      </c>
    </row>
    <row r="12247">
      <c r="A12247" s="4" t="s">
        <v>15405</v>
      </c>
      <c r="B12247" s="4" t="s">
        <v>15407</v>
      </c>
      <c r="C12247" s="5" t="str">
        <f>IFERROR(__xludf.DUMMYFUNCTION("GOOGLETRANSLATE(B12247,""en"",""de"")"),"Die Kamera schwang weiterhin um die Spieler herum, die rund um den Pool schwimmen und einen Ball werfen und andere am Rande reagieren.")</f>
        <v>Die Kamera schwang weiterhin um die Spieler herum, die rund um den Pool schwimmen und einen Ball werfen und andere am Rande reagieren.</v>
      </c>
    </row>
    <row r="12248">
      <c r="A12248" s="4" t="s">
        <v>15408</v>
      </c>
      <c r="B12248" s="4" t="s">
        <v>15409</v>
      </c>
      <c r="C12248" s="5" t="str">
        <f>IFERROR(__xludf.DUMMYFUNCTION("GOOGLETRANSLATE(B12248,""en"",""de"")"),"Eine Person springt in den Ozean und wir sehen, dass sie auf eine Linie gezogen wird.")</f>
        <v>Eine Person springt in den Ozean und wir sehen, dass sie auf eine Linie gezogen wird.</v>
      </c>
    </row>
    <row r="12249">
      <c r="A12249" s="4" t="s">
        <v>15408</v>
      </c>
      <c r="B12249" s="4" t="s">
        <v>15410</v>
      </c>
      <c r="C12249" s="5" t="str">
        <f>IFERROR(__xludf.DUMMYFUNCTION("GOOGLETRANSLATE(B12249,""en"",""de"")"),"Wir sehen Taucher unter Wasser und sehen Sealife und Menschen auf Booten.")</f>
        <v>Wir sehen Taucher unter Wasser und sehen Sealife und Menschen auf Booten.</v>
      </c>
    </row>
    <row r="12250">
      <c r="A12250" s="4" t="s">
        <v>15408</v>
      </c>
      <c r="B12250" s="4" t="s">
        <v>15411</v>
      </c>
      <c r="C12250" s="5" t="str">
        <f>IFERROR(__xludf.DUMMYFUNCTION("GOOGLETRANSLATE(B12250,""en"",""de"")"),"Eine Person mit einer Kamera auf dem Kopf springt vom Boot ins Wasser.")</f>
        <v>Eine Person mit einer Kamera auf dem Kopf springt vom Boot ins Wasser.</v>
      </c>
    </row>
    <row r="12251">
      <c r="A12251" s="4" t="s">
        <v>15408</v>
      </c>
      <c r="B12251" s="4" t="s">
        <v>15412</v>
      </c>
      <c r="C12251" s="5" t="str">
        <f>IFERROR(__xludf.DUMMYFUNCTION("GOOGLETRANSLATE(B12251,""en"",""de"")"),"Zwei Männer winken und wir sehen Sealife, einschließlich eines Delphins, der neben dem Boot schwimmt.")</f>
        <v>Zwei Männer winken und wir sehen Sealife, einschließlich eines Delphins, der neben dem Boot schwimmt.</v>
      </c>
    </row>
    <row r="12252">
      <c r="A12252" s="4" t="s">
        <v>15408</v>
      </c>
      <c r="B12252" s="4" t="s">
        <v>15413</v>
      </c>
      <c r="C12252" s="5" t="str">
        <f>IFERROR(__xludf.DUMMYFUNCTION("GOOGLETRANSLATE(B12252,""en"",""de"")"),"Eine Dame gibt vor, einen Mann zu schlagen, indem er ihn unter Wasser in den Kopf schlägt.")</f>
        <v>Eine Dame gibt vor, einen Mann zu schlagen, indem er ihn unter Wasser in den Kopf schlägt.</v>
      </c>
    </row>
    <row r="12253">
      <c r="A12253" s="4" t="s">
        <v>15408</v>
      </c>
      <c r="B12253" s="4" t="s">
        <v>777</v>
      </c>
      <c r="C12253" s="5" t="str">
        <f>IFERROR(__xludf.DUMMYFUNCTION("GOOGLETRANSLATE(B12253,""en"",""de"")"),"Wir sehen den End -Titelbildschirm.")</f>
        <v>Wir sehen den End -Titelbildschirm.</v>
      </c>
    </row>
    <row r="12254">
      <c r="A12254" s="4" t="s">
        <v>15414</v>
      </c>
      <c r="B12254" s="4" t="s">
        <v>15415</v>
      </c>
      <c r="C12254" s="5" t="str">
        <f>IFERROR(__xludf.DUMMYFUNCTION("GOOGLETRANSLATE(B12254,""en"",""de"")"),"Eine Frau in einem rosa Hemd sprintet eine Strecke hinunter und springt in Sand.")</f>
        <v>Eine Frau in einem rosa Hemd sprintet eine Strecke hinunter und springt in Sand.</v>
      </c>
    </row>
    <row r="12255">
      <c r="A12255" s="4" t="s">
        <v>15414</v>
      </c>
      <c r="B12255" s="4" t="s">
        <v>15416</v>
      </c>
      <c r="C12255" s="5" t="str">
        <f>IFERROR(__xludf.DUMMYFUNCTION("GOOGLETRANSLATE(B12255,""en"",""de"")"),"Eine Wiederholung ihres Sprunges wird mehrmals gezeigt.")</f>
        <v>Eine Wiederholung ihres Sprunges wird mehrmals gezeigt.</v>
      </c>
    </row>
    <row r="12256">
      <c r="A12256" s="4" t="s">
        <v>15414</v>
      </c>
      <c r="B12256" s="4" t="s">
        <v>15417</v>
      </c>
      <c r="C12256" s="5" t="str">
        <f>IFERROR(__xludf.DUMMYFUNCTION("GOOGLETRANSLATE(B12256,""en"",""de"")"),"Sie geht auf das Gras.")</f>
        <v>Sie geht auf das Gras.</v>
      </c>
    </row>
    <row r="12257">
      <c r="A12257" s="4" t="s">
        <v>15418</v>
      </c>
      <c r="B12257" s="4" t="s">
        <v>15419</v>
      </c>
      <c r="C12257" s="5" t="str">
        <f>IFERROR(__xludf.DUMMYFUNCTION("GOOGLETRANSLATE(B12257,""en"",""de"")"),"Zwei Pfadfinder stehen stehen und sprechen mit einer großen Gruppe von Menschen und versuchen, ein Match anzunehmen.")</f>
        <v>Zwei Pfadfinder stehen stehen und sprechen mit einer großen Gruppe von Menschen und versuchen, ein Match anzunehmen.</v>
      </c>
    </row>
    <row r="12258">
      <c r="A12258" s="4" t="s">
        <v>15418</v>
      </c>
      <c r="B12258" s="4" t="s">
        <v>15420</v>
      </c>
      <c r="C12258" s="5" t="str">
        <f>IFERROR(__xludf.DUMMYFUNCTION("GOOGLETRANSLATE(B12258,""en"",""de"")"),"Man schmeckt mit Sauerstoff eine Flamme und stellt die Flamme in eine Grube.")</f>
        <v>Man schmeckt mit Sauerstoff eine Flamme und stellt die Flamme in eine Grube.</v>
      </c>
    </row>
    <row r="12259">
      <c r="A12259" s="4" t="s">
        <v>15421</v>
      </c>
      <c r="B12259" s="4" t="s">
        <v>15422</v>
      </c>
      <c r="C12259" s="5" t="str">
        <f>IFERROR(__xludf.DUMMYFUNCTION("GOOGLETRANSLATE(B12259,""en"",""de"")"),"Eine Frau am Strand spricht mit der Kamera.")</f>
        <v>Eine Frau am Strand spricht mit der Kamera.</v>
      </c>
    </row>
    <row r="12260">
      <c r="A12260" s="4" t="s">
        <v>15421</v>
      </c>
      <c r="B12260" s="4" t="s">
        <v>15423</v>
      </c>
      <c r="C12260" s="5" t="str">
        <f>IFERROR(__xludf.DUMMYFUNCTION("GOOGLETRANSLATE(B12260,""en"",""de"")"),"Die Kamera schwenkt hin und her, um die Aktivitäten anderer Strandbesucher um die Frau zu zeigen.")</f>
        <v>Die Kamera schwenkt hin und her, um die Aktivitäten anderer Strandbesucher um die Frau zu zeigen.</v>
      </c>
    </row>
    <row r="12261">
      <c r="A12261" s="4" t="s">
        <v>15421</v>
      </c>
      <c r="B12261" s="4" t="s">
        <v>15424</v>
      </c>
      <c r="C12261" s="5" t="str">
        <f>IFERROR(__xludf.DUMMYFUNCTION("GOOGLETRANSLATE(B12261,""en"",""de"")"),"Die Frau wirft einen Eimer Sand am Strand.")</f>
        <v>Die Frau wirft einen Eimer Sand am Strand.</v>
      </c>
    </row>
    <row r="12262">
      <c r="A12262" s="4" t="s">
        <v>15421</v>
      </c>
      <c r="B12262" s="4" t="s">
        <v>15425</v>
      </c>
      <c r="C12262" s="5" t="str">
        <f>IFERROR(__xludf.DUMMYFUNCTION("GOOGLETRANSLATE(B12262,""en"",""de"")"),"Die Frau kombiniert Sand und Wasser in einem Eimer.")</f>
        <v>Die Frau kombiniert Sand und Wasser in einem Eimer.</v>
      </c>
    </row>
    <row r="12263">
      <c r="A12263" s="4" t="s">
        <v>15421</v>
      </c>
      <c r="B12263" s="4" t="s">
        <v>15426</v>
      </c>
      <c r="C12263" s="5" t="str">
        <f>IFERROR(__xludf.DUMMYFUNCTION("GOOGLETRANSLATE(B12263,""en"",""de"")"),"Die Frau legt die Mischung am Strand ab.")</f>
        <v>Die Frau legt die Mischung am Strand ab.</v>
      </c>
    </row>
    <row r="12264">
      <c r="A12264" s="4" t="s">
        <v>15427</v>
      </c>
      <c r="B12264" s="4" t="s">
        <v>15428</v>
      </c>
      <c r="C12264" s="5" t="str">
        <f>IFERROR(__xludf.DUMMYFUNCTION("GOOGLETRANSLATE(B12264,""en"",""de"")"),"Eine Frau spricht mit der Kamera, während er vor einem Übungsrad steht.")</f>
        <v>Eine Frau spricht mit der Kamera, während er vor einem Übungsrad steht.</v>
      </c>
    </row>
    <row r="12265">
      <c r="A12265" s="4" t="s">
        <v>15427</v>
      </c>
      <c r="B12265" s="4" t="s">
        <v>15429</v>
      </c>
      <c r="C12265" s="5" t="str">
        <f>IFERROR(__xludf.DUMMYFUNCTION("GOOGLETRANSLATE(B12265,""en"",""de"")"),"Die Frau spricht weiter und beginnt auf das Fahrrad zu klettern.")</f>
        <v>Die Frau spricht weiter und beginnt auf das Fahrrad zu klettern.</v>
      </c>
    </row>
    <row r="12266">
      <c r="A12266" s="4" t="s">
        <v>15427</v>
      </c>
      <c r="B12266" s="4" t="s">
        <v>15430</v>
      </c>
      <c r="C12266" s="5" t="str">
        <f>IFERROR(__xludf.DUMMYFUNCTION("GOOGLETRANSLATE(B12266,""en"",""de"")"),"Sie dreht sich im Fahrrad herum, während sie sitzt und stand und die Kamera um das Mädchen schwenkt.")</f>
        <v>Sie dreht sich im Fahrrad herum, während sie sitzt und stand und die Kamera um das Mädchen schwenkt.</v>
      </c>
    </row>
    <row r="12267">
      <c r="A12267" s="4" t="s">
        <v>15431</v>
      </c>
      <c r="B12267" s="4" t="s">
        <v>15432</v>
      </c>
      <c r="C12267" s="5" t="str">
        <f>IFERROR(__xludf.DUMMYFUNCTION("GOOGLETRANSLATE(B12267,""en"",""de"")"),"Zwei Personen laufen in einem innen geschlossenen Raum und schlagen mit Schlägern einen Tennisball herum.")</f>
        <v>Zwei Personen laufen in einem innen geschlossenen Raum und schlagen mit Schlägern einen Tennisball herum.</v>
      </c>
    </row>
    <row r="12268">
      <c r="A12268" s="4" t="s">
        <v>15431</v>
      </c>
      <c r="B12268" s="4" t="s">
        <v>15433</v>
      </c>
      <c r="C12268" s="5" t="str">
        <f>IFERROR(__xludf.DUMMYFUNCTION("GOOGLETRANSLATE(B12268,""en"",""de"")"),"Die Männer rennen weiter herum und schlagen den Ball von der Wand.")</f>
        <v>Die Männer rennen weiter herum und schlagen den Ball von der Wand.</v>
      </c>
    </row>
    <row r="12269">
      <c r="A12269" s="4" t="s">
        <v>15434</v>
      </c>
      <c r="B12269" s="4" t="s">
        <v>15435</v>
      </c>
      <c r="C12269" s="5" t="str">
        <f>IFERROR(__xludf.DUMMYFUNCTION("GOOGLETRANSLATE(B12269,""en"",""de"")"),"Eine dicke Frau und eine dünne Frau sprechen von Angesicht zu Angesicht in einem Schönheitssalon.")</f>
        <v>Eine dicke Frau und eine dünne Frau sprechen von Angesicht zu Angesicht in einem Schönheitssalon.</v>
      </c>
    </row>
    <row r="12270">
      <c r="A12270" s="4" t="s">
        <v>15434</v>
      </c>
      <c r="B12270" s="4" t="s">
        <v>15436</v>
      </c>
      <c r="C12270" s="5" t="str">
        <f>IFERROR(__xludf.DUMMYFUNCTION("GOOGLETRANSLATE(B12270,""en"",""de"")"),"Die dicke Frau spricht und die dünne Frau wäscht und legt Creme ins Gesicht.")</f>
        <v>Die dicke Frau spricht und die dünne Frau wäscht und legt Creme ins Gesicht.</v>
      </c>
    </row>
    <row r="12271">
      <c r="A12271" s="4" t="s">
        <v>15434</v>
      </c>
      <c r="B12271" s="4" t="s">
        <v>15437</v>
      </c>
      <c r="C12271" s="5" t="str">
        <f>IFERROR(__xludf.DUMMYFUNCTION("GOOGLETRANSLATE(B12271,""en"",""de"")"),"Dann passt die dicke Frau ein Gerät über die dünne Frau.")</f>
        <v>Dann passt die dicke Frau ein Gerät über die dünne Frau.</v>
      </c>
    </row>
    <row r="12272">
      <c r="A12272" s="4" t="s">
        <v>15438</v>
      </c>
      <c r="B12272" s="4" t="s">
        <v>15439</v>
      </c>
      <c r="C12272" s="5" t="str">
        <f>IFERROR(__xludf.DUMMYFUNCTION("GOOGLETRANSLATE(B12272,""en"",""de"")"),"Eine große Gruppe von Menschen steht in einem Gymnasium mit zwei Personen vor.")</f>
        <v>Eine große Gruppe von Menschen steht in einem Gymnasium mit zwei Personen vor.</v>
      </c>
    </row>
    <row r="12273">
      <c r="A12273" s="4" t="s">
        <v>15438</v>
      </c>
      <c r="B12273" s="4" t="s">
        <v>15440</v>
      </c>
      <c r="C12273" s="5" t="str">
        <f>IFERROR(__xludf.DUMMYFUNCTION("GOOGLETRANSLATE(B12273,""en"",""de"")"),"Die Gruppe beginnt dann miteinander zu tanzen und führt zu einer anderen großen Gruppe von Menschen.")</f>
        <v>Die Gruppe beginnt dann miteinander zu tanzen und führt zu einer anderen großen Gruppe von Menschen.</v>
      </c>
    </row>
    <row r="12274">
      <c r="A12274" s="4" t="s">
        <v>15438</v>
      </c>
      <c r="B12274" s="4" t="s">
        <v>15441</v>
      </c>
      <c r="C12274" s="5" t="str">
        <f>IFERROR(__xludf.DUMMYFUNCTION("GOOGLETRANSLATE(B12274,""en"",""de"")"),"Die Leute sprechen mit der Kamera und führen am Ende in sie auf.")</f>
        <v>Die Leute sprechen mit der Kamera und führen am Ende in sie auf.</v>
      </c>
    </row>
    <row r="12275">
      <c r="A12275" s="4" t="s">
        <v>15442</v>
      </c>
      <c r="B12275" s="4" t="s">
        <v>15443</v>
      </c>
      <c r="C12275" s="5" t="str">
        <f>IFERROR(__xludf.DUMMYFUNCTION("GOOGLETRANSLATE(B12275,""en"",""de"")"),"Ein Mann spricht mit der Kamera, die einem Intro -Bildschirm zu ihm folgt.")</f>
        <v>Ein Mann spricht mit der Kamera, die einem Intro -Bildschirm zu ihm folgt.</v>
      </c>
    </row>
    <row r="12276">
      <c r="A12276" s="4" t="s">
        <v>15442</v>
      </c>
      <c r="B12276" s="4" t="s">
        <v>15444</v>
      </c>
      <c r="C12276" s="5" t="str">
        <f>IFERROR(__xludf.DUMMYFUNCTION("GOOGLETRANSLATE(B12276,""en"",""de"")"),"Er spricht weiter mit der Kamera und spielt verschiedene Tricks auf seinem Brett in der gesamten Region.")</f>
        <v>Er spricht weiter mit der Kamera und spielt verschiedene Tricks auf seinem Brett in der gesamten Region.</v>
      </c>
    </row>
    <row r="12277">
      <c r="A12277" s="4" t="s">
        <v>15445</v>
      </c>
      <c r="B12277" s="4" t="s">
        <v>15446</v>
      </c>
      <c r="C12277" s="5" t="str">
        <f>IFERROR(__xludf.DUMMYFUNCTION("GOOGLETRANSLATE(B12277,""en"",""de"")"),"Dieser Mann spielt zu Beginn des Videos eine Drum und er sagt ein paar Worte.")</f>
        <v>Dieser Mann spielt zu Beginn des Videos eine Drum und er sagt ein paar Worte.</v>
      </c>
    </row>
    <row r="12278">
      <c r="A12278" s="4" t="s">
        <v>15445</v>
      </c>
      <c r="B12278" s="4" t="s">
        <v>15447</v>
      </c>
      <c r="C12278" s="5" t="str">
        <f>IFERROR(__xludf.DUMMYFUNCTION("GOOGLETRANSLATE(B12278,""en"",""de"")"),"Dann sitzt ein Mann neben ihm und beginnt seine Gitarre zu spielen, und der andere Mann schließt sich langsam an, um Schlagzeug zu spielen.")</f>
        <v>Dann sitzt ein Mann neben ihm und beginnt seine Gitarre zu spielen, und der andere Mann schließt sich langsam an, um Schlagzeug zu spielen.</v>
      </c>
    </row>
    <row r="12279">
      <c r="A12279" s="4" t="s">
        <v>15445</v>
      </c>
      <c r="B12279" s="4" t="s">
        <v>15448</v>
      </c>
      <c r="C12279" s="5" t="str">
        <f>IFERROR(__xludf.DUMMYFUNCTION("GOOGLETRANSLATE(B12279,""en"",""de"")"),"Der Mann, der neben dem Mann sitzt, spielt nicht nur Gitarre, sondern er singt auch.")</f>
        <v>Der Mann, der neben dem Mann sitzt, spielt nicht nur Gitarre, sondern er singt auch.</v>
      </c>
    </row>
    <row r="12280">
      <c r="A12280" s="4" t="s">
        <v>15449</v>
      </c>
      <c r="B12280" s="4" t="s">
        <v>15450</v>
      </c>
      <c r="C12280" s="5" t="str">
        <f>IFERROR(__xludf.DUMMYFUNCTION("GOOGLETRANSLATE(B12280,""en"",""de"")"),"Wir sehen einen Mann auf dem Eis.")</f>
        <v>Wir sehen einen Mann auf dem Eis.</v>
      </c>
    </row>
    <row r="12281">
      <c r="A12281" s="4" t="s">
        <v>15449</v>
      </c>
      <c r="B12281" s="4" t="s">
        <v>15451</v>
      </c>
      <c r="C12281" s="5" t="str">
        <f>IFERROR(__xludf.DUMMYFUNCTION("GOOGLETRANSLATE(B12281,""en"",""de"")"),"Er bewegt einen Stock und zieht eine Angellinie aus einem Loch.")</f>
        <v>Er bewegt einen Stock und zieht eine Angellinie aus einem Loch.</v>
      </c>
    </row>
    <row r="12282">
      <c r="A12282" s="4" t="s">
        <v>15449</v>
      </c>
      <c r="B12282" s="4" t="s">
        <v>15452</v>
      </c>
      <c r="C12282" s="5" t="str">
        <f>IFERROR(__xludf.DUMMYFUNCTION("GOOGLETRANSLATE(B12282,""en"",""de"")"),"Der Mann zieht einen Fisch aus dem Loch.")</f>
        <v>Der Mann zieht einen Fisch aus dem Loch.</v>
      </c>
    </row>
    <row r="12283">
      <c r="A12283" s="4" t="s">
        <v>15449</v>
      </c>
      <c r="B12283" s="4" t="s">
        <v>15453</v>
      </c>
      <c r="C12283" s="5" t="str">
        <f>IFERROR(__xludf.DUMMYFUNCTION("GOOGLETRANSLATE(B12283,""en"",""de"")"),"Er nimmt den Fisch ab und zeigt uns den Fisch.")</f>
        <v>Er nimmt den Fisch ab und zeigt uns den Fisch.</v>
      </c>
    </row>
    <row r="12284">
      <c r="A12284" s="4" t="s">
        <v>15449</v>
      </c>
      <c r="B12284" s="4" t="s">
        <v>15454</v>
      </c>
      <c r="C12284" s="5" t="str">
        <f>IFERROR(__xludf.DUMMYFUNCTION("GOOGLETRANSLATE(B12284,""en"",""de"")"),"Der Mann wirft dann den Fisch zurück in das Loch.")</f>
        <v>Der Mann wirft dann den Fisch zurück in das Loch.</v>
      </c>
    </row>
    <row r="12285">
      <c r="A12285" s="4" t="s">
        <v>15455</v>
      </c>
      <c r="B12285" s="4" t="s">
        <v>15456</v>
      </c>
      <c r="C12285" s="5" t="str">
        <f>IFERROR(__xludf.DUMMYFUNCTION("GOOGLETRANSLATE(B12285,""en"",""de"")"),"Eine Frau im Mann in schwarzer Kleidung steht zusammen und diskutiert eine Routine.")</f>
        <v>Eine Frau im Mann in schwarzer Kleidung steht zusammen und diskutiert eine Routine.</v>
      </c>
    </row>
    <row r="12286">
      <c r="A12286" s="4" t="s">
        <v>15455</v>
      </c>
      <c r="B12286" s="4" t="s">
        <v>15457</v>
      </c>
      <c r="C12286" s="5" t="str">
        <f>IFERROR(__xludf.DUMMYFUNCTION("GOOGLETRANSLATE(B12286,""en"",""de"")"),"Die Frau beginnt zu tanzen und geht ein paar Mal in einen Kreis, während der Mann zuschaut.")</f>
        <v>Die Frau beginnt zu tanzen und geht ein paar Mal in einen Kreis, während der Mann zuschaut.</v>
      </c>
    </row>
    <row r="12287">
      <c r="A12287" s="4" t="s">
        <v>15455</v>
      </c>
      <c r="B12287" s="4" t="s">
        <v>15458</v>
      </c>
      <c r="C12287" s="5" t="str">
        <f>IFERROR(__xludf.DUMMYFUNCTION("GOOGLETRANSLATE(B12287,""en"",""de"")"),"Die Frau diskutiert weiter über die Routine, hält dann die Hände mit ihrem Partner und sie beginnen zusammen zu tanzen.")</f>
        <v>Die Frau diskutiert weiter über die Routine, hält dann die Hände mit ihrem Partner und sie beginnen zusammen zu tanzen.</v>
      </c>
    </row>
    <row r="12288">
      <c r="A12288" s="4" t="s">
        <v>15459</v>
      </c>
      <c r="B12288" s="4" t="s">
        <v>15460</v>
      </c>
      <c r="C12288" s="5" t="str">
        <f>IFERROR(__xludf.DUMMYFUNCTION("GOOGLETRANSLATE(B12288,""en"",""de"")"),"Eine Frau spricht darüber, wie man einen Salat macht.")</f>
        <v>Eine Frau spricht darüber, wie man einen Salat macht.</v>
      </c>
    </row>
    <row r="12289">
      <c r="A12289" s="4" t="s">
        <v>15459</v>
      </c>
      <c r="B12289" s="4" t="s">
        <v>15461</v>
      </c>
      <c r="C12289" s="5" t="str">
        <f>IFERROR(__xludf.DUMMYFUNCTION("GOOGLETRANSLATE(B12289,""en"",""de"")"),"Sie bricht den Salat in kleinere Teile auf.")</f>
        <v>Sie bricht den Salat in kleinere Teile auf.</v>
      </c>
    </row>
    <row r="12290">
      <c r="A12290" s="4" t="s">
        <v>15462</v>
      </c>
      <c r="B12290" s="4" t="s">
        <v>15463</v>
      </c>
      <c r="C12290" s="5" t="str">
        <f>IFERROR(__xludf.DUMMYFUNCTION("GOOGLETRANSLATE(B12290,""en"",""de"")"),"Ein Mann und ein kleines Kind schieben einen Rasenmäher über den Hof, während der Junge zur Kamera lächelt.")</f>
        <v>Ein Mann und ein kleines Kind schieben einen Rasenmäher über den Hof, während der Junge zur Kamera lächelt.</v>
      </c>
    </row>
    <row r="12291">
      <c r="A12291" s="4" t="s">
        <v>15462</v>
      </c>
      <c r="B12291" s="4" t="s">
        <v>15464</v>
      </c>
      <c r="C12291" s="5" t="str">
        <f>IFERROR(__xludf.DUMMYFUNCTION("GOOGLETRANSLATE(B12291,""en"",""de"")"),"Der Mann und der Junge schieben weiterhin den Rasenmäher über den Hof, während sie anhalten, um in die Kamera zu schauen.")</f>
        <v>Der Mann und der Junge schieben weiterhin den Rasenmäher über den Hof, während sie anhalten, um in die Kamera zu schauen.</v>
      </c>
    </row>
    <row r="12292">
      <c r="A12292" s="4" t="s">
        <v>15465</v>
      </c>
      <c r="B12292" s="4" t="s">
        <v>15466</v>
      </c>
      <c r="C12292" s="5" t="str">
        <f>IFERROR(__xludf.DUMMYFUNCTION("GOOGLETRANSLATE(B12292,""en"",""de"")"),"Alle Zutaten, die Sie zum Butterkuchen machen müssen, sind auf der Theke. Jemand zeigt auf jede Zutat und beginnt sie zu greifen.")</f>
        <v>Alle Zutaten, die Sie zum Butterkuchen machen müssen, sind auf der Theke. Jemand zeigt auf jede Zutat und beginnt sie zu greifen.</v>
      </c>
    </row>
    <row r="12293">
      <c r="A12293" s="4" t="s">
        <v>15465</v>
      </c>
      <c r="B12293" s="4" t="s">
        <v>15467</v>
      </c>
      <c r="C12293" s="5" t="str">
        <f>IFERROR(__xludf.DUMMYFUNCTION("GOOGLETRANSLATE(B12293,""en"",""de"")"),"Sie verwenden einen Mixer, um einige der Zutaten miteinander zu mischen.")</f>
        <v>Sie verwenden einen Mixer, um einige der Zutaten miteinander zu mischen.</v>
      </c>
    </row>
    <row r="12294">
      <c r="A12294" s="4" t="s">
        <v>15465</v>
      </c>
      <c r="B12294" s="4" t="s">
        <v>15468</v>
      </c>
      <c r="C12294" s="5" t="str">
        <f>IFERROR(__xludf.DUMMYFUNCTION("GOOGLETRANSLATE(B12294,""en"",""de"")"),"Sie fügen die Eier nacheinander hinzu, während sich der Mixer noch mischt, und schalten sie dann aus und fügen etwas mehr in hinzu.")</f>
        <v>Sie fügen die Eier nacheinander hinzu, während sich der Mixer noch mischt, und schalten sie dann aus und fügen etwas mehr in hinzu.</v>
      </c>
    </row>
    <row r="12295">
      <c r="A12295" s="4" t="s">
        <v>15465</v>
      </c>
      <c r="B12295" s="4" t="s">
        <v>15469</v>
      </c>
      <c r="C12295" s="5" t="str">
        <f>IFERROR(__xludf.DUMMYFUNCTION("GOOGLETRANSLATE(B12295,""en"",""de"")"),"Sie verwenden eine Pfanne und setzen einen Boden hinein und schöpfen die Mischung hinein, bevor sie sich schließlich darauf vorbereiten, sie in den Ofen zu backen.")</f>
        <v>Sie verwenden eine Pfanne und setzen einen Boden hinein und schöpfen die Mischung hinein, bevor sie sich schließlich darauf vorbereiten, sie in den Ofen zu backen.</v>
      </c>
    </row>
    <row r="12296">
      <c r="A12296" s="4" t="s">
        <v>15470</v>
      </c>
      <c r="B12296" s="4" t="s">
        <v>15471</v>
      </c>
      <c r="C12296" s="5" t="str">
        <f>IFERROR(__xludf.DUMMYFUNCTION("GOOGLETRANSLATE(B12296,""en"",""de"")"),"Eine Nahaufnahme eines Risss ist zu sehen.")</f>
        <v>Eine Nahaufnahme eines Risss ist zu sehen.</v>
      </c>
    </row>
    <row r="12297">
      <c r="A12297" s="4" t="s">
        <v>15470</v>
      </c>
      <c r="B12297" s="4" t="s">
        <v>15472</v>
      </c>
      <c r="C12297" s="5" t="str">
        <f>IFERROR(__xludf.DUMMYFUNCTION("GOOGLETRANSLATE(B12297,""en"",""de"")"),"Eine Frau ist draußen und schaufelt Schnee.")</f>
        <v>Eine Frau ist draußen und schaufelt Schnee.</v>
      </c>
    </row>
    <row r="12298">
      <c r="A12298" s="4" t="s">
        <v>15470</v>
      </c>
      <c r="B12298" s="4" t="s">
        <v>15473</v>
      </c>
      <c r="C12298" s="5" t="str">
        <f>IFERROR(__xludf.DUMMYFUNCTION("GOOGLETRANSLATE(B12298,""en"",""de"")"),"Ein Hund wedelt mit dem Schwanz, als er versucht zu helfen.")</f>
        <v>Ein Hund wedelt mit dem Schwanz, als er versucht zu helfen.</v>
      </c>
    </row>
    <row r="12299">
      <c r="A12299" s="4" t="s">
        <v>15474</v>
      </c>
      <c r="B12299" s="4" t="s">
        <v>15475</v>
      </c>
      <c r="C12299" s="5" t="str">
        <f>IFERROR(__xludf.DUMMYFUNCTION("GOOGLETRANSLATE(B12299,""en"",""de"")"),"Eine Gruppe von Männern ist draußen auf einem großen Feld auf Pferden, die ein Polospiel spielen.")</f>
        <v>Eine Gruppe von Männern ist draußen auf einem großen Feld auf Pferden, die ein Polospiel spielen.</v>
      </c>
    </row>
    <row r="12300">
      <c r="A12300" s="4" t="s">
        <v>15474</v>
      </c>
      <c r="B12300" s="4" t="s">
        <v>15476</v>
      </c>
      <c r="C12300" s="5" t="str">
        <f>IFERROR(__xludf.DUMMYFUNCTION("GOOGLETRANSLATE(B12300,""en"",""de"")"),"Spieler Nummer drei nimmt den Ball bis zum Ende des Feldes und er wird dann von vier anderen Leuten zurückgelegt.")</f>
        <v>Spieler Nummer drei nimmt den Ball bis zum Ende des Feldes und er wird dann von vier anderen Leuten zurückgelegt.</v>
      </c>
    </row>
    <row r="12301">
      <c r="A12301" s="4" t="s">
        <v>15474</v>
      </c>
      <c r="B12301" s="4" t="s">
        <v>15477</v>
      </c>
      <c r="C12301" s="5" t="str">
        <f>IFERROR(__xludf.DUMMYFUNCTION("GOOGLETRANSLATE(B12301,""en"",""de"")"),"Sobald sie das Ende des Feldes verlassen, beginnen sie alle am Schiedsrichter auf einem Pferd in die Mitte zurückzudringen.")</f>
        <v>Sobald sie das Ende des Feldes verlassen, beginnen sie alle am Schiedsrichter auf einem Pferd in die Mitte zurückzudringen.</v>
      </c>
    </row>
    <row r="12302">
      <c r="A12302" s="4" t="s">
        <v>15478</v>
      </c>
      <c r="B12302" s="4" t="s">
        <v>15479</v>
      </c>
      <c r="C12302" s="5" t="str">
        <f>IFERROR(__xludf.DUMMYFUNCTION("GOOGLETRANSLATE(B12302,""en"",""de"")"),"Es werden mehrere Schüsse aus Zeichen und Landschaften gezeigt und führen zu einer Person, die ein Seil zusammenbindet.")</f>
        <v>Es werden mehrere Schüsse aus Zeichen und Landschaften gezeigt und führen zu einer Person, die ein Seil zusammenbindet.</v>
      </c>
    </row>
    <row r="12303">
      <c r="A12303" s="4" t="s">
        <v>15478</v>
      </c>
      <c r="B12303" s="4" t="s">
        <v>15480</v>
      </c>
      <c r="C12303" s="5" t="str">
        <f>IFERROR(__xludf.DUMMYFUNCTION("GOOGLETRANSLATE(B12303,""en"",""de"")"),"Mehrere Menschen wanderten herum und lächeln zur Kamera und klettern einen Felsen hinauf.")</f>
        <v>Mehrere Menschen wanderten herum und lächeln zur Kamera und klettern einen Felsen hinauf.</v>
      </c>
    </row>
    <row r="12304">
      <c r="A12304" s="4" t="s">
        <v>15478</v>
      </c>
      <c r="B12304" s="4" t="s">
        <v>15481</v>
      </c>
      <c r="C12304" s="5" t="str">
        <f>IFERROR(__xludf.DUMMYFUNCTION("GOOGLETRANSLATE(B12304,""en"",""de"")"),"Weitere Menschen klettern sowohl den Felsen hoch als auch ein Mann, der nach unten klettert.")</f>
        <v>Weitere Menschen klettern sowohl den Felsen hoch als auch ein Mann, der nach unten klettert.</v>
      </c>
    </row>
    <row r="12305">
      <c r="A12305" s="4" t="s">
        <v>15482</v>
      </c>
      <c r="B12305" s="4" t="s">
        <v>15483</v>
      </c>
      <c r="C12305" s="5" t="str">
        <f>IFERROR(__xludf.DUMMYFUNCTION("GOOGLETRANSLATE(B12305,""en"",""de"")"),"Die beiden Leute halten die Hände aus, um ein Arm -Wrestling -Match zu beginnen.")</f>
        <v>Die beiden Leute halten die Hände aus, um ein Arm -Wrestling -Match zu beginnen.</v>
      </c>
    </row>
    <row r="12306">
      <c r="A12306" s="4" t="s">
        <v>15482</v>
      </c>
      <c r="B12306" s="4" t="s">
        <v>15484</v>
      </c>
      <c r="C12306" s="5" t="str">
        <f>IFERROR(__xludf.DUMMYFUNCTION("GOOGLETRANSLATE(B12306,""en"",""de"")"),"Die Frauen treten in einem Arm -Wrestling -Match an, das an einem Tisch sitzt.")</f>
        <v>Die Frauen treten in einem Arm -Wrestling -Match an, das an einem Tisch sitzt.</v>
      </c>
    </row>
    <row r="12307">
      <c r="A12307" s="4" t="s">
        <v>15482</v>
      </c>
      <c r="B12307" s="4" t="s">
        <v>15485</v>
      </c>
      <c r="C12307" s="5" t="str">
        <f>IFERROR(__xludf.DUMMYFUNCTION("GOOGLETRANSLATE(B12307,""en"",""de"")"),"Die Frauen wechseln die Hände und und Arm ringen mit den linken Händen.")</f>
        <v>Die Frauen wechseln die Hände und und Arm ringen mit den linken Händen.</v>
      </c>
    </row>
    <row r="12308">
      <c r="A12308" s="4" t="s">
        <v>15482</v>
      </c>
      <c r="B12308" s="4" t="s">
        <v>15486</v>
      </c>
      <c r="C12308" s="5" t="str">
        <f>IFERROR(__xludf.DUMMYFUNCTION("GOOGLETRANSLATE(B12308,""en"",""de"")"),"Die Frauen haben einen Rückkampf mit ihren dominierten Händen.")</f>
        <v>Die Frauen haben einen Rückkampf mit ihren dominierten Händen.</v>
      </c>
    </row>
    <row r="12309">
      <c r="A12309" s="4" t="s">
        <v>15482</v>
      </c>
      <c r="B12309" s="4" t="s">
        <v>15487</v>
      </c>
      <c r="C12309" s="5" t="str">
        <f>IFERROR(__xludf.DUMMYFUNCTION("GOOGLETRANSLATE(B12309,""en"",""de"")"),"Die beiden Athleten beugen ihre Arme.")</f>
        <v>Die beiden Athleten beugen ihre Arme.</v>
      </c>
    </row>
    <row r="12310">
      <c r="A12310" s="4" t="s">
        <v>15488</v>
      </c>
      <c r="B12310" s="4" t="s">
        <v>15489</v>
      </c>
      <c r="C12310" s="5" t="str">
        <f>IFERROR(__xludf.DUMMYFUNCTION("GOOGLETRANSLATE(B12310,""en"",""de"")"),"Es gibt einen Taucher, der gelbe Schwimmstämme trägt, aus einem Tauchbrett in einem Innenpool.")</f>
        <v>Es gibt einen Taucher, der gelbe Schwimmstämme trägt, aus einem Tauchbrett in einem Innenpool.</v>
      </c>
    </row>
    <row r="12311">
      <c r="A12311" s="4" t="s">
        <v>15488</v>
      </c>
      <c r="B12311" s="4" t="s">
        <v>15490</v>
      </c>
      <c r="C12311" s="5" t="str">
        <f>IFERROR(__xludf.DUMMYFUNCTION("GOOGLETRANSLATE(B12311,""en"",""de"")"),"Er springt mehrmals aus dem Tauchbrett, da einige andere Menschen gemächlich im Pool schwimmen.")</f>
        <v>Er springt mehrmals aus dem Tauchbrett, da einige andere Menschen gemächlich im Pool schwimmen.</v>
      </c>
    </row>
    <row r="12312">
      <c r="A12312" s="4" t="s">
        <v>15488</v>
      </c>
      <c r="B12312" s="4" t="s">
        <v>15491</v>
      </c>
      <c r="C12312" s="5" t="str">
        <f>IFERROR(__xludf.DUMMYFUNCTION("GOOGLETRANSLATE(B12312,""en"",""de"")"),"Er macht die Rückwärts- und Vorwärtsbewegungen, als ein anderer junger Mann ihn direkt in den Pool tauchte.")</f>
        <v>Er macht die Rückwärts- und Vorwärtsbewegungen, als ein anderer junger Mann ihn direkt in den Pool tauchte.</v>
      </c>
    </row>
    <row r="12313">
      <c r="A12313" s="4" t="s">
        <v>15488</v>
      </c>
      <c r="B12313" s="4" t="s">
        <v>15492</v>
      </c>
      <c r="C12313" s="5" t="str">
        <f>IFERROR(__xludf.DUMMYFUNCTION("GOOGLETRANSLATE(B12313,""en"",""de"")"),"Dann taucht ein anderer junger Mann aus demselben Tauchbrett.")</f>
        <v>Dann taucht ein anderer junger Mann aus demselben Tauchbrett.</v>
      </c>
    </row>
    <row r="12314">
      <c r="A12314" s="4" t="s">
        <v>15488</v>
      </c>
      <c r="B12314" s="4" t="s">
        <v>15493</v>
      </c>
      <c r="C12314" s="5" t="str">
        <f>IFERROR(__xludf.DUMMYFUNCTION("GOOGLETRANSLATE(B12314,""en"",""de"")"),"Beide machen den Vorwärts -Tauchen.")</f>
        <v>Beide machen den Vorwärts -Tauchen.</v>
      </c>
    </row>
    <row r="12315">
      <c r="A12315" s="4" t="s">
        <v>15488</v>
      </c>
      <c r="B12315" s="4" t="s">
        <v>15494</v>
      </c>
      <c r="C12315" s="5" t="str">
        <f>IFERROR(__xludf.DUMMYFUNCTION("GOOGLETRANSLATE(B12315,""en"",""de"")"),"Ein anderer Taucher steigt viel höher und taucht direkt in den Pool ein.")</f>
        <v>Ein anderer Taucher steigt viel höher und taucht direkt in den Pool ein.</v>
      </c>
    </row>
    <row r="12316">
      <c r="A12316" s="4" t="s">
        <v>15495</v>
      </c>
      <c r="B12316" s="4" t="s">
        <v>15496</v>
      </c>
      <c r="C12316" s="5" t="str">
        <f>IFERROR(__xludf.DUMMYFUNCTION("GOOGLETRANSLATE(B12316,""en"",""de"")"),"Ein junges Mädchen sitzt vor einer Kamera und präsentiert der Kamera verschiedene Nagelgegenstände.")</f>
        <v>Ein junges Mädchen sitzt vor einer Kamera und präsentiert der Kamera verschiedene Nagelgegenstände.</v>
      </c>
    </row>
    <row r="12317">
      <c r="A12317" s="4" t="s">
        <v>15495</v>
      </c>
      <c r="B12317" s="4" t="s">
        <v>15497</v>
      </c>
      <c r="C12317" s="5" t="str">
        <f>IFERROR(__xludf.DUMMYFUNCTION("GOOGLETRANSLATE(B12317,""en"",""de"")"),"Dann beginnt sie, alle ihre Nägel gründlich zu malen und das Video mit verschiedenen Bildern von ihr und ihren Nägeln zu beenden.")</f>
        <v>Dann beginnt sie, alle ihre Nägel gründlich zu malen und das Video mit verschiedenen Bildern von ihr und ihren Nägeln zu beenden.</v>
      </c>
    </row>
    <row r="12318">
      <c r="A12318" s="4" t="s">
        <v>15498</v>
      </c>
      <c r="B12318" s="4" t="s">
        <v>15499</v>
      </c>
      <c r="C12318" s="5" t="str">
        <f>IFERROR(__xludf.DUMMYFUNCTION("GOOGLETRANSLATE(B12318,""en"",""de"")"),"Ein kleiner Junge in einem gelben Hemd hält einen gelben gekräuselten Stock.")</f>
        <v>Ein kleiner Junge in einem gelben Hemd hält einen gelben gekräuselten Stock.</v>
      </c>
    </row>
    <row r="12319">
      <c r="A12319" s="4" t="s">
        <v>15498</v>
      </c>
      <c r="B12319" s="4" t="s">
        <v>15500</v>
      </c>
      <c r="C12319" s="5" t="str">
        <f>IFERROR(__xludf.DUMMYFUNCTION("GOOGLETRANSLATE(B12319,""en"",""de"")"),"Er versucht, den Batman Pinata zu treffen, er vermisste ihn, er schlug ihn, er ging um die Pinata, um sie zu treffen.")</f>
        <v>Er versucht, den Batman Pinata zu treffen, er vermisste ihn, er schlug ihn, er ging um die Pinata, um sie zu treffen.</v>
      </c>
    </row>
    <row r="12320">
      <c r="A12320" s="4" t="s">
        <v>15501</v>
      </c>
      <c r="B12320" s="4" t="s">
        <v>15502</v>
      </c>
      <c r="C12320" s="5" t="str">
        <f>IFERROR(__xludf.DUMMYFUNCTION("GOOGLETRANSLATE(B12320,""en"",""de"")"),"Eine Person schiebt einen Schneepflug durch Schnee.")</f>
        <v>Eine Person schiebt einen Schneepflug durch Schnee.</v>
      </c>
    </row>
    <row r="12321">
      <c r="A12321" s="4" t="s">
        <v>15501</v>
      </c>
      <c r="B12321" s="4" t="s">
        <v>15503</v>
      </c>
      <c r="C12321" s="5" t="str">
        <f>IFERROR(__xludf.DUMMYFUNCTION("GOOGLETRANSLATE(B12321,""en"",""de"")"),"Sie räumen einen Pfad einen Bürgersteig hinunter.")</f>
        <v>Sie räumen einen Pfad einen Bürgersteig hinunter.</v>
      </c>
    </row>
    <row r="12322">
      <c r="A12322" s="4" t="s">
        <v>15501</v>
      </c>
      <c r="B12322" s="4" t="s">
        <v>15504</v>
      </c>
      <c r="C12322" s="5" t="str">
        <f>IFERROR(__xludf.DUMMYFUNCTION("GOOGLETRANSLATE(B12322,""en"",""de"")"),"Ein weißes Auto taucht auf der Straße vorbei.")</f>
        <v>Ein weißes Auto taucht auf der Straße vorbei.</v>
      </c>
    </row>
    <row r="12323">
      <c r="A12323" s="4" t="s">
        <v>15505</v>
      </c>
      <c r="B12323" s="4" t="s">
        <v>15506</v>
      </c>
      <c r="C12323" s="5" t="str">
        <f>IFERROR(__xludf.DUMMYFUNCTION("GOOGLETRANSLATE(B12323,""en"",""de"")"),"Eine kleine Gruppe von Menschen wird gesehen, wie sie Mulch in einen Behälter zieht, wenn eine andere um den Baum herumfährt.")</f>
        <v>Eine kleine Gruppe von Menschen wird gesehen, wie sie Mulch in einen Behälter zieht, wenn eine andere um den Baum herumfährt.</v>
      </c>
    </row>
    <row r="12324">
      <c r="A12324" s="4" t="s">
        <v>15505</v>
      </c>
      <c r="B12324" s="4" t="s">
        <v>15507</v>
      </c>
      <c r="C12324" s="5" t="str">
        <f>IFERROR(__xludf.DUMMYFUNCTION("GOOGLETRANSLATE(B12324,""en"",""de"")"),"Sie kratzen weiterhin aus dem Mulch, während sie den Bereich messen, und führt zu einem Gras um den Baum.")</f>
        <v>Sie kratzen weiterhin aus dem Mulch, während sie den Bereich messen, und führt zu einem Gras um den Baum.</v>
      </c>
    </row>
    <row r="12325">
      <c r="A12325" s="4" t="s">
        <v>15505</v>
      </c>
      <c r="B12325" s="4" t="s">
        <v>15508</v>
      </c>
      <c r="C12325" s="5" t="str">
        <f>IFERROR(__xludf.DUMMYFUNCTION("GOOGLETRANSLATE(B12325,""en"",""de"")"),"Sie legen gleichmäßiger Schmutz aus, während einige Taschen hinter ihnen greifen.")</f>
        <v>Sie legen gleichmäßiger Schmutz aus, während einige Taschen hinter ihnen greifen.</v>
      </c>
    </row>
    <row r="12326">
      <c r="A12326" s="4" t="s">
        <v>15509</v>
      </c>
      <c r="B12326" s="4" t="s">
        <v>15510</v>
      </c>
      <c r="C12326" s="5" t="str">
        <f>IFERROR(__xludf.DUMMYFUNCTION("GOOGLETRANSLATE(B12326,""en"",""de"")"),"Eine Person hält eine Kaffeetasse in einem Koi -Pool.")</f>
        <v>Eine Person hält eine Kaffeetasse in einem Koi -Pool.</v>
      </c>
    </row>
    <row r="12327">
      <c r="A12327" s="4" t="s">
        <v>15509</v>
      </c>
      <c r="B12327" s="4" t="s">
        <v>15511</v>
      </c>
      <c r="C12327" s="5" t="str">
        <f>IFERROR(__xludf.DUMMYFUNCTION("GOOGLETRANSLATE(B12327,""en"",""de"")"),"Der Koi schwimmt in Richtung Kaffeetasse.")</f>
        <v>Der Koi schwimmt in Richtung Kaffeetasse.</v>
      </c>
    </row>
    <row r="12328">
      <c r="A12328" s="4" t="s">
        <v>15512</v>
      </c>
      <c r="B12328" s="4" t="s">
        <v>15513</v>
      </c>
      <c r="C12328" s="5" t="str">
        <f>IFERROR(__xludf.DUMMYFUNCTION("GOOGLETRANSLATE(B12328,""en"",""de"")"),"Eine Frau spielt mit einem Stock auf einem Platz.")</f>
        <v>Eine Frau spielt mit einem Stock auf einem Platz.</v>
      </c>
    </row>
    <row r="12329">
      <c r="A12329" s="4" t="s">
        <v>15512</v>
      </c>
      <c r="B12329" s="4" t="s">
        <v>15514</v>
      </c>
      <c r="C12329" s="5" t="str">
        <f>IFERROR(__xludf.DUMMYFUNCTION("GOOGLETRANSLATE(B12329,""en"",""de"")"),"Sie trifft einen Ball auf dem Platz.")</f>
        <v>Sie trifft einen Ball auf dem Platz.</v>
      </c>
    </row>
    <row r="12330">
      <c r="A12330" s="4" t="s">
        <v>15512</v>
      </c>
      <c r="B12330" s="4" t="s">
        <v>15515</v>
      </c>
      <c r="C12330" s="5" t="str">
        <f>IFERROR(__xludf.DUMMYFUNCTION("GOOGLETRANSLATE(B12330,""en"",""de"")"),"Sie zeigt, wie man schwingt und den Ball schlägt.")</f>
        <v>Sie zeigt, wie man schwingt und den Ball schlägt.</v>
      </c>
    </row>
    <row r="12331">
      <c r="A12331" s="4" t="s">
        <v>15516</v>
      </c>
      <c r="B12331" s="4" t="s">
        <v>15517</v>
      </c>
      <c r="C12331" s="5" t="str">
        <f>IFERROR(__xludf.DUMMYFUNCTION("GOOGLETRANSLATE(B12331,""en"",""de"")"),"Ein Mann rennt zu einem Strahl und springt mehrmals darüber.")</f>
        <v>Ein Mann rennt zu einem Strahl und springt mehrmals darüber.</v>
      </c>
    </row>
    <row r="12332">
      <c r="A12332" s="4" t="s">
        <v>15516</v>
      </c>
      <c r="B12332" s="4" t="s">
        <v>15518</v>
      </c>
      <c r="C12332" s="5" t="str">
        <f>IFERROR(__xludf.DUMMYFUNCTION("GOOGLETRANSLATE(B12332,""en"",""de"")"),"Er macht mindestens sechs Versuche.")</f>
        <v>Er macht mindestens sechs Versuche.</v>
      </c>
    </row>
    <row r="12333">
      <c r="A12333" s="4" t="s">
        <v>15519</v>
      </c>
      <c r="B12333" s="4" t="s">
        <v>15520</v>
      </c>
      <c r="C12333" s="5" t="str">
        <f>IFERROR(__xludf.DUMMYFUNCTION("GOOGLETRANSLATE(B12333,""en"",""de"")"),"Frauen in Trikots tanzen zusammen in einer Linie.")</f>
        <v>Frauen in Trikots tanzen zusammen in einer Linie.</v>
      </c>
    </row>
    <row r="12334">
      <c r="A12334" s="4" t="s">
        <v>15519</v>
      </c>
      <c r="B12334" s="4" t="s">
        <v>15521</v>
      </c>
      <c r="C12334" s="5" t="str">
        <f>IFERROR(__xludf.DUMMYFUNCTION("GOOGLETRANSLATE(B12334,""en"",""de"")"),"Frauen springen in den Pool.")</f>
        <v>Frauen springen in den Pool.</v>
      </c>
    </row>
    <row r="12335">
      <c r="A12335" s="4" t="s">
        <v>15519</v>
      </c>
      <c r="B12335" s="4" t="s">
        <v>15522</v>
      </c>
      <c r="C12335" s="5" t="str">
        <f>IFERROR(__xludf.DUMMYFUNCTION("GOOGLETRANSLATE(B12335,""en"",""de"")"),"Frauen synchronisieren den Tanz im Pool.")</f>
        <v>Frauen synchronisieren den Tanz im Pool.</v>
      </c>
    </row>
    <row r="12336">
      <c r="A12336" s="4" t="s">
        <v>15519</v>
      </c>
      <c r="B12336" s="4" t="s">
        <v>15523</v>
      </c>
      <c r="C12336" s="5" t="str">
        <f>IFERROR(__xludf.DUMMYFUNCTION("GOOGLETRANSLATE(B12336,""en"",""de"")"),"Ansager sprechen mit der Kamera.")</f>
        <v>Ansager sprechen mit der Kamera.</v>
      </c>
    </row>
    <row r="12337">
      <c r="A12337" s="4" t="s">
        <v>15519</v>
      </c>
      <c r="B12337" s="4" t="s">
        <v>15524</v>
      </c>
      <c r="C12337" s="5" t="str">
        <f>IFERROR(__xludf.DUMMYFUNCTION("GOOGLETRANSLATE(B12337,""en"",""de"")"),"Männer an der Seite des Poolgesprächs.")</f>
        <v>Männer an der Seite des Poolgesprächs.</v>
      </c>
    </row>
    <row r="12338">
      <c r="A12338" s="4" t="s">
        <v>15519</v>
      </c>
      <c r="B12338" s="4" t="s">
        <v>15525</v>
      </c>
      <c r="C12338" s="5" t="str">
        <f>IFERROR(__xludf.DUMMYFUNCTION("GOOGLETRANSLATE(B12338,""en"",""de"")"),"Mann in gelben Gesprächen mit der Kamera.")</f>
        <v>Mann in gelben Gesprächen mit der Kamera.</v>
      </c>
    </row>
    <row r="12339">
      <c r="A12339" s="4" t="s">
        <v>15519</v>
      </c>
      <c r="B12339" s="4" t="s">
        <v>15526</v>
      </c>
      <c r="C12339" s="5" t="str">
        <f>IFERROR(__xludf.DUMMYFUNCTION("GOOGLETRANSLATE(B12339,""en"",""de"")"),"Mann im rosa Trikot springt aus dem Pool.")</f>
        <v>Mann im rosa Trikot springt aus dem Pool.</v>
      </c>
    </row>
    <row r="12340">
      <c r="A12340" s="4" t="s">
        <v>15527</v>
      </c>
      <c r="B12340" s="4" t="s">
        <v>15528</v>
      </c>
      <c r="C12340" s="5" t="str">
        <f>IFERROR(__xludf.DUMMYFUNCTION("GOOGLETRANSLATE(B12340,""en"",""de"")"),"Ein Junge steht auf einem Feld mit einem Schuss in der Hand.")</f>
        <v>Ein Junge steht auf einem Feld mit einem Schuss in der Hand.</v>
      </c>
    </row>
    <row r="12341">
      <c r="A12341" s="4" t="s">
        <v>15527</v>
      </c>
      <c r="B12341" s="4" t="s">
        <v>15529</v>
      </c>
      <c r="C12341" s="5" t="str">
        <f>IFERROR(__xludf.DUMMYFUNCTION("GOOGLETRANSLATE(B12341,""en"",""de"")"),"Der Junge beginnt sich zu drehen.")</f>
        <v>Der Junge beginnt sich zu drehen.</v>
      </c>
    </row>
    <row r="12342">
      <c r="A12342" s="4" t="s">
        <v>15527</v>
      </c>
      <c r="B12342" s="4" t="s">
        <v>15530</v>
      </c>
      <c r="C12342" s="5" t="str">
        <f>IFERROR(__xludf.DUMMYFUNCTION("GOOGLETRANSLATE(B12342,""en"",""de"")"),"Der Junge wirft den Schuss.")</f>
        <v>Der Junge wirft den Schuss.</v>
      </c>
    </row>
    <row r="12343">
      <c r="A12343" s="4" t="s">
        <v>15527</v>
      </c>
      <c r="B12343" s="4" t="s">
        <v>15531</v>
      </c>
      <c r="C12343" s="5" t="str">
        <f>IFERROR(__xludf.DUMMYFUNCTION("GOOGLETRANSLATE(B12343,""en"",""de"")"),"Die Drehungen und wirft einen weiteren Schuss.")</f>
        <v>Die Drehungen und wirft einen weiteren Schuss.</v>
      </c>
    </row>
    <row r="12344">
      <c r="A12344" s="4" t="s">
        <v>15532</v>
      </c>
      <c r="B12344" s="4" t="s">
        <v>15533</v>
      </c>
      <c r="C12344" s="5" t="str">
        <f>IFERROR(__xludf.DUMMYFUNCTION("GOOGLETRANSLATE(B12344,""en"",""de"")"),"Ein Möbel -Renovierungsunternehmen wirbt für ihre Dienste aus, indem sie mehrere Häuser und Tools zeigt, an denen sie gearbeitet haben und an denen sie verwendet wurden und welche Art von Arbeit sie leisten.")</f>
        <v>Ein Möbel -Renovierungsunternehmen wirbt für ihre Dienste aus, indem sie mehrere Häuser und Tools zeigt, an denen sie gearbeitet haben und an denen sie verwendet wurden und welche Art von Arbeit sie leisten.</v>
      </c>
    </row>
    <row r="12345">
      <c r="A12345" s="4" t="s">
        <v>15532</v>
      </c>
      <c r="B12345" s="4" t="s">
        <v>15534</v>
      </c>
      <c r="C12345" s="5" t="str">
        <f>IFERROR(__xludf.DUMMYFUNCTION("GOOGLETRANSLATE(B12345,""en"",""de"")"),"Ein Mann in einer Schürze legt sorgfältig eine farbige Substanz auf einen Teller.")</f>
        <v>Ein Mann in einer Schürze legt sorgfältig eine farbige Substanz auf einen Teller.</v>
      </c>
    </row>
    <row r="12346">
      <c r="A12346" s="4" t="s">
        <v>15532</v>
      </c>
      <c r="B12346" s="4" t="s">
        <v>15535</v>
      </c>
      <c r="C12346" s="5" t="str">
        <f>IFERROR(__xludf.DUMMYFUNCTION("GOOGLETRANSLATE(B12346,""en"",""de"")"),"Der Mann mischt zwei der verschiedenen farbigen Substanzen mit einem Pinsel.")</f>
        <v>Der Mann mischt zwei der verschiedenen farbigen Substanzen mit einem Pinsel.</v>
      </c>
    </row>
    <row r="12347">
      <c r="A12347" s="4" t="s">
        <v>15532</v>
      </c>
      <c r="B12347" s="4" t="s">
        <v>15536</v>
      </c>
      <c r="C12347" s="5" t="str">
        <f>IFERROR(__xludf.DUMMYFUNCTION("GOOGLETRANSLATE(B12347,""en"",""de"")"),"Der Mann berührt den Pinsel sorgfältig mit einem alten Tischfärbeteile des Tisches, der beschädigt wurde.")</f>
        <v>Der Mann berührt den Pinsel sorgfältig mit einem alten Tischfärbeteile des Tisches, der beschädigt wurde.</v>
      </c>
    </row>
    <row r="12348">
      <c r="A12348" s="4" t="s">
        <v>15532</v>
      </c>
      <c r="B12348" s="4" t="s">
        <v>15537</v>
      </c>
      <c r="C12348" s="5" t="str">
        <f>IFERROR(__xludf.DUMMYFUNCTION("GOOGLETRANSLATE(B12348,""en"",""de"")"),"Ein anderer Mann in einer Schürze und der Gesichtsmaske sandet einen alten Tisch.")</f>
        <v>Ein anderer Mann in einer Schürze und der Gesichtsmaske sandet einen alten Tisch.</v>
      </c>
    </row>
    <row r="12349">
      <c r="A12349" s="4" t="s">
        <v>15532</v>
      </c>
      <c r="B12349" s="4" t="s">
        <v>15538</v>
      </c>
      <c r="C12349" s="5" t="str">
        <f>IFERROR(__xludf.DUMMYFUNCTION("GOOGLETRANSLATE(B12349,""en"",""de"")"),"Der Mann legt dann Lack auf einen Lappen und poliert den Tisch.")</f>
        <v>Der Mann legt dann Lack auf einen Lappen und poliert den Tisch.</v>
      </c>
    </row>
    <row r="12350">
      <c r="A12350" s="4" t="s">
        <v>15532</v>
      </c>
      <c r="B12350" s="4" t="s">
        <v>15539</v>
      </c>
      <c r="C12350" s="5" t="str">
        <f>IFERROR(__xludf.DUMMYFUNCTION("GOOGLETRANSLATE(B12350,""en"",""de"")"),"Der Mann poliert einen anderen alten Tisch.")</f>
        <v>Der Mann poliert einen anderen alten Tisch.</v>
      </c>
    </row>
    <row r="12351">
      <c r="A12351" s="4" t="s">
        <v>15532</v>
      </c>
      <c r="B12351" s="4" t="s">
        <v>15540</v>
      </c>
      <c r="C12351" s="5" t="str">
        <f>IFERROR(__xludf.DUMMYFUNCTION("GOOGLETRANSLATE(B12351,""en"",""de"")"),"Informationen zum Erreichen des Restaurierungsunternehmens werden angezeigt.")</f>
        <v>Informationen zum Erreichen des Restaurierungsunternehmens werden angezeigt.</v>
      </c>
    </row>
    <row r="12352">
      <c r="A12352" s="4" t="s">
        <v>15541</v>
      </c>
      <c r="B12352" s="4" t="s">
        <v>15542</v>
      </c>
      <c r="C12352" s="5" t="str">
        <f>IFERROR(__xludf.DUMMYFUNCTION("GOOGLETRANSLATE(B12352,""en"",""de"")"),"Eine Frau steht neben einem Mädchen, das sich niederstürzt und sich die Haare streift.")</f>
        <v>Eine Frau steht neben einem Mädchen, das sich niederstürzt und sich die Haare streift.</v>
      </c>
    </row>
    <row r="12353">
      <c r="A12353" s="4" t="s">
        <v>15541</v>
      </c>
      <c r="B12353" s="4" t="s">
        <v>15543</v>
      </c>
      <c r="C12353" s="5" t="str">
        <f>IFERROR(__xludf.DUMMYFUNCTION("GOOGLETRANSLATE(B12353,""en"",""de"")"),"Ein Junge schaut nebenbei an, wie die Frau weiterhin die Haare streift.")</f>
        <v>Ein Junge schaut nebenbei an, wie die Frau weiterhin die Haare streift.</v>
      </c>
    </row>
    <row r="12354">
      <c r="A12354" s="4" t="s">
        <v>15541</v>
      </c>
      <c r="B12354" s="4" t="s">
        <v>15544</v>
      </c>
      <c r="C12354" s="5" t="str">
        <f>IFERROR(__xludf.DUMMYFUNCTION("GOOGLETRANSLATE(B12354,""en"",""de"")"),"Die Frau spricht mit dem Mädchen, während sie die Bürste über ihre Haare läuft.")</f>
        <v>Die Frau spricht mit dem Mädchen, während sie die Bürste über ihre Haare läuft.</v>
      </c>
    </row>
    <row r="12355">
      <c r="A12355" s="4" t="s">
        <v>15545</v>
      </c>
      <c r="B12355" s="4" t="s">
        <v>15546</v>
      </c>
      <c r="C12355" s="5" t="str">
        <f>IFERROR(__xludf.DUMMYFUNCTION("GOOGLETRANSLATE(B12355,""en"",""de"")"),"Ein Mann in einem schwarzen Anzug und einer Frau, die in einem schwarzen Kleid gekleidet ist, tanzt zusammen zu Latino -Musik.")</f>
        <v>Ein Mann in einem schwarzen Anzug und einer Frau, die in einem schwarzen Kleid gekleidet ist, tanzt zusammen zu Latino -Musik.</v>
      </c>
    </row>
    <row r="12356">
      <c r="A12356" s="4" t="s">
        <v>15545</v>
      </c>
      <c r="B12356" s="4" t="s">
        <v>15547</v>
      </c>
      <c r="C12356" s="5" t="str">
        <f>IFERROR(__xludf.DUMMYFUNCTION("GOOGLETRANSLATE(B12356,""en"",""de"")"),"Sie machen eine Kombination aus Ball Room Dancing und Waltz.")</f>
        <v>Sie machen eine Kombination aus Ball Room Dancing und Waltz.</v>
      </c>
    </row>
    <row r="12357">
      <c r="A12357" s="4" t="s">
        <v>15545</v>
      </c>
      <c r="B12357" s="4" t="s">
        <v>15548</v>
      </c>
      <c r="C12357" s="5" t="str">
        <f>IFERROR(__xludf.DUMMYFUNCTION("GOOGLETRANSLATE(B12357,""en"",""de"")"),"Sie tanzen auf dem Bürgersteig einer Stadt, in der mehrere Zuschauer beobachten und zusehen, wie sie tanzen.")</f>
        <v>Sie tanzen auf dem Bürgersteig einer Stadt, in der mehrere Zuschauer beobachten und zusehen, wie sie tanzen.</v>
      </c>
    </row>
    <row r="12358">
      <c r="A12358" s="4" t="s">
        <v>15545</v>
      </c>
      <c r="B12358" s="4" t="s">
        <v>15549</v>
      </c>
      <c r="C12358" s="5" t="str">
        <f>IFERROR(__xludf.DUMMYFUNCTION("GOOGLETRANSLATE(B12358,""en"",""de"")"),"Sie tanzen weiter Hand in Hand in die Musik.")</f>
        <v>Sie tanzen weiter Hand in Hand in die Musik.</v>
      </c>
    </row>
    <row r="12359">
      <c r="A12359" s="4" t="s">
        <v>15545</v>
      </c>
      <c r="B12359" s="4" t="s">
        <v>15550</v>
      </c>
      <c r="C12359" s="5" t="str">
        <f>IFERROR(__xludf.DUMMYFUNCTION("GOOGLETRANSLATE(B12359,""en"",""de"")"),"Eine Gruppe von Menschen, die rechts stehen, beginnt sie zu begrüßen.")</f>
        <v>Eine Gruppe von Menschen, die rechts stehen, beginnt sie zu begrüßen.</v>
      </c>
    </row>
    <row r="12360">
      <c r="A12360" s="4" t="s">
        <v>15545</v>
      </c>
      <c r="B12360" s="4" t="s">
        <v>15551</v>
      </c>
      <c r="C12360" s="5" t="str">
        <f>IFERROR(__xludf.DUMMYFUNCTION("GOOGLETRANSLATE(B12360,""en"",""de"")"),"Das Paar wirwirt weiterhin und wirbelt, während die Musik spielt und mehr Leute in der Menge applaudieren.")</f>
        <v>Das Paar wirwirt weiterhin und wirbelt, während die Musik spielt und mehr Leute in der Menge applaudieren.</v>
      </c>
    </row>
    <row r="12361">
      <c r="A12361" s="4" t="s">
        <v>15545</v>
      </c>
      <c r="B12361" s="4" t="s">
        <v>15552</v>
      </c>
      <c r="C12361" s="5" t="str">
        <f>IFERROR(__xludf.DUMMYFUNCTION("GOOGLETRANSLATE(B12361,""en"",""de"")"),"Die Dame springt schließlich in die Arme des Mannes, als die Musik zu Ende geht.")</f>
        <v>Die Dame springt schließlich in die Arme des Mannes, als die Musik zu Ende geht.</v>
      </c>
    </row>
    <row r="12362">
      <c r="A12362" s="4" t="s">
        <v>15545</v>
      </c>
      <c r="B12362" s="4" t="s">
        <v>15553</v>
      </c>
      <c r="C12362" s="5" t="str">
        <f>IFERROR(__xludf.DUMMYFUNCTION("GOOGLETRANSLATE(B12362,""en"",""de"")"),"Die Menge jubelt und applaudiert laut im Paar.")</f>
        <v>Die Menge jubelt und applaudiert laut im Paar.</v>
      </c>
    </row>
    <row r="12363">
      <c r="A12363" s="4" t="s">
        <v>15554</v>
      </c>
      <c r="B12363" s="4" t="s">
        <v>15555</v>
      </c>
      <c r="C12363" s="5" t="str">
        <f>IFERROR(__xludf.DUMMYFUNCTION("GOOGLETRANSLATE(B12363,""en"",""de"")"),"Wie man ausgeht, zeigt, wie man einen Three -Bohnen -Salat mit schwarzen Bohnen, Kichererbänken und Nierenbohnen herstellt.")</f>
        <v>Wie man ausgeht, zeigt, wie man einen Three -Bohnen -Salat mit schwarzen Bohnen, Kichererbänken und Nierenbohnen herstellt.</v>
      </c>
    </row>
    <row r="12364">
      <c r="A12364" s="4" t="s">
        <v>15554</v>
      </c>
      <c r="B12364" s="4" t="s">
        <v>15556</v>
      </c>
      <c r="C12364" s="5" t="str">
        <f>IFERROR(__xludf.DUMMYFUNCTION("GOOGLETRANSLATE(B12364,""en"",""de"")"),"Der Moderator zeigt gehackte Knoblauch, gehackte Zwiebeln und gehackte rote Paprika sowie gehackte Petersilie und einen Teelöffel Kreuzung.")</f>
        <v>Der Moderator zeigt gehackte Knoblauch, gehackte Zwiebeln und gehackte rote Paprika sowie gehackte Petersilie und einen Teelöffel Kreuzung.</v>
      </c>
    </row>
    <row r="12365">
      <c r="A12365" s="4" t="s">
        <v>15554</v>
      </c>
      <c r="B12365" s="4" t="s">
        <v>15557</v>
      </c>
      <c r="C12365" s="5" t="str">
        <f>IFERROR(__xludf.DUMMYFUNCTION("GOOGLETRANSLATE(B12365,""en"",""de"")"),"Sie zeigt auch die Dressingzutaten wie Olivenöl, Rotweinessig und Salz.")</f>
        <v>Sie zeigt auch die Dressingzutaten wie Olivenöl, Rotweinessig und Salz.</v>
      </c>
    </row>
    <row r="12366">
      <c r="A12366" s="4" t="s">
        <v>15554</v>
      </c>
      <c r="B12366" s="4" t="s">
        <v>15558</v>
      </c>
      <c r="C12366" s="5" t="str">
        <f>IFERROR(__xludf.DUMMYFUNCTION("GOOGLETRANSLATE(B12366,""en"",""de"")"),"Dann nimmt sie eine große Schüssel und mischt alle Zutaten zusammen.")</f>
        <v>Dann nimmt sie eine große Schüssel und mischt alle Zutaten zusammen.</v>
      </c>
    </row>
    <row r="12367">
      <c r="A12367" s="4" t="s">
        <v>15554</v>
      </c>
      <c r="B12367" s="4" t="s">
        <v>15559</v>
      </c>
      <c r="C12367" s="5" t="str">
        <f>IFERROR(__xludf.DUMMYFUNCTION("GOOGLETRANSLATE(B12367,""en"",""de"")"),"Sie mischt alles mit den drei Arten von Bohnen.")</f>
        <v>Sie mischt alles mit den drei Arten von Bohnen.</v>
      </c>
    </row>
    <row r="12368">
      <c r="A12368" s="4" t="s">
        <v>15554</v>
      </c>
      <c r="B12368" s="4" t="s">
        <v>15560</v>
      </c>
      <c r="C12368" s="5" t="str">
        <f>IFERROR(__xludf.DUMMYFUNCTION("GOOGLETRANSLATE(B12368,""en"",""de"")"),"Sie nimmt einen großen Spatel und mischt alles gut.")</f>
        <v>Sie nimmt einen großen Spatel und mischt alles gut.</v>
      </c>
    </row>
    <row r="12369">
      <c r="A12369" s="4" t="s">
        <v>15554</v>
      </c>
      <c r="B12369" s="4" t="s">
        <v>15561</v>
      </c>
      <c r="C12369" s="5" t="str">
        <f>IFERROR(__xludf.DUMMYFUNCTION("GOOGLETRANSLATE(B12369,""en"",""de"")"),"Dann nimmt sie etwas Olivenöl und Essig und mischt es für das Dressing.")</f>
        <v>Dann nimmt sie etwas Olivenöl und Essig und mischt es für das Dressing.</v>
      </c>
    </row>
    <row r="12370">
      <c r="A12370" s="4" t="s">
        <v>15554</v>
      </c>
      <c r="B12370" s="4" t="s">
        <v>15562</v>
      </c>
      <c r="C12370" s="5" t="str">
        <f>IFERROR(__xludf.DUMMYFUNCTION("GOOGLETRANSLATE(B12370,""en"",""de"")"),"Sie gießt den Salat in einen Teller und Tops ist mit dem Salatdressing.")</f>
        <v>Sie gießt den Salat in einen Teller und Tops ist mit dem Salatdressing.</v>
      </c>
    </row>
    <row r="12371">
      <c r="A12371" s="4" t="s">
        <v>15563</v>
      </c>
      <c r="B12371" s="4" t="s">
        <v>15564</v>
      </c>
      <c r="C12371" s="5" t="str">
        <f>IFERROR(__xludf.DUMMYFUNCTION("GOOGLETRANSLATE(B12371,""en"",""de"")"),"Ein Mann taucht von einem Tauchbrett, der Flips in der Luft und landet in einem Wasserbecken, der Typ taucht und macht viele verschiedene Zeiten unterschiedlich.")</f>
        <v>Ein Mann taucht von einem Tauchbrett, der Flips in der Luft und landet in einem Wasserbecken, der Typ taucht und macht viele verschiedene Zeiten unterschiedlich.</v>
      </c>
    </row>
    <row r="12372">
      <c r="A12372" s="4" t="s">
        <v>15563</v>
      </c>
      <c r="B12372" s="4" t="s">
        <v>15565</v>
      </c>
      <c r="C12372" s="5" t="str">
        <f>IFERROR(__xludf.DUMMYFUNCTION("GOOGLETRANSLATE(B12372,""en"",""de"")"),"Der Mann scheint seine Tauchgänge und Flips des Tauchbretts zu üben.")</f>
        <v>Der Mann scheint seine Tauchgänge und Flips des Tauchbretts zu üben.</v>
      </c>
    </row>
    <row r="12373">
      <c r="A12373" s="4" t="s">
        <v>15563</v>
      </c>
      <c r="B12373" s="4" t="s">
        <v>15566</v>
      </c>
      <c r="C12373" s="5" t="str">
        <f>IFERROR(__xludf.DUMMYFUNCTION("GOOGLETRANSLATE(B12373,""en"",""de"")"),"Der Typ versucht, sein höchstes zu springen, um einen besseren Tauchflip zu bekommen.")</f>
        <v>Der Typ versucht, sein höchstes zu springen, um einen besseren Tauchflip zu bekommen.</v>
      </c>
    </row>
    <row r="12374">
      <c r="A12374" s="4" t="s">
        <v>15567</v>
      </c>
      <c r="B12374" s="4" t="s">
        <v>15568</v>
      </c>
      <c r="C12374" s="5" t="str">
        <f>IFERROR(__xludf.DUMMYFUNCTION("GOOGLETRANSLATE(B12374,""en"",""de"")"),"Ein Mann spricht mit der Kamera, als er einen Ski auf einer Arbeitsbank in einem Skiladen aufstellt.")</f>
        <v>Ein Mann spricht mit der Kamera, als er einen Ski auf einer Arbeitsbank in einem Skiladen aufstellt.</v>
      </c>
    </row>
    <row r="12375">
      <c r="A12375" s="4" t="s">
        <v>15567</v>
      </c>
      <c r="B12375" s="4" t="s">
        <v>15569</v>
      </c>
      <c r="C12375" s="5" t="str">
        <f>IFERROR(__xludf.DUMMYFUNCTION("GOOGLETRANSLATE(B12375,""en"",""de"")"),"Nachdem er den Ski gestrichen und auf der Bank gesichert hat, verwendet er eine Plastikkarte und geht dreimal über den Boden des Ski.")</f>
        <v>Nachdem er den Ski gestrichen und auf der Bank gesichert hat, verwendet er eine Plastikkarte und geht dreimal über den Boden des Ski.</v>
      </c>
    </row>
    <row r="12376">
      <c r="A12376" s="4" t="s">
        <v>15567</v>
      </c>
      <c r="B12376" s="4" t="s">
        <v>15570</v>
      </c>
      <c r="C12376" s="5" t="str">
        <f>IFERROR(__xludf.DUMMYFUNCTION("GOOGLETRANSLATE(B12376,""en"",""de"")"),"Danach benutzt er einen geknallten Pinsel und schrubbt den Boden des Ski.")</f>
        <v>Danach benutzt er einen geknallten Pinsel und schrubbt den Boden des Ski.</v>
      </c>
    </row>
    <row r="12377">
      <c r="A12377" s="4" t="s">
        <v>15567</v>
      </c>
      <c r="B12377" s="4" t="s">
        <v>15571</v>
      </c>
      <c r="C12377" s="5" t="str">
        <f>IFERROR(__xludf.DUMMYFUNCTION("GOOGLETRANSLATE(B12377,""en"",""de"")"),"Schließlich benutzt er einen weichen Pinsel und leitet ihn noch einmal über den Ski.")</f>
        <v>Schließlich benutzt er einen weichen Pinsel und leitet ihn noch einmal über den Ski.</v>
      </c>
    </row>
    <row r="12378">
      <c r="A12378" s="4" t="s">
        <v>15572</v>
      </c>
      <c r="B12378" s="4" t="s">
        <v>15573</v>
      </c>
      <c r="C12378" s="5" t="str">
        <f>IFERROR(__xludf.DUMMYFUNCTION("GOOGLETRANSLATE(B12378,""en"",""de"")"),"Das Video beginnt mit einem Titel -Screenshot.")</f>
        <v>Das Video beginnt mit einem Titel -Screenshot.</v>
      </c>
    </row>
    <row r="12379">
      <c r="A12379" s="4" t="s">
        <v>15572</v>
      </c>
      <c r="B12379" s="4" t="s">
        <v>15574</v>
      </c>
      <c r="C12379" s="5" t="str">
        <f>IFERROR(__xludf.DUMMYFUNCTION("GOOGLETRANSLATE(B12379,""en"",""de"")"),"Ein Mann in einem weißen Hemd zeigt ein Gips in einem Raum.")</f>
        <v>Ein Mann in einem weißen Hemd zeigt ein Gips in einem Raum.</v>
      </c>
    </row>
    <row r="12380">
      <c r="A12380" s="4" t="s">
        <v>15572</v>
      </c>
      <c r="B12380" s="4" t="s">
        <v>15575</v>
      </c>
      <c r="C12380" s="5" t="str">
        <f>IFERROR(__xludf.DUMMYFUNCTION("GOOGLETRANSLATE(B12380,""en"",""de"")"),"Während er den Gips anwendet, beschreibt eine Stimme die vom Unternehmen verwendeten Techniken.")</f>
        <v>Während er den Gips anwendet, beschreibt eine Stimme die vom Unternehmen verwendeten Techniken.</v>
      </c>
    </row>
    <row r="12381">
      <c r="A12381" s="4" t="s">
        <v>15572</v>
      </c>
      <c r="B12381" s="4" t="s">
        <v>15576</v>
      </c>
      <c r="C12381" s="5" t="str">
        <f>IFERROR(__xludf.DUMMYFUNCTION("GOOGLETRANSLATE(B12381,""en"",""de"")"),"Das Video endet, wenn der Mann das Ende des Raumes erreicht.")</f>
        <v>Das Video endet, wenn der Mann das Ende des Raumes erreicht.</v>
      </c>
    </row>
    <row r="12382">
      <c r="A12382" s="4" t="s">
        <v>15577</v>
      </c>
      <c r="B12382" s="4" t="s">
        <v>15578</v>
      </c>
      <c r="C12382" s="5" t="str">
        <f>IFERROR(__xludf.DUMMYFUNCTION("GOOGLETRANSLATE(B12382,""en"",""de"")"),"Eine Frau steht hinter einer Theke in einer Küche.")</f>
        <v>Eine Frau steht hinter einer Theke in einer Küche.</v>
      </c>
    </row>
    <row r="12383">
      <c r="A12383" s="4" t="s">
        <v>15577</v>
      </c>
      <c r="B12383" s="4" t="s">
        <v>15579</v>
      </c>
      <c r="C12383" s="5" t="str">
        <f>IFERROR(__xludf.DUMMYFUNCTION("GOOGLETRANSLATE(B12383,""en"",""de"")"),"Sie nimmt den Deckel aus einem Topf Salat.")</f>
        <v>Sie nimmt den Deckel aus einem Topf Salat.</v>
      </c>
    </row>
    <row r="12384">
      <c r="A12384" s="4" t="s">
        <v>15577</v>
      </c>
      <c r="B12384" s="4" t="s">
        <v>15580</v>
      </c>
      <c r="C12384" s="5" t="str">
        <f>IFERROR(__xludf.DUMMYFUNCTION("GOOGLETRANSLATE(B12384,""en"",""de"")"),"Sie bewegt den Salat in eine neue Schüssel.")</f>
        <v>Sie bewegt den Salat in eine neue Schüssel.</v>
      </c>
    </row>
    <row r="12385">
      <c r="A12385" s="4" t="s">
        <v>15577</v>
      </c>
      <c r="B12385" s="4" t="s">
        <v>15581</v>
      </c>
      <c r="C12385" s="5" t="str">
        <f>IFERROR(__xludf.DUMMYFUNCTION("GOOGLETRANSLATE(B12385,""en"",""de"")"),"Sie nimmt das Handtuch und legt es über den Salat.")</f>
        <v>Sie nimmt das Handtuch und legt es über den Salat.</v>
      </c>
    </row>
    <row r="12386">
      <c r="A12386" s="4" t="s">
        <v>15577</v>
      </c>
      <c r="B12386" s="4" t="s">
        <v>15582</v>
      </c>
      <c r="C12386" s="5" t="str">
        <f>IFERROR(__xludf.DUMMYFUNCTION("GOOGLETRANSLATE(B12386,""en"",""de"")"),"Sie nimmt den Salat und steckt ihn in eine Holzschale.")</f>
        <v>Sie nimmt den Salat und steckt ihn in eine Holzschale.</v>
      </c>
    </row>
    <row r="12387">
      <c r="A12387" s="4" t="s">
        <v>15577</v>
      </c>
      <c r="B12387" s="4" t="s">
        <v>15583</v>
      </c>
      <c r="C12387" s="5" t="str">
        <f>IFERROR(__xludf.DUMMYFUNCTION("GOOGLETRANSLATE(B12387,""en"",""de"")"),"Sie wirft den Salat mit zwei Löffeln.")</f>
        <v>Sie wirft den Salat mit zwei Löffeln.</v>
      </c>
    </row>
    <row r="12388">
      <c r="A12388" s="4" t="s">
        <v>15584</v>
      </c>
      <c r="B12388" s="4" t="s">
        <v>15585</v>
      </c>
      <c r="C12388" s="5" t="str">
        <f>IFERROR(__xludf.DUMMYFUNCTION("GOOGLETRANSLATE(B12388,""en"",""de"")"),"Eine Reihe von Kindern befindet sich in Stoßfängerautos und fängt an zu fahren und zu schlagen.")</f>
        <v>Eine Reihe von Kindern befindet sich in Stoßfängerautos und fängt an zu fahren und zu schlagen.</v>
      </c>
    </row>
    <row r="12389">
      <c r="A12389" s="4" t="s">
        <v>15584</v>
      </c>
      <c r="B12389" s="4" t="s">
        <v>15586</v>
      </c>
      <c r="C12389" s="5" t="str">
        <f>IFERROR(__xludf.DUMMYFUNCTION("GOOGLETRANSLATE(B12389,""en"",""de"")"),"Eines der jungen Kinder trifft in die Wand und die Männer, die die Fahrt betreiben, helfen dem Kind.")</f>
        <v>Eines der jungen Kinder trifft in die Wand und die Männer, die die Fahrt betreiben, helfen dem Kind.</v>
      </c>
    </row>
    <row r="12390">
      <c r="A12390" s="4" t="s">
        <v>15587</v>
      </c>
      <c r="B12390" s="4" t="s">
        <v>15588</v>
      </c>
      <c r="C12390" s="5" t="str">
        <f>IFERROR(__xludf.DUMMYFUNCTION("GOOGLETRANSLATE(B12390,""en"",""de"")"),"Die Wörter, wie man Mascara anwendet.")</f>
        <v>Die Wörter, wie man Mascara anwendet.</v>
      </c>
    </row>
    <row r="12391">
      <c r="A12391" s="4" t="s">
        <v>15587</v>
      </c>
      <c r="B12391" s="4" t="s">
        <v>15589</v>
      </c>
      <c r="C12391" s="5" t="str">
        <f>IFERROR(__xludf.DUMMYFUNCTION("GOOGLETRANSLATE(B12391,""en"",""de"")"),"Eine Frau mit langen schwarzen Haaren spricht mit der Kamera.")</f>
        <v>Eine Frau mit langen schwarzen Haaren spricht mit der Kamera.</v>
      </c>
    </row>
    <row r="12392">
      <c r="A12392" s="4" t="s">
        <v>15587</v>
      </c>
      <c r="B12392" s="4" t="s">
        <v>15590</v>
      </c>
      <c r="C12392" s="5" t="str">
        <f>IFERROR(__xludf.DUMMYFUNCTION("GOOGLETRANSLATE(B12392,""en"",""de"")"),"Sie hält einen Zauberstab Mascara auf.")</f>
        <v>Sie hält einen Zauberstab Mascara auf.</v>
      </c>
    </row>
    <row r="12393">
      <c r="A12393" s="4" t="s">
        <v>15587</v>
      </c>
      <c r="B12393" s="4" t="s">
        <v>15591</v>
      </c>
      <c r="C12393" s="5" t="str">
        <f>IFERROR(__xludf.DUMMYFUNCTION("GOOGLETRANSLATE(B12393,""en"",""de"")"),"Sie zeigt dann, wie man es aufweist, ein Auge nach dem anderen.")</f>
        <v>Sie zeigt dann, wie man es aufweist, ein Auge nach dem anderen.</v>
      </c>
    </row>
    <row r="12394">
      <c r="A12394" s="4" t="s">
        <v>15592</v>
      </c>
      <c r="B12394" s="4" t="s">
        <v>15593</v>
      </c>
      <c r="C12394" s="5" t="str">
        <f>IFERROR(__xludf.DUMMYFUNCTION("GOOGLETRANSLATE(B12394,""en"",""de"")"),"Es werden mehrere Schüsse von Tellern gezeigt, die zu einem Mann führen, der Essen zubereitet.")</f>
        <v>Es werden mehrere Schüsse von Tellern gezeigt, die zu einem Mann führen, der Essen zubereitet.</v>
      </c>
    </row>
    <row r="12395">
      <c r="A12395" s="4" t="s">
        <v>15592</v>
      </c>
      <c r="B12395" s="4" t="s">
        <v>15594</v>
      </c>
      <c r="C12395" s="5" t="str">
        <f>IFERROR(__xludf.DUMMYFUNCTION("GOOGLETRANSLATE(B12395,""en"",""de"")"),"Der Mann steckt dann mehr Nahrung in einen Teller und dreht sich um Zutaten.")</f>
        <v>Der Mann steckt dann mehr Nahrung in einen Teller und dreht sich um Zutaten.</v>
      </c>
    </row>
    <row r="12396">
      <c r="A12396" s="4" t="s">
        <v>15592</v>
      </c>
      <c r="B12396" s="4" t="s">
        <v>15595</v>
      </c>
      <c r="C12396" s="5" t="str">
        <f>IFERROR(__xludf.DUMMYFUNCTION("GOOGLETRANSLATE(B12396,""en"",""de"")"),"Er legt weiterhin Essen auf einen Teller und endet, indem er es der Kamera präsentiert.")</f>
        <v>Er legt weiterhin Essen auf einen Teller und endet, indem er es der Kamera präsentiert.</v>
      </c>
    </row>
    <row r="12397">
      <c r="A12397" s="4" t="s">
        <v>15596</v>
      </c>
      <c r="B12397" s="4" t="s">
        <v>15597</v>
      </c>
      <c r="C12397" s="5" t="str">
        <f>IFERROR(__xludf.DUMMYFUNCTION("GOOGLETRANSLATE(B12397,""en"",""de"")"),"Zwei Personen sind gesehen, wie sie einen Ping -Pong -Tisch zurück und den vierten Platz in der Mitte eines Outdoor -Parks treffen.")</f>
        <v>Zwei Personen sind gesehen, wie sie einen Ping -Pong -Tisch zurück und den vierten Platz in der Mitte eines Outdoor -Parks treffen.</v>
      </c>
    </row>
    <row r="12398">
      <c r="A12398" s="4" t="s">
        <v>15596</v>
      </c>
      <c r="B12398" s="4" t="s">
        <v>15598</v>
      </c>
      <c r="C12398" s="5" t="str">
        <f>IFERROR(__xludf.DUMMYFUNCTION("GOOGLETRANSLATE(B12398,""en"",""de"")"),"Sie fallen den Ball fallen und holen ihn auf und spielen dann wieder.")</f>
        <v>Sie fallen den Ball fallen und holen ihn auf und spielen dann wieder.</v>
      </c>
    </row>
    <row r="12399">
      <c r="A12399" s="4" t="s">
        <v>15599</v>
      </c>
      <c r="B12399" s="4" t="s">
        <v>15600</v>
      </c>
      <c r="C12399" s="5" t="str">
        <f>IFERROR(__xludf.DUMMYFUNCTION("GOOGLETRANSLATE(B12399,""en"",""de"")"),"Der Schuh einer Person sitzt in einer Spüle und die Person schrubbt die Außenseite des Schuhs mit Wasser.")</f>
        <v>Der Schuh einer Person sitzt in einer Spüle und die Person schrubbt die Außenseite des Schuhs mit Wasser.</v>
      </c>
    </row>
    <row r="12400">
      <c r="A12400" s="4" t="s">
        <v>15599</v>
      </c>
      <c r="B12400" s="4" t="s">
        <v>15601</v>
      </c>
      <c r="C12400" s="5" t="str">
        <f>IFERROR(__xludf.DUMMYFUNCTION("GOOGLETRANSLATE(B12400,""en"",""de"")"),"Die Person schaltet das Wasser aus und lässt den Schmutz vom Schuh über das Waschbecken rennen.")</f>
        <v>Die Person schaltet das Wasser aus und lässt den Schmutz vom Schuh über das Waschbecken rennen.</v>
      </c>
    </row>
    <row r="12401">
      <c r="A12401" s="4" t="s">
        <v>15602</v>
      </c>
      <c r="B12401" s="4" t="s">
        <v>15603</v>
      </c>
      <c r="C12401" s="5" t="str">
        <f>IFERROR(__xludf.DUMMYFUNCTION("GOOGLETRANSLATE(B12401,""en"",""de"")"),"Ein Mann fährt Wasser Ski auf einem Fluss.")</f>
        <v>Ein Mann fährt Wasser Ski auf einem Fluss.</v>
      </c>
    </row>
    <row r="12402">
      <c r="A12402" s="4" t="s">
        <v>15602</v>
      </c>
      <c r="B12402" s="4" t="s">
        <v>15604</v>
      </c>
      <c r="C12402" s="5" t="str">
        <f>IFERROR(__xludf.DUMMYFUNCTION("GOOGLETRANSLATE(B12402,""en"",""de"")"),"Er beugt sich nach hinten und hält sich immer noch fest.")</f>
        <v>Er beugt sich nach hinten und hält sich immer noch fest.</v>
      </c>
    </row>
    <row r="12403">
      <c r="A12403" s="4" t="s">
        <v>15602</v>
      </c>
      <c r="B12403" s="4" t="s">
        <v>15605</v>
      </c>
      <c r="C12403" s="5" t="str">
        <f>IFERROR(__xludf.DUMMYFUNCTION("GOOGLETRANSLATE(B12403,""en"",""de"")"),"Er dreht sich auch um und hebt einen Fuß in die Luft.")</f>
        <v>Er dreht sich auch um und hebt einen Fuß in die Luft.</v>
      </c>
    </row>
    <row r="12404">
      <c r="A12404" s="4" t="s">
        <v>15606</v>
      </c>
      <c r="B12404" s="4" t="s">
        <v>15607</v>
      </c>
      <c r="C12404" s="5" t="str">
        <f>IFERROR(__xludf.DUMMYFUNCTION("GOOGLETRANSLATE(B12404,""en"",""de"")"),"Eine große Blaskapelle steht mitten in einem Rasen.")</f>
        <v>Eine große Blaskapelle steht mitten in einem Rasen.</v>
      </c>
    </row>
    <row r="12405">
      <c r="A12405" s="4" t="s">
        <v>15606</v>
      </c>
      <c r="B12405" s="4" t="s">
        <v>15608</v>
      </c>
      <c r="C12405" s="5" t="str">
        <f>IFERROR(__xludf.DUMMYFUNCTION("GOOGLETRANSLATE(B12405,""en"",""de"")"),"Die Mitte der Gruppe beginnt zu spielen, gefolgt von dem Rest um sie herum.")</f>
        <v>Die Mitte der Gruppe beginnt zu spielen, gefolgt von dem Rest um sie herum.</v>
      </c>
    </row>
    <row r="12406">
      <c r="A12406" s="4" t="s">
        <v>15606</v>
      </c>
      <c r="B12406" s="4" t="s">
        <v>15609</v>
      </c>
      <c r="C12406" s="5" t="str">
        <f>IFERROR(__xludf.DUMMYFUNCTION("GOOGLETRANSLATE(B12406,""en"",""de"")"),"Die Gruppe spielt abwechselnd zurück und vierten und endet, indem sie still stand.")</f>
        <v>Die Gruppe spielt abwechselnd zurück und vierten und endet, indem sie still stand.</v>
      </c>
    </row>
    <row r="12407">
      <c r="A12407" s="4" t="s">
        <v>15610</v>
      </c>
      <c r="B12407" s="4" t="s">
        <v>15611</v>
      </c>
      <c r="C12407" s="5" t="str">
        <f>IFERROR(__xludf.DUMMYFUNCTION("GOOGLETRANSLATE(B12407,""en"",""de"")"),"Der Mensch spielt Krieg eines Schleppers in einem offenen Feld in der Schriftart eines Sees.")</f>
        <v>Der Mensch spielt Krieg eines Schleppers in einem offenen Feld in der Schriftart eines Sees.</v>
      </c>
    </row>
    <row r="12408">
      <c r="A12408" s="4" t="s">
        <v>15610</v>
      </c>
      <c r="B12408" s="4" t="s">
        <v>15612</v>
      </c>
      <c r="C12408" s="5" t="str">
        <f>IFERROR(__xludf.DUMMYFUNCTION("GOOGLETRANSLATE(B12408,""en"",""de"")"),"Männer stehen im Bürgersteig und beobachten, wie die Männer spielen und Fotos machen.")</f>
        <v>Männer stehen im Bürgersteig und beobachten, wie die Männer spielen und Fotos machen.</v>
      </c>
    </row>
    <row r="12409">
      <c r="A12409" s="4" t="s">
        <v>15610</v>
      </c>
      <c r="B12409" s="4" t="s">
        <v>15613</v>
      </c>
      <c r="C12409" s="5" t="str">
        <f>IFERROR(__xludf.DUMMYFUNCTION("GOOGLETRANSLATE(B12409,""en"",""de"")"),"Männer vereinen sich und posieren ein Bild und viele Camcorder machen Fotos.")</f>
        <v>Männer vereinen sich und posieren ein Bild und viele Camcorder machen Fotos.</v>
      </c>
    </row>
    <row r="12410">
      <c r="A12410" s="4" t="s">
        <v>15614</v>
      </c>
      <c r="B12410" s="4" t="s">
        <v>15615</v>
      </c>
      <c r="C12410" s="5" t="str">
        <f>IFERROR(__xludf.DUMMYFUNCTION("GOOGLETRANSLATE(B12410,""en"",""de"")"),"Ein Mann zieht ein Paar Schuhe an.")</f>
        <v>Ein Mann zieht ein Paar Schuhe an.</v>
      </c>
    </row>
    <row r="12411">
      <c r="A12411" s="4" t="s">
        <v>15614</v>
      </c>
      <c r="B12411" s="4" t="s">
        <v>15616</v>
      </c>
      <c r="C12411" s="5" t="str">
        <f>IFERROR(__xludf.DUMMYFUNCTION("GOOGLETRANSLATE(B12411,""en"",""de"")"),"Er greift nach seinem Himmel und steigt einen Aufzug.")</f>
        <v>Er greift nach seinem Himmel und steigt einen Aufzug.</v>
      </c>
    </row>
    <row r="12412">
      <c r="A12412" s="4" t="s">
        <v>15614</v>
      </c>
      <c r="B12412" s="4" t="s">
        <v>15617</v>
      </c>
      <c r="C12412" s="5" t="str">
        <f>IFERROR(__xludf.DUMMYFUNCTION("GOOGLETRANSLATE(B12412,""en"",""de"")"),"Dann wird ihm verschiedene Hügel und Berge hinunterfährt.")</f>
        <v>Dann wird ihm verschiedene Hügel und Berge hinunterfährt.</v>
      </c>
    </row>
    <row r="12413">
      <c r="A12413" s="4" t="s">
        <v>15618</v>
      </c>
      <c r="B12413" s="4" t="s">
        <v>15619</v>
      </c>
      <c r="C12413" s="5" t="str">
        <f>IFERROR(__xludf.DUMMYFUNCTION("GOOGLETRANSLATE(B12413,""en"",""de"")"),"Ein Mann, der darüber spricht, wie man in einer bestimmten Position trainiert.")</f>
        <v>Ein Mann, der darüber spricht, wie man in einer bestimmten Position trainiert.</v>
      </c>
    </row>
    <row r="12414">
      <c r="A12414" s="4" t="s">
        <v>15618</v>
      </c>
      <c r="B12414" s="4" t="s">
        <v>15620</v>
      </c>
      <c r="C12414" s="5" t="str">
        <f>IFERROR(__xludf.DUMMYFUNCTION("GOOGLETRANSLATE(B12414,""en"",""de"")"),"Er erklärt es und zeigt ausführlich, wie es getan werden sollte.")</f>
        <v>Er erklärt es und zeigt ausführlich, wie es getan werden sollte.</v>
      </c>
    </row>
    <row r="12415">
      <c r="A12415" s="4" t="s">
        <v>15618</v>
      </c>
      <c r="B12415" s="4" t="s">
        <v>15621</v>
      </c>
      <c r="C12415" s="5" t="str">
        <f>IFERROR(__xludf.DUMMYFUNCTION("GOOGLETRANSLATE(B12415,""en"",""de"")"),"Dann packt er die Bar und demonstriert auch so.")</f>
        <v>Dann packt er die Bar und demonstriert auch so.</v>
      </c>
    </row>
    <row r="12416">
      <c r="A12416" s="4" t="s">
        <v>15618</v>
      </c>
      <c r="B12416" s="4" t="s">
        <v>15622</v>
      </c>
      <c r="C12416" s="5" t="str">
        <f>IFERROR(__xludf.DUMMYFUNCTION("GOOGLETRANSLATE(B12416,""en"",""de"")"),"Er beginnt es ein paar Mal in Wiederholung, bevor er fertig ist.")</f>
        <v>Er beginnt es ein paar Mal in Wiederholung, bevor er fertig ist.</v>
      </c>
    </row>
    <row r="12417">
      <c r="A12417" s="4" t="s">
        <v>15623</v>
      </c>
      <c r="B12417" s="4" t="s">
        <v>15624</v>
      </c>
      <c r="C12417" s="5" t="str">
        <f>IFERROR(__xludf.DUMMYFUNCTION("GOOGLETRANSLATE(B12417,""en"",""de"")"),"Ein Mann ist im Müll und er bringt einen Koffer heraus und nimmt ein Fahrrad raus.")</f>
        <v>Ein Mann ist im Müll und er bringt einen Koffer heraus und nimmt ein Fahrrad raus.</v>
      </c>
    </row>
    <row r="12418">
      <c r="A12418" s="4" t="s">
        <v>15623</v>
      </c>
      <c r="B12418" s="4" t="s">
        <v>15625</v>
      </c>
      <c r="C12418" s="5" t="str">
        <f>IFERROR(__xludf.DUMMYFUNCTION("GOOGLETRANSLATE(B12418,""en"",""de"")"),"Er beginnt das Fahrrad zu entwirren und alles zusammenzustellen.")</f>
        <v>Er beginnt das Fahrrad zu entwirren und alles zusammenzustellen.</v>
      </c>
    </row>
    <row r="12419">
      <c r="A12419" s="4" t="s">
        <v>15623</v>
      </c>
      <c r="B12419" s="4" t="s">
        <v>15626</v>
      </c>
      <c r="C12419" s="5" t="str">
        <f>IFERROR(__xludf.DUMMYFUNCTION("GOOGLETRANSLATE(B12419,""en"",""de"")"),"Er schraubt einige Stücke ein und legt die Handstangen mit einem Taschenmesser an.")</f>
        <v>Er schraubt einige Stücke ein und legt die Handstangen mit einem Taschenmesser an.</v>
      </c>
    </row>
    <row r="12420">
      <c r="A12420" s="4" t="s">
        <v>15623</v>
      </c>
      <c r="B12420" s="4" t="s">
        <v>15627</v>
      </c>
      <c r="C12420" s="5" t="str">
        <f>IFERROR(__xludf.DUMMYFUNCTION("GOOGLETRANSLATE(B12420,""en"",""de"")"),"Er blüht die Reifen mit Luft auf und beendet den Rest zusammen und reitet dann ab.")</f>
        <v>Er blüht die Reifen mit Luft auf und beendet den Rest zusammen und reitet dann ab.</v>
      </c>
    </row>
    <row r="12421">
      <c r="A12421" s="4" t="s">
        <v>15628</v>
      </c>
      <c r="B12421" s="4" t="s">
        <v>15629</v>
      </c>
      <c r="C12421" s="5" t="str">
        <f>IFERROR(__xludf.DUMMYFUNCTION("GOOGLETRANSLATE(B12421,""en"",""de"")"),"Drei Mädchen, die passende Kleidung passen, sind bei einem Wettbewerb ein Sprungseil.")</f>
        <v>Drei Mädchen, die passende Kleidung passen, sind bei einem Wettbewerb ein Sprungseil.</v>
      </c>
    </row>
    <row r="12422">
      <c r="A12422" s="4" t="s">
        <v>15628</v>
      </c>
      <c r="B12422" s="4" t="s">
        <v>15630</v>
      </c>
      <c r="C12422" s="5" t="str">
        <f>IFERROR(__xludf.DUMMYFUNCTION("GOOGLETRANSLATE(B12422,""en"",""de"")"),"Sie beginnen, die Plätze zwischen Springer zu wechseln und Tricks beim Springen zu machen.")</f>
        <v>Sie beginnen, die Plätze zwischen Springer zu wechseln und Tricks beim Springen zu machen.</v>
      </c>
    </row>
    <row r="12423">
      <c r="A12423" s="4" t="s">
        <v>15628</v>
      </c>
      <c r="B12423" s="4" t="s">
        <v>15631</v>
      </c>
      <c r="C12423" s="5" t="str">
        <f>IFERROR(__xludf.DUMMYFUNCTION("GOOGLETRANSLATE(B12423,""en"",""de"")"),"Sie bewegen sich auf und ab, während sie nie anhalten.")</f>
        <v>Sie bewegen sich auf und ab, während sie nie anhalten.</v>
      </c>
    </row>
    <row r="12424">
      <c r="A12424" s="4" t="s">
        <v>15628</v>
      </c>
      <c r="B12424" s="4" t="s">
        <v>15632</v>
      </c>
      <c r="C12424" s="5" t="str">
        <f>IFERROR(__xludf.DUMMYFUNCTION("GOOGLETRANSLATE(B12424,""en"",""de"")"),"Dann lassen sie ihr Seil und Beugen.")</f>
        <v>Dann lassen sie ihr Seil und Beugen.</v>
      </c>
    </row>
    <row r="12425">
      <c r="A12425" s="4" t="s">
        <v>15633</v>
      </c>
      <c r="B12425" s="4" t="s">
        <v>15634</v>
      </c>
      <c r="C12425" s="5" t="str">
        <f>IFERROR(__xludf.DUMMYFUNCTION("GOOGLETRANSLATE(B12425,""en"",""de"")"),"Eine Gruppe von Männern befindet sich in einem Ring um eine Matte.")</f>
        <v>Eine Gruppe von Männern befindet sich in einem Ring um eine Matte.</v>
      </c>
    </row>
    <row r="12426">
      <c r="A12426" s="4" t="s">
        <v>15633</v>
      </c>
      <c r="B12426" s="4" t="s">
        <v>15635</v>
      </c>
      <c r="C12426" s="5" t="str">
        <f>IFERROR(__xludf.DUMMYFUNCTION("GOOGLETRANSLATE(B12426,""en"",""de"")"),"Zwei hockern voreinander, bevor er auf die Matte sprang und kämpft und tritt.")</f>
        <v>Zwei hockern voreinander, bevor er auf die Matte sprang und kämpft und tritt.</v>
      </c>
    </row>
    <row r="12427">
      <c r="A12427" s="4" t="s">
        <v>15633</v>
      </c>
      <c r="B12427" s="4" t="s">
        <v>15636</v>
      </c>
      <c r="C12427" s="5" t="str">
        <f>IFERROR(__xludf.DUMMYFUNCTION("GOOGLETRANSLATE(B12427,""en"",""de"")"),"Sie führen eine Art Kampfkunst aus und kämpfen gegen ihre Oponente als Kameras.")</f>
        <v>Sie führen eine Art Kampfkunst aus und kämpfen gegen ihre Oponente als Kameras.</v>
      </c>
    </row>
    <row r="12428">
      <c r="A12428" s="4" t="s">
        <v>15637</v>
      </c>
      <c r="B12428" s="4" t="s">
        <v>15638</v>
      </c>
      <c r="C12428" s="5" t="str">
        <f>IFERROR(__xludf.DUMMYFUNCTION("GOOGLETRANSLATE(B12428,""en"",""de"")"),"Ein Hund läuft um ein Haus von Zimmer zu Zimmer herum.")</f>
        <v>Ein Hund läuft um ein Haus von Zimmer zu Zimmer herum.</v>
      </c>
    </row>
    <row r="12429">
      <c r="A12429" s="4" t="s">
        <v>15637</v>
      </c>
      <c r="B12429" s="4" t="s">
        <v>15639</v>
      </c>
      <c r="C12429" s="5" t="str">
        <f>IFERROR(__xludf.DUMMYFUNCTION("GOOGLETRANSLATE(B12429,""en"",""de"")"),"Zwei Männer nehmen den Hund ins Badezimmer und bringen ihn in die Badewanne.")</f>
        <v>Zwei Männer nehmen den Hund ins Badezimmer und bringen ihn in die Badewanne.</v>
      </c>
    </row>
    <row r="12430">
      <c r="A12430" s="4" t="s">
        <v>15637</v>
      </c>
      <c r="B12430" s="4" t="s">
        <v>15640</v>
      </c>
      <c r="C12430" s="5" t="str">
        <f>IFERROR(__xludf.DUMMYFUNCTION("GOOGLETRANSLATE(B12430,""en"",""de"")"),"Einer der Männer wäscht den Hund.")</f>
        <v>Einer der Männer wäscht den Hund.</v>
      </c>
    </row>
    <row r="12431">
      <c r="A12431" s="4" t="s">
        <v>15637</v>
      </c>
      <c r="B12431" s="4" t="s">
        <v>15641</v>
      </c>
      <c r="C12431" s="5" t="str">
        <f>IFERROR(__xludf.DUMMYFUNCTION("GOOGLETRANSLATE(B12431,""en"",""de"")"),"Der andere Mann zeichnet auf, was passiert.")</f>
        <v>Der andere Mann zeichnet auf, was passiert.</v>
      </c>
    </row>
    <row r="12432">
      <c r="A12432" s="4" t="s">
        <v>15637</v>
      </c>
      <c r="B12432" s="4" t="s">
        <v>15642</v>
      </c>
      <c r="C12432" s="5" t="str">
        <f>IFERROR(__xludf.DUMMYFUNCTION("GOOGLETRANSLATE(B12432,""en"",""de"")"),"Der Hund hüpft aus der Wanne und einer der Männer trocknet ihn ab.")</f>
        <v>Der Hund hüpft aus der Wanne und einer der Männer trocknet ihn ab.</v>
      </c>
    </row>
    <row r="12433">
      <c r="A12433" s="4" t="s">
        <v>15637</v>
      </c>
      <c r="B12433" s="4" t="s">
        <v>15643</v>
      </c>
      <c r="C12433" s="5" t="str">
        <f>IFERROR(__xludf.DUMMYFUNCTION("GOOGLETRANSLATE(B12433,""en"",""de"")"),"Ein Mann hält den Hundemund offen, während der andere Mann die Hundezähne putzt.")</f>
        <v>Ein Mann hält den Hundemund offen, während der andere Mann die Hundezähne putzt.</v>
      </c>
    </row>
    <row r="12434">
      <c r="A12434" s="4" t="s">
        <v>15644</v>
      </c>
      <c r="B12434" s="4" t="s">
        <v>15645</v>
      </c>
      <c r="C12434" s="5" t="str">
        <f>IFERROR(__xludf.DUMMYFUNCTION("GOOGLETRANSLATE(B12434,""en"",""de"")"),"Eine Kamera schwenkt rund um einen Paintballkurs und zeigt eine Nahaufnahme einer Person, die spricht.")</f>
        <v>Eine Kamera schwenkt rund um einen Paintballkurs und zeigt eine Nahaufnahme einer Person, die spricht.</v>
      </c>
    </row>
    <row r="12435">
      <c r="A12435" s="4" t="s">
        <v>15644</v>
      </c>
      <c r="B12435" s="4" t="s">
        <v>15646</v>
      </c>
      <c r="C12435" s="5" t="str">
        <f>IFERROR(__xludf.DUMMYFUNCTION("GOOGLETRANSLATE(B12435,""en"",""de"")"),"Es gibt mehrere Clips, in denen Menschen auf dem Platz herumlaufen und Paintball aufeinander schießen.")</f>
        <v>Es gibt mehrere Clips, in denen Menschen auf dem Platz herumlaufen und Paintball aufeinander schießen.</v>
      </c>
    </row>
    <row r="12436">
      <c r="A12436" s="4" t="s">
        <v>15644</v>
      </c>
      <c r="B12436" s="4" t="s">
        <v>15647</v>
      </c>
      <c r="C12436" s="5" t="str">
        <f>IFERROR(__xludf.DUMMYFUNCTION("GOOGLETRANSLATE(B12436,""en"",""de"")"),"Weitere Nahaufnahmen werden von einer Waffe sowie von einem Mann gezeigt, der mit der Kamera spricht und andere, die sich miteinander zusammensetzen.")</f>
        <v>Weitere Nahaufnahmen werden von einer Waffe sowie von einem Mann gezeigt, der mit der Kamera spricht und andere, die sich miteinander zusammensetzen.</v>
      </c>
    </row>
    <row r="12437">
      <c r="A12437" s="4" t="s">
        <v>15648</v>
      </c>
      <c r="B12437" s="4" t="s">
        <v>15649</v>
      </c>
      <c r="C12437" s="5" t="str">
        <f>IFERROR(__xludf.DUMMYFUNCTION("GOOGLETRANSLATE(B12437,""en"",""de"")"),"Ein kleiner Tisch befindet sich auf einem anderen Tisch.")</f>
        <v>Ein kleiner Tisch befindet sich auf einem anderen Tisch.</v>
      </c>
    </row>
    <row r="12438">
      <c r="A12438" s="4" t="s">
        <v>15648</v>
      </c>
      <c r="B12438" s="4" t="s">
        <v>15650</v>
      </c>
      <c r="C12438" s="5" t="str">
        <f>IFERROR(__xludf.DUMMYFUNCTION("GOOGLETRANSLATE(B12438,""en"",""de"")"),"Ein Mann tritt mit einem schwarzen Hoodie ein.")</f>
        <v>Ein Mann tritt mit einem schwarzen Hoodie ein.</v>
      </c>
    </row>
    <row r="12439">
      <c r="A12439" s="4" t="s">
        <v>15648</v>
      </c>
      <c r="B12439" s="4" t="s">
        <v>15651</v>
      </c>
      <c r="C12439" s="5" t="str">
        <f>IFERROR(__xludf.DUMMYFUNCTION("GOOGLETRANSLATE(B12439,""en"",""de"")"),"Er öffnet ein Glas und zieht etwas heraus.")</f>
        <v>Er öffnet ein Glas und zieht etwas heraus.</v>
      </c>
    </row>
    <row r="12440">
      <c r="A12440" s="4" t="s">
        <v>15648</v>
      </c>
      <c r="B12440" s="4" t="s">
        <v>15652</v>
      </c>
      <c r="C12440" s="5" t="str">
        <f>IFERROR(__xludf.DUMMYFUNCTION("GOOGLETRANSLATE(B12440,""en"",""de"")"),"Dann lackiert er den Tisch.")</f>
        <v>Dann lackiert er den Tisch.</v>
      </c>
    </row>
    <row r="12441">
      <c r="A12441" s="4" t="s">
        <v>15653</v>
      </c>
      <c r="B12441" s="4" t="s">
        <v>15654</v>
      </c>
      <c r="C12441" s="5" t="str">
        <f>IFERROR(__xludf.DUMMYFUNCTION("GOOGLETRANSLATE(B12441,""en"",""de"")"),"Ein Intro eines schwarzen Bildschirms mit einem Logo und den Wörtern, die die Cameron Hansen -Galerie zusammen mit der Website unten rechts erscheinen.")</f>
        <v>Ein Intro eines schwarzen Bildschirms mit einem Logo und den Wörtern, die die Cameron Hansen -Galerie zusammen mit der Website unten rechts erscheinen.</v>
      </c>
    </row>
    <row r="12442">
      <c r="A12442" s="4" t="s">
        <v>15653</v>
      </c>
      <c r="B12442" s="4" t="s">
        <v>15655</v>
      </c>
      <c r="C12442" s="5" t="str">
        <f>IFERROR(__xludf.DUMMYFUNCTION("GOOGLETRANSLATE(B12442,""en"",""de"")"),"Eine Fischschule, die im Meer schwimmt, erscheint und die Lage und die Beschreibung des Videos wird angezeigt.")</f>
        <v>Eine Fischschule, die im Meer schwimmt, erscheint und die Lage und die Beschreibung des Videos wird angezeigt.</v>
      </c>
    </row>
    <row r="12443">
      <c r="A12443" s="4" t="s">
        <v>15653</v>
      </c>
      <c r="B12443" s="4" t="s">
        <v>15656</v>
      </c>
      <c r="C12443" s="5" t="str">
        <f>IFERROR(__xludf.DUMMYFUNCTION("GOOGLETRANSLATE(B12443,""en"",""de"")"),"Eine Reihe vieler verschiedener Videos beginnt und enthält Filmmaterial von Unterwasser mit einem Schnorchel, viele verschiedene Meeresleben und sogar ein Elefantenschwimmen.")</f>
        <v>Eine Reihe vieler verschiedener Videos beginnt und enthält Filmmaterial von Unterwasser mit einem Schnorchel, viele verschiedene Meeresleben und sogar ein Elefantenschwimmen.</v>
      </c>
    </row>
    <row r="12444">
      <c r="A12444" s="4" t="s">
        <v>15653</v>
      </c>
      <c r="B12444" s="4" t="s">
        <v>15657</v>
      </c>
      <c r="C12444" s="5" t="str">
        <f>IFERROR(__xludf.DUMMYFUNCTION("GOOGLETRANSLATE(B12444,""en"",""de"")"),"Die nächsten Clips umfassen verschiedene Filmmaterialien von Menschen, die über Wasser liegen, und die Landschaft um sie herum.")</f>
        <v>Die nächsten Clips umfassen verschiedene Filmmaterialien von Menschen, die über Wasser liegen, und die Landschaft um sie herum.</v>
      </c>
    </row>
    <row r="12445">
      <c r="A12445" s="4" t="s">
        <v>15653</v>
      </c>
      <c r="B12445" s="4" t="s">
        <v>15658</v>
      </c>
      <c r="C12445" s="5" t="str">
        <f>IFERROR(__xludf.DUMMYFUNCTION("GOOGLETRANSLATE(B12445,""en"",""de"")"),"Es wechselt dann zu Höhlen und zeigt die Außenseite, innen und dann der Schnorchel wieder unter Wasser, der eine Taschenlampe hält, um sie als sehr dunkel zu sehen.")</f>
        <v>Es wechselt dann zu Höhlen und zeigt die Außenseite, innen und dann der Schnorchel wieder unter Wasser, der eine Taschenlampe hält, um sie als sehr dunkel zu sehen.</v>
      </c>
    </row>
    <row r="12446">
      <c r="A12446" s="4" t="s">
        <v>15653</v>
      </c>
      <c r="B12446" s="4" t="s">
        <v>15659</v>
      </c>
      <c r="C12446" s="5" t="str">
        <f>IFERROR(__xludf.DUMMYFUNCTION("GOOGLETRANSLATE(B12446,""en"",""de"")"),"Der Fokus geht auf andere Clips zurück, in denen der Elefant wieder schwimmt, ein noch geschossenes Bild des Strandes und mehr Clips aus dem Wasser oben.")</f>
        <v>Der Fokus geht auf andere Clips zurück, in denen der Elefant wieder schwimmt, ein noch geschossenes Bild des Strandes und mehr Clips aus dem Wasser oben.</v>
      </c>
    </row>
    <row r="12447">
      <c r="A12447" s="4" t="s">
        <v>15653</v>
      </c>
      <c r="B12447" s="4" t="s">
        <v>15660</v>
      </c>
      <c r="C12447" s="5" t="str">
        <f>IFERROR(__xludf.DUMMYFUNCTION("GOOGLETRANSLATE(B12447,""en"",""de"")"),"Es endet mit einem Bild von einem großen Baumzweig in der Nähe des Wassers und den Wörtern, die die Andamanen oben erscheinen, und verblasst zu einem schwarzen Bildschirm.")</f>
        <v>Es endet mit einem Bild von einem großen Baumzweig in der Nähe des Wassers und den Wörtern, die die Andamanen oben erscheinen, und verblasst zu einem schwarzen Bildschirm.</v>
      </c>
    </row>
    <row r="12448">
      <c r="A12448" s="4" t="s">
        <v>15661</v>
      </c>
      <c r="B12448" s="4" t="s">
        <v>15662</v>
      </c>
      <c r="C12448" s="5" t="str">
        <f>IFERROR(__xludf.DUMMYFUNCTION("GOOGLETRANSLATE(B12448,""en"",""de"")"),"Eine junge Frau sitzt in der Tür eines Gebäudes.")</f>
        <v>Eine junge Frau sitzt in der Tür eines Gebäudes.</v>
      </c>
    </row>
    <row r="12449">
      <c r="A12449" s="4" t="s">
        <v>15661</v>
      </c>
      <c r="B12449" s="4" t="s">
        <v>15663</v>
      </c>
      <c r="C12449" s="5" t="str">
        <f>IFERROR(__xludf.DUMMYFUNCTION("GOOGLETRANSLATE(B12449,""en"",""de"")"),"Sie starrt in die Kamera.")</f>
        <v>Sie starrt in die Kamera.</v>
      </c>
    </row>
    <row r="12450">
      <c r="A12450" s="4" t="s">
        <v>15661</v>
      </c>
      <c r="B12450" s="4" t="s">
        <v>15664</v>
      </c>
      <c r="C12450" s="5" t="str">
        <f>IFERROR(__xludf.DUMMYFUNCTION("GOOGLETRANSLATE(B12450,""en"",""de"")"),"Sie nimmt immer wieder Puffs aus einer Zigarette, während sie sitzt.")</f>
        <v>Sie nimmt immer wieder Puffs aus einer Zigarette, während sie sitzt.</v>
      </c>
    </row>
    <row r="12451">
      <c r="A12451" s="4" t="s">
        <v>15665</v>
      </c>
      <c r="B12451" s="4" t="s">
        <v>15666</v>
      </c>
      <c r="C12451" s="5" t="str">
        <f>IFERROR(__xludf.DUMMYFUNCTION("GOOGLETRANSLATE(B12451,""en"",""de"")"),"Ein Nachrichtensegment beginnt und schwarz -weißes Bild eines lächelnden Mädchens erscheint auf dem Bildschirm, und das Banner auf dem Bildschirm sagt: ""Henrico Teen stirbt, nachdem der Rassenvater die letzten Momente der Tochter erzählt.""")</f>
        <v>Ein Nachrichtensegment beginnt und schwarz -weißes Bild eines lächelnden Mädchens erscheint auf dem Bildschirm, und das Banner auf dem Bildschirm sagt: "Henrico Teen stirbt, nachdem der Rassenvater die letzten Momente der Tochter erzählt."</v>
      </c>
    </row>
    <row r="12452">
      <c r="A12452" s="4" t="s">
        <v>15665</v>
      </c>
      <c r="B12452" s="4" t="s">
        <v>15667</v>
      </c>
      <c r="C12452" s="5" t="str">
        <f>IFERROR(__xludf.DUMMYFUNCTION("GOOGLETRANSLATE(B12452,""en"",""de"")"),"Der Newscaster erscheint mit ihren Eltern, die über das Mädchen sprechen, während er Clips des Rennspiels spielt, und schoss immer noch Bilder des Mädchens auf der Kamera.")</f>
        <v>Der Newscaster erscheint mit ihren Eltern, die über das Mädchen sprechen, während er Clips des Rennspiels spielt, und schoss immer noch Bilder des Mädchens auf der Kamera.</v>
      </c>
    </row>
    <row r="12453">
      <c r="A12453" s="4" t="s">
        <v>15665</v>
      </c>
      <c r="B12453" s="4" t="s">
        <v>15668</v>
      </c>
      <c r="C12453" s="5" t="str">
        <f>IFERROR(__xludf.DUMMYFUNCTION("GOOGLETRANSLATE(B12453,""en"",""de"")"),"Wenn die Bilder und Videoclips des Interviews und des Rennens vorbei sind, spricht der Nachrichtensprecher alleine am Nachrichtensender.")</f>
        <v>Wenn die Bilder und Videoclips des Interviews und des Rennens vorbei sind, spricht der Nachrichtensprecher alleine am Nachrichtensender.</v>
      </c>
    </row>
    <row r="12454">
      <c r="A12454" s="4" t="s">
        <v>15669</v>
      </c>
      <c r="B12454" s="4" t="s">
        <v>15670</v>
      </c>
      <c r="C12454" s="5" t="str">
        <f>IFERROR(__xludf.DUMMYFUNCTION("GOOGLETRANSLATE(B12454,""en"",""de"")"),"Zwei kleine Kinder sitzen indischer Stil auf dem Teppich im Haus, sie haben eine Shisha und rauchen sie.")</f>
        <v>Zwei kleine Kinder sitzen indischer Stil auf dem Teppich im Haus, sie haben eine Shisha und rauchen sie.</v>
      </c>
    </row>
    <row r="12455">
      <c r="A12455" s="4" t="s">
        <v>15669</v>
      </c>
      <c r="B12455" s="4" t="s">
        <v>15671</v>
      </c>
      <c r="C12455" s="5" t="str">
        <f>IFERROR(__xludf.DUMMYFUNCTION("GOOGLETRANSLATE(B12455,""en"",""de"")"),"Sie atmen und atmen den Rauch ab.")</f>
        <v>Sie atmen und atmen den Rauch ab.</v>
      </c>
    </row>
    <row r="12456">
      <c r="A12456" s="4" t="s">
        <v>15669</v>
      </c>
      <c r="B12456" s="4" t="s">
        <v>15672</v>
      </c>
      <c r="C12456" s="5" t="str">
        <f>IFERROR(__xludf.DUMMYFUNCTION("GOOGLETRANSLATE(B12456,""en"",""de"")"),"Sie atmen aus ihrer Nase aus, als wären sie es oft und wurden wie kleine Profis ausgebildet.")</f>
        <v>Sie atmen aus ihrer Nase aus, als wären sie es oft und wurden wie kleine Profis ausgebildet.</v>
      </c>
    </row>
    <row r="12457">
      <c r="A12457" s="4" t="s">
        <v>15669</v>
      </c>
      <c r="B12457" s="4" t="s">
        <v>15673</v>
      </c>
      <c r="C12457" s="5" t="str">
        <f>IFERROR(__xludf.DUMMYFUNCTION("GOOGLETRANSLATE(B12457,""en"",""de"")"),"Es ist sehr traurig, dass diese Kinder dies so tun dürfen, wie es normal ist, sie scheinen es auch zu genießen.")</f>
        <v>Es ist sehr traurig, dass diese Kinder dies so tun dürfen, wie es normal ist, sie scheinen es auch zu genießen.</v>
      </c>
    </row>
    <row r="12458">
      <c r="A12458" s="4" t="s">
        <v>15674</v>
      </c>
      <c r="B12458" s="4" t="s">
        <v>15675</v>
      </c>
      <c r="C12458" s="5" t="str">
        <f>IFERROR(__xludf.DUMMYFUNCTION("GOOGLETRANSLATE(B12458,""en"",""de"")"),"Zwei Mädchen sprechen mit der Kamera mit einer, die einen Daumen hoch und einen Daumen hoch gibt.")</f>
        <v>Zwei Mädchen sprechen mit der Kamera mit einer, die einen Daumen hoch und einen Daumen hoch gibt.</v>
      </c>
    </row>
    <row r="12459">
      <c r="A12459" s="4" t="s">
        <v>15674</v>
      </c>
      <c r="B12459" s="4" t="s">
        <v>15676</v>
      </c>
      <c r="C12459" s="5" t="str">
        <f>IFERROR(__xludf.DUMMYFUNCTION("GOOGLETRANSLATE(B12459,""en"",""de"")"),"Die Mädchen spielen dann ein Hop -Scotch -Spiel miteinander und hoch, um sich gegenseitig gegenseitig zu geben.")</f>
        <v>Die Mädchen spielen dann ein Hop -Scotch -Spiel miteinander und hoch, um sich gegenseitig gegenseitig zu geben.</v>
      </c>
    </row>
    <row r="12460">
      <c r="A12460" s="4" t="s">
        <v>15677</v>
      </c>
      <c r="B12460" s="4" t="s">
        <v>15678</v>
      </c>
      <c r="C12460" s="5" t="str">
        <f>IFERROR(__xludf.DUMMYFUNCTION("GOOGLETRANSLATE(B12460,""en"",""de"")"),"Eine Frau hält sich an einer Bürste fest und griff nach einer Bürste.")</f>
        <v>Eine Frau hält sich an einer Bürste fest und griff nach einer Bürste.</v>
      </c>
    </row>
    <row r="12461">
      <c r="A12461" s="4" t="s">
        <v>15677</v>
      </c>
      <c r="B12461" s="4" t="s">
        <v>15679</v>
      </c>
      <c r="C12461" s="5" t="str">
        <f>IFERROR(__xludf.DUMMYFUNCTION("GOOGLETRANSLATE(B12461,""en"",""de"")"),"Ein anderes Mädchen streift durch ihre Haare, während die Kamera ihre Bewegungen schwenkt.")</f>
        <v>Ein anderes Mädchen streift durch ihre Haare, während die Kamera ihre Bewegungen schwenkt.</v>
      </c>
    </row>
    <row r="12462">
      <c r="A12462" s="4" t="s">
        <v>15677</v>
      </c>
      <c r="B12462" s="4" t="s">
        <v>15680</v>
      </c>
      <c r="C12462" s="5" t="str">
        <f>IFERROR(__xludf.DUMMYFUNCTION("GOOGLETRANSLATE(B12462,""en"",""de"")"),"Sie streift weiterhin die Haare des anderen, während sie in die Kamera schaut.")</f>
        <v>Sie streift weiterhin die Haare des anderen, während sie in die Kamera schaut.</v>
      </c>
    </row>
    <row r="12463">
      <c r="A12463" s="4" t="s">
        <v>15681</v>
      </c>
      <c r="B12463" s="4" t="s">
        <v>15682</v>
      </c>
      <c r="C12463" s="5" t="str">
        <f>IFERROR(__xludf.DUMMYFUNCTION("GOOGLETRANSLATE(B12463,""en"",""de"")"),"Wir sehen einen weißen Titelbildschirm.")</f>
        <v>Wir sehen einen weißen Titelbildschirm.</v>
      </c>
    </row>
    <row r="12464">
      <c r="A12464" s="4" t="s">
        <v>15681</v>
      </c>
      <c r="B12464" s="4" t="s">
        <v>15683</v>
      </c>
      <c r="C12464" s="5" t="str">
        <f>IFERROR(__xludf.DUMMYFUNCTION("GOOGLETRANSLATE(B12464,""en"",""de"")"),"Wir sehen dann eine Dame, die den Mopp von Hand mopt und ringt.")</f>
        <v>Wir sehen dann eine Dame, die den Mopp von Hand mopt und ringt.</v>
      </c>
    </row>
    <row r="12465">
      <c r="A12465" s="4" t="s">
        <v>15681</v>
      </c>
      <c r="B12465" s="4" t="s">
        <v>15684</v>
      </c>
      <c r="C12465" s="5" t="str">
        <f>IFERROR(__xludf.DUMMYFUNCTION("GOOGLETRANSLATE(B12465,""en"",""de"")"),"Wir sehen einen Eimer, der einen runden Mopp klingelt, ohne ihn zu berühren.")</f>
        <v>Wir sehen einen Eimer, der einen runden Mopp klingelt, ohne ihn zu berühren.</v>
      </c>
    </row>
    <row r="12466">
      <c r="A12466" s="4" t="s">
        <v>15681</v>
      </c>
      <c r="B12466" s="4" t="s">
        <v>15685</v>
      </c>
      <c r="C12466" s="5" t="str">
        <f>IFERROR(__xludf.DUMMYFUNCTION("GOOGLETRANSLATE(B12466,""en"",""de"")"),"Eine Dame ändert den Moppkopf mit ihrem Fuß.")</f>
        <v>Eine Dame ändert den Moppkopf mit ihrem Fuß.</v>
      </c>
    </row>
    <row r="12467">
      <c r="A12467" s="4" t="s">
        <v>15681</v>
      </c>
      <c r="B12467" s="4" t="s">
        <v>15686</v>
      </c>
      <c r="C12467" s="5" t="str">
        <f>IFERROR(__xludf.DUMMYFUNCTION("GOOGLETRANSLATE(B12467,""en"",""de"")"),"Drei Damen geben Vermerke und wir sehen sie mit dem Mopp.")</f>
        <v>Drei Damen geben Vermerke und wir sehen sie mit dem Mopp.</v>
      </c>
    </row>
    <row r="12468">
      <c r="A12468" s="4" t="s">
        <v>15681</v>
      </c>
      <c r="B12468" s="4" t="s">
        <v>15687</v>
      </c>
      <c r="C12468" s="5" t="str">
        <f>IFERROR(__xludf.DUMMYFUNCTION("GOOGLETRANSLATE(B12468,""en"",""de"")"),"Wir sehen dann mehr von der MOP in Aktion.")</f>
        <v>Wir sehen dann mehr von der MOP in Aktion.</v>
      </c>
    </row>
    <row r="12469">
      <c r="A12469" s="4" t="s">
        <v>15681</v>
      </c>
      <c r="B12469" s="4" t="s">
        <v>777</v>
      </c>
      <c r="C12469" s="5" t="str">
        <f>IFERROR(__xludf.DUMMYFUNCTION("GOOGLETRANSLATE(B12469,""en"",""de"")"),"Wir sehen den End -Titelbildschirm.")</f>
        <v>Wir sehen den End -Titelbildschirm.</v>
      </c>
    </row>
    <row r="12470">
      <c r="A12470" s="4" t="s">
        <v>15688</v>
      </c>
      <c r="B12470" s="4" t="s">
        <v>15689</v>
      </c>
      <c r="C12470" s="5" t="str">
        <f>IFERROR(__xludf.DUMMYFUNCTION("GOOGLETRANSLATE(B12470,""en"",""de"")"),"Die Menschen sitzen auf Stufen, nachdem die Menschen auf Booten in einem Fluss sind.")</f>
        <v>Die Menschen sitzen auf Stufen, nachdem die Menschen auf Booten in einem Fluss sind.</v>
      </c>
    </row>
    <row r="12471">
      <c r="A12471" s="4" t="s">
        <v>15688</v>
      </c>
      <c r="B12471" s="4" t="s">
        <v>15690</v>
      </c>
      <c r="C12471" s="5" t="str">
        <f>IFERROR(__xludf.DUMMYFUNCTION("GOOGLETRANSLATE(B12471,""en"",""de"")"),"Ein Erwachsener und mehrere Teenager in Kanus hält Paddel.")</f>
        <v>Ein Erwachsener und mehrere Teenager in Kanus hält Paddel.</v>
      </c>
    </row>
    <row r="12472">
      <c r="A12472" s="4" t="s">
        <v>15688</v>
      </c>
      <c r="B12472" s="4" t="s">
        <v>15691</v>
      </c>
      <c r="C12472" s="5" t="str">
        <f>IFERROR(__xludf.DUMMYFUNCTION("GOOGLETRANSLATE(B12472,""en"",""de"")"),"Der Mann zeigt den Teenagern, wie man die Ruder bewegt.")</f>
        <v>Der Mann zeigt den Teenagern, wie man die Ruder bewegt.</v>
      </c>
    </row>
    <row r="12473">
      <c r="A12473" s="4" t="s">
        <v>15688</v>
      </c>
      <c r="B12473" s="4" t="s">
        <v>15692</v>
      </c>
      <c r="C12473" s="5" t="str">
        <f>IFERROR(__xludf.DUMMYFUNCTION("GOOGLETRANSLATE(B12473,""en"",""de"")"),"Die Teenager folgen den Anweisungen des Mannes und rudern die Ruder.")</f>
        <v>Die Teenager folgen den Anweisungen des Mannes und rudern die Ruder.</v>
      </c>
    </row>
    <row r="12474">
      <c r="A12474" s="4" t="s">
        <v>15693</v>
      </c>
      <c r="B12474" s="4" t="s">
        <v>15694</v>
      </c>
      <c r="C12474" s="5" t="str">
        <f>IFERROR(__xludf.DUMMYFUNCTION("GOOGLETRANSLATE(B12474,""en"",""de"")"),"Auf dem Boden liegen Schuhe, die nur dort liegen.")</f>
        <v>Auf dem Boden liegen Schuhe, die nur dort liegen.</v>
      </c>
    </row>
    <row r="12475">
      <c r="A12475" s="4" t="s">
        <v>15693</v>
      </c>
      <c r="B12475" s="4" t="s">
        <v>15695</v>
      </c>
      <c r="C12475" s="5" t="str">
        <f>IFERROR(__xludf.DUMMYFUNCTION("GOOGLETRANSLATE(B12475,""en"",""de"")"),"Jemand steckt sehr langsam in einen ihrer Schuhe.")</f>
        <v>Jemand steckt sehr langsam in einen ihrer Schuhe.</v>
      </c>
    </row>
    <row r="12476">
      <c r="A12476" s="4" t="s">
        <v>15693</v>
      </c>
      <c r="B12476" s="4" t="s">
        <v>15696</v>
      </c>
      <c r="C12476" s="5" t="str">
        <f>IFERROR(__xludf.DUMMYFUNCTION("GOOGLETRANSLATE(B12476,""en"",""de"")"),"Sie beginnen, die Gurte am linken Schuh zu schnallen.")</f>
        <v>Sie beginnen, die Gurte am linken Schuh zu schnallen.</v>
      </c>
    </row>
    <row r="12477">
      <c r="A12477" s="4" t="s">
        <v>15693</v>
      </c>
      <c r="B12477" s="4" t="s">
        <v>15697</v>
      </c>
      <c r="C12477" s="5" t="str">
        <f>IFERROR(__xludf.DUMMYFUNCTION("GOOGLETRANSLATE(B12477,""en"",""de"")"),"Dann legten sie ihren Fuß sicherer in den richtigen Schuh und schlucken schließlich auch die Gurte auf diesem Schuh.")</f>
        <v>Dann legten sie ihren Fuß sicherer in den richtigen Schuh und schlucken schließlich auch die Gurte auf diesem Schuh.</v>
      </c>
    </row>
    <row r="12478">
      <c r="A12478" s="4" t="s">
        <v>15698</v>
      </c>
      <c r="B12478" s="4" t="s">
        <v>15699</v>
      </c>
      <c r="C12478" s="5" t="str">
        <f>IFERROR(__xludf.DUMMYFUNCTION("GOOGLETRANSLATE(B12478,""en"",""de"")"),"Ein Mann und eine Frau reden.")</f>
        <v>Ein Mann und eine Frau reden.</v>
      </c>
    </row>
    <row r="12479">
      <c r="A12479" s="4" t="s">
        <v>15698</v>
      </c>
      <c r="B12479" s="4" t="s">
        <v>15700</v>
      </c>
      <c r="C12479" s="5" t="str">
        <f>IFERROR(__xludf.DUMMYFUNCTION("GOOGLETRANSLATE(B12479,""en"",""de"")"),"Ein Mann spielt eine Mundharmonika.")</f>
        <v>Ein Mann spielt eine Mundharmonika.</v>
      </c>
    </row>
    <row r="12480">
      <c r="A12480" s="4" t="s">
        <v>15698</v>
      </c>
      <c r="B12480" s="4" t="s">
        <v>15701</v>
      </c>
      <c r="C12480" s="5" t="str">
        <f>IFERROR(__xludf.DUMMYFUNCTION("GOOGLETRANSLATE(B12480,""en"",""de"")"),"Die Menge sieht ihn spielen.")</f>
        <v>Die Menge sieht ihn spielen.</v>
      </c>
    </row>
    <row r="12481">
      <c r="A12481" s="4" t="s">
        <v>15702</v>
      </c>
      <c r="B12481" s="4" t="s">
        <v>15703</v>
      </c>
      <c r="C12481" s="5" t="str">
        <f>IFERROR(__xludf.DUMMYFUNCTION("GOOGLETRANSLATE(B12481,""en"",""de"")"),"Auf dem schmalen Gehweg wird ein Fahrrad gezeigt.")</f>
        <v>Auf dem schmalen Gehweg wird ein Fahrrad gezeigt.</v>
      </c>
    </row>
    <row r="12482">
      <c r="A12482" s="4" t="s">
        <v>15702</v>
      </c>
      <c r="B12482" s="4" t="s">
        <v>15704</v>
      </c>
      <c r="C12482" s="5" t="str">
        <f>IFERROR(__xludf.DUMMYFUNCTION("GOOGLETRANSLATE(B12482,""en"",""de"")"),"Ein alter Mann, der graues Hemd trägt, legt an und schraubt die schwarzen Griffstangen vor dem Fahrrad, dann legt das Vorderrad des Fahrrads die Schraube fest und legte den Sitz auf.")</f>
        <v>Ein alter Mann, der graues Hemd trägt, legt an und schraubt die schwarzen Griffstangen vor dem Fahrrad, dann legt das Vorderrad des Fahrrads die Schraube fest und legte den Sitz auf.</v>
      </c>
    </row>
    <row r="12483">
      <c r="A12483" s="4" t="s">
        <v>15705</v>
      </c>
      <c r="B12483" s="4" t="s">
        <v>15706</v>
      </c>
      <c r="C12483" s="5" t="str">
        <f>IFERROR(__xludf.DUMMYFUNCTION("GOOGLETRANSLATE(B12483,""en"",""de"")"),"Ein Mädchen steht in ihrem Haus mit ihren Händen hinter ihrem Rücken und ihren Beinen schulterbreit auseinander.")</f>
        <v>Ein Mädchen steht in ihrem Haus mit ihren Händen hinter ihrem Rücken und ihren Beinen schulterbreit auseinander.</v>
      </c>
    </row>
    <row r="12484">
      <c r="A12484" s="4" t="s">
        <v>15705</v>
      </c>
      <c r="B12484" s="4" t="s">
        <v>15707</v>
      </c>
      <c r="C12484" s="5" t="str">
        <f>IFERROR(__xludf.DUMMYFUNCTION("GOOGLETRANSLATE(B12484,""en"",""de"")"),"Das Mädchen lässt dann fest ihre Hände auf ihre Seite, bringt ihre Füße zusammen und verbeugt sich und führt weiterhin eine Routine verschiedener Karatbewegungen durch.")</f>
        <v>Das Mädchen lässt dann fest ihre Hände auf ihre Seite, bringt ihre Füße zusammen und verbeugt sich und führt weiterhin eine Routine verschiedener Karatbewegungen durch.</v>
      </c>
    </row>
    <row r="12485">
      <c r="A12485" s="4" t="s">
        <v>15705</v>
      </c>
      <c r="B12485" s="4" t="s">
        <v>15708</v>
      </c>
      <c r="C12485" s="5" t="str">
        <f>IFERROR(__xludf.DUMMYFUNCTION("GOOGLETRANSLATE(B12485,""en"",""de"")"),"Das Mädchen beendet sie ein wenig weiter von dem Punkt, den sie anfing, und lässt ihre Hände fest an ihre Seite fallen und schlug ein, dann öffnet sie die schulterlange Beine von der Schulter und geht wieder in die gleiche Position wie in ihr, als sie anf"&amp;"ing.")</f>
        <v>Das Mädchen beendet sie ein wenig weiter von dem Punkt, den sie anfing, und lässt ihre Hände fest an ihre Seite fallen und schlug ein, dann öffnet sie die schulterlange Beine von der Schulter und geht wieder in die gleiche Position wie in ihr, als sie anfing.</v>
      </c>
    </row>
    <row r="12486">
      <c r="A12486" s="4" t="s">
        <v>15705</v>
      </c>
      <c r="B12486" s="4" t="s">
        <v>15709</v>
      </c>
      <c r="C12486" s="5" t="str">
        <f>IFERROR(__xludf.DUMMYFUNCTION("GOOGLETRANSLATE(B12486,""en"",""de"")"),"Nachdem sie fertig ist, die Position für eine Weile zu halten, entspannt sich das Mädchen und geht dann weg.")</f>
        <v>Nachdem sie fertig ist, die Position für eine Weile zu halten, entspannt sich das Mädchen und geht dann weg.</v>
      </c>
    </row>
    <row r="12487">
      <c r="A12487" s="4" t="s">
        <v>15710</v>
      </c>
      <c r="B12487" s="4" t="s">
        <v>15711</v>
      </c>
      <c r="C12487" s="5" t="str">
        <f>IFERROR(__xludf.DUMMYFUNCTION("GOOGLETRANSLATE(B12487,""en"",""de"")"),"Zwei Personen werden vor einem Brett geknien und Objekte drücken.")</f>
        <v>Zwei Personen werden vor einem Brett geknien und Objekte drücken.</v>
      </c>
    </row>
    <row r="12488">
      <c r="A12488" s="4" t="s">
        <v>15710</v>
      </c>
      <c r="B12488" s="4" t="s">
        <v>15712</v>
      </c>
      <c r="C12488" s="5" t="str">
        <f>IFERROR(__xludf.DUMMYFUNCTION("GOOGLETRANSLATE(B12488,""en"",""de"")"),"Andere Leute beobachten nebenbei, während sich die beiden Roboter gegenseitig angreifen.")</f>
        <v>Andere Leute beobachten nebenbei, während sich die beiden Roboter gegenseitig angreifen.</v>
      </c>
    </row>
    <row r="12489">
      <c r="A12489" s="4" t="s">
        <v>15710</v>
      </c>
      <c r="B12489" s="4" t="s">
        <v>15713</v>
      </c>
      <c r="C12489" s="5" t="str">
        <f>IFERROR(__xludf.DUMMYFUNCTION("GOOGLETRANSLATE(B12489,""en"",""de"")"),"Einer drückt den anderen von der Seite und die Männer stellten die Roboter zurück, um um einige weitere zu kämpfen.")</f>
        <v>Einer drückt den anderen von der Seite und die Männer stellten die Roboter zurück, um um einige weitere zu kämpfen.</v>
      </c>
    </row>
    <row r="12490">
      <c r="A12490" s="4" t="s">
        <v>15714</v>
      </c>
      <c r="B12490" s="4" t="s">
        <v>15715</v>
      </c>
      <c r="C12490" s="5" t="str">
        <f>IFERROR(__xludf.DUMMYFUNCTION("GOOGLETRANSLATE(B12490,""en"",""de"")"),"Ein Mann hat seine Hände in der Luft.")</f>
        <v>Ein Mann hat seine Hände in der Luft.</v>
      </c>
    </row>
    <row r="12491">
      <c r="A12491" s="4" t="s">
        <v>15714</v>
      </c>
      <c r="B12491" s="4" t="s">
        <v>15716</v>
      </c>
      <c r="C12491" s="5" t="str">
        <f>IFERROR(__xludf.DUMMYFUNCTION("GOOGLETRANSLATE(B12491,""en"",""de"")"),"Zwei Wrestler werden gezeigt, die in den Ring springen.")</f>
        <v>Zwei Wrestler werden gezeigt, die in den Ring springen.</v>
      </c>
    </row>
    <row r="12492">
      <c r="A12492" s="4" t="s">
        <v>15714</v>
      </c>
      <c r="B12492" s="4" t="s">
        <v>15717</v>
      </c>
      <c r="C12492" s="5" t="str">
        <f>IFERROR(__xludf.DUMMYFUNCTION("GOOGLETRANSLATE(B12492,""en"",""de"")"),"Sie brachen zusammen, wenn verschiedene Menschen den gleichen Sprung machen.")</f>
        <v>Sie brachen zusammen, wenn verschiedene Menschen den gleichen Sprung machen.</v>
      </c>
    </row>
    <row r="12493">
      <c r="A12493" s="4" t="s">
        <v>15718</v>
      </c>
      <c r="B12493" s="4" t="s">
        <v>15719</v>
      </c>
      <c r="C12493" s="5" t="str">
        <f>IFERROR(__xludf.DUMMYFUNCTION("GOOGLETRANSLATE(B12493,""en"",""de"")"),"Eine sportliche Frau wird gesehen, wie sie mit der Kamera spricht und führt in sie unterrichtet eine Fahrradklasse mit anderen.")</f>
        <v>Eine sportliche Frau wird gesehen, wie sie mit der Kamera spricht und führt in sie unterrichtet eine Fahrradklasse mit anderen.</v>
      </c>
    </row>
    <row r="12494">
      <c r="A12494" s="4" t="s">
        <v>15718</v>
      </c>
      <c r="B12494" s="4" t="s">
        <v>15720</v>
      </c>
      <c r="C12494" s="5" t="str">
        <f>IFERROR(__xludf.DUMMYFUNCTION("GOOGLETRANSLATE(B12494,""en"",""de"")"),"Weitere Aufnahmen ihrer Führung sind in verschiedenen Bereichen gezeigt.")</f>
        <v>Weitere Aufnahmen ihrer Führung sind in verschiedenen Bereichen gezeigt.</v>
      </c>
    </row>
    <row r="12495">
      <c r="A12495" s="4" t="s">
        <v>15721</v>
      </c>
      <c r="B12495" s="4" t="s">
        <v>15722</v>
      </c>
      <c r="C12495" s="5" t="str">
        <f>IFERROR(__xludf.DUMMYFUNCTION("GOOGLETRANSLATE(B12495,""en"",""de"")"),"Eine Dame sitzt in der Dusche und wäscht einen flauschigen Hund.")</f>
        <v>Eine Dame sitzt in der Dusche und wäscht einen flauschigen Hund.</v>
      </c>
    </row>
    <row r="12496">
      <c r="A12496" s="4" t="s">
        <v>15721</v>
      </c>
      <c r="B12496" s="4" t="s">
        <v>15723</v>
      </c>
      <c r="C12496" s="5" t="str">
        <f>IFERROR(__xludf.DUMMYFUNCTION("GOOGLETRANSLATE(B12496,""en"",""de"")"),"Die Dame beugt sich über den Hund und wäscht seine vordere Pfote links.")</f>
        <v>Die Dame beugt sich über den Hund und wäscht seine vordere Pfote links.</v>
      </c>
    </row>
    <row r="12497">
      <c r="A12497" s="4" t="s">
        <v>15724</v>
      </c>
      <c r="B12497" s="4" t="s">
        <v>15725</v>
      </c>
      <c r="C12497" s="5" t="str">
        <f>IFERROR(__xludf.DUMMYFUNCTION("GOOGLETRANSLATE(B12497,""en"",""de"")"),"Eine Kamera folgt um ein kleines Boot, das sich entlang des Wassers sowie Landschaften bewegt.")</f>
        <v>Eine Kamera folgt um ein kleines Boot, das sich entlang des Wassers sowie Landschaften bewegt.</v>
      </c>
    </row>
    <row r="12498">
      <c r="A12498" s="4" t="s">
        <v>15724</v>
      </c>
      <c r="B12498" s="4" t="s">
        <v>15726</v>
      </c>
      <c r="C12498" s="5" t="str">
        <f>IFERROR(__xludf.DUMMYFUNCTION("GOOGLETRANSLATE(B12498,""en"",""de"")"),"Die Kamera zoomt auf dem Boot und zeigt Leute, die drinnen fahren.")</f>
        <v>Die Kamera zoomt auf dem Boot und zeigt Leute, die drinnen fahren.</v>
      </c>
    </row>
    <row r="12499">
      <c r="A12499" s="4" t="s">
        <v>15727</v>
      </c>
      <c r="B12499" s="4" t="s">
        <v>15728</v>
      </c>
      <c r="C12499" s="5" t="str">
        <f>IFERROR(__xludf.DUMMYFUNCTION("GOOGLETRANSLATE(B12499,""en"",""de"")"),"Ein Mann geht eine Leiter hinauf zu einem Dach.")</f>
        <v>Ein Mann geht eine Leiter hinauf zu einem Dach.</v>
      </c>
    </row>
    <row r="12500">
      <c r="A12500" s="4" t="s">
        <v>15727</v>
      </c>
      <c r="B12500" s="4" t="s">
        <v>15729</v>
      </c>
      <c r="C12500" s="5" t="str">
        <f>IFERROR(__xludf.DUMMYFUNCTION("GOOGLETRANSLATE(B12500,""en"",""de"")"),"Er steht vor einem Haus und redet.")</f>
        <v>Er steht vor einem Haus und redet.</v>
      </c>
    </row>
    <row r="12501">
      <c r="A12501" s="4" t="s">
        <v>15727</v>
      </c>
      <c r="B12501" s="4" t="s">
        <v>15730</v>
      </c>
      <c r="C12501" s="5" t="str">
        <f>IFERROR(__xludf.DUMMYFUNCTION("GOOGLETRANSLATE(B12501,""en"",""de"")"),"Männer legen neue Schindeln auf ein Dach.")</f>
        <v>Männer legen neue Schindeln auf ein Dach.</v>
      </c>
    </row>
    <row r="12502">
      <c r="A12502" s="4" t="s">
        <v>15731</v>
      </c>
      <c r="B12502" s="4" t="s">
        <v>15732</v>
      </c>
      <c r="C12502" s="5" t="str">
        <f>IFERROR(__xludf.DUMMYFUNCTION("GOOGLETRANSLATE(B12502,""en"",""de"")"),"Ein Baby schwimmt in einem Pool auf dem Rücken.")</f>
        <v>Ein Baby schwimmt in einem Pool auf dem Rücken.</v>
      </c>
    </row>
    <row r="12503">
      <c r="A12503" s="4" t="s">
        <v>15731</v>
      </c>
      <c r="B12503" s="4" t="s">
        <v>15733</v>
      </c>
      <c r="C12503" s="5" t="str">
        <f>IFERROR(__xludf.DUMMYFUNCTION("GOOGLETRANSLATE(B12503,""en"",""de"")"),"Das Baby tritt seine Füße ins Wasser.")</f>
        <v>Das Baby tritt seine Füße ins Wasser.</v>
      </c>
    </row>
    <row r="12504">
      <c r="A12504" s="4" t="s">
        <v>15731</v>
      </c>
      <c r="B12504" s="4" t="s">
        <v>15734</v>
      </c>
      <c r="C12504" s="5" t="str">
        <f>IFERROR(__xludf.DUMMYFUNCTION("GOOGLETRANSLATE(B12504,""en"",""de"")"),"Jemandes Hand hält dieses Baby im Wasser.")</f>
        <v>Jemandes Hand hält dieses Baby im Wasser.</v>
      </c>
    </row>
    <row r="12505">
      <c r="A12505" s="4" t="s">
        <v>15735</v>
      </c>
      <c r="B12505" s="4" t="s">
        <v>15736</v>
      </c>
      <c r="C12505" s="5" t="str">
        <f>IFERROR(__xludf.DUMMYFUNCTION("GOOGLETRANSLATE(B12505,""en"",""de"")"),"Die Startliste für das Stabhochsprungereignis der Männer wird über den Hintergrund des Wettbewerbsbereichs angezeigt.")</f>
        <v>Die Startliste für das Stabhochsprungereignis der Männer wird über den Hintergrund des Wettbewerbsbereichs angezeigt.</v>
      </c>
    </row>
    <row r="12506">
      <c r="A12506" s="4" t="s">
        <v>15735</v>
      </c>
      <c r="B12506" s="4" t="s">
        <v>15737</v>
      </c>
      <c r="C12506" s="5" t="str">
        <f>IFERROR(__xludf.DUMMYFUNCTION("GOOGLETRANSLATE(B12506,""en"",""de"")"),"Mehrere Vaulters versuchen, nacheinander, einige erfolgreich und einige nicht zu trinken.")</f>
        <v>Mehrere Vaulters versuchen, nacheinander, einige erfolgreich und einige nicht zu trinken.</v>
      </c>
    </row>
    <row r="12507">
      <c r="A12507" s="4" t="s">
        <v>15735</v>
      </c>
      <c r="B12507" s="4" t="s">
        <v>15738</v>
      </c>
      <c r="C12507" s="5" t="str">
        <f>IFERROR(__xludf.DUMMYFUNCTION("GOOGLETRANSLATE(B12507,""en"",""de"")"),"Die Kamera schneidet einen Mann, der sich mit einem Handtuch über sein Gesicht wischt, dann eine kurze Aufnahme des letzten Tresungsversuchs, dann eine kurze Aufnahme eines anderen Mannes, der von der Kamera weggeht.")</f>
        <v>Die Kamera schneidet einen Mann, der sich mit einem Handtuch über sein Gesicht wischt, dann eine kurze Aufnahme des letzten Tresungsversuchs, dann eine kurze Aufnahme eines anderen Mannes, der von der Kamera weggeht.</v>
      </c>
    </row>
    <row r="12508">
      <c r="A12508" s="4" t="s">
        <v>15735</v>
      </c>
      <c r="B12508" s="4" t="s">
        <v>15739</v>
      </c>
      <c r="C12508" s="5" t="str">
        <f>IFERROR(__xludf.DUMMYFUNCTION("GOOGLETRANSLATE(B12508,""en"",""de"")"),"Ein anderer Mann in weißen und blauen Gewölben und ist erfolgreich.")</f>
        <v>Ein anderer Mann in weißen und blauen Gewölben und ist erfolgreich.</v>
      </c>
    </row>
    <row r="12509">
      <c r="A12509" s="4" t="s">
        <v>15735</v>
      </c>
      <c r="B12509" s="4" t="s">
        <v>15740</v>
      </c>
      <c r="C12509" s="5" t="str">
        <f>IFERROR(__xludf.DUMMYFUNCTION("GOOGLETRANSLATE(B12509,""en"",""de"")"),"Die Kamera schneidet an vier andere Konkurrenten, die zuschauen.")</f>
        <v>Die Kamera schneidet an vier andere Konkurrenten, die zuschauen.</v>
      </c>
    </row>
    <row r="12510">
      <c r="A12510" s="4" t="s">
        <v>15735</v>
      </c>
      <c r="B12510" s="4" t="s">
        <v>15741</v>
      </c>
      <c r="C12510" s="5" t="str">
        <f>IFERROR(__xludf.DUMMYFUNCTION("GOOGLETRANSLATE(B12510,""en"",""de"")"),"Die Kamera schneidet einen Mann in Weiß und Blau, der feiert, während er eine Flagge gegen sein Schwarz hält.")</f>
        <v>Die Kamera schneidet einen Mann in Weiß und Blau, der feiert, während er eine Flagge gegen sein Schwarz hält.</v>
      </c>
    </row>
    <row r="12511">
      <c r="A12511" s="4" t="s">
        <v>15735</v>
      </c>
      <c r="B12511" s="4" t="s">
        <v>15742</v>
      </c>
      <c r="C12511" s="5" t="str">
        <f>IFERROR(__xludf.DUMMYFUNCTION("GOOGLETRANSLATE(B12511,""en"",""de"")"),"Der Mann, der gefeiert hat, wird interviewt.")</f>
        <v>Der Mann, der gefeiert hat, wird interviewt.</v>
      </c>
    </row>
    <row r="12512">
      <c r="A12512" s="4" t="s">
        <v>15735</v>
      </c>
      <c r="B12512" s="4" t="s">
        <v>15743</v>
      </c>
      <c r="C12512" s="5" t="str">
        <f>IFERROR(__xludf.DUMMYFUNCTION("GOOGLETRANSLATE(B12512,""en"",""de"")"),"Ein anderer Konkurrent, der Rot trägt, wird interviewt.")</f>
        <v>Ein anderer Konkurrent, der Rot trägt, wird interviewt.</v>
      </c>
    </row>
    <row r="12513">
      <c r="A12513" s="4" t="s">
        <v>15744</v>
      </c>
      <c r="B12513" s="4" t="s">
        <v>15745</v>
      </c>
      <c r="C12513" s="5" t="str">
        <f>IFERROR(__xludf.DUMMYFUNCTION("GOOGLETRANSLATE(B12513,""en"",""de"")"),"Ein Mann setzt sich vor einem Bett.")</f>
        <v>Ein Mann setzt sich vor einem Bett.</v>
      </c>
    </row>
    <row r="12514">
      <c r="A12514" s="4" t="s">
        <v>15744</v>
      </c>
      <c r="B12514" s="4" t="s">
        <v>15746</v>
      </c>
      <c r="C12514" s="5" t="str">
        <f>IFERROR(__xludf.DUMMYFUNCTION("GOOGLETRANSLATE(B12514,""en"",""de"")"),"Er beginnt eine E -Gitarre zu spielen.")</f>
        <v>Er beginnt eine E -Gitarre zu spielen.</v>
      </c>
    </row>
    <row r="12515">
      <c r="A12515" s="4" t="s">
        <v>15744</v>
      </c>
      <c r="B12515" s="4" t="s">
        <v>15747</v>
      </c>
      <c r="C12515" s="5" t="str">
        <f>IFERROR(__xludf.DUMMYFUNCTION("GOOGLETRANSLATE(B12515,""en"",""de"")"),"Er beendet das Spielen und steht auf.")</f>
        <v>Er beendet das Spielen und steht auf.</v>
      </c>
    </row>
    <row r="12516">
      <c r="A12516" s="4" t="s">
        <v>15748</v>
      </c>
      <c r="B12516" s="4" t="s">
        <v>15749</v>
      </c>
      <c r="C12516" s="5" t="str">
        <f>IFERROR(__xludf.DUMMYFUNCTION("GOOGLETRANSLATE(B12516,""en"",""de"")"),"Zwei Mädchen stehen in einem Laden und umarmen sich.")</f>
        <v>Zwei Mädchen stehen in einem Laden und umarmen sich.</v>
      </c>
    </row>
    <row r="12517">
      <c r="A12517" s="4" t="s">
        <v>15748</v>
      </c>
      <c r="B12517" s="4" t="s">
        <v>15750</v>
      </c>
      <c r="C12517" s="5" t="str">
        <f>IFERROR(__xludf.DUMMYFUNCTION("GOOGLETRANSLATE(B12517,""en"",""de"")"),"Die beiden Mädchen bestätigen das Mädchen, das die Kamera hält.")</f>
        <v>Die beiden Mädchen bestätigen das Mädchen, das die Kamera hält.</v>
      </c>
    </row>
    <row r="12518">
      <c r="A12518" s="4" t="s">
        <v>15748</v>
      </c>
      <c r="B12518" s="4" t="s">
        <v>15751</v>
      </c>
      <c r="C12518" s="5" t="str">
        <f>IFERROR(__xludf.DUMMYFUNCTION("GOOGLETRANSLATE(B12518,""en"",""de"")"),"Sie zeigen jeweils ihren Ohren, dass sie durchbohrt werden wollen.")</f>
        <v>Sie zeigen jeweils ihren Ohren, dass sie durchbohrt werden wollen.</v>
      </c>
    </row>
    <row r="12519">
      <c r="A12519" s="4" t="s">
        <v>15748</v>
      </c>
      <c r="B12519" s="4" t="s">
        <v>15752</v>
      </c>
      <c r="C12519" s="5" t="str">
        <f>IFERROR(__xludf.DUMMYFUNCTION("GOOGLETRANSLATE(B12519,""en"",""de"")"),"Die Frau, die im Laden arbeitet, glatt den Mädchen und markiert ihr Ohr und durchbohrt ihr rechtes Ohr, während das Mädchen Gesichter macht.")</f>
        <v>Die Frau, die im Laden arbeitet, glatt den Mädchen und markiert ihr Ohr und durchbohrt ihr rechtes Ohr, während das Mädchen Gesichter macht.</v>
      </c>
    </row>
    <row r="12520">
      <c r="A12520" s="4" t="s">
        <v>15748</v>
      </c>
      <c r="B12520" s="4" t="s">
        <v>15753</v>
      </c>
      <c r="C12520" s="5" t="str">
        <f>IFERROR(__xludf.DUMMYFUNCTION("GOOGLETRANSLATE(B12520,""en"",""de"")"),"Die Frau sieht schockiert aus, als der Arbeiter mit ihr spricht und den Spiegel hält, um das Ohr zu sehen.")</f>
        <v>Die Frau sieht schockiert aus, als der Arbeiter mit ihr spricht und den Spiegel hält, um das Ohr zu sehen.</v>
      </c>
    </row>
    <row r="12521">
      <c r="A12521" s="4" t="s">
        <v>15748</v>
      </c>
      <c r="B12521" s="4" t="s">
        <v>15754</v>
      </c>
      <c r="C12521" s="5" t="str">
        <f>IFERROR(__xludf.DUMMYFUNCTION("GOOGLETRANSLATE(B12521,""en"",""de"")"),"Auf dem Bildschirm wird fortgesetzt.")</f>
        <v>Auf dem Bildschirm wird fortgesetzt.</v>
      </c>
    </row>
    <row r="12522">
      <c r="A12522" s="4" t="s">
        <v>15748</v>
      </c>
      <c r="B12522" s="4" t="s">
        <v>15755</v>
      </c>
      <c r="C12522" s="5" t="str">
        <f>IFERROR(__xludf.DUMMYFUNCTION("GOOGLETRANSLATE(B12522,""en"",""de"")"),"Das Mädchen zeigt ihr Ohr, als sie auf dem Stuhl sitzt und versucht, nicht zu weinen, wenn die Kamera auf ihr Ohr zoomt.")</f>
        <v>Das Mädchen zeigt ihr Ohr, als sie auf dem Stuhl sitzt und versucht, nicht zu weinen, wenn die Kamera auf ihr Ohr zoomt.</v>
      </c>
    </row>
    <row r="12523">
      <c r="A12523" s="4" t="s">
        <v>15756</v>
      </c>
      <c r="B12523" s="4" t="s">
        <v>15757</v>
      </c>
      <c r="C12523" s="5" t="str">
        <f>IFERROR(__xludf.DUMMYFUNCTION("GOOGLETRANSLATE(B12523,""en"",""de"")"),"Eine Frau spricht mit einer Kamera und führt mit nasser Haaren in sich selbst und bürstet sie durch.")</f>
        <v>Eine Frau spricht mit einer Kamera und führt mit nasser Haaren in sich selbst und bürstet sie durch.</v>
      </c>
    </row>
    <row r="12524">
      <c r="A12524" s="4" t="s">
        <v>15756</v>
      </c>
      <c r="B12524" s="4" t="s">
        <v>15758</v>
      </c>
      <c r="C12524" s="5" t="str">
        <f>IFERROR(__xludf.DUMMYFUNCTION("GOOGLETRANSLATE(B12524,""en"",""de"")"),"Ihr Haar ist schnee trocken und sie steckt Klammern in ihr Haar und beginnt sich zusammenzurollen.")</f>
        <v>Ihr Haar ist schnee trocken und sie steckt Klammern in ihr Haar und beginnt sich zusammenzurollen.</v>
      </c>
    </row>
    <row r="12525">
      <c r="A12525" s="4" t="s">
        <v>15756</v>
      </c>
      <c r="B12525" s="4" t="s">
        <v>15759</v>
      </c>
      <c r="C12525" s="5" t="str">
        <f>IFERROR(__xludf.DUMMYFUNCTION("GOOGLETRANSLATE(B12525,""en"",""de"")"),"Sie rollt weiter die Enden ihrer Haare und rennt am Ende ihre Finger durch und lächelt in die Kamera, während sie einen Daumen hoch gibt.")</f>
        <v>Sie rollt weiter die Enden ihrer Haare und rennt am Ende ihre Finger durch und lächelt in die Kamera, während sie einen Daumen hoch gibt.</v>
      </c>
    </row>
    <row r="12526">
      <c r="A12526" s="4" t="s">
        <v>15760</v>
      </c>
      <c r="B12526" s="4" t="s">
        <v>15761</v>
      </c>
      <c r="C12526" s="5" t="str">
        <f>IFERROR(__xludf.DUMMYFUNCTION("GOOGLETRANSLATE(B12526,""en"",""de"")"),"Eine große grüne Mülldose wird gegen eine Mauer an einer Mauer geschoben und ein Rentier springt heraus und trinkt aus einer Kaffeetasse.")</f>
        <v>Eine große grüne Mülldose wird gegen eine Mauer an einer Mauer geschoben und ein Rentier springt heraus und trinkt aus einer Kaffeetasse.</v>
      </c>
    </row>
    <row r="12527">
      <c r="A12527" s="4" t="s">
        <v>15760</v>
      </c>
      <c r="B12527" s="4" t="s">
        <v>15762</v>
      </c>
      <c r="C12527" s="5" t="str">
        <f>IFERROR(__xludf.DUMMYFUNCTION("GOOGLETRANSLATE(B12527,""en"",""de"")"),"Das Rentier trinkt weiter aus der Kaffeetasse und fällt schließlich aus dem Mülldose.")</f>
        <v>Das Rentier trinkt weiter aus der Kaffeetasse und fällt schließlich aus dem Mülldose.</v>
      </c>
    </row>
    <row r="12528">
      <c r="A12528" s="4" t="s">
        <v>15763</v>
      </c>
      <c r="B12528" s="4" t="s">
        <v>15764</v>
      </c>
      <c r="C12528" s="5" t="str">
        <f>IFERROR(__xludf.DUMMYFUNCTION("GOOGLETRANSLATE(B12528,""en"",""de"")"),"Der Bildschirm zeigt die Wörter, die gedreht wurden.")</f>
        <v>Der Bildschirm zeigt die Wörter, die gedreht wurden.</v>
      </c>
    </row>
    <row r="12529">
      <c r="A12529" s="4" t="s">
        <v>15763</v>
      </c>
      <c r="B12529" s="4" t="s">
        <v>15765</v>
      </c>
      <c r="C12529" s="5" t="str">
        <f>IFERROR(__xludf.DUMMYFUNCTION("GOOGLETRANSLATE(B12529,""en"",""de"")"),"Kurt Roberts wirft in einem gelben Oberteil den Ball und ein Mann eilt, um den Wurf zu messen.")</f>
        <v>Kurt Roberts wirft in einem gelben Oberteil den Ball und ein Mann eilt, um den Wurf zu messen.</v>
      </c>
    </row>
    <row r="12530">
      <c r="A12530" s="4" t="s">
        <v>15763</v>
      </c>
      <c r="B12530" s="4" t="s">
        <v>15766</v>
      </c>
      <c r="C12530" s="5" t="str">
        <f>IFERROR(__xludf.DUMMYFUNCTION("GOOGLETRANSLATE(B12530,""en"",""de"")"),"Kurt trinkt aus einer Gatorade -Flasche.")</f>
        <v>Kurt trinkt aus einer Gatorade -Flasche.</v>
      </c>
    </row>
    <row r="12531">
      <c r="A12531" s="4" t="s">
        <v>15763</v>
      </c>
      <c r="B12531" s="4" t="s">
        <v>15767</v>
      </c>
      <c r="C12531" s="5" t="str">
        <f>IFERROR(__xludf.DUMMYFUNCTION("GOOGLETRANSLATE(B12531,""en"",""de"")"),"Reese Hoffa tritt auf und wirft den Ball und ein Mann eilt, um den Wurf zu messen.")</f>
        <v>Reese Hoffa tritt auf und wirft den Ball und ein Mann eilt, um den Wurf zu messen.</v>
      </c>
    </row>
    <row r="12532">
      <c r="A12532" s="4" t="s">
        <v>15763</v>
      </c>
      <c r="B12532" s="4" t="s">
        <v>15768</v>
      </c>
      <c r="C12532" s="5" t="str">
        <f>IFERROR(__xludf.DUMMYFUNCTION("GOOGLETRANSLATE(B12532,""en"",""de"")"),"Reese passt sein Hemd an und wartet auf seine Punktzahl.")</f>
        <v>Reese passt sein Hemd an und wartet auf seine Punktzahl.</v>
      </c>
    </row>
    <row r="12533">
      <c r="A12533" s="4" t="s">
        <v>15763</v>
      </c>
      <c r="B12533" s="4" t="s">
        <v>15769</v>
      </c>
      <c r="C12533" s="5" t="str">
        <f>IFERROR(__xludf.DUMMYFUNCTION("GOOGLETRANSLATE(B12533,""en"",""de"")"),"Davis Storl sitzt und wird auf dem Bildschirm vorgestellt.")</f>
        <v>Davis Storl sitzt und wird auf dem Bildschirm vorgestellt.</v>
      </c>
    </row>
    <row r="12534">
      <c r="A12534" s="4" t="s">
        <v>15763</v>
      </c>
      <c r="B12534" s="4" t="s">
        <v>15770</v>
      </c>
      <c r="C12534" s="5" t="str">
        <f>IFERROR(__xludf.DUMMYFUNCTION("GOOGLETRANSLATE(B12534,""en"",""de"")"),"Dann wirft er den Ball und der Mann eilt, um die Entfernung zu messen.")</f>
        <v>Dann wirft er den Ball und der Mann eilt, um die Entfernung zu messen.</v>
      </c>
    </row>
    <row r="12535">
      <c r="A12535" s="4" t="s">
        <v>15763</v>
      </c>
      <c r="B12535" s="4" t="s">
        <v>15771</v>
      </c>
      <c r="C12535" s="5" t="str">
        <f>IFERROR(__xludf.DUMMYFUNCTION("GOOGLETRANSLATE(B12535,""en"",""de"")"),"Er wird mit seinem Team stehen und eine sofortige Wiederholung des Wurfs wird gezeigt.")</f>
        <v>Er wird mit seinem Team stehen und eine sofortige Wiederholung des Wurfs wird gezeigt.</v>
      </c>
    </row>
    <row r="12536">
      <c r="A12536" s="4" t="s">
        <v>15763</v>
      </c>
      <c r="B12536" s="4" t="s">
        <v>15772</v>
      </c>
      <c r="C12536" s="5" t="str">
        <f>IFERROR(__xludf.DUMMYFUNCTION("GOOGLETRANSLATE(B12536,""en"",""de"")"),"Die Punktzahl wird auf dem Bildschirm angezeigt.")</f>
        <v>Die Punktzahl wird auf dem Bildschirm angezeigt.</v>
      </c>
    </row>
    <row r="12537">
      <c r="A12537" s="4" t="s">
        <v>15763</v>
      </c>
      <c r="B12537" s="4" t="s">
        <v>15773</v>
      </c>
      <c r="C12537" s="5" t="str">
        <f>IFERROR(__xludf.DUMMYFUNCTION("GOOGLETRANSLATE(B12537,""en"",""de"")"),"Fans werden gezeigt, dass sie die Welle machen.")</f>
        <v>Fans werden gezeigt, dass sie die Welle machen.</v>
      </c>
    </row>
    <row r="12538">
      <c r="A12538" s="4" t="s">
        <v>15774</v>
      </c>
      <c r="B12538" s="4" t="s">
        <v>15775</v>
      </c>
      <c r="C12538" s="5" t="str">
        <f>IFERROR(__xludf.DUMMYFUNCTION("GOOGLETRANSLATE(B12538,""en"",""de"")"),"Ein Kind Ski auf dem Schnee, der zwei Stangen hält und Himmel trägt.")</f>
        <v>Ein Kind Ski auf dem Schnee, der zwei Stangen hält und Himmel trägt.</v>
      </c>
    </row>
    <row r="12539">
      <c r="A12539" s="4" t="s">
        <v>15774</v>
      </c>
      <c r="B12539" s="4" t="s">
        <v>15776</v>
      </c>
      <c r="C12539" s="5" t="str">
        <f>IFERROR(__xludf.DUMMYFUNCTION("GOOGLETRANSLATE(B12539,""en"",""de"")"),"Erwachsene Ski hinter dem Kind.")</f>
        <v>Erwachsene Ski hinter dem Kind.</v>
      </c>
    </row>
    <row r="12540">
      <c r="A12540" s="4" t="s">
        <v>15774</v>
      </c>
      <c r="B12540" s="4" t="s">
        <v>15777</v>
      </c>
      <c r="C12540" s="5" t="str">
        <f>IFERROR(__xludf.DUMMYFUNCTION("GOOGLETRANSLATE(B12540,""en"",""de"")"),"Dann hört das Kind auf und fängt dann an zu gehen, bis ich auf den Hügel gleiten soll.")</f>
        <v>Dann hört das Kind auf und fängt dann an zu gehen, bis ich auf den Hügel gleiten soll.</v>
      </c>
    </row>
    <row r="12541">
      <c r="A12541" s="4" t="s">
        <v>15778</v>
      </c>
      <c r="B12541" s="4" t="s">
        <v>15779</v>
      </c>
      <c r="C12541" s="5" t="str">
        <f>IFERROR(__xludf.DUMMYFUNCTION("GOOGLETRANSLATE(B12541,""en"",""de"")"),"Eine Luftaufnahme eines Feldes und Tiere wird gezeigt.")</f>
        <v>Eine Luftaufnahme eines Feldes und Tiere wird gezeigt.</v>
      </c>
    </row>
    <row r="12542">
      <c r="A12542" s="4" t="s">
        <v>15778</v>
      </c>
      <c r="B12542" s="4" t="s">
        <v>15780</v>
      </c>
      <c r="C12542" s="5" t="str">
        <f>IFERROR(__xludf.DUMMYFUNCTION("GOOGLETRANSLATE(B12542,""en"",""de"")"),"Die Leute mahlen um ein Dartboard und machen dann mit Protokollen Holzfäller.")</f>
        <v>Die Leute mahlen um ein Dartboard und machen dann mit Protokollen Holzfäller.</v>
      </c>
    </row>
    <row r="12543">
      <c r="A12543" s="4" t="s">
        <v>15778</v>
      </c>
      <c r="B12543" s="4" t="s">
        <v>15781</v>
      </c>
      <c r="C12543" s="5" t="str">
        <f>IFERROR(__xludf.DUMMYFUNCTION("GOOGLETRANSLATE(B12543,""en"",""de"")"),"Ein Boot wird vorbereitet und die Gruppe beginnt mit Wasser Skifahren, Wakeboarden und dergleichen.")</f>
        <v>Ein Boot wird vorbereitet und die Gruppe beginnt mit Wasser Skifahren, Wakeboarden und dergleichen.</v>
      </c>
    </row>
    <row r="12544">
      <c r="A12544" s="4" t="s">
        <v>15778</v>
      </c>
      <c r="B12544" s="4" t="s">
        <v>15782</v>
      </c>
      <c r="C12544" s="5" t="str">
        <f>IFERROR(__xludf.DUMMYFUNCTION("GOOGLETRANSLATE(B12544,""en"",""de"")"),"Am Ende entspannen sich die Menschen auf dem Boot.")</f>
        <v>Am Ende entspannen sich die Menschen auf dem Boot.</v>
      </c>
    </row>
    <row r="12545">
      <c r="A12545" s="4" t="s">
        <v>15783</v>
      </c>
      <c r="B12545" s="4" t="s">
        <v>15784</v>
      </c>
      <c r="C12545" s="5" t="str">
        <f>IFERROR(__xludf.DUMMYFUNCTION("GOOGLETRANSLATE(B12545,""en"",""de"")"),"Die Leute spielen Badminton auf einem Platz.")</f>
        <v>Die Leute spielen Badminton auf einem Platz.</v>
      </c>
    </row>
    <row r="12546">
      <c r="A12546" s="4" t="s">
        <v>15783</v>
      </c>
      <c r="B12546" s="4" t="s">
        <v>15785</v>
      </c>
      <c r="C12546" s="5" t="str">
        <f>IFERROR(__xludf.DUMMYFUNCTION("GOOGLETRANSLATE(B12546,""en"",""de"")"),"Ein Publikum beobachtet sie spielen.")</f>
        <v>Ein Publikum beobachtet sie spielen.</v>
      </c>
    </row>
    <row r="12547">
      <c r="A12547" s="4" t="s">
        <v>15783</v>
      </c>
      <c r="B12547" s="4" t="s">
        <v>15786</v>
      </c>
      <c r="C12547" s="5" t="str">
        <f>IFERROR(__xludf.DUMMYFUNCTION("GOOGLETRANSLATE(B12547,""en"",""de"")"),"Ein Cartoon von Leuten, die das Spiel spielen, wird gezeigt.")</f>
        <v>Ein Cartoon von Leuten, die das Spiel spielen, wird gezeigt.</v>
      </c>
    </row>
    <row r="12548">
      <c r="A12548" s="4" t="s">
        <v>15783</v>
      </c>
      <c r="B12548" s="4" t="s">
        <v>15787</v>
      </c>
      <c r="C12548" s="5" t="str">
        <f>IFERROR(__xludf.DUMMYFUNCTION("GOOGLETRANSLATE(B12548,""en"",""de"")"),"Ein Mann in einem blauen Pullover spricht mit der Kamera.")</f>
        <v>Ein Mann in einem blauen Pullover spricht mit der Kamera.</v>
      </c>
    </row>
    <row r="12549">
      <c r="A12549" s="4" t="s">
        <v>15788</v>
      </c>
      <c r="B12549" s="4" t="s">
        <v>15789</v>
      </c>
      <c r="C12549" s="5" t="str">
        <f>IFERROR(__xludf.DUMMYFUNCTION("GOOGLETRANSLATE(B12549,""en"",""de"")"),"Der Bäcker legt einen sicheren Ring auf einen Silikonmaterial.")</f>
        <v>Der Bäcker legt einen sicheren Ring auf einen Silikonmaterial.</v>
      </c>
    </row>
    <row r="12550">
      <c r="A12550" s="4" t="s">
        <v>15788</v>
      </c>
      <c r="B12550" s="4" t="s">
        <v>15790</v>
      </c>
      <c r="C12550" s="5" t="str">
        <f>IFERROR(__xludf.DUMMYFUNCTION("GOOGLETRANSLATE(B12550,""en"",""de"")"),"Der Bäcker gießt den Teig in den lila Molker, dann legt er ein Silikonschale in den Ofen und steckt den Kuchen in den Ofen.")</f>
        <v>Der Bäcker gießt den Teig in den lila Molker, dann legt er ein Silikonschale in den Ofen und steckt den Kuchen in den Ofen.</v>
      </c>
    </row>
    <row r="12551">
      <c r="A12551" s="4" t="s">
        <v>15788</v>
      </c>
      <c r="B12551" s="4" t="s">
        <v>15791</v>
      </c>
      <c r="C12551" s="5" t="str">
        <f>IFERROR(__xludf.DUMMYFUNCTION("GOOGLETRANSLATE(B12551,""en"",""de"")"),"Der Bäcker dreht den Kuchen im Teller um und legt Glasur und Früchte darauf.")</f>
        <v>Der Bäcker dreht den Kuchen im Teller um und legt Glasur und Früchte darauf.</v>
      </c>
    </row>
    <row r="12552">
      <c r="A12552" s="4" t="s">
        <v>15788</v>
      </c>
      <c r="B12552" s="4" t="s">
        <v>15792</v>
      </c>
      <c r="C12552" s="5" t="str">
        <f>IFERROR(__xludf.DUMMYFUNCTION("GOOGLETRANSLATE(B12552,""en"",""de"")"),"Der Bäcker legte Sicherheit auf den Molker, legte Gelee hinein, dann legte er das Gelee vom Molker.")</f>
        <v>Der Bäcker legte Sicherheit auf den Molker, legte Gelee hinein, dann legte er das Gelee vom Molker.</v>
      </c>
    </row>
    <row r="12553">
      <c r="A12553" s="4" t="s">
        <v>15788</v>
      </c>
      <c r="B12553" s="4" t="s">
        <v>15793</v>
      </c>
      <c r="C12553" s="5" t="str">
        <f>IFERROR(__xludf.DUMMYFUNCTION("GOOGLETRANSLATE(B12553,""en"",""de"")"),"Der Bäcker machte Eis am Stiel und Kuchendekorationen und Pralinen mit dem Molker.")</f>
        <v>Der Bäcker machte Eis am Stiel und Kuchendekorationen und Pralinen mit dem Molker.</v>
      </c>
    </row>
    <row r="12554">
      <c r="A12554" s="4" t="s">
        <v>15794</v>
      </c>
      <c r="B12554" s="4" t="s">
        <v>15795</v>
      </c>
      <c r="C12554" s="5" t="str">
        <f>IFERROR(__xludf.DUMMYFUNCTION("GOOGLETRANSLATE(B12554,""en"",""de"")"),"Ein Mann wird gesehen, wie er auf einem Pferd reitet und dann ein Kalb seilt, während andere zuschauen.")</f>
        <v>Ein Mann wird gesehen, wie er auf einem Pferd reitet und dann ein Kalb seilt, während andere zuschauen.</v>
      </c>
    </row>
    <row r="12555">
      <c r="A12555" s="4" t="s">
        <v>15794</v>
      </c>
      <c r="B12555" s="4" t="s">
        <v>15796</v>
      </c>
      <c r="C12555" s="5" t="str">
        <f>IFERROR(__xludf.DUMMYFUNCTION("GOOGLETRANSLATE(B12555,""en"",""de"")"),"Der Mann bindet dann das Kalb und klettert auf das Pferd und andere treten in den Ring.")</f>
        <v>Der Mann bindet dann das Kalb und klettert auf das Pferd und andere treten in den Ring.</v>
      </c>
    </row>
    <row r="12556">
      <c r="A12556" s="4" t="s">
        <v>15797</v>
      </c>
      <c r="B12556" s="4" t="s">
        <v>15798</v>
      </c>
      <c r="C12556" s="5" t="str">
        <f>IFERROR(__xludf.DUMMYFUNCTION("GOOGLETRANSLATE(B12556,""en"",""de"")"),"Auf einem Foto wird ein weiblicher Turner gezeigt.")</f>
        <v>Auf einem Foto wird ein weiblicher Turner gezeigt.</v>
      </c>
    </row>
    <row r="12557">
      <c r="A12557" s="4" t="s">
        <v>15797</v>
      </c>
      <c r="B12557" s="4" t="s">
        <v>15799</v>
      </c>
      <c r="C12557" s="5" t="str">
        <f>IFERROR(__xludf.DUMMYFUNCTION("GOOGLETRANSLATE(B12557,""en"",""de"")"),"Sie wird dann gezeigt, wie sie einen Hochstrahl vorbereitet und dann montiert.")</f>
        <v>Sie wird dann gezeigt, wie sie einen Hochstrahl vorbereitet und dann montiert.</v>
      </c>
    </row>
    <row r="12558">
      <c r="A12558" s="4" t="s">
        <v>15797</v>
      </c>
      <c r="B12558" s="4" t="s">
        <v>15800</v>
      </c>
      <c r="C12558" s="5" t="str">
        <f>IFERROR(__xludf.DUMMYFUNCTION("GOOGLETRANSLATE(B12558,""en"",""de"")"),"Sie dreht und schaltet den Strahl ein und ändert sich zwischen zwei Strahlen.")</f>
        <v>Sie dreht und schaltet den Strahl ein und ändert sich zwischen zwei Strahlen.</v>
      </c>
    </row>
    <row r="12559">
      <c r="A12559" s="4" t="s">
        <v>15797</v>
      </c>
      <c r="B12559" s="4" t="s">
        <v>15801</v>
      </c>
      <c r="C12559" s="5" t="str">
        <f>IFERROR(__xludf.DUMMYFUNCTION("GOOGLETRANSLATE(B12559,""en"",""de"")"),"Sie steigt ab und wirft ihre Arme triumphierend in die Luft.")</f>
        <v>Sie steigt ab und wirft ihre Arme triumphierend in die Luft.</v>
      </c>
    </row>
    <row r="12560">
      <c r="A12560" s="4" t="s">
        <v>15802</v>
      </c>
      <c r="B12560" s="4" t="s">
        <v>15803</v>
      </c>
      <c r="C12560" s="5" t="str">
        <f>IFERROR(__xludf.DUMMYFUNCTION("GOOGLETRANSLATE(B12560,""en"",""de"")"),"Ein Kind sitzt auf einer Theke mit einem Behälter mit Wasserfarben.")</f>
        <v>Ein Kind sitzt auf einer Theke mit einem Behälter mit Wasserfarben.</v>
      </c>
    </row>
    <row r="12561">
      <c r="A12561" s="4" t="s">
        <v>15802</v>
      </c>
      <c r="B12561" s="4" t="s">
        <v>15804</v>
      </c>
      <c r="C12561" s="5" t="str">
        <f>IFERROR(__xludf.DUMMYFUNCTION("GOOGLETRANSLATE(B12561,""en"",""de"")"),"Sie verwendet einen Pinsel, um die Farben auf ihr Gesicht aufzutragen.")</f>
        <v>Sie verwendet einen Pinsel, um die Farben auf ihr Gesicht aufzutragen.</v>
      </c>
    </row>
    <row r="12562">
      <c r="A12562" s="4" t="s">
        <v>15802</v>
      </c>
      <c r="B12562" s="4" t="s">
        <v>15805</v>
      </c>
      <c r="C12562" s="5" t="str">
        <f>IFERROR(__xludf.DUMMYFUNCTION("GOOGLETRANSLATE(B12562,""en"",""de"")"),"Sie fängt dann an, die Farbe über ihre Brust zu legen.")</f>
        <v>Sie fängt dann an, die Farbe über ihre Brust zu legen.</v>
      </c>
    </row>
    <row r="12563">
      <c r="A12563" s="4" t="s">
        <v>15806</v>
      </c>
      <c r="B12563" s="4" t="s">
        <v>15807</v>
      </c>
      <c r="C12563" s="5" t="str">
        <f>IFERROR(__xludf.DUMMYFUNCTION("GOOGLETRANSLATE(B12563,""en"",""de"")"),"Es wird ein Countdown gezeigt, der zu einer Person führt, die in einem Spiel einen Korb erzielt.")</f>
        <v>Es wird ein Countdown gezeigt, der zu einer Person führt, die in einem Spiel einen Korb erzielt.</v>
      </c>
    </row>
    <row r="12564">
      <c r="A12564" s="4" t="s">
        <v>15806</v>
      </c>
      <c r="B12564" s="4" t="s">
        <v>15808</v>
      </c>
      <c r="C12564" s="5" t="str">
        <f>IFERROR(__xludf.DUMMYFUNCTION("GOOGLETRANSLATE(B12564,""en"",""de"")"),"Weitere Text werden angezeigt, das eine Liste abzählt und eine andere Person zeigt, die einen Punkt bewertet.")</f>
        <v>Weitere Text werden angezeigt, das eine Liste abzählt und eine andere Person zeigt, die einen Punkt bewertet.</v>
      </c>
    </row>
    <row r="12565">
      <c r="A12565" s="4" t="s">
        <v>15806</v>
      </c>
      <c r="B12565" s="4" t="s">
        <v>15809</v>
      </c>
      <c r="C12565" s="5" t="str">
        <f>IFERROR(__xludf.DUMMYFUNCTION("GOOGLETRANSLATE(B12565,""en"",""de"")"),"Es werden einige weitere Aufnahmen von Menschen gezeigt, die beeindruckende Sporttaktiken durchführen, während die Liste zählt.")</f>
        <v>Es werden einige weitere Aufnahmen von Menschen gezeigt, die beeindruckende Sporttaktiken durchführen, während die Liste zählt.</v>
      </c>
    </row>
    <row r="12566">
      <c r="A12566" s="4" t="s">
        <v>15810</v>
      </c>
      <c r="B12566" s="4" t="s">
        <v>15811</v>
      </c>
      <c r="C12566" s="5" t="str">
        <f>IFERROR(__xludf.DUMMYFUNCTION("GOOGLETRANSLATE(B12566,""en"",""de"")"),"Ein Boot fährt mit einem Seil dahinter zu einem See.")</f>
        <v>Ein Boot fährt mit einem Seil dahinter zu einem See.</v>
      </c>
    </row>
    <row r="12567">
      <c r="A12567" s="4" t="s">
        <v>15810</v>
      </c>
      <c r="B12567" s="4" t="s">
        <v>15812</v>
      </c>
      <c r="C12567" s="5" t="str">
        <f>IFERROR(__xludf.DUMMYFUNCTION("GOOGLETRANSLATE(B12567,""en"",""de"")"),"Ein Junge greift nach dem Seil und geht nach dem Boot ins Wasser.")</f>
        <v>Ein Junge greift nach dem Seil und geht nach dem Boot ins Wasser.</v>
      </c>
    </row>
    <row r="12568">
      <c r="A12568" s="4" t="s">
        <v>15810</v>
      </c>
      <c r="B12568" s="4" t="s">
        <v>15813</v>
      </c>
      <c r="C12568" s="5" t="str">
        <f>IFERROR(__xludf.DUMMYFUNCTION("GOOGLETRANSLATE(B12568,""en"",""de"")"),"Das Boot beginnt zu beschleunigen.")</f>
        <v>Das Boot beginnt zu beschleunigen.</v>
      </c>
    </row>
    <row r="12569">
      <c r="A12569" s="4" t="s">
        <v>15810</v>
      </c>
      <c r="B12569" s="4" t="s">
        <v>15814</v>
      </c>
      <c r="C12569" s="5" t="str">
        <f>IFERROR(__xludf.DUMMYFUNCTION("GOOGLETRANSLATE(B12569,""en"",""de"")"),"Der Junge wird auf die Füße gebracht und beginnt mit Wasserski.")</f>
        <v>Der Junge wird auf die Füße gebracht und beginnt mit Wasserski.</v>
      </c>
    </row>
    <row r="12570">
      <c r="A12570" s="4" t="s">
        <v>15815</v>
      </c>
      <c r="B12570" s="4" t="s">
        <v>15816</v>
      </c>
      <c r="C12570" s="5" t="str">
        <f>IFERROR(__xludf.DUMMYFUNCTION("GOOGLETRANSLATE(B12570,""en"",""de"")"),"Ein Mann geht auf eine Matte und hebt ein großes Gewicht über seinen Kopf.")</f>
        <v>Ein Mann geht auf eine Matte und hebt ein großes Gewicht über seinen Kopf.</v>
      </c>
    </row>
    <row r="12571">
      <c r="A12571" s="4" t="s">
        <v>15815</v>
      </c>
      <c r="B12571" s="4" t="s">
        <v>15817</v>
      </c>
      <c r="C12571" s="5" t="str">
        <f>IFERROR(__xludf.DUMMYFUNCTION("GOOGLETRANSLATE(B12571,""en"",""de"")"),"Ein Mann in einem roten Hemd setzt sich.")</f>
        <v>Ein Mann in einem roten Hemd setzt sich.</v>
      </c>
    </row>
    <row r="12572">
      <c r="A12572" s="4" t="s">
        <v>15815</v>
      </c>
      <c r="B12572" s="4" t="s">
        <v>15818</v>
      </c>
      <c r="C12572" s="5" t="str">
        <f>IFERROR(__xludf.DUMMYFUNCTION("GOOGLETRANSLATE(B12572,""en"",""de"")"),"Ein Mann geht auf und hebt ein großes Gewicht über seinen Kopf und lässt ihn auf den Boden fallen.")</f>
        <v>Ein Mann geht auf und hebt ein großes Gewicht über seinen Kopf und lässt ihn auf den Boden fallen.</v>
      </c>
    </row>
    <row r="12573">
      <c r="A12573" s="4" t="s">
        <v>15815</v>
      </c>
      <c r="B12573" s="4" t="s">
        <v>15819</v>
      </c>
      <c r="C12573" s="5" t="str">
        <f>IFERROR(__xludf.DUMMYFUNCTION("GOOGLETRANSLATE(B12573,""en"",""de"")"),"Ein anderer Mann kommt auf die Matte und hebt ein Gewicht über den Kopf.")</f>
        <v>Ein anderer Mann kommt auf die Matte und hebt ein Gewicht über den Kopf.</v>
      </c>
    </row>
    <row r="12574">
      <c r="A12574" s="4" t="s">
        <v>15820</v>
      </c>
      <c r="B12574" s="4" t="s">
        <v>15821</v>
      </c>
      <c r="C12574" s="5" t="str">
        <f>IFERROR(__xludf.DUMMYFUNCTION("GOOGLETRANSLATE(B12574,""en"",""de"")"),"Ein Mann steht vor einem Spiegel, der einen Rasiermesser hält.")</f>
        <v>Ein Mann steht vor einem Spiegel, der einen Rasiermesser hält.</v>
      </c>
    </row>
    <row r="12575">
      <c r="A12575" s="4" t="s">
        <v>15820</v>
      </c>
      <c r="B12575" s="4" t="s">
        <v>15822</v>
      </c>
      <c r="C12575" s="5" t="str">
        <f>IFERROR(__xludf.DUMMYFUNCTION("GOOGLETRANSLATE(B12575,""en"",""de"")"),"Dann fängt er an, sein Gesicht zu rasieren, während er immer noch in den Spiegel schaut.")</f>
        <v>Dann fängt er an, sein Gesicht zu rasieren, während er immer noch in den Spiegel schaut.</v>
      </c>
    </row>
    <row r="12576">
      <c r="A12576" s="4" t="s">
        <v>15820</v>
      </c>
      <c r="B12576" s="4" t="s">
        <v>15823</v>
      </c>
      <c r="C12576" s="5" t="str">
        <f>IFERROR(__xludf.DUMMYFUNCTION("GOOGLETRANSLATE(B12576,""en"",""de"")"),"Er rasiert sein Gesicht und schaut zurück und lächle in die Kamera.")</f>
        <v>Er rasiert sein Gesicht und schaut zurück und lächle in die Kamera.</v>
      </c>
    </row>
    <row r="12577">
      <c r="A12577" s="4" t="s">
        <v>15824</v>
      </c>
      <c r="B12577" s="4" t="s">
        <v>15825</v>
      </c>
      <c r="C12577" s="5" t="str">
        <f>IFERROR(__xludf.DUMMYFUNCTION("GOOGLETRANSLATE(B12577,""en"",""de"")"),"Das kleine Mädchen mit langen Haaren tanzt in einem Wohnzimmer mit vielen Stiefeln und Schuhen auf dem Boden, sie zog sie an und nimmt es aus.")</f>
        <v>Das kleine Mädchen mit langen Haaren tanzt in einem Wohnzimmer mit vielen Stiefeln und Schuhen auf dem Boden, sie zog sie an und nimmt es aus.</v>
      </c>
    </row>
    <row r="12578">
      <c r="A12578" s="4" t="s">
        <v>15824</v>
      </c>
      <c r="B12578" s="4" t="s">
        <v>15826</v>
      </c>
      <c r="C12578" s="5" t="str">
        <f>IFERROR(__xludf.DUMMYFUNCTION("GOOGLETRANSLATE(B12578,""en"",""de"")"),"Das Mädchen ist im Wohnzimmer und wieder auf dem Raum.")</f>
        <v>Das Mädchen ist im Wohnzimmer und wieder auf dem Raum.</v>
      </c>
    </row>
    <row r="12579">
      <c r="A12579" s="4" t="s">
        <v>15824</v>
      </c>
      <c r="B12579" s="4" t="s">
        <v>15827</v>
      </c>
      <c r="C12579" s="5" t="str">
        <f>IFERROR(__xludf.DUMMYFUNCTION("GOOGLETRANSLATE(B12579,""en"",""de"")"),"Little Girl ist in der Bibliothek und schnappt sich etwas und tanzt dann im Raum.")</f>
        <v>Little Girl ist in der Bibliothek und schnappt sich etwas und tanzt dann im Raum.</v>
      </c>
    </row>
    <row r="12580">
      <c r="A12580" s="4" t="s">
        <v>15828</v>
      </c>
      <c r="B12580" s="4" t="s">
        <v>15829</v>
      </c>
      <c r="C12580" s="5" t="str">
        <f>IFERROR(__xludf.DUMMYFUNCTION("GOOGLETRANSLATE(B12580,""en"",""de"")"),"Die Leute sitzen hinter großen Trommeln.")</f>
        <v>Die Leute sitzen hinter großen Trommeln.</v>
      </c>
    </row>
    <row r="12581">
      <c r="A12581" s="4" t="s">
        <v>15828</v>
      </c>
      <c r="B12581" s="4" t="s">
        <v>15830</v>
      </c>
      <c r="C12581" s="5" t="str">
        <f>IFERROR(__xludf.DUMMYFUNCTION("GOOGLETRANSLATE(B12581,""en"",""de"")"),"Sie beginnen mit ihren Händen Schlagzeug zu spielen.")</f>
        <v>Sie beginnen mit ihren Händen Schlagzeug zu spielen.</v>
      </c>
    </row>
    <row r="12582">
      <c r="A12582" s="4" t="s">
        <v>15828</v>
      </c>
      <c r="B12582" s="4" t="s">
        <v>15831</v>
      </c>
      <c r="C12582" s="5" t="str">
        <f>IFERROR(__xludf.DUMMYFUNCTION("GOOGLETRANSLATE(B12582,""en"",""de"")"),"Die Leute stehen auf der Straße und beobachten sie.")</f>
        <v>Die Leute stehen auf der Straße und beobachten sie.</v>
      </c>
    </row>
    <row r="12583">
      <c r="A12583" s="4" t="s">
        <v>15828</v>
      </c>
      <c r="B12583" s="4" t="s">
        <v>15832</v>
      </c>
      <c r="C12583" s="5" t="str">
        <f>IFERROR(__xludf.DUMMYFUNCTION("GOOGLETRANSLATE(B12583,""en"",""de"")"),"Ein Mann nimmt seinen Stuhl auf und dreht ihn auf die Trommeln.")</f>
        <v>Ein Mann nimmt seinen Stuhl auf und dreht ihn auf die Trommeln.</v>
      </c>
    </row>
    <row r="12584">
      <c r="A12584" s="4" t="s">
        <v>15833</v>
      </c>
      <c r="B12584" s="4" t="s">
        <v>15834</v>
      </c>
      <c r="C12584" s="5" t="str">
        <f>IFERROR(__xludf.DUMMYFUNCTION("GOOGLETRANSLATE(B12584,""en"",""de"")"),"Ein Mann und eine Frau sind zusammen auf einer Bühne.")</f>
        <v>Ein Mann und eine Frau sind zusammen auf einer Bühne.</v>
      </c>
    </row>
    <row r="12585">
      <c r="A12585" s="4" t="s">
        <v>15833</v>
      </c>
      <c r="B12585" s="4" t="s">
        <v>15835</v>
      </c>
      <c r="C12585" s="5" t="str">
        <f>IFERROR(__xludf.DUMMYFUNCTION("GOOGLETRANSLATE(B12585,""en"",""de"")"),"Sie spielen schnell Schlagzeug vor einer Menge.")</f>
        <v>Sie spielen schnell Schlagzeug vor einer Menge.</v>
      </c>
    </row>
    <row r="12586">
      <c r="A12586" s="4" t="s">
        <v>15833</v>
      </c>
      <c r="B12586" s="4" t="s">
        <v>15836</v>
      </c>
      <c r="C12586" s="5" t="str">
        <f>IFERROR(__xludf.DUMMYFUNCTION("GOOGLETRANSLATE(B12586,""en"",""de"")"),"Ein älterer Mann spielt dann auch Schlagzeug.")</f>
        <v>Ein älterer Mann spielt dann auch Schlagzeug.</v>
      </c>
    </row>
    <row r="12587">
      <c r="A12587" s="4" t="s">
        <v>15837</v>
      </c>
      <c r="B12587" s="4" t="s">
        <v>15838</v>
      </c>
      <c r="C12587" s="5" t="str">
        <f>IFERROR(__xludf.DUMMYFUNCTION("GOOGLETRANSLATE(B12587,""en"",""de"")"),"Eine Kamera schwenkt in einem Laden und schwenkt zu einem Mädchen zurück, das spricht.")</f>
        <v>Eine Kamera schwenkt in einem Laden und schwenkt zu einem Mädchen zurück, das spricht.</v>
      </c>
    </row>
    <row r="12588">
      <c r="A12588" s="4" t="s">
        <v>15837</v>
      </c>
      <c r="B12588" s="4" t="s">
        <v>15839</v>
      </c>
      <c r="C12588" s="5" t="str">
        <f>IFERROR(__xludf.DUMMYFUNCTION("GOOGLETRANSLATE(B12588,""en"",""de"")"),"Sie zeigt mehrmals auf ihr Gesicht und gibt eine kleine Tour durch ihr Zimmer.")</f>
        <v>Sie zeigt mehrmals auf ihr Gesicht und gibt eine kleine Tour durch ihr Zimmer.</v>
      </c>
    </row>
    <row r="12589">
      <c r="A12589" s="4" t="s">
        <v>15837</v>
      </c>
      <c r="B12589" s="4" t="s">
        <v>15840</v>
      </c>
      <c r="C12589" s="5" t="str">
        <f>IFERROR(__xludf.DUMMYFUNCTION("GOOGLETRANSLATE(B12589,""en"",""de"")"),"Sie spricht weiter mit der Kamera und zeigt schließlich Aufnahmen, wie sie sich die Nase durchbohrt.")</f>
        <v>Sie spricht weiter mit der Kamera und zeigt schließlich Aufnahmen, wie sie sich die Nase durchbohrt.</v>
      </c>
    </row>
    <row r="12590">
      <c r="A12590" s="4" t="s">
        <v>15837</v>
      </c>
      <c r="B12590" s="4" t="s">
        <v>15841</v>
      </c>
      <c r="C12590" s="5" t="str">
        <f>IFERROR(__xludf.DUMMYFUNCTION("GOOGLETRANSLATE(B12590,""en"",""de"")"),"Sie apariert mit der durchbohrten Nase wieder in den Raum und zeigt ein Getränk und Sushi.")</f>
        <v>Sie apariert mit der durchbohrten Nase wieder in den Raum und zeigt ein Getränk und Sushi.</v>
      </c>
    </row>
    <row r="12591">
      <c r="A12591" s="4" t="s">
        <v>15837</v>
      </c>
      <c r="B12591" s="4" t="s">
        <v>15842</v>
      </c>
      <c r="C12591" s="5" t="str">
        <f>IFERROR(__xludf.DUMMYFUNCTION("GOOGLETRANSLATE(B12591,""en"",""de"")"),"Schließlich zeigt sie ein Buch sowie eine Tasche mit weißem Pulver und sich in einem Pony -Schwanz.")</f>
        <v>Schließlich zeigt sie ein Buch sowie eine Tasche mit weißem Pulver und sich in einem Pony -Schwanz.</v>
      </c>
    </row>
    <row r="12592">
      <c r="A12592" s="4" t="s">
        <v>15843</v>
      </c>
      <c r="B12592" s="4" t="s">
        <v>15844</v>
      </c>
      <c r="C12592" s="5" t="str">
        <f>IFERROR(__xludf.DUMMYFUNCTION("GOOGLETRANSLATE(B12592,""en"",""de"")"),"Ein Mann spricht auf dem Schlagzeuger und hält zwei Stöcke.")</f>
        <v>Ein Mann spricht auf dem Schlagzeuger und hält zwei Stöcke.</v>
      </c>
    </row>
    <row r="12593">
      <c r="A12593" s="4" t="s">
        <v>15843</v>
      </c>
      <c r="B12593" s="4" t="s">
        <v>15845</v>
      </c>
      <c r="C12593" s="5" t="str">
        <f>IFERROR(__xludf.DUMMYFUNCTION("GOOGLETRANSLATE(B12593,""en"",""de"")"),"Der Mann gibt vor, Schlagzeug zu spielen, und redet dann weiter.")</f>
        <v>Der Mann gibt vor, Schlagzeug zu spielen, und redet dann weiter.</v>
      </c>
    </row>
    <row r="12594">
      <c r="A12594" s="4" t="s">
        <v>15846</v>
      </c>
      <c r="B12594" s="4" t="s">
        <v>15847</v>
      </c>
      <c r="C12594" s="5" t="str">
        <f>IFERROR(__xludf.DUMMYFUNCTION("GOOGLETRANSLATE(B12594,""en"",""de"")"),"Eine Frau, die hellblaues Tanktop und schwarze Shorts trägt, trainiert auf einer Elliptik.")</f>
        <v>Eine Frau, die hellblaues Tanktop und schwarze Shorts trägt, trainiert auf einer Elliptik.</v>
      </c>
    </row>
    <row r="12595">
      <c r="A12595" s="4" t="s">
        <v>15846</v>
      </c>
      <c r="B12595" s="4" t="s">
        <v>15848</v>
      </c>
      <c r="C12595" s="5" t="str">
        <f>IFERROR(__xludf.DUMMYFUNCTION("GOOGLETRANSLATE(B12595,""en"",""de"")"),"Sie geht weiter auf der Elliptik, als sie ihre Hände nach vorne und rückwärts bewegt.")</f>
        <v>Sie geht weiter auf der Elliptik, als sie ihre Hände nach vorne und rückwärts bewegt.</v>
      </c>
    </row>
    <row r="12596">
      <c r="A12596" s="4" t="s">
        <v>15846</v>
      </c>
      <c r="B12596" s="4" t="s">
        <v>15849</v>
      </c>
      <c r="C12596" s="5" t="str">
        <f>IFERROR(__xludf.DUMMYFUNCTION("GOOGLETRANSLATE(B12596,""en"",""de"")"),"Sie beendet dann ihre Übungsroutine, steigt von der Ausrüstung und nimmt etwas Wasser aus einer blauen Wasserflasche.")</f>
        <v>Sie beendet dann ihre Übungsroutine, steigt von der Ausrüstung und nimmt etwas Wasser aus einer blauen Wasserflasche.</v>
      </c>
    </row>
    <row r="12597">
      <c r="A12597" s="4" t="s">
        <v>15846</v>
      </c>
      <c r="B12597" s="4" t="s">
        <v>15850</v>
      </c>
      <c r="C12597" s="5" t="str">
        <f>IFERROR(__xludf.DUMMYFUNCTION("GOOGLETRANSLATE(B12597,""en"",""de"")"),"Sie geht weg und hält die Flasche in der Hand.")</f>
        <v>Sie geht weg und hält die Flasche in der Hand.</v>
      </c>
    </row>
    <row r="12598">
      <c r="A12598" s="4" t="s">
        <v>15851</v>
      </c>
      <c r="B12598" s="4" t="s">
        <v>15852</v>
      </c>
      <c r="C12598" s="5" t="str">
        <f>IFERROR(__xludf.DUMMYFUNCTION("GOOGLETRANSLATE(B12598,""en"",""de"")"),"Wir sehen ein kleines Mädchen, das einen Zaunrot malt.")</f>
        <v>Wir sehen ein kleines Mädchen, das einen Zaunrot malt.</v>
      </c>
    </row>
    <row r="12599">
      <c r="A12599" s="4" t="s">
        <v>15851</v>
      </c>
      <c r="B12599" s="4" t="s">
        <v>15853</v>
      </c>
      <c r="C12599" s="5" t="str">
        <f>IFERROR(__xludf.DUMMYFUNCTION("GOOGLETRANSLATE(B12599,""en"",""de"")"),"Das Mädchen legt mehr Farbe auf ihren Pinsel.")</f>
        <v>Das Mädchen legt mehr Farbe auf ihren Pinsel.</v>
      </c>
    </row>
    <row r="12600">
      <c r="A12600" s="4" t="s">
        <v>15851</v>
      </c>
      <c r="B12600" s="4" t="s">
        <v>15854</v>
      </c>
      <c r="C12600" s="5" t="str">
        <f>IFERROR(__xludf.DUMMYFUNCTION("GOOGLETRANSLATE(B12600,""en"",""de"")"),"Das Mädchen füllt ihre Bürste erneut.")</f>
        <v>Das Mädchen füllt ihre Bürste erneut.</v>
      </c>
    </row>
    <row r="12601">
      <c r="A12601" s="4" t="s">
        <v>15851</v>
      </c>
      <c r="B12601" s="4" t="s">
        <v>15855</v>
      </c>
      <c r="C12601" s="5" t="str">
        <f>IFERROR(__xludf.DUMMYFUNCTION("GOOGLETRANSLATE(B12601,""en"",""de"")"),"Wir sehen den Zaun und ein Erwachsener zeigt ihr, wie man malt.")</f>
        <v>Wir sehen den Zaun und ein Erwachsener zeigt ihr, wie man malt.</v>
      </c>
    </row>
    <row r="12602">
      <c r="A12602" s="4" t="s">
        <v>15851</v>
      </c>
      <c r="B12602" s="4" t="s">
        <v>15856</v>
      </c>
      <c r="C12602" s="5" t="str">
        <f>IFERROR(__xludf.DUMMYFUNCTION("GOOGLETRANSLATE(B12602,""en"",""de"")"),"Der Erwachsene zeigt auf einen verpassten Ort.")</f>
        <v>Der Erwachsene zeigt auf einen verpassten Ort.</v>
      </c>
    </row>
    <row r="12603">
      <c r="A12603" s="4" t="s">
        <v>15857</v>
      </c>
      <c r="B12603" s="4" t="s">
        <v>15858</v>
      </c>
      <c r="C12603" s="5" t="str">
        <f>IFERROR(__xludf.DUMMYFUNCTION("GOOGLETRANSLATE(B12603,""en"",""de"")"),"Eine Frau mit schwarzem Haar erklärt etwas.")</f>
        <v>Eine Frau mit schwarzem Haar erklärt etwas.</v>
      </c>
    </row>
    <row r="12604">
      <c r="A12604" s="4" t="s">
        <v>15857</v>
      </c>
      <c r="B12604" s="4" t="s">
        <v>15859</v>
      </c>
      <c r="C12604" s="5" t="str">
        <f>IFERROR(__xludf.DUMMYFUNCTION("GOOGLETRANSLATE(B12604,""en"",""de"")"),"Die Frau zieht einen Behälter mit Haarrollen heraus.")</f>
        <v>Die Frau zieht einen Behälter mit Haarrollen heraus.</v>
      </c>
    </row>
    <row r="12605">
      <c r="A12605" s="4" t="s">
        <v>15857</v>
      </c>
      <c r="B12605" s="4" t="s">
        <v>15860</v>
      </c>
      <c r="C12605" s="5" t="str">
        <f>IFERROR(__xludf.DUMMYFUNCTION("GOOGLETRANSLATE(B12605,""en"",""de"")"),"Die Frau zieht eine Flasche Shampoo heraus.")</f>
        <v>Die Frau zieht eine Flasche Shampoo heraus.</v>
      </c>
    </row>
    <row r="12606">
      <c r="A12606" s="4" t="s">
        <v>15857</v>
      </c>
      <c r="B12606" s="4" t="s">
        <v>15861</v>
      </c>
      <c r="C12606" s="5" t="str">
        <f>IFERROR(__xludf.DUMMYFUNCTION("GOOGLETRANSLATE(B12606,""en"",""de"")"),"Die Frau rollt ihre Haare und steckt sie an Ort und Stelle und lässt sie zehn Minuten lang.")</f>
        <v>Die Frau rollt ihre Haare und steckt sie an Ort und Stelle und lässt sie zehn Minuten lang.</v>
      </c>
    </row>
    <row r="12607">
      <c r="A12607" s="4" t="s">
        <v>15857</v>
      </c>
      <c r="B12607" s="4" t="s">
        <v>15862</v>
      </c>
      <c r="C12607" s="5" t="str">
        <f>IFERROR(__xludf.DUMMYFUNCTION("GOOGLETRANSLATE(B12607,""en"",""de"")"),"Die Frauen entfernt die Rollen von ihren Haaren.")</f>
        <v>Die Frauen entfernt die Rollen von ihren Haaren.</v>
      </c>
    </row>
    <row r="12608">
      <c r="A12608" s="4" t="s">
        <v>15857</v>
      </c>
      <c r="B12608" s="4" t="s">
        <v>15863</v>
      </c>
      <c r="C12608" s="5" t="str">
        <f>IFERROR(__xludf.DUMMYFUNCTION("GOOGLETRANSLATE(B12608,""en"",""de"")"),"Die Frau nimmt Haarspray heraus und sprüht es auf ihre Haare.")</f>
        <v>Die Frau nimmt Haarspray heraus und sprüht es auf ihre Haare.</v>
      </c>
    </row>
    <row r="12609">
      <c r="A12609" s="4" t="s">
        <v>15864</v>
      </c>
      <c r="B12609" s="4" t="s">
        <v>15865</v>
      </c>
      <c r="C12609" s="5" t="str">
        <f>IFERROR(__xludf.DUMMYFUNCTION("GOOGLETRANSLATE(B12609,""en"",""de"")"),"Es gibt viele Menschen in einem großen Gebäude, das im Innenbereich spaziert oder rumgehängt ist, und das Banner unten sagt ""Was in aller Welt? Chinas nationaler Schlepper-Kriegsmeisterschaften"" und er logo auf der rechten Seite ""East Sports West"".")</f>
        <v>Es gibt viele Menschen in einem großen Gebäude, das im Innenbereich spaziert oder rumgehängt ist, und das Banner unten sagt "Was in aller Welt? Chinas nationaler Schlepper-Kriegsmeisterschaften" und er logo auf der rechten Seite "East Sports West".</v>
      </c>
    </row>
    <row r="12610">
      <c r="A12610" s="4" t="s">
        <v>15864</v>
      </c>
      <c r="B12610" s="4" t="s">
        <v>15866</v>
      </c>
      <c r="C12610" s="5" t="str">
        <f>IFERROR(__xludf.DUMMYFUNCTION("GOOGLETRANSLATE(B12610,""en"",""de"")"),"Es gibt zwei Sätze von Menschen entlang eines Seils und sie werden in der Mitte von Schiedsrichtern getrennt.")</f>
        <v>Es gibt zwei Sätze von Menschen entlang eines Seils und sie werden in der Mitte von Schiedsrichtern getrennt.</v>
      </c>
    </row>
    <row r="12611">
      <c r="A12611" s="4" t="s">
        <v>15864</v>
      </c>
      <c r="B12611" s="4" t="s">
        <v>15867</v>
      </c>
      <c r="C12611" s="5" t="str">
        <f>IFERROR(__xludf.DUMMYFUNCTION("GOOGLETRANSLATE(B12611,""en"",""de"")"),"Sie nehmen einen Verbeugen, nehmen das Seil ab und jedes Team beginnt, das Seil zu ziehen, bis ein Gewinner angerufen wird.")</f>
        <v>Sie nehmen einen Verbeugen, nehmen das Seil ab und jedes Team beginnt, das Seil zu ziehen, bis ein Gewinner angerufen wird.</v>
      </c>
    </row>
    <row r="12612">
      <c r="A12612" s="4" t="s">
        <v>15864</v>
      </c>
      <c r="B12612" s="4" t="s">
        <v>15868</v>
      </c>
      <c r="C12612" s="5" t="str">
        <f>IFERROR(__xludf.DUMMYFUNCTION("GOOGLETRANSLATE(B12612,""en"",""de"")"),"Ein Schiedsrichter der Frau steht jetzt mit ihren zwei Armen hoch und sie lässt sie hinunter, um anzuzeigen, dass die beiden Teams anfangen können, am Seil zu ziehen, und sie tun es, bis sie eine Pfeife bläst, um den Gewinner anzuzeigen.")</f>
        <v>Ein Schiedsrichter der Frau steht jetzt mit ihren zwei Armen hoch und sie lässt sie hinunter, um anzuzeigen, dass die beiden Teams anfangen können, am Seil zu ziehen, und sie tun es, bis sie eine Pfeife bläst, um den Gewinner anzuzeigen.</v>
      </c>
    </row>
    <row r="12613">
      <c r="A12613" s="4" t="s">
        <v>15864</v>
      </c>
      <c r="B12613" s="4" t="s">
        <v>15869</v>
      </c>
      <c r="C12613" s="5" t="str">
        <f>IFERROR(__xludf.DUMMYFUNCTION("GOOGLETRANSLATE(B12613,""en"",""de"")"),"Zwei kurze Clips spielen und es zeigt ein Women Tauw-of-War-Match, dann ein Herren, aber es zeigt nicht viel und dann geht es direkt zu Outdoor-Aufnahmen der Stadt und Text auf dem Bildschirm erscheinen mit dem Netzwerklogo, der Website. und Rechte des Vi"&amp;"deos.")</f>
        <v>Zwei kurze Clips spielen und es zeigt ein Women Tauw-of-War-Match, dann ein Herren, aber es zeigt nicht viel und dann geht es direkt zu Outdoor-Aufnahmen der Stadt und Text auf dem Bildschirm erscheinen mit dem Netzwerklogo, der Website. und Rechte des Videos.</v>
      </c>
    </row>
    <row r="12614">
      <c r="A12614" s="4" t="s">
        <v>15870</v>
      </c>
      <c r="B12614" s="4" t="s">
        <v>15871</v>
      </c>
      <c r="C12614" s="5" t="str">
        <f>IFERROR(__xludf.DUMMYFUNCTION("GOOGLETRANSLATE(B12614,""en"",""de"")"),"Ein Mann fährt ein Auto, das Auto hält mit einem platten Reifen an.")</f>
        <v>Ein Mann fährt ein Auto, das Auto hält mit einem platten Reifen an.</v>
      </c>
    </row>
    <row r="12615">
      <c r="A12615" s="4" t="s">
        <v>15870</v>
      </c>
      <c r="B12615" s="4" t="s">
        <v>15872</v>
      </c>
      <c r="C12615" s="5" t="str">
        <f>IFERROR(__xludf.DUMMYFUNCTION("GOOGLETRANSLATE(B12615,""en"",""de"")"),"Der Mann schaltet die Notlichter aus und verwendet dann ein Reparaturset, um den Reifen aufzublasen.")</f>
        <v>Der Mann schaltet die Notlichter aus und verwendet dann ein Reparaturset, um den Reifen aufzublasen.</v>
      </c>
    </row>
    <row r="12616">
      <c r="A12616" s="4" t="s">
        <v>15870</v>
      </c>
      <c r="B12616" s="4" t="s">
        <v>15873</v>
      </c>
      <c r="C12616" s="5" t="str">
        <f>IFERROR(__xludf.DUMMYFUNCTION("GOOGLETRANSLATE(B12616,""en"",""de"")"),"Dann fördert der Mann das Auto ein wenig und der Reifen blüht auf.")</f>
        <v>Dann fördert der Mann das Auto ein wenig und der Reifen blüht auf.</v>
      </c>
    </row>
    <row r="12617">
      <c r="A12617" s="4" t="s">
        <v>15870</v>
      </c>
      <c r="B12617" s="4" t="s">
        <v>15874</v>
      </c>
      <c r="C12617" s="5" t="str">
        <f>IFERROR(__xludf.DUMMYFUNCTION("GOOGLETRANSLATE(B12617,""en"",""de"")"),"Danach fährt der Mann sein Auto.")</f>
        <v>Danach fährt der Mann sein Auto.</v>
      </c>
    </row>
    <row r="12618">
      <c r="A12618" s="4" t="s">
        <v>15875</v>
      </c>
      <c r="B12618" s="4" t="s">
        <v>15876</v>
      </c>
      <c r="C12618" s="5" t="str">
        <f>IFERROR(__xludf.DUMMYFUNCTION("GOOGLETRANSLATE(B12618,""en"",""de"")"),"Ein großer Stapel Blätter weht sich um einen Hof, als eine Person ein Werkzeug verwendet, um sie weiterzuschieben.")</f>
        <v>Ein großer Stapel Blätter weht sich um einen Hof, als eine Person ein Werkzeug verwendet, um sie weiterzuschieben.</v>
      </c>
    </row>
    <row r="12619">
      <c r="A12619" s="4" t="s">
        <v>15875</v>
      </c>
      <c r="B12619" s="4" t="s">
        <v>15877</v>
      </c>
      <c r="C12619" s="5" t="str">
        <f>IFERROR(__xludf.DUMMYFUNCTION("GOOGLETRANSLATE(B12619,""en"",""de"")"),"Die Kamera fängt weiterhin den Mann, der die Blätter bläst, und verwendet mehrere Kameraeffekte auf die Rahmen.")</f>
        <v>Die Kamera fängt weiterhin den Mann, der die Blätter bläst, und verwendet mehrere Kameraeffekte auf die Rahmen.</v>
      </c>
    </row>
    <row r="12620">
      <c r="A12620" s="4" t="s">
        <v>15878</v>
      </c>
      <c r="B12620" s="4" t="s">
        <v>15879</v>
      </c>
      <c r="C12620" s="5" t="str">
        <f>IFERROR(__xludf.DUMMYFUNCTION("GOOGLETRANSLATE(B12620,""en"",""de"")"),"Eine kleine Gruppe von Menschen wird gesehen, wie sie Kajaks über einen rauen Fluss reiten, wobei eine Person einen Flip im Wasser durchführt.")</f>
        <v>Eine kleine Gruppe von Menschen wird gesehen, wie sie Kajaks über einen rauen Fluss reiten, wobei eine Person einen Flip im Wasser durchführt.</v>
      </c>
    </row>
    <row r="12621">
      <c r="A12621" s="4" t="s">
        <v>15878</v>
      </c>
      <c r="B12621" s="4" t="s">
        <v>15880</v>
      </c>
      <c r="C12621" s="5" t="str">
        <f>IFERROR(__xludf.DUMMYFUNCTION("GOOGLETRANSLATE(B12621,""en"",""de"")"),"Die Person führt mehrere weitere Flips mit der Kamera durch, fängt sie von weitem ein.")</f>
        <v>Die Person führt mehrere weitere Flips mit der Kamera durch, fängt sie von weitem ein.</v>
      </c>
    </row>
    <row r="12622">
      <c r="A12622" s="4" t="s">
        <v>15881</v>
      </c>
      <c r="B12622" s="4" t="s">
        <v>15882</v>
      </c>
      <c r="C12622" s="5" t="str">
        <f>IFERROR(__xludf.DUMMYFUNCTION("GOOGLETRANSLATE(B12622,""en"",""de"")"),"Wir sehen die Eröffnungs -Titelbildschirme.")</f>
        <v>Wir sehen die Eröffnungs -Titelbildschirme.</v>
      </c>
    </row>
    <row r="12623">
      <c r="A12623" s="4" t="s">
        <v>15881</v>
      </c>
      <c r="B12623" s="4" t="s">
        <v>15883</v>
      </c>
      <c r="C12623" s="5" t="str">
        <f>IFERROR(__xludf.DUMMYFUNCTION("GOOGLETRANSLATE(B12623,""en"",""de"")"),"Ein Mann betritt einen Raum und greift einen Eimer und kehrt damit zurück.")</f>
        <v>Ein Mann betritt einen Raum und greift einen Eimer und kehrt damit zurück.</v>
      </c>
    </row>
    <row r="12624">
      <c r="A12624" s="4" t="s">
        <v>15881</v>
      </c>
      <c r="B12624" s="4" t="s">
        <v>15884</v>
      </c>
      <c r="C12624" s="5" t="str">
        <f>IFERROR(__xludf.DUMMYFUNCTION("GOOGLETRANSLATE(B12624,""en"",""de"")"),"Wir sehen einen Mann in einem hellen Hemdputz in einem Eimer und verteilen ihn an einer Wand.")</f>
        <v>Wir sehen einen Mann in einem hellen Hemdputz in einem Eimer und verteilen ihn an einer Wand.</v>
      </c>
    </row>
    <row r="12625">
      <c r="A12625" s="4" t="s">
        <v>15881</v>
      </c>
      <c r="B12625" s="4" t="s">
        <v>15885</v>
      </c>
      <c r="C12625" s="5" t="str">
        <f>IFERROR(__xludf.DUMMYFUNCTION("GOOGLETRANSLATE(B12625,""en"",""de"")"),"Der Mann fügt seiner Basis mehr Gips hinzu und verbreitet es an der Wand.")</f>
        <v>Der Mann fügt seiner Basis mehr Gips hinzu und verbreitet es an der Wand.</v>
      </c>
    </row>
    <row r="12626">
      <c r="A12626" s="4" t="s">
        <v>15886</v>
      </c>
      <c r="B12626" s="4" t="s">
        <v>15887</v>
      </c>
      <c r="C12626" s="5" t="str">
        <f>IFERROR(__xludf.DUMMYFUNCTION("GOOGLETRANSLATE(B12626,""en"",""de"")"),"Verschiedene Menschen werden gezeigt, die auf Pferden reiten, die Stöcke in der Luft halten und umeinander herumfahren.")</f>
        <v>Verschiedene Menschen werden gezeigt, die auf Pferden reiten, die Stöcke in der Luft halten und umeinander herumfahren.</v>
      </c>
    </row>
    <row r="12627">
      <c r="A12627" s="4" t="s">
        <v>15886</v>
      </c>
      <c r="B12627" s="4" t="s">
        <v>15888</v>
      </c>
      <c r="C12627" s="5" t="str">
        <f>IFERROR(__xludf.DUMMYFUNCTION("GOOGLETRANSLATE(B12627,""en"",""de"")"),"Die Leute gehen in und aus dem Rahmen hinein und aus dem Rahmen und die Menschen bewegen sich weiterhin auf Pferden.")</f>
        <v>Die Leute gehen in und aus dem Rahmen hinein und aus dem Rahmen und die Menschen bewegen sich weiterhin auf Pferden.</v>
      </c>
    </row>
    <row r="12628">
      <c r="A12628" s="4" t="s">
        <v>15889</v>
      </c>
      <c r="B12628" s="4" t="s">
        <v>15890</v>
      </c>
      <c r="C12628" s="5" t="str">
        <f>IFERROR(__xludf.DUMMYFUNCTION("GOOGLETRANSLATE(B12628,""en"",""de"")"),"Ein Mann setzt sich auf einen Stuhl, der seine Turnschuhe anzieht und auf einen Fuchs zeigt.")</f>
        <v>Ein Mann setzt sich auf einen Stuhl, der seine Turnschuhe anzieht und auf einen Fuchs zeigt.</v>
      </c>
    </row>
    <row r="12629">
      <c r="A12629" s="4" t="s">
        <v>15889</v>
      </c>
      <c r="B12629" s="4" t="s">
        <v>15891</v>
      </c>
      <c r="C12629" s="5" t="str">
        <f>IFERROR(__xludf.DUMMYFUNCTION("GOOGLETRANSLATE(B12629,""en"",""de"")"),"Der Fuchs steht zum Mann und springt auf seinen Schoß auf und ab, während er weiterhin seine Schuhe anzieht.")</f>
        <v>Der Fuchs steht zum Mann und springt auf seinen Schoß auf und ab, während er weiterhin seine Schuhe anzieht.</v>
      </c>
    </row>
    <row r="12630">
      <c r="A12630" s="4" t="s">
        <v>15892</v>
      </c>
      <c r="B12630" s="4" t="s">
        <v>15893</v>
      </c>
      <c r="C12630" s="5" t="str">
        <f>IFERROR(__xludf.DUMMYFUNCTION("GOOGLETRANSLATE(B12630,""en"",""de"")"),"Eine Person legt Klebeband auf ein Ledersofa, um ein Quadrat zu bilden.")</f>
        <v>Eine Person legt Klebeband auf ein Ledersofa, um ein Quadrat zu bilden.</v>
      </c>
    </row>
    <row r="12631">
      <c r="A12631" s="4" t="s">
        <v>15892</v>
      </c>
      <c r="B12631" s="4" t="s">
        <v>15894</v>
      </c>
      <c r="C12631" s="5" t="str">
        <f>IFERROR(__xludf.DUMMYFUNCTION("GOOGLETRANSLATE(B12631,""en"",""de"")"),"Anschließend trägt die Person Schaum auf einen Schwamm und reinigt innerhalb des Quadrats.")</f>
        <v>Anschließend trägt die Person Schaum auf einen Schwamm und reinigt innerhalb des Quadrats.</v>
      </c>
    </row>
    <row r="12632">
      <c r="A12632" s="4" t="s">
        <v>15892</v>
      </c>
      <c r="B12632" s="4" t="s">
        <v>15895</v>
      </c>
      <c r="C12632" s="5" t="str">
        <f>IFERROR(__xludf.DUMMYFUNCTION("GOOGLETRANSLATE(B12632,""en"",""de"")"),"Danach reinigt die Person mit einem Tuch und schält das Klebeband.")</f>
        <v>Danach reinigt die Person mit einem Tuch und schält das Klebeband.</v>
      </c>
    </row>
    <row r="12633">
      <c r="A12633" s="4" t="s">
        <v>15892</v>
      </c>
      <c r="B12633" s="4" t="s">
        <v>15896</v>
      </c>
      <c r="C12633" s="5" t="str">
        <f>IFERROR(__xludf.DUMMYFUNCTION("GOOGLETRANSLATE(B12633,""en"",""de"")"),"Als nächstes reinigt die Person das gesamte Sofa, der Schaum in ein Tuch legt und das Sofa ziiert.")</f>
        <v>Als nächstes reinigt die Person das gesamte Sofa, der Schaum in ein Tuch legt und das Sofa ziiert.</v>
      </c>
    </row>
    <row r="12634">
      <c r="A12634" s="4" t="s">
        <v>15897</v>
      </c>
      <c r="B12634" s="4" t="s">
        <v>15898</v>
      </c>
      <c r="C12634" s="5" t="str">
        <f>IFERROR(__xludf.DUMMYFUNCTION("GOOGLETRANSLATE(B12634,""en"",""de"")"),"Eine Schuhpoliermaschine befindet sich in einem Wohnzimmer.")</f>
        <v>Eine Schuhpoliermaschine befindet sich in einem Wohnzimmer.</v>
      </c>
    </row>
    <row r="12635">
      <c r="A12635" s="4" t="s">
        <v>15897</v>
      </c>
      <c r="B12635" s="4" t="s">
        <v>15899</v>
      </c>
      <c r="C12635" s="5" t="str">
        <f>IFERROR(__xludf.DUMMYFUNCTION("GOOGLETRANSLATE(B12635,""en"",""de"")"),"Ein Mann geht auf die Schuhpoliermaschine und schaltet ihn ein.")</f>
        <v>Ein Mann geht auf die Schuhpoliermaschine und schaltet ihn ein.</v>
      </c>
    </row>
    <row r="12636">
      <c r="A12636" s="4" t="s">
        <v>15897</v>
      </c>
      <c r="B12636" s="4" t="s">
        <v>15900</v>
      </c>
      <c r="C12636" s="5" t="str">
        <f>IFERROR(__xludf.DUMMYFUNCTION("GOOGLETRANSLATE(B12636,""en"",""de"")"),"Der Mann, der Blue Jeans trägt, beginnt seine schwarzen Schuhe zu breden.")</f>
        <v>Der Mann, der Blue Jeans trägt, beginnt seine schwarzen Schuhe zu breden.</v>
      </c>
    </row>
    <row r="12637">
      <c r="A12637" s="4" t="s">
        <v>15897</v>
      </c>
      <c r="B12637" s="4" t="s">
        <v>15901</v>
      </c>
      <c r="C12637" s="5" t="str">
        <f>IFERROR(__xludf.DUMMYFUNCTION("GOOGLETRANSLATE(B12637,""en"",""de"")"),"Der Mann beginnt dann, seine braunen Schuhe zu bürsten und zu polieren.")</f>
        <v>Der Mann beginnt dann, seine braunen Schuhe zu bürsten und zu polieren.</v>
      </c>
    </row>
    <row r="12638">
      <c r="A12638" s="4" t="s">
        <v>15897</v>
      </c>
      <c r="B12638" s="4" t="s">
        <v>15902</v>
      </c>
      <c r="C12638" s="5" t="str">
        <f>IFERROR(__xludf.DUMMYFUNCTION("GOOGLETRANSLATE(B12638,""en"",""de"")"),"Der Mann nähert sich der Schuhpoliermaschine und bürstet seine grauen Turnschuhe.")</f>
        <v>Der Mann nähert sich der Schuhpoliermaschine und bürstet seine grauen Turnschuhe.</v>
      </c>
    </row>
    <row r="12639">
      <c r="A12639" s="4" t="s">
        <v>15897</v>
      </c>
      <c r="B12639" s="4" t="s">
        <v>15903</v>
      </c>
      <c r="C12639" s="5" t="str">
        <f>IFERROR(__xludf.DUMMYFUNCTION("GOOGLETRANSLATE(B12639,""en"",""de"")"),"Der Mann kauert nach unten und zieht einen Staubbehälter unter der Poliermaschine heraus.")</f>
        <v>Der Mann kauert nach unten und zieht einen Staubbehälter unter der Poliermaschine heraus.</v>
      </c>
    </row>
    <row r="12640">
      <c r="A12640" s="4" t="s">
        <v>15904</v>
      </c>
      <c r="B12640" s="4" t="s">
        <v>15905</v>
      </c>
      <c r="C12640" s="5" t="str">
        <f>IFERROR(__xludf.DUMMYFUNCTION("GOOGLETRANSLATE(B12640,""en"",""de"")"),"Eine große Gruppe von Menschen steht in einer Menschenmenge, als ein Mann, der einen Satz Taschenrohre innehat, aufgeht und allen die Teufelshörner gibt.")</f>
        <v>Eine große Gruppe von Menschen steht in einer Menschenmenge, als ein Mann, der einen Satz Taschenrohre innehat, aufgeht und allen die Teufelshörner gibt.</v>
      </c>
    </row>
    <row r="12641">
      <c r="A12641" s="4" t="s">
        <v>15904</v>
      </c>
      <c r="B12641" s="4" t="s">
        <v>15906</v>
      </c>
      <c r="C12641" s="5" t="str">
        <f>IFERROR(__xludf.DUMMYFUNCTION("GOOGLETRANSLATE(B12641,""en"",""de"")"),"Sie geben die Hörner zurück und der Mann spielt, während sie die Bühne auf und ab gehen.")</f>
        <v>Sie geben die Hörner zurück und der Mann spielt, während sie die Bühne auf und ab gehen.</v>
      </c>
    </row>
    <row r="12642">
      <c r="A12642" s="4" t="s">
        <v>15907</v>
      </c>
      <c r="B12642" s="4" t="s">
        <v>15908</v>
      </c>
      <c r="C12642" s="5" t="str">
        <f>IFERROR(__xludf.DUMMYFUNCTION("GOOGLETRANSLATE(B12642,""en"",""de"")"),"Es werden mehrere Anzeichen für Tattoo -Läden gezeigt, zusammen mit einem Mädchen, das mit der Kamera spricht.")</f>
        <v>Es werden mehrere Anzeichen für Tattoo -Läden gezeigt, zusammen mit einem Mädchen, das mit der Kamera spricht.</v>
      </c>
    </row>
    <row r="12643">
      <c r="A12643" s="4" t="s">
        <v>15907</v>
      </c>
      <c r="B12643" s="4" t="s">
        <v>15909</v>
      </c>
      <c r="C12643" s="5" t="str">
        <f>IFERROR(__xludf.DUMMYFUNCTION("GOOGLETRANSLATE(B12643,""en"",""de"")"),"Sie zeigt das Tattoo, das sie bekommen möchte.")</f>
        <v>Sie zeigt das Tattoo, das sie bekommen möchte.</v>
      </c>
    </row>
    <row r="12644">
      <c r="A12644" s="4" t="s">
        <v>15907</v>
      </c>
      <c r="B12644" s="4" t="s">
        <v>15910</v>
      </c>
      <c r="C12644" s="5" t="str">
        <f>IFERROR(__xludf.DUMMYFUNCTION("GOOGLETRANSLATE(B12644,""en"",""de"")"),"Die Frau sitzt auf einem Stuhl, als Tätowierkünstler eine Schneeflocke auf ihrem Arm macht.")</f>
        <v>Die Frau sitzt auf einem Stuhl, als Tätowierkünstler eine Schneeflocke auf ihrem Arm macht.</v>
      </c>
    </row>
    <row r="12645">
      <c r="A12645" s="4" t="s">
        <v>15907</v>
      </c>
      <c r="B12645" s="4" t="s">
        <v>15911</v>
      </c>
      <c r="C12645" s="5" t="str">
        <f>IFERROR(__xludf.DUMMYFUNCTION("GOOGLETRANSLATE(B12645,""en"",""de"")"),"Sie spricht die ganze Zeit mit der Kamera, als er sie fällt.")</f>
        <v>Sie spricht die ganze Zeit mit der Kamera, als er sie fällt.</v>
      </c>
    </row>
    <row r="12646">
      <c r="A12646" s="4" t="s">
        <v>15907</v>
      </c>
      <c r="B12646" s="4" t="s">
        <v>15912</v>
      </c>
      <c r="C12646" s="5" t="str">
        <f>IFERROR(__xludf.DUMMYFUNCTION("GOOGLETRANSLATE(B12646,""en"",""de"")"),"Danach zeigt sie ihr fertiges Tattoo und spricht darüber.")</f>
        <v>Danach zeigt sie ihr fertiges Tattoo und spricht darüber.</v>
      </c>
    </row>
    <row r="12647">
      <c r="A12647" s="4" t="s">
        <v>15913</v>
      </c>
      <c r="B12647" s="4" t="s">
        <v>15914</v>
      </c>
      <c r="C12647" s="5" t="str">
        <f>IFERROR(__xludf.DUMMYFUNCTION("GOOGLETRANSLATE(B12647,""en"",""de"")"),"Ein Mann steht in einem Fitnessstudio.")</f>
        <v>Ein Mann steht in einem Fitnessstudio.</v>
      </c>
    </row>
    <row r="12648">
      <c r="A12648" s="4" t="s">
        <v>15913</v>
      </c>
      <c r="B12648" s="4" t="s">
        <v>15915</v>
      </c>
      <c r="C12648" s="5" t="str">
        <f>IFERROR(__xludf.DUMMYFUNCTION("GOOGLETRANSLATE(B12648,""en"",""de"")"),"Er beugt sich und nimmt ein großes Gewicht auf.")</f>
        <v>Er beugt sich und nimmt ein großes Gewicht auf.</v>
      </c>
    </row>
    <row r="12649">
      <c r="A12649" s="4" t="s">
        <v>15913</v>
      </c>
      <c r="B12649" s="4" t="s">
        <v>15916</v>
      </c>
      <c r="C12649" s="5" t="str">
        <f>IFERROR(__xludf.DUMMYFUNCTION("GOOGLETRANSLATE(B12649,""en"",""de"")"),"Er legt es nieder und spricht mit der Kamera.")</f>
        <v>Er legt es nieder und spricht mit der Kamera.</v>
      </c>
    </row>
    <row r="12650">
      <c r="A12650" s="4" t="s">
        <v>15917</v>
      </c>
      <c r="B12650" s="4" t="s">
        <v>15918</v>
      </c>
      <c r="C12650" s="5" t="str">
        <f>IFERROR(__xludf.DUMMYFUNCTION("GOOGLETRANSLATE(B12650,""en"",""de"")"),"Die Frau fährt ein Kamel, als sie mit der Kamera spricht.")</f>
        <v>Die Frau fährt ein Kamel, als sie mit der Kamera spricht.</v>
      </c>
    </row>
    <row r="12651">
      <c r="A12651" s="4" t="s">
        <v>15917</v>
      </c>
      <c r="B12651" s="4" t="s">
        <v>15919</v>
      </c>
      <c r="C12651" s="5" t="str">
        <f>IFERROR(__xludf.DUMMYFUNCTION("GOOGLETRANSLATE(B12651,""en"",""de"")"),"Ein Mann führt das Kamel und gibt dem Kamel Essen.")</f>
        <v>Ein Mann führt das Kamel und gibt dem Kamel Essen.</v>
      </c>
    </row>
    <row r="12652">
      <c r="A12652" s="4" t="s">
        <v>15917</v>
      </c>
      <c r="B12652" s="4" t="s">
        <v>15920</v>
      </c>
      <c r="C12652" s="5" t="str">
        <f>IFERROR(__xludf.DUMMYFUNCTION("GOOGLETRANSLATE(B12652,""en"",""de"")"),"Die Frau berichtet, während sie auf der Rückseite des Kamels steht.")</f>
        <v>Die Frau berichtet, während sie auf der Rückseite des Kamels steht.</v>
      </c>
    </row>
    <row r="12653">
      <c r="A12653" s="4" t="s">
        <v>15921</v>
      </c>
      <c r="B12653" s="4" t="s">
        <v>15922</v>
      </c>
      <c r="C12653" s="5" t="str">
        <f>IFERROR(__xludf.DUMMYFUNCTION("GOOGLETRANSLATE(B12653,""en"",""de"")"),"Eine Person öffnet einen Wasserhahn und nass die Hände.")</f>
        <v>Eine Person öffnet einen Wasserhahn und nass die Hände.</v>
      </c>
    </row>
    <row r="12654">
      <c r="A12654" s="4" t="s">
        <v>15921</v>
      </c>
      <c r="B12654" s="4" t="s">
        <v>15923</v>
      </c>
      <c r="C12654" s="5" t="str">
        <f>IFERROR(__xludf.DUMMYFUNCTION("GOOGLETRANSLATE(B12654,""en"",""de"")"),"Die Person verwendet Seife, um die Hände energisch zu reiben.")</f>
        <v>Die Person verwendet Seife, um die Hände energisch zu reiben.</v>
      </c>
    </row>
    <row r="12655">
      <c r="A12655" s="4" t="s">
        <v>15921</v>
      </c>
      <c r="B12655" s="4" t="s">
        <v>15924</v>
      </c>
      <c r="C12655" s="5" t="str">
        <f>IFERROR(__xludf.DUMMYFUNCTION("GOOGLETRANSLATE(B12655,""en"",""de"")"),"Danach spügt die Person die Hand gründlich mit viel Wasser aus.")</f>
        <v>Danach spügt die Person die Hand gründlich mit viel Wasser aus.</v>
      </c>
    </row>
    <row r="12656">
      <c r="A12656" s="4" t="s">
        <v>15921</v>
      </c>
      <c r="B12656" s="4" t="s">
        <v>15925</v>
      </c>
      <c r="C12656" s="5" t="str">
        <f>IFERROR(__xludf.DUMMYFUNCTION("GOOGLETRANSLATE(B12656,""en"",""de"")"),"Nach der Person trocknen die Hände mit einem sauberen Handtuch und dreht das Waschbecken mit dem Handtuch.")</f>
        <v>Nach der Person trocknen die Hände mit einem sauberen Handtuch und dreht das Waschbecken mit dem Handtuch.</v>
      </c>
    </row>
    <row r="12657">
      <c r="A12657" s="4" t="s">
        <v>15926</v>
      </c>
      <c r="B12657" s="4" t="s">
        <v>15927</v>
      </c>
      <c r="C12657" s="5" t="str">
        <f>IFERROR(__xludf.DUMMYFUNCTION("GOOGLETRANSLATE(B12657,""en"",""de"")"),"Die Wörter ""Speed ​​Cubing 53 Sek."" Erscheinen auf einem schwarzen Bildschirm.")</f>
        <v>Die Wörter "Speed ​​Cubing 53 Sek." Erscheinen auf einem schwarzen Bildschirm.</v>
      </c>
    </row>
    <row r="12658">
      <c r="A12658" s="4" t="s">
        <v>15926</v>
      </c>
      <c r="B12658" s="4" t="s">
        <v>15928</v>
      </c>
      <c r="C12658" s="5" t="str">
        <f>IFERROR(__xludf.DUMMYFUNCTION("GOOGLETRANSLATE(B12658,""en"",""de"")"),"Ein junger Mann sitzt an einem Tisch und beginnt mit einem Rubik's Cute zu spielen.")</f>
        <v>Ein junger Mann sitzt an einem Tisch und beginnt mit einem Rubik's Cute zu spielen.</v>
      </c>
    </row>
    <row r="12659">
      <c r="A12659" s="4" t="s">
        <v>15926</v>
      </c>
      <c r="B12659" s="4" t="s">
        <v>15929</v>
      </c>
      <c r="C12659" s="5" t="str">
        <f>IFERROR(__xludf.DUMMYFUNCTION("GOOGLETRANSLATE(B12659,""en"",""de"")"),"Der Mann löst das Puzzle, das alle Seiten des Würfels abschließt und der Bildschirm schwarz wird.")</f>
        <v>Der Mann löst das Puzzle, das alle Seiten des Würfels abschließt und der Bildschirm schwarz wird.</v>
      </c>
    </row>
    <row r="12660">
      <c r="A12660" s="4" t="s">
        <v>15930</v>
      </c>
      <c r="B12660" s="4" t="s">
        <v>15931</v>
      </c>
      <c r="C12660" s="5" t="str">
        <f>IFERROR(__xludf.DUMMYFUNCTION("GOOGLETRANSLATE(B12660,""en"",""de"")"),"Eine Katze kratzt an den Pfoten auf dem Teppich.")</f>
        <v>Eine Katze kratzt an den Pfoten auf dem Teppich.</v>
      </c>
    </row>
    <row r="12661">
      <c r="A12661" s="4" t="s">
        <v>15930</v>
      </c>
      <c r="B12661" s="4" t="s">
        <v>15932</v>
      </c>
      <c r="C12661" s="5" t="str">
        <f>IFERROR(__xludf.DUMMYFUNCTION("GOOGLETRANSLATE(B12661,""en"",""de"")"),"Ein Mann hält die Katzenpfote und beginnt seine Nägel zu schneiden.")</f>
        <v>Ein Mann hält die Katzenpfote und beginnt seine Nägel zu schneiden.</v>
      </c>
    </row>
    <row r="12662">
      <c r="A12662" s="4" t="s">
        <v>15930</v>
      </c>
      <c r="B12662" s="4" t="s">
        <v>15933</v>
      </c>
      <c r="C12662" s="5" t="str">
        <f>IFERROR(__xludf.DUMMYFUNCTION("GOOGLETRANSLATE(B12662,""en"",""de"")"),"Er hält die Katze draußen.")</f>
        <v>Er hält die Katze draußen.</v>
      </c>
    </row>
    <row r="12663">
      <c r="A12663" s="4" t="s">
        <v>15934</v>
      </c>
      <c r="B12663" s="4" t="s">
        <v>15935</v>
      </c>
      <c r="C12663" s="5" t="str">
        <f>IFERROR(__xludf.DUMMYFUNCTION("GOOGLETRANSLATE(B12663,""en"",""de"")"),"Eine Gruppe von Menschen versammelt sich auf einem Asphalt.")</f>
        <v>Eine Gruppe von Menschen versammelt sich auf einem Asphalt.</v>
      </c>
    </row>
    <row r="12664">
      <c r="A12664" s="4" t="s">
        <v>15934</v>
      </c>
      <c r="B12664" s="4" t="s">
        <v>15936</v>
      </c>
      <c r="C12664" s="5" t="str">
        <f>IFERROR(__xludf.DUMMYFUNCTION("GOOGLETRANSLATE(B12664,""en"",""de"")"),"Sie steigen vor dem Start in das Flugzeug und zeigen die Landebahn und die Wolken am Himmel.")</f>
        <v>Sie steigen vor dem Start in das Flugzeug und zeigen die Landebahn und die Wolken am Himmel.</v>
      </c>
    </row>
    <row r="12665">
      <c r="A12665" s="4" t="s">
        <v>15934</v>
      </c>
      <c r="B12665" s="4" t="s">
        <v>15937</v>
      </c>
      <c r="C12665" s="5" t="str">
        <f>IFERROR(__xludf.DUMMYFUNCTION("GOOGLETRANSLATE(B12665,""en"",""de"")"),"Sie sind auf einem Flughafen und fahren dann die Straße hinunter.")</f>
        <v>Sie sind auf einem Flughafen und fahren dann die Straße hinunter.</v>
      </c>
    </row>
    <row r="12666">
      <c r="A12666" s="4" t="s">
        <v>15934</v>
      </c>
      <c r="B12666" s="4" t="s">
        <v>15938</v>
      </c>
      <c r="C12666" s="5" t="str">
        <f>IFERROR(__xludf.DUMMYFUNCTION("GOOGLETRANSLATE(B12666,""en"",""de"")"),"Schließlich fahren sie mit einem Boot in der Coan, schauen sich eine Karte an und chartern das Wasser.")</f>
        <v>Schließlich fahren sie mit einem Boot in der Coan, schauen sich eine Karte an und chartern das Wasser.</v>
      </c>
    </row>
    <row r="12667">
      <c r="A12667" s="4" t="s">
        <v>15934</v>
      </c>
      <c r="B12667" s="4" t="s">
        <v>15939</v>
      </c>
      <c r="C12667" s="5" t="str">
        <f>IFERROR(__xludf.DUMMYFUNCTION("GOOGLETRANSLATE(B12667,""en"",""de"")"),"Sie surfen in den großen Wellen.")</f>
        <v>Sie surfen in den großen Wellen.</v>
      </c>
    </row>
    <row r="12668">
      <c r="A12668" s="4" t="s">
        <v>15940</v>
      </c>
      <c r="B12668" s="4" t="s">
        <v>15941</v>
      </c>
      <c r="C12668" s="5" t="str">
        <f>IFERROR(__xludf.DUMMYFUNCTION("GOOGLETRANSLATE(B12668,""en"",""de"")"),"Eine Einführung auf den Bildschirm für ein Video, das eine Demo einiger Hausmeisterprodukte zeigt.")</f>
        <v>Eine Einführung auf den Bildschirm für ein Video, das eine Demo einiger Hausmeisterprodukte zeigt.</v>
      </c>
    </row>
    <row r="12669">
      <c r="A12669" s="4" t="s">
        <v>15940</v>
      </c>
      <c r="B12669" s="4" t="s">
        <v>15942</v>
      </c>
      <c r="C12669" s="5" t="str">
        <f>IFERROR(__xludf.DUMMYFUNCTION("GOOGLETRANSLATE(B12669,""en"",""de"")"),"Ein Mann auf dem Bildschirm beschreibt ein Mopp- und Eimer -Set, die zum Reinigen von Böden verwendet werden.")</f>
        <v>Ein Mann auf dem Bildschirm beschreibt ein Mopp- und Eimer -Set, die zum Reinigen von Böden verwendet werden.</v>
      </c>
    </row>
    <row r="12670">
      <c r="A12670" s="4" t="s">
        <v>15940</v>
      </c>
      <c r="B12670" s="4" t="s">
        <v>15943</v>
      </c>
      <c r="C12670" s="5" t="str">
        <f>IFERROR(__xludf.DUMMYFUNCTION("GOOGLETRANSLATE(B12670,""en"",""de"")"),"Dann beginnt er zu demonstrieren, wie man den Mopp- und Eimer -Set benutzt.")</f>
        <v>Dann beginnt er zu demonstrieren, wie man den Mopp- und Eimer -Set benutzt.</v>
      </c>
    </row>
    <row r="12671">
      <c r="A12671" s="4" t="s">
        <v>15940</v>
      </c>
      <c r="B12671" s="4" t="s">
        <v>15944</v>
      </c>
      <c r="C12671" s="5" t="str">
        <f>IFERROR(__xludf.DUMMYFUNCTION("GOOGLETRANSLATE(B12671,""en"",""de"")"),"Als nächstes zeigt er die Eimer nahe und beginnt zu beschreiben, wie man die Eimer benutzt.")</f>
        <v>Als nächstes zeigt er die Eimer nahe und beginnt zu beschreiben, wie man die Eimer benutzt.</v>
      </c>
    </row>
    <row r="12672">
      <c r="A12672" s="4" t="s">
        <v>15940</v>
      </c>
      <c r="B12672" s="4" t="s">
        <v>15945</v>
      </c>
      <c r="C12672" s="5" t="str">
        <f>IFERROR(__xludf.DUMMYFUNCTION("GOOGLETRANSLATE(B12672,""en"",""de"")"),"Am Ende des Videos werden die Schlusskredite angezeigt.")</f>
        <v>Am Ende des Videos werden die Schlusskredite angezeigt.</v>
      </c>
    </row>
    <row r="12673">
      <c r="A12673" s="4" t="s">
        <v>15946</v>
      </c>
      <c r="B12673" s="4" t="s">
        <v>15947</v>
      </c>
      <c r="C12673" s="5" t="str">
        <f>IFERROR(__xludf.DUMMYFUNCTION("GOOGLETRANSLATE(B12673,""en"",""de"")"),"Eine junge Frau auf einem weißen Pferd fährt durch das Feld.")</f>
        <v>Eine junge Frau auf einem weißen Pferd fährt durch das Feld.</v>
      </c>
    </row>
    <row r="12674">
      <c r="A12674" s="4" t="s">
        <v>15946</v>
      </c>
      <c r="B12674" s="4" t="s">
        <v>15948</v>
      </c>
      <c r="C12674" s="5" t="str">
        <f>IFERROR(__xludf.DUMMYFUNCTION("GOOGLETRANSLATE(B12674,""en"",""de"")"),"Die Dame wird dann auf einer blauen Matte trainiert, die mehrere Yoga -Strecken ausübt.")</f>
        <v>Die Dame wird dann auf einer blauen Matte trainiert, die mehrere Yoga -Strecken ausübt.</v>
      </c>
    </row>
    <row r="12675">
      <c r="A12675" s="4" t="s">
        <v>15946</v>
      </c>
      <c r="B12675" s="4" t="s">
        <v>15949</v>
      </c>
      <c r="C12675" s="5" t="str">
        <f>IFERROR(__xludf.DUMMYFUNCTION("GOOGLETRANSLATE(B12675,""en"",""de"")"),"Danach ist sie in ihrem Haus abgebildet und redet, während sie auf der Couch sitzt.")</f>
        <v>Danach ist sie in ihrem Haus abgebildet und redet, während sie auf der Couch sitzt.</v>
      </c>
    </row>
    <row r="12676">
      <c r="A12676" s="4" t="s">
        <v>15946</v>
      </c>
      <c r="B12676" s="4" t="s">
        <v>15950</v>
      </c>
      <c r="C12676" s="5" t="str">
        <f>IFERROR(__xludf.DUMMYFUNCTION("GOOGLETRANSLATE(B12676,""en"",""de"")"),"Schließlich kehrt der Bildschirm zurück und sie wird im Reiten im Feld gezeigt, das durch den Stall geht.")</f>
        <v>Schließlich kehrt der Bildschirm zurück und sie wird im Reiten im Feld gezeigt, das durch den Stall geht.</v>
      </c>
    </row>
    <row r="12677">
      <c r="A12677" s="4" t="s">
        <v>15951</v>
      </c>
      <c r="B12677" s="4" t="s">
        <v>15952</v>
      </c>
      <c r="C12677" s="5" t="str">
        <f>IFERROR(__xludf.DUMMYFUNCTION("GOOGLETRANSLATE(B12677,""en"",""de"")"),"Eine kleine Gruppe von Menschen wird gesehen, wie sie um das Eis schleudert, das ein Hockeyspiel gegeneinander spielt.")</f>
        <v>Eine kleine Gruppe von Menschen wird gesehen, wie sie um das Eis schleudert, das ein Hockeyspiel gegeneinander spielt.</v>
      </c>
    </row>
    <row r="12678">
      <c r="A12678" s="4" t="s">
        <v>15951</v>
      </c>
      <c r="B12678" s="4" t="s">
        <v>15953</v>
      </c>
      <c r="C12678" s="5" t="str">
        <f>IFERROR(__xludf.DUMMYFUNCTION("GOOGLETRANSLATE(B12678,""en"",""de"")"),"Ein Mitglied trifft, als die Kamera um sie herum schwenkt und ein Mann beobachtet.")</f>
        <v>Ein Mitglied trifft, als die Kamera um sie herum schwenkt und ein Mann beobachtet.</v>
      </c>
    </row>
    <row r="12679">
      <c r="A12679" s="4" t="s">
        <v>15954</v>
      </c>
      <c r="B12679" s="4" t="s">
        <v>15955</v>
      </c>
      <c r="C12679" s="5" t="str">
        <f>IFERROR(__xludf.DUMMYFUNCTION("GOOGLETRANSLATE(B12679,""en"",""de"")"),"Ein Mann steht in einer großen Grube mit einer Gruppe von Kindern und lehrt ihnen, wie man steht.")</f>
        <v>Ein Mann steht in einer großen Grube mit einer Gruppe von Kindern und lehrt ihnen, wie man steht.</v>
      </c>
    </row>
    <row r="12680">
      <c r="A12680" s="4" t="s">
        <v>15954</v>
      </c>
      <c r="B12680" s="4" t="s">
        <v>15956</v>
      </c>
      <c r="C12680" s="5" t="str">
        <f>IFERROR(__xludf.DUMMYFUNCTION("GOOGLETRANSLATE(B12680,""en"",""de"")"),"Die Kinder bekommen dann Pulver in die Hände und der Mann jagt sie herum und hat Spaß.")</f>
        <v>Die Kinder bekommen dann Pulver in die Hände und der Mann jagt sie herum und hat Spaß.</v>
      </c>
    </row>
    <row r="12681">
      <c r="A12681" s="4" t="s">
        <v>15957</v>
      </c>
      <c r="B12681" s="4" t="s">
        <v>15958</v>
      </c>
      <c r="C12681" s="5" t="str">
        <f>IFERROR(__xludf.DUMMYFUNCTION("GOOGLETRANSLATE(B12681,""en"",""de"")"),"Die Kamera schwenkt um eine sportliche Frau herum und andere beobachten sie nebenbei.")</f>
        <v>Die Kamera schwenkt um eine sportliche Frau herum und andere beobachten sie nebenbei.</v>
      </c>
    </row>
    <row r="12682">
      <c r="A12682" s="4" t="s">
        <v>15957</v>
      </c>
      <c r="B12682" s="4" t="s">
        <v>15959</v>
      </c>
      <c r="C12682" s="5" t="str">
        <f>IFERROR(__xludf.DUMMYFUNCTION("GOOGLETRANSLATE(B12682,""en"",""de"")"),"Sie springt hoch über eine Stange und geht weg, während ihr Sprung wieder in Zeitlupe gezeigt wird und ein anderer Läufer steigt.")</f>
        <v>Sie springt hoch über eine Stange und geht weg, während ihr Sprung wieder in Zeitlupe gezeigt wird und ein anderer Läufer steigt.</v>
      </c>
    </row>
    <row r="12683">
      <c r="A12683" s="4" t="s">
        <v>15957</v>
      </c>
      <c r="B12683" s="4" t="s">
        <v>15960</v>
      </c>
      <c r="C12683" s="5" t="str">
        <f>IFERROR(__xludf.DUMMYFUNCTION("GOOGLETRANSLATE(B12683,""en"",""de"")"),"Mehrere weitere Frauen werden über den Strahl springen, während ihre Punktzahlen unmittelbar danach angezeigt werden.")</f>
        <v>Mehrere weitere Frauen werden über den Strahl springen, während ihre Punktzahlen unmittelbar danach angezeigt werden.</v>
      </c>
    </row>
    <row r="12684">
      <c r="A12684" s="4" t="s">
        <v>15961</v>
      </c>
      <c r="B12684" s="4" t="s">
        <v>15962</v>
      </c>
      <c r="C12684" s="5" t="str">
        <f>IFERROR(__xludf.DUMMYFUNCTION("GOOGLETRANSLATE(B12684,""en"",""de"")"),"Wir sehen einen Öffnungsbildschirm als Schwarz -Weiß -Film.")</f>
        <v>Wir sehen einen Öffnungsbildschirm als Schwarz -Weiß -Film.</v>
      </c>
    </row>
    <row r="12685">
      <c r="A12685" s="4" t="s">
        <v>15961</v>
      </c>
      <c r="B12685" s="4" t="s">
        <v>15963</v>
      </c>
      <c r="C12685" s="5" t="str">
        <f>IFERROR(__xludf.DUMMYFUNCTION("GOOGLETRANSLATE(B12685,""en"",""de"")"),"Wir sehen dann Leute, die Zaunausrüstung anlegen.")</f>
        <v>Wir sehen dann Leute, die Zaunausrüstung anlegen.</v>
      </c>
    </row>
    <row r="12686">
      <c r="A12686" s="4" t="s">
        <v>15961</v>
      </c>
      <c r="B12686" s="4" t="s">
        <v>15964</v>
      </c>
      <c r="C12686" s="5" t="str">
        <f>IFERROR(__xludf.DUMMYFUNCTION("GOOGLETRANSLATE(B12686,""en"",""de"")"),"Die beiden Männer zäfen zwischen den Titelbildschirmen.")</f>
        <v>Die beiden Männer zäfen zwischen den Titelbildschirmen.</v>
      </c>
    </row>
    <row r="12687">
      <c r="A12687" s="4" t="s">
        <v>15961</v>
      </c>
      <c r="B12687" s="4" t="s">
        <v>15965</v>
      </c>
      <c r="C12687" s="5" t="str">
        <f>IFERROR(__xludf.DUMMYFUNCTION("GOOGLETRANSLATE(B12687,""en"",""de"")"),"Die Männer wechseln von draußen zu drinnen.")</f>
        <v>Die Männer wechseln von draußen zu drinnen.</v>
      </c>
    </row>
    <row r="12688">
      <c r="A12688" s="4" t="s">
        <v>15961</v>
      </c>
      <c r="B12688" s="4" t="s">
        <v>15966</v>
      </c>
      <c r="C12688" s="5" t="str">
        <f>IFERROR(__xludf.DUMMYFUNCTION("GOOGLETRANSLATE(B12688,""en"",""de"")"),"Wir sehen den Helm eines Mannes.")</f>
        <v>Wir sehen den Helm eines Mannes.</v>
      </c>
    </row>
    <row r="12689">
      <c r="A12689" s="4" t="s">
        <v>15961</v>
      </c>
      <c r="B12689" s="4" t="s">
        <v>15967</v>
      </c>
      <c r="C12689" s="5" t="str">
        <f>IFERROR(__xludf.DUMMYFUNCTION("GOOGLETRANSLATE(B12689,""en"",""de"")"),"Wir sehen, dass ein Männer in Zeitlupe kämpfen.")</f>
        <v>Wir sehen, dass ein Männer in Zeitlupe kämpfen.</v>
      </c>
    </row>
    <row r="12690">
      <c r="A12690" s="4" t="s">
        <v>15961</v>
      </c>
      <c r="B12690" s="4" t="s">
        <v>15968</v>
      </c>
      <c r="C12690" s="5" t="str">
        <f>IFERROR(__xludf.DUMMYFUNCTION("GOOGLETRANSLATE(B12690,""en"",""de"")"),"Die Männer beenden und gehen voneinander weg.")</f>
        <v>Die Männer beenden und gehen voneinander weg.</v>
      </c>
    </row>
    <row r="12691">
      <c r="A12691" s="4" t="s">
        <v>15969</v>
      </c>
      <c r="B12691" s="4" t="s">
        <v>15970</v>
      </c>
      <c r="C12691" s="5" t="str">
        <f>IFERROR(__xludf.DUMMYFUNCTION("GOOGLETRANSLATE(B12691,""en"",""de"")"),"Ein Mann nimmt ein schweres Gewicht auf.")</f>
        <v>Ein Mann nimmt ein schweres Gewicht auf.</v>
      </c>
    </row>
    <row r="12692">
      <c r="A12692" s="4" t="s">
        <v>15969</v>
      </c>
      <c r="B12692" s="4" t="s">
        <v>15971</v>
      </c>
      <c r="C12692" s="5" t="str">
        <f>IFERROR(__xludf.DUMMYFUNCTION("GOOGLETRANSLATE(B12692,""en"",""de"")"),"Er lässt es zu Boden fallen.")</f>
        <v>Er lässt es zu Boden fallen.</v>
      </c>
    </row>
    <row r="12693">
      <c r="A12693" s="4" t="s">
        <v>15972</v>
      </c>
      <c r="B12693" s="4" t="s">
        <v>15973</v>
      </c>
      <c r="C12693" s="5" t="str">
        <f>IFERROR(__xludf.DUMMYFUNCTION("GOOGLETRANSLATE(B12693,""en"",""de"")"),"Es gibt eine Frau in einem braunen Kleid, die neben einer anderen Frau in Blau steht, die ein Rezept demonstriert.")</f>
        <v>Es gibt eine Frau in einem braunen Kleid, die neben einer anderen Frau in Blau steht, die ein Rezept demonstriert.</v>
      </c>
    </row>
    <row r="12694">
      <c r="A12694" s="4" t="s">
        <v>15972</v>
      </c>
      <c r="B12694" s="4" t="s">
        <v>15974</v>
      </c>
      <c r="C12694" s="5" t="str">
        <f>IFERROR(__xludf.DUMMYFUNCTION("GOOGLETRANSLATE(B12694,""en"",""de"")"),"Sie stehen neben der Küchentheke, in der mehrere Schalen mit verschiedenen Zutaten gefüllt sind.")</f>
        <v>Sie stehen neben der Küchentheke, in der mehrere Schalen mit verschiedenen Zutaten gefüllt sind.</v>
      </c>
    </row>
    <row r="12695">
      <c r="A12695" s="4" t="s">
        <v>15972</v>
      </c>
      <c r="B12695" s="4" t="s">
        <v>15975</v>
      </c>
      <c r="C12695" s="5" t="str">
        <f>IFERROR(__xludf.DUMMYFUNCTION("GOOGLETRANSLATE(B12695,""en"",""de"")"),"Der Küchenchef spricht über die Rezepte, für die die Zutaten verwendet werden.")</f>
        <v>Der Küchenchef spricht über die Rezepte, für die die Zutaten verwendet werden.</v>
      </c>
    </row>
    <row r="12696">
      <c r="A12696" s="4" t="s">
        <v>15972</v>
      </c>
      <c r="B12696" s="4" t="s">
        <v>15976</v>
      </c>
      <c r="C12696" s="5" t="str">
        <f>IFERROR(__xludf.DUMMYFUNCTION("GOOGLETRANSLATE(B12696,""en"",""de"")"),"Es gibt einen weißen Teller mit zerkleinertem Fleisch an der Küchentheke.")</f>
        <v>Es gibt einen weißen Teller mit zerkleinertem Fleisch an der Küchentheke.</v>
      </c>
    </row>
    <row r="12697">
      <c r="A12697" s="4" t="s">
        <v>15972</v>
      </c>
      <c r="B12697" s="4" t="s">
        <v>15977</v>
      </c>
      <c r="C12697" s="5" t="str">
        <f>IFERROR(__xludf.DUMMYFUNCTION("GOOGLETRANSLATE(B12697,""en"",""de"")"),"Der Koch nimmt dann den Fleischplatten auf und gibt ihn der Dame in Braun.")</f>
        <v>Der Koch nimmt dann den Fleischplatten auf und gibt ihn der Dame in Braun.</v>
      </c>
    </row>
    <row r="12698">
      <c r="A12698" s="4" t="s">
        <v>15972</v>
      </c>
      <c r="B12698" s="4" t="s">
        <v>15978</v>
      </c>
      <c r="C12698" s="5" t="str">
        <f>IFERROR(__xludf.DUMMYFUNCTION("GOOGLETRANSLATE(B12698,""en"",""de"")"),"Der Moderator leert dann das Fleisch in eine blaue Schüssel.")</f>
        <v>Der Moderator leert dann das Fleisch in eine blaue Schüssel.</v>
      </c>
    </row>
    <row r="12699">
      <c r="A12699" s="4" t="s">
        <v>15972</v>
      </c>
      <c r="B12699" s="4" t="s">
        <v>15979</v>
      </c>
      <c r="C12699" s="5" t="str">
        <f>IFERROR(__xludf.DUMMYFUNCTION("GOOGLETRANSLATE(B12699,""en"",""de"")"),"Der Küchenchef erklärt weiterhin das Rezept.")</f>
        <v>Der Küchenchef erklärt weiterhin das Rezept.</v>
      </c>
    </row>
    <row r="12700">
      <c r="A12700" s="4" t="s">
        <v>15972</v>
      </c>
      <c r="B12700" s="4" t="s">
        <v>15980</v>
      </c>
      <c r="C12700" s="5" t="str">
        <f>IFERROR(__xludf.DUMMYFUNCTION("GOOGLETRANSLATE(B12700,""en"",""de"")"),"Dann fügen sie der blauen Schüssel etwas gehackte Gurke hinzu und mischen es mit einem Löffel.")</f>
        <v>Dann fügen sie der blauen Schüssel etwas gehackte Gurke hinzu und mischen es mit einem Löffel.</v>
      </c>
    </row>
    <row r="12701">
      <c r="A12701" s="4" t="s">
        <v>15972</v>
      </c>
      <c r="B12701" s="4" t="s">
        <v>15981</v>
      </c>
      <c r="C12701" s="5" t="str">
        <f>IFERROR(__xludf.DUMMYFUNCTION("GOOGLETRANSLATE(B12701,""en"",""de"")"),"Der Koch zeigt die Gurken, die sie im Salat verwendet hat.")</f>
        <v>Der Koch zeigt die Gurken, die sie im Salat verwendet hat.</v>
      </c>
    </row>
    <row r="12702">
      <c r="A12702" s="4" t="s">
        <v>15972</v>
      </c>
      <c r="B12702" s="4" t="s">
        <v>15982</v>
      </c>
      <c r="C12702" s="5" t="str">
        <f>IFERROR(__xludf.DUMMYFUNCTION("GOOGLETRANSLATE(B12702,""en"",""de"")"),"Dann fügen sie gehackte Kirschtomaten hinzu, gefolgt von geschnittenen weißen Zwiebeln und einigen Blattgemüse.")</f>
        <v>Dann fügen sie gehackte Kirschtomaten hinzu, gefolgt von geschnittenen weißen Zwiebeln und einigen Blattgemüse.</v>
      </c>
    </row>
    <row r="12703">
      <c r="A12703" s="4" t="s">
        <v>15972</v>
      </c>
      <c r="B12703" s="4" t="s">
        <v>15983</v>
      </c>
      <c r="C12703" s="5" t="str">
        <f>IFERROR(__xludf.DUMMYFUNCTION("GOOGLETRANSLATE(B12703,""en"",""de"")"),"Dann fügen sie auf dem Salat weitere Garnieren hinzu.")</f>
        <v>Dann fügen sie auf dem Salat weitere Garnieren hinzu.</v>
      </c>
    </row>
    <row r="12704">
      <c r="A12704" s="4" t="s">
        <v>15984</v>
      </c>
      <c r="B12704" s="4" t="s">
        <v>15985</v>
      </c>
      <c r="C12704" s="5" t="str">
        <f>IFERROR(__xludf.DUMMYFUNCTION("GOOGLETRANSLATE(B12704,""en"",""de"")"),"Ein Mädchen bewegt sich um einen Indoor -Spielplatz.")</f>
        <v>Ein Mädchen bewegt sich um einen Indoor -Spielplatz.</v>
      </c>
    </row>
    <row r="12705">
      <c r="A12705" s="4" t="s">
        <v>15984</v>
      </c>
      <c r="B12705" s="4" t="s">
        <v>15986</v>
      </c>
      <c r="C12705" s="5" t="str">
        <f>IFERROR(__xludf.DUMMYFUNCTION("GOOGLETRANSLATE(B12705,""en"",""de"")"),"Das Mädchen rutscht nach unten und klettert mit Jungen einen Rutschen hinauf.")</f>
        <v>Das Mädchen rutscht nach unten und klettert mit Jungen einen Rutschen hinauf.</v>
      </c>
    </row>
    <row r="12706">
      <c r="A12706" s="4" t="s">
        <v>15984</v>
      </c>
      <c r="B12706" s="4" t="s">
        <v>15987</v>
      </c>
      <c r="C12706" s="5" t="str">
        <f>IFERROR(__xludf.DUMMYFUNCTION("GOOGLETRANSLATE(B12706,""en"",""de"")"),"Ein Finger berührt die Haare und den Kopf von Mädchen.")</f>
        <v>Ein Finger berührt die Haare und den Kopf von Mädchen.</v>
      </c>
    </row>
    <row r="12707">
      <c r="A12707" s="4" t="s">
        <v>15988</v>
      </c>
      <c r="B12707" s="4" t="s">
        <v>15989</v>
      </c>
      <c r="C12707" s="5" t="str">
        <f>IFERROR(__xludf.DUMMYFUNCTION("GOOGLETRANSLATE(B12707,""en"",""de"")"),"Ein Mann hält einen Hummer auf dem Boden.")</f>
        <v>Ein Mann hält einen Hummer auf dem Boden.</v>
      </c>
    </row>
    <row r="12708">
      <c r="A12708" s="4" t="s">
        <v>15988</v>
      </c>
      <c r="B12708" s="4" t="s">
        <v>15990</v>
      </c>
      <c r="C12708" s="5" t="str">
        <f>IFERROR(__xludf.DUMMYFUNCTION("GOOGLETRANSLATE(B12708,""en"",""de"")"),"Dann dreht der Mann den Hammer mehrmals und wirft ihn weit.")</f>
        <v>Dann dreht der Mann den Hammer mehrmals und wirft ihn weit.</v>
      </c>
    </row>
    <row r="12709">
      <c r="A12709" s="4" t="s">
        <v>15988</v>
      </c>
      <c r="B12709" s="4" t="s">
        <v>15991</v>
      </c>
      <c r="C12709" s="5" t="str">
        <f>IFERROR(__xludf.DUMMYFUNCTION("GOOGLETRANSLATE(B12709,""en"",""de"")"),"Anderer Mann führt den Hammerwurf aus, während die Leute zuschauen.")</f>
        <v>Anderer Mann führt den Hammerwurf aus, während die Leute zuschauen.</v>
      </c>
    </row>
    <row r="12710">
      <c r="A12710" s="4" t="s">
        <v>15992</v>
      </c>
      <c r="B12710" s="4" t="s">
        <v>15993</v>
      </c>
      <c r="C12710" s="5" t="str">
        <f>IFERROR(__xludf.DUMMYFUNCTION("GOOGLETRANSLATE(B12710,""en"",""de"")"),"Es gibt viele Menschen in Badeanzügen in einem See mit Motorbooten dahinter.")</f>
        <v>Es gibt viele Menschen in Badeanzügen in einem See mit Motorbooten dahinter.</v>
      </c>
    </row>
    <row r="12711">
      <c r="A12711" s="4" t="s">
        <v>15992</v>
      </c>
      <c r="B12711" s="4" t="s">
        <v>15994</v>
      </c>
      <c r="C12711" s="5" t="str">
        <f>IFERROR(__xludf.DUMMYFUNCTION("GOOGLETRANSLATE(B12711,""en"",""de"")"),"Ein Mädchen, das einen Bikini trägt und eine Cola -Dose in der Hand hält, rieb Sonnencreme auf der Brust einer anderen Frau.")</f>
        <v>Ein Mädchen, das einen Bikini trägt und eine Cola -Dose in der Hand hält, rieb Sonnencreme auf der Brust einer anderen Frau.</v>
      </c>
    </row>
    <row r="12712">
      <c r="A12712" s="4" t="s">
        <v>15992</v>
      </c>
      <c r="B12712" s="4" t="s">
        <v>15995</v>
      </c>
      <c r="C12712" s="5" t="str">
        <f>IFERROR(__xludf.DUMMYFUNCTION("GOOGLETRANSLATE(B12712,""en"",""de"")"),"Hinter ihnen stehen einige Männer in Schwimmstämmen und reden miteinander.")</f>
        <v>Hinter ihnen stehen einige Männer in Schwimmstämmen und reden miteinander.</v>
      </c>
    </row>
    <row r="12713">
      <c r="A12713" s="4" t="s">
        <v>15996</v>
      </c>
      <c r="B12713" s="4" t="s">
        <v>15997</v>
      </c>
      <c r="C12713" s="5" t="str">
        <f>IFERROR(__xludf.DUMMYFUNCTION("GOOGLETRANSLATE(B12713,""en"",""de"")"),"Es werden Nachrichtenausschnitte eines Wasserpolo -Players sowie Bilder und Standbilder gezeigt.")</f>
        <v>Es werden Nachrichtenausschnitte eines Wasserpolo -Players sowie Bilder und Standbilder gezeigt.</v>
      </c>
    </row>
    <row r="12714">
      <c r="A12714" s="4" t="s">
        <v>15996</v>
      </c>
      <c r="B12714" s="4" t="s">
        <v>15998</v>
      </c>
      <c r="C12714" s="5" t="str">
        <f>IFERROR(__xludf.DUMMYFUNCTION("GOOGLETRANSLATE(B12714,""en"",""de"")"),"Wir sehen dann die Wasserballspiele im Video, während die Spieler versuchen, den Ball in ein Netz zu locken.")</f>
        <v>Wir sehen dann die Wasserballspiele im Video, während die Spieler versuchen, den Ball in ein Netz zu locken.</v>
      </c>
    </row>
    <row r="12715">
      <c r="A12715" s="4" t="s">
        <v>15996</v>
      </c>
      <c r="B12715" s="4" t="s">
        <v>15999</v>
      </c>
      <c r="C12715" s="5" t="str">
        <f>IFERROR(__xludf.DUMMYFUNCTION("GOOGLETRANSLATE(B12715,""en"",""de"")"),"Die Menschen kämpfen um den Ball, und eine kleine Menge klatscht und jubelt.")</f>
        <v>Die Menschen kämpfen um den Ball, und eine kleine Menge klatscht und jubelt.</v>
      </c>
    </row>
    <row r="12716">
      <c r="A12716" s="4" t="s">
        <v>16000</v>
      </c>
      <c r="B12716" s="4" t="s">
        <v>16001</v>
      </c>
      <c r="C12716" s="5" t="str">
        <f>IFERROR(__xludf.DUMMYFUNCTION("GOOGLETRANSLATE(B12716,""en"",""de"")"),"In einer schwarz gekachelten Gegend versammelt sich eine Menge.")</f>
        <v>In einer schwarz gekachelten Gegend versammelt sich eine Menge.</v>
      </c>
    </row>
    <row r="12717">
      <c r="A12717" s="4" t="s">
        <v>16000</v>
      </c>
      <c r="B12717" s="4" t="s">
        <v>16002</v>
      </c>
      <c r="C12717" s="5" t="str">
        <f>IFERROR(__xludf.DUMMYFUNCTION("GOOGLETRANSLATE(B12717,""en"",""de"")"),"Ein Mann in Schwarz macht einige Breakdance -Bewegungen.")</f>
        <v>Ein Mann in Schwarz macht einige Breakdance -Bewegungen.</v>
      </c>
    </row>
    <row r="12718">
      <c r="A12718" s="4" t="s">
        <v>16000</v>
      </c>
      <c r="B12718" s="4" t="s">
        <v>16003</v>
      </c>
      <c r="C12718" s="5" t="str">
        <f>IFERROR(__xludf.DUMMYFUNCTION("GOOGLETRANSLATE(B12718,""en"",""de"")"),"Dann handelt er mit einem Mann in Weiß ab, mehrere Breakdancer handeln mit und zeigen Bewegungen, während die Menge zuging.")</f>
        <v>Dann handelt er mit einem Mann in Weiß ab, mehrere Breakdancer handeln mit und zeigen Bewegungen, während die Menge zuging.</v>
      </c>
    </row>
    <row r="12719">
      <c r="A12719" s="4" t="s">
        <v>16000</v>
      </c>
      <c r="B12719" s="4" t="s">
        <v>16004</v>
      </c>
      <c r="C12719" s="5" t="str">
        <f>IFERROR(__xludf.DUMMYFUNCTION("GOOGLETRANSLATE(B12719,""en"",""de"")"),"Schließlich beendet der letzte Breakdancer seine Routine.")</f>
        <v>Schließlich beendet der letzte Breakdancer seine Routine.</v>
      </c>
    </row>
    <row r="12720">
      <c r="A12720" s="4" t="s">
        <v>16005</v>
      </c>
      <c r="B12720" s="4" t="s">
        <v>16006</v>
      </c>
      <c r="C12720" s="5" t="str">
        <f>IFERROR(__xludf.DUMMYFUNCTION("GOOGLETRANSLATE(B12720,""en"",""de"")"),"Ein Polo -Match wird im Freien auf einem Feld gehalten.")</f>
        <v>Ein Polo -Match wird im Freien auf einem Feld gehalten.</v>
      </c>
    </row>
    <row r="12721">
      <c r="A12721" s="4" t="s">
        <v>16005</v>
      </c>
      <c r="B12721" s="4" t="s">
        <v>16007</v>
      </c>
      <c r="C12721" s="5" t="str">
        <f>IFERROR(__xludf.DUMMYFUNCTION("GOOGLETRANSLATE(B12721,""en"",""de"")"),"Ein Spieler auf einem Pferd trifft den Ball.")</f>
        <v>Ein Spieler auf einem Pferd trifft den Ball.</v>
      </c>
    </row>
    <row r="12722">
      <c r="A12722" s="4" t="s">
        <v>16005</v>
      </c>
      <c r="B12722" s="4" t="s">
        <v>16008</v>
      </c>
      <c r="C12722" s="5" t="str">
        <f>IFERROR(__xludf.DUMMYFUNCTION("GOOGLETRANSLATE(B12722,""en"",""de"")"),"Eine breite Aufnahme der Polo -Feldwirkung wird gezeigt.")</f>
        <v>Eine breite Aufnahme der Polo -Feldwirkung wird gezeigt.</v>
      </c>
    </row>
    <row r="12723">
      <c r="A12723" s="4" t="s">
        <v>16009</v>
      </c>
      <c r="B12723" s="4" t="s">
        <v>16010</v>
      </c>
      <c r="C12723" s="5" t="str">
        <f>IFERROR(__xludf.DUMMYFUNCTION("GOOGLETRANSLATE(B12723,""en"",""de"")"),"Eine junge Frau spricht mit der Kamera und führt in sie und zeigt sie ihre Haare und bindet sie in einen Pferdeschwanz.")</f>
        <v>Eine junge Frau spricht mit der Kamera und führt in sie und zeigt sie ihre Haare und bindet sie in einen Pferdeschwanz.</v>
      </c>
    </row>
    <row r="12724">
      <c r="A12724" s="4" t="s">
        <v>16009</v>
      </c>
      <c r="B12724" s="4" t="s">
        <v>16011</v>
      </c>
      <c r="C12724" s="5" t="str">
        <f>IFERROR(__xludf.DUMMYFUNCTION("GOOGLETRANSLATE(B12724,""en"",""de"")"),"Sie sprüht sich die Haare hinunter und flechtet dann ihren Pony, gefolgt von dem Zopf zurück in einen Pferdeschwanz.")</f>
        <v>Sie sprüht sich die Haare hinunter und flechtet dann ihren Pony, gefolgt von dem Zopf zurück in einen Pferdeschwanz.</v>
      </c>
    </row>
    <row r="12725">
      <c r="A12725" s="4" t="s">
        <v>16009</v>
      </c>
      <c r="B12725" s="4" t="s">
        <v>16012</v>
      </c>
      <c r="C12725" s="5" t="str">
        <f>IFERROR(__xludf.DUMMYFUNCTION("GOOGLETRANSLATE(B12725,""en"",""de"")"),"Sie setzt am Ende einen Bogen in ihre Haare und lächelt zur Kamera.")</f>
        <v>Sie setzt am Ende einen Bogen in ihre Haare und lächelt zur Kamera.</v>
      </c>
    </row>
    <row r="12726">
      <c r="A12726" s="4" t="s">
        <v>16013</v>
      </c>
      <c r="B12726" s="4" t="s">
        <v>16014</v>
      </c>
      <c r="C12726" s="5" t="str">
        <f>IFERROR(__xludf.DUMMYFUNCTION("GOOGLETRANSLATE(B12726,""en"",""de"")"),"Ein weißer Bildschirm erscheint und glückliche Gesichter werden angezeigt und schwarze Textwörter lautet ""Happyface Entertainment"".")</f>
        <v>Ein weißer Bildschirm erscheint und glückliche Gesichter werden angezeigt und schwarze Textwörter lautet "Happyface Entertainment".</v>
      </c>
    </row>
    <row r="12727">
      <c r="A12727" s="4" t="s">
        <v>16013</v>
      </c>
      <c r="B12727" s="4" t="s">
        <v>16015</v>
      </c>
      <c r="C12727" s="5" t="str">
        <f>IFERROR(__xludf.DUMMYFUNCTION("GOOGLETRANSLATE(B12727,""en"",""de"")"),"Es gibt zwei asiatische Frauen, die von Angesicht zu Angesicht sehr nahe beieinander stehen und über eine Dose sprechen, während Untertitel unten auftauchen.")</f>
        <v>Es gibt zwei asiatische Frauen, die von Angesicht zu Angesicht sehr nahe beieinander stehen und über eine Dose sprechen, während Untertitel unten auftauchen.</v>
      </c>
    </row>
    <row r="12728">
      <c r="A12728" s="4" t="s">
        <v>16013</v>
      </c>
      <c r="B12728" s="4" t="s">
        <v>16016</v>
      </c>
      <c r="C12728" s="5" t="str">
        <f>IFERROR(__xludf.DUMMYFUNCTION("GOOGLETRANSLATE(B12728,""en"",""de"")"),"Die Frau, die die Flasche rechts hält, versucht, die Flasche aufzuschrauben, und es hat schwer, jemand zu greifen und sie zu öffnen und sie zurückzugeben.")</f>
        <v>Die Frau, die die Flasche rechts hält, versucht, die Flasche aufzuschrauben, und es hat schwer, jemand zu greifen und sie zu öffnen und sie zurückzugeben.</v>
      </c>
    </row>
    <row r="12729">
      <c r="A12729" s="4" t="s">
        <v>16013</v>
      </c>
      <c r="B12729" s="4" t="s">
        <v>16017</v>
      </c>
      <c r="C12729" s="5" t="str">
        <f>IFERROR(__xludf.DUMMYFUNCTION("GOOGLETRANSLATE(B12729,""en"",""de"")"),"Die Frauen lachen, riechen den Inhalt in der Flasche und die Brünette schmeckt ein bisschen danach und beide lachen.")</f>
        <v>Die Frauen lachen, riechen den Inhalt in der Flasche und die Brünette schmeckt ein bisschen danach und beide lachen.</v>
      </c>
    </row>
    <row r="12730">
      <c r="A12730" s="4" t="s">
        <v>16018</v>
      </c>
      <c r="B12730" s="4" t="s">
        <v>16019</v>
      </c>
      <c r="C12730" s="5" t="str">
        <f>IFERROR(__xludf.DUMMYFUNCTION("GOOGLETRANSLATE(B12730,""en"",""de"")"),"Ein schwarzer Bildschirm erscheint mit den weißen Buchstaben und Zahlen, die die Prüfung 2012 sagen.")</f>
        <v>Ein schwarzer Bildschirm erscheint mit den weißen Buchstaben und Zahlen, die die Prüfung 2012 sagen.</v>
      </c>
    </row>
    <row r="12731">
      <c r="A12731" s="4" t="s">
        <v>16018</v>
      </c>
      <c r="B12731" s="4" t="s">
        <v>16020</v>
      </c>
      <c r="C12731" s="5" t="str">
        <f>IFERROR(__xludf.DUMMYFUNCTION("GOOGLETRANSLATE(B12731,""en"",""de"")"),"Eine Outdoor eines zweistöckigen älteren Gebäudes wird gezeigt, und die weißen Buchstaben auf dem Bildschirm sagen die Bolshoi Ballet Academy.")</f>
        <v>Eine Outdoor eines zweistöckigen älteren Gebäudes wird gezeigt, und die weißen Buchstaben auf dem Bildschirm sagen die Bolshoi Ballet Academy.</v>
      </c>
    </row>
    <row r="12732">
      <c r="A12732" s="4" t="s">
        <v>16018</v>
      </c>
      <c r="B12732" s="4" t="s">
        <v>16021</v>
      </c>
      <c r="C12732" s="5" t="str">
        <f>IFERROR(__xludf.DUMMYFUNCTION("GOOGLETRANSLATE(B12732,""en"",""de"")"),"Eine blonde Frau wird gezeigt, die an einem Klavier sitzt, und als sie beginnt, ein paar junge Frauen zu spielen, werden in ihrer Ballettausrüstung gekleidet und tanzt Ballett auf einer Bühne, während die Leute sie beobachten.")</f>
        <v>Eine blonde Frau wird gezeigt, die an einem Klavier sitzt, und als sie beginnt, ein paar junge Frauen zu spielen, werden in ihrer Ballettausrüstung gekleidet und tanzt Ballett auf einer Bühne, während die Leute sie beobachten.</v>
      </c>
    </row>
    <row r="12733">
      <c r="A12733" s="4" t="s">
        <v>16018</v>
      </c>
      <c r="B12733" s="4" t="s">
        <v>16022</v>
      </c>
      <c r="C12733" s="5" t="str">
        <f>IFERROR(__xludf.DUMMYFUNCTION("GOOGLETRANSLATE(B12733,""en"",""de"")"),"Einige der Mädchen werden gezeigt, dass sie Tutus anziehen, die direkt herausragen.")</f>
        <v>Einige der Mädchen werden gezeigt, dass sie Tutus anziehen, die direkt herausragen.</v>
      </c>
    </row>
    <row r="12734">
      <c r="A12734" s="4" t="s">
        <v>16018</v>
      </c>
      <c r="B12734" s="4" t="s">
        <v>16023</v>
      </c>
      <c r="C12734" s="5" t="str">
        <f>IFERROR(__xludf.DUMMYFUNCTION("GOOGLETRANSLATE(B12734,""en"",""de"")"),"Die Frauen beenden ihre Ballettroutine, und sie alle gehen zur Seite der Bühne, um die Hand der Frau zu greifen, sie alle zur Bühne, nehmen einen Bug und alle Balletttänze feiern ihre Leistung und geben weitere Umarmungen an.")</f>
        <v>Die Frauen beenden ihre Ballettroutine, und sie alle gehen zur Seite der Bühne, um die Hand der Frau zu greifen, sie alle zur Bühne, nehmen einen Bug und alle Balletttänze feiern ihre Leistung und geben weitere Umarmungen an.</v>
      </c>
    </row>
    <row r="12735">
      <c r="A12735" s="4" t="s">
        <v>16024</v>
      </c>
      <c r="B12735" s="4" t="s">
        <v>16025</v>
      </c>
      <c r="C12735" s="5" t="str">
        <f>IFERROR(__xludf.DUMMYFUNCTION("GOOGLETRANSLATE(B12735,""en"",""de"")"),"Ein Sandwich sitzt auf einer Theke.")</f>
        <v>Ein Sandwich sitzt auf einer Theke.</v>
      </c>
    </row>
    <row r="12736">
      <c r="A12736" s="4" t="s">
        <v>16024</v>
      </c>
      <c r="B12736" s="4" t="s">
        <v>16026</v>
      </c>
      <c r="C12736" s="5" t="str">
        <f>IFERROR(__xludf.DUMMYFUNCTION("GOOGLETRANSLATE(B12736,""en"",""de"")"),"Es gibt viele Gemüse um das Sandwich.")</f>
        <v>Es gibt viele Gemüse um das Sandwich.</v>
      </c>
    </row>
    <row r="12737">
      <c r="A12737" s="4" t="s">
        <v>16024</v>
      </c>
      <c r="B12737" s="4" t="s">
        <v>16027</v>
      </c>
      <c r="C12737" s="5" t="str">
        <f>IFERROR(__xludf.DUMMYFUNCTION("GOOGLETRANSLATE(B12737,""en"",""de"")"),"Eine Person legt Gurken auf das Sandwich.")</f>
        <v>Eine Person legt Gurken auf das Sandwich.</v>
      </c>
    </row>
    <row r="12738">
      <c r="A12738" s="4" t="s">
        <v>16028</v>
      </c>
      <c r="B12738" s="4" t="s">
        <v>16029</v>
      </c>
      <c r="C12738" s="5" t="str">
        <f>IFERROR(__xludf.DUMMYFUNCTION("GOOGLETRANSLATE(B12738,""en"",""de"")"),"Ein Mann wird gezeigt, der eine Zigarette raucht, die ständig Rauch aus seinem Mund bläst und in die Kamera schaut.")</f>
        <v>Ein Mann wird gezeigt, der eine Zigarette raucht, die ständig Rauch aus seinem Mund bläst und in die Kamera schaut.</v>
      </c>
    </row>
    <row r="12739">
      <c r="A12739" s="4" t="s">
        <v>16028</v>
      </c>
      <c r="B12739" s="4" t="s">
        <v>16030</v>
      </c>
      <c r="C12739" s="5" t="str">
        <f>IFERROR(__xludf.DUMMYFUNCTION("GOOGLETRANSLATE(B12739,""en"",""de"")"),"Er zieht Sonnenbrillen an und nimmt weiterhin von der Zigarette.")</f>
        <v>Er zieht Sonnenbrillen an und nimmt weiterhin von der Zigarette.</v>
      </c>
    </row>
    <row r="12740">
      <c r="A12740" s="4" t="s">
        <v>16028</v>
      </c>
      <c r="B12740" s="4" t="s">
        <v>16031</v>
      </c>
      <c r="C12740" s="5" t="str">
        <f>IFERROR(__xludf.DUMMYFUNCTION("GOOGLETRANSLATE(B12740,""en"",""de"")"),"Er schwenkt die Kamera in einen Riss im Boden und zurück zu seinem Gesicht, der draußen raucht.")</f>
        <v>Er schwenkt die Kamera in einen Riss im Boden und zurück zu seinem Gesicht, der draußen raucht.</v>
      </c>
    </row>
    <row r="12741">
      <c r="A12741" s="4" t="s">
        <v>16032</v>
      </c>
      <c r="B12741" s="4" t="s">
        <v>16033</v>
      </c>
      <c r="C12741" s="5" t="str">
        <f>IFERROR(__xludf.DUMMYFUNCTION("GOOGLETRANSLATE(B12741,""en"",""de"")"),"Zwei kleine Kinder, wie sie an einem Tisch sitzen und miteinander lachen.")</f>
        <v>Zwei kleine Kinder, wie sie an einem Tisch sitzen und miteinander lachen.</v>
      </c>
    </row>
    <row r="12742">
      <c r="A12742" s="4" t="s">
        <v>16032</v>
      </c>
      <c r="B12742" s="4" t="s">
        <v>16034</v>
      </c>
      <c r="C12742" s="5" t="str">
        <f>IFERROR(__xludf.DUMMYFUNCTION("GOOGLETRANSLATE(B12742,""en"",""de"")"),"Ein Mädchen hat gesehen, wie sie die Nägel eines anderen Mals malen, während sie in die Ferne schaut.")</f>
        <v>Ein Mädchen hat gesehen, wie sie die Nägel eines anderen Mals malen, während sie in die Ferne schaut.</v>
      </c>
    </row>
    <row r="12743">
      <c r="A12743" s="4" t="s">
        <v>16032</v>
      </c>
      <c r="B12743" s="4" t="s">
        <v>16035</v>
      </c>
      <c r="C12743" s="5" t="str">
        <f>IFERROR(__xludf.DUMMYFUNCTION("GOOGLETRANSLATE(B12743,""en"",""de"")"),"Das Mädchen malt weiterhin die Nägel der anderen, während sie in die Kamera lacht.")</f>
        <v>Das Mädchen malt weiterhin die Nägel der anderen, während sie in die Kamera lacht.</v>
      </c>
    </row>
    <row r="12744">
      <c r="A12744" s="4" t="s">
        <v>16036</v>
      </c>
      <c r="B12744" s="4" t="s">
        <v>16037</v>
      </c>
      <c r="C12744" s="5" t="str">
        <f>IFERROR(__xludf.DUMMYFUNCTION("GOOGLETRANSLATE(B12744,""en"",""de"")"),"Eine Person nimmt ein Messer und schneidet die Enden einer Kartoffel, dann schält die Person die Kartoffel.")</f>
        <v>Eine Person nimmt ein Messer und schneidet die Enden einer Kartoffel, dann schält die Person die Kartoffel.</v>
      </c>
    </row>
    <row r="12745">
      <c r="A12745" s="4" t="s">
        <v>16036</v>
      </c>
      <c r="B12745" s="4" t="s">
        <v>16038</v>
      </c>
      <c r="C12745" s="5" t="str">
        <f>IFERROR(__xludf.DUMMYFUNCTION("GOOGLETRANSLATE(B12745,""en"",""de"")"),"Danach schnitt die Person die Kartoffel in Quadraten.")</f>
        <v>Danach schnitt die Person die Kartoffel in Quadraten.</v>
      </c>
    </row>
    <row r="12746">
      <c r="A12746" s="4" t="s">
        <v>16039</v>
      </c>
      <c r="B12746" s="4" t="s">
        <v>16040</v>
      </c>
      <c r="C12746" s="5" t="str">
        <f>IFERROR(__xludf.DUMMYFUNCTION("GOOGLETRANSLATE(B12746,""en"",""de"")"),"Wir sehen eine rosa Eröffnungsszene.")</f>
        <v>Wir sehen eine rosa Eröffnungsszene.</v>
      </c>
    </row>
    <row r="12747">
      <c r="A12747" s="4" t="s">
        <v>16039</v>
      </c>
      <c r="B12747" s="4" t="s">
        <v>16041</v>
      </c>
      <c r="C12747" s="5" t="str">
        <f>IFERROR(__xludf.DUMMYFUNCTION("GOOGLETRANSLATE(B12747,""en"",""de"")"),"Eine Dame geht die Treppe hinauf und die Menschen werden im Freien auf einem Platz versammelt.")</f>
        <v>Eine Dame geht die Treppe hinauf und die Menschen werden im Freien auf einem Platz versammelt.</v>
      </c>
    </row>
    <row r="12748">
      <c r="A12748" s="4" t="s">
        <v>16039</v>
      </c>
      <c r="B12748" s="4" t="s">
        <v>16042</v>
      </c>
      <c r="C12748" s="5" t="str">
        <f>IFERROR(__xludf.DUMMYFUNCTION("GOOGLETRANSLATE(B12748,""en"",""de"")"),"Wir sehen ein Rennbanner und Menschen, die sich unter das Banner bewegen.")</f>
        <v>Wir sehen ein Rennbanner und Menschen, die sich unter das Banner bewegen.</v>
      </c>
    </row>
    <row r="12749">
      <c r="A12749" s="4" t="s">
        <v>16039</v>
      </c>
      <c r="B12749" s="4" t="s">
        <v>16043</v>
      </c>
      <c r="C12749" s="5" t="str">
        <f>IFERROR(__xludf.DUMMYFUNCTION("GOOGLETRANSLATE(B12749,""en"",""de"")"),"Die Läufer laufen eine Stadtstraße in einem Marathon entlang.")</f>
        <v>Die Läufer laufen eine Stadtstraße in einem Marathon entlang.</v>
      </c>
    </row>
    <row r="12750">
      <c r="A12750" s="4" t="s">
        <v>16039</v>
      </c>
      <c r="B12750" s="4" t="s">
        <v>16044</v>
      </c>
      <c r="C12750" s="5" t="str">
        <f>IFERROR(__xludf.DUMMYFUNCTION("GOOGLETRANSLATE(B12750,""en"",""de"")"),"Wir sehen ein Stadion wie Struktur A km 8.")</f>
        <v>Wir sehen ein Stadion wie Struktur A km 8.</v>
      </c>
    </row>
    <row r="12751">
      <c r="A12751" s="4" t="s">
        <v>16039</v>
      </c>
      <c r="B12751" s="4" t="s">
        <v>16045</v>
      </c>
      <c r="C12751" s="5" t="str">
        <f>IFERROR(__xludf.DUMMYFUNCTION("GOOGLETRANSLATE(B12751,""en"",""de"")"),"Wir sehen einen Brunnen, der Wasser sprüht.")</f>
        <v>Wir sehen einen Brunnen, der Wasser sprüht.</v>
      </c>
    </row>
    <row r="12752">
      <c r="A12752" s="4" t="s">
        <v>16039</v>
      </c>
      <c r="B12752" s="4" t="s">
        <v>16046</v>
      </c>
      <c r="C12752" s="5" t="str">
        <f>IFERROR(__xludf.DUMMYFUNCTION("GOOGLETRANSLATE(B12752,""en"",""de"")"),"Eine Mariachi -Band sitzt auf dem Bürgersteig und spielt Musik, gefolgt von Schlagzeuger.")</f>
        <v>Eine Mariachi -Band sitzt auf dem Bürgersteig und spielt Musik, gefolgt von Schlagzeuger.</v>
      </c>
    </row>
    <row r="12753">
      <c r="A12753" s="4" t="s">
        <v>16039</v>
      </c>
      <c r="B12753" s="4" t="s">
        <v>16047</v>
      </c>
      <c r="C12753" s="5" t="str">
        <f>IFERROR(__xludf.DUMMYFUNCTION("GOOGLETRANSLATE(B12753,""en"",""de"")"),"Wir sehen das Ende und eine Tasse Kaffee und eine Medaille.")</f>
        <v>Wir sehen das Ende und eine Tasse Kaffee und eine Medaille.</v>
      </c>
    </row>
    <row r="12754">
      <c r="A12754" s="4" t="s">
        <v>16039</v>
      </c>
      <c r="B12754" s="4" t="s">
        <v>16048</v>
      </c>
      <c r="C12754" s="5" t="str">
        <f>IFERROR(__xludf.DUMMYFUNCTION("GOOGLETRANSLATE(B12754,""en"",""de"")"),"Eine Dame -Fototookalte in ihr Bild in der Mariachi -Band.")</f>
        <v>Eine Dame -Fototookalte in ihr Bild in der Mariachi -Band.</v>
      </c>
    </row>
    <row r="12755">
      <c r="A12755" s="4" t="s">
        <v>16039</v>
      </c>
      <c r="B12755" s="4" t="s">
        <v>1998</v>
      </c>
      <c r="C12755" s="5" t="str">
        <f>IFERROR(__xludf.DUMMYFUNCTION("GOOGLETRANSLATE(B12755,""en"",""de"")"),"Der Bildschirm des Endtitels wird angezeigt.")</f>
        <v>Der Bildschirm des Endtitels wird angezeigt.</v>
      </c>
    </row>
    <row r="12756">
      <c r="A12756" s="4" t="s">
        <v>16049</v>
      </c>
      <c r="B12756" s="4" t="s">
        <v>16050</v>
      </c>
      <c r="C12756" s="5" t="str">
        <f>IFERROR(__xludf.DUMMYFUNCTION("GOOGLETRANSLATE(B12756,""en"",""de"")"),"Es gibt ein Mädchen, das über Jubel führt, Gymnastik und Sturz.")</f>
        <v>Es gibt ein Mädchen, das über Jubel führt, Gymnastik und Sturz.</v>
      </c>
    </row>
    <row r="12757">
      <c r="A12757" s="4" t="s">
        <v>16049</v>
      </c>
      <c r="B12757" s="4" t="s">
        <v>16051</v>
      </c>
      <c r="C12757" s="5" t="str">
        <f>IFERROR(__xludf.DUMMYFUNCTION("GOOGLETRANSLATE(B12757,""en"",""de"")"),"Sie zeigt, wie man Somersaults, Wagenräder, Rund- und Rücken- und Front -Walkover macht.")</f>
        <v>Sie zeigt, wie man Somersaults, Wagenräder, Rund- und Rücken- und Front -Walkover macht.</v>
      </c>
    </row>
    <row r="12758">
      <c r="A12758" s="4" t="s">
        <v>16049</v>
      </c>
      <c r="B12758" s="4" t="s">
        <v>16052</v>
      </c>
      <c r="C12758" s="5" t="str">
        <f>IFERROR(__xludf.DUMMYFUNCTION("GOOGLETRANSLATE(B12758,""en"",""de"")"),"Sie zeigt auch verschiedene andere Bewegungen wie Luft-, Tic-Toc- und Rücken-Handspring.")</f>
        <v>Sie zeigt auch verschiedene andere Bewegungen wie Luft-, Tic-Toc- und Rücken-Handspring.</v>
      </c>
    </row>
    <row r="12759">
      <c r="A12759" s="4" t="s">
        <v>16049</v>
      </c>
      <c r="B12759" s="4" t="s">
        <v>16053</v>
      </c>
      <c r="C12759" s="5" t="str">
        <f>IFERROR(__xludf.DUMMYFUNCTION("GOOGLETRANSLATE(B12759,""en"",""de"")"),"Sie demonstriert weiterhin mehrere andere Gymnastikbewegungen, indem sie ihren Körper schnell durch vordere Flips bewegt.")</f>
        <v>Sie demonstriert weiterhin mehrere andere Gymnastikbewegungen, indem sie ihren Körper schnell durch vordere Flips bewegt.</v>
      </c>
    </row>
    <row r="12760">
      <c r="A12760" s="4" t="s">
        <v>16054</v>
      </c>
      <c r="B12760" s="4" t="s">
        <v>16055</v>
      </c>
      <c r="C12760" s="5" t="str">
        <f>IFERROR(__xludf.DUMMYFUNCTION("GOOGLETRANSLATE(B12760,""en"",""de"")"),"Ein Mann in brauner Jacke zieht einen Pfeil aus dem Zielbrett heraus, dann sprach er mit der Kamera. Dann zog er seinen Bogen heraus und begann, ihn mit seinem Bogen zu benutzen, um das Zielbrett zu treffen. Er feuerte seine Bögen mehrmals ab.")</f>
        <v>Ein Mann in brauner Jacke zieht einen Pfeil aus dem Zielbrett heraus, dann sprach er mit der Kamera. Dann zog er seinen Bogen heraus und begann, ihn mit seinem Bogen zu benutzen, um das Zielbrett zu treffen. Er feuerte seine Bögen mehrmals ab.</v>
      </c>
    </row>
    <row r="12761">
      <c r="A12761" s="4" t="s">
        <v>16054</v>
      </c>
      <c r="B12761" s="4" t="s">
        <v>16056</v>
      </c>
      <c r="C12761" s="5" t="str">
        <f>IFERROR(__xludf.DUMMYFUNCTION("GOOGLETRANSLATE(B12761,""en"",""de"")"),"Der Mann ging zum Zielbrett und sprach mit der Kamera.")</f>
        <v>Der Mann ging zum Zielbrett und sprach mit der Kamera.</v>
      </c>
    </row>
    <row r="12762">
      <c r="A12762" s="4" t="s">
        <v>16057</v>
      </c>
      <c r="B12762" s="4" t="s">
        <v>16058</v>
      </c>
      <c r="C12762" s="5" t="str">
        <f>IFERROR(__xludf.DUMMYFUNCTION("GOOGLETRANSLATE(B12762,""en"",""de"")"),"Ein Junge wird gezeigt, der auf einem Stück Gymnastikausrüstung schwingt und andere im Hintergrund trainieren.")</f>
        <v>Ein Junge wird gezeigt, der auf einem Stück Gymnastikausrüstung schwingt und andere im Hintergrund trainieren.</v>
      </c>
    </row>
    <row r="12763">
      <c r="A12763" s="4" t="s">
        <v>16057</v>
      </c>
      <c r="B12763" s="4" t="s">
        <v>16059</v>
      </c>
      <c r="C12763" s="5" t="str">
        <f>IFERROR(__xludf.DUMMYFUNCTION("GOOGLETRANSLATE(B12763,""en"",""de"")"),"Die Kamera zeigt verschiedene Aufnahmen verschiedener Jungen, die auf der Geräte herumschwingen, wobei die Kamera in verschiedenen Winkeln schwenkt.")</f>
        <v>Die Kamera zeigt verschiedene Aufnahmen verschiedener Jungen, die auf der Geräte herumschwingen, wobei die Kamera in verschiedenen Winkeln schwenkt.</v>
      </c>
    </row>
    <row r="12764">
      <c r="A12764" s="4" t="s">
        <v>16060</v>
      </c>
      <c r="B12764" s="4" t="s">
        <v>16061</v>
      </c>
      <c r="C12764" s="5" t="str">
        <f>IFERROR(__xludf.DUMMYFUNCTION("GOOGLETRANSLATE(B12764,""en"",""de"")"),"Ein Mann und eine Frau stehen auf einer Bowlingspur mit einer weiteren Lesung in der Ferne.")</f>
        <v>Ein Mann und eine Frau stehen auf einer Bowlingspur mit einer weiteren Lesung in der Ferne.</v>
      </c>
    </row>
    <row r="12765">
      <c r="A12765" s="4" t="s">
        <v>16060</v>
      </c>
      <c r="B12765" s="4" t="s">
        <v>16062</v>
      </c>
      <c r="C12765" s="5" t="str">
        <f>IFERROR(__xludf.DUMMYFUNCTION("GOOGLETRANSLATE(B12765,""en"",""de"")"),"Eine Frau kommt herein und spricht mit der blonden Frau und gibt ihr einige Bowlingschuhe.")</f>
        <v>Eine Frau kommt herein und spricht mit der blonden Frau und gibt ihr einige Bowlingschuhe.</v>
      </c>
    </row>
    <row r="12766">
      <c r="A12766" s="4" t="s">
        <v>16060</v>
      </c>
      <c r="B12766" s="4" t="s">
        <v>16063</v>
      </c>
      <c r="C12766" s="5" t="str">
        <f>IFERROR(__xludf.DUMMYFUNCTION("GOOGLETRANSLATE(B12766,""en"",""de"")"),"Der Mann spricht über und das Mädchen wirft den Bowlingball mit ihren Fersen an.")</f>
        <v>Der Mann spricht über und das Mädchen wirft den Bowlingball mit ihren Fersen an.</v>
      </c>
    </row>
    <row r="12767">
      <c r="A12767" s="4" t="s">
        <v>16064</v>
      </c>
      <c r="B12767" s="4" t="s">
        <v>16065</v>
      </c>
      <c r="C12767" s="5" t="str">
        <f>IFERROR(__xludf.DUMMYFUNCTION("GOOGLETRANSLATE(B12767,""en"",""de"")"),"Pitcher wirft den Ball auf den Batter, der Criquet spielt.")</f>
        <v>Pitcher wirft den Ball auf den Batter, der Criquet spielt.</v>
      </c>
    </row>
    <row r="12768">
      <c r="A12768" s="4" t="s">
        <v>16064</v>
      </c>
      <c r="B12768" s="4" t="s">
        <v>16066</v>
      </c>
      <c r="C12768" s="5" t="str">
        <f>IFERROR(__xludf.DUMMYFUNCTION("GOOGLETRANSLATE(B12768,""en"",""de"")"),"Der Teig fällt mit dem Mann und anderen Menschen, die versuchen, ihn zu beruhigen.")</f>
        <v>Der Teig fällt mit dem Mann und anderen Menschen, die versuchen, ihn zu beruhigen.</v>
      </c>
    </row>
    <row r="12769">
      <c r="A12769" s="4" t="s">
        <v>16064</v>
      </c>
      <c r="B12769" s="4" t="s">
        <v>16067</v>
      </c>
      <c r="C12769" s="5" t="str">
        <f>IFERROR(__xludf.DUMMYFUNCTION("GOOGLETRANSLATE(B12769,""en"",""de"")"),"Ein Lok von Menschen, die schwarze Unifroms tragen, rennen im Feld Kämpfe.")</f>
        <v>Ein Lok von Menschen, die schwarze Unifroms tragen, rennen im Feld Kämpfe.</v>
      </c>
    </row>
    <row r="12770">
      <c r="A12770" s="4" t="s">
        <v>16068</v>
      </c>
      <c r="B12770" s="4" t="s">
        <v>16069</v>
      </c>
      <c r="C12770" s="5" t="str">
        <f>IFERROR(__xludf.DUMMYFUNCTION("GOOGLETRANSLATE(B12770,""en"",""de"")"),"Verschiedene Frauen sind gesehen, wie sie mit Schuss in die Hände herumlaufen, gefolgt von mehr Schüssen von Athleten, die herumläuft, den Ball werfen und der Menge winken.")</f>
        <v>Verschiedene Frauen sind gesehen, wie sie mit Schuss in die Hände herumlaufen, gefolgt von mehr Schüssen von Athleten, die herumläuft, den Ball werfen und der Menge winken.</v>
      </c>
    </row>
    <row r="12771">
      <c r="A12771" s="4" t="s">
        <v>16068</v>
      </c>
      <c r="B12771" s="4" t="s">
        <v>16070</v>
      </c>
      <c r="C12771" s="5" t="str">
        <f>IFERROR(__xludf.DUMMYFUNCTION("GOOGLETRANSLATE(B12771,""en"",""de"")"),"Das Video setzt sich mit verschiedenen Aufnahmen von Sportlerinnen fort, die Schussputungen werfen und der Menge anfeuert und sich bewegen.")</f>
        <v>Das Video setzt sich mit verschiedenen Aufnahmen von Sportlerinnen fort, die Schussputungen werfen und der Menge anfeuert und sich bewegen.</v>
      </c>
    </row>
    <row r="12772">
      <c r="A12772" s="4" t="s">
        <v>16071</v>
      </c>
      <c r="B12772" s="4" t="s">
        <v>16072</v>
      </c>
      <c r="C12772" s="5" t="str">
        <f>IFERROR(__xludf.DUMMYFUNCTION("GOOGLETRANSLATE(B12772,""en"",""de"")"),"Zwei Männer spielen Beutel, während sie bei einer Militär- und Polizeizeremonie im Freien mit einem Sprecher auf einem Podium fotografiert werden, das von Männern in Uniform und vor einem offiziell sitzenden Publikum umgeben ist.")</f>
        <v>Zwei Männer spielen Beutel, während sie bei einer Militär- und Polizeizeremonie im Freien mit einem Sprecher auf einem Podium fotografiert werden, das von Männern in Uniform und vor einem offiziell sitzenden Publikum umgeben ist.</v>
      </c>
    </row>
    <row r="12773">
      <c r="A12773" s="4" t="s">
        <v>16071</v>
      </c>
      <c r="B12773" s="4" t="s">
        <v>16073</v>
      </c>
      <c r="C12773" s="5" t="str">
        <f>IFERROR(__xludf.DUMMYFUNCTION("GOOGLETRANSLATE(B12773,""en"",""de"")"),"Zwei Männer spielen vor einer Reihe von Polizisten und ein Mann in einer Militäruniform, als ein Fotograf ihr Foto von unten aufnimmt.")</f>
        <v>Zwei Männer spielen vor einer Reihe von Polizisten und ein Mann in einer Militäruniform, als ein Fotograf ihr Foto von unten aufnimmt.</v>
      </c>
    </row>
    <row r="12774">
      <c r="A12774" s="4" t="s">
        <v>16071</v>
      </c>
      <c r="B12774" s="4" t="s">
        <v>16074</v>
      </c>
      <c r="C12774" s="5" t="str">
        <f>IFERROR(__xludf.DUMMYFUNCTION("GOOGLETRANSLATE(B12774,""en"",""de"")"),"Die Kamera schwenkt zu einem Mann in einem Anzug, der auf einem Podium vor einer Gruppe von Menschen steht, die zusammen mit den Reihen von Menschen in Uniform hinter dem Sprecher stehen.")</f>
        <v>Die Kamera schwenkt zu einem Mann in einem Anzug, der auf einem Podium vor einer Gruppe von Menschen steht, die zusammen mit den Reihen von Menschen in Uniform hinter dem Sprecher stehen.</v>
      </c>
    </row>
    <row r="12775">
      <c r="A12775" s="4" t="s">
        <v>16071</v>
      </c>
      <c r="B12775" s="4" t="s">
        <v>16075</v>
      </c>
      <c r="C12775" s="5" t="str">
        <f>IFERROR(__xludf.DUMMYFUNCTION("GOOGLETRANSLATE(B12775,""en"",""de"")"),"Die Kamera schwenkt dann in drei Militärebenen, die im Rahmen der Zeremonie über uns fliegen, bevor er zu den Menschen zurückkehrt, die vor dem Mann auf dem Podium stehen.")</f>
        <v>Die Kamera schwenkt dann in drei Militärebenen, die im Rahmen der Zeremonie über uns fliegen, bevor er zu den Menschen zurückkehrt, die vor dem Mann auf dem Podium stehen.</v>
      </c>
    </row>
    <row r="12776">
      <c r="A12776" s="4" t="s">
        <v>16076</v>
      </c>
      <c r="B12776" s="4" t="s">
        <v>16077</v>
      </c>
      <c r="C12776" s="5" t="str">
        <f>IFERROR(__xludf.DUMMYFUNCTION("GOOGLETRANSLATE(B12776,""en"",""de"")"),"Auf den Seiten stehenden Menschen werden ebenso gezeigt wie eine Gruppe von Mädchen, die miteinander einen Kriegsschlepper spielen.")</f>
        <v>Auf den Seiten stehenden Menschen werden ebenso gezeigt wie eine Gruppe von Mädchen, die miteinander einen Kriegsschlepper spielen.</v>
      </c>
    </row>
    <row r="12777">
      <c r="A12777" s="4" t="s">
        <v>16076</v>
      </c>
      <c r="B12777" s="4" t="s">
        <v>16078</v>
      </c>
      <c r="C12777" s="5" t="str">
        <f>IFERROR(__xludf.DUMMYFUNCTION("GOOGLETRANSLATE(B12777,""en"",""de"")"),"Es werden einige weitere Aufnahmen von Mädchen gezeigt, die ein Schlepper gegen einander spielen, während die Leute sowohl an den Seiten als auch mit ihren Teamkollegen feiern.")</f>
        <v>Es werden einige weitere Aufnahmen von Mädchen gezeigt, die ein Schlepper gegen einander spielen, während die Leute sowohl an den Seiten als auch mit ihren Teamkollegen feiern.</v>
      </c>
    </row>
    <row r="12778">
      <c r="A12778" s="4" t="s">
        <v>16079</v>
      </c>
      <c r="B12778" s="4" t="s">
        <v>16080</v>
      </c>
      <c r="C12778" s="5" t="str">
        <f>IFERROR(__xludf.DUMMYFUNCTION("GOOGLETRANSLATE(B12778,""en"",""de"")"),"Ein Mann, der Handschuhe trägt, ist auf Händen und Knien mit einem Elektrowerkzeug, das Funken erzeugt.")</f>
        <v>Ein Mann, der Handschuhe trägt, ist auf Händen und Knien mit einem Elektrowerkzeug, das Funken erzeugt.</v>
      </c>
    </row>
    <row r="12779">
      <c r="A12779" s="4" t="s">
        <v>16079</v>
      </c>
      <c r="B12779" s="4" t="s">
        <v>16081</v>
      </c>
      <c r="C12779" s="5" t="str">
        <f>IFERROR(__xludf.DUMMYFUNCTION("GOOGLETRANSLATE(B12779,""en"",""de"")"),"Er verwendet das Objekt weiter, während der Kameramann das Verbrennen des Objekts beobachtet und beendet.")</f>
        <v>Er verwendet das Objekt weiter, während der Kameramann das Verbrennen des Objekts beobachtet und beendet.</v>
      </c>
    </row>
    <row r="12780">
      <c r="A12780" s="4" t="s">
        <v>16082</v>
      </c>
      <c r="B12780" s="4" t="s">
        <v>16083</v>
      </c>
      <c r="C12780" s="5" t="str">
        <f>IFERROR(__xludf.DUMMYFUNCTION("GOOGLETRANSLATE(B12780,""en"",""de"")"),"Junge steht vor einer Tür und redet mit anderen Jungen vor einer Küche.")</f>
        <v>Junge steht vor einer Tür und redet mit anderen Jungen vor einer Küche.</v>
      </c>
    </row>
    <row r="12781">
      <c r="A12781" s="4" t="s">
        <v>16082</v>
      </c>
      <c r="B12781" s="4" t="s">
        <v>16084</v>
      </c>
      <c r="C12781" s="5" t="str">
        <f>IFERROR(__xludf.DUMMYFUNCTION("GOOGLETRANSLATE(B12781,""en"",""de"")"),"Der Mensch geht zum Wohnzimmer vor einem Tisch in der Tischtennee.")</f>
        <v>Der Mensch geht zum Wohnzimmer vor einem Tisch in der Tischtennee.</v>
      </c>
    </row>
    <row r="12782">
      <c r="A12782" s="4" t="s">
        <v>16082</v>
      </c>
      <c r="B12782" s="4" t="s">
        <v>16085</v>
      </c>
      <c r="C12782" s="5" t="str">
        <f>IFERROR(__xludf.DUMMYFUNCTION("GOOGLETRANSLATE(B12782,""en"",""de"")"),"Der Mann setzt die Schuhe, schnappt sich ein Skateboard und skateboards mit ihren Freunden von einem Bürgersteig.")</f>
        <v>Der Mann setzt die Schuhe, schnappt sich ein Skateboard und skateboards mit ihren Freunden von einem Bürgersteig.</v>
      </c>
    </row>
    <row r="12783">
      <c r="A12783" s="4" t="s">
        <v>16082</v>
      </c>
      <c r="B12783" s="4" t="s">
        <v>16086</v>
      </c>
      <c r="C12783" s="5" t="str">
        <f>IFERROR(__xludf.DUMMYFUNCTION("GOOGLETRANSLATE(B12783,""en"",""de"")"),"Der Mensch hängt an Lianas auf einem Baum auf einem Park.")</f>
        <v>Der Mensch hängt an Lianas auf einem Baum auf einem Park.</v>
      </c>
    </row>
    <row r="12784">
      <c r="A12784" s="4" t="s">
        <v>16087</v>
      </c>
      <c r="B12784" s="4" t="s">
        <v>16088</v>
      </c>
      <c r="C12784" s="5" t="str">
        <f>IFERROR(__xludf.DUMMYFUNCTION("GOOGLETRANSLATE(B12784,""en"",""de"")"),"Ein Kind steht mit einigen Männern an einem Stuhllift, der in Skiausrüstung gekleidet ist.")</f>
        <v>Ein Kind steht mit einigen Männern an einem Stuhllift, der in Skiausrüstung gekleidet ist.</v>
      </c>
    </row>
    <row r="12785">
      <c r="A12785" s="4" t="s">
        <v>16087</v>
      </c>
      <c r="B12785" s="4" t="s">
        <v>16089</v>
      </c>
      <c r="C12785" s="5" t="str">
        <f>IFERROR(__xludf.DUMMYFUNCTION("GOOGLETRANSLATE(B12785,""en"",""de"")"),"Der Junge fällt auf einen Hügel, fällt aber hinunter.")</f>
        <v>Der Junge fällt auf einen Hügel, fällt aber hinunter.</v>
      </c>
    </row>
    <row r="12786">
      <c r="A12786" s="4" t="s">
        <v>16087</v>
      </c>
      <c r="B12786" s="4" t="s">
        <v>16090</v>
      </c>
      <c r="C12786" s="5" t="str">
        <f>IFERROR(__xludf.DUMMYFUNCTION("GOOGLETRANSLATE(B12786,""en"",""de"")"),"Dann wird er gezeigt, dass er einen Flip in der Luft macht, gefolgt von mehreren Rampen und Flipping -Tricks.")</f>
        <v>Dann wird er gezeigt, dass er einen Flip in der Luft macht, gefolgt von mehreren Rampen und Flipping -Tricks.</v>
      </c>
    </row>
    <row r="12787">
      <c r="A12787" s="4" t="s">
        <v>16087</v>
      </c>
      <c r="B12787" s="4" t="s">
        <v>16091</v>
      </c>
      <c r="C12787" s="5" t="str">
        <f>IFERROR(__xludf.DUMMYFUNCTION("GOOGLETRANSLATE(B12787,""en"",""de"")"),"Wenn sie fertig sind, gehen sie in ein Gebäude.")</f>
        <v>Wenn sie fertig sind, gehen sie in ein Gebäude.</v>
      </c>
    </row>
    <row r="12788">
      <c r="A12788" s="4" t="s">
        <v>16092</v>
      </c>
      <c r="B12788" s="4" t="s">
        <v>16093</v>
      </c>
      <c r="C12788" s="5" t="str">
        <f>IFERROR(__xludf.DUMMYFUNCTION("GOOGLETRANSLATE(B12788,""en"",""de"")"),"Es werden verschiedene Gruppen von Männern gezeigt, die zu einem Mann führen, der eine Uniform trägt und mit der Kamera spricht.")</f>
        <v>Es werden verschiedene Gruppen von Männern gezeigt, die zu einem Mann führen, der eine Uniform trägt und mit der Kamera spricht.</v>
      </c>
    </row>
    <row r="12789">
      <c r="A12789" s="4" t="s">
        <v>16092</v>
      </c>
      <c r="B12789" s="4" t="s">
        <v>16094</v>
      </c>
      <c r="C12789" s="5" t="str">
        <f>IFERROR(__xludf.DUMMYFUNCTION("GOOGLETRANSLATE(B12789,""en"",""de"")"),"Dann führt er eine Gruppe von Menschen dazu, ein Instrument zusammen zu spielen, während die Kamera herum schwenkt.")</f>
        <v>Dann führt er eine Gruppe von Menschen dazu, ein Instrument zusammen zu spielen, während die Kamera herum schwenkt.</v>
      </c>
    </row>
    <row r="12790">
      <c r="A12790" s="4" t="s">
        <v>16095</v>
      </c>
      <c r="B12790" s="4" t="s">
        <v>16096</v>
      </c>
      <c r="C12790" s="5" t="str">
        <f>IFERROR(__xludf.DUMMYFUNCTION("GOOGLETRANSLATE(B12790,""en"",""de"")"),"Ein Mann steht vor einem Waschbecken, der es mit einem Schwamm nach unten schrubbte.")</f>
        <v>Ein Mann steht vor einem Waschbecken, der es mit einem Schwamm nach unten schrubbte.</v>
      </c>
    </row>
    <row r="12791">
      <c r="A12791" s="4" t="s">
        <v>16095</v>
      </c>
      <c r="B12791" s="4" t="s">
        <v>16097</v>
      </c>
      <c r="C12791" s="5" t="str">
        <f>IFERROR(__xludf.DUMMYFUNCTION("GOOGLETRANSLATE(B12791,""en"",""de"")"),"Der Mann wischt weiter die Theke ab und schaut gelegentlich in die Kamera.")</f>
        <v>Der Mann wischt weiter die Theke ab und schaut gelegentlich in die Kamera.</v>
      </c>
    </row>
    <row r="12792">
      <c r="A12792" s="4" t="s">
        <v>16098</v>
      </c>
      <c r="B12792" s="4" t="s">
        <v>16099</v>
      </c>
      <c r="C12792" s="5" t="str">
        <f>IFERROR(__xludf.DUMMYFUNCTION("GOOGLETRANSLATE(B12792,""en"",""de"")"),"Mehrere Männer spielen in den Innenfußball.")</f>
        <v>Mehrere Männer spielen in den Innenfußball.</v>
      </c>
    </row>
    <row r="12793">
      <c r="A12793" s="4" t="s">
        <v>16098</v>
      </c>
      <c r="B12793" s="4" t="s">
        <v>16100</v>
      </c>
      <c r="C12793" s="5" t="str">
        <f>IFERROR(__xludf.DUMMYFUNCTION("GOOGLETRANSLATE(B12793,""en"",""de"")"),"Eine große Menge sieht von den Tribünen zu.")</f>
        <v>Eine große Menge sieht von den Tribünen zu.</v>
      </c>
    </row>
    <row r="12794">
      <c r="A12794" s="4" t="s">
        <v>16098</v>
      </c>
      <c r="B12794" s="4" t="s">
        <v>16101</v>
      </c>
      <c r="C12794" s="5" t="str">
        <f>IFERROR(__xludf.DUMMYFUNCTION("GOOGLETRANSLATE(B12794,""en"",""de"")"),"Ein Mann, der gelb trägt, tritt den Ball in das Tor und feiert mit seinem Team, bevor eine Wiederholung seines Tores gezeigt wird.")</f>
        <v>Ein Mann, der gelb trägt, tritt den Ball in das Tor und feiert mit seinem Team, bevor eine Wiederholung seines Tores gezeigt wird.</v>
      </c>
    </row>
    <row r="12795">
      <c r="A12795" s="4" t="s">
        <v>16098</v>
      </c>
      <c r="B12795" s="4" t="s">
        <v>16102</v>
      </c>
      <c r="C12795" s="5" t="str">
        <f>IFERROR(__xludf.DUMMYFUNCTION("GOOGLETRANSLATE(B12795,""en"",""de"")"),"Das Spiel geht weiter und zwei Männer schlagen sich gegenseitig ab, bevor das Rote Team ein Tor erzielt und eine Wiederholung gezeigt wird.")</f>
        <v>Das Spiel geht weiter und zwei Männer schlagen sich gegenseitig ab, bevor das Rote Team ein Tor erzielt und eine Wiederholung gezeigt wird.</v>
      </c>
    </row>
    <row r="12796">
      <c r="A12796" s="4" t="s">
        <v>16098</v>
      </c>
      <c r="B12796" s="4" t="s">
        <v>16103</v>
      </c>
      <c r="C12796" s="5" t="str">
        <f>IFERROR(__xludf.DUMMYFUNCTION("GOOGLETRANSLATE(B12796,""en"",""de"")"),"Das gelbe Team versucht zu punkten und wird mehrmals blockiert, bevor sie endgültig Tor erzielt, und eine Wiederholung dieses Ziels wird zweimal angezeigt.")</f>
        <v>Das gelbe Team versucht zu punkten und wird mehrmals blockiert, bevor sie endgültig Tor erzielt, und eine Wiederholung dieses Ziels wird zweimal angezeigt.</v>
      </c>
    </row>
    <row r="12797">
      <c r="A12797" s="4" t="s">
        <v>16098</v>
      </c>
      <c r="B12797" s="4" t="s">
        <v>16104</v>
      </c>
      <c r="C12797" s="5" t="str">
        <f>IFERROR(__xludf.DUMMYFUNCTION("GOOGLETRANSLATE(B12797,""en"",""de"")"),"Das Spiel wird fortgesetzt, bis das Rote Team bewertet.")</f>
        <v>Das Spiel wird fortgesetzt, bis das Rote Team bewertet.</v>
      </c>
    </row>
    <row r="12798">
      <c r="A12798" s="4" t="s">
        <v>16098</v>
      </c>
      <c r="B12798" s="4" t="s">
        <v>16105</v>
      </c>
      <c r="C12798" s="5" t="str">
        <f>IFERROR(__xludf.DUMMYFUNCTION("GOOGLETRANSLATE(B12798,""en"",""de"")"),"Ein Mann aus jedem Team tritt den Ball beim Tor, jeder Mann bekommt den Ball ins Netz und er fliegt zurück.")</f>
        <v>Ein Mann aus jedem Team tritt den Ball beim Tor, jeder Mann bekommt den Ball ins Netz und er fliegt zurück.</v>
      </c>
    </row>
    <row r="12799">
      <c r="A12799" s="4" t="s">
        <v>16098</v>
      </c>
      <c r="B12799" s="4" t="s">
        <v>16106</v>
      </c>
      <c r="C12799" s="5" t="str">
        <f>IFERROR(__xludf.DUMMYFUNCTION("GOOGLETRANSLATE(B12799,""en"",""de"")"),"Das gleiche passiert für einen weiteren Mann aus jedem Team.")</f>
        <v>Das gleiche passiert für einen weiteren Mann aus jedem Team.</v>
      </c>
    </row>
    <row r="12800">
      <c r="A12800" s="4" t="s">
        <v>16098</v>
      </c>
      <c r="B12800" s="4" t="s">
        <v>16107</v>
      </c>
      <c r="C12800" s="5" t="str">
        <f>IFERROR(__xludf.DUMMYFUNCTION("GOOGLETRANSLATE(B12800,""en"",""de"")"),"Wenn das nächste rote Teammitglied beginnt, blockiert der Torwart den Ball.")</f>
        <v>Wenn das nächste rote Teammitglied beginnt, blockiert der Torwart den Ball.</v>
      </c>
    </row>
    <row r="12801">
      <c r="A12801" s="4" t="s">
        <v>16098</v>
      </c>
      <c r="B12801" s="4" t="s">
        <v>16108</v>
      </c>
      <c r="C12801" s="5" t="str">
        <f>IFERROR(__xludf.DUMMYFUNCTION("GOOGLETRANSLATE(B12801,""en"",""de"")"),"Ein anderer Mann aus jedem Team erzielt, bevor der Torwart einen Ball blockiert, der von einem Mann in Gelb getreten wird.")</f>
        <v>Ein anderer Mann aus jedem Team erzielt, bevor der Torwart einen Ball blockiert, der von einem Mann in Gelb getreten wird.</v>
      </c>
    </row>
    <row r="12802">
      <c r="A12802" s="4" t="s">
        <v>16098</v>
      </c>
      <c r="B12802" s="4" t="s">
        <v>16109</v>
      </c>
      <c r="C12802" s="5" t="str">
        <f>IFERROR(__xludf.DUMMYFUNCTION("GOOGLETRANSLATE(B12802,""en"",""de"")"),"Ein weiterer Ball von Thew Red Team ist blockiert und zwei Männer von der Seitenlinie in Anzügen springen auf und rennen auf den Platz und schütteln ein paar Spielern die Hand.")</f>
        <v>Ein weiterer Ball von Thew Red Team ist blockiert und zwei Männer von der Seitenlinie in Anzügen springen auf und rennen auf den Platz und schütteln ein paar Spielern die Hand.</v>
      </c>
    </row>
    <row r="12803">
      <c r="A12803" s="4" t="s">
        <v>16098</v>
      </c>
      <c r="B12803" s="4" t="s">
        <v>16110</v>
      </c>
      <c r="C12803" s="5" t="str">
        <f>IFERROR(__xludf.DUMMYFUNCTION("GOOGLETRANSLATE(B12803,""en"",""de"")"),"Die Spieler feiern einige, die von einer Kamera gefolgt werden.")</f>
        <v>Die Spieler feiern einige, die von einer Kamera gefolgt werden.</v>
      </c>
    </row>
    <row r="12804">
      <c r="A12804" s="4" t="s">
        <v>16098</v>
      </c>
      <c r="B12804" s="4" t="s">
        <v>16111</v>
      </c>
      <c r="C12804" s="5" t="str">
        <f>IFERROR(__xludf.DUMMYFUNCTION("GOOGLETRANSLATE(B12804,""en"",""de"")"),"Männer in Anzügen geben einem Mann in Gelb eine Trophäe und er hält ihn über den Kopf, wobei alle im Hintergrund feiern.")</f>
        <v>Männer in Anzügen geben einem Mann in Gelb eine Trophäe und er hält ihn über den Kopf, wobei alle im Hintergrund feiern.</v>
      </c>
    </row>
    <row r="12805">
      <c r="A12805" s="4" t="s">
        <v>16112</v>
      </c>
      <c r="B12805" s="4" t="s">
        <v>16113</v>
      </c>
      <c r="C12805" s="5" t="str">
        <f>IFERROR(__xludf.DUMMYFUNCTION("GOOGLETRANSLATE(B12805,""en"",""de"")"),"Eine Aussicht wird aus steilen Bergschnee gezeigt.")</f>
        <v>Eine Aussicht wird aus steilen Bergschnee gezeigt.</v>
      </c>
    </row>
    <row r="12806">
      <c r="A12806" s="4" t="s">
        <v>16112</v>
      </c>
      <c r="B12806" s="4" t="s">
        <v>16114</v>
      </c>
      <c r="C12806" s="5" t="str">
        <f>IFERROR(__xludf.DUMMYFUNCTION("GOOGLETRANSLATE(B12806,""en"",""de"")"),"Skifahrer reisen mit einem Aufzug.")</f>
        <v>Skifahrer reisen mit einem Aufzug.</v>
      </c>
    </row>
    <row r="12807">
      <c r="A12807" s="4" t="s">
        <v>16112</v>
      </c>
      <c r="B12807" s="4" t="s">
        <v>16115</v>
      </c>
      <c r="C12807" s="5" t="str">
        <f>IFERROR(__xludf.DUMMYFUNCTION("GOOGLETRANSLATE(B12807,""en"",""de"")"),"Sie rodeln auf dem Schnee einen steilen Hügel hinunter.")</f>
        <v>Sie rodeln auf dem Schnee einen steilen Hügel hinunter.</v>
      </c>
    </row>
    <row r="12808">
      <c r="A12808" s="4" t="s">
        <v>16116</v>
      </c>
      <c r="B12808" s="4" t="s">
        <v>16117</v>
      </c>
      <c r="C12808" s="5" t="str">
        <f>IFERROR(__xludf.DUMMYFUNCTION("GOOGLETRANSLATE(B12808,""en"",""de"")"),"Auf dem Bildschirm erscheint ein Text mit der Aufschrift ""Deeba's Rezept"".")</f>
        <v>Auf dem Bildschirm erscheint ein Text mit der Aufschrift "Deeba's Rezept".</v>
      </c>
    </row>
    <row r="12809">
      <c r="A12809" s="4" t="s">
        <v>16116</v>
      </c>
      <c r="B12809" s="4" t="s">
        <v>16118</v>
      </c>
      <c r="C12809" s="5" t="str">
        <f>IFERROR(__xludf.DUMMYFUNCTION("GOOGLETRANSLATE(B12809,""en"",""de"")"),"Das Video schneidet dann eine Frau, die hinter einem Tisch steht, der mit kochenden Zutaten gefüllt ist.")</f>
        <v>Das Video schneidet dann eine Frau, die hinter einem Tisch steht, der mit kochenden Zutaten gefüllt ist.</v>
      </c>
    </row>
    <row r="12810">
      <c r="A12810" s="4" t="s">
        <v>16116</v>
      </c>
      <c r="B12810" s="4" t="s">
        <v>16119</v>
      </c>
      <c r="C12810" s="5" t="str">
        <f>IFERROR(__xludf.DUMMYFUNCTION("GOOGLETRANSLATE(B12810,""en"",""de"")"),"Sie spricht mit der Kamera und zeigt etwas von dem, was sie für das Gericht vorbereitet hat.")</f>
        <v>Sie spricht mit der Kamera und zeigt etwas von dem, was sie für das Gericht vorbereitet hat.</v>
      </c>
    </row>
    <row r="12811">
      <c r="A12811" s="4" t="s">
        <v>16116</v>
      </c>
      <c r="B12811" s="4" t="s">
        <v>16120</v>
      </c>
      <c r="C12811" s="5" t="str">
        <f>IFERROR(__xludf.DUMMYFUNCTION("GOOGLETRANSLATE(B12811,""en"",""de"")"),"Sie legt die verschiedenen Zutaten in eine Schüssel und garniert sie sehr genau.")</f>
        <v>Sie legt die verschiedenen Zutaten in eine Schüssel und garniert sie sehr genau.</v>
      </c>
    </row>
    <row r="12812">
      <c r="A12812" s="4" t="s">
        <v>16116</v>
      </c>
      <c r="B12812" s="4" t="s">
        <v>16121</v>
      </c>
      <c r="C12812" s="5" t="str">
        <f>IFERROR(__xludf.DUMMYFUNCTION("GOOGLETRANSLATE(B12812,""en"",""de"")"),"Dann gießt sie eine Sauce darüber.")</f>
        <v>Dann gießt sie eine Sauce darüber.</v>
      </c>
    </row>
    <row r="12813">
      <c r="A12813" s="4" t="s">
        <v>16116</v>
      </c>
      <c r="B12813" s="4" t="s">
        <v>16122</v>
      </c>
      <c r="C12813" s="5" t="str">
        <f>IFERROR(__xludf.DUMMYFUNCTION("GOOGLETRANSLATE(B12813,""en"",""de"")"),"Sie spricht dann noch mehr mit der Kamera, um Tipps zur Herstellung des Gerichts zu geben.")</f>
        <v>Sie spricht dann noch mehr mit der Kamera, um Tipps zur Herstellung des Gerichts zu geben.</v>
      </c>
    </row>
    <row r="12814">
      <c r="A12814" s="4" t="s">
        <v>16116</v>
      </c>
      <c r="B12814" s="4" t="s">
        <v>16123</v>
      </c>
      <c r="C12814" s="5" t="str">
        <f>IFERROR(__xludf.DUMMYFUNCTION("GOOGLETRANSLATE(B12814,""en"",""de"")"),"Ein weiterer Satz von Text, der ""Deebas"" -Rezept zeigt, wird erneut angezeigt.")</f>
        <v>Ein weiterer Satz von Text, der "Deebas" -Rezept zeigt, wird erneut angezeigt.</v>
      </c>
    </row>
    <row r="12815">
      <c r="A12815" s="4" t="s">
        <v>16124</v>
      </c>
      <c r="B12815" s="4" t="s">
        <v>16125</v>
      </c>
      <c r="C12815" s="5" t="str">
        <f>IFERROR(__xludf.DUMMYFUNCTION("GOOGLETRANSLATE(B12815,""en"",""de"")"),"Eine Person hält ein verpacktes Geschenk und beginnt, Papier um eine Schachtel zu wickeln.")</f>
        <v>Eine Person hält ein verpacktes Geschenk und beginnt, Papier um eine Schachtel zu wickeln.</v>
      </c>
    </row>
    <row r="12816">
      <c r="A12816" s="4" t="s">
        <v>16124</v>
      </c>
      <c r="B12816" s="4" t="s">
        <v>16126</v>
      </c>
      <c r="C12816" s="5" t="str">
        <f>IFERROR(__xludf.DUMMYFUNCTION("GOOGLETRANSLATE(B12816,""en"",""de"")"),"Das Mädchen drückt es an die Seiten und beginnt, die Box zu tippen.")</f>
        <v>Das Mädchen drückt es an die Seiten und beginnt, die Box zu tippen.</v>
      </c>
    </row>
    <row r="12817">
      <c r="A12817" s="4" t="s">
        <v>16124</v>
      </c>
      <c r="B12817" s="4" t="s">
        <v>16127</v>
      </c>
      <c r="C12817" s="5" t="str">
        <f>IFERROR(__xludf.DUMMYFUNCTION("GOOGLETRANSLATE(B12817,""en"",""de"")"),"Sie beendet rund um die Box und endet, indem sie sie der Kamera präsentiert.")</f>
        <v>Sie beendet rund um die Box und endet, indem sie sie der Kamera präsentiert.</v>
      </c>
    </row>
    <row r="12818">
      <c r="A12818" s="4" t="s">
        <v>16128</v>
      </c>
      <c r="B12818" s="4" t="s">
        <v>16129</v>
      </c>
      <c r="C12818" s="5" t="str">
        <f>IFERROR(__xludf.DUMMYFUNCTION("GOOGLETRANSLATE(B12818,""en"",""de"")"),"Der Bildschirm öffnet sich mit einer ACDC -Promo.")</f>
        <v>Der Bildschirm öffnet sich mit einer ACDC -Promo.</v>
      </c>
    </row>
    <row r="12819">
      <c r="A12819" s="4" t="s">
        <v>16128</v>
      </c>
      <c r="B12819" s="4" t="s">
        <v>16130</v>
      </c>
      <c r="C12819" s="5" t="str">
        <f>IFERROR(__xludf.DUMMYFUNCTION("GOOGLETRANSLATE(B12819,""en"",""de"")"),"Ein kleiner Junge spricht mit der Kamera.")</f>
        <v>Ein kleiner Junge spricht mit der Kamera.</v>
      </c>
    </row>
    <row r="12820">
      <c r="A12820" s="4" t="s">
        <v>16128</v>
      </c>
      <c r="B12820" s="4" t="s">
        <v>16131</v>
      </c>
      <c r="C12820" s="5" t="str">
        <f>IFERROR(__xludf.DUMMYFUNCTION("GOOGLETRANSLATE(B12820,""en"",""de"")"),"Der kleine Junge beginnt den Tanz zu brechen und macht viele Flips.")</f>
        <v>Der kleine Junge beginnt den Tanz zu brechen und macht viele Flips.</v>
      </c>
    </row>
    <row r="12821">
      <c r="A12821" s="4" t="s">
        <v>16128</v>
      </c>
      <c r="B12821" s="4" t="s">
        <v>16132</v>
      </c>
      <c r="C12821" s="5" t="str">
        <f>IFERROR(__xludf.DUMMYFUNCTION("GOOGLETRANSLATE(B12821,""en"",""de"")"),"Er steht auf und beginnt zu rappen.")</f>
        <v>Er steht auf und beginnt zu rappen.</v>
      </c>
    </row>
    <row r="12822">
      <c r="A12822" s="4" t="s">
        <v>16133</v>
      </c>
      <c r="B12822" s="4" t="s">
        <v>16134</v>
      </c>
      <c r="C12822" s="5" t="str">
        <f>IFERROR(__xludf.DUMMYFUNCTION("GOOGLETRANSLATE(B12822,""en"",""de"")"),"Der Mensch steht hinter einer Grafschaft hinter dem Pool.")</f>
        <v>Der Mensch steht hinter einer Grafschaft hinter dem Pool.</v>
      </c>
    </row>
    <row r="12823">
      <c r="A12823" s="4" t="s">
        <v>16133</v>
      </c>
      <c r="B12823" s="4" t="s">
        <v>16135</v>
      </c>
      <c r="C12823" s="5" t="str">
        <f>IFERROR(__xludf.DUMMYFUNCTION("GOOGLETRANSLATE(B12823,""en"",""de"")"),"Zwei Männer stehen auf Trampolinen und machen einen synchronisierten Sprung in den Pool.")</f>
        <v>Zwei Männer stehen auf Trampolinen und machen einen synchronisierten Sprung in den Pool.</v>
      </c>
    </row>
    <row r="12824">
      <c r="A12824" s="4" t="s">
        <v>16133</v>
      </c>
      <c r="B12824" s="4" t="s">
        <v>16136</v>
      </c>
      <c r="C12824" s="5" t="str">
        <f>IFERROR(__xludf.DUMMYFUNCTION("GOOGLETRANSLATE(B12824,""en"",""de"")"),"Der Mensch geht die Treppe zum Trampolin hinauf.")</f>
        <v>Der Mensch geht die Treppe zum Trampolin hinauf.</v>
      </c>
    </row>
    <row r="12825">
      <c r="A12825" s="4" t="s">
        <v>16137</v>
      </c>
      <c r="B12825" s="4" t="s">
        <v>16138</v>
      </c>
      <c r="C12825" s="5" t="str">
        <f>IFERROR(__xludf.DUMMYFUNCTION("GOOGLETRANSLATE(B12825,""en"",""de"")"),"Die Person wird gezeigt, dass sie 9 der Bowling -Stifte niederschlägt, was bedeutet, dass sie ein Ersatz hat.")</f>
        <v>Die Person wird gezeigt, dass sie 9 der Bowling -Stifte niederschlägt, was bedeutet, dass sie ein Ersatz hat.</v>
      </c>
    </row>
    <row r="12826">
      <c r="A12826" s="4" t="s">
        <v>16137</v>
      </c>
      <c r="B12826" s="4" t="s">
        <v>16139</v>
      </c>
      <c r="C12826" s="5" t="str">
        <f>IFERROR(__xludf.DUMMYFUNCTION("GOOGLETRANSLATE(B12826,""en"",""de"")"),"Als nächstes schlägt er alle Stifte nieder und bekommt einen Streik.")</f>
        <v>Als nächstes schlägt er alle Stifte nieder und bekommt einen Streik.</v>
      </c>
    </row>
    <row r="12827">
      <c r="A12827" s="4" t="s">
        <v>16140</v>
      </c>
      <c r="B12827" s="4" t="s">
        <v>16141</v>
      </c>
      <c r="C12827" s="5" t="str">
        <f>IFERROR(__xludf.DUMMYFUNCTION("GOOGLETRANSLATE(B12827,""en"",""de"")"),"Drei Kinder klettern ohne Seil einen Berg hinauf.")</f>
        <v>Drei Kinder klettern ohne Seil einen Berg hinauf.</v>
      </c>
    </row>
    <row r="12828">
      <c r="A12828" s="4" t="s">
        <v>16140</v>
      </c>
      <c r="B12828" s="4" t="s">
        <v>16142</v>
      </c>
      <c r="C12828" s="5" t="str">
        <f>IFERROR(__xludf.DUMMYFUNCTION("GOOGLETRANSLATE(B12828,""en"",""de"")"),"Dann hängen sie in ihrem Zimmer und lachen und haben Spaß.")</f>
        <v>Dann hängen sie in ihrem Zimmer und lachen und haben Spaß.</v>
      </c>
    </row>
    <row r="12829">
      <c r="A12829" s="4" t="s">
        <v>16140</v>
      </c>
      <c r="B12829" s="4" t="s">
        <v>16143</v>
      </c>
      <c r="C12829" s="5" t="str">
        <f>IFERROR(__xludf.DUMMYFUNCTION("GOOGLETRANSLATE(B12829,""en"",""de"")"),"Sie sind nur drei beste Freunde, die alles zusammen tun, Gehen, Einkaufsmöglichkeiten, Entspannen und Klettern der Berge.")</f>
        <v>Sie sind nur drei beste Freunde, die alles zusammen tun, Gehen, Einkaufsmöglichkeiten, Entspannen und Klettern der Berge.</v>
      </c>
    </row>
    <row r="12830">
      <c r="A12830" s="4" t="s">
        <v>16140</v>
      </c>
      <c r="B12830" s="4" t="s">
        <v>16144</v>
      </c>
      <c r="C12830" s="5" t="str">
        <f>IFERROR(__xludf.DUMMYFUNCTION("GOOGLETRANSLATE(B12830,""en"",""de"")"),"Wenn sie an die Spitze des Berges kommen, umarmen sie sich gegenseitig.")</f>
        <v>Wenn sie an die Spitze des Berges kommen, umarmen sie sich gegenseitig.</v>
      </c>
    </row>
    <row r="12831">
      <c r="A12831" s="4" t="s">
        <v>16145</v>
      </c>
      <c r="B12831" s="4" t="s">
        <v>16146</v>
      </c>
      <c r="C12831" s="5" t="str">
        <f>IFERROR(__xludf.DUMMYFUNCTION("GOOGLETRANSLATE(B12831,""en"",""de"")"),"Eine Gruppe spielt Fußball auf einem großen Feld.")</f>
        <v>Eine Gruppe spielt Fußball auf einem großen Feld.</v>
      </c>
    </row>
    <row r="12832">
      <c r="A12832" s="4" t="s">
        <v>16145</v>
      </c>
      <c r="B12832" s="4" t="s">
        <v>16147</v>
      </c>
      <c r="C12832" s="5" t="str">
        <f>IFERROR(__xludf.DUMMYFUNCTION("GOOGLETRANSLATE(B12832,""en"",""de"")"),"Ein grüner Ball springt plötzlich über die Fünfzig -Yard -Linie.")</f>
        <v>Ein grüner Ball springt plötzlich über die Fünfzig -Yard -Linie.</v>
      </c>
    </row>
    <row r="12833">
      <c r="A12833" s="4" t="s">
        <v>16145</v>
      </c>
      <c r="B12833" s="4" t="s">
        <v>16148</v>
      </c>
      <c r="C12833" s="5" t="str">
        <f>IFERROR(__xludf.DUMMYFUNCTION("GOOGLETRANSLATE(B12833,""en"",""de"")"),"Es kommt zum Stillstand und die Menschen zurück.")</f>
        <v>Es kommt zum Stillstand und die Menschen zurück.</v>
      </c>
    </row>
    <row r="12834">
      <c r="A12834" s="4" t="s">
        <v>16149</v>
      </c>
      <c r="B12834" s="4" t="s">
        <v>16150</v>
      </c>
      <c r="C12834" s="5" t="str">
        <f>IFERROR(__xludf.DUMMYFUNCTION("GOOGLETRANSLATE(B12834,""en"",""de"")"),"Ein weiblicher Turner steigt vor ihrem Trainer einen Hochstrahl.")</f>
        <v>Ein weiblicher Turner steigt vor ihrem Trainer einen Hochstrahl.</v>
      </c>
    </row>
    <row r="12835">
      <c r="A12835" s="4" t="s">
        <v>16149</v>
      </c>
      <c r="B12835" s="4" t="s">
        <v>16151</v>
      </c>
      <c r="C12835" s="5" t="str">
        <f>IFERROR(__xludf.DUMMYFUNCTION("GOOGLETRANSLATE(B12835,""en"",""de"")"),"Sie macht mehrere fließt nach vorne und rückwärts.")</f>
        <v>Sie macht mehrere fließt nach vorne und rückwärts.</v>
      </c>
    </row>
    <row r="12836">
      <c r="A12836" s="4" t="s">
        <v>16149</v>
      </c>
      <c r="B12836" s="4" t="s">
        <v>16152</v>
      </c>
      <c r="C12836" s="5" t="str">
        <f>IFERROR(__xludf.DUMMYFUNCTION("GOOGLETRANSLATE(B12836,""en"",""de"")"),"Sie steigt ab und er klatscht, als sie weggeht.")</f>
        <v>Sie steigt ab und er klatscht, als sie weggeht.</v>
      </c>
    </row>
    <row r="12837">
      <c r="A12837" s="4" t="s">
        <v>16153</v>
      </c>
      <c r="B12837" s="4" t="s">
        <v>16154</v>
      </c>
      <c r="C12837" s="5" t="str">
        <f>IFERROR(__xludf.DUMMYFUNCTION("GOOGLETRANSLATE(B12837,""en"",""de"")"),"Ein Mann liegt im Bett unter den Decke.")</f>
        <v>Ein Mann liegt im Bett unter den Decke.</v>
      </c>
    </row>
    <row r="12838">
      <c r="A12838" s="4" t="s">
        <v>16153</v>
      </c>
      <c r="B12838" s="4" t="s">
        <v>16155</v>
      </c>
      <c r="C12838" s="5" t="str">
        <f>IFERROR(__xludf.DUMMYFUNCTION("GOOGLETRANSLATE(B12838,""en"",""de"")"),"Er setzt sich am Bettkante hoch und kratzt sich an seinem Bart.")</f>
        <v>Er setzt sich am Bettkante hoch und kratzt sich an seinem Bart.</v>
      </c>
    </row>
    <row r="12839">
      <c r="A12839" s="4" t="s">
        <v>16153</v>
      </c>
      <c r="B12839" s="4" t="s">
        <v>16156</v>
      </c>
      <c r="C12839" s="5" t="str">
        <f>IFERROR(__xludf.DUMMYFUNCTION("GOOGLETRANSLATE(B12839,""en"",""de"")"),"Dann starrt er auf den Rasierer auf seinem Tisch und hebt ihn auf.")</f>
        <v>Dann starrt er auf den Rasierer auf seinem Tisch und hebt ihn auf.</v>
      </c>
    </row>
    <row r="12840">
      <c r="A12840" s="4" t="s">
        <v>16153</v>
      </c>
      <c r="B12840" s="4" t="s">
        <v>16157</v>
      </c>
      <c r="C12840" s="5" t="str">
        <f>IFERROR(__xludf.DUMMYFUNCTION("GOOGLETRANSLATE(B12840,""en"",""de"")"),"Der Mann rasiert seinen Bären und macht ihn viel kürzer, bevor er sich im Bett lag, und kuschelte mit der Tasche, die mit seinem Barthaar gefüllt war.")</f>
        <v>Der Mann rasiert seinen Bären und macht ihn viel kürzer, bevor er sich im Bett lag, und kuschelte mit der Tasche, die mit seinem Barthaar gefüllt war.</v>
      </c>
    </row>
    <row r="12841">
      <c r="A12841" s="4" t="s">
        <v>16158</v>
      </c>
      <c r="B12841" s="4" t="s">
        <v>16159</v>
      </c>
      <c r="C12841" s="5" t="str">
        <f>IFERROR(__xludf.DUMMYFUNCTION("GOOGLETRANSLATE(B12841,""en"",""de"")"),"Eine große Gruppe von Menschen läuft die Straße entlang, während viele an den Seiten zuschauen.")</f>
        <v>Eine große Gruppe von Menschen läuft die Straße entlang, während viele an den Seiten zuschauen.</v>
      </c>
    </row>
    <row r="12842">
      <c r="A12842" s="4" t="s">
        <v>16158</v>
      </c>
      <c r="B12842" s="4" t="s">
        <v>16160</v>
      </c>
      <c r="C12842" s="5" t="str">
        <f>IFERROR(__xludf.DUMMYFUNCTION("GOOGLETRANSLATE(B12842,""en"",""de"")"),"Mehrere Menschen sprechen mit der Kamera, da mehr Aufnahmen von Menschen gezeigt werden.")</f>
        <v>Mehrere Menschen sprechen mit der Kamera, da mehr Aufnahmen von Menschen gezeigt werden.</v>
      </c>
    </row>
    <row r="12843">
      <c r="A12843" s="4" t="s">
        <v>16158</v>
      </c>
      <c r="B12843" s="4" t="s">
        <v>16161</v>
      </c>
      <c r="C12843" s="5" t="str">
        <f>IFERROR(__xludf.DUMMYFUNCTION("GOOGLETRANSLATE(B12843,""en"",""de"")"),"Die Leute jubeln andere an den Seiten an und marschierenden Bands spielen und die Leute rennen immer noch.")</f>
        <v>Die Leute jubeln andere an den Seiten an und marschierenden Bands spielen und die Leute rennen immer noch.</v>
      </c>
    </row>
    <row r="12844">
      <c r="A12844" s="4" t="s">
        <v>16162</v>
      </c>
      <c r="B12844" s="4" t="s">
        <v>16163</v>
      </c>
      <c r="C12844" s="5" t="str">
        <f>IFERROR(__xludf.DUMMYFUNCTION("GOOGLETRANSLATE(B12844,""en"",""de"")"),"Ein Mädchen sieht sich mehrere Bilder von Frisuren an und führt zu einem anderen Haar.")</f>
        <v>Ein Mädchen sieht sich mehrere Bilder von Frisuren an und führt zu einem anderen Haar.</v>
      </c>
    </row>
    <row r="12845">
      <c r="A12845" s="4" t="s">
        <v>16162</v>
      </c>
      <c r="B12845" s="4" t="s">
        <v>16164</v>
      </c>
      <c r="C12845" s="5" t="str">
        <f>IFERROR(__xludf.DUMMYFUNCTION("GOOGLETRANSLATE(B12845,""en"",""de"")"),"Die Kinder sitzen geduldig mit einem Handtuch am Kopf und sprechen mit der Kamera.")</f>
        <v>Die Kinder sitzen geduldig mit einem Handtuch am Kopf und sprechen mit der Kamera.</v>
      </c>
    </row>
    <row r="12846">
      <c r="A12846" s="4" t="s">
        <v>16162</v>
      </c>
      <c r="B12846" s="4" t="s">
        <v>16165</v>
      </c>
      <c r="C12846" s="5" t="str">
        <f>IFERROR(__xludf.DUMMYFUNCTION("GOOGLETRANSLATE(B12846,""en"",""de"")"),"Ein Goldfisch wird gezeigt, gefolgt von einem Mann, der ihre Haare schneidet und gestylt.")</f>
        <v>Ein Goldfisch wird gezeigt, gefolgt von einem Mann, der ihre Haare schneidet und gestylt.</v>
      </c>
    </row>
    <row r="12847">
      <c r="A12847" s="4" t="s">
        <v>16162</v>
      </c>
      <c r="B12847" s="4" t="s">
        <v>16166</v>
      </c>
      <c r="C12847" s="5" t="str">
        <f>IFERROR(__xludf.DUMMYFUNCTION("GOOGLETRANSLATE(B12847,""en"",""de"")"),"Der Mann schneidet die Haare des Mädchens und stilft es zu einem entzückenden Look.")</f>
        <v>Der Mann schneidet die Haare des Mädchens und stilft es zu einem entzückenden Look.</v>
      </c>
    </row>
    <row r="12848">
      <c r="A12848" s="4" t="s">
        <v>16162</v>
      </c>
      <c r="B12848" s="4" t="s">
        <v>16167</v>
      </c>
      <c r="C12848" s="5" t="str">
        <f>IFERROR(__xludf.DUMMYFUNCTION("GOOGLETRANSLATE(B12848,""en"",""de"")"),"Das Mädchen lächelt und lässt den Friseursalon glücklich aussehen.")</f>
        <v>Das Mädchen lächelt und lässt den Friseursalon glücklich aussehen.</v>
      </c>
    </row>
    <row r="12849">
      <c r="A12849" s="4" t="s">
        <v>16168</v>
      </c>
      <c r="B12849" s="4" t="s">
        <v>16169</v>
      </c>
      <c r="C12849" s="5" t="str">
        <f>IFERROR(__xludf.DUMMYFUNCTION("GOOGLETRANSLATE(B12849,""en"",""de"")"),"Eine Person spricht vor der Kamera und zeigt verschiedene Werkzeuge am Boden.")</f>
        <v>Eine Person spricht vor der Kamera und zeigt verschiedene Werkzeuge am Boden.</v>
      </c>
    </row>
    <row r="12850">
      <c r="A12850" s="4" t="s">
        <v>16168</v>
      </c>
      <c r="B12850" s="4" t="s">
        <v>16170</v>
      </c>
      <c r="C12850" s="5" t="str">
        <f>IFERROR(__xludf.DUMMYFUNCTION("GOOGLETRANSLATE(B12850,""en"",""de"")"),"Eine Person stellt Objekte vor einen Reifen, um das Auto zu bewegen.")</f>
        <v>Eine Person stellt Objekte vor einen Reifen, um das Auto zu bewegen.</v>
      </c>
    </row>
    <row r="12851">
      <c r="A12851" s="4" t="s">
        <v>16168</v>
      </c>
      <c r="B12851" s="4" t="s">
        <v>16171</v>
      </c>
      <c r="C12851" s="5" t="str">
        <f>IFERROR(__xludf.DUMMYFUNCTION("GOOGLETRANSLATE(B12851,""en"",""de"")"),"Eine Person fährt das Auto über das Objekt, um es zu bewegen.")</f>
        <v>Eine Person fährt das Auto über das Objekt, um es zu bewegen.</v>
      </c>
    </row>
    <row r="12852">
      <c r="A12852" s="4" t="s">
        <v>16168</v>
      </c>
      <c r="B12852" s="4" t="s">
        <v>16172</v>
      </c>
      <c r="C12852" s="5" t="str">
        <f>IFERROR(__xludf.DUMMYFUNCTION("GOOGLETRANSLATE(B12852,""en"",""de"")"),"Der Reifen sitzt jetzt auf einem Objekt und nimmt ihn ab.")</f>
        <v>Der Reifen sitzt jetzt auf einem Objekt und nimmt ihn ab.</v>
      </c>
    </row>
    <row r="12853">
      <c r="A12853" s="4" t="s">
        <v>16168</v>
      </c>
      <c r="B12853" s="4" t="s">
        <v>16173</v>
      </c>
      <c r="C12853" s="5" t="str">
        <f>IFERROR(__xludf.DUMMYFUNCTION("GOOGLETRANSLATE(B12853,""en"",""de"")"),"Eine Person bringt ein altes Fahrrad heraus und spricht darüber, was getan werden muss.")</f>
        <v>Eine Person bringt ein altes Fahrrad heraus und spricht darüber, was getan werden muss.</v>
      </c>
    </row>
    <row r="12854">
      <c r="A12854" s="4" t="s">
        <v>16174</v>
      </c>
      <c r="B12854" s="4" t="s">
        <v>16175</v>
      </c>
      <c r="C12854" s="5" t="str">
        <f>IFERROR(__xludf.DUMMYFUNCTION("GOOGLETRANSLATE(B12854,""en"",""de"")"),"Die Person parasaille das Wasser.")</f>
        <v>Die Person parasaille das Wasser.</v>
      </c>
    </row>
    <row r="12855">
      <c r="A12855" s="4" t="s">
        <v>16174</v>
      </c>
      <c r="B12855" s="4" t="s">
        <v>16176</v>
      </c>
      <c r="C12855" s="5" t="str">
        <f>IFERROR(__xludf.DUMMYFUNCTION("GOOGLETRANSLATE(B12855,""en"",""de"")"),"Als die Person segelte, fing er an, auf dem Wasser zu springen.")</f>
        <v>Als die Person segelte, fing er an, auf dem Wasser zu springen.</v>
      </c>
    </row>
    <row r="12856">
      <c r="A12856" s="4" t="s">
        <v>16174</v>
      </c>
      <c r="B12856" s="4" t="s">
        <v>16177</v>
      </c>
      <c r="C12856" s="5" t="str">
        <f>IFERROR(__xludf.DUMMYFUNCTION("GOOGLETRANSLATE(B12856,""en"",""de"")"),"Die Person manövriert das Segel, um sich umzudrehen.")</f>
        <v>Die Person manövriert das Segel, um sich umzudrehen.</v>
      </c>
    </row>
    <row r="12857">
      <c r="A12857" s="4" t="s">
        <v>16178</v>
      </c>
      <c r="B12857" s="4" t="s">
        <v>16179</v>
      </c>
      <c r="C12857" s="5" t="str">
        <f>IFERROR(__xludf.DUMMYFUNCTION("GOOGLETRANSLATE(B12857,""en"",""de"")"),"Frauen tanzen auf einer Bühne.")</f>
        <v>Frauen tanzen auf einer Bühne.</v>
      </c>
    </row>
    <row r="12858">
      <c r="A12858" s="4" t="s">
        <v>16178</v>
      </c>
      <c r="B12858" s="4" t="s">
        <v>16180</v>
      </c>
      <c r="C12858" s="5" t="str">
        <f>IFERROR(__xludf.DUMMYFUNCTION("GOOGLETRANSLATE(B12858,""en"",""de"")"),"Frauen winken Flaggen hinter ihnen.")</f>
        <v>Frauen winken Flaggen hinter ihnen.</v>
      </c>
    </row>
    <row r="12859">
      <c r="A12859" s="4" t="s">
        <v>16178</v>
      </c>
      <c r="B12859" s="4" t="s">
        <v>16181</v>
      </c>
      <c r="C12859" s="5" t="str">
        <f>IFERROR(__xludf.DUMMYFUNCTION("GOOGLETRANSLATE(B12859,""en"",""de"")"),"Eine Frau tanzt mitten in der Bühne einen Bauchetanz.")</f>
        <v>Eine Frau tanzt mitten in der Bühne einen Bauchetanz.</v>
      </c>
    </row>
    <row r="12860">
      <c r="A12860" s="4" t="s">
        <v>16182</v>
      </c>
      <c r="B12860" s="4" t="s">
        <v>16183</v>
      </c>
      <c r="C12860" s="5" t="str">
        <f>IFERROR(__xludf.DUMMYFUNCTION("GOOGLETRANSLATE(B12860,""en"",""de"")"),"Das Video beginnt mit Aufnahmen von Menschen, die jubeln, sowie mehrere Spieler, die auf einer Sandgrube stehen.")</f>
        <v>Das Video beginnt mit Aufnahmen von Menschen, die jubeln, sowie mehrere Spieler, die auf einer Sandgrube stehen.</v>
      </c>
    </row>
    <row r="12861">
      <c r="A12861" s="4" t="s">
        <v>16182</v>
      </c>
      <c r="B12861" s="4" t="s">
        <v>16184</v>
      </c>
      <c r="C12861" s="5" t="str">
        <f>IFERROR(__xludf.DUMMYFUNCTION("GOOGLETRANSLATE(B12861,""en"",""de"")"),"Die Menge ist zu sehen, die die Welle macht und weiter jubelt, wenn die Kamera verschiedene Clips eines Fußballspiels zeigt.")</f>
        <v>Die Menge ist zu sehen, die die Welle macht und weiter jubelt, wenn die Kamera verschiedene Clips eines Fußballspiels zeigt.</v>
      </c>
    </row>
    <row r="12862">
      <c r="A12862" s="4" t="s">
        <v>16185</v>
      </c>
      <c r="B12862" s="4" t="s">
        <v>16186</v>
      </c>
      <c r="C12862" s="5" t="str">
        <f>IFERROR(__xludf.DUMMYFUNCTION("GOOGLETRANSLATE(B12862,""en"",""de"")"),"Ein Junge schwingt hin und her.")</f>
        <v>Ein Junge schwingt hin und her.</v>
      </c>
    </row>
    <row r="12863">
      <c r="A12863" s="4" t="s">
        <v>16185</v>
      </c>
      <c r="B12863" s="4" t="s">
        <v>16187</v>
      </c>
      <c r="C12863" s="5" t="str">
        <f>IFERROR(__xludf.DUMMYFUNCTION("GOOGLETRANSLATE(B12863,""en"",""de"")"),"Der Junge fällt dann auf sein Gesicht und weint.")</f>
        <v>Der Junge fällt dann auf sein Gesicht und weint.</v>
      </c>
    </row>
    <row r="12864">
      <c r="A12864" s="4" t="s">
        <v>16188</v>
      </c>
      <c r="B12864" s="4" t="s">
        <v>16189</v>
      </c>
      <c r="C12864" s="5" t="str">
        <f>IFERROR(__xludf.DUMMYFUNCTION("GOOGLETRANSLATE(B12864,""en"",""de"")"),"Eine Frau in blauen Shorts gibt einem Mann einen Pfeil.")</f>
        <v>Eine Frau in blauen Shorts gibt einem Mann einen Pfeil.</v>
      </c>
    </row>
    <row r="12865">
      <c r="A12865" s="4" t="s">
        <v>16188</v>
      </c>
      <c r="B12865" s="4" t="s">
        <v>16190</v>
      </c>
      <c r="C12865" s="5" t="str">
        <f>IFERROR(__xludf.DUMMYFUNCTION("GOOGLETRANSLATE(B12865,""en"",""de"")"),"Ein Mann in einem weißen Hut wirft einen Pfeil auf ein Brett.")</f>
        <v>Ein Mann in einem weißen Hut wirft einen Pfeil auf ein Brett.</v>
      </c>
    </row>
    <row r="12866">
      <c r="A12866" s="4" t="s">
        <v>16188</v>
      </c>
      <c r="B12866" s="4" t="s">
        <v>16191</v>
      </c>
      <c r="C12866" s="5" t="str">
        <f>IFERROR(__xludf.DUMMYFUNCTION("GOOGLETRANSLATE(B12866,""en"",""de"")"),"Die Frau geht zum Brett.")</f>
        <v>Die Frau geht zum Brett.</v>
      </c>
    </row>
    <row r="12867">
      <c r="A12867" s="4" t="s">
        <v>16192</v>
      </c>
      <c r="B12867" s="4" t="s">
        <v>16193</v>
      </c>
      <c r="C12867" s="5" t="str">
        <f>IFERROR(__xludf.DUMMYFUNCTION("GOOGLETRANSLATE(B12867,""en"",""de"")"),"Ein Mann arbeitet über den Rücken eines Anhängers.")</f>
        <v>Ein Mann arbeitet über den Rücken eines Anhängers.</v>
      </c>
    </row>
    <row r="12868">
      <c r="A12868" s="4" t="s">
        <v>16192</v>
      </c>
      <c r="B12868" s="4" t="s">
        <v>16194</v>
      </c>
      <c r="C12868" s="5" t="str">
        <f>IFERROR(__xludf.DUMMYFUNCTION("GOOGLETRANSLATE(B12868,""en"",""de"")"),"Er schweißt das Metall zwischen zwei Holzstücken.")</f>
        <v>Er schweißt das Metall zwischen zwei Holzstücken.</v>
      </c>
    </row>
    <row r="12869">
      <c r="A12869" s="4" t="s">
        <v>16192</v>
      </c>
      <c r="B12869" s="4" t="s">
        <v>16195</v>
      </c>
      <c r="C12869" s="5" t="str">
        <f>IFERROR(__xludf.DUMMYFUNCTION("GOOGLETRANSLATE(B12869,""en"",""de"")"),"Funken fliegen, während er arbeitet und sich auf den Bürgersteig hockt.")</f>
        <v>Funken fliegen, während er arbeitet und sich auf den Bürgersteig hockt.</v>
      </c>
    </row>
    <row r="12870">
      <c r="A12870" s="4" t="s">
        <v>16196</v>
      </c>
      <c r="B12870" s="4" t="s">
        <v>16197</v>
      </c>
      <c r="C12870" s="5" t="str">
        <f>IFERROR(__xludf.DUMMYFUNCTION("GOOGLETRANSLATE(B12870,""en"",""de"")"),"Ein Mann im Outfit eines Küchenchefs spricht in einer Küche, während er eine Kartoffel hält.")</f>
        <v>Ein Mann im Outfit eines Küchenchefs spricht in einer Küche, während er eine Kartoffel hält.</v>
      </c>
    </row>
    <row r="12871">
      <c r="A12871" s="4" t="s">
        <v>16196</v>
      </c>
      <c r="B12871" s="4" t="s">
        <v>16198</v>
      </c>
      <c r="C12871" s="5" t="str">
        <f>IFERROR(__xludf.DUMMYFUNCTION("GOOGLETRANSLATE(B12871,""en"",""de"")"),"Ein Mann arbeitet hinter ihm, als er die Kartoffel mit einem Werkzeug schält.")</f>
        <v>Ein Mann arbeitet hinter ihm, als er die Kartoffel mit einem Werkzeug schält.</v>
      </c>
    </row>
    <row r="12872">
      <c r="A12872" s="4" t="s">
        <v>16196</v>
      </c>
      <c r="B12872" s="4" t="s">
        <v>16199</v>
      </c>
      <c r="C12872" s="5" t="str">
        <f>IFERROR(__xludf.DUMMYFUNCTION("GOOGLETRANSLATE(B12872,""en"",""de"")"),"Er schält extrem schnell und endet in Sekunden.")</f>
        <v>Er schält extrem schnell und endet in Sekunden.</v>
      </c>
    </row>
    <row r="12873">
      <c r="A12873" s="4" t="s">
        <v>16200</v>
      </c>
      <c r="B12873" s="4" t="s">
        <v>16201</v>
      </c>
      <c r="C12873" s="5" t="str">
        <f>IFERROR(__xludf.DUMMYFUNCTION("GOOGLETRANSLATE(B12873,""en"",""de"")"),"Die ersten verschiedenen Arten werden Poolkugeln angezeigt.")</f>
        <v>Die ersten verschiedenen Arten werden Poolkugeln angezeigt.</v>
      </c>
    </row>
    <row r="12874">
      <c r="A12874" s="4" t="s">
        <v>16200</v>
      </c>
      <c r="B12874" s="4" t="s">
        <v>16202</v>
      </c>
      <c r="C12874" s="5" t="str">
        <f>IFERROR(__xludf.DUMMYFUNCTION("GOOGLETRANSLATE(B12874,""en"",""de"")"),"Dann beginnt der Junge mit den Bällen alleine Pool zu spielen.")</f>
        <v>Dann beginnt der Junge mit den Bällen alleine Pool zu spielen.</v>
      </c>
    </row>
    <row r="12875">
      <c r="A12875" s="4" t="s">
        <v>16203</v>
      </c>
      <c r="B12875" s="4" t="s">
        <v>16204</v>
      </c>
      <c r="C12875" s="5" t="str">
        <f>IFERROR(__xludf.DUMMYFUNCTION("GOOGLETRANSLATE(B12875,""en"",""de"")"),"Während eines Derby -Events gibt es in einem Stadion mehrere Jockey -Reitpferde in einem Stadion.")</f>
        <v>Während eines Derby -Events gibt es in einem Stadion mehrere Jockey -Reitpferde in einem Stadion.</v>
      </c>
    </row>
    <row r="12876">
      <c r="A12876" s="4" t="s">
        <v>16203</v>
      </c>
      <c r="B12876" s="4" t="s">
        <v>16205</v>
      </c>
      <c r="C12876" s="5" t="str">
        <f>IFERROR(__xludf.DUMMYFUNCTION("GOOGLETRANSLATE(B12876,""en"",""de"")"),"Dort jubelt die Menge laut, als sie mit Strohhüte und Regenschirmen stehen.")</f>
        <v>Dort jubelt die Menge laut, als sie mit Strohhüte und Regenschirmen stehen.</v>
      </c>
    </row>
    <row r="12877">
      <c r="A12877" s="4" t="s">
        <v>16203</v>
      </c>
      <c r="B12877" s="4" t="s">
        <v>16206</v>
      </c>
      <c r="C12877" s="5" t="str">
        <f>IFERROR(__xludf.DUMMYFUNCTION("GOOGLETRANSLATE(B12877,""en"",""de"")"),"Die Jockeys machen sich bereit, Polo zu spielen, wenn sie sich mit ihren Stöcken bewegen.")</f>
        <v>Die Jockeys machen sich bereit, Polo zu spielen, wenn sie sich mit ihren Stöcken bewegen.</v>
      </c>
    </row>
    <row r="12878">
      <c r="A12878" s="4" t="s">
        <v>16203</v>
      </c>
      <c r="B12878" s="4" t="s">
        <v>16207</v>
      </c>
      <c r="C12878" s="5" t="str">
        <f>IFERROR(__xludf.DUMMYFUNCTION("GOOGLETRANSLATE(B12878,""en"",""de"")"),"Eine Frau jubelt laut in der Kamera auf.")</f>
        <v>Eine Frau jubelt laut in der Kamera auf.</v>
      </c>
    </row>
    <row r="12879">
      <c r="A12879" s="4" t="s">
        <v>16203</v>
      </c>
      <c r="B12879" s="4" t="s">
        <v>16208</v>
      </c>
      <c r="C12879" s="5" t="str">
        <f>IFERROR(__xludf.DUMMYFUNCTION("GOOGLETRANSLATE(B12879,""en"",""de"")"),"Die Jockeys fahren langsam um das Feld.")</f>
        <v>Die Jockeys fahren langsam um das Feld.</v>
      </c>
    </row>
    <row r="12880">
      <c r="A12880" s="4" t="s">
        <v>16209</v>
      </c>
      <c r="B12880" s="4" t="s">
        <v>16210</v>
      </c>
      <c r="C12880" s="5" t="str">
        <f>IFERROR(__xludf.DUMMYFUNCTION("GOOGLETRANSLATE(B12880,""en"",""de"")"),"Das Lacrosse -Team von Boys wird trainiert.")</f>
        <v>Das Lacrosse -Team von Boys wird trainiert.</v>
      </c>
    </row>
    <row r="12881">
      <c r="A12881" s="4" t="s">
        <v>16209</v>
      </c>
      <c r="B12881" s="4" t="s">
        <v>16211</v>
      </c>
      <c r="C12881" s="5" t="str">
        <f>IFERROR(__xludf.DUMMYFUNCTION("GOOGLETRANSLATE(B12881,""en"",""de"")"),"Sie laufen dann Übungen auf dem Kies.")</f>
        <v>Sie laufen dann Übungen auf dem Kies.</v>
      </c>
    </row>
    <row r="12882">
      <c r="A12882" s="4" t="s">
        <v>16209</v>
      </c>
      <c r="B12882" s="4" t="s">
        <v>16212</v>
      </c>
      <c r="C12882" s="5" t="str">
        <f>IFERROR(__xludf.DUMMYFUNCTION("GOOGLETRANSLATE(B12882,""en"",""de"")"),"Als nächstes befindet sich das Team in einem Scrimmage auf dem Feld.")</f>
        <v>Als nächstes befindet sich das Team in einem Scrimmage auf dem Feld.</v>
      </c>
    </row>
    <row r="12883">
      <c r="A12883" s="4" t="s">
        <v>16209</v>
      </c>
      <c r="B12883" s="4" t="s">
        <v>16213</v>
      </c>
      <c r="C12883" s="5" t="str">
        <f>IFERROR(__xludf.DUMMYFUNCTION("GOOGLETRANSLATE(B12883,""en"",""de"")"),"Danach zeigten sie ein echtes Spiel, das hin und her rannte.")</f>
        <v>Danach zeigten sie ein echtes Spiel, das hin und her rannte.</v>
      </c>
    </row>
    <row r="12884">
      <c r="A12884" s="4" t="s">
        <v>16209</v>
      </c>
      <c r="B12884" s="4" t="s">
        <v>16214</v>
      </c>
      <c r="C12884" s="5" t="str">
        <f>IFERROR(__xludf.DUMMYFUNCTION("GOOGLETRANSLATE(B12884,""en"",""de"")"),"Zuletzt sind einige Mitglieder in einem professionellen Spiel.")</f>
        <v>Zuletzt sind einige Mitglieder in einem professionellen Spiel.</v>
      </c>
    </row>
    <row r="12885">
      <c r="A12885" s="4" t="s">
        <v>16215</v>
      </c>
      <c r="B12885" s="4" t="s">
        <v>16216</v>
      </c>
      <c r="C12885" s="5" t="str">
        <f>IFERROR(__xludf.DUMMYFUNCTION("GOOGLETRANSLATE(B12885,""en"",""de"")"),"Eine Frau wird sich mit einem kleinen Kind neben ihr über ein Waschbecken beugen.")</f>
        <v>Eine Frau wird sich mit einem kleinen Kind neben ihr über ein Waschbecken beugen.</v>
      </c>
    </row>
    <row r="12886">
      <c r="A12886" s="4" t="s">
        <v>16215</v>
      </c>
      <c r="B12886" s="4" t="s">
        <v>16217</v>
      </c>
      <c r="C12886" s="5" t="str">
        <f>IFERROR(__xludf.DUMMYFUNCTION("GOOGLETRANSLATE(B12886,""en"",""de"")"),"Die Frau und das Kind stecken ihre Hände unter ein Waschbecken, um sie abzuwaschen.")</f>
        <v>Die Frau und das Kind stecken ihre Hände unter ein Waschbecken, um sie abzuwaschen.</v>
      </c>
    </row>
    <row r="12887">
      <c r="A12887" s="4" t="s">
        <v>16215</v>
      </c>
      <c r="B12887" s="4" t="s">
        <v>16218</v>
      </c>
      <c r="C12887" s="5" t="str">
        <f>IFERROR(__xludf.DUMMYFUNCTION("GOOGLETRANSLATE(B12887,""en"",""de"")"),"Die Frau trocknet die Mädchen am Ende die Hände und zeigt, dass sie Lotion anzieht.")</f>
        <v>Die Frau trocknet die Mädchen am Ende die Hände und zeigt, dass sie Lotion anzieht.</v>
      </c>
    </row>
    <row r="12888">
      <c r="A12888" s="4" t="s">
        <v>16219</v>
      </c>
      <c r="B12888" s="4" t="s">
        <v>1251</v>
      </c>
      <c r="C12888" s="5" t="str">
        <f>IFERROR(__xludf.DUMMYFUNCTION("GOOGLETRANSLATE(B12888,""en"",""de"")"),"Die Credits des Clips werden angezeigt.")</f>
        <v>Die Credits des Clips werden angezeigt.</v>
      </c>
    </row>
    <row r="12889">
      <c r="A12889" s="4" t="s">
        <v>16219</v>
      </c>
      <c r="B12889" s="4" t="s">
        <v>16220</v>
      </c>
      <c r="C12889" s="5" t="str">
        <f>IFERROR(__xludf.DUMMYFUNCTION("GOOGLETRANSLATE(B12889,""en"",""de"")"),"Ein Typ steht neben Pferden mit einer Zwischenablage.")</f>
        <v>Ein Typ steht neben Pferden mit einer Zwischenablage.</v>
      </c>
    </row>
    <row r="12890">
      <c r="A12890" s="4" t="s">
        <v>16219</v>
      </c>
      <c r="B12890" s="4" t="s">
        <v>16221</v>
      </c>
      <c r="C12890" s="5" t="str">
        <f>IFERROR(__xludf.DUMMYFUNCTION("GOOGLETRANSLATE(B12890,""en"",""de"")"),"Ein Mann geht unter einem Pferdezaun.")</f>
        <v>Ein Mann geht unter einem Pferdezaun.</v>
      </c>
    </row>
    <row r="12891">
      <c r="A12891" s="4" t="s">
        <v>16219</v>
      </c>
      <c r="B12891" s="4" t="s">
        <v>16222</v>
      </c>
      <c r="C12891" s="5" t="str">
        <f>IFERROR(__xludf.DUMMYFUNCTION("GOOGLETRANSLATE(B12891,""en"",""de"")"),"Eine Person führt ein Pferd.")</f>
        <v>Eine Person führt ein Pferd.</v>
      </c>
    </row>
    <row r="12892">
      <c r="A12892" s="4" t="s">
        <v>16219</v>
      </c>
      <c r="B12892" s="4" t="s">
        <v>16223</v>
      </c>
      <c r="C12892" s="5" t="str">
        <f>IFERROR(__xludf.DUMMYFUNCTION("GOOGLETRANSLATE(B12892,""en"",""de"")"),"Der Typ steht auf das Pferd.")</f>
        <v>Der Typ steht auf das Pferd.</v>
      </c>
    </row>
    <row r="12893">
      <c r="A12893" s="4" t="s">
        <v>16219</v>
      </c>
      <c r="B12893" s="4" t="s">
        <v>16224</v>
      </c>
      <c r="C12893" s="5" t="str">
        <f>IFERROR(__xludf.DUMMYFUNCTION("GOOGLETRANSLATE(B12893,""en"",""de"")"),"Der Kerl tätschelt das Pferd und reitet reiten.")</f>
        <v>Der Kerl tätschelt das Pferd und reitet reiten.</v>
      </c>
    </row>
    <row r="12894">
      <c r="A12894" s="4" t="s">
        <v>16219</v>
      </c>
      <c r="B12894" s="4" t="s">
        <v>16225</v>
      </c>
      <c r="C12894" s="5" t="str">
        <f>IFERROR(__xludf.DUMMYFUNCTION("GOOGLETRANSLATE(B12894,""en"",""de"")"),"Die Leute reiten einen Weg hinunter.")</f>
        <v>Die Leute reiten einen Weg hinunter.</v>
      </c>
    </row>
    <row r="12895">
      <c r="A12895" s="4" t="s">
        <v>16226</v>
      </c>
      <c r="B12895" s="4" t="s">
        <v>16227</v>
      </c>
      <c r="C12895" s="5" t="str">
        <f>IFERROR(__xludf.DUMMYFUNCTION("GOOGLETRANSLATE(B12895,""en"",""de"")"),"Ein Schuss eines Gebäudes führt zu einem 3D -Männerspiel Sumo Wrestling.")</f>
        <v>Ein Schuss eines Gebäudes führt zu einem 3D -Männerspiel Sumo Wrestling.</v>
      </c>
    </row>
    <row r="12896">
      <c r="A12896" s="4" t="s">
        <v>16226</v>
      </c>
      <c r="B12896" s="4" t="s">
        <v>16228</v>
      </c>
      <c r="C12896" s="5" t="str">
        <f>IFERROR(__xludf.DUMMYFUNCTION("GOOGLETRANSLATE(B12896,""en"",""de"")"),"Das Spiel setzt sich mit den Kämpfen der Charaktere und einem Schiedsrichter fort.")</f>
        <v>Das Spiel setzt sich mit den Kämpfen der Charaktere und einem Schiedsrichter fort.</v>
      </c>
    </row>
    <row r="12897">
      <c r="A12897" s="4" t="s">
        <v>16226</v>
      </c>
      <c r="B12897" s="4" t="s">
        <v>16229</v>
      </c>
      <c r="C12897" s="5" t="str">
        <f>IFERROR(__xludf.DUMMYFUNCTION("GOOGLETRANSLATE(B12897,""en"",""de"")"),"Das Spiel endet und zeigt mehr Bilder von Männern Sumo Wrestling und Zeigen.")</f>
        <v>Das Spiel endet und zeigt mehr Bilder von Männern Sumo Wrestling und Zeigen.</v>
      </c>
    </row>
    <row r="12898">
      <c r="A12898" s="4" t="s">
        <v>16230</v>
      </c>
      <c r="B12898" s="4" t="s">
        <v>16231</v>
      </c>
      <c r="C12898" s="5" t="str">
        <f>IFERROR(__xludf.DUMMYFUNCTION("GOOGLETRANSLATE(B12898,""en"",""de"")"),"Ein rotes, weißes und schwarzes Intro hat ein Logo und die Wörter und Buchstaben W2K15.")</f>
        <v>Ein rotes, weißes und schwarzes Intro hat ein Logo und die Wörter und Buchstaben W2K15.</v>
      </c>
    </row>
    <row r="12899">
      <c r="A12899" s="4" t="s">
        <v>16230</v>
      </c>
      <c r="B12899" s="4" t="s">
        <v>16232</v>
      </c>
      <c r="C12899" s="5" t="str">
        <f>IFERROR(__xludf.DUMMYFUNCTION("GOOGLETRANSLATE(B12899,""en"",""de"")"),"Das Videospiel beginnt und es gibt 3 Charaktere gegen 1 Charakter, und sie ringen in einer Eisbahn und spielen zahlreiche Tricks wie Strangling, Schlagen, Treffer, den Charakter, um sie fallen zu lassen oder sie aufzuheben und sie dann auf den Boden zu sc"&amp;"hlagen, während die Schiedsrichter steht in der Ecke.")</f>
        <v>Das Videospiel beginnt und es gibt 3 Charaktere gegen 1 Charakter, und sie ringen in einer Eisbahn und spielen zahlreiche Tricks wie Strangling, Schlagen, Treffer, den Charakter, um sie fallen zu lassen oder sie aufzuheben und sie dann auf den Boden zu schlagen, während die Schiedsrichter steht in der Ecke.</v>
      </c>
    </row>
    <row r="12900">
      <c r="A12900" s="4" t="s">
        <v>16230</v>
      </c>
      <c r="B12900" s="4" t="s">
        <v>16233</v>
      </c>
      <c r="C12900" s="5" t="str">
        <f>IFERROR(__xludf.DUMMYFUNCTION("GOOGLETRANSLATE(B12900,""en"",""de"")"),"Eine neue Runde beginnt mit verschiedenen Charakteren, die ringen und der Schiedsrichter versucht, sie zu stoppen, aber einer der Charaktere nimmt den Schiedsrichter auf und schlägt ihn dann zu Boden, wo er dort ein paar Sekunden lang liegt.")</f>
        <v>Eine neue Runde beginnt mit verschiedenen Charakteren, die ringen und der Schiedsrichter versucht, sie zu stoppen, aber einer der Charaktere nimmt den Schiedsrichter auf und schlägt ihn dann zu Boden, wo er dort ein paar Sekunden lang liegt.</v>
      </c>
    </row>
    <row r="12901">
      <c r="A12901" s="4" t="s">
        <v>16230</v>
      </c>
      <c r="B12901" s="4" t="s">
        <v>16234</v>
      </c>
      <c r="C12901" s="5" t="str">
        <f>IFERROR(__xludf.DUMMYFUNCTION("GOOGLETRANSLATE(B12901,""en"",""de"")"),"Der Schiedsrichter steht auf und tritt dann einen der Charaktere aus der Eisbahn, dann fällt er auf den Boden, um seine Hand auf die Eisbahn zu schlagen, um die Wresting -Runde zu beenden.")</f>
        <v>Der Schiedsrichter steht auf und tritt dann einen der Charaktere aus der Eisbahn, dann fällt er auf den Boden, um seine Hand auf die Eisbahn zu schlagen, um die Wresting -Runde zu beenden.</v>
      </c>
    </row>
    <row r="12902">
      <c r="A12902" s="4" t="s">
        <v>16230</v>
      </c>
      <c r="B12902" s="4" t="s">
        <v>16235</v>
      </c>
      <c r="C12902" s="5" t="str">
        <f>IFERROR(__xludf.DUMMYFUNCTION("GOOGLETRANSLATE(B12902,""en"",""de"")"),"Das Outro -Video beginnt und es ist das gleiche wie das Intro -Video.")</f>
        <v>Das Outro -Video beginnt und es ist das gleiche wie das Intro -Video.</v>
      </c>
    </row>
    <row r="12903">
      <c r="A12903" s="4" t="s">
        <v>16236</v>
      </c>
      <c r="B12903" s="4" t="s">
        <v>16237</v>
      </c>
      <c r="C12903" s="5" t="str">
        <f>IFERROR(__xludf.DUMMYFUNCTION("GOOGLETRANSLATE(B12903,""en"",""de"")"),"Ein Logo für ""The Galeery"" mit dem Slogan ""Erfunden Sie die Küche neu"".")</f>
        <v>Ein Logo für "The Galeery" mit dem Slogan "Erfunden Sie die Küche neu".</v>
      </c>
    </row>
    <row r="12904">
      <c r="A12904" s="4" t="s">
        <v>16236</v>
      </c>
      <c r="B12904" s="4" t="s">
        <v>16238</v>
      </c>
      <c r="C12904" s="5" t="str">
        <f>IFERROR(__xludf.DUMMYFUNCTION("GOOGLETRANSLATE(B12904,""en"",""de"")"),"Die Szene wird von einem weiblichen Sprecher erzählt.")</f>
        <v>Die Szene wird von einem weiblichen Sprecher erzählt.</v>
      </c>
    </row>
    <row r="12905">
      <c r="A12905" s="4" t="s">
        <v>16236</v>
      </c>
      <c r="B12905" s="4" t="s">
        <v>16239</v>
      </c>
      <c r="C12905" s="5" t="str">
        <f>IFERROR(__xludf.DUMMYFUNCTION("GOOGLETRANSLATE(B12905,""en"",""de"")"),"Eine Frau mit blondem Haar bereitet eine Spüle Geschirrspülstation mit einer hängenden Spüle und Trocknenstangen über einem Metallkanal zu.")</f>
        <v>Eine Frau mit blondem Haar bereitet eine Spüle Geschirrspülstation mit einer hängenden Spüle und Trocknenstangen über einem Metallkanal zu.</v>
      </c>
    </row>
    <row r="12906">
      <c r="A12906" s="4" t="s">
        <v>16236</v>
      </c>
      <c r="B12906" s="4" t="s">
        <v>16240</v>
      </c>
      <c r="C12906" s="5" t="str">
        <f>IFERROR(__xludf.DUMMYFUNCTION("GOOGLETRANSLATE(B12906,""en"",""de"")"),"Die Frau wäscht Brille, Teller und Messer und legt dann jeweils auf die Gestelle zum Trocknen.")</f>
        <v>Die Frau wäscht Brille, Teller und Messer und legt dann jeweils auf die Gestelle zum Trocknen.</v>
      </c>
    </row>
    <row r="12907">
      <c r="A12907" s="4" t="s">
        <v>16236</v>
      </c>
      <c r="B12907" s="4" t="s">
        <v>16241</v>
      </c>
      <c r="C12907" s="5" t="str">
        <f>IFERROR(__xludf.DUMMYFUNCTION("GOOGLETRANSLATE(B12907,""en"",""de"")"),"Die Frau endet mit dem Ziehen des Steckers am hängenden Waschbecken, sodass das Wasser im Kanal darunter wegfließen kann.")</f>
        <v>Die Frau endet mit dem Ziehen des Steckers am hängenden Waschbecken, sodass das Wasser im Kanal darunter wegfließen kann.</v>
      </c>
    </row>
    <row r="12908">
      <c r="A12908" s="4" t="s">
        <v>16236</v>
      </c>
      <c r="B12908" s="4" t="s">
        <v>16242</v>
      </c>
      <c r="C12908" s="5" t="str">
        <f>IFERROR(__xludf.DUMMYFUNCTION("GOOGLETRANSLATE(B12908,""en"",""de"")"),"""Die Galeere"" -Logo erscheint erneut.")</f>
        <v>"Die Galeere" -Logo erscheint erneut.</v>
      </c>
    </row>
    <row r="12909">
      <c r="A12909" s="4" t="s">
        <v>16243</v>
      </c>
      <c r="B12909" s="4" t="s">
        <v>16244</v>
      </c>
      <c r="C12909" s="5" t="str">
        <f>IFERROR(__xludf.DUMMYFUNCTION("GOOGLETRANSLATE(B12909,""en"",""de"")"),"Frau ist in den Nachrichten, die mit der Kamera über einen Handscreen von Hand und mit der Kamera sprechen.")</f>
        <v>Frau ist in den Nachrichten, die mit der Kamera über einen Handscreen von Hand und mit der Kamera sprechen.</v>
      </c>
    </row>
    <row r="12910">
      <c r="A12910" s="4" t="s">
        <v>16243</v>
      </c>
      <c r="B12910" s="4" t="s">
        <v>16245</v>
      </c>
      <c r="C12910" s="5" t="str">
        <f>IFERROR(__xludf.DUMMYFUNCTION("GOOGLETRANSLATE(B12910,""en"",""de"")"),"Frau hält eine Sonnenschutzrohr und steckt sie in die Arme, Hände und das Gesicht, und die Frau im Studio redet immer wieder über den natürlichen Sonnenschutz.")</f>
        <v>Frau hält eine Sonnenschutzrohr und steckt sie in die Arme, Hände und das Gesicht, und die Frau im Studio redet immer wieder über den natürlichen Sonnenschutz.</v>
      </c>
    </row>
    <row r="12911">
      <c r="A12911" s="4" t="s">
        <v>16246</v>
      </c>
      <c r="B12911" s="4" t="s">
        <v>16247</v>
      </c>
      <c r="C12911" s="5" t="str">
        <f>IFERROR(__xludf.DUMMYFUNCTION("GOOGLETRANSLATE(B12911,""en"",""de"")"),"Ein Text -Intro führt in mehrere Schüsse eines Kürbis sowie Werkzeuge, gefolgt von einem Mann, der den Kürbis schnitzt.")</f>
        <v>Ein Text -Intro führt in mehrere Schüsse eines Kürbis sowie Werkzeuge, gefolgt von einem Mann, der den Kürbis schnitzt.</v>
      </c>
    </row>
    <row r="12912">
      <c r="A12912" s="4" t="s">
        <v>16246</v>
      </c>
      <c r="B12912" s="4" t="s">
        <v>16248</v>
      </c>
      <c r="C12912" s="5" t="str">
        <f>IFERROR(__xludf.DUMMYFUNCTION("GOOGLETRANSLATE(B12912,""en"",""de"")"),"Der Mann zeichnet und schneidet rund um die Vorderseite des Kürbis ab und bewegt sich in schneller Bewegung.")</f>
        <v>Der Mann zeichnet und schneidet rund um die Vorderseite des Kürbis ab und bewegt sich in schneller Bewegung.</v>
      </c>
    </row>
    <row r="12913">
      <c r="A12913" s="4" t="s">
        <v>16246</v>
      </c>
      <c r="B12913" s="4" t="s">
        <v>16249</v>
      </c>
      <c r="C12913" s="5" t="str">
        <f>IFERROR(__xludf.DUMMYFUNCTION("GOOGLETRANSLATE(B12913,""en"",""de"")"),"Der Mann beendet seinen Kürbis und die Kamera schwenkt rund um die Seite.")</f>
        <v>Der Mann beendet seinen Kürbis und die Kamera schwenkt rund um die Seite.</v>
      </c>
    </row>
    <row r="12914">
      <c r="A12914" s="4" t="s">
        <v>16250</v>
      </c>
      <c r="B12914" s="4" t="s">
        <v>16251</v>
      </c>
      <c r="C12914" s="5" t="str">
        <f>IFERROR(__xludf.DUMMYFUNCTION("GOOGLETRANSLATE(B12914,""en"",""de"")"),"Ein Mann steht draußen mit einer Lackpfanne.")</f>
        <v>Ein Mann steht draußen mit einer Lackpfanne.</v>
      </c>
    </row>
    <row r="12915">
      <c r="A12915" s="4" t="s">
        <v>16250</v>
      </c>
      <c r="B12915" s="4" t="s">
        <v>16252</v>
      </c>
      <c r="C12915" s="5" t="str">
        <f>IFERROR(__xludf.DUMMYFUNCTION("GOOGLETRANSLATE(B12915,""en"",""de"")"),"Er spricht, als er zeigt, wie man im Freien Holz malt.")</f>
        <v>Er spricht, als er zeigt, wie man im Freien Holz malt.</v>
      </c>
    </row>
    <row r="12916">
      <c r="A12916" s="4" t="s">
        <v>16250</v>
      </c>
      <c r="B12916" s="4" t="s">
        <v>16253</v>
      </c>
      <c r="C12916" s="5" t="str">
        <f>IFERROR(__xludf.DUMMYFUNCTION("GOOGLETRANSLATE(B12916,""en"",""de"")"),"Er zeigt eine Lackwalze.")</f>
        <v>Er zeigt eine Lackwalze.</v>
      </c>
    </row>
    <row r="12917">
      <c r="A12917" s="4" t="s">
        <v>16250</v>
      </c>
      <c r="B12917" s="4" t="s">
        <v>16254</v>
      </c>
      <c r="C12917" s="5" t="str">
        <f>IFERROR(__xludf.DUMMYFUNCTION("GOOGLETRANSLATE(B12917,""en"",""de"")"),"Er spricht weiter über den Prozess, während er dort steht.")</f>
        <v>Er spricht weiter über den Prozess, während er dort steht.</v>
      </c>
    </row>
    <row r="12918">
      <c r="A12918" s="4" t="s">
        <v>16255</v>
      </c>
      <c r="B12918" s="4" t="s">
        <v>16256</v>
      </c>
      <c r="C12918" s="5" t="str">
        <f>IFERROR(__xludf.DUMMYFUNCTION("GOOGLETRANSLATE(B12918,""en"",""de"")"),"Ein Mann hält sich an einer Bar fest, als er auf einem Wasserski steht.")</f>
        <v>Ein Mann hält sich an einer Bar fest, als er auf einem Wasserski steht.</v>
      </c>
    </row>
    <row r="12919">
      <c r="A12919" s="4" t="s">
        <v>16255</v>
      </c>
      <c r="B12919" s="4" t="s">
        <v>16257</v>
      </c>
      <c r="C12919" s="5" t="str">
        <f>IFERROR(__xludf.DUMMYFUNCTION("GOOGLETRANSLATE(B12919,""en"",""de"")"),"Er wird von einem Motorboot durch das Wasser gezogen.")</f>
        <v>Er wird von einem Motorboot durch das Wasser gezogen.</v>
      </c>
    </row>
    <row r="12920">
      <c r="A12920" s="4" t="s">
        <v>16255</v>
      </c>
      <c r="B12920" s="4" t="s">
        <v>16258</v>
      </c>
      <c r="C12920" s="5" t="str">
        <f>IFERROR(__xludf.DUMMYFUNCTION("GOOGLETRANSLATE(B12920,""en"",""de"")"),"Er fährt Wasser über einen langen See und versucht aufrecht zu bleiben.")</f>
        <v>Er fährt Wasser über einen langen See und versucht aufrecht zu bleiben.</v>
      </c>
    </row>
    <row r="12921">
      <c r="A12921" s="4" t="s">
        <v>16259</v>
      </c>
      <c r="B12921" s="4" t="s">
        <v>16260</v>
      </c>
      <c r="C12921" s="5" t="str">
        <f>IFERROR(__xludf.DUMMYFUNCTION("GOOGLETRANSLATE(B12921,""en"",""de"")"),"Eine Frau in einem Bademantel mit einem Spiegel reinigt ihre Hände.")</f>
        <v>Eine Frau in einem Bademantel mit einem Spiegel reinigt ihre Hände.</v>
      </c>
    </row>
    <row r="12922">
      <c r="A12922" s="4" t="s">
        <v>16259</v>
      </c>
      <c r="B12922" s="4" t="s">
        <v>16261</v>
      </c>
      <c r="C12922" s="5" t="str">
        <f>IFERROR(__xludf.DUMMYFUNCTION("GOOGLETRANSLATE(B12922,""en"",""de"")"),"Die Kamera schneidet die Nahaufnahme von Szenen ihrer Finger, die ein Kontaktobjektiv aufnehmen und es hochhalten.")</f>
        <v>Die Kamera schneidet die Nahaufnahme von Szenen ihrer Finger, die ein Kontaktobjektiv aufnehmen und es hochhalten.</v>
      </c>
    </row>
    <row r="12923">
      <c r="A12923" s="4" t="s">
        <v>16259</v>
      </c>
      <c r="B12923" s="4" t="s">
        <v>16262</v>
      </c>
      <c r="C12923" s="5" t="str">
        <f>IFERROR(__xludf.DUMMYFUNCTION("GOOGLETRANSLATE(B12923,""en"",""de"")"),"Die Kamera schneidet kurz das Gesicht der Frau, bevor er zurückkommt.")</f>
        <v>Die Kamera schneidet kurz das Gesicht der Frau, bevor er zurückkommt.</v>
      </c>
    </row>
    <row r="12924">
      <c r="A12924" s="4" t="s">
        <v>16259</v>
      </c>
      <c r="B12924" s="4" t="s">
        <v>16263</v>
      </c>
      <c r="C12924" s="5" t="str">
        <f>IFERROR(__xludf.DUMMYFUNCTION("GOOGLETRANSLATE(B12924,""en"",""de"")"),"Die Frau legt die Kontaktlinse auf ihr Auge.")</f>
        <v>Die Frau legt die Kontaktlinse auf ihr Auge.</v>
      </c>
    </row>
    <row r="12925">
      <c r="A12925" s="4" t="s">
        <v>16259</v>
      </c>
      <c r="B12925" s="4" t="s">
        <v>16264</v>
      </c>
      <c r="C12925" s="5" t="str">
        <f>IFERROR(__xludf.DUMMYFUNCTION("GOOGLETRANSLATE(B12925,""en"",""de"")"),"Die Frau wendet die Lösung der Kontaktlinsen in ihr Objektiv -Tragetasche an.")</f>
        <v>Die Frau wendet die Lösung der Kontaktlinsen in ihr Objektiv -Tragetasche an.</v>
      </c>
    </row>
    <row r="12926">
      <c r="A12926" s="4" t="s">
        <v>16259</v>
      </c>
      <c r="B12926" s="4" t="s">
        <v>16265</v>
      </c>
      <c r="C12926" s="5" t="str">
        <f>IFERROR(__xludf.DUMMYFUNCTION("GOOGLETRANSLATE(B12926,""en"",""de"")"),"Die Frau wäscht ihre Hände.")</f>
        <v>Die Frau wäscht ihre Hände.</v>
      </c>
    </row>
    <row r="12927">
      <c r="A12927" s="4" t="s">
        <v>16259</v>
      </c>
      <c r="B12927" s="4" t="s">
        <v>16266</v>
      </c>
      <c r="C12927" s="5" t="str">
        <f>IFERROR(__xludf.DUMMYFUNCTION("GOOGLETRANSLATE(B12927,""en"",""de"")"),"Die Frau entfernt die Kontaktlinse aus ihrem Auge.")</f>
        <v>Die Frau entfernt die Kontaktlinse aus ihrem Auge.</v>
      </c>
    </row>
    <row r="12928">
      <c r="A12928" s="4" t="s">
        <v>16259</v>
      </c>
      <c r="B12928" s="4" t="s">
        <v>16267</v>
      </c>
      <c r="C12928" s="5" t="str">
        <f>IFERROR(__xludf.DUMMYFUNCTION("GOOGLETRANSLATE(B12928,""en"",""de"")"),"Die Frau legt das Objektiv auf ihre Handfläche und reinigt es mit Lösung.")</f>
        <v>Die Frau legt das Objektiv auf ihre Handfläche und reinigt es mit Lösung.</v>
      </c>
    </row>
    <row r="12929">
      <c r="A12929" s="4" t="s">
        <v>16259</v>
      </c>
      <c r="B12929" s="4" t="s">
        <v>16268</v>
      </c>
      <c r="C12929" s="5" t="str">
        <f>IFERROR(__xludf.DUMMYFUNCTION("GOOGLETRANSLATE(B12929,""en"",""de"")"),"Die Frau stellt das Objektiv in den Fall und fügt eine Lösung hinzu.")</f>
        <v>Die Frau stellt das Objektiv in den Fall und fügt eine Lösung hinzu.</v>
      </c>
    </row>
    <row r="12930">
      <c r="A12930" s="4" t="s">
        <v>16259</v>
      </c>
      <c r="B12930" s="4" t="s">
        <v>16269</v>
      </c>
      <c r="C12930" s="5" t="str">
        <f>IFERROR(__xludf.DUMMYFUNCTION("GOOGLETRANSLATE(B12930,""en"",""de"")"),"Die Frau beginnt den Kamera -Rahmen zu verlassen.")</f>
        <v>Die Frau beginnt den Kamera -Rahmen zu verlassen.</v>
      </c>
    </row>
    <row r="12931">
      <c r="A12931" s="4" t="s">
        <v>16270</v>
      </c>
      <c r="B12931" s="4" t="s">
        <v>16271</v>
      </c>
      <c r="C12931" s="5" t="str">
        <f>IFERROR(__xludf.DUMMYFUNCTION("GOOGLETRANSLATE(B12931,""en"",""de"")"),"Eine Person sitzt vor einem Track auf einem Fahrrad, der nach unten schaut.")</f>
        <v>Eine Person sitzt vor einem Track auf einem Fahrrad, der nach unten schaut.</v>
      </c>
    </row>
    <row r="12932">
      <c r="A12932" s="4" t="s">
        <v>16270</v>
      </c>
      <c r="B12932" s="4" t="s">
        <v>16272</v>
      </c>
      <c r="C12932" s="5" t="str">
        <f>IFERROR(__xludf.DUMMYFUNCTION("GOOGLETRANSLATE(B12932,""en"",""de"")"),"Der Mann reitet dann mit mehreren anderen vorne die Strecke hinunter.")</f>
        <v>Der Mann reitet dann mit mehreren anderen vorne die Strecke hinunter.</v>
      </c>
    </row>
    <row r="12933">
      <c r="A12933" s="4" t="s">
        <v>16270</v>
      </c>
      <c r="B12933" s="4" t="s">
        <v>16273</v>
      </c>
      <c r="C12933" s="5" t="str">
        <f>IFERROR(__xludf.DUMMYFUNCTION("GOOGLETRANSLATE(B12933,""en"",""de"")"),"Die Person fährt rund um den Bereich und endet mit einem Go -Pro -Logo.")</f>
        <v>Die Person fährt rund um den Bereich und endet mit einem Go -Pro -Logo.</v>
      </c>
    </row>
    <row r="12934">
      <c r="A12934" s="4" t="s">
        <v>16274</v>
      </c>
      <c r="B12934" s="4" t="s">
        <v>16275</v>
      </c>
      <c r="C12934" s="5" t="str">
        <f>IFERROR(__xludf.DUMMYFUNCTION("GOOGLETRANSLATE(B12934,""en"",""de"")"),"Ein Mann, der einen Anzug in der Stadt trägt, geht die Straßen von New York entlang und trifft sich mit einem anderen Mann, der wie er mag.")</f>
        <v>Ein Mann, der einen Anzug in der Stadt trägt, geht die Straßen von New York entlang und trifft sich mit einem anderen Mann, der wie er mag.</v>
      </c>
    </row>
    <row r="12935">
      <c r="A12935" s="4" t="s">
        <v>16274</v>
      </c>
      <c r="B12935" s="4" t="s">
        <v>16276</v>
      </c>
      <c r="C12935" s="5" t="str">
        <f>IFERROR(__xludf.DUMMYFUNCTION("GOOGLETRANSLATE(B12935,""en"",""de"")"),"Die Männer vergleichen Gegenstände und führen dann eine Tanzroutine in der Mitte durch.")</f>
        <v>Die Männer vergleichen Gegenstände und führen dann eine Tanzroutine in der Mitte durch.</v>
      </c>
    </row>
    <row r="12936">
      <c r="A12936" s="4" t="s">
        <v>16274</v>
      </c>
      <c r="B12936" s="4" t="s">
        <v>16277</v>
      </c>
      <c r="C12936" s="5" t="str">
        <f>IFERROR(__xludf.DUMMYFUNCTION("GOOGLETRANSLATE(B12936,""en"",""de"")"),"Die Männer packen die Hände, um die Routine zu beenden und dann voneinander wegzugehen.")</f>
        <v>Die Männer packen die Hände, um die Routine zu beenden und dann voneinander wegzugehen.</v>
      </c>
    </row>
    <row r="12937">
      <c r="A12937" s="4" t="s">
        <v>16278</v>
      </c>
      <c r="B12937" s="4" t="s">
        <v>16279</v>
      </c>
      <c r="C12937" s="5" t="str">
        <f>IFERROR(__xludf.DUMMYFUNCTION("GOOGLETRANSLATE(B12937,""en"",""de"")"),"Eine Athletin geht nach vorne, während sie ihre Arme und Beine herumschüttelt und ihren Schwimmanzug anpasst.")</f>
        <v>Eine Athletin geht nach vorne, während sie ihre Arme und Beine herumschüttelt und ihren Schwimmanzug anpasst.</v>
      </c>
    </row>
    <row r="12938">
      <c r="A12938" s="4" t="s">
        <v>16278</v>
      </c>
      <c r="B12938" s="4" t="s">
        <v>16280</v>
      </c>
      <c r="C12938" s="5" t="str">
        <f>IFERROR(__xludf.DUMMYFUNCTION("GOOGLETRANSLATE(B12938,""en"",""de"")"),"Das Mädchen beugt sich vor und führt einen Tauchgang in den Pool durch, während die Kamera wieder zu einer Anzeigetafel kommt.")</f>
        <v>Das Mädchen beugt sich vor und führt einen Tauchgang in den Pool durch, während die Kamera wieder zu einer Anzeigetafel kommt.</v>
      </c>
    </row>
    <row r="12939">
      <c r="A12939" s="4" t="s">
        <v>16281</v>
      </c>
      <c r="B12939" s="4" t="s">
        <v>16282</v>
      </c>
      <c r="C12939" s="5" t="str">
        <f>IFERROR(__xludf.DUMMYFUNCTION("GOOGLETRANSLATE(B12939,""en"",""de"")"),"Ein Mann hat seinen Fuß auf der Toilette.")</f>
        <v>Ein Mann hat seinen Fuß auf der Toilette.</v>
      </c>
    </row>
    <row r="12940">
      <c r="A12940" s="4" t="s">
        <v>16281</v>
      </c>
      <c r="B12940" s="4" t="s">
        <v>16283</v>
      </c>
      <c r="C12940" s="5" t="str">
        <f>IFERROR(__xludf.DUMMYFUNCTION("GOOGLETRANSLATE(B12940,""en"",""de"")"),"Er fängt an, sich mit einem Rasierer zu rasieren.")</f>
        <v>Er fängt an, sich mit einem Rasierer zu rasieren.</v>
      </c>
    </row>
    <row r="12941">
      <c r="A12941" s="4" t="s">
        <v>16281</v>
      </c>
      <c r="B12941" s="4" t="s">
        <v>16284</v>
      </c>
      <c r="C12941" s="5" t="str">
        <f>IFERROR(__xludf.DUMMYFUNCTION("GOOGLETRANSLATE(B12941,""en"",""de"")"),"Er zieht seine Hose hoch und rasiert sein anderes Bein.")</f>
        <v>Er zieht seine Hose hoch und rasiert sein anderes Bein.</v>
      </c>
    </row>
    <row r="12942">
      <c r="A12942" s="4" t="s">
        <v>16285</v>
      </c>
      <c r="B12942" s="4" t="s">
        <v>16286</v>
      </c>
      <c r="C12942" s="5" t="str">
        <f>IFERROR(__xludf.DUMMYFUNCTION("GOOGLETRANSLATE(B12942,""en"",""de"")"),"Ein Mann schaufelt etwas Mulch in ein Radfass.")</f>
        <v>Ein Mann schaufelt etwas Mulch in ein Radfass.</v>
      </c>
    </row>
    <row r="12943">
      <c r="A12943" s="4" t="s">
        <v>16285</v>
      </c>
      <c r="B12943" s="4" t="s">
        <v>16287</v>
      </c>
      <c r="C12943" s="5" t="str">
        <f>IFERROR(__xludf.DUMMYFUNCTION("GOOGLETRANSLATE(B12943,""en"",""de"")"),"Er bringt das Radfass über und lässt ihn in einen Haufen fallen, auf dem eine Frau einen Rechen benutzt, um ihn gleichmäßig auszubreiten.")</f>
        <v>Er bringt das Radfass über und lässt ihn in einen Haufen fallen, auf dem eine Frau einen Rechen benutzt, um ihn gleichmäßig auszubreiten.</v>
      </c>
    </row>
    <row r="12944">
      <c r="A12944" s="4" t="s">
        <v>16285</v>
      </c>
      <c r="B12944" s="4" t="s">
        <v>16288</v>
      </c>
      <c r="C12944" s="5" t="str">
        <f>IFERROR(__xludf.DUMMYFUNCTION("GOOGLETRANSLATE(B12944,""en"",""de"")"),"Sie bringen weiterhin Ladungen des Mulchs und ein Mann dumpt über einen kleinen Schmutztraktor.")</f>
        <v>Sie bringen weiterhin Ladungen des Mulchs und ein Mann dumpt über einen kleinen Schmutztraktor.</v>
      </c>
    </row>
    <row r="12945">
      <c r="A12945" s="4" t="s">
        <v>16285</v>
      </c>
      <c r="B12945" s="4" t="s">
        <v>16289</v>
      </c>
      <c r="C12945" s="5" t="str">
        <f>IFERROR(__xludf.DUMMYFUNCTION("GOOGLETRANSLATE(B12945,""en"",""de"")"),"Er reitet den kleinen Hirsch -John -Traktor ab, während die anderen weiterhin rechnen.")</f>
        <v>Er reitet den kleinen Hirsch -John -Traktor ab, während die anderen weiterhin rechnen.</v>
      </c>
    </row>
    <row r="12946">
      <c r="A12946" s="4" t="s">
        <v>16290</v>
      </c>
      <c r="B12946" s="4" t="s">
        <v>16291</v>
      </c>
      <c r="C12946" s="5" t="str">
        <f>IFERROR(__xludf.DUMMYFUNCTION("GOOGLETRANSLATE(B12946,""en"",""de"")"),"Eine Person ist gesehen, wie man auf einem Feld herumläuft, gefolgt von mehreren Schüssen vom Feld und Menschen an den Seiten.")</f>
        <v>Eine Person ist gesehen, wie man auf einem Feld herumläuft, gefolgt von mehreren Schüssen vom Feld und Menschen an den Seiten.</v>
      </c>
    </row>
    <row r="12947">
      <c r="A12947" s="4" t="s">
        <v>16290</v>
      </c>
      <c r="B12947" s="4" t="s">
        <v>16292</v>
      </c>
      <c r="C12947" s="5" t="str">
        <f>IFERROR(__xludf.DUMMYFUNCTION("GOOGLETRANSLATE(B12947,""en"",""de"")"),"Das Video übergeht in mehrere Aufnahmen von Trainern, die Tricks mit ihren Hunden mit Frisbees machen.")</f>
        <v>Das Video übergeht in mehrere Aufnahmen von Trainern, die Tricks mit ihren Hunden mit Frisbees machen.</v>
      </c>
    </row>
    <row r="12948">
      <c r="A12948" s="4" t="s">
        <v>16290</v>
      </c>
      <c r="B12948" s="4" t="s">
        <v>16293</v>
      </c>
      <c r="C12948" s="5" t="str">
        <f>IFERROR(__xludf.DUMMYFUNCTION("GOOGLETRANSLATE(B12948,""en"",""de"")"),"Die Menschen werfen den Frisbee kontinuierlich um das Feld, während der Hund danach jagt und um das Feld herumläuft.")</f>
        <v>Die Menschen werfen den Frisbee kontinuierlich um das Feld, während der Hund danach jagt und um das Feld herumläuft.</v>
      </c>
    </row>
    <row r="12949">
      <c r="A12949" s="4" t="s">
        <v>16294</v>
      </c>
      <c r="B12949" s="4" t="s">
        <v>16295</v>
      </c>
      <c r="C12949" s="5" t="str">
        <f>IFERROR(__xludf.DUMMYFUNCTION("GOOGLETRANSLATE(B12949,""en"",""de"")"),"Das Video beginnt mit einem Mann, der verschiedene Ballettbewegungen durchführt, während die Kamera folgt und sich in Zeitlupe wiederholt.")</f>
        <v>Das Video beginnt mit einem Mann, der verschiedene Ballettbewegungen durchführt, während die Kamera folgt und sich in Zeitlupe wiederholt.</v>
      </c>
    </row>
    <row r="12950">
      <c r="A12950" s="4" t="s">
        <v>16294</v>
      </c>
      <c r="B12950" s="4" t="s">
        <v>16296</v>
      </c>
      <c r="C12950" s="5" t="str">
        <f>IFERROR(__xludf.DUMMYFUNCTION("GOOGLETRANSLATE(B12950,""en"",""de"")"),"Der Mann interviewt die Kamera und führt zu einem anderen Tänzer, der Schritte ausführt.")</f>
        <v>Der Mann interviewt die Kamera und führt zu einem anderen Tänzer, der Schritte ausführt.</v>
      </c>
    </row>
    <row r="12951">
      <c r="A12951" s="4" t="s">
        <v>16294</v>
      </c>
      <c r="B12951" s="4" t="s">
        <v>16297</v>
      </c>
      <c r="C12951" s="5" t="str">
        <f>IFERROR(__xludf.DUMMYFUNCTION("GOOGLETRANSLATE(B12951,""en"",""de"")"),"Mehrere weitere Leute spielen Tanzbewegungen und sprechen mit der Kamera.")</f>
        <v>Mehrere weitere Leute spielen Tanzbewegungen und sprechen mit der Kamera.</v>
      </c>
    </row>
    <row r="12952">
      <c r="A12952" s="4" t="s">
        <v>16298</v>
      </c>
      <c r="B12952" s="4" t="s">
        <v>16299</v>
      </c>
      <c r="C12952" s="5" t="str">
        <f>IFERROR(__xludf.DUMMYFUNCTION("GOOGLETRANSLATE(B12952,""en"",""de"")"),"Eine Person zeigt ein Möbelstück.")</f>
        <v>Eine Person zeigt ein Möbelstück.</v>
      </c>
    </row>
    <row r="12953">
      <c r="A12953" s="4" t="s">
        <v>16298</v>
      </c>
      <c r="B12953" s="4" t="s">
        <v>16300</v>
      </c>
      <c r="C12953" s="5" t="str">
        <f>IFERROR(__xludf.DUMMYFUNCTION("GOOGLETRANSLATE(B12953,""en"",""de"")"),"Dann bedeckt die Person eine Holzkiste mit Teppich und schneidet die Reste.")</f>
        <v>Dann bedeckt die Person eine Holzkiste mit Teppich und schneidet die Reste.</v>
      </c>
    </row>
    <row r="12954">
      <c r="A12954" s="4" t="s">
        <v>16298</v>
      </c>
      <c r="B12954" s="4" t="s">
        <v>16301</v>
      </c>
      <c r="C12954" s="5" t="str">
        <f>IFERROR(__xludf.DUMMYFUNCTION("GOOGLETRANSLATE(B12954,""en"",""de"")"),"Dann faltet die Person den Teppich an den Grenzen und schnitt die nicht benötigten Teile ab.")</f>
        <v>Dann faltet die Person den Teppich an den Grenzen und schnitt die nicht benötigten Teile ab.</v>
      </c>
    </row>
    <row r="12955">
      <c r="A12955" s="4" t="s">
        <v>16302</v>
      </c>
      <c r="B12955" s="4" t="s">
        <v>16303</v>
      </c>
      <c r="C12955" s="5" t="str">
        <f>IFERROR(__xludf.DUMMYFUNCTION("GOOGLETRANSLATE(B12955,""en"",""de"")"),"Eine Kaucasion -Frau steht in der Küche und spricht mit einem Kleinkind und sie beginnen mit der Faust auf die Insel zu schlagen.")</f>
        <v>Eine Kaucasion -Frau steht in der Küche und spricht mit einem Kleinkind und sie beginnen mit der Faust auf die Insel zu schlagen.</v>
      </c>
    </row>
    <row r="12956">
      <c r="A12956" s="4" t="s">
        <v>16302</v>
      </c>
      <c r="B12956" s="4" t="s">
        <v>16304</v>
      </c>
      <c r="C12956" s="5" t="str">
        <f>IFERROR(__xludf.DUMMYFUNCTION("GOOGLETRANSLATE(B12956,""en"",""de"")"),"Ein roter Bildschirm erscheint mit einem Bild von Limonade und die beiden tauchen wieder auf.")</f>
        <v>Ein roter Bildschirm erscheint mit einem Bild von Limonade und die beiden tauchen wieder auf.</v>
      </c>
    </row>
    <row r="12957">
      <c r="A12957" s="4" t="s">
        <v>16302</v>
      </c>
      <c r="B12957" s="4" t="s">
        <v>16305</v>
      </c>
      <c r="C12957" s="5" t="str">
        <f>IFERROR(__xludf.DUMMYFUNCTION("GOOGLETRANSLATE(B12957,""en"",""de"")"),"Die Dame spricht mit der Kamera extrem energisch.")</f>
        <v>Die Dame spricht mit der Kamera extrem energisch.</v>
      </c>
    </row>
    <row r="12958">
      <c r="A12958" s="4" t="s">
        <v>16302</v>
      </c>
      <c r="B12958" s="4" t="s">
        <v>16306</v>
      </c>
      <c r="C12958" s="5" t="str">
        <f>IFERROR(__xludf.DUMMYFUNCTION("GOOGLETRANSLATE(B12958,""en"",""de"")"),"Die beiden fangen dann an, Zutaten in einen Mixer zu werfen, beginnend mit Erdbeeren und enden mit Sirup.")</f>
        <v>Die beiden fangen dann an, Zutaten in einen Mixer zu werfen, beginnend mit Erdbeeren und enden mit Sirup.</v>
      </c>
    </row>
    <row r="12959">
      <c r="A12959" s="4" t="s">
        <v>16302</v>
      </c>
      <c r="B12959" s="4" t="s">
        <v>16307</v>
      </c>
      <c r="C12959" s="5" t="str">
        <f>IFERROR(__xludf.DUMMYFUNCTION("GOOGLETRANSLATE(B12959,""en"",""de"")"),"Schließlich wirft das Kleinkind eine Tasse Eis in den Mixer und die Dame mischt die Zutaten.")</f>
        <v>Schließlich wirft das Kleinkind eine Tasse Eis in den Mixer und die Dame mischt die Zutaten.</v>
      </c>
    </row>
    <row r="12960">
      <c r="A12960" s="4" t="s">
        <v>16302</v>
      </c>
      <c r="B12960" s="4" t="s">
        <v>16308</v>
      </c>
      <c r="C12960" s="5" t="str">
        <f>IFERROR(__xludf.DUMMYFUNCTION("GOOGLETRANSLATE(B12960,""en"",""de"")"),"Sobald die Dame fertig ist, greift die Dame zwei Tassen und füllt sie auf und die beiden genießen zusammen einen Drink.")</f>
        <v>Sobald die Dame fertig ist, greift die Dame zwei Tassen und füllt sie auf und die beiden genießen zusammen einen Drink.</v>
      </c>
    </row>
    <row r="12961">
      <c r="A12961" s="4" t="s">
        <v>16309</v>
      </c>
      <c r="B12961" s="4" t="s">
        <v>16310</v>
      </c>
      <c r="C12961" s="5" t="str">
        <f>IFERROR(__xludf.DUMMYFUNCTION("GOOGLETRANSLATE(B12961,""en"",""de"")"),"Ein kleiner Junge steht in einem Wohnzimmer.")</f>
        <v>Ein kleiner Junge steht in einem Wohnzimmer.</v>
      </c>
    </row>
    <row r="12962">
      <c r="A12962" s="4" t="s">
        <v>16309</v>
      </c>
      <c r="B12962" s="4" t="s">
        <v>16311</v>
      </c>
      <c r="C12962" s="5" t="str">
        <f>IFERROR(__xludf.DUMMYFUNCTION("GOOGLETRANSLATE(B12962,""en"",""de"")"),"Er wirft Darts auf ein Ziel.")</f>
        <v>Er wirft Darts auf ein Ziel.</v>
      </c>
    </row>
    <row r="12963">
      <c r="A12963" s="4" t="s">
        <v>16309</v>
      </c>
      <c r="B12963" s="4" t="s">
        <v>16312</v>
      </c>
      <c r="C12963" s="5" t="str">
        <f>IFERROR(__xludf.DUMMYFUNCTION("GOOGLETRANSLATE(B12963,""en"",""de"")"),"Er geht hinüber und entfernt die Darts, bevor er es erneut versucht.")</f>
        <v>Er geht hinüber und entfernt die Darts, bevor er es erneut versucht.</v>
      </c>
    </row>
    <row r="12964">
      <c r="A12964" s="4" t="s">
        <v>16313</v>
      </c>
      <c r="B12964" s="4" t="s">
        <v>16314</v>
      </c>
      <c r="C12964" s="5" t="str">
        <f>IFERROR(__xludf.DUMMYFUNCTION("GOOGLETRANSLATE(B12964,""en"",""de"")"),"Es wird gezeigt, dass Alkohol in ein Glas gegossen wird und zu einer Frau führt, die ein Glas hochhält und Eis hineingießt.")</f>
        <v>Es wird gezeigt, dass Alkohol in ein Glas gegossen wird und zu einer Frau führt, die ein Glas hochhält und Eis hineingießt.</v>
      </c>
    </row>
    <row r="12965">
      <c r="A12965" s="4" t="s">
        <v>16313</v>
      </c>
      <c r="B12965" s="4" t="s">
        <v>16315</v>
      </c>
      <c r="C12965" s="5" t="str">
        <f>IFERROR(__xludf.DUMMYFUNCTION("GOOGLETRANSLATE(B12965,""en"",""de"")"),"Die Frau gießt dann verschiedene Alkoholmischungen in das Glas und endet, indem sie das Glas der Kamera präsentiert.")</f>
        <v>Die Frau gießt dann verschiedene Alkoholmischungen in das Glas und endet, indem sie das Glas der Kamera präsentiert.</v>
      </c>
    </row>
    <row r="12966">
      <c r="A12966" s="4" t="s">
        <v>16316</v>
      </c>
      <c r="B12966" s="4" t="s">
        <v>16317</v>
      </c>
      <c r="C12966" s="5" t="str">
        <f>IFERROR(__xludf.DUMMYFUNCTION("GOOGLETRANSLATE(B12966,""en"",""de"")"),"Ein amerikanischer Turner klettert den Balancestrahl, sie führt vier Flips rückwärts und einen Flip nach vorne durch.")</f>
        <v>Ein amerikanischer Turner klettert den Balancestrahl, sie führt vier Flips rückwärts und einen Flip nach vorne durch.</v>
      </c>
    </row>
    <row r="12967">
      <c r="A12967" s="4" t="s">
        <v>16316</v>
      </c>
      <c r="B12967" s="4" t="s">
        <v>16318</v>
      </c>
      <c r="C12967" s="5" t="str">
        <f>IFERROR(__xludf.DUMMYFUNCTION("GOOGLETRANSLATE(B12967,""en"",""de"")"),"Dann dreht sich der Turner einmal nach hinten auf ihre Seite, dann springt sie und dreht zweimal nach hinten.")</f>
        <v>Dann dreht sich der Turner einmal nach hinten auf ihre Seite, dann springt sie und dreht zweimal nach hinten.</v>
      </c>
    </row>
    <row r="12968">
      <c r="A12968" s="4" t="s">
        <v>16316</v>
      </c>
      <c r="B12968" s="4" t="s">
        <v>16319</v>
      </c>
      <c r="C12968" s="5" t="str">
        <f>IFERROR(__xludf.DUMMYFUNCTION("GOOGLETRANSLATE(B12968,""en"",""de"")"),"Nach dem Turner springen, dreht und dreht sich.")</f>
        <v>Nach dem Turner springen, dreht und dreht sich.</v>
      </c>
    </row>
    <row r="12969">
      <c r="A12969" s="4" t="s">
        <v>16316</v>
      </c>
      <c r="B12969" s="4" t="s">
        <v>16320</v>
      </c>
      <c r="C12969" s="5" t="str">
        <f>IFERROR(__xludf.DUMMYFUNCTION("GOOGLETRANSLATE(B12969,""en"",""de"")"),"Der Turner steht am Ende des Strahls, dann rennt sie und dreht sich zu Zeiten und Endständer auf der Matte.")</f>
        <v>Der Turner steht am Ende des Strahls, dann rennt sie und dreht sich zu Zeiten und Endständer auf der Matte.</v>
      </c>
    </row>
    <row r="12970">
      <c r="A12970" s="4" t="s">
        <v>16316</v>
      </c>
      <c r="B12970" s="4" t="s">
        <v>16321</v>
      </c>
      <c r="C12970" s="5" t="str">
        <f>IFERROR(__xludf.DUMMYFUNCTION("GOOGLETRANSLATE(B12970,""en"",""de"")"),"Danach erhebt der Turner ihre Arme und sie gratuliert von Menschen.")</f>
        <v>Danach erhebt der Turner ihre Arme und sie gratuliert von Menschen.</v>
      </c>
    </row>
    <row r="12971">
      <c r="A12971" s="4" t="s">
        <v>16316</v>
      </c>
      <c r="B12971" s="4" t="s">
        <v>16322</v>
      </c>
      <c r="C12971" s="5" t="str">
        <f>IFERROR(__xludf.DUMMYFUNCTION("GOOGLETRANSLATE(B12971,""en"",""de"")"),"Die Routine des Gymnasts wird wieder wiederholt.")</f>
        <v>Die Routine des Gymnasts wird wieder wiederholt.</v>
      </c>
    </row>
    <row r="12972">
      <c r="A12972" s="4" t="s">
        <v>16323</v>
      </c>
      <c r="B12972" s="4" t="s">
        <v>16324</v>
      </c>
      <c r="C12972" s="5" t="str">
        <f>IFERROR(__xludf.DUMMYFUNCTION("GOOGLETRANSLATE(B12972,""en"",""de"")"),"Ein Vor- und Nachher -Bild einer Spüle wird angezeigt.")</f>
        <v>Ein Vor- und Nachher -Bild einer Spüle wird angezeigt.</v>
      </c>
    </row>
    <row r="12973">
      <c r="A12973" s="4" t="s">
        <v>16323</v>
      </c>
      <c r="B12973" s="4" t="s">
        <v>16325</v>
      </c>
      <c r="C12973" s="5" t="str">
        <f>IFERROR(__xludf.DUMMYFUNCTION("GOOGLETRANSLATE(B12973,""en"",""de"")"),"Es wird gezeigt, dass eine Person sauberer auf einen Schwamm setzt und ein Waschbecken schrubbt.")</f>
        <v>Es wird gezeigt, dass eine Person sauberer auf einen Schwamm setzt und ein Waschbecken schrubbt.</v>
      </c>
    </row>
    <row r="12974">
      <c r="A12974" s="4" t="s">
        <v>16323</v>
      </c>
      <c r="B12974" s="4" t="s">
        <v>16326</v>
      </c>
      <c r="C12974" s="5" t="str">
        <f>IFERROR(__xludf.DUMMYFUNCTION("GOOGLETRANSLATE(B12974,""en"",""de"")"),"Die Reinigungsprodukte und die saubere Spüle werden dann angezeigt.")</f>
        <v>Die Reinigungsprodukte und die saubere Spüle werden dann angezeigt.</v>
      </c>
    </row>
    <row r="12975">
      <c r="A12975" s="4" t="s">
        <v>16327</v>
      </c>
      <c r="B12975" s="4" t="s">
        <v>16328</v>
      </c>
      <c r="C12975" s="5" t="str">
        <f>IFERROR(__xludf.DUMMYFUNCTION("GOOGLETRANSLATE(B12975,""en"",""de"")"),"Sechs Kinder, die weiße Kleidung und orangefarbene Gürtel tragen, sind in einem Raum, in dem andere beobachten.")</f>
        <v>Sechs Kinder, die weiße Kleidung und orangefarbene Gürtel tragen, sind in einem Raum, in dem andere beobachten.</v>
      </c>
    </row>
    <row r="12976">
      <c r="A12976" s="4" t="s">
        <v>16327</v>
      </c>
      <c r="B12976" s="4" t="s">
        <v>16329</v>
      </c>
      <c r="C12976" s="5" t="str">
        <f>IFERROR(__xludf.DUMMYFUNCTION("GOOGLETRANSLATE(B12976,""en"",""de"")"),"Ein Mann schreit eine Bestellung und die Kinder demonstrieren ihren Taekwondo.")</f>
        <v>Ein Mann schreit eine Bestellung und die Kinder demonstrieren ihren Taekwondo.</v>
      </c>
    </row>
    <row r="12977">
      <c r="A12977" s="4" t="s">
        <v>16327</v>
      </c>
      <c r="B12977" s="4" t="s">
        <v>16330</v>
      </c>
      <c r="C12977" s="5" t="str">
        <f>IFERROR(__xludf.DUMMYFUNCTION("GOOGLETRANSLATE(B12977,""en"",""de"")"),"Der Mann schreit erneut und die Kinder richten sich und verbeugen sich.")</f>
        <v>Der Mann schreit erneut und die Kinder richten sich und verbeugen sich.</v>
      </c>
    </row>
    <row r="12978">
      <c r="A12978" s="4" t="s">
        <v>16327</v>
      </c>
      <c r="B12978" s="4" t="s">
        <v>16331</v>
      </c>
      <c r="C12978" s="5" t="str">
        <f>IFERROR(__xludf.DUMMYFUNCTION("GOOGLETRANSLATE(B12978,""en"",""de"")"),"Die Kinder zeigen Posen, wie der Mann ihnen befiehlt.")</f>
        <v>Die Kinder zeigen Posen, wie der Mann ihnen befiehlt.</v>
      </c>
    </row>
    <row r="12979">
      <c r="A12979" s="4" t="s">
        <v>16327</v>
      </c>
      <c r="B12979" s="4" t="s">
        <v>16332</v>
      </c>
      <c r="C12979" s="5" t="str">
        <f>IFERROR(__xludf.DUMMYFUNCTION("GOOGLETRANSLATE(B12979,""en"",""de"")"),"Sie führen dann mehr Kampfkunstbewegungen durch.")</f>
        <v>Sie führen dann mehr Kampfkunstbewegungen durch.</v>
      </c>
    </row>
    <row r="12980">
      <c r="A12980" s="4" t="s">
        <v>16327</v>
      </c>
      <c r="B12980" s="4" t="s">
        <v>16333</v>
      </c>
      <c r="C12980" s="5" t="str">
        <f>IFERROR(__xludf.DUMMYFUNCTION("GOOGLETRANSLATE(B12980,""en"",""de"")"),"Sie kehren in die Linie zurück, in der sie zuvor standen.")</f>
        <v>Sie kehren in die Linie zurück, in der sie zuvor standen.</v>
      </c>
    </row>
    <row r="12981">
      <c r="A12981" s="4" t="s">
        <v>16327</v>
      </c>
      <c r="B12981" s="4" t="s">
        <v>16334</v>
      </c>
      <c r="C12981" s="5" t="str">
        <f>IFERROR(__xludf.DUMMYFUNCTION("GOOGLETRANSLATE(B12981,""en"",""de"")"),"Sie zeigen zusätzliche Bewegungen, einschließlich Tritte und Schlägen.")</f>
        <v>Sie zeigen zusätzliche Bewegungen, einschließlich Tritte und Schlägen.</v>
      </c>
    </row>
    <row r="12982">
      <c r="A12982" s="4" t="s">
        <v>16327</v>
      </c>
      <c r="B12982" s="4" t="s">
        <v>16335</v>
      </c>
      <c r="C12982" s="5" t="str">
        <f>IFERROR(__xludf.DUMMYFUNCTION("GOOGLETRANSLATE(B12982,""en"",""de"")"),"Sie richten sich wieder an und verneigen sich zum zweiten Mal.")</f>
        <v>Sie richten sich wieder an und verneigen sich zum zweiten Mal.</v>
      </c>
    </row>
    <row r="12983">
      <c r="A12983" s="4" t="s">
        <v>16336</v>
      </c>
      <c r="B12983" s="4" t="s">
        <v>16337</v>
      </c>
      <c r="C12983" s="5" t="str">
        <f>IFERROR(__xludf.DUMMYFUNCTION("GOOGLETRANSLATE(B12983,""en"",""de"")"),"Ein Mädchen spricht mit einer Kamera, die sich anschließt, gefolgt von Aufnahmen eines Geschäfts und ihres Hundes in einem Auto.")</f>
        <v>Ein Mädchen spricht mit einer Kamera, die sich anschließt, gefolgt von Aufnahmen eines Geschäfts und ihres Hundes in einem Auto.</v>
      </c>
    </row>
    <row r="12984">
      <c r="A12984" s="4" t="s">
        <v>16336</v>
      </c>
      <c r="B12984" s="4" t="s">
        <v>16338</v>
      </c>
      <c r="C12984" s="5" t="str">
        <f>IFERROR(__xludf.DUMMYFUNCTION("GOOGLETRANSLATE(B12984,""en"",""de"")"),"Sie zeichnet mehrere Gegenstände auf, die im Laden und dann in einem Bikini im Laden gezeigt wurden.")</f>
        <v>Sie zeichnet mehrere Gegenstände auf, die im Laden und dann in einem Bikini im Laden gezeigt wurden.</v>
      </c>
    </row>
    <row r="12985">
      <c r="A12985" s="4" t="s">
        <v>16336</v>
      </c>
      <c r="B12985" s="4" t="s">
        <v>16339</v>
      </c>
      <c r="C12985" s="5" t="str">
        <f>IFERROR(__xludf.DUMMYFUNCTION("GOOGLETRANSLATE(B12985,""en"",""de"")"),"Sie stellt sich die Lotion auf sich selbst vor einen See und lächelt in die Kamera.")</f>
        <v>Sie stellt sich die Lotion auf sich selbst vor einen See und lächelt in die Kamera.</v>
      </c>
    </row>
    <row r="12986">
      <c r="A12986" s="4" t="s">
        <v>16340</v>
      </c>
      <c r="B12986" s="4" t="s">
        <v>16341</v>
      </c>
      <c r="C12986" s="5" t="str">
        <f>IFERROR(__xludf.DUMMYFUNCTION("GOOGLETRANSLATE(B12986,""en"",""de"")"),"Es werden mehrere Bilder verschiedener Lebensmittel gezeigt und führt zu einer Person, die Lebensmittel auf einem Schneidebrett schneidet.")</f>
        <v>Es werden mehrere Bilder verschiedener Lebensmittel gezeigt und führt zu einer Person, die Lebensmittel auf einem Schneidebrett schneidet.</v>
      </c>
    </row>
    <row r="12987">
      <c r="A12987" s="4" t="s">
        <v>16340</v>
      </c>
      <c r="B12987" s="4" t="s">
        <v>16342</v>
      </c>
      <c r="C12987" s="5" t="str">
        <f>IFERROR(__xludf.DUMMYFUNCTION("GOOGLETRANSLATE(B12987,""en"",""de"")"),"Weitere Bilder werden gezeigt, während der Mann Gemüse schneidet und es in eine Schüssel mischt.")</f>
        <v>Weitere Bilder werden gezeigt, während der Mann Gemüse schneidet und es in eine Schüssel mischt.</v>
      </c>
    </row>
    <row r="12988">
      <c r="A12988" s="4" t="s">
        <v>16340</v>
      </c>
      <c r="B12988" s="4" t="s">
        <v>16343</v>
      </c>
      <c r="C12988" s="5" t="str">
        <f>IFERROR(__xludf.DUMMYFUNCTION("GOOGLETRANSLATE(B12988,""en"",""de"")"),"Er rührt sich um die Zutaten und mehr Bilder der Lebensmittel werden gezeigt.")</f>
        <v>Er rührt sich um die Zutaten und mehr Bilder der Lebensmittel werden gezeigt.</v>
      </c>
    </row>
    <row r="12989">
      <c r="A12989" s="4" t="s">
        <v>16344</v>
      </c>
      <c r="B12989" s="4" t="s">
        <v>16345</v>
      </c>
      <c r="C12989" s="5" t="str">
        <f>IFERROR(__xludf.DUMMYFUNCTION("GOOGLETRANSLATE(B12989,""en"",""de"")"),"Wir sehen einen Jungen, der in einem Instrumentengeschäft Schlagzeug spielt.")</f>
        <v>Wir sehen einen Jungen, der in einem Instrumentengeschäft Schlagzeug spielt.</v>
      </c>
    </row>
    <row r="12990">
      <c r="A12990" s="4" t="s">
        <v>16344</v>
      </c>
      <c r="B12990" s="4" t="s">
        <v>16346</v>
      </c>
      <c r="C12990" s="5" t="str">
        <f>IFERROR(__xludf.DUMMYFUNCTION("GOOGLETRANSLATE(B12990,""en"",""de"")"),"Wir sehen einen Mann im Raum, der Schlagzeug spielt.")</f>
        <v>Wir sehen einen Mann im Raum, der Schlagzeug spielt.</v>
      </c>
    </row>
    <row r="12991">
      <c r="A12991" s="4" t="s">
        <v>16344</v>
      </c>
      <c r="B12991" s="4" t="s">
        <v>16347</v>
      </c>
      <c r="C12991" s="5" t="str">
        <f>IFERROR(__xludf.DUMMYFUNCTION("GOOGLETRANSLATE(B12991,""en"",""de"")"),"Wir sehen ein Mädchen, einen anderen Jungen und den Vater.")</f>
        <v>Wir sehen ein Mädchen, einen anderen Jungen und den Vater.</v>
      </c>
    </row>
    <row r="12992">
      <c r="A12992" s="4" t="s">
        <v>16344</v>
      </c>
      <c r="B12992" s="4" t="s">
        <v>16348</v>
      </c>
      <c r="C12992" s="5" t="str">
        <f>IFERROR(__xludf.DUMMYFUNCTION("GOOGLETRANSLATE(B12992,""en"",""de"")"),"Wir sehen den Mann durch den Raum, dann den Jungen.")</f>
        <v>Wir sehen den Mann durch den Raum, dann den Jungen.</v>
      </c>
    </row>
    <row r="12993">
      <c r="A12993" s="4" t="s">
        <v>16344</v>
      </c>
      <c r="B12993" s="4" t="s">
        <v>16349</v>
      </c>
      <c r="C12993" s="5" t="str">
        <f>IFERROR(__xludf.DUMMYFUNCTION("GOOGLETRANSLATE(B12993,""en"",""de"")"),"Der Junge in Streifen berührt etwas am Schlagzeug.")</f>
        <v>Der Junge in Streifen berührt etwas am Schlagzeug.</v>
      </c>
    </row>
    <row r="12994">
      <c r="A12994" s="4" t="s">
        <v>16344</v>
      </c>
      <c r="B12994" s="4" t="s">
        <v>16350</v>
      </c>
      <c r="C12994" s="5" t="str">
        <f>IFERROR(__xludf.DUMMYFUNCTION("GOOGLETRANSLATE(B12994,""en"",""de"")"),"Wir sehen den Jungen und den Mann gleichzeitig.")</f>
        <v>Wir sehen den Jungen und den Mann gleichzeitig.</v>
      </c>
    </row>
    <row r="12995">
      <c r="A12995" s="4" t="s">
        <v>16344</v>
      </c>
      <c r="B12995" s="4" t="s">
        <v>16351</v>
      </c>
      <c r="C12995" s="5" t="str">
        <f>IFERROR(__xludf.DUMMYFUNCTION("GOOGLETRANSLATE(B12995,""en"",""de"")"),"Der Junge im Streifenhemd rockt hin und her.")</f>
        <v>Der Junge im Streifenhemd rockt hin und her.</v>
      </c>
    </row>
    <row r="12996">
      <c r="A12996" s="4" t="s">
        <v>16344</v>
      </c>
      <c r="B12996" s="4" t="s">
        <v>16352</v>
      </c>
      <c r="C12996" s="5" t="str">
        <f>IFERROR(__xludf.DUMMYFUNCTION("GOOGLETRANSLATE(B12996,""en"",""de"")"),"Der Junge endet und schaut in die Kamera.")</f>
        <v>Der Junge endet und schaut in die Kamera.</v>
      </c>
    </row>
    <row r="12997">
      <c r="A12997" s="4" t="s">
        <v>16353</v>
      </c>
      <c r="B12997" s="4" t="s">
        <v>16354</v>
      </c>
      <c r="C12997" s="5" t="str">
        <f>IFERROR(__xludf.DUMMYFUNCTION("GOOGLETRANSLATE(B12997,""en"",""de"")"),"Ein Mann arbeitet draußen in einem Garten.")</f>
        <v>Ein Mann arbeitet draußen in einem Garten.</v>
      </c>
    </row>
    <row r="12998">
      <c r="A12998" s="4" t="s">
        <v>16353</v>
      </c>
      <c r="B12998" s="4" t="s">
        <v>16355</v>
      </c>
      <c r="C12998" s="5" t="str">
        <f>IFERROR(__xludf.DUMMYFUNCTION("GOOGLETRANSLATE(B12998,""en"",""de"")"),"Er benutzt Trimmer, um Stücke einer Pflanze zu schneiden.")</f>
        <v>Er benutzt Trimmer, um Stücke einer Pflanze zu schneiden.</v>
      </c>
    </row>
    <row r="12999">
      <c r="A12999" s="4" t="s">
        <v>16353</v>
      </c>
      <c r="B12999" s="4" t="s">
        <v>16356</v>
      </c>
      <c r="C12999" s="5" t="str">
        <f>IFERROR(__xludf.DUMMYFUNCTION("GOOGLETRANSLATE(B12999,""en"",""de"")"),"Wenn er fertig ist, ist die Pflanze vollständig beschnitten.")</f>
        <v>Wenn er fertig ist, ist die Pflanze vollständig beschnitten.</v>
      </c>
    </row>
    <row r="13000">
      <c r="A13000" s="4" t="s">
        <v>16357</v>
      </c>
      <c r="B13000" s="4" t="s">
        <v>16358</v>
      </c>
      <c r="C13000" s="5" t="str">
        <f>IFERROR(__xludf.DUMMYFUNCTION("GOOGLETRANSLATE(B13000,""en"",""de"")"),"Ein blauer Bildschirm blinkt mit gelbem Schreiben mit einer Titelseite und mehreren Absätzen.")</f>
        <v>Ein blauer Bildschirm blinkt mit gelbem Schreiben mit einer Titelseite und mehreren Absätzen.</v>
      </c>
    </row>
    <row r="13001">
      <c r="A13001" s="4" t="s">
        <v>16357</v>
      </c>
      <c r="B13001" s="4" t="s">
        <v>16359</v>
      </c>
      <c r="C13001" s="5" t="str">
        <f>IFERROR(__xludf.DUMMYFUNCTION("GOOGLETRANSLATE(B13001,""en"",""de"")"),"Ein Mann erscheint dann in einem Käfig mit einem Kreis drin und dreht sich in Kreisen, bevor er einen Schuss wirft.")</f>
        <v>Ein Mann erscheint dann in einem Käfig mit einem Kreis drin und dreht sich in Kreisen, bevor er einen Schuss wirft.</v>
      </c>
    </row>
    <row r="13002">
      <c r="A13002" s="4" t="s">
        <v>16357</v>
      </c>
      <c r="B13002" s="4" t="s">
        <v>16360</v>
      </c>
      <c r="C13002" s="5" t="str">
        <f>IFERROR(__xludf.DUMMYFUNCTION("GOOGLETRANSLATE(B13002,""en"",""de"")"),"Das Video macht wiederholt und hört auf, während er die richtigen Schritte ausführt, um den Ball abzuwerfen, beginnend mit der Schulter und mit dem Rest des Körpers.")</f>
        <v>Das Video macht wiederholt und hört auf, während er die richtigen Schritte ausführt, um den Ball abzuwerfen, beginnend mit der Schulter und mit dem Rest des Körpers.</v>
      </c>
    </row>
    <row r="13003">
      <c r="A13003" s="4" t="s">
        <v>16361</v>
      </c>
      <c r="B13003" s="4" t="s">
        <v>16362</v>
      </c>
      <c r="C13003" s="5" t="str">
        <f>IFERROR(__xludf.DUMMYFUNCTION("GOOGLETRANSLATE(B13003,""en"",""de"")"),"Ein Mann wird gezeigt, der mit der Kamera spricht und führt in ihn, der vor einem Fahrradrahmen steht.")</f>
        <v>Ein Mann wird gezeigt, der mit der Kamera spricht und führt in ihn, der vor einem Fahrradrahmen steht.</v>
      </c>
    </row>
    <row r="13004">
      <c r="A13004" s="4" t="s">
        <v>16361</v>
      </c>
      <c r="B13004" s="4" t="s">
        <v>16363</v>
      </c>
      <c r="C13004" s="5" t="str">
        <f>IFERROR(__xludf.DUMMYFUNCTION("GOOGLETRANSLATE(B13004,""en"",""de"")"),"Er verweist auf den Rahmen, während er mit der Kamera spricht und führt zu ihm, um Objekte einzuschrauben.")</f>
        <v>Er verweist auf den Rahmen, während er mit der Kamera spricht und führt zu ihm, um Objekte einzuschrauben.</v>
      </c>
    </row>
    <row r="13005">
      <c r="A13005" s="4" t="s">
        <v>16361</v>
      </c>
      <c r="B13005" s="4" t="s">
        <v>16364</v>
      </c>
      <c r="C13005" s="5" t="str">
        <f>IFERROR(__xludf.DUMMYFUNCTION("GOOGLETRANSLATE(B13005,""en"",""de"")"),"Die Person schraubt den Rahmen und die Kette weiterhin, während sie sich dreht und mit der Kamera spricht.")</f>
        <v>Die Person schraubt den Rahmen und die Kette weiterhin, während sie sich dreht und mit der Kamera spricht.</v>
      </c>
    </row>
    <row r="13006">
      <c r="A13006" s="4" t="s">
        <v>16365</v>
      </c>
      <c r="B13006" s="4" t="s">
        <v>16366</v>
      </c>
      <c r="C13006" s="5" t="str">
        <f>IFERROR(__xludf.DUMMYFUNCTION("GOOGLETRANSLATE(B13006,""en"",""de"")"),"Ein leeres Gymnasium wird gezeigt, wenn ein Mädchen einen Knopf auf den Computer trifft und eine Routine startet.")</f>
        <v>Ein leeres Gymnasium wird gezeigt, wenn ein Mädchen einen Knopf auf den Computer trifft und eine Routine startet.</v>
      </c>
    </row>
    <row r="13007">
      <c r="A13007" s="4" t="s">
        <v>16365</v>
      </c>
      <c r="B13007" s="4" t="s">
        <v>16367</v>
      </c>
      <c r="C13007" s="5" t="str">
        <f>IFERROR(__xludf.DUMMYFUNCTION("GOOGLETRANSLATE(B13007,""en"",""de"")"),"Sie wirbelt mit einem Staffelstab im Fitnessstudio um und bewegt ihre Arme herum.")</f>
        <v>Sie wirbelt mit einem Staffelstab im Fitnessstudio um und bewegt ihre Arme herum.</v>
      </c>
    </row>
    <row r="13008">
      <c r="A13008" s="4" t="s">
        <v>16365</v>
      </c>
      <c r="B13008" s="4" t="s">
        <v>16368</v>
      </c>
      <c r="C13008" s="5" t="str">
        <f>IFERROR(__xludf.DUMMYFUNCTION("GOOGLETRANSLATE(B13008,""en"",""de"")"),"Sie tritt ihre Beine ununterbrochen mit ihren Armen.")</f>
        <v>Sie tritt ihre Beine ununterbrochen mit ihren Armen.</v>
      </c>
    </row>
    <row r="13009">
      <c r="A13009" s="4" t="s">
        <v>16369</v>
      </c>
      <c r="B13009" s="4" t="s">
        <v>16370</v>
      </c>
      <c r="C13009" s="5" t="str">
        <f>IFERROR(__xludf.DUMMYFUNCTION("GOOGLETRANSLATE(B13009,""en"",""de"")"),"Ein junges Mädchen steht im Raum in schwarzer Cami und schwarz -weißer Beine, das sich das Reden vorbereitet.")</f>
        <v>Ein junges Mädchen steht im Raum in schwarzer Cami und schwarz -weißer Beine, das sich das Reden vorbereitet.</v>
      </c>
    </row>
    <row r="13010">
      <c r="A13010" s="4" t="s">
        <v>16369</v>
      </c>
      <c r="B13010" s="4" t="s">
        <v>16371</v>
      </c>
      <c r="C13010" s="5" t="str">
        <f>IFERROR(__xludf.DUMMYFUNCTION("GOOGLETRANSLATE(B13010,""en"",""de"")"),"Sie wird dann gezeigt, dass sie mit einem jungen Mädchen mit einem rosa Pullover und einem schwarzen Rock und mehreren Spielen von Rockpapierscheren zwischen ihr und zwei anderen Mädchen gespielt wird.")</f>
        <v>Sie wird dann gezeigt, dass sie mit einem jungen Mädchen mit einem rosa Pullover und einem schwarzen Rock und mehreren Spielen von Rockpapierscheren zwischen ihr und zwei anderen Mädchen gespielt wird.</v>
      </c>
    </row>
    <row r="13011">
      <c r="A13011" s="4" t="s">
        <v>16369</v>
      </c>
      <c r="B13011" s="4" t="s">
        <v>16372</v>
      </c>
      <c r="C13011" s="5" t="str">
        <f>IFERROR(__xludf.DUMMYFUNCTION("GOOGLETRANSLATE(B13011,""en"",""de"")"),"Das Mädchen mit dem rosa Pullover gewinnt und sie sitzt auf dem Gesicht des Mädchens.")</f>
        <v>Das Mädchen mit dem rosa Pullover gewinnt und sie sitzt auf dem Gesicht des Mädchens.</v>
      </c>
    </row>
    <row r="13012">
      <c r="A13012" s="4" t="s">
        <v>16369</v>
      </c>
      <c r="B13012" s="4" t="s">
        <v>16373</v>
      </c>
      <c r="C13012" s="5" t="str">
        <f>IFERROR(__xludf.DUMMYFUNCTION("GOOGLETRANSLATE(B13012,""en"",""de"")"),"Danach stehen die drei Mädchen zusammen und sprechen mit der Kamera.")</f>
        <v>Danach stehen die drei Mädchen zusammen und sprechen mit der Kamera.</v>
      </c>
    </row>
    <row r="13013">
      <c r="A13013" s="4" t="s">
        <v>16374</v>
      </c>
      <c r="B13013" s="4" t="s">
        <v>16375</v>
      </c>
      <c r="C13013" s="5" t="str">
        <f>IFERROR(__xludf.DUMMYFUNCTION("GOOGLETRANSLATE(B13013,""en"",""de"")"),"Frauen machen in einem Flur einige Gymnasische Sprünge.")</f>
        <v>Frauen machen in einem Flur einige Gymnasische Sprünge.</v>
      </c>
    </row>
    <row r="13014">
      <c r="A13014" s="4" t="s">
        <v>16374</v>
      </c>
      <c r="B13014" s="4" t="s">
        <v>16376</v>
      </c>
      <c r="C13014" s="5" t="str">
        <f>IFERROR(__xludf.DUMMYFUNCTION("GOOGLETRANSLATE(B13014,""en"",""de"")"),"Männer und Frauen sind in Kaufhäusern und machen Gymnastik -Sprünge.")</f>
        <v>Männer und Frauen sind in Kaufhäusern und machen Gymnastik -Sprünge.</v>
      </c>
    </row>
    <row r="13015">
      <c r="A13015" s="4" t="s">
        <v>16374</v>
      </c>
      <c r="B13015" s="4" t="s">
        <v>16377</v>
      </c>
      <c r="C13015" s="5" t="str">
        <f>IFERROR(__xludf.DUMMYFUNCTION("GOOGLETRANSLATE(B13015,""en"",""de"")"),"Die Frau macht einen Handplatz zu einem Parkplatz und auf Geschäften.")</f>
        <v>Die Frau macht einen Handplatz zu einem Parkplatz und auf Geschäften.</v>
      </c>
    </row>
    <row r="13016">
      <c r="A13016" s="4" t="s">
        <v>16374</v>
      </c>
      <c r="B13016" s="4" t="s">
        <v>16378</v>
      </c>
      <c r="C13016" s="5" t="str">
        <f>IFERROR(__xludf.DUMMYFUNCTION("GOOGLETRANSLATE(B13016,""en"",""de"")"),"Der Mensch schleift in einem Zaun in einem Einkaufszentrum im ersten Stock.")</f>
        <v>Der Mensch schleift in einem Zaun in einem Einkaufszentrum im ersten Stock.</v>
      </c>
    </row>
    <row r="13017">
      <c r="A13017" s="4" t="s">
        <v>16379</v>
      </c>
      <c r="B13017" s="4" t="s">
        <v>16380</v>
      </c>
      <c r="C13017" s="5" t="str">
        <f>IFERROR(__xludf.DUMMYFUNCTION("GOOGLETRANSLATE(B13017,""en"",""de"")"),"Ein Mädchen winkt in die Kamera und spricht an, gefolgt von verschiedenen Zutaten.")</f>
        <v>Ein Mädchen winkt in die Kamera und spricht an, gefolgt von verschiedenen Zutaten.</v>
      </c>
    </row>
    <row r="13018">
      <c r="A13018" s="4" t="s">
        <v>16379</v>
      </c>
      <c r="B13018" s="4" t="s">
        <v>16381</v>
      </c>
      <c r="C13018" s="5" t="str">
        <f>IFERROR(__xludf.DUMMYFUNCTION("GOOGLETRANSLATE(B13018,""en"",""de"")"),"Das Mädchen legt dann die Zutaten auf einen Teller und setzt Saran Wrap über das Essen.")</f>
        <v>Das Mädchen legt dann die Zutaten auf einen Teller und setzt Saran Wrap über das Essen.</v>
      </c>
    </row>
    <row r="13019">
      <c r="A13019" s="4" t="s">
        <v>16379</v>
      </c>
      <c r="B13019" s="4" t="s">
        <v>16382</v>
      </c>
      <c r="C13019" s="5" t="str">
        <f>IFERROR(__xludf.DUMMYFUNCTION("GOOGLETRANSLATE(B13019,""en"",""de"")"),"Sie mischt das Essen mit anderen Zutaten, gefolgt von Brot darüber und schneidet in Stücke.")</f>
        <v>Sie mischt das Essen mit anderen Zutaten, gefolgt von Brot darüber und schneidet in Stücke.</v>
      </c>
    </row>
    <row r="13020">
      <c r="A13020" s="4" t="s">
        <v>16379</v>
      </c>
      <c r="B13020" s="4" t="s">
        <v>16383</v>
      </c>
      <c r="C13020" s="5" t="str">
        <f>IFERROR(__xludf.DUMMYFUNCTION("GOOGLETRANSLATE(B13020,""en"",""de"")"),"Sie nimmt einen Bissen des Essens und führt schließlich zu Bildern ihres Essens neben einer Tasse Tee.")</f>
        <v>Sie nimmt einen Bissen des Essens und führt schließlich zu Bildern ihres Essens neben einer Tasse Tee.</v>
      </c>
    </row>
    <row r="13021">
      <c r="A13021" s="4" t="s">
        <v>16384</v>
      </c>
      <c r="B13021" s="4" t="s">
        <v>16385</v>
      </c>
      <c r="C13021" s="5" t="str">
        <f>IFERROR(__xludf.DUMMYFUNCTION("GOOGLETRANSLATE(B13021,""en"",""de"")"),"Eine Bande wird auf einer Bühne gezeigt.")</f>
        <v>Eine Bande wird auf einer Bühne gezeigt.</v>
      </c>
    </row>
    <row r="13022">
      <c r="A13022" s="4" t="s">
        <v>16384</v>
      </c>
      <c r="B13022" s="4" t="s">
        <v>16386</v>
      </c>
      <c r="C13022" s="5" t="str">
        <f>IFERROR(__xludf.DUMMYFUNCTION("GOOGLETRANSLATE(B13022,""en"",""de"")"),"Ein Mann spielt Gitarre, und der Mann zu seiner Rechten spielt Schlagzeug.")</f>
        <v>Ein Mann spielt Gitarre, und der Mann zu seiner Rechten spielt Schlagzeug.</v>
      </c>
    </row>
    <row r="13023">
      <c r="A13023" s="4" t="s">
        <v>16384</v>
      </c>
      <c r="B13023" s="4" t="s">
        <v>16387</v>
      </c>
      <c r="C13023" s="5" t="str">
        <f>IFERROR(__xludf.DUMMYFUNCTION("GOOGLETRANSLATE(B13023,""en"",""de"")"),"Die Person vor ihnen tanzt und singt.")</f>
        <v>Die Person vor ihnen tanzt und singt.</v>
      </c>
    </row>
    <row r="13024">
      <c r="A13024" s="4" t="s">
        <v>16388</v>
      </c>
      <c r="B13024" s="4" t="s">
        <v>16389</v>
      </c>
      <c r="C13024" s="5" t="str">
        <f>IFERROR(__xludf.DUMMYFUNCTION("GOOGLETRANSLATE(B13024,""en"",""de"")"),"Dort trugen zwei alte Männer, die Strohhüte tragen, die in T-Shirts und Shorts gekleidet sind, um Shuffleboard zu spielen.")</f>
        <v>Dort trugen zwei alte Männer, die Strohhüte tragen, die in T-Shirts und Shorts gekleidet sind, um Shuffleboard zu spielen.</v>
      </c>
    </row>
    <row r="13025">
      <c r="A13025" s="4" t="s">
        <v>16388</v>
      </c>
      <c r="B13025" s="4" t="s">
        <v>16390</v>
      </c>
      <c r="C13025" s="5" t="str">
        <f>IFERROR(__xludf.DUMMYFUNCTION("GOOGLETRANSLATE(B13025,""en"",""de"")"),"Dort zwei andere Männer standen ein paar Meter entfernt mit ihren Stichproben.")</f>
        <v>Dort zwei andere Männer standen ein paar Meter entfernt mit ihren Stichproben.</v>
      </c>
    </row>
    <row r="13026">
      <c r="A13026" s="4" t="s">
        <v>16388</v>
      </c>
      <c r="B13026" s="4" t="s">
        <v>16391</v>
      </c>
      <c r="C13026" s="5" t="str">
        <f>IFERROR(__xludf.DUMMYFUNCTION("GOOGLETRANSLATE(B13026,""en"",""de"")"),"Eine Frau mit grauem Haar und einem gelben Hemd spielt Shuffleboard.")</f>
        <v>Eine Frau mit grauem Haar und einem gelben Hemd spielt Shuffleboard.</v>
      </c>
    </row>
    <row r="13027">
      <c r="A13027" s="4" t="s">
        <v>16388</v>
      </c>
      <c r="B13027" s="4" t="s">
        <v>16392</v>
      </c>
      <c r="C13027" s="5" t="str">
        <f>IFERROR(__xludf.DUMMYFUNCTION("GOOGLETRANSLATE(B13027,""en"",""de"")"),"Es gibt zwei Scheiben auf dem Boden, die von einer anderen Disc getroffen werden.")</f>
        <v>Es gibt zwei Scheiben auf dem Boden, die von einer anderen Disc getroffen werden.</v>
      </c>
    </row>
    <row r="13028">
      <c r="A13028" s="4" t="s">
        <v>16388</v>
      </c>
      <c r="B13028" s="4" t="s">
        <v>16393</v>
      </c>
      <c r="C13028" s="5" t="str">
        <f>IFERROR(__xludf.DUMMYFUNCTION("GOOGLETRANSLATE(B13028,""en"",""de"")"),"Mehrere Zuschauer sehen sich ein Shuffleboard -Event an, bei dem verschiedene Personen antreten und spielen.")</f>
        <v>Mehrere Zuschauer sehen sich ein Shuffleboard -Event an, bei dem verschiedene Personen antreten und spielen.</v>
      </c>
    </row>
    <row r="13029">
      <c r="A13029" s="4" t="s">
        <v>16388</v>
      </c>
      <c r="B13029" s="4" t="s">
        <v>16394</v>
      </c>
      <c r="C13029" s="5" t="str">
        <f>IFERROR(__xludf.DUMMYFUNCTION("GOOGLETRANSLATE(B13029,""en"",""de"")"),"Einer der Spieler passt seine Discs an, bevor er sie mit dem Cue -Stick schlägt.")</f>
        <v>Einer der Spieler passt seine Discs an, bevor er sie mit dem Cue -Stick schlägt.</v>
      </c>
    </row>
    <row r="13030">
      <c r="A13030" s="4" t="s">
        <v>16395</v>
      </c>
      <c r="B13030" s="4" t="s">
        <v>16396</v>
      </c>
      <c r="C13030" s="5" t="str">
        <f>IFERROR(__xludf.DUMMYFUNCTION("GOOGLETRANSLATE(B13030,""en"",""de"")"),"Weißer Text erscheint auf blauem Hintergrund.")</f>
        <v>Weißer Text erscheint auf blauem Hintergrund.</v>
      </c>
    </row>
    <row r="13031">
      <c r="A13031" s="4" t="s">
        <v>16395</v>
      </c>
      <c r="B13031" s="4" t="s">
        <v>16397</v>
      </c>
      <c r="C13031" s="5" t="str">
        <f>IFERROR(__xludf.DUMMYFUNCTION("GOOGLETRANSLATE(B13031,""en"",""de"")"),"Ein Mädchen im Make -up- und Cheerleading -Outfit wird bei einem Spiel gezeigt.")</f>
        <v>Ein Mädchen im Make -up- und Cheerleading -Outfit wird bei einem Spiel gezeigt.</v>
      </c>
    </row>
    <row r="13032">
      <c r="A13032" s="4" t="s">
        <v>16395</v>
      </c>
      <c r="B13032" s="4" t="s">
        <v>16398</v>
      </c>
      <c r="C13032" s="5" t="str">
        <f>IFERROR(__xludf.DUMMYFUNCTION("GOOGLETRANSLATE(B13032,""en"",""de"")"),"Dann sehen wir einen Turner, der über eine Matte fließt, bevor wir in verschiedenen Stilen einen Handspring durchführen.")</f>
        <v>Dann sehen wir einen Turner, der über eine Matte fließt, bevor wir in verschiedenen Stilen einen Handspring durchführen.</v>
      </c>
    </row>
    <row r="13033">
      <c r="A13033" s="4" t="s">
        <v>16399</v>
      </c>
      <c r="B13033" s="4" t="s">
        <v>16400</v>
      </c>
      <c r="C13033" s="5" t="str">
        <f>IFERROR(__xludf.DUMMYFUNCTION("GOOGLETRANSLATE(B13033,""en"",""de"")"),"Eine Person macht eine Jack O Laterne.")</f>
        <v>Eine Person macht eine Jack O Laterne.</v>
      </c>
    </row>
    <row r="13034">
      <c r="A13034" s="4" t="s">
        <v>16399</v>
      </c>
      <c r="B13034" s="4" t="s">
        <v>16401</v>
      </c>
      <c r="C13034" s="5" t="str">
        <f>IFERROR(__xludf.DUMMYFUNCTION("GOOGLETRANSLATE(B13034,""en"",""de"")"),"Zuerst schnitten sie das Oberteil eines grünen Kürbis und schöpfen die Samen und andere Sachen aus.")</f>
        <v>Zuerst schnitten sie das Oberteil eines grünen Kürbis und schöpfen die Samen und andere Sachen aus.</v>
      </c>
    </row>
    <row r="13035">
      <c r="A13035" s="4" t="s">
        <v>16399</v>
      </c>
      <c r="B13035" s="4" t="s">
        <v>16402</v>
      </c>
      <c r="C13035" s="5" t="str">
        <f>IFERROR(__xludf.DUMMYFUNCTION("GOOGLETRANSLATE(B13035,""en"",""de"")"),"Die restlichen Innenseiten werden geschnitten und mit einer Eisschaufel abgekratzt.")</f>
        <v>Die restlichen Innenseiten werden geschnitten und mit einer Eisschaufel abgekratzt.</v>
      </c>
    </row>
    <row r="13036">
      <c r="A13036" s="4" t="s">
        <v>16399</v>
      </c>
      <c r="B13036" s="4" t="s">
        <v>16403</v>
      </c>
      <c r="C13036" s="5" t="str">
        <f>IFERROR(__xludf.DUMMYFUNCTION("GOOGLETRANSLATE(B13036,""en"",""de"")"),"Ein Design wird am Kürbis gezeichnet und dann ausgeschnitten.")</f>
        <v>Ein Design wird am Kürbis gezeichnet und dann ausgeschnitten.</v>
      </c>
    </row>
    <row r="13037">
      <c r="A13037" s="4" t="s">
        <v>16399</v>
      </c>
      <c r="B13037" s="4" t="s">
        <v>16404</v>
      </c>
      <c r="C13037" s="5" t="str">
        <f>IFERROR(__xludf.DUMMYFUNCTION("GOOGLETRANSLATE(B13037,""en"",""de"")"),"Das Innere des Kürbis wird mit Formentferner besprüht und trocken getupft.")</f>
        <v>Das Innere des Kürbis wird mit Formentferner besprüht und trocken getupft.</v>
      </c>
    </row>
    <row r="13038">
      <c r="A13038" s="4" t="s">
        <v>16399</v>
      </c>
      <c r="B13038" s="4" t="s">
        <v>16405</v>
      </c>
      <c r="C13038" s="5" t="str">
        <f>IFERROR(__xludf.DUMMYFUNCTION("GOOGLETRANSLATE(B13038,""en"",""de"")"),"Eine Kerze wird drinnen und beleuchtet und der Deckel wird wieder eingesetzt.")</f>
        <v>Eine Kerze wird drinnen und beleuchtet und der Deckel wird wieder eingesetzt.</v>
      </c>
    </row>
    <row r="13039">
      <c r="A13039" s="4" t="s">
        <v>16399</v>
      </c>
      <c r="B13039" s="4" t="s">
        <v>16406</v>
      </c>
      <c r="C13039" s="5" t="str">
        <f>IFERROR(__xludf.DUMMYFUNCTION("GOOGLETRANSLATE(B13039,""en"",""de"")"),"Mit den Lichtern kann die Jack O Laterne gesehen werden.")</f>
        <v>Mit den Lichtern kann die Jack O Laterne gesehen werden.</v>
      </c>
    </row>
    <row r="13040">
      <c r="A13040" s="4" t="s">
        <v>16407</v>
      </c>
      <c r="B13040" s="4" t="s">
        <v>16408</v>
      </c>
      <c r="C13040" s="5" t="str">
        <f>IFERROR(__xludf.DUMMYFUNCTION("GOOGLETRANSLATE(B13040,""en"",""de"")"),"Das Video führt zu mehreren Aufnahmen von olympischen Läufern, die Weitsprung in Sandgruben absolvieren.")</f>
        <v>Das Video führt zu mehreren Aufnahmen von olympischen Läufern, die Weitsprung in Sandgruben absolvieren.</v>
      </c>
    </row>
    <row r="13041">
      <c r="A13041" s="4" t="s">
        <v>16407</v>
      </c>
      <c r="B13041" s="4" t="s">
        <v>16409</v>
      </c>
      <c r="C13041" s="5" t="str">
        <f>IFERROR(__xludf.DUMMYFUNCTION("GOOGLETRANSLATE(B13041,""en"",""de"")"),"Das Video wird fortgesetzt, um mehrere verschiedene Läufer zu zeigen, die ihre Sprünge abschließen und sie danach der Menge anfeuern.")</f>
        <v>Das Video wird fortgesetzt, um mehrere verschiedene Läufer zu zeigen, die ihre Sprünge abschließen und sie danach der Menge anfeuern.</v>
      </c>
    </row>
    <row r="13042">
      <c r="A13042" s="4" t="s">
        <v>16410</v>
      </c>
      <c r="B13042" s="4" t="s">
        <v>16411</v>
      </c>
      <c r="C13042" s="5" t="str">
        <f>IFERROR(__xludf.DUMMYFUNCTION("GOOGLETRANSLATE(B13042,""en"",""de"")"),"Zwei Leute erschüttern ihre Skateboards.")</f>
        <v>Zwei Leute erschüttern ihre Skateboards.</v>
      </c>
    </row>
    <row r="13043">
      <c r="A13043" s="4" t="s">
        <v>16410</v>
      </c>
      <c r="B13043" s="4" t="s">
        <v>16412</v>
      </c>
      <c r="C13043" s="5" t="str">
        <f>IFERROR(__xludf.DUMMYFUNCTION("GOOGLETRANSLATE(B13043,""en"",""de"")"),"Sie reparieren einige Teile und fahren dann herum.")</f>
        <v>Sie reparieren einige Teile und fahren dann herum.</v>
      </c>
    </row>
    <row r="13044">
      <c r="A13044" s="4" t="s">
        <v>16413</v>
      </c>
      <c r="B13044" s="4" t="s">
        <v>16414</v>
      </c>
      <c r="C13044" s="5" t="str">
        <f>IFERROR(__xludf.DUMMYFUNCTION("GOOGLETRANSLATE(B13044,""en"",""de"")"),"Eine Frau sitzt auf einem Stuhl, der lacht, während ein Mann vor ihr zeigt.")</f>
        <v>Eine Frau sitzt auf einem Stuhl, der lacht, während ein Mann vor ihr zeigt.</v>
      </c>
    </row>
    <row r="13045">
      <c r="A13045" s="4" t="s">
        <v>16413</v>
      </c>
      <c r="B13045" s="4" t="s">
        <v>16415</v>
      </c>
      <c r="C13045" s="5" t="str">
        <f>IFERROR(__xludf.DUMMYFUNCTION("GOOGLETRANSLATE(B13045,""en"",""de"")"),"Der Mann hält dann eine Waffe bis zu ihrer Nase und durchbohrt ihre Nase.")</f>
        <v>Der Mann hält dann eine Waffe bis zu ihrer Nase und durchbohrt ihre Nase.</v>
      </c>
    </row>
    <row r="13046">
      <c r="A13046" s="4" t="s">
        <v>16413</v>
      </c>
      <c r="B13046" s="4" t="s">
        <v>16416</v>
      </c>
      <c r="C13046" s="5" t="str">
        <f>IFERROR(__xludf.DUMMYFUNCTION("GOOGLETRANSLATE(B13046,""en"",""de"")"),"Eine Frau spielt mit den Mädchenhaaren, während er mit dem Mädchen spricht und ihre Nase durchdringt.")</f>
        <v>Eine Frau spielt mit den Mädchenhaaren, während er mit dem Mädchen spricht und ihre Nase durchdringt.</v>
      </c>
    </row>
    <row r="13047">
      <c r="A13047" s="4" t="s">
        <v>16417</v>
      </c>
      <c r="B13047" s="4" t="s">
        <v>16418</v>
      </c>
      <c r="C13047" s="5" t="str">
        <f>IFERROR(__xludf.DUMMYFUNCTION("GOOGLETRANSLATE(B13047,""en"",""de"")"),"Ein Schreiner spricht eine Decke mit Farbe.")</f>
        <v>Ein Schreiner spricht eine Decke mit Farbe.</v>
      </c>
    </row>
    <row r="13048">
      <c r="A13048" s="4" t="s">
        <v>16417</v>
      </c>
      <c r="B13048" s="4" t="s">
        <v>16419</v>
      </c>
      <c r="C13048" s="5" t="str">
        <f>IFERROR(__xludf.DUMMYFUNCTION("GOOGLETRANSLATE(B13048,""en"",""de"")"),"Ein zweiter Schreiner glättet die Farbe an der Decke.")</f>
        <v>Ein zweiter Schreiner glättet die Farbe an der Decke.</v>
      </c>
    </row>
    <row r="13049">
      <c r="A13049" s="4" t="s">
        <v>16417</v>
      </c>
      <c r="B13049" s="4" t="s">
        <v>16420</v>
      </c>
      <c r="C13049" s="5" t="str">
        <f>IFERROR(__xludf.DUMMYFUNCTION("GOOGLETRANSLATE(B13049,""en"",""de"")"),"Der erste Tischler spricht über die gesamte Decke.")</f>
        <v>Der erste Tischler spricht über die gesamte Decke.</v>
      </c>
    </row>
    <row r="13050">
      <c r="A13050" s="4" t="s">
        <v>16417</v>
      </c>
      <c r="B13050" s="4" t="s">
        <v>16421</v>
      </c>
      <c r="C13050" s="5" t="str">
        <f>IFERROR(__xludf.DUMMYFUNCTION("GOOGLETRANSLATE(B13050,""en"",""de"")"),"Ein paar Tischler glätten die Farbe an der Decke.")</f>
        <v>Ein paar Tischler glätten die Farbe an der Decke.</v>
      </c>
    </row>
    <row r="13051">
      <c r="A13051" s="4" t="s">
        <v>16417</v>
      </c>
      <c r="B13051" s="4" t="s">
        <v>16422</v>
      </c>
      <c r="C13051" s="5" t="str">
        <f>IFERROR(__xludf.DUMMYFUNCTION("GOOGLETRANSLATE(B13051,""en"",""de"")"),"Einer der Tischler ist zu sehen, wie es die Decke besprüht, und stoppt eine Sekunde, um ein Licht zu bewegen.")</f>
        <v>Einer der Tischler ist zu sehen, wie es die Decke besprüht, und stoppt eine Sekunde, um ein Licht zu bewegen.</v>
      </c>
    </row>
    <row r="13052">
      <c r="A13052" s="4" t="s">
        <v>16417</v>
      </c>
      <c r="B13052" s="4" t="s">
        <v>16423</v>
      </c>
      <c r="C13052" s="5" t="str">
        <f>IFERROR(__xludf.DUMMYFUNCTION("GOOGLETRANSLATE(B13052,""en"",""de"")"),"Das Gemälde setzt sich fort und die Glättung aus der Farbe.")</f>
        <v>Das Gemälde setzt sich fort und die Glättung aus der Farbe.</v>
      </c>
    </row>
    <row r="13053">
      <c r="A13053" s="4" t="s">
        <v>16424</v>
      </c>
      <c r="B13053" s="4" t="s">
        <v>16425</v>
      </c>
      <c r="C13053" s="5" t="str">
        <f>IFERROR(__xludf.DUMMYFUNCTION("GOOGLETRANSLATE(B13053,""en"",""de"")"),"Kinder spielen auf einem Platz Basketball.")</f>
        <v>Kinder spielen auf einem Platz Basketball.</v>
      </c>
    </row>
    <row r="13054">
      <c r="A13054" s="4" t="s">
        <v>16424</v>
      </c>
      <c r="B13054" s="4" t="s">
        <v>16426</v>
      </c>
      <c r="C13054" s="5" t="str">
        <f>IFERROR(__xludf.DUMMYFUNCTION("GOOGLETRANSLATE(B13054,""en"",""de"")"),"Der Trainer spricht mit ihnen und versucht ihnen zu sagen, wie man spielt.")</f>
        <v>Der Trainer spricht mit ihnen und versucht ihnen zu sagen, wie man spielt.</v>
      </c>
    </row>
    <row r="13055">
      <c r="A13055" s="4" t="s">
        <v>16424</v>
      </c>
      <c r="B13055" s="4" t="s">
        <v>16427</v>
      </c>
      <c r="C13055" s="5" t="str">
        <f>IFERROR(__xludf.DUMMYFUNCTION("GOOGLETRANSLATE(B13055,""en"",""de"")"),"Die Kinder führen Layups durch.")</f>
        <v>Die Kinder führen Layups durch.</v>
      </c>
    </row>
    <row r="13056">
      <c r="A13056" s="4" t="s">
        <v>16428</v>
      </c>
      <c r="B13056" s="4" t="s">
        <v>1487</v>
      </c>
      <c r="C13056" s="5" t="str">
        <f>IFERROR(__xludf.DUMMYFUNCTION("GOOGLETRANSLATE(B13056,""en"",""de"")"),"Wir sehen einen Öffnungsbildschirm.")</f>
        <v>Wir sehen einen Öffnungsbildschirm.</v>
      </c>
    </row>
    <row r="13057">
      <c r="A13057" s="4" t="s">
        <v>16428</v>
      </c>
      <c r="B13057" s="4" t="s">
        <v>16429</v>
      </c>
      <c r="C13057" s="5" t="str">
        <f>IFERROR(__xludf.DUMMYFUNCTION("GOOGLETRANSLATE(B13057,""en"",""de"")"),"Wir sehen ein Mädchen rennen und einen Hochsprung durchführen und es über die Bar schaffen.")</f>
        <v>Wir sehen ein Mädchen rennen und einen Hochsprung durchführen und es über die Bar schaffen.</v>
      </c>
    </row>
    <row r="13058">
      <c r="A13058" s="4" t="s">
        <v>16428</v>
      </c>
      <c r="B13058" s="4" t="s">
        <v>16430</v>
      </c>
      <c r="C13058" s="5" t="str">
        <f>IFERROR(__xludf.DUMMYFUNCTION("GOOGLETRANSLATE(B13058,""en"",""de"")"),"Wir sehen dann eine Wiederholung und eine Zeitlupe -Wiederholung.")</f>
        <v>Wir sehen dann eine Wiederholung und eine Zeitlupe -Wiederholung.</v>
      </c>
    </row>
    <row r="13059">
      <c r="A13059" s="4" t="s">
        <v>16428</v>
      </c>
      <c r="B13059" s="4" t="s">
        <v>777</v>
      </c>
      <c r="C13059" s="5" t="str">
        <f>IFERROR(__xludf.DUMMYFUNCTION("GOOGLETRANSLATE(B13059,""en"",""de"")"),"Wir sehen den End -Titelbildschirm.")</f>
        <v>Wir sehen den End -Titelbildschirm.</v>
      </c>
    </row>
    <row r="13060">
      <c r="A13060" s="4" t="s">
        <v>16431</v>
      </c>
      <c r="B13060" s="4" t="s">
        <v>16432</v>
      </c>
      <c r="C13060" s="5" t="str">
        <f>IFERROR(__xludf.DUMMYFUNCTION("GOOGLETRANSLATE(B13060,""en"",""de"")"),"Ein Mann dribiert einen Basketball.")</f>
        <v>Ein Mann dribiert einen Basketball.</v>
      </c>
    </row>
    <row r="13061">
      <c r="A13061" s="4" t="s">
        <v>16431</v>
      </c>
      <c r="B13061" s="4" t="s">
        <v>16433</v>
      </c>
      <c r="C13061" s="5" t="str">
        <f>IFERROR(__xludf.DUMMYFUNCTION("GOOGLETRANSLATE(B13061,""en"",""de"")"),"Er springt und schießt den Basketball in den Reifen.")</f>
        <v>Er springt und schießt den Basketball in den Reifen.</v>
      </c>
    </row>
    <row r="13062">
      <c r="A13062" s="4" t="s">
        <v>16431</v>
      </c>
      <c r="B13062" s="4" t="s">
        <v>16434</v>
      </c>
      <c r="C13062" s="5" t="str">
        <f>IFERROR(__xludf.DUMMYFUNCTION("GOOGLETRANSLATE(B13062,""en"",""de"")"),"Wörter werden am Ende auf dem Bildschirm angezeigt.")</f>
        <v>Wörter werden am Ende auf dem Bildschirm angezeigt.</v>
      </c>
    </row>
    <row r="13063">
      <c r="A13063" s="4" t="s">
        <v>16435</v>
      </c>
      <c r="B13063" s="4" t="s">
        <v>16436</v>
      </c>
      <c r="C13063" s="5" t="str">
        <f>IFERROR(__xludf.DUMMYFUNCTION("GOOGLETRANSLATE(B13063,""en"",""de"")"),"Eine Frau kniet auf einer blauen Matte.")</f>
        <v>Eine Frau kniet auf einer blauen Matte.</v>
      </c>
    </row>
    <row r="13064">
      <c r="A13064" s="4" t="s">
        <v>16435</v>
      </c>
      <c r="B13064" s="4" t="s">
        <v>16437</v>
      </c>
      <c r="C13064" s="5" t="str">
        <f>IFERROR(__xludf.DUMMYFUNCTION("GOOGLETRANSLATE(B13064,""en"",""de"")"),"Ein Mann steht hinter ihr Reden.")</f>
        <v>Ein Mann steht hinter ihr Reden.</v>
      </c>
    </row>
    <row r="13065">
      <c r="A13065" s="4" t="s">
        <v>16435</v>
      </c>
      <c r="B13065" s="4" t="s">
        <v>16438</v>
      </c>
      <c r="C13065" s="5" t="str">
        <f>IFERROR(__xludf.DUMMYFUNCTION("GOOGLETRANSLATE(B13065,""en"",""de"")"),"Die Frau beginnt ihre Beine und Arme zu bewegen.")</f>
        <v>Die Frau beginnt ihre Beine und Arme zu bewegen.</v>
      </c>
    </row>
    <row r="13066">
      <c r="A13066" s="4" t="s">
        <v>16439</v>
      </c>
      <c r="B13066" s="4" t="s">
        <v>16440</v>
      </c>
      <c r="C13066" s="5" t="str">
        <f>IFERROR(__xludf.DUMMYFUNCTION("GOOGLETRANSLATE(B13066,""en"",""de"")"),"Zwei Männer stehen draußen mit einer Menge von Menschen, die Gewichte heben und trainieren.")</f>
        <v>Zwei Männer stehen draußen mit einer Menge von Menschen, die Gewichte heben und trainieren.</v>
      </c>
    </row>
    <row r="13067">
      <c r="A13067" s="4" t="s">
        <v>16439</v>
      </c>
      <c r="B13067" s="4" t="s">
        <v>16441</v>
      </c>
      <c r="C13067" s="5" t="str">
        <f>IFERROR(__xludf.DUMMYFUNCTION("GOOGLETRANSLATE(B13067,""en"",""de"")"),"Viele Leute beginnen, die Jungs auf ihrem Handy zu filmen, das Gewichtheben geht weiter und mehrere Leute kommen zurück, um Interviews zu führen.")</f>
        <v>Viele Leute beginnen, die Jungs auf ihrem Handy zu filmen, das Gewichtheben geht weiter und mehrere Leute kommen zurück, um Interviews zu führen.</v>
      </c>
    </row>
    <row r="13068">
      <c r="A13068" s="4" t="s">
        <v>16439</v>
      </c>
      <c r="B13068" s="4" t="s">
        <v>16442</v>
      </c>
      <c r="C13068" s="5" t="str">
        <f>IFERROR(__xludf.DUMMYFUNCTION("GOOGLETRANSLATE(B13068,""en"",""de"")"),"Es werden mehr Menschen gezeigt und dann kommt ein Logo, das von Reebok gesponsert wird.")</f>
        <v>Es werden mehr Menschen gezeigt und dann kommt ein Logo, das von Reebok gesponsert wird.</v>
      </c>
    </row>
    <row r="13069">
      <c r="A13069" s="4" t="s">
        <v>16443</v>
      </c>
      <c r="B13069" s="4" t="s">
        <v>16444</v>
      </c>
      <c r="C13069" s="5" t="str">
        <f>IFERROR(__xludf.DUMMYFUNCTION("GOOGLETRANSLATE(B13069,""en"",""de"")"),"Die Leute laufen herum und spielen Paintball.")</f>
        <v>Die Leute laufen herum und spielen Paintball.</v>
      </c>
    </row>
    <row r="13070">
      <c r="A13070" s="4" t="s">
        <v>16443</v>
      </c>
      <c r="B13070" s="4" t="s">
        <v>16445</v>
      </c>
      <c r="C13070" s="5" t="str">
        <f>IFERROR(__xludf.DUMMYFUNCTION("GOOGLETRANSLATE(B13070,""en"",""de"")"),"Ein Mann fällt in eine große Schlammpfütze.")</f>
        <v>Ein Mann fällt in eine große Schlammpfütze.</v>
      </c>
    </row>
    <row r="13071">
      <c r="A13071" s="4" t="s">
        <v>16443</v>
      </c>
      <c r="B13071" s="4" t="s">
        <v>16446</v>
      </c>
      <c r="C13071" s="5" t="str">
        <f>IFERROR(__xludf.DUMMYFUNCTION("GOOGLETRANSLATE(B13071,""en"",""de"")"),"Ein Mann fällt hin und ein anderer Mann rennt auf, um nach ihm zu sehen.")</f>
        <v>Ein Mann fällt hin und ein anderer Mann rennt auf, um nach ihm zu sehen.</v>
      </c>
    </row>
    <row r="13072">
      <c r="A13072" s="4" t="s">
        <v>16447</v>
      </c>
      <c r="B13072" s="4" t="s">
        <v>16448</v>
      </c>
      <c r="C13072" s="5" t="str">
        <f>IFERROR(__xludf.DUMMYFUNCTION("GOOGLETRANSLATE(B13072,""en"",""de"")"),"Eine Frau spricht mit der Kamera und führt sie in sie und enthält eine bezahlte Shorts.")</f>
        <v>Eine Frau spricht mit der Kamera und führt sie in sie und enthält eine bezahlte Shorts.</v>
      </c>
    </row>
    <row r="13073">
      <c r="A13073" s="4" t="s">
        <v>16447</v>
      </c>
      <c r="B13073" s="4" t="s">
        <v>16449</v>
      </c>
      <c r="C13073" s="5" t="str">
        <f>IFERROR(__xludf.DUMMYFUNCTION("GOOGLETRANSLATE(B13073,""en"",""de"")"),"Sie zeigt dann, wie man die Kleidungsstücke richtig bügelt.")</f>
        <v>Sie zeigt dann, wie man die Kleidungsstücke richtig bügelt.</v>
      </c>
    </row>
    <row r="13074">
      <c r="A13074" s="4" t="s">
        <v>16450</v>
      </c>
      <c r="B13074" s="4" t="s">
        <v>16451</v>
      </c>
      <c r="C13074" s="5" t="str">
        <f>IFERROR(__xludf.DUMMYFUNCTION("GOOGLETRANSLATE(B13074,""en"",""de"")"),"Eine Person spielt in einem Park Dudelsack.")</f>
        <v>Eine Person spielt in einem Park Dudelsack.</v>
      </c>
    </row>
    <row r="13075">
      <c r="A13075" s="4" t="s">
        <v>16450</v>
      </c>
      <c r="B13075" s="4" t="s">
        <v>16452</v>
      </c>
      <c r="C13075" s="5" t="str">
        <f>IFERROR(__xludf.DUMMYFUNCTION("GOOGLETRANSLATE(B13075,""en"",""de"")"),"Ein Mann und zwei Jungen von einem fern zuschauen.")</f>
        <v>Ein Mann und zwei Jungen von einem fern zuschauen.</v>
      </c>
    </row>
    <row r="13076">
      <c r="A13076" s="4" t="s">
        <v>16450</v>
      </c>
      <c r="B13076" s="4" t="s">
        <v>16453</v>
      </c>
      <c r="C13076" s="5" t="str">
        <f>IFERROR(__xludf.DUMMYFUNCTION("GOOGLETRANSLATE(B13076,""en"",""de"")"),"Die Kamera schießt Bereiche rund um den Park, während die Dudelsack spielen.")</f>
        <v>Die Kamera schießt Bereiche rund um den Park, während die Dudelsack spielen.</v>
      </c>
    </row>
    <row r="13077">
      <c r="A13077" s="4" t="s">
        <v>16454</v>
      </c>
      <c r="B13077" s="4" t="s">
        <v>16455</v>
      </c>
      <c r="C13077" s="5" t="str">
        <f>IFERROR(__xludf.DUMMYFUNCTION("GOOGLETRANSLATE(B13077,""en"",""de"")"),"Ein Athlet wird gesehen, wie er eine große Strecke hinunterläuft und einen Speer in die Luft wirft.")</f>
        <v>Ein Athlet wird gesehen, wie er eine große Strecke hinunterläuft und einen Speer in die Luft wirft.</v>
      </c>
    </row>
    <row r="13078">
      <c r="A13078" s="4" t="s">
        <v>16454</v>
      </c>
      <c r="B13078" s="4" t="s">
        <v>16456</v>
      </c>
      <c r="C13078" s="5" t="str">
        <f>IFERROR(__xludf.DUMMYFUNCTION("GOOGLETRANSLATE(B13078,""en"",""de"")"),"Ihr Wurf wird wieder in Zeitlupe gezeigt, gefolgt von mehreren weiteren Athleten, die sich abwenden.")</f>
        <v>Ihr Wurf wird wieder in Zeitlupe gezeigt, gefolgt von mehreren weiteren Athleten, die sich abwenden.</v>
      </c>
    </row>
    <row r="13079">
      <c r="A13079" s="4" t="s">
        <v>16457</v>
      </c>
      <c r="B13079" s="4" t="s">
        <v>16458</v>
      </c>
      <c r="C13079" s="5" t="str">
        <f>IFERROR(__xludf.DUMMYFUNCTION("GOOGLETRANSLATE(B13079,""en"",""de"")"),"Wir sehen einen Eröffnungs -Titelbildschirme.")</f>
        <v>Wir sehen einen Eröffnungs -Titelbildschirme.</v>
      </c>
    </row>
    <row r="13080">
      <c r="A13080" s="4" t="s">
        <v>16457</v>
      </c>
      <c r="B13080" s="4" t="s">
        <v>16459</v>
      </c>
      <c r="C13080" s="5" t="str">
        <f>IFERROR(__xludf.DUMMYFUNCTION("GOOGLETRANSLATE(B13080,""en"",""de"")"),"Die Menschen arbeiten in einem Workshop an Kameras.")</f>
        <v>Die Menschen arbeiten in einem Workshop an Kameras.</v>
      </c>
    </row>
    <row r="13081">
      <c r="A13081" s="4" t="s">
        <v>16457</v>
      </c>
      <c r="B13081" s="4" t="s">
        <v>16460</v>
      </c>
      <c r="C13081" s="5" t="str">
        <f>IFERROR(__xludf.DUMMYFUNCTION("GOOGLETRANSLATE(B13081,""en"",""de"")"),"Wir sehen, wie sie es in eine Röhre montieren.")</f>
        <v>Wir sehen, wie sie es in eine Röhre montieren.</v>
      </c>
    </row>
    <row r="13082">
      <c r="A13082" s="4" t="s">
        <v>16457</v>
      </c>
      <c r="B13082" s="4" t="s">
        <v>16461</v>
      </c>
      <c r="C13082" s="5" t="str">
        <f>IFERROR(__xludf.DUMMYFUNCTION("GOOGLETRANSLATE(B13082,""en"",""de"")"),"Die Dame tanzt dann den Hula -Hoop mit der Röhre.")</f>
        <v>Die Dame tanzt dann den Hula -Hoop mit der Röhre.</v>
      </c>
    </row>
    <row r="13083">
      <c r="A13083" s="4" t="s">
        <v>16457</v>
      </c>
      <c r="B13083" s="4" t="s">
        <v>16462</v>
      </c>
      <c r="C13083" s="5" t="str">
        <f>IFERROR(__xludf.DUMMYFUNCTION("GOOGLETRANSLATE(B13083,""en"",""de"")"),"Wir sehen einen blonden Mann, der Anpassungen am Röhrchen vornimmt.")</f>
        <v>Wir sehen einen blonden Mann, der Anpassungen am Röhrchen vornimmt.</v>
      </c>
    </row>
    <row r="13084">
      <c r="A13084" s="4" t="s">
        <v>16457</v>
      </c>
      <c r="B13084" s="4" t="s">
        <v>16463</v>
      </c>
      <c r="C13084" s="5" t="str">
        <f>IFERROR(__xludf.DUMMYFUNCTION("GOOGLETRANSLATE(B13084,""en"",""de"")"),"Wir sehen den Schließende Bildschirm.")</f>
        <v>Wir sehen den Schließende Bildschirm.</v>
      </c>
    </row>
    <row r="13085">
      <c r="A13085" s="4" t="s">
        <v>16464</v>
      </c>
      <c r="B13085" s="4" t="s">
        <v>16465</v>
      </c>
      <c r="C13085" s="5" t="str">
        <f>IFERROR(__xludf.DUMMYFUNCTION("GOOGLETRANSLATE(B13085,""en"",""de"")"),"Eine Kamera schwenkt um eine Gruppe von Menschen, die an einem Tisch sitzen, gefolgt von einem Mann, der ein Surfbrett hält.")</f>
        <v>Eine Kamera schwenkt um eine Gruppe von Menschen, die an einem Tisch sitzen, gefolgt von einem Mann, der ein Surfbrett hält.</v>
      </c>
    </row>
    <row r="13086">
      <c r="A13086" s="4" t="s">
        <v>16464</v>
      </c>
      <c r="B13086" s="4" t="s">
        <v>16466</v>
      </c>
      <c r="C13086" s="5" t="str">
        <f>IFERROR(__xludf.DUMMYFUNCTION("GOOGLETRANSLATE(B13086,""en"",""de"")"),"Der Mann trägt das Brett auf das Wasser und beginnt mit dem Wasser zu reiten.")</f>
        <v>Der Mann trägt das Brett auf das Wasser und beginnt mit dem Wasser zu reiten.</v>
      </c>
    </row>
    <row r="13087">
      <c r="A13087" s="4" t="s">
        <v>16464</v>
      </c>
      <c r="B13087" s="4" t="s">
        <v>16467</v>
      </c>
      <c r="C13087" s="5" t="str">
        <f>IFERROR(__xludf.DUMMYFUNCTION("GOOGLETRANSLATE(B13087,""en"",""de"")"),"Die Person fährt weiter hinter einer anderen Person auf dem Wasser herum.")</f>
        <v>Die Person fährt weiter hinter einer anderen Person auf dem Wasser herum.</v>
      </c>
    </row>
    <row r="13088">
      <c r="A13088" s="4" t="s">
        <v>16468</v>
      </c>
      <c r="B13088" s="4" t="s">
        <v>16469</v>
      </c>
      <c r="C13088" s="5" t="str">
        <f>IFERROR(__xludf.DUMMYFUNCTION("GOOGLETRANSLATE(B13088,""en"",""de"")"),"Es werden verschiedene Aufnahmen eines Themenparks gezeigt, einschließlich Fahrten, die Spiele spielen, und andere Leute, die miteinander interagieren.")</f>
        <v>Es werden verschiedene Aufnahmen eines Themenparks gezeigt, einschließlich Fahrten, die Spiele spielen, und andere Leute, die miteinander interagieren.</v>
      </c>
    </row>
    <row r="13089">
      <c r="A13089" s="4" t="s">
        <v>16468</v>
      </c>
      <c r="B13089" s="4" t="s">
        <v>16470</v>
      </c>
      <c r="C13089" s="5" t="str">
        <f>IFERROR(__xludf.DUMMYFUNCTION("GOOGLETRANSLATE(B13089,""en"",""de"")"),"Zwei Männer werden dann gezeigt, wie sie in einem Gebiet mit Stoßfängerautos fahren, während sie über die Kamera lachen und andere mit der Kamera sprechen.")</f>
        <v>Zwei Männer werden dann gezeigt, wie sie in einem Gebiet mit Stoßfängerautos fahren, während sie über die Kamera lachen und andere mit der Kamera sprechen.</v>
      </c>
    </row>
    <row r="13090">
      <c r="A13090" s="4" t="s">
        <v>16468</v>
      </c>
      <c r="B13090" s="4" t="s">
        <v>16471</v>
      </c>
      <c r="C13090" s="5" t="str">
        <f>IFERROR(__xludf.DUMMYFUNCTION("GOOGLETRANSLATE(B13090,""en"",""de"")"),"Die Männer fahren weiter herum und endet mit einer Frau, die ein Cover für das Spiel herunterzieht.")</f>
        <v>Die Männer fahren weiter herum und endet mit einer Frau, die ein Cover für das Spiel herunterzieht.</v>
      </c>
    </row>
    <row r="13091">
      <c r="A13091" s="4" t="s">
        <v>16472</v>
      </c>
      <c r="B13091" s="4" t="s">
        <v>16473</v>
      </c>
      <c r="C13091" s="5" t="str">
        <f>IFERROR(__xludf.DUMMYFUNCTION("GOOGLETRANSLATE(B13091,""en"",""de"")"),"Ein Mann geht über eine Dreh- und Angelpunkt, wie aus der Sicht der Unterseite des Seils aus erscheint.")</f>
        <v>Ein Mann geht über eine Dreh- und Angelpunkt, wie aus der Sicht der Unterseite des Seils aus erscheint.</v>
      </c>
    </row>
    <row r="13092">
      <c r="A13092" s="4" t="s">
        <v>16472</v>
      </c>
      <c r="B13092" s="4" t="s">
        <v>16474</v>
      </c>
      <c r="C13092" s="5" t="str">
        <f>IFERROR(__xludf.DUMMYFUNCTION("GOOGLETRANSLATE(B13092,""en"",""de"")"),"Eine Pfanne aus dem Fluss und eine Fähre ist in Hongkong zu sehen.")</f>
        <v>Eine Pfanne aus dem Fluss und eine Fähre ist in Hongkong zu sehen.</v>
      </c>
    </row>
    <row r="13093">
      <c r="A13093" s="4" t="s">
        <v>16472</v>
      </c>
      <c r="B13093" s="4" t="s">
        <v>16475</v>
      </c>
      <c r="C13093" s="5" t="str">
        <f>IFERROR(__xludf.DUMMYFUNCTION("GOOGLETRANSLATE(B13093,""en"",""de"")"),"Ein Mann setzt eine Show an, als er in verschiedenen Positionen auf einer Drang für eine kleine Menge ausbalanciert.")</f>
        <v>Ein Mann setzt eine Show an, als er in verschiedenen Positionen auf einer Drang für eine kleine Menge ausbalanciert.</v>
      </c>
    </row>
    <row r="13094">
      <c r="A13094" s="4" t="s">
        <v>16472</v>
      </c>
      <c r="B13094" s="4" t="s">
        <v>16476</v>
      </c>
      <c r="C13094" s="5" t="str">
        <f>IFERROR(__xludf.DUMMYFUNCTION("GOOGLETRANSLATE(B13094,""en"",""de"")"),"Ein anderer Mann schließt sich ihm an, und sie balancieren, gehen und machen Push Ups.")</f>
        <v>Ein anderer Mann schließt sich ihm an, und sie balancieren, gehen und machen Push Ups.</v>
      </c>
    </row>
    <row r="13095">
      <c r="A13095" s="4" t="s">
        <v>16477</v>
      </c>
      <c r="B13095" s="4" t="s">
        <v>16478</v>
      </c>
      <c r="C13095" s="5" t="str">
        <f>IFERROR(__xludf.DUMMYFUNCTION("GOOGLETRANSLATE(B13095,""en"",""de"")"),"Eine Person geht langsam auf Eis und versucht, es zu knacken.")</f>
        <v>Eine Person geht langsam auf Eis und versucht, es zu knacken.</v>
      </c>
    </row>
    <row r="13096">
      <c r="A13096" s="4" t="s">
        <v>16477</v>
      </c>
      <c r="B13096" s="4" t="s">
        <v>16479</v>
      </c>
      <c r="C13096" s="5" t="str">
        <f>IFERROR(__xludf.DUMMYFUNCTION("GOOGLETRANSLATE(B13096,""en"",""de"")"),"Die Person machte viele mittelgroße Loch im Eis und ließ die Angelschnur tief im Wasser darunter hängen.")</f>
        <v>Die Person machte viele mittelgroße Loch im Eis und ließ die Angelschnur tief im Wasser darunter hängen.</v>
      </c>
    </row>
    <row r="13097">
      <c r="A13097" s="4" t="s">
        <v>16477</v>
      </c>
      <c r="B13097" s="4" t="s">
        <v>16480</v>
      </c>
      <c r="C13097" s="5" t="str">
        <f>IFERROR(__xludf.DUMMYFUNCTION("GOOGLETRANSLATE(B13097,""en"",""de"")"),"Die Person, die zu einem des Lochs geht und die Angelschnur überprüft, um zu sehen, ob er keinen Fisch gefangen hat.")</f>
        <v>Die Person, die zu einem des Lochs geht und die Angelschnur überprüft, um zu sehen, ob er keinen Fisch gefangen hat.</v>
      </c>
    </row>
    <row r="13098">
      <c r="A13098" s="4" t="s">
        <v>16477</v>
      </c>
      <c r="B13098" s="4" t="s">
        <v>16481</v>
      </c>
      <c r="C13098" s="5" t="str">
        <f>IFERROR(__xludf.DUMMYFUNCTION("GOOGLETRANSLATE(B13098,""en"",""de"")"),"Der Typ zieht dann hart an der Angellinie und zieht sie hinein.")</f>
        <v>Der Typ zieht dann hart an der Angellinie und zieht sie hinein.</v>
      </c>
    </row>
    <row r="13099">
      <c r="A13099" s="4" t="s">
        <v>16477</v>
      </c>
      <c r="B13099" s="4" t="s">
        <v>16482</v>
      </c>
      <c r="C13099" s="5" t="str">
        <f>IFERROR(__xludf.DUMMYFUNCTION("GOOGLETRANSLATE(B13099,""en"",""de"")"),"Schließlich benutzt er einen langen Metallhaken, um den Fisch zu hängen, den er gefangen hat, und bringt ihn aus dem Loch heraus.")</f>
        <v>Schließlich benutzt er einen langen Metallhaken, um den Fisch zu hängen, den er gefangen hat, und bringt ihn aus dem Loch heraus.</v>
      </c>
    </row>
    <row r="13100">
      <c r="A13100" s="4" t="s">
        <v>16477</v>
      </c>
      <c r="B13100" s="4" t="s">
        <v>16483</v>
      </c>
      <c r="C13100" s="5" t="str">
        <f>IFERROR(__xludf.DUMMYFUNCTION("GOOGLETRANSLATE(B13100,""en"",""de"")"),"Dann löst er den langen Haken aus und nutzt seine Werkzeuge, um den kleinen Fischereihaken aus dem Fischmund auszurichten, der den Fisch blutig bleibt.")</f>
        <v>Dann löst er den langen Haken aus und nutzt seine Werkzeuge, um den kleinen Fischereihaken aus dem Fischmund auszurichten, der den Fisch blutig bleibt.</v>
      </c>
    </row>
    <row r="13101">
      <c r="A13101" s="4" t="s">
        <v>16484</v>
      </c>
      <c r="B13101" s="4" t="s">
        <v>16485</v>
      </c>
      <c r="C13101" s="5" t="str">
        <f>IFERROR(__xludf.DUMMYFUNCTION("GOOGLETRANSLATE(B13101,""en"",""de"")"),"Das Wasserballteam steht am Pool am Pool und spricht mit der Kamera.")</f>
        <v>Das Wasserballteam steht am Pool am Pool und spricht mit der Kamera.</v>
      </c>
    </row>
    <row r="13102">
      <c r="A13102" s="4" t="s">
        <v>16484</v>
      </c>
      <c r="B13102" s="4" t="s">
        <v>16486</v>
      </c>
      <c r="C13102" s="5" t="str">
        <f>IFERROR(__xludf.DUMMYFUNCTION("GOOGLETRANSLATE(B13102,""en"",""de"")"),"Der Mensch springt ins Wasser und hält einen Ball und Sart im Pool spielt.")</f>
        <v>Der Mensch springt ins Wasser und hält einen Ball und Sart im Pool spielt.</v>
      </c>
    </row>
    <row r="13103">
      <c r="A13103" s="4" t="s">
        <v>16487</v>
      </c>
      <c r="B13103" s="4" t="s">
        <v>16488</v>
      </c>
      <c r="C13103" s="5" t="str">
        <f>IFERROR(__xludf.DUMMYFUNCTION("GOOGLETRANSLATE(B13103,""en"",""de"")"),"Ein Mann beugt sich und nimmt zwei Kesselglocken auf.")</f>
        <v>Ein Mann beugt sich und nimmt zwei Kesselglocken auf.</v>
      </c>
    </row>
    <row r="13104">
      <c r="A13104" s="4" t="s">
        <v>16487</v>
      </c>
      <c r="B13104" s="4" t="s">
        <v>16489</v>
      </c>
      <c r="C13104" s="5" t="str">
        <f>IFERROR(__xludf.DUMMYFUNCTION("GOOGLETRANSLATE(B13104,""en"",""de"")"),"Er hebt und senkt die Kesselglocken.")</f>
        <v>Er hebt und senkt die Kesselglocken.</v>
      </c>
    </row>
    <row r="13105">
      <c r="A13105" s="4" t="s">
        <v>16487</v>
      </c>
      <c r="B13105" s="4" t="s">
        <v>16490</v>
      </c>
      <c r="C13105" s="5" t="str">
        <f>IFERROR(__xludf.DUMMYFUNCTION("GOOGLETRANSLATE(B13105,""en"",""de"")"),"Er legt sie auf das Gras vor ihm.")</f>
        <v>Er legt sie auf das Gras vor ihm.</v>
      </c>
    </row>
    <row r="13106">
      <c r="A13106" s="4" t="s">
        <v>16491</v>
      </c>
      <c r="B13106" s="4" t="s">
        <v>16492</v>
      </c>
      <c r="C13106" s="5" t="str">
        <f>IFERROR(__xludf.DUMMYFUNCTION("GOOGLETRANSLATE(B13106,""en"",""de"")"),"Ein Mann steht hinter einer Bar mit mehreren gemischten Getränken.")</f>
        <v>Ein Mann steht hinter einer Bar mit mehreren gemischten Getränken.</v>
      </c>
    </row>
    <row r="13107">
      <c r="A13107" s="4" t="s">
        <v>16491</v>
      </c>
      <c r="B13107" s="4" t="s">
        <v>16493</v>
      </c>
      <c r="C13107" s="5" t="str">
        <f>IFERROR(__xludf.DUMMYFUNCTION("GOOGLETRANSLATE(B13107,""en"",""de"")"),"Er gießt Eis in ein Glas und toppt es mit verschiedenen Flüssigkeiten.")</f>
        <v>Er gießt Eis in ein Glas und toppt es mit verschiedenen Flüssigkeiten.</v>
      </c>
    </row>
    <row r="13108">
      <c r="A13108" s="4" t="s">
        <v>16491</v>
      </c>
      <c r="B13108" s="4" t="s">
        <v>16494</v>
      </c>
      <c r="C13108" s="5" t="str">
        <f>IFERROR(__xludf.DUMMYFUNCTION("GOOGLETRANSLATE(B13108,""en"",""de"")"),"Dann fügt er einen kleinen Strohhalm hinzu.")</f>
        <v>Dann fügt er einen kleinen Strohhalm hinzu.</v>
      </c>
    </row>
    <row r="13109">
      <c r="A13109" s="4" t="s">
        <v>16495</v>
      </c>
      <c r="B13109" s="4" t="s">
        <v>16496</v>
      </c>
      <c r="C13109" s="5" t="str">
        <f>IFERROR(__xludf.DUMMYFUNCTION("GOOGLETRANSLATE(B13109,""en"",""de"")"),"Ein Intro führt in Clips von Menschen, die Surfbretter sowohl auf dem Wasser als auch auf Jet -Skier reiten.")</f>
        <v>Ein Intro führt in Clips von Menschen, die Surfbretter sowohl auf dem Wasser als auch auf Jet -Skier reiten.</v>
      </c>
    </row>
    <row r="13110">
      <c r="A13110" s="4" t="s">
        <v>16495</v>
      </c>
      <c r="B13110" s="4" t="s">
        <v>16497</v>
      </c>
      <c r="C13110" s="5" t="str">
        <f>IFERROR(__xludf.DUMMYFUNCTION("GOOGLETRANSLATE(B13110,""en"",""de"")"),"Die Kamera schwenkt in der Umgebung und zeigt weiterhin mehr Klammern von Menschen, die surfen.")</f>
        <v>Die Kamera schwenkt in der Umgebung und zeigt weiterhin mehr Klammern von Menschen, die surfen.</v>
      </c>
    </row>
    <row r="13111">
      <c r="A13111" s="4" t="s">
        <v>16495</v>
      </c>
      <c r="B13111" s="4" t="s">
        <v>16498</v>
      </c>
      <c r="C13111" s="5" t="str">
        <f>IFERROR(__xludf.DUMMYFUNCTION("GOOGLETRANSLATE(B13111,""en"",""de"")"),"Eine Nahaufnahme eines Surfbrettes wird gezeigt, gefolgt von vielen weiteren Menschen, die auf dem Wasser surfen.")</f>
        <v>Eine Nahaufnahme eines Surfbrettes wird gezeigt, gefolgt von vielen weiteren Menschen, die auf dem Wasser surfen.</v>
      </c>
    </row>
    <row r="13112">
      <c r="A13112" s="4" t="s">
        <v>16499</v>
      </c>
      <c r="B13112" s="4" t="s">
        <v>16500</v>
      </c>
      <c r="C13112" s="5" t="str">
        <f>IFERROR(__xludf.DUMMYFUNCTION("GOOGLETRANSLATE(B13112,""en"",""de"")"),"Ein Bildschirm erscheint mit Fahrrad -Speichen als Hintergrund und rote Wörter mit der Aufschrift ""Überholung und Anpassung von Cup &amp; Cone Hubs"" und eine Website in Grau direkt unter den roten Worten.")</f>
        <v>Ein Bildschirm erscheint mit Fahrrad -Speichen als Hintergrund und rote Wörter mit der Aufschrift "Überholung und Anpassung von Cup &amp; Cone Hubs" und eine Website in Grau direkt unter den roten Worten.</v>
      </c>
    </row>
    <row r="13113">
      <c r="A13113" s="4" t="s">
        <v>16499</v>
      </c>
      <c r="B13113" s="4" t="s">
        <v>16501</v>
      </c>
      <c r="C13113" s="5" t="str">
        <f>IFERROR(__xludf.DUMMYFUNCTION("GOOGLETRANSLATE(B13113,""en"",""de"")"),"Ein Mann tritt dann ein und von hinten verwendet er Werkzeuge am Hub, um es auseinander zu nehmen, es gründlich zu reinigen, zu fetten, dann stellt er alles wieder zusammen und stellt sicher, dass alles eng gesichert ist.")</f>
        <v>Ein Mann tritt dann ein und von hinten verwendet er Werkzeuge am Hub, um es auseinander zu nehmen, es gründlich zu reinigen, zu fetten, dann stellt er alles wieder zusammen und stellt sicher, dass alles eng gesichert ist.</v>
      </c>
    </row>
    <row r="13114">
      <c r="A13114" s="4" t="s">
        <v>16499</v>
      </c>
      <c r="B13114" s="4" t="s">
        <v>16502</v>
      </c>
      <c r="C13114" s="5" t="str">
        <f>IFERROR(__xludf.DUMMYFUNCTION("GOOGLETRANSLATE(B13114,""en"",""de"")"),"Das Outro ist ein drehendes Rad mit schnellen Scrollwörtern, die von unten nach oben gehen, dann verblasst es schnell zu einem schwarzen Bildschirm.")</f>
        <v>Das Outro ist ein drehendes Rad mit schnellen Scrollwörtern, die von unten nach oben gehen, dann verblasst es schnell zu einem schwarzen Bildschirm.</v>
      </c>
    </row>
    <row r="13115">
      <c r="A13115" s="4" t="s">
        <v>16503</v>
      </c>
      <c r="B13115" s="4" t="s">
        <v>16504</v>
      </c>
      <c r="C13115" s="5" t="str">
        <f>IFERROR(__xludf.DUMMYFUNCTION("GOOGLETRANSLATE(B13115,""en"",""de"")"),"Für Teams spielen Sie auf einem Feld, während sie Stick halten.")</f>
        <v>Für Teams spielen Sie auf einem Feld, während sie Stick halten.</v>
      </c>
    </row>
    <row r="13116">
      <c r="A13116" s="4" t="s">
        <v>16503</v>
      </c>
      <c r="B13116" s="4" t="s">
        <v>16505</v>
      </c>
      <c r="C13116" s="5" t="str">
        <f>IFERROR(__xludf.DUMMYFUNCTION("GOOGLETRANSLATE(B13116,""en"",""de"")"),"Eine Frau steht und eine Dame spazieren auf einer Bank.")</f>
        <v>Eine Frau steht und eine Dame spazieren auf einer Bank.</v>
      </c>
    </row>
    <row r="13117">
      <c r="A13117" s="4" t="s">
        <v>16503</v>
      </c>
      <c r="B13117" s="4" t="s">
        <v>16506</v>
      </c>
      <c r="C13117" s="5" t="str">
        <f>IFERROR(__xludf.DUMMYFUNCTION("GOOGLETRANSLATE(B13117,""en"",""de"")"),"Der Schiedsrichter verlängert seinen linken Arm.")</f>
        <v>Der Schiedsrichter verlängert seinen linken Arm.</v>
      </c>
    </row>
    <row r="13118">
      <c r="A13118" s="4" t="s">
        <v>16507</v>
      </c>
      <c r="B13118" s="4" t="s">
        <v>16508</v>
      </c>
      <c r="C13118" s="5" t="str">
        <f>IFERROR(__xludf.DUMMYFUNCTION("GOOGLETRANSLATE(B13118,""en"",""de"")"),"Es werden verschiedene Aufnahmen von Werkzeugen gezeigt, die zu einem Mann führen, der sich mit einer Gitarre niederlässt.")</f>
        <v>Es werden verschiedene Aufnahmen von Werkzeugen gezeigt, die zu einem Mann führen, der sich mit einer Gitarre niederlässt.</v>
      </c>
    </row>
    <row r="13119">
      <c r="A13119" s="4" t="s">
        <v>16507</v>
      </c>
      <c r="B13119" s="4" t="s">
        <v>16509</v>
      </c>
      <c r="C13119" s="5" t="str">
        <f>IFERROR(__xludf.DUMMYFUNCTION("GOOGLETRANSLATE(B13119,""en"",""de"")"),"Der Mann strenst dann ein bisschen Gitarre und macht eine Pause.")</f>
        <v>Der Mann strenst dann ein bisschen Gitarre und macht eine Pause.</v>
      </c>
    </row>
    <row r="13120">
      <c r="A13120" s="4" t="s">
        <v>16507</v>
      </c>
      <c r="B13120" s="4" t="s">
        <v>16510</v>
      </c>
      <c r="C13120" s="5" t="str">
        <f>IFERROR(__xludf.DUMMYFUNCTION("GOOGLETRANSLATE(B13120,""en"",""de"")"),"Dann wird er wieder spielen und mehr Tools werden gezeigt.")</f>
        <v>Dann wird er wieder spielen und mehr Tools werden gezeigt.</v>
      </c>
    </row>
    <row r="13121">
      <c r="A13121" s="4" t="s">
        <v>16511</v>
      </c>
      <c r="B13121" s="4" t="s">
        <v>16512</v>
      </c>
      <c r="C13121" s="5" t="str">
        <f>IFERROR(__xludf.DUMMYFUNCTION("GOOGLETRANSLATE(B13121,""en"",""de"")"),"Mehrere Gruppen von Menschen in Booten untersuchen einen Fluss.")</f>
        <v>Mehrere Gruppen von Menschen in Booten untersuchen einen Fluss.</v>
      </c>
    </row>
    <row r="13122">
      <c r="A13122" s="4" t="s">
        <v>16511</v>
      </c>
      <c r="B13122" s="4" t="s">
        <v>16513</v>
      </c>
      <c r="C13122" s="5" t="str">
        <f>IFERROR(__xludf.DUMMYFUNCTION("GOOGLETRANSLATE(B13122,""en"",""de"")"),"Wind bläst die Bäume im Grand Canyon.")</f>
        <v>Wind bläst die Bäume im Grand Canyon.</v>
      </c>
    </row>
    <row r="13123">
      <c r="A13123" s="4" t="s">
        <v>16511</v>
      </c>
      <c r="B13123" s="4" t="s">
        <v>16514</v>
      </c>
      <c r="C13123" s="5" t="str">
        <f>IFERROR(__xludf.DUMMYFUNCTION("GOOGLETRANSLATE(B13123,""en"",""de"")"),"Eine Gruppe von Menschen auf einem weißen Boot paddelt am Wasser im Fluss.")</f>
        <v>Eine Gruppe von Menschen auf einem weißen Boot paddelt am Wasser im Fluss.</v>
      </c>
    </row>
    <row r="13124">
      <c r="A13124" s="4" t="s">
        <v>16511</v>
      </c>
      <c r="B13124" s="4" t="s">
        <v>16515</v>
      </c>
      <c r="C13124" s="5" t="str">
        <f>IFERROR(__xludf.DUMMYFUNCTION("GOOGLETRANSLATE(B13124,""en"",""de"")"),"Mehrere Gruppen kämpfen mit hohem Gewalt.")</f>
        <v>Mehrere Gruppen kämpfen mit hohem Gewalt.</v>
      </c>
    </row>
    <row r="13125">
      <c r="A13125" s="4" t="s">
        <v>16511</v>
      </c>
      <c r="B13125" s="4" t="s">
        <v>16516</v>
      </c>
      <c r="C13125" s="5" t="str">
        <f>IFERROR(__xludf.DUMMYFUNCTION("GOOGLETRANSLATE(B13125,""en"",""de"")"),"Irgendwann scheinen das gewalttätige Wasser eine der Gruppen fast zu stürzen.")</f>
        <v>Irgendwann scheinen das gewalttätige Wasser eine der Gruppen fast zu stürzen.</v>
      </c>
    </row>
    <row r="13126">
      <c r="A13126" s="4" t="s">
        <v>16511</v>
      </c>
      <c r="B13126" s="4" t="s">
        <v>16517</v>
      </c>
      <c r="C13126" s="5" t="str">
        <f>IFERROR(__xludf.DUMMYFUNCTION("GOOGLETRANSLATE(B13126,""en"",""de"")"),"Ein mutiger, einzelner Kajakfahrer paddelt im Wasser.")</f>
        <v>Ein mutiger, einzelner Kajakfahrer paddelt im Wasser.</v>
      </c>
    </row>
    <row r="13127">
      <c r="A13127" s="4" t="s">
        <v>16518</v>
      </c>
      <c r="B13127" s="4" t="s">
        <v>16519</v>
      </c>
      <c r="C13127" s="5" t="str">
        <f>IFERROR(__xludf.DUMMYFUNCTION("GOOGLETRANSLATE(B13127,""en"",""de"")"),"Ein Mann mittleren Alters steht auf der Straße mit Rollerblades.")</f>
        <v>Ein Mann mittleren Alters steht auf der Straße mit Rollerblades.</v>
      </c>
    </row>
    <row r="13128">
      <c r="A13128" s="4" t="s">
        <v>16518</v>
      </c>
      <c r="B13128" s="4" t="s">
        <v>16520</v>
      </c>
      <c r="C13128" s="5" t="str">
        <f>IFERROR(__xludf.DUMMYFUNCTION("GOOGLETRANSLATE(B13128,""en"",""de"")"),"Der Mann schlägt genau zwischen einer engen Reihe kleiner Zapfen.")</f>
        <v>Der Mann schlägt genau zwischen einer engen Reihe kleiner Zapfen.</v>
      </c>
    </row>
    <row r="13129">
      <c r="A13129" s="4" t="s">
        <v>16518</v>
      </c>
      <c r="B13129" s="4" t="s">
        <v>16521</v>
      </c>
      <c r="C13129" s="5" t="str">
        <f>IFERROR(__xludf.DUMMYFUNCTION("GOOGLETRANSLATE(B13129,""en"",""de"")"),"Der Mann macht nach Abschluss des Kurses einen Handstand und kehrt zum Anfang zurück.")</f>
        <v>Der Mann macht nach Abschluss des Kurses einen Handstand und kehrt zum Anfang zurück.</v>
      </c>
    </row>
    <row r="13130">
      <c r="A13130" s="4" t="s">
        <v>16522</v>
      </c>
      <c r="B13130" s="4" t="s">
        <v>16523</v>
      </c>
      <c r="C13130" s="5" t="str">
        <f>IFERROR(__xludf.DUMMYFUNCTION("GOOGLETRANSLATE(B13130,""en"",""de"")"),"Zwei Männer gehen mit ihren Surfbrettern am Strand entlang.")</f>
        <v>Zwei Männer gehen mit ihren Surfbrettern am Strand entlang.</v>
      </c>
    </row>
    <row r="13131">
      <c r="A13131" s="4" t="s">
        <v>16522</v>
      </c>
      <c r="B13131" s="4" t="s">
        <v>16524</v>
      </c>
      <c r="C13131" s="5" t="str">
        <f>IFERROR(__xludf.DUMMYFUNCTION("GOOGLETRANSLATE(B13131,""en"",""de"")"),"Sie betreten das Wasser und der Surfer mit der weißen Board fängt eine Welle.")</f>
        <v>Sie betreten das Wasser und der Surfer mit der weißen Board fängt eine Welle.</v>
      </c>
    </row>
    <row r="13132">
      <c r="A13132" s="4" t="s">
        <v>16522</v>
      </c>
      <c r="B13132" s="4" t="s">
        <v>16525</v>
      </c>
      <c r="C13132" s="5" t="str">
        <f>IFERROR(__xludf.DUMMYFUNCTION("GOOGLETRANSLATE(B13132,""en"",""de"")"),"White Board fängt eine weitere Welle auf, während sich das Blue Board ausscheidet, und es werden mehr Wellen von White Board gezeigt.")</f>
        <v>White Board fängt eine weitere Welle auf, während sich das Blue Board ausscheidet, und es werden mehr Wellen von White Board gezeigt.</v>
      </c>
    </row>
    <row r="13133">
      <c r="A13133" s="4" t="s">
        <v>16522</v>
      </c>
      <c r="B13133" s="4" t="s">
        <v>16526</v>
      </c>
      <c r="C13133" s="5" t="str">
        <f>IFERROR(__xludf.DUMMYFUNCTION("GOOGLETRANSLATE(B13133,""en"",""de"")"),"Der Surfer in der Blue Board fängt ein paar Wellen.")</f>
        <v>Der Surfer in der Blue Board fängt ein paar Wellen.</v>
      </c>
    </row>
    <row r="13134">
      <c r="A13134" s="4" t="s">
        <v>16522</v>
      </c>
      <c r="B13134" s="4" t="s">
        <v>16527</v>
      </c>
      <c r="C13134" s="5" t="str">
        <f>IFERROR(__xludf.DUMMYFUNCTION("GOOGLETRANSLATE(B13134,""en"",""de"")"),"Der White Board Surfer wird gezeigt, dass es über mehr Wellen gleitet, eindeutig wie ein Experte.")</f>
        <v>Der White Board Surfer wird gezeigt, dass es über mehr Wellen gleitet, eindeutig wie ein Experte.</v>
      </c>
    </row>
    <row r="13135">
      <c r="A13135" s="4" t="s">
        <v>16528</v>
      </c>
      <c r="B13135" s="4" t="s">
        <v>16529</v>
      </c>
      <c r="C13135" s="5" t="str">
        <f>IFERROR(__xludf.DUMMYFUNCTION("GOOGLETRANSLATE(B13135,""en"",""de"")"),"Eine Reihe von Bildschirmen erscheinen mit weißen und lila Wörtern in Absatzform.")</f>
        <v>Eine Reihe von Bildschirmen erscheinen mit weißen und lila Wörtern in Absatzform.</v>
      </c>
    </row>
    <row r="13136">
      <c r="A13136" s="4" t="s">
        <v>16528</v>
      </c>
      <c r="B13136" s="4" t="s">
        <v>16530</v>
      </c>
      <c r="C13136" s="5" t="str">
        <f>IFERROR(__xludf.DUMMYFUNCTION("GOOGLETRANSLATE(B13136,""en"",""de"")"),"Eine Person wird dann gezeigt, als ein Utensil zum Auto geht, der den Schnee vom Glas nimmt.")</f>
        <v>Eine Person wird dann gezeigt, als ein Utensil zum Auto geht, der den Schnee vom Glas nimmt.</v>
      </c>
    </row>
    <row r="13137">
      <c r="A13137" s="4" t="s">
        <v>16528</v>
      </c>
      <c r="B13137" s="4" t="s">
        <v>16531</v>
      </c>
      <c r="C13137" s="5" t="str">
        <f>IFERROR(__xludf.DUMMYFUNCTION("GOOGLETRANSLATE(B13137,""en"",""de"")"),"Dann erscheint ein weiterer Bildschirm mit weißen Wörtern und zeigt einen Satz und den Ort an.")</f>
        <v>Dann erscheint ein weiterer Bildschirm mit weißen Wörtern und zeigt einen Satz und den Ort an.</v>
      </c>
    </row>
    <row r="13138">
      <c r="A13138" s="4" t="s">
        <v>16532</v>
      </c>
      <c r="B13138" s="4" t="s">
        <v>16533</v>
      </c>
      <c r="C13138" s="5" t="str">
        <f>IFERROR(__xludf.DUMMYFUNCTION("GOOGLETRANSLATE(B13138,""en"",""de"")"),"Zwei Menschen stehen auf einer Matte und beginnen gegeneinander zu kämpfen.")</f>
        <v>Zwei Menschen stehen auf einer Matte und beginnen gegeneinander zu kämpfen.</v>
      </c>
    </row>
    <row r="13139">
      <c r="A13139" s="4" t="s">
        <v>16532</v>
      </c>
      <c r="B13139" s="4" t="s">
        <v>16534</v>
      </c>
      <c r="C13139" s="5" t="str">
        <f>IFERROR(__xludf.DUMMYFUNCTION("GOOGLETRANSLATE(B13139,""en"",""de"")"),"Die Männer machen einen Moment an und kämpfen weiter weiter, während die Leute nebenbei zuschauen.")</f>
        <v>Die Männer machen einen Moment an und kämpfen weiter weiter, während die Leute nebenbei zuschauen.</v>
      </c>
    </row>
    <row r="13140">
      <c r="A13140" s="4" t="s">
        <v>16532</v>
      </c>
      <c r="B13140" s="4" t="s">
        <v>16535</v>
      </c>
      <c r="C13140" s="5" t="str">
        <f>IFERROR(__xludf.DUMMYFUNCTION("GOOGLETRANSLATE(B13140,""en"",""de"")"),"Die Jungs kämpfen weiter und halten am Ende an.")</f>
        <v>Die Jungs kämpfen weiter und halten am Ende an.</v>
      </c>
    </row>
    <row r="13141">
      <c r="A13141" s="4" t="s">
        <v>16536</v>
      </c>
      <c r="B13141" s="4" t="s">
        <v>16537</v>
      </c>
      <c r="C13141" s="5" t="str">
        <f>IFERROR(__xludf.DUMMYFUNCTION("GOOGLETRANSLATE(B13141,""en"",""de"")"),"Eine Person wird gesehen, wie sie einen Wasserhahn eindringt und sich die Hände unter Wasser reiben.")</f>
        <v>Eine Person wird gesehen, wie sie einen Wasserhahn eindringt und sich die Hände unter Wasser reiben.</v>
      </c>
    </row>
    <row r="13142">
      <c r="A13142" s="4" t="s">
        <v>16536</v>
      </c>
      <c r="B13142" s="4" t="s">
        <v>16538</v>
      </c>
      <c r="C13142" s="5" t="str">
        <f>IFERROR(__xludf.DUMMYFUNCTION("GOOGLETRANSLATE(B13142,""en"",""de"")"),"Die Person schiebt Seife in ihre Hände und beobachtet, wie die Seife nach unten tropft, und schrubbt dann ihre Hände.")</f>
        <v>Die Person schiebt Seife in ihre Hände und beobachtet, wie die Seife nach unten tropft, und schrubbt dann ihre Hände.</v>
      </c>
    </row>
    <row r="13143">
      <c r="A13143" s="4" t="s">
        <v>16539</v>
      </c>
      <c r="B13143" s="4" t="s">
        <v>16540</v>
      </c>
      <c r="C13143" s="5" t="str">
        <f>IFERROR(__xludf.DUMMYFUNCTION("GOOGLETRANSLATE(B13143,""en"",""de"")"),"Es gibt eine Frau mit Handtattoo und rot bemalten Nägeln, die eine Teile im Kofferraum eines Autos befestigen und verschrauben, um den Ersatzreifen zu befestigen.")</f>
        <v>Es gibt eine Frau mit Handtattoo und rot bemalten Nägeln, die eine Teile im Kofferraum eines Autos befestigen und verschrauben, um den Ersatzreifen zu befestigen.</v>
      </c>
    </row>
    <row r="13144">
      <c r="A13144" s="4" t="s">
        <v>16539</v>
      </c>
      <c r="B13144" s="4" t="s">
        <v>16541</v>
      </c>
      <c r="C13144" s="5" t="str">
        <f>IFERROR(__xludf.DUMMYFUNCTION("GOOGLETRANSLATE(B13144,""en"",""de"")"),"Dann legt sie den Ersatzreifen in das Metallgehäuse.")</f>
        <v>Dann legt sie den Ersatzreifen in das Metallgehäuse.</v>
      </c>
    </row>
    <row r="13145">
      <c r="A13145" s="4" t="s">
        <v>16539</v>
      </c>
      <c r="B13145" s="4" t="s">
        <v>16542</v>
      </c>
      <c r="C13145" s="5" t="str">
        <f>IFERROR(__xludf.DUMMYFUNCTION("GOOGLETRANSLATE(B13145,""en"",""de"")"),"Sie nimmt das Plastik -Zifferblatt und schraubt es sicher in den Ersatzreifen in den Kofferraum.")</f>
        <v>Sie nimmt das Plastik -Zifferblatt und schraubt es sicher in den Ersatzreifen in den Kofferraum.</v>
      </c>
    </row>
    <row r="13146">
      <c r="A13146" s="4" t="s">
        <v>16539</v>
      </c>
      <c r="B13146" s="4" t="s">
        <v>16543</v>
      </c>
      <c r="C13146" s="5" t="str">
        <f>IFERROR(__xludf.DUMMYFUNCTION("GOOGLETRANSLATE(B13146,""en"",""de"")"),"Sie legt die Abdeckung über den Reifen im Kofferraum.")</f>
        <v>Sie legt die Abdeckung über den Reifen im Kofferraum.</v>
      </c>
    </row>
    <row r="13147">
      <c r="A13147" s="4" t="s">
        <v>16544</v>
      </c>
      <c r="B13147" s="4" t="s">
        <v>16545</v>
      </c>
      <c r="C13147" s="5" t="str">
        <f>IFERROR(__xludf.DUMMYFUNCTION("GOOGLETRANSLATE(B13147,""en"",""de"")"),"Es gibt viele Kinder, die von Kleinkindern bis zu Teenagern reichen, die sich auf einer Backhof -Geburtstagsfeier amüsieren.")</f>
        <v>Es gibt viele Kinder, die von Kleinkindern bis zu Teenagern reichen, die sich auf einer Backhof -Geburtstagsfeier amüsieren.</v>
      </c>
    </row>
    <row r="13148">
      <c r="A13148" s="4" t="s">
        <v>16544</v>
      </c>
      <c r="B13148" s="4" t="s">
        <v>16546</v>
      </c>
      <c r="C13148" s="5" t="str">
        <f>IFERROR(__xludf.DUMMYFUNCTION("GOOGLETRANSLATE(B13148,""en"",""de"")"),"Es gibt eine Disney -Prinzessin Piñata, die an einem Baum hängt.")</f>
        <v>Es gibt eine Disney -Prinzessin Piñata, die an einem Baum hängt.</v>
      </c>
    </row>
    <row r="13149">
      <c r="A13149" s="4" t="s">
        <v>16544</v>
      </c>
      <c r="B13149" s="4" t="s">
        <v>16547</v>
      </c>
      <c r="C13149" s="5" t="str">
        <f>IFERROR(__xludf.DUMMYFUNCTION("GOOGLETRANSLATE(B13149,""en"",""de"")"),"Die Kinder genießen es, die Piñata mit einem blauen Stock zu treffen.")</f>
        <v>Die Kinder genießen es, die Piñata mit einem blauen Stock zu treffen.</v>
      </c>
    </row>
    <row r="13150">
      <c r="A13150" s="4" t="s">
        <v>16544</v>
      </c>
      <c r="B13150" s="4" t="s">
        <v>16548</v>
      </c>
      <c r="C13150" s="5" t="str">
        <f>IFERROR(__xludf.DUMMYFUNCTION("GOOGLETRANSLATE(B13150,""en"",""de"")"),"Sie Kinder wechseln sich ab, um die Piñata zu treffen.")</f>
        <v>Sie Kinder wechseln sich ab, um die Piñata zu treffen.</v>
      </c>
    </row>
    <row r="13151">
      <c r="A13151" s="4" t="s">
        <v>16544</v>
      </c>
      <c r="B13151" s="4" t="s">
        <v>16549</v>
      </c>
      <c r="C13151" s="5" t="str">
        <f>IFERROR(__xludf.DUMMYFUNCTION("GOOGLETRANSLATE(B13151,""en"",""de"")"),"Ein kleines Mädchen, das in einem lila Rock gekleidet ist, versucht, die Piñata zu reißen, indem er sie hart mit dem Stock schlägt.")</f>
        <v>Ein kleines Mädchen, das in einem lila Rock gekleidet ist, versucht, die Piñata zu reißen, indem er sie hart mit dem Stock schlägt.</v>
      </c>
    </row>
    <row r="13152">
      <c r="A13152" s="4" t="s">
        <v>16550</v>
      </c>
      <c r="B13152" s="4" t="s">
        <v>16551</v>
      </c>
      <c r="C13152" s="5" t="str">
        <f>IFERROR(__xludf.DUMMYFUNCTION("GOOGLETRANSLATE(B13152,""en"",""de"")"),"Ein kleines Kind steht vor einem Shuffleboard -Tisch, der einen Stock hält.")</f>
        <v>Ein kleines Kind steht vor einem Shuffleboard -Tisch, der einen Stock hält.</v>
      </c>
    </row>
    <row r="13153">
      <c r="A13153" s="4" t="s">
        <v>16550</v>
      </c>
      <c r="B13153" s="4" t="s">
        <v>16552</v>
      </c>
      <c r="C13153" s="5" t="str">
        <f>IFERROR(__xludf.DUMMYFUNCTION("GOOGLETRANSLATE(B13153,""en"",""de"")"),"Der Junge schiebt dann den Puck über das Spiel.")</f>
        <v>Der Junge schiebt dann den Puck über das Spiel.</v>
      </c>
    </row>
    <row r="13154">
      <c r="A13154" s="4" t="s">
        <v>16550</v>
      </c>
      <c r="B13154" s="4" t="s">
        <v>16553</v>
      </c>
      <c r="C13154" s="5" t="str">
        <f>IFERROR(__xludf.DUMMYFUNCTION("GOOGLETRANSLATE(B13154,""en"",""de"")"),"Die Kamera folgt den Pucksbewegungen und führt zum Jungen zurück.")</f>
        <v>Die Kamera folgt den Pucksbewegungen und führt zum Jungen zurück.</v>
      </c>
    </row>
    <row r="13155">
      <c r="A13155" s="4" t="s">
        <v>16554</v>
      </c>
      <c r="B13155" s="4" t="s">
        <v>16555</v>
      </c>
      <c r="C13155" s="5" t="str">
        <f>IFERROR(__xludf.DUMMYFUNCTION("GOOGLETRANSLATE(B13155,""en"",""de"")"),"Ein Mann schlägt mit einer Fledermaus einen Ball.")</f>
        <v>Ein Mann schlägt mit einer Fledermaus einen Ball.</v>
      </c>
    </row>
    <row r="13156">
      <c r="A13156" s="4" t="s">
        <v>16554</v>
      </c>
      <c r="B13156" s="4" t="s">
        <v>16556</v>
      </c>
      <c r="C13156" s="5" t="str">
        <f>IFERROR(__xludf.DUMMYFUNCTION("GOOGLETRANSLATE(B13156,""en"",""de"")"),"Drei Männer stehen auf einem Feld.")</f>
        <v>Drei Männer stehen auf einem Feld.</v>
      </c>
    </row>
    <row r="13157">
      <c r="A13157" s="4" t="s">
        <v>16554</v>
      </c>
      <c r="B13157" s="4" t="s">
        <v>16557</v>
      </c>
      <c r="C13157" s="5" t="str">
        <f>IFERROR(__xludf.DUMMYFUNCTION("GOOGLETRANSLATE(B13157,""en"",""de"")"),"Ein Mann wirft einen Ball auf das Feld.")</f>
        <v>Ein Mann wirft einen Ball auf das Feld.</v>
      </c>
    </row>
    <row r="13158">
      <c r="A13158" s="4" t="s">
        <v>16554</v>
      </c>
      <c r="B13158" s="4" t="s">
        <v>16558</v>
      </c>
      <c r="C13158" s="5" t="str">
        <f>IFERROR(__xludf.DUMMYFUNCTION("GOOGLETRANSLATE(B13158,""en"",""de"")"),"Drei Männer drehen eine Münze.")</f>
        <v>Drei Männer drehen eine Münze.</v>
      </c>
    </row>
    <row r="13159">
      <c r="A13159" s="4" t="s">
        <v>16559</v>
      </c>
      <c r="B13159" s="4" t="s">
        <v>16560</v>
      </c>
      <c r="C13159" s="5" t="str">
        <f>IFERROR(__xludf.DUMMYFUNCTION("GOOGLETRANSLATE(B13159,""en"",""de"")"),"Eine Person spielt eine akustische Gitarre.")</f>
        <v>Eine Person spielt eine akustische Gitarre.</v>
      </c>
    </row>
    <row r="13160">
      <c r="A13160" s="4" t="s">
        <v>16559</v>
      </c>
      <c r="B13160" s="4" t="s">
        <v>16561</v>
      </c>
      <c r="C13160" s="5" t="str">
        <f>IFERROR(__xludf.DUMMYFUNCTION("GOOGLETRANSLATE(B13160,""en"",""de"")"),"Es gibt einen Weihnachtsbaum hinter ihm.")</f>
        <v>Es gibt einen Weihnachtsbaum hinter ihm.</v>
      </c>
    </row>
    <row r="13161">
      <c r="A13161" s="4" t="s">
        <v>16559</v>
      </c>
      <c r="B13161" s="4" t="s">
        <v>16562</v>
      </c>
      <c r="C13161" s="5" t="str">
        <f>IFERROR(__xludf.DUMMYFUNCTION("GOOGLETRANSLATE(B13161,""en"",""de"")"),"Ein Logo mit Wörtern kommt auf den Bildschirm.")</f>
        <v>Ein Logo mit Wörtern kommt auf den Bildschirm.</v>
      </c>
    </row>
    <row r="13162">
      <c r="A13162" s="4" t="s">
        <v>16563</v>
      </c>
      <c r="B13162" s="4" t="s">
        <v>16564</v>
      </c>
      <c r="C13162" s="5" t="str">
        <f>IFERROR(__xludf.DUMMYFUNCTION("GOOGLETRANSLATE(B13162,""en"",""de"")"),"Es werden unterschiedliche Aussichten in einer Stadt gesehen.")</f>
        <v>Es werden unterschiedliche Aussichten in einer Stadt gesehen.</v>
      </c>
    </row>
    <row r="13163">
      <c r="A13163" s="4" t="s">
        <v>16563</v>
      </c>
      <c r="B13163" s="4" t="s">
        <v>16565</v>
      </c>
      <c r="C13163" s="5" t="str">
        <f>IFERROR(__xludf.DUMMYFUNCTION("GOOGLETRANSLATE(B13163,""en"",""de"")"),"In einem großen Auditorium jubelt eine große Menge zu.")</f>
        <v>In einem großen Auditorium jubelt eine große Menge zu.</v>
      </c>
    </row>
    <row r="13164">
      <c r="A13164" s="4" t="s">
        <v>16563</v>
      </c>
      <c r="B13164" s="4" t="s">
        <v>16566</v>
      </c>
      <c r="C13164" s="5" t="str">
        <f>IFERROR(__xludf.DUMMYFUNCTION("GOOGLETRANSLATE(B13164,""en"",""de"")"),"Athleten gehen zusammen durch einen Flur, stehen dann auf Baumstämmen und hacken sie in einem Wettbewerb durch.")</f>
        <v>Athleten gehen zusammen durch einen Flur, stehen dann auf Baumstämmen und hacken sie in einem Wettbewerb durch.</v>
      </c>
    </row>
    <row r="13165">
      <c r="A13165" s="4" t="s">
        <v>16563</v>
      </c>
      <c r="B13165" s="4" t="s">
        <v>16567</v>
      </c>
      <c r="C13165" s="5" t="str">
        <f>IFERROR(__xludf.DUMMYFUNCTION("GOOGLETRANSLATE(B13165,""en"",""de"")"),"Zwei Athleten gehen durch das Tragen von grünen und orangefarbenen Trikots und sahen in einem Wettbewerb große Baumstämme durch.")</f>
        <v>Zwei Athleten gehen durch das Tragen von grünen und orangefarbenen Trikots und sahen in einem Wettbewerb große Baumstämme durch.</v>
      </c>
    </row>
    <row r="13166">
      <c r="A13166" s="4" t="s">
        <v>16563</v>
      </c>
      <c r="B13166" s="4" t="s">
        <v>16568</v>
      </c>
      <c r="C13166" s="5" t="str">
        <f>IFERROR(__xludf.DUMMYFUNCTION("GOOGLETRANSLATE(B13166,""en"",""de"")"),"Der Richter inspiziert das Protokoll und erklärt einen Gewinner für die Freude der Menge.")</f>
        <v>Der Richter inspiziert das Protokoll und erklärt einen Gewinner für die Freude der Menge.</v>
      </c>
    </row>
    <row r="13167">
      <c r="A13167" s="4" t="s">
        <v>16563</v>
      </c>
      <c r="B13167" s="4" t="s">
        <v>16569</v>
      </c>
      <c r="C13167" s="5" t="str">
        <f>IFERROR(__xludf.DUMMYFUNCTION("GOOGLETRANSLATE(B13167,""en"",""de"")"),"Zwei Athleten gehen durch einen Flur und hacken in einem Wettbewerb einen aufrechten Protokoll.")</f>
        <v>Zwei Athleten gehen durch einen Flur und hacken in einem Wettbewerb einen aufrechten Protokoll.</v>
      </c>
    </row>
    <row r="13168">
      <c r="A13168" s="4" t="s">
        <v>16563</v>
      </c>
      <c r="B13168" s="4" t="s">
        <v>16570</v>
      </c>
      <c r="C13168" s="5" t="str">
        <f>IFERROR(__xludf.DUMMYFUNCTION("GOOGLETRANSLATE(B13168,""en"",""de"")"),"Cheerleader treten durch einen Flur ein und tanzen dann auf der Bühne.")</f>
        <v>Cheerleader treten durch einen Flur ein und tanzen dann auf der Bühne.</v>
      </c>
    </row>
    <row r="13169">
      <c r="A13169" s="4" t="s">
        <v>16563</v>
      </c>
      <c r="B13169" s="4" t="s">
        <v>16571</v>
      </c>
      <c r="C13169" s="5" t="str">
        <f>IFERROR(__xludf.DUMMYFUNCTION("GOOGLETRANSLATE(B13169,""en"",""de"")"),"Zwei Athleten betreten durch einen Flur und verwenden dann eine Handsäge, um ein Protokoll zu durchschneiden.")</f>
        <v>Zwei Athleten betreten durch einen Flur und verwenden dann eine Handsäge, um ein Protokoll zu durchschneiden.</v>
      </c>
    </row>
    <row r="13170">
      <c r="A13170" s="4" t="s">
        <v>16563</v>
      </c>
      <c r="B13170" s="4" t="s">
        <v>16572</v>
      </c>
      <c r="C13170" s="5" t="str">
        <f>IFERROR(__xludf.DUMMYFUNCTION("GOOGLETRANSLATE(B13170,""en"",""de"")"),"Zwei Athleten betreten durch einen Flur und legen Boards in einen Baumstamm, um darauf zu stehen, während er ihn abhackt.")</f>
        <v>Zwei Athleten betreten durch einen Flur und legen Boards in einen Baumstamm, um darauf zu stehen, während er ihn abhackt.</v>
      </c>
    </row>
    <row r="13171">
      <c r="A13171" s="4" t="s">
        <v>16563</v>
      </c>
      <c r="B13171" s="4" t="s">
        <v>16573</v>
      </c>
      <c r="C13171" s="5" t="str">
        <f>IFERROR(__xludf.DUMMYFUNCTION("GOOGLETRANSLATE(B13171,""en"",""de"")"),"Die Athleten treten an einem Kettensägenwettbewerb teil und haben große Protokolle durchgesehen, bevor sie sich gegenseitig gratulierten.")</f>
        <v>Die Athleten treten an einem Kettensägenwettbewerb teil und haben große Protokolle durchgesehen, bevor sie sich gegenseitig gratulierten.</v>
      </c>
    </row>
    <row r="13172">
      <c r="A13172" s="4" t="s">
        <v>16563</v>
      </c>
      <c r="B13172" s="4" t="s">
        <v>16574</v>
      </c>
      <c r="C13172" s="5" t="str">
        <f>IFERROR(__xludf.DUMMYFUNCTION("GOOGLETRANSLATE(B13172,""en"",""de"")"),"Der Gewinner hält eine Trophäe zusammen mit Zweitplatzierten und die Menge jubelt.")</f>
        <v>Der Gewinner hält eine Trophäe zusammen mit Zweitplatzierten und die Menge jubelt.</v>
      </c>
    </row>
    <row r="13173">
      <c r="A13173" s="4" t="s">
        <v>16575</v>
      </c>
      <c r="B13173" s="4" t="s">
        <v>16576</v>
      </c>
      <c r="C13173" s="5" t="str">
        <f>IFERROR(__xludf.DUMMYFUNCTION("GOOGLETRANSLATE(B13173,""en"",""de"")"),"Diese 2 verschiedenen Teams laufen auf dem Feld, weil sie Shinty spielen.")</f>
        <v>Diese 2 verschiedenen Teams laufen auf dem Feld, weil sie Shinty spielen.</v>
      </c>
    </row>
    <row r="13174">
      <c r="A13174" s="4" t="s">
        <v>16575</v>
      </c>
      <c r="B13174" s="4" t="s">
        <v>16577</v>
      </c>
      <c r="C13174" s="5" t="str">
        <f>IFERROR(__xludf.DUMMYFUNCTION("GOOGLETRANSLATE(B13174,""en"",""de"")"),"Nur die Hälfte der Menge ist voller Menschen, während die andere Seite leer ist und niemand da ist, um etwas zu sehen.")</f>
        <v>Nur die Hälfte der Menge ist voller Menschen, während die andere Seite leer ist und niemand da ist, um etwas zu sehen.</v>
      </c>
    </row>
    <row r="13175">
      <c r="A13175" s="4" t="s">
        <v>16575</v>
      </c>
      <c r="B13175" s="4" t="s">
        <v>16578</v>
      </c>
      <c r="C13175" s="5" t="str">
        <f>IFERROR(__xludf.DUMMYFUNCTION("GOOGLETRANSLATE(B13175,""en"",""de"")"),"Am Ende gewinnt und jubeln Menschen in der Menge und jubeln.")</f>
        <v>Am Ende gewinnt und jubeln Menschen in der Menge und jubeln.</v>
      </c>
    </row>
    <row r="13176">
      <c r="A13176" s="4" t="s">
        <v>16579</v>
      </c>
      <c r="B13176" s="4" t="s">
        <v>16580</v>
      </c>
      <c r="C13176" s="5" t="str">
        <f>IFERROR(__xludf.DUMMYFUNCTION("GOOGLETRANSLATE(B13176,""en"",""de"")"),"Ein Mann sitzt mit einer E -Gitarre.")</f>
        <v>Ein Mann sitzt mit einer E -Gitarre.</v>
      </c>
    </row>
    <row r="13177">
      <c r="A13177" s="4" t="s">
        <v>16579</v>
      </c>
      <c r="B13177" s="4" t="s">
        <v>16581</v>
      </c>
      <c r="C13177" s="5" t="str">
        <f>IFERROR(__xludf.DUMMYFUNCTION("GOOGLETRANSLATE(B13177,""en"",""de"")"),"Er spricht mit der Kamera, dann beginnt er zu spielen.")</f>
        <v>Er spricht mit der Kamera, dann beginnt er zu spielen.</v>
      </c>
    </row>
    <row r="13178">
      <c r="A13178" s="4" t="s">
        <v>16579</v>
      </c>
      <c r="B13178" s="4" t="s">
        <v>16582</v>
      </c>
      <c r="C13178" s="5" t="str">
        <f>IFERROR(__xludf.DUMMYFUNCTION("GOOGLETRANSLATE(B13178,""en"",""de"")"),"Ein anderer Mann spielt die Akkorde auf einem Tisch.")</f>
        <v>Ein anderer Mann spielt die Akkorde auf einem Tisch.</v>
      </c>
    </row>
    <row r="13179">
      <c r="A13179" s="4" t="s">
        <v>16583</v>
      </c>
      <c r="B13179" s="4" t="s">
        <v>16584</v>
      </c>
      <c r="C13179" s="5" t="str">
        <f>IFERROR(__xludf.DUMMYFUNCTION("GOOGLETRANSLATE(B13179,""en"",""de"")"),"Eine Frau in einem Hut und eine Weste kauft einen Wagen.")</f>
        <v>Eine Frau in einem Hut und eine Weste kauft einen Wagen.</v>
      </c>
    </row>
    <row r="13180">
      <c r="A13180" s="4" t="s">
        <v>16583</v>
      </c>
      <c r="B13180" s="4" t="s">
        <v>16585</v>
      </c>
      <c r="C13180" s="5" t="str">
        <f>IFERROR(__xludf.DUMMYFUNCTION("GOOGLETRANSLATE(B13180,""en"",""de"")"),"Sie häkelt etwas Schwarz und Weißes.")</f>
        <v>Sie häkelt etwas Schwarz und Weißes.</v>
      </c>
    </row>
    <row r="13181">
      <c r="A13181" s="4" t="s">
        <v>16583</v>
      </c>
      <c r="B13181" s="4" t="s">
        <v>16586</v>
      </c>
      <c r="C13181" s="5" t="str">
        <f>IFERROR(__xludf.DUMMYFUNCTION("GOOGLETRANSLATE(B13181,""en"",""de"")"),"Ein Auto fährt am Karren.")</f>
        <v>Ein Auto fährt am Karren.</v>
      </c>
    </row>
    <row r="13182">
      <c r="A13182" s="4" t="s">
        <v>16583</v>
      </c>
      <c r="B13182" s="4" t="s">
        <v>16587</v>
      </c>
      <c r="C13182" s="5" t="str">
        <f>IFERROR(__xludf.DUMMYFUNCTION("GOOGLETRANSLATE(B13182,""en"",""de"")"),"Eine andere Person greift ins Auto.")</f>
        <v>Eine andere Person greift ins Auto.</v>
      </c>
    </row>
    <row r="13183">
      <c r="A13183" s="4" t="s">
        <v>16588</v>
      </c>
      <c r="B13183" s="4" t="s">
        <v>16589</v>
      </c>
      <c r="C13183" s="5" t="str">
        <f>IFERROR(__xludf.DUMMYFUNCTION("GOOGLETRANSLATE(B13183,""en"",""de"")"),"Eine Person, die einen Hut trägt, sitzt keine Couch.")</f>
        <v>Eine Person, die einen Hut trägt, sitzt keine Couch.</v>
      </c>
    </row>
    <row r="13184">
      <c r="A13184" s="4" t="s">
        <v>16588</v>
      </c>
      <c r="B13184" s="4" t="s">
        <v>16590</v>
      </c>
      <c r="C13184" s="5" t="str">
        <f>IFERROR(__xludf.DUMMYFUNCTION("GOOGLETRANSLATE(B13184,""en"",""de"")"),"Sie beginnen ein Akkordeon zu spielen.")</f>
        <v>Sie beginnen ein Akkordeon zu spielen.</v>
      </c>
    </row>
    <row r="13185">
      <c r="A13185" s="4" t="s">
        <v>16588</v>
      </c>
      <c r="B13185" s="4" t="s">
        <v>16591</v>
      </c>
      <c r="C13185" s="5" t="str">
        <f>IFERROR(__xludf.DUMMYFUNCTION("GOOGLETRANSLATE(B13185,""en"",""de"")"),"Sie zeigen mit einem Schraubendreher auf Knöpfe auf dem Akkordeon.")</f>
        <v>Sie zeigen mit einem Schraubendreher auf Knöpfe auf dem Akkordeon.</v>
      </c>
    </row>
    <row r="13186">
      <c r="A13186" s="4" t="s">
        <v>16592</v>
      </c>
      <c r="B13186" s="4" t="s">
        <v>16593</v>
      </c>
      <c r="C13186" s="5" t="str">
        <f>IFERROR(__xludf.DUMMYFUNCTION("GOOGLETRANSLATE(B13186,""en"",""de"")"),"Ein Turner ist zu sehen, wie es in einer Bar herumschwingt und verschiedene Flips und Tricks über zwei Strahlensets mit sich bringen.")</f>
        <v>Ein Turner ist zu sehen, wie es in einer Bar herumschwingt und verschiedene Flips und Tricks über zwei Strahlensets mit sich bringen.</v>
      </c>
    </row>
    <row r="13187">
      <c r="A13187" s="4" t="s">
        <v>16592</v>
      </c>
      <c r="B13187" s="4" t="s">
        <v>16594</v>
      </c>
      <c r="C13187" s="5" t="str">
        <f>IFERROR(__xludf.DUMMYFUNCTION("GOOGLETRANSLATE(B13187,""en"",""de"")"),"Sie dreht sich weiter und endet mit ihren Händen und ihrem Trainer klatschend.")</f>
        <v>Sie dreht sich weiter und endet mit ihren Händen und ihrem Trainer klatschend.</v>
      </c>
    </row>
    <row r="13188">
      <c r="A13188" s="4" t="s">
        <v>16592</v>
      </c>
      <c r="B13188" s="4" t="s">
        <v>16595</v>
      </c>
      <c r="C13188" s="5" t="str">
        <f>IFERROR(__xludf.DUMMYFUNCTION("GOOGLETRANSLATE(B13188,""en"",""de"")"),"Die Leute beobachten an den Seiten und ihre Punktzahlen werden am Ende gezeigt.")</f>
        <v>Die Leute beobachten an den Seiten und ihre Punktzahlen werden am Ende gezeigt.</v>
      </c>
    </row>
    <row r="13189">
      <c r="A13189" s="4" t="s">
        <v>16596</v>
      </c>
      <c r="B13189" s="4" t="s">
        <v>16597</v>
      </c>
      <c r="C13189" s="5" t="str">
        <f>IFERROR(__xludf.DUMMYFUNCTION("GOOGLETRANSLATE(B13189,""en"",""de"")"),"Es gibt zwei Schüler in der High School Cafeteria neben einem Tisch, an dem einige Schüler sitzen.")</f>
        <v>Es gibt zwei Schüler in der High School Cafeteria neben einem Tisch, an dem einige Schüler sitzen.</v>
      </c>
    </row>
    <row r="13190">
      <c r="A13190" s="4" t="s">
        <v>16596</v>
      </c>
      <c r="B13190" s="4" t="s">
        <v>16598</v>
      </c>
      <c r="C13190" s="5" t="str">
        <f>IFERROR(__xludf.DUMMYFUNCTION("GOOGLETRANSLATE(B13190,""en"",""de"")"),"Einer der Schüler zieht sich und wechselt seine Shorts, während der andere Student in einem roten Hemd ihn beobachtet.")</f>
        <v>Einer der Schüler zieht sich und wechselt seine Shorts, während der andere Student in einem roten Hemd ihn beobachtet.</v>
      </c>
    </row>
    <row r="13191">
      <c r="A13191" s="4" t="s">
        <v>16596</v>
      </c>
      <c r="B13191" s="4" t="s">
        <v>16599</v>
      </c>
      <c r="C13191" s="5" t="str">
        <f>IFERROR(__xludf.DUMMYFUNCTION("GOOGLETRANSLATE(B13191,""en"",""de"")"),"Nachdem sich der Schüler geändert hat, macht sich der Junge im roten Hemd über ihn lustig.")</f>
        <v>Nachdem sich der Schüler geändert hat, macht sich der Junge im roten Hemd über ihn lustig.</v>
      </c>
    </row>
    <row r="13192">
      <c r="A13192" s="4" t="s">
        <v>16596</v>
      </c>
      <c r="B13192" s="4" t="s">
        <v>16600</v>
      </c>
      <c r="C13192" s="5" t="str">
        <f>IFERROR(__xludf.DUMMYFUNCTION("GOOGLETRANSLATE(B13192,""en"",""de"")"),"Der Schüler wird provoziert und schlägt den Jungen in das rote Hemd in sein Gesicht, wodurch er auf den Boden auf den Boden fällt.")</f>
        <v>Der Schüler wird provoziert und schlägt den Jungen in das rote Hemd in sein Gesicht, wodurch er auf den Boden auf den Boden fällt.</v>
      </c>
    </row>
    <row r="13193">
      <c r="A13193" s="4" t="s">
        <v>16601</v>
      </c>
      <c r="B13193" s="4" t="s">
        <v>16602</v>
      </c>
      <c r="C13193" s="5" t="str">
        <f>IFERROR(__xludf.DUMMYFUNCTION("GOOGLETRANSLATE(B13193,""en"",""de"")"),"Eine Frau geht um eine Bühne herum und hält ein Saxophon.")</f>
        <v>Eine Frau geht um eine Bühne herum und hält ein Saxophon.</v>
      </c>
    </row>
    <row r="13194">
      <c r="A13194" s="4" t="s">
        <v>16601</v>
      </c>
      <c r="B13194" s="4" t="s">
        <v>16603</v>
      </c>
      <c r="C13194" s="5" t="str">
        <f>IFERROR(__xludf.DUMMYFUNCTION("GOOGLETRANSLATE(B13194,""en"",""de"")"),"Sie beginnt das Saxophon zu spielen, während sie tanzt.")</f>
        <v>Sie beginnt das Saxophon zu spielen, während sie tanzt.</v>
      </c>
    </row>
    <row r="13195">
      <c r="A13195" s="4" t="s">
        <v>16601</v>
      </c>
      <c r="B13195" s="4" t="s">
        <v>16604</v>
      </c>
      <c r="C13195" s="5" t="str">
        <f>IFERROR(__xludf.DUMMYFUNCTION("GOOGLETRANSLATE(B13195,""en"",""de"")"),"Sie bleibt stehen und spricht wieder mit der Menge.")</f>
        <v>Sie bleibt stehen und spricht wieder mit der Menge.</v>
      </c>
    </row>
    <row r="13196">
      <c r="A13196" s="4" t="s">
        <v>16601</v>
      </c>
      <c r="B13196" s="4" t="s">
        <v>16605</v>
      </c>
      <c r="C13196" s="5" t="str">
        <f>IFERROR(__xludf.DUMMYFUNCTION("GOOGLETRANSLATE(B13196,""en"",""de"")"),"Sie beginnt wieder zu spielen und zu tanzen.")</f>
        <v>Sie beginnt wieder zu spielen und zu tanzen.</v>
      </c>
    </row>
    <row r="13197">
      <c r="A13197" s="4" t="s">
        <v>16606</v>
      </c>
      <c r="B13197" s="4" t="s">
        <v>16607</v>
      </c>
      <c r="C13197" s="5" t="str">
        <f>IFERROR(__xludf.DUMMYFUNCTION("GOOGLETRANSLATE(B13197,""en"",""de"")"),"Ein Mann sitzt vor einem Tisch mit einem Rubix -Würfel und seinen Händen auf einer Plattform.")</f>
        <v>Ein Mann sitzt vor einem Tisch mit einem Rubix -Würfel und seinen Händen auf einer Plattform.</v>
      </c>
    </row>
    <row r="13198">
      <c r="A13198" s="4" t="s">
        <v>16606</v>
      </c>
      <c r="B13198" s="4" t="s">
        <v>16608</v>
      </c>
      <c r="C13198" s="5" t="str">
        <f>IFERROR(__xludf.DUMMYFUNCTION("GOOGLETRANSLATE(B13198,""en"",""de"")"),"Dann löst er den Rubix -Würfel in Sekundenschnelle und zeigt seine Zeit der Kamera.")</f>
        <v>Dann löst er den Rubix -Würfel in Sekundenschnelle und zeigt seine Zeit der Kamera.</v>
      </c>
    </row>
    <row r="13199">
      <c r="A13199" s="4" t="s">
        <v>16609</v>
      </c>
      <c r="B13199" s="4" t="s">
        <v>16610</v>
      </c>
      <c r="C13199" s="5" t="str">
        <f>IFERROR(__xludf.DUMMYFUNCTION("GOOGLETRANSLATE(B13199,""en"",""de"")"),"Dieses Mädchen macht ein Video, wie Sie Ihre weißen Schuhe funkelnd sauber werden.")</f>
        <v>Dieses Mädchen macht ein Video, wie Sie Ihre weißen Schuhe funkelnd sauber werden.</v>
      </c>
    </row>
    <row r="13200">
      <c r="A13200" s="4" t="s">
        <v>16609</v>
      </c>
      <c r="B13200" s="4" t="s">
        <v>16611</v>
      </c>
      <c r="C13200" s="5" t="str">
        <f>IFERROR(__xludf.DUMMYFUNCTION("GOOGLETRANSLATE(B13200,""en"",""de"")"),"Sie benötigen eine Zahnbürste, ein Babypuder, eine Glasbecher oder eine Schüssel, Bleichmittel und Q-Tips, Blowdryer und Wasser.")</f>
        <v>Sie benötigen eine Zahnbürste, ein Babypuder, eine Glasbecher oder eine Schüssel, Bleichmittel und Q-Tips, Blowdryer und Wasser.</v>
      </c>
    </row>
    <row r="13201">
      <c r="A13201" s="4" t="s">
        <v>16609</v>
      </c>
      <c r="B13201" s="4" t="s">
        <v>16612</v>
      </c>
      <c r="C13201" s="5" t="str">
        <f>IFERROR(__xludf.DUMMYFUNCTION("GOOGLETRANSLATE(B13201,""en"",""de"")"),"Zuerst fügt sie Wasser hinzu, das ein bisschen Babypuder in die kleine Schüssel gießt und sie mit der Zahnbürste mischt.")</f>
        <v>Zuerst fügt sie Wasser hinzu, das ein bisschen Babypuder in die kleine Schüssel gießt und sie mit der Zahnbürste mischt.</v>
      </c>
    </row>
    <row r="13202">
      <c r="A13202" s="4" t="s">
        <v>16609</v>
      </c>
      <c r="B13202" s="4" t="s">
        <v>16613</v>
      </c>
      <c r="C13202" s="5" t="str">
        <f>IFERROR(__xludf.DUMMYFUNCTION("GOOGLETRANSLATE(B13202,""en"",""de"")"),"Sie legt das babypulvergetränkte Zahnbürste auf den Schuh und fängt an, es dort zu reiben.")</f>
        <v>Sie legt das babypulvergetränkte Zahnbürste auf den Schuh und fängt an, es dort zu reiben.</v>
      </c>
    </row>
    <row r="13203">
      <c r="A13203" s="4" t="s">
        <v>16609</v>
      </c>
      <c r="B13203" s="4" t="s">
        <v>16614</v>
      </c>
      <c r="C13203" s="5" t="str">
        <f>IFERROR(__xludf.DUMMYFUNCTION("GOOGLETRANSLATE(B13203,""en"",""de"")"),"Dann greift sie nach dem Blowdryer und dem Schuh und schrubbt sie erneut.")</f>
        <v>Dann greift sie nach dem Blowdryer und dem Schuh und schrubbt sie erneut.</v>
      </c>
    </row>
    <row r="13204">
      <c r="A13204" s="4" t="s">
        <v>16609</v>
      </c>
      <c r="B13204" s="4" t="s">
        <v>16615</v>
      </c>
      <c r="C13204" s="5" t="str">
        <f>IFERROR(__xludf.DUMMYFUNCTION("GOOGLETRANSLATE(B13204,""en"",""de"")"),"Dann gießt sie Bleichmittel in die kleine Schüssel mit Babypuder und steckt die Zahnbürste in die Schüssel und reibt es wieder auf den Schuh.")</f>
        <v>Dann gießt sie Bleichmittel in die kleine Schüssel mit Babypuder und steckt die Zahnbürste in die Schüssel und reibt es wieder auf den Schuh.</v>
      </c>
    </row>
    <row r="13205">
      <c r="A13205" s="4" t="s">
        <v>16609</v>
      </c>
      <c r="B13205" s="4" t="s">
        <v>16616</v>
      </c>
      <c r="C13205" s="5" t="str">
        <f>IFERROR(__xludf.DUMMYFUNCTION("GOOGLETRANSLATE(B13205,""en"",""de"")"),"Schließlich benimmt sie ein Tuch mit Wasser und wischt den Schuh ab.")</f>
        <v>Schließlich benimmt sie ein Tuch mit Wasser und wischt den Schuh ab.</v>
      </c>
    </row>
    <row r="13206">
      <c r="A13206" s="4" t="s">
        <v>16617</v>
      </c>
      <c r="B13206" s="4" t="s">
        <v>16618</v>
      </c>
      <c r="C13206" s="5" t="str">
        <f>IFERROR(__xludf.DUMMYFUNCTION("GOOGLETRANSLATE(B13206,""en"",""de"")"),"Ein Mann und eine Frau ringen auf einem Tisch Arm.")</f>
        <v>Ein Mann und eine Frau ringen auf einem Tisch Arm.</v>
      </c>
    </row>
    <row r="13207">
      <c r="A13207" s="4" t="s">
        <v>16617</v>
      </c>
      <c r="B13207" s="4" t="s">
        <v>16619</v>
      </c>
      <c r="C13207" s="5" t="str">
        <f>IFERROR(__xludf.DUMMYFUNCTION("GOOGLETRANSLATE(B13207,""en"",""de"")"),"Eine Frau in einem weißen Hemd geht an ihnen vorbei.")</f>
        <v>Eine Frau in einem weißen Hemd geht an ihnen vorbei.</v>
      </c>
    </row>
    <row r="13208">
      <c r="A13208" s="4" t="s">
        <v>16617</v>
      </c>
      <c r="B13208" s="4" t="s">
        <v>16620</v>
      </c>
      <c r="C13208" s="5" t="str">
        <f>IFERROR(__xludf.DUMMYFUNCTION("GOOGLETRANSLATE(B13208,""en"",""de"")"),"Die Frau gewinnt und geht weg.")</f>
        <v>Die Frau gewinnt und geht weg.</v>
      </c>
    </row>
    <row r="13209">
      <c r="A13209" s="4" t="s">
        <v>16621</v>
      </c>
      <c r="B13209" s="4" t="s">
        <v>16622</v>
      </c>
      <c r="C13209" s="5" t="str">
        <f>IFERROR(__xludf.DUMMYFUNCTION("GOOGLETRANSLATE(B13209,""en"",""de"")"),"Ein durchdringender Künstler entfernt ein Gewebe aus der Nase einer Frau und wischt sich einen Teil der Nase ab.")</f>
        <v>Ein durchdringender Künstler entfernt ein Gewebe aus der Nase einer Frau und wischt sich einen Teil der Nase ab.</v>
      </c>
    </row>
    <row r="13210">
      <c r="A13210" s="4" t="s">
        <v>16621</v>
      </c>
      <c r="B13210" s="4" t="s">
        <v>16623</v>
      </c>
      <c r="C13210" s="5" t="str">
        <f>IFERROR(__xludf.DUMMYFUNCTION("GOOGLETRANSLATE(B13210,""en"",""de"")"),"Die Frau hält durch die Nase einer Frau durchdringende Zangen.")</f>
        <v>Die Frau hält durch die Nase einer Frau durchdringende Zangen.</v>
      </c>
    </row>
    <row r="13211">
      <c r="A13211" s="4" t="s">
        <v>16621</v>
      </c>
      <c r="B13211" s="4" t="s">
        <v>16624</v>
      </c>
      <c r="C13211" s="5" t="str">
        <f>IFERROR(__xludf.DUMMYFUNCTION("GOOGLETRANSLATE(B13211,""en"",""de"")"),"Sie durchbohrt eine Nadel durch die Nase und hält die Zange an Ort und Stelle.")</f>
        <v>Sie durchbohrt eine Nadel durch die Nase und hält die Zange an Ort und Stelle.</v>
      </c>
    </row>
    <row r="13212">
      <c r="A13212" s="4" t="s">
        <v>16621</v>
      </c>
      <c r="B13212" s="4" t="s">
        <v>16625</v>
      </c>
      <c r="C13212" s="5" t="str">
        <f>IFERROR(__xludf.DUMMYFUNCTION("GOOGLETRANSLATE(B13212,""en"",""de"")"),"Sie entfernt die Zange aus der Nase der Frau.")</f>
        <v>Sie entfernt die Zange aus der Nase der Frau.</v>
      </c>
    </row>
    <row r="13213">
      <c r="A13213" s="4" t="s">
        <v>16621</v>
      </c>
      <c r="B13213" s="4" t="s">
        <v>16626</v>
      </c>
      <c r="C13213" s="5" t="str">
        <f>IFERROR(__xludf.DUMMYFUNCTION("GOOGLETRANSLATE(B13213,""en"",""de"")"),"Die Frau spricht.")</f>
        <v>Die Frau spricht.</v>
      </c>
    </row>
    <row r="13214">
      <c r="A13214" s="4" t="s">
        <v>16621</v>
      </c>
      <c r="B13214" s="4" t="s">
        <v>16627</v>
      </c>
      <c r="C13214" s="5" t="str">
        <f>IFERROR(__xludf.DUMMYFUNCTION("GOOGLETRANSLATE(B13214,""en"",""de"")"),"Die durchdringende Künstlerin berührt die Nadel und die Nase, als sie einen Nasenring anschraubt.")</f>
        <v>Die durchdringende Künstlerin berührt die Nadel und die Nase, als sie einen Nasenring anschraubt.</v>
      </c>
    </row>
    <row r="13215">
      <c r="A13215" s="4" t="s">
        <v>16621</v>
      </c>
      <c r="B13215" s="4" t="s">
        <v>16628</v>
      </c>
      <c r="C13215" s="5" t="str">
        <f>IFERROR(__xludf.DUMMYFUNCTION("GOOGLETRANSLATE(B13215,""en"",""de"")"),"Die durchdringenden Künstler arrangieren das Piercing in der Nase mit etwas Zange.")</f>
        <v>Die durchdringenden Künstler arrangieren das Piercing in der Nase mit etwas Zange.</v>
      </c>
    </row>
    <row r="13216">
      <c r="A13216" s="4" t="s">
        <v>16621</v>
      </c>
      <c r="B13216" s="4" t="s">
        <v>16629</v>
      </c>
      <c r="C13216" s="5" t="str">
        <f>IFERROR(__xludf.DUMMYFUNCTION("GOOGLETRANSLATE(B13216,""en"",""de"")"),"Der durchdringende Künstler berührt das Piercing.")</f>
        <v>Der durchdringende Künstler berührt das Piercing.</v>
      </c>
    </row>
    <row r="13217">
      <c r="A13217" s="4" t="s">
        <v>16621</v>
      </c>
      <c r="B13217" s="4" t="s">
        <v>16630</v>
      </c>
      <c r="C13217" s="5" t="str">
        <f>IFERROR(__xludf.DUMMYFUNCTION("GOOGLETRANSLATE(B13217,""en"",""de"")"),"Die durchdringenden Künstler nutzen ein Gewebe, um Blut um das Piercing zu sammeln.")</f>
        <v>Die durchdringenden Künstler nutzen ein Gewebe, um Blut um das Piercing zu sammeln.</v>
      </c>
    </row>
    <row r="13218">
      <c r="A13218" s="4" t="s">
        <v>16621</v>
      </c>
      <c r="B13218" s="4" t="s">
        <v>16631</v>
      </c>
      <c r="C13218" s="5" t="str">
        <f>IFERROR(__xludf.DUMMYFUNCTION("GOOGLETRANSLATE(B13218,""en"",""de"")"),"Eine Sammlung von Kunstwerken ist an der Wand zu sehen.")</f>
        <v>Eine Sammlung von Kunstwerken ist an der Wand zu sehen.</v>
      </c>
    </row>
    <row r="13219">
      <c r="A13219" s="4" t="s">
        <v>16621</v>
      </c>
      <c r="B13219" s="4" t="s">
        <v>16632</v>
      </c>
      <c r="C13219" s="5" t="str">
        <f>IFERROR(__xludf.DUMMYFUNCTION("GOOGLETRANSLATE(B13219,""en"",""de"")"),"Der durchdringende Künstler benutzt ständig ein Gewebe, um Blut aus der Nase der Frau abzuwischen.")</f>
        <v>Der durchdringende Künstler benutzt ständig ein Gewebe, um Blut aus der Nase der Frau abzuwischen.</v>
      </c>
    </row>
    <row r="13220">
      <c r="A13220" s="4" t="s">
        <v>16621</v>
      </c>
      <c r="B13220" s="4" t="s">
        <v>16633</v>
      </c>
      <c r="C13220" s="5" t="str">
        <f>IFERROR(__xludf.DUMMYFUNCTION("GOOGLETRANSLATE(B13220,""en"",""de"")"),"Die Frau steht auf und winkt.")</f>
        <v>Die Frau steht auf und winkt.</v>
      </c>
    </row>
    <row r="13221">
      <c r="A13221" s="4" t="s">
        <v>16634</v>
      </c>
      <c r="B13221" s="4" t="s">
        <v>16635</v>
      </c>
      <c r="C13221" s="5" t="str">
        <f>IFERROR(__xludf.DUMMYFUNCTION("GOOGLETRANSLATE(B13221,""en"",""de"")"),"Wir sehen ein Buch auf einem Tisch.")</f>
        <v>Wir sehen ein Buch auf einem Tisch.</v>
      </c>
    </row>
    <row r="13222">
      <c r="A13222" s="4" t="s">
        <v>16634</v>
      </c>
      <c r="B13222" s="4" t="s">
        <v>16636</v>
      </c>
      <c r="C13222" s="5" t="str">
        <f>IFERROR(__xludf.DUMMYFUNCTION("GOOGLETRANSLATE(B13222,""en"",""de"")"),"Wir sehen Bild im Buch mit Videos von Leuten, die stricken.")</f>
        <v>Wir sehen Bild im Buch mit Videos von Leuten, die stricken.</v>
      </c>
    </row>
    <row r="13223">
      <c r="A13223" s="4" t="s">
        <v>16634</v>
      </c>
      <c r="B13223" s="4" t="s">
        <v>16637</v>
      </c>
      <c r="C13223" s="5" t="str">
        <f>IFERROR(__xludf.DUMMYFUNCTION("GOOGLETRANSLATE(B13223,""en"",""de"")"),"Wir sehen eine Dame, die zwei Mädchen unterrichtet.")</f>
        <v>Wir sehen eine Dame, die zwei Mädchen unterrichtet.</v>
      </c>
    </row>
    <row r="13224">
      <c r="A13224" s="4" t="s">
        <v>16634</v>
      </c>
      <c r="B13224" s="4" t="s">
        <v>16638</v>
      </c>
      <c r="C13224" s="5" t="str">
        <f>IFERROR(__xludf.DUMMYFUNCTION("GOOGLETRANSLATE(B13224,""en"",""de"")"),"Wir sehen einen Lehrer, der einen Jungen zum Stricken lehrt.")</f>
        <v>Wir sehen einen Lehrer, der einen Jungen zum Stricken lehrt.</v>
      </c>
    </row>
    <row r="13225">
      <c r="A13225" s="4" t="s">
        <v>16634</v>
      </c>
      <c r="B13225" s="4" t="s">
        <v>16639</v>
      </c>
      <c r="C13225" s="5" t="str">
        <f>IFERROR(__xludf.DUMMYFUNCTION("GOOGLETRANSLATE(B13225,""en"",""de"")"),"Wir sehen eine Dame, die eine Gruppe von Kindern zum Stricken unterrichtet.")</f>
        <v>Wir sehen eine Dame, die eine Gruppe von Kindern zum Stricken unterrichtet.</v>
      </c>
    </row>
    <row r="13226">
      <c r="A13226" s="4" t="s">
        <v>16634</v>
      </c>
      <c r="B13226" s="4" t="s">
        <v>7242</v>
      </c>
      <c r="C13226" s="5" t="str">
        <f>IFERROR(__xludf.DUMMYFUNCTION("GOOGLETRANSLATE(B13226,""en"",""de"")"),"Wir sehen dann den Abschlussbildschirm.")</f>
        <v>Wir sehen dann den Abschlussbildschirm.</v>
      </c>
    </row>
    <row r="13227">
      <c r="A13227" s="4" t="s">
        <v>16640</v>
      </c>
      <c r="B13227" s="4" t="s">
        <v>16641</v>
      </c>
      <c r="C13227" s="5" t="str">
        <f>IFERROR(__xludf.DUMMYFUNCTION("GOOGLETRANSLATE(B13227,""en"",""de"")"),"Eine Gruppe von Kindern befindet sich in Stoßfänger.")</f>
        <v>Eine Gruppe von Kindern befindet sich in Stoßfänger.</v>
      </c>
    </row>
    <row r="13228">
      <c r="A13228" s="4" t="s">
        <v>16640</v>
      </c>
      <c r="B13228" s="4" t="s">
        <v>16642</v>
      </c>
      <c r="C13228" s="5" t="str">
        <f>IFERROR(__xludf.DUMMYFUNCTION("GOOGLETRANSLATE(B13228,""en"",""de"")"),"Sie fahren herum und versuchen, sich gegenseitig zu schlagen.")</f>
        <v>Sie fahren herum und versuchen, sich gegenseitig zu schlagen.</v>
      </c>
    </row>
    <row r="13229">
      <c r="A13229" s="4" t="s">
        <v>16640</v>
      </c>
      <c r="B13229" s="4" t="s">
        <v>16643</v>
      </c>
      <c r="C13229" s="5" t="str">
        <f>IFERROR(__xludf.DUMMYFUNCTION("GOOGLETRANSLATE(B13229,""en"",""de"")"),"Sie stoßen auf die anderen Autos, während sie gehen.")</f>
        <v>Sie stoßen auf die anderen Autos, während sie gehen.</v>
      </c>
    </row>
    <row r="13230">
      <c r="A13230" s="4" t="s">
        <v>16644</v>
      </c>
      <c r="B13230" s="4" t="s">
        <v>16645</v>
      </c>
      <c r="C13230" s="5" t="str">
        <f>IFERROR(__xludf.DUMMYFUNCTION("GOOGLETRANSLATE(B13230,""en"",""de"")"),"Ein Mann steht in einem großen Feld, das sich an einem Werkzeug festhält.")</f>
        <v>Ein Mann steht in einem großen Feld, das sich an einem Werkzeug festhält.</v>
      </c>
    </row>
    <row r="13231">
      <c r="A13231" s="4" t="s">
        <v>16644</v>
      </c>
      <c r="B13231" s="4" t="s">
        <v>16646</v>
      </c>
      <c r="C13231" s="5" t="str">
        <f>IFERROR(__xludf.DUMMYFUNCTION("GOOGLETRANSLATE(B13231,""en"",""de"")"),"Der Mann benutzt das Werkzeug dann schnell auf dem Gras in der Schriftart von ihm.")</f>
        <v>Der Mann benutzt das Werkzeug dann schnell auf dem Gras in der Schriftart von ihm.</v>
      </c>
    </row>
    <row r="13232">
      <c r="A13232" s="4" t="s">
        <v>16644</v>
      </c>
      <c r="B13232" s="4" t="s">
        <v>16647</v>
      </c>
      <c r="C13232" s="5" t="str">
        <f>IFERROR(__xludf.DUMMYFUNCTION("GOOGLETRANSLATE(B13232,""en"",""de"")"),"Der Mann schneidet das Gras weiter, während die Kamera seine Bewegung einfängt.")</f>
        <v>Der Mann schneidet das Gras weiter, während die Kamera seine Bewegung einfängt.</v>
      </c>
    </row>
    <row r="13233">
      <c r="A13233" s="4" t="s">
        <v>16648</v>
      </c>
      <c r="B13233" s="4" t="s">
        <v>16649</v>
      </c>
      <c r="C13233" s="5" t="str">
        <f>IFERROR(__xludf.DUMMYFUNCTION("GOOGLETRANSLATE(B13233,""en"",""de"")"),"Ein Mann spaltet Hartholz für den Einsatz in Holzöfen.")</f>
        <v>Ein Mann spaltet Hartholz für den Einsatz in Holzöfen.</v>
      </c>
    </row>
    <row r="13234">
      <c r="A13234" s="4" t="s">
        <v>16648</v>
      </c>
      <c r="B13234" s="4" t="s">
        <v>16650</v>
      </c>
      <c r="C13234" s="5" t="str">
        <f>IFERROR(__xludf.DUMMYFUNCTION("GOOGLETRANSLATE(B13234,""en"",""de"")"),"Es werden zwei Techniken verwendet, eine mit einer Axt und eine mit Hammer und Axt.")</f>
        <v>Es werden zwei Techniken verwendet, eine mit einer Axt und eine mit Hammer und Axt.</v>
      </c>
    </row>
    <row r="13235">
      <c r="A13235" s="4" t="s">
        <v>16651</v>
      </c>
      <c r="B13235" s="4" t="s">
        <v>16652</v>
      </c>
      <c r="C13235" s="5" t="str">
        <f>IFERROR(__xludf.DUMMYFUNCTION("GOOGLETRANSLATE(B13235,""en"",""de"")"),"Zuerst setzt der Mann seinen Timer, der an seiner Brust befestigt ist, und setzt sich hin und legt sein Bein auf den Ski.")</f>
        <v>Zuerst setzt der Mann seinen Timer, der an seiner Brust befestigt ist, und setzt sich hin und legt sein Bein auf den Ski.</v>
      </c>
    </row>
    <row r="13236">
      <c r="A13236" s="4" t="s">
        <v>16651</v>
      </c>
      <c r="B13236" s="4" t="s">
        <v>16653</v>
      </c>
      <c r="C13236" s="5" t="str">
        <f>IFERROR(__xludf.DUMMYFUNCTION("GOOGLETRANSLATE(B13236,""en"",""de"")"),"Als nächstes steht er auf, während er sich an etwas festhält, und er beginnt mit Wasser Ski zu fahren, als er vom Boot gezogen wird.")</f>
        <v>Als nächstes steht er auf, während er sich an etwas festhält, und er beginnt mit Wasser Ski zu fahren, als er vom Boot gezogen wird.</v>
      </c>
    </row>
    <row r="13237">
      <c r="A13237" s="4" t="s">
        <v>16651</v>
      </c>
      <c r="B13237" s="4" t="s">
        <v>16654</v>
      </c>
      <c r="C13237" s="5" t="str">
        <f>IFERROR(__xludf.DUMMYFUNCTION("GOOGLETRANSLATE(B13237,""en"",""de"")"),"Aber er fällt schließlich ab und sieht im Wasser stehen.")</f>
        <v>Aber er fällt schließlich ab und sieht im Wasser stehen.</v>
      </c>
    </row>
    <row r="13238">
      <c r="A13238" s="4" t="s">
        <v>16655</v>
      </c>
      <c r="B13238" s="4" t="s">
        <v>16656</v>
      </c>
      <c r="C13238" s="5" t="str">
        <f>IFERROR(__xludf.DUMMYFUNCTION("GOOGLETRANSLATE(B13238,""en"",""de"")"),"Eine Frau trainiert auf einer Maschine.")</f>
        <v>Eine Frau trainiert auf einer Maschine.</v>
      </c>
    </row>
    <row r="13239">
      <c r="A13239" s="4" t="s">
        <v>16655</v>
      </c>
      <c r="B13239" s="4" t="s">
        <v>16657</v>
      </c>
      <c r="C13239" s="5" t="str">
        <f>IFERROR(__xludf.DUMMYFUNCTION("GOOGLETRANSLATE(B13239,""en"",""de"")"),"Die Kamera konzentriert sich auf und verfügt über bestimmte Teile der Maschine.")</f>
        <v>Die Kamera konzentriert sich auf und verfügt über bestimmte Teile der Maschine.</v>
      </c>
    </row>
    <row r="13240">
      <c r="A13240" s="4" t="s">
        <v>16655</v>
      </c>
      <c r="B13240" s="4" t="s">
        <v>16658</v>
      </c>
      <c r="C13240" s="5" t="str">
        <f>IFERROR(__xludf.DUMMYFUNCTION("GOOGLETRANSLATE(B13240,""en"",""de"")"),"Die Frau demonstriert das Falten der Maschine zur Aufbewahrung.")</f>
        <v>Die Frau demonstriert das Falten der Maschine zur Aufbewahrung.</v>
      </c>
    </row>
    <row r="13241">
      <c r="A13241" s="4" t="s">
        <v>16655</v>
      </c>
      <c r="B13241" s="4" t="s">
        <v>16659</v>
      </c>
      <c r="C13241" s="5" t="str">
        <f>IFERROR(__xludf.DUMMYFUNCTION("GOOGLETRANSLATE(B13241,""en"",""de"")"),"Die Frau trainiert weiter auf der Maschine.")</f>
        <v>Die Frau trainiert weiter auf der Maschine.</v>
      </c>
    </row>
    <row r="13242">
      <c r="A13242" s="4" t="s">
        <v>16660</v>
      </c>
      <c r="B13242" s="4" t="s">
        <v>16661</v>
      </c>
      <c r="C13242" s="5" t="str">
        <f>IFERROR(__xludf.DUMMYFUNCTION("GOOGLETRANSLATE(B13242,""en"",""de"")"),"Eine Gruppe von Männern sitzt draußen in einem Brunnen und spielt ein seltsam gezeichnetes Hopscotch.")</f>
        <v>Eine Gruppe von Männern sitzt draußen in einem Brunnen und spielt ein seltsam gezeichnetes Hopscotch.</v>
      </c>
    </row>
    <row r="13243">
      <c r="A13243" s="4" t="s">
        <v>16660</v>
      </c>
      <c r="B13243" s="4" t="s">
        <v>16662</v>
      </c>
      <c r="C13243" s="5" t="str">
        <f>IFERROR(__xludf.DUMMYFUNCTION("GOOGLETRANSLATE(B13243,""en"",""de"")"),"Ein Junge nimmt an der Reihe und dann alle beginnen wieder zu reden.")</f>
        <v>Ein Junge nimmt an der Reihe und dann alle beginnen wieder zu reden.</v>
      </c>
    </row>
    <row r="13244">
      <c r="A13244" s="4" t="s">
        <v>16660</v>
      </c>
      <c r="B13244" s="4" t="s">
        <v>16663</v>
      </c>
      <c r="C13244" s="5" t="str">
        <f>IFERROR(__xludf.DUMMYFUNCTION("GOOGLETRANSLATE(B13244,""en"",""de"")"),"Als nächstes versucht ein Junge, über die Ziegel zu springen, fällt aber am Ende.")</f>
        <v>Als nächstes versucht ein Junge, über die Ziegel zu springen, fällt aber am Ende.</v>
      </c>
    </row>
    <row r="13245">
      <c r="A13245" s="4" t="s">
        <v>16660</v>
      </c>
      <c r="B13245" s="4" t="s">
        <v>16664</v>
      </c>
      <c r="C13245" s="5" t="str">
        <f>IFERROR(__xludf.DUMMYFUNCTION("GOOGLETRANSLATE(B13245,""en"",""de"")"),"Ein anderer Junge springt ihm nach und er ist erfolgreich.")</f>
        <v>Ein anderer Junge springt ihm nach und er ist erfolgreich.</v>
      </c>
    </row>
    <row r="13246">
      <c r="A13246" s="4" t="s">
        <v>16660</v>
      </c>
      <c r="B13246" s="4" t="s">
        <v>16665</v>
      </c>
      <c r="C13246" s="5" t="str">
        <f>IFERROR(__xludf.DUMMYFUNCTION("GOOGLETRANSLATE(B13246,""en"",""de"")"),"Der nächste Junge springt jedoch und muss auf einem Fuß stehen und alle hinter ihm geworfenen Stücke sammeln.")</f>
        <v>Der nächste Junge springt jedoch und muss auf einem Fuß stehen und alle hinter ihm geworfenen Stücke sammeln.</v>
      </c>
    </row>
    <row r="13247">
      <c r="A13247" s="4" t="s">
        <v>16666</v>
      </c>
      <c r="B13247" s="4" t="s">
        <v>16667</v>
      </c>
      <c r="C13247" s="5" t="str">
        <f>IFERROR(__xludf.DUMMYFUNCTION("GOOGLETRANSLATE(B13247,""en"",""de"")"),"Ein Mann spricht mit der Kamera und führt in ihn ein Werkzeug und zeigt auf mehrere Büsche.")</f>
        <v>Ein Mann spricht mit der Kamera und führt in ihn ein Werkzeug und zeigt auf mehrere Büsche.</v>
      </c>
    </row>
    <row r="13248">
      <c r="A13248" s="4" t="s">
        <v>16666</v>
      </c>
      <c r="B13248" s="4" t="s">
        <v>16668</v>
      </c>
      <c r="C13248" s="5" t="str">
        <f>IFERROR(__xludf.DUMMYFUNCTION("GOOGLETRANSLATE(B13248,""en"",""de"")"),"Der Mann zieht dann den Busch entlang, während er anhält, um mit der Kamera zu sprechen und das Werkzeug hochzuhalten.")</f>
        <v>Der Mann zieht dann den Busch entlang, während er anhält, um mit der Kamera zu sprechen und das Werkzeug hochzuhalten.</v>
      </c>
    </row>
    <row r="13249">
      <c r="A13249" s="4" t="s">
        <v>16669</v>
      </c>
      <c r="B13249" s="4" t="s">
        <v>16670</v>
      </c>
      <c r="C13249" s="5" t="str">
        <f>IFERROR(__xludf.DUMMYFUNCTION("GOOGLETRANSLATE(B13249,""en"",""de"")"),"Ein Turner steht auf einem Strahl und beginnt mit der Durchführung von Gymnastikzügen auf dem Strahl.")</f>
        <v>Ein Turner steht auf einem Strahl und beginnt mit der Durchführung von Gymnastikzügen auf dem Strahl.</v>
      </c>
    </row>
    <row r="13250">
      <c r="A13250" s="4" t="s">
        <v>16669</v>
      </c>
      <c r="B13250" s="4" t="s">
        <v>16671</v>
      </c>
      <c r="C13250" s="5" t="str">
        <f>IFERROR(__xludf.DUMMYFUNCTION("GOOGLETRANSLATE(B13250,""en"",""de"")"),"Das Mädchen dreht sich und dreht sich entlang des Strahls um, während die Kamera ihre Bewegungen einfängt.")</f>
        <v>Das Mädchen dreht sich und dreht sich entlang des Strahls um, während die Kamera ihre Bewegungen einfängt.</v>
      </c>
    </row>
    <row r="13251">
      <c r="A13251" s="4" t="s">
        <v>16669</v>
      </c>
      <c r="B13251" s="4" t="s">
        <v>16672</v>
      </c>
      <c r="C13251" s="5" t="str">
        <f>IFERROR(__xludf.DUMMYFUNCTION("GOOGLETRANSLATE(B13251,""en"",""de"")"),"Sie beendet ihre Routine, springt aber mit ihren Armen von der Seite hinauf und geht weg.")</f>
        <v>Sie beendet ihre Routine, springt aber mit ihren Armen von der Seite hinauf und geht weg.</v>
      </c>
    </row>
    <row r="13252">
      <c r="A13252" s="4" t="s">
        <v>16673</v>
      </c>
      <c r="B13252" s="4" t="s">
        <v>16674</v>
      </c>
      <c r="C13252" s="5" t="str">
        <f>IFERROR(__xludf.DUMMYFUNCTION("GOOGLETRANSLATE(B13252,""en"",""de"")"),"Zwei Männer gehen in einem Hof ​​am Grill zum Fass und die Männer greifen beide nach dem letzten Bier im Fass.")</f>
        <v>Zwei Männer gehen in einem Hof ​​am Grill zum Fass und die Männer greifen beide nach dem letzten Bier im Fass.</v>
      </c>
    </row>
    <row r="13253">
      <c r="A13253" s="4" t="s">
        <v>16673</v>
      </c>
      <c r="B13253" s="4" t="s">
        <v>16675</v>
      </c>
      <c r="C13253" s="5" t="str">
        <f>IFERROR(__xludf.DUMMYFUNCTION("GOOGLETRANSLATE(B13253,""en"",""de"")"),"Die Männer machen Felspapierschere und der rechte Mann schlägt mit einem Felsen die linke, nimmt das Bier und geht ab.")</f>
        <v>Die Männer machen Felspapierschere und der rechte Mann schlägt mit einem Felsen die linke, nimmt das Bier und geht ab.</v>
      </c>
    </row>
    <row r="13254">
      <c r="A13254" s="4" t="s">
        <v>16673</v>
      </c>
      <c r="B13254" s="4" t="s">
        <v>16676</v>
      </c>
      <c r="C13254" s="5" t="str">
        <f>IFERROR(__xludf.DUMMYFUNCTION("GOOGLETRANSLATE(B13254,""en"",""de"")"),"Wir sehen ein Bier in ein Glas gegossen.")</f>
        <v>Wir sehen ein Bier in ein Glas gegossen.</v>
      </c>
    </row>
    <row r="13255">
      <c r="A13255" s="4" t="s">
        <v>16673</v>
      </c>
      <c r="B13255" s="4" t="s">
        <v>16677</v>
      </c>
      <c r="C13255" s="5" t="str">
        <f>IFERROR(__xludf.DUMMYFUNCTION("GOOGLETRANSLATE(B13255,""en"",""de"")"),"Wir sehen den verletzten Mann mit seiner Hand hoch und ein Mann geht vorbei und gibt ihm eine hohe fünf.")</f>
        <v>Wir sehen den verletzten Mann mit seiner Hand hoch und ein Mann geht vorbei und gibt ihm eine hohe fünf.</v>
      </c>
    </row>
    <row r="13256">
      <c r="A13256" s="4" t="s">
        <v>16678</v>
      </c>
      <c r="B13256" s="4" t="s">
        <v>16679</v>
      </c>
      <c r="C13256" s="5" t="str">
        <f>IFERROR(__xludf.DUMMYFUNCTION("GOOGLETRANSLATE(B13256,""en"",""de"")"),"Ein Mann spricht mit der Kamera vor einem großen Anhänger in der Stimmung.")</f>
        <v>Ein Mann spricht mit der Kamera vor einem großen Anhänger in der Stimmung.</v>
      </c>
    </row>
    <row r="13257">
      <c r="A13257" s="4" t="s">
        <v>16678</v>
      </c>
      <c r="B13257" s="4" t="s">
        <v>16680</v>
      </c>
      <c r="C13257" s="5" t="str">
        <f>IFERROR(__xludf.DUMMYFUNCTION("GOOGLETRANSLATE(B13257,""en"",""de"")"),"Der Mann wird dann über ein Feuer knien und beginnt eine Flamme in eine Grube anzuzünden.")</f>
        <v>Der Mann wird dann über ein Feuer knien und beginnt eine Flamme in eine Grube anzuzünden.</v>
      </c>
    </row>
    <row r="13258">
      <c r="A13258" s="4" t="s">
        <v>16678</v>
      </c>
      <c r="B13258" s="4" t="s">
        <v>16681</v>
      </c>
      <c r="C13258" s="5" t="str">
        <f>IFERROR(__xludf.DUMMYFUNCTION("GOOGLETRANSLATE(B13258,""en"",""de"")"),"Ein Junge ist mit einem Tennisschläger herumzulaufen und zeigt auf den Boden, während der Mann noch vor dem Feuer sitzt.")</f>
        <v>Ein Junge ist mit einem Tennisschläger herumzulaufen und zeigt auf den Boden, während der Mann noch vor dem Feuer sitzt.</v>
      </c>
    </row>
    <row r="13259">
      <c r="A13259" s="4" t="s">
        <v>16682</v>
      </c>
      <c r="B13259" s="4" t="s">
        <v>16683</v>
      </c>
      <c r="C13259" s="5" t="str">
        <f>IFERROR(__xludf.DUMMYFUNCTION("GOOGLETRANSLATE(B13259,""en"",""de"")"),"Ein Intro führt in mehrere Clips verschiedener Athleten, die Schusswurst in einem Kreis durchführen.")</f>
        <v>Ein Intro führt in mehrere Clips verschiedener Athleten, die Schusswurst in einem Kreis durchführen.</v>
      </c>
    </row>
    <row r="13260">
      <c r="A13260" s="4" t="s">
        <v>16682</v>
      </c>
      <c r="B13260" s="4" t="s">
        <v>16684</v>
      </c>
      <c r="C13260" s="5" t="str">
        <f>IFERROR(__xludf.DUMMYFUNCTION("GOOGLETRANSLATE(B13260,""en"",""de"")"),"Weitere Männer steigen weiter und werfen das Objekt, während viele am Rande zuschauen.")</f>
        <v>Weitere Männer steigen weiter und werfen das Objekt, während viele am Rande zuschauen.</v>
      </c>
    </row>
    <row r="13261">
      <c r="A13261" s="4" t="s">
        <v>16685</v>
      </c>
      <c r="B13261" s="4" t="s">
        <v>16686</v>
      </c>
      <c r="C13261" s="5" t="str">
        <f>IFERROR(__xludf.DUMMYFUNCTION("GOOGLETRANSLATE(B13261,""en"",""de"")"),"Ein jugendliches Mädchen sitzt auf dem Boden und hält einen Schuh.")</f>
        <v>Ein jugendliches Mädchen sitzt auf dem Boden und hält einen Schuh.</v>
      </c>
    </row>
    <row r="13262">
      <c r="A13262" s="4" t="s">
        <v>16685</v>
      </c>
      <c r="B13262" s="4" t="s">
        <v>16687</v>
      </c>
      <c r="C13262" s="5" t="str">
        <f>IFERROR(__xludf.DUMMYFUNCTION("GOOGLETRANSLATE(B13262,""en"",""de"")"),"Sie wird dann gezeigt, dass sie den Schuh mit einer Reinigungslösung abweist.")</f>
        <v>Sie wird dann gezeigt, dass sie den Schuh mit einer Reinigungslösung abweist.</v>
      </c>
    </row>
    <row r="13263">
      <c r="A13263" s="4" t="s">
        <v>16685</v>
      </c>
      <c r="B13263" s="4" t="s">
        <v>16688</v>
      </c>
      <c r="C13263" s="5" t="str">
        <f>IFERROR(__xludf.DUMMYFUNCTION("GOOGLETRANSLATE(B13263,""en"",""de"")"),"Sie zeigt den Schuh, nachdem sie fertig ist.")</f>
        <v>Sie zeigt den Schuh, nachdem sie fertig ist.</v>
      </c>
    </row>
    <row r="13264">
      <c r="A13264" s="4" t="s">
        <v>16689</v>
      </c>
      <c r="B13264" s="4" t="s">
        <v>16690</v>
      </c>
      <c r="C13264" s="5" t="str">
        <f>IFERROR(__xludf.DUMMYFUNCTION("GOOGLETRANSLATE(B13264,""en"",""de"")"),"Ein Mann steht außerhalb eines großen Fensters und beginnt es mit einem langen Stock zu reinigen.")</f>
        <v>Ein Mann steht außerhalb eines großen Fensters und beginnt es mit einem langen Stock zu reinigen.</v>
      </c>
    </row>
    <row r="13265">
      <c r="A13265" s="4" t="s">
        <v>16689</v>
      </c>
      <c r="B13265" s="4" t="s">
        <v>16691</v>
      </c>
      <c r="C13265" s="5" t="str">
        <f>IFERROR(__xludf.DUMMYFUNCTION("GOOGLETRANSLATE(B13265,""en"",""de"")"),"Eines Fenster ist nass, er nimmt den Rasierer wie Stock und zieht ihn auf und ab und holt das Wasser aus.")</f>
        <v>Eines Fenster ist nass, er nimmt den Rasierer wie Stock und zieht ihn auf und ab und holt das Wasser aus.</v>
      </c>
    </row>
    <row r="13266">
      <c r="A13266" s="4" t="s">
        <v>16689</v>
      </c>
      <c r="B13266" s="4" t="s">
        <v>16692</v>
      </c>
      <c r="C13266" s="5" t="str">
        <f>IFERROR(__xludf.DUMMYFUNCTION("GOOGLETRANSLATE(B13266,""en"",""de"")"),"Nachdem die beiden oberen Fenster abgeschlossen sind, lässt er die beiden anderen unberührt und geht weg.")</f>
        <v>Nachdem die beiden oberen Fenster abgeschlossen sind, lässt er die beiden anderen unberührt und geht weg.</v>
      </c>
    </row>
    <row r="13267">
      <c r="A13267" s="4" t="s">
        <v>16693</v>
      </c>
      <c r="B13267" s="4" t="s">
        <v>16694</v>
      </c>
      <c r="C13267" s="5" t="str">
        <f>IFERROR(__xludf.DUMMYFUNCTION("GOOGLETRANSLATE(B13267,""en"",""de"")"),"Ein Mann biegt an den Knien vor einer Langhantel.")</f>
        <v>Ein Mann biegt an den Knien vor einer Langhantel.</v>
      </c>
    </row>
    <row r="13268">
      <c r="A13268" s="4" t="s">
        <v>16693</v>
      </c>
      <c r="B13268" s="4" t="s">
        <v>16695</v>
      </c>
      <c r="C13268" s="5" t="str">
        <f>IFERROR(__xludf.DUMMYFUNCTION("GOOGLETRANSLATE(B13268,""en"",""de"")"),"Er hebt es langsam und bringt es an seine Brust.")</f>
        <v>Er hebt es langsam und bringt es an seine Brust.</v>
      </c>
    </row>
    <row r="13269">
      <c r="A13269" s="4" t="s">
        <v>16693</v>
      </c>
      <c r="B13269" s="4" t="s">
        <v>16696</v>
      </c>
      <c r="C13269" s="5" t="str">
        <f>IFERROR(__xludf.DUMMYFUNCTION("GOOGLETRANSLATE(B13269,""en"",""de"")"),"Er macht eine Pause und hebt ihn dann über seinen Kopf, bevor er es wieder auf den Boden fallen lässt.")</f>
        <v>Er macht eine Pause und hebt ihn dann über seinen Kopf, bevor er es wieder auf den Boden fallen lässt.</v>
      </c>
    </row>
    <row r="13270">
      <c r="A13270" s="4" t="s">
        <v>16697</v>
      </c>
      <c r="B13270" s="4" t="s">
        <v>16698</v>
      </c>
      <c r="C13270" s="5" t="str">
        <f>IFERROR(__xludf.DUMMYFUNCTION("GOOGLETRANSLATE(B13270,""en"",""de"")"),"Ein Mann steht auf einem Turmsatz.")</f>
        <v>Ein Mann steht auf einem Turmsatz.</v>
      </c>
    </row>
    <row r="13271">
      <c r="A13271" s="4" t="s">
        <v>16697</v>
      </c>
      <c r="B13271" s="4" t="s">
        <v>16699</v>
      </c>
      <c r="C13271" s="5" t="str">
        <f>IFERROR(__xludf.DUMMYFUNCTION("GOOGLETRANSLATE(B13271,""en"",""de"")"),"Er springt weg und Bungee springt.")</f>
        <v>Er springt weg und Bungee springt.</v>
      </c>
    </row>
    <row r="13272">
      <c r="A13272" s="4" t="s">
        <v>16697</v>
      </c>
      <c r="B13272" s="4" t="s">
        <v>16700</v>
      </c>
      <c r="C13272" s="5" t="str">
        <f>IFERROR(__xludf.DUMMYFUNCTION("GOOGLETRANSLATE(B13272,""en"",""de"")"),"Es wird in Zeitlupe gezeigt.")</f>
        <v>Es wird in Zeitlupe gezeigt.</v>
      </c>
    </row>
    <row r="13273">
      <c r="A13273" s="4" t="s">
        <v>16701</v>
      </c>
      <c r="B13273" s="4" t="s">
        <v>16702</v>
      </c>
      <c r="C13273" s="5" t="str">
        <f>IFERROR(__xludf.DUMMYFUNCTION("GOOGLETRANSLATE(B13273,""en"",""de"")"),"Die Kamera schwenkt um mehrere Männer, die einen großen Alkoholbehälter trinken und die Kamera bis zum Anfang zurückblättern.")</f>
        <v>Die Kamera schwenkt um mehrere Männer, die einen großen Alkoholbehälter trinken und die Kamera bis zum Anfang zurückblättern.</v>
      </c>
    </row>
    <row r="13274">
      <c r="A13274" s="4" t="s">
        <v>16701</v>
      </c>
      <c r="B13274" s="4" t="s">
        <v>16703</v>
      </c>
      <c r="C13274" s="5" t="str">
        <f>IFERROR(__xludf.DUMMYFUNCTION("GOOGLETRANSLATE(B13274,""en"",""de"")"),"Die Kamera fängt weiterhin die Männer ein, die trinken und miteinander sprechen und am Ende die Augen rieb.")</f>
        <v>Die Kamera fängt weiterhin die Männer ein, die trinken und miteinander sprechen und am Ende die Augen rieb.</v>
      </c>
    </row>
    <row r="13275">
      <c r="A13275" s="4" t="s">
        <v>16704</v>
      </c>
      <c r="B13275" s="4" t="s">
        <v>16705</v>
      </c>
      <c r="C13275" s="5" t="str">
        <f>IFERROR(__xludf.DUMMYFUNCTION("GOOGLETRANSLATE(B13275,""en"",""de"")"),"Ein junger Mann sitzt in einem Wohnzimmer.")</f>
        <v>Ein junger Mann sitzt in einem Wohnzimmer.</v>
      </c>
    </row>
    <row r="13276">
      <c r="A13276" s="4" t="s">
        <v>16704</v>
      </c>
      <c r="B13276" s="4" t="s">
        <v>16706</v>
      </c>
      <c r="C13276" s="5" t="str">
        <f>IFERROR(__xludf.DUMMYFUNCTION("GOOGLETRANSLATE(B13276,""en"",""de"")"),"Er spielt eine elektronische Tastatur.")</f>
        <v>Er spielt eine elektronische Tastatur.</v>
      </c>
    </row>
    <row r="13277">
      <c r="A13277" s="4" t="s">
        <v>16704</v>
      </c>
      <c r="B13277" s="4" t="s">
        <v>16707</v>
      </c>
      <c r="C13277" s="5" t="str">
        <f>IFERROR(__xludf.DUMMYFUNCTION("GOOGLETRANSLATE(B13277,""en"",""de"")"),"Die Tastatur druckt ein Dokument, wie er geht.")</f>
        <v>Die Tastatur druckt ein Dokument, wie er geht.</v>
      </c>
    </row>
    <row r="13278">
      <c r="A13278" s="4" t="s">
        <v>16708</v>
      </c>
      <c r="B13278" s="4" t="s">
        <v>16709</v>
      </c>
      <c r="C13278" s="5" t="str">
        <f>IFERROR(__xludf.DUMMYFUNCTION("GOOGLETRANSLATE(B13278,""en"",""de"")"),"Eine Dame erklärt Getränke und das Mischen von ihnen. Sie schnappt sich eine Tasse mit Eis und fügt ihm etwas Schnaps hinzu, indem sie ein Schnapsglas verwendet, um die richtige Messung zu erhalten.")</f>
        <v>Eine Dame erklärt Getränke und das Mischen von ihnen. Sie schnappt sich eine Tasse mit Eis und fügt ihm etwas Schnaps hinzu, indem sie ein Schnapsglas verwendet, um die richtige Messung zu erhalten.</v>
      </c>
    </row>
    <row r="13279">
      <c r="A13279" s="4" t="s">
        <v>16708</v>
      </c>
      <c r="B13279" s="4" t="s">
        <v>16710</v>
      </c>
      <c r="C13279" s="5" t="str">
        <f>IFERROR(__xludf.DUMMYFUNCTION("GOOGLETRANSLATE(B13279,""en"",""de"")"),"Die Dame mischt dann eine andere Art von Alkohol auf den ersten Typ, den sie in das Glas goss.")</f>
        <v>Die Dame mischt dann eine andere Art von Alkohol auf den ersten Typ, den sie in das Glas goss.</v>
      </c>
    </row>
    <row r="13280">
      <c r="A13280" s="4" t="s">
        <v>16708</v>
      </c>
      <c r="B13280" s="4" t="s">
        <v>16711</v>
      </c>
      <c r="C13280" s="5" t="str">
        <f>IFERROR(__xludf.DUMMYFUNCTION("GOOGLETRANSLATE(B13280,""en"",""de"")"),"Schließlich fügt sie dem Getränk mit einem geschnittenen Orange und einem Stroh eine Art Saft hinzu.")</f>
        <v>Schließlich fügt sie dem Getränk mit einem geschnittenen Orange und einem Stroh eine Art Saft hinzu.</v>
      </c>
    </row>
    <row r="13281">
      <c r="A13281" s="4" t="s">
        <v>16712</v>
      </c>
      <c r="B13281" s="4" t="s">
        <v>16713</v>
      </c>
      <c r="C13281" s="5" t="str">
        <f>IFERROR(__xludf.DUMMYFUNCTION("GOOGLETRANSLATE(B13281,""en"",""de"")"),"Ein Mann dreht sich im Kreis und wirft einen Diskussion für einen Wettbewerb.")</f>
        <v>Ein Mann dreht sich im Kreis und wirft einen Diskussion für einen Wettbewerb.</v>
      </c>
    </row>
    <row r="13282">
      <c r="A13282" s="4" t="s">
        <v>16712</v>
      </c>
      <c r="B13282" s="4" t="s">
        <v>16714</v>
      </c>
      <c r="C13282" s="5" t="str">
        <f>IFERROR(__xludf.DUMMYFUNCTION("GOOGLETRANSLATE(B13282,""en"",""de"")"),"Das Video verlangsamt sich und zeigt den gleichen Wurf, aber in Zeitlupe.")</f>
        <v>Das Video verlangsamt sich und zeigt den gleichen Wurf, aber in Zeitlupe.</v>
      </c>
    </row>
    <row r="13283">
      <c r="A13283" s="4" t="s">
        <v>16712</v>
      </c>
      <c r="B13283" s="4" t="s">
        <v>16715</v>
      </c>
      <c r="C13283" s="5" t="str">
        <f>IFERROR(__xludf.DUMMYFUNCTION("GOOGLETRANSLATE(B13283,""en"",""de"")"),"Ein anderer Mann kommt auf den Teller und wirft die Diskussion.")</f>
        <v>Ein anderer Mann kommt auf den Teller und wirft die Diskussion.</v>
      </c>
    </row>
    <row r="13284">
      <c r="A13284" s="4" t="s">
        <v>16712</v>
      </c>
      <c r="B13284" s="4" t="s">
        <v>16716</v>
      </c>
      <c r="C13284" s="5" t="str">
        <f>IFERROR(__xludf.DUMMYFUNCTION("GOOGLETRANSLATE(B13284,""en"",""de"")"),"Wieder verlangsamt sich das Video und zeigt den gleichen Wurf in Zeitlupe.")</f>
        <v>Wieder verlangsamt sich das Video und zeigt den gleichen Wurf in Zeitlupe.</v>
      </c>
    </row>
    <row r="13285">
      <c r="A13285" s="4" t="s">
        <v>16712</v>
      </c>
      <c r="B13285" s="4" t="s">
        <v>16717</v>
      </c>
      <c r="C13285" s="5" t="str">
        <f>IFERROR(__xludf.DUMMYFUNCTION("GOOGLETRANSLATE(B13285,""en"",""de"")"),"Ein dritter Spieler tritt auf und wirft die Diskussion in Zeitlupe.")</f>
        <v>Ein dritter Spieler tritt auf und wirft die Diskussion in Zeitlupe.</v>
      </c>
    </row>
    <row r="13286">
      <c r="A13286" s="4" t="s">
        <v>16712</v>
      </c>
      <c r="B13286" s="4" t="s">
        <v>16718</v>
      </c>
      <c r="C13286" s="5" t="str">
        <f>IFERROR(__xludf.DUMMYFUNCTION("GOOGLETRANSLATE(B13286,""en"",""de"")"),"Mehrere andere Spieler treten auf und werfen die Scheibe.")</f>
        <v>Mehrere andere Spieler treten auf und werfen die Scheibe.</v>
      </c>
    </row>
    <row r="13287">
      <c r="A13287" s="4" t="s">
        <v>16719</v>
      </c>
      <c r="B13287" s="4" t="s">
        <v>16720</v>
      </c>
      <c r="C13287" s="5" t="str">
        <f>IFERROR(__xludf.DUMMYFUNCTION("GOOGLETRANSLATE(B13287,""en"",""de"")"),"Wir sehen ein Bild einer Frau und eines Kindes.")</f>
        <v>Wir sehen ein Bild einer Frau und eines Kindes.</v>
      </c>
    </row>
    <row r="13288">
      <c r="A13288" s="4" t="s">
        <v>16719</v>
      </c>
      <c r="B13288" s="4" t="s">
        <v>16721</v>
      </c>
      <c r="C13288" s="5" t="str">
        <f>IFERROR(__xludf.DUMMYFUNCTION("GOOGLETRANSLATE(B13288,""en"",""de"")"),"Die Dame verblasst, das Kind spielt eine Flöte und wir sehen einen Mann.")</f>
        <v>Die Dame verblasst, das Kind spielt eine Flöte und wir sehen einen Mann.</v>
      </c>
    </row>
    <row r="13289">
      <c r="A13289" s="4" t="s">
        <v>16719</v>
      </c>
      <c r="B13289" s="4" t="s">
        <v>16722</v>
      </c>
      <c r="C13289" s="5" t="str">
        <f>IFERROR(__xludf.DUMMYFUNCTION("GOOGLETRANSLATE(B13289,""en"",""de"")"),"Der Mann weint, als das Kind spielt, wir sehen die Menschen am Himmel.")</f>
        <v>Der Mann weint, als das Kind spielt, wir sehen die Menschen am Himmel.</v>
      </c>
    </row>
    <row r="13290">
      <c r="A13290" s="4" t="s">
        <v>16719</v>
      </c>
      <c r="B13290" s="4" t="s">
        <v>16723</v>
      </c>
      <c r="C13290" s="5" t="str">
        <f>IFERROR(__xludf.DUMMYFUNCTION("GOOGLETRANSLATE(B13290,""en"",""de"")"),"Wir sehen einen Mann und eine Frau, die sich am Himmel umarmen.")</f>
        <v>Wir sehen einen Mann und eine Frau, die sich am Himmel umarmen.</v>
      </c>
    </row>
    <row r="13291">
      <c r="A13291" s="4" t="s">
        <v>16719</v>
      </c>
      <c r="B13291" s="4" t="s">
        <v>16724</v>
      </c>
      <c r="C13291" s="5" t="str">
        <f>IFERROR(__xludf.DUMMYFUNCTION("GOOGLETRANSLATE(B13291,""en"",""de"")"),"Wir sehen Bilder der Natur.")</f>
        <v>Wir sehen Bilder der Natur.</v>
      </c>
    </row>
    <row r="13292">
      <c r="A13292" s="4" t="s">
        <v>16719</v>
      </c>
      <c r="B13292" s="4" t="s">
        <v>16725</v>
      </c>
      <c r="C13292" s="5" t="str">
        <f>IFERROR(__xludf.DUMMYFUNCTION("GOOGLETRANSLATE(B13292,""en"",""de"")"),"Die Menschen im Himmel beugen und tanzen.")</f>
        <v>Die Menschen im Himmel beugen und tanzen.</v>
      </c>
    </row>
    <row r="13293">
      <c r="A13293" s="4" t="s">
        <v>16719</v>
      </c>
      <c r="B13293" s="4" t="s">
        <v>16726</v>
      </c>
      <c r="C13293" s="5" t="str">
        <f>IFERROR(__xludf.DUMMYFUNCTION("GOOGLETRANSLATE(B13293,""en"",""de"")"),"Der Mann legt sich in einer Gebetsposition.")</f>
        <v>Der Mann legt sich in einer Gebetsposition.</v>
      </c>
    </row>
    <row r="13294">
      <c r="A13294" s="4" t="s">
        <v>16719</v>
      </c>
      <c r="B13294" s="4" t="s">
        <v>16727</v>
      </c>
      <c r="C13294" s="5" t="str">
        <f>IFERROR(__xludf.DUMMYFUNCTION("GOOGLETRANSLATE(B13294,""en"",""de"")"),"Das Kind beendet die Flöte.")</f>
        <v>Das Kind beendet die Flöte.</v>
      </c>
    </row>
    <row r="13295">
      <c r="A13295" s="4" t="s">
        <v>16728</v>
      </c>
      <c r="B13295" s="4" t="s">
        <v>16729</v>
      </c>
      <c r="C13295" s="5" t="str">
        <f>IFERROR(__xludf.DUMMYFUNCTION("GOOGLETRANSLATE(B13295,""en"",""de"")"),"Die Kamera schwenkt um mehrere Lochfraß, die an einer Bar sitzen, sowie Barkeeper, die sich um die Bedürfnisse der Menschen kümmern.")</f>
        <v>Die Kamera schwenkt um mehrere Lochfraß, die an einer Bar sitzen, sowie Barkeeper, die sich um die Bedürfnisse der Menschen kümmern.</v>
      </c>
    </row>
    <row r="13296">
      <c r="A13296" s="4" t="s">
        <v>16728</v>
      </c>
      <c r="B13296" s="4" t="s">
        <v>16730</v>
      </c>
      <c r="C13296" s="5" t="str">
        <f>IFERROR(__xludf.DUMMYFUNCTION("GOOGLETRANSLATE(B13296,""en"",""de"")"),"Weitere Aufnahmen von Menschen, die im Restaurant interagieren, und schließlich, die mit der Kamera sprechen.")</f>
        <v>Weitere Aufnahmen von Menschen, die im Restaurant interagieren, und schließlich, die mit der Kamera sprechen.</v>
      </c>
    </row>
    <row r="13297">
      <c r="A13297" s="4" t="s">
        <v>16731</v>
      </c>
      <c r="B13297" s="4" t="s">
        <v>16732</v>
      </c>
      <c r="C13297" s="5" t="str">
        <f>IFERROR(__xludf.DUMMYFUNCTION("GOOGLETRANSLATE(B13297,""en"",""de"")"),"Eine junge Frau hat gesehen, wie sie ihr Haar streift, das in sie führt, um mit der Kamera zu sprechen.")</f>
        <v>Eine junge Frau hat gesehen, wie sie ihr Haar streift, das in sie führt, um mit der Kamera zu sprechen.</v>
      </c>
    </row>
    <row r="13298">
      <c r="A13298" s="4" t="s">
        <v>16731</v>
      </c>
      <c r="B13298" s="4" t="s">
        <v>16733</v>
      </c>
      <c r="C13298" s="5" t="str">
        <f>IFERROR(__xludf.DUMMYFUNCTION("GOOGLETRANSLATE(B13298,""en"",""de"")"),"Sie hält mehrere Pinsel hoch, während sie sowohl mit der Kamera als auch mit verschiedenen Objekten spricht.")</f>
        <v>Sie hält mehrere Pinsel hoch, während sie sowohl mit der Kamera als auch mit verschiedenen Objekten spricht.</v>
      </c>
    </row>
    <row r="13299">
      <c r="A13299" s="4" t="s">
        <v>16731</v>
      </c>
      <c r="B13299" s="4" t="s">
        <v>16734</v>
      </c>
      <c r="C13299" s="5" t="str">
        <f>IFERROR(__xludf.DUMMYFUNCTION("GOOGLETRANSLATE(B13299,""en"",""de"")"),"Sie benutzt eine Schere, um Haare aus einer Pinsel sowie eine Zahnbürste und eine Schüssel zu holen, um ihre Bürsten auszuräumen.")</f>
        <v>Sie benutzt eine Schere, um Haare aus einer Pinsel sowie eine Zahnbürste und eine Schüssel zu holen, um ihre Bürsten auszuräumen.</v>
      </c>
    </row>
    <row r="13300">
      <c r="A13300" s="4" t="s">
        <v>16735</v>
      </c>
      <c r="B13300" s="4" t="s">
        <v>16736</v>
      </c>
      <c r="C13300" s="5" t="str">
        <f>IFERROR(__xludf.DUMMYFUNCTION("GOOGLETRANSLATE(B13300,""en"",""de"")"),"Ein junger Mann tanzt in einem Raum, der seine Hände bewegt und seinen Rücken hinter sich bringt.")</f>
        <v>Ein junger Mann tanzt in einem Raum, der seine Hände bewegt und seinen Rücken hinter sich bringt.</v>
      </c>
    </row>
    <row r="13301">
      <c r="A13301" s="4" t="s">
        <v>16735</v>
      </c>
      <c r="B13301" s="4" t="s">
        <v>16737</v>
      </c>
      <c r="C13301" s="5" t="str">
        <f>IFERROR(__xludf.DUMMYFUNCTION("GOOGLETRANSLATE(B13301,""en"",""de"")"),"Dann legte der Mann seine Hand hinter seinen Kopf.")</f>
        <v>Dann legte der Mann seine Hand hinter seinen Kopf.</v>
      </c>
    </row>
    <row r="13302">
      <c r="A13302" s="4" t="s">
        <v>16735</v>
      </c>
      <c r="B13302" s="4" t="s">
        <v>16738</v>
      </c>
      <c r="C13302" s="5" t="str">
        <f>IFERROR(__xludf.DUMMYFUNCTION("GOOGLETRANSLATE(B13302,""en"",""de"")"),"Das Spiegelbild des Mannes ist im Spiegel.")</f>
        <v>Das Spiegelbild des Mannes ist im Spiegel.</v>
      </c>
    </row>
    <row r="13303">
      <c r="A13303" s="4" t="s">
        <v>16739</v>
      </c>
      <c r="B13303" s="4" t="s">
        <v>16740</v>
      </c>
      <c r="C13303" s="5" t="str">
        <f>IFERROR(__xludf.DUMMYFUNCTION("GOOGLETRANSLATE(B13303,""en"",""de"")"),"Ein Mann steht auf Stelzen auf einem Stadtplatz, während andere Menschen um ihn herum Roller Blade.")</f>
        <v>Ein Mann steht auf Stelzen auf einem Stadtplatz, während andere Menschen um ihn herum Roller Blade.</v>
      </c>
    </row>
    <row r="13304">
      <c r="A13304" s="4" t="s">
        <v>16739</v>
      </c>
      <c r="B13304" s="4" t="s">
        <v>16741</v>
      </c>
      <c r="C13304" s="5" t="str">
        <f>IFERROR(__xludf.DUMMYFUNCTION("GOOGLETRANSLATE(B13304,""en"",""de"")"),"Der Mann rennt den Block hinunter und rennt dann zurück zu dem Ort, an dem er angefangen hat.")</f>
        <v>Der Mann rennt den Block hinunter und rennt dann zurück zu dem Ort, an dem er angefangen hat.</v>
      </c>
    </row>
    <row r="13305">
      <c r="A13305" s="4" t="s">
        <v>16742</v>
      </c>
      <c r="B13305" s="4" t="s">
        <v>16743</v>
      </c>
      <c r="C13305" s="5" t="str">
        <f>IFERROR(__xludf.DUMMYFUNCTION("GOOGLETRANSLATE(B13305,""en"",""de"")"),"Eine Frau in einem blauen Hemd dreht sich herum und wirft einen Ball auf das Feld.")</f>
        <v>Eine Frau in einem blauen Hemd dreht sich herum und wirft einen Ball auf das Feld.</v>
      </c>
    </row>
    <row r="13306">
      <c r="A13306" s="4" t="s">
        <v>16742</v>
      </c>
      <c r="B13306" s="4" t="s">
        <v>16744</v>
      </c>
      <c r="C13306" s="5" t="str">
        <f>IFERROR(__xludf.DUMMYFUNCTION("GOOGLETRANSLATE(B13306,""en"",""de"")"),"Eine andere Person kommt und wirft eine Festplatte auf das Feld.")</f>
        <v>Eine andere Person kommt und wirft eine Festplatte auf das Feld.</v>
      </c>
    </row>
    <row r="13307">
      <c r="A13307" s="4" t="s">
        <v>16742</v>
      </c>
      <c r="B13307" s="4" t="s">
        <v>16745</v>
      </c>
      <c r="C13307" s="5" t="str">
        <f>IFERROR(__xludf.DUMMYFUNCTION("GOOGLETRANSLATE(B13307,""en"",""de"")"),"Die Menschen stehen an der Seite des Feldes.")</f>
        <v>Die Menschen stehen an der Seite des Feldes.</v>
      </c>
    </row>
    <row r="13308">
      <c r="A13308" s="4" t="s">
        <v>16746</v>
      </c>
      <c r="B13308" s="4" t="s">
        <v>16747</v>
      </c>
      <c r="C13308" s="5" t="str">
        <f>IFERROR(__xludf.DUMMYFUNCTION("GOOGLETRANSLATE(B13308,""en"",""de"")"),"Ein Geschäft und das Gebiet um ihn herum werden gezeigt und der Name im Geschäft ""Lumberjack Nationals"" in einem Holzschild und dem weißen Text unterhalb des ""Columbia Basin BMX Richland, WA"" von Says ""Lumbia Basin"" geschnitzt.")</f>
        <v>Ein Geschäft und das Gebiet um ihn herum werden gezeigt und der Name im Geschäft "Lumberjack Nationals" in einem Holzschild und dem weißen Text unterhalb des "Columbia Basin BMX Richland, WA" von Says "Lumbia Basin" geschnitzt.</v>
      </c>
    </row>
    <row r="13309">
      <c r="A13309" s="4" t="s">
        <v>16746</v>
      </c>
      <c r="B13309" s="4" t="s">
        <v>16748</v>
      </c>
      <c r="C13309" s="5" t="str">
        <f>IFERROR(__xludf.DUMMYFUNCTION("GOOGLETRANSLATE(B13309,""en"",""de"")"),"Ein Junge, der in Fahrradausrüstung gekleidet ist, legt einen Helm auf, der auf der rechten Seite des Bildschirms steht, und sagt ""@Brycebetts13z Chase Staystrong"", während der Junge auf sein Fahrrad steigt und ihn aus dem Bildschirm schiebt.")</f>
        <v>Ein Junge, der in Fahrradausrüstung gekleidet ist, legt einen Helm auf, der auf der rechten Seite des Bildschirms steht, und sagt "@Brycebetts13z Chase Staystrong", während der Junge auf sein Fahrrad steigt und ihn aus dem Bildschirm schiebt.</v>
      </c>
    </row>
    <row r="13310">
      <c r="A13310" s="4" t="s">
        <v>16746</v>
      </c>
      <c r="B13310" s="4" t="s">
        <v>16749</v>
      </c>
      <c r="C13310" s="5" t="str">
        <f>IFERROR(__xludf.DUMMYFUNCTION("GOOGLETRANSLATE(B13310,""en"",""de"")"),"Der Junge ist jetzt auf der kurvigen und verdrehten Dirt Bike -Strecke, die sehr schnell herumfährt, und gelegentlich werden auch andere Menschen auf der Strecke gezeigt.")</f>
        <v>Der Junge ist jetzt auf der kurvigen und verdrehten Dirt Bike -Strecke, die sehr schnell herumfährt, und gelegentlich werden auch andere Menschen auf der Strecke gezeigt.</v>
      </c>
    </row>
    <row r="13311">
      <c r="A13311" s="4" t="s">
        <v>16746</v>
      </c>
      <c r="B13311" s="4" t="s">
        <v>16750</v>
      </c>
      <c r="C13311" s="5" t="str">
        <f>IFERROR(__xludf.DUMMYFUNCTION("GOOGLETRANSLATE(B13311,""en"",""de"")"),"Ein Spezialeffekt -Outro erscheint mit dem Jungen, der immer noch um den Track reitet, und andere Text und Logos erscheinen auf dem Bildschirm, bis er zu einem weißen Bildschirm verblasst, der mit einem Clip -Kunst links und große Wörter mit Mendo Media a"&amp;"uf der rechten Seite endet.")</f>
        <v>Ein Spezialeffekt -Outro erscheint mit dem Jungen, der immer noch um den Track reitet, und andere Text und Logos erscheinen auf dem Bildschirm, bis er zu einem weißen Bildschirm verblasst, der mit einem Clip -Kunst links und große Wörter mit Mendo Media auf der rechten Seite endet.</v>
      </c>
    </row>
    <row r="13312">
      <c r="A13312" s="4" t="s">
        <v>16751</v>
      </c>
      <c r="B13312" s="4" t="s">
        <v>16752</v>
      </c>
      <c r="C13312" s="5" t="str">
        <f>IFERROR(__xludf.DUMMYFUNCTION("GOOGLETRANSLATE(B13312,""en"",""de"")"),"Spieler auf einem Feld spielen herum und spielen ein Spiel.")</f>
        <v>Spieler auf einem Feld spielen herum und spielen ein Spiel.</v>
      </c>
    </row>
    <row r="13313">
      <c r="A13313" s="4" t="s">
        <v>16751</v>
      </c>
      <c r="B13313" s="4" t="s">
        <v>16753</v>
      </c>
      <c r="C13313" s="5" t="str">
        <f>IFERROR(__xludf.DUMMYFUNCTION("GOOGLETRANSLATE(B13313,""en"",""de"")"),"Sie geraten in einen großen Kampf auf dem Feld.")</f>
        <v>Sie geraten in einen großen Kampf auf dem Feld.</v>
      </c>
    </row>
    <row r="13314">
      <c r="A13314" s="4" t="s">
        <v>16751</v>
      </c>
      <c r="B13314" s="4" t="s">
        <v>16754</v>
      </c>
      <c r="C13314" s="5" t="str">
        <f>IFERROR(__xludf.DUMMYFUNCTION("GOOGLETRANSLATE(B13314,""en"",""de"")"),"Der Schiedsrichter kommt und bricht den Kampf auf.")</f>
        <v>Der Schiedsrichter kommt und bricht den Kampf auf.</v>
      </c>
    </row>
    <row r="13315">
      <c r="A13315" s="4" t="s">
        <v>16751</v>
      </c>
      <c r="B13315" s="4" t="s">
        <v>16755</v>
      </c>
      <c r="C13315" s="5" t="str">
        <f>IFERROR(__xludf.DUMMYFUNCTION("GOOGLETRANSLATE(B13315,""en"",""de"")"),"Ein Mann in einem gelben gestreiften Hemd spricht mit dem Schiedsrichter.")</f>
        <v>Ein Mann in einem gelben gestreiften Hemd spricht mit dem Schiedsrichter.</v>
      </c>
    </row>
    <row r="13316">
      <c r="A13316" s="4" t="s">
        <v>16756</v>
      </c>
      <c r="B13316" s="4" t="s">
        <v>16757</v>
      </c>
      <c r="C13316" s="5" t="str">
        <f>IFERROR(__xludf.DUMMYFUNCTION("GOOGLETRANSLATE(B13316,""en"",""de"")"),"Es werden mehrere Clips gezeigt, die auf Felswände hinauf und ab klettern, während viele andere mit der Kamera sprechen.")</f>
        <v>Es werden mehrere Clips gezeigt, die auf Felswände hinauf und ab klettern, während viele andere mit der Kamera sprechen.</v>
      </c>
    </row>
    <row r="13317">
      <c r="A13317" s="4" t="s">
        <v>16756</v>
      </c>
      <c r="B13317" s="4" t="s">
        <v>16758</v>
      </c>
      <c r="C13317" s="5" t="str">
        <f>IFERROR(__xludf.DUMMYFUNCTION("GOOGLETRANSLATE(B13317,""en"",""de"")"),"Mehrere weitere Leute werden gezeigt, wie sie auf die Felsen klettern, während sie mit der Kamera sprechen und sich auf und ab machen.")</f>
        <v>Mehrere weitere Leute werden gezeigt, wie sie auf die Felsen klettern, während sie mit der Kamera sprechen und sich auf und ab machen.</v>
      </c>
    </row>
    <row r="13318">
      <c r="A13318" s="4" t="s">
        <v>16759</v>
      </c>
      <c r="B13318" s="4" t="s">
        <v>16760</v>
      </c>
      <c r="C13318" s="5" t="str">
        <f>IFERROR(__xludf.DUMMYFUNCTION("GOOGLETRANSLATE(B13318,""en"",""de"")"),"Mehrere Hunde gehen eine Straße entlang.")</f>
        <v>Mehrere Hunde gehen eine Straße entlang.</v>
      </c>
    </row>
    <row r="13319">
      <c r="A13319" s="4" t="s">
        <v>16759</v>
      </c>
      <c r="B13319" s="4" t="s">
        <v>16761</v>
      </c>
      <c r="C13319" s="5" t="str">
        <f>IFERROR(__xludf.DUMMYFUNCTION("GOOGLETRANSLATE(B13319,""en"",""de"")"),"Sie sind an den Leinen, die von ihren Besitzern gehalten werden.")</f>
        <v>Sie sind an den Leinen, die von ihren Besitzern gehalten werden.</v>
      </c>
    </row>
    <row r="13320">
      <c r="A13320" s="4" t="s">
        <v>16759</v>
      </c>
      <c r="B13320" s="4" t="s">
        <v>16762</v>
      </c>
      <c r="C13320" s="5" t="str">
        <f>IFERROR(__xludf.DUMMYFUNCTION("GOOGLETRANSLATE(B13320,""en"",""de"")"),"Der Strom von ihnen ist endlos.")</f>
        <v>Der Strom von ihnen ist endlos.</v>
      </c>
    </row>
    <row r="13321">
      <c r="A13321" s="4" t="s">
        <v>16759</v>
      </c>
      <c r="B13321" s="4" t="s">
        <v>16763</v>
      </c>
      <c r="C13321" s="5" t="str">
        <f>IFERROR(__xludf.DUMMYFUNCTION("GOOGLETRANSLATE(B13321,""en"",""de"")"),"Eine Frau hält ihren Hund.")</f>
        <v>Eine Frau hält ihren Hund.</v>
      </c>
    </row>
    <row r="13322">
      <c r="A13322" s="4" t="s">
        <v>16764</v>
      </c>
      <c r="B13322" s="4" t="s">
        <v>16765</v>
      </c>
      <c r="C13322" s="5" t="str">
        <f>IFERROR(__xludf.DUMMYFUNCTION("GOOGLETRANSLATE(B13322,""en"",""de"")"),"Ein stilles Aufnahmebild eines Gewässers erscheint und gelbe Wörter erscheinen auf dem Bildschirm und lesen ""American Disk"" und schließen die Website ein.")</f>
        <v>Ein stilles Aufnahmebild eines Gewässers erscheint und gelbe Wörter erscheinen auf dem Bildschirm und lesen "American Disk" und schließen die Website ein.</v>
      </c>
    </row>
    <row r="13323">
      <c r="A13323" s="4" t="s">
        <v>16764</v>
      </c>
      <c r="B13323" s="4" t="s">
        <v>16766</v>
      </c>
      <c r="C13323" s="5" t="str">
        <f>IFERROR(__xludf.DUMMYFUNCTION("GOOGLETRANSLATE(B13323,""en"",""de"")"),"Eine brünette Frau spricht jetzt neben dem Wasser und lächelt die ganze Zeit.")</f>
        <v>Eine brünette Frau spricht jetzt neben dem Wasser und lächelt die ganze Zeit.</v>
      </c>
    </row>
    <row r="13324">
      <c r="A13324" s="4" t="s">
        <v>16764</v>
      </c>
      <c r="B13324" s="4" t="s">
        <v>16767</v>
      </c>
      <c r="C13324" s="5" t="str">
        <f>IFERROR(__xludf.DUMMYFUNCTION("GOOGLETRANSLATE(B13324,""en"",""de"")"),"Verschiedene Klammern von Menschen spielen und sie stehen alle neben oder im Wasser und sie scheinen alle glücklich zu sein.")</f>
        <v>Verschiedene Klammern von Menschen spielen und sie stehen alle neben oder im Wasser und sie scheinen alle glücklich zu sein.</v>
      </c>
    </row>
    <row r="13325">
      <c r="A13325" s="4" t="s">
        <v>16764</v>
      </c>
      <c r="B13325" s="4" t="s">
        <v>16768</v>
      </c>
      <c r="C13325" s="5" t="str">
        <f>IFERROR(__xludf.DUMMYFUNCTION("GOOGLETRANSLATE(B13325,""en"",""de"")"),"Die Menschen sind jetzt auf dem Wasser und machen verschiedene verschiedene Dinge mit einem großen kreisförmigen Brett, das entweder stehen, sitzen, hockt, kniet, reitet oder tricks, während sie manchmal von einem sich schnell bewegenden Boot gezogen werd"&amp;"en.")</f>
        <v>Die Menschen sind jetzt auf dem Wasser und machen verschiedene verschiedene Dinge mit einem großen kreisförmigen Brett, das entweder stehen, sitzen, hockt, kniet, reitet oder tricks, während sie manchmal von einem sich schnell bewegenden Boot gezogen werden.</v>
      </c>
    </row>
    <row r="13326">
      <c r="A13326" s="4" t="s">
        <v>16764</v>
      </c>
      <c r="B13326" s="4" t="s">
        <v>16769</v>
      </c>
      <c r="C13326" s="5" t="str">
        <f>IFERROR(__xludf.DUMMYFUNCTION("GOOGLETRANSLATE(B13326,""en"",""de"")"),"Ein schwarzer Bildschirm wird angezeigt und die gelben Wörter werden auf dem Bildschirm angezeigt und lesen ""die Festplatte"", und wieder spricht die brünette Frau am Wasser.")</f>
        <v>Ein schwarzer Bildschirm wird angezeigt und die gelben Wörter werden auf dem Bildschirm angezeigt und lesen "die Festplatte", und wieder spricht die brünette Frau am Wasser.</v>
      </c>
    </row>
    <row r="13327">
      <c r="A13327" s="4" t="s">
        <v>16764</v>
      </c>
      <c r="B13327" s="4" t="s">
        <v>16770</v>
      </c>
      <c r="C13327" s="5" t="str">
        <f>IFERROR(__xludf.DUMMYFUNCTION("GOOGLETRANSLATE(B13327,""en"",""de"")"),"Der Bildschirm geht dann an Schwarz und zeigt ihre Website in gelben Buchstaben an.")</f>
        <v>Der Bildschirm geht dann an Schwarz und zeigt ihre Website in gelben Buchstaben an.</v>
      </c>
    </row>
    <row r="13328">
      <c r="A13328" s="4" t="s">
        <v>16771</v>
      </c>
      <c r="B13328" s="4" t="s">
        <v>16772</v>
      </c>
      <c r="C13328" s="5" t="str">
        <f>IFERROR(__xludf.DUMMYFUNCTION("GOOGLETRANSLATE(B13328,""en"",""de"")"),"Es wird eine Nahaufnahme einer Tabelle gezeigt, die sich in mehreren Clips eines Pucks aus verschiedenen Winkeln entlang des Tisches bewegt.")</f>
        <v>Es wird eine Nahaufnahme einer Tabelle gezeigt, die sich in mehreren Clips eines Pucks aus verschiedenen Winkeln entlang des Tisches bewegt.</v>
      </c>
    </row>
    <row r="13329">
      <c r="A13329" s="4" t="s">
        <v>16771</v>
      </c>
      <c r="B13329" s="4" t="s">
        <v>16773</v>
      </c>
      <c r="C13329" s="5" t="str">
        <f>IFERROR(__xludf.DUMMYFUNCTION("GOOGLETRANSLATE(B13329,""en"",""de"")"),"Die Leute schieben und schauen auf die Pucks hinunter, während sie weitergehen und das Spiel weiter miteinander zurück und viertes spielen.")</f>
        <v>Die Leute schieben und schauen auf die Pucks hinunter, während sie weitergehen und das Spiel weiter miteinander zurück und viertes spielen.</v>
      </c>
    </row>
    <row r="13330">
      <c r="A13330" s="4" t="s">
        <v>16774</v>
      </c>
      <c r="B13330" s="4" t="s">
        <v>16775</v>
      </c>
      <c r="C13330" s="5" t="str">
        <f>IFERROR(__xludf.DUMMYFUNCTION("GOOGLETRANSLATE(B13330,""en"",""de"")"),"Eine Katze sitzt in einem Katzenbett.")</f>
        <v>Eine Katze sitzt in einem Katzenbett.</v>
      </c>
    </row>
    <row r="13331">
      <c r="A13331" s="4" t="s">
        <v>16774</v>
      </c>
      <c r="B13331" s="4" t="s">
        <v>16776</v>
      </c>
      <c r="C13331" s="5" t="str">
        <f>IFERROR(__xludf.DUMMYFUNCTION("GOOGLETRANSLATE(B13331,""en"",""de"")"),"Es leckt seine Pfote.")</f>
        <v>Es leckt seine Pfote.</v>
      </c>
    </row>
    <row r="13332">
      <c r="A13332" s="4" t="s">
        <v>16774</v>
      </c>
      <c r="B13332" s="4" t="s">
        <v>16777</v>
      </c>
      <c r="C13332" s="5" t="str">
        <f>IFERROR(__xludf.DUMMYFUNCTION("GOOGLETRANSLATE(B13332,""en"",""de"")"),"Es wischt sich dann seine Pfote an sein Ohr.")</f>
        <v>Es wischt sich dann seine Pfote an sein Ohr.</v>
      </c>
    </row>
    <row r="13333">
      <c r="A13333" s="4" t="s">
        <v>16778</v>
      </c>
      <c r="B13333" s="4" t="s">
        <v>16779</v>
      </c>
      <c r="C13333" s="5" t="str">
        <f>IFERROR(__xludf.DUMMYFUNCTION("GOOGLETRANSLATE(B13333,""en"",""de"")"),"Eine Frau in einem funkelnden grünen Kleid spricht auf einer Bühne.")</f>
        <v>Eine Frau in einem funkelnden grünen Kleid spricht auf einer Bühne.</v>
      </c>
    </row>
    <row r="13334">
      <c r="A13334" s="4" t="s">
        <v>16778</v>
      </c>
      <c r="B13334" s="4" t="s">
        <v>16780</v>
      </c>
      <c r="C13334" s="5" t="str">
        <f>IFERROR(__xludf.DUMMYFUNCTION("GOOGLETRANSLATE(B13334,""en"",""de"")"),"Ein Paar wird kreativ tanzen, treten und wirbeln.")</f>
        <v>Ein Paar wird kreativ tanzen, treten und wirbeln.</v>
      </c>
    </row>
    <row r="13335">
      <c r="A13335" s="4" t="s">
        <v>16778</v>
      </c>
      <c r="B13335" s="4" t="s">
        <v>16781</v>
      </c>
      <c r="C13335" s="5" t="str">
        <f>IFERROR(__xludf.DUMMYFUNCTION("GOOGLETRANSLATE(B13335,""en"",""de"")"),"Wenn sie fertig sind, halten sie die Hände, während die Menge jubelt.")</f>
        <v>Wenn sie fertig sind, halten sie die Hände, während die Menge jubelt.</v>
      </c>
    </row>
    <row r="13336">
      <c r="A13336" s="4" t="s">
        <v>16778</v>
      </c>
      <c r="B13336" s="4" t="s">
        <v>16782</v>
      </c>
      <c r="C13336" s="5" t="str">
        <f>IFERROR(__xludf.DUMMYFUNCTION("GOOGLETRANSLATE(B13336,""en"",""de"")"),"Sie gehen in einem grünen Kleid zur Frau und umarmen sie, bevor sie die Bühne verlassen.")</f>
        <v>Sie gehen in einem grünen Kleid zur Frau und umarmen sie, bevor sie die Bühne verlassen.</v>
      </c>
    </row>
    <row r="13337">
      <c r="A13337" s="4" t="s">
        <v>16783</v>
      </c>
      <c r="B13337" s="4" t="s">
        <v>16784</v>
      </c>
      <c r="C13337" s="5" t="str">
        <f>IFERROR(__xludf.DUMMYFUNCTION("GOOGLETRANSLATE(B13337,""en"",""de"")"),"Zwei Männer spielen Tischtennis, während zwei Richter an beiden Enden sitzen.")</f>
        <v>Zwei Männer spielen Tischtennis, während zwei Richter an beiden Enden sitzen.</v>
      </c>
    </row>
    <row r="13338">
      <c r="A13338" s="4" t="s">
        <v>16783</v>
      </c>
      <c r="B13338" s="4" t="s">
        <v>16785</v>
      </c>
      <c r="C13338" s="5" t="str">
        <f>IFERROR(__xludf.DUMMYFUNCTION("GOOGLETRANSLATE(B13338,""en"",""de"")"),"Die Männer schlugen den Ball hin und her.")</f>
        <v>Die Männer schlugen den Ball hin und her.</v>
      </c>
    </row>
    <row r="13339">
      <c r="A13339" s="4" t="s">
        <v>16783</v>
      </c>
      <c r="B13339" s="4" t="s">
        <v>16786</v>
      </c>
      <c r="C13339" s="5" t="str">
        <f>IFERROR(__xludf.DUMMYFUNCTION("GOOGLETRANSLATE(B13339,""en"",""de"")"),"Der Gewinner hebt seine Hände, als die Menge jubelt.")</f>
        <v>Der Gewinner hebt seine Hände, als die Menge jubelt.</v>
      </c>
    </row>
    <row r="13340">
      <c r="A13340" s="4" t="s">
        <v>16783</v>
      </c>
      <c r="B13340" s="4" t="s">
        <v>16787</v>
      </c>
      <c r="C13340" s="5" t="str">
        <f>IFERROR(__xludf.DUMMYFUNCTION("GOOGLETRANSLATE(B13340,""en"",""de"")"),"Die Szene wird von seinem erfolgreichen Hit wiedergegeben.")</f>
        <v>Die Szene wird von seinem erfolgreichen Hit wiedergegeben.</v>
      </c>
    </row>
    <row r="13341">
      <c r="A13341" s="4" t="s">
        <v>16788</v>
      </c>
      <c r="B13341" s="4" t="s">
        <v>16789</v>
      </c>
      <c r="C13341" s="5" t="str">
        <f>IFERROR(__xludf.DUMMYFUNCTION("GOOGLETRANSLATE(B13341,""en"",""de"")"),"Ein Mann befindet sich im Fitnessstudio, der einen mittelgroßen Medizinball hält.")</f>
        <v>Ein Mann befindet sich im Fitnessstudio, der einen mittelgroßen Medizinball hält.</v>
      </c>
    </row>
    <row r="13342">
      <c r="A13342" s="4" t="s">
        <v>16788</v>
      </c>
      <c r="B13342" s="4" t="s">
        <v>16790</v>
      </c>
      <c r="C13342" s="5" t="str">
        <f>IFERROR(__xludf.DUMMYFUNCTION("GOOGLETRANSLATE(B13342,""en"",""de"")"),"Dann setzt er sich auf und beginnt den Ball gegen die Wand zu werfen.")</f>
        <v>Dann setzt er sich auf und beginnt den Ball gegen die Wand zu werfen.</v>
      </c>
    </row>
    <row r="13343">
      <c r="A13343" s="4" t="s">
        <v>16788</v>
      </c>
      <c r="B13343" s="4" t="s">
        <v>16791</v>
      </c>
      <c r="C13343" s="5" t="str">
        <f>IFERROR(__xludf.DUMMYFUNCTION("GOOGLETRANSLATE(B13343,""en"",""de"")"),"Danach erscheinen eine Liste von Hinweisen, bevor der Veranstaltungsort und deren YouTube -Seite angezeigt werden.")</f>
        <v>Danach erscheinen eine Liste von Hinweisen, bevor der Veranstaltungsort und deren YouTube -Seite angezeigt werden.</v>
      </c>
    </row>
    <row r="13344">
      <c r="A13344" s="4" t="s">
        <v>16792</v>
      </c>
      <c r="B13344" s="4" t="s">
        <v>16793</v>
      </c>
      <c r="C13344" s="5" t="str">
        <f>IFERROR(__xludf.DUMMYFUNCTION("GOOGLETRANSLATE(B13344,""en"",""de"")"),"Ein Mann in Grün, der am Ende des Sandquadrats sitzt, das Video an den Seiten des Platzes macht, sind drei Männer.")</f>
        <v>Ein Mann in Grün, der am Ende des Sandquadrats sitzt, das Video an den Seiten des Platzes macht, sind drei Männer.</v>
      </c>
    </row>
    <row r="13345">
      <c r="A13345" s="4" t="s">
        <v>16792</v>
      </c>
      <c r="B13345" s="4" t="s">
        <v>16794</v>
      </c>
      <c r="C13345" s="5" t="str">
        <f>IFERROR(__xludf.DUMMYFUNCTION("GOOGLETRANSLATE(B13345,""en"",""de"")"),"Der junge Athlet in Blue Uniform rannte in einer schmalen Spur, sprang auf den sandigen Boden.")</f>
        <v>Der junge Athlet in Blue Uniform rannte in einer schmalen Spur, sprang auf den sandigen Boden.</v>
      </c>
    </row>
    <row r="13346">
      <c r="A13346" s="4" t="s">
        <v>16795</v>
      </c>
      <c r="B13346" s="4" t="s">
        <v>16796</v>
      </c>
      <c r="C13346" s="5" t="str">
        <f>IFERROR(__xludf.DUMMYFUNCTION("GOOGLETRANSLATE(B13346,""en"",""de"")"),"Drei Personen befinden sich in einem Nachrichtenraum und sprechen mit der Kamera.")</f>
        <v>Drei Personen befinden sich in einem Nachrichtenraum und sprechen mit der Kamera.</v>
      </c>
    </row>
    <row r="13347">
      <c r="A13347" s="4" t="s">
        <v>16795</v>
      </c>
      <c r="B13347" s="4" t="s">
        <v>16797</v>
      </c>
      <c r="C13347" s="5" t="str">
        <f>IFERROR(__xludf.DUMMYFUNCTION("GOOGLETRANSLATE(B13347,""en"",""de"")"),"Ein Team spielt Eishockey und feiert beim Gewinn eines Spiels.")</f>
        <v>Ein Team spielt Eishockey und feiert beim Gewinn eines Spiels.</v>
      </c>
    </row>
    <row r="13348">
      <c r="A13348" s="4" t="s">
        <v>16795</v>
      </c>
      <c r="B13348" s="4" t="s">
        <v>16798</v>
      </c>
      <c r="C13348" s="5" t="str">
        <f>IFERROR(__xludf.DUMMYFUNCTION("GOOGLETRANSLATE(B13348,""en"",""de"")"),"Die glücklichen Teamkollegen lächeln danach für Interviews in der Umkleidekabine.")</f>
        <v>Die glücklichen Teamkollegen lächeln danach für Interviews in der Umkleidekabine.</v>
      </c>
    </row>
    <row r="13349">
      <c r="A13349" s="4" t="s">
        <v>16795</v>
      </c>
      <c r="B13349" s="4" t="s">
        <v>16799</v>
      </c>
      <c r="C13349" s="5" t="str">
        <f>IFERROR(__xludf.DUMMYFUNCTION("GOOGLETRANSLATE(B13349,""en"",""de"")"),"Die Nachrichtengerichte werden gezeigt, wie sie Nummernstöcke und Lachen halten.")</f>
        <v>Die Nachrichtengerichte werden gezeigt, wie sie Nummernstöcke und Lachen halten.</v>
      </c>
    </row>
    <row r="13350">
      <c r="A13350" s="4" t="s">
        <v>16800</v>
      </c>
      <c r="B13350" s="4" t="s">
        <v>16801</v>
      </c>
      <c r="C13350" s="5" t="str">
        <f>IFERROR(__xludf.DUMMYFUNCTION("GOOGLETRANSLATE(B13350,""en"",""de"")"),"Eine Frau wird gesehen, wie er Essen aus einem Kühlschrank zieht und mit einem Mädchen spricht, das die Treppe hinuntergeht.")</f>
        <v>Eine Frau wird gesehen, wie er Essen aus einem Kühlschrank zieht und mit einem Mädchen spricht, das die Treppe hinuntergeht.</v>
      </c>
    </row>
    <row r="13351">
      <c r="A13351" s="4" t="s">
        <v>16800</v>
      </c>
      <c r="B13351" s="4" t="s">
        <v>16802</v>
      </c>
      <c r="C13351" s="5" t="str">
        <f>IFERROR(__xludf.DUMMYFUNCTION("GOOGLETRANSLATE(B13351,""en"",""de"")"),"Sie sprechen weiter, wenn ein Mann ebenfalls die Treppe hinuntergeht.")</f>
        <v>Sie sprechen weiter, wenn ein Mann ebenfalls die Treppe hinuntergeht.</v>
      </c>
    </row>
    <row r="13352">
      <c r="A13352" s="4" t="s">
        <v>16800</v>
      </c>
      <c r="B13352" s="4" t="s">
        <v>16803</v>
      </c>
      <c r="C13352" s="5" t="str">
        <f>IFERROR(__xludf.DUMMYFUNCTION("GOOGLETRANSLATE(B13352,""en"",""de"")"),"Die Frau und der Mann sprechen dann und die andere Frau geht nach oben.")</f>
        <v>Die Frau und der Mann sprechen dann und die andere Frau geht nach oben.</v>
      </c>
    </row>
    <row r="13353">
      <c r="A13353" s="4" t="s">
        <v>16804</v>
      </c>
      <c r="B13353" s="4" t="s">
        <v>1487</v>
      </c>
      <c r="C13353" s="5" t="str">
        <f>IFERROR(__xludf.DUMMYFUNCTION("GOOGLETRANSLATE(B13353,""en"",""de"")"),"Wir sehen einen Öffnungsbildschirm.")</f>
        <v>Wir sehen einen Öffnungsbildschirm.</v>
      </c>
    </row>
    <row r="13354">
      <c r="A13354" s="4" t="s">
        <v>16804</v>
      </c>
      <c r="B13354" s="4" t="s">
        <v>16805</v>
      </c>
      <c r="C13354" s="5" t="str">
        <f>IFERROR(__xludf.DUMMYFUNCTION("GOOGLETRANSLATE(B13354,""en"",""de"")"),"Wir sehen eine Damenhände mit Nagellack auf ihnen.")</f>
        <v>Wir sehen eine Damenhände mit Nagellack auf ihnen.</v>
      </c>
    </row>
    <row r="13355">
      <c r="A13355" s="4" t="s">
        <v>16804</v>
      </c>
      <c r="B13355" s="4" t="s">
        <v>16806</v>
      </c>
      <c r="C13355" s="5" t="str">
        <f>IFERROR(__xludf.DUMMYFUNCTION("GOOGLETRANSLATE(B13355,""en"",""de"")"),"Die Dame legt Klebeband auf ihren Finger um ihren Nagel und legt sie klar und weiße Lack auf sie.")</f>
        <v>Die Dame legt Klebeband auf ihren Finger um ihren Nagel und legt sie klar und weiße Lack auf sie.</v>
      </c>
    </row>
    <row r="13356">
      <c r="A13356" s="4" t="s">
        <v>16804</v>
      </c>
      <c r="B13356" s="4" t="s">
        <v>16807</v>
      </c>
      <c r="C13356" s="5" t="str">
        <f>IFERROR(__xludf.DUMMYFUNCTION("GOOGLETRANSLATE(B13356,""en"",""de"")"),"Die Dame fügt einem Glas Flüssigkeit Tropfen Nagellack hinzu und zieht es durch.")</f>
        <v>Die Dame fügt einem Glas Flüssigkeit Tropfen Nagellack hinzu und zieht es durch.</v>
      </c>
    </row>
    <row r="13357">
      <c r="A13357" s="4" t="s">
        <v>16804</v>
      </c>
      <c r="B13357" s="4" t="s">
        <v>16808</v>
      </c>
      <c r="C13357" s="5" t="str">
        <f>IFERROR(__xludf.DUMMYFUNCTION("GOOGLETRANSLATE(B13357,""en"",""de"")"),"Die Dame steckt ihren Nagel in die Tasse und verwendet einen Stock, um den Lack zu entfernen.")</f>
        <v>Die Dame steckt ihren Nagel in die Tasse und verwendet einen Stock, um den Lack zu entfernen.</v>
      </c>
    </row>
    <row r="13358">
      <c r="A13358" s="4" t="s">
        <v>16804</v>
      </c>
      <c r="B13358" s="4" t="s">
        <v>16809</v>
      </c>
      <c r="C13358" s="5" t="str">
        <f>IFERROR(__xludf.DUMMYFUNCTION("GOOGLETRANSLATE(B13358,""en"",""de"")"),"Die Dame zieht das Band von dann einen klaren Mantel über ihre Fingernägel.")</f>
        <v>Die Dame zieht das Band von dann einen klaren Mantel über ihre Fingernägel.</v>
      </c>
    </row>
    <row r="13359">
      <c r="A13359" s="4" t="s">
        <v>16804</v>
      </c>
      <c r="B13359" s="4" t="s">
        <v>5107</v>
      </c>
      <c r="C13359" s="5" t="str">
        <f>IFERROR(__xludf.DUMMYFUNCTION("GOOGLETRANSLATE(B13359,""en"",""de"")"),"Wir sehen dann den Ende des Endtitels.")</f>
        <v>Wir sehen dann den Ende des Endtitels.</v>
      </c>
    </row>
    <row r="13360">
      <c r="A13360" s="4" t="s">
        <v>16810</v>
      </c>
      <c r="B13360" s="4" t="s">
        <v>16811</v>
      </c>
      <c r="C13360" s="5" t="str">
        <f>IFERROR(__xludf.DUMMYFUNCTION("GOOGLETRANSLATE(B13360,""en"",""de"")"),"Eine Frau ist auf der Bühne und macht eine Bauch -Tanzroutine, sie ist sehr leidenschaftlich.")</f>
        <v>Eine Frau ist auf der Bühne und macht eine Bauch -Tanzroutine, sie ist sehr leidenschaftlich.</v>
      </c>
    </row>
    <row r="13361">
      <c r="A13361" s="4" t="s">
        <v>16810</v>
      </c>
      <c r="B13361" s="4" t="s">
        <v>16812</v>
      </c>
      <c r="C13361" s="5" t="str">
        <f>IFERROR(__xludf.DUMMYFUNCTION("GOOGLETRANSLATE(B13361,""en"",""de"")"),"Sie beginnt sich im Kreis zu drehen, ihr Kleid wirbelte mit ihr zusammen.")</f>
        <v>Sie beginnt sich im Kreis zu drehen, ihr Kleid wirbelte mit ihr zusammen.</v>
      </c>
    </row>
    <row r="13362">
      <c r="A13362" s="4" t="s">
        <v>16810</v>
      </c>
      <c r="B13362" s="4" t="s">
        <v>16813</v>
      </c>
      <c r="C13362" s="5" t="str">
        <f>IFERROR(__xludf.DUMMYFUNCTION("GOOGLETRANSLATE(B13362,""en"",""de"")"),"Ihr Kleid kommt über den Kopf und dann bis zu ihren Schultern, sie dreht sich weiter im Kreis und nimmt das Kleid ab und hält es wie ein Baby.")</f>
        <v>Ihr Kleid kommt über den Kopf und dann bis zu ihren Schultern, sie dreht sich weiter im Kreis und nimmt das Kleid ab und hält es wie ein Baby.</v>
      </c>
    </row>
    <row r="13363">
      <c r="A13363" s="4" t="s">
        <v>16810</v>
      </c>
      <c r="B13363" s="4" t="s">
        <v>16814</v>
      </c>
      <c r="C13363" s="5" t="str">
        <f>IFERROR(__xludf.DUMMYFUNCTION("GOOGLETRANSLATE(B13363,""en"",""de"")"),"Sie kehrt zurück, bis ihr Tanz vorbei ist und dann zu Boden fällt.")</f>
        <v>Sie kehrt zurück, bis ihr Tanz vorbei ist und dann zu Boden fällt.</v>
      </c>
    </row>
    <row r="13364">
      <c r="A13364" s="4" t="s">
        <v>16815</v>
      </c>
      <c r="B13364" s="4" t="s">
        <v>16816</v>
      </c>
      <c r="C13364" s="5" t="str">
        <f>IFERROR(__xludf.DUMMYFUNCTION("GOOGLETRANSLATE(B13364,""en"",""de"")"),"Eine Frau und ein Mädchen versuchen, einen Hund zu duschen.")</f>
        <v>Eine Frau und ein Mädchen versuchen, einen Hund zu duschen.</v>
      </c>
    </row>
    <row r="13365">
      <c r="A13365" s="4" t="s">
        <v>16815</v>
      </c>
      <c r="B13365" s="4" t="s">
        <v>16817</v>
      </c>
      <c r="C13365" s="5" t="str">
        <f>IFERROR(__xludf.DUMMYFUNCTION("GOOGLETRANSLATE(B13365,""en"",""de"")"),"Der Hund springt immer wieder heraus.")</f>
        <v>Der Hund springt immer wieder heraus.</v>
      </c>
    </row>
    <row r="13366">
      <c r="A13366" s="4" t="s">
        <v>16815</v>
      </c>
      <c r="B13366" s="4" t="s">
        <v>16818</v>
      </c>
      <c r="C13366" s="5" t="str">
        <f>IFERROR(__xludf.DUMMYFUNCTION("GOOGLETRANSLATE(B13366,""en"",""de"")"),"Sie geben dem Hund schließlich ein Bad im Freien mit einem Schlauch.")</f>
        <v>Sie geben dem Hund schließlich ein Bad im Freien mit einem Schlauch.</v>
      </c>
    </row>
    <row r="13367">
      <c r="A13367" s="4" t="s">
        <v>16819</v>
      </c>
      <c r="B13367" s="4" t="s">
        <v>16820</v>
      </c>
      <c r="C13367" s="5" t="str">
        <f>IFERROR(__xludf.DUMMYFUNCTION("GOOGLETRANSLATE(B13367,""en"",""de"")"),"Ein Mann Snowboards über schneebedeckten Hängen und Hügeln und mehrere andere Gegenstände wie Geländer, Dächer, Garagen und Baumstümpfen.")</f>
        <v>Ein Mann Snowboards über schneebedeckten Hängen und Hügeln und mehrere andere Gegenstände wie Geländer, Dächer, Garagen und Baumstümpfen.</v>
      </c>
    </row>
    <row r="13368">
      <c r="A13368" s="4" t="s">
        <v>16819</v>
      </c>
      <c r="B13368" s="4" t="s">
        <v>16821</v>
      </c>
      <c r="C13368" s="5" t="str">
        <f>IFERROR(__xludf.DUMMYFUNCTION("GOOGLETRANSLATE(B13368,""en"",""de"")"),"Ein Mann Snowboard über schneebedeckten Hügel.")</f>
        <v>Ein Mann Snowboard über schneebedeckten Hügel.</v>
      </c>
    </row>
    <row r="13369">
      <c r="A13369" s="4" t="s">
        <v>16819</v>
      </c>
      <c r="B13369" s="4" t="s">
        <v>16822</v>
      </c>
      <c r="C13369" s="5" t="str">
        <f>IFERROR(__xludf.DUMMYFUNCTION("GOOGLETRANSLATE(B13369,""en"",""de"")"),"Der Mann senkt sich dann weiter von einem Garagendach, einem Treppengeländer und mehreren anderen Orten.")</f>
        <v>Der Mann senkt sich dann weiter von einem Garagendach, einem Treppengeländer und mehreren anderen Orten.</v>
      </c>
    </row>
    <row r="13370">
      <c r="A13370" s="4" t="s">
        <v>16819</v>
      </c>
      <c r="B13370" s="4" t="s">
        <v>16823</v>
      </c>
      <c r="C13370" s="5" t="str">
        <f>IFERROR(__xludf.DUMMYFUNCTION("GOOGLETRANSLATE(B13370,""en"",""de"")"),"Der Mann dreht im letzten Schuss einen vollständigen Dreh im Schnee.")</f>
        <v>Der Mann dreht im letzten Schuss einen vollständigen Dreh im Schnee.</v>
      </c>
    </row>
    <row r="13371">
      <c r="A13371" s="4" t="s">
        <v>16824</v>
      </c>
      <c r="B13371" s="4" t="s">
        <v>16825</v>
      </c>
      <c r="C13371" s="5" t="str">
        <f>IFERROR(__xludf.DUMMYFUNCTION("GOOGLETRANSLATE(B13371,""en"",""de"")"),"Ein Junge spügt sein Gesicht mit Wasser in einem Waschbecken aus.")</f>
        <v>Ein Junge spügt sein Gesicht mit Wasser in einem Waschbecken aus.</v>
      </c>
    </row>
    <row r="13372">
      <c r="A13372" s="4" t="s">
        <v>16824</v>
      </c>
      <c r="B13372" s="4" t="s">
        <v>16826</v>
      </c>
      <c r="C13372" s="5" t="str">
        <f>IFERROR(__xludf.DUMMYFUNCTION("GOOGLETRANSLATE(B13372,""en"",""de"")"),"Die Jungs lachen und scherzen zusammen im Badezimmer.")</f>
        <v>Die Jungs lachen und scherzen zusammen im Badezimmer.</v>
      </c>
    </row>
    <row r="13373">
      <c r="A13373" s="4" t="s">
        <v>16824</v>
      </c>
      <c r="B13373" s="4" t="s">
        <v>16827</v>
      </c>
      <c r="C13373" s="5" t="str">
        <f>IFERROR(__xludf.DUMMYFUNCTION("GOOGLETRANSLATE(B13373,""en"",""de"")"),"Ein Junge reibt Seife an seinen Händen und dann auf sein Gesicht.")</f>
        <v>Ein Junge reibt Seife an seinen Händen und dann auf sein Gesicht.</v>
      </c>
    </row>
    <row r="13374">
      <c r="A13374" s="4" t="s">
        <v>16824</v>
      </c>
      <c r="B13374" s="4" t="s">
        <v>16828</v>
      </c>
      <c r="C13374" s="5" t="str">
        <f>IFERROR(__xludf.DUMMYFUNCTION("GOOGLETRANSLATE(B13374,""en"",""de"")"),"Der Junge spült die Seife von seinem Gesicht im Waschbecken ab.")</f>
        <v>Der Junge spült die Seife von seinem Gesicht im Waschbecken ab.</v>
      </c>
    </row>
    <row r="13375">
      <c r="A13375" s="4" t="s">
        <v>16824</v>
      </c>
      <c r="B13375" s="4" t="s">
        <v>16829</v>
      </c>
      <c r="C13375" s="5" t="str">
        <f>IFERROR(__xludf.DUMMYFUNCTION("GOOGLETRANSLATE(B13375,""en"",""de"")"),"Der Junge rollt das Handtuch hoch und wirft es in die Ecke des Raumes.")</f>
        <v>Der Junge rollt das Handtuch hoch und wirft es in die Ecke des Raumes.</v>
      </c>
    </row>
    <row r="13376">
      <c r="A13376" s="4" t="s">
        <v>16830</v>
      </c>
      <c r="B13376" s="4" t="s">
        <v>16831</v>
      </c>
      <c r="C13376" s="5" t="str">
        <f>IFERROR(__xludf.DUMMYFUNCTION("GOOGLETRANSLATE(B13376,""en"",""de"")"),"Ein alter Mann dreht ein Skateboard mit den Füßen, nimmt es dann zu und wirft ihn auf den Boden und schließt.")</f>
        <v>Ein alter Mann dreht ein Skateboard mit den Füßen, nimmt es dann zu und wirft ihn auf den Boden und schließt.</v>
      </c>
    </row>
    <row r="13377">
      <c r="A13377" s="4" t="s">
        <v>16830</v>
      </c>
      <c r="B13377" s="4" t="s">
        <v>16832</v>
      </c>
      <c r="C13377" s="5" t="str">
        <f>IFERROR(__xludf.DUMMYFUNCTION("GOOGLETRANSLATE(B13377,""en"",""de"")"),"Danach schlug der Mann mit seinem Fuß das Skateboard und er hebt hoch, der Mann versucht das Skateboard zu fangen, aber er vermisst es.")</f>
        <v>Danach schlug der Mann mit seinem Fuß das Skateboard und er hebt hoch, der Mann versucht das Skateboard zu fangen, aber er vermisst es.</v>
      </c>
    </row>
    <row r="13378">
      <c r="A13378" s="4" t="s">
        <v>16830</v>
      </c>
      <c r="B13378" s="4" t="s">
        <v>16833</v>
      </c>
      <c r="C13378" s="5" t="str">
        <f>IFERROR(__xludf.DUMMYFUNCTION("GOOGLETRANSLATE(B13378,""en"",""de"")"),"Ein Junge wird fast mit einem Skateboard getroffen.")</f>
        <v>Ein Junge wird fast mit einem Skateboard getroffen.</v>
      </c>
    </row>
    <row r="13379">
      <c r="A13379" s="4" t="s">
        <v>16830</v>
      </c>
      <c r="B13379" s="4" t="s">
        <v>16834</v>
      </c>
      <c r="C13379" s="5" t="str">
        <f>IFERROR(__xludf.DUMMYFUNCTION("GOOGLETRANSLATE(B13379,""en"",""de"")"),"Dann skaten der Mann im Park und geht dann zu einer Skateboard -Strecke.")</f>
        <v>Dann skaten der Mann im Park und geht dann zu einer Skateboard -Strecke.</v>
      </c>
    </row>
    <row r="13380">
      <c r="A13380" s="4" t="s">
        <v>16835</v>
      </c>
      <c r="B13380" s="4" t="s">
        <v>16836</v>
      </c>
      <c r="C13380" s="5" t="str">
        <f>IFERROR(__xludf.DUMMYFUNCTION("GOOGLETRANSLATE(B13380,""en"",""de"")"),"Ein kleiner Junge in einem blauen Pullover springt von der Seite heraus und steht vor einem Pfeilbrett.")</f>
        <v>Ein kleiner Junge in einem blauen Pullover springt von der Seite heraus und steht vor einem Pfeilbrett.</v>
      </c>
    </row>
    <row r="13381">
      <c r="A13381" s="4" t="s">
        <v>16835</v>
      </c>
      <c r="B13381" s="4" t="s">
        <v>16837</v>
      </c>
      <c r="C13381" s="5" t="str">
        <f>IFERROR(__xludf.DUMMYFUNCTION("GOOGLETRANSLATE(B13381,""en"",""de"")"),"Sobald er sich beruhigt, dreht er sich um und wirft Darts auf das Brett.")</f>
        <v>Sobald er sich beruhigt, dreht er sich um und wirft Darts auf das Brett.</v>
      </c>
    </row>
    <row r="13382">
      <c r="A13382" s="4" t="s">
        <v>16835</v>
      </c>
      <c r="B13382" s="4" t="s">
        <v>16838</v>
      </c>
      <c r="C13382" s="5" t="str">
        <f>IFERROR(__xludf.DUMMYFUNCTION("GOOGLETRANSLATE(B13382,""en"",""de"")"),"Nachdem alle Darts geworfen wurden, zoomt die Kamera in die Darts, um zu zeigen, was er getan hat.")</f>
        <v>Nachdem alle Darts geworfen wurden, zoomt die Kamera in die Darts, um zu zeigen, was er getan hat.</v>
      </c>
    </row>
    <row r="13383">
      <c r="A13383" s="4" t="s">
        <v>16839</v>
      </c>
      <c r="B13383" s="4" t="s">
        <v>16840</v>
      </c>
      <c r="C13383" s="5" t="str">
        <f>IFERROR(__xludf.DUMMYFUNCTION("GOOGLETRANSLATE(B13383,""en"",""de"")"),"Ein Mann in einem schwarzen Hut spricht mit der Kamera.")</f>
        <v>Ein Mann in einem schwarzen Hut spricht mit der Kamera.</v>
      </c>
    </row>
    <row r="13384">
      <c r="A13384" s="4" t="s">
        <v>16839</v>
      </c>
      <c r="B13384" s="4" t="s">
        <v>16841</v>
      </c>
      <c r="C13384" s="5" t="str">
        <f>IFERROR(__xludf.DUMMYFUNCTION("GOOGLETRANSLATE(B13384,""en"",""de"")"),"Er beginnt eine Geige auf der Schulter zu spielen.")</f>
        <v>Er beginnt eine Geige auf der Schulter zu spielen.</v>
      </c>
    </row>
    <row r="13385">
      <c r="A13385" s="4" t="s">
        <v>16839</v>
      </c>
      <c r="B13385" s="4" t="s">
        <v>16842</v>
      </c>
      <c r="C13385" s="5" t="str">
        <f>IFERROR(__xludf.DUMMYFUNCTION("GOOGLETRANSLATE(B13385,""en"",""de"")"),"Er hört auf zu spielen und legt die Geige auf seine Seite.")</f>
        <v>Er hört auf zu spielen und legt die Geige auf seine Seite.</v>
      </c>
    </row>
    <row r="13386">
      <c r="A13386" s="4" t="s">
        <v>16843</v>
      </c>
      <c r="B13386" s="4" t="s">
        <v>16844</v>
      </c>
      <c r="C13386" s="5" t="str">
        <f>IFERROR(__xludf.DUMMYFUNCTION("GOOGLETRANSLATE(B13386,""en"",""de"")"),"Ein Mann und ein Hund sind in einem Feld draußen und der Hund hält die Frisbee zwischen seinen Beinen und der Hund springt über den Rücken der Person und holt die Frisbee.")</f>
        <v>Ein Mann und ein Hund sind in einem Feld draußen und der Hund hält die Frisbee zwischen seinen Beinen und der Hund springt über den Rücken der Person und holt die Frisbee.</v>
      </c>
    </row>
    <row r="13387">
      <c r="A13387" s="4" t="s">
        <v>16843</v>
      </c>
      <c r="B13387" s="4" t="s">
        <v>16845</v>
      </c>
      <c r="C13387" s="5" t="str">
        <f>IFERROR(__xludf.DUMMYFUNCTION("GOOGLETRANSLATE(B13387,""en"",""de"")"),"Das Spiel geht weiter und die beiden spielen weiterhin mit der Frisbee, während der Besitzer seine Beine für den Hund aufstellt.")</f>
        <v>Das Spiel geht weiter und die beiden spielen weiterhin mit der Frisbee, während der Besitzer seine Beine für den Hund aufstellt.</v>
      </c>
    </row>
    <row r="13388">
      <c r="A13388" s="4" t="s">
        <v>16843</v>
      </c>
      <c r="B13388" s="4" t="s">
        <v>16846</v>
      </c>
      <c r="C13388" s="5" t="str">
        <f>IFERROR(__xludf.DUMMYFUNCTION("GOOGLETRANSLATE(B13388,""en"",""de"")"),"Jetzt hat der Mensch vier oder fünf Frisbees und beginnt sie schnell zu werfen, damit der Hund bekommen kann.")</f>
        <v>Jetzt hat der Mensch vier oder fünf Frisbees und beginnt sie schnell zu werfen, damit der Hund bekommen kann.</v>
      </c>
    </row>
    <row r="13389">
      <c r="A13389" s="4" t="s">
        <v>16847</v>
      </c>
      <c r="B13389" s="4" t="s">
        <v>16848</v>
      </c>
      <c r="C13389" s="5" t="str">
        <f>IFERROR(__xludf.DUMMYFUNCTION("GOOGLETRANSLATE(B13389,""en"",""de"")"),"Eine Ansicht eines Hauses wird kurz gezeigt.")</f>
        <v>Eine Ansicht eines Hauses wird kurz gezeigt.</v>
      </c>
    </row>
    <row r="13390">
      <c r="A13390" s="4" t="s">
        <v>16847</v>
      </c>
      <c r="B13390" s="4" t="s">
        <v>16849</v>
      </c>
      <c r="C13390" s="5" t="str">
        <f>IFERROR(__xludf.DUMMYFUNCTION("GOOGLETRANSLATE(B13390,""en"",""de"")"),"Es schwenkt in einen anderen Raum und es zeigt ein kleines Kind, das an einem Drum -Set sitzt, an einem Schnuller saugt und zwei Trommelsticks hält und das Schlagzeug schlägt.")</f>
        <v>Es schwenkt in einen anderen Raum und es zeigt ein kleines Kind, das an einem Drum -Set sitzt, an einem Schnuller saugt und zwei Trommelsticks hält und das Schlagzeug schlägt.</v>
      </c>
    </row>
    <row r="13391">
      <c r="A13391" s="4" t="s">
        <v>16847</v>
      </c>
      <c r="B13391" s="4" t="s">
        <v>16850</v>
      </c>
      <c r="C13391" s="5" t="str">
        <f>IFERROR(__xludf.DUMMYFUNCTION("GOOGLETRANSLATE(B13391,""en"",""de"")"),"Das Kind trifft ein paar Mal mit seiner linken Hand die Becken, dann greift es nach den Trommelstämen und trifft alle Trommeln.")</f>
        <v>Das Kind trifft ein paar Mal mit seiner linken Hand die Becken, dann greift es nach den Trommelstämen und trifft alle Trommeln.</v>
      </c>
    </row>
    <row r="13392">
      <c r="A13392" s="4" t="s">
        <v>16851</v>
      </c>
      <c r="B13392" s="4" t="s">
        <v>16852</v>
      </c>
      <c r="C13392" s="5" t="str">
        <f>IFERROR(__xludf.DUMMYFUNCTION("GOOGLETRANSLATE(B13392,""en"",""de"")"),"Zwei Männer halten Hände mit einem Schiedsrichter, der sie zusammenhält, und führt in ein Arm -Wrestling -Match.")</f>
        <v>Zwei Männer halten Hände mit einem Schiedsrichter, der sie zusammenhält, und führt in ein Arm -Wrestling -Match.</v>
      </c>
    </row>
    <row r="13393">
      <c r="A13393" s="4" t="s">
        <v>16851</v>
      </c>
      <c r="B13393" s="4" t="s">
        <v>16853</v>
      </c>
      <c r="C13393" s="5" t="str">
        <f>IFERROR(__xludf.DUMMYFUNCTION("GOOGLETRANSLATE(B13393,""en"",""de"")"),"Ein Mann gewinnt und fährt dann um, um mehrere weitere Menschen zu ringen.")</f>
        <v>Ein Mann gewinnt und fährt dann um, um mehrere weitere Menschen zu ringen.</v>
      </c>
    </row>
    <row r="13394">
      <c r="A13394" s="4" t="s">
        <v>16854</v>
      </c>
      <c r="B13394" s="4" t="s">
        <v>16855</v>
      </c>
      <c r="C13394" s="5" t="str">
        <f>IFERROR(__xludf.DUMMYFUNCTION("GOOGLETRANSLATE(B13394,""en"",""de"")"),"Ein Mann spricht draußen in einem Garten.")</f>
        <v>Ein Mann spricht draußen in einem Garten.</v>
      </c>
    </row>
    <row r="13395">
      <c r="A13395" s="4" t="s">
        <v>16854</v>
      </c>
      <c r="B13395" s="4" t="s">
        <v>16856</v>
      </c>
      <c r="C13395" s="5" t="str">
        <f>IFERROR(__xludf.DUMMYFUNCTION("GOOGLETRANSLATE(B13395,""en"",""de"")"),"Er hält ein Taschenmesser in der Hand.")</f>
        <v>Er hält ein Taschenmesser in der Hand.</v>
      </c>
    </row>
    <row r="13396">
      <c r="A13396" s="4" t="s">
        <v>16854</v>
      </c>
      <c r="B13396" s="4" t="s">
        <v>16857</v>
      </c>
      <c r="C13396" s="5" t="str">
        <f>IFERROR(__xludf.DUMMYFUNCTION("GOOGLETRANSLATE(B13396,""en"",""de"")"),"Er benutzt einen Stein, um das Messer für die Kamera zu schärfen.")</f>
        <v>Er benutzt einen Stein, um das Messer für die Kamera zu schärfen.</v>
      </c>
    </row>
    <row r="13397">
      <c r="A13397" s="4" t="s">
        <v>16858</v>
      </c>
      <c r="B13397" s="4" t="s">
        <v>16859</v>
      </c>
      <c r="C13397" s="5" t="str">
        <f>IFERROR(__xludf.DUMMYFUNCTION("GOOGLETRANSLATE(B13397,""en"",""de"")"),"Die Menschen stehen im Kreis klatschen.")</f>
        <v>Die Menschen stehen im Kreis klatschen.</v>
      </c>
    </row>
    <row r="13398">
      <c r="A13398" s="4" t="s">
        <v>16858</v>
      </c>
      <c r="B13398" s="4" t="s">
        <v>16860</v>
      </c>
      <c r="C13398" s="5" t="str">
        <f>IFERROR(__xludf.DUMMYFUNCTION("GOOGLETRANSLATE(B13398,""en"",""de"")"),"Zwei Leute kämpfen im Kreis.")</f>
        <v>Zwei Leute kämpfen im Kreis.</v>
      </c>
    </row>
    <row r="13399">
      <c r="A13399" s="4" t="s">
        <v>16858</v>
      </c>
      <c r="B13399" s="4" t="s">
        <v>16861</v>
      </c>
      <c r="C13399" s="5" t="str">
        <f>IFERROR(__xludf.DUMMYFUNCTION("GOOGLETRANSLATE(B13399,""en"",""de"")"),"Frauen tanzen und halten Stöcke.")</f>
        <v>Frauen tanzen und halten Stöcke.</v>
      </c>
    </row>
    <row r="13400">
      <c r="A13400" s="4" t="s">
        <v>16862</v>
      </c>
      <c r="B13400" s="4" t="s">
        <v>16863</v>
      </c>
      <c r="C13400" s="5" t="str">
        <f>IFERROR(__xludf.DUMMYFUNCTION("GOOGLETRANSLATE(B13400,""en"",""de"")"),"Ein sportlicher Mann wird zu sehen, der sich auf eine Reihe von ungleichmäßigen Bars ausstößt und seine Arme auf den Vorsprung setzt, um bereit zu sein.")</f>
        <v>Ein sportlicher Mann wird zu sehen, der sich auf eine Reihe von ungleichmäßigen Bars ausstößt und seine Arme auf den Vorsprung setzt, um bereit zu sein.</v>
      </c>
    </row>
    <row r="13401">
      <c r="A13401" s="4" t="s">
        <v>16862</v>
      </c>
      <c r="B13401" s="4" t="s">
        <v>16864</v>
      </c>
      <c r="C13401" s="5" t="str">
        <f>IFERROR(__xludf.DUMMYFUNCTION("GOOGLETRANSLATE(B13401,""en"",""de"")"),"Der Mann dreht sich weiterhin um Flips und Tricks auf den ungleichmäßigen Bars.")</f>
        <v>Der Mann dreht sich weiterhin um Flips und Tricks auf den ungleichmäßigen Bars.</v>
      </c>
    </row>
    <row r="13402">
      <c r="A13402" s="4" t="s">
        <v>16862</v>
      </c>
      <c r="B13402" s="4" t="s">
        <v>16865</v>
      </c>
      <c r="C13402" s="5" t="str">
        <f>IFERROR(__xludf.DUMMYFUNCTION("GOOGLETRANSLATE(B13402,""en"",""de"")"),"Der Mann flieht weiter herum und endet, indem er wackelt, aber seine Hände nach oben drückt.")</f>
        <v>Der Mann flieht weiter herum und endet, indem er wackelt, aber seine Hände nach oben drückt.</v>
      </c>
    </row>
    <row r="13403">
      <c r="A13403" s="4" t="s">
        <v>16866</v>
      </c>
      <c r="B13403" s="4" t="s">
        <v>16867</v>
      </c>
      <c r="C13403" s="5" t="str">
        <f>IFERROR(__xludf.DUMMYFUNCTION("GOOGLETRANSLATE(B13403,""en"",""de"")"),"Ein Mann geht bis zum Ende eines Tisches, der ein paar rote Tassen in einem Dreieck arrangiert hat.")</f>
        <v>Ein Mann geht bis zum Ende eines Tisches, der ein paar rote Tassen in einem Dreieck arrangiert hat.</v>
      </c>
    </row>
    <row r="13404">
      <c r="A13404" s="4" t="s">
        <v>16866</v>
      </c>
      <c r="B13404" s="4" t="s">
        <v>16868</v>
      </c>
      <c r="C13404" s="5" t="str">
        <f>IFERROR(__xludf.DUMMYFUNCTION("GOOGLETRANSLATE(B13404,""en"",""de"")"),"Er beginnt einen Ball in die Tassen zu werfen.")</f>
        <v>Er beginnt einen Ball in die Tassen zu werfen.</v>
      </c>
    </row>
    <row r="13405">
      <c r="A13405" s="4" t="s">
        <v>16866</v>
      </c>
      <c r="B13405" s="4" t="s">
        <v>16869</v>
      </c>
      <c r="C13405" s="5" t="str">
        <f>IFERROR(__xludf.DUMMYFUNCTION("GOOGLETRANSLATE(B13405,""en"",""de"")"),"Das Video geht schwarz und eine Grafik scheint den Clip zu schließen.")</f>
        <v>Das Video geht schwarz und eine Grafik scheint den Clip zu schließen.</v>
      </c>
    </row>
    <row r="13406">
      <c r="A13406" s="4" t="s">
        <v>16870</v>
      </c>
      <c r="B13406" s="4" t="s">
        <v>16871</v>
      </c>
      <c r="C13406" s="5" t="str">
        <f>IFERROR(__xludf.DUMMYFUNCTION("GOOGLETRANSLATE(B13406,""en"",""de"")"),"Eine Frau in einem schwarzen Hemd tanzt.")</f>
        <v>Eine Frau in einem schwarzen Hemd tanzt.</v>
      </c>
    </row>
    <row r="13407">
      <c r="A13407" s="4" t="s">
        <v>16870</v>
      </c>
      <c r="B13407" s="4" t="s">
        <v>16872</v>
      </c>
      <c r="C13407" s="5" t="str">
        <f>IFERROR(__xludf.DUMMYFUNCTION("GOOGLETRANSLATE(B13407,""en"",""de"")"),"Sie dreht einen Schlagstock.")</f>
        <v>Sie dreht einen Schlagstock.</v>
      </c>
    </row>
    <row r="13408">
      <c r="A13408" s="4" t="s">
        <v>16870</v>
      </c>
      <c r="B13408" s="4" t="s">
        <v>16873</v>
      </c>
      <c r="C13408" s="5" t="str">
        <f>IFERROR(__xludf.DUMMYFUNCTION("GOOGLETRANSLATE(B13408,""en"",""de"")"),"Sie fängt den Staffelstab und wirbelt.")</f>
        <v>Sie fängt den Staffelstab und wirbelt.</v>
      </c>
    </row>
    <row r="13409">
      <c r="A13409" s="4" t="s">
        <v>16874</v>
      </c>
      <c r="B13409" s="4" t="s">
        <v>16875</v>
      </c>
      <c r="C13409" s="5" t="str">
        <f>IFERROR(__xludf.DUMMYFUNCTION("GOOGLETRANSLATE(B13409,""en"",""de"")"),"Eine Gruppe reist zu einem Fluss und gerät in aufblasbare Flöße.")</f>
        <v>Eine Gruppe reist zu einem Fluss und gerät in aufblasbare Flöße.</v>
      </c>
    </row>
    <row r="13410">
      <c r="A13410" s="4" t="s">
        <v>16874</v>
      </c>
      <c r="B13410" s="4" t="s">
        <v>16876</v>
      </c>
      <c r="C13410" s="5" t="str">
        <f>IFERROR(__xludf.DUMMYFUNCTION("GOOGLETRANSLATE(B13410,""en"",""de"")"),"Sie paddeln schnell den Fluss durch die wütenden weißen Stromschnellen und über kleine Wasserfälle.")</f>
        <v>Sie paddeln schnell den Fluss durch die wütenden weißen Stromschnellen und über kleine Wasserfälle.</v>
      </c>
    </row>
    <row r="13411">
      <c r="A13411" s="4" t="s">
        <v>16874</v>
      </c>
      <c r="B13411" s="4" t="s">
        <v>16877</v>
      </c>
      <c r="C13411" s="5" t="str">
        <f>IFERROR(__xludf.DUMMYFUNCTION("GOOGLETRANSLATE(B13411,""en"",""de"")"),"Sie schweben langsam zurück, als Wasser aus einem Sturz auf sie abspritzt.")</f>
        <v>Sie schweben langsam zurück, als Wasser aus einem Sturz auf sie abspritzt.</v>
      </c>
    </row>
    <row r="13412">
      <c r="A13412" s="4" t="s">
        <v>16878</v>
      </c>
      <c r="B13412" s="4" t="s">
        <v>16879</v>
      </c>
      <c r="C13412" s="5" t="str">
        <f>IFERROR(__xludf.DUMMYFUNCTION("GOOGLETRANSLATE(B13412,""en"",""de"")"),"Wir sehen das Gesicht eines Mannes aus der Nähe mit seinem Namen, der ihm auferlegt wird, als der Mann sich darauf vorbereitet, auf einer Strecke zu laufen.")</f>
        <v>Wir sehen das Gesicht eines Mannes aus der Nähe mit seinem Namen, der ihm auferlegt wird, als der Mann sich darauf vorbereitet, auf einer Strecke zu laufen.</v>
      </c>
    </row>
    <row r="13413">
      <c r="A13413" s="4" t="s">
        <v>16878</v>
      </c>
      <c r="B13413" s="4" t="s">
        <v>16880</v>
      </c>
      <c r="C13413" s="5" t="str">
        <f>IFERROR(__xludf.DUMMYFUNCTION("GOOGLETRANSLATE(B13413,""en"",""de"")"),"Der Mann rennt die Strecke hinunter und führt einen Weitsprung durch und wirft seine Arme in die Luft.")</f>
        <v>Der Mann rennt die Strecke hinunter und führt einen Weitsprung durch und wirft seine Arme in die Luft.</v>
      </c>
    </row>
    <row r="13414">
      <c r="A13414" s="4" t="s">
        <v>16878</v>
      </c>
      <c r="B13414" s="4" t="s">
        <v>16881</v>
      </c>
      <c r="C13414" s="5" t="str">
        <f>IFERROR(__xludf.DUMMYFUNCTION("GOOGLETRANSLATE(B13414,""en"",""de"")"),"Wir sehen einen anderen Mann, der seine Arme streckt.")</f>
        <v>Wir sehen einen anderen Mann, der seine Arme streckt.</v>
      </c>
    </row>
    <row r="13415">
      <c r="A13415" s="4" t="s">
        <v>16878</v>
      </c>
      <c r="B13415" s="4" t="s">
        <v>16882</v>
      </c>
      <c r="C13415" s="5" t="str">
        <f>IFERROR(__xludf.DUMMYFUNCTION("GOOGLETRANSLATE(B13415,""en"",""de"")"),"Der Jumper wartet darauf, dass die Ergebnisse auf dem Bildschirm erscheinen und der Mann, der sprang, in die Luft und rennt weg.")</f>
        <v>Der Jumper wartet darauf, dass die Ergebnisse auf dem Bildschirm erscheinen und der Mann, der sprang, in die Luft und rennt weg.</v>
      </c>
    </row>
    <row r="13416">
      <c r="A13416" s="4" t="s">
        <v>16878</v>
      </c>
      <c r="B13416" s="4" t="s">
        <v>16883</v>
      </c>
      <c r="C13416" s="5" t="str">
        <f>IFERROR(__xludf.DUMMYFUNCTION("GOOGLETRANSLATE(B13416,""en"",""de"")"),"Eine Antwort des Sprunges wird gespielt.")</f>
        <v>Eine Antwort des Sprunges wird gespielt.</v>
      </c>
    </row>
    <row r="13417">
      <c r="A13417" s="4" t="s">
        <v>16884</v>
      </c>
      <c r="B13417" s="4" t="s">
        <v>16885</v>
      </c>
      <c r="C13417" s="5" t="str">
        <f>IFERROR(__xludf.DUMMYFUNCTION("GOOGLETRANSLATE(B13417,""en"",""de"")"),"Eine Gruppe von Männern ist vor der Kamera, singt in einem Video und spricht.")</f>
        <v>Eine Gruppe von Männern ist vor der Kamera, singt in einem Video und spricht.</v>
      </c>
    </row>
    <row r="13418">
      <c r="A13418" s="4" t="s">
        <v>16884</v>
      </c>
      <c r="B13418" s="4" t="s">
        <v>16886</v>
      </c>
      <c r="C13418" s="5" t="str">
        <f>IFERROR(__xludf.DUMMYFUNCTION("GOOGLETRANSLATE(B13418,""en"",""de"")"),"Sie tragen Sonnenbrillen, wenn sie von viel zu einem lacküberdachten Lagerhaus wechseln.")</f>
        <v>Sie tragen Sonnenbrillen, wenn sie von viel zu einem lacküberdachten Lagerhaus wechseln.</v>
      </c>
    </row>
    <row r="13419">
      <c r="A13419" s="4" t="s">
        <v>16884</v>
      </c>
      <c r="B13419" s="4" t="s">
        <v>16887</v>
      </c>
      <c r="C13419" s="5" t="str">
        <f>IFERROR(__xludf.DUMMYFUNCTION("GOOGLETRANSLATE(B13419,""en"",""de"")"),"Ein Mann ist mit Farbe bedeckt und Boxhandschuhe trägt, während er sich an die Kamera schaut.")</f>
        <v>Ein Mann ist mit Farbe bedeckt und Boxhandschuhe trägt, während er sich an die Kamera schaut.</v>
      </c>
    </row>
    <row r="13420">
      <c r="A13420" s="4" t="s">
        <v>16888</v>
      </c>
      <c r="B13420" s="4" t="s">
        <v>16889</v>
      </c>
      <c r="C13420" s="5" t="str">
        <f>IFERROR(__xludf.DUMMYFUNCTION("GOOGLETRANSLATE(B13420,""en"",""de"")"),"Es gibt zwei Personen an einem Schneeschlauch, wo einer von ihnen Video ist, das seine Erfahrungen mit Schneeschläuchen mit seinem Freund aufzeichnet.")</f>
        <v>Es gibt zwei Personen an einem Schneeschlauch, wo einer von ihnen Video ist, das seine Erfahrungen mit Schneeschläuchen mit seinem Freund aufzeichnet.</v>
      </c>
    </row>
    <row r="13421">
      <c r="A13421" s="4" t="s">
        <v>16888</v>
      </c>
      <c r="B13421" s="4" t="s">
        <v>16890</v>
      </c>
      <c r="C13421" s="5" t="str">
        <f>IFERROR(__xludf.DUMMYFUNCTION("GOOGLETRANSLATE(B13421,""en"",""de"")"),"Es gibt eine Frau, die ein Eis aufnimmt, das auf Boden gefallen ist.")</f>
        <v>Es gibt eine Frau, die ein Eis aufnimmt, das auf Boden gefallen ist.</v>
      </c>
    </row>
    <row r="13422">
      <c r="A13422" s="4" t="s">
        <v>16888</v>
      </c>
      <c r="B13422" s="4" t="s">
        <v>16891</v>
      </c>
      <c r="C13422" s="5" t="str">
        <f>IFERROR(__xludf.DUMMYFUNCTION("GOOGLETRANSLATE(B13422,""en"",""de"")"),"Es gibt mehrere Personen, die in der Schlange warten, um Schneeschlauch zu gehen.")</f>
        <v>Es gibt mehrere Personen, die in der Schlange warten, um Schneeschlauch zu gehen.</v>
      </c>
    </row>
    <row r="13423">
      <c r="A13423" s="4" t="s">
        <v>16888</v>
      </c>
      <c r="B13423" s="4" t="s">
        <v>16892</v>
      </c>
      <c r="C13423" s="5" t="str">
        <f>IFERROR(__xludf.DUMMYFUNCTION("GOOGLETRANSLATE(B13423,""en"",""de"")"),"Nachdem sie die Oberseite des Hangs erreicht haben, kommen sie in ihre Röhren und beginnen bergab zu rutschen.")</f>
        <v>Nachdem sie die Oberseite des Hangs erreicht haben, kommen sie in ihre Röhren und beginnen bergab zu rutschen.</v>
      </c>
    </row>
    <row r="13424">
      <c r="A13424" s="4" t="s">
        <v>16888</v>
      </c>
      <c r="B13424" s="4" t="s">
        <v>16893</v>
      </c>
      <c r="C13424" s="5" t="str">
        <f>IFERROR(__xludf.DUMMYFUNCTION("GOOGLETRANSLATE(B13424,""en"",""de"")"),"Sie gehen die schneebedeckten Hänge hinunter, bis sie den Boden erreichen.")</f>
        <v>Sie gehen die schneebedeckten Hänge hinunter, bis sie den Boden erreichen.</v>
      </c>
    </row>
    <row r="13425">
      <c r="A13425" s="4" t="s">
        <v>16894</v>
      </c>
      <c r="B13425" s="4" t="s">
        <v>16895</v>
      </c>
      <c r="C13425" s="5" t="str">
        <f>IFERROR(__xludf.DUMMYFUNCTION("GOOGLETRANSLATE(B13425,""en"",""de"")"),"Die Menschen stehen an einem Camp -Gelände, der Holz hackt.")</f>
        <v>Die Menschen stehen an einem Camp -Gelände, der Holz hackt.</v>
      </c>
    </row>
    <row r="13426">
      <c r="A13426" s="4" t="s">
        <v>16894</v>
      </c>
      <c r="B13426" s="4" t="s">
        <v>16896</v>
      </c>
      <c r="C13426" s="5" t="str">
        <f>IFERROR(__xludf.DUMMYFUNCTION("GOOGLETRANSLATE(B13426,""en"",""de"")"),"Ein Junge hält einen Stock.")</f>
        <v>Ein Junge hält einen Stock.</v>
      </c>
    </row>
    <row r="13427">
      <c r="A13427" s="4" t="s">
        <v>16894</v>
      </c>
      <c r="B13427" s="4" t="s">
        <v>16897</v>
      </c>
      <c r="C13427" s="5" t="str">
        <f>IFERROR(__xludf.DUMMYFUNCTION("GOOGLETRANSLATE(B13427,""en"",""de"")"),"Ein Mann wirft Holzstücke in einen Haufen.")</f>
        <v>Ein Mann wirft Holzstücke in einen Haufen.</v>
      </c>
    </row>
    <row r="13428">
      <c r="A13428" s="4" t="s">
        <v>16894</v>
      </c>
      <c r="B13428" s="4" t="s">
        <v>16898</v>
      </c>
      <c r="C13428" s="5" t="str">
        <f>IFERROR(__xludf.DUMMYFUNCTION("GOOGLETRANSLATE(B13428,""en"",""de"")"),"Stühle am Camp -Standort werden angezeigt.")</f>
        <v>Stühle am Camp -Standort werden angezeigt.</v>
      </c>
    </row>
    <row r="13429">
      <c r="A13429" s="4" t="s">
        <v>16894</v>
      </c>
      <c r="B13429" s="4" t="s">
        <v>16899</v>
      </c>
      <c r="C13429" s="5" t="str">
        <f>IFERROR(__xludf.DUMMYFUNCTION("GOOGLETRANSLATE(B13429,""en"",""de"")"),"Ein Mann geht in Richtung Kamera und redet.")</f>
        <v>Ein Mann geht in Richtung Kamera und redet.</v>
      </c>
    </row>
    <row r="13430">
      <c r="A13430" s="4" t="s">
        <v>16894</v>
      </c>
      <c r="B13430" s="4" t="s">
        <v>16900</v>
      </c>
      <c r="C13430" s="5" t="str">
        <f>IFERROR(__xludf.DUMMYFUNCTION("GOOGLETRANSLATE(B13430,""en"",""de"")"),"Sie hacken weiterhin Holz am Camp -Standort.")</f>
        <v>Sie hacken weiterhin Holz am Camp -Standort.</v>
      </c>
    </row>
    <row r="13431">
      <c r="A13431" s="4" t="s">
        <v>16901</v>
      </c>
      <c r="B13431" s="4" t="s">
        <v>16902</v>
      </c>
      <c r="C13431" s="5" t="str">
        <f>IFERROR(__xludf.DUMMYFUNCTION("GOOGLETRANSLATE(B13431,""en"",""de"")"),"Eine Person ist gesehen, wie sie um einen Hof herumläuft und viele Menschen stehen.")</f>
        <v>Eine Person ist gesehen, wie sie um einen Hof herumläuft und viele Menschen stehen.</v>
      </c>
    </row>
    <row r="13432">
      <c r="A13432" s="4" t="s">
        <v>16901</v>
      </c>
      <c r="B13432" s="4" t="s">
        <v>16903</v>
      </c>
      <c r="C13432" s="5" t="str">
        <f>IFERROR(__xludf.DUMMYFUNCTION("GOOGLETRANSLATE(B13432,""en"",""de"")"),"Die Leute spielen dann ein Spiel miteinander und rennen durch den Hof.")</f>
        <v>Die Leute spielen dann ein Spiel miteinander und rennen durch den Hof.</v>
      </c>
    </row>
    <row r="13433">
      <c r="A13433" s="4" t="s">
        <v>16901</v>
      </c>
      <c r="B13433" s="4" t="s">
        <v>16904</v>
      </c>
      <c r="C13433" s="5" t="str">
        <f>IFERROR(__xludf.DUMMYFUNCTION("GOOGLETRANSLATE(B13433,""en"",""de"")"),"Die Leute drängeln sich zusammen, während sie zu mehr Schüssen von Leuten führen, die das Spiel spielen und mit der Kamera sprechen.")</f>
        <v>Die Leute drängeln sich zusammen, während sie zu mehr Schüssen von Leuten führen, die das Spiel spielen und mit der Kamera sprechen.</v>
      </c>
    </row>
    <row r="13434">
      <c r="A13434" s="4" t="s">
        <v>16905</v>
      </c>
      <c r="B13434" s="4" t="s">
        <v>16906</v>
      </c>
      <c r="C13434" s="5" t="str">
        <f>IFERROR(__xludf.DUMMYFUNCTION("GOOGLETRANSLATE(B13434,""en"",""de"")"),"Eine Nahaufnahme der Rollblätter einer Person wird mit einem Mann gezeigt, der im Rahmen steht.")</f>
        <v>Eine Nahaufnahme der Rollblätter einer Person wird mit einem Mann gezeigt, der im Rahmen steht.</v>
      </c>
    </row>
    <row r="13435">
      <c r="A13435" s="4" t="s">
        <v>16905</v>
      </c>
      <c r="B13435" s="4" t="s">
        <v>16907</v>
      </c>
      <c r="C13435" s="5" t="str">
        <f>IFERROR(__xludf.DUMMYFUNCTION("GOOGLETRANSLATE(B13435,""en"",""de"")"),"Die Person beleuchtet dann seine Klingen und springt an Ort und Stelle.")</f>
        <v>Die Person beleuchtet dann seine Klingen und springt an Ort und Stelle.</v>
      </c>
    </row>
    <row r="13436">
      <c r="A13436" s="4" t="s">
        <v>16905</v>
      </c>
      <c r="B13436" s="4" t="s">
        <v>16908</v>
      </c>
      <c r="C13436" s="5" t="str">
        <f>IFERROR(__xludf.DUMMYFUNCTION("GOOGLETRANSLATE(B13436,""en"",""de"")"),"Die Person reitet weiter herum und tritt mit den Füßen hin, während die Funken fliegen.")</f>
        <v>Die Person reitet weiter herum und tritt mit den Füßen hin, während die Funken fliegen.</v>
      </c>
    </row>
    <row r="13437">
      <c r="A13437" s="4" t="s">
        <v>16909</v>
      </c>
      <c r="B13437" s="4" t="s">
        <v>16910</v>
      </c>
      <c r="C13437" s="5" t="str">
        <f>IFERROR(__xludf.DUMMYFUNCTION("GOOGLETRANSLATE(B13437,""en"",""de"")"),"Die Hand einer Person ist zu sehen, die Karten auf einen Tisch und mehrere Clips eines Casinos gezeigt werden.")</f>
        <v>Die Hand einer Person ist zu sehen, die Karten auf einen Tisch und mehrere Clips eines Casinos gezeigt werden.</v>
      </c>
    </row>
    <row r="13438">
      <c r="A13438" s="4" t="s">
        <v>16909</v>
      </c>
      <c r="B13438" s="4" t="s">
        <v>16911</v>
      </c>
      <c r="C13438" s="5" t="str">
        <f>IFERROR(__xludf.DUMMYFUNCTION("GOOGLETRANSLATE(B13438,""en"",""de"")"),"Es werden mehr Aufnahmen von Menschen gezeigt, die Karten für andere und Menschen, die jubeln und weiterhin Karten verarbeiten, mit Karten handeln.")</f>
        <v>Es werden mehr Aufnahmen von Menschen gezeigt, die Karten für andere und Menschen, die jubeln und weiterhin Karten verarbeiten, mit Karten handeln.</v>
      </c>
    </row>
    <row r="13439">
      <c r="A13439" s="4" t="s">
        <v>16912</v>
      </c>
      <c r="B13439" s="4" t="s">
        <v>16913</v>
      </c>
      <c r="C13439" s="5" t="str">
        <f>IFERROR(__xludf.DUMMYFUNCTION("GOOGLETRANSLATE(B13439,""en"",""de"")"),"Ein Computermonitor sitzt auf einem Schreibtisch.")</f>
        <v>Ein Computermonitor sitzt auf einem Schreibtisch.</v>
      </c>
    </row>
    <row r="13440">
      <c r="A13440" s="4" t="s">
        <v>16912</v>
      </c>
      <c r="B13440" s="4" t="s">
        <v>16914</v>
      </c>
      <c r="C13440" s="5" t="str">
        <f>IFERROR(__xludf.DUMMYFUNCTION("GOOGLETRANSLATE(B13440,""en"",""de"")"),"Ein Junge zieht Handschuhe an.")</f>
        <v>Ein Junge zieht Handschuhe an.</v>
      </c>
    </row>
    <row r="13441">
      <c r="A13441" s="4" t="s">
        <v>16912</v>
      </c>
      <c r="B13441" s="4" t="s">
        <v>16915</v>
      </c>
      <c r="C13441" s="5" t="str">
        <f>IFERROR(__xludf.DUMMYFUNCTION("GOOGLETRANSLATE(B13441,""en"",""de"")"),"Dann zieht er einen Helm an.")</f>
        <v>Dann zieht er einen Helm an.</v>
      </c>
    </row>
    <row r="13442">
      <c r="A13442" s="4" t="s">
        <v>16912</v>
      </c>
      <c r="B13442" s="4" t="s">
        <v>16916</v>
      </c>
      <c r="C13442" s="5" t="str">
        <f>IFERROR(__xludf.DUMMYFUNCTION("GOOGLETRANSLATE(B13442,""en"",""de"")"),"Dann reitet er ein Longboard.")</f>
        <v>Dann reitet er ein Longboard.</v>
      </c>
    </row>
    <row r="13443">
      <c r="A13443" s="4" t="s">
        <v>16917</v>
      </c>
      <c r="B13443" s="4" t="s">
        <v>16918</v>
      </c>
      <c r="C13443" s="5" t="str">
        <f>IFERROR(__xludf.DUMMYFUNCTION("GOOGLETRANSLATE(B13443,""en"",""de"")"),"Ein Mann demonstriert in zwei Bars eine Gymnastikleistung.")</f>
        <v>Ein Mann demonstriert in zwei Bars eine Gymnastikleistung.</v>
      </c>
    </row>
    <row r="13444">
      <c r="A13444" s="4" t="s">
        <v>16917</v>
      </c>
      <c r="B13444" s="4" t="s">
        <v>16919</v>
      </c>
      <c r="C13444" s="5" t="str">
        <f>IFERROR(__xludf.DUMMYFUNCTION("GOOGLETRANSLATE(B13444,""en"",""de"")"),"Es gibt Zuschauer, die die Aufführung beobachten.")</f>
        <v>Es gibt Zuschauer, die die Aufführung beobachten.</v>
      </c>
    </row>
    <row r="13445">
      <c r="A13445" s="4" t="s">
        <v>16917</v>
      </c>
      <c r="B13445" s="4" t="s">
        <v>16920</v>
      </c>
      <c r="C13445" s="5" t="str">
        <f>IFERROR(__xludf.DUMMYFUNCTION("GOOGLETRANSLATE(B13445,""en"",""de"")"),"Eine Person fotografiert die Aufführung.")</f>
        <v>Eine Person fotografiert die Aufführung.</v>
      </c>
    </row>
    <row r="13446">
      <c r="A13446" s="4" t="s">
        <v>16917</v>
      </c>
      <c r="B13446" s="4" t="s">
        <v>16921</v>
      </c>
      <c r="C13446" s="5" t="str">
        <f>IFERROR(__xludf.DUMMYFUNCTION("GOOGLETRANSLATE(B13446,""en"",""de"")"),"Der Turner springt von den Bars und ein weiterer Turner rennt auf sie zu.")</f>
        <v>Der Turner springt von den Bars und ein weiterer Turner rennt auf sie zu.</v>
      </c>
    </row>
    <row r="13447">
      <c r="A13447" s="4" t="s">
        <v>16922</v>
      </c>
      <c r="B13447" s="4" t="s">
        <v>16923</v>
      </c>
      <c r="C13447" s="5" t="str">
        <f>IFERROR(__xludf.DUMMYFUNCTION("GOOGLETRANSLATE(B13447,""en"",""de"")"),"Ein Mann spielt die Handtrommeln in einem Wohnzimmer.")</f>
        <v>Ein Mann spielt die Handtrommeln in einem Wohnzimmer.</v>
      </c>
    </row>
    <row r="13448">
      <c r="A13448" s="4" t="s">
        <v>16922</v>
      </c>
      <c r="B13448" s="4" t="s">
        <v>16924</v>
      </c>
      <c r="C13448" s="5" t="str">
        <f>IFERROR(__xludf.DUMMYFUNCTION("GOOGLETRANSLATE(B13448,""en"",""de"")"),"Der Mann wirft seinen Kopf zurück.")</f>
        <v>Der Mann wirft seinen Kopf zurück.</v>
      </c>
    </row>
    <row r="13449">
      <c r="A13449" s="4" t="s">
        <v>16922</v>
      </c>
      <c r="B13449" s="4" t="s">
        <v>16925</v>
      </c>
      <c r="C13449" s="5" t="str">
        <f>IFERROR(__xludf.DUMMYFUNCTION("GOOGLETRANSLATE(B13449,""en"",""de"")"),"Wir vergrößern die Hände des Mannes.")</f>
        <v>Wir vergrößern die Hände des Mannes.</v>
      </c>
    </row>
    <row r="13450">
      <c r="A13450" s="4" t="s">
        <v>16922</v>
      </c>
      <c r="B13450" s="4" t="s">
        <v>16926</v>
      </c>
      <c r="C13450" s="5" t="str">
        <f>IFERROR(__xludf.DUMMYFUNCTION("GOOGLETRANSLATE(B13450,""en"",""de"")"),"Wir zoomen und sehen den ganzen Mann.")</f>
        <v>Wir zoomen und sehen den ganzen Mann.</v>
      </c>
    </row>
    <row r="13451">
      <c r="A13451" s="4" t="s">
        <v>16922</v>
      </c>
      <c r="B13451" s="4" t="s">
        <v>16927</v>
      </c>
      <c r="C13451" s="5" t="str">
        <f>IFERROR(__xludf.DUMMYFUNCTION("GOOGLETRANSLATE(B13451,""en"",""de"")"),"Er beendet das Spielen und nimmt sich verbeugt.")</f>
        <v>Er beendet das Spielen und nimmt sich verbeugt.</v>
      </c>
    </row>
    <row r="13452">
      <c r="A13452" s="4" t="s">
        <v>16928</v>
      </c>
      <c r="B13452" s="4" t="s">
        <v>16929</v>
      </c>
      <c r="C13452" s="5" t="str">
        <f>IFERROR(__xludf.DUMMYFUNCTION("GOOGLETRANSLATE(B13452,""en"",""de"")"),"Ein Mann springt auf eine Strecke und springt auf einen Schmutzbereich.")</f>
        <v>Ein Mann springt auf eine Strecke und springt auf einen Schmutzbereich.</v>
      </c>
    </row>
    <row r="13453">
      <c r="A13453" s="4" t="s">
        <v>16928</v>
      </c>
      <c r="B13453" s="4" t="s">
        <v>16930</v>
      </c>
      <c r="C13453" s="5" t="str">
        <f>IFERROR(__xludf.DUMMYFUNCTION("GOOGLETRANSLATE(B13453,""en"",""de"")"),"Ein zweiter Mann macht dasselbe.")</f>
        <v>Ein zweiter Mann macht dasselbe.</v>
      </c>
    </row>
    <row r="13454">
      <c r="A13454" s="4" t="s">
        <v>16928</v>
      </c>
      <c r="B13454" s="4" t="s">
        <v>16931</v>
      </c>
      <c r="C13454" s="5" t="str">
        <f>IFERROR(__xludf.DUMMYFUNCTION("GOOGLETRANSLATE(B13454,""en"",""de"")"),"Ein dritter Mann folgt ihm.")</f>
        <v>Ein dritter Mann folgt ihm.</v>
      </c>
    </row>
    <row r="13455">
      <c r="A13455" s="4" t="s">
        <v>16928</v>
      </c>
      <c r="B13455" s="4" t="s">
        <v>16932</v>
      </c>
      <c r="C13455" s="5" t="str">
        <f>IFERROR(__xludf.DUMMYFUNCTION("GOOGLETRANSLATE(B13455,""en"",""de"")"),"Ein vierter Mann geht ihm her.")</f>
        <v>Ein vierter Mann geht ihm her.</v>
      </c>
    </row>
    <row r="13456">
      <c r="A13456" s="4" t="s">
        <v>16928</v>
      </c>
      <c r="B13456" s="4" t="s">
        <v>16933</v>
      </c>
      <c r="C13456" s="5" t="str">
        <f>IFERROR(__xludf.DUMMYFUNCTION("GOOGLETRANSLATE(B13456,""en"",""de"")"),"Ein fünfter Mann beginnt zu sprinten, als er eine lange Bar hält.")</f>
        <v>Ein fünfter Mann beginnt zu sprinten, als er eine lange Bar hält.</v>
      </c>
    </row>
    <row r="13457">
      <c r="A13457" s="4" t="s">
        <v>16934</v>
      </c>
      <c r="B13457" s="4" t="s">
        <v>16935</v>
      </c>
      <c r="C13457" s="5" t="str">
        <f>IFERROR(__xludf.DUMMYFUNCTION("GOOGLETRANSLATE(B13457,""en"",""de"")"),"Wörter werden auf dem Bildschirm geschrieben.")</f>
        <v>Wörter werden auf dem Bildschirm geschrieben.</v>
      </c>
    </row>
    <row r="13458">
      <c r="A13458" s="4" t="s">
        <v>16934</v>
      </c>
      <c r="B13458" s="4" t="s">
        <v>16936</v>
      </c>
      <c r="C13458" s="5" t="str">
        <f>IFERROR(__xludf.DUMMYFUNCTION("GOOGLETRANSLATE(B13458,""en"",""de"")"),"Ein Messer wird in einen Spitzer gesteckt und sich hin und her bewegt und auf einem kreisförmigen Spitzer verwendet.")</f>
        <v>Ein Messer wird in einen Spitzer gesteckt und sich hin und her bewegt und auf einem kreisförmigen Spitzer verwendet.</v>
      </c>
    </row>
    <row r="13459">
      <c r="A13459" s="4" t="s">
        <v>16934</v>
      </c>
      <c r="B13459" s="4" t="s">
        <v>16937</v>
      </c>
      <c r="C13459" s="5" t="str">
        <f>IFERROR(__xludf.DUMMYFUNCTION("GOOGLETRANSLATE(B13459,""en"",""de"")"),"Eine Schere wird am Schärfer geschärft.")</f>
        <v>Eine Schere wird am Schärfer geschärft.</v>
      </c>
    </row>
    <row r="13460">
      <c r="A13460" s="4" t="s">
        <v>16934</v>
      </c>
      <c r="B13460" s="4" t="s">
        <v>16938</v>
      </c>
      <c r="C13460" s="5" t="str">
        <f>IFERROR(__xludf.DUMMYFUNCTION("GOOGLETRANSLATE(B13460,""en"",""de"")"),"Die Schere schnitt ein lila Handtuch und ein Stück Papier.")</f>
        <v>Die Schere schnitt ein lila Handtuch und ein Stück Papier.</v>
      </c>
    </row>
    <row r="13461">
      <c r="A13461" s="4" t="s">
        <v>16934</v>
      </c>
      <c r="B13461" s="4" t="s">
        <v>16939</v>
      </c>
      <c r="C13461" s="5" t="str">
        <f>IFERROR(__xludf.DUMMYFUNCTION("GOOGLETRANSLATE(B13461,""en"",""de"")"),"Wörter werden wieder auf dem Bildschirm angezeigt.")</f>
        <v>Wörter werden wieder auf dem Bildschirm angezeigt.</v>
      </c>
    </row>
    <row r="13462">
      <c r="A13462" s="4" t="s">
        <v>16940</v>
      </c>
      <c r="B13462" s="4" t="s">
        <v>16941</v>
      </c>
      <c r="C13462" s="5" t="str">
        <f>IFERROR(__xludf.DUMMYFUNCTION("GOOGLETRANSLATE(B13462,""en"",""de"")"),"Ein Mädchen mit langen blonden Haaren, das ein blaues Gewand trägt, macht ein Tutorial, wie man heiße Walzen in ihren Haaren benutzt.")</f>
        <v>Ein Mädchen mit langen blonden Haaren, das ein blaues Gewand trägt, macht ein Tutorial, wie man heiße Walzen in ihren Haaren benutzt.</v>
      </c>
    </row>
    <row r="13463">
      <c r="A13463" s="4" t="s">
        <v>16940</v>
      </c>
      <c r="B13463" s="4" t="s">
        <v>16942</v>
      </c>
      <c r="C13463" s="5" t="str">
        <f>IFERROR(__xludf.DUMMYFUNCTION("GOOGLETRANSLATE(B13463,""en"",""de"")"),"Es gibt eine andere Frau, die Weiß trägt, die demonstriert, wie man ihre Haare ausnehme und die Walzen in den einzelnen nacheinander steckt.")</f>
        <v>Es gibt eine andere Frau, die Weiß trägt, die demonstriert, wie man ihre Haare ausnehme und die Walzen in den einzelnen nacheinander steckt.</v>
      </c>
    </row>
    <row r="13464">
      <c r="A13464" s="4" t="s">
        <v>16940</v>
      </c>
      <c r="B13464" s="4" t="s">
        <v>16943</v>
      </c>
      <c r="C13464" s="5" t="str">
        <f>IFERROR(__xludf.DUMMYFUNCTION("GOOGLETRANSLATE(B13464,""en"",""de"")"),"Nachdem sie die Walzen über den Kopf gestellt hat, benutzt sie einen Föhn, um den Haaren etwas Wärme zu verleihen.")</f>
        <v>Nachdem sie die Walzen über den Kopf gestellt hat, benutzt sie einen Föhn, um den Haaren etwas Wärme zu verleihen.</v>
      </c>
    </row>
    <row r="13465">
      <c r="A13465" s="4" t="s">
        <v>16940</v>
      </c>
      <c r="B13465" s="4" t="s">
        <v>16944</v>
      </c>
      <c r="C13465" s="5" t="str">
        <f>IFERROR(__xludf.DUMMYFUNCTION("GOOGLETRANSLATE(B13465,""en"",""de"")"),"Dann entfernt sie die Walzen aus den Haaren des Models und beginnt, ihre Finger durch das Haar zu laufen.")</f>
        <v>Dann entfernt sie die Walzen aus den Haaren des Models und beginnt, ihre Finger durch das Haar zu laufen.</v>
      </c>
    </row>
    <row r="13466">
      <c r="A13466" s="4" t="s">
        <v>16940</v>
      </c>
      <c r="B13466" s="4" t="s">
        <v>16945</v>
      </c>
      <c r="C13466" s="5" t="str">
        <f>IFERROR(__xludf.DUMMYFUNCTION("GOOGLETRANSLATE(B13466,""en"",""de"")"),"Dann teile sie ihre Haare sanft mit einer Bürste.")</f>
        <v>Dann teile sie ihre Haare sanft mit einer Bürste.</v>
      </c>
    </row>
    <row r="13467">
      <c r="A13467" s="4" t="s">
        <v>16940</v>
      </c>
      <c r="B13467" s="4" t="s">
        <v>16946</v>
      </c>
      <c r="C13467" s="5" t="str">
        <f>IFERROR(__xludf.DUMMYFUNCTION("GOOGLETRANSLATE(B13467,""en"",""de"")"),"Sie zeigt, wie man den Look beendet, indem sie ihre Finger durch ihre Haare fährt, ohne einen Pinsel zu verwenden.")</f>
        <v>Sie zeigt, wie man den Look beendet, indem sie ihre Finger durch ihre Haare fährt, ohne einen Pinsel zu verwenden.</v>
      </c>
    </row>
    <row r="13468">
      <c r="A13468" s="4" t="s">
        <v>16947</v>
      </c>
      <c r="B13468" s="4" t="s">
        <v>16948</v>
      </c>
      <c r="C13468" s="5" t="str">
        <f>IFERROR(__xludf.DUMMYFUNCTION("GOOGLETRANSLATE(B13468,""en"",""de"")"),"Ein Mann, der eine schwarze Weste trägt, hält weiße Scheiben in der Hand, während ein Border -Collie vor ihm steht.")</f>
        <v>Ein Mann, der eine schwarze Weste trägt, hält weiße Scheiben in der Hand, während ein Border -Collie vor ihm steht.</v>
      </c>
    </row>
    <row r="13469">
      <c r="A13469" s="4" t="s">
        <v>16947</v>
      </c>
      <c r="B13469" s="4" t="s">
        <v>16949</v>
      </c>
      <c r="C13469" s="5" t="str">
        <f>IFERROR(__xludf.DUMMYFUNCTION("GOOGLETRANSLATE(B13469,""en"",""de"")"),"Der Mann tritt Froward und schlägt die weißen Scheiben auf seinen Oberschenkel.")</f>
        <v>Der Mann tritt Froward und schlägt die weißen Scheiben auf seinen Oberschenkel.</v>
      </c>
    </row>
    <row r="13470">
      <c r="A13470" s="4" t="s">
        <v>16947</v>
      </c>
      <c r="B13470" s="4" t="s">
        <v>16950</v>
      </c>
      <c r="C13470" s="5" t="str">
        <f>IFERROR(__xludf.DUMMYFUNCTION("GOOGLETRANSLATE(B13470,""en"",""de"")"),"Der Mann tritt nach vorne und wechselt jeden Fuß, während der Boarder Collie zwischen den Beinen des Mannes läuft.")</f>
        <v>Der Mann tritt nach vorne und wechselt jeden Fuß, während der Boarder Collie zwischen den Beinen des Mannes läuft.</v>
      </c>
    </row>
    <row r="13471">
      <c r="A13471" s="4" t="s">
        <v>16947</v>
      </c>
      <c r="B13471" s="4" t="s">
        <v>16951</v>
      </c>
      <c r="C13471" s="5" t="str">
        <f>IFERROR(__xludf.DUMMYFUNCTION("GOOGLETRANSLATE(B13471,""en"",""de"")"),"Der Mann klopft mit der weißen Scheibe, die er hockt, und der Boarder Collie springt auf seinen Rücken und gleicht ihre aus.")</f>
        <v>Der Mann klopft mit der weißen Scheibe, die er hockt, und der Boarder Collie springt auf seinen Rücken und gleicht ihre aus.</v>
      </c>
    </row>
    <row r="13472">
      <c r="A13472" s="4" t="s">
        <v>16947</v>
      </c>
      <c r="B13472" s="4" t="s">
        <v>16952</v>
      </c>
      <c r="C13472" s="5" t="str">
        <f>IFERROR(__xludf.DUMMYFUNCTION("GOOGLETRANSLATE(B13472,""en"",""de"")"),"Der Mann wirft die Scheibe über seinen Kopf und der Boarder Collie fängt sie und rennt ab.")</f>
        <v>Der Mann wirft die Scheibe über seinen Kopf und der Boarder Collie fängt sie und rennt ab.</v>
      </c>
    </row>
    <row r="13473">
      <c r="A13473" s="4" t="s">
        <v>16953</v>
      </c>
      <c r="B13473" s="4" t="s">
        <v>16954</v>
      </c>
      <c r="C13473" s="5" t="str">
        <f>IFERROR(__xludf.DUMMYFUNCTION("GOOGLETRANSLATE(B13473,""en"",""de"")"),"Es werden verschiedene Clips gezeigt, in denen junge Menschen miteinander tanzen und feiern sowie Bierpongs trinken und spielen.")</f>
        <v>Es werden verschiedene Clips gezeigt, in denen junge Menschen miteinander tanzen und feiern sowie Bierpongs trinken und spielen.</v>
      </c>
    </row>
    <row r="13474">
      <c r="A13474" s="4" t="s">
        <v>16953</v>
      </c>
      <c r="B13474" s="4" t="s">
        <v>16955</v>
      </c>
      <c r="C13474" s="5" t="str">
        <f>IFERROR(__xludf.DUMMYFUNCTION("GOOGLETRANSLATE(B13474,""en"",""de"")"),"Weitere Aufnahmen von Leuten, die aussehen und mit der Kamera sprechen, während sie Pong spielen und Bier miteinander trinken.")</f>
        <v>Weitere Aufnahmen von Leuten, die aussehen und mit der Kamera sprechen, während sie Pong spielen und Bier miteinander trinken.</v>
      </c>
    </row>
    <row r="13475">
      <c r="A13475" s="4" t="s">
        <v>16956</v>
      </c>
      <c r="B13475" s="4" t="s">
        <v>16957</v>
      </c>
      <c r="C13475" s="5" t="str">
        <f>IFERROR(__xludf.DUMMYFUNCTION("GOOGLETRANSLATE(B13475,""en"",""de"")"),"Ein Video von Skifahrern auf einem schneebedeckten Hügel schießt ein Video von sich selbst als Skifahren, während andere Skifahrer vorbeigehen.")</f>
        <v>Ein Video von Skifahrern auf einem schneebedeckten Hügel schießt ein Video von sich selbst als Skifahren, während andere Skifahrer vorbeigehen.</v>
      </c>
    </row>
    <row r="13476">
      <c r="A13476" s="4" t="s">
        <v>16956</v>
      </c>
      <c r="B13476" s="4" t="s">
        <v>16958</v>
      </c>
      <c r="C13476" s="5" t="str">
        <f>IFERROR(__xludf.DUMMYFUNCTION("GOOGLETRANSLATE(B13476,""en"",""de"")"),"Der Skifahrer fährt an den Skiaufzügen vorbei, während sie um eine Ecke gehen und wieder an den Liften vorbeigehen.")</f>
        <v>Der Skifahrer fährt an den Skiaufzügen vorbei, während sie um eine Ecke gehen und wieder an den Liften vorbeigehen.</v>
      </c>
    </row>
    <row r="13477">
      <c r="A13477" s="4" t="s">
        <v>16956</v>
      </c>
      <c r="B13477" s="4" t="s">
        <v>16959</v>
      </c>
      <c r="C13477" s="5" t="str">
        <f>IFERROR(__xludf.DUMMYFUNCTION("GOOGLETRANSLATE(B13477,""en"",""de"")"),"Sie drehen sich dann zurück und gehen unter den Aufzug und fahren auf einem Pfad weiter nach unten, einem Pfadmarkierungsschild und enden in einer Lodge.")</f>
        <v>Sie drehen sich dann zurück und gehen unter den Aufzug und fahren auf einem Pfad weiter nach unten, einem Pfadmarkierungsschild und enden in einer Lodge.</v>
      </c>
    </row>
    <row r="13478">
      <c r="A13478" s="4" t="s">
        <v>16960</v>
      </c>
      <c r="B13478" s="4" t="s">
        <v>16961</v>
      </c>
      <c r="C13478" s="5" t="str">
        <f>IFERROR(__xludf.DUMMYFUNCTION("GOOGLETRANSLATE(B13478,""en"",""de"")"),"Ein Kind geht und spielt in einem Spielplatz.")</f>
        <v>Ein Kind geht und spielt in einem Spielplatz.</v>
      </c>
    </row>
    <row r="13479">
      <c r="A13479" s="4" t="s">
        <v>16960</v>
      </c>
      <c r="B13479" s="4" t="s">
        <v>16962</v>
      </c>
      <c r="C13479" s="5" t="str">
        <f>IFERROR(__xludf.DUMMYFUNCTION("GOOGLETRANSLATE(B13479,""en"",""de"")"),"Sie klettert, geht Rutschen hin und her hin und her und hat allgemeine Belustigung.")</f>
        <v>Sie klettert, geht Rutschen hin und her hin und her und hat allgemeine Belustigung.</v>
      </c>
    </row>
    <row r="13480">
      <c r="A13480" s="4" t="s">
        <v>16963</v>
      </c>
      <c r="B13480" s="4" t="s">
        <v>16964</v>
      </c>
      <c r="C13480" s="5" t="str">
        <f>IFERROR(__xludf.DUMMYFUNCTION("GOOGLETRANSLATE(B13480,""en"",""de"")"),"Draußen, als eine Gruppe zuschaut, hebt ein Mann einen Mann auf seine Schulter und wirft ihn auf einen Tisch, der bricht.")</f>
        <v>Draußen, als eine Gruppe zuschaut, hebt ein Mann einen Mann auf seine Schulter und wirft ihn auf einen Tisch, der bricht.</v>
      </c>
    </row>
    <row r="13481">
      <c r="A13481" s="4" t="s">
        <v>16963</v>
      </c>
      <c r="B13481" s="4" t="s">
        <v>16965</v>
      </c>
      <c r="C13481" s="5" t="str">
        <f>IFERROR(__xludf.DUMMYFUNCTION("GOOGLETRANSLATE(B13481,""en"",""de"")"),"Draußen dreht ein männlicher Rücken auf ein Trampolin und landet auf seinem Gesicht.")</f>
        <v>Draußen dreht ein männlicher Rücken auf ein Trampolin und landet auf seinem Gesicht.</v>
      </c>
    </row>
    <row r="13482">
      <c r="A13482" s="4" t="s">
        <v>16963</v>
      </c>
      <c r="B13482" s="4" t="s">
        <v>16966</v>
      </c>
      <c r="C13482" s="5" t="str">
        <f>IFERROR(__xludf.DUMMYFUNCTION("GOOGLETRANSLATE(B13482,""en"",""de"")"),"Zwei Männer legten den Mann nieder und betrachten sein Gesicht, und eine andere Person bewegt ein Individuum, um das Gesicht des Mannes zu betrachten.")</f>
        <v>Zwei Männer legten den Mann nieder und betrachten sein Gesicht, und eine andere Person bewegt ein Individuum, um das Gesicht des Mannes zu betrachten.</v>
      </c>
    </row>
    <row r="13483">
      <c r="A13483" s="4" t="s">
        <v>16967</v>
      </c>
      <c r="B13483" s="4" t="s">
        <v>16968</v>
      </c>
      <c r="C13483" s="5" t="str">
        <f>IFERROR(__xludf.DUMMYFUNCTION("GOOGLETRANSLATE(B13483,""en"",""de"")"),"Ein Bild wird von einem neben einem kleinen Mädchen gegenüberliegenden Baby gezeigt.")</f>
        <v>Ein Bild wird von einem neben einem kleinen Mädchen gegenüberliegenden Baby gezeigt.</v>
      </c>
    </row>
    <row r="13484">
      <c r="A13484" s="4" t="s">
        <v>16967</v>
      </c>
      <c r="B13484" s="4" t="s">
        <v>16969</v>
      </c>
      <c r="C13484" s="5" t="str">
        <f>IFERROR(__xludf.DUMMYFUNCTION("GOOGLETRANSLATE(B13484,""en"",""de"")"),"Eine Frau ist mit einem jungen Mädchen zu sehen, wie sie spricht.")</f>
        <v>Eine Frau ist mit einem jungen Mädchen zu sehen, wie sie spricht.</v>
      </c>
    </row>
    <row r="13485">
      <c r="A13485" s="4" t="s">
        <v>16967</v>
      </c>
      <c r="B13485" s="4" t="s">
        <v>16970</v>
      </c>
      <c r="C13485" s="5" t="str">
        <f>IFERROR(__xludf.DUMMYFUNCTION("GOOGLETRANSLATE(B13485,""en"",""de"")"),"Sie lässt sich dann das Mädchen setzen, als sie sich in langen, dicken Stücken ums Haare flechten lässt.")</f>
        <v>Sie lässt sich dann das Mädchen setzen, als sie sich in langen, dicken Stücken ums Haare flechten lässt.</v>
      </c>
    </row>
    <row r="13486">
      <c r="A13486" s="4" t="s">
        <v>16967</v>
      </c>
      <c r="B13486" s="4" t="s">
        <v>16971</v>
      </c>
      <c r="C13486" s="5" t="str">
        <f>IFERROR(__xludf.DUMMYFUNCTION("GOOGLETRANSLATE(B13486,""en"",""de"")"),"Sie steckt die Haare an Ort und Stelle und winkt dann von der Kamera.")</f>
        <v>Sie steckt die Haare an Ort und Stelle und winkt dann von der Kamera.</v>
      </c>
    </row>
    <row r="13487">
      <c r="A13487" s="4" t="s">
        <v>16972</v>
      </c>
      <c r="B13487" s="4" t="s">
        <v>16973</v>
      </c>
      <c r="C13487" s="5" t="str">
        <f>IFERROR(__xludf.DUMMYFUNCTION("GOOGLETRANSLATE(B13487,""en"",""de"")"),"Ein Mann rollt ein Blatt Tapete aus einer Röhre, dann ein großes Foto.")</f>
        <v>Ein Mann rollt ein Blatt Tapete aus einer Röhre, dann ein großes Foto.</v>
      </c>
    </row>
    <row r="13488">
      <c r="A13488" s="4" t="s">
        <v>16972</v>
      </c>
      <c r="B13488" s="4" t="s">
        <v>16974</v>
      </c>
      <c r="C13488" s="5" t="str">
        <f>IFERROR(__xludf.DUMMYFUNCTION("GOOGLETRANSLATE(B13488,""en"",""de"")"),"Er wendet das Blatt und die Fotos auf die Wand und schafft ein Photography -Wandbild im wirklichen Leben.")</f>
        <v>Er wendet das Blatt und die Fotos auf die Wand und schafft ein Photography -Wandbild im wirklichen Leben.</v>
      </c>
    </row>
    <row r="13489">
      <c r="A13489" s="4" t="s">
        <v>16972</v>
      </c>
      <c r="B13489" s="4" t="s">
        <v>16975</v>
      </c>
      <c r="C13489" s="5" t="str">
        <f>IFERROR(__xludf.DUMMYFUNCTION("GOOGLETRANSLATE(B13489,""en"",""de"")"),"Er wischt die Bilder sauber an die Wand.")</f>
        <v>Er wischt die Bilder sauber an die Wand.</v>
      </c>
    </row>
    <row r="13490">
      <c r="A13490" s="4" t="s">
        <v>16976</v>
      </c>
      <c r="B13490" s="4" t="s">
        <v>16977</v>
      </c>
      <c r="C13490" s="5" t="str">
        <f>IFERROR(__xludf.DUMMYFUNCTION("GOOGLETRANSLATE(B13490,""en"",""de"")"),"Eine Menge ist um zwei Frauen versammelt, die Armringen sind.")</f>
        <v>Eine Menge ist um zwei Frauen versammelt, die Armringen sind.</v>
      </c>
    </row>
    <row r="13491">
      <c r="A13491" s="4" t="s">
        <v>16976</v>
      </c>
      <c r="B13491" s="4" t="s">
        <v>16978</v>
      </c>
      <c r="C13491" s="5" t="str">
        <f>IFERROR(__xludf.DUMMYFUNCTION("GOOGLETRANSLATE(B13491,""en"",""de"")"),"Die Frauen greifen sich gegenseitig die Hände und schieben so hart wie möglich, bis einer von ihnen verliert.")</f>
        <v>Die Frauen greifen sich gegenseitig die Hände und schieben so hart wie möglich, bis einer von ihnen verliert.</v>
      </c>
    </row>
    <row r="13492">
      <c r="A13492" s="4" t="s">
        <v>16976</v>
      </c>
      <c r="B13492" s="4" t="s">
        <v>16979</v>
      </c>
      <c r="C13492" s="5" t="str">
        <f>IFERROR(__xludf.DUMMYFUNCTION("GOOGLETRANSLATE(B13492,""en"",""de"")"),"Sie ernten den Armringen.")</f>
        <v>Sie ernten den Armringen.</v>
      </c>
    </row>
    <row r="13493">
      <c r="A13493" s="4" t="s">
        <v>16976</v>
      </c>
      <c r="B13493" s="4" t="s">
        <v>16980</v>
      </c>
      <c r="C13493" s="5" t="str">
        <f>IFERROR(__xludf.DUMMYFUNCTION("GOOGLETRANSLATE(B13493,""en"",""de"")"),"Eines der Mädchen lässt ihre Hand los und das andere Mädchen öffnet ihren Mund vor Schock.")</f>
        <v>Eines der Mädchen lässt ihre Hand los und das andere Mädchen öffnet ihren Mund vor Schock.</v>
      </c>
    </row>
    <row r="13494">
      <c r="A13494" s="4" t="s">
        <v>16981</v>
      </c>
      <c r="B13494" s="4" t="s">
        <v>16982</v>
      </c>
      <c r="C13494" s="5" t="str">
        <f>IFERROR(__xludf.DUMMYFUNCTION("GOOGLETRANSLATE(B13494,""en"",""de"")"),"Eine Person ist in der Mitte eines großen Gymnasiums zu sehen, der mit einem anderen Mann in der Mitte herumspringt, der seine Arme hochzieht.")</f>
        <v>Eine Person ist in der Mitte eines großen Gymnasiums zu sehen, der mit einem anderen Mann in der Mitte herumspringt, der seine Arme hochzieht.</v>
      </c>
    </row>
    <row r="13495">
      <c r="A13495" s="4" t="s">
        <v>16981</v>
      </c>
      <c r="B13495" s="4" t="s">
        <v>16983</v>
      </c>
      <c r="C13495" s="5" t="str">
        <f>IFERROR(__xludf.DUMMYFUNCTION("GOOGLETRANSLATE(B13495,""en"",""de"")"),"Die Person auf Schlicks springt dann über die Person mit den Armen und einem anderen über die Person.")</f>
        <v>Die Person auf Schlicks springt dann über die Person mit den Armen und einem anderen über die Person.</v>
      </c>
    </row>
    <row r="13496">
      <c r="A13496" s="4" t="s">
        <v>16984</v>
      </c>
      <c r="B13496" s="4" t="s">
        <v>16985</v>
      </c>
      <c r="C13496" s="5" t="str">
        <f>IFERROR(__xludf.DUMMYFUNCTION("GOOGLETRANSLATE(B13496,""en"",""de"")"),"Zwei Männer stehen hinter einem Tisch, der mit der Kamera spricht, und halten dann verschiedene Objekte an der Kamera.")</f>
        <v>Zwei Männer stehen hinter einem Tisch, der mit der Kamera spricht, und halten dann verschiedene Objekte an der Kamera.</v>
      </c>
    </row>
    <row r="13497">
      <c r="A13497" s="4" t="s">
        <v>16984</v>
      </c>
      <c r="B13497" s="4" t="s">
        <v>16986</v>
      </c>
      <c r="C13497" s="5" t="str">
        <f>IFERROR(__xludf.DUMMYFUNCTION("GOOGLETRANSLATE(B13497,""en"",""de"")"),"Sie verwenden Werkzeuge auf einer Dose und sitzen dann draußen und halten mehr Werkzeuge hoch.")</f>
        <v>Sie verwenden Werkzeuge auf einer Dose und sitzen dann draußen und halten mehr Werkzeuge hoch.</v>
      </c>
    </row>
    <row r="13498">
      <c r="A13498" s="4" t="s">
        <v>16987</v>
      </c>
      <c r="B13498" s="4" t="s">
        <v>16988</v>
      </c>
      <c r="C13498" s="5" t="str">
        <f>IFERROR(__xludf.DUMMYFUNCTION("GOOGLETRANSLATE(B13498,""en"",""de"")"),"Eine Band marschiert eine Straße hinunter und spielt Schlagzeug.")</f>
        <v>Eine Band marschiert eine Straße hinunter und spielt Schlagzeug.</v>
      </c>
    </row>
    <row r="13499">
      <c r="A13499" s="4" t="s">
        <v>16987</v>
      </c>
      <c r="B13499" s="4" t="s">
        <v>16989</v>
      </c>
      <c r="C13499" s="5" t="str">
        <f>IFERROR(__xludf.DUMMYFUNCTION("GOOGLETRANSLATE(B13499,""en"",""de"")"),"Eine Frau in einem schwarzen Hut steht auf der Straße und beobachtet sie.")</f>
        <v>Eine Frau in einem schwarzen Hut steht auf der Straße und beobachtet sie.</v>
      </c>
    </row>
    <row r="13500">
      <c r="A13500" s="4" t="s">
        <v>16987</v>
      </c>
      <c r="B13500" s="4" t="s">
        <v>16990</v>
      </c>
      <c r="C13500" s="5" t="str">
        <f>IFERROR(__xludf.DUMMYFUNCTION("GOOGLETRANSLATE(B13500,""en"",""de"")"),"Die Leute stehen auf und beobachten die Band.")</f>
        <v>Die Leute stehen auf und beobachten die Band.</v>
      </c>
    </row>
    <row r="13501">
      <c r="A13501" s="4" t="s">
        <v>16991</v>
      </c>
      <c r="B13501" s="4" t="s">
        <v>16992</v>
      </c>
      <c r="C13501" s="5" t="str">
        <f>IFERROR(__xludf.DUMMYFUNCTION("GOOGLETRANSLATE(B13501,""en"",""de"")"),"Ein Mann wird gezeigt, der um ein Feld herumläuft und ein Hund einen Frisbee in das Haar hält.")</f>
        <v>Ein Mann wird gezeigt, der um ein Feld herumläuft und ein Hund einen Frisbee in das Haar hält.</v>
      </c>
    </row>
    <row r="13502">
      <c r="A13502" s="4" t="s">
        <v>16991</v>
      </c>
      <c r="B13502" s="4" t="s">
        <v>16993</v>
      </c>
      <c r="C13502" s="5" t="str">
        <f>IFERROR(__xludf.DUMMYFUNCTION("GOOGLETRANSLATE(B13502,""en"",""de"")"),"Der Mann bewegt sich mit dem Hund um die Frisbee und führt in Zeitlupe mit dem Hund mehrere Tricks durch.")</f>
        <v>Der Mann bewegt sich mit dem Hund um die Frisbee und führt in Zeitlupe mit dem Hund mehrere Tricks durch.</v>
      </c>
    </row>
    <row r="13503">
      <c r="A13503" s="4" t="s">
        <v>16991</v>
      </c>
      <c r="B13503" s="4" t="s">
        <v>16994</v>
      </c>
      <c r="C13503" s="5" t="str">
        <f>IFERROR(__xludf.DUMMYFUNCTION("GOOGLETRANSLATE(B13503,""en"",""de"")"),"Er hat an mehreren weiteren Orten aus verschiedenen Kamerawinkeln gezeigt, die immer mehr Tricks mit dem Hund ausführen.")</f>
        <v>Er hat an mehreren weiteren Orten aus verschiedenen Kamerawinkeln gezeigt, die immer mehr Tricks mit dem Hund ausführen.</v>
      </c>
    </row>
    <row r="13504">
      <c r="A13504" s="4" t="s">
        <v>16995</v>
      </c>
      <c r="B13504" s="4" t="s">
        <v>16996</v>
      </c>
      <c r="C13504" s="5" t="str">
        <f>IFERROR(__xludf.DUMMYFUNCTION("GOOGLETRANSLATE(B13504,""en"",""de"")"),"Ein Mann kniet zu einem Reifen und legt ihn dann auf eine Maschine.")</f>
        <v>Ein Mann kniet zu einem Reifen und legt ihn dann auf eine Maschine.</v>
      </c>
    </row>
    <row r="13505">
      <c r="A13505" s="4" t="s">
        <v>16995</v>
      </c>
      <c r="B13505" s="4" t="s">
        <v>16997</v>
      </c>
      <c r="C13505" s="5" t="str">
        <f>IFERROR(__xludf.DUMMYFUNCTION("GOOGLETRANSLATE(B13505,""en"",""de"")"),"Er nutzt die Maschine weiterhin, um den Gummi vom Reifen abzunehmen und endet, indem er sie wieder nach unten platziert.")</f>
        <v>Er nutzt die Maschine weiterhin, um den Gummi vom Reifen abzunehmen und endet, indem er sie wieder nach unten platziert.</v>
      </c>
    </row>
    <row r="13506">
      <c r="A13506" s="4" t="s">
        <v>16998</v>
      </c>
      <c r="B13506" s="4" t="s">
        <v>16999</v>
      </c>
      <c r="C13506" s="5" t="str">
        <f>IFERROR(__xludf.DUMMYFUNCTION("GOOGLETRANSLATE(B13506,""en"",""de"")"),"Ein Pferd wird in der Ferne gesehen, gefolgt von einem Mann, der vor einer großen Gruppe von Pferden mit der Kamera spricht.")</f>
        <v>Ein Pferd wird in der Ferne gesehen, gefolgt von einem Mann, der vor einer großen Gruppe von Pferden mit der Kamera spricht.</v>
      </c>
    </row>
    <row r="13507">
      <c r="A13507" s="4" t="s">
        <v>16998</v>
      </c>
      <c r="B13507" s="4" t="s">
        <v>17000</v>
      </c>
      <c r="C13507" s="5" t="str">
        <f>IFERROR(__xludf.DUMMYFUNCTION("GOOGLETRANSLATE(B13507,""en"",""de"")"),"Verschiedene Menschen werden dann gesehen, wie sie durch verschiedene Landschaften auf Pferden herumfahren und von Menschen geführt werden.")</f>
        <v>Verschiedene Menschen werden dann gesehen, wie sie durch verschiedene Landschaften auf Pferden herumfahren und von Menschen geführt werden.</v>
      </c>
    </row>
    <row r="13508">
      <c r="A13508" s="4" t="s">
        <v>16998</v>
      </c>
      <c r="B13508" s="4" t="s">
        <v>17001</v>
      </c>
      <c r="C13508" s="5" t="str">
        <f>IFERROR(__xludf.DUMMYFUNCTION("GOOGLETRANSLATE(B13508,""en"",""de"")"),"Die Männer führen weiterhin Menschen auf den Pferden durch ein großes Gewässer.")</f>
        <v>Die Männer führen weiterhin Menschen auf den Pferden durch ein großes Gewässer.</v>
      </c>
    </row>
    <row r="13509">
      <c r="A13509" s="4" t="s">
        <v>17002</v>
      </c>
      <c r="B13509" s="4" t="s">
        <v>17003</v>
      </c>
      <c r="C13509" s="5" t="str">
        <f>IFERROR(__xludf.DUMMYFUNCTION("GOOGLETRANSLATE(B13509,""en"",""de"")"),"Ein Koch arbeitet in einer Küche.")</f>
        <v>Ein Koch arbeitet in einer Küche.</v>
      </c>
    </row>
    <row r="13510">
      <c r="A13510" s="4" t="s">
        <v>17002</v>
      </c>
      <c r="B13510" s="4" t="s">
        <v>17004</v>
      </c>
      <c r="C13510" s="5" t="str">
        <f>IFERROR(__xludf.DUMMYFUNCTION("GOOGLETRANSLATE(B13510,""en"",""de"")"),"Er drückt Tasten auf einem digitalen Bildschirm.")</f>
        <v>Er drückt Tasten auf einem digitalen Bildschirm.</v>
      </c>
    </row>
    <row r="13511">
      <c r="A13511" s="4" t="s">
        <v>17002</v>
      </c>
      <c r="B13511" s="4" t="s">
        <v>17005</v>
      </c>
      <c r="C13511" s="5" t="str">
        <f>IFERROR(__xludf.DUMMYFUNCTION("GOOGLETRANSLATE(B13511,""en"",""de"")"),"Er bereitet ein großes Gericht aus Nudeln vor, das er in der Maschine kocht.")</f>
        <v>Er bereitet ein großes Gericht aus Nudeln vor, das er in der Maschine kocht.</v>
      </c>
    </row>
    <row r="13512">
      <c r="A13512" s="4" t="s">
        <v>17006</v>
      </c>
      <c r="B13512" s="4" t="s">
        <v>17007</v>
      </c>
      <c r="C13512" s="5" t="str">
        <f>IFERROR(__xludf.DUMMYFUNCTION("GOOGLETRANSLATE(B13512,""en"",""de"")"),"Ein Mann wird gezeigt, der mit einer Kamera spricht, gefolgt von ihm und einer anderen Frau, die in der Nähe eines Volleyballnetzes steht.")</f>
        <v>Ein Mann wird gezeigt, der mit einer Kamera spricht, gefolgt von ihm und einer anderen Frau, die in der Nähe eines Volleyballnetzes steht.</v>
      </c>
    </row>
    <row r="13513">
      <c r="A13513" s="4" t="s">
        <v>17006</v>
      </c>
      <c r="B13513" s="4" t="s">
        <v>17008</v>
      </c>
      <c r="C13513" s="5" t="str">
        <f>IFERROR(__xludf.DUMMYFUNCTION("GOOGLETRANSLATE(B13513,""en"",""de"")"),"Der Mann wirft den Ball zu dem Mädchen, das ihn an ihn zurückspringt.")</f>
        <v>Der Mann wirft den Ball zu dem Mädchen, das ihn an ihn zurückspringt.</v>
      </c>
    </row>
    <row r="13514">
      <c r="A13514" s="4" t="s">
        <v>17006</v>
      </c>
      <c r="B13514" s="4" t="s">
        <v>17009</v>
      </c>
      <c r="C13514" s="5" t="str">
        <f>IFERROR(__xludf.DUMMYFUNCTION("GOOGLETRANSLATE(B13514,""en"",""de"")"),"Er spricht weiterhin und demonstriert verschiedene Volleyballbewegungen, um angemessen zu tun.")</f>
        <v>Er spricht weiterhin und demonstriert verschiedene Volleyballbewegungen, um angemessen zu tun.</v>
      </c>
    </row>
    <row r="13515">
      <c r="A13515" s="4" t="s">
        <v>17010</v>
      </c>
      <c r="B13515" s="4" t="s">
        <v>17011</v>
      </c>
      <c r="C13515" s="5" t="str">
        <f>IFERROR(__xludf.DUMMYFUNCTION("GOOGLETRANSLATE(B13515,""en"",""de"")"),"Eine große Gruppe von Menschen sitzt an einem Tisch und wechselt in Menschen, die auf einem Skiaufzug sitzen.")</f>
        <v>Eine große Gruppe von Menschen sitzt an einem Tisch und wechselt in Menschen, die auf einem Skiaufzug sitzen.</v>
      </c>
    </row>
    <row r="13516">
      <c r="A13516" s="4" t="s">
        <v>17010</v>
      </c>
      <c r="B13516" s="4" t="s">
        <v>17012</v>
      </c>
      <c r="C13516" s="5" t="str">
        <f>IFERROR(__xludf.DUMMYFUNCTION("GOOGLETRANSLATE(B13516,""en"",""de"")"),"Sie beginnen abwechselnd den schneebedeckten Berg hinunter und es werden mehrere Schüsse gezeigt, die den Lift und den Berg hinunter reiten.")</f>
        <v>Sie beginnen abwechselnd den schneebedeckten Berg hinunter und es werden mehrere Schüsse gezeigt, die den Lift und den Berg hinunter reiten.</v>
      </c>
    </row>
    <row r="13517">
      <c r="A13517" s="4" t="s">
        <v>17013</v>
      </c>
      <c r="B13517" s="4" t="s">
        <v>17014</v>
      </c>
      <c r="C13517" s="5" t="str">
        <f>IFERROR(__xludf.DUMMYFUNCTION("GOOGLETRANSLATE(B13517,""en"",""de"")"),"Eine Person nimmt ein Stück Obst auf.")</f>
        <v>Eine Person nimmt ein Stück Obst auf.</v>
      </c>
    </row>
    <row r="13518">
      <c r="A13518" s="4" t="s">
        <v>17013</v>
      </c>
      <c r="B13518" s="4" t="s">
        <v>17015</v>
      </c>
      <c r="C13518" s="5" t="str">
        <f>IFERROR(__xludf.DUMMYFUNCTION("GOOGLETRANSLATE(B13518,""en"",""de"")"),"Auf dem Bildschirm wird ein Pinsel angezeigt.")</f>
        <v>Auf dem Bildschirm wird ein Pinsel angezeigt.</v>
      </c>
    </row>
    <row r="13519">
      <c r="A13519" s="4" t="s">
        <v>17013</v>
      </c>
      <c r="B13519" s="4" t="s">
        <v>17016</v>
      </c>
      <c r="C13519" s="5" t="str">
        <f>IFERROR(__xludf.DUMMYFUNCTION("GOOGLETRANSLATE(B13519,""en"",""de"")"),"Ein Mann rasiert seinen Bart.")</f>
        <v>Ein Mann rasiert seinen Bart.</v>
      </c>
    </row>
    <row r="13520">
      <c r="A13520" s="4" t="s">
        <v>17017</v>
      </c>
      <c r="B13520" s="4" t="s">
        <v>17018</v>
      </c>
      <c r="C13520" s="5" t="str">
        <f>IFERROR(__xludf.DUMMYFUNCTION("GOOGLETRANSLATE(B13520,""en"",""de"")"),"Eine Person wird gesehen, wie ein Einrad in der Mitte eines Waldes fährt, während er ein Instrument hält.")</f>
        <v>Eine Person wird gesehen, wie ein Einrad in der Mitte eines Waldes fährt, während er ein Instrument hält.</v>
      </c>
    </row>
    <row r="13521">
      <c r="A13521" s="4" t="s">
        <v>17017</v>
      </c>
      <c r="B13521" s="4" t="s">
        <v>17019</v>
      </c>
      <c r="C13521" s="5" t="str">
        <f>IFERROR(__xludf.DUMMYFUNCTION("GOOGLETRANSLATE(B13521,""en"",""de"")"),"Der Mann reitet weiter den Weg hinunter, als die Kamera seinen Bewegungen folgt.")</f>
        <v>Der Mann reitet weiter den Weg hinunter, als die Kamera seinen Bewegungen folgt.</v>
      </c>
    </row>
    <row r="13522">
      <c r="A13522" s="4" t="s">
        <v>17020</v>
      </c>
      <c r="B13522" s="4" t="s">
        <v>17021</v>
      </c>
      <c r="C13522" s="5" t="str">
        <f>IFERROR(__xludf.DUMMYFUNCTION("GOOGLETRANSLATE(B13522,""en"",""de"")"),"Ein schwarzer Bildschirm erscheint mit einem rot -weißen Logo am oberen linken, schwarzen und weißen Wörtern, die in der oberen Mitte diagonal werden, in der ""Sokol Dobris"" lautet, und der Boden hat lila und weiße Wörter mit der Aufschrift ""Seilsprung"&amp;""".")</f>
        <v>Ein schwarzer Bildschirm erscheint mit einem rot -weißen Logo am oberen linken, schwarzen und weißen Wörtern, die in der oberen Mitte diagonal werden, in der "Sokol Dobris" lautet, und der Boden hat lila und weiße Wörter mit der Aufschrift "Seilsprung".</v>
      </c>
    </row>
    <row r="13523">
      <c r="A13523" s="4" t="s">
        <v>17020</v>
      </c>
      <c r="B13523" s="4" t="s">
        <v>17022</v>
      </c>
      <c r="C13523" s="5" t="str">
        <f>IFERROR(__xludf.DUMMYFUNCTION("GOOGLETRANSLATE(B13523,""en"",""de"")"),"Als nächstes zeigt sich ein stilles schwarzes Hemd mit dem Logo oben links von der Brust und das Wort ""Dobris"" darunter und ein rot -weißes Sprungseil befindet sich oben.")</f>
        <v>Als nächstes zeigt sich ein stilles schwarzes Hemd mit dem Logo oben links von der Brust und das Wort "Dobris" darunter und ein rot -weißes Sprungseil befindet sich oben.</v>
      </c>
    </row>
    <row r="13524">
      <c r="A13524" s="4" t="s">
        <v>17020</v>
      </c>
      <c r="B13524" s="4" t="s">
        <v>17023</v>
      </c>
      <c r="C13524" s="5" t="str">
        <f>IFERROR(__xludf.DUMMYFUNCTION("GOOGLETRANSLATE(B13524,""en"",""de"")"),"Auf einem Innengericht stehen 4 verschiedene Menschen, und 3 halten die Enden von 2 verschiedenen Sprungseilen und 1 Person ist ein Seilsprung.")</f>
        <v>Auf einem Innengericht stehen 4 verschiedene Menschen, und 3 halten die Enden von 2 verschiedenen Sprungseilen und 1 Person ist ein Seilsprung.</v>
      </c>
    </row>
    <row r="13525">
      <c r="A13525" s="4" t="s">
        <v>17020</v>
      </c>
      <c r="B13525" s="4" t="s">
        <v>17024</v>
      </c>
      <c r="C13525" s="5" t="str">
        <f>IFERROR(__xludf.DUMMYFUNCTION("GOOGLETRANSLATE(B13525,""en"",""de"")"),"Verschiedene Klammern von Menschen mit Seilen springen und manchmal springen nur 1 Person alleine, aber meistens gibt es zwischen 2 und 4 und oft wechseln sie zwischen Springen und Halten des Seils.")</f>
        <v>Verschiedene Klammern von Menschen mit Seilen springen und manchmal springen nur 1 Person alleine, aber meistens gibt es zwischen 2 und 4 und oft wechseln sie zwischen Springen und Halten des Seils.</v>
      </c>
    </row>
    <row r="13526">
      <c r="A13526" s="4" t="s">
        <v>17020</v>
      </c>
      <c r="B13526" s="4" t="s">
        <v>17025</v>
      </c>
      <c r="C13526" s="5" t="str">
        <f>IFERROR(__xludf.DUMMYFUNCTION("GOOGLETRANSLATE(B13526,""en"",""de"")"),"Die Clips von Videos endet und verschiedene noch gedrehte Bilder mit Seilspringen werden auf dem Bildschirm angezeigt, und ein schwarzer Bildschirm wird angezeigt, wenn die Bilder gemacht werden und die lila und weißen Buchstaben auf dem Bildschirm angeze"&amp;"igt werden, das ""Seilspringen"" heißt.")</f>
        <v>Die Clips von Videos endet und verschiedene noch gedrehte Bilder mit Seilspringen werden auf dem Bildschirm angezeigt, und ein schwarzer Bildschirm wird angezeigt, wenn die Bilder gemacht werden und die lila und weißen Buchstaben auf dem Bildschirm angezeigt werden, das "Seilspringen" heißt.</v>
      </c>
    </row>
    <row r="13527">
      <c r="A13527" s="4" t="s">
        <v>17026</v>
      </c>
      <c r="B13527" s="4" t="s">
        <v>17027</v>
      </c>
      <c r="C13527" s="5" t="str">
        <f>IFERROR(__xludf.DUMMYFUNCTION("GOOGLETRANSLATE(B13527,""en"",""de"")"),"Ein Mann mit Bogen und Pfeil übt sein Ziel und seine Form.")</f>
        <v>Ein Mann mit Bogen und Pfeil übt sein Ziel und seine Form.</v>
      </c>
    </row>
    <row r="13528">
      <c r="A13528" s="4" t="s">
        <v>17026</v>
      </c>
      <c r="B13528" s="4" t="s">
        <v>17028</v>
      </c>
      <c r="C13528" s="5" t="str">
        <f>IFERROR(__xludf.DUMMYFUNCTION("GOOGLETRANSLATE(B13528,""en"",""de"")"),"Er schießt einen Pfeil und schnappt sich einen anderen hinter HM und macht sich bereit, wieder zu schießen.")</f>
        <v>Er schießt einen Pfeil und schnappt sich einen anderen hinter HM und macht sich bereit, wieder zu schießen.</v>
      </c>
    </row>
    <row r="13529">
      <c r="A13529" s="4" t="s">
        <v>17026</v>
      </c>
      <c r="B13529" s="4" t="s">
        <v>17029</v>
      </c>
      <c r="C13529" s="5" t="str">
        <f>IFERROR(__xludf.DUMMYFUNCTION("GOOGLETRANSLATE(B13529,""en"",""de"")"),"Er zieht die Schnur am Bogen zurück und veröffentlicht sie zusammen mit dem Pfeil.")</f>
        <v>Er zieht die Schnur am Bogen zurück und veröffentlicht sie zusammen mit dem Pfeil.</v>
      </c>
    </row>
    <row r="13530">
      <c r="A13530" s="4" t="s">
        <v>17026</v>
      </c>
      <c r="B13530" s="4" t="s">
        <v>17030</v>
      </c>
      <c r="C13530" s="5" t="str">
        <f>IFERROR(__xludf.DUMMYFUNCTION("GOOGLETRANSLATE(B13530,""en"",""de"")"),"Er setzt diese Routine immer wieder fort und übt für Perfektion.")</f>
        <v>Er setzt diese Routine immer wieder fort und übt für Perfektion.</v>
      </c>
    </row>
    <row r="13531">
      <c r="A13531" s="4" t="s">
        <v>17031</v>
      </c>
      <c r="B13531" s="4" t="s">
        <v>17032</v>
      </c>
      <c r="C13531" s="5" t="str">
        <f>IFERROR(__xludf.DUMMYFUNCTION("GOOGLETRANSLATE(B13531,""en"",""de"")"),"Ein junges Mädchen, das einen grauen Pullover mit langem rotem Haar trägt, putzt ihr Haar.")</f>
        <v>Ein junges Mädchen, das einen grauen Pullover mit langem rotem Haar trägt, putzt ihr Haar.</v>
      </c>
    </row>
    <row r="13532">
      <c r="A13532" s="4" t="s">
        <v>17031</v>
      </c>
      <c r="B13532" s="4" t="s">
        <v>17033</v>
      </c>
      <c r="C13532" s="5" t="str">
        <f>IFERROR(__xludf.DUMMYFUNCTION("GOOGLETRANSLATE(B13532,""en"",""de"")"),"Sie benutzt eine silberne Paddel")</f>
        <v>Sie benutzt eine silberne Paddel</v>
      </c>
    </row>
    <row r="13533">
      <c r="A13533" s="4" t="s">
        <v>17031</v>
      </c>
      <c r="B13533" s="4" t="s">
        <v>17034</v>
      </c>
      <c r="C13533" s="5" t="str">
        <f>IFERROR(__xludf.DUMMYFUNCTION("GOOGLETRANSLATE(B13533,""en"",""de"")"),"Sie beginnt plötzlich zu schreien, als sie ihre Haare streift.")</f>
        <v>Sie beginnt plötzlich zu schreien, als sie ihre Haare streift.</v>
      </c>
    </row>
    <row r="13534">
      <c r="A13534" s="4" t="s">
        <v>17035</v>
      </c>
      <c r="B13534" s="4" t="s">
        <v>17036</v>
      </c>
      <c r="C13534" s="5" t="str">
        <f>IFERROR(__xludf.DUMMYFUNCTION("GOOGLETRANSLATE(B13534,""en"",""de"")"),"Ein kleines Kind hält eine Eiskegel und spricht beim Lächeln mit der Kamera.")</f>
        <v>Ein kleines Kind hält eine Eiskegel und spricht beim Lächeln mit der Kamera.</v>
      </c>
    </row>
    <row r="13535">
      <c r="A13535" s="4" t="s">
        <v>17035</v>
      </c>
      <c r="B13535" s="4" t="s">
        <v>17037</v>
      </c>
      <c r="C13535" s="5" t="str">
        <f>IFERROR(__xludf.DUMMYFUNCTION("GOOGLETRANSLATE(B13535,""en"",""de"")"),"Sie spricht mit dem Kameramann, der eine Puppe in der anderen Seite hält, und setzt sich dann auf den Boden.")</f>
        <v>Sie spricht mit dem Kameramann, der eine Puppe in der anderen Seite hält, und setzt sich dann auf den Boden.</v>
      </c>
    </row>
    <row r="13536">
      <c r="A13536" s="4" t="s">
        <v>17038</v>
      </c>
      <c r="B13536" s="4" t="s">
        <v>17039</v>
      </c>
      <c r="C13536" s="5" t="str">
        <f>IFERROR(__xludf.DUMMYFUNCTION("GOOGLETRANSLATE(B13536,""en"",""de"")"),"Eine Frau und ein Mann stehen draußen und machen einige interessante Techniken miteinander.")</f>
        <v>Eine Frau und ein Mann stehen draußen und machen einige interessante Techniken miteinander.</v>
      </c>
    </row>
    <row r="13537">
      <c r="A13537" s="4" t="s">
        <v>17038</v>
      </c>
      <c r="B13537" s="4" t="s">
        <v>17040</v>
      </c>
      <c r="C13537" s="5" t="str">
        <f>IFERROR(__xludf.DUMMYFUNCTION("GOOGLETRANSLATE(B13537,""en"",""de"")"),"Sie scheinen gut miteinander zu funktionieren, die sich synchronisiert oder weniger nie auf den anderen treffen.")</f>
        <v>Sie scheinen gut miteinander zu funktionieren, die sich synchronisiert oder weniger nie auf den anderen treffen.</v>
      </c>
    </row>
    <row r="13538">
      <c r="A13538" s="4" t="s">
        <v>17038</v>
      </c>
      <c r="B13538" s="4" t="s">
        <v>17041</v>
      </c>
      <c r="C13538" s="5" t="str">
        <f>IFERROR(__xludf.DUMMYFUNCTION("GOOGLETRANSLATE(B13538,""en"",""de"")"),"Sie machen eine Art Karate oder so.")</f>
        <v>Sie machen eine Art Karate oder so.</v>
      </c>
    </row>
    <row r="13539">
      <c r="A13539" s="4" t="s">
        <v>17038</v>
      </c>
      <c r="B13539" s="4" t="s">
        <v>17042</v>
      </c>
      <c r="C13539" s="5" t="str">
        <f>IFERROR(__xludf.DUMMYFUNCTION("GOOGLETRANSLATE(B13539,""en"",""de"")"),"Derjenige greift den Mann intensiv und umarmt ihn, es sah aus, als sie küssen wollten, aber sie taten es nicht.")</f>
        <v>Derjenige greift den Mann intensiv und umarmt ihn, es sah aus, als sie küssen wollten, aber sie taten es nicht.</v>
      </c>
    </row>
    <row r="13540">
      <c r="A13540" s="4" t="s">
        <v>17043</v>
      </c>
      <c r="B13540" s="4" t="s">
        <v>17044</v>
      </c>
      <c r="C13540" s="5" t="str">
        <f>IFERROR(__xludf.DUMMYFUNCTION("GOOGLETRANSLATE(B13540,""en"",""de"")"),"Eine Gruppe älterer Menschen sitzt draußen auf Stühlen.")</f>
        <v>Eine Gruppe älterer Menschen sitzt draußen auf Stühlen.</v>
      </c>
    </row>
    <row r="13541">
      <c r="A13541" s="4" t="s">
        <v>17043</v>
      </c>
      <c r="B13541" s="4" t="s">
        <v>17045</v>
      </c>
      <c r="C13541" s="5" t="str">
        <f>IFERROR(__xludf.DUMMYFUNCTION("GOOGLETRANSLATE(B13541,""en"",""de"")"),"Ein Mann spielt eine Melodie mit einem Stock und einer Säge.")</f>
        <v>Ein Mann spielt eine Melodie mit einem Stock und einer Säge.</v>
      </c>
    </row>
    <row r="13542">
      <c r="A13542" s="4" t="s">
        <v>17043</v>
      </c>
      <c r="B13542" s="4" t="s">
        <v>17046</v>
      </c>
      <c r="C13542" s="5" t="str">
        <f>IFERROR(__xludf.DUMMYFUNCTION("GOOGLETRANSLATE(B13542,""en"",""de"")"),"Die Männer neben ihm halten Instrumente und warten an der Reihe.")</f>
        <v>Die Männer neben ihm halten Instrumente und warten an der Reihe.</v>
      </c>
    </row>
    <row r="13543">
      <c r="A13543" s="4" t="s">
        <v>17047</v>
      </c>
      <c r="B13543" s="4" t="s">
        <v>17048</v>
      </c>
      <c r="C13543" s="5" t="str">
        <f>IFERROR(__xludf.DUMMYFUNCTION("GOOGLETRANSLATE(B13543,""en"",""de"")"),"Es wird ein Spielplatz gezeigt und ein Hinterhof, während die Kamera zu einem Fenster auf einem Dach flucht.")</f>
        <v>Es wird ein Spielplatz gezeigt und ein Hinterhof, während die Kamera zu einem Fenster auf einem Dach flucht.</v>
      </c>
    </row>
    <row r="13544">
      <c r="A13544" s="4" t="s">
        <v>17047</v>
      </c>
      <c r="B13544" s="4" t="s">
        <v>17049</v>
      </c>
      <c r="C13544" s="5" t="str">
        <f>IFERROR(__xludf.DUMMYFUNCTION("GOOGLETRANSLATE(B13544,""en"",""de"")"),"Das Video zeigt verschiedene Bilder, wie man ein Dach repariert und der Mann mit Material wieder über das Fenster schwenkt.")</f>
        <v>Das Video zeigt verschiedene Bilder, wie man ein Dach repariert und der Mann mit Material wieder über das Fenster schwenkt.</v>
      </c>
    </row>
    <row r="13545">
      <c r="A13545" s="4" t="s">
        <v>17047</v>
      </c>
      <c r="B13545" s="4" t="s">
        <v>17050</v>
      </c>
      <c r="C13545" s="5" t="str">
        <f>IFERROR(__xludf.DUMMYFUNCTION("GOOGLETRANSLATE(B13545,""en"",""de"")"),"Er legt verschiedene Objekte um das Fenster und zeigt mit dem fertigen Produkt mehr Bilder des Daches.")</f>
        <v>Er legt verschiedene Objekte um das Fenster und zeigt mit dem fertigen Produkt mehr Bilder des Daches.</v>
      </c>
    </row>
    <row r="13546">
      <c r="A13546" s="4" t="s">
        <v>17051</v>
      </c>
      <c r="B13546" s="4" t="s">
        <v>17052</v>
      </c>
      <c r="C13546" s="5" t="str">
        <f>IFERROR(__xludf.DUMMYFUNCTION("GOOGLETRANSLATE(B13546,""en"",""de"")"),"Ein Rodeo -Fahrer kommt auf einem Bullen aus dem Tor und wird abgeworfen.")</f>
        <v>Ein Rodeo -Fahrer kommt auf einem Bullen aus dem Tor und wird abgeworfen.</v>
      </c>
    </row>
    <row r="13547">
      <c r="A13547" s="4" t="s">
        <v>17051</v>
      </c>
      <c r="B13547" s="4" t="s">
        <v>17053</v>
      </c>
      <c r="C13547" s="5" t="str">
        <f>IFERROR(__xludf.DUMMYFUNCTION("GOOGLETRANSLATE(B13547,""en"",""de"")"),"Die Rodeo -Clowns lenken den Stier ab, wenn der Fahrer in Sicherheit kommt.")</f>
        <v>Die Rodeo -Clowns lenken den Stier ab, wenn der Fahrer in Sicherheit kommt.</v>
      </c>
    </row>
    <row r="13548">
      <c r="A13548" s="4" t="s">
        <v>17051</v>
      </c>
      <c r="B13548" s="4" t="s">
        <v>17054</v>
      </c>
      <c r="C13548" s="5" t="str">
        <f>IFERROR(__xludf.DUMMYFUNCTION("GOOGLETRANSLATE(B13548,""en"",""de"")"),"Ein Clown wird verletzt und wird von einer hübschen Frau behandelt.")</f>
        <v>Ein Clown wird verletzt und wird von einer hübschen Frau behandelt.</v>
      </c>
    </row>
    <row r="13549">
      <c r="A13549" s="4" t="s">
        <v>17051</v>
      </c>
      <c r="B13549" s="4" t="s">
        <v>17055</v>
      </c>
      <c r="C13549" s="5" t="str">
        <f>IFERROR(__xludf.DUMMYFUNCTION("GOOGLETRANSLATE(B13549,""en"",""de"")"),"Eine Gruppe von Männern auf Pferden redet und während sie wegfahren, startet der Clown seinen Job im Ring neu.")</f>
        <v>Eine Gruppe von Männern auf Pferden redet und während sie wegfahren, startet der Clown seinen Job im Ring neu.</v>
      </c>
    </row>
    <row r="13550">
      <c r="A13550" s="4" t="s">
        <v>17051</v>
      </c>
      <c r="B13550" s="4" t="s">
        <v>17056</v>
      </c>
      <c r="C13550" s="5" t="str">
        <f>IFERROR(__xludf.DUMMYFUNCTION("GOOGLETRANSLATE(B13550,""en"",""de"")"),"Der Clown wird erneut verletzt, als er über einen Bullenkopf springt und die anderen Clowns ihm helfen.")</f>
        <v>Der Clown wird erneut verletzt, als er über einen Bullenkopf springt und die anderen Clowns ihm helfen.</v>
      </c>
    </row>
    <row r="13551">
      <c r="A13551" s="4" t="s">
        <v>17057</v>
      </c>
      <c r="B13551" s="4" t="s">
        <v>17058</v>
      </c>
      <c r="C13551" s="5" t="str">
        <f>IFERROR(__xludf.DUMMYFUNCTION("GOOGLETRANSLATE(B13551,""en"",""de"")"),"Eine große Gruppe von Menschen hält ein Seil, während zwei weitere in den Rahmen gehen und die Kamera die Menschen einschließt.")</f>
        <v>Eine große Gruppe von Menschen hält ein Seil, während zwei weitere in den Rahmen gehen und die Kamera die Menschen einschließt.</v>
      </c>
    </row>
    <row r="13552">
      <c r="A13552" s="4" t="s">
        <v>17057</v>
      </c>
      <c r="B13552" s="4" t="s">
        <v>17059</v>
      </c>
      <c r="C13552" s="5" t="str">
        <f>IFERROR(__xludf.DUMMYFUNCTION("GOOGLETRANSLATE(B13552,""en"",""de"")"),"Die Kamera schwankt weiter um die Menschen und führt zu einem Tauziehen und den Frauen, die feiern.")</f>
        <v>Die Kamera schwankt weiter um die Menschen und führt zu einem Tauziehen und den Frauen, die feiern.</v>
      </c>
    </row>
    <row r="13553">
      <c r="A13553" s="4" t="s">
        <v>17060</v>
      </c>
      <c r="B13553" s="4" t="s">
        <v>17061</v>
      </c>
      <c r="C13553" s="5" t="str">
        <f>IFERROR(__xludf.DUMMYFUNCTION("GOOGLETRANSLATE(B13553,""en"",""de"")"),"Jungs stehen oder sitzen in ihren Dirtbikes.")</f>
        <v>Jungs stehen oder sitzen in ihren Dirtbikes.</v>
      </c>
    </row>
    <row r="13554">
      <c r="A13554" s="4" t="s">
        <v>17060</v>
      </c>
      <c r="B13554" s="4" t="s">
        <v>17062</v>
      </c>
      <c r="C13554" s="5" t="str">
        <f>IFERROR(__xludf.DUMMYFUNCTION("GOOGLETRANSLATE(B13554,""en"",""de"")"),"Jungs fahren mit ihren Dirtbikes.")</f>
        <v>Jungs fahren mit ihren Dirtbikes.</v>
      </c>
    </row>
    <row r="13555">
      <c r="A13555" s="4" t="s">
        <v>17060</v>
      </c>
      <c r="B13555" s="4" t="s">
        <v>17063</v>
      </c>
      <c r="C13555" s="5" t="str">
        <f>IFERROR(__xludf.DUMMYFUNCTION("GOOGLETRANSLATE(B13555,""en"",""de"")"),"Ein Mann nimmt seine Oberkörperrüstung ab, während er auf seinem Dirtrad sitzt.")</f>
        <v>Ein Mann nimmt seine Oberkörperrüstung ab, während er auf seinem Dirtrad sitzt.</v>
      </c>
    </row>
    <row r="13556">
      <c r="A13556" s="4" t="s">
        <v>17064</v>
      </c>
      <c r="B13556" s="4" t="s">
        <v>17065</v>
      </c>
      <c r="C13556" s="5" t="str">
        <f>IFERROR(__xludf.DUMMYFUNCTION("GOOGLETRANSLATE(B13556,""en"",""de"")"),"Eine lange Reihe von Bikern wird bei einem Ereignis im Dunkeln gezeigt.")</f>
        <v>Eine lange Reihe von Bikern wird bei einem Ereignis im Dunkeln gezeigt.</v>
      </c>
    </row>
    <row r="13557">
      <c r="A13557" s="4" t="s">
        <v>17064</v>
      </c>
      <c r="B13557" s="4" t="s">
        <v>17066</v>
      </c>
      <c r="C13557" s="5" t="str">
        <f>IFERROR(__xludf.DUMMYFUNCTION("GOOGLETRANSLATE(B13557,""en"",""de"")"),"Ein Mann spricht auf der Bühne mit den Menschen, während sie sich auf das Hauptereignis vorbereiten.")</f>
        <v>Ein Mann spricht auf der Bühne mit den Menschen, während sie sich auf das Hauptereignis vorbereiten.</v>
      </c>
    </row>
    <row r="13558">
      <c r="A13558" s="4" t="s">
        <v>17064</v>
      </c>
      <c r="B13558" s="4" t="s">
        <v>17067</v>
      </c>
      <c r="C13558" s="5" t="str">
        <f>IFERROR(__xludf.DUMMYFUNCTION("GOOGLETRANSLATE(B13558,""en"",""de"")"),"Die Leute rennen und joggen an der jubelnden Menge vorbei, bis die Ziellinie erreicht ist, wo sie anhalten, um das Seil zu halten, das sie abgerissen haben.")</f>
        <v>Die Leute rennen und joggen an der jubelnden Menge vorbei, bis die Ziellinie erreicht ist, wo sie anhalten, um das Seil zu halten, das sie abgerissen haben.</v>
      </c>
    </row>
    <row r="13559">
      <c r="A13559" s="4" t="s">
        <v>17068</v>
      </c>
      <c r="B13559" s="4" t="s">
        <v>17069</v>
      </c>
      <c r="C13559" s="5" t="str">
        <f>IFERROR(__xludf.DUMMYFUNCTION("GOOGLETRANSLATE(B13559,""en"",""de"")"),"Ein Hundebesitzer bringt drei Hunde zu einem Hundereinigungsdienst und einer Firma, in der die Hunde gewaschen und getrocknet werden.")</f>
        <v>Ein Hundebesitzer bringt drei Hunde zu einem Hundereinigungsdienst und einer Firma, in der die Hunde gewaschen und getrocknet werden.</v>
      </c>
    </row>
    <row r="13560">
      <c r="A13560" s="4" t="s">
        <v>17068</v>
      </c>
      <c r="B13560" s="4" t="s">
        <v>17070</v>
      </c>
      <c r="C13560" s="5" t="str">
        <f>IFERROR(__xludf.DUMMYFUNCTION("GOOGLETRANSLATE(B13560,""en"",""de"")"),"Drei Hunde werden gezeigt, dass sie in Schlammpfützen und durch Schmutz und Gras schmutzig werden.")</f>
        <v>Drei Hunde werden gezeigt, dass sie in Schlammpfützen und durch Schmutz und Gras schmutzig werden.</v>
      </c>
    </row>
    <row r="13561">
      <c r="A13561" s="4" t="s">
        <v>17068</v>
      </c>
      <c r="B13561" s="4" t="s">
        <v>17071</v>
      </c>
      <c r="C13561" s="5" t="str">
        <f>IFERROR(__xludf.DUMMYFUNCTION("GOOGLETRANSLATE(B13561,""en"",""de"")"),"Die Hunde werden dann in ein Fahrzeug geladen und in eine Hundewaschfirma gebracht, in der sie in Waschspülen gelegt werden.")</f>
        <v>Die Hunde werden dann in ein Fahrzeug geladen und in eine Hundewaschfirma gebracht, in der sie in Waschspülen gelegt werden.</v>
      </c>
    </row>
    <row r="13562">
      <c r="A13562" s="4" t="s">
        <v>17068</v>
      </c>
      <c r="B13562" s="4" t="s">
        <v>17072</v>
      </c>
      <c r="C13562" s="5" t="str">
        <f>IFERROR(__xludf.DUMMYFUNCTION("GOOGLETRANSLATE(B13562,""en"",""de"")"),"Alle drei Hunde werden von Menschen gewaschen und getrocknet, wonach den Menschen gezeigt wird, dass sie den Bereich reinigen, in dem die Hunde gewaschen wurden.")</f>
        <v>Alle drei Hunde werden von Menschen gewaschen und getrocknet, wonach den Menschen gezeigt wird, dass sie den Bereich reinigen, in dem die Hunde gewaschen wurden.</v>
      </c>
    </row>
    <row r="13563">
      <c r="A13563" s="4" t="s">
        <v>17073</v>
      </c>
      <c r="B13563" s="4" t="s">
        <v>17074</v>
      </c>
      <c r="C13563" s="5" t="str">
        <f>IFERROR(__xludf.DUMMYFUNCTION("GOOGLETRANSLATE(B13563,""en"",""de"")"),"Ein Mann beginnt zu schweißen.")</f>
        <v>Ein Mann beginnt zu schweißen.</v>
      </c>
    </row>
    <row r="13564">
      <c r="A13564" s="4" t="s">
        <v>17073</v>
      </c>
      <c r="B13564" s="4" t="s">
        <v>17075</v>
      </c>
      <c r="C13564" s="5" t="str">
        <f>IFERROR(__xludf.DUMMYFUNCTION("GOOGLETRANSLATE(B13564,""en"",""de"")"),"Er beginnt ein Stück Metall auf einen Rahmen zu schweißen.")</f>
        <v>Er beginnt ein Stück Metall auf einen Rahmen zu schweißen.</v>
      </c>
    </row>
    <row r="13565">
      <c r="A13565" s="4" t="s">
        <v>17073</v>
      </c>
      <c r="B13565" s="4" t="s">
        <v>17076</v>
      </c>
      <c r="C13565" s="5" t="str">
        <f>IFERROR(__xludf.DUMMYFUNCTION("GOOGLETRANSLATE(B13565,""en"",""de"")"),"Er beendet seine Schweißnaht und zurück.")</f>
        <v>Er beendet seine Schweißnaht und zurück.</v>
      </c>
    </row>
    <row r="13566">
      <c r="A13566" s="4" t="s">
        <v>17077</v>
      </c>
      <c r="B13566" s="4" t="s">
        <v>17078</v>
      </c>
      <c r="C13566" s="5" t="str">
        <f>IFERROR(__xludf.DUMMYFUNCTION("GOOGLETRANSLATE(B13566,""en"",""de"")"),"Ein Mann füllt Teppich auf den Boden.")</f>
        <v>Ein Mann füllt Teppich auf den Boden.</v>
      </c>
    </row>
    <row r="13567">
      <c r="A13567" s="4" t="s">
        <v>17077</v>
      </c>
      <c r="B13567" s="4" t="s">
        <v>17079</v>
      </c>
      <c r="C13567" s="5" t="str">
        <f>IFERROR(__xludf.DUMMYFUNCTION("GOOGLETRANSLATE(B13567,""en"",""de"")"),"Er ist auf den Knien den Teppich.")</f>
        <v>Er ist auf den Knien den Teppich.</v>
      </c>
    </row>
    <row r="13568">
      <c r="A13568" s="4" t="s">
        <v>17077</v>
      </c>
      <c r="B13568" s="4" t="s">
        <v>17080</v>
      </c>
      <c r="C13568" s="5" t="str">
        <f>IFERROR(__xludf.DUMMYFUNCTION("GOOGLETRANSLATE(B13568,""en"",""de"")"),"Er legt Kleber auf den Boden.")</f>
        <v>Er legt Kleber auf den Boden.</v>
      </c>
    </row>
    <row r="13569">
      <c r="A13569" s="4" t="s">
        <v>17077</v>
      </c>
      <c r="B13569" s="4" t="s">
        <v>17081</v>
      </c>
      <c r="C13569" s="5" t="str">
        <f>IFERROR(__xludf.DUMMYFUNCTION("GOOGLETRANSLATE(B13569,""en"",""de"")"),"Dann legt er den Teppich darauf und glättet ihn.")</f>
        <v>Dann legt er den Teppich darauf und glättet ihn.</v>
      </c>
    </row>
    <row r="13570">
      <c r="A13570" s="4" t="s">
        <v>17077</v>
      </c>
      <c r="B13570" s="4" t="s">
        <v>17082</v>
      </c>
      <c r="C13570" s="5" t="str">
        <f>IFERROR(__xludf.DUMMYFUNCTION("GOOGLETRANSLATE(B13570,""en"",""de"")"),"Dann sehnt er den Teppich, wenn er fertig ist.")</f>
        <v>Dann sehnt er den Teppich, wenn er fertig ist.</v>
      </c>
    </row>
    <row r="13571">
      <c r="A13571" s="4" t="s">
        <v>17083</v>
      </c>
      <c r="B13571" s="4" t="s">
        <v>17084</v>
      </c>
      <c r="C13571" s="5" t="str">
        <f>IFERROR(__xludf.DUMMYFUNCTION("GOOGLETRANSLATE(B13571,""en"",""de"")"),"Ein kleiner Junge sitzt mit einer Tasse und einem Löffel auf dem Boden.")</f>
        <v>Ein kleiner Junge sitzt mit einer Tasse und einem Löffel auf dem Boden.</v>
      </c>
    </row>
    <row r="13572">
      <c r="A13572" s="4" t="s">
        <v>17083</v>
      </c>
      <c r="B13572" s="4" t="s">
        <v>17085</v>
      </c>
      <c r="C13572" s="5" t="str">
        <f>IFERROR(__xludf.DUMMYFUNCTION("GOOGLETRANSLATE(B13572,""en"",""de"")"),"Er isst eine weiße Substanz, als seine Mutter kommt, um nach ihm zu sehen.")</f>
        <v>Er isst eine weiße Substanz, als seine Mutter kommt, um nach ihm zu sehen.</v>
      </c>
    </row>
    <row r="13573">
      <c r="A13573" s="4" t="s">
        <v>17083</v>
      </c>
      <c r="B13573" s="4" t="s">
        <v>17086</v>
      </c>
      <c r="C13573" s="5" t="str">
        <f>IFERROR(__xludf.DUMMYFUNCTION("GOOGLETRANSLATE(B13573,""en"",""de"")"),"Er isst weiter langsam, als sie vorbeikommt.")</f>
        <v>Er isst weiter langsam, als sie vorbeikommt.</v>
      </c>
    </row>
    <row r="13574">
      <c r="A13574" s="4" t="s">
        <v>17087</v>
      </c>
      <c r="B13574" s="4" t="s">
        <v>17088</v>
      </c>
      <c r="C13574" s="5" t="str">
        <f>IFERROR(__xludf.DUMMYFUNCTION("GOOGLETRANSLATE(B13574,""en"",""de"")"),"Ein paar Frauen reden, während sie in einem Garten stehen.")</f>
        <v>Ein paar Frauen reden, während sie in einem Garten stehen.</v>
      </c>
    </row>
    <row r="13575">
      <c r="A13575" s="4" t="s">
        <v>17087</v>
      </c>
      <c r="B13575" s="4" t="s">
        <v>17089</v>
      </c>
      <c r="C13575" s="5" t="str">
        <f>IFERROR(__xludf.DUMMYFUNCTION("GOOGLETRANSLATE(B13575,""en"",""de"")"),"Sie halten Moos -Killer an Schläuchen an.")</f>
        <v>Sie halten Moos -Killer an Schläuchen an.</v>
      </c>
    </row>
    <row r="13576">
      <c r="A13576" s="4" t="s">
        <v>17087</v>
      </c>
      <c r="B13576" s="4" t="s">
        <v>17090</v>
      </c>
      <c r="C13576" s="5" t="str">
        <f>IFERROR(__xludf.DUMMYFUNCTION("GOOGLETRANSLATE(B13576,""en"",""de"")"),"Die Frauen sprühen den Mooskiller auf das Dach eines Schuppens und töten das Wachstum mit der Flüssigkeit.")</f>
        <v>Die Frauen sprühen den Mooskiller auf das Dach eines Schuppens und töten das Wachstum mit der Flüssigkeit.</v>
      </c>
    </row>
    <row r="13577">
      <c r="A13577" s="4" t="s">
        <v>17087</v>
      </c>
      <c r="B13577" s="4" t="s">
        <v>17091</v>
      </c>
      <c r="C13577" s="5" t="str">
        <f>IFERROR(__xludf.DUMMYFUNCTION("GOOGLETRANSLATE(B13577,""en"",""de"")"),"Dann halten sie die Moss -Killerstreifen in einer Schachtel hoch.")</f>
        <v>Dann halten sie die Moss -Killerstreifen in einer Schachtel hoch.</v>
      </c>
    </row>
    <row r="13578">
      <c r="A13578" s="4" t="s">
        <v>17092</v>
      </c>
      <c r="B13578" s="4" t="s">
        <v>17093</v>
      </c>
      <c r="C13578" s="5" t="str">
        <f>IFERROR(__xludf.DUMMYFUNCTION("GOOGLETRANSLATE(B13578,""en"",""de"")"),"Ein Mann sitzt in einem Kajak im Fluss, während er mit der Kamera über seine Reise spricht.")</f>
        <v>Ein Mann sitzt in einem Kajak im Fluss, während er mit der Kamera über seine Reise spricht.</v>
      </c>
    </row>
    <row r="13579">
      <c r="A13579" s="4" t="s">
        <v>17092</v>
      </c>
      <c r="B13579" s="4" t="s">
        <v>17094</v>
      </c>
      <c r="C13579" s="5" t="str">
        <f>IFERROR(__xludf.DUMMYFUNCTION("GOOGLETRANSLATE(B13579,""en"",""de"")"),"Er bewegt sich langsam im Wasser, während er Anweisungen gibt, wie man das Kajak richtig bewegt.")</f>
        <v>Er bewegt sich langsam im Wasser, während er Anweisungen gibt, wie man das Kajak richtig bewegt.</v>
      </c>
    </row>
    <row r="13580">
      <c r="A13580" s="4" t="s">
        <v>17092</v>
      </c>
      <c r="B13580" s="4" t="s">
        <v>17095</v>
      </c>
      <c r="C13580" s="5" t="str">
        <f>IFERROR(__xludf.DUMMYFUNCTION("GOOGLETRANSLATE(B13580,""en"",""de"")"),"Er beginnt den Strom zu paddeln und zeigt, was zu tun ist, wenn Sie stecken bleiben.")</f>
        <v>Er beginnt den Strom zu paddeln und zeigt, was zu tun ist, wenn Sie stecken bleiben.</v>
      </c>
    </row>
    <row r="13581">
      <c r="A13581" s="4" t="s">
        <v>17096</v>
      </c>
      <c r="B13581" s="4" t="s">
        <v>17097</v>
      </c>
      <c r="C13581" s="5" t="str">
        <f>IFERROR(__xludf.DUMMYFUNCTION("GOOGLETRANSLATE(B13581,""en"",""de"")"),"Man spricht mit einer Kamera und hält ein Messer und einige Magazine.")</f>
        <v>Man spricht mit einer Kamera und hält ein Messer und einige Magazine.</v>
      </c>
    </row>
    <row r="13582">
      <c r="A13582" s="4" t="s">
        <v>17096</v>
      </c>
      <c r="B13582" s="4" t="s">
        <v>17098</v>
      </c>
      <c r="C13582" s="5" t="str">
        <f>IFERROR(__xludf.DUMMYFUNCTION("GOOGLETRANSLATE(B13582,""en"",""de"")"),"Der Mensch hält das Messer und die Rhavea kleines Stück seines Armes.")</f>
        <v>Der Mensch hält das Messer und die Rhavea kleines Stück seines Armes.</v>
      </c>
    </row>
    <row r="13583">
      <c r="A13583" s="4" t="s">
        <v>17096</v>
      </c>
      <c r="B13583" s="4" t="s">
        <v>17099</v>
      </c>
      <c r="C13583" s="5" t="str">
        <f>IFERROR(__xludf.DUMMYFUNCTION("GOOGLETRANSLATE(B13583,""en"",""de"")"),"Der Mann schnappt sich ein paar Steine ​​aus einer Tasse Wasser und scharfe das Messer.")</f>
        <v>Der Mann schnappt sich ein paar Steine ​​aus einer Tasse Wasser und scharfe das Messer.</v>
      </c>
    </row>
    <row r="13584">
      <c r="A13584" s="4" t="s">
        <v>17096</v>
      </c>
      <c r="B13584" s="4" t="s">
        <v>17100</v>
      </c>
      <c r="C13584" s="5" t="str">
        <f>IFERROR(__xludf.DUMMYFUNCTION("GOOGLETRANSLATE(B13584,""en"",""de"")"),"Der Mann benutzt das Messer, um das Magazin zu schneiden.")</f>
        <v>Der Mann benutzt das Messer, um das Magazin zu schneiden.</v>
      </c>
    </row>
    <row r="13585">
      <c r="A13585" s="4" t="s">
        <v>17101</v>
      </c>
      <c r="B13585" s="4" t="s">
        <v>17102</v>
      </c>
      <c r="C13585" s="5" t="str">
        <f>IFERROR(__xludf.DUMMYFUNCTION("GOOGLETRANSLATE(B13585,""en"",""de"")"),"Ein Mann ist im Meereswasser zu sehen.")</f>
        <v>Ein Mann ist im Meereswasser zu sehen.</v>
      </c>
    </row>
    <row r="13586">
      <c r="A13586" s="4" t="s">
        <v>17101</v>
      </c>
      <c r="B13586" s="4" t="s">
        <v>17103</v>
      </c>
      <c r="C13586" s="5" t="str">
        <f>IFERROR(__xludf.DUMMYFUNCTION("GOOGLETRANSLATE(B13586,""en"",""de"")"),"Er fährt ein Paar Wasserskier.")</f>
        <v>Er fährt ein Paar Wasserskier.</v>
      </c>
    </row>
    <row r="13587">
      <c r="A13587" s="4" t="s">
        <v>17101</v>
      </c>
      <c r="B13587" s="4" t="s">
        <v>17104</v>
      </c>
      <c r="C13587" s="5" t="str">
        <f>IFERROR(__xludf.DUMMYFUNCTION("GOOGLETRANSLATE(B13587,""en"",""de"")"),"Er ist Drogen von einem Boot, während er durch die Wellen fährt.")</f>
        <v>Er ist Drogen von einem Boot, während er durch die Wellen fährt.</v>
      </c>
    </row>
    <row r="13588">
      <c r="A13588" s="4" t="s">
        <v>17105</v>
      </c>
      <c r="B13588" s="4" t="s">
        <v>15882</v>
      </c>
      <c r="C13588" s="5" t="str">
        <f>IFERROR(__xludf.DUMMYFUNCTION("GOOGLETRANSLATE(B13588,""en"",""de"")"),"Wir sehen die Eröffnungs -Titelbildschirme.")</f>
        <v>Wir sehen die Eröffnungs -Titelbildschirme.</v>
      </c>
    </row>
    <row r="13589">
      <c r="A13589" s="4" t="s">
        <v>17105</v>
      </c>
      <c r="B13589" s="4" t="s">
        <v>17106</v>
      </c>
      <c r="C13589" s="5" t="str">
        <f>IFERROR(__xludf.DUMMYFUNCTION("GOOGLETRANSLATE(B13589,""en"",""de"")"),"Eine Person wäscht und schneidet einen Kürbis auf.")</f>
        <v>Eine Person wäscht und schneidet einen Kürbis auf.</v>
      </c>
    </row>
    <row r="13590">
      <c r="A13590" s="4" t="s">
        <v>17105</v>
      </c>
      <c r="B13590" s="4" t="s">
        <v>17107</v>
      </c>
      <c r="C13590" s="5" t="str">
        <f>IFERROR(__xludf.DUMMYFUNCTION("GOOGLETRANSLATE(B13590,""en"",""de"")"),"Die Person reinigt zu den Innenseiten und zeichnet ein Gesicht auf den Kürbis.")</f>
        <v>Die Person reinigt zu den Innenseiten und zeichnet ein Gesicht auf den Kürbis.</v>
      </c>
    </row>
    <row r="13591">
      <c r="A13591" s="4" t="s">
        <v>17105</v>
      </c>
      <c r="B13591" s="4" t="s">
        <v>17108</v>
      </c>
      <c r="C13591" s="5" t="str">
        <f>IFERROR(__xludf.DUMMYFUNCTION("GOOGLETRANSLATE(B13591,""en"",""de"")"),"Sie schnitzen das Gesicht, um eine Jackolantern zu machen.")</f>
        <v>Sie schnitzen das Gesicht, um eine Jackolantern zu machen.</v>
      </c>
    </row>
    <row r="13592">
      <c r="A13592" s="4" t="s">
        <v>17105</v>
      </c>
      <c r="B13592" s="4" t="s">
        <v>17109</v>
      </c>
      <c r="C13592" s="5" t="str">
        <f>IFERROR(__xludf.DUMMYFUNCTION("GOOGLETRANSLATE(B13592,""en"",""de"")"),"Wir sehen dann den geschnitzten Kürbis mit einer Kerze im Inneren und dem Schlussbildschirm.")</f>
        <v>Wir sehen dann den geschnitzten Kürbis mit einer Kerze im Inneren und dem Schlussbildschirm.</v>
      </c>
    </row>
    <row r="13593">
      <c r="A13593" s="4" t="s">
        <v>17110</v>
      </c>
      <c r="B13593" s="4" t="s">
        <v>17111</v>
      </c>
      <c r="C13593" s="5" t="str">
        <f>IFERROR(__xludf.DUMMYFUNCTION("GOOGLETRANSLATE(B13593,""en"",""de"")"),"Wir sehen eine Reihe von Bowling -Bloopern.")</f>
        <v>Wir sehen eine Reihe von Bowling -Bloopern.</v>
      </c>
    </row>
    <row r="13594">
      <c r="A13594" s="4" t="s">
        <v>17110</v>
      </c>
      <c r="B13594" s="4" t="s">
        <v>17112</v>
      </c>
      <c r="C13594" s="5" t="str">
        <f>IFERROR(__xludf.DUMMYFUNCTION("GOOGLETRANSLATE(B13594,""en"",""de"")"),"Wir sehen, dass ein Baby einen Ball und einen erwachsenen Fall fallen lassen.")</f>
        <v>Wir sehen, dass ein Baby einen Ball und einen erwachsenen Fall fallen lassen.</v>
      </c>
    </row>
    <row r="13595">
      <c r="A13595" s="4" t="s">
        <v>17110</v>
      </c>
      <c r="B13595" s="4" t="s">
        <v>17113</v>
      </c>
      <c r="C13595" s="5" t="str">
        <f>IFERROR(__xludf.DUMMYFUNCTION("GOOGLETRANSLATE(B13595,""en"",""de"")"),"Wir sehen eine Dame fallen, während wir auf einer Bank sitzen.")</f>
        <v>Wir sehen eine Dame fallen, während wir auf einer Bank sitzen.</v>
      </c>
    </row>
    <row r="13596">
      <c r="A13596" s="4" t="s">
        <v>17110</v>
      </c>
      <c r="B13596" s="4" t="s">
        <v>17114</v>
      </c>
      <c r="C13596" s="5" t="str">
        <f>IFERROR(__xludf.DUMMYFUNCTION("GOOGLETRANSLATE(B13596,""en"",""de"")"),"Wir sehen, wie ein Mann einen Bowlingkugel in eine Kanone steckt und ihn über ein Feld schießt.")</f>
        <v>Wir sehen, wie ein Mann einen Bowlingkugel in eine Kanone steckt und ihn über ein Feld schießt.</v>
      </c>
    </row>
    <row r="13597">
      <c r="A13597" s="4" t="s">
        <v>17115</v>
      </c>
      <c r="B13597" s="4" t="s">
        <v>17116</v>
      </c>
      <c r="C13597" s="5" t="str">
        <f>IFERROR(__xludf.DUMMYFUNCTION("GOOGLETRANSLATE(B13597,""en"",""de"")"),"Eine große Gruppe befindet sich in einem Floß auf einem Fluss.")</f>
        <v>Eine große Gruppe befindet sich in einem Floß auf einem Fluss.</v>
      </c>
    </row>
    <row r="13598">
      <c r="A13598" s="4" t="s">
        <v>17115</v>
      </c>
      <c r="B13598" s="4" t="s">
        <v>17117</v>
      </c>
      <c r="C13598" s="5" t="str">
        <f>IFERROR(__xludf.DUMMYFUNCTION("GOOGLETRANSLATE(B13598,""en"",""de"")"),"Ein Mann in einem Kajak steht neben ihnen.")</f>
        <v>Ein Mann in einem Kajak steht neben ihnen.</v>
      </c>
    </row>
    <row r="13599">
      <c r="A13599" s="4" t="s">
        <v>17115</v>
      </c>
      <c r="B13599" s="4" t="s">
        <v>17118</v>
      </c>
      <c r="C13599" s="5" t="str">
        <f>IFERROR(__xludf.DUMMYFUNCTION("GOOGLETRANSLATE(B13599,""en"",""de"")"),"Sie schweben in die Stromschnellen und versuchen sie durchzugehen.")</f>
        <v>Sie schweben in die Stromschnellen und versuchen sie durchzugehen.</v>
      </c>
    </row>
    <row r="13600">
      <c r="A13600" s="4" t="s">
        <v>17119</v>
      </c>
      <c r="B13600" s="4" t="s">
        <v>17120</v>
      </c>
      <c r="C13600" s="5" t="str">
        <f>IFERROR(__xludf.DUMMYFUNCTION("GOOGLETRANSLATE(B13600,""en"",""de"")"),"Ein Logo wird gesehen und Bildunterschriften werden auf dem Bildschirm angezeigt.")</f>
        <v>Ein Logo wird gesehen und Bildunterschriften werden auf dem Bildschirm angezeigt.</v>
      </c>
    </row>
    <row r="13601">
      <c r="A13601" s="4" t="s">
        <v>17119</v>
      </c>
      <c r="B13601" s="4" t="s">
        <v>17121</v>
      </c>
      <c r="C13601" s="5" t="str">
        <f>IFERROR(__xludf.DUMMYFUNCTION("GOOGLETRANSLATE(B13601,""en"",""de"")"),"Bäume und Mulch werden mit einer leichten Brise gezeigt.")</f>
        <v>Bäume und Mulch werden mit einer leichten Brise gezeigt.</v>
      </c>
    </row>
    <row r="13602">
      <c r="A13602" s="4" t="s">
        <v>17119</v>
      </c>
      <c r="B13602" s="4" t="s">
        <v>17122</v>
      </c>
      <c r="C13602" s="5" t="str">
        <f>IFERROR(__xludf.DUMMYFUNCTION("GOOGLETRANSLATE(B13602,""en"",""de"")"),"Mehrere Personen werden gezeigt, dass sie einen Baum pflanzen.")</f>
        <v>Mehrere Personen werden gezeigt, dass sie einen Baum pflanzen.</v>
      </c>
    </row>
    <row r="13603">
      <c r="A13603" s="4" t="s">
        <v>17119</v>
      </c>
      <c r="B13603" s="4" t="s">
        <v>17123</v>
      </c>
      <c r="C13603" s="5" t="str">
        <f>IFERROR(__xludf.DUMMYFUNCTION("GOOGLETRANSLATE(B13603,""en"",""de"")"),"Die Menschen verbreiten Mulch um den Baum.")</f>
        <v>Die Menschen verbreiten Mulch um den Baum.</v>
      </c>
    </row>
    <row r="13604">
      <c r="A13604" s="4" t="s">
        <v>17119</v>
      </c>
      <c r="B13604" s="4" t="s">
        <v>17124</v>
      </c>
      <c r="C13604" s="5" t="str">
        <f>IFERROR(__xludf.DUMMYFUNCTION("GOOGLETRANSLATE(B13604,""en"",""de"")"),"Auf dem Bildschirm werden mehrere Logos angezeigt.")</f>
        <v>Auf dem Bildschirm werden mehrere Logos angezeigt.</v>
      </c>
    </row>
    <row r="13605">
      <c r="A13605" s="4" t="s">
        <v>17125</v>
      </c>
      <c r="B13605" s="4" t="s">
        <v>17126</v>
      </c>
      <c r="C13605" s="5" t="str">
        <f>IFERROR(__xludf.DUMMYFUNCTION("GOOGLETRANSLATE(B13605,""en"",""de"")"),"Ein Mann gibt eine Mundharmonika -Lektion mit Nahaufnahmen und im Grunde genommen eine Möglichkeit, darüber zu erzählen, wie man die Mundharmonika spielt.")</f>
        <v>Ein Mann gibt eine Mundharmonika -Lektion mit Nahaufnahmen und im Grunde genommen eine Möglichkeit, darüber zu erzählen, wie man die Mundharmonika spielt.</v>
      </c>
    </row>
    <row r="13606">
      <c r="A13606" s="4" t="s">
        <v>17125</v>
      </c>
      <c r="B13606" s="4" t="s">
        <v>17127</v>
      </c>
      <c r="C13606" s="5" t="str">
        <f>IFERROR(__xludf.DUMMYFUNCTION("GOOGLETRANSLATE(B13606,""en"",""de"")"),"Der Mann führt auch andere Arten von Harmonikalen ein.")</f>
        <v>Der Mann führt auch andere Arten von Harmonikalen ein.</v>
      </c>
    </row>
    <row r="13607">
      <c r="A13607" s="4" t="s">
        <v>17128</v>
      </c>
      <c r="B13607" s="4" t="s">
        <v>17129</v>
      </c>
      <c r="C13607" s="5" t="str">
        <f>IFERROR(__xludf.DUMMYFUNCTION("GOOGLETRANSLATE(B13607,""en"",""de"")"),"Ein Text -Intro führt zu einer Person, die auf einem Übungsrad sitzt.")</f>
        <v>Ein Text -Intro führt zu einer Person, die auf einem Übungsrad sitzt.</v>
      </c>
    </row>
    <row r="13608">
      <c r="A13608" s="4" t="s">
        <v>17128</v>
      </c>
      <c r="B13608" s="4" t="s">
        <v>17130</v>
      </c>
      <c r="C13608" s="5" t="str">
        <f>IFERROR(__xludf.DUMMYFUNCTION("GOOGLETRANSLATE(B13608,""en"",""de"")"),"Die Person spricht zu einer Klasse, die sie spricht, während sie ihre Füße fügt.")</f>
        <v>Die Person spricht zu einer Klasse, die sie spricht, während sie ihre Füße fügt.</v>
      </c>
    </row>
    <row r="13609">
      <c r="A13609" s="4" t="s">
        <v>17128</v>
      </c>
      <c r="B13609" s="4" t="s">
        <v>17131</v>
      </c>
      <c r="C13609" s="5" t="str">
        <f>IFERROR(__xludf.DUMMYFUNCTION("GOOGLETRANSLATE(B13609,""en"",""de"")"),"Die Frau bewegt ihre Füße und andere in der Klasse weiter.")</f>
        <v>Die Frau bewegt ihre Füße und andere in der Klasse weiter.</v>
      </c>
    </row>
    <row r="13610">
      <c r="A13610" s="4" t="s">
        <v>17132</v>
      </c>
      <c r="B13610" s="4" t="s">
        <v>17133</v>
      </c>
      <c r="C13610" s="5" t="str">
        <f>IFERROR(__xludf.DUMMYFUNCTION("GOOGLETRANSLATE(B13610,""en"",""de"")"),"Ein Mann, der ein blaues Hemd trägt, wirft den Schuss.")</f>
        <v>Ein Mann, der ein blaues Hemd trägt, wirft den Schuss.</v>
      </c>
    </row>
    <row r="13611">
      <c r="A13611" s="4" t="s">
        <v>17132</v>
      </c>
      <c r="B13611" s="4" t="s">
        <v>17134</v>
      </c>
      <c r="C13611" s="5" t="str">
        <f>IFERROR(__xludf.DUMMYFUNCTION("GOOGLETRANSLATE(B13611,""en"",""de"")"),"Er geht in einer kreisförmigen Bewegung auf einem roten Kreis, der auf dem Boden gemalt ist.")</f>
        <v>Er geht in einer kreisförmigen Bewegung auf einem roten Kreis, der auf dem Boden gemalt ist.</v>
      </c>
    </row>
    <row r="13612">
      <c r="A13612" s="4" t="s">
        <v>17132</v>
      </c>
      <c r="B13612" s="4" t="s">
        <v>17135</v>
      </c>
      <c r="C13612" s="5" t="str">
        <f>IFERROR(__xludf.DUMMYFUNCTION("GOOGLETRANSLATE(B13612,""en"",""de"")"),"Er wirft den Schuss in die Luft.")</f>
        <v>Er wirft den Schuss in die Luft.</v>
      </c>
    </row>
    <row r="13613">
      <c r="A13613" s="4" t="s">
        <v>17132</v>
      </c>
      <c r="B13613" s="4" t="s">
        <v>17136</v>
      </c>
      <c r="C13613" s="5" t="str">
        <f>IFERROR(__xludf.DUMMYFUNCTION("GOOGLETRANSLATE(B13613,""en"",""de"")"),"Ein anderer Mann schwingt in kreisförmiger Bewegung und bereit, den Schuss zu werfen.")</f>
        <v>Ein anderer Mann schwingt in kreisförmiger Bewegung und bereit, den Schuss zu werfen.</v>
      </c>
    </row>
    <row r="13614">
      <c r="A13614" s="4" t="s">
        <v>17137</v>
      </c>
      <c r="B13614" s="4" t="s">
        <v>17138</v>
      </c>
      <c r="C13614" s="5" t="str">
        <f>IFERROR(__xludf.DUMMYFUNCTION("GOOGLETRANSLATE(B13614,""en"",""de"")"),"Ein Reiter wirft ein Seil, um ein Kalb zu fangen, während die Leute zuschauen.")</f>
        <v>Ein Reiter wirft ein Seil, um ein Kalb zu fangen, während die Leute zuschauen.</v>
      </c>
    </row>
    <row r="13615">
      <c r="A13615" s="4" t="s">
        <v>17137</v>
      </c>
      <c r="B13615" s="4" t="s">
        <v>17139</v>
      </c>
      <c r="C13615" s="5" t="str">
        <f>IFERROR(__xludf.DUMMYFUNCTION("GOOGLETRANSLATE(B13615,""en"",""de"")"),"Unmittelbar bekommt der Mann das Pferd runter und binde das Kalb.")</f>
        <v>Unmittelbar bekommt der Mann das Pferd runter und binde das Kalb.</v>
      </c>
    </row>
    <row r="13616">
      <c r="A13616" s="4" t="s">
        <v>17137</v>
      </c>
      <c r="B13616" s="4" t="s">
        <v>17140</v>
      </c>
      <c r="C13616" s="5" t="str">
        <f>IFERROR(__xludf.DUMMYFUNCTION("GOOGLETRANSLATE(B13616,""en"",""de"")"),"Männer gehen hinter das Pferd.")</f>
        <v>Männer gehen hinter das Pferd.</v>
      </c>
    </row>
    <row r="13617">
      <c r="A13617" s="4" t="s">
        <v>17137</v>
      </c>
      <c r="B13617" s="4" t="s">
        <v>17141</v>
      </c>
      <c r="C13617" s="5" t="str">
        <f>IFERROR(__xludf.DUMMYFUNCTION("GOOGLETRANSLATE(B13617,""en"",""de"")"),"Danach kommt der Mann ins Pferd.")</f>
        <v>Danach kommt der Mann ins Pferd.</v>
      </c>
    </row>
    <row r="13618">
      <c r="A13618" s="4" t="s">
        <v>17142</v>
      </c>
      <c r="B13618" s="4" t="s">
        <v>17143</v>
      </c>
      <c r="C13618" s="5" t="str">
        <f>IFERROR(__xludf.DUMMYFUNCTION("GOOGLETRANSLATE(B13618,""en"",""de"")"),"Enten schwimmen im Wasser.")</f>
        <v>Enten schwimmen im Wasser.</v>
      </c>
    </row>
    <row r="13619">
      <c r="A13619" s="4" t="s">
        <v>17142</v>
      </c>
      <c r="B13619" s="4" t="s">
        <v>17144</v>
      </c>
      <c r="C13619" s="5" t="str">
        <f>IFERROR(__xludf.DUMMYFUNCTION("GOOGLETRANSLATE(B13619,""en"",""de"")"),"Die Leute bewegen Schmutz in einem Park.")</f>
        <v>Die Leute bewegen Schmutz in einem Park.</v>
      </c>
    </row>
    <row r="13620">
      <c r="A13620" s="4" t="s">
        <v>17142</v>
      </c>
      <c r="B13620" s="4" t="s">
        <v>17145</v>
      </c>
      <c r="C13620" s="5" t="str">
        <f>IFERROR(__xludf.DUMMYFUNCTION("GOOGLETRANSLATE(B13620,""en"",""de"")"),"Eine Frau in einem schwarzen Hemd und einer Brille spricht mit der Kamera.")</f>
        <v>Eine Frau in einem schwarzen Hemd und einer Brille spricht mit der Kamera.</v>
      </c>
    </row>
    <row r="13621">
      <c r="A13621" s="4" t="s">
        <v>17142</v>
      </c>
      <c r="B13621" s="4" t="s">
        <v>17146</v>
      </c>
      <c r="C13621" s="5" t="str">
        <f>IFERROR(__xludf.DUMMYFUNCTION("GOOGLETRANSLATE(B13621,""en"",""de"")"),"Die Leute rechnen den Schmutz herum.")</f>
        <v>Die Leute rechnen den Schmutz herum.</v>
      </c>
    </row>
    <row r="13622">
      <c r="A13622" s="4" t="s">
        <v>17142</v>
      </c>
      <c r="B13622" s="4" t="s">
        <v>17147</v>
      </c>
      <c r="C13622" s="5" t="str">
        <f>IFERROR(__xludf.DUMMYFUNCTION("GOOGLETRANSLATE(B13622,""en"",""de"")"),"Verschiedene Leute sprechen mit der Kamera.")</f>
        <v>Verschiedene Leute sprechen mit der Kamera.</v>
      </c>
    </row>
    <row r="13623">
      <c r="A13623" s="4" t="s">
        <v>17142</v>
      </c>
      <c r="B13623" s="4" t="s">
        <v>17148</v>
      </c>
      <c r="C13623" s="5" t="str">
        <f>IFERROR(__xludf.DUMMYFUNCTION("GOOGLETRANSLATE(B13623,""en"",""de"")"),"Die Menschen landen weiter im Park.")</f>
        <v>Die Menschen landen weiter im Park.</v>
      </c>
    </row>
    <row r="13624">
      <c r="A13624" s="4" t="s">
        <v>17149</v>
      </c>
      <c r="B13624" s="4" t="s">
        <v>17150</v>
      </c>
      <c r="C13624" s="5" t="str">
        <f>IFERROR(__xludf.DUMMYFUNCTION("GOOGLETRANSLATE(B13624,""en"",""de"")"),"Ein stilles Bild von einem Omelett, das aus einer Pfanne und auf eine weiße Platte gegossen wird, erscheint und der weiße Text darauf sagt ""Wie man ein Omelett macht"".")</f>
        <v>Ein stilles Bild von einem Omelett, das aus einer Pfanne und auf eine weiße Platte gegossen wird, erscheint und der weiße Text darauf sagt "Wie man ein Omelett macht".</v>
      </c>
    </row>
    <row r="13625">
      <c r="A13625" s="4" t="s">
        <v>17149</v>
      </c>
      <c r="B13625" s="4" t="s">
        <v>17151</v>
      </c>
      <c r="C13625" s="5" t="str">
        <f>IFERROR(__xludf.DUMMYFUNCTION("GOOGLETRANSLATE(B13625,""en"",""de"")"),"Ein weißer Bildschirm mit einem Clipart roter Löwe, der eine Krone trägt, erscheint und die blauen Worte ""Britische Löwenqualität sind in der Nähe des Löwen.")</f>
        <v>Ein weißer Bildschirm mit einem Clipart roter Löwe, der eine Krone trägt, erscheint und die blauen Worte "Britische Löwenqualität sind in der Nähe des Löwen.</v>
      </c>
    </row>
    <row r="13626">
      <c r="A13626" s="4" t="s">
        <v>17149</v>
      </c>
      <c r="B13626" s="4" t="s">
        <v>17152</v>
      </c>
      <c r="C13626" s="5" t="str">
        <f>IFERROR(__xludf.DUMMYFUNCTION("GOOGLETRANSLATE(B13626,""en"",""de"")"),"Eine Frau befindet sich jetzt in der Küche vor einer Pfanne auf einem Herd, sie schaltet den Ofen ein, schnappt sich eine große Messbecher und beginnt, Eier hinein zu knacken, dann fügt die Eier verschiedene andere Zutaten hinzu und flüchtet dann alles au"&amp;"f.")</f>
        <v>Eine Frau befindet sich jetzt in der Küche vor einer Pfanne auf einem Herd, sie schaltet den Ofen ein, schnappt sich eine große Messbecher und beginnt, Eier hinein zu knacken, dann fügt die Eier verschiedene andere Zutaten hinzu und flüchtet dann alles auf.</v>
      </c>
    </row>
    <row r="13627">
      <c r="A13627" s="4" t="s">
        <v>17149</v>
      </c>
      <c r="B13627" s="4" t="s">
        <v>17153</v>
      </c>
      <c r="C13627" s="5" t="str">
        <f>IFERROR(__xludf.DUMMYFUNCTION("GOOGLETRANSLATE(B13627,""en"",""de"")"),"Die Frau steckt dann Butter in die Pfanne, schmilzt sie überall und gießt dann ihre Eiermischung in die Pfanne.")</f>
        <v>Die Frau steckt dann Butter in die Pfanne, schmilzt sie überall und gießt dann ihre Eiermischung in die Pfanne.</v>
      </c>
    </row>
    <row r="13628">
      <c r="A13628" s="4" t="s">
        <v>17149</v>
      </c>
      <c r="B13628" s="4" t="s">
        <v>17154</v>
      </c>
      <c r="C13628" s="5" t="str">
        <f>IFERROR(__xludf.DUMMYFUNCTION("GOOGLETRANSLATE(B13628,""en"",""de"")"),"Die Frau packt ihren Holzspatel und beginnt, die Eier in der Pfanne zu manipulieren, um sicherzustellen, dass er nicht haftet und gründlich kocht.")</f>
        <v>Die Frau packt ihren Holzspatel und beginnt, die Eier in der Pfanne zu manipulieren, um sicherzustellen, dass er nicht haftet und gründlich kocht.</v>
      </c>
    </row>
    <row r="13629">
      <c r="A13629" s="4" t="s">
        <v>17149</v>
      </c>
      <c r="B13629" s="4" t="s">
        <v>17155</v>
      </c>
      <c r="C13629" s="5" t="str">
        <f>IFERROR(__xludf.DUMMYFUNCTION("GOOGLETRANSLATE(B13629,""en"",""de"")"),"Die Frau nimmt dann das Ei auf den weißen Teller und faltet es darauf, fügt dann eine Handvoll Grün daneben hinzu.")</f>
        <v>Die Frau nimmt dann das Ei auf den weißen Teller und faltet es darauf, fügt dann eine Handvoll Grün daneben hinzu.</v>
      </c>
    </row>
    <row r="13630">
      <c r="A13630" s="4" t="s">
        <v>17149</v>
      </c>
      <c r="B13630" s="4" t="s">
        <v>17156</v>
      </c>
      <c r="C13630" s="5" t="str">
        <f>IFERROR(__xludf.DUMMYFUNCTION("GOOGLETRANSLATE(B13630,""en"",""de"")"),"Ein weißer Bildschirm erscheint mit dem roten Clipart -Löwen in der Mitte und den blauen Wörtern ""British Lion Quality"", die um ihn herum gehen.")</f>
        <v>Ein weißer Bildschirm erscheint mit dem roten Clipart -Löwen in der Mitte und den blauen Wörtern "British Lion Quality", die um ihn herum gehen.</v>
      </c>
    </row>
    <row r="13631">
      <c r="A13631" s="4" t="s">
        <v>17157</v>
      </c>
      <c r="B13631" s="4" t="s">
        <v>17158</v>
      </c>
      <c r="C13631" s="5" t="str">
        <f>IFERROR(__xludf.DUMMYFUNCTION("GOOGLETRANSLATE(B13631,""en"",""de"")"),"Ein Mann skateboarter einen Bürgersteig entlang.")</f>
        <v>Ein Mann skateboarter einen Bürgersteig entlang.</v>
      </c>
    </row>
    <row r="13632">
      <c r="A13632" s="4" t="s">
        <v>17157</v>
      </c>
      <c r="B13632" s="4" t="s">
        <v>17159</v>
      </c>
      <c r="C13632" s="5" t="str">
        <f>IFERROR(__xludf.DUMMYFUNCTION("GOOGLETRANSLATE(B13632,""en"",""de"")"),"Er macht einen Flip auf dem Skateboard.")</f>
        <v>Er macht einen Flip auf dem Skateboard.</v>
      </c>
    </row>
    <row r="13633">
      <c r="A13633" s="4" t="s">
        <v>17157</v>
      </c>
      <c r="B13633" s="4" t="s">
        <v>17160</v>
      </c>
      <c r="C13633" s="5" t="str">
        <f>IFERROR(__xludf.DUMMYFUNCTION("GOOGLETRANSLATE(B13633,""en"",""de"")"),"Er fällt vom Skateboard auf den Boden.")</f>
        <v>Er fällt vom Skateboard auf den Boden.</v>
      </c>
    </row>
    <row r="13634">
      <c r="A13634" s="4" t="s">
        <v>17161</v>
      </c>
      <c r="B13634" s="4" t="s">
        <v>17162</v>
      </c>
      <c r="C13634" s="5" t="str">
        <f>IFERROR(__xludf.DUMMYFUNCTION("GOOGLETRANSLATE(B13634,""en"",""de"")"),"Ein Mann und eine Frau haben Sex und küssen sich in einer Dusche.")</f>
        <v>Ein Mann und eine Frau haben Sex und küssen sich in einer Dusche.</v>
      </c>
    </row>
    <row r="13635">
      <c r="A13635" s="4" t="s">
        <v>17161</v>
      </c>
      <c r="B13635" s="4" t="s">
        <v>17163</v>
      </c>
      <c r="C13635" s="5" t="str">
        <f>IFERROR(__xludf.DUMMYFUNCTION("GOOGLETRANSLATE(B13635,""en"",""de"")"),"Sie schiebt ihn weg und beginnt zu weinen.")</f>
        <v>Sie schiebt ihn weg und beginnt zu weinen.</v>
      </c>
    </row>
    <row r="13636">
      <c r="A13636" s="4" t="s">
        <v>17161</v>
      </c>
      <c r="B13636" s="4" t="s">
        <v>17164</v>
      </c>
      <c r="C13636" s="5" t="str">
        <f>IFERROR(__xludf.DUMMYFUNCTION("GOOGLETRANSLATE(B13636,""en"",""de"")"),"Ein Paar hat Sex auf einem Bett.")</f>
        <v>Ein Paar hat Sex auf einem Bett.</v>
      </c>
    </row>
    <row r="13637">
      <c r="A13637" s="4" t="s">
        <v>17161</v>
      </c>
      <c r="B13637" s="4" t="s">
        <v>17165</v>
      </c>
      <c r="C13637" s="5" t="str">
        <f>IFERROR(__xludf.DUMMYFUNCTION("GOOGLETRANSLATE(B13637,""en"",""de"")"),"Die Frau zieht eine Feder heraus und leckt sie.")</f>
        <v>Die Frau zieht eine Feder heraus und leckt sie.</v>
      </c>
    </row>
    <row r="13638">
      <c r="A13638" s="4" t="s">
        <v>17161</v>
      </c>
      <c r="B13638" s="4" t="s">
        <v>17166</v>
      </c>
      <c r="C13638" s="5" t="str">
        <f>IFERROR(__xludf.DUMMYFUNCTION("GOOGLETRANSLATE(B13638,""en"",""de"")"),"Sie reibt es im Gesicht des Mannes.")</f>
        <v>Sie reibt es im Gesicht des Mannes.</v>
      </c>
    </row>
    <row r="13639">
      <c r="A13639" s="4" t="s">
        <v>17161</v>
      </c>
      <c r="B13639" s="4" t="s">
        <v>17167</v>
      </c>
      <c r="C13639" s="5" t="str">
        <f>IFERROR(__xludf.DUMMYFUNCTION("GOOGLETRANSLATE(B13639,""en"",""de"")"),"Sie hat ein Messer und reibt es über seine Brust.")</f>
        <v>Sie hat ein Messer und reibt es über seine Brust.</v>
      </c>
    </row>
    <row r="13640">
      <c r="A13640" s="4" t="s">
        <v>17161</v>
      </c>
      <c r="B13640" s="4" t="s">
        <v>17168</v>
      </c>
      <c r="C13640" s="5" t="str">
        <f>IFERROR(__xludf.DUMMYFUNCTION("GOOGLETRANSLATE(B13640,""en"",""de"")"),"Sie schaut zu ihm auf und beleuchtet eine Zigarette.")</f>
        <v>Sie schaut zu ihm auf und beleuchtet eine Zigarette.</v>
      </c>
    </row>
    <row r="13641">
      <c r="A13641" s="4" t="s">
        <v>17161</v>
      </c>
      <c r="B13641" s="4" t="s">
        <v>17169</v>
      </c>
      <c r="C13641" s="5" t="str">
        <f>IFERROR(__xludf.DUMMYFUNCTION("GOOGLETRANSLATE(B13641,""en"",""de"")"),"Sie legt sich auf dem Rücken und lacht.")</f>
        <v>Sie legt sich auf dem Rücken und lacht.</v>
      </c>
    </row>
    <row r="13642">
      <c r="A13642" s="4" t="s">
        <v>17161</v>
      </c>
      <c r="B13642" s="4" t="s">
        <v>17170</v>
      </c>
      <c r="C13642" s="5" t="str">
        <f>IFERROR(__xludf.DUMMYFUNCTION("GOOGLETRANSLATE(B13642,""en"",""de"")"),"Die Frau redet und lacht, während sie eine Schlange hält.")</f>
        <v>Die Frau redet und lacht, während sie eine Schlange hält.</v>
      </c>
    </row>
    <row r="13643">
      <c r="A13643" s="4" t="s">
        <v>17161</v>
      </c>
      <c r="B13643" s="4" t="s">
        <v>17171</v>
      </c>
      <c r="C13643" s="5" t="str">
        <f>IFERROR(__xludf.DUMMYFUNCTION("GOOGLETRANSLATE(B13643,""en"",""de"")"),"Die Frau spricht mit jemandem.")</f>
        <v>Die Frau spricht mit jemandem.</v>
      </c>
    </row>
    <row r="13644">
      <c r="A13644" s="4" t="s">
        <v>17161</v>
      </c>
      <c r="B13644" s="4" t="s">
        <v>17172</v>
      </c>
      <c r="C13644" s="5" t="str">
        <f>IFERROR(__xludf.DUMMYFUNCTION("GOOGLETRANSLATE(B13644,""en"",""de"")"),"Eine Tabelle mit Lebensmitteln wird angezeigt.")</f>
        <v>Eine Tabelle mit Lebensmitteln wird angezeigt.</v>
      </c>
    </row>
    <row r="13645">
      <c r="A13645" s="4" t="s">
        <v>17161</v>
      </c>
      <c r="B13645" s="4" t="s">
        <v>17173</v>
      </c>
      <c r="C13645" s="5" t="str">
        <f>IFERROR(__xludf.DUMMYFUNCTION("GOOGLETRANSLATE(B13645,""en"",""de"")"),"Ein Weinglas wird von der Frau einem Mann gegeben.")</f>
        <v>Ein Weinglas wird von der Frau einem Mann gegeben.</v>
      </c>
    </row>
    <row r="13646">
      <c r="A13646" s="4" t="s">
        <v>17161</v>
      </c>
      <c r="B13646" s="4" t="s">
        <v>17174</v>
      </c>
      <c r="C13646" s="5" t="str">
        <f>IFERROR(__xludf.DUMMYFUNCTION("GOOGLETRANSLATE(B13646,""en"",""de"")"),"Er bestreitet das Getränk und sie nimmt einen Schluck.")</f>
        <v>Er bestreitet das Getränk und sie nimmt einen Schluck.</v>
      </c>
    </row>
    <row r="13647">
      <c r="A13647" s="4" t="s">
        <v>17161</v>
      </c>
      <c r="B13647" s="4" t="s">
        <v>17175</v>
      </c>
      <c r="C13647" s="5" t="str">
        <f>IFERROR(__xludf.DUMMYFUNCTION("GOOGLETRANSLATE(B13647,""en"",""de"")"),"Sie beginnen sich zu küssen.")</f>
        <v>Sie beginnen sich zu küssen.</v>
      </c>
    </row>
    <row r="13648">
      <c r="A13648" s="4" t="s">
        <v>17176</v>
      </c>
      <c r="B13648" s="4" t="s">
        <v>17177</v>
      </c>
      <c r="C13648" s="5" t="str">
        <f>IFERROR(__xludf.DUMMYFUNCTION("GOOGLETRANSLATE(B13648,""en"",""de"")"),"Die Kamera folgt einer Person in der roten Hosen, die einen Hang hinuntergeht.")</f>
        <v>Die Kamera folgt einer Person in der roten Hosen, die einen Hang hinuntergeht.</v>
      </c>
    </row>
    <row r="13649">
      <c r="A13649" s="4" t="s">
        <v>17176</v>
      </c>
      <c r="B13649" s="4" t="s">
        <v>17178</v>
      </c>
      <c r="C13649" s="5" t="str">
        <f>IFERROR(__xludf.DUMMYFUNCTION("GOOGLETRANSLATE(B13649,""en"",""de"")"),"Die Kamera schwenkt kurz von der Frau weg, um sich auf den Hang zu konzentrieren.")</f>
        <v>Die Kamera schwenkt kurz von der Frau weg, um sich auf den Hang zu konzentrieren.</v>
      </c>
    </row>
    <row r="13650">
      <c r="A13650" s="4" t="s">
        <v>17176</v>
      </c>
      <c r="B13650" s="4" t="s">
        <v>17179</v>
      </c>
      <c r="C13650" s="5" t="str">
        <f>IFERROR(__xludf.DUMMYFUNCTION("GOOGLETRANSLATE(B13650,""en"",""de"")"),"Die Kamera schwenkt von der Frau weg, um sich auf den Hang zu konzentrieren.")</f>
        <v>Die Kamera schwenkt von der Frau weg, um sich auf den Hang zu konzentrieren.</v>
      </c>
    </row>
    <row r="13651">
      <c r="A13651" s="4" t="s">
        <v>17180</v>
      </c>
      <c r="B13651" s="4" t="s">
        <v>17181</v>
      </c>
      <c r="C13651" s="5" t="str">
        <f>IFERROR(__xludf.DUMMYFUNCTION("GOOGLETRANSLATE(B13651,""en"",""de"")"),"Ein Mann spricht mit der Kamera, die ein Paddel hält und in einem Kajak sitzt.")</f>
        <v>Ein Mann spricht mit der Kamera, die ein Paddel hält und in einem Kajak sitzt.</v>
      </c>
    </row>
    <row r="13652">
      <c r="A13652" s="4" t="s">
        <v>17180</v>
      </c>
      <c r="B13652" s="4" t="s">
        <v>17182</v>
      </c>
      <c r="C13652" s="5" t="str">
        <f>IFERROR(__xludf.DUMMYFUNCTION("GOOGLETRANSLATE(B13652,""en"",""de"")"),"Der Mann paddelt sich dann durch die Gegend auf dem Kajak und schaut zur Kamera.")</f>
        <v>Der Mann paddelt sich dann durch die Gegend auf dem Kajak und schaut zur Kamera.</v>
      </c>
    </row>
    <row r="13653">
      <c r="A13653" s="4" t="s">
        <v>17183</v>
      </c>
      <c r="B13653" s="4" t="s">
        <v>17184</v>
      </c>
      <c r="C13653" s="5" t="str">
        <f>IFERROR(__xludf.DUMMYFUNCTION("GOOGLETRANSLATE(B13653,""en"",""de"")"),"Eine Frau reitet ein Pferd in einer Innenstock, während er ein Solo -Polospiel spielt.")</f>
        <v>Eine Frau reitet ein Pferd in einer Innenstock, während er ein Solo -Polospiel spielt.</v>
      </c>
    </row>
    <row r="13654">
      <c r="A13654" s="4" t="s">
        <v>17183</v>
      </c>
      <c r="B13654" s="4" t="s">
        <v>17185</v>
      </c>
      <c r="C13654" s="5" t="str">
        <f>IFERROR(__xludf.DUMMYFUNCTION("GOOGLETRANSLATE(B13654,""en"",""de"")"),"Eine Frau reitet ein Pferd in einer Innenstall und spielt Polo, während er einen Polo -Stock hält und einen roten Ball in der Innenkette jagt.")</f>
        <v>Eine Frau reitet ein Pferd in einer Innenstall und spielt Polo, während er einen Polo -Stock hält und einen roten Ball in der Innenkette jagt.</v>
      </c>
    </row>
    <row r="13655">
      <c r="A13655" s="4" t="s">
        <v>17183</v>
      </c>
      <c r="B13655" s="4" t="s">
        <v>17186</v>
      </c>
      <c r="C13655" s="5" t="str">
        <f>IFERROR(__xludf.DUMMYFUNCTION("GOOGLETRANSLATE(B13655,""en"",""de"")"),"Die Frau schlägt am Ball, während sie im Kreis mit dem Pferd reitet.")</f>
        <v>Die Frau schlägt am Ball, während sie im Kreis mit dem Pferd reitet.</v>
      </c>
    </row>
    <row r="13656">
      <c r="A13656" s="4" t="s">
        <v>17183</v>
      </c>
      <c r="B13656" s="4" t="s">
        <v>17187</v>
      </c>
      <c r="C13656" s="5" t="str">
        <f>IFERROR(__xludf.DUMMYFUNCTION("GOOGLETRANSLATE(B13656,""en"",""de"")"),"Die Frau reitet das Pferd, bis die Sonne untergeht und die Szene dunkler und dunkler wird.")</f>
        <v>Die Frau reitet das Pferd, bis die Sonne untergeht und die Szene dunkler und dunkler wird.</v>
      </c>
    </row>
    <row r="13657">
      <c r="A13657" s="4" t="s">
        <v>17188</v>
      </c>
      <c r="B13657" s="4" t="s">
        <v>17189</v>
      </c>
      <c r="C13657" s="5" t="str">
        <f>IFERROR(__xludf.DUMMYFUNCTION("GOOGLETRANSLATE(B13657,""en"",""de"")"),"Wrestler kämpfen in einem Ring.")</f>
        <v>Wrestler kämpfen in einem Ring.</v>
      </c>
    </row>
    <row r="13658">
      <c r="A13658" s="4" t="s">
        <v>17188</v>
      </c>
      <c r="B13658" s="4" t="s">
        <v>17190</v>
      </c>
      <c r="C13658" s="5" t="str">
        <f>IFERROR(__xludf.DUMMYFUNCTION("GOOGLETRANSLATE(B13658,""en"",""de"")"),"Ein Mann wird von anderen Männern aufgegriffen und heruntergeworfen.")</f>
        <v>Ein Mann wird von anderen Männern aufgegriffen und heruntergeworfen.</v>
      </c>
    </row>
    <row r="13659">
      <c r="A13659" s="4" t="s">
        <v>17188</v>
      </c>
      <c r="B13659" s="4" t="s">
        <v>17191</v>
      </c>
      <c r="C13659" s="5" t="str">
        <f>IFERROR(__xludf.DUMMYFUNCTION("GOOGLETRANSLATE(B13659,""en"",""de"")"),"Ein Mann fällt auf einen Tisch und bricht ihn.")</f>
        <v>Ein Mann fällt auf einen Tisch und bricht ihn.</v>
      </c>
    </row>
    <row r="13660">
      <c r="A13660" s="4" t="s">
        <v>17192</v>
      </c>
      <c r="B13660" s="4" t="s">
        <v>17193</v>
      </c>
      <c r="C13660" s="5" t="str">
        <f>IFERROR(__xludf.DUMMYFUNCTION("GOOGLETRANSLATE(B13660,""en"",""de"")"),"Ein Mann, der eine Brille trägt, steht draußen im Schnee und einige Geräte sprechen.")</f>
        <v>Ein Mann, der eine Brille trägt, steht draußen im Schnee und einige Geräte sprechen.</v>
      </c>
    </row>
    <row r="13661">
      <c r="A13661" s="4" t="s">
        <v>17192</v>
      </c>
      <c r="B13661" s="4" t="s">
        <v>17194</v>
      </c>
      <c r="C13661" s="5" t="str">
        <f>IFERROR(__xludf.DUMMYFUNCTION("GOOGLETRANSLATE(B13661,""en"",""de"")"),"Er bringt das blaue, große, schaufel aussehende Gerät vor, spricht immer noch und greift dann eine weitere Schaufel.")</f>
        <v>Er bringt das blaue, große, schaufel aussehende Gerät vor, spricht immer noch und greift dann eine weitere Schaufel.</v>
      </c>
    </row>
    <row r="13662">
      <c r="A13662" s="4" t="s">
        <v>17192</v>
      </c>
      <c r="B13662" s="4" t="s">
        <v>17195</v>
      </c>
      <c r="C13662" s="5" t="str">
        <f>IFERROR(__xludf.DUMMYFUNCTION("GOOGLETRANSLATE(B13662,""en"",""de"")"),"Er wirft die Schaufel und geht dann, um zu demonstrieren, wie man den Schnee aufschaufelt.")</f>
        <v>Er wirft die Schaufel und geht dann, um zu demonstrieren, wie man den Schnee aufschaufelt.</v>
      </c>
    </row>
    <row r="13663">
      <c r="A13663" s="4" t="s">
        <v>17192</v>
      </c>
      <c r="B13663" s="4" t="s">
        <v>17196</v>
      </c>
      <c r="C13663" s="5" t="str">
        <f>IFERROR(__xludf.DUMMYFUNCTION("GOOGLETRANSLATE(B13663,""en"",""de"")"),"Er redet weiter und beginnt dann wieder das Schaufel -Gerät zu verwenden.")</f>
        <v>Er redet weiter und beginnt dann wieder das Schaufel -Gerät zu verwenden.</v>
      </c>
    </row>
    <row r="13664">
      <c r="A13664" s="4" t="s">
        <v>17192</v>
      </c>
      <c r="B13664" s="4" t="s">
        <v>17197</v>
      </c>
      <c r="C13664" s="5" t="str">
        <f>IFERROR(__xludf.DUMMYFUNCTION("GOOGLETRANSLATE(B13664,""en"",""de"")"),"Er schaufelt einige Schneehaufen.")</f>
        <v>Er schaufelt einige Schneehaufen.</v>
      </c>
    </row>
    <row r="13665">
      <c r="A13665" s="4" t="s">
        <v>17198</v>
      </c>
      <c r="B13665" s="4" t="s">
        <v>17199</v>
      </c>
      <c r="C13665" s="5" t="str">
        <f>IFERROR(__xludf.DUMMYFUNCTION("GOOGLETRANSLATE(B13665,""en"",""de"")"),"Die Leute stehen in einem Bullenring.")</f>
        <v>Die Leute stehen in einem Bullenring.</v>
      </c>
    </row>
    <row r="13666">
      <c r="A13666" s="4" t="s">
        <v>17198</v>
      </c>
      <c r="B13666" s="4" t="s">
        <v>17200</v>
      </c>
      <c r="C13666" s="5" t="str">
        <f>IFERROR(__xludf.DUMMYFUNCTION("GOOGLETRANSLATE(B13666,""en"",""de"")"),"Ein Stier beginnt einen Mann, der eine farbenfrohe Decke hält.")</f>
        <v>Ein Stier beginnt einen Mann, der eine farbenfrohe Decke hält.</v>
      </c>
    </row>
    <row r="13667">
      <c r="A13667" s="4" t="s">
        <v>17198</v>
      </c>
      <c r="B13667" s="4" t="s">
        <v>17201</v>
      </c>
      <c r="C13667" s="5" t="str">
        <f>IFERROR(__xludf.DUMMYFUNCTION("GOOGLETRANSLATE(B13667,""en"",""de"")"),"Zwei Pferde ziehen einen Stier von der Arena.")</f>
        <v>Zwei Pferde ziehen einen Stier von der Arena.</v>
      </c>
    </row>
    <row r="13668">
      <c r="A13668" s="4" t="s">
        <v>17202</v>
      </c>
      <c r="B13668" s="4" t="s">
        <v>17203</v>
      </c>
      <c r="C13668" s="5" t="str">
        <f>IFERROR(__xludf.DUMMYFUNCTION("GOOGLETRANSLATE(B13668,""en"",""de"")"),"Man sitzt in einem Musikgeschäft, der eine akustische Gitarre spielt und mit der Kamera spricht, die die Ibanez -Gitarre zeigt.")</f>
        <v>Man sitzt in einem Musikgeschäft, der eine akustische Gitarre spielt und mit der Kamera spricht, die die Ibanez -Gitarre zeigt.</v>
      </c>
    </row>
    <row r="13669">
      <c r="A13669" s="4" t="s">
        <v>17202</v>
      </c>
      <c r="B13669" s="4" t="s">
        <v>17204</v>
      </c>
      <c r="C13669" s="5" t="str">
        <f>IFERROR(__xludf.DUMMYFUNCTION("GOOGLETRANSLATE(B13669,""en"",""de"")"),"Man beginnt Gitarre zu spielen und zeigt, wie die Gitarre mit einem Verstärker verbunden klingt.")</f>
        <v>Man beginnt Gitarre zu spielen und zeigt, wie die Gitarre mit einem Verstärker verbunden klingt.</v>
      </c>
    </row>
    <row r="13670">
      <c r="A13670" s="4" t="s">
        <v>17205</v>
      </c>
      <c r="B13670" s="4" t="s">
        <v>17206</v>
      </c>
      <c r="C13670" s="5" t="str">
        <f>IFERROR(__xludf.DUMMYFUNCTION("GOOGLETRANSLATE(B13670,""en"",""de"")"),"Mehrere Outfits der Völker werden von unten nach oben gepannt.")</f>
        <v>Mehrere Outfits der Völker werden von unten nach oben gepannt.</v>
      </c>
    </row>
    <row r="13671">
      <c r="A13671" s="4" t="s">
        <v>17205</v>
      </c>
      <c r="B13671" s="4" t="s">
        <v>17207</v>
      </c>
      <c r="C13671" s="5" t="str">
        <f>IFERROR(__xludf.DUMMYFUNCTION("GOOGLETRANSLATE(B13671,""en"",""de"")"),"Dann steht eine Gruppe von Tassen auf dem Tisch und sie spielen mit einer Gruppe von Menschen Bierpong.")</f>
        <v>Dann steht eine Gruppe von Tassen auf dem Tisch und sie spielen mit einer Gruppe von Menschen Bierpong.</v>
      </c>
    </row>
    <row r="13672">
      <c r="A13672" s="4" t="s">
        <v>17205</v>
      </c>
      <c r="B13672" s="4" t="s">
        <v>17208</v>
      </c>
      <c r="C13672" s="5" t="str">
        <f>IFERROR(__xludf.DUMMYFUNCTION("GOOGLETRANSLATE(B13672,""en"",""de"")"),"Es werden mehrere Zimmer und Paare gezeigt und der Ball wird in eine Tasse geworfen.")</f>
        <v>Es werden mehrere Zimmer und Paare gezeigt und der Ball wird in eine Tasse geworfen.</v>
      </c>
    </row>
    <row r="13673">
      <c r="A13673" s="4" t="s">
        <v>17205</v>
      </c>
      <c r="B13673" s="4" t="s">
        <v>17209</v>
      </c>
      <c r="C13673" s="5" t="str">
        <f>IFERROR(__xludf.DUMMYFUNCTION("GOOGLETRANSLATE(B13673,""en"",""de"")"),"Sobald die Kamera fertig ist, können die Paare in einem Raum zusammen gegeneinander antreten.")</f>
        <v>Sobald die Kamera fertig ist, können die Paare in einem Raum zusammen gegeneinander antreten.</v>
      </c>
    </row>
    <row r="13674">
      <c r="A13674" s="4" t="s">
        <v>17205</v>
      </c>
      <c r="B13674" s="4" t="s">
        <v>17210</v>
      </c>
      <c r="C13674" s="5" t="str">
        <f>IFERROR(__xludf.DUMMYFUNCTION("GOOGLETRANSLATE(B13674,""en"",""de"")"),"Paare kommen zurück und mehr Bier -Pong -Spiele kommen zurück.")</f>
        <v>Paare kommen zurück und mehr Bier -Pong -Spiele kommen zurück.</v>
      </c>
    </row>
    <row r="13675">
      <c r="A13675" s="4" t="s">
        <v>17211</v>
      </c>
      <c r="B13675" s="4" t="s">
        <v>17212</v>
      </c>
      <c r="C13675" s="5" t="str">
        <f>IFERROR(__xludf.DUMMYFUNCTION("GOOGLETRANSLATE(B13675,""en"",""de"")"),"Ein Mann wirft einen blauen Frisbee und ein Hund jagt danach.")</f>
        <v>Ein Mann wirft einen blauen Frisbee und ein Hund jagt danach.</v>
      </c>
    </row>
    <row r="13676">
      <c r="A13676" s="4" t="s">
        <v>17211</v>
      </c>
      <c r="B13676" s="4" t="s">
        <v>17213</v>
      </c>
      <c r="C13676" s="5" t="str">
        <f>IFERROR(__xludf.DUMMYFUNCTION("GOOGLETRANSLATE(B13676,""en"",""de"")"),"Der Hund springt über den Mann, der auf das Gras kniet.")</f>
        <v>Der Hund springt über den Mann, der auf das Gras kniet.</v>
      </c>
    </row>
    <row r="13677">
      <c r="A13677" s="4" t="s">
        <v>17211</v>
      </c>
      <c r="B13677" s="4" t="s">
        <v>17214</v>
      </c>
      <c r="C13677" s="5" t="str">
        <f>IFERROR(__xludf.DUMMYFUNCTION("GOOGLETRANSLATE(B13677,""en"",""de"")"),"Sie spielen weiterhin Frisbee mit dem Hund.")</f>
        <v>Sie spielen weiterhin Frisbee mit dem Hund.</v>
      </c>
    </row>
    <row r="13678">
      <c r="A13678" s="4" t="s">
        <v>17215</v>
      </c>
      <c r="B13678" s="4" t="s">
        <v>17216</v>
      </c>
      <c r="C13678" s="5" t="str">
        <f>IFERROR(__xludf.DUMMYFUNCTION("GOOGLETRANSLATE(B13678,""en"",""de"")"),"Dieser ältere Mann stellt sich auf, die rote Tomate in Scheiben zu schneiden.")</f>
        <v>Dieser ältere Mann stellt sich auf, die rote Tomate in Scheiben zu schneiden.</v>
      </c>
    </row>
    <row r="13679">
      <c r="A13679" s="4" t="s">
        <v>17215</v>
      </c>
      <c r="B13679" s="4" t="s">
        <v>17217</v>
      </c>
      <c r="C13679" s="5" t="str">
        <f>IFERROR(__xludf.DUMMYFUNCTION("GOOGLETRANSLATE(B13679,""en"",""de"")"),"Er ist in der Küche, die die Tomate mit einem billigen Messer schneidet.")</f>
        <v>Er ist in der Küche, die die Tomate mit einem billigen Messer schneidet.</v>
      </c>
    </row>
    <row r="13680">
      <c r="A13680" s="4" t="s">
        <v>17215</v>
      </c>
      <c r="B13680" s="4" t="s">
        <v>17218</v>
      </c>
      <c r="C13680" s="5" t="str">
        <f>IFERROR(__xludf.DUMMYFUNCTION("GOOGLETRANSLATE(B13680,""en"",""de"")"),"Es sieht schwer aus, dass er versucht, ein Messer zu verwenden, das kaum etwas tut, um die Tomate zu schneiden, aber der Unterschied zeigt gute Produkte.")</f>
        <v>Es sieht schwer aus, dass er versucht, ein Messer zu verwenden, das kaum etwas tut, um die Tomate zu schneiden, aber der Unterschied zeigt gute Produkte.</v>
      </c>
    </row>
    <row r="13681">
      <c r="A13681" s="4" t="s">
        <v>17219</v>
      </c>
      <c r="B13681" s="4" t="s">
        <v>17220</v>
      </c>
      <c r="C13681" s="5" t="str">
        <f>IFERROR(__xludf.DUMMYFUNCTION("GOOGLETRANSLATE(B13681,""en"",""de"")"),"Mehrere Biker fahren zurück und für das auf einem Festival im Dessert.")</f>
        <v>Mehrere Biker fahren zurück und für das auf einem Festival im Dessert.</v>
      </c>
    </row>
    <row r="13682">
      <c r="A13682" s="4" t="s">
        <v>17219</v>
      </c>
      <c r="B13682" s="4" t="s">
        <v>17221</v>
      </c>
      <c r="C13682" s="5" t="str">
        <f>IFERROR(__xludf.DUMMYFUNCTION("GOOGLETRANSLATE(B13682,""en"",""de"")"),"Ein Mann, der in Frauenkleidung gekleidet ist, kommt auf den Bildschirm und beginnt Hula Hoop, während eine Kamera am Hula Hoop befestigt ist.")</f>
        <v>Ein Mann, der in Frauenkleidung gekleidet ist, kommt auf den Bildschirm und beginnt Hula Hoop, während eine Kamera am Hula Hoop befestigt ist.</v>
      </c>
    </row>
    <row r="13683">
      <c r="A13683" s="4" t="s">
        <v>17219</v>
      </c>
      <c r="B13683" s="4" t="s">
        <v>17222</v>
      </c>
      <c r="C13683" s="5" t="str">
        <f>IFERROR(__xludf.DUMMYFUNCTION("GOOGLETRANSLATE(B13683,""en"",""de"")"),"Mehrere andere Leute treten in der Hula -Hoop -Kamera auf, während die Musik spielt.")</f>
        <v>Mehrere andere Leute treten in der Hula -Hoop -Kamera auf, während die Musik spielt.</v>
      </c>
    </row>
    <row r="13684">
      <c r="A13684" s="4" t="s">
        <v>17219</v>
      </c>
      <c r="B13684" s="4" t="s">
        <v>17223</v>
      </c>
      <c r="C13684" s="5" t="str">
        <f>IFERROR(__xludf.DUMMYFUNCTION("GOOGLETRANSLATE(B13684,""en"",""de"")"),"Dann werden mehrere Personen in die Hula Hoop -Kamera gezeigt, die sich auf Hula Hoop vorbereitet.")</f>
        <v>Dann werden mehrere Personen in die Hula Hoop -Kamera gezeigt, die sich auf Hula Hoop vorbereitet.</v>
      </c>
    </row>
    <row r="13685">
      <c r="A13685" s="4" t="s">
        <v>17219</v>
      </c>
      <c r="B13685" s="4" t="s">
        <v>17224</v>
      </c>
      <c r="C13685" s="5" t="str">
        <f>IFERROR(__xludf.DUMMYFUNCTION("GOOGLETRANSLATE(B13685,""en"",""de"")"),"Der Mann, der als Frau verkleidet ist, umarmt jemandem.")</f>
        <v>Der Mann, der als Frau verkleidet ist, umarmt jemandem.</v>
      </c>
    </row>
    <row r="13686">
      <c r="A13686" s="4" t="s">
        <v>17219</v>
      </c>
      <c r="B13686" s="4" t="s">
        <v>17225</v>
      </c>
      <c r="C13686" s="5" t="str">
        <f>IFERROR(__xludf.DUMMYFUNCTION("GOOGLETRANSLATE(B13686,""en"",""de"")"),"Das Video endet mit Leuten, die auf einem Fahrrad fahren, während die Kamera am Fahrrad angebracht ist.")</f>
        <v>Das Video endet mit Leuten, die auf einem Fahrrad fahren, während die Kamera am Fahrrad angebracht ist.</v>
      </c>
    </row>
    <row r="13687">
      <c r="A13687" s="4" t="s">
        <v>17226</v>
      </c>
      <c r="B13687" s="4" t="s">
        <v>17227</v>
      </c>
      <c r="C13687" s="5" t="str">
        <f>IFERROR(__xludf.DUMMYFUNCTION("GOOGLETRANSLATE(B13687,""en"",""de"")"),"Eine Frau sitzt auf einem Stuhl, während sie dünne Kunstfolienstücke von einem kleinen Tisch vor sich zieht, und legt sie auf eine kleine Kommode, die ebenfalls vor ihr liegt.")</f>
        <v>Eine Frau sitzt auf einem Stuhl, während sie dünne Kunstfolienstücke von einem kleinen Tisch vor sich zieht, und legt sie auf eine kleine Kommode, die ebenfalls vor ihr liegt.</v>
      </c>
    </row>
    <row r="13688">
      <c r="A13688" s="4" t="s">
        <v>17226</v>
      </c>
      <c r="B13688" s="4" t="s">
        <v>17228</v>
      </c>
      <c r="C13688" s="5" t="str">
        <f>IFERROR(__xludf.DUMMYFUNCTION("GOOGLETRANSLATE(B13688,""en"",""de"")"),"Die Frau nimmt dann ihren Pinsel und beginnt, alle Folienstücke auf die obere Schublade zu bürsten, während sie eine Hand darunter hält, um alle Teile zu fangen, die fallen.")</f>
        <v>Die Frau nimmt dann ihren Pinsel und beginnt, alle Folienstücke auf die obere Schublade zu bürsten, während sie eine Hand darunter hält, um alle Teile zu fangen, die fallen.</v>
      </c>
    </row>
    <row r="13689">
      <c r="A13689" s="4" t="s">
        <v>17226</v>
      </c>
      <c r="B13689" s="4" t="s">
        <v>17229</v>
      </c>
      <c r="C13689" s="5" t="str">
        <f>IFERROR(__xludf.DUMMYFUNCTION("GOOGLETRANSLATE(B13689,""en"",""de"")"),"Die Frau schließt dann die Schublade und streift sie noch mehr.")</f>
        <v>Die Frau schließt dann die Schublade und streift sie noch mehr.</v>
      </c>
    </row>
    <row r="13690">
      <c r="A13690" s="4" t="s">
        <v>17230</v>
      </c>
      <c r="B13690" s="4" t="s">
        <v>17231</v>
      </c>
      <c r="C13690" s="5" t="str">
        <f>IFERROR(__xludf.DUMMYFUNCTION("GOOGLETRANSLATE(B13690,""en"",""de"")"),"Eine Frau ist in einem Fitnessstudio.")</f>
        <v>Eine Frau ist in einem Fitnessstudio.</v>
      </c>
    </row>
    <row r="13691">
      <c r="A13691" s="4" t="s">
        <v>17230</v>
      </c>
      <c r="B13691" s="4" t="s">
        <v>17232</v>
      </c>
      <c r="C13691" s="5" t="str">
        <f>IFERROR(__xludf.DUMMYFUNCTION("GOOGLETRANSLATE(B13691,""en"",""de"")"),"Die Frau zeigt, wie man eine Übung mit einem Schritt macht.")</f>
        <v>Die Frau zeigt, wie man eine Übung mit einem Schritt macht.</v>
      </c>
    </row>
    <row r="13692">
      <c r="A13692" s="4" t="s">
        <v>17233</v>
      </c>
      <c r="B13692" s="4" t="s">
        <v>17234</v>
      </c>
      <c r="C13692" s="5" t="str">
        <f>IFERROR(__xludf.DUMMYFUNCTION("GOOGLETRANSLATE(B13692,""en"",""de"")"),"Ein Mann reitet einen Jetski auf einem Fluss mit der Kamera in einiger Entfernung.")</f>
        <v>Ein Mann reitet einen Jetski auf einem Fluss mit der Kamera in einiger Entfernung.</v>
      </c>
    </row>
    <row r="13693">
      <c r="A13693" s="4" t="s">
        <v>17233</v>
      </c>
      <c r="B13693" s="4" t="s">
        <v>17235</v>
      </c>
      <c r="C13693" s="5" t="str">
        <f>IFERROR(__xludf.DUMMYFUNCTION("GOOGLETRANSLATE(B13693,""en"",""de"")"),"Der Mann, der die Kamera auf Armlänge hält.")</f>
        <v>Der Mann, der die Kamera auf Armlänge hält.</v>
      </c>
    </row>
    <row r="13694">
      <c r="A13694" s="4" t="s">
        <v>17233</v>
      </c>
      <c r="B13694" s="4" t="s">
        <v>17236</v>
      </c>
      <c r="C13694" s="5" t="str">
        <f>IFERROR(__xludf.DUMMYFUNCTION("GOOGLETRANSLATE(B13694,""en"",""de"")"),"Der Mann wird Waterskiing gezeigt, während er vom Jetski gezogen wird.")</f>
        <v>Der Mann wird Waterskiing gezeigt, während er vom Jetski gezogen wird.</v>
      </c>
    </row>
    <row r="13695">
      <c r="A13695" s="4" t="s">
        <v>17233</v>
      </c>
      <c r="B13695" s="4" t="s">
        <v>17237</v>
      </c>
      <c r="C13695" s="5" t="str">
        <f>IFERROR(__xludf.DUMMYFUNCTION("GOOGLETRANSLATE(B13695,""en"",""de"")"),"Der Mann fällt und ist kurz untergetaucht.")</f>
        <v>Der Mann fällt und ist kurz untergetaucht.</v>
      </c>
    </row>
    <row r="13696">
      <c r="A13696" s="4" t="s">
        <v>17238</v>
      </c>
      <c r="B13696" s="4" t="s">
        <v>17239</v>
      </c>
      <c r="C13696" s="5" t="str">
        <f>IFERROR(__xludf.DUMMYFUNCTION("GOOGLETRANSLATE(B13696,""en"",""de"")"),"Eine Person legt eine Matte auf einen Boden mit verschiedenen Werkzeugen um sich.")</f>
        <v>Eine Person legt eine Matte auf einen Boden mit verschiedenen Werkzeugen um sich.</v>
      </c>
    </row>
    <row r="13697">
      <c r="A13697" s="4" t="s">
        <v>17238</v>
      </c>
      <c r="B13697" s="4" t="s">
        <v>17240</v>
      </c>
      <c r="C13697" s="5" t="str">
        <f>IFERROR(__xludf.DUMMYFUNCTION("GOOGLETRANSLATE(B13697,""en"",""de"")"),"Er misst den Boden mit einem Lineal, gefolgt von ihm, der Gips auf den Boden steckt und die Matte wieder niederlegt.")</f>
        <v>Er misst den Boden mit einem Lineal, gefolgt von ihm, der Gips auf den Boden steckt und die Matte wieder niederlegt.</v>
      </c>
    </row>
    <row r="13698">
      <c r="A13698" s="4" t="s">
        <v>17241</v>
      </c>
      <c r="B13698" s="4" t="s">
        <v>17242</v>
      </c>
      <c r="C13698" s="5" t="str">
        <f>IFERROR(__xludf.DUMMYFUNCTION("GOOGLETRANSLATE(B13698,""en"",""de"")"),"Ein junges Baby ist draußen im trüben Wasser, der an einer weißen Bar festhält.")</f>
        <v>Ein junges Baby ist draußen im trüben Wasser, der an einer weißen Bar festhält.</v>
      </c>
    </row>
    <row r="13699">
      <c r="A13699" s="4" t="s">
        <v>17241</v>
      </c>
      <c r="B13699" s="4" t="s">
        <v>17243</v>
      </c>
      <c r="C13699" s="5" t="str">
        <f>IFERROR(__xludf.DUMMYFUNCTION("GOOGLETRANSLATE(B13699,""en"",""de"")"),"Zwei Männer schieben ihn und er wird gezeigt, dass ein Wasserfahrzeug von irgendeiner Art gezogen wird.")</f>
        <v>Zwei Männer schieben ihn und er wird gezeigt, dass ein Wasserfahrzeug von irgendeiner Art gezogen wird.</v>
      </c>
    </row>
    <row r="13700">
      <c r="A13700" s="4" t="s">
        <v>17241</v>
      </c>
      <c r="B13700" s="4" t="s">
        <v>17244</v>
      </c>
      <c r="C13700" s="5" t="str">
        <f>IFERROR(__xludf.DUMMYFUNCTION("GOOGLETRANSLATE(B13700,""en"",""de"")"),"Als er sich bewegt, folgt eine Frau auf der Seite von ihm und hält ihn auf dem Weg auf und stellt sicher, dass es ihm gut geht.")</f>
        <v>Als er sich bewegt, folgt eine Frau auf der Seite von ihm und hält ihn auf dem Weg auf und stellt sicher, dass es ihm gut geht.</v>
      </c>
    </row>
    <row r="13701">
      <c r="A13701" s="4" t="s">
        <v>17245</v>
      </c>
      <c r="B13701" s="4" t="s">
        <v>17246</v>
      </c>
      <c r="C13701" s="5" t="str">
        <f>IFERROR(__xludf.DUMMYFUNCTION("GOOGLETRANSLATE(B13701,""en"",""de"")"),"Eine Hand spielt mit einer Maschine, gefolgt von Schüssen eines Strandes und einem Jungen mit einem Windsegel.")</f>
        <v>Eine Hand spielt mit einer Maschine, gefolgt von Schüssen eines Strandes und einem Jungen mit einem Windsegel.</v>
      </c>
    </row>
    <row r="13702">
      <c r="A13702" s="4" t="s">
        <v>17245</v>
      </c>
      <c r="B13702" s="4" t="s">
        <v>17247</v>
      </c>
      <c r="C13702" s="5" t="str">
        <f>IFERROR(__xludf.DUMMYFUNCTION("GOOGLETRANSLATE(B13702,""en"",""de"")"),"Viele Menschen stehen am Strand herum und führen zu einem Mann, der ein Segel auf einem Boot und Menschen, die sich auf Windsurfen vorbereiten, auf.")</f>
        <v>Viele Menschen stehen am Strand herum und führen zu einem Mann, der ein Segel auf einem Boot und Menschen, die sich auf Windsurfen vorbereiten, auf.</v>
      </c>
    </row>
    <row r="13703">
      <c r="A13703" s="4" t="s">
        <v>17245</v>
      </c>
      <c r="B13703" s="4" t="s">
        <v>17248</v>
      </c>
      <c r="C13703" s="5" t="str">
        <f>IFERROR(__xludf.DUMMYFUNCTION("GOOGLETRANSLATE(B13703,""en"",""de"")"),"Es werden mehrere Schüsse von Menschen gezeigt, die mit einem Drachen und Menschen auf einem Boot und verschiedenen Landschaften entlang des Wassers reiten.")</f>
        <v>Es werden mehrere Schüsse von Menschen gezeigt, die mit einem Drachen und Menschen auf einem Boot und verschiedenen Landschaften entlang des Wassers reiten.</v>
      </c>
    </row>
    <row r="13704">
      <c r="A13704" s="4" t="s">
        <v>17245</v>
      </c>
      <c r="B13704" s="4" t="s">
        <v>17249</v>
      </c>
      <c r="C13704" s="5" t="str">
        <f>IFERROR(__xludf.DUMMYFUNCTION("GOOGLETRANSLATE(B13704,""en"",""de"")"),"Am Ende wird ein Schuss eines Sonnenuntergangs gezeigt.")</f>
        <v>Am Ende wird ein Schuss eines Sonnenuntergangs gezeigt.</v>
      </c>
    </row>
    <row r="13705">
      <c r="A13705" s="4" t="s">
        <v>17250</v>
      </c>
      <c r="B13705" s="4" t="s">
        <v>17251</v>
      </c>
      <c r="C13705" s="5" t="str">
        <f>IFERROR(__xludf.DUMMYFUNCTION("GOOGLETRANSLATE(B13705,""en"",""de"")"),"Ein Mann steckt Zutaten in eine Pfanne.")</f>
        <v>Ein Mann steckt Zutaten in eine Pfanne.</v>
      </c>
    </row>
    <row r="13706">
      <c r="A13706" s="4" t="s">
        <v>17250</v>
      </c>
      <c r="B13706" s="4" t="s">
        <v>17252</v>
      </c>
      <c r="C13706" s="5" t="str">
        <f>IFERROR(__xludf.DUMMYFUNCTION("GOOGLETRANSLATE(B13706,""en"",""de"")"),"Er rührt es über einen Herd zusammen.")</f>
        <v>Er rührt es über einen Herd zusammen.</v>
      </c>
    </row>
    <row r="13707">
      <c r="A13707" s="4" t="s">
        <v>17250</v>
      </c>
      <c r="B13707" s="4" t="s">
        <v>17253</v>
      </c>
      <c r="C13707" s="5" t="str">
        <f>IFERROR(__xludf.DUMMYFUNCTION("GOOGLETRANSLATE(B13707,""en"",""de"")"),"Er legt es auf einen Teller und zeigt die Kamera.")</f>
        <v>Er legt es auf einen Teller und zeigt die Kamera.</v>
      </c>
    </row>
    <row r="13708">
      <c r="A13708" s="4" t="s">
        <v>17254</v>
      </c>
      <c r="B13708" s="4" t="s">
        <v>17255</v>
      </c>
      <c r="C13708" s="5" t="str">
        <f>IFERROR(__xludf.DUMMYFUNCTION("GOOGLETRANSLATE(B13708,""en"",""de"")"),"Ein Mann rennt die Strecke hinunter.")</f>
        <v>Ein Mann rennt die Strecke hinunter.</v>
      </c>
    </row>
    <row r="13709">
      <c r="A13709" s="4" t="s">
        <v>17254</v>
      </c>
      <c r="B13709" s="4" t="s">
        <v>17256</v>
      </c>
      <c r="C13709" s="5" t="str">
        <f>IFERROR(__xludf.DUMMYFUNCTION("GOOGLETRANSLATE(B13709,""en"",""de"")"),"Er wirft einen Speer auf das Feld.")</f>
        <v>Er wirft einen Speer auf das Feld.</v>
      </c>
    </row>
    <row r="13710">
      <c r="A13710" s="4" t="s">
        <v>17254</v>
      </c>
      <c r="B13710" s="4" t="s">
        <v>17257</v>
      </c>
      <c r="C13710" s="5" t="str">
        <f>IFERROR(__xludf.DUMMYFUNCTION("GOOGLETRANSLATE(B13710,""en"",""de"")"),"Das Publikum ist auf der Tribüne hinter ihm.")</f>
        <v>Das Publikum ist auf der Tribüne hinter ihm.</v>
      </c>
    </row>
    <row r="13711">
      <c r="A13711" s="4" t="s">
        <v>17258</v>
      </c>
      <c r="B13711" s="4" t="s">
        <v>17259</v>
      </c>
      <c r="C13711" s="5" t="str">
        <f>IFERROR(__xludf.DUMMYFUNCTION("GOOGLETRANSLATE(B13711,""en"",""de"")"),"Ein sportlicher Mann läuft rennt, um einen Ball zu werfen, und eine andere Person trifft ihn ins Publikum.")</f>
        <v>Ein sportlicher Mann läuft rennt, um einen Ball zu werfen, und eine andere Person trifft ihn ins Publikum.</v>
      </c>
    </row>
    <row r="13712">
      <c r="A13712" s="4" t="s">
        <v>17258</v>
      </c>
      <c r="B13712" s="4" t="s">
        <v>17260</v>
      </c>
      <c r="C13712" s="5" t="str">
        <f>IFERROR(__xludf.DUMMYFUNCTION("GOOGLETRANSLATE(B13712,""en"",""de"")"),"Es werden mehr Clips gezeigt, wie Leute das Spiel auf dem Feld spielen, wobei das Publikum Jubel und die Spieler auf dem Feld bewegen.")</f>
        <v>Es werden mehr Clips gezeigt, wie Leute das Spiel auf dem Feld spielen, wobei das Publikum Jubel und die Spieler auf dem Feld bewegen.</v>
      </c>
    </row>
    <row r="13713">
      <c r="A13713" s="4" t="s">
        <v>17261</v>
      </c>
      <c r="B13713" s="4" t="s">
        <v>17262</v>
      </c>
      <c r="C13713" s="5" t="str">
        <f>IFERROR(__xludf.DUMMYFUNCTION("GOOGLETRANSLATE(B13713,""en"",""de"")"),"Die Leute haben einen Van, der Snowboards hält.")</f>
        <v>Die Leute haben einen Van, der Snowboards hält.</v>
      </c>
    </row>
    <row r="13714">
      <c r="A13714" s="4" t="s">
        <v>17261</v>
      </c>
      <c r="B13714" s="4" t="s">
        <v>17263</v>
      </c>
      <c r="C13714" s="5" t="str">
        <f>IFERROR(__xludf.DUMMYFUNCTION("GOOGLETRANSLATE(B13714,""en"",""de"")"),"Ein Mann strahlt sein Snowboard an.")</f>
        <v>Ein Mann strahlt sein Snowboard an.</v>
      </c>
    </row>
    <row r="13715">
      <c r="A13715" s="4" t="s">
        <v>17261</v>
      </c>
      <c r="B13715" s="4" t="s">
        <v>17264</v>
      </c>
      <c r="C13715" s="5" t="str">
        <f>IFERROR(__xludf.DUMMYFUNCTION("GOOGLETRANSLATE(B13715,""en"",""de"")"),"Mehrere Menschen snowboarden einen Hügel hinunter.")</f>
        <v>Mehrere Menschen snowboarden einen Hügel hinunter.</v>
      </c>
    </row>
    <row r="13716">
      <c r="A13716" s="4" t="s">
        <v>17261</v>
      </c>
      <c r="B13716" s="4" t="s">
        <v>17265</v>
      </c>
      <c r="C13716" s="5" t="str">
        <f>IFERROR(__xludf.DUMMYFUNCTION("GOOGLETRANSLATE(B13716,""en"",""de"")"),"Ein Mann in Schutzbrillen spricht.")</f>
        <v>Ein Mann in Schutzbrillen spricht.</v>
      </c>
    </row>
    <row r="13717">
      <c r="A13717" s="4" t="s">
        <v>17261</v>
      </c>
      <c r="B13717" s="4" t="s">
        <v>17266</v>
      </c>
      <c r="C13717" s="5" t="str">
        <f>IFERROR(__xludf.DUMMYFUNCTION("GOOGLETRANSLATE(B13717,""en"",""de"")"),"Eine Frau hält ein Kind vor, um einen Mann zu küssen.")</f>
        <v>Eine Frau hält ein Kind vor, um einen Mann zu küssen.</v>
      </c>
    </row>
    <row r="13718">
      <c r="A13718" s="4" t="s">
        <v>17261</v>
      </c>
      <c r="B13718" s="4" t="s">
        <v>17267</v>
      </c>
      <c r="C13718" s="5" t="str">
        <f>IFERROR(__xludf.DUMMYFUNCTION("GOOGLETRANSLATE(B13718,""en"",""de"")"),"Die Leute snowboarden einen Hügel hinunter.")</f>
        <v>Die Leute snowboarden einen Hügel hinunter.</v>
      </c>
    </row>
    <row r="13719">
      <c r="A13719" s="4" t="s">
        <v>17261</v>
      </c>
      <c r="B13719" s="4" t="s">
        <v>17268</v>
      </c>
      <c r="C13719" s="5" t="str">
        <f>IFERROR(__xludf.DUMMYFUNCTION("GOOGLETRANSLATE(B13719,""en"",""de"")"),"Ein Mann spricht mit der Kamera.")</f>
        <v>Ein Mann spricht mit der Kamera.</v>
      </c>
    </row>
    <row r="13720">
      <c r="A13720" s="4" t="s">
        <v>17261</v>
      </c>
      <c r="B13720" s="4" t="s">
        <v>17269</v>
      </c>
      <c r="C13720" s="5" t="str">
        <f>IFERROR(__xludf.DUMMYFUNCTION("GOOGLETRANSLATE(B13720,""en"",""de"")"),"Mehrere Menschen machen Tricks auf ihren Snowboards.")</f>
        <v>Mehrere Menschen machen Tricks auf ihren Snowboards.</v>
      </c>
    </row>
    <row r="13721">
      <c r="A13721" s="4" t="s">
        <v>17261</v>
      </c>
      <c r="B13721" s="4" t="s">
        <v>17270</v>
      </c>
      <c r="C13721" s="5" t="str">
        <f>IFERROR(__xludf.DUMMYFUNCTION("GOOGLETRANSLATE(B13721,""en"",""de"")"),"Ein Mann spricht wieder mit der Kamera.")</f>
        <v>Ein Mann spricht wieder mit der Kamera.</v>
      </c>
    </row>
    <row r="13722">
      <c r="A13722" s="4" t="s">
        <v>17261</v>
      </c>
      <c r="B13722" s="4" t="s">
        <v>17271</v>
      </c>
      <c r="C13722" s="5" t="str">
        <f>IFERROR(__xludf.DUMMYFUNCTION("GOOGLETRANSLATE(B13722,""en"",""de"")"),"Mehrere weitere Menschen snowboarden und reden.")</f>
        <v>Mehrere weitere Menschen snowboarden und reden.</v>
      </c>
    </row>
    <row r="13723">
      <c r="A13723" s="4" t="s">
        <v>17261</v>
      </c>
      <c r="B13723" s="4" t="s">
        <v>17272</v>
      </c>
      <c r="C13723" s="5" t="str">
        <f>IFERROR(__xludf.DUMMYFUNCTION("GOOGLETRANSLATE(B13723,""en"",""de"")"),"Ein Mann mit einem Bart spricht mit der Kamera.")</f>
        <v>Ein Mann mit einem Bart spricht mit der Kamera.</v>
      </c>
    </row>
    <row r="13724">
      <c r="A13724" s="4" t="s">
        <v>17261</v>
      </c>
      <c r="B13724" s="4" t="s">
        <v>17273</v>
      </c>
      <c r="C13724" s="5" t="str">
        <f>IFERROR(__xludf.DUMMYFUNCTION("GOOGLETRANSLATE(B13724,""en"",""de"")"),"Ein Mann nimmt sein Snowboard aus.")</f>
        <v>Ein Mann nimmt sein Snowboard aus.</v>
      </c>
    </row>
    <row r="13725">
      <c r="A13725" s="4" t="s">
        <v>17274</v>
      </c>
      <c r="B13725" s="4" t="s">
        <v>17275</v>
      </c>
      <c r="C13725" s="5" t="str">
        <f>IFERROR(__xludf.DUMMYFUNCTION("GOOGLETRANSLATE(B13725,""en"",""de"")"),"Zwei Jungen in Blue Karate -Anzügen und roten Gürteln stehen auf einer Bühne in einer Schulcafeteria und machen eine Karate -Routine im Einklang.")</f>
        <v>Zwei Jungen in Blue Karate -Anzügen und roten Gürteln stehen auf einer Bühne in einer Schulcafeteria und machen eine Karate -Routine im Einklang.</v>
      </c>
    </row>
    <row r="13726">
      <c r="A13726" s="4" t="s">
        <v>17274</v>
      </c>
      <c r="B13726" s="4" t="s">
        <v>17276</v>
      </c>
      <c r="C13726" s="5" t="str">
        <f>IFERROR(__xludf.DUMMYFUNCTION("GOOGLETRANSLATE(B13726,""en"",""de"")"),"Wenn sie fertig sind, wenden sie sich zueinander, verbeugen sich und machen einige Karate -Matches, bei denen sich einander sanft auf den Boden wirft, und wenn sie mit den Spielen fertig sind, nehmen sie jeweils einen Bogen vor der Menge.")</f>
        <v>Wenn sie fertig sind, wenden sie sich zueinander, verbeugen sich und machen einige Karate -Matches, bei denen sich einander sanft auf den Boden wirft, und wenn sie mit den Spielen fertig sind, nehmen sie jeweils einen Bogen vor der Menge.</v>
      </c>
    </row>
    <row r="13727">
      <c r="A13727" s="4" t="s">
        <v>17274</v>
      </c>
      <c r="B13727" s="4" t="s">
        <v>17277</v>
      </c>
      <c r="C13727" s="5" t="str">
        <f>IFERROR(__xludf.DUMMYFUNCTION("GOOGLETRANSLATE(B13727,""en"",""de"")"),"Die Jungen starten dann eine andere Karate -Routine und machen verschiedene Bewegungen mit ihren Armen und Beinen, während sie sie so weit wie möglich unisono machen.")</f>
        <v>Die Jungen starten dann eine andere Karate -Routine und machen verschiedene Bewegungen mit ihren Armen und Beinen, während sie sie so weit wie möglich unisono machen.</v>
      </c>
    </row>
    <row r="13728">
      <c r="A13728" s="4" t="s">
        <v>17274</v>
      </c>
      <c r="B13728" s="4" t="s">
        <v>17278</v>
      </c>
      <c r="C13728" s="5" t="str">
        <f>IFERROR(__xludf.DUMMYFUNCTION("GOOGLETRANSLATE(B13728,""en"",""de"")"),"Wenn sie fertig sind, nehmen beide einen Bogen vor der Menge und beide rennen von der Schulbühne.")</f>
        <v>Wenn sie fertig sind, nehmen beide einen Bogen vor der Menge und beide rennen von der Schulbühne.</v>
      </c>
    </row>
    <row r="13729">
      <c r="A13729" s="4" t="s">
        <v>17279</v>
      </c>
      <c r="B13729" s="4" t="s">
        <v>17280</v>
      </c>
      <c r="C13729" s="5" t="str">
        <f>IFERROR(__xludf.DUMMYFUNCTION("GOOGLETRANSLATE(B13729,""en"",""de"")"),"Ein Mann und ein kleiner Junge mähen einen Rasen.")</f>
        <v>Ein Mann und ein kleiner Junge mähen einen Rasen.</v>
      </c>
    </row>
    <row r="13730">
      <c r="A13730" s="4" t="s">
        <v>17279</v>
      </c>
      <c r="B13730" s="4" t="s">
        <v>17281</v>
      </c>
      <c r="C13730" s="5" t="str">
        <f>IFERROR(__xludf.DUMMYFUNCTION("GOOGLETRANSLATE(B13730,""en"",""de"")"),"Der Mann schiebt den echten Mäher hin und her.")</f>
        <v>Der Mann schiebt den echten Mäher hin und her.</v>
      </c>
    </row>
    <row r="13731">
      <c r="A13731" s="4" t="s">
        <v>17279</v>
      </c>
      <c r="B13731" s="4" t="s">
        <v>17282</v>
      </c>
      <c r="C13731" s="5" t="str">
        <f>IFERROR(__xludf.DUMMYFUNCTION("GOOGLETRANSLATE(B13731,""en"",""de"")"),"Der kleine Junge folgt ihm mit einem Spielzeugmäher.")</f>
        <v>Der kleine Junge folgt ihm mit einem Spielzeugmäher.</v>
      </c>
    </row>
    <row r="13732">
      <c r="A13732" s="4" t="s">
        <v>17283</v>
      </c>
      <c r="B13732" s="4" t="s">
        <v>17284</v>
      </c>
      <c r="C13732" s="5" t="str">
        <f>IFERROR(__xludf.DUMMYFUNCTION("GOOGLETRANSLATE(B13732,""en"",""de"")"),"Ein Mann, der verschiedene Flips und Tricks auf einem Fitnessstudio -Boden macht, während andere hinter ihm üben.")</f>
        <v>Ein Mann, der verschiedene Flips und Tricks auf einem Fitnessstudio -Boden macht, während andere hinter ihm üben.</v>
      </c>
    </row>
    <row r="13733">
      <c r="A13733" s="4" t="s">
        <v>17283</v>
      </c>
      <c r="B13733" s="4" t="s">
        <v>17285</v>
      </c>
      <c r="C13733" s="5" t="str">
        <f>IFERROR(__xludf.DUMMYFUNCTION("GOOGLETRANSLATE(B13733,""en"",""de"")"),"Der Mann rutscht weiter durch den Raum, während die Leute, die ihn spazieren gehen, anhalten und zuschauen.")</f>
        <v>Der Mann rutscht weiter durch den Raum, während die Leute, die ihn spazieren gehen, anhalten und zuschauen.</v>
      </c>
    </row>
    <row r="13734">
      <c r="A13734" s="4" t="s">
        <v>17286</v>
      </c>
      <c r="B13734" s="4" t="s">
        <v>17287</v>
      </c>
      <c r="C13734" s="5" t="str">
        <f>IFERROR(__xludf.DUMMYFUNCTION("GOOGLETRANSLATE(B13734,""en"",""de"")"),"Ein Athlet spielt einen Weitsprung bei einem professionellen Sportler, während die Zuschauer zuschauen und klatschen.")</f>
        <v>Ein Athlet spielt einen Weitsprung bei einem professionellen Sportler, während die Zuschauer zuschauen und klatschen.</v>
      </c>
    </row>
    <row r="13735">
      <c r="A13735" s="4" t="s">
        <v>17286</v>
      </c>
      <c r="B13735" s="4" t="s">
        <v>17288</v>
      </c>
      <c r="C13735" s="5" t="str">
        <f>IFERROR(__xludf.DUMMYFUNCTION("GOOGLETRANSLATE(B13735,""en"",""de"")"),"Ein Mann in einem sportlichen Outfit und einer Papiernummer, die auf einem Sportfeld an der Brust gepackt war.")</f>
        <v>Ein Mann in einem sportlichen Outfit und einer Papiernummer, die auf einem Sportfeld an der Brust gepackt war.</v>
      </c>
    </row>
    <row r="13736">
      <c r="A13736" s="4" t="s">
        <v>17286</v>
      </c>
      <c r="B13736" s="4" t="s">
        <v>17289</v>
      </c>
      <c r="C13736" s="5" t="str">
        <f>IFERROR(__xludf.DUMMYFUNCTION("GOOGLETRANSLATE(B13736,""en"",""de"")"),"Der Mann läuft Abstand und führt einen Weitsprung aus.")</f>
        <v>Der Mann läuft Abstand und führt einen Weitsprung aus.</v>
      </c>
    </row>
    <row r="13737">
      <c r="A13737" s="4" t="s">
        <v>17286</v>
      </c>
      <c r="B13737" s="4" t="s">
        <v>17290</v>
      </c>
      <c r="C13737" s="5" t="str">
        <f>IFERROR(__xludf.DUMMYFUNCTION("GOOGLETRANSLATE(B13737,""en"",""de"")"),"Der Mann lächelt und nach dem Weitsprung, als eine britische Flagge im Hintergrund weht und eine Vorlage seiner Punktzahl über den Bildschirm sowie die Wiedereinlageinhaltung von Zeitlupen verläuft.")</f>
        <v>Der Mann lächelt und nach dem Weitsprung, als eine britische Flagge im Hintergrund weht und eine Vorlage seiner Punktzahl über den Bildschirm sowie die Wiedereinlageinhaltung von Zeitlupen verläuft.</v>
      </c>
    </row>
    <row r="13738">
      <c r="A13738" s="4" t="s">
        <v>17286</v>
      </c>
      <c r="B13738" s="4" t="s">
        <v>17291</v>
      </c>
      <c r="C13738" s="5" t="str">
        <f>IFERROR(__xludf.DUMMYFUNCTION("GOOGLETRANSLATE(B13738,""en"",""de"")"),"Der Mann nimmt seine Schuhe aus, während er auf einer Bank sitzt.")</f>
        <v>Der Mann nimmt seine Schuhe aus, während er auf einer Bank sitzt.</v>
      </c>
    </row>
    <row r="13739">
      <c r="A13739" s="4" t="s">
        <v>17292</v>
      </c>
      <c r="B13739" s="4" t="s">
        <v>17293</v>
      </c>
      <c r="C13739" s="5" t="str">
        <f>IFERROR(__xludf.DUMMYFUNCTION("GOOGLETRANSLATE(B13739,""en"",""de"")"),"Eine Gruppe von Menschen fährt in Stoßstangenautos und rennt ineinander.")</f>
        <v>Eine Gruppe von Menschen fährt in Stoßstangenautos und rennt ineinander.</v>
      </c>
    </row>
    <row r="13740">
      <c r="A13740" s="4" t="s">
        <v>17292</v>
      </c>
      <c r="B13740" s="4" t="s">
        <v>17294</v>
      </c>
      <c r="C13740" s="5" t="str">
        <f>IFERROR(__xludf.DUMMYFUNCTION("GOOGLETRANSLATE(B13740,""en"",""de"")"),"Die Leute stießen immer wieder aufeinander und fahren herum und halten dann an, um aus den Autos zu klettern.")</f>
        <v>Die Leute stießen immer wieder aufeinander und fahren herum und halten dann an, um aus den Autos zu klettern.</v>
      </c>
    </row>
    <row r="13741">
      <c r="A13741" s="4" t="s">
        <v>17295</v>
      </c>
      <c r="B13741" s="4" t="s">
        <v>17296</v>
      </c>
      <c r="C13741" s="5" t="str">
        <f>IFERROR(__xludf.DUMMYFUNCTION("GOOGLETRANSLATE(B13741,""en"",""de"")"),"Die Leute fahren in einem Auto die Straße hinunter.")</f>
        <v>Die Leute fahren in einem Auto die Straße hinunter.</v>
      </c>
    </row>
    <row r="13742">
      <c r="A13742" s="4" t="s">
        <v>17295</v>
      </c>
      <c r="B13742" s="4" t="s">
        <v>17297</v>
      </c>
      <c r="C13742" s="5" t="str">
        <f>IFERROR(__xludf.DUMMYFUNCTION("GOOGLETRANSLATE(B13742,""en"",""de"")"),"Ein Mann steigt in Wasser voller Beeren auf.")</f>
        <v>Ein Mann steigt in Wasser voller Beeren auf.</v>
      </c>
    </row>
    <row r="13743">
      <c r="A13743" s="4" t="s">
        <v>17295</v>
      </c>
      <c r="B13743" s="4" t="s">
        <v>17298</v>
      </c>
      <c r="C13743" s="5" t="str">
        <f>IFERROR(__xludf.DUMMYFUNCTION("GOOGLETRANSLATE(B13743,""en"",""de"")"),"Ein Van fährt auf einer Straße am Wasser.")</f>
        <v>Ein Van fährt auf einer Straße am Wasser.</v>
      </c>
    </row>
    <row r="13744">
      <c r="A13744" s="4" t="s">
        <v>17299</v>
      </c>
      <c r="B13744" s="4" t="s">
        <v>17300</v>
      </c>
      <c r="C13744" s="5" t="str">
        <f>IFERROR(__xludf.DUMMYFUNCTION("GOOGLETRANSLATE(B13744,""en"",""de"")"),"Ein junges Mädchen in einem gelben Outfit posiert mit einem Schlagstock.")</f>
        <v>Ein junges Mädchen in einem gelben Outfit posiert mit einem Schlagstock.</v>
      </c>
    </row>
    <row r="13745">
      <c r="A13745" s="4" t="s">
        <v>17299</v>
      </c>
      <c r="B13745" s="4" t="s">
        <v>17301</v>
      </c>
      <c r="C13745" s="5" t="str">
        <f>IFERROR(__xludf.DUMMYFUNCTION("GOOGLETRANSLATE(B13745,""en"",""de"")"),"Sie beginnt zu tanzen und wirft den Staffelstab, während sie geht.")</f>
        <v>Sie beginnt zu tanzen und wirft den Staffelstab, während sie geht.</v>
      </c>
    </row>
    <row r="13746">
      <c r="A13746" s="4" t="s">
        <v>17299</v>
      </c>
      <c r="B13746" s="4" t="s">
        <v>17302</v>
      </c>
      <c r="C13746" s="5" t="str">
        <f>IFERROR(__xludf.DUMMYFUNCTION("GOOGLETRANSLATE(B13746,""en"",""de"")"),"Das Mädchen dreht, sitzt, rutscht und wirbelt, während sie auftritt.")</f>
        <v>Das Mädchen dreht, sitzt, rutscht und wirbelt, während sie auftritt.</v>
      </c>
    </row>
    <row r="13747">
      <c r="A13747" s="4" t="s">
        <v>17299</v>
      </c>
      <c r="B13747" s="4" t="s">
        <v>17303</v>
      </c>
      <c r="C13747" s="5" t="str">
        <f>IFERROR(__xludf.DUMMYFUNCTION("GOOGLETRANSLATE(B13747,""en"",""de"")"),"Sie fällt in einer Pose zu Boden und lächelt, als sie fertig ist.")</f>
        <v>Sie fällt in einer Pose zu Boden und lächelt, als sie fertig ist.</v>
      </c>
    </row>
    <row r="13748">
      <c r="A13748" s="4" t="s">
        <v>17304</v>
      </c>
      <c r="B13748" s="4" t="s">
        <v>17305</v>
      </c>
      <c r="C13748" s="5" t="str">
        <f>IFERROR(__xludf.DUMMYFUNCTION("GOOGLETRANSLATE(B13748,""en"",""de"")"),"Ein Mann kniet auf einem Boden und legt seine Hände hinter seinen Kopf.")</f>
        <v>Ein Mann kniet auf einem Boden und legt seine Hände hinter seinen Kopf.</v>
      </c>
    </row>
    <row r="13749">
      <c r="A13749" s="4" t="s">
        <v>17304</v>
      </c>
      <c r="B13749" s="4" t="s">
        <v>17306</v>
      </c>
      <c r="C13749" s="5" t="str">
        <f>IFERROR(__xludf.DUMMYFUNCTION("GOOGLETRANSLATE(B13749,""en"",""de"")"),"Dann beugt er seinen Körper nach vorne und führt mehrere Sprünge auf seine Füße.")</f>
        <v>Dann beugt er seinen Körper nach vorne und führt mehrere Sprünge auf seine Füße.</v>
      </c>
    </row>
    <row r="13750">
      <c r="A13750" s="4" t="s">
        <v>17307</v>
      </c>
      <c r="B13750" s="4" t="s">
        <v>17308</v>
      </c>
      <c r="C13750" s="5" t="str">
        <f>IFERROR(__xludf.DUMMYFUNCTION("GOOGLETRANSLATE(B13750,""en"",""de"")"),"Drei Personen fahren Skateboards auf einer Straße in einer Stadt und der Text auf dem unteren linken Bildschirm lautet ""Drei Stammgäste Justiz - New Jack"" und sie fahren schnell und drehen sich, drehen, biegen und machen andere verschiedene Tricks übera"&amp;"ll durch Stadt und keine Helme oder andere Sicherheitsausrüstung tragen.")</f>
        <v>Drei Personen fahren Skateboards auf einer Straße in einer Stadt und der Text auf dem unteren linken Bildschirm lautet "Drei Stammgäste Justiz - New Jack" und sie fahren schnell und drehen sich, drehen, biegen und machen andere verschiedene Tricks überall durch Stadt und keine Helme oder andere Sicherheitsausrüstung tragen.</v>
      </c>
    </row>
    <row r="13751">
      <c r="A13751" s="4" t="s">
        <v>17307</v>
      </c>
      <c r="B13751" s="4" t="s">
        <v>17309</v>
      </c>
      <c r="C13751" s="5" t="str">
        <f>IFERROR(__xludf.DUMMYFUNCTION("GOOGLETRANSLATE(B13751,""en"",""de"")"),"Zwei der Jungs werden auf einer Straße angehalten, und plötzlich nimmt einer von ihnen ein Skateboard und wirft es sehr hart gegen die Wand.")</f>
        <v>Zwei der Jungs werden auf einer Straße angehalten, und plötzlich nimmt einer von ihnen ein Skateboard und wirft es sehr hart gegen die Wand.</v>
      </c>
    </row>
    <row r="13752">
      <c r="A13752" s="4" t="s">
        <v>17307</v>
      </c>
      <c r="B13752" s="4" t="s">
        <v>17310</v>
      </c>
      <c r="C13752" s="5" t="str">
        <f>IFERROR(__xludf.DUMMYFUNCTION("GOOGLETRANSLATE(B13752,""en"",""de"")"),"Den Jungs wird erneut Skateboards gezeigt und diesmal tragen sie Helme, während sie die Straßen in dieser Stadt sehr schnell läuft und mehrere verschiedene Tricks machen.")</f>
        <v>Den Jungs wird erneut Skateboards gezeigt und diesmal tragen sie Helme, während sie die Straßen in dieser Stadt sehr schnell läuft und mehrere verschiedene Tricks machen.</v>
      </c>
    </row>
    <row r="13753">
      <c r="A13753" s="4" t="s">
        <v>17311</v>
      </c>
      <c r="B13753" s="4" t="s">
        <v>17312</v>
      </c>
      <c r="C13753" s="5" t="str">
        <f>IFERROR(__xludf.DUMMYFUNCTION("GOOGLETRANSLATE(B13753,""en"",""de"")"),"Wir sehen, wie sich junge Damen auf einer Strecke umarmen.")</f>
        <v>Wir sehen, wie sich junge Damen auf einer Strecke umarmen.</v>
      </c>
    </row>
    <row r="13754">
      <c r="A13754" s="4" t="s">
        <v>17311</v>
      </c>
      <c r="B13754" s="4" t="s">
        <v>17313</v>
      </c>
      <c r="C13754" s="5" t="str">
        <f>IFERROR(__xludf.DUMMYFUNCTION("GOOGLETRANSLATE(B13754,""en"",""de"")"),"Wir sehen dann die Wiederholung von ihrem Lauf.")</f>
        <v>Wir sehen dann die Wiederholung von ihrem Lauf.</v>
      </c>
    </row>
    <row r="13755">
      <c r="A13755" s="4" t="s">
        <v>17311</v>
      </c>
      <c r="B13755" s="4" t="s">
        <v>17314</v>
      </c>
      <c r="C13755" s="5" t="str">
        <f>IFERROR(__xludf.DUMMYFUNCTION("GOOGLETRANSLATE(B13755,""en"",""de"")"),"Eine Dame schwingt die Arme, als sie endet.")</f>
        <v>Eine Dame schwingt die Arme, als sie endet.</v>
      </c>
    </row>
    <row r="13756">
      <c r="A13756" s="4" t="s">
        <v>17311</v>
      </c>
      <c r="B13756" s="4" t="s">
        <v>6208</v>
      </c>
      <c r="C13756" s="5" t="str">
        <f>IFERROR(__xludf.DUMMYFUNCTION("GOOGLETRANSLATE(B13756,""en"",""de"")"),"Wir sehen einen Titelbildschirm.")</f>
        <v>Wir sehen einen Titelbildschirm.</v>
      </c>
    </row>
    <row r="13757">
      <c r="A13757" s="4" t="s">
        <v>17311</v>
      </c>
      <c r="B13757" s="4" t="s">
        <v>17315</v>
      </c>
      <c r="C13757" s="5" t="str">
        <f>IFERROR(__xludf.DUMMYFUNCTION("GOOGLETRANSLATE(B13757,""en"",""de"")"),"Wir sehen 4 Damen, die den Hammer werfen.")</f>
        <v>Wir sehen 4 Damen, die den Hammer werfen.</v>
      </c>
    </row>
    <row r="13758">
      <c r="A13758" s="4" t="s">
        <v>17311</v>
      </c>
      <c r="B13758" s="4" t="s">
        <v>17316</v>
      </c>
      <c r="C13758" s="5" t="str">
        <f>IFERROR(__xludf.DUMMYFUNCTION("GOOGLETRANSLATE(B13758,""en"",""de"")"),"Eine Dame umarmt jemanden nach ihr geworfen.")</f>
        <v>Eine Dame umarmt jemanden nach ihr geworfen.</v>
      </c>
    </row>
    <row r="13759">
      <c r="A13759" s="4" t="s">
        <v>17311</v>
      </c>
      <c r="B13759" s="4" t="s">
        <v>17317</v>
      </c>
      <c r="C13759" s="5" t="str">
        <f>IFERROR(__xludf.DUMMYFUNCTION("GOOGLETRANSLATE(B13759,""en"",""de"")"),"Eine Dame umarmt eine Frau und einen Mann.")</f>
        <v>Eine Dame umarmt eine Frau und einen Mann.</v>
      </c>
    </row>
    <row r="13760">
      <c r="A13760" s="4" t="s">
        <v>17318</v>
      </c>
      <c r="B13760" s="4" t="s">
        <v>17319</v>
      </c>
      <c r="C13760" s="5" t="str">
        <f>IFERROR(__xludf.DUMMYFUNCTION("GOOGLETRANSLATE(B13760,""en"",""de"")"),"Ein kleiner Junge schwingt ein großes Stück Spielplatzausrüstung aus.")</f>
        <v>Ein kleiner Junge schwingt ein großes Stück Spielplatzausrüstung aus.</v>
      </c>
    </row>
    <row r="13761">
      <c r="A13761" s="4" t="s">
        <v>17318</v>
      </c>
      <c r="B13761" s="4" t="s">
        <v>17320</v>
      </c>
      <c r="C13761" s="5" t="str">
        <f>IFERROR(__xludf.DUMMYFUNCTION("GOOGLETRANSLATE(B13761,""en"",""de"")"),"Er schwingt über die Bars und versucht sich festzuhalten.")</f>
        <v>Er schwingt über die Bars und versucht sich festzuhalten.</v>
      </c>
    </row>
    <row r="13762">
      <c r="A13762" s="4" t="s">
        <v>17318</v>
      </c>
      <c r="B13762" s="4" t="s">
        <v>17321</v>
      </c>
      <c r="C13762" s="5" t="str">
        <f>IFERROR(__xludf.DUMMYFUNCTION("GOOGLETRANSLATE(B13762,""en"",""de"")"),"Er schafft es bis zum Ende, bevor er davon springt.")</f>
        <v>Er schafft es bis zum Ende, bevor er davon springt.</v>
      </c>
    </row>
    <row r="13763">
      <c r="A13763" s="4" t="s">
        <v>17322</v>
      </c>
      <c r="B13763" s="4" t="s">
        <v>17323</v>
      </c>
      <c r="C13763" s="5" t="str">
        <f>IFERROR(__xludf.DUMMYFUNCTION("GOOGLETRANSLATE(B13763,""en"",""de"")"),"Eine Nahaufnahme von Schuhen wird von einer Person gezeigt, die die Schuhe hält und die Lack um die Schuhe reist.")</f>
        <v>Eine Nahaufnahme von Schuhen wird von einer Person gezeigt, die die Schuhe hält und die Lack um die Schuhe reist.</v>
      </c>
    </row>
    <row r="13764">
      <c r="A13764" s="4" t="s">
        <v>17322</v>
      </c>
      <c r="B13764" s="4" t="s">
        <v>17324</v>
      </c>
      <c r="C13764" s="5" t="str">
        <f>IFERROR(__xludf.DUMMYFUNCTION("GOOGLETRANSLATE(B13764,""en"",""de"")"),"Der Mann reibt dann polnisch in den anderen Schuh auf dem Tisch sowie zurück zu dem, auf dem er begonnen hat.")</f>
        <v>Der Mann reibt dann polnisch in den anderen Schuh auf dem Tisch sowie zurück zu dem, auf dem er begonnen hat.</v>
      </c>
    </row>
    <row r="13765">
      <c r="A13765" s="4" t="s">
        <v>17322</v>
      </c>
      <c r="B13765" s="4" t="s">
        <v>17325</v>
      </c>
      <c r="C13765" s="5" t="str">
        <f>IFERROR(__xludf.DUMMYFUNCTION("GOOGLETRANSLATE(B13765,""en"",""de"")"),"Er nimmt einen Pinsel und benutzt ihn am Schuh und endet damit, dass er die Kamera greift.")</f>
        <v>Er nimmt einen Pinsel und benutzt ihn am Schuh und endet damit, dass er die Kamera greift.</v>
      </c>
    </row>
    <row r="13766">
      <c r="A13766" s="4" t="s">
        <v>17326</v>
      </c>
      <c r="B13766" s="4" t="s">
        <v>17327</v>
      </c>
      <c r="C13766" s="5" t="str">
        <f>IFERROR(__xludf.DUMMYFUNCTION("GOOGLETRANSLATE(B13766,""en"",""de"")"),"Diese Frau zeigt den Zuschauern, wie man einen Whisky sauer macht.")</f>
        <v>Diese Frau zeigt den Zuschauern, wie man einen Whisky sauer macht.</v>
      </c>
    </row>
    <row r="13767">
      <c r="A13767" s="4" t="s">
        <v>17326</v>
      </c>
      <c r="B13767" s="4" t="s">
        <v>17328</v>
      </c>
      <c r="C13767" s="5" t="str">
        <f>IFERROR(__xludf.DUMMYFUNCTION("GOOGLETRANSLATE(B13767,""en"",""de"")"),"Zuerst gießt sie eine Unze Whisky über Eis in das Ross -Glas.")</f>
        <v>Zuerst gießt sie eine Unze Whisky über Eis in das Ross -Glas.</v>
      </c>
    </row>
    <row r="13768">
      <c r="A13768" s="4" t="s">
        <v>17326</v>
      </c>
      <c r="B13768" s="4" t="s">
        <v>17329</v>
      </c>
      <c r="C13768" s="5" t="str">
        <f>IFERROR(__xludf.DUMMYFUNCTION("GOOGLETRANSLATE(B13768,""en"",""de"")"),"Dann gießt sie Zitrus in das Glas und steckt einen Strohhalm hinein.")</f>
        <v>Dann gießt sie Zitrus in das Glas und steckt einen Strohhalm hinein.</v>
      </c>
    </row>
    <row r="13769">
      <c r="A13769" s="4" t="s">
        <v>17330</v>
      </c>
      <c r="B13769" s="4" t="s">
        <v>17331</v>
      </c>
      <c r="C13769" s="5" t="str">
        <f>IFERROR(__xludf.DUMMYFUNCTION("GOOGLETRANSLATE(B13769,""en"",""de"")"),"Ein Mann befindet sich auf einem schneebedeckten Parkplatz.")</f>
        <v>Ein Mann befindet sich auf einem schneebedeckten Parkplatz.</v>
      </c>
    </row>
    <row r="13770">
      <c r="A13770" s="4" t="s">
        <v>17330</v>
      </c>
      <c r="B13770" s="4" t="s">
        <v>17332</v>
      </c>
      <c r="C13770" s="5" t="str">
        <f>IFERROR(__xludf.DUMMYFUNCTION("GOOGLETRANSLATE(B13770,""en"",""de"")"),"Er benutzt eine Bürste, um Schnee vom hinteren Windscheiben seines Autos abzuwischen.")</f>
        <v>Er benutzt eine Bürste, um Schnee vom hinteren Windscheiben seines Autos abzuwischen.</v>
      </c>
    </row>
    <row r="13771">
      <c r="A13771" s="4" t="s">
        <v>17330</v>
      </c>
      <c r="B13771" s="4" t="s">
        <v>17333</v>
      </c>
      <c r="C13771" s="5" t="str">
        <f>IFERROR(__xludf.DUMMYFUNCTION("GOOGLETRANSLATE(B13771,""en"",""de"")"),"Er schaut in die Kamera und wischt sich dann weiter.")</f>
        <v>Er schaut in die Kamera und wischt sich dann weiter.</v>
      </c>
    </row>
    <row r="13772">
      <c r="A13772" s="4" t="s">
        <v>17334</v>
      </c>
      <c r="B13772" s="4" t="s">
        <v>17335</v>
      </c>
      <c r="C13772" s="5" t="str">
        <f>IFERROR(__xludf.DUMMYFUNCTION("GOOGLETRANSLATE(B13772,""en"",""de"")"),"Ein Mann spricht mit der Kamera und hält einen Rasierer bis zum Gesicht.")</f>
        <v>Ein Mann spricht mit der Kamera und hält einen Rasierer bis zum Gesicht.</v>
      </c>
    </row>
    <row r="13773">
      <c r="A13773" s="4" t="s">
        <v>17334</v>
      </c>
      <c r="B13773" s="4" t="s">
        <v>17336</v>
      </c>
      <c r="C13773" s="5" t="str">
        <f>IFERROR(__xludf.DUMMYFUNCTION("GOOGLETRANSLATE(B13773,""en"",""de"")"),"Der Mann rasiert dann sein Gesicht um die Seiten und endet, indem er immer noch mit der Kamera spricht.")</f>
        <v>Der Mann rasiert dann sein Gesicht um die Seiten und endet, indem er immer noch mit der Kamera spricht.</v>
      </c>
    </row>
    <row r="13774">
      <c r="A13774" s="4" t="s">
        <v>17337</v>
      </c>
      <c r="B13774" s="4" t="s">
        <v>17338</v>
      </c>
      <c r="C13774" s="5" t="str">
        <f>IFERROR(__xludf.DUMMYFUNCTION("GOOGLETRANSLATE(B13774,""en"",""de"")"),"Eine Frau führt teilweise Künste mit einem Mann auf einer Bühne durch.")</f>
        <v>Eine Frau führt teilweise Künste mit einem Mann auf einer Bühne durch.</v>
      </c>
    </row>
    <row r="13775">
      <c r="A13775" s="4" t="s">
        <v>17337</v>
      </c>
      <c r="B13775" s="4" t="s">
        <v>17339</v>
      </c>
      <c r="C13775" s="5" t="str">
        <f>IFERROR(__xludf.DUMMYFUNCTION("GOOGLETRANSLATE(B13775,""en"",""de"")"),"Eine Band spielt Instrumente im Hintergrund.")</f>
        <v>Eine Band spielt Instrumente im Hintergrund.</v>
      </c>
    </row>
    <row r="13776">
      <c r="A13776" s="4" t="s">
        <v>17337</v>
      </c>
      <c r="B13776" s="4" t="s">
        <v>17340</v>
      </c>
      <c r="C13776" s="5" t="str">
        <f>IFERROR(__xludf.DUMMYFUNCTION("GOOGLETRANSLATE(B13776,""en"",""de"")"),"Die beiden Spin, Flip und Tritt, wechselt abwechselnd.")</f>
        <v>Die beiden Spin, Flip und Tritt, wechselt abwechselnd.</v>
      </c>
    </row>
    <row r="13777">
      <c r="A13777" s="4" t="s">
        <v>17341</v>
      </c>
      <c r="B13777" s="4" t="s">
        <v>17342</v>
      </c>
      <c r="C13777" s="5" t="str">
        <f>IFERROR(__xludf.DUMMYFUNCTION("GOOGLETRANSLATE(B13777,""en"",""de"")"),"Eine Dame spielt allein im Innenbereich Pool.")</f>
        <v>Eine Dame spielt allein im Innenbereich Pool.</v>
      </c>
    </row>
    <row r="13778">
      <c r="A13778" s="4" t="s">
        <v>17341</v>
      </c>
      <c r="B13778" s="4" t="s">
        <v>17343</v>
      </c>
      <c r="C13778" s="5" t="str">
        <f>IFERROR(__xludf.DUMMYFUNCTION("GOOGLETRANSLATE(B13778,""en"",""de"")"),"Der weiße Ball fällt vom Billardtisch.")</f>
        <v>Der weiße Ball fällt vom Billardtisch.</v>
      </c>
    </row>
    <row r="13779">
      <c r="A13779" s="4" t="s">
        <v>17341</v>
      </c>
      <c r="B13779" s="4" t="s">
        <v>17344</v>
      </c>
      <c r="C13779" s="5" t="str">
        <f>IFERROR(__xludf.DUMMYFUNCTION("GOOGLETRANSLATE(B13779,""en"",""de"")"),"Die Dame nimmt den weißen Ball vom Boden aus.")</f>
        <v>Die Dame nimmt den weißen Ball vom Boden aus.</v>
      </c>
    </row>
    <row r="13780">
      <c r="A13780" s="4" t="s">
        <v>17345</v>
      </c>
      <c r="B13780" s="4" t="s">
        <v>17346</v>
      </c>
      <c r="C13780" s="5" t="str">
        <f>IFERROR(__xludf.DUMMYFUNCTION("GOOGLETRANSLATE(B13780,""en"",""de"")"),"Wir sehen einen Mann rennen und auf ein Floß springen, während er einen langen schneebedeckten Hügel hinunterrutscht.")</f>
        <v>Wir sehen einen Mann rennen und auf ein Floß springen, während er einen langen schneebedeckten Hügel hinunterrutscht.</v>
      </c>
    </row>
    <row r="13781">
      <c r="A13781" s="4" t="s">
        <v>17345</v>
      </c>
      <c r="B13781" s="4" t="s">
        <v>17347</v>
      </c>
      <c r="C13781" s="5" t="str">
        <f>IFERROR(__xludf.DUMMYFUNCTION("GOOGLETRANSLATE(B13781,""en"",""de"")"),"Das Floß stoppt und der Kameramann steht auf und läuft herum, während er den Boden filmt.")</f>
        <v>Das Floß stoppt und der Kameramann steht auf und läuft herum, während er den Boden filmt.</v>
      </c>
    </row>
    <row r="13782">
      <c r="A13782" s="4" t="s">
        <v>17345</v>
      </c>
      <c r="B13782" s="4" t="s">
        <v>17348</v>
      </c>
      <c r="C13782" s="5" t="str">
        <f>IFERROR(__xludf.DUMMYFUNCTION("GOOGLETRANSLATE(B13782,""en"",""de"")"),"Eine Hand bedeckt dann die Kamera.")</f>
        <v>Eine Hand bedeckt dann die Kamera.</v>
      </c>
    </row>
    <row r="13783">
      <c r="A13783" s="4" t="s">
        <v>17349</v>
      </c>
      <c r="B13783" s="4" t="s">
        <v>17350</v>
      </c>
      <c r="C13783" s="5" t="str">
        <f>IFERROR(__xludf.DUMMYFUNCTION("GOOGLETRANSLATE(B13783,""en"",""de"")"),"Eine ältere Frau schält eine Kartoffel über einen Tisch.")</f>
        <v>Eine ältere Frau schält eine Kartoffel über einen Tisch.</v>
      </c>
    </row>
    <row r="13784">
      <c r="A13784" s="4" t="s">
        <v>17349</v>
      </c>
      <c r="B13784" s="4" t="s">
        <v>17351</v>
      </c>
      <c r="C13784" s="5" t="str">
        <f>IFERROR(__xludf.DUMMYFUNCTION("GOOGLETRANSLATE(B13784,""en"",""de"")"),"Sie setzt das Messer auf den Tisch.")</f>
        <v>Sie setzt das Messer auf den Tisch.</v>
      </c>
    </row>
    <row r="13785">
      <c r="A13785" s="4" t="s">
        <v>17352</v>
      </c>
      <c r="B13785" s="4" t="s">
        <v>17353</v>
      </c>
      <c r="C13785" s="5" t="str">
        <f>IFERROR(__xludf.DUMMYFUNCTION("GOOGLETRANSLATE(B13785,""en"",""de"")"),"Die Menschen schweben in Röhren einen Fluss hinunter.")</f>
        <v>Die Menschen schweben in Röhren einen Fluss hinunter.</v>
      </c>
    </row>
    <row r="13786">
      <c r="A13786" s="4" t="s">
        <v>17352</v>
      </c>
      <c r="B13786" s="4" t="s">
        <v>17354</v>
      </c>
      <c r="C13786" s="5" t="str">
        <f>IFERROR(__xludf.DUMMYFUNCTION("GOOGLETRANSLATE(B13786,""en"",""de"")"),"Die Füße einer Person sind auf einer Röhre gezeigt.")</f>
        <v>Die Füße einer Person sind auf einer Röhre gezeigt.</v>
      </c>
    </row>
    <row r="13787">
      <c r="A13787" s="4" t="s">
        <v>17352</v>
      </c>
      <c r="B13787" s="4" t="s">
        <v>17355</v>
      </c>
      <c r="C13787" s="5" t="str">
        <f>IFERROR(__xludf.DUMMYFUNCTION("GOOGLETRANSLATE(B13787,""en"",""de"")"),"Die Leute stehen kurz neben ihren Röhren.")</f>
        <v>Die Leute stehen kurz neben ihren Röhren.</v>
      </c>
    </row>
    <row r="13788">
      <c r="A13788" s="4" t="s">
        <v>17356</v>
      </c>
      <c r="B13788" s="4" t="s">
        <v>17357</v>
      </c>
      <c r="C13788" s="5" t="str">
        <f>IFERROR(__xludf.DUMMYFUNCTION("GOOGLETRANSLATE(B13788,""en"",""de"")"),"Männer befinden sich in einer Staub -Rennstrecke, die Tricks machen.")</f>
        <v>Männer befinden sich in einer Staub -Rennstrecke, die Tricks machen.</v>
      </c>
    </row>
    <row r="13789">
      <c r="A13789" s="4" t="s">
        <v>17356</v>
      </c>
      <c r="B13789" s="4" t="s">
        <v>17358</v>
      </c>
      <c r="C13789" s="5" t="str">
        <f>IFERROR(__xludf.DUMMYFUNCTION("GOOGLETRANSLATE(B13789,""en"",""de"")"),"Kleine Kinder gehen in einem Staubweg einen Rutschen.")</f>
        <v>Kleine Kinder gehen in einem Staubweg einen Rutschen.</v>
      </c>
    </row>
    <row r="13790">
      <c r="A13790" s="4" t="s">
        <v>17359</v>
      </c>
      <c r="B13790" s="4" t="s">
        <v>17360</v>
      </c>
      <c r="C13790" s="5" t="str">
        <f>IFERROR(__xludf.DUMMYFUNCTION("GOOGLETRANSLATE(B13790,""en"",""de"")"),"Ein Junge erklärt, wie man Zehenschuhe auf seinem linken Fuß anzieht.")</f>
        <v>Ein Junge erklärt, wie man Zehenschuhe auf seinem linken Fuß anzieht.</v>
      </c>
    </row>
    <row r="13791">
      <c r="A13791" s="4" t="s">
        <v>17359</v>
      </c>
      <c r="B13791" s="4" t="s">
        <v>17361</v>
      </c>
      <c r="C13791" s="5" t="str">
        <f>IFERROR(__xludf.DUMMYFUNCTION("GOOGLETRANSLATE(B13791,""en"",""de"")"),"Dann hebt der Junge den rechten Fuß und nimmt den Zehenschuh heraus und erklärt weiter.")</f>
        <v>Dann hebt der Junge den rechten Fuß und nimmt den Zehenschuh heraus und erklärt weiter.</v>
      </c>
    </row>
    <row r="13792">
      <c r="A13792" s="4" t="s">
        <v>17362</v>
      </c>
      <c r="B13792" s="4" t="s">
        <v>17363</v>
      </c>
      <c r="C13792" s="5" t="str">
        <f>IFERROR(__xludf.DUMMYFUNCTION("GOOGLETRANSLATE(B13792,""en"",""de"")"),"Eine Person macht eine Topf Kaffee.")</f>
        <v>Eine Person macht eine Topf Kaffee.</v>
      </c>
    </row>
    <row r="13793">
      <c r="A13793" s="4" t="s">
        <v>17362</v>
      </c>
      <c r="B13793" s="4" t="s">
        <v>17364</v>
      </c>
      <c r="C13793" s="5" t="str">
        <f>IFERROR(__xludf.DUMMYFUNCTION("GOOGLETRANSLATE(B13793,""en"",""de"")"),"Die Person fügt dann ein paar zuckerhaltige Produkte hinzu.")</f>
        <v>Die Person fügt dann ein paar zuckerhaltige Produkte hinzu.</v>
      </c>
    </row>
    <row r="13794">
      <c r="A13794" s="4" t="s">
        <v>17362</v>
      </c>
      <c r="B13794" s="4" t="s">
        <v>17365</v>
      </c>
      <c r="C13794" s="5" t="str">
        <f>IFERROR(__xludf.DUMMYFUNCTION("GOOGLETRANSLATE(B13794,""en"",""de"")"),"Der Mann trinkt es und ruft dann Leute von einem Smartphone an.")</f>
        <v>Der Mann trinkt es und ruft dann Leute von einem Smartphone an.</v>
      </c>
    </row>
    <row r="13795">
      <c r="A13795" s="4" t="s">
        <v>17366</v>
      </c>
      <c r="B13795" s="4" t="s">
        <v>17367</v>
      </c>
      <c r="C13795" s="5" t="str">
        <f>IFERROR(__xludf.DUMMYFUNCTION("GOOGLETRANSLATE(B13795,""en"",""de"")"),"Es gibt zwei Boxerinnen, die in einem Boxereignis gegeneinander gegeneinander antreten.")</f>
        <v>Es gibt zwei Boxerinnen, die in einem Boxereignis gegeneinander gegeneinander antreten.</v>
      </c>
    </row>
    <row r="13796">
      <c r="A13796" s="4" t="s">
        <v>17366</v>
      </c>
      <c r="B13796" s="4" t="s">
        <v>17368</v>
      </c>
      <c r="C13796" s="5" t="str">
        <f>IFERROR(__xludf.DUMMYFUNCTION("GOOGLETRANSLATE(B13796,""en"",""de"")"),"Der Schiedsrichter steht neben ihnen.")</f>
        <v>Der Schiedsrichter steht neben ihnen.</v>
      </c>
    </row>
    <row r="13797">
      <c r="A13797" s="4" t="s">
        <v>17366</v>
      </c>
      <c r="B13797" s="4" t="s">
        <v>17369</v>
      </c>
      <c r="C13797" s="5" t="str">
        <f>IFERROR(__xludf.DUMMYFUNCTION("GOOGLETRANSLATE(B13797,""en"",""de"")"),"Es gibt mehrere Zuschauer, die die Boxer beim Wettbewerb beobachten.")</f>
        <v>Es gibt mehrere Zuschauer, die die Boxer beim Wettbewerb beobachten.</v>
      </c>
    </row>
    <row r="13798">
      <c r="A13798" s="4" t="s">
        <v>17366</v>
      </c>
      <c r="B13798" s="4" t="s">
        <v>17370</v>
      </c>
      <c r="C13798" s="5" t="str">
        <f>IFERROR(__xludf.DUMMYFUNCTION("GOOGLETRANSLATE(B13798,""en"",""de"")"),"Nachdem der Schiedsrichter versucht hat, beginnen die Teilnehmer das Match.")</f>
        <v>Nachdem der Schiedsrichter versucht hat, beginnen die Teilnehmer das Match.</v>
      </c>
    </row>
    <row r="13799">
      <c r="A13799" s="4" t="s">
        <v>17366</v>
      </c>
      <c r="B13799" s="4" t="s">
        <v>17371</v>
      </c>
      <c r="C13799" s="5" t="str">
        <f>IFERROR(__xludf.DUMMYFUNCTION("GOOGLETRANSLATE(B13799,""en"",""de"")"),"Die Menge jubelt sie für sie, wenn sie antreten.")</f>
        <v>Die Menge jubelt sie für sie, wenn sie antreten.</v>
      </c>
    </row>
    <row r="13800">
      <c r="A13800" s="4" t="s">
        <v>17366</v>
      </c>
      <c r="B13800" s="4" t="s">
        <v>17372</v>
      </c>
      <c r="C13800" s="5" t="str">
        <f>IFERROR(__xludf.DUMMYFUNCTION("GOOGLETRANSLATE(B13800,""en"",""de"")"),"Der Boxer in der schwarzen Uniform schlägt den Boxer in Rot und lässt sie fallen.")</f>
        <v>Der Boxer in der schwarzen Uniform schlägt den Boxer in Rot und lässt sie fallen.</v>
      </c>
    </row>
    <row r="13801">
      <c r="A13801" s="4" t="s">
        <v>17366</v>
      </c>
      <c r="B13801" s="4" t="s">
        <v>17373</v>
      </c>
      <c r="C13801" s="5" t="str">
        <f>IFERROR(__xludf.DUMMYFUNCTION("GOOGLETRANSLATE(B13801,""en"",""de"")"),"Der Boxer in Red tritt ihren Gegner.")</f>
        <v>Der Boxer in Red tritt ihren Gegner.</v>
      </c>
    </row>
    <row r="13802">
      <c r="A13802" s="4" t="s">
        <v>17366</v>
      </c>
      <c r="B13802" s="4" t="s">
        <v>17374</v>
      </c>
      <c r="C13802" s="5" t="str">
        <f>IFERROR(__xludf.DUMMYFUNCTION("GOOGLETRANSLATE(B13802,""en"",""de"")"),"Der Boxer in Schwarz schlägt ihren Gegner zurück und der Boxer in Rot stanzt ihr Gesicht.")</f>
        <v>Der Boxer in Schwarz schlägt ihren Gegner zurück und der Boxer in Rot stanzt ihr Gesicht.</v>
      </c>
    </row>
    <row r="13803">
      <c r="A13803" s="4" t="s">
        <v>17366</v>
      </c>
      <c r="B13803" s="4" t="s">
        <v>17375</v>
      </c>
      <c r="C13803" s="5" t="str">
        <f>IFERROR(__xludf.DUMMYFUNCTION("GOOGLETRANSLATE(B13803,""en"",""de"")"),"Der Schiedsrichter erklärt den Boxer in Schwarz als Gewinner und Crowd applaudiert ihren Sieg.")</f>
        <v>Der Schiedsrichter erklärt den Boxer in Schwarz als Gewinner und Crowd applaudiert ihren Sieg.</v>
      </c>
    </row>
    <row r="13804">
      <c r="A13804" s="4" t="s">
        <v>17376</v>
      </c>
      <c r="B13804" s="4" t="s">
        <v>17377</v>
      </c>
      <c r="C13804" s="5" t="str">
        <f>IFERROR(__xludf.DUMMYFUNCTION("GOOGLETRANSLATE(B13804,""en"",""de"")"),"Eine Kamera schwenkt um eine Person und führt in ihn in die Ferne und trägt Ausrüstung.")</f>
        <v>Eine Kamera schwenkt um eine Person und führt in ihn in die Ferne und trägt Ausrüstung.</v>
      </c>
    </row>
    <row r="13805">
      <c r="A13805" s="4" t="s">
        <v>17376</v>
      </c>
      <c r="B13805" s="4" t="s">
        <v>17378</v>
      </c>
      <c r="C13805" s="5" t="str">
        <f>IFERROR(__xludf.DUMMYFUNCTION("GOOGLETRANSLATE(B13805,""en"",""de"")"),"Der Mann passt, als die Kamera die Nahaufnahmen seines Boards zeigt.")</f>
        <v>Der Mann passt, als die Kamera die Nahaufnahmen seines Boards zeigt.</v>
      </c>
    </row>
    <row r="13806">
      <c r="A13806" s="4" t="s">
        <v>17376</v>
      </c>
      <c r="B13806" s="4" t="s">
        <v>17379</v>
      </c>
      <c r="C13806" s="5" t="str">
        <f>IFERROR(__xludf.DUMMYFUNCTION("GOOGLETRANSLATE(B13806,""en"",""de"")"),"Der Mann wird dann gesehen, wie es zahlreiche Tricks über dem Wasser macht, während er hinter einem Boot folgt.")</f>
        <v>Der Mann wird dann gesehen, wie es zahlreiche Tricks über dem Wasser macht, während er hinter einem Boot folgt.</v>
      </c>
    </row>
    <row r="13807">
      <c r="A13807" s="4" t="s">
        <v>17380</v>
      </c>
      <c r="B13807" s="4" t="s">
        <v>17381</v>
      </c>
      <c r="C13807" s="5" t="str">
        <f>IFERROR(__xludf.DUMMYFUNCTION("GOOGLETRANSLATE(B13807,""en"",""de"")"),"Zwei Männer boxen in einem Fitnessstudio.")</f>
        <v>Zwei Männer boxen in einem Fitnessstudio.</v>
      </c>
    </row>
    <row r="13808">
      <c r="A13808" s="4" t="s">
        <v>17380</v>
      </c>
      <c r="B13808" s="4" t="s">
        <v>7190</v>
      </c>
      <c r="C13808" s="5" t="str">
        <f>IFERROR(__xludf.DUMMYFUNCTION("GOOGLETRANSLATE(B13808,""en"",""de"")"),"Sie sind in eine Kampfkunst namens Kickboxen verwickelt.")</f>
        <v>Sie sind in eine Kampfkunst namens Kickboxen verwickelt.</v>
      </c>
    </row>
    <row r="13809">
      <c r="A13809" s="4" t="s">
        <v>17380</v>
      </c>
      <c r="B13809" s="4" t="s">
        <v>17382</v>
      </c>
      <c r="C13809" s="5" t="str">
        <f>IFERROR(__xludf.DUMMYFUNCTION("GOOGLETRANSLATE(B13809,""en"",""de"")"),"Die beiden Männer treten mit Schlägen mit Schlägen.")</f>
        <v>Die beiden Männer treten mit Schlägen mit Schlägen.</v>
      </c>
    </row>
    <row r="13810">
      <c r="A13810" s="4" t="s">
        <v>17383</v>
      </c>
      <c r="B13810" s="4" t="s">
        <v>17384</v>
      </c>
      <c r="C13810" s="5" t="str">
        <f>IFERROR(__xludf.DUMMYFUNCTION("GOOGLETRANSLATE(B13810,""en"",""de"")"),"Eine Frau schleift ein Buchregal mit einem Schleifer.")</f>
        <v>Eine Frau schleift ein Buchregal mit einem Schleifer.</v>
      </c>
    </row>
    <row r="13811">
      <c r="A13811" s="4" t="s">
        <v>17383</v>
      </c>
      <c r="B13811" s="4" t="s">
        <v>17385</v>
      </c>
      <c r="C13811" s="5" t="str">
        <f>IFERROR(__xludf.DUMMYFUNCTION("GOOGLETRANSLATE(B13811,""en"",""de"")"),"Sie berührt die geschliffene Portion mit ihrer Hand.")</f>
        <v>Sie berührt die geschliffene Portion mit ihrer Hand.</v>
      </c>
    </row>
    <row r="13812">
      <c r="A13812" s="4" t="s">
        <v>17383</v>
      </c>
      <c r="B13812" s="4" t="s">
        <v>17386</v>
      </c>
      <c r="C13812" s="5" t="str">
        <f>IFERROR(__xludf.DUMMYFUNCTION("GOOGLETRANSLATE(B13812,""en"",""de"")"),"Sie steht neben dem Regal und redet.")</f>
        <v>Sie steht neben dem Regal und redet.</v>
      </c>
    </row>
    <row r="13813">
      <c r="A13813" s="4" t="s">
        <v>17387</v>
      </c>
      <c r="B13813" s="4" t="s">
        <v>17388</v>
      </c>
      <c r="C13813" s="5" t="str">
        <f>IFERROR(__xludf.DUMMYFUNCTION("GOOGLETRANSLATE(B13813,""en"",""de"")"),"Eine Person läuft in einem Raum mit einem Besen.")</f>
        <v>Eine Person läuft in einem Raum mit einem Besen.</v>
      </c>
    </row>
    <row r="13814">
      <c r="A13814" s="4" t="s">
        <v>17387</v>
      </c>
      <c r="B13814" s="4" t="s">
        <v>17389</v>
      </c>
      <c r="C13814" s="5" t="str">
        <f>IFERROR(__xludf.DUMMYFUNCTION("GOOGLETRANSLATE(B13814,""en"",""de"")"),"Sie schiebt es entlang der Wand neben sie.")</f>
        <v>Sie schiebt es entlang der Wand neben sie.</v>
      </c>
    </row>
    <row r="13815">
      <c r="A13815" s="4" t="s">
        <v>17387</v>
      </c>
      <c r="B13815" s="4" t="s">
        <v>17390</v>
      </c>
      <c r="C13815" s="5" t="str">
        <f>IFERROR(__xludf.DUMMYFUNCTION("GOOGLETRANSLATE(B13815,""en"",""de"")"),"Am Ende dreht sie sich um und schiebt es zurück.")</f>
        <v>Am Ende dreht sie sich um und schiebt es zurück.</v>
      </c>
    </row>
    <row r="13816">
      <c r="A13816" s="4" t="s">
        <v>17391</v>
      </c>
      <c r="B13816" s="4" t="s">
        <v>17392</v>
      </c>
      <c r="C13816" s="5" t="str">
        <f>IFERROR(__xludf.DUMMYFUNCTION("GOOGLETRANSLATE(B13816,""en"",""de"")"),"Eine Frau ist draußen zu sehen, wie ein Strandvolleyballspiel in Zeitlupe über dem Netz serviert.")</f>
        <v>Eine Frau ist draußen zu sehen, wie ein Strandvolleyballspiel in Zeitlupe über dem Netz serviert.</v>
      </c>
    </row>
    <row r="13817">
      <c r="A13817" s="4" t="s">
        <v>17391</v>
      </c>
      <c r="B13817" s="4" t="s">
        <v>17393</v>
      </c>
      <c r="C13817" s="5" t="str">
        <f>IFERROR(__xludf.DUMMYFUNCTION("GOOGLETRANSLATE(B13817,""en"",""de"")"),"Es schafft es über das Netz und das andere Team von zwei Bällen kann es wieder über das Netz schlagen.")</f>
        <v>Es schafft es über das Netz und das andere Team von zwei Bällen kann es wieder über das Netz schlagen.</v>
      </c>
    </row>
    <row r="13818">
      <c r="A13818" s="4" t="s">
        <v>17391</v>
      </c>
      <c r="B13818" s="4" t="s">
        <v>17394</v>
      </c>
      <c r="C13818" s="5" t="str">
        <f>IFERROR(__xludf.DUMMYFUNCTION("GOOGLETRANSLATE(B13818,""en"",""de"")"),"Beide Paare von Menschen spielen weiterhin das Spiel und schließlich gewinnt der Mann und die Frau im Team.")</f>
        <v>Beide Paare von Menschen spielen weiterhin das Spiel und schließlich gewinnt der Mann und die Frau im Team.</v>
      </c>
    </row>
    <row r="13819">
      <c r="A13819" s="4" t="s">
        <v>17395</v>
      </c>
      <c r="B13819" s="4" t="s">
        <v>17396</v>
      </c>
      <c r="C13819" s="5" t="str">
        <f>IFERROR(__xludf.DUMMYFUNCTION("GOOGLETRANSLATE(B13819,""en"",""de"")"),"Ein Turner steht vor einem großen Strahl und legt seine Hände in die Luft.")</f>
        <v>Ein Turner steht vor einem großen Strahl und legt seine Hände in die Luft.</v>
      </c>
    </row>
    <row r="13820">
      <c r="A13820" s="4" t="s">
        <v>17395</v>
      </c>
      <c r="B13820" s="4" t="s">
        <v>17397</v>
      </c>
      <c r="C13820" s="5" t="str">
        <f>IFERROR(__xludf.DUMMYFUNCTION("GOOGLETRANSLATE(B13820,""en"",""de"")"),"Dann führt er eine Turner -Routine durch, während er sich rund um die Bar schwingt und endet, indem er nach unten springt.")</f>
        <v>Dann führt er eine Turner -Routine durch, während er sich rund um die Bar schwingt und endet, indem er nach unten springt.</v>
      </c>
    </row>
    <row r="13821">
      <c r="A13821" s="4" t="s">
        <v>17398</v>
      </c>
      <c r="B13821" s="4" t="s">
        <v>17399</v>
      </c>
      <c r="C13821" s="5" t="str">
        <f>IFERROR(__xludf.DUMMYFUNCTION("GOOGLETRANSLATE(B13821,""en"",""de"")"),"Ein kleines Kind sitzt neben einer Wanne und beugt sich über die Seite.")</f>
        <v>Ein kleines Kind sitzt neben einer Wanne und beugt sich über die Seite.</v>
      </c>
    </row>
    <row r="13822">
      <c r="A13822" s="4" t="s">
        <v>17398</v>
      </c>
      <c r="B13822" s="4" t="s">
        <v>17400</v>
      </c>
      <c r="C13822" s="5" t="str">
        <f>IFERROR(__xludf.DUMMYFUNCTION("GOOGLETRANSLATE(B13822,""en"",""de"")"),"Eine Person spricht nebenbei mit ihr, während sie zur Kamera zurückblickt.")</f>
        <v>Eine Person spricht nebenbei mit ihr, während sie zur Kamera zurückblickt.</v>
      </c>
    </row>
    <row r="13823">
      <c r="A13823" s="4" t="s">
        <v>17398</v>
      </c>
      <c r="B13823" s="4" t="s">
        <v>17401</v>
      </c>
      <c r="C13823" s="5" t="str">
        <f>IFERROR(__xludf.DUMMYFUNCTION("GOOGLETRANSLATE(B13823,""en"",""de"")"),"Sie beugt sich weiter in die Spüle und bewegt sich dann zurück zur Kamera, um zu schauen.")</f>
        <v>Sie beugt sich weiter in die Spüle und bewegt sich dann zurück zur Kamera, um zu schauen.</v>
      </c>
    </row>
    <row r="13824">
      <c r="A13824" s="4" t="s">
        <v>17402</v>
      </c>
      <c r="B13824" s="4" t="s">
        <v>17403</v>
      </c>
      <c r="C13824" s="5" t="str">
        <f>IFERROR(__xludf.DUMMYFUNCTION("GOOGLETRANSLATE(B13824,""en"",""de"")"),"Eine Kamera vergrößert eine Person, die Gitarre spielt, und führt zu einem Mann, der spricht.")</f>
        <v>Eine Kamera vergrößert eine Person, die Gitarre spielt, und führt zu einem Mann, der spricht.</v>
      </c>
    </row>
    <row r="13825">
      <c r="A13825" s="4" t="s">
        <v>17402</v>
      </c>
      <c r="B13825" s="4" t="s">
        <v>17404</v>
      </c>
      <c r="C13825" s="5" t="str">
        <f>IFERROR(__xludf.DUMMYFUNCTION("GOOGLETRANSLATE(B13825,""en"",""de"")"),"Es werden einige weitere Aufnahmen von Leuten gezeigt, die Gitarre und Gitarren an Wänden spielen, sowie derselbe Mann, der mit der Kamera spricht.")</f>
        <v>Es werden einige weitere Aufnahmen von Leuten gezeigt, die Gitarre und Gitarren an Wänden spielen, sowie derselbe Mann, der mit der Kamera spricht.</v>
      </c>
    </row>
    <row r="13826">
      <c r="A13826" s="4" t="s">
        <v>17405</v>
      </c>
      <c r="B13826" s="4" t="s">
        <v>17406</v>
      </c>
      <c r="C13826" s="5" t="str">
        <f>IFERROR(__xludf.DUMMYFUNCTION("GOOGLETRANSLATE(B13826,""en"",""de"")"),"Wir sehen einen Mann, der auf Sprungstelzen springt.")</f>
        <v>Wir sehen einen Mann, der auf Sprungstelzen springt.</v>
      </c>
    </row>
    <row r="13827">
      <c r="A13827" s="4" t="s">
        <v>17405</v>
      </c>
      <c r="B13827" s="4" t="s">
        <v>17407</v>
      </c>
      <c r="C13827" s="5" t="str">
        <f>IFERROR(__xludf.DUMMYFUNCTION("GOOGLETRANSLATE(B13827,""en"",""de"")"),"Wir sehen eine Person im Hof.")</f>
        <v>Wir sehen eine Person im Hof.</v>
      </c>
    </row>
    <row r="13828">
      <c r="A13828" s="4" t="s">
        <v>17405</v>
      </c>
      <c r="B13828" s="4" t="s">
        <v>17408</v>
      </c>
      <c r="C13828" s="5" t="str">
        <f>IFERROR(__xludf.DUMMYFUNCTION("GOOGLETRANSLATE(B13828,""en"",""de"")"),"Der Mann auf den Stelzen stoppt und dreht sich in Richtung Kamera.")</f>
        <v>Der Mann auf den Stelzen stoppt und dreht sich in Richtung Kamera.</v>
      </c>
    </row>
    <row r="13829">
      <c r="A13829" s="4" t="s">
        <v>17409</v>
      </c>
      <c r="B13829" s="4" t="s">
        <v>17410</v>
      </c>
      <c r="C13829" s="5" t="str">
        <f>IFERROR(__xludf.DUMMYFUNCTION("GOOGLETRANSLATE(B13829,""en"",""de"")"),"Es werden Zeitlupenshows von Menschen, die über Sprünge reiten, mit Pferden reiten, die zu einer Frau führen, die mit einem Pferd hinter sich mit der Kamera spricht.")</f>
        <v>Es werden Zeitlupenshows von Menschen, die über Sprünge reiten, mit Pferden reiten, die zu einer Frau führen, die mit einem Pferd hinter sich mit der Kamera spricht.</v>
      </c>
    </row>
    <row r="13830">
      <c r="A13830" s="4" t="s">
        <v>17409</v>
      </c>
      <c r="B13830" s="4" t="s">
        <v>17411</v>
      </c>
      <c r="C13830" s="5" t="str">
        <f>IFERROR(__xludf.DUMMYFUNCTION("GOOGLETRANSLATE(B13830,""en"",""de"")"),"Die Frau trägt dann einen Handschuh und streift das Pferd überall, während die Gefangennahme ihre Bewegungen und das Pferd erfasst.")</f>
        <v>Die Frau trägt dann einen Handschuh und streift das Pferd überall, während die Gefangennahme ihre Bewegungen und das Pferd erfasst.</v>
      </c>
    </row>
    <row r="13831">
      <c r="A13831" s="4" t="s">
        <v>17409</v>
      </c>
      <c r="B13831" s="4" t="s">
        <v>17412</v>
      </c>
      <c r="C13831" s="5" t="str">
        <f>IFERROR(__xludf.DUMMYFUNCTION("GOOGLETRANSLATE(B13831,""en"",""de"")"),"Sie streift den Rücken des Schwanzes und endet um den Bauch.")</f>
        <v>Sie streift den Rücken des Schwanzes und endet um den Bauch.</v>
      </c>
    </row>
    <row r="13832">
      <c r="A13832" s="4" t="s">
        <v>17413</v>
      </c>
      <c r="B13832" s="4" t="s">
        <v>17414</v>
      </c>
      <c r="C13832" s="5" t="str">
        <f>IFERROR(__xludf.DUMMYFUNCTION("GOOGLETRANSLATE(B13832,""en"",""de"")"),"Rüben werden auf einem Hackblock gehackt.")</f>
        <v>Rüben werden auf einem Hackblock gehackt.</v>
      </c>
    </row>
    <row r="13833">
      <c r="A13833" s="4" t="s">
        <v>17413</v>
      </c>
      <c r="B13833" s="4" t="s">
        <v>17415</v>
      </c>
      <c r="C13833" s="5" t="str">
        <f>IFERROR(__xludf.DUMMYFUNCTION("GOOGLETRANSLATE(B13833,""en"",""de"")"),"Sie werden in eine Pfanne gestellt und mit Wasser bedeckt.")</f>
        <v>Sie werden in eine Pfanne gestellt und mit Wasser bedeckt.</v>
      </c>
    </row>
    <row r="13834">
      <c r="A13834" s="4" t="s">
        <v>17413</v>
      </c>
      <c r="B13834" s="4" t="s">
        <v>17416</v>
      </c>
      <c r="C13834" s="5" t="str">
        <f>IFERROR(__xludf.DUMMYFUNCTION("GOOGLETRANSLATE(B13834,""en"",""de"")"),"Grünkohl wird auf einem Schneidebrett gehackt.")</f>
        <v>Grünkohl wird auf einem Schneidebrett gehackt.</v>
      </c>
    </row>
    <row r="13835">
      <c r="A13835" s="4" t="s">
        <v>17413</v>
      </c>
      <c r="B13835" s="4" t="s">
        <v>17417</v>
      </c>
      <c r="C13835" s="5" t="str">
        <f>IFERROR(__xludf.DUMMYFUNCTION("GOOGLETRANSLATE(B13835,""en"",""de"")"),"Es wird ein paar Minuten in Salz geworfen.")</f>
        <v>Es wird ein paar Minuten in Salz geworfen.</v>
      </c>
    </row>
    <row r="13836">
      <c r="A13836" s="4" t="s">
        <v>17413</v>
      </c>
      <c r="B13836" s="4" t="s">
        <v>17418</v>
      </c>
      <c r="C13836" s="5" t="str">
        <f>IFERROR(__xludf.DUMMYFUNCTION("GOOGLETRANSLATE(B13836,""en"",""de"")"),"Karotten sind über den Grünkohl gerieben.")</f>
        <v>Karotten sind über den Grünkohl gerieben.</v>
      </c>
    </row>
    <row r="13837">
      <c r="A13837" s="4" t="s">
        <v>17413</v>
      </c>
      <c r="B13837" s="4" t="s">
        <v>17419</v>
      </c>
      <c r="C13837" s="5" t="str">
        <f>IFERROR(__xludf.DUMMYFUNCTION("GOOGLETRANSLATE(B13837,""en"",""de"")"),"Eine Tomate ist gewürfelt und mit Dressing gemischt.")</f>
        <v>Eine Tomate ist gewürfelt und mit Dressing gemischt.</v>
      </c>
    </row>
    <row r="13838">
      <c r="A13838" s="4" t="s">
        <v>17413</v>
      </c>
      <c r="B13838" s="4" t="s">
        <v>17420</v>
      </c>
      <c r="C13838" s="5" t="str">
        <f>IFERROR(__xludf.DUMMYFUNCTION("GOOGLETRANSLATE(B13838,""en"",""de"")"),"Dies wird dann über den Grünkohl gegossen.")</f>
        <v>Dies wird dann über den Grünkohl gegossen.</v>
      </c>
    </row>
    <row r="13839">
      <c r="A13839" s="4" t="s">
        <v>17413</v>
      </c>
      <c r="B13839" s="4" t="s">
        <v>17421</v>
      </c>
      <c r="C13839" s="5" t="str">
        <f>IFERROR(__xludf.DUMMYFUNCTION("GOOGLETRANSLATE(B13839,""en"",""de"")"),"Ein Mann nimmt einen Bissen des Salats.")</f>
        <v>Ein Mann nimmt einen Bissen des Salats.</v>
      </c>
    </row>
    <row r="13840">
      <c r="A13840" s="4" t="s">
        <v>17422</v>
      </c>
      <c r="B13840" s="4" t="s">
        <v>17423</v>
      </c>
      <c r="C13840" s="5" t="str">
        <f>IFERROR(__xludf.DUMMYFUNCTION("GOOGLETRANSLATE(B13840,""en"",""de"")"),"Eine Person bewegt sich in einer schnellen Bewegung, die eine Tasche auspackt und Teile eines Reifens zusammenstellt.")</f>
        <v>Eine Person bewegt sich in einer schnellen Bewegung, die eine Tasche auspackt und Teile eines Reifens zusammenstellt.</v>
      </c>
    </row>
    <row r="13841">
      <c r="A13841" s="4" t="s">
        <v>17422</v>
      </c>
      <c r="B13841" s="4" t="s">
        <v>17424</v>
      </c>
      <c r="C13841" s="5" t="str">
        <f>IFERROR(__xludf.DUMMYFUNCTION("GOOGLETRANSLATE(B13841,""en"",""de"")"),"Viele Menschen halten an, um am Rande zu sehen, während der Mann das Fahrrad weiter baut und endet, indem er alles zusammenpackt und seine Arme beim Lächeln heraushält.")</f>
        <v>Viele Menschen halten an, um am Rande zu sehen, während der Mann das Fahrrad weiter baut und endet, indem er alles zusammenpackt und seine Arme beim Lächeln heraushält.</v>
      </c>
    </row>
    <row r="13842">
      <c r="A13842" s="4" t="s">
        <v>17425</v>
      </c>
      <c r="B13842" s="4" t="s">
        <v>17426</v>
      </c>
      <c r="C13842" s="5" t="str">
        <f>IFERROR(__xludf.DUMMYFUNCTION("GOOGLETRANSLATE(B13842,""en"",""de"")"),"Eine Frau steigt mit anderen Menschen in den Rücken eines Vans.")</f>
        <v>Eine Frau steigt mit anderen Menschen in den Rücken eines Vans.</v>
      </c>
    </row>
    <row r="13843">
      <c r="A13843" s="4" t="s">
        <v>17425</v>
      </c>
      <c r="B13843" s="4" t="s">
        <v>17427</v>
      </c>
      <c r="C13843" s="5" t="str">
        <f>IFERROR(__xludf.DUMMYFUNCTION("GOOGLETRANSLATE(B13843,""en"",""de"")"),"Mehrere Männer stehen in einer Linie zusammen, bevor wir eine Person in einem Gorilla -Anzug sehen.")</f>
        <v>Mehrere Männer stehen in einer Linie zusammen, bevor wir eine Person in einem Gorilla -Anzug sehen.</v>
      </c>
    </row>
    <row r="13844">
      <c r="A13844" s="4" t="s">
        <v>17425</v>
      </c>
      <c r="B13844" s="4" t="s">
        <v>17428</v>
      </c>
      <c r="C13844" s="5" t="str">
        <f>IFERROR(__xludf.DUMMYFUNCTION("GOOGLETRANSLATE(B13844,""en"",""de"")"),"Viele Menschen tanzen, fallen von Skateboards und führen verschiedene Tricks wie Dreh- und Flips durch.")</f>
        <v>Viele Menschen tanzen, fallen von Skateboards und führen verschiedene Tricks wie Dreh- und Flips durch.</v>
      </c>
    </row>
    <row r="13845">
      <c r="A13845" s="4" t="s">
        <v>17425</v>
      </c>
      <c r="B13845" s="4" t="s">
        <v>17429</v>
      </c>
      <c r="C13845" s="5" t="str">
        <f>IFERROR(__xludf.DUMMYFUNCTION("GOOGLETRANSLATE(B13845,""en"",""de"")"),"Die Gruppe geht aus dem Gebäude zusammen und macht Schilder und Gesichter in der Kamera.")</f>
        <v>Die Gruppe geht aus dem Gebäude zusammen und macht Schilder und Gesichter in der Kamera.</v>
      </c>
    </row>
    <row r="13846">
      <c r="A13846" s="4" t="s">
        <v>17430</v>
      </c>
      <c r="B13846" s="4" t="s">
        <v>17431</v>
      </c>
      <c r="C13846" s="5" t="str">
        <f>IFERROR(__xludf.DUMMYFUNCTION("GOOGLETRANSLATE(B13846,""en"",""de"")"),"Ein Zug fährt auf einer Strecke vorbei, und mehrere Autos fahren auf einer nassen Straße.")</f>
        <v>Ein Zug fährt auf einer Strecke vorbei, und mehrere Autos fahren auf einer nassen Straße.</v>
      </c>
    </row>
    <row r="13847">
      <c r="A13847" s="4" t="s">
        <v>17430</v>
      </c>
      <c r="B13847" s="4" t="s">
        <v>17432</v>
      </c>
      <c r="C13847" s="5" t="str">
        <f>IFERROR(__xludf.DUMMYFUNCTION("GOOGLETRANSLATE(B13847,""en"",""de"")"),"Eine Frau steigt aus und kauert an einem platten Reifen.")</f>
        <v>Eine Frau steigt aus und kauert an einem platten Reifen.</v>
      </c>
    </row>
    <row r="13848">
      <c r="A13848" s="4" t="s">
        <v>17430</v>
      </c>
      <c r="B13848" s="4" t="s">
        <v>17433</v>
      </c>
      <c r="C13848" s="5" t="str">
        <f>IFERROR(__xludf.DUMMYFUNCTION("GOOGLETRANSLATE(B13848,""en"",""de"")"),"Sie nutzt die Ausrüstung, um das Auto vom Boden zu heben, und entfernt dann den Reifen.")</f>
        <v>Sie nutzt die Ausrüstung, um das Auto vom Boden zu heben, und entfernt dann den Reifen.</v>
      </c>
    </row>
    <row r="13849">
      <c r="A13849" s="4" t="s">
        <v>17430</v>
      </c>
      <c r="B13849" s="4" t="s">
        <v>17434</v>
      </c>
      <c r="C13849" s="5" t="str">
        <f>IFERROR(__xludf.DUMMYFUNCTION("GOOGLETRANSLATE(B13849,""en"",""de"")"),"Sie ersetzt den schlechten Reifen durch ein Ersatz.")</f>
        <v>Sie ersetzt den schlechten Reifen durch ein Ersatz.</v>
      </c>
    </row>
    <row r="13850">
      <c r="A13850" s="4" t="s">
        <v>17430</v>
      </c>
      <c r="B13850" s="4" t="s">
        <v>17435</v>
      </c>
      <c r="C13850" s="5" t="str">
        <f>IFERROR(__xludf.DUMMYFUNCTION("GOOGLETRANSLATE(B13850,""en"",""de"")"),"Sie legt dann ihre Ausrüstung weg und legt einen Daumen hoch, bevor sie sicher wegfährt.")</f>
        <v>Sie legt dann ihre Ausrüstung weg und legt einen Daumen hoch, bevor sie sicher wegfährt.</v>
      </c>
    </row>
    <row r="13851">
      <c r="A13851" s="4" t="s">
        <v>17436</v>
      </c>
      <c r="B13851" s="4" t="s">
        <v>17437</v>
      </c>
      <c r="C13851" s="5" t="str">
        <f>IFERROR(__xludf.DUMMYFUNCTION("GOOGLETRANSLATE(B13851,""en"",""de"")"),"Es gibt eine Person, die in einem See Wakeboarden ist.")</f>
        <v>Es gibt eine Person, die in einem See Wakeboarden ist.</v>
      </c>
    </row>
    <row r="13852">
      <c r="A13852" s="4" t="s">
        <v>17436</v>
      </c>
      <c r="B13852" s="4" t="s">
        <v>17438</v>
      </c>
      <c r="C13852" s="5" t="str">
        <f>IFERROR(__xludf.DUMMYFUNCTION("GOOGLETRANSLATE(B13852,""en"",""de"")"),"Er wird von einem roten Seil gezogen, das an einem Dampfboot befestigt ist.")</f>
        <v>Er wird von einem roten Seil gezogen, das an einem Dampfboot befestigt ist.</v>
      </c>
    </row>
    <row r="13853">
      <c r="A13853" s="4" t="s">
        <v>17436</v>
      </c>
      <c r="B13853" s="4" t="s">
        <v>17439</v>
      </c>
      <c r="C13853" s="5" t="str">
        <f>IFERROR(__xludf.DUMMYFUNCTION("GOOGLETRANSLATE(B13853,""en"",""de"")"),"Er geht mit einer stetigen Geschwindigkeit hinter dem Dampfschiff.")</f>
        <v>Er geht mit einer stetigen Geschwindigkeit hinter dem Dampfschiff.</v>
      </c>
    </row>
    <row r="13854">
      <c r="A13854" s="4" t="s">
        <v>17440</v>
      </c>
      <c r="B13854" s="4" t="s">
        <v>17441</v>
      </c>
      <c r="C13854" s="5" t="str">
        <f>IFERROR(__xludf.DUMMYFUNCTION("GOOGLETRANSLATE(B13854,""en"",""de"")"),"Eine Frau fährt auf einem Übungsgerät, gefolgt von mehreren Schüssen, in denen sie die Ausrüstung eingestellt und bewegt.")</f>
        <v>Eine Frau fährt auf einem Übungsgerät, gefolgt von mehreren Schüssen, in denen sie die Ausrüstung eingestellt und bewegt.</v>
      </c>
    </row>
    <row r="13855">
      <c r="A13855" s="4" t="s">
        <v>17440</v>
      </c>
      <c r="B13855" s="4" t="s">
        <v>17442</v>
      </c>
      <c r="C13855" s="5" t="str">
        <f>IFERROR(__xludf.DUMMYFUNCTION("GOOGLETRANSLATE(B13855,""en"",""de"")"),"Weitere Aufnahmen werden von ihr angezeigt, das die Ausrüstung fährt und die Einstellungen auf der Vorderseite ändert.")</f>
        <v>Weitere Aufnahmen werden von ihr angezeigt, das die Ausrüstung fährt und die Einstellungen auf der Vorderseite ändert.</v>
      </c>
    </row>
    <row r="13856">
      <c r="A13856" s="4" t="s">
        <v>17443</v>
      </c>
      <c r="B13856" s="4" t="s">
        <v>17444</v>
      </c>
      <c r="C13856" s="5" t="str">
        <f>IFERROR(__xludf.DUMMYFUNCTION("GOOGLETRANSLATE(B13856,""en"",""de"")"),"Eine ältere Frau wird gezeigt, die auf einem vorderen Schritt sitzt und Socken mit einem kleinen Hund in ihrer Nähe stand.")</f>
        <v>Eine ältere Frau wird gezeigt, die auf einem vorderen Schritt sitzt und Socken mit einem kleinen Hund in ihrer Nähe stand.</v>
      </c>
    </row>
    <row r="13857">
      <c r="A13857" s="4" t="s">
        <v>17443</v>
      </c>
      <c r="B13857" s="4" t="s">
        <v>17445</v>
      </c>
      <c r="C13857" s="5" t="str">
        <f>IFERROR(__xludf.DUMMYFUNCTION("GOOGLETRANSLATE(B13857,""en"",""de"")"),"Sie legt ihren Schuh dann auf den Fuß und der Hund schaut in die Ferne.")</f>
        <v>Sie legt ihren Schuh dann auf den Fuß und der Hund schaut in die Ferne.</v>
      </c>
    </row>
    <row r="13858">
      <c r="A13858" s="4" t="s">
        <v>17446</v>
      </c>
      <c r="B13858" s="4" t="s">
        <v>17447</v>
      </c>
      <c r="C13858" s="5" t="str">
        <f>IFERROR(__xludf.DUMMYFUNCTION("GOOGLETRANSLATE(B13858,""en"",""de"")"),"Ein Kocher zeigt Zutaten, um beim Reden Salatnudeln herzustellen.")</f>
        <v>Ein Kocher zeigt Zutaten, um beim Reden Salatnudeln herzustellen.</v>
      </c>
    </row>
    <row r="13859">
      <c r="A13859" s="4" t="s">
        <v>17446</v>
      </c>
      <c r="B13859" s="4" t="s">
        <v>17448</v>
      </c>
      <c r="C13859" s="5" t="str">
        <f>IFERROR(__xludf.DUMMYFUNCTION("GOOGLETRANSLATE(B13859,""en"",""de"")"),"Der Kocher legt Nudeln auf einen quadratischen Behälter und fügt Gemüse hinzu.")</f>
        <v>Der Kocher legt Nudeln auf einen quadratischen Behälter und fügt Gemüse hinzu.</v>
      </c>
    </row>
    <row r="13860">
      <c r="A13860" s="4" t="s">
        <v>17446</v>
      </c>
      <c r="B13860" s="4" t="s">
        <v>17449</v>
      </c>
      <c r="C13860" s="5" t="str">
        <f>IFERROR(__xludf.DUMMYFUNCTION("GOOGLETRANSLATE(B13860,""en"",""de"")"),"Dann fügt der Kocher Käse, Brühe, weiße Sahne, Salz hinzu und mischt ihn dann.")</f>
        <v>Dann fügt der Kocher Käse, Brühe, weiße Sahne, Salz hinzu und mischt ihn dann.</v>
      </c>
    </row>
    <row r="13861">
      <c r="A13861" s="4" t="s">
        <v>17446</v>
      </c>
      <c r="B13861" s="4" t="s">
        <v>17450</v>
      </c>
      <c r="C13861" s="5" t="str">
        <f>IFERROR(__xludf.DUMMYFUNCTION("GOOGLETRANSLATE(B13861,""en"",""de"")"),"Der Mann serviert die Nudeln mit einem Stück Tomaten und schmeckt den Salat.")</f>
        <v>Der Mann serviert die Nudeln mit einem Stück Tomaten und schmeckt den Salat.</v>
      </c>
    </row>
    <row r="13862">
      <c r="A13862" s="4" t="s">
        <v>17451</v>
      </c>
      <c r="B13862" s="4" t="s">
        <v>17452</v>
      </c>
      <c r="C13862" s="5" t="str">
        <f>IFERROR(__xludf.DUMMYFUNCTION("GOOGLETRANSLATE(B13862,""en"",""de"")"),"Eine sportliche Frau steht bereit, eine Stange in ihren Händen zu halten und nach unten und hinten zu schauen.")</f>
        <v>Eine sportliche Frau steht bereit, eine Stange in ihren Händen zu halten und nach unten und hinten zu schauen.</v>
      </c>
    </row>
    <row r="13863">
      <c r="A13863" s="4" t="s">
        <v>17451</v>
      </c>
      <c r="B13863" s="4" t="s">
        <v>17453</v>
      </c>
      <c r="C13863" s="5" t="str">
        <f>IFERROR(__xludf.DUMMYFUNCTION("GOOGLETRANSLATE(B13863,""en"",""de"")"),"Sie hält dann den Stock und die Stange sich auf eine Matte.")</f>
        <v>Sie hält dann den Stock und die Stange sich auf eine Matte.</v>
      </c>
    </row>
    <row r="13864">
      <c r="A13864" s="4" t="s">
        <v>17451</v>
      </c>
      <c r="B13864" s="4" t="s">
        <v>17454</v>
      </c>
      <c r="C13864" s="5" t="str">
        <f>IFERROR(__xludf.DUMMYFUNCTION("GOOGLETRANSLATE(B13864,""en"",""de"")"),"Sie winkt zur Menge und geht dann weg, wobei andere sich um sie fertig machen.")</f>
        <v>Sie winkt zur Menge und geht dann weg, wobei andere sich um sie fertig machen.</v>
      </c>
    </row>
    <row r="13865">
      <c r="A13865" s="4" t="s">
        <v>17455</v>
      </c>
      <c r="B13865" s="4" t="s">
        <v>17456</v>
      </c>
      <c r="C13865" s="5" t="str">
        <f>IFERROR(__xludf.DUMMYFUNCTION("GOOGLETRANSLATE(B13865,""en"",""de"")"),"Ein Mann sitzt mit Cross -Legged und schaut sich eine Show an.")</f>
        <v>Ein Mann sitzt mit Cross -Legged und schaut sich eine Show an.</v>
      </c>
    </row>
    <row r="13866">
      <c r="A13866" s="4" t="s">
        <v>17455</v>
      </c>
      <c r="B13866" s="4" t="s">
        <v>17457</v>
      </c>
      <c r="C13866" s="5" t="str">
        <f>IFERROR(__xludf.DUMMYFUNCTION("GOOGLETRANSLATE(B13866,""en"",""de"")"),"Ein Mann kniet vor der Menge und redet.")</f>
        <v>Ein Mann kniet vor der Menge und redet.</v>
      </c>
    </row>
    <row r="13867">
      <c r="A13867" s="4" t="s">
        <v>17455</v>
      </c>
      <c r="B13867" s="4" t="s">
        <v>17458</v>
      </c>
      <c r="C13867" s="5" t="str">
        <f>IFERROR(__xludf.DUMMYFUNCTION("GOOGLETRANSLATE(B13867,""en"",""de"")"),"Er redet weiter, als die Menge entrückt ist und jedem Wort zuhört.")</f>
        <v>Er redet weiter, als die Menge entrückt ist und jedem Wort zuhört.</v>
      </c>
    </row>
    <row r="13868">
      <c r="A13868" s="4" t="s">
        <v>17459</v>
      </c>
      <c r="B13868" s="4" t="s">
        <v>17460</v>
      </c>
      <c r="C13868" s="5" t="str">
        <f>IFERROR(__xludf.DUMMYFUNCTION("GOOGLETRANSLATE(B13868,""en"",""de"")"),"Ein Clip der Show Top Gear wird angezeigt, wobei ein Mann in einem Auto sitzt, der mit der Kamera spricht, und ein anderer, der in einem anderen Auto mit der Kamera spricht.")</f>
        <v>Ein Clip der Show Top Gear wird angezeigt, wobei ein Mann in einem Auto sitzt, der mit der Kamera spricht, und ein anderer, der in einem anderen Auto mit der Kamera spricht.</v>
      </c>
    </row>
    <row r="13869">
      <c r="A13869" s="4" t="s">
        <v>17459</v>
      </c>
      <c r="B13869" s="4" t="s">
        <v>17461</v>
      </c>
      <c r="C13869" s="5" t="str">
        <f>IFERROR(__xludf.DUMMYFUNCTION("GOOGLETRANSLATE(B13869,""en"",""de"")"),"Zwei Männer sprechen nebenbei auf Walkie Talkies und die Männer fahren die Autos ineinander.")</f>
        <v>Zwei Männer sprechen nebenbei auf Walkie Talkies und die Männer fahren die Autos ineinander.</v>
      </c>
    </row>
    <row r="13870">
      <c r="A13870" s="4" t="s">
        <v>17459</v>
      </c>
      <c r="B13870" s="4" t="s">
        <v>17462</v>
      </c>
      <c r="C13870" s="5" t="str">
        <f>IFERROR(__xludf.DUMMYFUNCTION("GOOGLETRANSLATE(B13870,""en"",""de"")"),"Man drückt das Auto zurück und die Männer steigen alle aus und sprechen miteinander.")</f>
        <v>Man drückt das Auto zurück und die Männer steigen alle aus und sprechen miteinander.</v>
      </c>
    </row>
    <row r="13871">
      <c r="A13871" s="4" t="s">
        <v>17459</v>
      </c>
      <c r="B13871" s="4" t="s">
        <v>17463</v>
      </c>
      <c r="C13871" s="5" t="str">
        <f>IFERROR(__xludf.DUMMYFUNCTION("GOOGLETRANSLATE(B13871,""en"",""de"")"),"Ein weiteres Auto wird mit den Männern getestet, die zur Kamera sprechen und das Auto zurückschieben, während andere ungläubig aussehen.")</f>
        <v>Ein weiteres Auto wird mit den Männern getestet, die zur Kamera sprechen und das Auto zurückschieben, während andere ungläubig aussehen.</v>
      </c>
    </row>
    <row r="13872">
      <c r="A13872" s="4" t="s">
        <v>17464</v>
      </c>
      <c r="B13872" s="4" t="s">
        <v>17465</v>
      </c>
      <c r="C13872" s="5" t="str">
        <f>IFERROR(__xludf.DUMMYFUNCTION("GOOGLETRANSLATE(B13872,""en"",""de"")"),"Ein BTRTV -Reporter besucht ein Seelenzyklus -Studio und ein Geschäft, interviewt einen Seelenzykluslehrer und nimmt eine Sample Soul Cycle -Klasse an.")</f>
        <v>Ein BTRTV -Reporter besucht ein Seelenzyklus -Studio und ein Geschäft, interviewt einen Seelenzykluslehrer und nimmt eine Sample Soul Cycle -Klasse an.</v>
      </c>
    </row>
    <row r="13873">
      <c r="A13873" s="4" t="s">
        <v>17464</v>
      </c>
      <c r="B13873" s="4" t="s">
        <v>17466</v>
      </c>
      <c r="C13873" s="5" t="str">
        <f>IFERROR(__xludf.DUMMYFUNCTION("GOOGLETRANSLATE(B13873,""en"",""de"")"),"Ein Reporter, der ein Mikrofon hält, steht außerhalb eines Seelenzyklusgeschäfts, der mit der Kamera spricht, und betritt dann den Laden und interviewt einen Seelenzykluslehrer.")</f>
        <v>Ein Reporter, der ein Mikrofon hält, steht außerhalb eines Seelenzyklusgeschäfts, der mit der Kamera spricht, und betritt dann den Laden und interviewt einen Seelenzykluslehrer.</v>
      </c>
    </row>
    <row r="13874">
      <c r="A13874" s="4" t="s">
        <v>17464</v>
      </c>
      <c r="B13874" s="4" t="s">
        <v>17467</v>
      </c>
      <c r="C13874" s="5" t="str">
        <f>IFERROR(__xludf.DUMMYFUNCTION("GOOGLETRANSLATE(B13874,""en"",""de"")"),"Der Reporter wechselt dann die Kleidung und nimmt eine Seelenzyklusklasse, die mit einem Video der LED -Seelenzyklusklassen der Ausbilder durchsetzt ist.")</f>
        <v>Der Reporter wechselt dann die Kleidung und nimmt eine Seelenzyklusklasse, die mit einem Video der LED -Seelenzyklusklassen der Ausbilder durchsetzt ist.</v>
      </c>
    </row>
    <row r="13875">
      <c r="A13875" s="4" t="s">
        <v>17464</v>
      </c>
      <c r="B13875" s="4" t="s">
        <v>17468</v>
      </c>
      <c r="C13875" s="5" t="str">
        <f>IFERROR(__xludf.DUMMYFUNCTION("GOOGLETRANSLATE(B13875,""en"",""de"")"),"Der Reporter kehrt zurück, um den Soul Cycle Instructor mit einer letzten Aufnahme von Kleidungsreihen im Seelenzyklus zu interviewen.")</f>
        <v>Der Reporter kehrt zurück, um den Soul Cycle Instructor mit einer letzten Aufnahme von Kleidungsreihen im Seelenzyklus zu interviewen.</v>
      </c>
    </row>
    <row r="13876">
      <c r="A13876" s="4" t="s">
        <v>17469</v>
      </c>
      <c r="B13876" s="4" t="s">
        <v>17470</v>
      </c>
      <c r="C13876" s="5" t="str">
        <f>IFERROR(__xludf.DUMMYFUNCTION("GOOGLETRANSLATE(B13876,""en"",""de"")"),"Es wird ein olympisches Zaunspiel gezeigt.")</f>
        <v>Es wird ein olympisches Zaunspiel gezeigt.</v>
      </c>
    </row>
    <row r="13877">
      <c r="A13877" s="4" t="s">
        <v>17469</v>
      </c>
      <c r="B13877" s="4" t="s">
        <v>17471</v>
      </c>
      <c r="C13877" s="5" t="str">
        <f>IFERROR(__xludf.DUMMYFUNCTION("GOOGLETRANSLATE(B13877,""en"",""de"")"),"Jede Seite bewertet Punkte und dann wird ein neues Match angezeigt.")</f>
        <v>Jede Seite bewertet Punkte und dann wird ein neues Match angezeigt.</v>
      </c>
    </row>
    <row r="13878">
      <c r="A13878" s="4" t="s">
        <v>17472</v>
      </c>
      <c r="B13878" s="4" t="s">
        <v>17473</v>
      </c>
      <c r="C13878" s="5" t="str">
        <f>IFERROR(__xludf.DUMMYFUNCTION("GOOGLETRANSLATE(B13878,""en"",""de"")"),"Wir sehen einen Titelbildschirm auf Schwarz.")</f>
        <v>Wir sehen einen Titelbildschirm auf Schwarz.</v>
      </c>
    </row>
    <row r="13879">
      <c r="A13879" s="4" t="s">
        <v>17472</v>
      </c>
      <c r="B13879" s="4" t="s">
        <v>17474</v>
      </c>
      <c r="C13879" s="5" t="str">
        <f>IFERROR(__xludf.DUMMYFUNCTION("GOOGLETRANSLATE(B13879,""en"",""de"")"),"Wir sehen dann eine Frau, die eine Straße in einer Stadt entlangschließt.")</f>
        <v>Wir sehen dann eine Frau, die eine Straße in einer Stadt entlangschließt.</v>
      </c>
    </row>
    <row r="13880">
      <c r="A13880" s="4" t="s">
        <v>17472</v>
      </c>
      <c r="B13880" s="4" t="s">
        <v>17475</v>
      </c>
      <c r="C13880" s="5" t="str">
        <f>IFERROR(__xludf.DUMMYFUNCTION("GOOGLETRANSLATE(B13880,""en"",""de"")"),"Autos beginnen die Dame zu bestehen.")</f>
        <v>Autos beginnen die Dame zu bestehen.</v>
      </c>
    </row>
    <row r="13881">
      <c r="A13881" s="4" t="s">
        <v>17472</v>
      </c>
      <c r="B13881" s="4" t="s">
        <v>17476</v>
      </c>
      <c r="C13881" s="5" t="str">
        <f>IFERROR(__xludf.DUMMYFUNCTION("GOOGLETRANSLATE(B13881,""en"",""de"")"),"Die Dame fährt geparkte Autos aus.")</f>
        <v>Die Dame fährt geparkte Autos aus.</v>
      </c>
    </row>
    <row r="13882">
      <c r="A13882" s="4" t="s">
        <v>17472</v>
      </c>
      <c r="B13882" s="4" t="s">
        <v>17477</v>
      </c>
      <c r="C13882" s="5" t="str">
        <f>IFERROR(__xludf.DUMMYFUNCTION("GOOGLETRANSLATE(B13882,""en"",""de"")"),"Die Dame spricht, als sie vor einer Baustür steht.")</f>
        <v>Die Dame spricht, als sie vor einer Baustür steht.</v>
      </c>
    </row>
    <row r="13883">
      <c r="A13883" s="4" t="s">
        <v>17472</v>
      </c>
      <c r="B13883" s="4" t="s">
        <v>17478</v>
      </c>
      <c r="C13883" s="5" t="str">
        <f>IFERROR(__xludf.DUMMYFUNCTION("GOOGLETRANSLATE(B13883,""en"",""de"")"),"Sie spricht in der Nähe einer Autobahn.")</f>
        <v>Sie spricht in der Nähe einer Autobahn.</v>
      </c>
    </row>
    <row r="13884">
      <c r="A13884" s="4" t="s">
        <v>17472</v>
      </c>
      <c r="B13884" s="4" t="s">
        <v>17479</v>
      </c>
      <c r="C13884" s="5" t="str">
        <f>IFERROR(__xludf.DUMMYFUNCTION("GOOGLETRANSLATE(B13884,""en"",""de"")"),"Wir sehen den Endbildschirm auf Schwarz.")</f>
        <v>Wir sehen den Endbildschirm auf Schwarz.</v>
      </c>
    </row>
    <row r="13885">
      <c r="A13885" s="4" t="s">
        <v>17480</v>
      </c>
      <c r="B13885" s="4" t="s">
        <v>17481</v>
      </c>
      <c r="C13885" s="5" t="str">
        <f>IFERROR(__xludf.DUMMYFUNCTION("GOOGLETRANSLATE(B13885,""en"",""de"")"),"Eine Gruppe von Bauchtänzer posiert auf der Bühne.")</f>
        <v>Eine Gruppe von Bauchtänzer posiert auf der Bühne.</v>
      </c>
    </row>
    <row r="13886">
      <c r="A13886" s="4" t="s">
        <v>17480</v>
      </c>
      <c r="B13886" s="4" t="s">
        <v>17482</v>
      </c>
      <c r="C13886" s="5" t="str">
        <f>IFERROR(__xludf.DUMMYFUNCTION("GOOGLETRANSLATE(B13886,""en"",""de"")"),"Sie beginnen zu tanzen und wirbeln ihre Schals um ihren Körper, während sie tanzen.")</f>
        <v>Sie beginnen zu tanzen und wirbeln ihre Schals um ihren Körper, während sie tanzen.</v>
      </c>
    </row>
    <row r="13887">
      <c r="A13887" s="4" t="s">
        <v>17480</v>
      </c>
      <c r="B13887" s="4" t="s">
        <v>17483</v>
      </c>
      <c r="C13887" s="5" t="str">
        <f>IFERROR(__xludf.DUMMYFUNCTION("GOOGLETRANSLATE(B13887,""en"",""de"")"),"Sie lassen die Schals fallen und konzentrieren sich ausschließlich auf den Tanz, bevor sie zu Boden fallen, und steigt und tanzte dann von der Bühne.")</f>
        <v>Sie lassen die Schals fallen und konzentrieren sich ausschließlich auf den Tanz, bevor sie zu Boden fallen, und steigt und tanzte dann von der Bühne.</v>
      </c>
    </row>
    <row r="13888">
      <c r="A13888" s="4" t="s">
        <v>17484</v>
      </c>
      <c r="B13888" s="4" t="s">
        <v>17485</v>
      </c>
      <c r="C13888" s="5" t="str">
        <f>IFERROR(__xludf.DUMMYFUNCTION("GOOGLETRANSLATE(B13888,""en"",""de"")"),"Ein Mann harkt Blätter in seinem Garten.")</f>
        <v>Ein Mann harkt Blätter in seinem Garten.</v>
      </c>
    </row>
    <row r="13889">
      <c r="A13889" s="4" t="s">
        <v>17484</v>
      </c>
      <c r="B13889" s="4" t="s">
        <v>17486</v>
      </c>
      <c r="C13889" s="5" t="str">
        <f>IFERROR(__xludf.DUMMYFUNCTION("GOOGLETRANSLATE(B13889,""en"",""de"")"),"Er hat mehrere Blätter eingepackt, als er sie aus einem Vogelbad remmte.")</f>
        <v>Er hat mehrere Blätter eingepackt, als er sie aus einem Vogelbad remmte.</v>
      </c>
    </row>
    <row r="13890">
      <c r="A13890" s="4" t="s">
        <v>17484</v>
      </c>
      <c r="B13890" s="4" t="s">
        <v>17487</v>
      </c>
      <c r="C13890" s="5" t="str">
        <f>IFERROR(__xludf.DUMMYFUNCTION("GOOGLETRANSLATE(B13890,""en"",""de"")"),"Er remt weiter und öffnet dann eine Tasche, um Steine ​​um das Vogelbad zu gießen.")</f>
        <v>Er remt weiter und öffnet dann eine Tasche, um Steine ​​um das Vogelbad zu gießen.</v>
      </c>
    </row>
    <row r="13891">
      <c r="A13891" s="4" t="s">
        <v>17488</v>
      </c>
      <c r="B13891" s="4" t="s">
        <v>17489</v>
      </c>
      <c r="C13891" s="5" t="str">
        <f>IFERROR(__xludf.DUMMYFUNCTION("GOOGLETRANSLATE(B13891,""en"",""de"")"),"Die Leute treten auf einem Feld mit dem Fahrradkreuz an.")</f>
        <v>Die Leute treten auf einem Feld mit dem Fahrradkreuz an.</v>
      </c>
    </row>
    <row r="13892">
      <c r="A13892" s="4" t="s">
        <v>17488</v>
      </c>
      <c r="B13892" s="4" t="s">
        <v>17490</v>
      </c>
      <c r="C13892" s="5" t="str">
        <f>IFERROR(__xludf.DUMMYFUNCTION("GOOGLETRANSLATE(B13892,""en"",""de"")"),"People Fahrrad auf einer holprigen Strecke, auf der sich eine Menge versammelt, um den Bike Cross -Wettbewerb zu beobachten.")</f>
        <v>People Fahrrad auf einer holprigen Strecke, auf der sich eine Menge versammelt, um den Bike Cross -Wettbewerb zu beobachten.</v>
      </c>
    </row>
    <row r="13893">
      <c r="A13893" s="4" t="s">
        <v>17488</v>
      </c>
      <c r="B13893" s="4" t="s">
        <v>17491</v>
      </c>
      <c r="C13893" s="5" t="str">
        <f>IFERROR(__xludf.DUMMYFUNCTION("GOOGLETRANSLATE(B13893,""en"",""de"")"),"Ein Biker fällt auf den Boden.")</f>
        <v>Ein Biker fällt auf den Boden.</v>
      </c>
    </row>
    <row r="13894">
      <c r="A13894" s="4" t="s">
        <v>17488</v>
      </c>
      <c r="B13894" s="4" t="s">
        <v>17492</v>
      </c>
      <c r="C13894" s="5" t="str">
        <f>IFERROR(__xludf.DUMMYFUNCTION("GOOGLETRANSLATE(B13894,""en"",""de"")"),"Die Biker kommen bis zur Ziellinie an.")</f>
        <v>Die Biker kommen bis zur Ziellinie an.</v>
      </c>
    </row>
    <row r="13895">
      <c r="A13895" s="4" t="s">
        <v>17493</v>
      </c>
      <c r="B13895" s="4" t="s">
        <v>17494</v>
      </c>
      <c r="C13895" s="5" t="str">
        <f>IFERROR(__xludf.DUMMYFUNCTION("GOOGLETRANSLATE(B13895,""en"",""de"")"),"Ein Mann steht in einem Fitnessstudio, der einen Schläger hält, während die Kamera zwei Männer zeigt.")</f>
        <v>Ein Mann steht in einem Fitnessstudio, der einen Schläger hält, während die Kamera zwei Männer zeigt.</v>
      </c>
    </row>
    <row r="13896">
      <c r="A13896" s="4" t="s">
        <v>17493</v>
      </c>
      <c r="B13896" s="4" t="s">
        <v>17495</v>
      </c>
      <c r="C13896" s="5" t="str">
        <f>IFERROR(__xludf.DUMMYFUNCTION("GOOGLETRANSLATE(B13896,""en"",""de"")"),"Die Männer bewegen sich im Fitnessstudio umeinander und schlagen einen Ball von der Wand.")</f>
        <v>Die Männer bewegen sich im Fitnessstudio umeinander und schlagen einen Ball von der Wand.</v>
      </c>
    </row>
    <row r="13897">
      <c r="A13897" s="4" t="s">
        <v>17493</v>
      </c>
      <c r="B13897" s="4" t="s">
        <v>17496</v>
      </c>
      <c r="C13897" s="5" t="str">
        <f>IFERROR(__xludf.DUMMYFUNCTION("GOOGLETRANSLATE(B13897,""en"",""de"")"),"Die beiden schlagen weiterhin den Ball herum und gehen herum, um ihn zu treffen.")</f>
        <v>Die beiden schlagen weiterhin den Ball herum und gehen herum, um ihn zu treffen.</v>
      </c>
    </row>
    <row r="13898">
      <c r="A13898" s="4" t="s">
        <v>17497</v>
      </c>
      <c r="B13898" s="4" t="s">
        <v>17498</v>
      </c>
      <c r="C13898" s="5" t="str">
        <f>IFERROR(__xludf.DUMMYFUNCTION("GOOGLETRANSLATE(B13898,""en"",""de"")"),"Männer und Frauen spielen im Team Foosball in einem Tisch in einem Korbgericht.")</f>
        <v>Männer und Frauen spielen im Team Foosball in einem Tisch in einem Korbgericht.</v>
      </c>
    </row>
    <row r="13899">
      <c r="A13899" s="4" t="s">
        <v>17497</v>
      </c>
      <c r="B13899" s="4" t="s">
        <v>17499</v>
      </c>
      <c r="C13899" s="5" t="str">
        <f>IFERROR(__xludf.DUMMYFUNCTION("GOOGLETRANSLATE(B13899,""en"",""de"")"),"Schiedsrichter steht vor dem Tisch und beobachtet das Spiel.")</f>
        <v>Schiedsrichter steht vor dem Tisch und beobachtet das Spiel.</v>
      </c>
    </row>
    <row r="13900">
      <c r="A13900" s="4" t="s">
        <v>17497</v>
      </c>
      <c r="B13900" s="4" t="s">
        <v>17500</v>
      </c>
      <c r="C13900" s="5" t="str">
        <f>IFERROR(__xludf.DUMMYFUNCTION("GOOGLETRANSLATE(B13900,""en"",""de"")"),"Die Leute sitzen auf Terrassen hinter dem Platz und beobachten das Spiel.")</f>
        <v>Die Leute sitzen auf Terrassen hinter dem Platz und beobachten das Spiel.</v>
      </c>
    </row>
    <row r="13901">
      <c r="A13901" s="4" t="s">
        <v>17501</v>
      </c>
      <c r="B13901" s="4" t="s">
        <v>17502</v>
      </c>
      <c r="C13901" s="5" t="str">
        <f>IFERROR(__xludf.DUMMYFUNCTION("GOOGLETRANSLATE(B13901,""en"",""de"")"),"Ein Mädchen sitzt im Fahrersitz eines Autos und genießt eine Eiskegel.")</f>
        <v>Ein Mädchen sitzt im Fahrersitz eines Autos und genießt eine Eiskegel.</v>
      </c>
    </row>
    <row r="13902">
      <c r="A13902" s="4" t="s">
        <v>17501</v>
      </c>
      <c r="B13902" s="4" t="s">
        <v>17503</v>
      </c>
      <c r="C13902" s="5" t="str">
        <f>IFERROR(__xludf.DUMMYFUNCTION("GOOGLETRANSLATE(B13902,""en"",""de"")"),"Das Mädchen lacht, während er versucht, das Eis zu essen.")</f>
        <v>Das Mädchen lacht, während er versucht, das Eis zu essen.</v>
      </c>
    </row>
    <row r="13903">
      <c r="A13903" s="4" t="s">
        <v>17501</v>
      </c>
      <c r="B13903" s="4" t="s">
        <v>17504</v>
      </c>
      <c r="C13903" s="5" t="str">
        <f>IFERROR(__xludf.DUMMYFUNCTION("GOOGLETRANSLATE(B13903,""en"",""de"")"),"Das Mädchen leckt die Eiskegel mit der Spitze ihrer Zunge.")</f>
        <v>Das Mädchen leckt die Eiskegel mit der Spitze ihrer Zunge.</v>
      </c>
    </row>
    <row r="13904">
      <c r="A13904" s="4" t="s">
        <v>17505</v>
      </c>
      <c r="B13904" s="4" t="s">
        <v>17506</v>
      </c>
      <c r="C13904" s="5" t="str">
        <f>IFERROR(__xludf.DUMMYFUNCTION("GOOGLETRANSLATE(B13904,""en"",""de"")"),"Ein Mann steht in einem schwarzen Raum und spielt eine Flöte, während die Kamera ihn einfängt.")</f>
        <v>Ein Mann steht in einem schwarzen Raum und spielt eine Flöte, während die Kamera ihn einfängt.</v>
      </c>
    </row>
    <row r="13905">
      <c r="A13905" s="4" t="s">
        <v>17505</v>
      </c>
      <c r="B13905" s="4" t="s">
        <v>17507</v>
      </c>
      <c r="C13905" s="5" t="str">
        <f>IFERROR(__xludf.DUMMYFUNCTION("GOOGLETRANSLATE(B13905,""en"",""de"")"),"Der Mann legt das Instrument weiter, während er seine Hände auf und ab bewegt und seinen Kopf zum Takt bewegt.")</f>
        <v>Der Mann legt das Instrument weiter, während er seine Hände auf und ab bewegt und seinen Kopf zum Takt bewegt.</v>
      </c>
    </row>
    <row r="13906">
      <c r="A13906" s="4" t="s">
        <v>17508</v>
      </c>
      <c r="B13906" s="4" t="s">
        <v>17509</v>
      </c>
      <c r="C13906" s="5" t="str">
        <f>IFERROR(__xludf.DUMMYFUNCTION("GOOGLETRANSLATE(B13906,""en"",""de"")"),"Zwei junge Mädchen stehen vor einem Kamin mit Geigen.")</f>
        <v>Zwei junge Mädchen stehen vor einem Kamin mit Geigen.</v>
      </c>
    </row>
    <row r="13907">
      <c r="A13907" s="4" t="s">
        <v>17508</v>
      </c>
      <c r="B13907" s="4" t="s">
        <v>17510</v>
      </c>
      <c r="C13907" s="5" t="str">
        <f>IFERROR(__xludf.DUMMYFUNCTION("GOOGLETRANSLATE(B13907,""en"",""de"")"),"Die Mädchen spielen ein Musikstück auf den Geigen und verbeugen sich am Ende.")</f>
        <v>Die Mädchen spielen ein Musikstück auf den Geigen und verbeugen sich am Ende.</v>
      </c>
    </row>
    <row r="13908">
      <c r="A13908" s="4" t="s">
        <v>17508</v>
      </c>
      <c r="B13908" s="4" t="s">
        <v>17511</v>
      </c>
      <c r="C13908" s="5" t="str">
        <f>IFERROR(__xludf.DUMMYFUNCTION("GOOGLETRANSLATE(B13908,""en"",""de"")"),"Zwei jüngere Kinder erscheinen im Freien mit einer Website -Adresse überlagert.")</f>
        <v>Zwei jüngere Kinder erscheinen im Freien mit einer Website -Adresse überlagert.</v>
      </c>
    </row>
    <row r="13909">
      <c r="A13909" s="4" t="s">
        <v>17512</v>
      </c>
      <c r="B13909" s="4" t="s">
        <v>17513</v>
      </c>
      <c r="C13909" s="5" t="str">
        <f>IFERROR(__xludf.DUMMYFUNCTION("GOOGLETRANSLATE(B13909,""en"",""de"")"),"Die Lieferungen zum Wickeln eines Geschenks liegen auf einem Holztisch.")</f>
        <v>Die Lieferungen zum Wickeln eines Geschenks liegen auf einem Holztisch.</v>
      </c>
    </row>
    <row r="13910">
      <c r="A13910" s="4" t="s">
        <v>17512</v>
      </c>
      <c r="B13910" s="4" t="s">
        <v>17514</v>
      </c>
      <c r="C13910" s="5" t="str">
        <f>IFERROR(__xludf.DUMMYFUNCTION("GOOGLETRANSLATE(B13910,""en"",""de"")"),"Ein Geschenkgeschenk ist mit einem klaren Plastik verpackt und festgeklebt.")</f>
        <v>Ein Geschenkgeschenk ist mit einem klaren Plastik verpackt und festgeklebt.</v>
      </c>
    </row>
    <row r="13911">
      <c r="A13911" s="4" t="s">
        <v>17512</v>
      </c>
      <c r="B13911" s="4" t="s">
        <v>17515</v>
      </c>
      <c r="C13911" s="5" t="str">
        <f>IFERROR(__xludf.DUMMYFUNCTION("GOOGLETRANSLATE(B13911,""en"",""de"")"),"An jedem Ende sind rote Bänder gebunden.")</f>
        <v>An jedem Ende sind rote Bänder gebunden.</v>
      </c>
    </row>
    <row r="13912">
      <c r="A13912" s="4" t="s">
        <v>17512</v>
      </c>
      <c r="B13912" s="4" t="s">
        <v>17516</v>
      </c>
      <c r="C13912" s="5" t="str">
        <f>IFERROR(__xludf.DUMMYFUNCTION("GOOGLETRANSLATE(B13912,""en"",""de"")"),"Eine Schere wird verwendet, um an jedem Ende den überschüssigen klaren Plastik abzuschneiden.")</f>
        <v>Eine Schere wird verwendet, um an jedem Ende den überschüssigen klaren Plastik abzuschneiden.</v>
      </c>
    </row>
    <row r="13913">
      <c r="A13913" s="4" t="s">
        <v>17512</v>
      </c>
      <c r="B13913" s="4" t="s">
        <v>17517</v>
      </c>
      <c r="C13913" s="5" t="str">
        <f>IFERROR(__xludf.DUMMYFUNCTION("GOOGLETRANSLATE(B13913,""en"",""de"")"),"Das endgültige umwickelte Produkt liegt auf dem Tisch.")</f>
        <v>Das endgültige umwickelte Produkt liegt auf dem Tisch.</v>
      </c>
    </row>
    <row r="13914">
      <c r="A13914" s="4" t="s">
        <v>17518</v>
      </c>
      <c r="B13914" s="4" t="s">
        <v>17519</v>
      </c>
      <c r="C13914" s="5" t="str">
        <f>IFERROR(__xludf.DUMMYFUNCTION("GOOGLETRANSLATE(B13914,""en"",""de"")"),"Eine Frau mit langem Haar sieht tief in die Kamera und streichelt ihr Gesicht.")</f>
        <v>Eine Frau mit langem Haar sieht tief in die Kamera und streichelt ihr Gesicht.</v>
      </c>
    </row>
    <row r="13915">
      <c r="A13915" s="4" t="s">
        <v>17518</v>
      </c>
      <c r="B13915" s="4" t="s">
        <v>17520</v>
      </c>
      <c r="C13915" s="5" t="str">
        <f>IFERROR(__xludf.DUMMYFUNCTION("GOOGLETRANSLATE(B13915,""en"",""de"")"),"Dann streift sie ihre Haare und endet das Video, indem sie lächelt.")</f>
        <v>Dann streift sie ihre Haare und endet das Video, indem sie lächelt.</v>
      </c>
    </row>
    <row r="13916">
      <c r="A13916" s="4" t="s">
        <v>17521</v>
      </c>
      <c r="B13916" s="4" t="s">
        <v>17522</v>
      </c>
      <c r="C13916" s="5" t="str">
        <f>IFERROR(__xludf.DUMMYFUNCTION("GOOGLETRANSLATE(B13916,""en"",""de"")"),"Ein Mädchen spielt in einem Indoor -Plastikkugel -Pool mit einer Rutsche.")</f>
        <v>Ein Mädchen spielt in einem Indoor -Plastikkugel -Pool mit einer Rutsche.</v>
      </c>
    </row>
    <row r="13917">
      <c r="A13917" s="4" t="s">
        <v>17521</v>
      </c>
      <c r="B13917" s="4" t="s">
        <v>17523</v>
      </c>
      <c r="C13917" s="5" t="str">
        <f>IFERROR(__xludf.DUMMYFUNCTION("GOOGLETRANSLATE(B13917,""en"",""de"")"),"Das Mädchen klettert die Treppe hinauf und rutscht dann den Rutschen hinunter.")</f>
        <v>Das Mädchen klettert die Treppe hinauf und rutscht dann den Rutschen hinunter.</v>
      </c>
    </row>
    <row r="13918">
      <c r="A13918" s="4" t="s">
        <v>17521</v>
      </c>
      <c r="B13918" s="4" t="s">
        <v>17524</v>
      </c>
      <c r="C13918" s="5" t="str">
        <f>IFERROR(__xludf.DUMMYFUNCTION("GOOGLETRANSLATE(B13918,""en"",""de"")"),"Das Mädchen klettert eine Treppe hinauf und kriecht dann durch einen Tunnel.")</f>
        <v>Das Mädchen klettert eine Treppe hinauf und kriecht dann durch einen Tunnel.</v>
      </c>
    </row>
    <row r="13919">
      <c r="A13919" s="4" t="s">
        <v>17521</v>
      </c>
      <c r="B13919" s="4" t="s">
        <v>17525</v>
      </c>
      <c r="C13919" s="5" t="str">
        <f>IFERROR(__xludf.DUMMYFUNCTION("GOOGLETRANSLATE(B13919,""en"",""de"")"),"Das Mädchen rutscht in einen Ballpool hinunter und klettert dann den Rutschen hinauf.")</f>
        <v>Das Mädchen rutscht in einen Ballpool hinunter und klettert dann den Rutschen hinauf.</v>
      </c>
    </row>
    <row r="13920">
      <c r="A13920" s="4" t="s">
        <v>17521</v>
      </c>
      <c r="B13920" s="4" t="s">
        <v>17526</v>
      </c>
      <c r="C13920" s="5" t="str">
        <f>IFERROR(__xludf.DUMMYFUNCTION("GOOGLETRANSLATE(B13920,""en"",""de"")"),"Das Mädchen spielt mit dem Tack-Tack-Toe-Brett, bevor er wieder nach unten rutscht.")</f>
        <v>Das Mädchen spielt mit dem Tack-Tack-Toe-Brett, bevor er wieder nach unten rutscht.</v>
      </c>
    </row>
    <row r="13921">
      <c r="A13921" s="4" t="s">
        <v>17521</v>
      </c>
      <c r="B13921" s="4" t="s">
        <v>17527</v>
      </c>
      <c r="C13921" s="5" t="str">
        <f>IFERROR(__xludf.DUMMYFUNCTION("GOOGLETRANSLATE(B13921,""en"",""de"")"),"Das Kind schwingt auf einem Schaukel.")</f>
        <v>Das Kind schwingt auf einem Schaukel.</v>
      </c>
    </row>
    <row r="13922">
      <c r="A13922" s="4" t="s">
        <v>17521</v>
      </c>
      <c r="B13922" s="4" t="s">
        <v>17528</v>
      </c>
      <c r="C13922" s="5" t="str">
        <f>IFERROR(__xludf.DUMMYFUNCTION("GOOGLETRANSLATE(B13922,""en"",""de"")"),"Das Kind betritt einen Trampolinraum und springt dann auf und ab.")</f>
        <v>Das Kind betritt einen Trampolinraum und springt dann auf und ab.</v>
      </c>
    </row>
    <row r="13923">
      <c r="A13923" s="4" t="s">
        <v>17521</v>
      </c>
      <c r="B13923" s="4" t="s">
        <v>17529</v>
      </c>
      <c r="C13923" s="5" t="str">
        <f>IFERROR(__xludf.DUMMYFUNCTION("GOOGLETRANSLATE(B13923,""en"",""de"")"),"Das Kind geht über eine Hängebrücke und dann über eine Brücke mit Netzen.")</f>
        <v>Das Kind geht über eine Hängebrücke und dann über eine Brücke mit Netzen.</v>
      </c>
    </row>
    <row r="13924">
      <c r="A13924" s="4" t="s">
        <v>17521</v>
      </c>
      <c r="B13924" s="4" t="s">
        <v>17530</v>
      </c>
      <c r="C13924" s="5" t="str">
        <f>IFERROR(__xludf.DUMMYFUNCTION("GOOGLETRANSLATE(B13924,""en"",""de"")"),"Das Mädchen rutscht in den Ballpool, klettert dann auf die Wand und springt wieder hinein.")</f>
        <v>Das Mädchen rutscht in den Ballpool, klettert dann auf die Wand und springt wieder hinein.</v>
      </c>
    </row>
    <row r="13925">
      <c r="A13925" s="4" t="s">
        <v>17521</v>
      </c>
      <c r="B13925" s="4" t="s">
        <v>17531</v>
      </c>
      <c r="C13925" s="5" t="str">
        <f>IFERROR(__xludf.DUMMYFUNCTION("GOOGLETRANSLATE(B13925,""en"",""de"")"),"Das Mädchen klettert das Schleifengeländer hinauf.")</f>
        <v>Das Mädchen klettert das Schleifengeländer hinauf.</v>
      </c>
    </row>
    <row r="13926">
      <c r="A13926" s="4" t="s">
        <v>17521</v>
      </c>
      <c r="B13926" s="4" t="s">
        <v>17532</v>
      </c>
      <c r="C13926" s="5" t="str">
        <f>IFERROR(__xludf.DUMMYFUNCTION("GOOGLETRANSLATE(B13926,""en"",""de"")"),"Das Mädchen gleitet einen steilen orangefarbenen Rutschen hinunter.")</f>
        <v>Das Mädchen gleitet einen steilen orangefarbenen Rutschen hinunter.</v>
      </c>
    </row>
    <row r="13927">
      <c r="A13927" s="4" t="s">
        <v>17521</v>
      </c>
      <c r="B13927" s="4" t="s">
        <v>17533</v>
      </c>
      <c r="C13927" s="5" t="str">
        <f>IFERROR(__xludf.DUMMYFUNCTION("GOOGLETRANSLATE(B13927,""en"",""de"")"),"Bälle werden auf das Mädchen geworfen und sie wirft sie zurück und lacht zurück.")</f>
        <v>Bälle werden auf das Mädchen geworfen und sie wirft sie zurück und lacht zurück.</v>
      </c>
    </row>
    <row r="13928">
      <c r="A13928" s="4" t="s">
        <v>17534</v>
      </c>
      <c r="B13928" s="4" t="s">
        <v>17535</v>
      </c>
      <c r="C13928" s="5" t="str">
        <f>IFERROR(__xludf.DUMMYFUNCTION("GOOGLETRANSLATE(B13928,""en"",""de"")"),"Ein Mann spielt mit einem anderen Mann neben ihm Schlagzeug mit mehreren Lichtern um sein Gesicht.")</f>
        <v>Ein Mann spielt mit einem anderen Mann neben ihm Schlagzeug mit mehreren Lichtern um sein Gesicht.</v>
      </c>
    </row>
    <row r="13929">
      <c r="A13929" s="4" t="s">
        <v>17534</v>
      </c>
      <c r="B13929" s="4" t="s">
        <v>17536</v>
      </c>
      <c r="C13929" s="5" t="str">
        <f>IFERROR(__xludf.DUMMYFUNCTION("GOOGLETRANSLATE(B13929,""en"",""de"")"),"Ein anderer Mann hält eine Gitarre und es werden mehrere Aufnahmen einer Bühne gezeigt.")</f>
        <v>Ein anderer Mann hält eine Gitarre und es werden mehrere Aufnahmen einer Bühne gezeigt.</v>
      </c>
    </row>
    <row r="13930">
      <c r="A13930" s="4" t="s">
        <v>17534</v>
      </c>
      <c r="B13930" s="4" t="s">
        <v>17537</v>
      </c>
      <c r="C13930" s="5" t="str">
        <f>IFERROR(__xludf.DUMMYFUNCTION("GOOGLETRANSLATE(B13930,""en"",""de"")"),"Der Musiker schnappt sich ein Mikrofon und der Gitarrist springt mit einer Zigarette im Mund auf die Bühne.")</f>
        <v>Der Musiker schnappt sich ein Mikrofon und der Gitarrist springt mit einer Zigarette im Mund auf die Bühne.</v>
      </c>
    </row>
    <row r="13931">
      <c r="A13931" s="4" t="s">
        <v>17538</v>
      </c>
      <c r="B13931" s="4" t="s">
        <v>17539</v>
      </c>
      <c r="C13931" s="5" t="str">
        <f>IFERROR(__xludf.DUMMYFUNCTION("GOOGLETRANSLATE(B13931,""en"",""de"")"),"Ein Mann, der eine Geige hält, spricht mit einem Jungen, der ebenfalls eine Geige hält, mit der Kamera.")</f>
        <v>Ein Mann, der eine Geige hält, spricht mit einem Jungen, der ebenfalls eine Geige hält, mit der Kamera.</v>
      </c>
    </row>
    <row r="13932">
      <c r="A13932" s="4" t="s">
        <v>17538</v>
      </c>
      <c r="B13932" s="4" t="s">
        <v>17540</v>
      </c>
      <c r="C13932" s="5" t="str">
        <f>IFERROR(__xludf.DUMMYFUNCTION("GOOGLETRANSLATE(B13932,""en"",""de"")"),"Die Jungs unterhalten sich eine Weile zurück und viertens und der Mann zeigt dem Jungen, wie man die Geige richtig spielt.")</f>
        <v>Die Jungs unterhalten sich eine Weile zurück und viertens und der Mann zeigt dem Jungen, wie man die Geige richtig spielt.</v>
      </c>
    </row>
    <row r="13933">
      <c r="A13933" s="4" t="s">
        <v>17538</v>
      </c>
      <c r="B13933" s="4" t="s">
        <v>17541</v>
      </c>
      <c r="C13933" s="5" t="str">
        <f>IFERROR(__xludf.DUMMYFUNCTION("GOOGLETRANSLATE(B13933,""en"",""de"")"),"Der Junge macht dann genau das, was der Ausbilder ihm beigebracht hat, während der Ausbilder sein Spiel korrigiert.")</f>
        <v>Der Junge macht dann genau das, was der Ausbilder ihm beigebracht hat, während der Ausbilder sein Spiel korrigiert.</v>
      </c>
    </row>
    <row r="13934">
      <c r="A13934" s="4" t="s">
        <v>17542</v>
      </c>
      <c r="B13934" s="4" t="s">
        <v>17543</v>
      </c>
      <c r="C13934" s="5" t="str">
        <f>IFERROR(__xludf.DUMMYFUNCTION("GOOGLETRANSLATE(B13934,""en"",""de"")"),"Die Hände der Person werden gesehen, wie er auf einen Kuchen legt und beginnt, Objekte nebeneinander zu malen.")</f>
        <v>Die Hände der Person werden gesehen, wie er auf einen Kuchen legt und beginnt, Objekte nebeneinander zu malen.</v>
      </c>
    </row>
    <row r="13935">
      <c r="A13935" s="4" t="s">
        <v>17542</v>
      </c>
      <c r="B13935" s="4" t="s">
        <v>17544</v>
      </c>
      <c r="C13935" s="5" t="str">
        <f>IFERROR(__xludf.DUMMYFUNCTION("GOOGLETRANSLATE(B13935,""en"",""de"")"),"Die Frau legt die Dekorationen um den Kuchen und dekoriert weiterhin mehr Gegenstände auf der Seite.")</f>
        <v>Die Frau legt die Dekorationen um den Kuchen und dekoriert weiterhin mehr Gegenstände auf der Seite.</v>
      </c>
    </row>
    <row r="13936">
      <c r="A13936" s="4" t="s">
        <v>17542</v>
      </c>
      <c r="B13936" s="4" t="s">
        <v>17545</v>
      </c>
      <c r="C13936" s="5" t="str">
        <f>IFERROR(__xludf.DUMMYFUNCTION("GOOGLETRANSLATE(B13936,""en"",""de"")"),"Sie beendet den Kuchen, indem sie die endgültigen Dekorationen hinzufügt und der Kamera präsentiert.")</f>
        <v>Sie beendet den Kuchen, indem sie die endgültigen Dekorationen hinzufügt und der Kamera präsentiert.</v>
      </c>
    </row>
    <row r="13937">
      <c r="A13937" s="4" t="s">
        <v>17546</v>
      </c>
      <c r="B13937" s="4" t="s">
        <v>17547</v>
      </c>
      <c r="C13937" s="5" t="str">
        <f>IFERROR(__xludf.DUMMYFUNCTION("GOOGLETRANSLATE(B13937,""en"",""de"")"),"Die Leute sind auf Tribünen und sehen zwei Teams in einem Poolpool -Poolfußball an.")</f>
        <v>Die Leute sind auf Tribünen und sehen zwei Teams in einem Poolpool -Poolfußball an.</v>
      </c>
    </row>
    <row r="13938">
      <c r="A13938" s="4" t="s">
        <v>17546</v>
      </c>
      <c r="B13938" s="4" t="s">
        <v>17548</v>
      </c>
      <c r="C13938" s="5" t="str">
        <f>IFERROR(__xludf.DUMMYFUNCTION("GOOGLETRANSLATE(B13938,""en"",""de"")"),"Die Spieler schreien und dann wird der Ball dem Tor getroffen und abgelenkt, als die Menge sie anfeuert.")</f>
        <v>Die Spieler schreien und dann wird der Ball dem Tor getroffen und abgelenkt, als die Menge sie anfeuert.</v>
      </c>
    </row>
    <row r="13939">
      <c r="A13939" s="4" t="s">
        <v>17546</v>
      </c>
      <c r="B13939" s="4" t="s">
        <v>17549</v>
      </c>
      <c r="C13939" s="5" t="str">
        <f>IFERROR(__xludf.DUMMYFUNCTION("GOOGLETRANSLATE(B13939,""en"",""de"")"),"Der Ball wird dann zurück in den Pool geworfen.")</f>
        <v>Der Ball wird dann zurück in den Pool geworfen.</v>
      </c>
    </row>
    <row r="13940">
      <c r="A13940" s="4" t="s">
        <v>17550</v>
      </c>
      <c r="B13940" s="4" t="s">
        <v>17551</v>
      </c>
      <c r="C13940" s="5" t="str">
        <f>IFERROR(__xludf.DUMMYFUNCTION("GOOGLETRANSLATE(B13940,""en"",""de"")"),"Ein Mann kniet in einem Fitnessstudio.")</f>
        <v>Ein Mann kniet in einem Fitnessstudio.</v>
      </c>
    </row>
    <row r="13941">
      <c r="A13941" s="4" t="s">
        <v>17550</v>
      </c>
      <c r="B13941" s="4" t="s">
        <v>17552</v>
      </c>
      <c r="C13941" s="5" t="str">
        <f>IFERROR(__xludf.DUMMYFUNCTION("GOOGLETRANSLATE(B13941,""en"",""de"")"),"Er hat eine Langhantel, die auf seinen Schultern ruht, als er aufsteigt.")</f>
        <v>Er hat eine Langhantel, die auf seinen Schultern ruht, als er aufsteigt.</v>
      </c>
    </row>
    <row r="13942">
      <c r="A13942" s="4" t="s">
        <v>17550</v>
      </c>
      <c r="B13942" s="4" t="s">
        <v>17553</v>
      </c>
      <c r="C13942" s="5" t="str">
        <f>IFERROR(__xludf.DUMMYFUNCTION("GOOGLETRANSLATE(B13942,""en"",""de"")"),"Er steht voll und lässt dann die Gewichte fallen.")</f>
        <v>Er steht voll und lässt dann die Gewichte fallen.</v>
      </c>
    </row>
    <row r="13943">
      <c r="A13943" s="4" t="s">
        <v>17554</v>
      </c>
      <c r="B13943" s="4" t="s">
        <v>17555</v>
      </c>
      <c r="C13943" s="5" t="str">
        <f>IFERROR(__xludf.DUMMYFUNCTION("GOOGLETRANSLATE(B13943,""en"",""de"")"),"Ein Mann, der ein weißes Hemd trägt, steht in einer Küche mit einem Mopp.")</f>
        <v>Ein Mann, der ein weißes Hemd trägt, steht in einer Küche mit einem Mopp.</v>
      </c>
    </row>
    <row r="13944">
      <c r="A13944" s="4" t="s">
        <v>17554</v>
      </c>
      <c r="B13944" s="4" t="s">
        <v>17556</v>
      </c>
      <c r="C13944" s="5" t="str">
        <f>IFERROR(__xludf.DUMMYFUNCTION("GOOGLETRANSLATE(B13944,""en"",""de"")"),"Der Mann beginnt, den Boden zu wischen, während er vor Waschmaschinen steht.")</f>
        <v>Der Mann beginnt, den Boden zu wischen, während er vor Waschmaschinen steht.</v>
      </c>
    </row>
    <row r="13945">
      <c r="A13945" s="4" t="s">
        <v>17554</v>
      </c>
      <c r="B13945" s="4" t="s">
        <v>17557</v>
      </c>
      <c r="C13945" s="5" t="str">
        <f>IFERROR(__xludf.DUMMYFUNCTION("GOOGLETRANSLATE(B13945,""en"",""de"")"),"Der Mann, den Mann mühe, dauert ein paar Schritte und rutscht aus, als sein linkes Bein auf den Boden gleitet und er auf den Boden fällt.")</f>
        <v>Der Mann, den Mann mühe, dauert ein paar Schritte und rutscht aus, als sein linkes Bein auf den Boden gleitet und er auf den Boden fällt.</v>
      </c>
    </row>
    <row r="13946">
      <c r="A13946" s="4" t="s">
        <v>17558</v>
      </c>
      <c r="B13946" s="4" t="s">
        <v>17559</v>
      </c>
      <c r="C13946" s="5" t="str">
        <f>IFERROR(__xludf.DUMMYFUNCTION("GOOGLETRANSLATE(B13946,""en"",""de"")"),"Zwei Züge fahren entlang einer erhöhten Schiene in einer Stadt.")</f>
        <v>Zwei Züge fahren entlang einer erhöhten Schiene in einer Stadt.</v>
      </c>
    </row>
    <row r="13947">
      <c r="A13947" s="4" t="s">
        <v>17558</v>
      </c>
      <c r="B13947" s="4" t="s">
        <v>17560</v>
      </c>
      <c r="C13947" s="5" t="str">
        <f>IFERROR(__xludf.DUMMYFUNCTION("GOOGLETRANSLATE(B13947,""en"",""de"")"),"Die Kamera schwenkt, einem Mann zu zeigen, der eine Mundharmonika spielt, während er auf einem Baumstamm neben einem Fluss sitzt.")</f>
        <v>Die Kamera schwenkt, einem Mann zu zeigen, der eine Mundharmonika spielt, während er auf einem Baumstamm neben einem Fluss sitzt.</v>
      </c>
    </row>
    <row r="13948">
      <c r="A13948" s="4" t="s">
        <v>17558</v>
      </c>
      <c r="B13948" s="4" t="s">
        <v>17561</v>
      </c>
      <c r="C13948" s="5" t="str">
        <f>IFERROR(__xludf.DUMMYFUNCTION("GOOGLETRANSLATE(B13948,""en"",""de"")"),"Eine Frau geht in der Nähe der Bahngleise, während ein Zug vorbeifährt.")</f>
        <v>Eine Frau geht in der Nähe der Bahngleise, während ein Zug vorbeifährt.</v>
      </c>
    </row>
    <row r="13949">
      <c r="A13949" s="4" t="s">
        <v>17558</v>
      </c>
      <c r="B13949" s="4" t="s">
        <v>17562</v>
      </c>
      <c r="C13949" s="5" t="str">
        <f>IFERROR(__xludf.DUMMYFUNCTION("GOOGLETRANSLATE(B13949,""en"",""de"")"),"Die Frau sieht die Mundharmonika in der Ferne.")</f>
        <v>Die Frau sieht die Mundharmonika in der Ferne.</v>
      </c>
    </row>
    <row r="13950">
      <c r="A13950" s="4" t="s">
        <v>17558</v>
      </c>
      <c r="B13950" s="4" t="s">
        <v>17563</v>
      </c>
      <c r="C13950" s="5" t="str">
        <f>IFERROR(__xludf.DUMMYFUNCTION("GOOGLETRANSLATE(B13950,""en"",""de"")"),"Sie beobachtet ihn und hört ihm zu, wie er spielt.")</f>
        <v>Sie beobachtet ihn und hört ihm zu, wie er spielt.</v>
      </c>
    </row>
    <row r="13951">
      <c r="A13951" s="4" t="s">
        <v>17558</v>
      </c>
      <c r="B13951" s="4" t="s">
        <v>17564</v>
      </c>
      <c r="C13951" s="5" t="str">
        <f>IFERROR(__xludf.DUMMYFUNCTION("GOOGLETRANSLATE(B13951,""en"",""de"")"),"Sie geht weg und hinterlässt den Mann.")</f>
        <v>Sie geht weg und hinterlässt den Mann.</v>
      </c>
    </row>
    <row r="13952">
      <c r="A13952" s="4" t="s">
        <v>17558</v>
      </c>
      <c r="B13952" s="4" t="s">
        <v>17565</v>
      </c>
      <c r="C13952" s="5" t="str">
        <f>IFERROR(__xludf.DUMMYFUNCTION("GOOGLETRANSLATE(B13952,""en"",""de"")"),"Der Mann endet mit dem Spiel und bleibt sitzend.")</f>
        <v>Der Mann endet mit dem Spiel und bleibt sitzend.</v>
      </c>
    </row>
    <row r="13953">
      <c r="A13953" s="4" t="s">
        <v>17566</v>
      </c>
      <c r="B13953" s="4" t="s">
        <v>17567</v>
      </c>
      <c r="C13953" s="5" t="str">
        <f>IFERROR(__xludf.DUMMYFUNCTION("GOOGLETRANSLATE(B13953,""en"",""de"")"),"Ein Mann, der eine schwere Schürze, schwere Handschuhe und große Plastikmaske über seinem Gesicht trägt, geht zu einem Werkzeug, das auf einem Holztisch sitzt.")</f>
        <v>Ein Mann, der eine schwere Schürze, schwere Handschuhe und große Plastikmaske über seinem Gesicht trägt, geht zu einem Werkzeug, das auf einem Holztisch sitzt.</v>
      </c>
    </row>
    <row r="13954">
      <c r="A13954" s="4" t="s">
        <v>17566</v>
      </c>
      <c r="B13954" s="4" t="s">
        <v>17568</v>
      </c>
      <c r="C13954" s="5" t="str">
        <f>IFERROR(__xludf.DUMMYFUNCTION("GOOGLETRANSLATE(B13954,""en"",""de"")"),"Der Mann nimmt das Werkzeug auf und berührt es auf etwas auf dem Tisch und macht Funken fliegen.")</f>
        <v>Der Mann nimmt das Werkzeug auf und berührt es auf etwas auf dem Tisch und macht Funken fliegen.</v>
      </c>
    </row>
    <row r="13955">
      <c r="A13955" s="4" t="s">
        <v>17566</v>
      </c>
      <c r="B13955" s="4" t="s">
        <v>17569</v>
      </c>
      <c r="C13955" s="5" t="str">
        <f>IFERROR(__xludf.DUMMYFUNCTION("GOOGLETRANSLATE(B13955,""en"",""de"")"),"Ein kontinuierliches Spray von Funken schießt aus dem Werkzeug ab.")</f>
        <v>Ein kontinuierliches Spray von Funken schießt aus dem Werkzeug ab.</v>
      </c>
    </row>
    <row r="13956">
      <c r="A13956" s="4" t="s">
        <v>17566</v>
      </c>
      <c r="B13956" s="4" t="s">
        <v>17570</v>
      </c>
      <c r="C13956" s="5" t="str">
        <f>IFERROR(__xludf.DUMMYFUNCTION("GOOGLETRANSLATE(B13956,""en"",""de"")"),"Der Mann hält stehen und tritt einen Schritt zurück, während er seine Gesichtsmaske hochzieht und den Gegenstand auf dem Tisch betrachtet.")</f>
        <v>Der Mann hält stehen und tritt einen Schritt zurück, während er seine Gesichtsmaske hochzieht und den Gegenstand auf dem Tisch betrachtet.</v>
      </c>
    </row>
    <row r="13957">
      <c r="A13957" s="4" t="s">
        <v>17566</v>
      </c>
      <c r="B13957" s="4" t="s">
        <v>17571</v>
      </c>
      <c r="C13957" s="5" t="str">
        <f>IFERROR(__xludf.DUMMYFUNCTION("GOOGLETRANSLATE(B13957,""en"",""de"")"),"Der Mann zieht seine Gesichtsmaske zurück und beginnt, das Werkzeug erneut zu benutzen, um Funken wieder zu fliegen.")</f>
        <v>Der Mann zieht seine Gesichtsmaske zurück und beginnt, das Werkzeug erneut zu benutzen, um Funken wieder zu fliegen.</v>
      </c>
    </row>
    <row r="13958">
      <c r="A13958" s="4" t="s">
        <v>17566</v>
      </c>
      <c r="B13958" s="4" t="s">
        <v>17572</v>
      </c>
      <c r="C13958" s="5" t="str">
        <f>IFERROR(__xludf.DUMMYFUNCTION("GOOGLETRANSLATE(B13958,""en"",""de"")"),"Der Mann macht eine Pause und schaut auf den Gegenstand auf dem Tisch.")</f>
        <v>Der Mann macht eine Pause und schaut auf den Gegenstand auf dem Tisch.</v>
      </c>
    </row>
    <row r="13959">
      <c r="A13959" s="4" t="s">
        <v>17566</v>
      </c>
      <c r="B13959" s="4" t="s">
        <v>17573</v>
      </c>
      <c r="C13959" s="5" t="str">
        <f>IFERROR(__xludf.DUMMYFUNCTION("GOOGLETRANSLATE(B13959,""en"",""de"")"),"Er berührt das Werkzeug noch einmal zum Element.")</f>
        <v>Er berührt das Werkzeug noch einmal zum Element.</v>
      </c>
    </row>
    <row r="13960">
      <c r="A13960" s="4" t="s">
        <v>17566</v>
      </c>
      <c r="B13960" s="4" t="s">
        <v>17574</v>
      </c>
      <c r="C13960" s="5" t="str">
        <f>IFERROR(__xludf.DUMMYFUNCTION("GOOGLETRANSLATE(B13960,""en"",""de"")"),"Der Mann schaut dann auf das Werkzeug, das er benutzt, und schüttelt es ein wenig, bevor es auf den Tisch sitzt.")</f>
        <v>Der Mann schaut dann auf das Werkzeug, das er benutzt, und schüttelt es ein wenig, bevor es auf den Tisch sitzt.</v>
      </c>
    </row>
    <row r="13961">
      <c r="A13961" s="4" t="s">
        <v>17566</v>
      </c>
      <c r="B13961" s="4" t="s">
        <v>17575</v>
      </c>
      <c r="C13961" s="5" t="str">
        <f>IFERROR(__xludf.DUMMYFUNCTION("GOOGLETRANSLATE(B13961,""en"",""de"")"),"Der Mann entfernt dann eine seiner Handschuhe und geht weg.")</f>
        <v>Der Mann entfernt dann eine seiner Handschuhe und geht weg.</v>
      </c>
    </row>
    <row r="13962">
      <c r="A13962" s="4" t="s">
        <v>17576</v>
      </c>
      <c r="B13962" s="4" t="s">
        <v>17577</v>
      </c>
      <c r="C13962" s="5" t="str">
        <f>IFERROR(__xludf.DUMMYFUNCTION("GOOGLETRANSLATE(B13962,""en"",""de"")"),"Eine Nahaufnahme von Bällen, die sich um einen Billardtisch bewegt, wird angezeigt, gefolgt von einer Person, die um den Tisch läuft.")</f>
        <v>Eine Nahaufnahme von Bällen, die sich um einen Billardtisch bewegt, wird angezeigt, gefolgt von einer Person, die um den Tisch läuft.</v>
      </c>
    </row>
    <row r="13963">
      <c r="A13963" s="4" t="s">
        <v>17576</v>
      </c>
      <c r="B13963" s="4" t="s">
        <v>17578</v>
      </c>
      <c r="C13963" s="5" t="str">
        <f>IFERROR(__xludf.DUMMYFUNCTION("GOOGLETRANSLATE(B13963,""en"",""de"")"),"Zwei Männer schlugen dann die Bälle um den Tisch zurück und vierten, während viele zuschauen und um sie herum reagieren.")</f>
        <v>Zwei Männer schlugen dann die Bälle um den Tisch zurück und vierten, während viele zuschauen und um sie herum reagieren.</v>
      </c>
    </row>
    <row r="13964">
      <c r="A13964" s="4" t="s">
        <v>17579</v>
      </c>
      <c r="B13964" s="4" t="s">
        <v>17580</v>
      </c>
      <c r="C13964" s="5" t="str">
        <f>IFERROR(__xludf.DUMMYFUNCTION("GOOGLETRANSLATE(B13964,""en"",""de"")"),"Eine kleine Gruppe von Menschen sitzt in Stoßstangenautos, die ein Spiel miteinander spielen.")</f>
        <v>Eine kleine Gruppe von Menschen sitzt in Stoßstangenautos, die ein Spiel miteinander spielen.</v>
      </c>
    </row>
    <row r="13965">
      <c r="A13965" s="4" t="s">
        <v>17579</v>
      </c>
      <c r="B13965" s="4" t="s">
        <v>17581</v>
      </c>
      <c r="C13965" s="5" t="str">
        <f>IFERROR(__xludf.DUMMYFUNCTION("GOOGLETRANSLATE(B13965,""en"",""de"")"),"Die Leute, die in den Autos herumfahren, während andere an den Seiten zuschauen.")</f>
        <v>Die Leute, die in den Autos herumfahren, während andere an den Seiten zuschauen.</v>
      </c>
    </row>
    <row r="13966">
      <c r="A13966" s="4" t="s">
        <v>17579</v>
      </c>
      <c r="B13966" s="4" t="s">
        <v>17582</v>
      </c>
      <c r="C13966" s="5" t="str">
        <f>IFERROR(__xludf.DUMMYFUNCTION("GOOGLETRANSLATE(B13966,""en"",""de"")"),"Ein weiterer Schuss wird von Leuten gezeigt, die Stoßfängerautos spielen und gegenseitig gegeneinander krachen.")</f>
        <v>Ein weiterer Schuss wird von Leuten gezeigt, die Stoßfängerautos spielen und gegenseitig gegeneinander krachen.</v>
      </c>
    </row>
    <row r="13967">
      <c r="A13967" s="4" t="s">
        <v>17583</v>
      </c>
      <c r="B13967" s="4" t="s">
        <v>17584</v>
      </c>
      <c r="C13967" s="5" t="str">
        <f>IFERROR(__xludf.DUMMYFUNCTION("GOOGLETRANSLATE(B13967,""en"",""de"")"),"Ein Mädchen steht vor einem Badezimmerspiegel und reibt sich kräftig über das Gesicht.")</f>
        <v>Ein Mädchen steht vor einem Badezimmerspiegel und reibt sich kräftig über das Gesicht.</v>
      </c>
    </row>
    <row r="13968">
      <c r="A13968" s="4" t="s">
        <v>17583</v>
      </c>
      <c r="B13968" s="4" t="s">
        <v>17585</v>
      </c>
      <c r="C13968" s="5" t="str">
        <f>IFERROR(__xludf.DUMMYFUNCTION("GOOGLETRANSLATE(B13968,""en"",""de"")"),"Das Mädchen schaltet den Wasserhahn ein.")</f>
        <v>Das Mädchen schaltet den Wasserhahn ein.</v>
      </c>
    </row>
    <row r="13969">
      <c r="A13969" s="4" t="s">
        <v>17583</v>
      </c>
      <c r="B13969" s="4" t="s">
        <v>17586</v>
      </c>
      <c r="C13969" s="5" t="str">
        <f>IFERROR(__xludf.DUMMYFUNCTION("GOOGLETRANSLATE(B13969,""en"",""de"")"),"Das Mädchen spritzt dann mehrmals Wasser auf ihr Gesicht.")</f>
        <v>Das Mädchen spritzt dann mehrmals Wasser auf ihr Gesicht.</v>
      </c>
    </row>
    <row r="13970">
      <c r="A13970" s="4" t="s">
        <v>17583</v>
      </c>
      <c r="B13970" s="4" t="s">
        <v>17587</v>
      </c>
      <c r="C13970" s="5" t="str">
        <f>IFERROR(__xludf.DUMMYFUNCTION("GOOGLETRANSLATE(B13970,""en"",""de"")"),"Das Mädchen wischt ihr Gesicht mit einem Handtuch ab.")</f>
        <v>Das Mädchen wischt ihr Gesicht mit einem Handtuch ab.</v>
      </c>
    </row>
    <row r="13971">
      <c r="A13971" s="4" t="s">
        <v>17588</v>
      </c>
      <c r="B13971" s="4" t="s">
        <v>17589</v>
      </c>
      <c r="C13971" s="5" t="str">
        <f>IFERROR(__xludf.DUMMYFUNCTION("GOOGLETRANSLATE(B13971,""en"",""de"")"),"Ein Intro führt zu einem bärtigen Mann, der mit der Kamera spricht und ein Objekt auf dem Bildschirm präsentiert.")</f>
        <v>Ein Intro führt zu einem bärtigen Mann, der mit der Kamera spricht und ein Objekt auf dem Bildschirm präsentiert.</v>
      </c>
    </row>
    <row r="13972">
      <c r="A13972" s="4" t="s">
        <v>17588</v>
      </c>
      <c r="B13972" s="4" t="s">
        <v>17590</v>
      </c>
      <c r="C13972" s="5" t="str">
        <f>IFERROR(__xludf.DUMMYFUNCTION("GOOGLETRANSLATE(B13972,""en"",""de"")"),"Er nutzt das Werkzeug, um einen Teppichbereich zu überschreiten und spricht weiter mit der Kamera.")</f>
        <v>Er nutzt das Werkzeug, um einen Teppichbereich zu überschreiten und spricht weiter mit der Kamera.</v>
      </c>
    </row>
    <row r="13973">
      <c r="A13973" s="4" t="s">
        <v>17591</v>
      </c>
      <c r="B13973" s="4" t="s">
        <v>17592</v>
      </c>
      <c r="C13973" s="5" t="str">
        <f>IFERROR(__xludf.DUMMYFUNCTION("GOOGLETRANSLATE(B13973,""en"",""de"")"),"Mehrere mehrfarbige und geformte Drachen fliegen hoch in der Luft über einem Strand, das von Bildern von Menschen durchsetzt, die sich auf Fliegen von Drachen und Zuschauern vorbereiten.")</f>
        <v>Mehrere mehrfarbige und geformte Drachen fliegen hoch in der Luft über einem Strand, das von Bildern von Menschen durchsetzt, die sich auf Fliegen von Drachen und Zuschauern vorbereiten.</v>
      </c>
    </row>
    <row r="13974">
      <c r="A13974" s="4" t="s">
        <v>17591</v>
      </c>
      <c r="B13974" s="4" t="s">
        <v>17593</v>
      </c>
      <c r="C13974" s="5" t="str">
        <f>IFERROR(__xludf.DUMMYFUNCTION("GOOGLETRANSLATE(B13974,""en"",""de"")"),"Mehrere Drachen fliegen in die Luft, in einem hellblauen Himmel, über einem sandigen Bereich.")</f>
        <v>Mehrere Drachen fliegen in die Luft, in einem hellblauen Himmel, über einem sandigen Bereich.</v>
      </c>
    </row>
    <row r="13975">
      <c r="A13975" s="4" t="s">
        <v>17591</v>
      </c>
      <c r="B13975" s="4" t="s">
        <v>17594</v>
      </c>
      <c r="C13975" s="5" t="str">
        <f>IFERROR(__xludf.DUMMYFUNCTION("GOOGLETRANSLATE(B13975,""en"",""de"")"),"Ein Mann kniet über einige Geräte im Sand.")</f>
        <v>Ein Mann kniet über einige Geräte im Sand.</v>
      </c>
    </row>
    <row r="13976">
      <c r="A13976" s="4" t="s">
        <v>17591</v>
      </c>
      <c r="B13976" s="4" t="s">
        <v>17595</v>
      </c>
      <c r="C13976" s="5" t="str">
        <f>IFERROR(__xludf.DUMMYFUNCTION("GOOGLETRANSLATE(B13976,""en"",""de"")"),"Weitere Drachen fliegen, während die Leute die abwechslungsreichen Kite -Stile beobachten, darunter einen Kite, der wie ein Hund geformt ist.")</f>
        <v>Weitere Drachen fliegen, während die Leute die abwechslungsreichen Kite -Stile beobachten, darunter einen Kite, der wie ein Hund geformt ist.</v>
      </c>
    </row>
    <row r="13977">
      <c r="A13977" s="4" t="s">
        <v>17596</v>
      </c>
      <c r="B13977" s="4" t="s">
        <v>17597</v>
      </c>
      <c r="C13977" s="5" t="str">
        <f>IFERROR(__xludf.DUMMYFUNCTION("GOOGLETRANSLATE(B13977,""en"",""de"")"),"Eine Dame legt auf einer Yogamatte in einem Teppichzimmer und sitzt während des Redens.")</f>
        <v>Eine Dame legt auf einer Yogamatte in einem Teppichzimmer und sitzt während des Redens.</v>
      </c>
    </row>
    <row r="13978">
      <c r="A13978" s="4" t="s">
        <v>17596</v>
      </c>
      <c r="B13978" s="4" t="s">
        <v>17598</v>
      </c>
      <c r="C13978" s="5" t="str">
        <f>IFERROR(__xludf.DUMMYFUNCTION("GOOGLETRANSLATE(B13978,""en"",""de"")"),"Ein Finger betritt den Bildschirm.")</f>
        <v>Ein Finger betritt den Bildschirm.</v>
      </c>
    </row>
    <row r="13979">
      <c r="A13979" s="4" t="s">
        <v>17596</v>
      </c>
      <c r="B13979" s="4" t="s">
        <v>17599</v>
      </c>
      <c r="C13979" s="5" t="str">
        <f>IFERROR(__xludf.DUMMYFUNCTION("GOOGLETRANSLATE(B13979,""en"",""de"")"),"Die Dame endet und hört auf.")</f>
        <v>Die Dame endet und hört auf.</v>
      </c>
    </row>
    <row r="13980">
      <c r="A13980" s="4" t="s">
        <v>17600</v>
      </c>
      <c r="B13980" s="4" t="s">
        <v>17601</v>
      </c>
      <c r="C13980" s="5" t="str">
        <f>IFERROR(__xludf.DUMMYFUNCTION("GOOGLETRANSLATE(B13980,""en"",""de"")"),"Ein Barkeeper spricht mit der Kamera, während er Eis in ein Glas und verschiedene Flüssigkeiten in einen Mixer gießt.")</f>
        <v>Ein Barkeeper spricht mit der Kamera, während er Eis in ein Glas und verschiedene Flüssigkeiten in einen Mixer gießt.</v>
      </c>
    </row>
    <row r="13981">
      <c r="A13981" s="4" t="s">
        <v>17600</v>
      </c>
      <c r="B13981" s="4" t="s">
        <v>17602</v>
      </c>
      <c r="C13981" s="5" t="str">
        <f>IFERROR(__xludf.DUMMYFUNCTION("GOOGLETRANSLATE(B13981,""en"",""de"")"),"Er gießt mehr Eis in den Mixer und mischt die Flüssigkeiten alle zusammen.")</f>
        <v>Er gießt mehr Eis in den Mixer und mischt die Flüssigkeiten alle zusammen.</v>
      </c>
    </row>
    <row r="13982">
      <c r="A13982" s="4" t="s">
        <v>17600</v>
      </c>
      <c r="B13982" s="4" t="s">
        <v>17603</v>
      </c>
      <c r="C13982" s="5" t="str">
        <f>IFERROR(__xludf.DUMMYFUNCTION("GOOGLETRANSLATE(B13982,""en"",""de"")"),"Er gießt die Flüssigkeit aus und legt einen Strohhalm in das Glas, während die Kamera herum schwenkt.")</f>
        <v>Er gießt die Flüssigkeit aus und legt einen Strohhalm in das Glas, während die Kamera herum schwenkt.</v>
      </c>
    </row>
    <row r="13983">
      <c r="A13983" s="4" t="s">
        <v>17604</v>
      </c>
      <c r="B13983" s="4" t="s">
        <v>17605</v>
      </c>
      <c r="C13983" s="5" t="str">
        <f>IFERROR(__xludf.DUMMYFUNCTION("GOOGLETRANSLATE(B13983,""en"",""de"")"),"Ein Mann in einem Fitnessstudio zieht ein Paar Boxhandschuhe an.")</f>
        <v>Ein Mann in einem Fitnessstudio zieht ein Paar Boxhandschuhe an.</v>
      </c>
    </row>
    <row r="13984">
      <c r="A13984" s="4" t="s">
        <v>17604</v>
      </c>
      <c r="B13984" s="4" t="s">
        <v>17606</v>
      </c>
      <c r="C13984" s="5" t="str">
        <f>IFERROR(__xludf.DUMMYFUNCTION("GOOGLETRANSLATE(B13984,""en"",""de"")"),"Er beginnt die Tasche zu schlagen und geht dabei im Kreis herum.")</f>
        <v>Er beginnt die Tasche zu schlagen und geht dabei im Kreis herum.</v>
      </c>
    </row>
    <row r="13985">
      <c r="A13985" s="4" t="s">
        <v>17604</v>
      </c>
      <c r="B13985" s="4" t="s">
        <v>17607</v>
      </c>
      <c r="C13985" s="5" t="str">
        <f>IFERROR(__xludf.DUMMYFUNCTION("GOOGLETRANSLATE(B13985,""en"",""de"")"),"Er schlägt weiter, dann sehen wir eine leichte Sicht eines Mannes springen.")</f>
        <v>Er schlägt weiter, dann sehen wir eine leichte Sicht eines Mannes springen.</v>
      </c>
    </row>
    <row r="13986">
      <c r="A13986" s="4" t="s">
        <v>17608</v>
      </c>
      <c r="B13986" s="4" t="s">
        <v>17609</v>
      </c>
      <c r="C13986" s="5" t="str">
        <f>IFERROR(__xludf.DUMMYFUNCTION("GOOGLETRANSLATE(B13986,""en"",""de"")"),"Wir sehen ein schwarzes Eröffnungslogo.")</f>
        <v>Wir sehen ein schwarzes Eröffnungslogo.</v>
      </c>
    </row>
    <row r="13987">
      <c r="A13987" s="4" t="s">
        <v>17608</v>
      </c>
      <c r="B13987" s="4" t="s">
        <v>17610</v>
      </c>
      <c r="C13987" s="5" t="str">
        <f>IFERROR(__xludf.DUMMYFUNCTION("GOOGLETRANSLATE(B13987,""en"",""de"")"),"Ein Mann ätzt einen Kürbis mit einem messerähnlichen Werkzeug.")</f>
        <v>Ein Mann ätzt einen Kürbis mit einem messerähnlichen Werkzeug.</v>
      </c>
    </row>
    <row r="13988">
      <c r="A13988" s="4" t="s">
        <v>17608</v>
      </c>
      <c r="B13988" s="4" t="s">
        <v>17611</v>
      </c>
      <c r="C13988" s="5" t="str">
        <f>IFERROR(__xludf.DUMMYFUNCTION("GOOGLETRANSLATE(B13988,""en"",""de"")"),"Der Mann schnitzt dann ein Logo in den Kürbis.")</f>
        <v>Der Mann schnitzt dann ein Logo in den Kürbis.</v>
      </c>
    </row>
    <row r="13989">
      <c r="A13989" s="4" t="s">
        <v>17608</v>
      </c>
      <c r="B13989" s="4" t="s">
        <v>17612</v>
      </c>
      <c r="C13989" s="5" t="str">
        <f>IFERROR(__xludf.DUMMYFUNCTION("GOOGLETRANSLATE(B13989,""en"",""de"")"),"Wir sehen den Kürbis mit einem Licht darin.")</f>
        <v>Wir sehen den Kürbis mit einem Licht darin.</v>
      </c>
    </row>
    <row r="13990">
      <c r="A13990" s="4" t="s">
        <v>17608</v>
      </c>
      <c r="B13990" s="4" t="s">
        <v>17613</v>
      </c>
      <c r="C13990" s="5" t="str">
        <f>IFERROR(__xludf.DUMMYFUNCTION("GOOGLETRANSLATE(B13990,""en"",""de"")"),"Wir sehen dann das gleiche Logo wie das offen.")</f>
        <v>Wir sehen dann das gleiche Logo wie das offen.</v>
      </c>
    </row>
    <row r="13991">
      <c r="A13991" s="4" t="s">
        <v>17614</v>
      </c>
      <c r="B13991" s="4" t="s">
        <v>17615</v>
      </c>
      <c r="C13991" s="5" t="str">
        <f>IFERROR(__xludf.DUMMYFUNCTION("GOOGLETRANSLATE(B13991,""en"",""de"")"),"Ein Mann und eine Frau, die Rollerblätter trägt, knien auf einem Basketballplatz gegenüber.")</f>
        <v>Ein Mann und eine Frau, die Rollerblätter trägt, knien auf einem Basketballplatz gegenüber.</v>
      </c>
    </row>
    <row r="13992">
      <c r="A13992" s="4" t="s">
        <v>17614</v>
      </c>
      <c r="B13992" s="4" t="s">
        <v>17616</v>
      </c>
      <c r="C13992" s="5" t="str">
        <f>IFERROR(__xludf.DUMMYFUNCTION("GOOGLETRANSLATE(B13992,""en"",""de"")"),"Ein Hund läuft von Mann und Frau an.")</f>
        <v>Ein Hund läuft von Mann und Frau an.</v>
      </c>
    </row>
    <row r="13993">
      <c r="A13993" s="4" t="s">
        <v>17614</v>
      </c>
      <c r="B13993" s="4" t="s">
        <v>17617</v>
      </c>
      <c r="C13993" s="5" t="str">
        <f>IFERROR(__xludf.DUMMYFUNCTION("GOOGLETRANSLATE(B13993,""en"",""de"")"),"Der Mann und die Frau erheben sich zusammen.")</f>
        <v>Der Mann und die Frau erheben sich zusammen.</v>
      </c>
    </row>
    <row r="13994">
      <c r="A13994" s="4" t="s">
        <v>17614</v>
      </c>
      <c r="B13994" s="4" t="s">
        <v>17618</v>
      </c>
      <c r="C13994" s="5" t="str">
        <f>IFERROR(__xludf.DUMMYFUNCTION("GOOGLETRANSLATE(B13994,""en"",""de"")"),"Der Mann und die Frau führen eine gepaarte Rollerblattroutine aus.")</f>
        <v>Der Mann und die Frau führen eine gepaarte Rollerblattroutine aus.</v>
      </c>
    </row>
    <row r="13995">
      <c r="A13995" s="4" t="s">
        <v>17614</v>
      </c>
      <c r="B13995" s="4" t="s">
        <v>17619</v>
      </c>
      <c r="C13995" s="5" t="str">
        <f>IFERROR(__xludf.DUMMYFUNCTION("GOOGLETRANSLATE(B13995,""en"",""de"")"),"Der Mann und die Frau beenden die Routine und bewegen sich in Richtung Kamera.")</f>
        <v>Der Mann und die Frau beenden die Routine und bewegen sich in Richtung Kamera.</v>
      </c>
    </row>
    <row r="13996">
      <c r="A13996" s="4" t="s">
        <v>17620</v>
      </c>
      <c r="B13996" s="4" t="s">
        <v>17621</v>
      </c>
      <c r="C13996" s="5" t="str">
        <f>IFERROR(__xludf.DUMMYFUNCTION("GOOGLETRANSLATE(B13996,""en"",""de"")"),"Ein Mann spricht mit der Kamera und führt ihn in ihn und spielt an einem Schlagzeug.")</f>
        <v>Ein Mann spricht mit der Kamera und führt ihn in ihn und spielt an einem Schlagzeug.</v>
      </c>
    </row>
    <row r="13997">
      <c r="A13997" s="4" t="s">
        <v>17620</v>
      </c>
      <c r="B13997" s="4" t="s">
        <v>17622</v>
      </c>
      <c r="C13997" s="5" t="str">
        <f>IFERROR(__xludf.DUMMYFUNCTION("GOOGLETRANSLATE(B13997,""en"",""de"")"),"Der Mann spricht weiterhin mit seinen Händen mit der Kamera und bewegt die Stöcke, während sie sich umsah.")</f>
        <v>Der Mann spricht weiterhin mit seinen Händen mit der Kamera und bewegt die Stöcke, während sie sich umsah.</v>
      </c>
    </row>
    <row r="13998">
      <c r="A13998" s="4" t="s">
        <v>17623</v>
      </c>
      <c r="B13998" s="4" t="s">
        <v>17624</v>
      </c>
      <c r="C13998" s="5" t="str">
        <f>IFERROR(__xludf.DUMMYFUNCTION("GOOGLETRANSLATE(B13998,""en"",""de"")"),"Der Gastgeber betritt einen Waffengeschäft und tanzt herum.")</f>
        <v>Der Gastgeber betritt einen Waffengeschäft und tanzt herum.</v>
      </c>
    </row>
    <row r="13999">
      <c r="A13999" s="4" t="s">
        <v>17623</v>
      </c>
      <c r="B13999" s="4" t="s">
        <v>17625</v>
      </c>
      <c r="C13999" s="5" t="str">
        <f>IFERROR(__xludf.DUMMYFUNCTION("GOOGLETRANSLATE(B13999,""en"",""de"")"),"Danach die In -Stücke für die Show.")</f>
        <v>Danach die In -Stücke für die Show.</v>
      </c>
    </row>
    <row r="14000">
      <c r="A14000" s="4" t="s">
        <v>17623</v>
      </c>
      <c r="B14000" s="4" t="s">
        <v>17626</v>
      </c>
      <c r="C14000" s="5" t="str">
        <f>IFERROR(__xludf.DUMMYFUNCTION("GOOGLETRANSLATE(B14000,""en"",""de"")"),"Dann redet er eine Weile im Laden und spielt mit einer Waffe mit ein paar Schnitten herum.")</f>
        <v>Dann redet er eine Weile im Laden und spielt mit einer Waffe mit ein paar Schnitten herum.</v>
      </c>
    </row>
    <row r="14001">
      <c r="A14001" s="4" t="s">
        <v>17623</v>
      </c>
      <c r="B14001" s="4" t="s">
        <v>17627</v>
      </c>
      <c r="C14001" s="5" t="str">
        <f>IFERROR(__xludf.DUMMYFUNCTION("GOOGLETRANSLATE(B14001,""en"",""de"")"),"Danach spielt ein Outro für das Segment mit Credits.")</f>
        <v>Danach spielt ein Outro für das Segment mit Credits.</v>
      </c>
    </row>
    <row r="14002">
      <c r="A14002" s="4" t="s">
        <v>17628</v>
      </c>
      <c r="B14002" s="4" t="s">
        <v>17629</v>
      </c>
      <c r="C14002" s="5" t="str">
        <f>IFERROR(__xludf.DUMMYFUNCTION("GOOGLETRANSLATE(B14002,""en"",""de"")"),"Eine Kamera schwenkt von einem Strand weg, gefolgt von Hunderten von Menschen, die Kanus rudern.")</f>
        <v>Eine Kamera schwenkt von einem Strand weg, gefolgt von Hunderten von Menschen, die Kanus rudern.</v>
      </c>
    </row>
    <row r="14003">
      <c r="A14003" s="4" t="s">
        <v>17628</v>
      </c>
      <c r="B14003" s="4" t="s">
        <v>17630</v>
      </c>
      <c r="C14003" s="5" t="str">
        <f>IFERROR(__xludf.DUMMYFUNCTION("GOOGLETRANSLATE(B14003,""en"",""de"")"),"Die Leute laufen am Strand entlang und rudern die Kanus und einen Mann, der an einem Tisch sitzt.")</f>
        <v>Die Leute laufen am Strand entlang und rudern die Kanus und einen Mann, der an einem Tisch sitzt.</v>
      </c>
    </row>
    <row r="14004">
      <c r="A14004" s="4" t="s">
        <v>17628</v>
      </c>
      <c r="B14004" s="4" t="s">
        <v>17631</v>
      </c>
      <c r="C14004" s="5" t="str">
        <f>IFERROR(__xludf.DUMMYFUNCTION("GOOGLETRANSLATE(B14004,""en"",""de"")"),"Der Mann überprüft sein Handy und schaut in die Ferne ab, und es werden ein weiterer Schuss von Leuten -Kanufahren gezeigt.")</f>
        <v>Der Mann überprüft sein Handy und schaut in die Ferne ab, und es werden ein weiterer Schuss von Leuten -Kanufahren gezeigt.</v>
      </c>
    </row>
    <row r="14005">
      <c r="A14005" s="4" t="s">
        <v>17632</v>
      </c>
      <c r="B14005" s="4" t="s">
        <v>17633</v>
      </c>
      <c r="C14005" s="5" t="str">
        <f>IFERROR(__xludf.DUMMYFUNCTION("GOOGLETRANSLATE(B14005,""en"",""de"")"),"Wir sehen den Titel auf dem schwarzen Bildschirm.")</f>
        <v>Wir sehen den Titel auf dem schwarzen Bildschirm.</v>
      </c>
    </row>
    <row r="14006">
      <c r="A14006" s="4" t="s">
        <v>17632</v>
      </c>
      <c r="B14006" s="4" t="s">
        <v>17634</v>
      </c>
      <c r="C14006" s="5" t="str">
        <f>IFERROR(__xludf.DUMMYFUNCTION("GOOGLETRANSLATE(B14006,""en"",""de"")"),"Wir sehen Instrumente und die Wand mit dem Schulnamen.")</f>
        <v>Wir sehen Instrumente und die Wand mit dem Schulnamen.</v>
      </c>
    </row>
    <row r="14007">
      <c r="A14007" s="4" t="s">
        <v>17632</v>
      </c>
      <c r="B14007" s="4" t="s">
        <v>17635</v>
      </c>
      <c r="C14007" s="5" t="str">
        <f>IFERROR(__xludf.DUMMYFUNCTION("GOOGLETRANSLATE(B14007,""en"",""de"")"),"Die Leute werden sich erwärmen.")</f>
        <v>Die Leute werden sich erwärmen.</v>
      </c>
    </row>
    <row r="14008">
      <c r="A14008" s="4" t="s">
        <v>17632</v>
      </c>
      <c r="B14008" s="4" t="s">
        <v>17636</v>
      </c>
      <c r="C14008" s="5" t="str">
        <f>IFERROR(__xludf.DUMMYFUNCTION("GOOGLETRANSLATE(B14008,""en"",""de"")"),"Wir werden dann die Capoeira -Technik gezeigt.")</f>
        <v>Wir werden dann die Capoeira -Technik gezeigt.</v>
      </c>
    </row>
    <row r="14009">
      <c r="A14009" s="4" t="s">
        <v>17632</v>
      </c>
      <c r="B14009" s="4" t="s">
        <v>17637</v>
      </c>
      <c r="C14009" s="5" t="str">
        <f>IFERROR(__xludf.DUMMYFUNCTION("GOOGLETRANSLATE(B14009,""en"",""de"")"),"Die Menschen üben Capoeira -Bewegungen.")</f>
        <v>Die Menschen üben Capoeira -Bewegungen.</v>
      </c>
    </row>
    <row r="14010">
      <c r="A14010" s="4" t="s">
        <v>17632</v>
      </c>
      <c r="B14010" s="4" t="s">
        <v>17638</v>
      </c>
      <c r="C14010" s="5" t="str">
        <f>IFERROR(__xludf.DUMMYFUNCTION("GOOGLETRANSLATE(B14010,""en"",""de"")"),"Die Damen erklären, warum sie sich für Capoeira entschieden haben.")</f>
        <v>Die Damen erklären, warum sie sich für Capoeira entschieden haben.</v>
      </c>
    </row>
    <row r="14011">
      <c r="A14011" s="4" t="s">
        <v>17632</v>
      </c>
      <c r="B14011" s="4" t="s">
        <v>17639</v>
      </c>
      <c r="C14011" s="5" t="str">
        <f>IFERROR(__xludf.DUMMYFUNCTION("GOOGLETRANSLATE(B14011,""en"",""de"")"),"Wir werden die Endkarte für die Website angezeigt.")</f>
        <v>Wir werden die Endkarte für die Website angezeigt.</v>
      </c>
    </row>
    <row r="14012">
      <c r="A14012" s="4" t="s">
        <v>17640</v>
      </c>
      <c r="B14012" s="4" t="s">
        <v>17641</v>
      </c>
      <c r="C14012" s="5" t="str">
        <f>IFERROR(__xludf.DUMMYFUNCTION("GOOGLETRANSLATE(B14012,""en"",""de"")"),"Ein Mann spreizt ein weißes Blatt auf eine Wand.")</f>
        <v>Ein Mann spreizt ein weißes Blatt auf eine Wand.</v>
      </c>
    </row>
    <row r="14013">
      <c r="A14013" s="4" t="s">
        <v>17640</v>
      </c>
      <c r="B14013" s="4" t="s">
        <v>17642</v>
      </c>
      <c r="C14013" s="5" t="str">
        <f>IFERROR(__xludf.DUMMYFUNCTION("GOOGLETRANSLATE(B14013,""en"",""de"")"),"Dann drückt er ein Blatt mit einem Foto auf den weißen Hintergrund.")</f>
        <v>Dann drückt er ein Blatt mit einem Foto auf den weißen Hintergrund.</v>
      </c>
    </row>
    <row r="14014">
      <c r="A14014" s="4" t="s">
        <v>17640</v>
      </c>
      <c r="B14014" s="4" t="s">
        <v>17643</v>
      </c>
      <c r="C14014" s="5" t="str">
        <f>IFERROR(__xludf.DUMMYFUNCTION("GOOGLETRANSLATE(B14014,""en"",""de"")"),"Wenn er fertig ist, gibt es ein Foto eines gelben Motorrads, das an einer Mauer an einer Mauer an einer Wand des Wohnzimmers geparkt ist.")</f>
        <v>Wenn er fertig ist, gibt es ein Foto eines gelben Motorrads, das an einer Mauer an einer Mauer an einer Wand des Wohnzimmers geparkt ist.</v>
      </c>
    </row>
    <row r="14015">
      <c r="A14015" s="4" t="s">
        <v>17644</v>
      </c>
      <c r="B14015" s="4" t="s">
        <v>17645</v>
      </c>
      <c r="C14015" s="5" t="str">
        <f>IFERROR(__xludf.DUMMYFUNCTION("GOOGLETRANSLATE(B14015,""en"",""de"")"),"Ein Mann steht vor einem Armeire, während er spricht.")</f>
        <v>Ein Mann steht vor einem Armeire, während er spricht.</v>
      </c>
    </row>
    <row r="14016">
      <c r="A14016" s="4" t="s">
        <v>17644</v>
      </c>
      <c r="B14016" s="4" t="s">
        <v>17646</v>
      </c>
      <c r="C14016" s="5" t="str">
        <f>IFERROR(__xludf.DUMMYFUNCTION("GOOGLETRANSLATE(B14016,""en"",""de"")"),"Es gibt eine Nahaufnahme des Armens, die sich über seine Länge erstreckt.")</f>
        <v>Es gibt eine Nahaufnahme des Armens, die sich über seine Länge erstreckt.</v>
      </c>
    </row>
    <row r="14017">
      <c r="A14017" s="4" t="s">
        <v>17644</v>
      </c>
      <c r="B14017" s="4" t="s">
        <v>17647</v>
      </c>
      <c r="C14017" s="5" t="str">
        <f>IFERROR(__xludf.DUMMYFUNCTION("GOOGLETRANSLATE(B14017,""en"",""de"")"),"Der Mann berührt mehrere Risse und Chips im Holz und redet über sie.")</f>
        <v>Der Mann berührt mehrere Risse und Chips im Holz und redet über sie.</v>
      </c>
    </row>
    <row r="14018">
      <c r="A14018" s="4" t="s">
        <v>17644</v>
      </c>
      <c r="B14018" s="4" t="s">
        <v>17648</v>
      </c>
      <c r="C14018" s="5" t="str">
        <f>IFERROR(__xludf.DUMMYFUNCTION("GOOGLETRANSLATE(B14018,""en"",""de"")"),"Mehrere Haushaltsgegenstände werden einzeln auf dem Bildschirm angezeigt.")</f>
        <v>Mehrere Haushaltsgegenstände werden einzeln auf dem Bildschirm angezeigt.</v>
      </c>
    </row>
    <row r="14019">
      <c r="A14019" s="4" t="s">
        <v>17644</v>
      </c>
      <c r="B14019" s="4" t="s">
        <v>17649</v>
      </c>
      <c r="C14019" s="5" t="str">
        <f>IFERROR(__xludf.DUMMYFUNCTION("GOOGLETRANSLATE(B14019,""en"",""de"")"),"Der Mann verwendet die Gegenstände, um die Risse und Kratzer zu kratzen, zu reinigen und abzudecken.")</f>
        <v>Der Mann verwendet die Gegenstände, um die Risse und Kratzer zu kratzen, zu reinigen und abzudecken.</v>
      </c>
    </row>
    <row r="14020">
      <c r="A14020" s="4" t="s">
        <v>17644</v>
      </c>
      <c r="B14020" s="4" t="s">
        <v>17650</v>
      </c>
      <c r="C14020" s="5" t="str">
        <f>IFERROR(__xludf.DUMMYFUNCTION("GOOGLETRANSLATE(B14020,""en"",""de"")"),"Das fertige Produkt, frei von Rissen und Kratzern, wird gezeigt, wie der Mann seine letzten Worte zur Kamera sagt.")</f>
        <v>Das fertige Produkt, frei von Rissen und Kratzern, wird gezeigt, wie der Mann seine letzten Worte zur Kamera sagt.</v>
      </c>
    </row>
    <row r="14021">
      <c r="A14021" s="4" t="s">
        <v>17651</v>
      </c>
      <c r="B14021" s="4" t="s">
        <v>17652</v>
      </c>
      <c r="C14021" s="5" t="str">
        <f>IFERROR(__xludf.DUMMYFUNCTION("GOOGLETRANSLATE(B14021,""en"",""de"")"),"Ein Mann sitzt an einem Klavier.")</f>
        <v>Ein Mann sitzt an einem Klavier.</v>
      </c>
    </row>
    <row r="14022">
      <c r="A14022" s="4" t="s">
        <v>17651</v>
      </c>
      <c r="B14022" s="4" t="s">
        <v>17653</v>
      </c>
      <c r="C14022" s="5" t="str">
        <f>IFERROR(__xludf.DUMMYFUNCTION("GOOGLETRANSLATE(B14022,""en"",""de"")"),"Er beginnt eine Melodie zu spielen und blickt beim Spielen auf die Schlüssel zurück.")</f>
        <v>Er beginnt eine Melodie zu spielen und blickt beim Spielen auf die Schlüssel zurück.</v>
      </c>
    </row>
    <row r="14023">
      <c r="A14023" s="4" t="s">
        <v>17651</v>
      </c>
      <c r="B14023" s="4" t="s">
        <v>17654</v>
      </c>
      <c r="C14023" s="5" t="str">
        <f>IFERROR(__xludf.DUMMYFUNCTION("GOOGLETRANSLATE(B14023,""en"",""de"")"),"Er hört auf, dreht seinen Kopf und spricht.")</f>
        <v>Er hört auf, dreht seinen Kopf und spricht.</v>
      </c>
    </row>
    <row r="14024">
      <c r="A14024" s="4" t="s">
        <v>17655</v>
      </c>
      <c r="B14024" s="4" t="s">
        <v>17656</v>
      </c>
      <c r="C14024" s="5" t="str">
        <f>IFERROR(__xludf.DUMMYFUNCTION("GOOGLETRANSLATE(B14024,""en"",""de"")"),"Ein Mann, der ein dunkelblaues Hemd trägt und ein Geflecht trägt, beginnt Bongos zu spielen.")</f>
        <v>Ein Mann, der ein dunkelblaues Hemd trägt und ein Geflecht trägt, beginnt Bongos zu spielen.</v>
      </c>
    </row>
    <row r="14025">
      <c r="A14025" s="4" t="s">
        <v>17655</v>
      </c>
      <c r="B14025" s="4" t="s">
        <v>17657</v>
      </c>
      <c r="C14025" s="5" t="str">
        <f>IFERROR(__xludf.DUMMYFUNCTION("GOOGLETRANSLATE(B14025,""en"",""de"")"),"Er beginnt bis zu einem Schlag auf den Bongos, als er rhythmisch den Kopf schüttelt.")</f>
        <v>Er beginnt bis zu einem Schlag auf den Bongos, als er rhythmisch den Kopf schüttelt.</v>
      </c>
    </row>
    <row r="14026">
      <c r="A14026" s="4" t="s">
        <v>17655</v>
      </c>
      <c r="B14026" s="4" t="s">
        <v>17658</v>
      </c>
      <c r="C14026" s="5" t="str">
        <f>IFERROR(__xludf.DUMMYFUNCTION("GOOGLETRANSLATE(B14026,""en"",""de"")"),"Er trommelt weiter auf die Bongos, die zwischen den beiden Trommeln abwechseln.")</f>
        <v>Er trommelt weiter auf die Bongos, die zwischen den beiden Trommeln abwechseln.</v>
      </c>
    </row>
    <row r="14027">
      <c r="A14027" s="4" t="s">
        <v>17655</v>
      </c>
      <c r="B14027" s="4" t="s">
        <v>17659</v>
      </c>
      <c r="C14027" s="5" t="str">
        <f>IFERROR(__xludf.DUMMYFUNCTION("GOOGLETRANSLATE(B14027,""en"",""de"")"),"Er spielt einige Zeit und hört dann auf, auf den Bongos zu trommeln.")</f>
        <v>Er spielt einige Zeit und hört dann auf, auf den Bongos zu trommeln.</v>
      </c>
    </row>
    <row r="14028">
      <c r="A14028" s="4" t="s">
        <v>17660</v>
      </c>
      <c r="B14028" s="4" t="s">
        <v>17661</v>
      </c>
      <c r="C14028" s="5" t="str">
        <f>IFERROR(__xludf.DUMMYFUNCTION("GOOGLETRANSLATE(B14028,""en"",""de"")"),"Eine große Gruppe von Menschen sitzt in einem Floß und paddelt sich entlang eines rauen Flusses.")</f>
        <v>Eine große Gruppe von Menschen sitzt in einem Floß und paddelt sich entlang eines rauen Flusses.</v>
      </c>
    </row>
    <row r="14029">
      <c r="A14029" s="4" t="s">
        <v>17660</v>
      </c>
      <c r="B14029" s="4" t="s">
        <v>17662</v>
      </c>
      <c r="C14029" s="5" t="str">
        <f>IFERROR(__xludf.DUMMYFUNCTION("GOOGLETRANSLATE(B14029,""en"",""de"")"),"Die Kamera schwenkt rundum zu Leuten, die im Floß sitzen und sich weiterhin unter einer Brücke bewegen.")</f>
        <v>Die Kamera schwenkt rundum zu Leuten, die im Floß sitzen und sich weiterhin unter einer Brücke bewegen.</v>
      </c>
    </row>
    <row r="14030">
      <c r="A14030" s="4" t="s">
        <v>17663</v>
      </c>
      <c r="B14030" s="4" t="s">
        <v>1487</v>
      </c>
      <c r="C14030" s="5" t="str">
        <f>IFERROR(__xludf.DUMMYFUNCTION("GOOGLETRANSLATE(B14030,""en"",""de"")"),"Wir sehen einen Öffnungsbildschirm.")</f>
        <v>Wir sehen einen Öffnungsbildschirm.</v>
      </c>
    </row>
    <row r="14031">
      <c r="A14031" s="4" t="s">
        <v>17663</v>
      </c>
      <c r="B14031" s="4" t="s">
        <v>17664</v>
      </c>
      <c r="C14031" s="5" t="str">
        <f>IFERROR(__xludf.DUMMYFUNCTION("GOOGLETRANSLATE(B14031,""en"",""de"")"),"Wir sehen einen Nachrichtensprecher sprechen.")</f>
        <v>Wir sehen einen Nachrichtensprecher sprechen.</v>
      </c>
    </row>
    <row r="14032">
      <c r="A14032" s="4" t="s">
        <v>17663</v>
      </c>
      <c r="B14032" s="4" t="s">
        <v>17665</v>
      </c>
      <c r="C14032" s="5" t="str">
        <f>IFERROR(__xludf.DUMMYFUNCTION("GOOGLETRANSLATE(B14032,""en"",""de"")"),"Wir sehen einen Mann in einem Raum, dann einen Kampf und Männer in einem Büro, bevor wir mehr in einem Actionfilm kämpfen.")</f>
        <v>Wir sehen einen Mann in einem Raum, dann einen Kampf und Männer in einem Büro, bevor wir mehr in einem Actionfilm kämpfen.</v>
      </c>
    </row>
    <row r="14033">
      <c r="A14033" s="4" t="s">
        <v>17663</v>
      </c>
      <c r="B14033" s="4" t="s">
        <v>17666</v>
      </c>
      <c r="C14033" s="5" t="str">
        <f>IFERROR(__xludf.DUMMYFUNCTION("GOOGLETRANSLATE(B14033,""en"",""de"")"),"Wir kehren zum Nachrichtensprecher zurück, als sie einen Superheldenfilm diskutiert.")</f>
        <v>Wir kehren zum Nachrichtensprecher zurück, als sie einen Superheldenfilm diskutiert.</v>
      </c>
    </row>
    <row r="14034">
      <c r="A14034" s="4" t="s">
        <v>17663</v>
      </c>
      <c r="B14034" s="4" t="s">
        <v>17667</v>
      </c>
      <c r="C14034" s="5" t="str">
        <f>IFERROR(__xludf.DUMMYFUNCTION("GOOGLETRANSLATE(B14034,""en"",""de"")"),"Ihr Bildschirm ändert sich in den Titelbildschirm.")</f>
        <v>Ihr Bildschirm ändert sich in den Titelbildschirm.</v>
      </c>
    </row>
    <row r="14035">
      <c r="A14035" s="4" t="s">
        <v>17668</v>
      </c>
      <c r="B14035" s="4" t="s">
        <v>17669</v>
      </c>
      <c r="C14035" s="5" t="str">
        <f>IFERROR(__xludf.DUMMYFUNCTION("GOOGLETRANSLATE(B14035,""en"",""de"")"),"Eine junge Frau ist zu sehen, wie sie in einen Ball herumgeht und einen Ball durch einen Raum schlägt.")</f>
        <v>Eine junge Frau ist zu sehen, wie sie in einen Ball herumgeht und einen Ball durch einen Raum schlägt.</v>
      </c>
    </row>
    <row r="14036">
      <c r="A14036" s="4" t="s">
        <v>17668</v>
      </c>
      <c r="B14036" s="4" t="s">
        <v>17670</v>
      </c>
      <c r="C14036" s="5" t="str">
        <f>IFERROR(__xludf.DUMMYFUNCTION("GOOGLETRANSLATE(B14036,""en"",""de"")"),"Das Mädchen geht durch den Raum zurück und den vierten Platz, während er einen Tennisschläger hält und einen Ball schlägt.")</f>
        <v>Das Mädchen geht durch den Raum zurück und den vierten Platz, während er einen Tennisschläger hält und einen Ball schlägt.</v>
      </c>
    </row>
    <row r="14037">
      <c r="A14037" s="4" t="s">
        <v>17668</v>
      </c>
      <c r="B14037" s="4" t="s">
        <v>17671</v>
      </c>
      <c r="C14037" s="5" t="str">
        <f>IFERROR(__xludf.DUMMYFUNCTION("GOOGLETRANSLATE(B14037,""en"",""de"")"),"Das Mädchen schlägt weiterhin den Ball herum, während die Kamera beobachtet.")</f>
        <v>Das Mädchen schlägt weiterhin den Ball herum, während die Kamera beobachtet.</v>
      </c>
    </row>
    <row r="14038">
      <c r="A14038" s="4" t="s">
        <v>17672</v>
      </c>
      <c r="B14038" s="4" t="s">
        <v>17673</v>
      </c>
      <c r="C14038" s="5" t="str">
        <f>IFERROR(__xludf.DUMMYFUNCTION("GOOGLETRANSLATE(B14038,""en"",""de"")"),"An einem Tor stehen zwei braune Hot Dog -Hunde am Ende einer Treppe.")</f>
        <v>An einem Tor stehen zwei braune Hot Dog -Hunde am Ende einer Treppe.</v>
      </c>
    </row>
    <row r="14039">
      <c r="A14039" s="4" t="s">
        <v>17672</v>
      </c>
      <c r="B14039" s="4" t="s">
        <v>17674</v>
      </c>
      <c r="C14039" s="5" t="str">
        <f>IFERROR(__xludf.DUMMYFUNCTION("GOOGLETRANSLATE(B14039,""en"",""de"")"),"Einer der Hunde, die dem Tor am nächsten liegen, lässt das Tor offen und beide Hunde rennen in sehr schnellem Tempo die Treppe hinauf, während die Kamera -Person nach ihnen läuft.")</f>
        <v>Einer der Hunde, die dem Tor am nächsten liegen, lässt das Tor offen und beide Hunde rennen in sehr schnellem Tempo die Treppe hinauf, während die Kamera -Person nach ihnen läuft.</v>
      </c>
    </row>
    <row r="14040">
      <c r="A14040" s="4" t="s">
        <v>17672</v>
      </c>
      <c r="B14040" s="4" t="s">
        <v>17675</v>
      </c>
      <c r="C14040" s="5" t="str">
        <f>IFERROR(__xludf.DUMMYFUNCTION("GOOGLETRANSLATE(B14040,""en"",""de"")"),"Die Hunde sind so schnell, dass die Kamera -Person nicht mit ihnen Schritt halten kann, und wenn sie sie finden, bemühen sich die Hunde sehr, in eine Badewanne zu gelangen, die Wasser enthält.")</f>
        <v>Die Hunde sind so schnell, dass die Kamera -Person nicht mit ihnen Schritt halten kann, und wenn sie sie finden, bemühen sich die Hunde sehr, in eine Badewanne zu gelangen, die Wasser enthält.</v>
      </c>
    </row>
    <row r="14041">
      <c r="A14041" s="4" t="s">
        <v>17672</v>
      </c>
      <c r="B14041" s="4" t="s">
        <v>17676</v>
      </c>
      <c r="C14041" s="5" t="str">
        <f>IFERROR(__xludf.DUMMYFUNCTION("GOOGLETRANSLATE(B14041,""en"",""de"")"),"Der erste Hund gelingt es, einzuspringen und beginnt im Wasser zu schwimmen, und der andere Hund kann nicht einsteigen und weiter springen und kämpft, bis die Kamera den Hund in die Wanne steckt und jetzt beide Hunde in der glücklich spielen und schwimmen"&amp;" Wasser.")</f>
        <v>Der erste Hund gelingt es, einzuspringen und beginnt im Wasser zu schwimmen, und der andere Hund kann nicht einsteigen und weiter springen und kämpft, bis die Kamera den Hund in die Wanne steckt und jetzt beide Hunde in der glücklich spielen und schwimmen Wasser.</v>
      </c>
    </row>
    <row r="14042">
      <c r="A14042" s="4" t="s">
        <v>17677</v>
      </c>
      <c r="B14042" s="4" t="s">
        <v>17678</v>
      </c>
      <c r="C14042" s="5" t="str">
        <f>IFERROR(__xludf.DUMMYFUNCTION("GOOGLETRANSLATE(B14042,""en"",""de"")"),"Ein TV -Nachrichten -Anker berichtet über eine Geschichte.")</f>
        <v>Ein TV -Nachrichten -Anker berichtet über eine Geschichte.</v>
      </c>
    </row>
    <row r="14043">
      <c r="A14043" s="4" t="s">
        <v>17677</v>
      </c>
      <c r="B14043" s="4" t="s">
        <v>17679</v>
      </c>
      <c r="C14043" s="5" t="str">
        <f>IFERROR(__xludf.DUMMYFUNCTION("GOOGLETRANSLATE(B14043,""en"",""de"")"),"Eine Vielzahl von Menschen wird gezeigt, wie sie ihre Hände beobachten, wie der Bericht über Keime spricht.")</f>
        <v>Eine Vielzahl von Menschen wird gezeigt, wie sie ihre Hände beobachten, wie der Bericht über Keime spricht.</v>
      </c>
    </row>
    <row r="14044">
      <c r="A14044" s="4" t="s">
        <v>17677</v>
      </c>
      <c r="B14044" s="4" t="s">
        <v>17680</v>
      </c>
      <c r="C14044" s="5" t="str">
        <f>IFERROR(__xludf.DUMMYFUNCTION("GOOGLETRANSLATE(B14044,""en"",""de"")"),"Ein TV -Nachrichtenanker erscheint.")</f>
        <v>Ein TV -Nachrichtenanker erscheint.</v>
      </c>
    </row>
    <row r="14045">
      <c r="A14045" s="4" t="s">
        <v>17681</v>
      </c>
      <c r="B14045" s="4" t="s">
        <v>17682</v>
      </c>
      <c r="C14045" s="5" t="str">
        <f>IFERROR(__xludf.DUMMYFUNCTION("GOOGLETRANSLATE(B14045,""en"",""de"")"),"Menschen fahren Kamele durch die Wüste.")</f>
        <v>Menschen fahren Kamele durch die Wüste.</v>
      </c>
    </row>
    <row r="14046">
      <c r="A14046" s="4" t="s">
        <v>17681</v>
      </c>
      <c r="B14046" s="4" t="s">
        <v>17683</v>
      </c>
      <c r="C14046" s="5" t="str">
        <f>IFERROR(__xludf.DUMMYFUNCTION("GOOGLETRANSLATE(B14046,""en"",""de"")"),"Eine Person, die eine Kamera oder ein Gepäck trägt, geht mit einer der Gruppen.")</f>
        <v>Eine Person, die eine Kamera oder ein Gepäck trägt, geht mit einer der Gruppen.</v>
      </c>
    </row>
    <row r="14047">
      <c r="A14047" s="4" t="s">
        <v>17681</v>
      </c>
      <c r="B14047" s="4" t="s">
        <v>17684</v>
      </c>
      <c r="C14047" s="5" t="str">
        <f>IFERROR(__xludf.DUMMYFUNCTION("GOOGLETRANSLATE(B14047,""en"",""de"")"),"Die erste Kamelgruppe geht zurück zur Kamera.")</f>
        <v>Die erste Kamelgruppe geht zurück zur Kamera.</v>
      </c>
    </row>
    <row r="14048">
      <c r="A14048" s="4" t="s">
        <v>17685</v>
      </c>
      <c r="B14048" s="4" t="s">
        <v>17686</v>
      </c>
      <c r="C14048" s="5" t="str">
        <f>IFERROR(__xludf.DUMMYFUNCTION("GOOGLETRANSLATE(B14048,""en"",""de"")"),"Eine Gruppe kleiner Mädchen und Jungen ist wie Prinzessinnen und Fürsten gekleidet.")</f>
        <v>Eine Gruppe kleiner Mädchen und Jungen ist wie Prinzessinnen und Fürsten gekleidet.</v>
      </c>
    </row>
    <row r="14049">
      <c r="A14049" s="4" t="s">
        <v>17685</v>
      </c>
      <c r="B14049" s="4" t="s">
        <v>17687</v>
      </c>
      <c r="C14049" s="5" t="str">
        <f>IFERROR(__xludf.DUMMYFUNCTION("GOOGLETRANSLATE(B14049,""en"",""de"")"),"Eines der Mädchen tippt mit einem Baseballschläger auf eine Pinata.")</f>
        <v>Eines der Mädchen tippt mit einem Baseballschläger auf eine Pinata.</v>
      </c>
    </row>
    <row r="14050">
      <c r="A14050" s="4" t="s">
        <v>17685</v>
      </c>
      <c r="B14050" s="4" t="s">
        <v>17688</v>
      </c>
      <c r="C14050" s="5" t="str">
        <f>IFERROR(__xludf.DUMMYFUNCTION("GOOGLETRANSLATE(B14050,""en"",""de"")"),"Sie klopft immer und immer wieder, bricht aber nicht die Pinata.")</f>
        <v>Sie klopft immer und immer wieder, bricht aber nicht die Pinata.</v>
      </c>
    </row>
    <row r="14051">
      <c r="A14051" s="4" t="s">
        <v>17689</v>
      </c>
      <c r="B14051" s="4" t="s">
        <v>17690</v>
      </c>
      <c r="C14051" s="5" t="str">
        <f>IFERROR(__xludf.DUMMYFUNCTION("GOOGLETRANSLATE(B14051,""en"",""de"")"),"Eine Gruppe spielt Volleyball am Strand.")</f>
        <v>Eine Gruppe spielt Volleyball am Strand.</v>
      </c>
    </row>
    <row r="14052">
      <c r="A14052" s="4" t="s">
        <v>17689</v>
      </c>
      <c r="B14052" s="4" t="s">
        <v>17691</v>
      </c>
      <c r="C14052" s="5" t="str">
        <f>IFERROR(__xludf.DUMMYFUNCTION("GOOGLETRANSLATE(B14052,""en"",""de"")"),"Der Männervolleyball über das Netz hin und her.")</f>
        <v>Der Männervolleyball über das Netz hin und her.</v>
      </c>
    </row>
    <row r="14053">
      <c r="A14053" s="4" t="s">
        <v>17689</v>
      </c>
      <c r="B14053" s="4" t="s">
        <v>17692</v>
      </c>
      <c r="C14053" s="5" t="str">
        <f>IFERROR(__xludf.DUMMYFUNCTION("GOOGLETRANSLATE(B14053,""en"",""de"")"),"Einer der Spieler fällt auf den Sand.")</f>
        <v>Einer der Spieler fällt auf den Sand.</v>
      </c>
    </row>
    <row r="14054">
      <c r="A14054" s="4" t="s">
        <v>17693</v>
      </c>
      <c r="B14054" s="4" t="s">
        <v>17694</v>
      </c>
      <c r="C14054" s="5" t="str">
        <f>IFERROR(__xludf.DUMMYFUNCTION("GOOGLETRANSLATE(B14054,""en"",""de"")"),"Eine Frau spricht vor einem Hopscotch.")</f>
        <v>Eine Frau spricht vor einem Hopscotch.</v>
      </c>
    </row>
    <row r="14055">
      <c r="A14055" s="4" t="s">
        <v>17693</v>
      </c>
      <c r="B14055" s="4" t="s">
        <v>17695</v>
      </c>
      <c r="C14055" s="5" t="str">
        <f>IFERROR(__xludf.DUMMYFUNCTION("GOOGLETRANSLATE(B14055,""en"",""de"")"),"Dann hüpft die Frau in den Hopscotch, während er redet.")</f>
        <v>Dann hüpft die Frau in den Hopscotch, während er redet.</v>
      </c>
    </row>
    <row r="14056">
      <c r="A14056" s="4" t="s">
        <v>17693</v>
      </c>
      <c r="B14056" s="4" t="s">
        <v>17696</v>
      </c>
      <c r="C14056" s="5" t="str">
        <f>IFERROR(__xludf.DUMMYFUNCTION("GOOGLETRANSLATE(B14056,""en"",""de"")"),"Die Frau dreht sich um, wenn er bis zum Ende des Hopscotch ankommt und weiter hüpft.")</f>
        <v>Die Frau dreht sich um, wenn er bis zum Ende des Hopscotch ankommt und weiter hüpft.</v>
      </c>
    </row>
    <row r="14057">
      <c r="A14057" s="4" t="s">
        <v>17697</v>
      </c>
      <c r="B14057" s="4" t="s">
        <v>17698</v>
      </c>
      <c r="C14057" s="5" t="str">
        <f>IFERROR(__xludf.DUMMYFUNCTION("GOOGLETRANSLATE(B14057,""en"",""de"")"),"Ein Wrestler nimmt einen weiteren Wrestler vom Boden auf.")</f>
        <v>Ein Wrestler nimmt einen weiteren Wrestler vom Boden auf.</v>
      </c>
    </row>
    <row r="14058">
      <c r="A14058" s="4" t="s">
        <v>17697</v>
      </c>
      <c r="B14058" s="4" t="s">
        <v>17699</v>
      </c>
      <c r="C14058" s="5" t="str">
        <f>IFERROR(__xludf.DUMMYFUNCTION("GOOGLETRANSLATE(B14058,""en"",""de"")"),"Der Wrestler hebt ihn in die Luft.")</f>
        <v>Der Wrestler hebt ihn in die Luft.</v>
      </c>
    </row>
    <row r="14059">
      <c r="A14059" s="4" t="s">
        <v>17697</v>
      </c>
      <c r="B14059" s="4" t="s">
        <v>17700</v>
      </c>
      <c r="C14059" s="5" t="str">
        <f>IFERROR(__xludf.DUMMYFUNCTION("GOOGLETRANSLATE(B14059,""en"",""de"")"),"Zuletzt lässt der Wrestler ihn hart auf den Boden fallen.")</f>
        <v>Zuletzt lässt der Wrestler ihn hart auf den Boden fallen.</v>
      </c>
    </row>
    <row r="14060">
      <c r="A14060" s="4" t="s">
        <v>17701</v>
      </c>
      <c r="B14060" s="4" t="s">
        <v>17702</v>
      </c>
      <c r="C14060" s="5" t="str">
        <f>IFERROR(__xludf.DUMMYFUNCTION("GOOGLETRANSLATE(B14060,""en"",""de"")"),"Ein großes Rad dreht sich ununterbrochen auf einem Stand.")</f>
        <v>Ein großes Rad dreht sich ununterbrochen auf einem Stand.</v>
      </c>
    </row>
    <row r="14061">
      <c r="A14061" s="4" t="s">
        <v>17701</v>
      </c>
      <c r="B14061" s="4" t="s">
        <v>17703</v>
      </c>
      <c r="C14061" s="5" t="str">
        <f>IFERROR(__xludf.DUMMYFUNCTION("GOOGLETRANSLATE(B14061,""en"",""de"")"),"Wir nutzen den Truing -Stand und die Speichen.")</f>
        <v>Wir nutzen den Truing -Stand und die Speichen.</v>
      </c>
    </row>
    <row r="14062">
      <c r="A14062" s="4" t="s">
        <v>17701</v>
      </c>
      <c r="B14062" s="4" t="s">
        <v>17704</v>
      </c>
      <c r="C14062" s="5" t="str">
        <f>IFERROR(__xludf.DUMMYFUNCTION("GOOGLETRANSLATE(B14062,""en"",""de"")"),"Das Fahrradrad wird dann eingestellt und befestigt.")</f>
        <v>Das Fahrradrad wird dann eingestellt und befestigt.</v>
      </c>
    </row>
    <row r="14063">
      <c r="A14063" s="4" t="s">
        <v>17705</v>
      </c>
      <c r="B14063" s="4" t="s">
        <v>17706</v>
      </c>
      <c r="C14063" s="5" t="str">
        <f>IFERROR(__xludf.DUMMYFUNCTION("GOOGLETRANSLATE(B14063,""en"",""de"")"),"Eine Nahaufnahme des Fahrradlenkers wird ebenso angezeigt und eine Person, die den Lenker einstellt.")</f>
        <v>Eine Nahaufnahme des Fahrradlenkers wird ebenso angezeigt und eine Person, die den Lenker einstellt.</v>
      </c>
    </row>
    <row r="14064">
      <c r="A14064" s="4" t="s">
        <v>17705</v>
      </c>
      <c r="B14064" s="4" t="s">
        <v>17707</v>
      </c>
      <c r="C14064" s="5" t="str">
        <f>IFERROR(__xludf.DUMMYFUNCTION("GOOGLETRANSLATE(B14064,""en"",""de"")"),"Die Kamera vergrößert die Stangen und die Person gießt Flüssigkeit in die Seite.")</f>
        <v>Die Kamera vergrößert die Stangen und die Person gießt Flüssigkeit in die Seite.</v>
      </c>
    </row>
    <row r="14065">
      <c r="A14065" s="4" t="s">
        <v>17705</v>
      </c>
      <c r="B14065" s="4" t="s">
        <v>17708</v>
      </c>
      <c r="C14065" s="5" t="str">
        <f>IFERROR(__xludf.DUMMYFUNCTION("GOOGLETRANSLATE(B14065,""en"",""de"")"),"Der Mann arbeitet weiter und endet, indem er den Lenker zurückbringt und wegfährt.")</f>
        <v>Der Mann arbeitet weiter und endet, indem er den Lenker zurückbringt und wegfährt.</v>
      </c>
    </row>
    <row r="14066">
      <c r="A14066" s="4" t="s">
        <v>17709</v>
      </c>
      <c r="B14066" s="4" t="s">
        <v>17710</v>
      </c>
      <c r="C14066" s="5" t="str">
        <f>IFERROR(__xludf.DUMMYFUNCTION("GOOGLETRANSLATE(B14066,""en"",""de"")"),"Eine Frau auf dem Bildschirm spricht über Limonade.")</f>
        <v>Eine Frau auf dem Bildschirm spricht über Limonade.</v>
      </c>
    </row>
    <row r="14067">
      <c r="A14067" s="4" t="s">
        <v>17709</v>
      </c>
      <c r="B14067" s="4" t="s">
        <v>17711</v>
      </c>
      <c r="C14067" s="5" t="str">
        <f>IFERROR(__xludf.DUMMYFUNCTION("GOOGLETRANSLATE(B14067,""en"",""de"")"),"Sie sägt ihre Zitronen auf einem Schneidebrett mit einem Messer und einer Schüssel.")</f>
        <v>Sie sägt ihre Zitronen auf einem Schneidebrett mit einem Messer und einer Schüssel.</v>
      </c>
    </row>
    <row r="14068">
      <c r="A14068" s="4" t="s">
        <v>17709</v>
      </c>
      <c r="B14068" s="4" t="s">
        <v>17712</v>
      </c>
      <c r="C14068" s="5" t="str">
        <f>IFERROR(__xludf.DUMMYFUNCTION("GOOGLETRANSLATE(B14068,""en"",""de"")"),"Sie belastet ihren Saft in eine größere Tasse.")</f>
        <v>Sie belastet ihren Saft in eine größere Tasse.</v>
      </c>
    </row>
    <row r="14069">
      <c r="A14069" s="4" t="s">
        <v>17709</v>
      </c>
      <c r="B14069" s="4" t="s">
        <v>17713</v>
      </c>
      <c r="C14069" s="5" t="str">
        <f>IFERROR(__xludf.DUMMYFUNCTION("GOOGLETRANSLATE(B14069,""en"",""de"")"),"In einem Ofen bereitet sie einfachen Zucker mit Wasser und Zucker vor.")</f>
        <v>In einem Ofen bereitet sie einfachen Zucker mit Wasser und Zucker vor.</v>
      </c>
    </row>
    <row r="14070">
      <c r="A14070" s="4" t="s">
        <v>17709</v>
      </c>
      <c r="B14070" s="4" t="s">
        <v>17714</v>
      </c>
      <c r="C14070" s="5" t="str">
        <f>IFERROR(__xludf.DUMMYFUNCTION("GOOGLETRANSLATE(B14070,""en"",""de"")"),"Sie mischt alle ihre Zutaten in einem Krug, um Limonade zu machen.")</f>
        <v>Sie mischt alle ihre Zutaten in einem Krug, um Limonade zu machen.</v>
      </c>
    </row>
    <row r="14071">
      <c r="A14071" s="4" t="s">
        <v>17709</v>
      </c>
      <c r="B14071" s="4" t="s">
        <v>17715</v>
      </c>
      <c r="C14071" s="5" t="str">
        <f>IFERROR(__xludf.DUMMYFUNCTION("GOOGLETRANSLATE(B14071,""en"",""de"")"),"Sie zeigt andere Limonadenrezepte.")</f>
        <v>Sie zeigt andere Limonadenrezepte.</v>
      </c>
    </row>
    <row r="14072">
      <c r="A14072" s="4" t="s">
        <v>17716</v>
      </c>
      <c r="B14072" s="4" t="s">
        <v>17717</v>
      </c>
      <c r="C14072" s="5" t="str">
        <f>IFERROR(__xludf.DUMMYFUNCTION("GOOGLETRANSLATE(B14072,""en"",""de"")"),"Ein Mann in einem blauen Hemd hebt ein Kind auf eine Theke.")</f>
        <v>Ein Mann in einem blauen Hemd hebt ein Kind auf eine Theke.</v>
      </c>
    </row>
    <row r="14073">
      <c r="A14073" s="4" t="s">
        <v>17716</v>
      </c>
      <c r="B14073" s="4" t="s">
        <v>17718</v>
      </c>
      <c r="C14073" s="5" t="str">
        <f>IFERROR(__xludf.DUMMYFUNCTION("GOOGLETRANSLATE(B14073,""en"",""de"")"),"Das Kind werfen Darts auf Luftballons an die Wand.")</f>
        <v>Das Kind werfen Darts auf Luftballons an die Wand.</v>
      </c>
    </row>
    <row r="14074">
      <c r="A14074" s="4" t="s">
        <v>17716</v>
      </c>
      <c r="B14074" s="4" t="s">
        <v>17719</v>
      </c>
      <c r="C14074" s="5" t="str">
        <f>IFERROR(__xludf.DUMMYFUNCTION("GOOGLETRANSLATE(B14074,""en"",""de"")"),"Die Frau hinter der Theke gibt dem Jungen ein Spielzeug.")</f>
        <v>Die Frau hinter der Theke gibt dem Jungen ein Spielzeug.</v>
      </c>
    </row>
    <row r="14075">
      <c r="A14075" s="4" t="s">
        <v>17720</v>
      </c>
      <c r="B14075" s="4" t="s">
        <v>17721</v>
      </c>
      <c r="C14075" s="5" t="str">
        <f>IFERROR(__xludf.DUMMYFUNCTION("GOOGLETRANSLATE(B14075,""en"",""de"")"),"Zwei Frauen sprechen miteinander und führen zu einem Volleyballspiel einer großen Gruppe von Menschen.")</f>
        <v>Zwei Frauen sprechen miteinander und führen zu einem Volleyballspiel einer großen Gruppe von Menschen.</v>
      </c>
    </row>
    <row r="14076">
      <c r="A14076" s="4" t="s">
        <v>17720</v>
      </c>
      <c r="B14076" s="4" t="s">
        <v>17722</v>
      </c>
      <c r="C14076" s="5" t="str">
        <f>IFERROR(__xludf.DUMMYFUNCTION("GOOGLETRANSLATE(B14076,""en"",""de"")"),"Die Leute spielen weiter und vierten, während das Publikum jubelt und aufhört, miteinander zu sprechen.")</f>
        <v>Die Leute spielen weiter und vierten, während das Publikum jubelt und aufhört, miteinander zu sprechen.</v>
      </c>
    </row>
    <row r="14077">
      <c r="A14077" s="4" t="s">
        <v>17723</v>
      </c>
      <c r="B14077" s="4" t="s">
        <v>1487</v>
      </c>
      <c r="C14077" s="5" t="str">
        <f>IFERROR(__xludf.DUMMYFUNCTION("GOOGLETRANSLATE(B14077,""en"",""de"")"),"Wir sehen einen Öffnungsbildschirm.")</f>
        <v>Wir sehen einen Öffnungsbildschirm.</v>
      </c>
    </row>
    <row r="14078">
      <c r="A14078" s="4" t="s">
        <v>17723</v>
      </c>
      <c r="B14078" s="4" t="s">
        <v>17724</v>
      </c>
      <c r="C14078" s="5" t="str">
        <f>IFERROR(__xludf.DUMMYFUNCTION("GOOGLETRANSLATE(B14078,""en"",""de"")"),"Ein Mann taucht wiederholt in einen großen Pool ein.")</f>
        <v>Ein Mann taucht wiederholt in einen großen Pool ein.</v>
      </c>
    </row>
    <row r="14079">
      <c r="A14079" s="4" t="s">
        <v>17723</v>
      </c>
      <c r="B14079" s="4" t="s">
        <v>17725</v>
      </c>
      <c r="C14079" s="5" t="str">
        <f>IFERROR(__xludf.DUMMYFUNCTION("GOOGLETRANSLATE(B14079,""en"",""de"")"),"Ein Mann, der auf der Seitenmitte sitzt, macht Fotos im Sitzen.")</f>
        <v>Ein Mann, der auf der Seitenmitte sitzt, macht Fotos im Sitzen.</v>
      </c>
    </row>
    <row r="14080">
      <c r="A14080" s="4" t="s">
        <v>17723</v>
      </c>
      <c r="B14080" s="4" t="s">
        <v>17726</v>
      </c>
      <c r="C14080" s="5" t="str">
        <f>IFERROR(__xludf.DUMMYFUNCTION("GOOGLETRANSLATE(B14080,""en"",""de"")"),"Der sitzende Mann steht und macht Fotos vom Taucher.")</f>
        <v>Der sitzende Mann steht und macht Fotos vom Taucher.</v>
      </c>
    </row>
    <row r="14081">
      <c r="A14081" s="4" t="s">
        <v>17723</v>
      </c>
      <c r="B14081" s="4" t="s">
        <v>17727</v>
      </c>
      <c r="C14081" s="5" t="str">
        <f>IFERROR(__xludf.DUMMYFUNCTION("GOOGLETRANSLATE(B14081,""en"",""de"")"),"Der Taucher schwimmt zum Rand des Pools.")</f>
        <v>Der Taucher schwimmt zum Rand des Pools.</v>
      </c>
    </row>
    <row r="14082">
      <c r="A14082" s="4" t="s">
        <v>17728</v>
      </c>
      <c r="B14082" s="4" t="s">
        <v>17729</v>
      </c>
      <c r="C14082" s="5" t="str">
        <f>IFERROR(__xludf.DUMMYFUNCTION("GOOGLETRANSLATE(B14082,""en"",""de"")"),"Eine Person ohne Arme sitzt auf einem Stuhl und spielt mit den Füßen Gitarre.")</f>
        <v>Eine Person ohne Arme sitzt auf einem Stuhl und spielt mit den Füßen Gitarre.</v>
      </c>
    </row>
    <row r="14083">
      <c r="A14083" s="4" t="s">
        <v>17728</v>
      </c>
      <c r="B14083" s="4" t="s">
        <v>17730</v>
      </c>
      <c r="C14083" s="5" t="str">
        <f>IFERROR(__xludf.DUMMYFUNCTION("GOOGLETRANSLATE(B14083,""en"",""de"")"),"Er spielt weiter, während er mit singt und seine Füße die Gitarre hinauf und runter bewegt.")</f>
        <v>Er spielt weiter, während er mit singt und seine Füße die Gitarre hinauf und runter bewegt.</v>
      </c>
    </row>
    <row r="14084">
      <c r="A14084" s="4" t="s">
        <v>17731</v>
      </c>
      <c r="B14084" s="4" t="s">
        <v>17732</v>
      </c>
      <c r="C14084" s="5" t="str">
        <f>IFERROR(__xludf.DUMMYFUNCTION("GOOGLETRANSLATE(B14084,""en"",""de"")"),"Eine Frau in einem weißen Kleid betritt ihr Haus, alle glücklich, sehr enttäuscht zu sein, wenn sie das Geschirr im Waschbecken sieht.")</f>
        <v>Eine Frau in einem weißen Kleid betritt ihr Haus, alle glücklich, sehr enttäuscht zu sein, wenn sie das Geschirr im Waschbecken sieht.</v>
      </c>
    </row>
    <row r="14085">
      <c r="A14085" s="4" t="s">
        <v>17731</v>
      </c>
      <c r="B14085" s="4" t="s">
        <v>17733</v>
      </c>
      <c r="C14085" s="5" t="str">
        <f>IFERROR(__xludf.DUMMYFUNCTION("GOOGLETRANSLATE(B14085,""en"",""de"")"),"Sie wechselt aus ihrem Kleid in eine bequeme Kleidung und kommt in die Küche, um das Geschirr zu machen.")</f>
        <v>Sie wechselt aus ihrem Kleid in eine bequeme Kleidung und kommt in die Küche, um das Geschirr zu machen.</v>
      </c>
    </row>
    <row r="14086">
      <c r="A14086" s="4" t="s">
        <v>17731</v>
      </c>
      <c r="B14086" s="4" t="s">
        <v>17734</v>
      </c>
      <c r="C14086" s="5" t="str">
        <f>IFERROR(__xludf.DUMMYFUNCTION("GOOGLETRANSLATE(B14086,""en"",""de"")"),"Sie bläst sehr kindisch Blasen mit der Seife und tanzt herum.")</f>
        <v>Sie bläst sehr kindisch Blasen mit der Seife und tanzt herum.</v>
      </c>
    </row>
    <row r="14087">
      <c r="A14087" s="4" t="s">
        <v>17731</v>
      </c>
      <c r="B14087" s="4" t="s">
        <v>17735</v>
      </c>
      <c r="C14087" s="5" t="str">
        <f>IFERROR(__xludf.DUMMYFUNCTION("GOOGLETRANSLATE(B14087,""en"",""de"")"),"Sie trocknet einige der Gerichte mit einem Lappen und legte den Rest in die Spülmaschine, sobald die Gerichte in der Schüsselreinigung fertig sind, nimmt sie sie heraus und legt sie alle weg.")</f>
        <v>Sie trocknet einige der Gerichte mit einem Lappen und legte den Rest in die Spülmaschine, sobald die Gerichte in der Schüsselreinigung fertig sind, nimmt sie sie heraus und legt sie alle weg.</v>
      </c>
    </row>
    <row r="14088">
      <c r="A14088" s="4" t="s">
        <v>17736</v>
      </c>
      <c r="B14088" s="4" t="s">
        <v>17737</v>
      </c>
      <c r="C14088" s="5" t="str">
        <f>IFERROR(__xludf.DUMMYFUNCTION("GOOGLETRANSLATE(B14088,""en"",""de"")"),"Eine Frau legt etwas Lotion auf ihre Hand.")</f>
        <v>Eine Frau legt etwas Lotion auf ihre Hand.</v>
      </c>
    </row>
    <row r="14089">
      <c r="A14089" s="4" t="s">
        <v>17736</v>
      </c>
      <c r="B14089" s="4" t="s">
        <v>17738</v>
      </c>
      <c r="C14089" s="5" t="str">
        <f>IFERROR(__xludf.DUMMYFUNCTION("GOOGLETRANSLATE(B14089,""en"",""de"")"),"Sie reibt die Lotion auf ihr Gesicht.")</f>
        <v>Sie reibt die Lotion auf ihr Gesicht.</v>
      </c>
    </row>
    <row r="14090">
      <c r="A14090" s="4" t="s">
        <v>17736</v>
      </c>
      <c r="B14090" s="4" t="s">
        <v>17739</v>
      </c>
      <c r="C14090" s="5" t="str">
        <f>IFERROR(__xludf.DUMMYFUNCTION("GOOGLETRANSLATE(B14090,""en"",""de"")"),"Eine Cartoon -Demonstration wird auf dem Bildschirm angezeigt.")</f>
        <v>Eine Cartoon -Demonstration wird auf dem Bildschirm angezeigt.</v>
      </c>
    </row>
    <row r="14091">
      <c r="A14091" s="4" t="s">
        <v>17740</v>
      </c>
      <c r="B14091" s="4" t="s">
        <v>17741</v>
      </c>
      <c r="C14091" s="5" t="str">
        <f>IFERROR(__xludf.DUMMYFUNCTION("GOOGLETRANSLATE(B14091,""en"",""de"")"),"Ein Mädchen wird gezeigt, wie sie sich mehrmals wäscht und ihr Gesicht schrubbt, während sie in die Kamera spricht.")</f>
        <v>Ein Mädchen wird gezeigt, wie sie sich mehrmals wäscht und ihr Gesicht schrubbt, während sie in die Kamera spricht.</v>
      </c>
    </row>
    <row r="14092">
      <c r="A14092" s="4" t="s">
        <v>17740</v>
      </c>
      <c r="B14092" s="4" t="s">
        <v>17742</v>
      </c>
      <c r="C14092" s="5" t="str">
        <f>IFERROR(__xludf.DUMMYFUNCTION("GOOGLETRANSLATE(B14092,""en"",""de"")"),"Sie endet, indem sie den Wasserhahn einschaltet und Wasser durch ihr Gesicht spült.")</f>
        <v>Sie endet, indem sie den Wasserhahn einschaltet und Wasser durch ihr Gesicht spült.</v>
      </c>
    </row>
    <row r="14093">
      <c r="A14093" s="4" t="s">
        <v>17743</v>
      </c>
      <c r="B14093" s="4" t="s">
        <v>17744</v>
      </c>
      <c r="C14093" s="5" t="str">
        <f>IFERROR(__xludf.DUMMYFUNCTION("GOOGLETRANSLATE(B14093,""en"",""de"")"),"Ein junger Mann spielt mit einem anderen Mann Bowling, während er Bälle und Stifte wirft.")</f>
        <v>Ein junger Mann spielt mit einem anderen Mann Bowling, während er Bälle und Stifte wirft.</v>
      </c>
    </row>
    <row r="14094">
      <c r="A14094" s="4" t="s">
        <v>17743</v>
      </c>
      <c r="B14094" s="4" t="s">
        <v>17745</v>
      </c>
      <c r="C14094" s="5" t="str">
        <f>IFERROR(__xludf.DUMMYFUNCTION("GOOGLETRANSLATE(B14094,""en"",""de"")"),"Ein Ballausgang bildet einen Behälter.")</f>
        <v>Ein Ballausgang bildet einen Behälter.</v>
      </c>
    </row>
    <row r="14095">
      <c r="A14095" s="4" t="s">
        <v>17743</v>
      </c>
      <c r="B14095" s="4" t="s">
        <v>17746</v>
      </c>
      <c r="C14095" s="5" t="str">
        <f>IFERROR(__xludf.DUMMYFUNCTION("GOOGLETRANSLATE(B14095,""en"",""de"")"),"Ein Mann hält einen Bowlingkugel an seinen Händen.")</f>
        <v>Ein Mann hält einen Bowlingkugel an seinen Händen.</v>
      </c>
    </row>
    <row r="14096">
      <c r="A14096" s="4" t="s">
        <v>17743</v>
      </c>
      <c r="B14096" s="4" t="s">
        <v>17747</v>
      </c>
      <c r="C14096" s="5" t="str">
        <f>IFERROR(__xludf.DUMMYFUNCTION("GOOGLETRANSLATE(B14096,""en"",""de"")"),"Der junge Mann geht in einen Raum der Bowling -Einrichtung, er spielt weiter.")</f>
        <v>Der junge Mann geht in einen Raum der Bowling -Einrichtung, er spielt weiter.</v>
      </c>
    </row>
    <row r="14097">
      <c r="A14097" s="4" t="s">
        <v>17748</v>
      </c>
      <c r="B14097" s="4" t="s">
        <v>17749</v>
      </c>
      <c r="C14097" s="5" t="str">
        <f>IFERROR(__xludf.DUMMYFUNCTION("GOOGLETRANSLATE(B14097,""en"",""de"")"),"Ein Kind schlägt in einem Fitnessstudio einen Ball über ein Netz.")</f>
        <v>Ein Kind schlägt in einem Fitnessstudio einen Ball über ein Netz.</v>
      </c>
    </row>
    <row r="14098">
      <c r="A14098" s="4" t="s">
        <v>17748</v>
      </c>
      <c r="B14098" s="4" t="s">
        <v>17750</v>
      </c>
      <c r="C14098" s="5" t="str">
        <f>IFERROR(__xludf.DUMMYFUNCTION("GOOGLETRANSLATE(B14098,""en"",""de"")"),"Ein Mann steht auf der anderen Seite und schiebt den Ball zurück zu ihm.")</f>
        <v>Ein Mann steht auf der anderen Seite und schiebt den Ball zurück zu ihm.</v>
      </c>
    </row>
    <row r="14099">
      <c r="A14099" s="4" t="s">
        <v>17748</v>
      </c>
      <c r="B14099" s="4" t="s">
        <v>17751</v>
      </c>
      <c r="C14099" s="5" t="str">
        <f>IFERROR(__xludf.DUMMYFUNCTION("GOOGLETRANSLATE(B14099,""en"",""de"")"),"Sie schlagen weiterhin den Ball hin und her.")</f>
        <v>Sie schlagen weiterhin den Ball hin und her.</v>
      </c>
    </row>
    <row r="14100">
      <c r="A14100" s="4" t="s">
        <v>17752</v>
      </c>
      <c r="B14100" s="4" t="s">
        <v>17753</v>
      </c>
      <c r="C14100" s="5" t="str">
        <f>IFERROR(__xludf.DUMMYFUNCTION("GOOGLETRANSLATE(B14100,""en"",""de"")"),"Eine Person sitzt vor einer Kamera und führt in ihn und hält eine Kontaktlinse auf.")</f>
        <v>Eine Person sitzt vor einer Kamera und führt in ihn und hält eine Kontaktlinse auf.</v>
      </c>
    </row>
    <row r="14101">
      <c r="A14101" s="4" t="s">
        <v>17752</v>
      </c>
      <c r="B14101" s="4" t="s">
        <v>17754</v>
      </c>
      <c r="C14101" s="5" t="str">
        <f>IFERROR(__xludf.DUMMYFUNCTION("GOOGLETRANSLATE(B14101,""en"",""de"")"),"Die Person hält dann ihr Auge offen und legt das Objektiv ein, gefolgt von der Kamera zurück.")</f>
        <v>Die Person hält dann ihr Auge offen und legt das Objektiv ein, gefolgt von der Kamera zurück.</v>
      </c>
    </row>
    <row r="14102">
      <c r="A14102" s="4" t="s">
        <v>17755</v>
      </c>
      <c r="B14102" s="4" t="s">
        <v>17756</v>
      </c>
      <c r="C14102" s="5" t="str">
        <f>IFERROR(__xludf.DUMMYFUNCTION("GOOGLETRANSLATE(B14102,""en"",""de"")"),"Es gibt mehrere Arbeiter, die viele Flöße in einem Lastwagen packen, um weggezogen zu werden.")</f>
        <v>Es gibt mehrere Arbeiter, die viele Flöße in einem Lastwagen packen, um weggezogen zu werden.</v>
      </c>
    </row>
    <row r="14103">
      <c r="A14103" s="4" t="s">
        <v>17755</v>
      </c>
      <c r="B14103" s="4" t="s">
        <v>17757</v>
      </c>
      <c r="C14103" s="5" t="str">
        <f>IFERROR(__xludf.DUMMYFUNCTION("GOOGLETRANSLATE(B14103,""en"",""de"")"),"Es gibt einen schnell fließenden turbulenten Fluss, der unter einer Brücke fließt.")</f>
        <v>Es gibt einen schnell fließenden turbulenten Fluss, der unter einer Brücke fließt.</v>
      </c>
    </row>
    <row r="14104">
      <c r="A14104" s="4" t="s">
        <v>17755</v>
      </c>
      <c r="B14104" s="4" t="s">
        <v>17758</v>
      </c>
      <c r="C14104" s="5" t="str">
        <f>IFERROR(__xludf.DUMMYFUNCTION("GOOGLETRANSLATE(B14104,""en"",""de"")"),"Die malerische Bergaussicht zeigt Wolken, die im Wind blasen.")</f>
        <v>Die malerische Bergaussicht zeigt Wolken, die im Wind blasen.</v>
      </c>
    </row>
    <row r="14105">
      <c r="A14105" s="4" t="s">
        <v>17755</v>
      </c>
      <c r="B14105" s="4" t="s">
        <v>17759</v>
      </c>
      <c r="C14105" s="5" t="str">
        <f>IFERROR(__xludf.DUMMYFUNCTION("GOOGLETRANSLATE(B14105,""en"",""de"")"),"Es gibt viele Sparren außerhalb einer Blockhauspackung und sich auf ihre Rafting -Reise vorbereiten.")</f>
        <v>Es gibt viele Sparren außerhalb einer Blockhauspackung und sich auf ihre Rafting -Reise vorbereiten.</v>
      </c>
    </row>
    <row r="14106">
      <c r="A14106" s="4" t="s">
        <v>17755</v>
      </c>
      <c r="B14106" s="4" t="s">
        <v>17760</v>
      </c>
      <c r="C14106" s="5" t="str">
        <f>IFERROR(__xludf.DUMMYFUNCTION("GOOGLETRANSLATE(B14106,""en"",""de"")"),"Die Sparren beginnen ihr Abenteuer im wilden und turbulenten Flusswasser, während sie versuchen, über Wasser zu bleiben.")</f>
        <v>Die Sparren beginnen ihr Abenteuer im wilden und turbulenten Flusswasser, während sie versuchen, über Wasser zu bleiben.</v>
      </c>
    </row>
    <row r="14107">
      <c r="A14107" s="4" t="s">
        <v>17755</v>
      </c>
      <c r="B14107" s="4" t="s">
        <v>17761</v>
      </c>
      <c r="C14107" s="5" t="str">
        <f>IFERROR(__xludf.DUMMYFUNCTION("GOOGLETRANSLATE(B14107,""en"",""de"")"),"Die Flusswellen sind so turbulent, dass das Floß die Sparren in den starken Wellen umkippt und ertränkt.")</f>
        <v>Die Flusswellen sind so turbulent, dass das Floß die Sparren in den starken Wellen umkippt und ertränkt.</v>
      </c>
    </row>
    <row r="14108">
      <c r="A14108" s="4" t="s">
        <v>17755</v>
      </c>
      <c r="B14108" s="4" t="s">
        <v>17762</v>
      </c>
      <c r="C14108" s="5" t="str">
        <f>IFERROR(__xludf.DUMMYFUNCTION("GOOGLETRANSLATE(B14108,""en"",""de"")"),"Die Sparren bemühen sich, im Floß zu bleiben, wenn sie gegen die heftigen Wellen des Flusses kämpfen, um über Wasser zu bleiben.")</f>
        <v>Die Sparren bemühen sich, im Floß zu bleiben, wenn sie gegen die heftigen Wellen des Flusses kämpfen, um über Wasser zu bleiben.</v>
      </c>
    </row>
    <row r="14109">
      <c r="A14109" s="4" t="s">
        <v>17755</v>
      </c>
      <c r="B14109" s="4" t="s">
        <v>17763</v>
      </c>
      <c r="C14109" s="5" t="str">
        <f>IFERROR(__xludf.DUMMYFUNCTION("GOOGLETRANSLATE(B14109,""en"",""de"")"),"Die Wellen sind so stark, dass es für die Sparren im Floß schwer wird.")</f>
        <v>Die Wellen sind so stark, dass es für die Sparren im Floß schwer wird.</v>
      </c>
    </row>
    <row r="14110">
      <c r="A14110" s="4" t="s">
        <v>17755</v>
      </c>
      <c r="B14110" s="4" t="s">
        <v>17764</v>
      </c>
      <c r="C14110" s="5" t="str">
        <f>IFERROR(__xludf.DUMMYFUNCTION("GOOGLETRANSLATE(B14110,""en"",""de"")"),"Sie werden gewaltsam in den Fluss geworfen, während das Floß auf sie umsteigt.")</f>
        <v>Sie werden gewaltsam in den Fluss geworfen, während das Floß auf sie umsteigt.</v>
      </c>
    </row>
    <row r="14111">
      <c r="A14111" s="4" t="s">
        <v>17755</v>
      </c>
      <c r="B14111" s="4" t="s">
        <v>17765</v>
      </c>
      <c r="C14111" s="5" t="str">
        <f>IFERROR(__xludf.DUMMYFUNCTION("GOOGLETRANSLATE(B14111,""en"",""de"")"),"Einer der Sparren lächelt und spricht über seine Erfahrungen, als er mit seinen Mitsparren zurückgeht.")</f>
        <v>Einer der Sparren lächelt und spricht über seine Erfahrungen, als er mit seinen Mitsparren zurückgeht.</v>
      </c>
    </row>
    <row r="14112">
      <c r="A14112" s="4" t="s">
        <v>17766</v>
      </c>
      <c r="B14112" s="4" t="s">
        <v>17767</v>
      </c>
      <c r="C14112" s="5" t="str">
        <f>IFERROR(__xludf.DUMMYFUNCTION("GOOGLETRANSLATE(B14112,""en"",""de"")"),"Eine große Gruppe von Menschen sitzt in einem Fitnessstudio in einem Fitnessstudio, als ein Mädchen hereinbricht und eine Routine auf den ungleichmäßigen Bars durchführt.")</f>
        <v>Eine große Gruppe von Menschen sitzt in einem Fitnessstudio in einem Fitnessstudio, als ein Mädchen hereinbricht und eine Routine auf den ungleichmäßigen Bars durchführt.</v>
      </c>
    </row>
    <row r="14113">
      <c r="A14113" s="4" t="s">
        <v>17766</v>
      </c>
      <c r="B14113" s="4" t="s">
        <v>17768</v>
      </c>
      <c r="C14113" s="5" t="str">
        <f>IFERROR(__xludf.DUMMYFUNCTION("GOOGLETRANSLATE(B14113,""en"",""de"")"),"Das Mädchen schwingt weiter herum und endet damit, dass sie von der Seite springt und dem Publikum zum Publikum winkt.")</f>
        <v>Das Mädchen schwingt weiter herum und endet damit, dass sie von der Seite springt und dem Publikum zum Publikum winkt.</v>
      </c>
    </row>
    <row r="14114">
      <c r="A14114" s="4" t="s">
        <v>17769</v>
      </c>
      <c r="B14114" s="4" t="s">
        <v>17770</v>
      </c>
      <c r="C14114" s="5" t="str">
        <f>IFERROR(__xludf.DUMMYFUNCTION("GOOGLETRANSLATE(B14114,""en"",""de"")"),"Dieses Video zeigt Ihnen, wie Sie Spaghetti mit Wurst mit einer einfachen Tomatensauce herstellen.")</f>
        <v>Dieses Video zeigt Ihnen, wie Sie Spaghetti mit Wurst mit einer einfachen Tomatensauce herstellen.</v>
      </c>
    </row>
    <row r="14115">
      <c r="A14115" s="4" t="s">
        <v>17769</v>
      </c>
      <c r="B14115" s="4" t="s">
        <v>17771</v>
      </c>
      <c r="C14115" s="5" t="str">
        <f>IFERROR(__xludf.DUMMYFUNCTION("GOOGLETRANSLATE(B14115,""en"",""de"")"),"Zuerst legt sie die Wurst auf ein Backblech mit Aluminiumfolie und sie steckt sie in den Ofen.")</f>
        <v>Zuerst legt sie die Wurst auf ein Backblech mit Aluminiumfolie und sie steckt sie in den Ofen.</v>
      </c>
    </row>
    <row r="14116">
      <c r="A14116" s="4" t="s">
        <v>17769</v>
      </c>
      <c r="B14116" s="4" t="s">
        <v>17772</v>
      </c>
      <c r="C14116" s="5" t="str">
        <f>IFERROR(__xludf.DUMMYFUNCTION("GOOGLETRANSLATE(B14116,""en"",""de"")"),"Als nächstes gießt sie Tomaten in einen kleinen Mixer und mischt sie zusammen.")</f>
        <v>Als nächstes gießt sie Tomaten in einen kleinen Mixer und mischt sie zusammen.</v>
      </c>
    </row>
    <row r="14117">
      <c r="A14117" s="4" t="s">
        <v>17769</v>
      </c>
      <c r="B14117" s="4" t="s">
        <v>17773</v>
      </c>
      <c r="C14117" s="5" t="str">
        <f>IFERROR(__xludf.DUMMYFUNCTION("GOOGLETRANSLATE(B14117,""en"",""de"")"),"Dann gießt sie zerquetschte rote Paprika und Knoblauch in die Pfanne und gießt die Tomatensauce hinein.")</f>
        <v>Dann gießt sie zerquetschte rote Paprika und Knoblauch in die Pfanne und gießt die Tomatensauce hinein.</v>
      </c>
    </row>
    <row r="14118">
      <c r="A14118" s="4" t="s">
        <v>17769</v>
      </c>
      <c r="B14118" s="4" t="s">
        <v>17774</v>
      </c>
      <c r="C14118" s="5" t="str">
        <f>IFERROR(__xludf.DUMMYFUNCTION("GOOGLETRANSLATE(B14118,""en"",""de"")"),"Dann rührt sie es auf und nimmt die Wurst heraus, um sie in winzige Stücke zu schneiden, und sie lässt sie noch etwas kochen.")</f>
        <v>Dann rührt sie es auf und nimmt die Wurst heraus, um sie in winzige Stücke zu schneiden, und sie lässt sie noch etwas kochen.</v>
      </c>
    </row>
    <row r="14119">
      <c r="A14119" s="4" t="s">
        <v>17769</v>
      </c>
      <c r="B14119" s="4" t="s">
        <v>17775</v>
      </c>
      <c r="C14119" s="5" t="str">
        <f>IFERROR(__xludf.DUMMYFUNCTION("GOOGLETRANSLATE(B14119,""en"",""de"")"),"Schließlich bringt sie sie mit der Pasta in die Pfanne und kocht alles zusammen, um ein schönes Essen zu schaffen.")</f>
        <v>Schließlich bringt sie sie mit der Pasta in die Pfanne und kocht alles zusammen, um ein schönes Essen zu schaffen.</v>
      </c>
    </row>
    <row r="14120">
      <c r="A14120" s="4" t="s">
        <v>17776</v>
      </c>
      <c r="B14120" s="4" t="s">
        <v>17777</v>
      </c>
      <c r="C14120" s="5" t="str">
        <f>IFERROR(__xludf.DUMMYFUNCTION("GOOGLETRANSLATE(B14120,""en"",""de"")"),"Ein Mann geht in den Rahmen und beginnt sich vor einem Satz Gewicht zu beugen.")</f>
        <v>Ein Mann geht in den Rahmen und beginnt sich vor einem Satz Gewicht zu beugen.</v>
      </c>
    </row>
    <row r="14121">
      <c r="A14121" s="4" t="s">
        <v>17776</v>
      </c>
      <c r="B14121" s="4" t="s">
        <v>17778</v>
      </c>
      <c r="C14121" s="5" t="str">
        <f>IFERROR(__xludf.DUMMYFUNCTION("GOOGLETRANSLATE(B14121,""en"",""de"")"),"Der Mann hebt dann die Gewichte über seine Schultern auf und ab, während sich die Kamera dahinter bilden.")</f>
        <v>Der Mann hebt dann die Gewichte über seine Schultern auf und ab, während sich die Kamera dahinter bilden.</v>
      </c>
    </row>
    <row r="14122">
      <c r="A14122" s="4" t="s">
        <v>17776</v>
      </c>
      <c r="B14122" s="4" t="s">
        <v>17779</v>
      </c>
      <c r="C14122" s="5" t="str">
        <f>IFERROR(__xludf.DUMMYFUNCTION("GOOGLETRANSLATE(B14122,""en"",""de"")"),"Der Mann geht hinein und aus dem Rahmen aus und geht zurück zu den Gewichten und einem anderen Mann, der in den Rahmen kommt, um zu heben.")</f>
        <v>Der Mann geht hinein und aus dem Rahmen aus und geht zurück zu den Gewichten und einem anderen Mann, der in den Rahmen kommt, um zu heben.</v>
      </c>
    </row>
    <row r="14123">
      <c r="A14123" s="4" t="s">
        <v>17780</v>
      </c>
      <c r="B14123" s="4" t="s">
        <v>17781</v>
      </c>
      <c r="C14123" s="5" t="str">
        <f>IFERROR(__xludf.DUMMYFUNCTION("GOOGLETRANSLATE(B14123,""en"",""de"")"),"Ein Mann rührt Schuhglanzverbindungsmaterialien in ein Glas.")</f>
        <v>Ein Mann rührt Schuhglanzverbindungsmaterialien in ein Glas.</v>
      </c>
    </row>
    <row r="14124">
      <c r="A14124" s="4" t="s">
        <v>17780</v>
      </c>
      <c r="B14124" s="4" t="s">
        <v>17782</v>
      </c>
      <c r="C14124" s="5" t="str">
        <f>IFERROR(__xludf.DUMMYFUNCTION("GOOGLETRANSLATE(B14124,""en"",""de"")"),"Er bereitet den Schuh für Glanz vor.")</f>
        <v>Er bereitet den Schuh für Glanz vor.</v>
      </c>
    </row>
    <row r="14125">
      <c r="A14125" s="4" t="s">
        <v>17780</v>
      </c>
      <c r="B14125" s="4" t="s">
        <v>17783</v>
      </c>
      <c r="C14125" s="5" t="str">
        <f>IFERROR(__xludf.DUMMYFUNCTION("GOOGLETRANSLATE(B14125,""en"",""de"")"),"Er erklärt seine Methode des Schuhs zu glänzen.")</f>
        <v>Er erklärt seine Methode des Schuhs zu glänzen.</v>
      </c>
    </row>
    <row r="14126">
      <c r="A14126" s="4" t="s">
        <v>17780</v>
      </c>
      <c r="B14126" s="4" t="s">
        <v>17784</v>
      </c>
      <c r="C14126" s="5" t="str">
        <f>IFERROR(__xludf.DUMMYFUNCTION("GOOGLETRANSLATE(B14126,""en"",""de"")"),"Der Mann strahlt die Spitze eines Schuhs und endet, indem er die Schnürsenkel des Schuhs repariert.")</f>
        <v>Der Mann strahlt die Spitze eines Schuhs und endet, indem er die Schnürsenkel des Schuhs repariert.</v>
      </c>
    </row>
    <row r="14127">
      <c r="A14127" s="4" t="s">
        <v>17785</v>
      </c>
      <c r="B14127" s="4" t="s">
        <v>17786</v>
      </c>
      <c r="C14127" s="5" t="str">
        <f>IFERROR(__xludf.DUMMYFUNCTION("GOOGLETRANSLATE(B14127,""en"",""de"")"),"Eine Frau steht in der Mitte einer Sandgrube und schwingt ein Objekt herum.")</f>
        <v>Eine Frau steht in der Mitte einer Sandgrube und schwingt ein Objekt herum.</v>
      </c>
    </row>
    <row r="14128">
      <c r="A14128" s="4" t="s">
        <v>17785</v>
      </c>
      <c r="B14128" s="4" t="s">
        <v>17787</v>
      </c>
      <c r="C14128" s="5" t="str">
        <f>IFERROR(__xludf.DUMMYFUNCTION("GOOGLETRANSLATE(B14128,""en"",""de"")"),"Sie dreht sich mehrmals um sich herum und schwingt sich dann herum.")</f>
        <v>Sie dreht sich mehrmals um sich herum und schwingt sich dann herum.</v>
      </c>
    </row>
    <row r="14129">
      <c r="A14129" s="4" t="s">
        <v>17785</v>
      </c>
      <c r="B14129" s="4" t="s">
        <v>17788</v>
      </c>
      <c r="C14129" s="5" t="str">
        <f>IFERROR(__xludf.DUMMYFUNCTION("GOOGLETRANSLATE(B14129,""en"",""de"")"),"Sie schwingt weiter und endet, indem sie es in die Ferne bringt.")</f>
        <v>Sie schwingt weiter und endet, indem sie es in die Ferne bringt.</v>
      </c>
    </row>
    <row r="14130">
      <c r="A14130" s="4" t="s">
        <v>17789</v>
      </c>
      <c r="B14130" s="4" t="s">
        <v>17790</v>
      </c>
      <c r="C14130" s="5" t="str">
        <f>IFERROR(__xludf.DUMMYFUNCTION("GOOGLETRANSLATE(B14130,""en"",""de"")"),"Ein Mann wirft einen Hammerwurf in eine beurteilte Sportleistung draußen auf ein grasgezogenes Feld mit einer Gruppe von Zuschauern auf den Seitenlinien.")</f>
        <v>Ein Mann wirft einen Hammerwurf in eine beurteilte Sportleistung draußen auf ein grasgezogenes Feld mit einer Gruppe von Zuschauern auf den Seitenlinien.</v>
      </c>
    </row>
    <row r="14131">
      <c r="A14131" s="4" t="s">
        <v>17789</v>
      </c>
      <c r="B14131" s="4" t="s">
        <v>17791</v>
      </c>
      <c r="C14131" s="5" t="str">
        <f>IFERROR(__xludf.DUMMYFUNCTION("GOOGLETRANSLATE(B14131,""en"",""de"")"),"Ein Mann nähert sich einer quadratischen, asphaltierten, weißen Oberfläche, die von schwarzem Netz umgeben ist.")</f>
        <v>Ein Mann nähert sich einer quadratischen, asphaltierten, weißen Oberfläche, die von schwarzem Netz umgeben ist.</v>
      </c>
    </row>
    <row r="14132">
      <c r="A14132" s="4" t="s">
        <v>17789</v>
      </c>
      <c r="B14132" s="4" t="s">
        <v>17792</v>
      </c>
      <c r="C14132" s="5" t="str">
        <f>IFERROR(__xludf.DUMMYFUNCTION("GOOGLETRANSLATE(B14132,""en"",""de"")"),"Der Mann dreht sich an Ort und Stelle, um Schwung zu gewinnen, und lässt/wirft den Hammerball.")</f>
        <v>Der Mann dreht sich an Ort und Stelle, um Schwung zu gewinnen, und lässt/wirft den Hammerball.</v>
      </c>
    </row>
    <row r="14133">
      <c r="A14133" s="4" t="s">
        <v>17789</v>
      </c>
      <c r="B14133" s="4" t="s">
        <v>17793</v>
      </c>
      <c r="C14133" s="5" t="str">
        <f>IFERROR(__xludf.DUMMYFUNCTION("GOOGLETRANSLATE(B14133,""en"",""de"")"),"Zwei Menschen entstehen mit einem langen Maßband, um die Entfernung des Hammerballs zu messen.")</f>
        <v>Zwei Menschen entstehen mit einem langen Maßband, um die Entfernung des Hammerballs zu messen.</v>
      </c>
    </row>
    <row r="14134">
      <c r="A14134" s="4" t="s">
        <v>17789</v>
      </c>
      <c r="B14134" s="4" t="s">
        <v>17794</v>
      </c>
      <c r="C14134" s="5" t="str">
        <f>IFERROR(__xludf.DUMMYFUNCTION("GOOGLETRANSLATE(B14134,""en"",""de"")"),"Der Athlet rennt das Springen und lächelt und die Brust stößt einen anderen Spieler.")</f>
        <v>Der Athlet rennt das Springen und lächelt und die Brust stößt einen anderen Spieler.</v>
      </c>
    </row>
    <row r="14135">
      <c r="A14135" s="4" t="s">
        <v>17795</v>
      </c>
      <c r="B14135" s="4" t="s">
        <v>17796</v>
      </c>
      <c r="C14135" s="5" t="str">
        <f>IFERROR(__xludf.DUMMYFUNCTION("GOOGLETRANSLATE(B14135,""en"",""de"")"),"Eine Frau steht auf einer Yogamatte in einem Auffahrt.")</f>
        <v>Eine Frau steht auf einer Yogamatte in einem Auffahrt.</v>
      </c>
    </row>
    <row r="14136">
      <c r="A14136" s="4" t="s">
        <v>17795</v>
      </c>
      <c r="B14136" s="4" t="s">
        <v>17797</v>
      </c>
      <c r="C14136" s="5" t="str">
        <f>IFERROR(__xludf.DUMMYFUNCTION("GOOGLETRANSLATE(B14136,""en"",""de"")"),"Die Frau macht ein aerobes Training, das hin und her geht und Arme auf der Matte hebt.")</f>
        <v>Die Frau macht ein aerobes Training, das hin und her geht und Arme auf der Matte hebt.</v>
      </c>
    </row>
    <row r="14137">
      <c r="A14137" s="4" t="s">
        <v>17795</v>
      </c>
      <c r="B14137" s="4" t="s">
        <v>17798</v>
      </c>
      <c r="C14137" s="5" t="str">
        <f>IFERROR(__xludf.DUMMYFUNCTION("GOOGLETRANSLATE(B14137,""en"",""de"")"),"Die Frau springt in einem kräftigeren Training hin und her.")</f>
        <v>Die Frau springt in einem kräftigeren Training hin und her.</v>
      </c>
    </row>
    <row r="14138">
      <c r="A14138" s="4" t="s">
        <v>17799</v>
      </c>
      <c r="B14138" s="4" t="s">
        <v>17800</v>
      </c>
      <c r="C14138" s="5" t="str">
        <f>IFERROR(__xludf.DUMMYFUNCTION("GOOGLETRANSLATE(B14138,""en"",""de"")"),"Ein kleines Mädchen befindet sich in einer überdachten Veranda.")</f>
        <v>Ein kleines Mädchen befindet sich in einer überdachten Veranda.</v>
      </c>
    </row>
    <row r="14139">
      <c r="A14139" s="4" t="s">
        <v>17799</v>
      </c>
      <c r="B14139" s="4" t="s">
        <v>17801</v>
      </c>
      <c r="C14139" s="5" t="str">
        <f>IFERROR(__xludf.DUMMYFUNCTION("GOOGLETRANSLATE(B14139,""en"",""de"")"),"Sie schwingt einen Schlagstock bei einer kleinen Pinata.")</f>
        <v>Sie schwingt einen Schlagstock bei einer kleinen Pinata.</v>
      </c>
    </row>
    <row r="14140">
      <c r="A14140" s="4" t="s">
        <v>17799</v>
      </c>
      <c r="B14140" s="4" t="s">
        <v>17802</v>
      </c>
      <c r="C14140" s="5" t="str">
        <f>IFERROR(__xludf.DUMMYFUNCTION("GOOGLETRANSLATE(B14140,""en"",""de"")"),"Sie ist mit verbundenen Augen verbunden, als sie immer wieder schwingt.")</f>
        <v>Sie ist mit verbundenen Augen verbunden, als sie immer wieder schwingt.</v>
      </c>
    </row>
    <row r="14141">
      <c r="A14141" s="4" t="s">
        <v>17803</v>
      </c>
      <c r="B14141" s="4" t="s">
        <v>17804</v>
      </c>
      <c r="C14141" s="5" t="str">
        <f>IFERROR(__xludf.DUMMYFUNCTION("GOOGLETRANSLATE(B14141,""en"",""de"")"),"Eine Frau zeigt ihre Nägel, gefolgt von mehreren Nägeln, die von einer Bürste gemalt werden.")</f>
        <v>Eine Frau zeigt ihre Nägel, gefolgt von mehreren Nägeln, die von einer Bürste gemalt werden.</v>
      </c>
    </row>
    <row r="14142">
      <c r="A14142" s="4" t="s">
        <v>17803</v>
      </c>
      <c r="B14142" s="4" t="s">
        <v>17805</v>
      </c>
      <c r="C14142" s="5" t="str">
        <f>IFERROR(__xludf.DUMMYFUNCTION("GOOGLETRANSLATE(B14142,""en"",""de"")"),"Die Pinsel macht mehrere Linien auf den Nägeln und zeigt Prominente mit modischen Nägeln.")</f>
        <v>Die Pinsel macht mehrere Linien auf den Nägeln und zeigt Prominente mit modischen Nägeln.</v>
      </c>
    </row>
    <row r="14143">
      <c r="A14143" s="4" t="s">
        <v>17803</v>
      </c>
      <c r="B14143" s="4" t="s">
        <v>17806</v>
      </c>
      <c r="C14143" s="5" t="str">
        <f>IFERROR(__xludf.DUMMYFUNCTION("GOOGLETRANSLATE(B14143,""en"",""de"")"),"Das Video beschleunigt und zeigt verschiedene Designs für Nagellack und Beispiele.")</f>
        <v>Das Video beschleunigt und zeigt verschiedene Designs für Nagellack und Beispiele.</v>
      </c>
    </row>
    <row r="14144">
      <c r="A14144" s="4" t="s">
        <v>17807</v>
      </c>
      <c r="B14144" s="4" t="s">
        <v>17808</v>
      </c>
      <c r="C14144" s="5" t="str">
        <f>IFERROR(__xludf.DUMMYFUNCTION("GOOGLETRANSLATE(B14144,""en"",""de"")"),"Eine Naht der Nägel einer Person wird angezeigt, gefolgt von einer Person, die die Nägel eines anderen einreicht.")</f>
        <v>Eine Naht der Nägel einer Person wird angezeigt, gefolgt von einer Person, die die Nägel eines anderen einreicht.</v>
      </c>
    </row>
    <row r="14145">
      <c r="A14145" s="4" t="s">
        <v>17807</v>
      </c>
      <c r="B14145" s="4" t="s">
        <v>17809</v>
      </c>
      <c r="C14145" s="5" t="str">
        <f>IFERROR(__xludf.DUMMYFUNCTION("GOOGLETRANSLATE(B14145,""en"",""de"")"),"Mehrere Produkte werden in der Nähe angezeigt, ebenso wie die Nägel einer Person, die gemalt und unter Hitze gestellt werden.")</f>
        <v>Mehrere Produkte werden in der Nähe angezeigt, ebenso wie die Nägel einer Person, die gemalt und unter Hitze gestellt werden.</v>
      </c>
    </row>
    <row r="14146">
      <c r="A14146" s="4" t="s">
        <v>17807</v>
      </c>
      <c r="B14146" s="4" t="s">
        <v>17810</v>
      </c>
      <c r="C14146" s="5" t="str">
        <f>IFERROR(__xludf.DUMMYFUNCTION("GOOGLETRANSLATE(B14146,""en"",""de"")"),"Die Person malt die Nägel weiter und zieht am Ende ein Juwel an.")</f>
        <v>Die Person malt die Nägel weiter und zieht am Ende ein Juwel an.</v>
      </c>
    </row>
    <row r="14147">
      <c r="A14147" s="4" t="s">
        <v>17811</v>
      </c>
      <c r="B14147" s="4" t="s">
        <v>1487</v>
      </c>
      <c r="C14147" s="5" t="str">
        <f>IFERROR(__xludf.DUMMYFUNCTION("GOOGLETRANSLATE(B14147,""en"",""de"")"),"Wir sehen einen Öffnungsbildschirm.")</f>
        <v>Wir sehen einen Öffnungsbildschirm.</v>
      </c>
    </row>
    <row r="14148">
      <c r="A14148" s="4" t="s">
        <v>17811</v>
      </c>
      <c r="B14148" s="4" t="s">
        <v>17812</v>
      </c>
      <c r="C14148" s="5" t="str">
        <f>IFERROR(__xludf.DUMMYFUNCTION("GOOGLETRANSLATE(B14148,""en"",""de"")"),"Wir sehen Aufnahmen von Menschen, die in einer Innenräume Fußball spielen.")</f>
        <v>Wir sehen Aufnahmen von Menschen, die in einer Innenräume Fußball spielen.</v>
      </c>
    </row>
    <row r="14149">
      <c r="A14149" s="4" t="s">
        <v>17811</v>
      </c>
      <c r="B14149" s="4" t="s">
        <v>17813</v>
      </c>
      <c r="C14149" s="5" t="str">
        <f>IFERROR(__xludf.DUMMYFUNCTION("GOOGLETRANSLATE(B14149,""en"",""de"")"),"Wir sehen einen Mann hüpfen und einen Ball in Zeitlupe aus dem Netz ablenken.")</f>
        <v>Wir sehen einen Mann hüpfen und einen Ball in Zeitlupe aus dem Netz ablenken.</v>
      </c>
    </row>
    <row r="14150">
      <c r="A14150" s="4" t="s">
        <v>17811</v>
      </c>
      <c r="B14150" s="4" t="s">
        <v>17814</v>
      </c>
      <c r="C14150" s="5" t="str">
        <f>IFERROR(__xludf.DUMMYFUNCTION("GOOGLETRANSLATE(B14150,""en"",""de"")"),"Wir sehen, wie zwei Männer in Zeitlupe kollidieren.")</f>
        <v>Wir sehen, wie zwei Männer in Zeitlupe kollidieren.</v>
      </c>
    </row>
    <row r="14151">
      <c r="A14151" s="4" t="s">
        <v>17815</v>
      </c>
      <c r="B14151" s="4" t="s">
        <v>17816</v>
      </c>
      <c r="C14151" s="5" t="str">
        <f>IFERROR(__xludf.DUMMYFUNCTION("GOOGLETRANSLATE(B14151,""en"",""de"")"),"Der kleine Junge ist am Waschbecken und streift den Topf.")</f>
        <v>Der kleine Junge ist am Waschbecken und streift den Topf.</v>
      </c>
    </row>
    <row r="14152">
      <c r="A14152" s="4" t="s">
        <v>17815</v>
      </c>
      <c r="B14152" s="4" t="s">
        <v>17817</v>
      </c>
      <c r="C14152" s="5" t="str">
        <f>IFERROR(__xludf.DUMMYFUNCTION("GOOGLETRANSLATE(B14152,""en"",""de"")"),"Der Junge hebt die Bürste aus dem Topf und streift stattdessen das Waschbecken, dann steckte er ihn in den Topf.")</f>
        <v>Der Junge hebt die Bürste aus dem Topf und streift stattdessen das Waschbecken, dann steckte er ihn in den Topf.</v>
      </c>
    </row>
    <row r="14153">
      <c r="A14153" s="4" t="s">
        <v>17815</v>
      </c>
      <c r="B14153" s="4" t="s">
        <v>17818</v>
      </c>
      <c r="C14153" s="5" t="str">
        <f>IFERROR(__xludf.DUMMYFUNCTION("GOOGLETRANSLATE(B14153,""en"",""de"")"),"Der Junge streift den Deckel des Topfes, und ein Erwachsener legte Teller in den Topf und der Junge nahm ihn heraus und tauchte die Gabel ein.")</f>
        <v>Der Junge streift den Deckel des Topfes, und ein Erwachsener legte Teller in den Topf und der Junge nahm ihn heraus und tauchte die Gabel ein.</v>
      </c>
    </row>
    <row r="14154">
      <c r="A14154" s="4" t="s">
        <v>17819</v>
      </c>
      <c r="B14154" s="4" t="s">
        <v>17820</v>
      </c>
      <c r="C14154" s="5" t="str">
        <f>IFERROR(__xludf.DUMMYFUNCTION("GOOGLETRANSLATE(B14154,""en"",""de"")"),"Eine Person, die Sicherheitsausrüstung trägt, hält eine Metallstange mit einer Klemme.")</f>
        <v>Eine Person, die Sicherheitsausrüstung trägt, hält eine Metallstange mit einer Klemme.</v>
      </c>
    </row>
    <row r="14155">
      <c r="A14155" s="4" t="s">
        <v>17819</v>
      </c>
      <c r="B14155" s="4" t="s">
        <v>17821</v>
      </c>
      <c r="C14155" s="5" t="str">
        <f>IFERROR(__xludf.DUMMYFUNCTION("GOOGLETRANSLATE(B14155,""en"",""de"")"),"Dann schweißt die Person auf einer Oberfläche.")</f>
        <v>Dann schweißt die Person auf einer Oberfläche.</v>
      </c>
    </row>
    <row r="14156">
      <c r="A14156" s="4" t="s">
        <v>17819</v>
      </c>
      <c r="B14156" s="4" t="s">
        <v>17822</v>
      </c>
      <c r="C14156" s="5" t="str">
        <f>IFERROR(__xludf.DUMMYFUNCTION("GOOGLETRANSLATE(B14156,""en"",""de"")"),"Rauch kommt zur Klemme.")</f>
        <v>Rauch kommt zur Klemme.</v>
      </c>
    </row>
    <row r="14157">
      <c r="A14157" s="4" t="s">
        <v>17823</v>
      </c>
      <c r="B14157" s="4" t="s">
        <v>17824</v>
      </c>
      <c r="C14157" s="5" t="str">
        <f>IFERROR(__xludf.DUMMYFUNCTION("GOOGLETRANSLATE(B14157,""en"",""de"")"),"Auf einer Leinwand wird ein Gemälde eines bewölkten Himmels über Bergen angezeigt.")</f>
        <v>Auf einer Leinwand wird ein Gemälde eines bewölkten Himmels über Bergen angezeigt.</v>
      </c>
    </row>
    <row r="14158">
      <c r="A14158" s="4" t="s">
        <v>17823</v>
      </c>
      <c r="B14158" s="4" t="s">
        <v>17825</v>
      </c>
      <c r="C14158" s="5" t="str">
        <f>IFERROR(__xludf.DUMMYFUNCTION("GOOGLETRANSLATE(B14158,""en"",""de"")"),"Ein Pinsel beginnt Blau auf die Leinwand.")</f>
        <v>Ein Pinsel beginnt Blau auf die Leinwand.</v>
      </c>
    </row>
    <row r="14159">
      <c r="A14159" s="4" t="s">
        <v>17823</v>
      </c>
      <c r="B14159" s="4" t="s">
        <v>17826</v>
      </c>
      <c r="C14159" s="5" t="str">
        <f>IFERROR(__xludf.DUMMYFUNCTION("GOOGLETRANSLATE(B14159,""en"",""de"")"),"Ein komplettes Bild wird in brillanten Farben eines Strandes gezeigt, bevor sie zu den laufenden Pinselstrichen zurückkehrt.")</f>
        <v>Ein komplettes Bild wird in brillanten Farben eines Strandes gezeigt, bevor sie zu den laufenden Pinselstrichen zurückkehrt.</v>
      </c>
    </row>
    <row r="14160">
      <c r="A14160" s="4" t="s">
        <v>17823</v>
      </c>
      <c r="B14160" s="4" t="s">
        <v>17827</v>
      </c>
      <c r="C14160" s="5" t="str">
        <f>IFERROR(__xludf.DUMMYFUNCTION("GOOGLETRANSLATE(B14160,""en"",""de"")"),"Der Ozean ist in der letzten Szene fertiggestellt.")</f>
        <v>Der Ozean ist in der letzten Szene fertiggestellt.</v>
      </c>
    </row>
    <row r="14161">
      <c r="A14161" s="4" t="s">
        <v>17828</v>
      </c>
      <c r="B14161" s="4" t="s">
        <v>17829</v>
      </c>
      <c r="C14161" s="5" t="str">
        <f>IFERROR(__xludf.DUMMYFUNCTION("GOOGLETRANSLATE(B14161,""en"",""de"")"),"Eine alte Frau strickt auf einem Bett.")</f>
        <v>Eine alte Frau strickt auf einem Bett.</v>
      </c>
    </row>
    <row r="14162">
      <c r="A14162" s="4" t="s">
        <v>17828</v>
      </c>
      <c r="B14162" s="4" t="s">
        <v>17830</v>
      </c>
      <c r="C14162" s="5" t="str">
        <f>IFERROR(__xludf.DUMMYFUNCTION("GOOGLETRANSLATE(B14162,""en"",""de"")"),"Ein kleines Mädchen sitzt auch auf dem Boden stricken.")</f>
        <v>Ein kleines Mädchen sitzt auch auf dem Boden stricken.</v>
      </c>
    </row>
    <row r="14163">
      <c r="A14163" s="4" t="s">
        <v>17828</v>
      </c>
      <c r="B14163" s="4" t="s">
        <v>17831</v>
      </c>
      <c r="C14163" s="5" t="str">
        <f>IFERROR(__xludf.DUMMYFUNCTION("GOOGLETRANSLATE(B14163,""en"",""de"")"),"Sie spricht mit der Kamera, als sie lernt zu stricken.")</f>
        <v>Sie spricht mit der Kamera, als sie lernt zu stricken.</v>
      </c>
    </row>
    <row r="14164">
      <c r="A14164" s="4" t="s">
        <v>17832</v>
      </c>
      <c r="B14164" s="4" t="s">
        <v>17833</v>
      </c>
      <c r="C14164" s="5" t="str">
        <f>IFERROR(__xludf.DUMMYFUNCTION("GOOGLETRANSLATE(B14164,""en"",""de"")"),"Ein junger Mann steht in einer offenen Tür mit den Händen über seinen Kopfflächen auf einer Bar, die sich oben auf der Tür befindet.")</f>
        <v>Ein junger Mann steht in einer offenen Tür mit den Händen über seinen Kopfflächen auf einer Bar, die sich oben auf der Tür befindet.</v>
      </c>
    </row>
    <row r="14165">
      <c r="A14165" s="4" t="s">
        <v>17832</v>
      </c>
      <c r="B14165" s="4" t="s">
        <v>17834</v>
      </c>
      <c r="C14165" s="5" t="str">
        <f>IFERROR(__xludf.DUMMYFUNCTION("GOOGLETRANSLATE(B14165,""en"",""de"")"),"Der junge Mann hebt sich hoch und legt seine Füße in die Lücke zwischen der Bar und der Oberseite des Türrahmens.")</f>
        <v>Der junge Mann hebt sich hoch und legt seine Füße in die Lücke zwischen der Bar und der Oberseite des Türrahmens.</v>
      </c>
    </row>
    <row r="14166">
      <c r="A14166" s="4" t="s">
        <v>17832</v>
      </c>
      <c r="B14166" s="4" t="s">
        <v>17835</v>
      </c>
      <c r="C14166" s="5" t="str">
        <f>IFERROR(__xludf.DUMMYFUNCTION("GOOGLETRANSLATE(B14166,""en"",""de"")"),"Der junge Mann senkt seinen Körper und streckt sich die volle Länge der Tür, die Hände hinter seinem Kopf, Ellbogen aus.")</f>
        <v>Der junge Mann senkt seinen Körper und streckt sich die volle Länge der Tür, die Hände hinter seinem Kopf, Ellbogen aus.</v>
      </c>
    </row>
    <row r="14167">
      <c r="A14167" s="4" t="s">
        <v>17832</v>
      </c>
      <c r="B14167" s="4" t="s">
        <v>17836</v>
      </c>
      <c r="C14167" s="5" t="str">
        <f>IFERROR(__xludf.DUMMYFUNCTION("GOOGLETRANSLATE(B14167,""en"",""de"")"),"Der junge Mann macht zwei Sit -Ups.")</f>
        <v>Der junge Mann macht zwei Sit -Ups.</v>
      </c>
    </row>
    <row r="14168">
      <c r="A14168" s="4" t="s">
        <v>17832</v>
      </c>
      <c r="B14168" s="4" t="s">
        <v>17837</v>
      </c>
      <c r="C14168" s="5" t="str">
        <f>IFERROR(__xludf.DUMMYFUNCTION("GOOGLETRANSLATE(B14168,""en"",""de"")"),"Die Kamera zeigt die Oberseite der Tür, die sich auf die Bar konzentriert und die Füße des jungen Mannes oben auf der Tür befestigt sind.")</f>
        <v>Die Kamera zeigt die Oberseite der Tür, die sich auf die Bar konzentriert und die Füße des jungen Mannes oben auf der Tür befestigt sind.</v>
      </c>
    </row>
    <row r="14169">
      <c r="A14169" s="4" t="s">
        <v>17832</v>
      </c>
      <c r="B14169" s="4" t="s">
        <v>17838</v>
      </c>
      <c r="C14169" s="5" t="str">
        <f>IFERROR(__xludf.DUMMYFUNCTION("GOOGLETRANSLATE(B14169,""en"",""de"")"),"Die Kamera kehrt zu dem vollen Blick auf den jungen Mann zurück, der in der Tür sitzt.")</f>
        <v>Die Kamera kehrt zu dem vollen Blick auf den jungen Mann zurück, der in der Tür sitzt.</v>
      </c>
    </row>
    <row r="14170">
      <c r="A14170" s="4" t="s">
        <v>17832</v>
      </c>
      <c r="B14170" s="4" t="s">
        <v>17839</v>
      </c>
      <c r="C14170" s="5" t="str">
        <f>IFERROR(__xludf.DUMMYFUNCTION("GOOGLETRANSLATE(B14170,""en"",""de"")"),"Der junge Mann macht noch drei Sit -Ups.")</f>
        <v>Der junge Mann macht noch drei Sit -Ups.</v>
      </c>
    </row>
    <row r="14171">
      <c r="A14171" s="4" t="s">
        <v>17840</v>
      </c>
      <c r="B14171" s="4" t="s">
        <v>17841</v>
      </c>
      <c r="C14171" s="5" t="str">
        <f>IFERROR(__xludf.DUMMYFUNCTION("GOOGLETRANSLATE(B14171,""en"",""de"")"),"Eine Frau steht neben einem Vakuum.")</f>
        <v>Eine Frau steht neben einem Vakuum.</v>
      </c>
    </row>
    <row r="14172">
      <c r="A14172" s="4" t="s">
        <v>17840</v>
      </c>
      <c r="B14172" s="4" t="s">
        <v>17842</v>
      </c>
      <c r="C14172" s="5" t="str">
        <f>IFERROR(__xludf.DUMMYFUNCTION("GOOGLETRANSLATE(B14172,""en"",""de"")"),"Sie wirft etwas auf den Boden.")</f>
        <v>Sie wirft etwas auf den Boden.</v>
      </c>
    </row>
    <row r="14173">
      <c r="A14173" s="4" t="s">
        <v>17840</v>
      </c>
      <c r="B14173" s="4" t="s">
        <v>17843</v>
      </c>
      <c r="C14173" s="5" t="str">
        <f>IFERROR(__xludf.DUMMYFUNCTION("GOOGLETRANSLATE(B14173,""en"",""de"")"),"Sie nimmt das Vakuum und stackt das Chaos auf.")</f>
        <v>Sie nimmt das Vakuum und stackt das Chaos auf.</v>
      </c>
    </row>
    <row r="14174">
      <c r="A14174" s="4" t="s">
        <v>17840</v>
      </c>
      <c r="B14174" s="4" t="s">
        <v>17844</v>
      </c>
      <c r="C14174" s="5" t="str">
        <f>IFERROR(__xludf.DUMMYFUNCTION("GOOGLETRANSLATE(B14174,""en"",""de"")"),"Sie nimmt den Schlauch vom Vakuum und beginnt das auf dem Boden.")</f>
        <v>Sie nimmt den Schlauch vom Vakuum und beginnt das auf dem Boden.</v>
      </c>
    </row>
    <row r="14175">
      <c r="A14175" s="4" t="s">
        <v>17845</v>
      </c>
      <c r="B14175" s="4" t="s">
        <v>17846</v>
      </c>
      <c r="C14175" s="5" t="str">
        <f>IFERROR(__xludf.DUMMYFUNCTION("GOOGLETRANSLATE(B14175,""en"",""de"")"),"Ein Mann fährt einen Rasenmäher.")</f>
        <v>Ein Mann fährt einen Rasenmäher.</v>
      </c>
    </row>
    <row r="14176">
      <c r="A14176" s="4" t="s">
        <v>17845</v>
      </c>
      <c r="B14176" s="4" t="s">
        <v>17847</v>
      </c>
      <c r="C14176" s="5" t="str">
        <f>IFERROR(__xludf.DUMMYFUNCTION("GOOGLETRANSLATE(B14176,""en"",""de"")"),"Er beginnt den Rasen auf dem Rasenmäher zu mähen.")</f>
        <v>Er beginnt den Rasen auf dem Rasenmäher zu mähen.</v>
      </c>
    </row>
    <row r="14177">
      <c r="A14177" s="4" t="s">
        <v>17845</v>
      </c>
      <c r="B14177" s="4" t="s">
        <v>17848</v>
      </c>
      <c r="C14177" s="5" t="str">
        <f>IFERROR(__xludf.DUMMYFUNCTION("GOOGLETRANSLATE(B14177,""en"",""de"")"),"Er hebt seine Hand und mäht weiterhin den Rasen.")</f>
        <v>Er hebt seine Hand und mäht weiterhin den Rasen.</v>
      </c>
    </row>
    <row r="14178">
      <c r="A14178" s="4" t="s">
        <v>17849</v>
      </c>
      <c r="B14178" s="4" t="s">
        <v>17850</v>
      </c>
      <c r="C14178" s="5" t="str">
        <f>IFERROR(__xludf.DUMMYFUNCTION("GOOGLETRANSLATE(B14178,""en"",""de"")"),"Ein Mixologe spricht darüber, wie man alkoholische Getränke herstellt.")</f>
        <v>Ein Mixologe spricht darüber, wie man alkoholische Getränke herstellt.</v>
      </c>
    </row>
    <row r="14179">
      <c r="A14179" s="4" t="s">
        <v>17849</v>
      </c>
      <c r="B14179" s="4" t="s">
        <v>17851</v>
      </c>
      <c r="C14179" s="5" t="str">
        <f>IFERROR(__xludf.DUMMYFUNCTION("GOOGLETRANSLATE(B14179,""en"",""de"")"),"Sie spricht über die Getränke, die sie viele Favoriten macht.")</f>
        <v>Sie spricht über die Getränke, die sie viele Favoriten macht.</v>
      </c>
    </row>
    <row r="14180">
      <c r="A14180" s="4" t="s">
        <v>17849</v>
      </c>
      <c r="B14180" s="4" t="s">
        <v>17852</v>
      </c>
      <c r="C14180" s="5" t="str">
        <f>IFERROR(__xludf.DUMMYFUNCTION("GOOGLETRANSLATE(B14180,""en"",""de"")"),"Sie beginnt mit einem Voda -Soda und wie man einen macht.")</f>
        <v>Sie beginnt mit einem Voda -Soda und wie man einen macht.</v>
      </c>
    </row>
    <row r="14181">
      <c r="A14181" s="4" t="s">
        <v>17849</v>
      </c>
      <c r="B14181" s="4" t="s">
        <v>17853</v>
      </c>
      <c r="C14181" s="5" t="str">
        <f>IFERROR(__xludf.DUMMYFUNCTION("GOOGLETRANSLATE(B14181,""en"",""de"")"),"Das nächste Getränk, das sie macht, ist Wodka Seven.")</f>
        <v>Das nächste Getränk, das sie macht, ist Wodka Seven.</v>
      </c>
    </row>
    <row r="14182">
      <c r="A14182" s="4" t="s">
        <v>17849</v>
      </c>
      <c r="B14182" s="4" t="s">
        <v>17854</v>
      </c>
      <c r="C14182" s="5" t="str">
        <f>IFERROR(__xludf.DUMMYFUNCTION("GOOGLETRANSLATE(B14182,""en"",""de"")"),"Dann macht sie einen Schraubendreher, einen Windhund, und dann mit Cranberry -Saft gemischt.")</f>
        <v>Dann macht sie einen Schraubendreher, einen Windhund, und dann mit Cranberry -Saft gemischt.</v>
      </c>
    </row>
    <row r="14183">
      <c r="A14183" s="4" t="s">
        <v>17855</v>
      </c>
      <c r="B14183" s="4" t="s">
        <v>17856</v>
      </c>
      <c r="C14183" s="5" t="str">
        <f>IFERROR(__xludf.DUMMYFUNCTION("GOOGLETRANSLATE(B14183,""en"",""de"")"),"Eine Kamera schwenkt von einer Reihe von Trainingsgeräten weg und führt in die Füße einer Frau.")</f>
        <v>Eine Kamera schwenkt von einer Reihe von Trainingsgeräten weg und führt in die Füße einer Frau.</v>
      </c>
    </row>
    <row r="14184">
      <c r="A14184" s="4" t="s">
        <v>17855</v>
      </c>
      <c r="B14184" s="4" t="s">
        <v>17857</v>
      </c>
      <c r="C14184" s="5" t="str">
        <f>IFERROR(__xludf.DUMMYFUNCTION("GOOGLETRANSLATE(B14184,""en"",""de"")"),"Die Frau wird dann mit der Maschine gesehen und die Einstellungen eingestellt und weiter läuft.")</f>
        <v>Die Frau wird dann mit der Maschine gesehen und die Einstellungen eingestellt und weiter läuft.</v>
      </c>
    </row>
    <row r="14185">
      <c r="A14185" s="4" t="s">
        <v>17858</v>
      </c>
      <c r="B14185" s="4" t="s">
        <v>17859</v>
      </c>
      <c r="C14185" s="5" t="str">
        <f>IFERROR(__xludf.DUMMYFUNCTION("GOOGLETRANSLATE(B14185,""en"",""de"")"),"Ein Mann, der für kaltes Wetter gekleidet ist, ist draußen im Schnee, der mit einer Kette in den Händen fummelt.")</f>
        <v>Ein Mann, der für kaltes Wetter gekleidet ist, ist draußen im Schnee, der mit einer Kette in den Händen fummelt.</v>
      </c>
    </row>
    <row r="14186">
      <c r="A14186" s="4" t="s">
        <v>17858</v>
      </c>
      <c r="B14186" s="4" t="s">
        <v>17860</v>
      </c>
      <c r="C14186" s="5" t="str">
        <f>IFERROR(__xludf.DUMMYFUNCTION("GOOGLETRANSLATE(B14186,""en"",""de"")"),"Die Kette wird dann um einen Baumstumpf gelegt und der Mann nimmt eine Axt auf.")</f>
        <v>Die Kette wird dann um einen Baumstumpf gelegt und der Mann nimmt eine Axt auf.</v>
      </c>
    </row>
    <row r="14187">
      <c r="A14187" s="4" t="s">
        <v>17858</v>
      </c>
      <c r="B14187" s="4" t="s">
        <v>17861</v>
      </c>
      <c r="C14187" s="5" t="str">
        <f>IFERROR(__xludf.DUMMYFUNCTION("GOOGLETRANSLATE(B14187,""en"",""de"")"),"Der Mann trifft die Stümpfe kontinuierlich, bis der Stumpf in Stücke zerlegt wird und er ihn dann in der Rückseite seines Lastwagens verschleiert.")</f>
        <v>Der Mann trifft die Stümpfe kontinuierlich, bis der Stumpf in Stücke zerlegt wird und er ihn dann in der Rückseite seines Lastwagens verschleiert.</v>
      </c>
    </row>
    <row r="14188">
      <c r="A14188" s="4" t="s">
        <v>17862</v>
      </c>
      <c r="B14188" s="4" t="s">
        <v>17863</v>
      </c>
      <c r="C14188" s="5" t="str">
        <f>IFERROR(__xludf.DUMMYFUNCTION("GOOGLETRANSLATE(B14188,""en"",""de"")"),"Ein Mann befindet sich in einem Fitnessstudio, während er mit der Kamera spricht.")</f>
        <v>Ein Mann befindet sich in einem Fitnessstudio, während er mit der Kamera spricht.</v>
      </c>
    </row>
    <row r="14189">
      <c r="A14189" s="4" t="s">
        <v>17862</v>
      </c>
      <c r="B14189" s="4" t="s">
        <v>17864</v>
      </c>
      <c r="C14189" s="5" t="str">
        <f>IFERROR(__xludf.DUMMYFUNCTION("GOOGLETRANSLATE(B14189,""en"",""de"")"),"Andere Männer trainieren hinter ihm.")</f>
        <v>Andere Männer trainieren hinter ihm.</v>
      </c>
    </row>
    <row r="14190">
      <c r="A14190" s="4" t="s">
        <v>17862</v>
      </c>
      <c r="B14190" s="4" t="s">
        <v>17865</v>
      </c>
      <c r="C14190" s="5" t="str">
        <f>IFERROR(__xludf.DUMMYFUNCTION("GOOGLETRANSLATE(B14190,""en"",""de"")"),"Er demonstriert über Freiwilligen, wie man eine Rudermaschine benutzt.")</f>
        <v>Er demonstriert über Freiwilligen, wie man eine Rudermaschine benutzt.</v>
      </c>
    </row>
    <row r="14191">
      <c r="A14191" s="4" t="s">
        <v>17866</v>
      </c>
      <c r="B14191" s="4" t="s">
        <v>17867</v>
      </c>
      <c r="C14191" s="5" t="str">
        <f>IFERROR(__xludf.DUMMYFUNCTION("GOOGLETRANSLATE(B14191,""en"",""de"")"),"Männer stehen auf einem Feld und reden.")</f>
        <v>Männer stehen auf einem Feld und reden.</v>
      </c>
    </row>
    <row r="14192">
      <c r="A14192" s="4" t="s">
        <v>17866</v>
      </c>
      <c r="B14192" s="4" t="s">
        <v>17868</v>
      </c>
      <c r="C14192" s="5" t="str">
        <f>IFERROR(__xludf.DUMMYFUNCTION("GOOGLETRANSLATE(B14192,""en"",""de"")"),"Ein Mann tritt einen anderen Mann.")</f>
        <v>Ein Mann tritt einen anderen Mann.</v>
      </c>
    </row>
    <row r="14193">
      <c r="A14193" s="4" t="s">
        <v>17866</v>
      </c>
      <c r="B14193" s="4" t="s">
        <v>17869</v>
      </c>
      <c r="C14193" s="5" t="str">
        <f>IFERROR(__xludf.DUMMYFUNCTION("GOOGLETRANSLATE(B14193,""en"",""de"")"),"Dieser Mann schwingt einen Schläger an.")</f>
        <v>Dieser Mann schwingt einen Schläger an.</v>
      </c>
    </row>
    <row r="14194">
      <c r="A14194" s="4" t="s">
        <v>17870</v>
      </c>
      <c r="B14194" s="4" t="s">
        <v>17871</v>
      </c>
      <c r="C14194" s="5" t="str">
        <f>IFERROR(__xludf.DUMMYFUNCTION("GOOGLETRANSLATE(B14194,""en"",""de"")"),"Ein Mann fährt mit einem Surfbrett im Meer.")</f>
        <v>Ein Mann fährt mit einem Surfbrett im Meer.</v>
      </c>
    </row>
    <row r="14195">
      <c r="A14195" s="4" t="s">
        <v>17870</v>
      </c>
      <c r="B14195" s="4" t="s">
        <v>17872</v>
      </c>
      <c r="C14195" s="5" t="str">
        <f>IFERROR(__xludf.DUMMYFUNCTION("GOOGLETRANSLATE(B14195,""en"",""de"")"),"Er steht während einer Welle auf dem Brett.")</f>
        <v>Er steht während einer Welle auf dem Brett.</v>
      </c>
    </row>
    <row r="14196">
      <c r="A14196" s="4" t="s">
        <v>17870</v>
      </c>
      <c r="B14196" s="4" t="s">
        <v>17873</v>
      </c>
      <c r="C14196" s="5" t="str">
        <f>IFERROR(__xludf.DUMMYFUNCTION("GOOGLETRANSLATE(B14196,""en"",""de"")"),"Er surft durch die Welle und webt ein und aus.")</f>
        <v>Er surft durch die Welle und webt ein und aus.</v>
      </c>
    </row>
    <row r="14197">
      <c r="A14197" s="4" t="s">
        <v>17874</v>
      </c>
      <c r="B14197" s="4" t="s">
        <v>17875</v>
      </c>
      <c r="C14197" s="5" t="str">
        <f>IFERROR(__xludf.DUMMYFUNCTION("GOOGLETRANSLATE(B14197,""en"",""de"")"),"Die Leute sitzen in Flößen einen Fluss hinunter.")</f>
        <v>Die Leute sitzen in Flößen einen Fluss hinunter.</v>
      </c>
    </row>
    <row r="14198">
      <c r="A14198" s="4" t="s">
        <v>17874</v>
      </c>
      <c r="B14198" s="4" t="s">
        <v>17876</v>
      </c>
      <c r="C14198" s="5" t="str">
        <f>IFERROR(__xludf.DUMMYFUNCTION("GOOGLETRANSLATE(B14198,""en"",""de"")"),"Ein Mann steht auf der Seite eines Flusses und macht ein Foto.")</f>
        <v>Ein Mann steht auf der Seite eines Flusses und macht ein Foto.</v>
      </c>
    </row>
    <row r="14199">
      <c r="A14199" s="4" t="s">
        <v>17874</v>
      </c>
      <c r="B14199" s="4" t="s">
        <v>17877</v>
      </c>
      <c r="C14199" s="5" t="str">
        <f>IFERROR(__xludf.DUMMYFUNCTION("GOOGLETRANSLATE(B14199,""en"",""de"")"),"Die Leute steigen aus dem Floß auf Land.")</f>
        <v>Die Leute steigen aus dem Floß auf Land.</v>
      </c>
    </row>
    <row r="14200">
      <c r="A14200" s="4" t="s">
        <v>17878</v>
      </c>
      <c r="B14200" s="4" t="s">
        <v>17879</v>
      </c>
      <c r="C14200" s="5" t="str">
        <f>IFERROR(__xludf.DUMMYFUNCTION("GOOGLETRANSLATE(B14200,""en"",""de"")"),"Eine Person schweißt ein Metall draußen.")</f>
        <v>Eine Person schweißt ein Metall draußen.</v>
      </c>
    </row>
    <row r="14201">
      <c r="A14201" s="4" t="s">
        <v>17878</v>
      </c>
      <c r="B14201" s="4" t="s">
        <v>17880</v>
      </c>
      <c r="C14201" s="5" t="str">
        <f>IFERROR(__xludf.DUMMYFUNCTION("GOOGLETRANSLATE(B14201,""en"",""de"")"),"Die Person hört auf, das Metall auf dem Boden zu schweißen.")</f>
        <v>Die Person hört auf, das Metall auf dem Boden zu schweißen.</v>
      </c>
    </row>
    <row r="14202">
      <c r="A14202" s="4" t="s">
        <v>17878</v>
      </c>
      <c r="B14202" s="4" t="s">
        <v>17881</v>
      </c>
      <c r="C14202" s="5" t="str">
        <f>IFERROR(__xludf.DUMMYFUNCTION("GOOGLETRANSLATE(B14202,""en"",""de"")"),"Die Person bewegt das Schweißwerkzeug dahinter.")</f>
        <v>Die Person bewegt das Schweißwerkzeug dahinter.</v>
      </c>
    </row>
    <row r="14203">
      <c r="A14203" s="4" t="s">
        <v>17882</v>
      </c>
      <c r="B14203" s="4" t="s">
        <v>17883</v>
      </c>
      <c r="C14203" s="5" t="str">
        <f>IFERROR(__xludf.DUMMYFUNCTION("GOOGLETRANSLATE(B14203,""en"",""de"")"),"Zwei kleine Kinder sitzen in einer Schachtel oben in einem Indoor -Spielbereich.")</f>
        <v>Zwei kleine Kinder sitzen in einer Schachtel oben in einem Indoor -Spielbereich.</v>
      </c>
    </row>
    <row r="14204">
      <c r="A14204" s="4" t="s">
        <v>17882</v>
      </c>
      <c r="B14204" s="4" t="s">
        <v>17884</v>
      </c>
      <c r="C14204" s="5" t="str">
        <f>IFERROR(__xludf.DUMMYFUNCTION("GOOGLETRANSLATE(B14204,""en"",""de"")"),"Ein kleines Mädchen schließt sich und spielt auf der Folie.")</f>
        <v>Ein kleines Mädchen schließt sich und spielt auf der Folie.</v>
      </c>
    </row>
    <row r="14205">
      <c r="A14205" s="4" t="s">
        <v>17882</v>
      </c>
      <c r="B14205" s="4" t="s">
        <v>17885</v>
      </c>
      <c r="C14205" s="5" t="str">
        <f>IFERROR(__xludf.DUMMYFUNCTION("GOOGLETRANSLATE(B14205,""en"",""de"")"),"Die Mädchen gehen und die Jungen gehen abwechselnd die Rutsche hinunter.")</f>
        <v>Die Mädchen gehen und die Jungen gehen abwechselnd die Rutsche hinunter.</v>
      </c>
    </row>
    <row r="14206">
      <c r="A14206" s="4" t="s">
        <v>17882</v>
      </c>
      <c r="B14206" s="4" t="s">
        <v>17886</v>
      </c>
      <c r="C14206" s="5" t="str">
        <f>IFERROR(__xludf.DUMMYFUNCTION("GOOGLETRANSLATE(B14206,""en"",""de"")"),"Die Jungs verbinden eine Folie mit dem ersten und probieren die neue Folie aus.")</f>
        <v>Die Jungs verbinden eine Folie mit dem ersten und probieren die neue Folie aus.</v>
      </c>
    </row>
    <row r="14207">
      <c r="A14207" s="4" t="s">
        <v>17882</v>
      </c>
      <c r="B14207" s="4" t="s">
        <v>17887</v>
      </c>
      <c r="C14207" s="5" t="str">
        <f>IFERROR(__xludf.DUMMYFUNCTION("GOOGLETRANSLATE(B14207,""en"",""de"")"),"Zwei Kinder rennen hinüber und weg.")</f>
        <v>Zwei Kinder rennen hinüber und weg.</v>
      </c>
    </row>
    <row r="14208">
      <c r="A14208" s="4" t="s">
        <v>17882</v>
      </c>
      <c r="B14208" s="4" t="s">
        <v>17888</v>
      </c>
      <c r="C14208" s="5" t="str">
        <f>IFERROR(__xludf.DUMMYFUNCTION("GOOGLETRANSLATE(B14208,""en"",""de"")"),"Der letzte Junge rennt weg und wir sehen die Folieleiter.")</f>
        <v>Der letzte Junge rennt weg und wir sehen die Folieleiter.</v>
      </c>
    </row>
    <row r="14209">
      <c r="A14209" s="4" t="s">
        <v>17889</v>
      </c>
      <c r="B14209" s="4" t="s">
        <v>17890</v>
      </c>
      <c r="C14209" s="5" t="str">
        <f>IFERROR(__xludf.DUMMYFUNCTION("GOOGLETRANSLATE(B14209,""en"",""de"")"),"Zwei Personen kajakfahren einen rauen Fluss hinunter.")</f>
        <v>Zwei Personen kajakfahren einen rauen Fluss hinunter.</v>
      </c>
    </row>
    <row r="14210">
      <c r="A14210" s="4" t="s">
        <v>17889</v>
      </c>
      <c r="B14210" s="4" t="s">
        <v>17891</v>
      </c>
      <c r="C14210" s="5" t="str">
        <f>IFERROR(__xludf.DUMMYFUNCTION("GOOGLETRANSLATE(B14210,""en"",""de"")"),"Jetzt ist nur noch eine Person zu sehen, die an den Felsen geht.")</f>
        <v>Jetzt ist nur noch eine Person zu sehen, die an den Felsen geht.</v>
      </c>
    </row>
    <row r="14211">
      <c r="A14211" s="4" t="s">
        <v>17889</v>
      </c>
      <c r="B14211" s="4" t="s">
        <v>17892</v>
      </c>
      <c r="C14211" s="5" t="str">
        <f>IFERROR(__xludf.DUMMYFUNCTION("GOOGLETRANSLATE(B14211,""en"",""de"")"),"Es gibt einen Rand einer Veranda mit einem Paar Schuhen und einem Paar Beine an der Kante der Veranda.")</f>
        <v>Es gibt einen Rand einer Veranda mit einem Paar Schuhen und einem Paar Beine an der Kante der Veranda.</v>
      </c>
    </row>
    <row r="14212">
      <c r="A14212" s="4" t="s">
        <v>17893</v>
      </c>
      <c r="B14212" s="4" t="s">
        <v>17894</v>
      </c>
      <c r="C14212" s="5" t="str">
        <f>IFERROR(__xludf.DUMMYFUNCTION("GOOGLETRANSLATE(B14212,""en"",""de"")"),"Ein kleines Kind spricht mit der Kamera und steigt über eine Reihe von Affenstangen.")</f>
        <v>Ein kleines Kind spricht mit der Kamera und steigt über eine Reihe von Affenstangen.</v>
      </c>
    </row>
    <row r="14213">
      <c r="A14213" s="4" t="s">
        <v>17893</v>
      </c>
      <c r="B14213" s="4" t="s">
        <v>17895</v>
      </c>
      <c r="C14213" s="5" t="str">
        <f>IFERROR(__xludf.DUMMYFUNCTION("GOOGLETRANSLATE(B14213,""en"",""de"")"),"Sie schafft es zur anderen Seite, die zur Kamera lächelt und dann danach nach unten klettert.")</f>
        <v>Sie schafft es zur anderen Seite, die zur Kamera lächelt und dann danach nach unten klettert.</v>
      </c>
    </row>
    <row r="14214">
      <c r="A14214" s="4" t="s">
        <v>17896</v>
      </c>
      <c r="B14214" s="4" t="s">
        <v>17897</v>
      </c>
      <c r="C14214" s="5" t="str">
        <f>IFERROR(__xludf.DUMMYFUNCTION("GOOGLETRANSLATE(B14214,""en"",""de"")"),"Wir sehen einen Mann in einem Raum, der über ein Fahrrad spricht.")</f>
        <v>Wir sehen einen Mann in einem Raum, der über ein Fahrrad spricht.</v>
      </c>
    </row>
    <row r="14215">
      <c r="A14215" s="4" t="s">
        <v>17896</v>
      </c>
      <c r="B14215" s="4" t="s">
        <v>6208</v>
      </c>
      <c r="C14215" s="5" t="str">
        <f>IFERROR(__xludf.DUMMYFUNCTION("GOOGLETRANSLATE(B14215,""en"",""de"")"),"Wir sehen einen Titelbildschirm.")</f>
        <v>Wir sehen einen Titelbildschirm.</v>
      </c>
    </row>
    <row r="14216">
      <c r="A14216" s="4" t="s">
        <v>17896</v>
      </c>
      <c r="B14216" s="4" t="s">
        <v>17898</v>
      </c>
      <c r="C14216" s="5" t="str">
        <f>IFERROR(__xludf.DUMMYFUNCTION("GOOGLETRANSLATE(B14216,""en"",""de"")"),"Wir sehen dann, wie der Mann die Griffleiste des Fahrrads anpasst.")</f>
        <v>Wir sehen dann, wie der Mann die Griffleiste des Fahrrads anpasst.</v>
      </c>
    </row>
    <row r="14217">
      <c r="A14217" s="4" t="s">
        <v>17896</v>
      </c>
      <c r="B14217" s="4" t="s">
        <v>17899</v>
      </c>
      <c r="C14217" s="5" t="str">
        <f>IFERROR(__xludf.DUMMYFUNCTION("GOOGLETRANSLATE(B14217,""en"",""de"")"),"Der Mann zeigt, wie die Hebel sitzen und die Bremshebel anpasst.")</f>
        <v>Der Mann zeigt, wie die Hebel sitzen und die Bremshebel anpasst.</v>
      </c>
    </row>
    <row r="14218">
      <c r="A14218" s="4" t="s">
        <v>17896</v>
      </c>
      <c r="B14218" s="4" t="s">
        <v>17900</v>
      </c>
      <c r="C14218" s="5" t="str">
        <f>IFERROR(__xludf.DUMMYFUNCTION("GOOGLETRANSLATE(B14218,""en"",""de"")"),"Der Mann demonstriert die Sitzpositionen und das Bremsen und schraubt sie fest.")</f>
        <v>Der Mann demonstriert die Sitzpositionen und das Bremsen und schraubt sie fest.</v>
      </c>
    </row>
    <row r="14219">
      <c r="A14219" s="4" t="s">
        <v>17896</v>
      </c>
      <c r="B14219" s="4" t="s">
        <v>17901</v>
      </c>
      <c r="C14219" s="5" t="str">
        <f>IFERROR(__xludf.DUMMYFUNCTION("GOOGLETRANSLATE(B14219,""en"",""de"")"),"Der Mann dann und passt den Schalthebel an.")</f>
        <v>Der Mann dann und passt den Schalthebel an.</v>
      </c>
    </row>
    <row r="14220">
      <c r="A14220" s="4" t="s">
        <v>17896</v>
      </c>
      <c r="B14220" s="4" t="s">
        <v>17902</v>
      </c>
      <c r="C14220" s="5" t="str">
        <f>IFERROR(__xludf.DUMMYFUNCTION("GOOGLETRANSLATE(B14220,""en"",""de"")"),"Wir sehen eine Zusammenfassung und die Schlussszene des Videos.")</f>
        <v>Wir sehen eine Zusammenfassung und die Schlussszene des Videos.</v>
      </c>
    </row>
    <row r="14221">
      <c r="A14221" s="4" t="s">
        <v>17903</v>
      </c>
      <c r="B14221" s="4" t="s">
        <v>17904</v>
      </c>
      <c r="C14221" s="5" t="str">
        <f>IFERROR(__xludf.DUMMYFUNCTION("GOOGLETRANSLATE(B14221,""en"",""de"")"),"Eine Einführung kommt auf den Bildschirm, um ein Video über die Behebung einer stinkenden Spüle zu beheben.")</f>
        <v>Eine Einführung kommt auf den Bildschirm, um ein Video über die Behebung einer stinkenden Spüle zu beheben.</v>
      </c>
    </row>
    <row r="14222">
      <c r="A14222" s="4" t="s">
        <v>17903</v>
      </c>
      <c r="B14222" s="4" t="s">
        <v>17905</v>
      </c>
      <c r="C14222" s="5" t="str">
        <f>IFERROR(__xludf.DUMMYFUNCTION("GOOGLETRANSLATE(B14222,""en"",""de"")"),"Ein Mann kommt auf den Bildschirm und erklärt vor einigen Tagen, dass Sie den Geruch aus Ihrem Waschbecken herausholen.")</f>
        <v>Ein Mann kommt auf den Bildschirm und erklärt vor einigen Tagen, dass Sie den Geruch aus Ihrem Waschbecken herausholen.</v>
      </c>
    </row>
    <row r="14223">
      <c r="A14223" s="4" t="s">
        <v>17903</v>
      </c>
      <c r="B14223" s="4" t="s">
        <v>17906</v>
      </c>
      <c r="C14223" s="5" t="str">
        <f>IFERROR(__xludf.DUMMYFUNCTION("GOOGLETRANSLATE(B14223,""en"",""de"")"),"Er erklärt zunächst, wie Sie verschiedene Chemikalien verwenden und sie im Abfluss zahlen können, um den Geruch herauszuholen.")</f>
        <v>Er erklärt zunächst, wie Sie verschiedene Chemikalien verwenden und sie im Abfluss zahlen können, um den Geruch herauszuholen.</v>
      </c>
    </row>
    <row r="14224">
      <c r="A14224" s="4" t="s">
        <v>17903</v>
      </c>
      <c r="B14224" s="4" t="s">
        <v>17907</v>
      </c>
      <c r="C14224" s="5" t="str">
        <f>IFERROR(__xludf.DUMMYFUNCTION("GOOGLETRANSLATE(B14224,""en"",""de"")"),"Dann zeigt er Ihnen, wie Sie den Boden der Spüle entfernen, um es zu reinigen, was beim Geruch helfen kann.")</f>
        <v>Dann zeigt er Ihnen, wie Sie den Boden der Spüle entfernen, um es zu reinigen, was beim Geruch helfen kann.</v>
      </c>
    </row>
    <row r="14225">
      <c r="A14225" s="4" t="s">
        <v>17903</v>
      </c>
      <c r="B14225" s="4" t="s">
        <v>17908</v>
      </c>
      <c r="C14225" s="5" t="str">
        <f>IFERROR(__xludf.DUMMYFUNCTION("GOOGLETRANSLATE(B14225,""en"",""de"")"),"Das Video, das es mit den auf dem Bildschirm angezeigten Abschlussgutschriften ist.")</f>
        <v>Das Video, das es mit den auf dem Bildschirm angezeigten Abschlussgutschriften ist.</v>
      </c>
    </row>
    <row r="14226">
      <c r="A14226" s="4" t="s">
        <v>17909</v>
      </c>
      <c r="B14226" s="4" t="s">
        <v>17910</v>
      </c>
      <c r="C14226" s="5" t="str">
        <f>IFERROR(__xludf.DUMMYFUNCTION("GOOGLETRANSLATE(B14226,""en"",""de"")"),"Es gibt eine Frau in einem grauen Hemd und schwarzen Strumpfhosen und sehr kurzen Haaren, die Tricks mit einem kleinen Stock in ihrem Garten durch die Schaukel aufführen.")</f>
        <v>Es gibt eine Frau in einem grauen Hemd und schwarzen Strumpfhosen und sehr kurzen Haaren, die Tricks mit einem kleinen Stock in ihrem Garten durch die Schaukel aufführen.</v>
      </c>
    </row>
    <row r="14227">
      <c r="A14227" s="4" t="s">
        <v>17909</v>
      </c>
      <c r="B14227" s="4" t="s">
        <v>17911</v>
      </c>
      <c r="C14227" s="5" t="str">
        <f>IFERROR(__xludf.DUMMYFUNCTION("GOOGLETRANSLATE(B14227,""en"",""de"")"),"Sie jongliert zwischen zwei Stöcken in der Hand und versucht, einen Stock zu fangen, während sie den anderen in die Luft werfen.")</f>
        <v>Sie jongliert zwischen zwei Stöcken in der Hand und versucht, einen Stock zu fangen, während sie den anderen in die Luft werfen.</v>
      </c>
    </row>
    <row r="14228">
      <c r="A14228" s="4" t="s">
        <v>17912</v>
      </c>
      <c r="B14228" s="4" t="s">
        <v>17913</v>
      </c>
      <c r="C14228" s="5" t="str">
        <f>IFERROR(__xludf.DUMMYFUNCTION("GOOGLETRANSLATE(B14228,""en"",""de"")"),"Ein Mann rennt eine Strecke draußen.")</f>
        <v>Ein Mann rennt eine Strecke draußen.</v>
      </c>
    </row>
    <row r="14229">
      <c r="A14229" s="4" t="s">
        <v>17912</v>
      </c>
      <c r="B14229" s="4" t="s">
        <v>17914</v>
      </c>
      <c r="C14229" s="5" t="str">
        <f>IFERROR(__xludf.DUMMYFUNCTION("GOOGLETRANSLATE(B14229,""en"",""de"")"),"Er hält einen langen Speer.")</f>
        <v>Er hält einen langen Speer.</v>
      </c>
    </row>
    <row r="14230">
      <c r="A14230" s="4" t="s">
        <v>17912</v>
      </c>
      <c r="B14230" s="4" t="s">
        <v>17915</v>
      </c>
      <c r="C14230" s="5" t="str">
        <f>IFERROR(__xludf.DUMMYFUNCTION("GOOGLETRANSLATE(B14230,""en"",""de"")"),"Er wölbt sich über eine Bar ab.")</f>
        <v>Er wölbt sich über eine Bar ab.</v>
      </c>
    </row>
    <row r="14231">
      <c r="A14231" s="4" t="s">
        <v>17912</v>
      </c>
      <c r="B14231" s="4" t="s">
        <v>17916</v>
      </c>
      <c r="C14231" s="5" t="str">
        <f>IFERROR(__xludf.DUMMYFUNCTION("GOOGLETRANSLATE(B14231,""en"",""de"")"),"Er macht das Gleiche wieder drinnen.")</f>
        <v>Er macht das Gleiche wieder drinnen.</v>
      </c>
    </row>
    <row r="14232">
      <c r="A14232" s="4" t="s">
        <v>17917</v>
      </c>
      <c r="B14232" s="4" t="s">
        <v>17918</v>
      </c>
      <c r="C14232" s="5" t="str">
        <f>IFERROR(__xludf.DUMMYFUNCTION("GOOGLETRANSLATE(B14232,""en"",""de"")"),"Eine Person wird gesehen, wie sie Eier schlägt und sie in eine Schüssel mischt, während sie die Schalen von den Eiern trennen.")</f>
        <v>Eine Person wird gesehen, wie sie Eier schlägt und sie in eine Schüssel mischt, während sie die Schalen von den Eiern trennen.</v>
      </c>
    </row>
    <row r="14233">
      <c r="A14233" s="4" t="s">
        <v>17917</v>
      </c>
      <c r="B14233" s="4" t="s">
        <v>17919</v>
      </c>
      <c r="C14233" s="5" t="str">
        <f>IFERROR(__xludf.DUMMYFUNCTION("GOOGLETRANSLATE(B14233,""en"",""de"")"),"Sie mischen die Eier um eine Schüssel und legen Butter und Milch in eine andere Schüssel und mischen sie alle zusammen.")</f>
        <v>Sie mischen die Eier um eine Schüssel und legen Butter und Milch in eine andere Schüssel und mischen sie alle zusammen.</v>
      </c>
    </row>
    <row r="14234">
      <c r="A14234" s="4" t="s">
        <v>17917</v>
      </c>
      <c r="B14234" s="4" t="s">
        <v>17920</v>
      </c>
      <c r="C14234" s="5" t="str">
        <f>IFERROR(__xludf.DUMMYFUNCTION("GOOGLETRANSLATE(B14234,""en"",""de"")"),"Sie fügen der Mischung mehrere weitere Zutaten hinzu und zeigen das Endergebnis von Keksen, die auf einem Teller sitzen.")</f>
        <v>Sie fügen der Mischung mehrere weitere Zutaten hinzu und zeigen das Endergebnis von Keksen, die auf einem Teller sitzen.</v>
      </c>
    </row>
    <row r="14235">
      <c r="A14235" s="4" t="s">
        <v>17921</v>
      </c>
      <c r="B14235" s="4" t="s">
        <v>17922</v>
      </c>
      <c r="C14235" s="5" t="str">
        <f>IFERROR(__xludf.DUMMYFUNCTION("GOOGLETRANSLATE(B14235,""en"",""de"")"),"Ein Mann steht in der Nähe der Kamera und führt das Video vor.")</f>
        <v>Ein Mann steht in der Nähe der Kamera und führt das Video vor.</v>
      </c>
    </row>
    <row r="14236">
      <c r="A14236" s="4" t="s">
        <v>17921</v>
      </c>
      <c r="B14236" s="4" t="s">
        <v>17923</v>
      </c>
      <c r="C14236" s="5" t="str">
        <f>IFERROR(__xludf.DUMMYFUNCTION("GOOGLETRANSLATE(B14236,""en"",""de"")"),"Seine Frau reinigt schnell ein Stück weißes Bettbezügel.")</f>
        <v>Seine Frau reinigt schnell ein Stück weißes Bettbezügel.</v>
      </c>
    </row>
    <row r="14237">
      <c r="A14237" s="4" t="s">
        <v>17921</v>
      </c>
      <c r="B14237" s="4" t="s">
        <v>17924</v>
      </c>
      <c r="C14237" s="5" t="str">
        <f>IFERROR(__xludf.DUMMYFUNCTION("GOOGLETRANSLATE(B14237,""en"",""de"")"),"Der Mann zeigt erneut sein Gesicht und geht zu seiner Frau zurück.")</f>
        <v>Der Mann zeigt erneut sein Gesicht und geht zu seiner Frau zurück.</v>
      </c>
    </row>
    <row r="14238">
      <c r="A14238" s="4" t="s">
        <v>17925</v>
      </c>
      <c r="B14238" s="4" t="s">
        <v>17926</v>
      </c>
      <c r="C14238" s="5" t="str">
        <f>IFERROR(__xludf.DUMMYFUNCTION("GOOGLETRANSLATE(B14238,""en"",""de"")"),"Ein schwarzer Intro -Bildschirm erscheint und enthält viel Text in Weiß, Blau und Grün, das Zahlen und Buchstaben enthält, und dann ein Logo auf der rechten Seite, das für Quicksilver und die Clips aus einem Surfwettbewerb in Piha, Auckland New Zealand, s"&amp;"tammen wird .")</f>
        <v>Ein schwarzer Intro -Bildschirm erscheint und enthält viel Text in Weiß, Blau und Grün, das Zahlen und Buchstaben enthält, und dann ein Logo auf der rechten Seite, das für Quicksilver und die Clips aus einem Surfwettbewerb in Piha, Auckland New Zealand, stammen wird .</v>
      </c>
    </row>
    <row r="14239">
      <c r="A14239" s="4" t="s">
        <v>17925</v>
      </c>
      <c r="B14239" s="4" t="s">
        <v>17927</v>
      </c>
      <c r="C14239" s="5" t="str">
        <f>IFERROR(__xludf.DUMMYFUNCTION("GOOGLETRANSLATE(B14239,""en"",""de"")"),"Der Strand wird gezeigt und es gibt mehrere Personen und Zelte, und die Menschen beobachten und jubeln verschiedene Surfer, die große und lange Wellen surfen.")</f>
        <v>Der Strand wird gezeigt und es gibt mehrere Personen und Zelte, und die Menschen beobachten und jubeln verschiedene Surfer, die große und lange Wellen surfen.</v>
      </c>
    </row>
    <row r="14240">
      <c r="A14240" s="4" t="s">
        <v>17925</v>
      </c>
      <c r="B14240" s="4" t="s">
        <v>17928</v>
      </c>
      <c r="C14240" s="5" t="str">
        <f>IFERROR(__xludf.DUMMYFUNCTION("GOOGLETRANSLATE(B14240,""en"",""de"")"),"Das Outro erscheint und es ist der gleiche schwarze Bildschirm mit dem Logo und Text wie für das Intro.")</f>
        <v>Das Outro erscheint und es ist der gleiche schwarze Bildschirm mit dem Logo und Text wie für das Intro.</v>
      </c>
    </row>
    <row r="14241">
      <c r="A14241" s="4" t="s">
        <v>17929</v>
      </c>
      <c r="B14241" s="4" t="s">
        <v>17930</v>
      </c>
      <c r="C14241" s="5" t="str">
        <f>IFERROR(__xludf.DUMMYFUNCTION("GOOGLETRANSLATE(B14241,""en"",""de"")"),"Eine Frau trägt Rollerblätter und schaut zur Kamera zurück.")</f>
        <v>Eine Frau trägt Rollerblätter und schaut zur Kamera zurück.</v>
      </c>
    </row>
    <row r="14242">
      <c r="A14242" s="4" t="s">
        <v>17929</v>
      </c>
      <c r="B14242" s="4" t="s">
        <v>17931</v>
      </c>
      <c r="C14242" s="5" t="str">
        <f>IFERROR(__xludf.DUMMYFUNCTION("GOOGLETRANSLATE(B14242,""en"",""de"")"),"Sie versucht herumzufahren, während eine andere Person neben ihr versucht, zu helfen.")</f>
        <v>Sie versucht herumzufahren, während eine andere Person neben ihr versucht, zu helfen.</v>
      </c>
    </row>
    <row r="14243">
      <c r="A14243" s="4" t="s">
        <v>17929</v>
      </c>
      <c r="B14243" s="4" t="s">
        <v>17932</v>
      </c>
      <c r="C14243" s="5" t="str">
        <f>IFERROR(__xludf.DUMMYFUNCTION("GOOGLETRANSLATE(B14243,""en"",""de"")"),"Eine andere Person hält Stöcke in der Ferne und geht in Richtung Kamera.")</f>
        <v>Eine andere Person hält Stöcke in der Ferne und geht in Richtung Kamera.</v>
      </c>
    </row>
    <row r="14244">
      <c r="A14244" s="4" t="s">
        <v>17933</v>
      </c>
      <c r="B14244" s="4" t="s">
        <v>17934</v>
      </c>
      <c r="C14244" s="5" t="str">
        <f>IFERROR(__xludf.DUMMYFUNCTION("GOOGLETRANSLATE(B14244,""en"",""de"")"),"Ein Teenager spricht, dann zieht er ein Kontaktlinsen vom rechten Auge ab.")</f>
        <v>Ein Teenager spricht, dann zieht er ein Kontaktlinsen vom rechten Auge ab.</v>
      </c>
    </row>
    <row r="14245">
      <c r="A14245" s="4" t="s">
        <v>17933</v>
      </c>
      <c r="B14245" s="4" t="s">
        <v>17935</v>
      </c>
      <c r="C14245" s="5" t="str">
        <f>IFERROR(__xludf.DUMMYFUNCTION("GOOGLETRANSLATE(B14245,""en"",""de"")"),"Dann legt Teen das Kontaktobjektiv auf den Zeigefinger und legt es dann erneut in seine rechte Weise.")</f>
        <v>Dann legt Teen das Kontaktobjektiv auf den Zeigefinger und legt es dann erneut in seine rechte Weise.</v>
      </c>
    </row>
    <row r="14246">
      <c r="A14246" s="4" t="s">
        <v>17933</v>
      </c>
      <c r="B14246" s="4" t="s">
        <v>17936</v>
      </c>
      <c r="C14246" s="5" t="str">
        <f>IFERROR(__xludf.DUMMYFUNCTION("GOOGLETRANSLATE(B14246,""en"",""de"")"),"Danach redet der Teenager weiter.")</f>
        <v>Danach redet der Teenager weiter.</v>
      </c>
    </row>
    <row r="14247">
      <c r="A14247" s="4" t="s">
        <v>17937</v>
      </c>
      <c r="B14247" s="4" t="s">
        <v>17938</v>
      </c>
      <c r="C14247" s="5" t="str">
        <f>IFERROR(__xludf.DUMMYFUNCTION("GOOGLETRANSLATE(B14247,""en"",""de"")"),"Eine Person, die Gewichte anzieht, wird gezeigt, gefolgt von einer Frau, die Gewichte auf ihrem Rücken hebt.")</f>
        <v>Eine Person, die Gewichte anzieht, wird gezeigt, gefolgt von einer Frau, die Gewichte auf ihrem Rücken hebt.</v>
      </c>
    </row>
    <row r="14248">
      <c r="A14248" s="4" t="s">
        <v>17937</v>
      </c>
      <c r="B14248" s="4" t="s">
        <v>17939</v>
      </c>
      <c r="C14248" s="5" t="str">
        <f>IFERROR(__xludf.DUMMYFUNCTION("GOOGLETRANSLATE(B14248,""en"",""de"")"),"Sie legt die Gewichte ab und eine andere Frau wird gezeigt, dass sie einen schweren Satz Gewichte hebt.")</f>
        <v>Sie legt die Gewichte ab und eine andere Frau wird gezeigt, dass sie einen schweren Satz Gewichte hebt.</v>
      </c>
    </row>
    <row r="14249">
      <c r="A14249" s="4" t="s">
        <v>17937</v>
      </c>
      <c r="B14249" s="4" t="s">
        <v>17940</v>
      </c>
      <c r="C14249" s="5" t="str">
        <f>IFERROR(__xludf.DUMMYFUNCTION("GOOGLETRANSLATE(B14249,""en"",""de"")"),"Mehrere weitere Menschen werden gezeigt, dass sie ihre Hebetalente durchführen und mit einem Logo des gezeigten Fitnessstudio endet.")</f>
        <v>Mehrere weitere Menschen werden gezeigt, dass sie ihre Hebetalente durchführen und mit einem Logo des gezeigten Fitnessstudio endet.</v>
      </c>
    </row>
    <row r="14250">
      <c r="A14250" s="4" t="s">
        <v>17941</v>
      </c>
      <c r="B14250" s="4" t="s">
        <v>17942</v>
      </c>
      <c r="C14250" s="5" t="str">
        <f>IFERROR(__xludf.DUMMYFUNCTION("GOOGLETRANSLATE(B14250,""en"",""de"")"),"Eine Frau spricht, dann legt sie Brotscheiben auf eine heiße Backform auf den Herd.")</f>
        <v>Eine Frau spricht, dann legt sie Brotscheiben auf eine heiße Backform auf den Herd.</v>
      </c>
    </row>
    <row r="14251">
      <c r="A14251" s="4" t="s">
        <v>17941</v>
      </c>
      <c r="B14251" s="4" t="s">
        <v>17943</v>
      </c>
      <c r="C14251" s="5" t="str">
        <f>IFERROR(__xludf.DUMMYFUNCTION("GOOGLETRANSLATE(B14251,""en"",""de"")"),"Dann legt die Frau Frischkäse auf das Brot und kocht Fleisch.")</f>
        <v>Dann legt die Frau Frischkäse auf das Brot und kocht Fleisch.</v>
      </c>
    </row>
    <row r="14252">
      <c r="A14252" s="4" t="s">
        <v>17941</v>
      </c>
      <c r="B14252" s="4" t="s">
        <v>17944</v>
      </c>
      <c r="C14252" s="5" t="str">
        <f>IFERROR(__xludf.DUMMYFUNCTION("GOOGLETRANSLATE(B14252,""en"",""de"")"),"Wenn das Fleisch fertig ist, setzt die Frau Sauerkraut und Käse darauf, bedecken Sie es und machen Sandwiches.")</f>
        <v>Wenn das Fleisch fertig ist, setzt die Frau Sauerkraut und Käse darauf, bedecken Sie es und machen Sandwiches.</v>
      </c>
    </row>
    <row r="14253">
      <c r="A14253" s="4" t="s">
        <v>17945</v>
      </c>
      <c r="B14253" s="4" t="s">
        <v>17946</v>
      </c>
      <c r="C14253" s="5" t="str">
        <f>IFERROR(__xludf.DUMMYFUNCTION("GOOGLETRANSLATE(B14253,""en"",""de"")"),"Ein Volleyballlehrer gibt Informationen über seine Volleyballfähigkeiten in Salt Lake City.")</f>
        <v>Ein Volleyballlehrer gibt Informationen über seine Volleyballfähigkeiten in Salt Lake City.</v>
      </c>
    </row>
    <row r="14254">
      <c r="A14254" s="4" t="s">
        <v>17945</v>
      </c>
      <c r="B14254" s="4" t="s">
        <v>17947</v>
      </c>
      <c r="C14254" s="5" t="str">
        <f>IFERROR(__xludf.DUMMYFUNCTION("GOOGLETRANSLATE(B14254,""en"",""de"")"),"Er spielt mit einem anderen Ausbilder auf dem Platz.")</f>
        <v>Er spielt mit einem anderen Ausbilder auf dem Platz.</v>
      </c>
    </row>
    <row r="14255">
      <c r="A14255" s="4" t="s">
        <v>17945</v>
      </c>
      <c r="B14255" s="4" t="s">
        <v>17948</v>
      </c>
      <c r="C14255" s="5" t="str">
        <f>IFERROR(__xludf.DUMMYFUNCTION("GOOGLETRANSLATE(B14255,""en"",""de"")"),"Er spricht nur eine Weile darüber.")</f>
        <v>Er spricht nur eine Weile darüber.</v>
      </c>
    </row>
    <row r="14256">
      <c r="A14256" s="4" t="s">
        <v>17945</v>
      </c>
      <c r="B14256" s="4" t="s">
        <v>17949</v>
      </c>
      <c r="C14256" s="5" t="str">
        <f>IFERROR(__xludf.DUMMYFUNCTION("GOOGLETRANSLATE(B14256,""en"",""de"")"),"Sie sehen das Volleyball -Netz und dann redet der Trainer weiter.")</f>
        <v>Sie sehen das Volleyball -Netz und dann redet der Trainer weiter.</v>
      </c>
    </row>
    <row r="14257">
      <c r="A14257" s="4" t="s">
        <v>17950</v>
      </c>
      <c r="B14257" s="4" t="s">
        <v>17951</v>
      </c>
      <c r="C14257" s="5" t="str">
        <f>IFERROR(__xludf.DUMMYFUNCTION("GOOGLETRANSLATE(B14257,""en"",""de"")"),"Eine Blaskapelle spielt in einem Stadion, während die Cheerleader auf der Seite auftreten.")</f>
        <v>Eine Blaskapelle spielt in einem Stadion, während die Cheerleader auf der Seite auftreten.</v>
      </c>
    </row>
    <row r="14258">
      <c r="A14258" s="4" t="s">
        <v>17950</v>
      </c>
      <c r="B14258" s="4" t="s">
        <v>17952</v>
      </c>
      <c r="C14258" s="5" t="str">
        <f>IFERROR(__xludf.DUMMYFUNCTION("GOOGLETRANSLATE(B14258,""en"",""de"")"),"Eine Mannschaft von Fußballspieler versammelt sich hinter der Blaskapelle.")</f>
        <v>Eine Mannschaft von Fußballspieler versammelt sich hinter der Blaskapelle.</v>
      </c>
    </row>
    <row r="14259">
      <c r="A14259" s="4" t="s">
        <v>17950</v>
      </c>
      <c r="B14259" s="4" t="s">
        <v>17953</v>
      </c>
      <c r="C14259" s="5" t="str">
        <f>IFERROR(__xludf.DUMMYFUNCTION("GOOGLETRANSLATE(B14259,""en"",""de"")"),"Ein Cheerleader -Pass hinter der Blaskapelle.")</f>
        <v>Ein Cheerleader -Pass hinter der Blaskapelle.</v>
      </c>
    </row>
    <row r="14260">
      <c r="A14260" s="4" t="s">
        <v>17950</v>
      </c>
      <c r="B14260" s="4" t="s">
        <v>17954</v>
      </c>
      <c r="C14260" s="5" t="str">
        <f>IFERROR(__xludf.DUMMYFUNCTION("GOOGLETRANSLATE(B14260,""en"",""de"")"),"Die Cheerleader in den Tribünen treten mit Pom Poms auf.")</f>
        <v>Die Cheerleader in den Tribünen treten mit Pom Poms auf.</v>
      </c>
    </row>
    <row r="14261">
      <c r="A14261" s="4" t="s">
        <v>17950</v>
      </c>
      <c r="B14261" s="4" t="s">
        <v>17955</v>
      </c>
      <c r="C14261" s="5" t="str">
        <f>IFERROR(__xludf.DUMMYFUNCTION("GOOGLETRANSLATE(B14261,""en"",""de"")"),"Dann spielt die Cheerleader neben der Band Springen und bewegen sich.")</f>
        <v>Dann spielt die Cheerleader neben der Band Springen und bewegen sich.</v>
      </c>
    </row>
    <row r="14262">
      <c r="A14262" s="4" t="s">
        <v>17956</v>
      </c>
      <c r="B14262" s="4" t="s">
        <v>1251</v>
      </c>
      <c r="C14262" s="5" t="str">
        <f>IFERROR(__xludf.DUMMYFUNCTION("GOOGLETRANSLATE(B14262,""en"",""de"")"),"Die Credits des Clips werden angezeigt.")</f>
        <v>Die Credits des Clips werden angezeigt.</v>
      </c>
    </row>
    <row r="14263">
      <c r="A14263" s="4" t="s">
        <v>17956</v>
      </c>
      <c r="B14263" s="4" t="s">
        <v>17957</v>
      </c>
      <c r="C14263" s="5" t="str">
        <f>IFERROR(__xludf.DUMMYFUNCTION("GOOGLETRANSLATE(B14263,""en"",""de"")"),"Die Leute treten einen Ball in die gelbe Kegel auf falschem Gras.")</f>
        <v>Die Leute treten einen Ball in die gelbe Kegel auf falschem Gras.</v>
      </c>
    </row>
    <row r="14264">
      <c r="A14264" s="4" t="s">
        <v>17956</v>
      </c>
      <c r="B14264" s="4" t="s">
        <v>17958</v>
      </c>
      <c r="C14264" s="5" t="str">
        <f>IFERROR(__xludf.DUMMYFUNCTION("GOOGLETRANSLATE(B14264,""en"",""de"")"),"Ein Spieler tritt einen Ball über den Kopf eines Mannes.")</f>
        <v>Ein Spieler tritt einen Ball über den Kopf eines Mannes.</v>
      </c>
    </row>
    <row r="14265">
      <c r="A14265" s="4" t="s">
        <v>17956</v>
      </c>
      <c r="B14265" s="4" t="s">
        <v>17959</v>
      </c>
      <c r="C14265" s="5" t="str">
        <f>IFERROR(__xludf.DUMMYFUNCTION("GOOGLETRANSLATE(B14265,""en"",""de"")"),"Die Spieler treten einen Ball, der einen gelben Kegel niederschlägt, den sie aufnehmen.")</f>
        <v>Die Spieler treten einen Ball, der einen gelben Kegel niederschlägt, den sie aufnehmen.</v>
      </c>
    </row>
    <row r="14266">
      <c r="A14266" s="4" t="s">
        <v>17960</v>
      </c>
      <c r="B14266" s="4" t="s">
        <v>17961</v>
      </c>
      <c r="C14266" s="5" t="str">
        <f>IFERROR(__xludf.DUMMYFUNCTION("GOOGLETRANSLATE(B14266,""en"",""de"")"),"Eine Person sitzt einen Laptop in der Hand, während eine Frau ihre Haare rollt.")</f>
        <v>Eine Person sitzt einen Laptop in der Hand, während eine Frau ihre Haare rollt.</v>
      </c>
    </row>
    <row r="14267">
      <c r="A14267" s="4" t="s">
        <v>17960</v>
      </c>
      <c r="B14267" s="4" t="s">
        <v>17962</v>
      </c>
      <c r="C14267" s="5" t="str">
        <f>IFERROR(__xludf.DUMMYFUNCTION("GOOGLETRANSLATE(B14267,""en"",""de"")"),"Die Frau nimmt ein Haarschloss und legt über den Kopf, dann rollt sie das Haar mit einem Lockenstab.")</f>
        <v>Die Frau nimmt ein Haarschloss und legt über den Kopf, dann rollt sie das Haar mit einem Lockenstab.</v>
      </c>
    </row>
    <row r="14268">
      <c r="A14268" s="4" t="s">
        <v>17963</v>
      </c>
      <c r="B14268" s="4" t="s">
        <v>17964</v>
      </c>
      <c r="C14268" s="5" t="str">
        <f>IFERROR(__xludf.DUMMYFUNCTION("GOOGLETRANSLATE(B14268,""en"",""de"")"),"Ein Mann und eine Frau, die vor einem Publikum tanzt.")</f>
        <v>Ein Mann und eine Frau, die vor einem Publikum tanzt.</v>
      </c>
    </row>
    <row r="14269">
      <c r="A14269" s="4" t="s">
        <v>17963</v>
      </c>
      <c r="B14269" s="4" t="s">
        <v>17965</v>
      </c>
      <c r="C14269" s="5" t="str">
        <f>IFERROR(__xludf.DUMMYFUNCTION("GOOGLETRANSLATE(B14269,""en"",""de"")"),"Der Mann und die Frau tanzen vor dem Publikum.")</f>
        <v>Der Mann und die Frau tanzen vor dem Publikum.</v>
      </c>
    </row>
    <row r="14270">
      <c r="A14270" s="4" t="s">
        <v>17963</v>
      </c>
      <c r="B14270" s="4" t="s">
        <v>17966</v>
      </c>
      <c r="C14270" s="5" t="str">
        <f>IFERROR(__xludf.DUMMYFUNCTION("GOOGLETRANSLATE(B14270,""en"",""de"")"),"Die Kamera zeigt drei Richter des Ereignisses, die stehen und klatschen oder zeigten.")</f>
        <v>Die Kamera zeigt drei Richter des Ereignisses, die stehen und klatschen oder zeigten.</v>
      </c>
    </row>
    <row r="14271">
      <c r="A14271" s="4" t="s">
        <v>17967</v>
      </c>
      <c r="B14271" s="4" t="s">
        <v>17968</v>
      </c>
      <c r="C14271" s="5" t="str">
        <f>IFERROR(__xludf.DUMMYFUNCTION("GOOGLETRANSLATE(B14271,""en"",""de"")"),"Zwei Frauen ringen auf einem Tisch Arm.")</f>
        <v>Zwei Frauen ringen auf einem Tisch Arm.</v>
      </c>
    </row>
    <row r="14272">
      <c r="A14272" s="4" t="s">
        <v>17967</v>
      </c>
      <c r="B14272" s="4" t="s">
        <v>17969</v>
      </c>
      <c r="C14272" s="5" t="str">
        <f>IFERROR(__xludf.DUMMYFUNCTION("GOOGLETRANSLATE(B14272,""en"",""de"")"),"Eine Frau in einer Schiedsrichteruniform steht hinter ihnen.")</f>
        <v>Eine Frau in einer Schiedsrichteruniform steht hinter ihnen.</v>
      </c>
    </row>
    <row r="14273">
      <c r="A14273" s="4" t="s">
        <v>17967</v>
      </c>
      <c r="B14273" s="4" t="s">
        <v>17970</v>
      </c>
      <c r="C14273" s="5" t="str">
        <f>IFERROR(__xludf.DUMMYFUNCTION("GOOGLETRANSLATE(B14273,""en"",""de"")"),"Eines der Mädchen geht weg.")</f>
        <v>Eines der Mädchen geht weg.</v>
      </c>
    </row>
    <row r="14274">
      <c r="A14274" s="4" t="s">
        <v>17971</v>
      </c>
      <c r="B14274" s="4" t="s">
        <v>17972</v>
      </c>
      <c r="C14274" s="5" t="str">
        <f>IFERROR(__xludf.DUMMYFUNCTION("GOOGLETRANSLATE(B14274,""en"",""de"")"),"Eine Gruppe älterer Menschen trifft sich in einem Park.")</f>
        <v>Eine Gruppe älterer Menschen trifft sich in einem Park.</v>
      </c>
    </row>
    <row r="14275">
      <c r="A14275" s="4" t="s">
        <v>17971</v>
      </c>
      <c r="B14275" s="4" t="s">
        <v>17973</v>
      </c>
      <c r="C14275" s="5" t="str">
        <f>IFERROR(__xludf.DUMMYFUNCTION("GOOGLETRANSLATE(B14275,""en"",""de"")"),"Sie reden und machen zusammen Yoga.")</f>
        <v>Sie reden und machen zusammen Yoga.</v>
      </c>
    </row>
    <row r="14276">
      <c r="A14276" s="4" t="s">
        <v>17971</v>
      </c>
      <c r="B14276" s="4" t="s">
        <v>17974</v>
      </c>
      <c r="C14276" s="5" t="str">
        <f>IFERROR(__xludf.DUMMYFUNCTION("GOOGLETRANSLATE(B14276,""en"",""de"")"),"Mit Hilfe eines Ausbilders führen sie mehrere Yoga -Bewegungen durch.")</f>
        <v>Mit Hilfe eines Ausbilders führen sie mehrere Yoga -Bewegungen durch.</v>
      </c>
    </row>
    <row r="14277">
      <c r="A14277" s="4" t="s">
        <v>17971</v>
      </c>
      <c r="B14277" s="4" t="s">
        <v>17975</v>
      </c>
      <c r="C14277" s="5" t="str">
        <f>IFERROR(__xludf.DUMMYFUNCTION("GOOGLETRANSLATE(B14277,""en"",""de"")"),"Sie verabschieden sich dann und machen sich auf den Weg.")</f>
        <v>Sie verabschieden sich dann und machen sich auf den Weg.</v>
      </c>
    </row>
    <row r="14278">
      <c r="A14278" s="4" t="s">
        <v>17976</v>
      </c>
      <c r="B14278" s="4" t="s">
        <v>17977</v>
      </c>
      <c r="C14278" s="5" t="str">
        <f>IFERROR(__xludf.DUMMYFUNCTION("GOOGLETRANSLATE(B14278,""en"",""de"")"),"Ein Turner hält einen Ball mit einer Schnur befestigt und dreht dann den Ball.")</f>
        <v>Ein Turner hält einen Ball mit einer Schnur befestigt und dreht dann den Ball.</v>
      </c>
    </row>
    <row r="14279">
      <c r="A14279" s="4" t="s">
        <v>17976</v>
      </c>
      <c r="B14279" s="4" t="s">
        <v>17978</v>
      </c>
      <c r="C14279" s="5" t="str">
        <f>IFERROR(__xludf.DUMMYFUNCTION("GOOGLETRANSLATE(B14279,""en"",""de"")"),"Dann wirft der Turner den Ball, während er sich auf dem Feld dreht.")</f>
        <v>Dann wirft der Turner den Ball, während er sich auf dem Feld dreht.</v>
      </c>
    </row>
    <row r="14280">
      <c r="A14280" s="4" t="s">
        <v>17979</v>
      </c>
      <c r="B14280" s="4" t="s">
        <v>17980</v>
      </c>
      <c r="C14280" s="5" t="str">
        <f>IFERROR(__xludf.DUMMYFUNCTION("GOOGLETRANSLATE(B14280,""en"",""de"")"),"Ein Mann mäht den Rasen.")</f>
        <v>Ein Mann mäht den Rasen.</v>
      </c>
    </row>
    <row r="14281">
      <c r="A14281" s="4" t="s">
        <v>17979</v>
      </c>
      <c r="B14281" s="4" t="s">
        <v>17981</v>
      </c>
      <c r="C14281" s="5" t="str">
        <f>IFERROR(__xludf.DUMMYFUNCTION("GOOGLETRANSLATE(B14281,""en"",""de"")"),"Er schaut auf und spricht mit jemandem.")</f>
        <v>Er schaut auf und spricht mit jemandem.</v>
      </c>
    </row>
    <row r="14282">
      <c r="A14282" s="4" t="s">
        <v>17979</v>
      </c>
      <c r="B14282" s="4" t="s">
        <v>17982</v>
      </c>
      <c r="C14282" s="5" t="str">
        <f>IFERROR(__xludf.DUMMYFUNCTION("GOOGLETRANSLATE(B14282,""en"",""de"")"),"Der Mann mähen den Rasen weiter.")</f>
        <v>Der Mann mähen den Rasen weiter.</v>
      </c>
    </row>
    <row r="14283">
      <c r="A14283" s="4" t="s">
        <v>17983</v>
      </c>
      <c r="B14283" s="4" t="s">
        <v>17984</v>
      </c>
      <c r="C14283" s="5" t="str">
        <f>IFERROR(__xludf.DUMMYFUNCTION("GOOGLETRANSLATE(B14283,""en"",""de"")"),"Ein weiblicher Koch in weißer Uniform zeigt einen Stapel Backformen in einer großen Küche, die sie präsentiert.")</f>
        <v>Ein weiblicher Koch in weißer Uniform zeigt einen Stapel Backformen in einer großen Küche, die sie präsentiert.</v>
      </c>
    </row>
    <row r="14284">
      <c r="A14284" s="4" t="s">
        <v>17983</v>
      </c>
      <c r="B14284" s="4" t="s">
        <v>17985</v>
      </c>
      <c r="C14284" s="5" t="str">
        <f>IFERROR(__xludf.DUMMYFUNCTION("GOOGLETRANSLATE(B14284,""en"",""de"")"),"Die Pfannen sind mit Gebäck gefüllt und in den Ofen geladen.")</f>
        <v>Die Pfannen sind mit Gebäck gefüllt und in den Ofen geladen.</v>
      </c>
    </row>
    <row r="14285">
      <c r="A14285" s="4" t="s">
        <v>17983</v>
      </c>
      <c r="B14285" s="4" t="s">
        <v>17986</v>
      </c>
      <c r="C14285" s="5" t="str">
        <f>IFERROR(__xludf.DUMMYFUNCTION("GOOGLETRANSLATE(B14285,""en"",""de"")"),"Ein Messer wird verwendet, um den zylinderförmigen Teig in Runden zu schneiden.")</f>
        <v>Ein Messer wird verwendet, um den zylinderförmigen Teig in Runden zu schneiden.</v>
      </c>
    </row>
    <row r="14286">
      <c r="A14286" s="4" t="s">
        <v>17983</v>
      </c>
      <c r="B14286" s="4" t="s">
        <v>17987</v>
      </c>
      <c r="C14286" s="5" t="str">
        <f>IFERROR(__xludf.DUMMYFUNCTION("GOOGLETRANSLATE(B14286,""en"",""de"")"),"Ein Tablett mit Kartoffeln wird in den Ofen geladen und entfernt.")</f>
        <v>Ein Tablett mit Kartoffeln wird in den Ofen geladen und entfernt.</v>
      </c>
    </row>
    <row r="14287">
      <c r="A14287" s="4" t="s">
        <v>17983</v>
      </c>
      <c r="B14287" s="4" t="s">
        <v>17988</v>
      </c>
      <c r="C14287" s="5" t="str">
        <f>IFERROR(__xludf.DUMMYFUNCTION("GOOGLETRANSLATE(B14287,""en"",""de"")"),"Ein großes Tablett mit Kuchen wird umgedreht und auf die Theke gelegt.")</f>
        <v>Ein großes Tablett mit Kuchen wird umgedreht und auf die Theke gelegt.</v>
      </c>
    </row>
    <row r="14288">
      <c r="A14288" s="4" t="s">
        <v>17983</v>
      </c>
      <c r="B14288" s="4" t="s">
        <v>17989</v>
      </c>
      <c r="C14288" s="5" t="str">
        <f>IFERROR(__xludf.DUMMYFUNCTION("GOOGLETRANSLATE(B14288,""en"",""de"")"),"Ein großes Fleischschale wird zubereitet, dann wird es von einem Helfer aus dem Ofen entfernt, wenn er fertig ist.")</f>
        <v>Ein großes Fleischschale wird zubereitet, dann wird es von einem Helfer aus dem Ofen entfernt, wenn er fertig ist.</v>
      </c>
    </row>
    <row r="14289">
      <c r="A14289" s="4" t="s">
        <v>17983</v>
      </c>
      <c r="B14289" s="4" t="s">
        <v>17990</v>
      </c>
      <c r="C14289" s="5" t="str">
        <f>IFERROR(__xludf.DUMMYFUNCTION("GOOGLETRANSLATE(B14289,""en"",""de"")"),"Der Koch der Frau steht hinter dem Stapel von Dosen und nimmt einen auf.")</f>
        <v>Der Koch der Frau steht hinter dem Stapel von Dosen und nimmt einen auf.</v>
      </c>
    </row>
    <row r="14290">
      <c r="A14290" s="4" t="s">
        <v>17991</v>
      </c>
      <c r="B14290" s="4" t="s">
        <v>17992</v>
      </c>
      <c r="C14290" s="5" t="str">
        <f>IFERROR(__xludf.DUMMYFUNCTION("GOOGLETRANSLATE(B14290,""en"",""de"")"),"Der Mann im gelben Hemd hüpft den Ball auf dem Paddel.")</f>
        <v>Der Mann im gelben Hemd hüpft den Ball auf dem Paddel.</v>
      </c>
    </row>
    <row r="14291">
      <c r="A14291" s="4" t="s">
        <v>17991</v>
      </c>
      <c r="B14291" s="4" t="s">
        <v>17993</v>
      </c>
      <c r="C14291" s="5" t="str">
        <f>IFERROR(__xludf.DUMMYFUNCTION("GOOGLETRANSLATE(B14291,""en"",""de"")"),"Der Spieler schlug fast mit dem Paddel den Ball.")</f>
        <v>Der Spieler schlug fast mit dem Paddel den Ball.</v>
      </c>
    </row>
    <row r="14292">
      <c r="A14292" s="4" t="s">
        <v>17991</v>
      </c>
      <c r="B14292" s="4" t="s">
        <v>17994</v>
      </c>
      <c r="C14292" s="5" t="str">
        <f>IFERROR(__xludf.DUMMYFUNCTION("GOOGLETRANSLATE(B14292,""en"",""de"")"),"Zwei Spieler, der sich gegenseitig drückt.")</f>
        <v>Zwei Spieler, der sich gegenseitig drückt.</v>
      </c>
    </row>
    <row r="14293">
      <c r="A14293" s="4" t="s">
        <v>17995</v>
      </c>
      <c r="B14293" s="4" t="s">
        <v>17996</v>
      </c>
      <c r="C14293" s="5" t="str">
        <f>IFERROR(__xludf.DUMMYFUNCTION("GOOGLETRANSLATE(B14293,""en"",""de"")"),"Eine Frau spricht mitten in einem großen Gymnasium und führt zu verschiedenen Turnen, die nach dem anderen in ungleichmäßigen Bars eine spielen.")</f>
        <v>Eine Frau spricht mitten in einem großen Gymnasium und führt zu verschiedenen Turnen, die nach dem anderen in ungleichmäßigen Bars eine spielen.</v>
      </c>
    </row>
    <row r="14294">
      <c r="A14294" s="4" t="s">
        <v>17995</v>
      </c>
      <c r="B14294" s="4" t="s">
        <v>17997</v>
      </c>
      <c r="C14294" s="5" t="str">
        <f>IFERROR(__xludf.DUMMYFUNCTION("GOOGLETRANSLATE(B14294,""en"",""de"")"),"Die Turner bewegen sich weiterhin um die Bars und endet damit, dass ein Mädchen immer wieder geht und am Ende alle winken.")</f>
        <v>Die Turner bewegen sich weiterhin um die Bars und endet damit, dass ein Mädchen immer wieder geht und am Ende alle winken.</v>
      </c>
    </row>
    <row r="14295">
      <c r="A14295" s="4" t="s">
        <v>17998</v>
      </c>
      <c r="B14295" s="4" t="s">
        <v>17999</v>
      </c>
      <c r="C14295" s="5" t="str">
        <f>IFERROR(__xludf.DUMMYFUNCTION("GOOGLETRANSLATE(B14295,""en"",""de"")"),"Frau befindet sich in einem Windsurfen mit einem roten Windsurf.")</f>
        <v>Frau befindet sich in einem Windsurfen mit einem roten Windsurf.</v>
      </c>
    </row>
    <row r="14296">
      <c r="A14296" s="4" t="s">
        <v>17998</v>
      </c>
      <c r="B14296" s="4" t="s">
        <v>18000</v>
      </c>
      <c r="C14296" s="5" t="str">
        <f>IFERROR(__xludf.DUMMYFUNCTION("GOOGLETRANSLATE(B14296,""en"",""de"")"),"Andere Menschen befinden sich im hinteren Winde im See.")</f>
        <v>Andere Menschen befinden sich im hinteren Winde im See.</v>
      </c>
    </row>
    <row r="14297">
      <c r="A14297" s="4" t="s">
        <v>17998</v>
      </c>
      <c r="B14297" s="4" t="s">
        <v>18001</v>
      </c>
      <c r="C14297" s="5" t="str">
        <f>IFERROR(__xludf.DUMMYFUNCTION("GOOGLETRANSLATE(B14297,""en"",""de"")"),"Das Segelboot steht im hinteren Teil von Menschen Windsurfen.")</f>
        <v>Das Segelboot steht im hinteren Teil von Menschen Windsurfen.</v>
      </c>
    </row>
    <row r="14298">
      <c r="A14298" s="4" t="s">
        <v>18002</v>
      </c>
      <c r="B14298" s="4" t="s">
        <v>18003</v>
      </c>
      <c r="C14298" s="5" t="str">
        <f>IFERROR(__xludf.DUMMYFUNCTION("GOOGLETRANSLATE(B14298,""en"",""de"")"),"Zwei Frauen sprechen mit der Kamera und führen dazu, Möbel abzurreiben und Politur zu zeigen.")</f>
        <v>Zwei Frauen sprechen mit der Kamera und führen dazu, Möbel abzurreiben und Politur zu zeigen.</v>
      </c>
    </row>
    <row r="14299">
      <c r="A14299" s="4" t="s">
        <v>18002</v>
      </c>
      <c r="B14299" s="4" t="s">
        <v>18004</v>
      </c>
      <c r="C14299" s="5" t="str">
        <f>IFERROR(__xludf.DUMMYFUNCTION("GOOGLETRANSLATE(B14299,""en"",""de"")"),"Die Frauen sprechen weiter, während sie zeigen, wie die Politur funktioniert, sowie die Landschaft in der Gegend und eine andere Frau, die mit der Kamera spricht.")</f>
        <v>Die Frauen sprechen weiter, während sie zeigen, wie die Politur funktioniert, sowie die Landschaft in der Gegend und eine andere Frau, die mit der Kamera spricht.</v>
      </c>
    </row>
    <row r="14300">
      <c r="A14300" s="4" t="s">
        <v>18005</v>
      </c>
      <c r="B14300" s="4" t="s">
        <v>18006</v>
      </c>
      <c r="C14300" s="5" t="str">
        <f>IFERROR(__xludf.DUMMYFUNCTION("GOOGLETRANSLATE(B14300,""en"",""de"")"),"Eine Person tanzt und schleudert Capoeira, während eine Band Musik spielt.")</f>
        <v>Eine Person tanzt und schleudert Capoeira, während eine Band Musik spielt.</v>
      </c>
    </row>
    <row r="14301">
      <c r="A14301" s="4" t="s">
        <v>18005</v>
      </c>
      <c r="B14301" s="4" t="s">
        <v>18007</v>
      </c>
      <c r="C14301" s="5" t="str">
        <f>IFERROR(__xludf.DUMMYFUNCTION("GOOGLETRANSLATE(B14301,""en"",""de"")"),"Dann spricht eine Frau mit dem Mann, nachdem der Mann in der Gruppe mit anderen Menschen tanzte.")</f>
        <v>Dann spricht eine Frau mit dem Mann, nachdem der Mann in der Gruppe mit anderen Menschen tanzte.</v>
      </c>
    </row>
    <row r="14302">
      <c r="A14302" s="4" t="s">
        <v>18005</v>
      </c>
      <c r="B14302" s="4" t="s">
        <v>18008</v>
      </c>
      <c r="C14302" s="5" t="str">
        <f>IFERROR(__xludf.DUMMYFUNCTION("GOOGLETRANSLATE(B14302,""en"",""de"")"),"Danach tanzt der Mann in Gruppe und mit einem Partner, dann alle sagen alle.")</f>
        <v>Danach tanzt der Mann in Gruppe und mit einem Partner, dann alle sagen alle.</v>
      </c>
    </row>
    <row r="14303">
      <c r="A14303" s="4" t="s">
        <v>18009</v>
      </c>
      <c r="B14303" s="4" t="s">
        <v>18010</v>
      </c>
      <c r="C14303" s="5" t="str">
        <f>IFERROR(__xludf.DUMMYFUNCTION("GOOGLETRANSLATE(B14303,""en"",""de"")"),"Eine Band ist auf der Bühne und ein Mädchen mit Trompete und Junge, die die Schlagzeug schlagen.")</f>
        <v>Eine Band ist auf der Bühne und ein Mädchen mit Trompete und Junge, die die Schlagzeug schlagen.</v>
      </c>
    </row>
    <row r="14304">
      <c r="A14304" s="4" t="s">
        <v>18009</v>
      </c>
      <c r="B14304" s="4" t="s">
        <v>18011</v>
      </c>
      <c r="C14304" s="5" t="str">
        <f>IFERROR(__xludf.DUMMYFUNCTION("GOOGLETRANSLATE(B14304,""en"",""de"")"),"Sie haben ein kleines Duett, während die Saxophone in der Bank stehen bleiben.")</f>
        <v>Sie haben ein kleines Duett, während die Saxophone in der Bank stehen bleiben.</v>
      </c>
    </row>
    <row r="14305">
      <c r="A14305" s="4" t="s">
        <v>18009</v>
      </c>
      <c r="B14305" s="4" t="s">
        <v>18012</v>
      </c>
      <c r="C14305" s="5" t="str">
        <f>IFERROR(__xludf.DUMMYFUNCTION("GOOGLETRANSLATE(B14305,""en"",""de"")"),"Der Trompetenspieler geht hinüber und nimmt eine Glocke auf.")</f>
        <v>Der Trompetenspieler geht hinüber und nimmt eine Glocke auf.</v>
      </c>
    </row>
    <row r="14306">
      <c r="A14306" s="4" t="s">
        <v>18009</v>
      </c>
      <c r="B14306" s="4" t="s">
        <v>18013</v>
      </c>
      <c r="C14306" s="5" t="str">
        <f>IFERROR(__xludf.DUMMYFUNCTION("GOOGLETRANSLATE(B14306,""en"",""de"")"),"Dann ist es nur der Schlagzeuger, der auf die Trommeln klopft.")</f>
        <v>Dann ist es nur der Schlagzeuger, der auf die Trommeln klopft.</v>
      </c>
    </row>
    <row r="14307">
      <c r="A14307" s="4" t="s">
        <v>18014</v>
      </c>
      <c r="B14307" s="4" t="s">
        <v>18015</v>
      </c>
      <c r="C14307" s="5" t="str">
        <f>IFERROR(__xludf.DUMMYFUNCTION("GOOGLETRANSLATE(B14307,""en"",""de"")"),"Ein Mann in einem grünen Hemd schwenkt mit einem roten Handtuch.")</f>
        <v>Ein Mann in einem grünen Hemd schwenkt mit einem roten Handtuch.</v>
      </c>
    </row>
    <row r="14308">
      <c r="A14308" s="4" t="s">
        <v>18014</v>
      </c>
      <c r="B14308" s="4" t="s">
        <v>18016</v>
      </c>
      <c r="C14308" s="5" t="str">
        <f>IFERROR(__xludf.DUMMYFUNCTION("GOOGLETRANSLATE(B14308,""en"",""de"")"),"Ein brauner Bulle schlägt eine Person zu Boden.")</f>
        <v>Ein brauner Bulle schlägt eine Person zu Boden.</v>
      </c>
    </row>
    <row r="14309">
      <c r="A14309" s="4" t="s">
        <v>18014</v>
      </c>
      <c r="B14309" s="4" t="s">
        <v>18017</v>
      </c>
      <c r="C14309" s="5" t="str">
        <f>IFERROR(__xludf.DUMMYFUNCTION("GOOGLETRANSLATE(B14309,""en"",""de"")"),"Die Leute stehen an den Seiten und beobachten.")</f>
        <v>Die Leute stehen an den Seiten und beobachten.</v>
      </c>
    </row>
    <row r="14310">
      <c r="A14310" s="4" t="s">
        <v>18018</v>
      </c>
      <c r="B14310" s="4" t="s">
        <v>18019</v>
      </c>
      <c r="C14310" s="5" t="str">
        <f>IFERROR(__xludf.DUMMYFUNCTION("GOOGLETRANSLATE(B14310,""en"",""de"")"),"Ein kleines Kind wandert auf einem Spielplatz herum, während die Kamera eng hinter sich folgt.")</f>
        <v>Ein kleines Kind wandert auf einem Spielplatz herum, während die Kamera eng hinter sich folgt.</v>
      </c>
    </row>
    <row r="14311">
      <c r="A14311" s="4" t="s">
        <v>18018</v>
      </c>
      <c r="B14311" s="4" t="s">
        <v>18020</v>
      </c>
      <c r="C14311" s="5" t="str">
        <f>IFERROR(__xludf.DUMMYFUNCTION("GOOGLETRANSLATE(B14311,""en"",""de"")"),"Der Junge spielt mit mehreren anderen Kindern auf dem Spielplatz und klettert um die Seiten und geht die Rutsche hinunter.")</f>
        <v>Der Junge spielt mit mehreren anderen Kindern auf dem Spielplatz und klettert um die Seiten und geht die Rutsche hinunter.</v>
      </c>
    </row>
    <row r="14312">
      <c r="A14312" s="4" t="s">
        <v>18018</v>
      </c>
      <c r="B14312" s="4" t="s">
        <v>18021</v>
      </c>
      <c r="C14312" s="5" t="str">
        <f>IFERROR(__xludf.DUMMYFUNCTION("GOOGLETRANSLATE(B14312,""en"",""de"")"),"Weitere Clips werden von den Kindern gezeigt, die miteinander spielen und gegen die Kamera lachen.")</f>
        <v>Weitere Clips werden von den Kindern gezeigt, die miteinander spielen und gegen die Kamera lachen.</v>
      </c>
    </row>
    <row r="14313">
      <c r="A14313" s="4" t="s">
        <v>18022</v>
      </c>
      <c r="B14313" s="4" t="s">
        <v>18023</v>
      </c>
      <c r="C14313" s="5" t="str">
        <f>IFERROR(__xludf.DUMMYFUNCTION("GOOGLETRANSLATE(B14313,""en"",""de"")"),"Ein Mann geht von der Kamera weg und beginnt eine Übungsroutine, während er mit der Kamera spricht.")</f>
        <v>Ein Mann geht von der Kamera weg und beginnt eine Übungsroutine, während er mit der Kamera spricht.</v>
      </c>
    </row>
    <row r="14314">
      <c r="A14314" s="4" t="s">
        <v>18022</v>
      </c>
      <c r="B14314" s="4" t="s">
        <v>18024</v>
      </c>
      <c r="C14314" s="5" t="str">
        <f>IFERROR(__xludf.DUMMYFUNCTION("GOOGLETRANSLATE(B14314,""en"",""de"")"),"Der Mann bewegt sich eine Bar hinauf und runter, während er seine Arme herumschwingt und am Ende zur Kamera geht.")</f>
        <v>Der Mann bewegt sich eine Bar hinauf und runter, während er seine Arme herumschwingt und am Ende zur Kamera geht.</v>
      </c>
    </row>
    <row r="14315">
      <c r="A14315" s="4" t="s">
        <v>18025</v>
      </c>
      <c r="B14315" s="4" t="s">
        <v>18026</v>
      </c>
      <c r="C14315" s="5" t="str">
        <f>IFERROR(__xludf.DUMMYFUNCTION("GOOGLETRANSLATE(B14315,""en"",""de"")"),"Ein Turner, der eine rote und schwarze Uniform trägt, springt auf die Pferdestange.")</f>
        <v>Ein Turner, der eine rote und schwarze Uniform trägt, springt auf die Pferdestange.</v>
      </c>
    </row>
    <row r="14316">
      <c r="A14316" s="4" t="s">
        <v>18025</v>
      </c>
      <c r="B14316" s="4" t="s">
        <v>18027</v>
      </c>
      <c r="C14316" s="5" t="str">
        <f>IFERROR(__xludf.DUMMYFUNCTION("GOOGLETRANSLATE(B14316,""en"",""de"")"),"Sie rennt wieder und springt auf die Pferdestange und macht einen vorderen Flip.")</f>
        <v>Sie rennt wieder und springt auf die Pferdestange und macht einen vorderen Flip.</v>
      </c>
    </row>
    <row r="14317">
      <c r="A14317" s="4" t="s">
        <v>18025</v>
      </c>
      <c r="B14317" s="4" t="s">
        <v>18028</v>
      </c>
      <c r="C14317" s="5" t="str">
        <f>IFERROR(__xludf.DUMMYFUNCTION("GOOGLETRANSLATE(B14317,""en"",""de"")"),"Das dritte Mal springt sie wieder auf die Pferdestange und hebt ihren linken Fuß, macht einen vorderen Flip und steigt von der Bar.")</f>
        <v>Das dritte Mal springt sie wieder auf die Pferdestange und hebt ihren linken Fuß, macht einen vorderen Flip und steigt von der Bar.</v>
      </c>
    </row>
    <row r="14318">
      <c r="A14318" s="4" t="s">
        <v>18025</v>
      </c>
      <c r="B14318" s="4" t="s">
        <v>18029</v>
      </c>
      <c r="C14318" s="5" t="str">
        <f>IFERROR(__xludf.DUMMYFUNCTION("GOOGLETRANSLATE(B14318,""en"",""de"")"),"Sie wiederholt die gleichen Schritte wieder und springt von der Pferdestange.")</f>
        <v>Sie wiederholt die gleichen Schritte wieder und springt von der Pferdestange.</v>
      </c>
    </row>
    <row r="14319">
      <c r="A14319" s="4" t="s">
        <v>18030</v>
      </c>
      <c r="B14319" s="4" t="s">
        <v>18031</v>
      </c>
      <c r="C14319" s="5" t="str">
        <f>IFERROR(__xludf.DUMMYFUNCTION("GOOGLETRANSLATE(B14319,""en"",""de"")"),"Zwei Personen werden gesehen, die sich langsam bewegt, während der Text auf dem Bildschirm angezeigt wird.")</f>
        <v>Zwei Personen werden gesehen, die sich langsam bewegt, während der Text auf dem Bildschirm angezeigt wird.</v>
      </c>
    </row>
    <row r="14320">
      <c r="A14320" s="4" t="s">
        <v>18030</v>
      </c>
      <c r="B14320" s="4" t="s">
        <v>18032</v>
      </c>
      <c r="C14320" s="5" t="str">
        <f>IFERROR(__xludf.DUMMYFUNCTION("GOOGLETRANSLATE(B14320,""en"",""de"")"),"Die Frau macht dann die gleichen Bewegungen alleine, während die Silhouette der Mann und Frau neben ihnen gezeigt wird.")</f>
        <v>Die Frau macht dann die gleichen Bewegungen alleine, während die Silhouette der Mann und Frau neben ihnen gezeigt wird.</v>
      </c>
    </row>
    <row r="14321">
      <c r="A14321" s="4" t="s">
        <v>18030</v>
      </c>
      <c r="B14321" s="4" t="s">
        <v>18033</v>
      </c>
      <c r="C14321" s="5" t="str">
        <f>IFERROR(__xludf.DUMMYFUNCTION("GOOGLETRANSLATE(B14321,""en"",""de"")"),"Dann führt der Mann seine Bewegungen allein durch und führt in das Paar, das wieder auftritt.")</f>
        <v>Dann führt der Mann seine Bewegungen allein durch und führt in das Paar, das wieder auftritt.</v>
      </c>
    </row>
    <row r="14322">
      <c r="A14322" s="4" t="s">
        <v>18034</v>
      </c>
      <c r="B14322" s="4" t="s">
        <v>18035</v>
      </c>
      <c r="C14322" s="5" t="str">
        <f>IFERROR(__xludf.DUMMYFUNCTION("GOOGLETRANSLATE(B14322,""en"",""de"")"),"Ein Team ist auf dem Eis und spielt ein Hockeyspiel.")</f>
        <v>Ein Team ist auf dem Eis und spielt ein Hockeyspiel.</v>
      </c>
    </row>
    <row r="14323">
      <c r="A14323" s="4" t="s">
        <v>18034</v>
      </c>
      <c r="B14323" s="4" t="s">
        <v>18036</v>
      </c>
      <c r="C14323" s="5" t="str">
        <f>IFERROR(__xludf.DUMMYFUNCTION("GOOGLETRANSLATE(B14323,""en"",""de"")"),"Sie rutschen herum, schlagen den Puck und versuchten, ihn von ihren Gegnern fernzuhalten.")</f>
        <v>Sie rutschen herum, schlagen den Puck und versuchten, ihn von ihren Gegnern fernzuhalten.</v>
      </c>
    </row>
    <row r="14324">
      <c r="A14324" s="4" t="s">
        <v>18034</v>
      </c>
      <c r="B14324" s="4" t="s">
        <v>18037</v>
      </c>
      <c r="C14324" s="5" t="str">
        <f>IFERROR(__xludf.DUMMYFUNCTION("GOOGLETRANSLATE(B14324,""en"",""de"")"),"Der Torwart tritt an, den Puck davon abzuhalten, in das Ziel zu gehen.")</f>
        <v>Der Torwart tritt an, den Puck davon abzuhalten, in das Ziel zu gehen.</v>
      </c>
    </row>
    <row r="14325">
      <c r="A14325" s="4" t="s">
        <v>18038</v>
      </c>
      <c r="B14325" s="4" t="s">
        <v>18039</v>
      </c>
      <c r="C14325" s="5" t="str">
        <f>IFERROR(__xludf.DUMMYFUNCTION("GOOGLETRANSLATE(B14325,""en"",""de"")"),"Ein Intro führt zu verschiedenen Bildern von Pferdewerkzeugen und einer Frau, die mit der Kamera spricht, die einen Pinsel hält.")</f>
        <v>Ein Intro führt zu verschiedenen Bildern von Pferdewerkzeugen und einer Frau, die mit der Kamera spricht, die einen Pinsel hält.</v>
      </c>
    </row>
    <row r="14326">
      <c r="A14326" s="4" t="s">
        <v>18038</v>
      </c>
      <c r="B14326" s="4" t="s">
        <v>18040</v>
      </c>
      <c r="C14326" s="5" t="str">
        <f>IFERROR(__xludf.DUMMYFUNCTION("GOOGLETRANSLATE(B14326,""en"",""de"")"),"Dann streift sie die Mähne des Pferdes gründlich, während sie immer noch zur Kamera schaut und spricht.")</f>
        <v>Dann streift sie die Mähne des Pferdes gründlich, während sie immer noch zur Kamera schaut und spricht.</v>
      </c>
    </row>
    <row r="14327">
      <c r="A14327" s="4" t="s">
        <v>18041</v>
      </c>
      <c r="B14327" s="4" t="s">
        <v>18042</v>
      </c>
      <c r="C14327" s="5" t="str">
        <f>IFERROR(__xludf.DUMMYFUNCTION("GOOGLETRANSLATE(B14327,""en"",""de"")"),"Ein Mann spricht mit einer Verkäuferin, die eine Pflanze in einen Topf abzieht, dann hat der Mann die Pflanze weggelegt.")</f>
        <v>Ein Mann spricht mit einer Verkäuferin, die eine Pflanze in einen Topf abzieht, dann hat der Mann die Pflanze weggelegt.</v>
      </c>
    </row>
    <row r="14328">
      <c r="A14328" s="4" t="s">
        <v>18041</v>
      </c>
      <c r="B14328" s="4" t="s">
        <v>18043</v>
      </c>
      <c r="C14328" s="5" t="str">
        <f>IFERROR(__xludf.DUMMYFUNCTION("GOOGLETRANSLATE(B14328,""en"",""de"")"),"Danach setzt der Mann einen Busch an die Verkäuferin, die ihn trenkt, während der Mann die Pflanze zeigt und mit der Frau spricht.")</f>
        <v>Danach setzt der Mann einen Busch an die Verkäuferin, die ihn trenkt, während der Mann die Pflanze zeigt und mit der Frau spricht.</v>
      </c>
    </row>
    <row r="14329">
      <c r="A14329" s="4" t="s">
        <v>18044</v>
      </c>
      <c r="B14329" s="4" t="s">
        <v>18045</v>
      </c>
      <c r="C14329" s="5" t="str">
        <f>IFERROR(__xludf.DUMMYFUNCTION("GOOGLETRANSLATE(B14329,""en"",""de"")"),"Eine Person fährt mit einem Drachen mit einem Brett über das Wasser.")</f>
        <v>Eine Person fährt mit einem Drachen mit einem Brett über das Wasser.</v>
      </c>
    </row>
    <row r="14330">
      <c r="A14330" s="4" t="s">
        <v>18044</v>
      </c>
      <c r="B14330" s="4" t="s">
        <v>18046</v>
      </c>
      <c r="C14330" s="5" t="str">
        <f>IFERROR(__xludf.DUMMYFUNCTION("GOOGLETRANSLATE(B14330,""en"",""de"")"),"Weitere Clips werden von der Person angezeigt, die zurück und Vierten auf der Tafel reitet.")</f>
        <v>Weitere Clips werden von der Person angezeigt, die zurück und Vierten auf der Tafel reitet.</v>
      </c>
    </row>
    <row r="14331">
      <c r="A14331" s="4" t="s">
        <v>18044</v>
      </c>
      <c r="B14331" s="4" t="s">
        <v>18047</v>
      </c>
      <c r="C14331" s="5" t="str">
        <f>IFERROR(__xludf.DUMMYFUNCTION("GOOGLETRANSLATE(B14331,""en"",""de"")"),"Die Person fährt weiter mit dem Brett entlang des Wassers.")</f>
        <v>Die Person fährt weiter mit dem Brett entlang des Wassers.</v>
      </c>
    </row>
    <row r="14332">
      <c r="A14332" s="4" t="s">
        <v>18048</v>
      </c>
      <c r="B14332" s="4" t="s">
        <v>18049</v>
      </c>
      <c r="C14332" s="5" t="str">
        <f>IFERROR(__xludf.DUMMYFUNCTION("GOOGLETRANSLATE(B14332,""en"",""de"")"),"Ein Mann surft auf einer großen Welle im Wasser.")</f>
        <v>Ein Mann surft auf einer großen Welle im Wasser.</v>
      </c>
    </row>
    <row r="14333">
      <c r="A14333" s="4" t="s">
        <v>18048</v>
      </c>
      <c r="B14333" s="4" t="s">
        <v>18050</v>
      </c>
      <c r="C14333" s="5" t="str">
        <f>IFERROR(__xludf.DUMMYFUNCTION("GOOGLETRANSLATE(B14333,""en"",""de"")"),"Das Wasser und der Himmel sind rot.")</f>
        <v>Das Wasser und der Himmel sind rot.</v>
      </c>
    </row>
    <row r="14334">
      <c r="A14334" s="4" t="s">
        <v>18048</v>
      </c>
      <c r="B14334" s="4" t="s">
        <v>18051</v>
      </c>
      <c r="C14334" s="5" t="str">
        <f>IFERROR(__xludf.DUMMYFUNCTION("GOOGLETRANSLATE(B14334,""en"",""de"")"),"Mehrere Menschen surfen auf dem Wasser.")</f>
        <v>Mehrere Menschen surfen auf dem Wasser.</v>
      </c>
    </row>
    <row r="14335">
      <c r="A14335" s="4" t="s">
        <v>18052</v>
      </c>
      <c r="B14335" s="4" t="s">
        <v>18053</v>
      </c>
      <c r="C14335" s="5" t="str">
        <f>IFERROR(__xludf.DUMMYFUNCTION("GOOGLETRANSLATE(B14335,""en"",""de"")"),"Eine Frau mit Brille strickt.")</f>
        <v>Eine Frau mit Brille strickt.</v>
      </c>
    </row>
    <row r="14336">
      <c r="A14336" s="4" t="s">
        <v>18052</v>
      </c>
      <c r="B14336" s="4" t="s">
        <v>18054</v>
      </c>
      <c r="C14336" s="5" t="str">
        <f>IFERROR(__xludf.DUMMYFUNCTION("GOOGLETRANSLATE(B14336,""en"",""de"")"),"Ein Mädchen in einem schwarzen Hemd setzt sich zusammen und redet.")</f>
        <v>Ein Mädchen in einem schwarzen Hemd setzt sich zusammen und redet.</v>
      </c>
    </row>
    <row r="14337">
      <c r="A14337" s="4" t="s">
        <v>18052</v>
      </c>
      <c r="B14337" s="4" t="s">
        <v>18055</v>
      </c>
      <c r="C14337" s="5" t="str">
        <f>IFERROR(__xludf.DUMMYFUNCTION("GOOGLETRANSLATE(B14337,""en"",""de"")"),"Die Frau, die strickte, spricht zum Mädchen zurück.")</f>
        <v>Die Frau, die strickte, spricht zum Mädchen zurück.</v>
      </c>
    </row>
    <row r="14338">
      <c r="A14338" s="4" t="s">
        <v>18056</v>
      </c>
      <c r="B14338" s="4" t="s">
        <v>18057</v>
      </c>
      <c r="C14338" s="5" t="str">
        <f>IFERROR(__xludf.DUMMYFUNCTION("GOOGLETRANSLATE(B14338,""en"",""de"")"),"Ein Mann spricht mit der Kamera, als die Leute einen Mann entlang gehen, der auf Kajaks einen Fluss aus dem White Water enthält.")</f>
        <v>Ein Mann spricht mit der Kamera, als die Leute einen Mann entlang gehen, der auf Kajaks einen Fluss aus dem White Water enthält.</v>
      </c>
    </row>
    <row r="14339">
      <c r="A14339" s="4" t="s">
        <v>18056</v>
      </c>
      <c r="B14339" s="4" t="s">
        <v>18058</v>
      </c>
      <c r="C14339" s="5" t="str">
        <f>IFERROR(__xludf.DUMMYFUNCTION("GOOGLETRANSLATE(B14339,""en"",""de"")"),"Die Leute bleiben leicht fest und stecken dann, wenn sie kleine Wasserfälle hinuntergehen.")</f>
        <v>Die Leute bleiben leicht fest und stecken dann, wenn sie kleine Wasserfälle hinuntergehen.</v>
      </c>
    </row>
    <row r="14340">
      <c r="A14340" s="4" t="s">
        <v>18056</v>
      </c>
      <c r="B14340" s="4" t="s">
        <v>18059</v>
      </c>
      <c r="C14340" s="5" t="str">
        <f>IFERROR(__xludf.DUMMYFUNCTION("GOOGLETRANSLATE(B14340,""en"",""de"")"),"Eine Frau fällt aus und wird von einer anderen Person zurückgezogen.")</f>
        <v>Eine Frau fällt aus und wird von einer anderen Person zurückgezogen.</v>
      </c>
    </row>
    <row r="14341">
      <c r="A14341" s="4" t="s">
        <v>18056</v>
      </c>
      <c r="B14341" s="4" t="s">
        <v>18060</v>
      </c>
      <c r="C14341" s="5" t="str">
        <f>IFERROR(__xludf.DUMMYFUNCTION("GOOGLETRANSLATE(B14341,""en"",""de"")"),"Wir sehen dann mehrere Bilder von Menschen in Kajaks auf den Stromschnellen.")</f>
        <v>Wir sehen dann mehrere Bilder von Menschen in Kajaks auf den Stromschnellen.</v>
      </c>
    </row>
    <row r="14342">
      <c r="A14342" s="4" t="s">
        <v>18061</v>
      </c>
      <c r="B14342" s="4" t="s">
        <v>18062</v>
      </c>
      <c r="C14342" s="5" t="str">
        <f>IFERROR(__xludf.DUMMYFUNCTION("GOOGLETRANSLATE(B14342,""en"",""de"")"),"Eine Person spricht auf der Straße, dann das Skateboard auf der Straße.")</f>
        <v>Eine Person spricht auf der Straße, dann das Skateboard auf der Straße.</v>
      </c>
    </row>
    <row r="14343">
      <c r="A14343" s="4" t="s">
        <v>18061</v>
      </c>
      <c r="B14343" s="4" t="s">
        <v>18063</v>
      </c>
      <c r="C14343" s="5" t="str">
        <f>IFERROR(__xludf.DUMMYFUNCTION("GOOGLETRANSLATE(B14343,""en"",""de"")"),"Dann tritt die Person das Skateboard zurück.")</f>
        <v>Dann tritt die Person das Skateboard zurück.</v>
      </c>
    </row>
    <row r="14344">
      <c r="A14344" s="4" t="s">
        <v>18061</v>
      </c>
      <c r="B14344" s="4" t="s">
        <v>18064</v>
      </c>
      <c r="C14344" s="5" t="str">
        <f>IFERROR(__xludf.DUMMYFUNCTION("GOOGLETRANSLATE(B14344,""en"",""de"")"),"Nachdem die Person davon springt und das Skateboard auf der Straße gleitet.")</f>
        <v>Nachdem die Person davon springt und das Skateboard auf der Straße gleitet.</v>
      </c>
    </row>
    <row r="14345">
      <c r="A14345" s="4" t="s">
        <v>18061</v>
      </c>
      <c r="B14345" s="4" t="s">
        <v>18065</v>
      </c>
      <c r="C14345" s="5" t="str">
        <f>IFERROR(__xludf.DUMMYFUNCTION("GOOGLETRANSLATE(B14345,""en"",""de"")"),"Als nächstes übt die Person Skateboard und zieht einen Fuß, nachdem die Person das Gras verwendet hat, um Tricks zu machen.")</f>
        <v>Als nächstes übt die Person Skateboard und zieht einen Fuß, nachdem die Person das Gras verwendet hat, um Tricks zu machen.</v>
      </c>
    </row>
    <row r="14346">
      <c r="A14346" s="4" t="s">
        <v>18066</v>
      </c>
      <c r="B14346" s="4" t="s">
        <v>18067</v>
      </c>
      <c r="C14346" s="5" t="str">
        <f>IFERROR(__xludf.DUMMYFUNCTION("GOOGLETRANSLATE(B14346,""en"",""de"")"),"Frau steht in einem großen Raum, in dem ein Épée und Aman eintritt und andere Épée hält und mit der Frau kämpfen.")</f>
        <v>Frau steht in einem großen Raum, in dem ein Épée und Aman eintritt und andere Épée hält und mit der Frau kämpfen.</v>
      </c>
    </row>
    <row r="14347">
      <c r="A14347" s="4" t="s">
        <v>18066</v>
      </c>
      <c r="B14347" s="4" t="s">
        <v>18068</v>
      </c>
      <c r="C14347" s="5" t="str">
        <f>IFERROR(__xludf.DUMMYFUNCTION("GOOGLETRANSLATE(B14347,""en"",""de"")"),"Kinder betreten in einem Raum und rennen zu Mann und Frau.")</f>
        <v>Kinder betreten in einem Raum und rennen zu Mann und Frau.</v>
      </c>
    </row>
    <row r="14348">
      <c r="A14348" s="4" t="s">
        <v>18066</v>
      </c>
      <c r="B14348" s="4" t="s">
        <v>18069</v>
      </c>
      <c r="C14348" s="5" t="str">
        <f>IFERROR(__xludf.DUMMYFUNCTION("GOOGLETRANSLATE(B14348,""en"",""de"")"),"Der Mann gibt der Frau eine schwarze Maske und trägt sie.")</f>
        <v>Der Mann gibt der Frau eine schwarze Maske und trägt sie.</v>
      </c>
    </row>
    <row r="14349">
      <c r="A14349" s="4" t="s">
        <v>18070</v>
      </c>
      <c r="B14349" s="4" t="s">
        <v>18071</v>
      </c>
      <c r="C14349" s="5" t="str">
        <f>IFERROR(__xludf.DUMMYFUNCTION("GOOGLETRANSLATE(B14349,""en"",""de"")"),"Ein Kind in einem stabilen Bürsten eines Pferdehaares.")</f>
        <v>Ein Kind in einem stabilen Bürsten eines Pferdehaares.</v>
      </c>
    </row>
    <row r="14350">
      <c r="A14350" s="4" t="s">
        <v>18070</v>
      </c>
      <c r="B14350" s="4" t="s">
        <v>18072</v>
      </c>
      <c r="C14350" s="5" t="str">
        <f>IFERROR(__xludf.DUMMYFUNCTION("GOOGLETRANSLATE(B14350,""en"",""de"")"),"Das Kind geht vom Pferd weg, während er spricht, um eine Flasche Flüssigkeit zu bekommen, und kehrt dann zurück, um das Pferdehaar zu bürsten.")</f>
        <v>Das Kind geht vom Pferd weg, während er spricht, um eine Flasche Flüssigkeit zu bekommen, und kehrt dann zurück, um das Pferdehaar zu bürsten.</v>
      </c>
    </row>
    <row r="14351">
      <c r="A14351" s="4" t="s">
        <v>18073</v>
      </c>
      <c r="B14351" s="4" t="s">
        <v>18074</v>
      </c>
      <c r="C14351" s="5" t="str">
        <f>IFERROR(__xludf.DUMMYFUNCTION("GOOGLETRANSLATE(B14351,""en"",""de"")"),"Eine Kamera vergrößert eine Person, die eine Routine auf einer großen Bühne durchführt, die einen Schlagstock in die Luft dreht.")</f>
        <v>Eine Kamera vergrößert eine Person, die eine Routine auf einer großen Bühne durchführt, die einen Schlagstock in die Luft dreht.</v>
      </c>
    </row>
    <row r="14352">
      <c r="A14352" s="4" t="s">
        <v>18073</v>
      </c>
      <c r="B14352" s="4" t="s">
        <v>18075</v>
      </c>
      <c r="C14352" s="5" t="str">
        <f>IFERROR(__xludf.DUMMYFUNCTION("GOOGLETRANSLATE(B14352,""en"",""de"")"),"Die Person setzt die Routine fort und endet mit einer Trennung und dem Publikum applaudiert.")</f>
        <v>Die Person setzt die Routine fort und endet mit einer Trennung und dem Publikum applaudiert.</v>
      </c>
    </row>
    <row r="14353">
      <c r="A14353" s="4" t="s">
        <v>18076</v>
      </c>
      <c r="B14353" s="4" t="s">
        <v>18077</v>
      </c>
      <c r="C14353" s="5" t="str">
        <f>IFERROR(__xludf.DUMMYFUNCTION("GOOGLETRANSLATE(B14353,""en"",""de"")"),"Ein kleiner Junge steht auf einer Rutsche und kankte sich nach unten.")</f>
        <v>Ein kleiner Junge steht auf einer Rutsche und kankte sich nach unten.</v>
      </c>
    </row>
    <row r="14354">
      <c r="A14354" s="4" t="s">
        <v>18076</v>
      </c>
      <c r="B14354" s="4" t="s">
        <v>18078</v>
      </c>
      <c r="C14354" s="5" t="str">
        <f>IFERROR(__xludf.DUMMYFUNCTION("GOOGLETRANSLATE(B14354,""en"",""de"")"),"Der Junge reitet alle die Rutsche hinunter und die Kamera folgt ihm, dass er danach herumläuft.")</f>
        <v>Der Junge reitet alle die Rutsche hinunter und die Kamera folgt ihm, dass er danach herumläuft.</v>
      </c>
    </row>
    <row r="14355">
      <c r="A14355" s="4" t="s">
        <v>18079</v>
      </c>
      <c r="B14355" s="4" t="s">
        <v>18080</v>
      </c>
      <c r="C14355" s="5" t="str">
        <f>IFERROR(__xludf.DUMMYFUNCTION("GOOGLETRANSLATE(B14355,""en"",""de"")"),"Ein Junge steht an einer Spüle in einer Küche.")</f>
        <v>Ein Junge steht an einer Spüle in einer Küche.</v>
      </c>
    </row>
    <row r="14356">
      <c r="A14356" s="4" t="s">
        <v>18079</v>
      </c>
      <c r="B14356" s="4" t="s">
        <v>18081</v>
      </c>
      <c r="C14356" s="5" t="str">
        <f>IFERROR(__xludf.DUMMYFUNCTION("GOOGLETRANSLATE(B14356,""en"",""de"")"),"Er wischt seinen Schuh ab.")</f>
        <v>Er wischt seinen Schuh ab.</v>
      </c>
    </row>
    <row r="14357">
      <c r="A14357" s="4" t="s">
        <v>18079</v>
      </c>
      <c r="B14357" s="4" t="s">
        <v>18082</v>
      </c>
      <c r="C14357" s="5" t="str">
        <f>IFERROR(__xludf.DUMMYFUNCTION("GOOGLETRANSLATE(B14357,""en"",""de"")"),"Er dreht sich um und lächelt in die Kamera.")</f>
        <v>Er dreht sich um und lächelt in die Kamera.</v>
      </c>
    </row>
    <row r="14358">
      <c r="A14358" s="4" t="s">
        <v>18083</v>
      </c>
      <c r="B14358" s="4" t="s">
        <v>18084</v>
      </c>
      <c r="C14358" s="5" t="str">
        <f>IFERROR(__xludf.DUMMYFUNCTION("GOOGLETRANSLATE(B14358,""en"",""de"")"),"Eine Frau spricht mit ihrer Klasse über Sprungseil.")</f>
        <v>Eine Frau spricht mit ihrer Klasse über Sprungseil.</v>
      </c>
    </row>
    <row r="14359">
      <c r="A14359" s="4" t="s">
        <v>18083</v>
      </c>
      <c r="B14359" s="4" t="s">
        <v>18085</v>
      </c>
      <c r="C14359" s="5" t="str">
        <f>IFERROR(__xludf.DUMMYFUNCTION("GOOGLETRANSLATE(B14359,""en"",""de"")"),"Sie legt das Seil unter ihre Füße und beginnt ein wenig zu demonstrieren.")</f>
        <v>Sie legt das Seil unter ihre Füße und beginnt ein wenig zu demonstrieren.</v>
      </c>
    </row>
    <row r="14360">
      <c r="A14360" s="4" t="s">
        <v>18083</v>
      </c>
      <c r="B14360" s="4" t="s">
        <v>18086</v>
      </c>
      <c r="C14360" s="5" t="str">
        <f>IFERROR(__xludf.DUMMYFUNCTION("GOOGLETRANSLATE(B14360,""en"",""de"")"),"Sie beginnt sehr schnell zum Seil zu springen.")</f>
        <v>Sie beginnt sehr schnell zum Seil zu springen.</v>
      </c>
    </row>
    <row r="14361">
      <c r="A14361" s="4" t="s">
        <v>18083</v>
      </c>
      <c r="B14361" s="4" t="s">
        <v>18087</v>
      </c>
      <c r="C14361" s="5" t="str">
        <f>IFERROR(__xludf.DUMMYFUNCTION("GOOGLETRANSLATE(B14361,""en"",""de"")"),"Sie hört auf und redet weiter mehr, bevor sie wieder anfängt, wieder zu springen.")</f>
        <v>Sie hört auf und redet weiter mehr, bevor sie wieder anfängt, wieder zu springen.</v>
      </c>
    </row>
    <row r="14362">
      <c r="A14362" s="4" t="s">
        <v>18088</v>
      </c>
      <c r="B14362" s="4" t="s">
        <v>18089</v>
      </c>
      <c r="C14362" s="5" t="str">
        <f>IFERROR(__xludf.DUMMYFUNCTION("GOOGLETRANSLATE(B14362,""en"",""de"")"),"Eine Frau trägt ein Handtuch und steht neben einer Badewanne.")</f>
        <v>Eine Frau trägt ein Handtuch und steht neben einer Badewanne.</v>
      </c>
    </row>
    <row r="14363">
      <c r="A14363" s="4" t="s">
        <v>18088</v>
      </c>
      <c r="B14363" s="4" t="s">
        <v>18090</v>
      </c>
      <c r="C14363" s="5" t="str">
        <f>IFERROR(__xludf.DUMMYFUNCTION("GOOGLETRANSLATE(B14363,""en"",""de"")"),"Sie legt Rasiercreme auf ihr Bein und rasiert ihr Bein.")</f>
        <v>Sie legt Rasiercreme auf ihr Bein und rasiert ihr Bein.</v>
      </c>
    </row>
    <row r="14364">
      <c r="A14364" s="4" t="s">
        <v>18091</v>
      </c>
      <c r="B14364" s="4" t="s">
        <v>18092</v>
      </c>
      <c r="C14364" s="5" t="str">
        <f>IFERROR(__xludf.DUMMYFUNCTION("GOOGLETRANSLATE(B14364,""en"",""de"")"),"Ein Mann im Smoking erklärt den schwarzen Jack.")</f>
        <v>Ein Mann im Smoking erklärt den schwarzen Jack.</v>
      </c>
    </row>
    <row r="14365">
      <c r="A14365" s="4" t="s">
        <v>18091</v>
      </c>
      <c r="B14365" s="4" t="s">
        <v>18093</v>
      </c>
      <c r="C14365" s="5" t="str">
        <f>IFERROR(__xludf.DUMMYFUNCTION("GOOGLETRANSLATE(B14365,""en"",""de"")"),"Ein Händler gibt Karten an vier Spieler.")</f>
        <v>Ein Händler gibt Karten an vier Spieler.</v>
      </c>
    </row>
    <row r="14366">
      <c r="A14366" s="4" t="s">
        <v>18091</v>
      </c>
      <c r="B14366" s="4" t="s">
        <v>18094</v>
      </c>
      <c r="C14366" s="5" t="str">
        <f>IFERROR(__xludf.DUMMYFUNCTION("GOOGLETRANSLATE(B14366,""en"",""de"")"),"Es werden mehrere Kartenkarten angezeigt.")</f>
        <v>Es werden mehrere Kartenkarten angezeigt.</v>
      </c>
    </row>
    <row r="14367">
      <c r="A14367" s="4" t="s">
        <v>18091</v>
      </c>
      <c r="B14367" s="4" t="s">
        <v>18095</v>
      </c>
      <c r="C14367" s="5" t="str">
        <f>IFERROR(__xludf.DUMMYFUNCTION("GOOGLETRANSLATE(B14367,""en"",""de"")"),"Der Mann im Smoking erklärt weiterhin die Regeln von Blackjack.")</f>
        <v>Der Mann im Smoking erklärt weiterhin die Regeln von Blackjack.</v>
      </c>
    </row>
    <row r="14368">
      <c r="A14368" s="4" t="s">
        <v>18096</v>
      </c>
      <c r="B14368" s="4" t="s">
        <v>18097</v>
      </c>
      <c r="C14368" s="5" t="str">
        <f>IFERROR(__xludf.DUMMYFUNCTION("GOOGLETRANSLATE(B14368,""en"",""de"")"),"Zwei Frauen stehen mitten auf der Bühne keinen Tischarm, der ringt.")</f>
        <v>Zwei Frauen stehen mitten auf der Bühne keinen Tischarm, der ringt.</v>
      </c>
    </row>
    <row r="14369">
      <c r="A14369" s="4" t="s">
        <v>18096</v>
      </c>
      <c r="B14369" s="4" t="s">
        <v>18098</v>
      </c>
      <c r="C14369" s="5" t="str">
        <f>IFERROR(__xludf.DUMMYFUNCTION("GOOGLETRANSLATE(B14369,""en"",""de"")"),"Schiedsrichter, das schwarz -weißes Hemd trägt, steht hinter den Mädchen.")</f>
        <v>Schiedsrichter, das schwarz -weißes Hemd trägt, steht hinter den Mädchen.</v>
      </c>
    </row>
    <row r="14370">
      <c r="A14370" s="4" t="s">
        <v>18096</v>
      </c>
      <c r="B14370" s="4" t="s">
        <v>18099</v>
      </c>
      <c r="C14370" s="5" t="str">
        <f>IFERROR(__xludf.DUMMYFUNCTION("GOOGLETRANSLATE(B14370,""en"",""de"")"),"Zwei heiße Frauen ringen auf einem Tisch Arm und Schiedsrichter stehen vor oder sitzen hinten.")</f>
        <v>Zwei heiße Frauen ringen auf einem Tisch Arm und Schiedsrichter stehen vor oder sitzen hinten.</v>
      </c>
    </row>
    <row r="14371">
      <c r="A14371" s="4" t="s">
        <v>18096</v>
      </c>
      <c r="B14371" s="4" t="s">
        <v>18100</v>
      </c>
      <c r="C14371" s="5" t="str">
        <f>IFERROR(__xludf.DUMMYFUNCTION("GOOGLETRANSLATE(B14371,""en"",""de"")"),"Frauen befinden sich in einem Bararm, und viele Menschen beobachten sie um sie.")</f>
        <v>Frauen befinden sich in einem Bararm, und viele Menschen beobachten sie um sie.</v>
      </c>
    </row>
    <row r="14372">
      <c r="A14372" s="4" t="s">
        <v>18101</v>
      </c>
      <c r="B14372" s="4" t="s">
        <v>18102</v>
      </c>
      <c r="C14372" s="5" t="str">
        <f>IFERROR(__xludf.DUMMYFUNCTION("GOOGLETRANSLATE(B14372,""en"",""de"")"),"Eine Frau spielt ein Spiel Bierpong mit einem kurzen Mann, der als Kobold verkleidet ist.")</f>
        <v>Eine Frau spielt ein Spiel Bierpong mit einem kurzen Mann, der als Kobold verkleidet ist.</v>
      </c>
    </row>
    <row r="14373">
      <c r="A14373" s="4" t="s">
        <v>18101</v>
      </c>
      <c r="B14373" s="4" t="s">
        <v>18103</v>
      </c>
      <c r="C14373" s="5" t="str">
        <f>IFERROR(__xludf.DUMMYFUNCTION("GOOGLETRANSLATE(B14373,""en"",""de"")"),"Ein DJ spielt ein Paar Plattenspieler auf die Bühne für die Menge.")</f>
        <v>Ein DJ spielt ein Paar Plattenspieler auf die Bühne für die Menge.</v>
      </c>
    </row>
    <row r="14374">
      <c r="A14374" s="4" t="s">
        <v>18101</v>
      </c>
      <c r="B14374" s="4" t="s">
        <v>18104</v>
      </c>
      <c r="C14374" s="5" t="str">
        <f>IFERROR(__xludf.DUMMYFUNCTION("GOOGLETRANSLATE(B14374,""en"",""de"")"),"Die Frau trifft einen Schuss und feiert.")</f>
        <v>Die Frau trifft einen Schuss und feiert.</v>
      </c>
    </row>
    <row r="14375">
      <c r="A14375" s="4" t="s">
        <v>18101</v>
      </c>
      <c r="B14375" s="4" t="s">
        <v>18105</v>
      </c>
      <c r="C14375" s="5" t="str">
        <f>IFERROR(__xludf.DUMMYFUNCTION("GOOGLETRANSLATE(B14375,""en"",""de"")"),"Die beiden Spieler umarmen sich und erhöhen den Arm der Frau im Sieg.")</f>
        <v>Die beiden Spieler umarmen sich und erhöhen den Arm der Frau im Sieg.</v>
      </c>
    </row>
    <row r="14376">
      <c r="A14376" s="4" t="s">
        <v>18106</v>
      </c>
      <c r="B14376" s="4" t="s">
        <v>18107</v>
      </c>
      <c r="C14376" s="5" t="str">
        <f>IFERROR(__xludf.DUMMYFUNCTION("GOOGLETRANSLATE(B14376,""en"",""de"")"),"Es wird ein animiertes neues Papierausschnitt angezeigt und das Video besteht aus einer Reihe von Buchstaben in schwarzen Blockbuchstaben, die den Titel geben.")</f>
        <v>Es wird ein animiertes neues Papierausschnitt angezeigt und das Video besteht aus einer Reihe von Buchstaben in schwarzen Blockbuchstaben, die den Titel geben.</v>
      </c>
    </row>
    <row r="14377">
      <c r="A14377" s="4" t="s">
        <v>18106</v>
      </c>
      <c r="B14377" s="4" t="s">
        <v>18108</v>
      </c>
      <c r="C14377" s="5" t="str">
        <f>IFERROR(__xludf.DUMMYFUNCTION("GOOGLETRANSLATE(B14377,""en"",""de"")"),"Kurz darauf beginnt eine junge Frau zu reden und wirft ein Lockenobjekt herunter.")</f>
        <v>Kurz darauf beginnt eine junge Frau zu reden und wirft ein Lockenobjekt herunter.</v>
      </c>
    </row>
    <row r="14378">
      <c r="A14378" s="4" t="s">
        <v>18106</v>
      </c>
      <c r="B14378" s="4" t="s">
        <v>18109</v>
      </c>
      <c r="C14378" s="5" t="str">
        <f>IFERROR(__xludf.DUMMYFUNCTION("GOOGLETRANSLATE(B14378,""en"",""de"")"),"Die junge Frau geht dann zu einem Mann, der in Schwarz gekleidet ist, und stellt ihm Fragen zum Spiel.")</f>
        <v>Die junge Frau geht dann zu einem Mann, der in Schwarz gekleidet ist, und stellt ihm Fragen zum Spiel.</v>
      </c>
    </row>
    <row r="14379">
      <c r="A14379" s="4" t="s">
        <v>18106</v>
      </c>
      <c r="B14379" s="4" t="s">
        <v>18110</v>
      </c>
      <c r="C14379" s="5" t="str">
        <f>IFERROR(__xludf.DUMMYFUNCTION("GOOGLETRANSLATE(B14379,""en"",""de"")"),"Während sie sprechen, wird ein Spiel gespielt und die beiden sehen sie.")</f>
        <v>Während sie sprechen, wird ein Spiel gespielt und die beiden sehen sie.</v>
      </c>
    </row>
    <row r="14380">
      <c r="A14380" s="4" t="s">
        <v>18106</v>
      </c>
      <c r="B14380" s="4" t="s">
        <v>18111</v>
      </c>
      <c r="C14380" s="5" t="str">
        <f>IFERROR(__xludf.DUMMYFUNCTION("GOOGLETRANSLATE(B14380,""en"",""de"")"),"Danach lehrt der Mann ihre verschiedenen im Spiel verwendeten Techniken und sie beginnen, über den Boden zu gleiten.")</f>
        <v>Danach lehrt der Mann ihre verschiedenen im Spiel verwendeten Techniken und sie beginnen, über den Boden zu gleiten.</v>
      </c>
    </row>
    <row r="14381">
      <c r="A14381" s="4" t="s">
        <v>18106</v>
      </c>
      <c r="B14381" s="4" t="s">
        <v>18112</v>
      </c>
      <c r="C14381" s="5" t="str">
        <f>IFERROR(__xludf.DUMMYFUNCTION("GOOGLETRANSLATE(B14381,""en"",""de"")"),"Sobald sie fertig sind, kommt die Frau zurück zur Kamera und beginnt über den Sport zu sprechen.")</f>
        <v>Sobald sie fertig sind, kommt die Frau zurück zur Kamera und beginnt über den Sport zu sprechen.</v>
      </c>
    </row>
    <row r="14382">
      <c r="A14382" s="4" t="s">
        <v>18113</v>
      </c>
      <c r="B14382" s="4" t="s">
        <v>18114</v>
      </c>
      <c r="C14382" s="5" t="str">
        <f>IFERROR(__xludf.DUMMYFUNCTION("GOOGLETRANSLATE(B14382,""en"",""de"")"),"Ein grauer Hund geht im Freien und der Besitzer ist junger weißer Mann, der mit dem Hund im Freien zusammengeht und mit der Kamera spricht.")</f>
        <v>Ein grauer Hund geht im Freien und der Besitzer ist junger weißer Mann, der mit dem Hund im Freien zusammengeht und mit der Kamera spricht.</v>
      </c>
    </row>
    <row r="14383">
      <c r="A14383" s="4" t="s">
        <v>18113</v>
      </c>
      <c r="B14383" s="4" t="s">
        <v>18115</v>
      </c>
      <c r="C14383" s="5" t="str">
        <f>IFERROR(__xludf.DUMMYFUNCTION("GOOGLETRANSLATE(B14383,""en"",""de"")"),"Es wird ein Bildschirm angezeigt, in dem zwei Logos im Mittel und den Text über den Logos ""hinter den Kulissen"" und unter den Logo -Wörtern ""Präsentiert von: GeiCo"" angezeigt werden.")</f>
        <v>Es wird ein Bildschirm angezeigt, in dem zwei Logos im Mittel und den Text über den Logos "hinter den Kulissen" und unter den Logo -Wörtern "Präsentiert von: GeiCo" angezeigt werden.</v>
      </c>
    </row>
    <row r="14384">
      <c r="A14384" s="4" t="s">
        <v>18113</v>
      </c>
      <c r="B14384" s="4" t="s">
        <v>18116</v>
      </c>
      <c r="C14384" s="5" t="str">
        <f>IFERROR(__xludf.DUMMYFUNCTION("GOOGLETRANSLATE(B14384,""en"",""de"")"),"Ein Mann ist jetzt in Schutzausrüstung gekleidet und er wird von vielen anderen zusammengefügt, die gleich gekleidet sind, und Clips von ihnen spielen Paintball -Kanonen in einer offenen Gegend und auf einem Kurs.")</f>
        <v>Ein Mann ist jetzt in Schutzausrüstung gekleidet und er wird von vielen anderen zusammengefügt, die gleich gekleidet sind, und Clips von ihnen spielen Paintball -Kanonen in einer offenen Gegend und auf einem Kurs.</v>
      </c>
    </row>
    <row r="14385">
      <c r="A14385" s="4" t="s">
        <v>18113</v>
      </c>
      <c r="B14385" s="4" t="s">
        <v>18117</v>
      </c>
      <c r="C14385" s="5" t="str">
        <f>IFERROR(__xludf.DUMMYFUNCTION("GOOGLETRANSLATE(B14385,""en"",""de"")"),"Ein Mann steht jetzt auf einer sehr hohen Plattform, die auf eine große Gruppe von Menschen herabsieht, und die Worte ""Comic-Con San Diego CA"" sind unten rechts, und der Mann springt auf eine sehr große Luftmatratze, er steht auf und beginnt auf einem s"&amp;"ehr langen Hindernisparcours zu rennen, in dem er verschiedene Dinge tun muss, und die Aussicht stammt aus einer Kamera, die er um seinen Hals trägt.")</f>
        <v>Ein Mann steht jetzt auf einer sehr hohen Plattform, die auf eine große Gruppe von Menschen herabsieht, und die Worte "Comic-Con San Diego CA" sind unten rechts, und der Mann springt auf eine sehr große Luftmatratze, er steht auf und beginnt auf einem sehr langen Hindernisparcours zu rennen, in dem er verschiedene Dinge tun muss, und die Aussicht stammt aus einer Kamera, die er um seinen Hals trägt.</v>
      </c>
    </row>
    <row r="14386">
      <c r="A14386" s="4" t="s">
        <v>18113</v>
      </c>
      <c r="B14386" s="4" t="s">
        <v>18118</v>
      </c>
      <c r="C14386" s="5" t="str">
        <f>IFERROR(__xludf.DUMMYFUNCTION("GOOGLETRANSLATE(B14386,""en"",""de"")"),"Er absolviert den Hindernisparcours und ein Outro -Bildschirm wird mit 3 kleinen verschiedenen Videobildschirmen angezeigt, die über dem Hauptbildschirm spielen, und die Top -Wörter auf dem Bildschirm sagen ""Präsentiert von Geico"".")</f>
        <v>Er absolviert den Hindernisparcours und ein Outro -Bildschirm wird mit 3 kleinen verschiedenen Videobildschirmen angezeigt, die über dem Hauptbildschirm spielen, und die Top -Wörter auf dem Bildschirm sagen "Präsentiert von Geico".</v>
      </c>
    </row>
    <row r="14387">
      <c r="A14387" s="4" t="s">
        <v>18119</v>
      </c>
      <c r="B14387" s="4" t="s">
        <v>18120</v>
      </c>
      <c r="C14387" s="5" t="str">
        <f>IFERROR(__xludf.DUMMYFUNCTION("GOOGLETRANSLATE(B14387,""en"",""de"")"),"Ein Mädchen spricht mit der Kamera und zeigt verschiedene Farben.")</f>
        <v>Ein Mädchen spricht mit der Kamera und zeigt verschiedene Farben.</v>
      </c>
    </row>
    <row r="14388">
      <c r="A14388" s="4" t="s">
        <v>18119</v>
      </c>
      <c r="B14388" s="4" t="s">
        <v>18121</v>
      </c>
      <c r="C14388" s="5" t="str">
        <f>IFERROR(__xludf.DUMMYFUNCTION("GOOGLETRANSLATE(B14388,""en"",""de"")"),"Sie vergrößert Produkte, die sie besitzt und legt Farbe auf eine Palette.")</f>
        <v>Sie vergrößert Produkte, die sie besitzt und legt Farbe auf eine Palette.</v>
      </c>
    </row>
    <row r="14389">
      <c r="A14389" s="4" t="s">
        <v>18119</v>
      </c>
      <c r="B14389" s="4" t="s">
        <v>18122</v>
      </c>
      <c r="C14389" s="5" t="str">
        <f>IFERROR(__xludf.DUMMYFUNCTION("GOOGLETRANSLATE(B14389,""en"",""de"")"),"Sie tupft mit einem Pinsel in die Farbe und beginnt ihre Nägel zu malen.")</f>
        <v>Sie tupft mit einem Pinsel in die Farbe und beginnt ihre Nägel zu malen.</v>
      </c>
    </row>
    <row r="14390">
      <c r="A14390" s="4" t="s">
        <v>18119</v>
      </c>
      <c r="B14390" s="4" t="s">
        <v>18123</v>
      </c>
      <c r="C14390" s="5" t="str">
        <f>IFERROR(__xludf.DUMMYFUNCTION("GOOGLETRANSLATE(B14390,""en"",""de"")"),"Sie spielt verschiedene Stile auf den Nägeln und mehrere Bilder von fertigen Nägeln.")</f>
        <v>Sie spielt verschiedene Stile auf den Nägeln und mehrere Bilder von fertigen Nägeln.</v>
      </c>
    </row>
    <row r="14391">
      <c r="A14391" s="4" t="s">
        <v>18124</v>
      </c>
      <c r="B14391" s="4" t="s">
        <v>18125</v>
      </c>
      <c r="C14391" s="5" t="str">
        <f>IFERROR(__xludf.DUMMYFUNCTION("GOOGLETRANSLATE(B14391,""en"",""de"")"),"Ein Mann steht auf einem Tennisplatz, der sich darauf vorbereitet, dem Ball zu dienen.")</f>
        <v>Ein Mann steht auf einem Tennisplatz, der sich darauf vorbereitet, dem Ball zu dienen.</v>
      </c>
    </row>
    <row r="14392">
      <c r="A14392" s="4" t="s">
        <v>18124</v>
      </c>
      <c r="B14392" s="4" t="s">
        <v>18126</v>
      </c>
      <c r="C14392" s="5" t="str">
        <f>IFERROR(__xludf.DUMMYFUNCTION("GOOGLETRANSLATE(B14392,""en"",""de"")"),"Der Mann schlägt den Tennisball über den Platz.")</f>
        <v>Der Mann schlägt den Tennisball über den Platz.</v>
      </c>
    </row>
    <row r="14393">
      <c r="A14393" s="4" t="s">
        <v>18124</v>
      </c>
      <c r="B14393" s="4" t="s">
        <v>18127</v>
      </c>
      <c r="C14393" s="5" t="str">
        <f>IFERROR(__xludf.DUMMYFUNCTION("GOOGLETRANSLATE(B14393,""en"",""de"")"),"Der Mann dreht sich um und geht zurück zu seinem Korb und schnappt sich einen Ball aus der Tasche.")</f>
        <v>Der Mann dreht sich um und geht zurück zu seinem Korb und schnappt sich einen Ball aus der Tasche.</v>
      </c>
    </row>
    <row r="14394">
      <c r="A14394" s="4" t="s">
        <v>18124</v>
      </c>
      <c r="B14394" s="4" t="s">
        <v>18128</v>
      </c>
      <c r="C14394" s="5" t="str">
        <f>IFERROR(__xludf.DUMMYFUNCTION("GOOGLETRANSLATE(B14394,""en"",""de"")"),"Der Mann springt den Ball auf den Boden.")</f>
        <v>Der Mann springt den Ball auf den Boden.</v>
      </c>
    </row>
    <row r="14395">
      <c r="A14395" s="4" t="s">
        <v>18129</v>
      </c>
      <c r="B14395" s="4" t="s">
        <v>18130</v>
      </c>
      <c r="C14395" s="5" t="str">
        <f>IFERROR(__xludf.DUMMYFUNCTION("GOOGLETRANSLATE(B14395,""en"",""de"")"),"Eine Frau ist zu sehen, die sich beugt, um einen Schluck Wasser zu nehmen, und führt in sie und dreht sich in einem Hula -Reifen um sich selbst.")</f>
        <v>Eine Frau ist zu sehen, die sich beugt, um einen Schluck Wasser zu nehmen, und führt in sie und dreht sich in einem Hula -Reifen um sich selbst.</v>
      </c>
    </row>
    <row r="14396">
      <c r="A14396" s="4" t="s">
        <v>18129</v>
      </c>
      <c r="B14396" s="4" t="s">
        <v>18131</v>
      </c>
      <c r="C14396" s="5" t="str">
        <f>IFERROR(__xludf.DUMMYFUNCTION("GOOGLETRANSLATE(B14396,""en"",""de"")"),"Die Frau dreht sich weiterhin mit dem Hula -Hoop, während er mehrere weitere packt und Tricks im Stadtzentrum ausführt.")</f>
        <v>Die Frau dreht sich weiterhin mit dem Hula -Hoop, während er mehrere weitere packt und Tricks im Stadtzentrum ausführt.</v>
      </c>
    </row>
    <row r="14397">
      <c r="A14397" s="4" t="s">
        <v>18132</v>
      </c>
      <c r="B14397" s="4" t="s">
        <v>18133</v>
      </c>
      <c r="C14397" s="5" t="str">
        <f>IFERROR(__xludf.DUMMYFUNCTION("GOOGLETRANSLATE(B14397,""en"",""de"")"),"Ein Mann hängt ein Fahrradrad auf und spricht mit der Kamera.")</f>
        <v>Ein Mann hängt ein Fahrradrad auf und spricht mit der Kamera.</v>
      </c>
    </row>
    <row r="14398">
      <c r="A14398" s="4" t="s">
        <v>18132</v>
      </c>
      <c r="B14398" s="4" t="s">
        <v>18134</v>
      </c>
      <c r="C14398" s="5" t="str">
        <f>IFERROR(__xludf.DUMMYFUNCTION("GOOGLETRANSLATE(B14398,""en"",""de"")"),"Er beginnt das Fahrrad anzupassen und die Einstellungen auf der Rückseite abzuschrauben.")</f>
        <v>Er beginnt das Fahrrad anzupassen und die Einstellungen auf der Rückseite abzuschrauben.</v>
      </c>
    </row>
    <row r="14399">
      <c r="A14399" s="4" t="s">
        <v>18132</v>
      </c>
      <c r="B14399" s="4" t="s">
        <v>18135</v>
      </c>
      <c r="C14399" s="5" t="str">
        <f>IFERROR(__xludf.DUMMYFUNCTION("GOOGLETRANSLATE(B14399,""en"",""de"")"),"Dann legt er ein Paar Trainingsräder an und zeigt, wie es sich bewegt.")</f>
        <v>Dann legt er ein Paar Trainingsräder an und zeigt, wie es sich bewegt.</v>
      </c>
    </row>
    <row r="14400">
      <c r="A14400" s="4" t="s">
        <v>18136</v>
      </c>
      <c r="B14400" s="4" t="s">
        <v>18137</v>
      </c>
      <c r="C14400" s="5" t="str">
        <f>IFERROR(__xludf.DUMMYFUNCTION("GOOGLETRANSLATE(B14400,""en"",""de"")"),"Ein Hund läuft mitten in einem offenen Feld um einen Mann herum.")</f>
        <v>Ein Hund läuft mitten in einem offenen Feld um einen Mann herum.</v>
      </c>
    </row>
    <row r="14401">
      <c r="A14401" s="4" t="s">
        <v>18136</v>
      </c>
      <c r="B14401" s="4" t="s">
        <v>18138</v>
      </c>
      <c r="C14401" s="5" t="str">
        <f>IFERROR(__xludf.DUMMYFUNCTION("GOOGLETRANSLATE(B14401,""en"",""de"")"),"Der Mann führt Tricks mit dem Hund durch, während der Hund auf den Rücken springt.")</f>
        <v>Der Mann führt Tricks mit dem Hund durch, während der Hund auf den Rücken springt.</v>
      </c>
    </row>
    <row r="14402">
      <c r="A14402" s="4" t="s">
        <v>18136</v>
      </c>
      <c r="B14402" s="4" t="s">
        <v>18139</v>
      </c>
      <c r="C14402" s="5" t="str">
        <f>IFERROR(__xludf.DUMMYFUNCTION("GOOGLETRANSLATE(B14402,""en"",""de"")"),"Er streift weiter mit dem Hund, der mit dem Hund und Frisbee Tricks ausführt.")</f>
        <v>Er streift weiter mit dem Hund, der mit dem Hund und Frisbee Tricks ausführt.</v>
      </c>
    </row>
    <row r="14403">
      <c r="A14403" s="4" t="s">
        <v>18140</v>
      </c>
      <c r="B14403" s="4" t="s">
        <v>18141</v>
      </c>
      <c r="C14403" s="5" t="str">
        <f>IFERROR(__xludf.DUMMYFUNCTION("GOOGLETRANSLATE(B14403,""en"",""de"")"),"Grafik darüber, wie digitales Hintergrundbild erstellt wird.")</f>
        <v>Grafik darüber, wie digitales Hintergrundbild erstellt wird.</v>
      </c>
    </row>
    <row r="14404">
      <c r="A14404" s="4" t="s">
        <v>18140</v>
      </c>
      <c r="B14404" s="4" t="s">
        <v>18142</v>
      </c>
      <c r="C14404" s="5" t="str">
        <f>IFERROR(__xludf.DUMMYFUNCTION("GOOGLETRANSLATE(B14404,""en"",""de"")"),"Der Mensch befindet sich in einem Raum mit einer digitalen Papiermaschine und die Maschine druckt ein Schild.")</f>
        <v>Der Mensch befindet sich in einem Raum mit einer digitalen Papiermaschine und die Maschine druckt ein Schild.</v>
      </c>
    </row>
    <row r="14405">
      <c r="A14405" s="4" t="s">
        <v>18140</v>
      </c>
      <c r="B14405" s="4" t="s">
        <v>18143</v>
      </c>
      <c r="C14405" s="5" t="str">
        <f>IFERROR(__xludf.DUMMYFUNCTION("GOOGLETRANSLATE(B14405,""en"",""de"")"),"Männer kleben die Tapete an eine weiße Wand.")</f>
        <v>Männer kleben die Tapete an eine weiße Wand.</v>
      </c>
    </row>
    <row r="14406">
      <c r="A14406" s="4" t="s">
        <v>18144</v>
      </c>
      <c r="B14406" s="4" t="s">
        <v>18145</v>
      </c>
      <c r="C14406" s="5" t="str">
        <f>IFERROR(__xludf.DUMMYFUNCTION("GOOGLETRANSLATE(B14406,""en"",""de"")"),"Ein Junge springt Seil und macht in Kreisen Tricks herum.")</f>
        <v>Ein Junge springt Seil und macht in Kreisen Tricks herum.</v>
      </c>
    </row>
    <row r="14407">
      <c r="A14407" s="4" t="s">
        <v>18144</v>
      </c>
      <c r="B14407" s="4" t="s">
        <v>18146</v>
      </c>
      <c r="C14407" s="5" t="str">
        <f>IFERROR(__xludf.DUMMYFUNCTION("GOOGLETRANSLATE(B14407,""en"",""de"")"),"Dann springt ein anderer Junge auch ein Seil und wirft es herum und er wirft schließlich sein Seil.")</f>
        <v>Dann springt ein anderer Junge auch ein Seil und wirft es herum und er wirft schließlich sein Seil.</v>
      </c>
    </row>
    <row r="14408">
      <c r="A14408" s="4" t="s">
        <v>18144</v>
      </c>
      <c r="B14408" s="4" t="s">
        <v>18147</v>
      </c>
      <c r="C14408" s="5" t="str">
        <f>IFERROR(__xludf.DUMMYFUNCTION("GOOGLETRANSLATE(B14408,""en"",""de"")"),"Es gibt eine größere Gruppe von 5, die synchronisiert und viele coole Tricks ausführen.")</f>
        <v>Es gibt eine größere Gruppe von 5, die synchronisiert und viele coole Tricks ausführen.</v>
      </c>
    </row>
    <row r="14409">
      <c r="A14409" s="4" t="s">
        <v>18144</v>
      </c>
      <c r="B14409" s="4" t="s">
        <v>18148</v>
      </c>
      <c r="C14409" s="5" t="str">
        <f>IFERROR(__xludf.DUMMYFUNCTION("GOOGLETRANSLATE(B14409,""en"",""de"")"),"Gefolgt von vielen Videos von vielen verschiedenen Menschen, die springen und in Gruppen zusammen in Wettbewerben und zum Spaß oder zum Üben.")</f>
        <v>Gefolgt von vielen Videos von vielen verschiedenen Menschen, die springen und in Gruppen zusammen in Wettbewerben und zum Spaß oder zum Üben.</v>
      </c>
    </row>
    <row r="14410">
      <c r="A14410" s="4" t="s">
        <v>18149</v>
      </c>
      <c r="B14410" s="4" t="s">
        <v>18150</v>
      </c>
      <c r="C14410" s="5" t="str">
        <f>IFERROR(__xludf.DUMMYFUNCTION("GOOGLETRANSLATE(B14410,""en"",""de"")"),"Eine Frau klatscht in die Seitenlinie und jubelt jemanden an.")</f>
        <v>Eine Frau klatscht in die Seitenlinie und jubelt jemanden an.</v>
      </c>
    </row>
    <row r="14411">
      <c r="A14411" s="4" t="s">
        <v>18149</v>
      </c>
      <c r="B14411" s="4" t="s">
        <v>18151</v>
      </c>
      <c r="C14411" s="5" t="str">
        <f>IFERROR(__xludf.DUMMYFUNCTION("GOOGLETRANSLATE(B14411,""en"",""de"")"),"Trainer, die auf der anderen Seite des Zauns stehen, um zu bewerten.")</f>
        <v>Trainer, die auf der anderen Seite des Zauns stehen, um zu bewerten.</v>
      </c>
    </row>
    <row r="14412">
      <c r="A14412" s="4" t="s">
        <v>18149</v>
      </c>
      <c r="B14412" s="4" t="s">
        <v>18152</v>
      </c>
      <c r="C14412" s="5" t="str">
        <f>IFERROR(__xludf.DUMMYFUNCTION("GOOGLETRANSLATE(B14412,""en"",""de"")"),"Der Läufer läuft den Rasen superschnell hinunter.")</f>
        <v>Der Läufer läuft den Rasen superschnell hinunter.</v>
      </c>
    </row>
    <row r="14413">
      <c r="A14413" s="4" t="s">
        <v>18149</v>
      </c>
      <c r="B14413" s="4" t="s">
        <v>18153</v>
      </c>
      <c r="C14413" s="5" t="str">
        <f>IFERROR(__xludf.DUMMYFUNCTION("GOOGLETRANSLATE(B14413,""en"",""de"")"),"Er springt am Ende und landet reibungslos in den Sand, während einer der Trainer eine Schnur überzieht.")</f>
        <v>Er springt am Ende und landet reibungslos in den Sand, während einer der Trainer eine Schnur überzieht.</v>
      </c>
    </row>
    <row r="14414">
      <c r="A14414" s="4" t="s">
        <v>18154</v>
      </c>
      <c r="B14414" s="4" t="s">
        <v>18155</v>
      </c>
      <c r="C14414" s="5" t="str">
        <f>IFERROR(__xludf.DUMMYFUNCTION("GOOGLETRANSLATE(B14414,""en"",""de"")"),"Der Gastgeber begrüßt das Video und stellt ihr Rezept vor.")</f>
        <v>Der Gastgeber begrüßt das Video und stellt ihr Rezept vor.</v>
      </c>
    </row>
    <row r="14415">
      <c r="A14415" s="4" t="s">
        <v>18154</v>
      </c>
      <c r="B14415" s="4" t="s">
        <v>18156</v>
      </c>
      <c r="C14415" s="5" t="str">
        <f>IFERROR(__xludf.DUMMYFUNCTION("GOOGLETRANSLATE(B14415,""en"",""de"")"),"Die Zutatenliste erscheint und der Gastgeber spricht darüber.")</f>
        <v>Die Zutatenliste erscheint und der Gastgeber spricht darüber.</v>
      </c>
    </row>
    <row r="14416">
      <c r="A14416" s="4" t="s">
        <v>18154</v>
      </c>
      <c r="B14416" s="4" t="s">
        <v>18157</v>
      </c>
      <c r="C14416" s="5" t="str">
        <f>IFERROR(__xludf.DUMMYFUNCTION("GOOGLETRANSLATE(B14416,""en"",""de"")"),"Der Gastgeber beginnt, das Getränk zu machen, indem er einen Sirup startet.")</f>
        <v>Der Gastgeber beginnt, das Getränk zu machen, indem er einen Sirup startet.</v>
      </c>
    </row>
    <row r="14417">
      <c r="A14417" s="4" t="s">
        <v>18154</v>
      </c>
      <c r="B14417" s="4" t="s">
        <v>18158</v>
      </c>
      <c r="C14417" s="5" t="str">
        <f>IFERROR(__xludf.DUMMYFUNCTION("GOOGLETRANSLATE(B14417,""en"",""de"")"),"Die nächsten Zitronen werden auf einem Schneidebrett geschnitten.")</f>
        <v>Die nächsten Zitronen werden auf einem Schneidebrett geschnitten.</v>
      </c>
    </row>
    <row r="14418">
      <c r="A14418" s="4" t="s">
        <v>18154</v>
      </c>
      <c r="B14418" s="4" t="s">
        <v>18159</v>
      </c>
      <c r="C14418" s="5" t="str">
        <f>IFERROR(__xludf.DUMMYFUNCTION("GOOGLETRANSLATE(B14418,""en"",""de"")"),"Die vielen Zitronen werden nacheinander entsaftet.")</f>
        <v>Die vielen Zitronen werden nacheinander entsaftet.</v>
      </c>
    </row>
    <row r="14419">
      <c r="A14419" s="4" t="s">
        <v>18154</v>
      </c>
      <c r="B14419" s="4" t="s">
        <v>18160</v>
      </c>
      <c r="C14419" s="5" t="str">
        <f>IFERROR(__xludf.DUMMYFUNCTION("GOOGLETRANSLATE(B14419,""en"",""de"")"),"Der Wirt füllt den Behälter mit Eis und gießt die flüssigen Zutaten ein, gefolgt von Basilikum- und Zitronenscheiben.")</f>
        <v>Der Wirt füllt den Behälter mit Eis und gießt die flüssigen Zutaten ein, gefolgt von Basilikum- und Zitronenscheiben.</v>
      </c>
    </row>
    <row r="14420">
      <c r="A14420" s="4" t="s">
        <v>18154</v>
      </c>
      <c r="B14420" s="4" t="s">
        <v>18161</v>
      </c>
      <c r="C14420" s="5" t="str">
        <f>IFERROR(__xludf.DUMMYFUNCTION("GOOGLETRANSLATE(B14420,""en"",""de"")"),"Der Gastgeber dekoriert einige Strohhalme und beendet ihr Getränk.")</f>
        <v>Der Gastgeber dekoriert einige Strohhalme und beendet ihr Getränk.</v>
      </c>
    </row>
    <row r="14421">
      <c r="A14421" s="4" t="s">
        <v>18162</v>
      </c>
      <c r="B14421" s="4" t="s">
        <v>18163</v>
      </c>
      <c r="C14421" s="5" t="str">
        <f>IFERROR(__xludf.DUMMYFUNCTION("GOOGLETRANSLATE(B14421,""en"",""de"")"),"Ein großer Pool wird gesehen, gefolgt von einer Person, die hereinkommt und von einem Brett fällt.")</f>
        <v>Ein großer Pool wird gesehen, gefolgt von einer Person, die hereinkommt und von einem Brett fällt.</v>
      </c>
    </row>
    <row r="14422">
      <c r="A14422" s="4" t="s">
        <v>18162</v>
      </c>
      <c r="B14422" s="4" t="s">
        <v>18164</v>
      </c>
      <c r="C14422" s="5" t="str">
        <f>IFERROR(__xludf.DUMMYFUNCTION("GOOGLETRANSLATE(B14422,""en"",""de"")"),"Eine andere Person ist gesehen, wie sie von einem Tauchbrett geht und ins Wasser springt.")</f>
        <v>Eine andere Person ist gesehen, wie sie von einem Tauchbrett geht und ins Wasser springt.</v>
      </c>
    </row>
    <row r="14423">
      <c r="A14423" s="4" t="s">
        <v>18162</v>
      </c>
      <c r="B14423" s="4" t="s">
        <v>18165</v>
      </c>
      <c r="C14423" s="5" t="str">
        <f>IFERROR(__xludf.DUMMYFUNCTION("GOOGLETRANSLATE(B14423,""en"",""de"")"),"Es werden einige weitere Clips von Menschen gezeigt, die versuchen, im Wasser zu tauchen, aber scheitern.")</f>
        <v>Es werden einige weitere Clips von Menschen gezeigt, die versuchen, im Wasser zu tauchen, aber scheitern.</v>
      </c>
    </row>
    <row r="14424">
      <c r="A14424" s="4" t="s">
        <v>18166</v>
      </c>
      <c r="B14424" s="4" t="s">
        <v>18167</v>
      </c>
      <c r="C14424" s="5" t="str">
        <f>IFERROR(__xludf.DUMMYFUNCTION("GOOGLETRANSLATE(B14424,""en"",""de"")"),"Eine Band, die schottische Kilts trägt, spielt im Auditorium der Front University Dudelsack und andere Instrumente.")</f>
        <v>Eine Band, die schottische Kilts trägt, spielt im Auditorium der Front University Dudelsack und andere Instrumente.</v>
      </c>
    </row>
    <row r="14425">
      <c r="A14425" s="4" t="s">
        <v>18166</v>
      </c>
      <c r="B14425" s="4" t="s">
        <v>18168</v>
      </c>
      <c r="C14425" s="5" t="str">
        <f>IFERROR(__xludf.DUMMYFUNCTION("GOOGLETRANSLATE(B14425,""en"",""de"")"),"Die Menge sieht sich um und erwartet die Veranstaltung.")</f>
        <v>Die Menge sieht sich um und erwartet die Veranstaltung.</v>
      </c>
    </row>
    <row r="14426">
      <c r="A14426" s="4" t="s">
        <v>18166</v>
      </c>
      <c r="B14426" s="4" t="s">
        <v>18169</v>
      </c>
      <c r="C14426" s="5" t="str">
        <f>IFERROR(__xludf.DUMMYFUNCTION("GOOGLETRANSLATE(B14426,""en"",""de"")"),"Das Schulschild hängt über dem Podium.")</f>
        <v>Das Schulschild hängt über dem Podium.</v>
      </c>
    </row>
    <row r="14427">
      <c r="A14427" s="4" t="s">
        <v>18170</v>
      </c>
      <c r="B14427" s="4" t="s">
        <v>18171</v>
      </c>
      <c r="C14427" s="5" t="str">
        <f>IFERROR(__xludf.DUMMYFUNCTION("GOOGLETRANSLATE(B14427,""en"",""de"")"),"Ein Mann in einem braunen Anzug spricht.")</f>
        <v>Ein Mann in einem braunen Anzug spricht.</v>
      </c>
    </row>
    <row r="14428">
      <c r="A14428" s="4" t="s">
        <v>18170</v>
      </c>
      <c r="B14428" s="4" t="s">
        <v>18172</v>
      </c>
      <c r="C14428" s="5" t="str">
        <f>IFERROR(__xludf.DUMMYFUNCTION("GOOGLETRANSLATE(B14428,""en"",""de"")"),"Die Leute rennen auf einem Feld herum und spielen Lacrosse.")</f>
        <v>Die Leute rennen auf einem Feld herum und spielen Lacrosse.</v>
      </c>
    </row>
    <row r="14429">
      <c r="A14429" s="4" t="s">
        <v>18173</v>
      </c>
      <c r="B14429" s="4" t="s">
        <v>18174</v>
      </c>
      <c r="C14429" s="5" t="str">
        <f>IFERROR(__xludf.DUMMYFUNCTION("GOOGLETRANSLATE(B14429,""en"",""de"")"),"Eine Frau kommt auf den Bildschirm und kniet einen Stock und hält einen Stock.")</f>
        <v>Eine Frau kommt auf den Bildschirm und kniet einen Stock und hält einen Stock.</v>
      </c>
    </row>
    <row r="14430">
      <c r="A14430" s="4" t="s">
        <v>18173</v>
      </c>
      <c r="B14430" s="4" t="s">
        <v>18175</v>
      </c>
      <c r="C14430" s="5" t="str">
        <f>IFERROR(__xludf.DUMMYFUNCTION("GOOGLETRANSLATE(B14430,""en"",""de"")"),"Sie beginnt sich tiefer in die Position zu erstrecken, während sie den Stock für das Gleichgewicht hält.")</f>
        <v>Sie beginnt sich tiefer in die Position zu erstrecken, während sie den Stock für das Gleichgewicht hält.</v>
      </c>
    </row>
    <row r="14431">
      <c r="A14431" s="4" t="s">
        <v>18173</v>
      </c>
      <c r="B14431" s="4" t="s">
        <v>18176</v>
      </c>
      <c r="C14431" s="5" t="str">
        <f>IFERROR(__xludf.DUMMYFUNCTION("GOOGLETRANSLATE(B14431,""en"",""de"")"),"Sie hält kurz vor dem Ende des Videos an.")</f>
        <v>Sie hält kurz vor dem Ende des Videos an.</v>
      </c>
    </row>
    <row r="14432">
      <c r="A14432" s="4" t="s">
        <v>18177</v>
      </c>
      <c r="B14432" s="4" t="s">
        <v>18178</v>
      </c>
      <c r="C14432" s="5" t="str">
        <f>IFERROR(__xludf.DUMMYFUNCTION("GOOGLETRANSLATE(B14432,""en"",""de"")"),"Die Menschen fahren in Segelbooten auf dem Wasser.")</f>
        <v>Die Menschen fahren in Segelbooten auf dem Wasser.</v>
      </c>
    </row>
    <row r="14433">
      <c r="A14433" s="4" t="s">
        <v>18177</v>
      </c>
      <c r="B14433" s="4" t="s">
        <v>18179</v>
      </c>
      <c r="C14433" s="5" t="str">
        <f>IFERROR(__xludf.DUMMYFUNCTION("GOOGLETRANSLATE(B14433,""en"",""de"")"),"Die Leute stehen auf einer Bar auf einem Boot.")</f>
        <v>Die Leute stehen auf einer Bar auf einem Boot.</v>
      </c>
    </row>
    <row r="14434">
      <c r="A14434" s="4" t="s">
        <v>18177</v>
      </c>
      <c r="B14434" s="4" t="s">
        <v>18180</v>
      </c>
      <c r="C14434" s="5" t="str">
        <f>IFERROR(__xludf.DUMMYFUNCTION("GOOGLETRANSLATE(B14434,""en"",""de"")"),"Die Leute nehmen das Segel vom Boot hinunter.")</f>
        <v>Die Leute nehmen das Segel vom Boot hinunter.</v>
      </c>
    </row>
    <row r="14435">
      <c r="A14435" s="4" t="s">
        <v>18181</v>
      </c>
      <c r="B14435" s="4" t="s">
        <v>18182</v>
      </c>
      <c r="C14435" s="5" t="str">
        <f>IFERROR(__xludf.DUMMYFUNCTION("GOOGLETRANSLATE(B14435,""en"",""de"")"),"Der Mann beginnt Teppichunterlagen aufzureißen.")</f>
        <v>Der Mann beginnt Teppichunterlagen aufzureißen.</v>
      </c>
    </row>
    <row r="14436">
      <c r="A14436" s="4" t="s">
        <v>18181</v>
      </c>
      <c r="B14436" s="4" t="s">
        <v>18183</v>
      </c>
      <c r="C14436" s="5" t="str">
        <f>IFERROR(__xludf.DUMMYFUNCTION("GOOGLETRANSLATE(B14436,""en"",""de"")"),"Er misst die Latte, die zwischen der Türöffnung gelegt werden soll.")</f>
        <v>Er misst die Latte, die zwischen der Türöffnung gelegt werden soll.</v>
      </c>
    </row>
    <row r="14437">
      <c r="A14437" s="4" t="s">
        <v>18181</v>
      </c>
      <c r="B14437" s="4" t="s">
        <v>18184</v>
      </c>
      <c r="C14437" s="5" t="str">
        <f>IFERROR(__xludf.DUMMYFUNCTION("GOOGLETRANSLATE(B14437,""en"",""de"")"),"Dann legt er Materialien unter den Teppich unterlegt.")</f>
        <v>Dann legt er Materialien unter den Teppich unterlegt.</v>
      </c>
    </row>
    <row r="14438">
      <c r="A14438" s="4" t="s">
        <v>18181</v>
      </c>
      <c r="B14438" s="4" t="s">
        <v>18185</v>
      </c>
      <c r="C14438" s="5" t="str">
        <f>IFERROR(__xludf.DUMMYFUNCTION("GOOGLETRANSLATE(B14438,""en"",""de"")"),"Er steckt einen hölzernen Schein in den Türeingang.")</f>
        <v>Er steckt einen hölzernen Schein in den Türeingang.</v>
      </c>
    </row>
    <row r="14439">
      <c r="A14439" s="4" t="s">
        <v>18181</v>
      </c>
      <c r="B14439" s="4" t="s">
        <v>18186</v>
      </c>
      <c r="C14439" s="5" t="str">
        <f>IFERROR(__xludf.DUMMYFUNCTION("GOOGLETRANSLATE(B14439,""en"",""de"")"),"Er nimmt den Slat auf.")</f>
        <v>Er nimmt den Slat auf.</v>
      </c>
    </row>
    <row r="14440">
      <c r="A14440" s="4" t="s">
        <v>18181</v>
      </c>
      <c r="B14440" s="4" t="s">
        <v>18187</v>
      </c>
      <c r="C14440" s="5" t="str">
        <f>IFERROR(__xludf.DUMMYFUNCTION("GOOGLETRANSLATE(B14440,""en"",""de"")"),"Er schneidet die Lamelle.")</f>
        <v>Er schneidet die Lamelle.</v>
      </c>
    </row>
    <row r="14441">
      <c r="A14441" s="4" t="s">
        <v>18181</v>
      </c>
      <c r="B14441" s="4" t="s">
        <v>18188</v>
      </c>
      <c r="C14441" s="5" t="str">
        <f>IFERROR(__xludf.DUMMYFUNCTION("GOOGLETRANSLATE(B14441,""en"",""de"")"),"Er legt den Latten wieder hin.")</f>
        <v>Er legt den Latten wieder hin.</v>
      </c>
    </row>
    <row r="14442">
      <c r="A14442" s="4" t="s">
        <v>18181</v>
      </c>
      <c r="B14442" s="4" t="s">
        <v>18189</v>
      </c>
      <c r="C14442" s="5" t="str">
        <f>IFERROR(__xludf.DUMMYFUNCTION("GOOGLETRANSLATE(B14442,""en"",""de"")"),"Er bohrt es an Ort und Stelle.")</f>
        <v>Er bohrt es an Ort und Stelle.</v>
      </c>
    </row>
    <row r="14443">
      <c r="A14443" s="4" t="s">
        <v>18181</v>
      </c>
      <c r="B14443" s="4" t="s">
        <v>18190</v>
      </c>
      <c r="C14443" s="5" t="str">
        <f>IFERROR(__xludf.DUMMYFUNCTION("GOOGLETRANSLATE(B14443,""en"",""de"")"),"Dann legt er seine Hände auf die Spitze der Latte.")</f>
        <v>Dann legt er seine Hände auf die Spitze der Latte.</v>
      </c>
    </row>
    <row r="14444">
      <c r="A14444" s="4" t="s">
        <v>18191</v>
      </c>
      <c r="B14444" s="4" t="s">
        <v>18192</v>
      </c>
      <c r="C14444" s="5" t="str">
        <f>IFERROR(__xludf.DUMMYFUNCTION("GOOGLETRANSLATE(B14444,""en"",""de"")"),"Eine Dame füttert ein Babyeis in einem Auto.")</f>
        <v>Eine Dame füttert ein Babyeis in einem Auto.</v>
      </c>
    </row>
    <row r="14445">
      <c r="A14445" s="4" t="s">
        <v>18191</v>
      </c>
      <c r="B14445" s="4" t="s">
        <v>18193</v>
      </c>
      <c r="C14445" s="5" t="str">
        <f>IFERROR(__xludf.DUMMYFUNCTION("GOOGLETRANSLATE(B14445,""en"",""de"")"),"Die Dame gibt der Dame neben ihr das Eis und füttert dem Baby etwas anderes.")</f>
        <v>Die Dame gibt der Dame neben ihr das Eis und füttert dem Baby etwas anderes.</v>
      </c>
    </row>
    <row r="14446">
      <c r="A14446" s="4" t="s">
        <v>18191</v>
      </c>
      <c r="B14446" s="4" t="s">
        <v>18194</v>
      </c>
      <c r="C14446" s="5" t="str">
        <f>IFERROR(__xludf.DUMMYFUNCTION("GOOGLETRANSLATE(B14446,""en"",""de"")"),"Das Baby greift nach dem Essen.")</f>
        <v>Das Baby greift nach dem Essen.</v>
      </c>
    </row>
    <row r="14447">
      <c r="A14447" s="4" t="s">
        <v>18191</v>
      </c>
      <c r="B14447" s="4" t="s">
        <v>18195</v>
      </c>
      <c r="C14447" s="5" t="str">
        <f>IFERROR(__xludf.DUMMYFUNCTION("GOOGLETRANSLATE(B14447,""en"",""de"")"),"Das Baby greift wieder nach dem Essen.")</f>
        <v>Das Baby greift wieder nach dem Essen.</v>
      </c>
    </row>
    <row r="14448">
      <c r="A14448" s="4" t="s">
        <v>18191</v>
      </c>
      <c r="B14448" s="4" t="s">
        <v>18196</v>
      </c>
      <c r="C14448" s="5" t="str">
        <f>IFERROR(__xludf.DUMMYFUNCTION("GOOGLETRANSLATE(B14448,""en"",""de"")"),"Die Dame wischt sich die Babys aus und stand sie auf.")</f>
        <v>Die Dame wischt sich die Babys aus und stand sie auf.</v>
      </c>
    </row>
    <row r="14449">
      <c r="A14449" s="4" t="s">
        <v>18191</v>
      </c>
      <c r="B14449" s="4" t="s">
        <v>18197</v>
      </c>
      <c r="C14449" s="5" t="str">
        <f>IFERROR(__xludf.DUMMYFUNCTION("GOOGLETRANSLATE(B14449,""en"",""de"")"),"Wir sehen die Damen reden.")</f>
        <v>Wir sehen die Damen reden.</v>
      </c>
    </row>
    <row r="14450">
      <c r="A14450" s="4" t="s">
        <v>18198</v>
      </c>
      <c r="B14450" s="4" t="s">
        <v>18199</v>
      </c>
      <c r="C14450" s="5" t="str">
        <f>IFERROR(__xludf.DUMMYFUNCTION("GOOGLETRANSLATE(B14450,""en"",""de"")"),"Es gibt eine Dame, die ein Tutorial zur Herstellung eines Baumwoll -Weiche -Ogura -Kuchens macht.")</f>
        <v>Es gibt eine Dame, die ein Tutorial zur Herstellung eines Baumwoll -Weiche -Ogura -Kuchens macht.</v>
      </c>
    </row>
    <row r="14451">
      <c r="A14451" s="4" t="s">
        <v>18198</v>
      </c>
      <c r="B14451" s="4" t="s">
        <v>18200</v>
      </c>
      <c r="C14451" s="5" t="str">
        <f>IFERROR(__xludf.DUMMYFUNCTION("GOOGLETRANSLATE(B14451,""en"",""de"")"),"Sie beginnt mit der Mischung der Zutaten in einer großen Schüssel, die auf ihrer Küchentheke gelegt wird.")</f>
        <v>Sie beginnt mit der Mischung der Zutaten in einer großen Schüssel, die auf ihrer Küchentheke gelegt wird.</v>
      </c>
    </row>
    <row r="14452">
      <c r="A14452" s="4" t="s">
        <v>18198</v>
      </c>
      <c r="B14452" s="4" t="s">
        <v>18201</v>
      </c>
      <c r="C14452" s="5" t="str">
        <f>IFERROR(__xludf.DUMMYFUNCTION("GOOGLETRANSLATE(B14452,""en"",""de"")"),"Sie fügt dem Mehl zusammen mit Vanille -Essenz ein paar Eier hinzu.")</f>
        <v>Sie fügt dem Mehl zusammen mit Vanille -Essenz ein paar Eier hinzu.</v>
      </c>
    </row>
    <row r="14453">
      <c r="A14453" s="4" t="s">
        <v>18198</v>
      </c>
      <c r="B14453" s="4" t="s">
        <v>18202</v>
      </c>
      <c r="C14453" s="5" t="str">
        <f>IFERROR(__xludf.DUMMYFUNCTION("GOOGLETRANSLATE(B14453,""en"",""de"")"),"Dann benutzt sie einen Handmixer, um die Zutaten miteinander zu mischen.")</f>
        <v>Dann benutzt sie einen Handmixer, um die Zutaten miteinander zu mischen.</v>
      </c>
    </row>
    <row r="14454">
      <c r="A14454" s="4" t="s">
        <v>18198</v>
      </c>
      <c r="B14454" s="4" t="s">
        <v>18203</v>
      </c>
      <c r="C14454" s="5" t="str">
        <f>IFERROR(__xludf.DUMMYFUNCTION("GOOGLETRANSLATE(B14454,""en"",""de"")"),"Dann peitscht sie etwas Creme und Zucker, um Zuckerguss zu machen.")</f>
        <v>Dann peitscht sie etwas Creme und Zucker, um Zuckerguss zu machen.</v>
      </c>
    </row>
    <row r="14455">
      <c r="A14455" s="4" t="s">
        <v>18198</v>
      </c>
      <c r="B14455" s="4" t="s">
        <v>18204</v>
      </c>
      <c r="C14455" s="5" t="str">
        <f>IFERROR(__xludf.DUMMYFUNCTION("GOOGLETRANSLATE(B14455,""en"",""de"")"),"Sie fügt dem Kuchenteig den Zuckerguss hinzu und mischt ihn gut.")</f>
        <v>Sie fügt dem Kuchenteig den Zuckerguss hinzu und mischt ihn gut.</v>
      </c>
    </row>
    <row r="14456">
      <c r="A14456" s="4" t="s">
        <v>18198</v>
      </c>
      <c r="B14456" s="4" t="s">
        <v>18205</v>
      </c>
      <c r="C14456" s="5" t="str">
        <f>IFERROR(__xludf.DUMMYFUNCTION("GOOGLETRANSLATE(B14456,""en"",""de"")"),"Dann gießt sie die Mischung in eine Backschüssel.")</f>
        <v>Dann gießt sie die Mischung in eine Backschüssel.</v>
      </c>
    </row>
    <row r="14457">
      <c r="A14457" s="4" t="s">
        <v>18198</v>
      </c>
      <c r="B14457" s="4" t="s">
        <v>18206</v>
      </c>
      <c r="C14457" s="5" t="str">
        <f>IFERROR(__xludf.DUMMYFUNCTION("GOOGLETRANSLATE(B14457,""en"",""de"")"),"Sie legt die Schüssel in ein Keksblatt und legt sie auf den Ofenregal.")</f>
        <v>Sie legt die Schüssel in ein Keksblatt und legt sie auf den Ofenregal.</v>
      </c>
    </row>
    <row r="14458">
      <c r="A14458" s="4" t="s">
        <v>18198</v>
      </c>
      <c r="B14458" s="4" t="s">
        <v>18207</v>
      </c>
      <c r="C14458" s="5" t="str">
        <f>IFERROR(__xludf.DUMMYFUNCTION("GOOGLETRANSLATE(B14458,""en"",""de"")"),"Sie backt den Kuchen und zieht ihn heraus, wenn es fertig ist.")</f>
        <v>Sie backt den Kuchen und zieht ihn heraus, wenn es fertig ist.</v>
      </c>
    </row>
    <row r="14459">
      <c r="A14459" s="4" t="s">
        <v>18198</v>
      </c>
      <c r="B14459" s="4" t="s">
        <v>18208</v>
      </c>
      <c r="C14459" s="5" t="str">
        <f>IFERROR(__xludf.DUMMYFUNCTION("GOOGLETRANSLATE(B14459,""en"",""de"")"),"Sie zeigt auch einige andere gebackene Leckereien, die sie vorbereitet hat.")</f>
        <v>Sie zeigt auch einige andere gebackene Leckereien, die sie vorbereitet hat.</v>
      </c>
    </row>
    <row r="14460">
      <c r="A14460" s="4" t="s">
        <v>18209</v>
      </c>
      <c r="B14460" s="4" t="s">
        <v>18210</v>
      </c>
      <c r="C14460" s="5" t="str">
        <f>IFERROR(__xludf.DUMMYFUNCTION("GOOGLETRANSLATE(B14460,""en"",""de"")"),"Eine Frau veranstaltet ein Nachrichtensegment, das zu einem Clip eines Hundessprungs führt.")</f>
        <v>Eine Frau veranstaltet ein Nachrichtensegment, das zu einem Clip eines Hundessprungs führt.</v>
      </c>
    </row>
    <row r="14461">
      <c r="A14461" s="4" t="s">
        <v>18209</v>
      </c>
      <c r="B14461" s="4" t="s">
        <v>18211</v>
      </c>
      <c r="C14461" s="5" t="str">
        <f>IFERROR(__xludf.DUMMYFUNCTION("GOOGLETRANSLATE(B14461,""en"",""de"")"),"Menschen werden gezeigt, dass sie mit ihren Hunden Tricks machen und überall auf einem Feld laufen.")</f>
        <v>Menschen werden gezeigt, dass sie mit ihren Hunden Tricks machen und überall auf einem Feld laufen.</v>
      </c>
    </row>
    <row r="14462">
      <c r="A14462" s="4" t="s">
        <v>18209</v>
      </c>
      <c r="B14462" s="4" t="s">
        <v>18212</v>
      </c>
      <c r="C14462" s="5" t="str">
        <f>IFERROR(__xludf.DUMMYFUNCTION("GOOGLETRANSLATE(B14462,""en"",""de"")"),"Weitere Clips werden von Menschen gezeigt, die Frisbees und Hunde danach werfen.")</f>
        <v>Weitere Clips werden von Menschen gezeigt, die Frisbees und Hunde danach werfen.</v>
      </c>
    </row>
    <row r="14463">
      <c r="A14463" s="4" t="s">
        <v>18213</v>
      </c>
      <c r="B14463" s="4" t="s">
        <v>18214</v>
      </c>
      <c r="C14463" s="5" t="str">
        <f>IFERROR(__xludf.DUMMYFUNCTION("GOOGLETRANSLATE(B14463,""en"",""de"")"),"Mehrere Menschen sind im Freien und waschen Wäsche in offenen Becken.")</f>
        <v>Mehrere Menschen sind im Freien und waschen Wäsche in offenen Becken.</v>
      </c>
    </row>
    <row r="14464">
      <c r="A14464" s="4" t="s">
        <v>18213</v>
      </c>
      <c r="B14464" s="4" t="s">
        <v>18215</v>
      </c>
      <c r="C14464" s="5" t="str">
        <f>IFERROR(__xludf.DUMMYFUNCTION("GOOGLETRANSLATE(B14464,""en"",""de"")"),"Die Frauen verwenden eine Pumpe, um Wasser in die Becken einzubringen.")</f>
        <v>Die Frauen verwenden eine Pumpe, um Wasser in die Becken einzubringen.</v>
      </c>
    </row>
    <row r="14465">
      <c r="A14465" s="4" t="s">
        <v>18216</v>
      </c>
      <c r="B14465" s="4" t="s">
        <v>18217</v>
      </c>
      <c r="C14465" s="5" t="str">
        <f>IFERROR(__xludf.DUMMYFUNCTION("GOOGLETRANSLATE(B14465,""en"",""de"")"),"Eine Frau spricht mit der Kamera, während sie einen Hula -Reifen hält, und dreht dann das Objekt um sie herum.")</f>
        <v>Eine Frau spricht mit der Kamera, während sie einen Hula -Reifen hält, und dreht dann das Objekt um sie herum.</v>
      </c>
    </row>
    <row r="14466">
      <c r="A14466" s="4" t="s">
        <v>18216</v>
      </c>
      <c r="B14466" s="4" t="s">
        <v>18218</v>
      </c>
      <c r="C14466" s="5" t="str">
        <f>IFERROR(__xludf.DUMMYFUNCTION("GOOGLETRANSLATE(B14466,""en"",""de"")"),"Sie fährt weiter und führt immer und immer wieder in Bilder von Leuten, die Hula am Ende äht.")</f>
        <v>Sie fährt weiter und führt immer und immer wieder in Bilder von Leuten, die Hula am Ende äht.</v>
      </c>
    </row>
    <row r="14467">
      <c r="A14467" s="4" t="s">
        <v>18219</v>
      </c>
      <c r="B14467" s="4" t="s">
        <v>18220</v>
      </c>
      <c r="C14467" s="5" t="str">
        <f>IFERROR(__xludf.DUMMYFUNCTION("GOOGLETRANSLATE(B14467,""en"",""de"")"),"Ein Mann hebt einen Ball in die Luft und hält ihn gegen seinen Hals und wirft den Ball weit.")</f>
        <v>Ein Mann hebt einen Ball in die Luft und hält ihn gegen seinen Hals und wirft den Ball weit.</v>
      </c>
    </row>
    <row r="14468">
      <c r="A14468" s="4" t="s">
        <v>18219</v>
      </c>
      <c r="B14468" s="4" t="s">
        <v>18221</v>
      </c>
      <c r="C14468" s="5" t="str">
        <f>IFERROR(__xludf.DUMMYFUNCTION("GOOGLETRANSLATE(B14468,""en"",""de"")"),"Der Mann hält den Ball gegen seinen Hals und dreht sich seinen Rücken und wirft ihn.")</f>
        <v>Der Mann hält den Ball gegen seinen Hals und dreht sich seinen Rücken und wirft ihn.</v>
      </c>
    </row>
    <row r="14469">
      <c r="A14469" s="4" t="s">
        <v>18219</v>
      </c>
      <c r="B14469" s="4" t="s">
        <v>18222</v>
      </c>
      <c r="C14469" s="5" t="str">
        <f>IFERROR(__xludf.DUMMYFUNCTION("GOOGLETRANSLATE(B14469,""en"",""de"")"),"Der Mann packt den Ball und macht einen großen Schritt hinter sich und wirft den Ball.")</f>
        <v>Der Mann packt den Ball und macht einen großen Schritt hinter sich und wirft den Ball.</v>
      </c>
    </row>
    <row r="14470">
      <c r="A14470" s="4" t="s">
        <v>18219</v>
      </c>
      <c r="B14470" s="4" t="s">
        <v>18223</v>
      </c>
      <c r="C14470" s="5" t="str">
        <f>IFERROR(__xludf.DUMMYFUNCTION("GOOGLETRANSLATE(B14470,""en"",""de"")"),"Der Mann verdreht ein paar Mal seinen Körper, als er den Ball gegen seinen Hals hält.")</f>
        <v>Der Mann verdreht ein paar Mal seinen Körper, als er den Ball gegen seinen Hals hält.</v>
      </c>
    </row>
    <row r="14471">
      <c r="A14471" s="4" t="s">
        <v>18219</v>
      </c>
      <c r="B14471" s="4" t="s">
        <v>18224</v>
      </c>
      <c r="C14471" s="5" t="str">
        <f>IFERROR(__xludf.DUMMYFUNCTION("GOOGLETRANSLATE(B14471,""en"",""de"")"),"Der Mann bewegt sich 90 Grad, als er den Ball gegen seinen Hals hält.")</f>
        <v>Der Mann bewegt sich 90 Grad, als er den Ball gegen seinen Hals hält.</v>
      </c>
    </row>
    <row r="14472">
      <c r="A14472" s="4" t="s">
        <v>18219</v>
      </c>
      <c r="B14472" s="4" t="s">
        <v>18225</v>
      </c>
      <c r="C14472" s="5" t="str">
        <f>IFERROR(__xludf.DUMMYFUNCTION("GOOGLETRANSLATE(B14472,""en"",""de"")"),"Der Mann hält den Ball gegen seinen Hals, während er mit seinem Körper eine volle 180 -Grad -Rotation durchführt.")</f>
        <v>Der Mann hält den Ball gegen seinen Hals, während er mit seinem Körper eine volle 180 -Grad -Rotation durchführt.</v>
      </c>
    </row>
    <row r="14473">
      <c r="A14473" s="4" t="s">
        <v>18219</v>
      </c>
      <c r="B14473" s="4" t="s">
        <v>18226</v>
      </c>
      <c r="C14473" s="5" t="str">
        <f>IFERROR(__xludf.DUMMYFUNCTION("GOOGLETRANSLATE(B14473,""en"",""de"")"),"Er gibt vor, den Ball zu halten, während er seinen Körper in eine 270 -Grad -Bewegung verwandelt.")</f>
        <v>Er gibt vor, den Ball zu halten, während er seinen Körper in eine 270 -Grad -Bewegung verwandelt.</v>
      </c>
    </row>
    <row r="14474">
      <c r="A14474" s="4" t="s">
        <v>18227</v>
      </c>
      <c r="B14474" s="4" t="s">
        <v>18228</v>
      </c>
      <c r="C14474" s="5" t="str">
        <f>IFERROR(__xludf.DUMMYFUNCTION("GOOGLETRANSLATE(B14474,""en"",""de"")"),"Ein Mann spricht mit der Kamera und führt in ihn, um mehrere Objekte auf einem Tisch zu halten.")</f>
        <v>Ein Mann spricht mit der Kamera und führt in ihn, um mehrere Objekte auf einem Tisch zu halten.</v>
      </c>
    </row>
    <row r="14475">
      <c r="A14475" s="4" t="s">
        <v>18227</v>
      </c>
      <c r="B14475" s="4" t="s">
        <v>18229</v>
      </c>
      <c r="C14475" s="5" t="str">
        <f>IFERROR(__xludf.DUMMYFUNCTION("GOOGLETRANSLATE(B14475,""en"",""de"")"),"Der Mann schärft dann ein Objekt auf einem Brett und endet mit dem Abbischen des Bretts.")</f>
        <v>Der Mann schärft dann ein Objekt auf einem Brett und endet mit dem Abbischen des Bretts.</v>
      </c>
    </row>
    <row r="14476">
      <c r="A14476" s="4" t="s">
        <v>18230</v>
      </c>
      <c r="B14476" s="4" t="s">
        <v>18231</v>
      </c>
      <c r="C14476" s="5" t="str">
        <f>IFERROR(__xludf.DUMMYFUNCTION("GOOGLETRANSLATE(B14476,""en"",""de"")"),"Ein Mann spielt ein Saxophon.")</f>
        <v>Ein Mann spielt ein Saxophon.</v>
      </c>
    </row>
    <row r="14477">
      <c r="A14477" s="4" t="s">
        <v>18230</v>
      </c>
      <c r="B14477" s="4" t="s">
        <v>18232</v>
      </c>
      <c r="C14477" s="5" t="str">
        <f>IFERROR(__xludf.DUMMYFUNCTION("GOOGLETRANSLATE(B14477,""en"",""de"")"),"Eine Band spielt hinter ihm.")</f>
        <v>Eine Band spielt hinter ihm.</v>
      </c>
    </row>
    <row r="14478">
      <c r="A14478" s="4" t="s">
        <v>18230</v>
      </c>
      <c r="B14478" s="4" t="s">
        <v>18233</v>
      </c>
      <c r="C14478" s="5" t="str">
        <f>IFERROR(__xludf.DUMMYFUNCTION("GOOGLETRANSLATE(B14478,""en"",""de"")"),"Blaue und weiße Worte kommen auf den Bildschirm.")</f>
        <v>Blaue und weiße Worte kommen auf den Bildschirm.</v>
      </c>
    </row>
    <row r="14479">
      <c r="A14479" s="4" t="s">
        <v>18234</v>
      </c>
      <c r="B14479" s="4" t="s">
        <v>18235</v>
      </c>
      <c r="C14479" s="5" t="str">
        <f>IFERROR(__xludf.DUMMYFUNCTION("GOOGLETRANSLATE(B14479,""en"",""de"")"),"Wir sehen den Öffnungsbildschirm auf Grau.")</f>
        <v>Wir sehen den Öffnungsbildschirm auf Grau.</v>
      </c>
    </row>
    <row r="14480">
      <c r="A14480" s="4" t="s">
        <v>18234</v>
      </c>
      <c r="B14480" s="4" t="s">
        <v>18236</v>
      </c>
      <c r="C14480" s="5" t="str">
        <f>IFERROR(__xludf.DUMMYFUNCTION("GOOGLETRANSLATE(B14480,""en"",""de"")"),"Wir sehen dann einen Mann auf Discs, der einen Betonboden glättet.")</f>
        <v>Wir sehen dann einen Mann auf Discs, der einen Betonboden glättet.</v>
      </c>
    </row>
    <row r="14481">
      <c r="A14481" s="4" t="s">
        <v>18234</v>
      </c>
      <c r="B14481" s="4" t="s">
        <v>18237</v>
      </c>
      <c r="C14481" s="5" t="str">
        <f>IFERROR(__xludf.DUMMYFUNCTION("GOOGLETRANSLATE(B14481,""en"",""de"")"),"Der Mann entfernt Beton aus seiner Kelle.")</f>
        <v>Der Mann entfernt Beton aus seiner Kelle.</v>
      </c>
    </row>
    <row r="14482">
      <c r="A14482" s="4" t="s">
        <v>18234</v>
      </c>
      <c r="B14482" s="4" t="s">
        <v>18238</v>
      </c>
      <c r="C14482" s="5" t="str">
        <f>IFERROR(__xludf.DUMMYFUNCTION("GOOGLETRANSLATE(B14482,""en"",""de"")"),"Der Mann nutzt seine Hand, um Beton zu entfernen.")</f>
        <v>Der Mann nutzt seine Hand, um Beton zu entfernen.</v>
      </c>
    </row>
    <row r="14483">
      <c r="A14483" s="4" t="s">
        <v>18234</v>
      </c>
      <c r="B14483" s="4" t="s">
        <v>1380</v>
      </c>
      <c r="C14483" s="5" t="str">
        <f>IFERROR(__xludf.DUMMYFUNCTION("GOOGLETRANSLATE(B14483,""en"",""de"")"),"Wir sehen dann die Endgutschrift.")</f>
        <v>Wir sehen dann die Endgutschrift.</v>
      </c>
    </row>
    <row r="14484">
      <c r="A14484" s="4" t="s">
        <v>18239</v>
      </c>
      <c r="B14484" s="4" t="s">
        <v>18240</v>
      </c>
      <c r="C14484" s="5" t="str">
        <f>IFERROR(__xludf.DUMMYFUNCTION("GOOGLETRANSLATE(B14484,""en"",""de"")"),"Frau sitzt im Studio und gibt die Nachrichten.")</f>
        <v>Frau sitzt im Studio und gibt die Nachrichten.</v>
      </c>
    </row>
    <row r="14485">
      <c r="A14485" s="4" t="s">
        <v>18239</v>
      </c>
      <c r="B14485" s="4" t="s">
        <v>18241</v>
      </c>
      <c r="C14485" s="5" t="str">
        <f>IFERROR(__xludf.DUMMYFUNCTION("GOOGLETRANSLATE(B14485,""en"",""de"")"),"Eine Person befindet sich in einem Hof, die trockene Blätter fegen.")</f>
        <v>Eine Person befindet sich in einem Hof, die trockene Blätter fegen.</v>
      </c>
    </row>
    <row r="14486">
      <c r="A14486" s="4" t="s">
        <v>18239</v>
      </c>
      <c r="B14486" s="4" t="s">
        <v>18242</v>
      </c>
      <c r="C14486" s="5" t="str">
        <f>IFERROR(__xludf.DUMMYFUNCTION("GOOGLETRANSLATE(B14486,""en"",""de"")"),"Die alte Frau wird interviewt und spricht in einem Wohnzimmer mit der Kamera.")</f>
        <v>Die alte Frau wird interviewt und spricht in einem Wohnzimmer mit der Kamera.</v>
      </c>
    </row>
    <row r="14487">
      <c r="A14487" s="4" t="s">
        <v>18239</v>
      </c>
      <c r="B14487" s="4" t="s">
        <v>18243</v>
      </c>
      <c r="C14487" s="5" t="str">
        <f>IFERROR(__xludf.DUMMYFUNCTION("GOOGLETRANSLATE(B14487,""en"",""de"")"),"Eine Frau und ein Mann werden interviewt und sprechen mit der Kamera, während sie die Blätter fegen.")</f>
        <v>Eine Frau und ein Mann werden interviewt und sprechen mit der Kamera, während sie die Blätter fegen.</v>
      </c>
    </row>
    <row r="14488">
      <c r="A14488" s="4" t="s">
        <v>18239</v>
      </c>
      <c r="B14488" s="4" t="s">
        <v>18244</v>
      </c>
      <c r="C14488" s="5" t="str">
        <f>IFERROR(__xludf.DUMMYFUNCTION("GOOGLETRANSLATE(B14488,""en"",""de"")"),"Die alte Frau ist Agani Alking und wieder im Studio, der mit der Kamera spricht.")</f>
        <v>Die alte Frau ist Agani Alking und wieder im Studio, der mit der Kamera spricht.</v>
      </c>
    </row>
    <row r="14489">
      <c r="A14489" s="4" t="s">
        <v>18245</v>
      </c>
      <c r="B14489" s="4" t="s">
        <v>18246</v>
      </c>
      <c r="C14489" s="5" t="str">
        <f>IFERROR(__xludf.DUMMYFUNCTION("GOOGLETRANSLATE(B14489,""en"",""de"")"),"Ein Lebensmittelbegleiter bereitet einen Eiskegel aus einem gefrorenen Joghurtspender vor.")</f>
        <v>Ein Lebensmittelbegleiter bereitet einen Eiskegel aus einem gefrorenen Joghurtspender vor.</v>
      </c>
    </row>
    <row r="14490">
      <c r="A14490" s="4" t="s">
        <v>18245</v>
      </c>
      <c r="B14490" s="4" t="s">
        <v>18247</v>
      </c>
      <c r="C14490" s="5" t="str">
        <f>IFERROR(__xludf.DUMMYFUNCTION("GOOGLETRANSLATE(B14490,""en"",""de"")"),"Der Mann beobachtet glücklich, wie sein Eis zubereitet wird.")</f>
        <v>Der Mann beobachtet glücklich, wie sein Eis zubereitet wird.</v>
      </c>
    </row>
    <row r="14491">
      <c r="A14491" s="4" t="s">
        <v>18245</v>
      </c>
      <c r="B14491" s="4" t="s">
        <v>18248</v>
      </c>
      <c r="C14491" s="5" t="str">
        <f>IFERROR(__xludf.DUMMYFUNCTION("GOOGLETRANSLATE(B14491,""en"",""de"")"),"Der Mann genießt Eiscreme, die es so schnell wie möglich isst.")</f>
        <v>Der Mann genießt Eiscreme, die es so schnell wie möglich isst.</v>
      </c>
    </row>
    <row r="14492">
      <c r="A14492" s="4" t="s">
        <v>18245</v>
      </c>
      <c r="B14492" s="4" t="s">
        <v>18249</v>
      </c>
      <c r="C14492" s="5" t="str">
        <f>IFERROR(__xludf.DUMMYFUNCTION("GOOGLETRANSLATE(B14492,""en"",""de"")"),"Der Mann reibt sich den Kopf und ist erleichtert.")</f>
        <v>Der Mann reibt sich den Kopf und ist erleichtert.</v>
      </c>
    </row>
    <row r="14493">
      <c r="A14493" s="4" t="s">
        <v>18250</v>
      </c>
      <c r="B14493" s="4" t="s">
        <v>18251</v>
      </c>
      <c r="C14493" s="5" t="str">
        <f>IFERROR(__xludf.DUMMYFUNCTION("GOOGLETRANSLATE(B14493,""en"",""de"")"),"Ein Mann spricht in einem Fitnessstudio.")</f>
        <v>Ein Mann spricht in einem Fitnessstudio.</v>
      </c>
    </row>
    <row r="14494">
      <c r="A14494" s="4" t="s">
        <v>18250</v>
      </c>
      <c r="B14494" s="4" t="s">
        <v>18252</v>
      </c>
      <c r="C14494" s="5" t="str">
        <f>IFERROR(__xludf.DUMMYFUNCTION("GOOGLETRANSLATE(B14494,""en"",""de"")"),"Er liegt vor Ort, um Sit -Ups zu machen und über die Mechanik des Gesetzes zu sprechen.")</f>
        <v>Er liegt vor Ort, um Sit -Ups zu machen und über die Mechanik des Gesetzes zu sprechen.</v>
      </c>
    </row>
    <row r="14495">
      <c r="A14495" s="4" t="s">
        <v>18250</v>
      </c>
      <c r="B14495" s="4" t="s">
        <v>18253</v>
      </c>
      <c r="C14495" s="5" t="str">
        <f>IFERROR(__xludf.DUMMYFUNCTION("GOOGLETRANSLATE(B14495,""en"",""de"")"),"Der Mann zeigt, wie man immer und immer wieder sitzt.")</f>
        <v>Der Mann zeigt, wie man immer und immer wieder sitzt.</v>
      </c>
    </row>
    <row r="14496">
      <c r="A14496" s="4" t="s">
        <v>18254</v>
      </c>
      <c r="B14496" s="4" t="s">
        <v>18255</v>
      </c>
      <c r="C14496" s="5" t="str">
        <f>IFERROR(__xludf.DUMMYFUNCTION("GOOGLETRANSLATE(B14496,""en"",""de"")"),"Eine Frau mit langen Haaren sitzt hinter einem Klavier und spricht mit der Kamera.")</f>
        <v>Eine Frau mit langen Haaren sitzt hinter einem Klavier und spricht mit der Kamera.</v>
      </c>
    </row>
    <row r="14497">
      <c r="A14497" s="4" t="s">
        <v>18254</v>
      </c>
      <c r="B14497" s="4" t="s">
        <v>18256</v>
      </c>
      <c r="C14497" s="5" t="str">
        <f>IFERROR(__xludf.DUMMYFUNCTION("GOOGLETRANSLATE(B14497,""en"",""de"")"),"Sie legt ihre Hände um das Klavier und beginnt ein Lied zu spielen.")</f>
        <v>Sie legt ihre Hände um das Klavier und beginnt ein Lied zu spielen.</v>
      </c>
    </row>
    <row r="14498">
      <c r="A14498" s="4" t="s">
        <v>18254</v>
      </c>
      <c r="B14498" s="4" t="s">
        <v>18257</v>
      </c>
      <c r="C14498" s="5" t="str">
        <f>IFERROR(__xludf.DUMMYFUNCTION("GOOGLETRANSLATE(B14498,""en"",""de"")"),"Sie spielt weiterhin das Instrument und macht eine Pause, um ein wenig mit der Kamera zu sprechen.")</f>
        <v>Sie spielt weiterhin das Instrument und macht eine Pause, um ein wenig mit der Kamera zu sprechen.</v>
      </c>
    </row>
    <row r="14499">
      <c r="A14499" s="4" t="s">
        <v>18254</v>
      </c>
      <c r="B14499" s="4" t="s">
        <v>18258</v>
      </c>
      <c r="C14499" s="5" t="str">
        <f>IFERROR(__xludf.DUMMYFUNCTION("GOOGLETRANSLATE(B14499,""en"",""de"")"),"Sie spielt noch mehr und endet damit, dass sie immer noch mit der Kamera spricht.")</f>
        <v>Sie spielt noch mehr und endet damit, dass sie immer noch mit der Kamera spricht.</v>
      </c>
    </row>
    <row r="14500">
      <c r="A14500" s="4" t="s">
        <v>18259</v>
      </c>
      <c r="B14500" s="4" t="s">
        <v>18260</v>
      </c>
      <c r="C14500" s="5" t="str">
        <f>IFERROR(__xludf.DUMMYFUNCTION("GOOGLETRANSLATE(B14500,""en"",""de"")"),"Eine Bank wird in einem Hinterhof vor Büschen gezeigt.")</f>
        <v>Eine Bank wird in einem Hinterhof vor Büschen gezeigt.</v>
      </c>
    </row>
    <row r="14501">
      <c r="A14501" s="4" t="s">
        <v>18259</v>
      </c>
      <c r="B14501" s="4" t="s">
        <v>18261</v>
      </c>
      <c r="C14501" s="5" t="str">
        <f>IFERROR(__xludf.DUMMYFUNCTION("GOOGLETRANSLATE(B14501,""en"",""de"")"),"Ein Mann benutzt eine Leiter, um die Hecken zu schneiden.")</f>
        <v>Ein Mann benutzt eine Leiter, um die Hecken zu schneiden.</v>
      </c>
    </row>
    <row r="14502">
      <c r="A14502" s="4" t="s">
        <v>18259</v>
      </c>
      <c r="B14502" s="4" t="s">
        <v>18262</v>
      </c>
      <c r="C14502" s="5" t="str">
        <f>IFERROR(__xludf.DUMMYFUNCTION("GOOGLETRANSLATE(B14502,""en"",""de"")"),"Er bewegt die Bank und geht mit der Leiter herum und schneidet weiter ab.")</f>
        <v>Er bewegt die Bank und geht mit der Leiter herum und schneidet weiter ab.</v>
      </c>
    </row>
    <row r="14503">
      <c r="A14503" s="4" t="s">
        <v>18263</v>
      </c>
      <c r="B14503" s="4" t="s">
        <v>18264</v>
      </c>
      <c r="C14503" s="5" t="str">
        <f>IFERROR(__xludf.DUMMYFUNCTION("GOOGLETRANSLATE(B14503,""en"",""de"")"),"Ein Mann hüpft über Balken und wirft ein Objekt an verschiedenen Orten.")</f>
        <v>Ein Mann hüpft über Balken und wirft ein Objekt an verschiedenen Orten.</v>
      </c>
    </row>
    <row r="14504">
      <c r="A14504" s="4" t="s">
        <v>18263</v>
      </c>
      <c r="B14504" s="4" t="s">
        <v>18265</v>
      </c>
      <c r="C14504" s="5" t="str">
        <f>IFERROR(__xludf.DUMMYFUNCTION("GOOGLETRANSLATE(B14504,""en"",""de"")"),"Die Männer werden dann gesehen, wie es Gewichte hebt und das Objekt mehr umsetzt und von der Kamera weggeht.")</f>
        <v>Die Männer werden dann gesehen, wie es Gewichte hebt und das Objekt mehr umsetzt und von der Kamera weggeht.</v>
      </c>
    </row>
    <row r="14505">
      <c r="A14505" s="4" t="s">
        <v>18263</v>
      </c>
      <c r="B14505" s="4" t="s">
        <v>18266</v>
      </c>
      <c r="C14505" s="5" t="str">
        <f>IFERROR(__xludf.DUMMYFUNCTION("GOOGLETRANSLATE(B14505,""en"",""de"")"),"Er übt weiter, indem er das Objekt umgeht und die Kamera nach seinen Bewegungen.")</f>
        <v>Er übt weiter, indem er das Objekt umgeht und die Kamera nach seinen Bewegungen.</v>
      </c>
    </row>
    <row r="14506">
      <c r="A14506" s="4" t="s">
        <v>18267</v>
      </c>
      <c r="B14506" s="4" t="s">
        <v>18268</v>
      </c>
      <c r="C14506" s="5" t="str">
        <f>IFERROR(__xludf.DUMMYFUNCTION("GOOGLETRANSLATE(B14506,""en"",""de"")"),"Ein Mädchen geht zu einer Rutsche, setzt sich hin und geht dann die Rutsche hinunter.")</f>
        <v>Ein Mädchen geht zu einer Rutsche, setzt sich hin und geht dann die Rutsche hinunter.</v>
      </c>
    </row>
    <row r="14507">
      <c r="A14507" s="4" t="s">
        <v>18267</v>
      </c>
      <c r="B14507" s="4" t="s">
        <v>18269</v>
      </c>
      <c r="C14507" s="5" t="str">
        <f>IFERROR(__xludf.DUMMYFUNCTION("GOOGLETRANSLATE(B14507,""en"",""de"")"),"Sie geht zurück, um es wieder zu tun.")</f>
        <v>Sie geht zurück, um es wieder zu tun.</v>
      </c>
    </row>
    <row r="14508">
      <c r="A14508" s="4" t="s">
        <v>18270</v>
      </c>
      <c r="B14508" s="4" t="s">
        <v>18271</v>
      </c>
      <c r="C14508" s="5" t="str">
        <f>IFERROR(__xludf.DUMMYFUNCTION("GOOGLETRANSLATE(B14508,""en"",""de"")"),"Ein kleines Pferd befindet sich draußen in einem Feld, das von einem Seil gehalten wird, das an einem Gürtel befestigt ist, der um den Hals des Pferdes gewickelt ist.")</f>
        <v>Ein kleines Pferd befindet sich draußen in einem Feld, das von einem Seil gehalten wird, das an einem Gürtel befestigt ist, der um den Hals des Pferdes gewickelt ist.</v>
      </c>
    </row>
    <row r="14509">
      <c r="A14509" s="4" t="s">
        <v>18270</v>
      </c>
      <c r="B14509" s="4" t="s">
        <v>18272</v>
      </c>
      <c r="C14509" s="5" t="str">
        <f>IFERROR(__xludf.DUMMYFUNCTION("GOOGLETRANSLATE(B14509,""en"",""de"")"),"Die Person mit dem Seil in der Hand hat einen fackelähnlichen Gegenstand in seiner rechten Hand, aber es scheint nur Luft zu haben und beginnt ihn über das Gesicht und den Mund hin und her zu bewegen.")</f>
        <v>Die Person mit dem Seil in der Hand hat einen fackelähnlichen Gegenstand in seiner rechten Hand, aber es scheint nur Luft zu haben und beginnt ihn über das Gesicht und den Mund hin und her zu bewegen.</v>
      </c>
    </row>
    <row r="14510">
      <c r="A14510" s="4" t="s">
        <v>18270</v>
      </c>
      <c r="B14510" s="4" t="s">
        <v>18273</v>
      </c>
      <c r="C14510" s="5" t="str">
        <f>IFERROR(__xludf.DUMMYFUNCTION("GOOGLETRANSLATE(B14510,""en"",""de"")"),"Das Pferd scheint jedoch nicht zu gefallen und beginnt seine Lippe zu bewegen, um die Behandlung zu vermeiden.")</f>
        <v>Das Pferd scheint jedoch nicht zu gefallen und beginnt seine Lippe zu bewegen, um die Behandlung zu vermeiden.</v>
      </c>
    </row>
    <row r="14511">
      <c r="A14511" s="4" t="s">
        <v>18274</v>
      </c>
      <c r="B14511" s="4" t="s">
        <v>18275</v>
      </c>
      <c r="C14511" s="5" t="str">
        <f>IFERROR(__xludf.DUMMYFUNCTION("GOOGLETRANSLATE(B14511,""en"",""de"")"),"Ein Junge zeigt, wie man durch ein Beispiel auf der Straße ein Skateboard fährt.")</f>
        <v>Ein Junge zeigt, wie man durch ein Beispiel auf der Straße ein Skateboard fährt.</v>
      </c>
    </row>
    <row r="14512">
      <c r="A14512" s="4" t="s">
        <v>18274</v>
      </c>
      <c r="B14512" s="4" t="s">
        <v>18276</v>
      </c>
      <c r="C14512" s="5" t="str">
        <f>IFERROR(__xludf.DUMMYFUNCTION("GOOGLETRANSLATE(B14512,""en"",""de"")"),"Ein Junge steht im Freien, hält ein Skateboard in den Armen und legt das Brett ab und beginnt, darauf zu treten.")</f>
        <v>Ein Junge steht im Freien, hält ein Skateboard in den Armen und legt das Brett ab und beginnt, darauf zu treten.</v>
      </c>
    </row>
    <row r="14513">
      <c r="A14513" s="4" t="s">
        <v>18274</v>
      </c>
      <c r="B14513" s="4" t="s">
        <v>18277</v>
      </c>
      <c r="C14513" s="5" t="str">
        <f>IFERROR(__xludf.DUMMYFUNCTION("GOOGLETRANSLATE(B14513,""en"",""de"")"),"Der Junge steht dann auf dem Brett, der darauf hin und her rockt.")</f>
        <v>Der Junge steht dann auf dem Brett, der darauf hin und her rockt.</v>
      </c>
    </row>
    <row r="14514">
      <c r="A14514" s="4" t="s">
        <v>18274</v>
      </c>
      <c r="B14514" s="4" t="s">
        <v>18278</v>
      </c>
      <c r="C14514" s="5" t="str">
        <f>IFERROR(__xludf.DUMMYFUNCTION("GOOGLETRANSLATE(B14514,""en"",""de"")"),"Der Junge zeigt dann im Skateboard im Oberkörper und schiebt sich schließlich ab und reitet auf die Straße auf dem Skateboard.")</f>
        <v>Der Junge zeigt dann im Skateboard im Oberkörper und schiebt sich schließlich ab und reitet auf die Straße auf dem Skateboard.</v>
      </c>
    </row>
    <row r="14515">
      <c r="A14515" s="4" t="s">
        <v>18274</v>
      </c>
      <c r="B14515" s="4" t="s">
        <v>18279</v>
      </c>
      <c r="C14515" s="5" t="str">
        <f>IFERROR(__xludf.DUMMYFUNCTION("GOOGLETRANSLATE(B14515,""en"",""de"")"),"Der Junge kehrt dann an die Straßenseite zurück und legt einen Fuß auf das Brett und den anderen auf den Boden, während er still steht.")</f>
        <v>Der Junge kehrt dann an die Straßenseite zurück und legt einen Fuß auf das Brett und den anderen auf den Boden, während er still steht.</v>
      </c>
    </row>
    <row r="14516">
      <c r="A14516" s="4" t="s">
        <v>18280</v>
      </c>
      <c r="B14516" s="4" t="s">
        <v>18281</v>
      </c>
      <c r="C14516" s="5" t="str">
        <f>IFERROR(__xludf.DUMMYFUNCTION("GOOGLETRANSLATE(B14516,""en"",""de"")"),"Wir sehen einen Gummihandschuh auf dem Boden.")</f>
        <v>Wir sehen einen Gummihandschuh auf dem Boden.</v>
      </c>
    </row>
    <row r="14517">
      <c r="A14517" s="4" t="s">
        <v>18280</v>
      </c>
      <c r="B14517" s="4" t="s">
        <v>18282</v>
      </c>
      <c r="C14517" s="5" t="str">
        <f>IFERROR(__xludf.DUMMYFUNCTION("GOOGLETRANSLATE(B14517,""en"",""de"")"),"Eine Person schneidet den Handschuh in zwei Hälften und setzt am Ende ein Loch.")</f>
        <v>Eine Person schneidet den Handschuh in zwei Hälften und setzt am Ende ein Loch.</v>
      </c>
    </row>
    <row r="14518">
      <c r="A14518" s="4" t="s">
        <v>18280</v>
      </c>
      <c r="B14518" s="4" t="s">
        <v>18283</v>
      </c>
      <c r="C14518" s="5" t="str">
        <f>IFERROR(__xludf.DUMMYFUNCTION("GOOGLETRANSLATE(B14518,""en"",""de"")"),"Die Person legt den Handschuh einen Hund mit seiner Klaue, die durch das Loch klebt.")</f>
        <v>Die Person legt den Handschuh einen Hund mit seiner Klaue, die durch das Loch klebt.</v>
      </c>
    </row>
    <row r="14519">
      <c r="A14519" s="4" t="s">
        <v>18280</v>
      </c>
      <c r="B14519" s="4" t="s">
        <v>18284</v>
      </c>
      <c r="C14519" s="5" t="str">
        <f>IFERROR(__xludf.DUMMYFUNCTION("GOOGLETRANSLATE(B14519,""en"",""de"")"),"Eine Person zeigt ein Clipping -Tool.")</f>
        <v>Eine Person zeigt ein Clipping -Tool.</v>
      </c>
    </row>
    <row r="14520">
      <c r="A14520" s="4" t="s">
        <v>18280</v>
      </c>
      <c r="B14520" s="4" t="s">
        <v>18285</v>
      </c>
      <c r="C14520" s="5" t="str">
        <f>IFERROR(__xludf.DUMMYFUNCTION("GOOGLETRANSLATE(B14520,""en"",""de"")"),"Die Person schleift dann die Hundeklaue mit einem elektrischen Schleifer.")</f>
        <v>Die Person schleift dann die Hundeklaue mit einem elektrischen Schleifer.</v>
      </c>
    </row>
    <row r="14521">
      <c r="A14521" s="4" t="s">
        <v>18286</v>
      </c>
      <c r="B14521" s="4" t="s">
        <v>18287</v>
      </c>
      <c r="C14521" s="5" t="str">
        <f>IFERROR(__xludf.DUMMYFUNCTION("GOOGLETRANSLATE(B14521,""en"",""de"")"),"Zwei Jungen sind in einem Waschbecken.")</f>
        <v>Zwei Jungen sind in einem Waschbecken.</v>
      </c>
    </row>
    <row r="14522">
      <c r="A14522" s="4" t="s">
        <v>18286</v>
      </c>
      <c r="B14522" s="4" t="s">
        <v>18288</v>
      </c>
      <c r="C14522" s="5" t="str">
        <f>IFERROR(__xludf.DUMMYFUNCTION("GOOGLETRANSLATE(B14522,""en"",""de"")"),"Einer der Jungen hat keine Hände.")</f>
        <v>Einer der Jungen hat keine Hände.</v>
      </c>
    </row>
    <row r="14523">
      <c r="A14523" s="4" t="s">
        <v>18286</v>
      </c>
      <c r="B14523" s="4" t="s">
        <v>18289</v>
      </c>
      <c r="C14523" s="5" t="str">
        <f>IFERROR(__xludf.DUMMYFUNCTION("GOOGLETRANSLATE(B14523,""en"",""de"")"),"Er wäscht das Geschirr.")</f>
        <v>Er wäscht das Geschirr.</v>
      </c>
    </row>
    <row r="14524">
      <c r="A14524" s="4" t="s">
        <v>18286</v>
      </c>
      <c r="B14524" s="4" t="s">
        <v>18290</v>
      </c>
      <c r="C14524" s="5" t="str">
        <f>IFERROR(__xludf.DUMMYFUNCTION("GOOGLETRANSLATE(B14524,""en"",""de"")"),"Der andere Junge hilft ihm bei der Reinigung.")</f>
        <v>Der andere Junge hilft ihm bei der Reinigung.</v>
      </c>
    </row>
    <row r="14525">
      <c r="A14525" s="4" t="s">
        <v>18291</v>
      </c>
      <c r="B14525" s="4" t="s">
        <v>18292</v>
      </c>
      <c r="C14525" s="5" t="str">
        <f>IFERROR(__xludf.DUMMYFUNCTION("GOOGLETRANSLATE(B14525,""en"",""de"")"),"Cheerleader stehen in einem Fitnessstudio in der Gruppe.")</f>
        <v>Cheerleader stehen in einem Fitnessstudio in der Gruppe.</v>
      </c>
    </row>
    <row r="14526">
      <c r="A14526" s="4" t="s">
        <v>18291</v>
      </c>
      <c r="B14526" s="4" t="s">
        <v>18293</v>
      </c>
      <c r="C14526" s="5" t="str">
        <f>IFERROR(__xludf.DUMMYFUNCTION("GOOGLETRANSLATE(B14526,""en"",""de"")"),"Die Mädchen führen dann eine Routine aus.")</f>
        <v>Die Mädchen führen dann eine Routine aus.</v>
      </c>
    </row>
    <row r="14527">
      <c r="A14527" s="4" t="s">
        <v>18291</v>
      </c>
      <c r="B14527" s="4" t="s">
        <v>18294</v>
      </c>
      <c r="C14527" s="5" t="str">
        <f>IFERROR(__xludf.DUMMYFUNCTION("GOOGLETRANSLATE(B14527,""en"",""de"")"),"Die Mädchen brechen in drei Gruppen ein und die beiden an den Seiten knien knien, während die mittlere Gruppen knien.")</f>
        <v>Die Mädchen brechen in drei Gruppen ein und die beiden an den Seiten knien knien, während die mittlere Gruppen knien.</v>
      </c>
    </row>
    <row r="14528">
      <c r="A14528" s="4" t="s">
        <v>18291</v>
      </c>
      <c r="B14528" s="4" t="s">
        <v>18295</v>
      </c>
      <c r="C14528" s="5" t="str">
        <f>IFERROR(__xludf.DUMMYFUNCTION("GOOGLETRANSLATE(B14528,""en"",""de"")"),"Sie knien knien und werfen ihre Hände in die Luft im Finish.")</f>
        <v>Sie knien knien und werfen ihre Hände in die Luft im Finish.</v>
      </c>
    </row>
    <row r="14529">
      <c r="A14529" s="4" t="s">
        <v>18296</v>
      </c>
      <c r="B14529" s="4" t="s">
        <v>18297</v>
      </c>
      <c r="C14529" s="5" t="str">
        <f>IFERROR(__xludf.DUMMYFUNCTION("GOOGLETRANSLATE(B14529,""en"",""de"")"),"Eine Frau in einem schwarzen Hemd sitzt auf einer Bank.")</f>
        <v>Eine Frau in einem schwarzen Hemd sitzt auf einer Bank.</v>
      </c>
    </row>
    <row r="14530">
      <c r="A14530" s="4" t="s">
        <v>18296</v>
      </c>
      <c r="B14530" s="4" t="s">
        <v>18298</v>
      </c>
      <c r="C14530" s="5" t="str">
        <f>IFERROR(__xludf.DUMMYFUNCTION("GOOGLETRANSLATE(B14530,""en"",""de"")"),"Ein Mann sitzt hinter einem Schreibtisch.")</f>
        <v>Ein Mann sitzt hinter einem Schreibtisch.</v>
      </c>
    </row>
    <row r="14531">
      <c r="A14531" s="4" t="s">
        <v>18296</v>
      </c>
      <c r="B14531" s="4" t="s">
        <v>18299</v>
      </c>
      <c r="C14531" s="5" t="str">
        <f>IFERROR(__xludf.DUMMYFUNCTION("GOOGLETRANSLATE(B14531,""en"",""de"")"),"Zwei Personen sitzen auf einem Bohnensack -Stuhl.")</f>
        <v>Zwei Personen sitzen auf einem Bohnensack -Stuhl.</v>
      </c>
    </row>
    <row r="14532">
      <c r="A14532" s="4" t="s">
        <v>18296</v>
      </c>
      <c r="B14532" s="4" t="s">
        <v>18300</v>
      </c>
      <c r="C14532" s="5" t="str">
        <f>IFERROR(__xludf.DUMMYFUNCTION("GOOGLETRANSLATE(B14532,""en"",""de"")"),"Ein Mann trinkt aus einem Becher.")</f>
        <v>Ein Mann trinkt aus einem Becher.</v>
      </c>
    </row>
    <row r="14533">
      <c r="A14533" s="4" t="s">
        <v>18301</v>
      </c>
      <c r="B14533" s="4" t="s">
        <v>18302</v>
      </c>
      <c r="C14533" s="5" t="str">
        <f>IFERROR(__xludf.DUMMYFUNCTION("GOOGLETRANSLATE(B14533,""en"",""de"")"),"Eine Frau in einem rosa Hemd redet.")</f>
        <v>Eine Frau in einem rosa Hemd redet.</v>
      </c>
    </row>
    <row r="14534">
      <c r="A14534" s="4" t="s">
        <v>18301</v>
      </c>
      <c r="B14534" s="4" t="s">
        <v>18303</v>
      </c>
      <c r="C14534" s="5" t="str">
        <f>IFERROR(__xludf.DUMMYFUNCTION("GOOGLETRANSLATE(B14534,""en"",""de"")"),"Sie nimmt eine klare Schachtel auf und öffnet sie.")</f>
        <v>Sie nimmt eine klare Schachtel auf und öffnet sie.</v>
      </c>
    </row>
    <row r="14535">
      <c r="A14535" s="4" t="s">
        <v>18301</v>
      </c>
      <c r="B14535" s="4" t="s">
        <v>18304</v>
      </c>
      <c r="C14535" s="5" t="str">
        <f>IFERROR(__xludf.DUMMYFUNCTION("GOOGLETRANSLATE(B14535,""en"",""de"")"),"Sie schließt die Schachtel und legt sie weg.")</f>
        <v>Sie schließt die Schachtel und legt sie weg.</v>
      </c>
    </row>
    <row r="14536">
      <c r="A14536" s="4" t="s">
        <v>18301</v>
      </c>
      <c r="B14536" s="4" t="s">
        <v>18305</v>
      </c>
      <c r="C14536" s="5" t="str">
        <f>IFERROR(__xludf.DUMMYFUNCTION("GOOGLETRANSLATE(B14536,""en"",""de"")"),"Sie nimmt ein großes Stofftier auf.")</f>
        <v>Sie nimmt ein großes Stofftier auf.</v>
      </c>
    </row>
    <row r="14537">
      <c r="A14537" s="4" t="s">
        <v>18301</v>
      </c>
      <c r="B14537" s="4" t="s">
        <v>18306</v>
      </c>
      <c r="C14537" s="5" t="str">
        <f>IFERROR(__xludf.DUMMYFUNCTION("GOOGLETRANSLATE(B14537,""en"",""de"")"),"Sie nimmt dann eine kleine rote Tasche auf.")</f>
        <v>Sie nimmt dann eine kleine rote Tasche auf.</v>
      </c>
    </row>
    <row r="14538">
      <c r="A14538" s="4" t="s">
        <v>18301</v>
      </c>
      <c r="B14538" s="4" t="s">
        <v>18307</v>
      </c>
      <c r="C14538" s="5" t="str">
        <f>IFERROR(__xludf.DUMMYFUNCTION("GOOGLETRANSLATE(B14538,""en"",""de"")"),"Sie nimmt verschiedene Stoffe und Bänder auf.")</f>
        <v>Sie nimmt verschiedene Stoffe und Bänder auf.</v>
      </c>
    </row>
    <row r="14539">
      <c r="A14539" s="4" t="s">
        <v>18308</v>
      </c>
      <c r="B14539" s="4" t="s">
        <v>18309</v>
      </c>
      <c r="C14539" s="5" t="str">
        <f>IFERROR(__xludf.DUMMYFUNCTION("GOOGLETRANSLATE(B14539,""en"",""de"")"),"Vakuumteile werden auf dem Boden angezeigt.")</f>
        <v>Vakuumteile werden auf dem Boden angezeigt.</v>
      </c>
    </row>
    <row r="14540">
      <c r="A14540" s="4" t="s">
        <v>18308</v>
      </c>
      <c r="B14540" s="4" t="s">
        <v>18310</v>
      </c>
      <c r="C14540" s="5" t="str">
        <f>IFERROR(__xludf.DUMMYFUNCTION("GOOGLETRANSLATE(B14540,""en"",""de"")"),"Eine Person sehnt den Teppich.")</f>
        <v>Eine Person sehnt den Teppich.</v>
      </c>
    </row>
    <row r="14541">
      <c r="A14541" s="4" t="s">
        <v>18308</v>
      </c>
      <c r="B14541" s="4" t="s">
        <v>18311</v>
      </c>
      <c r="C14541" s="5" t="str">
        <f>IFERROR(__xludf.DUMMYFUNCTION("GOOGLETRANSLATE(B14541,""en"",""de"")"),"Eine Person hat den Teppich zusammen und saugt.")</f>
        <v>Eine Person hat den Teppich zusammen und saugt.</v>
      </c>
    </row>
    <row r="14542">
      <c r="A14542" s="4" t="s">
        <v>18308</v>
      </c>
      <c r="B14542" s="4" t="s">
        <v>18312</v>
      </c>
      <c r="C14542" s="5" t="str">
        <f>IFERROR(__xludf.DUMMYFUNCTION("GOOGLETRANSLATE(B14542,""en"",""de"")"),"Eine Person starb oder nimmt Kaffee aus dem Teppich auf.")</f>
        <v>Eine Person starb oder nimmt Kaffee aus dem Teppich auf.</v>
      </c>
    </row>
    <row r="14543">
      <c r="A14543" s="4" t="s">
        <v>18308</v>
      </c>
      <c r="B14543" s="4" t="s">
        <v>18313</v>
      </c>
      <c r="C14543" s="5" t="str">
        <f>IFERROR(__xludf.DUMMYFUNCTION("GOOGLETRANSLATE(B14543,""en"",""de"")"),"Eine Person schrubbt und trocknet einen gefliesten Boden mit einem Vakuum.")</f>
        <v>Eine Person schrubbt und trocknet einen gefliesten Boden mit einem Vakuum.</v>
      </c>
    </row>
    <row r="14544">
      <c r="A14544" s="4" t="s">
        <v>18308</v>
      </c>
      <c r="B14544" s="4" t="s">
        <v>18314</v>
      </c>
      <c r="C14544" s="5" t="str">
        <f>IFERROR(__xludf.DUMMYFUNCTION("GOOGLETRANSLATE(B14544,""en"",""de"")"),"Eine Person leert den Inhalt des Vakuums in einer weißen Spüle.")</f>
        <v>Eine Person leert den Inhalt des Vakuums in einer weißen Spüle.</v>
      </c>
    </row>
    <row r="14545">
      <c r="A14545" s="4" t="s">
        <v>18308</v>
      </c>
      <c r="B14545" s="4" t="s">
        <v>18315</v>
      </c>
      <c r="C14545" s="5" t="str">
        <f>IFERROR(__xludf.DUMMYFUNCTION("GOOGLETRANSLATE(B14545,""en"",""de"")"),"Möglichkeiten, wie ein Vakuum verwendet werden kann, werden in geteilten Bildschirmen gezeigt.")</f>
        <v>Möglichkeiten, wie ein Vakuum verwendet werden kann, werden in geteilten Bildschirmen gezeigt.</v>
      </c>
    </row>
    <row r="14546">
      <c r="A14546" s="4" t="s">
        <v>18316</v>
      </c>
      <c r="B14546" s="4" t="s">
        <v>18317</v>
      </c>
      <c r="C14546" s="5" t="str">
        <f>IFERROR(__xludf.DUMMYFUNCTION("GOOGLETRANSLATE(B14546,""en"",""de"")"),"Es wird eine große Welle auf dem Wasser bewegt, gefolgt von mehreren Personen, die Surfbretter tragen und über das Wasser surfen.")</f>
        <v>Es wird eine große Welle auf dem Wasser bewegt, gefolgt von mehreren Personen, die Surfbretter tragen und über das Wasser surfen.</v>
      </c>
    </row>
    <row r="14547">
      <c r="A14547" s="4" t="s">
        <v>18316</v>
      </c>
      <c r="B14547" s="4" t="s">
        <v>18318</v>
      </c>
      <c r="C14547" s="5" t="str">
        <f>IFERROR(__xludf.DUMMYFUNCTION("GOOGLETRANSLATE(B14547,""en"",""de"")"),"Die Menschen reiten weiter am Wasser auf Surfbrettern und laufen am Strand herum.")</f>
        <v>Die Menschen reiten weiter am Wasser auf Surfbrettern und laufen am Strand herum.</v>
      </c>
    </row>
    <row r="14548">
      <c r="A14548" s="4" t="s">
        <v>18319</v>
      </c>
      <c r="B14548" s="4" t="s">
        <v>18320</v>
      </c>
      <c r="C14548" s="5" t="str">
        <f>IFERROR(__xludf.DUMMYFUNCTION("GOOGLETRANSLATE(B14548,""en"",""de"")"),"Ein Roboter sitzt hinter einem Klavier in einem Raum.")</f>
        <v>Ein Roboter sitzt hinter einem Klavier in einem Raum.</v>
      </c>
    </row>
    <row r="14549">
      <c r="A14549" s="4" t="s">
        <v>18319</v>
      </c>
      <c r="B14549" s="4" t="s">
        <v>18321</v>
      </c>
      <c r="C14549" s="5" t="str">
        <f>IFERROR(__xludf.DUMMYFUNCTION("GOOGLETRANSLATE(B14549,""en"",""de"")"),"Seine Hände beleuchten die Klavierschlüssel nein.")</f>
        <v>Seine Hände beleuchten die Klavierschlüssel nein.</v>
      </c>
    </row>
    <row r="14550">
      <c r="A14550" s="4" t="s">
        <v>18322</v>
      </c>
      <c r="B14550" s="4" t="s">
        <v>18323</v>
      </c>
      <c r="C14550" s="5" t="str">
        <f>IFERROR(__xludf.DUMMYFUNCTION("GOOGLETRANSLATE(B14550,""en"",""de"")"),"Eine Person fährt auf einem Skateboard eine lange Straße hinunter, während die Kamera von hinten folgt.")</f>
        <v>Eine Person fährt auf einem Skateboard eine lange Straße hinunter, während die Kamera von hinten folgt.</v>
      </c>
    </row>
    <row r="14551">
      <c r="A14551" s="4" t="s">
        <v>18322</v>
      </c>
      <c r="B14551" s="4" t="s">
        <v>18324</v>
      </c>
      <c r="C14551" s="5" t="str">
        <f>IFERROR(__xludf.DUMMYFUNCTION("GOOGLETRANSLATE(B14551,""en"",""de"")"),"Die Person fährt weiter den Hügel hinunter, wobei die Kamera Landschaft und Autos erfasst und seine Hand vor ihm auf die Boarderin stellt.")</f>
        <v>Die Person fährt weiter den Hügel hinunter, wobei die Kamera Landschaft und Autos erfasst und seine Hand vor ihm auf die Boarderin stellt.</v>
      </c>
    </row>
    <row r="14552">
      <c r="A14552" s="4" t="s">
        <v>18322</v>
      </c>
      <c r="B14552" s="4" t="s">
        <v>18325</v>
      </c>
      <c r="C14552" s="5" t="str">
        <f>IFERROR(__xludf.DUMMYFUNCTION("GOOGLETRANSLATE(B14552,""en"",""de"")"),"Am Ende geht er an der Boarderin an und hält am Auto vorbei.")</f>
        <v>Am Ende geht er an der Boarderin an und hält am Auto vorbei.</v>
      </c>
    </row>
    <row r="14553">
      <c r="A14553" s="4" t="s">
        <v>18326</v>
      </c>
      <c r="B14553" s="4" t="s">
        <v>18327</v>
      </c>
      <c r="C14553" s="5" t="str">
        <f>IFERROR(__xludf.DUMMYFUNCTION("GOOGLETRANSLATE(B14553,""en"",""de"")"),"Ein Mann liegt auf einem Fliesenboden auf dem Rücken.")</f>
        <v>Ein Mann liegt auf einem Fliesenboden auf dem Rücken.</v>
      </c>
    </row>
    <row r="14554">
      <c r="A14554" s="4" t="s">
        <v>18326</v>
      </c>
      <c r="B14554" s="4" t="s">
        <v>18328</v>
      </c>
      <c r="C14554" s="5" t="str">
        <f>IFERROR(__xludf.DUMMYFUNCTION("GOOGLETRANSLATE(B14554,""en"",""de"")"),"Er versucht, Sit -Ups zu machen, sich zu verlangsamen und zu verzweigen, da die Anstrengung bei jedem schwieriger wird.")</f>
        <v>Er versucht, Sit -Ups zu machen, sich zu verlangsamen und zu verzweigen, da die Anstrengung bei jedem schwieriger wird.</v>
      </c>
    </row>
    <row r="14555">
      <c r="A14555" s="4" t="s">
        <v>18326</v>
      </c>
      <c r="B14555" s="4" t="s">
        <v>18329</v>
      </c>
      <c r="C14555" s="5" t="str">
        <f>IFERROR(__xludf.DUMMYFUNCTION("GOOGLETRANSLATE(B14555,""en"",""de"")"),"Er hört auf, lehnte sich zurück und lacht.")</f>
        <v>Er hört auf, lehnte sich zurück und lacht.</v>
      </c>
    </row>
    <row r="14556">
      <c r="A14556" s="4" t="s">
        <v>18330</v>
      </c>
      <c r="B14556" s="4" t="s">
        <v>18331</v>
      </c>
      <c r="C14556" s="5" t="str">
        <f>IFERROR(__xludf.DUMMYFUNCTION("GOOGLETRANSLATE(B14556,""en"",""de"")"),"Ein Mädchen spielt Hopscotch auf einer Veranda.")</f>
        <v>Ein Mädchen spielt Hopscotch auf einer Veranda.</v>
      </c>
    </row>
    <row r="14557">
      <c r="A14557" s="4" t="s">
        <v>18330</v>
      </c>
      <c r="B14557" s="4" t="s">
        <v>18332</v>
      </c>
      <c r="C14557" s="5" t="str">
        <f>IFERROR(__xludf.DUMMYFUNCTION("GOOGLETRANSLATE(B14557,""en"",""de"")"),"Eine Person sitzt auf einem Picknicktisch und beobachtet sie.")</f>
        <v>Eine Person sitzt auf einem Picknicktisch und beobachtet sie.</v>
      </c>
    </row>
    <row r="14558">
      <c r="A14558" s="4" t="s">
        <v>18330</v>
      </c>
      <c r="B14558" s="4" t="s">
        <v>18333</v>
      </c>
      <c r="C14558" s="5" t="str">
        <f>IFERROR(__xludf.DUMMYFUNCTION("GOOGLETRANSLATE(B14558,""en"",""de"")"),"Die andere Person steht auf und beginnt zu spielen.")</f>
        <v>Die andere Person steht auf und beginnt zu spielen.</v>
      </c>
    </row>
    <row r="14559">
      <c r="A14559" s="4" t="s">
        <v>18334</v>
      </c>
      <c r="B14559" s="4" t="s">
        <v>18335</v>
      </c>
      <c r="C14559" s="5" t="str">
        <f>IFERROR(__xludf.DUMMYFUNCTION("GOOGLETRANSLATE(B14559,""en"",""de"")"),"Eine Person wird gesehen, wie sie Gegenstände aus einer Schachtel zieht und sie der Kamera präsentiert.")</f>
        <v>Eine Person wird gesehen, wie sie Gegenstände aus einer Schachtel zieht und sie der Kamera präsentiert.</v>
      </c>
    </row>
    <row r="14560">
      <c r="A14560" s="4" t="s">
        <v>18334</v>
      </c>
      <c r="B14560" s="4" t="s">
        <v>18336</v>
      </c>
      <c r="C14560" s="5" t="str">
        <f>IFERROR(__xludf.DUMMYFUNCTION("GOOGLETRANSLATE(B14560,""en"",""de"")"),"Der Mann reibt dann einen Schuh mit einem Lappen ab und präsentiert der Kamera mehr Gegenstände, während er herumwunden.")</f>
        <v>Der Mann reibt dann einen Schuh mit einem Lappen ab und präsentiert der Kamera mehr Gegenstände, während er herumwunden.</v>
      </c>
    </row>
    <row r="14561">
      <c r="A14561" s="4" t="s">
        <v>18337</v>
      </c>
      <c r="B14561" s="4" t="s">
        <v>18338</v>
      </c>
      <c r="C14561" s="5" t="str">
        <f>IFERROR(__xludf.DUMMYFUNCTION("GOOGLETRANSLATE(B14561,""en"",""de"")"),"Eine Person ist gesehen, wie sie ihre Schuhe zusammenbindet und führt in mehrere Aufnahmen von Menschen, die auf dem Seil springen und sich bewegen.")</f>
        <v>Eine Person ist gesehen, wie sie ihre Schuhe zusammenbindet und führt in mehrere Aufnahmen von Menschen, die auf dem Seil springen und sich bewegen.</v>
      </c>
    </row>
    <row r="14562">
      <c r="A14562" s="4" t="s">
        <v>18337</v>
      </c>
      <c r="B14562" s="4" t="s">
        <v>18339</v>
      </c>
      <c r="C14562" s="5" t="str">
        <f>IFERROR(__xludf.DUMMYFUNCTION("GOOGLETRANSLATE(B14562,""en"",""de"")"),"Es werden verschiedene Landschaften aufgenommen, ebenso wie mehr Menschen, die versuchen, Sprünge und Tricks auf einem langen Seil, das an Bäume gebunden ist.")</f>
        <v>Es werden verschiedene Landschaften aufgenommen, ebenso wie mehr Menschen, die versuchen, Sprünge und Tricks auf einem langen Seil, das an Bäume gebunden ist.</v>
      </c>
    </row>
    <row r="14563">
      <c r="A14563" s="4" t="s">
        <v>18340</v>
      </c>
      <c r="B14563" s="4" t="s">
        <v>18341</v>
      </c>
      <c r="C14563" s="5" t="str">
        <f>IFERROR(__xludf.DUMMYFUNCTION("GOOGLETRANSLATE(B14563,""en"",""de"")"),"Eine Frau und ein kleiner Junge schwingen auf einer Reifenschwung.")</f>
        <v>Eine Frau und ein kleiner Junge schwingen auf einer Reifenschwung.</v>
      </c>
    </row>
    <row r="14564">
      <c r="A14564" s="4" t="s">
        <v>18340</v>
      </c>
      <c r="B14564" s="4" t="s">
        <v>18342</v>
      </c>
      <c r="C14564" s="5" t="str">
        <f>IFERROR(__xludf.DUMMYFUNCTION("GOOGLETRANSLATE(B14564,""en"",""de"")"),"Eine Person, die einen Kinderwagen drängt, steht hinter ihnen.")</f>
        <v>Eine Person, die einen Kinderwagen drängt, steht hinter ihnen.</v>
      </c>
    </row>
    <row r="14565">
      <c r="A14565" s="4" t="s">
        <v>18340</v>
      </c>
      <c r="B14565" s="4" t="s">
        <v>18343</v>
      </c>
      <c r="C14565" s="5" t="str">
        <f>IFERROR(__xludf.DUMMYFUNCTION("GOOGLETRANSLATE(B14565,""en"",""de"")"),"Der Junge wendet sich von der Kamera ab.")</f>
        <v>Der Junge wendet sich von der Kamera ab.</v>
      </c>
    </row>
    <row r="14566">
      <c r="A14566" s="4" t="s">
        <v>18344</v>
      </c>
      <c r="B14566" s="4" t="s">
        <v>18345</v>
      </c>
      <c r="C14566" s="5" t="str">
        <f>IFERROR(__xludf.DUMMYFUNCTION("GOOGLETRANSLATE(B14566,""en"",""de"")"),"Eine Frau ist unter Wasser und sie kommt anmutig aus unten.")</f>
        <v>Eine Frau ist unter Wasser und sie kommt anmutig aus unten.</v>
      </c>
    </row>
    <row r="14567">
      <c r="A14567" s="4" t="s">
        <v>18344</v>
      </c>
      <c r="B14567" s="4" t="s">
        <v>18346</v>
      </c>
      <c r="C14567" s="5" t="str">
        <f>IFERROR(__xludf.DUMMYFUNCTION("GOOGLETRANSLATE(B14567,""en"",""de"")"),"Sie schwimmt später sehr hübsch mit Tom und Jerry.")</f>
        <v>Sie schwimmt später sehr hübsch mit Tom und Jerry.</v>
      </c>
    </row>
    <row r="14568">
      <c r="A14568" s="4" t="s">
        <v>18344</v>
      </c>
      <c r="B14568" s="4" t="s">
        <v>18347</v>
      </c>
      <c r="C14568" s="5" t="str">
        <f>IFERROR(__xludf.DUMMYFUNCTION("GOOGLETRANSLATE(B14568,""en"",""de"")"),"Dann hängt sie an einem Reifen oben und springt ins Wasser.")</f>
        <v>Dann hängt sie an einem Reifen oben und springt ins Wasser.</v>
      </c>
    </row>
    <row r="14569">
      <c r="A14569" s="4" t="s">
        <v>18344</v>
      </c>
      <c r="B14569" s="4" t="s">
        <v>18348</v>
      </c>
      <c r="C14569" s="5" t="str">
        <f>IFERROR(__xludf.DUMMYFUNCTION("GOOGLETRANSLATE(B14569,""en"",""de"")"),"Sie macht viele verschiedene Shows, bei denen sie im Wasser tanzt und schwimmt.")</f>
        <v>Sie macht viele verschiedene Shows, bei denen sie im Wasser tanzt und schwimmt.</v>
      </c>
    </row>
    <row r="14570">
      <c r="A14570" s="4" t="s">
        <v>18349</v>
      </c>
      <c r="B14570" s="4" t="s">
        <v>18350</v>
      </c>
      <c r="C14570" s="5" t="str">
        <f>IFERROR(__xludf.DUMMYFUNCTION("GOOGLETRANSLATE(B14570,""en"",""de"")"),"Ein weißer Bildschirm erscheint mit einem schwarzen Markennamen, der ""The Shingle Hog"" ist, und es hat ein Bild von einem Schwein im O des Wortes Schwein.")</f>
        <v>Ein weißer Bildschirm erscheint mit einem schwarzen Markennamen, der "The Shingle Hog" ist, und es hat ein Bild von einem Schwein im O des Wortes Schwein.</v>
      </c>
    </row>
    <row r="14571">
      <c r="A14571" s="4" t="s">
        <v>18349</v>
      </c>
      <c r="B14571" s="4" t="s">
        <v>18351</v>
      </c>
      <c r="C14571" s="5" t="str">
        <f>IFERROR(__xludf.DUMMYFUNCTION("GOOGLETRANSLATE(B14571,""en"",""de"")"),"Es wird ein kurzes Bild eines roten und schwarzen Werkzeugs gezeigt, dann spricht ein Mann und klammern von Menschen, die zwischen den Momenten, die gezeigt werden, wenn der Mann spricht, Schindeln entfernen.")</f>
        <v>Es wird ein kurzes Bild eines roten und schwarzen Werkzeugs gezeigt, dann spricht ein Mann und klammern von Menschen, die zwischen den Momenten, die gezeigt werden, wenn der Mann spricht, Schindeln entfernen.</v>
      </c>
    </row>
    <row r="14572">
      <c r="A14572" s="4" t="s">
        <v>18349</v>
      </c>
      <c r="B14572" s="4" t="s">
        <v>18352</v>
      </c>
      <c r="C14572" s="5" t="str">
        <f>IFERROR(__xludf.DUMMYFUNCTION("GOOGLETRANSLATE(B14572,""en"",""de"")"),"Das Tool wird jetzt selbst und die Marke und das Logo auf dem Bildschirm rechts angezeigt.")</f>
        <v>Das Tool wird jetzt selbst und die Marke und das Logo auf dem Bildschirm rechts angezeigt.</v>
      </c>
    </row>
    <row r="14573">
      <c r="A14573" s="4" t="s">
        <v>18349</v>
      </c>
      <c r="B14573" s="4" t="s">
        <v>18353</v>
      </c>
      <c r="C14573" s="5" t="str">
        <f>IFERROR(__xludf.DUMMYFUNCTION("GOOGLETRANSLATE(B14573,""en"",""de"")"),"Jetzt gibt es Klammern von Menschen auf dem Dach, die das Werkzeug zum Entfernen von Schindeln verwenden, und der Mann scheint erneut zwischen Clips zu sprechen.")</f>
        <v>Jetzt gibt es Klammern von Menschen auf dem Dach, die das Werkzeug zum Entfernen von Schindeln verwenden, und der Mann scheint erneut zwischen Clips zu sprechen.</v>
      </c>
    </row>
    <row r="14574">
      <c r="A14574" s="4" t="s">
        <v>18349</v>
      </c>
      <c r="B14574" s="4" t="s">
        <v>18354</v>
      </c>
      <c r="C14574" s="5" t="str">
        <f>IFERROR(__xludf.DUMMYFUNCTION("GOOGLETRANSLATE(B14574,""en"",""de"")"),"Ein schwarzer Bildschirm erscheint und hat eine Liste mit vielen weißen Wörtern, und der Titel lautet ""Shingle Hog -Ersparnis"".")</f>
        <v>Ein schwarzer Bildschirm erscheint und hat eine Liste mit vielen weißen Wörtern, und der Titel lautet "Shingle Hog -Ersparnis".</v>
      </c>
    </row>
    <row r="14575">
      <c r="A14575" s="4" t="s">
        <v>18349</v>
      </c>
      <c r="B14575" s="4" t="s">
        <v>18355</v>
      </c>
      <c r="C14575" s="5" t="str">
        <f>IFERROR(__xludf.DUMMYFUNCTION("GOOGLETRANSLATE(B14575,""en"",""de"")"),"Der Mann spricht und die Clips des Mannes, das das Schindelmaschine spielt, bis ein weißer Outro -Bildschirm angezeigt wird, das den Markennamen, das Logo, die Produktinformationen und die Website enthält.")</f>
        <v>Der Mann spricht und die Clips des Mannes, das das Schindelmaschine spielt, bis ein weißer Outro -Bildschirm angezeigt wird, das den Markennamen, das Logo, die Produktinformationen und die Website enthält.</v>
      </c>
    </row>
    <row r="14576">
      <c r="A14576" s="4" t="s">
        <v>18356</v>
      </c>
      <c r="B14576" s="4" t="s">
        <v>18357</v>
      </c>
      <c r="C14576" s="5" t="str">
        <f>IFERROR(__xludf.DUMMYFUNCTION("GOOGLETRANSLATE(B14576,""en"",""de"")"),"Vier Männer in Sportuniformen werden zusammen mit Informationen über AIB angezeigt.")</f>
        <v>Vier Männer in Sportuniformen werden zusammen mit Informationen über AIB angezeigt.</v>
      </c>
    </row>
    <row r="14577">
      <c r="A14577" s="4" t="s">
        <v>18356</v>
      </c>
      <c r="B14577" s="4" t="s">
        <v>18358</v>
      </c>
      <c r="C14577" s="5" t="str">
        <f>IFERROR(__xludf.DUMMYFUNCTION("GOOGLETRANSLATE(B14577,""en"",""de"")"),"Der erste Mann stellt sich vor.")</f>
        <v>Der erste Mann stellt sich vor.</v>
      </c>
    </row>
    <row r="14578">
      <c r="A14578" s="4" t="s">
        <v>18356</v>
      </c>
      <c r="B14578" s="4" t="s">
        <v>18359</v>
      </c>
      <c r="C14578" s="5" t="str">
        <f>IFERROR(__xludf.DUMMYFUNCTION("GOOGLETRANSLATE(B14578,""en"",""de"")"),"Der zweite Mann stellt sich vor.")</f>
        <v>Der zweite Mann stellt sich vor.</v>
      </c>
    </row>
    <row r="14579">
      <c r="A14579" s="4" t="s">
        <v>18356</v>
      </c>
      <c r="B14579" s="4" t="s">
        <v>18360</v>
      </c>
      <c r="C14579" s="5" t="str">
        <f>IFERROR(__xludf.DUMMYFUNCTION("GOOGLETRANSLATE(B14579,""en"",""de"")"),"Der dritte Mann stellt sich vor.")</f>
        <v>Der dritte Mann stellt sich vor.</v>
      </c>
    </row>
    <row r="14580">
      <c r="A14580" s="4" t="s">
        <v>18356</v>
      </c>
      <c r="B14580" s="4" t="s">
        <v>18361</v>
      </c>
      <c r="C14580" s="5" t="str">
        <f>IFERROR(__xludf.DUMMYFUNCTION("GOOGLETRANSLATE(B14580,""en"",""de"")"),"Schließlich stellt sich der vierte Mann vor.")</f>
        <v>Schließlich stellt sich der vierte Mann vor.</v>
      </c>
    </row>
    <row r="14581">
      <c r="A14581" s="4" t="s">
        <v>18356</v>
      </c>
      <c r="B14581" s="4" t="s">
        <v>18362</v>
      </c>
      <c r="C14581" s="5" t="str">
        <f>IFERROR(__xludf.DUMMYFUNCTION("GOOGLETRANSLATE(B14581,""en"",""de"")"),"Dem ersten Mann wird dann geübt, indem er versucht, Ziele an die Wand zu treffen.")</f>
        <v>Dem ersten Mann wird dann geübt, indem er versucht, Ziele an die Wand zu treffen.</v>
      </c>
    </row>
    <row r="14582">
      <c r="A14582" s="4" t="s">
        <v>18356</v>
      </c>
      <c r="B14582" s="4" t="s">
        <v>18363</v>
      </c>
      <c r="C14582" s="5" t="str">
        <f>IFERROR(__xludf.DUMMYFUNCTION("GOOGLETRANSLATE(B14582,""en"",""de"")"),"Der zweite Mann, der sich vorstellt, dreht sich an und versucht, die Ziele an der Wand zu treffen.")</f>
        <v>Der zweite Mann, der sich vorstellt, dreht sich an und versucht, die Ziele an der Wand zu treffen.</v>
      </c>
    </row>
    <row r="14583">
      <c r="A14583" s="4" t="s">
        <v>18356</v>
      </c>
      <c r="B14583" s="4" t="s">
        <v>18364</v>
      </c>
      <c r="C14583" s="5" t="str">
        <f>IFERROR(__xludf.DUMMYFUNCTION("GOOGLETRANSLATE(B14583,""en"",""de"")"),"Der Mann, der weiße Shorts trägt, versucht dann die Übungsmauer aus.")</f>
        <v>Der Mann, der weiße Shorts trägt, versucht dann die Übungsmauer aus.</v>
      </c>
    </row>
    <row r="14584">
      <c r="A14584" s="4" t="s">
        <v>18356</v>
      </c>
      <c r="B14584" s="4" t="s">
        <v>18365</v>
      </c>
      <c r="C14584" s="5" t="str">
        <f>IFERROR(__xludf.DUMMYFUNCTION("GOOGLETRANSLATE(B14584,""en"",""de"")"),"Und schließlich versucht der Mann mit roten Haaren es aus.")</f>
        <v>Und schließlich versucht der Mann mit roten Haaren es aus.</v>
      </c>
    </row>
    <row r="14585">
      <c r="A14585" s="4" t="s">
        <v>18356</v>
      </c>
      <c r="B14585" s="4" t="s">
        <v>18366</v>
      </c>
      <c r="C14585" s="5" t="str">
        <f>IFERROR(__xludf.DUMMYFUNCTION("GOOGLETRANSLATE(B14585,""en"",""de"")"),"Der erste Mann zum Üben gibt einen Kommentar zu seiner Leistung.")</f>
        <v>Der erste Mann zum Üben gibt einen Kommentar zu seiner Leistung.</v>
      </c>
    </row>
    <row r="14586">
      <c r="A14586" s="4" t="s">
        <v>18356</v>
      </c>
      <c r="B14586" s="4" t="s">
        <v>18367</v>
      </c>
      <c r="C14586" s="5" t="str">
        <f>IFERROR(__xludf.DUMMYFUNCTION("GOOGLETRANSLATE(B14586,""en"",""de"")"),"Der letzte Mann, der mit roten Haaren spricht.")</f>
        <v>Der letzte Mann, der mit roten Haaren spricht.</v>
      </c>
    </row>
    <row r="14587">
      <c r="A14587" s="4" t="s">
        <v>18356</v>
      </c>
      <c r="B14587" s="4" t="s">
        <v>18368</v>
      </c>
      <c r="C14587" s="5" t="str">
        <f>IFERROR(__xludf.DUMMYFUNCTION("GOOGLETRANSLATE(B14587,""en"",""de"")"),"Informationen zum AIB und das bevorstehende Spiel werden angezeigt.")</f>
        <v>Informationen zum AIB und das bevorstehende Spiel werden angezeigt.</v>
      </c>
    </row>
    <row r="14588">
      <c r="A14588" s="4" t="s">
        <v>18369</v>
      </c>
      <c r="B14588" s="4" t="s">
        <v>18370</v>
      </c>
      <c r="C14588" s="5" t="str">
        <f>IFERROR(__xludf.DUMMYFUNCTION("GOOGLETRANSLATE(B14588,""en"",""de"")"),"Eine große Gruppe von Menschen sitzt an einem Strand mit mehreren Sonnenschutzmitteln über ihren Körper.")</f>
        <v>Eine große Gruppe von Menschen sitzt an einem Strand mit mehreren Sonnenschutzmitteln über ihren Körper.</v>
      </c>
    </row>
    <row r="14589">
      <c r="A14589" s="4" t="s">
        <v>18369</v>
      </c>
      <c r="B14589" s="4" t="s">
        <v>18371</v>
      </c>
      <c r="C14589" s="5" t="str">
        <f>IFERROR(__xludf.DUMMYFUNCTION("GOOGLETRANSLATE(B14589,""en"",""de"")"),"Aufnahmen von Wissenschaftlern werden gezeigt, dass er den Sonnenuntergang macht, während sie miteinander interagieren und mit der Kamera sprechen.")</f>
        <v>Aufnahmen von Wissenschaftlern werden gezeigt, dass er den Sonnenuntergang macht, während sie miteinander interagieren und mit der Kamera sprechen.</v>
      </c>
    </row>
    <row r="14590">
      <c r="A14590" s="4" t="s">
        <v>18369</v>
      </c>
      <c r="B14590" s="4" t="s">
        <v>18372</v>
      </c>
      <c r="C14590" s="5" t="str">
        <f>IFERROR(__xludf.DUMMYFUNCTION("GOOGLETRANSLATE(B14590,""en"",""de"")"),"Schließlich wird ein Mann gesehen, der in einem Geschäft einen Fisch zusammenpackt.")</f>
        <v>Schließlich wird ein Mann gesehen, der in einem Geschäft einen Fisch zusammenpackt.</v>
      </c>
    </row>
    <row r="14591">
      <c r="A14591" s="4" t="s">
        <v>18373</v>
      </c>
      <c r="B14591" s="4" t="s">
        <v>18374</v>
      </c>
      <c r="C14591" s="5" t="str">
        <f>IFERROR(__xludf.DUMMYFUNCTION("GOOGLETRANSLATE(B14591,""en"",""de"")"),"Kid hält ein Gebläse und bläst Blätter von der Straße.")</f>
        <v>Kid hält ein Gebläse und bläst Blätter von der Straße.</v>
      </c>
    </row>
    <row r="14592">
      <c r="A14592" s="4" t="s">
        <v>18373</v>
      </c>
      <c r="B14592" s="4" t="s">
        <v>18375</v>
      </c>
      <c r="C14592" s="5" t="str">
        <f>IFERROR(__xludf.DUMMYFUNCTION("GOOGLETRANSLATE(B14592,""en"",""de"")"),"Das Kind geht in einen Bürgersteig und reinigt die trockenen Blätter mit dem Gebläse und ein Mann hilft ihm.")</f>
        <v>Das Kind geht in einen Bürgersteig und reinigt die trockenen Blätter mit dem Gebläse und ein Mann hilft ihm.</v>
      </c>
    </row>
    <row r="14593">
      <c r="A14593" s="4" t="s">
        <v>18373</v>
      </c>
      <c r="B14593" s="4" t="s">
        <v>18376</v>
      </c>
      <c r="C14593" s="5" t="str">
        <f>IFERROR(__xludf.DUMMYFUNCTION("GOOGLETRANSLATE(B14593,""en"",""de"")"),"Der alte Mann hält einen Rechen mit den trockenen Blättern.")</f>
        <v>Der alte Mann hält einen Rechen mit den trockenen Blättern.</v>
      </c>
    </row>
    <row r="14594">
      <c r="A14594" s="4" t="s">
        <v>18377</v>
      </c>
      <c r="B14594" s="4" t="s">
        <v>18378</v>
      </c>
      <c r="C14594" s="5" t="str">
        <f>IFERROR(__xludf.DUMMYFUNCTION("GOOGLETRANSLATE(B14594,""en"",""de"")"),"Ein kleiner Junge ist in einem unordentlichen Wohnzimmer.")</f>
        <v>Ein kleiner Junge ist in einem unordentlichen Wohnzimmer.</v>
      </c>
    </row>
    <row r="14595">
      <c r="A14595" s="4" t="s">
        <v>18377</v>
      </c>
      <c r="B14595" s="4" t="s">
        <v>18379</v>
      </c>
      <c r="C14595" s="5" t="str">
        <f>IFERROR(__xludf.DUMMYFUNCTION("GOOGLETRANSLATE(B14595,""en"",""de"")"),"Er verwendet eine elektrische Zahnbürste.")</f>
        <v>Er verwendet eine elektrische Zahnbürste.</v>
      </c>
    </row>
    <row r="14596">
      <c r="A14596" s="4" t="s">
        <v>18377</v>
      </c>
      <c r="B14596" s="4" t="s">
        <v>18380</v>
      </c>
      <c r="C14596" s="5" t="str">
        <f>IFERROR(__xludf.DUMMYFUNCTION("GOOGLETRANSLATE(B14596,""en"",""de"")"),"Er schrubbt die Zähne mit der Zahnbürste, während er lächelt.")</f>
        <v>Er schrubbt die Zähne mit der Zahnbürste, während er lächelt.</v>
      </c>
    </row>
    <row r="14597">
      <c r="A14597" s="4" t="s">
        <v>18381</v>
      </c>
      <c r="B14597" s="4" t="s">
        <v>18382</v>
      </c>
      <c r="C14597" s="5" t="str">
        <f>IFERROR(__xludf.DUMMYFUNCTION("GOOGLETRANSLATE(B14597,""en"",""de"")"),"Ein Mann in einem hellblauen Hemd bricht die Poolbälle, um das Spiel zu starten.")</f>
        <v>Ein Mann in einem hellblauen Hemd bricht die Poolbälle, um das Spiel zu starten.</v>
      </c>
    </row>
    <row r="14598">
      <c r="A14598" s="4" t="s">
        <v>18381</v>
      </c>
      <c r="B14598" s="4" t="s">
        <v>18383</v>
      </c>
      <c r="C14598" s="5" t="str">
        <f>IFERROR(__xludf.DUMMYFUNCTION("GOOGLETRANSLATE(B14598,""en"",""de"")"),"Er geht um den Tisch und sucht nach einem guten Platz zum Schlagen.")</f>
        <v>Er geht um den Tisch und sucht nach einem guten Platz zum Schlagen.</v>
      </c>
    </row>
    <row r="14599">
      <c r="A14599" s="4" t="s">
        <v>18381</v>
      </c>
      <c r="B14599" s="4" t="s">
        <v>18384</v>
      </c>
      <c r="C14599" s="5" t="str">
        <f>IFERROR(__xludf.DUMMYFUNCTION("GOOGLETRANSLATE(B14599,""en"",""de"")"),"Dann bewegt er sich wieder um den Tisch und schafft es wieder.")</f>
        <v>Dann bewegt er sich wieder um den Tisch und schafft es wieder.</v>
      </c>
    </row>
    <row r="14600">
      <c r="A14600" s="4" t="s">
        <v>18381</v>
      </c>
      <c r="B14600" s="4" t="s">
        <v>18385</v>
      </c>
      <c r="C14600" s="5" t="str">
        <f>IFERROR(__xludf.DUMMYFUNCTION("GOOGLETRANSLATE(B14600,""en"",""de"")"),"Er trifft schließlich den schwarzen Ball hinein und beendet das Spiel.")</f>
        <v>Er trifft schließlich den schwarzen Ball hinein und beendet das Spiel.</v>
      </c>
    </row>
    <row r="14601">
      <c r="A14601" s="4" t="s">
        <v>18386</v>
      </c>
      <c r="B14601" s="4" t="s">
        <v>18387</v>
      </c>
      <c r="C14601" s="5" t="str">
        <f>IFERROR(__xludf.DUMMYFUNCTION("GOOGLETRANSLATE(B14601,""en"",""de"")"),"Eine Frau springt in einen Pool.")</f>
        <v>Eine Frau springt in einen Pool.</v>
      </c>
    </row>
    <row r="14602">
      <c r="A14602" s="4" t="s">
        <v>18386</v>
      </c>
      <c r="B14602" s="4" t="s">
        <v>18388</v>
      </c>
      <c r="C14602" s="5" t="str">
        <f>IFERROR(__xludf.DUMMYFUNCTION("GOOGLETRANSLATE(B14602,""en"",""de"")"),"Eine Frau hält eine große Kamera zum Lachen.")</f>
        <v>Eine Frau hält eine große Kamera zum Lachen.</v>
      </c>
    </row>
    <row r="14603">
      <c r="A14603" s="4" t="s">
        <v>18386</v>
      </c>
      <c r="B14603" s="4" t="s">
        <v>18389</v>
      </c>
      <c r="C14603" s="5" t="str">
        <f>IFERROR(__xludf.DUMMYFUNCTION("GOOGLETRANSLATE(B14603,""en"",""de"")"),"Mehrere weitere Frauen tauchen von Tauchbrettern ins Wasser.")</f>
        <v>Mehrere weitere Frauen tauchen von Tauchbrettern ins Wasser.</v>
      </c>
    </row>
    <row r="14604">
      <c r="A14604" s="4" t="s">
        <v>18390</v>
      </c>
      <c r="B14604" s="4" t="s">
        <v>18391</v>
      </c>
      <c r="C14604" s="5" t="str">
        <f>IFERROR(__xludf.DUMMYFUNCTION("GOOGLETRANSLATE(B14604,""en"",""de"")"),"Ein Koch spricht mit der Kamera.")</f>
        <v>Ein Koch spricht mit der Kamera.</v>
      </c>
    </row>
    <row r="14605">
      <c r="A14605" s="4" t="s">
        <v>18390</v>
      </c>
      <c r="B14605" s="4" t="s">
        <v>18392</v>
      </c>
      <c r="C14605" s="5" t="str">
        <f>IFERROR(__xludf.DUMMYFUNCTION("GOOGLETRANSLATE(B14605,""en"",""de"")"),"Sie geht weiter, um viele Pilze zu schneiden.")</f>
        <v>Sie geht weiter, um viele Pilze zu schneiden.</v>
      </c>
    </row>
    <row r="14606">
      <c r="A14606" s="4" t="s">
        <v>18390</v>
      </c>
      <c r="B14606" s="4" t="s">
        <v>18393</v>
      </c>
      <c r="C14606" s="5" t="str">
        <f>IFERROR(__xludf.DUMMYFUNCTION("GOOGLETRANSLATE(B14606,""en"",""de"")"),"Sie bewegt sich um die Pilze, die sie gerade geschnitten hat.")</f>
        <v>Sie bewegt sich um die Pilze, die sie gerade geschnitten hat.</v>
      </c>
    </row>
    <row r="14607">
      <c r="A14607" s="4" t="s">
        <v>18394</v>
      </c>
      <c r="B14607" s="4" t="s">
        <v>18395</v>
      </c>
      <c r="C14607" s="5" t="str">
        <f>IFERROR(__xludf.DUMMYFUNCTION("GOOGLETRANSLATE(B14607,""en"",""de"")"),"Wir sehen die Start -Titelkarte.")</f>
        <v>Wir sehen die Start -Titelkarte.</v>
      </c>
    </row>
    <row r="14608">
      <c r="A14608" s="4" t="s">
        <v>18394</v>
      </c>
      <c r="B14608" s="4" t="s">
        <v>18396</v>
      </c>
      <c r="C14608" s="5" t="str">
        <f>IFERROR(__xludf.DUMMYFUNCTION("GOOGLETRANSLATE(B14608,""en"",""de"")"),"Ein Cheerleader springt und ein Junge geht auf und spricht.")</f>
        <v>Ein Cheerleader springt und ein Junge geht auf und spricht.</v>
      </c>
    </row>
    <row r="14609">
      <c r="A14609" s="4" t="s">
        <v>18394</v>
      </c>
      <c r="B14609" s="4" t="s">
        <v>18397</v>
      </c>
      <c r="C14609" s="5" t="str">
        <f>IFERROR(__xludf.DUMMYFUNCTION("GOOGLETRANSLATE(B14609,""en"",""de"")"),"Wir sehen, wie das Mädchen Cheerleader -Sprünge und Armmanöver durchführt.")</f>
        <v>Wir sehen, wie das Mädchen Cheerleader -Sprünge und Armmanöver durchführt.</v>
      </c>
    </row>
    <row r="14610">
      <c r="A14610" s="4" t="s">
        <v>18394</v>
      </c>
      <c r="B14610" s="4" t="s">
        <v>18398</v>
      </c>
      <c r="C14610" s="5" t="str">
        <f>IFERROR(__xludf.DUMMYFUNCTION("GOOGLETRANSLATE(B14610,""en"",""de"")"),"Wir sehen ihre Füße aus der Nähe.")</f>
        <v>Wir sehen ihre Füße aus der Nähe.</v>
      </c>
    </row>
    <row r="14611">
      <c r="A14611" s="4" t="s">
        <v>18394</v>
      </c>
      <c r="B14611" s="4" t="s">
        <v>18399</v>
      </c>
      <c r="C14611" s="5" t="str">
        <f>IFERROR(__xludf.DUMMYFUNCTION("GOOGLETRANSLATE(B14611,""en"",""de"")"),"Das Mädchen erstreckt sich, indem es sich zu Boden beugt, und sitzt auf dem Boden.")</f>
        <v>Das Mädchen erstreckt sich, indem es sich zu Boden beugt, und sitzt auf dem Boden.</v>
      </c>
    </row>
    <row r="14612">
      <c r="A14612" s="4" t="s">
        <v>18394</v>
      </c>
      <c r="B14612" s="4" t="s">
        <v>777</v>
      </c>
      <c r="C14612" s="5" t="str">
        <f>IFERROR(__xludf.DUMMYFUNCTION("GOOGLETRANSLATE(B14612,""en"",""de"")"),"Wir sehen den End -Titelbildschirm.")</f>
        <v>Wir sehen den End -Titelbildschirm.</v>
      </c>
    </row>
    <row r="14613">
      <c r="A14613" s="4" t="s">
        <v>18400</v>
      </c>
      <c r="B14613" s="4" t="s">
        <v>18401</v>
      </c>
      <c r="C14613" s="5" t="str">
        <f>IFERROR(__xludf.DUMMYFUNCTION("GOOGLETRANSLATE(B14613,""en"",""de"")"),"Die junge Frau mit langen blonden Haaren zeigt ihr Handgelenk, das ein paar Narben aus einer Operation enthält.")</f>
        <v>Die junge Frau mit langen blonden Haaren zeigt ihr Handgelenk, das ein paar Narben aus einer Operation enthält.</v>
      </c>
    </row>
    <row r="14614">
      <c r="A14614" s="4" t="s">
        <v>18400</v>
      </c>
      <c r="B14614" s="4" t="s">
        <v>18402</v>
      </c>
      <c r="C14614" s="5" t="str">
        <f>IFERROR(__xludf.DUMMYFUNCTION("GOOGLETRANSLATE(B14614,""en"",""de"")"),"Dann nimmt sie ein neongrünes Hula -Hoop und dreht ihn um ihren Körper.")</f>
        <v>Dann nimmt sie ein neongrünes Hula -Hoop und dreht ihn um ihren Körper.</v>
      </c>
    </row>
    <row r="14615">
      <c r="A14615" s="4" t="s">
        <v>18400</v>
      </c>
      <c r="B14615" s="4" t="s">
        <v>18403</v>
      </c>
      <c r="C14615" s="5" t="str">
        <f>IFERROR(__xludf.DUMMYFUNCTION("GOOGLETRANSLATE(B14615,""en"",""de"")"),"Sie zeigt, wie man den Hula Hoop effektiv benutzt, indem sie den Reifen in Richtung ihrer Brust hält.")</f>
        <v>Sie zeigt, wie man den Hula Hoop effektiv benutzt, indem sie den Reifen in Richtung ihrer Brust hält.</v>
      </c>
    </row>
    <row r="14616">
      <c r="A14616" s="4" t="s">
        <v>18400</v>
      </c>
      <c r="B14616" s="4" t="s">
        <v>18404</v>
      </c>
      <c r="C14616" s="5" t="str">
        <f>IFERROR(__xludf.DUMMYFUNCTION("GOOGLETRANSLATE(B14616,""en"",""de"")"),"Dann beginnt sie mit dem Reifen auf ihrer Brust zu drehen.")</f>
        <v>Dann beginnt sie mit dem Reifen auf ihrer Brust zu drehen.</v>
      </c>
    </row>
    <row r="14617">
      <c r="A14617" s="4" t="s">
        <v>18400</v>
      </c>
      <c r="B14617" s="4" t="s">
        <v>18405</v>
      </c>
      <c r="C14617" s="5" t="str">
        <f>IFERROR(__xludf.DUMMYFUNCTION("GOOGLETRANSLATE(B14617,""en"",""de"")"),"Sie zeigt, wie man den Reifen dreht und den Reifen um ihren Körper dreht, ohne ihn herunterzulassen.")</f>
        <v>Sie zeigt, wie man den Reifen dreht und den Reifen um ihren Körper dreht, ohne ihn herunterzulassen.</v>
      </c>
    </row>
    <row r="14618">
      <c r="A14618" s="4" t="s">
        <v>18400</v>
      </c>
      <c r="B14618" s="4" t="s">
        <v>18406</v>
      </c>
      <c r="C14618" s="5" t="str">
        <f>IFERROR(__xludf.DUMMYFUNCTION("GOOGLETRANSLATE(B14618,""en"",""de"")"),"Sie zeigt weiter, wie man den Reifen mit ihren Händen neben ihrem Körper richtig dreht und dreht.")</f>
        <v>Sie zeigt weiter, wie man den Reifen mit ihren Händen neben ihrem Körper richtig dreht und dreht.</v>
      </c>
    </row>
    <row r="14619">
      <c r="A14619" s="4" t="s">
        <v>18400</v>
      </c>
      <c r="B14619" s="4" t="s">
        <v>18407</v>
      </c>
      <c r="C14619" s="5" t="str">
        <f>IFERROR(__xludf.DUMMYFUNCTION("GOOGLETRANSLATE(B14619,""en"",""de"")"),"Dann hält sie stehen und dreht den Reifen in der Hand.")</f>
        <v>Dann hält sie stehen und dreht den Reifen in der Hand.</v>
      </c>
    </row>
    <row r="14620">
      <c r="A14620" s="4" t="s">
        <v>18408</v>
      </c>
      <c r="B14620" s="4" t="s">
        <v>18409</v>
      </c>
      <c r="C14620" s="5" t="str">
        <f>IFERROR(__xludf.DUMMYFUNCTION("GOOGLETRANSLATE(B14620,""en"",""de"")"),"Ein Mann schweißt ein kreisförmiges Metallstück.")</f>
        <v>Ein Mann schweißt ein kreisförmiges Metallstück.</v>
      </c>
    </row>
    <row r="14621">
      <c r="A14621" s="4" t="s">
        <v>18408</v>
      </c>
      <c r="B14621" s="4" t="s">
        <v>18410</v>
      </c>
      <c r="C14621" s="5" t="str">
        <f>IFERROR(__xludf.DUMMYFUNCTION("GOOGLETRANSLATE(B14621,""en"",""de"")"),"Ein grünes Licht erscheint aus nirgends wo.")</f>
        <v>Ein grünes Licht erscheint aus nirgends wo.</v>
      </c>
    </row>
    <row r="14622">
      <c r="A14622" s="4" t="s">
        <v>18408</v>
      </c>
      <c r="B14622" s="4" t="s">
        <v>18411</v>
      </c>
      <c r="C14622" s="5" t="str">
        <f>IFERROR(__xludf.DUMMYFUNCTION("GOOGLETRANSLATE(B14622,""en"",""de"")"),"Der Mann schweißt das kreisförmige Metallstück weiter.")</f>
        <v>Der Mann schweißt das kreisförmige Metallstück weiter.</v>
      </c>
    </row>
    <row r="14623">
      <c r="A14623" s="4" t="s">
        <v>18412</v>
      </c>
      <c r="B14623" s="4" t="s">
        <v>18413</v>
      </c>
      <c r="C14623" s="5" t="str">
        <f>IFERROR(__xludf.DUMMYFUNCTION("GOOGLETRANSLATE(B14623,""en"",""de"")"),"Ein schwarz -weißer Hund ist in einem Hundepark und der Besitzer biegt sich und bewegt sich vor dem Hund, während er ihn beobachtet.")</f>
        <v>Ein schwarz -weißer Hund ist in einem Hundepark und der Besitzer biegt sich und bewegt sich vor dem Hund, während er ihn beobachtet.</v>
      </c>
    </row>
    <row r="14624">
      <c r="A14624" s="4" t="s">
        <v>18412</v>
      </c>
      <c r="B14624" s="4" t="s">
        <v>18414</v>
      </c>
      <c r="C14624" s="5" t="str">
        <f>IFERROR(__xludf.DUMMYFUNCTION("GOOGLETRANSLATE(B14624,""en"",""de"")"),"Der Besitzer geht dann mehr ins Gras, das an Frisbees festhält, und wird nicht nur vom schwarzen und weißen Hund, sondern auch einen anderen Hund, der braun und weiß ist, verbunden.")</f>
        <v>Der Besitzer geht dann mehr ins Gras, das an Frisbees festhält, und wird nicht nur vom schwarzen und weißen Hund, sondern auch einen anderen Hund, der braun und weiß ist, verbunden.</v>
      </c>
    </row>
    <row r="14625">
      <c r="A14625" s="4" t="s">
        <v>18412</v>
      </c>
      <c r="B14625" s="4" t="s">
        <v>18415</v>
      </c>
      <c r="C14625" s="5" t="str">
        <f>IFERROR(__xludf.DUMMYFUNCTION("GOOGLETRANSLATE(B14625,""en"",""de"")"),"Der Mann beginnt, die Frisbees in die Luft zu werfen, und die Hunde fangen sie ab und machen Tricks, um sie zu bekommen, die sogar auf den Rücken des Mannes einspringen.")</f>
        <v>Der Mann beginnt, die Frisbees in die Luft zu werfen, und die Hunde fangen sie ab und machen Tricks, um sie zu bekommen, die sogar auf den Rücken des Mannes einspringen.</v>
      </c>
    </row>
    <row r="14626">
      <c r="A14626" s="4" t="s">
        <v>18416</v>
      </c>
      <c r="B14626" s="4" t="s">
        <v>18417</v>
      </c>
      <c r="C14626" s="5" t="str">
        <f>IFERROR(__xludf.DUMMYFUNCTION("GOOGLETRANSLATE(B14626,""en"",""de"")"),"Menschen reiten auf einem Feld Pferde.")</f>
        <v>Menschen reiten auf einem Feld Pferde.</v>
      </c>
    </row>
    <row r="14627">
      <c r="A14627" s="4" t="s">
        <v>18416</v>
      </c>
      <c r="B14627" s="4" t="s">
        <v>18418</v>
      </c>
      <c r="C14627" s="5" t="str">
        <f>IFERROR(__xludf.DUMMYFUNCTION("GOOGLETRANSLATE(B14627,""en"",""de"")"),"Sie spielen Polo auf Pferden.")</f>
        <v>Sie spielen Polo auf Pferden.</v>
      </c>
    </row>
    <row r="14628">
      <c r="A14628" s="4" t="s">
        <v>18416</v>
      </c>
      <c r="B14628" s="4" t="s">
        <v>18419</v>
      </c>
      <c r="C14628" s="5" t="str">
        <f>IFERROR(__xludf.DUMMYFUNCTION("GOOGLETRANSLATE(B14628,""en"",""de"")"),"Eine Person, die am Rande steht, winkt eine weiße Flagge.")</f>
        <v>Eine Person, die am Rande steht, winkt eine weiße Flagge.</v>
      </c>
    </row>
    <row r="14629">
      <c r="A14629" s="4" t="s">
        <v>18420</v>
      </c>
      <c r="B14629" s="4" t="s">
        <v>18421</v>
      </c>
      <c r="C14629" s="5" t="str">
        <f>IFERROR(__xludf.DUMMYFUNCTION("GOOGLETRANSLATE(B14629,""en"",""de"")"),"Zwei Mädchen gehen zu einem Pool und tauchen bereit.")</f>
        <v>Zwei Mädchen gehen zu einem Pool und tauchen bereit.</v>
      </c>
    </row>
    <row r="14630">
      <c r="A14630" s="4" t="s">
        <v>18420</v>
      </c>
      <c r="B14630" s="4" t="s">
        <v>18422</v>
      </c>
      <c r="C14630" s="5" t="str">
        <f>IFERROR(__xludf.DUMMYFUNCTION("GOOGLETRANSLATE(B14630,""en"",""de"")"),"Einer von ihnen hebt ihre Arme in die Luft und taucht dann ins Wasser ein, bevor sie auftauchen.")</f>
        <v>Einer von ihnen hebt ihre Arme in die Luft und taucht dann ins Wasser ein, bevor sie auftauchen.</v>
      </c>
    </row>
    <row r="14631">
      <c r="A14631" s="4" t="s">
        <v>18423</v>
      </c>
      <c r="B14631" s="4" t="s">
        <v>18424</v>
      </c>
      <c r="C14631" s="5" t="str">
        <f>IFERROR(__xludf.DUMMYFUNCTION("GOOGLETRANSLATE(B14631,""en"",""de"")"),"Ein Schweißwerkzeug wird auf eine Oberfläche angelegt.")</f>
        <v>Ein Schweißwerkzeug wird auf eine Oberfläche angelegt.</v>
      </c>
    </row>
    <row r="14632">
      <c r="A14632" s="4" t="s">
        <v>18423</v>
      </c>
      <c r="B14632" s="4" t="s">
        <v>18425</v>
      </c>
      <c r="C14632" s="5" t="str">
        <f>IFERROR(__xludf.DUMMYFUNCTION("GOOGLETRANSLATE(B14632,""en"",""de"")"),"Ein Typ, der ein Schweißwerkzeug hält, trägt einen Helm.")</f>
        <v>Ein Typ, der ein Schweißwerkzeug hält, trägt einen Helm.</v>
      </c>
    </row>
    <row r="14633">
      <c r="A14633" s="4" t="s">
        <v>18423</v>
      </c>
      <c r="B14633" s="4" t="s">
        <v>18426</v>
      </c>
      <c r="C14633" s="5" t="str">
        <f>IFERROR(__xludf.DUMMYFUNCTION("GOOGLETRANSLATE(B14633,""en"",""de"")"),"Zwei behandschuhte Hände verwenden eine Schweißpistole und kleben auf ein Objekt.")</f>
        <v>Zwei behandschuhte Hände verwenden eine Schweißpistole und kleben auf ein Objekt.</v>
      </c>
    </row>
    <row r="14634">
      <c r="A14634" s="4" t="s">
        <v>18427</v>
      </c>
      <c r="B14634" s="4" t="s">
        <v>18428</v>
      </c>
      <c r="C14634" s="5" t="str">
        <f>IFERROR(__xludf.DUMMYFUNCTION("GOOGLETRANSLATE(B14634,""en"",""de"")"),"Ein Mann trägt dunkle mittelalterliche Rüstung.")</f>
        <v>Ein Mann trägt dunkle mittelalterliche Rüstung.</v>
      </c>
    </row>
    <row r="14635">
      <c r="A14635" s="4" t="s">
        <v>18427</v>
      </c>
      <c r="B14635" s="4" t="s">
        <v>18429</v>
      </c>
      <c r="C14635" s="5" t="str">
        <f>IFERROR(__xludf.DUMMYFUNCTION("GOOGLETRANSLATE(B14635,""en"",""de"")"),"Mehrere Fälle von Männern, die in verschiedenen Arten von Rüstung gekleidet sind und verschiedene Schilde halten, zeigen Turnier gegeneinander.")</f>
        <v>Mehrere Fälle von Männern, die in verschiedenen Arten von Rüstung gekleidet sind und verschiedene Schilde halten, zeigen Turnier gegeneinander.</v>
      </c>
    </row>
    <row r="14636">
      <c r="A14636" s="4" t="s">
        <v>18427</v>
      </c>
      <c r="B14636" s="4" t="s">
        <v>18430</v>
      </c>
      <c r="C14636" s="5" t="str">
        <f>IFERROR(__xludf.DUMMYFUNCTION("GOOGLETRANSLATE(B14636,""en"",""de"")"),"Letztendlich wird der Mann mit dem runden Schild besiegt, wenn er zu Boden stürzt und in den Rücken stach.")</f>
        <v>Letztendlich wird der Mann mit dem runden Schild besiegt, wenn er zu Boden stürzt und in den Rücken stach.</v>
      </c>
    </row>
    <row r="14637">
      <c r="A14637" s="4" t="s">
        <v>18427</v>
      </c>
      <c r="B14637" s="4" t="s">
        <v>18431</v>
      </c>
      <c r="C14637" s="5" t="str">
        <f>IFERROR(__xludf.DUMMYFUNCTION("GOOGLETRANSLATE(B14637,""en"",""de"")"),"Der Gewinner schlägt nun gegen einen Mann mit einem blau -diamantförmigen Schild.")</f>
        <v>Der Gewinner schlägt nun gegen einen Mann mit einem blau -diamantförmigen Schild.</v>
      </c>
    </row>
    <row r="14638">
      <c r="A14638" s="4" t="s">
        <v>18427</v>
      </c>
      <c r="B14638" s="4" t="s">
        <v>18432</v>
      </c>
      <c r="C14638" s="5" t="str">
        <f>IFERROR(__xludf.DUMMYFUNCTION("GOOGLETRANSLATE(B14638,""en"",""de"")"),"Sie treiben mehrmals, aber der Mann mit dem blauen Schild wird besiegt, wenn er in Kopf und Brust getroffen wird und auf den Rücken auf die Knie des anderen Kriegers fällt.")</f>
        <v>Sie treiben mehrmals, aber der Mann mit dem blauen Schild wird besiegt, wenn er in Kopf und Brust getroffen wird und auf den Rücken auf die Knie des anderen Kriegers fällt.</v>
      </c>
    </row>
    <row r="14639">
      <c r="A14639" s="4" t="s">
        <v>18427</v>
      </c>
      <c r="B14639" s="4" t="s">
        <v>18433</v>
      </c>
      <c r="C14639" s="5" t="str">
        <f>IFERROR(__xludf.DUMMYFUNCTION("GOOGLETRANSLATE(B14639,""en"",""de"")"),"Es wird eine Nahaufnahme des überlebenden Kriegers gezeigt, der mit seinen Siegen eindeutig zufrieden ist.")</f>
        <v>Es wird eine Nahaufnahme des überlebenden Kriegers gezeigt, der mit seinen Siegen eindeutig zufrieden ist.</v>
      </c>
    </row>
    <row r="14640">
      <c r="A14640" s="4" t="s">
        <v>18434</v>
      </c>
      <c r="B14640" s="4" t="s">
        <v>18435</v>
      </c>
      <c r="C14640" s="5" t="str">
        <f>IFERROR(__xludf.DUMMYFUNCTION("GOOGLETRANSLATE(B14640,""en"",""de"")"),"Das Video beginnt mit einer Titelsequenz und einem Logo.")</f>
        <v>Das Video beginnt mit einer Titelsequenz und einem Logo.</v>
      </c>
    </row>
    <row r="14641">
      <c r="A14641" s="4" t="s">
        <v>18434</v>
      </c>
      <c r="B14641" s="4" t="s">
        <v>18436</v>
      </c>
      <c r="C14641" s="5" t="str">
        <f>IFERROR(__xludf.DUMMYFUNCTION("GOOGLETRANSLATE(B14641,""en"",""de"")"),"Mehrere Clips beginnen Volleyballfelder mit Zuschauern zu spielen.")</f>
        <v>Mehrere Clips beginnen Volleyballfelder mit Zuschauern zu spielen.</v>
      </c>
    </row>
    <row r="14642">
      <c r="A14642" s="4" t="s">
        <v>18434</v>
      </c>
      <c r="B14642" s="4" t="s">
        <v>18437</v>
      </c>
      <c r="C14642" s="5" t="str">
        <f>IFERROR(__xludf.DUMMYFUNCTION("GOOGLETRANSLATE(B14642,""en"",""de"")"),"Der erste Clip zeigt die Spieler, die feiern.")</f>
        <v>Der erste Clip zeigt die Spieler, die feiern.</v>
      </c>
    </row>
    <row r="14643">
      <c r="A14643" s="4" t="s">
        <v>18434</v>
      </c>
      <c r="B14643" s="4" t="s">
        <v>18438</v>
      </c>
      <c r="C14643" s="5" t="str">
        <f>IFERROR(__xludf.DUMMYFUNCTION("GOOGLETRANSLATE(B14643,""en"",""de"")"),"Das Video geht weiter zu Mitgliedern einer Band.")</f>
        <v>Das Video geht weiter zu Mitgliedern einer Band.</v>
      </c>
    </row>
    <row r="14644">
      <c r="A14644" s="4" t="s">
        <v>18434</v>
      </c>
      <c r="B14644" s="4" t="s">
        <v>18439</v>
      </c>
      <c r="C14644" s="5" t="str">
        <f>IFERROR(__xludf.DUMMYFUNCTION("GOOGLETRANSLATE(B14644,""en"",""de"")"),"Es zeigt dann weiterhin Clips von Männern, die Volleyball spielen.")</f>
        <v>Es zeigt dann weiterhin Clips von Männern, die Volleyball spielen.</v>
      </c>
    </row>
    <row r="14645">
      <c r="A14645" s="4" t="s">
        <v>18434</v>
      </c>
      <c r="B14645" s="4" t="s">
        <v>18440</v>
      </c>
      <c r="C14645" s="5" t="str">
        <f>IFERROR(__xludf.DUMMYFUNCTION("GOOGLETRANSLATE(B14645,""en"",""de"")"),"Das Video endet mit einer Nahaufnahme des Publikums und einer Titelsequenz.")</f>
        <v>Das Video endet mit einer Nahaufnahme des Publikums und einer Titelsequenz.</v>
      </c>
    </row>
    <row r="14646">
      <c r="A14646" s="4" t="s">
        <v>18441</v>
      </c>
      <c r="B14646" s="4" t="s">
        <v>18442</v>
      </c>
      <c r="C14646" s="5" t="str">
        <f>IFERROR(__xludf.DUMMYFUNCTION("GOOGLETRANSLATE(B14646,""en"",""de"")"),"Die Menschen beginnen in einen leeren Pool zu tauchen und Sie sehen sie unter dem Wasser.")</f>
        <v>Die Menschen beginnen in einen leeren Pool zu tauchen und Sie sehen sie unter dem Wasser.</v>
      </c>
    </row>
    <row r="14647">
      <c r="A14647" s="4" t="s">
        <v>18441</v>
      </c>
      <c r="B14647" s="4" t="s">
        <v>18443</v>
      </c>
      <c r="C14647" s="5" t="str">
        <f>IFERROR(__xludf.DUMMYFUNCTION("GOOGLETRANSLATE(B14647,""en"",""de"")"),"Dann stehen zwei Schwimmer aus dem Tauchbrett und einer von ihnen tauchten ein.")</f>
        <v>Dann stehen zwei Schwimmer aus dem Tauchbrett und einer von ihnen tauchten ein.</v>
      </c>
    </row>
    <row r="14648">
      <c r="A14648" s="4" t="s">
        <v>18441</v>
      </c>
      <c r="B14648" s="4" t="s">
        <v>18444</v>
      </c>
      <c r="C14648" s="5" t="str">
        <f>IFERROR(__xludf.DUMMYFUNCTION("GOOGLETRANSLATE(B14648,""en"",""de"")"),"Eine Gruppe von Kindern, die den Kamerafilm selbst in der Hand tauchen und coole Tricks machen und in den Pool drehen.")</f>
        <v>Eine Gruppe von Kindern, die den Kamerafilm selbst in der Hand tauchen und coole Tricks machen und in den Pool drehen.</v>
      </c>
    </row>
    <row r="14649">
      <c r="A14649" s="4" t="s">
        <v>18441</v>
      </c>
      <c r="B14649" s="4" t="s">
        <v>18445</v>
      </c>
      <c r="C14649" s="5" t="str">
        <f>IFERROR(__xludf.DUMMYFUNCTION("GOOGLETRANSLATE(B14649,""en"",""de"")"),"Von sehr hoch oben zeichnen sie ihre Sicht von oben zum Wasser und das Schwimmen auf, sobald sie sich befinden.")</f>
        <v>Von sehr hoch oben zeichnen sie ihre Sicht von oben zum Wasser und das Schwimmen auf, sobald sie sich befinden.</v>
      </c>
    </row>
    <row r="14650">
      <c r="A14650" s="4" t="s">
        <v>18446</v>
      </c>
      <c r="B14650" s="4" t="s">
        <v>18447</v>
      </c>
      <c r="C14650" s="5" t="str">
        <f>IFERROR(__xludf.DUMMYFUNCTION("GOOGLETRANSLATE(B14650,""en"",""de"")"),"Zwei Wrestling -Frauen kämpfen in einem Ring.")</f>
        <v>Zwei Wrestling -Frauen kämpfen in einem Ring.</v>
      </c>
    </row>
    <row r="14651">
      <c r="A14651" s="4" t="s">
        <v>18446</v>
      </c>
      <c r="B14651" s="4" t="s">
        <v>18448</v>
      </c>
      <c r="C14651" s="5" t="str">
        <f>IFERROR(__xludf.DUMMYFUNCTION("GOOGLETRANSLATE(B14651,""en"",""de"")"),"Sie machen einen Suplex, und der Schiedsrichter zählt auf drei, wenn die dunkelhaarige Frau gewinnt.")</f>
        <v>Sie machen einen Suplex, und der Schiedsrichter zählt auf drei, wenn die dunkelhaarige Frau gewinnt.</v>
      </c>
    </row>
    <row r="14652">
      <c r="A14652" s="4" t="s">
        <v>18449</v>
      </c>
      <c r="B14652" s="4" t="s">
        <v>18450</v>
      </c>
      <c r="C14652" s="5" t="str">
        <f>IFERROR(__xludf.DUMMYFUNCTION("GOOGLETRANSLATE(B14652,""en"",""de"")"),"Eine Gruppe von Jungen spielt auf einem Platz Ball.")</f>
        <v>Eine Gruppe von Jungen spielt auf einem Platz Ball.</v>
      </c>
    </row>
    <row r="14653">
      <c r="A14653" s="4" t="s">
        <v>18449</v>
      </c>
      <c r="B14653" s="4" t="s">
        <v>18451</v>
      </c>
      <c r="C14653" s="5" t="str">
        <f>IFERROR(__xludf.DUMMYFUNCTION("GOOGLETRANSLATE(B14653,""en"",""de"")"),"Sie werden von ihrem Trainer geleitet.")</f>
        <v>Sie werden von ihrem Trainer geleitet.</v>
      </c>
    </row>
    <row r="14654">
      <c r="A14654" s="4" t="s">
        <v>18449</v>
      </c>
      <c r="B14654" s="4" t="s">
        <v>18452</v>
      </c>
      <c r="C14654" s="5" t="str">
        <f>IFERROR(__xludf.DUMMYFUNCTION("GOOGLETRANSLATE(B14654,""en"",""de"")"),"Sie rennen mit den Bällen und versuchen, Körbe zu machen.")</f>
        <v>Sie rennen mit den Bällen und versuchen, Körbe zu machen.</v>
      </c>
    </row>
    <row r="14655">
      <c r="A14655" s="4" t="s">
        <v>18453</v>
      </c>
      <c r="B14655" s="4" t="s">
        <v>18454</v>
      </c>
      <c r="C14655" s="5" t="str">
        <f>IFERROR(__xludf.DUMMYFUNCTION("GOOGLETRANSLATE(B14655,""en"",""de"")"),"Eine Hand füllt eine Tasse mit Wasser.")</f>
        <v>Eine Hand füllt eine Tasse mit Wasser.</v>
      </c>
    </row>
    <row r="14656">
      <c r="A14656" s="4" t="s">
        <v>18453</v>
      </c>
      <c r="B14656" s="4" t="s">
        <v>18455</v>
      </c>
      <c r="C14656" s="5" t="str">
        <f>IFERROR(__xludf.DUMMYFUNCTION("GOOGLETRANSLATE(B14656,""en"",""de"")"),"Eine Frau legt zwei Brillen auf die Theke.")</f>
        <v>Eine Frau legt zwei Brillen auf die Theke.</v>
      </c>
    </row>
    <row r="14657">
      <c r="A14657" s="4" t="s">
        <v>18453</v>
      </c>
      <c r="B14657" s="4" t="s">
        <v>18456</v>
      </c>
      <c r="C14657" s="5" t="str">
        <f>IFERROR(__xludf.DUMMYFUNCTION("GOOGLETRANSLATE(B14657,""en"",""de"")"),"Die Frau steckt Bier und Orangensaft in ein großes Glas, dann gießt sie Alkohol in das kleine Glas.")</f>
        <v>Die Frau steckt Bier und Orangensaft in ein großes Glas, dann gießt sie Alkohol in das kleine Glas.</v>
      </c>
    </row>
    <row r="14658">
      <c r="A14658" s="4" t="s">
        <v>18453</v>
      </c>
      <c r="B14658" s="4" t="s">
        <v>18457</v>
      </c>
      <c r="C14658" s="5" t="str">
        <f>IFERROR(__xludf.DUMMYFUNCTION("GOOGLETRANSLATE(B14658,""en"",""de"")"),"Danach steckt die Frau das kleine Glas in das große Glas.")</f>
        <v>Danach steckt die Frau das kleine Glas in das große Glas.</v>
      </c>
    </row>
    <row r="14659">
      <c r="A14659" s="4" t="s">
        <v>18458</v>
      </c>
      <c r="B14659" s="4" t="s">
        <v>18459</v>
      </c>
      <c r="C14659" s="5" t="str">
        <f>IFERROR(__xludf.DUMMYFUNCTION("GOOGLETRANSLATE(B14659,""en"",""de"")"),"Eine große Welle wird von einer Person gezeigt, die auf einem Surfbrett steht.")</f>
        <v>Eine große Welle wird von einer Person gezeigt, die auf einem Surfbrett steht.</v>
      </c>
    </row>
    <row r="14660">
      <c r="A14660" s="4" t="s">
        <v>18458</v>
      </c>
      <c r="B14660" s="4" t="s">
        <v>18460</v>
      </c>
      <c r="C14660" s="5" t="str">
        <f>IFERROR(__xludf.DUMMYFUNCTION("GOOGLETRANSLATE(B14660,""en"",""de"")"),"Die Person wird entlang des Wassers surfen, während die Kamera von hinten filmt.")</f>
        <v>Die Person wird entlang des Wassers surfen, während die Kamera von hinten filmt.</v>
      </c>
    </row>
    <row r="14661">
      <c r="A14661" s="4" t="s">
        <v>18458</v>
      </c>
      <c r="B14661" s="4" t="s">
        <v>18461</v>
      </c>
      <c r="C14661" s="5" t="str">
        <f>IFERROR(__xludf.DUMMYFUNCTION("GOOGLETRANSLATE(B14661,""en"",""de"")"),"Der Mann surft weiter und paddelt sich in Richtung eines Bootes.")</f>
        <v>Der Mann surft weiter und paddelt sich in Richtung eines Bootes.</v>
      </c>
    </row>
    <row r="14662">
      <c r="A14662" s="4" t="s">
        <v>18462</v>
      </c>
      <c r="B14662" s="4" t="s">
        <v>18463</v>
      </c>
      <c r="C14662" s="5" t="str">
        <f>IFERROR(__xludf.DUMMYFUNCTION("GOOGLETRANSLATE(B14662,""en"",""de"")"),"Ein Mann in einem roten Hemd fährt einen Orangen -Traktor um den Rasen.")</f>
        <v>Ein Mann in einem roten Hemd fährt einen Orangen -Traktor um den Rasen.</v>
      </c>
    </row>
    <row r="14663">
      <c r="A14663" s="4" t="s">
        <v>18462</v>
      </c>
      <c r="B14663" s="4" t="s">
        <v>18464</v>
      </c>
      <c r="C14663" s="5" t="str">
        <f>IFERROR(__xludf.DUMMYFUNCTION("GOOGLETRANSLATE(B14663,""en"",""de"")"),"Ein Hund läuft um den Hof.")</f>
        <v>Ein Hund läuft um den Hof.</v>
      </c>
    </row>
    <row r="14664">
      <c r="A14664" s="4" t="s">
        <v>18462</v>
      </c>
      <c r="B14664" s="4" t="s">
        <v>18465</v>
      </c>
      <c r="C14664" s="5" t="str">
        <f>IFERROR(__xludf.DUMMYFUNCTION("GOOGLETRANSLATE(B14664,""en"",""de"")"),"Eine Frau fährt den Orangen -Traktor.")</f>
        <v>Eine Frau fährt den Orangen -Traktor.</v>
      </c>
    </row>
    <row r="14665">
      <c r="A14665" s="4" t="s">
        <v>18466</v>
      </c>
      <c r="B14665" s="4" t="s">
        <v>18467</v>
      </c>
      <c r="C14665" s="5" t="str">
        <f>IFERROR(__xludf.DUMMYFUNCTION("GOOGLETRANSLATE(B14665,""en"",""de"")"),"Zwei Frauen gehen auf der Bühne und führen in sie eine Bauch -Tanzroutine.")</f>
        <v>Zwei Frauen gehen auf der Bühne und führen in sie eine Bauch -Tanzroutine.</v>
      </c>
    </row>
    <row r="14666">
      <c r="A14666" s="4" t="s">
        <v>18466</v>
      </c>
      <c r="B14666" s="4" t="s">
        <v>18468</v>
      </c>
      <c r="C14666" s="5" t="str">
        <f>IFERROR(__xludf.DUMMYFUNCTION("GOOGLETRANSLATE(B14666,""en"",""de"")"),"Die Frauen tanzen rund um die Bühne, während Licht um sie herum blinken.")</f>
        <v>Die Frauen tanzen rund um die Bühne, während Licht um sie herum blinken.</v>
      </c>
    </row>
    <row r="14667">
      <c r="A14667" s="4" t="s">
        <v>18466</v>
      </c>
      <c r="B14667" s="4" t="s">
        <v>18469</v>
      </c>
      <c r="C14667" s="5" t="str">
        <f>IFERROR(__xludf.DUMMYFUNCTION("GOOGLETRANSLATE(B14667,""en"",""de"")"),"Die Frauen tanzen weiter umeinander und enden, indem sie miteinander lachen.")</f>
        <v>Die Frauen tanzen weiter umeinander und enden, indem sie miteinander lachen.</v>
      </c>
    </row>
    <row r="14668">
      <c r="A14668" s="4" t="s">
        <v>18470</v>
      </c>
      <c r="B14668" s="4" t="s">
        <v>18471</v>
      </c>
      <c r="C14668" s="5" t="str">
        <f>IFERROR(__xludf.DUMMYFUNCTION("GOOGLETRANSLATE(B14668,""en"",""de"")"),"Eine Nachrichtenfrau spricht mit einer Kamera.")</f>
        <v>Eine Nachrichtenfrau spricht mit einer Kamera.</v>
      </c>
    </row>
    <row r="14669">
      <c r="A14669" s="4" t="s">
        <v>18470</v>
      </c>
      <c r="B14669" s="4" t="s">
        <v>18472</v>
      </c>
      <c r="C14669" s="5" t="str">
        <f>IFERROR(__xludf.DUMMYFUNCTION("GOOGLETRANSLATE(B14669,""en"",""de"")"),"Sie hat ein Gespräch mit einem Mann, der auch eine Nachrichtensprecherin ist.")</f>
        <v>Sie hat ein Gespräch mit einem Mann, der auch eine Nachrichtensprecherin ist.</v>
      </c>
    </row>
    <row r="14670">
      <c r="A14670" s="4" t="s">
        <v>18470</v>
      </c>
      <c r="B14670" s="4" t="s">
        <v>18473</v>
      </c>
      <c r="C14670" s="5" t="str">
        <f>IFERROR(__xludf.DUMMYFUNCTION("GOOGLETRANSLATE(B14670,""en"",""de"")"),"Bilder von Handformen sind im Hintergrund angezeigt.")</f>
        <v>Bilder von Handformen sind im Hintergrund angezeigt.</v>
      </c>
    </row>
    <row r="14671">
      <c r="A14671" s="4" t="s">
        <v>18474</v>
      </c>
      <c r="B14671" s="4" t="s">
        <v>18475</v>
      </c>
      <c r="C14671" s="5" t="str">
        <f>IFERROR(__xludf.DUMMYFUNCTION("GOOGLETRANSLATE(B14671,""en"",""de"")"),"Ein schwarzer Bildschirm erscheint und die weißen Wörter darauf lauteten ""Rob Lane ist der MillionAiremaining Wartes Man"".")</f>
        <v>Ein schwarzer Bildschirm erscheint und die weißen Wörter darauf lauteten "Rob Lane ist der MillionAiremaining Wartes Man".</v>
      </c>
    </row>
    <row r="14672">
      <c r="A14672" s="4" t="s">
        <v>18474</v>
      </c>
      <c r="B14672" s="4" t="s">
        <v>18476</v>
      </c>
      <c r="C14672" s="5" t="str">
        <f>IFERROR(__xludf.DUMMYFUNCTION("GOOGLETRANSLATE(B14672,""en"",""de"")"),"Ein Mann, der eine Brille trägt, erscheint im Freien vor einem Zaun und er hält eine Luftbürstenmaschine und redet.")</f>
        <v>Ein Mann, der eine Brille trägt, erscheint im Freien vor einem Zaun und er hält eine Luftbürstenmaschine und redet.</v>
      </c>
    </row>
    <row r="14673">
      <c r="A14673" s="4" t="s">
        <v>18474</v>
      </c>
      <c r="B14673" s="4" t="s">
        <v>18477</v>
      </c>
      <c r="C14673" s="5" t="str">
        <f>IFERROR(__xludf.DUMMYFUNCTION("GOOGLETRANSLATE(B14673,""en"",""de"")"),"Der Mann dreht sich dann um und geht zum Zaun und beginnt mit der Airbrush darauf.")</f>
        <v>Der Mann dreht sich dann um und geht zum Zaun und beginnt mit der Airbrush darauf.</v>
      </c>
    </row>
    <row r="14674">
      <c r="A14674" s="4" t="s">
        <v>18474</v>
      </c>
      <c r="B14674" s="4" t="s">
        <v>18478</v>
      </c>
      <c r="C14674" s="5" t="str">
        <f>IFERROR(__xludf.DUMMYFUNCTION("GOOGLETRANSLATE(B14674,""en"",""de"")"),"Der Mann hört auf Airbrushing auf und spricht wieder, während er auf den Zaun und zu dieser Airbrush -Maschine handelt.")</f>
        <v>Der Mann hört auf Airbrushing auf und spricht wieder, während er auf den Zaun und zu dieser Airbrush -Maschine handelt.</v>
      </c>
    </row>
    <row r="14675">
      <c r="A14675" s="4" t="s">
        <v>18479</v>
      </c>
      <c r="B14675" s="4" t="s">
        <v>18480</v>
      </c>
      <c r="C14675" s="5" t="str">
        <f>IFERROR(__xludf.DUMMYFUNCTION("GOOGLETRANSLATE(B14675,""en"",""de"")"),"Eine Frau spricht mit der Kamera, während ein kleiner Fooseball -Tisch vor ihr sitzt.")</f>
        <v>Eine Frau spricht mit der Kamera, während ein kleiner Fooseball -Tisch vor ihr sitzt.</v>
      </c>
    </row>
    <row r="14676">
      <c r="A14676" s="4" t="s">
        <v>18479</v>
      </c>
      <c r="B14676" s="4" t="s">
        <v>18481</v>
      </c>
      <c r="C14676" s="5" t="str">
        <f>IFERROR(__xludf.DUMMYFUNCTION("GOOGLETRANSLATE(B14676,""en"",""de"")"),"Die Frau spricht weiter, als sie gelegentlich im Spiel herumschleudert und in ihr Spiel mit einem anderen Mädchen führt.")</f>
        <v>Die Frau spricht weiter, als sie gelegentlich im Spiel herumschleudert und in ihr Spiel mit einem anderen Mädchen führt.</v>
      </c>
    </row>
    <row r="14677">
      <c r="A14677" s="4" t="s">
        <v>18482</v>
      </c>
      <c r="B14677" s="4" t="s">
        <v>18483</v>
      </c>
      <c r="C14677" s="5" t="str">
        <f>IFERROR(__xludf.DUMMYFUNCTION("GOOGLETRANSLATE(B14677,""en"",""de"")"),"Eine Dumbell erscheint auf dem Bildschirm mit den Wörtern ""Catalyst Athletics"" überlagert.")</f>
        <v>Eine Dumbell erscheint auf dem Bildschirm mit den Wörtern "Catalyst Athletics" überlagert.</v>
      </c>
    </row>
    <row r="14678">
      <c r="A14678" s="4" t="s">
        <v>18482</v>
      </c>
      <c r="B14678" s="4" t="s">
        <v>18484</v>
      </c>
      <c r="C14678" s="5" t="str">
        <f>IFERROR(__xludf.DUMMYFUNCTION("GOOGLETRANSLATE(B14678,""en"",""de"")"),"Ein Mann hebt Gewichte über seinem Kopf in einem Fitnessstudio.")</f>
        <v>Ein Mann hebt Gewichte über seinem Kopf in einem Fitnessstudio.</v>
      </c>
    </row>
    <row r="14679">
      <c r="A14679" s="4" t="s">
        <v>18482</v>
      </c>
      <c r="B14679" s="4" t="s">
        <v>18485</v>
      </c>
      <c r="C14679" s="5" t="str">
        <f>IFERROR(__xludf.DUMMYFUNCTION("GOOGLETRANSLATE(B14679,""en"",""de"")"),"Eine Frau hebt dann Gewichte über ihrem Kopf.")</f>
        <v>Eine Frau hebt dann Gewichte über ihrem Kopf.</v>
      </c>
    </row>
    <row r="14680">
      <c r="A14680" s="4" t="s">
        <v>18482</v>
      </c>
      <c r="B14680" s="4" t="s">
        <v>18486</v>
      </c>
      <c r="C14680" s="5" t="str">
        <f>IFERROR(__xludf.DUMMYFUNCTION("GOOGLETRANSLATE(B14680,""en"",""de"")"),"Ein Logo ""Catalyst Athletics"" erscheint mit Social -Media -Links.")</f>
        <v>Ein Logo "Catalyst Athletics" erscheint mit Social -Media -Links.</v>
      </c>
    </row>
    <row r="14681">
      <c r="A14681" s="4" t="s">
        <v>18487</v>
      </c>
      <c r="B14681" s="4" t="s">
        <v>18488</v>
      </c>
      <c r="C14681" s="5" t="str">
        <f>IFERROR(__xludf.DUMMYFUNCTION("GOOGLETRANSLATE(B14681,""en"",""de"")"),"Ein Junge ist am Ende eines Tauchbretts ausgeglichen.")</f>
        <v>Ein Junge ist am Ende eines Tauchbretts ausgeglichen.</v>
      </c>
    </row>
    <row r="14682">
      <c r="A14682" s="4" t="s">
        <v>18487</v>
      </c>
      <c r="B14682" s="4" t="s">
        <v>18489</v>
      </c>
      <c r="C14682" s="5" t="str">
        <f>IFERROR(__xludf.DUMMYFUNCTION("GOOGLETRANSLATE(B14682,""en"",""de"")"),"Er taucht taucht und dreht nach hinten, während er geht.")</f>
        <v>Er taucht taucht und dreht nach hinten, während er geht.</v>
      </c>
    </row>
    <row r="14683">
      <c r="A14683" s="4" t="s">
        <v>18487</v>
      </c>
      <c r="B14683" s="4" t="s">
        <v>18490</v>
      </c>
      <c r="C14683" s="5" t="str">
        <f>IFERROR(__xludf.DUMMYFUNCTION("GOOGLETRANSLATE(B14683,""en"",""de"")"),"Er landet anmutig im Wasser.")</f>
        <v>Er landet anmutig im Wasser.</v>
      </c>
    </row>
    <row r="14684">
      <c r="A14684" s="4" t="s">
        <v>18491</v>
      </c>
      <c r="B14684" s="4" t="s">
        <v>18492</v>
      </c>
      <c r="C14684" s="5" t="str">
        <f>IFERROR(__xludf.DUMMYFUNCTION("GOOGLETRANSLATE(B14684,""en"",""de"")"),"Ein Mann benutzt ein Kursbürste und ein Handtuch, um den Ski zuzubereiten, an dem er bearbeitet werden kann, während er auf einem Gestell sitzt.")</f>
        <v>Ein Mann benutzt ein Kursbürste und ein Handtuch, um den Ski zuzubereiten, an dem er bearbeitet werden kann, während er auf einem Gestell sitzt.</v>
      </c>
    </row>
    <row r="14685">
      <c r="A14685" s="4" t="s">
        <v>18491</v>
      </c>
      <c r="B14685" s="4" t="s">
        <v>18493</v>
      </c>
      <c r="C14685" s="5" t="str">
        <f>IFERROR(__xludf.DUMMYFUNCTION("GOOGLETRANSLATE(B14685,""en"",""de"")"),"Der Mann schmilzt einen Wachsstab über die Skioberfläche mit einem Eisen und mischt ihn dann in das Wachs.")</f>
        <v>Der Mann schmilzt einen Wachsstab über die Skioberfläche mit einem Eisen und mischt ihn dann in das Wachs.</v>
      </c>
    </row>
    <row r="14686">
      <c r="A14686" s="4" t="s">
        <v>18491</v>
      </c>
      <c r="B14686" s="4" t="s">
        <v>18494</v>
      </c>
      <c r="C14686" s="5" t="str">
        <f>IFERROR(__xludf.DUMMYFUNCTION("GOOGLETRANSLATE(B14686,""en"",""de"")"),"Ein Mann schärft eine flache Kante und kratzt dann die äußere Wachsschicht von der Skierfläche.")</f>
        <v>Ein Mann schärft eine flache Kante und kratzt dann die äußere Wachsschicht von der Skierfläche.</v>
      </c>
    </row>
    <row r="14687">
      <c r="A14687" s="4" t="s">
        <v>18491</v>
      </c>
      <c r="B14687" s="4" t="s">
        <v>18495</v>
      </c>
      <c r="C14687" s="5" t="str">
        <f>IFERROR(__xludf.DUMMYFUNCTION("GOOGLETRANSLATE(B14687,""en"",""de"")"),"Der Mann benutzt einen Kurspinsel und dann ein Handtuch, um die Skierfläche zuzubereiten.")</f>
        <v>Der Mann benutzt einen Kurspinsel und dann ein Handtuch, um die Skierfläche zuzubereiten.</v>
      </c>
    </row>
    <row r="14688">
      <c r="A14688" s="4" t="s">
        <v>18496</v>
      </c>
      <c r="B14688" s="4" t="s">
        <v>18497</v>
      </c>
      <c r="C14688" s="5" t="str">
        <f>IFERROR(__xludf.DUMMYFUNCTION("GOOGLETRANSLATE(B14688,""en"",""de"")"),"Es wird ein Teller mit cremiger Cabonara gezeigt und die Zutaten erscheinen in kleinen klaren Gerichten.")</f>
        <v>Es wird ein Teller mit cremiger Cabonara gezeigt und die Zutaten erscheinen in kleinen klaren Gerichten.</v>
      </c>
    </row>
    <row r="14689">
      <c r="A14689" s="4" t="s">
        <v>18496</v>
      </c>
      <c r="B14689" s="4" t="s">
        <v>18498</v>
      </c>
      <c r="C14689" s="5" t="str">
        <f>IFERROR(__xludf.DUMMYFUNCTION("GOOGLETRANSLATE(B14689,""en"",""de"")"),"In einer Pfanne wird dann Salz hinzugefügt und die Spaghetti beginnt zu kochen.")</f>
        <v>In einer Pfanne wird dann Salz hinzugefügt und die Spaghetti beginnt zu kochen.</v>
      </c>
    </row>
    <row r="14690">
      <c r="A14690" s="4" t="s">
        <v>18496</v>
      </c>
      <c r="B14690" s="4" t="s">
        <v>18499</v>
      </c>
      <c r="C14690" s="5" t="str">
        <f>IFERROR(__xludf.DUMMYFUNCTION("GOOGLETRANSLATE(B14690,""en"",""de"")"),"Ein bisschen Öl wird dann in eine Pfanne gegeben und kanadischer Speck und Zwiebeln werden gebraten.")</f>
        <v>Ein bisschen Öl wird dann in eine Pfanne gegeben und kanadischer Speck und Zwiebeln werden gebraten.</v>
      </c>
    </row>
    <row r="14691">
      <c r="A14691" s="4" t="s">
        <v>18496</v>
      </c>
      <c r="B14691" s="4" t="s">
        <v>18500</v>
      </c>
      <c r="C14691" s="5" t="str">
        <f>IFERROR(__xludf.DUMMYFUNCTION("GOOGLETRANSLATE(B14691,""en"",""de"")"),"Als nächstes werden mehr Zutaten mit Nudeln und Eigelb hinzugefügt.")</f>
        <v>Als nächstes werden mehr Zutaten mit Nudeln und Eigelb hinzugefügt.</v>
      </c>
    </row>
    <row r="14692">
      <c r="A14692" s="4" t="s">
        <v>18496</v>
      </c>
      <c r="B14692" s="4" t="s">
        <v>18501</v>
      </c>
      <c r="C14692" s="5" t="str">
        <f>IFERROR(__xludf.DUMMYFUNCTION("GOOGLETRANSLATE(B14692,""en"",""de"")"),"Schließlich wird die Sauce fertiggestellt und alle Zutaten werden zusammengestellt und dem Gericht Käse hinzugefügt, da sie auf dem Teller positioniert ist.")</f>
        <v>Schließlich wird die Sauce fertiggestellt und alle Zutaten werden zusammengestellt und dem Gericht Käse hinzugefügt, da sie auf dem Teller positioniert ist.</v>
      </c>
    </row>
    <row r="14693">
      <c r="A14693" s="4" t="s">
        <v>18496</v>
      </c>
      <c r="B14693" s="4" t="s">
        <v>18502</v>
      </c>
      <c r="C14693" s="5" t="str">
        <f>IFERROR(__xludf.DUMMYFUNCTION("GOOGLETRANSLATE(B14693,""en"",""de"")"),"Danach werden weitere Vorspeisen angezeigt und der Bildschirm endet auf der URL der Ulampinoy -Website.")</f>
        <v>Danach werden weitere Vorspeisen angezeigt und der Bildschirm endet auf der URL der Ulampinoy -Website.</v>
      </c>
    </row>
    <row r="14694">
      <c r="A14694" s="4" t="s">
        <v>18503</v>
      </c>
      <c r="B14694" s="4" t="s">
        <v>18504</v>
      </c>
      <c r="C14694" s="5" t="str">
        <f>IFERROR(__xludf.DUMMYFUNCTION("GOOGLETRANSLATE(B14694,""en"",""de"")"),"Eine Frau zeigt, wie man einen Behälter mit Pulverpigment verwendet, um viele verschiedene Haare, Nägel und Gesichts -Make -up -Produkte herzustellen.")</f>
        <v>Eine Frau zeigt, wie man einen Behälter mit Pulverpigment verwendet, um viele verschiedene Haare, Nägel und Gesichts -Make -up -Produkte herzustellen.</v>
      </c>
    </row>
    <row r="14695">
      <c r="A14695" s="4" t="s">
        <v>18503</v>
      </c>
      <c r="B14695" s="4" t="s">
        <v>18505</v>
      </c>
      <c r="C14695" s="5" t="str">
        <f>IFERROR(__xludf.DUMMYFUNCTION("GOOGLETRANSLATE(B14695,""en"",""de"")"),"Eine Frau spricht mit der Kamera vor einem mit Make -up gefüllten Schalter.")</f>
        <v>Eine Frau spricht mit der Kamera vor einem mit Make -up gefüllten Schalter.</v>
      </c>
    </row>
    <row r="14696">
      <c r="A14696" s="4" t="s">
        <v>18503</v>
      </c>
      <c r="B14696" s="4" t="s">
        <v>18506</v>
      </c>
      <c r="C14696" s="5" t="str">
        <f>IFERROR(__xludf.DUMMYFUNCTION("GOOGLETRANSLATE(B14696,""en"",""de"")"),"Die Kamera zeigt verschiedene Make -up -Stücke mit begleitenden Beschreibungen Karten zwischen dem Sprechen der Frau.")</f>
        <v>Die Kamera zeigt verschiedene Make -up -Stücke mit begleitenden Beschreibungen Karten zwischen dem Sprechen der Frau.</v>
      </c>
    </row>
    <row r="14697">
      <c r="A14697" s="4" t="s">
        <v>18503</v>
      </c>
      <c r="B14697" s="4" t="s">
        <v>18507</v>
      </c>
      <c r="C14697" s="5" t="str">
        <f>IFERROR(__xludf.DUMMYFUNCTION("GOOGLETRANSLATE(B14697,""en"",""de"")"),"Die Frau beginnt, einen Teil des Make -ups auf ihr Gesicht aufzutragen, einschließlich Lippen und ihren Nägeln über Nagellack.")</f>
        <v>Die Frau beginnt, einen Teil des Make -ups auf ihr Gesicht aufzutragen, einschließlich Lippen und ihren Nägeln über Nagellack.</v>
      </c>
    </row>
    <row r="14698">
      <c r="A14698" s="4" t="s">
        <v>18503</v>
      </c>
      <c r="B14698" s="4" t="s">
        <v>18508</v>
      </c>
      <c r="C14698" s="5" t="str">
        <f>IFERROR(__xludf.DUMMYFUNCTION("GOOGLETRANSLATE(B14698,""en"",""de"")"),"Die Frau verwendet etwas Make -up, um Haarstreifen in Haaren mit einem anderen Personen zu machen.")</f>
        <v>Die Frau verwendet etwas Make -up, um Haarstreifen in Haaren mit einem anderen Personen zu machen.</v>
      </c>
    </row>
    <row r="14699">
      <c r="A14699" s="4" t="s">
        <v>18503</v>
      </c>
      <c r="B14699" s="4" t="s">
        <v>18509</v>
      </c>
      <c r="C14699" s="5" t="str">
        <f>IFERROR(__xludf.DUMMYFUNCTION("GOOGLETRANSLATE(B14699,""en"",""de"")"),"Die Frau verwendet dann die Behälter von pulverisiertem Make -up, um Grund und Lidschatten herzustellen, bevor sie die gesamte Farbenlinie anzeigen und eine Marketinggrafik anzeigen.")</f>
        <v>Die Frau verwendet dann die Behälter von pulverisiertem Make -up, um Grund und Lidschatten herzustellen, bevor sie die gesamte Farbenlinie anzeigen und eine Marketinggrafik anzeigen.</v>
      </c>
    </row>
    <row r="14700">
      <c r="A14700" s="4" t="s">
        <v>18510</v>
      </c>
      <c r="B14700" s="4" t="s">
        <v>18511</v>
      </c>
      <c r="C14700" s="5" t="str">
        <f>IFERROR(__xludf.DUMMYFUNCTION("GOOGLETRANSLATE(B14700,""en"",""de"")"),"Eine kleine Gruppe von Jungen steht am Rand eines Pools und greift sich an den Seiten.")</f>
        <v>Eine kleine Gruppe von Jungen steht am Rand eines Pools und greift sich an den Seiten.</v>
      </c>
    </row>
    <row r="14701">
      <c r="A14701" s="4" t="s">
        <v>18510</v>
      </c>
      <c r="B14701" s="4" t="s">
        <v>18512</v>
      </c>
      <c r="C14701" s="5" t="str">
        <f>IFERROR(__xludf.DUMMYFUNCTION("GOOGLETRANSLATE(B14701,""en"",""de"")"),"Die Jungs springen dann alle gleich in den Pool, wobei einige in die Kamera schauen.")</f>
        <v>Die Jungs springen dann alle gleich in den Pool, wobei einige in die Kamera schauen.</v>
      </c>
    </row>
    <row r="14702">
      <c r="A14702" s="4" t="s">
        <v>18513</v>
      </c>
      <c r="B14702" s="4" t="s">
        <v>18514</v>
      </c>
      <c r="C14702" s="5" t="str">
        <f>IFERROR(__xludf.DUMMYFUNCTION("GOOGLETRANSLATE(B14702,""en"",""de"")"),"Ein Mann spricht mit der Kamera, während die Kamera zu einem Kartentisch und dem Mann mit Karten gekommen ist.")</f>
        <v>Ein Mann spricht mit der Kamera, während die Kamera zu einem Kartentisch und dem Mann mit Karten gekommen ist.</v>
      </c>
    </row>
    <row r="14703">
      <c r="A14703" s="4" t="s">
        <v>18513</v>
      </c>
      <c r="B14703" s="4" t="s">
        <v>18515</v>
      </c>
      <c r="C14703" s="5" t="str">
        <f>IFERROR(__xludf.DUMMYFUNCTION("GOOGLETRANSLATE(B14703,""en"",""de"")"),"Der Mann legt mehrere Karten aus, während er mehr umdreht und auf Objekte zeigt, die auf dem Tisch gelegt werden.")</f>
        <v>Der Mann legt mehrere Karten aus, während er mehr umdreht und auf Objekte zeigt, die auf dem Tisch gelegt werden.</v>
      </c>
    </row>
    <row r="14704">
      <c r="A14704" s="4" t="s">
        <v>18516</v>
      </c>
      <c r="B14704" s="4" t="s">
        <v>18517</v>
      </c>
      <c r="C14704" s="5" t="str">
        <f>IFERROR(__xludf.DUMMYFUNCTION("GOOGLETRANSLATE(B14704,""en"",""de"")"),"Verschiedene Zutaten werden auf einem Tisch angelegt und führen zu einer Person, die die Zutaten in eine Schüssel gießt.")</f>
        <v>Verschiedene Zutaten werden auf einem Tisch angelegt und führen zu einer Person, die die Zutaten in eine Schüssel gießt.</v>
      </c>
    </row>
    <row r="14705">
      <c r="A14705" s="4" t="s">
        <v>18516</v>
      </c>
      <c r="B14705" s="4" t="s">
        <v>18518</v>
      </c>
      <c r="C14705" s="5" t="str">
        <f>IFERROR(__xludf.DUMMYFUNCTION("GOOGLETRANSLATE(B14705,""en"",""de"")"),"Die Person rührt sich gründlich und wischt sich dann mit einem Tuch einen Tisch ab.")</f>
        <v>Die Person rührt sich gründlich und wischt sich dann mit einem Tuch einen Tisch ab.</v>
      </c>
    </row>
    <row r="14706">
      <c r="A14706" s="4" t="s">
        <v>18519</v>
      </c>
      <c r="B14706" s="4" t="s">
        <v>18520</v>
      </c>
      <c r="C14706" s="5" t="str">
        <f>IFERROR(__xludf.DUMMYFUNCTION("GOOGLETRANSLATE(B14706,""en"",""de"")"),"Ein TV -Moderator und eine Schauspielerin setzen Googles, um Rock-, Papier- und Scherenkuchen vor einem Kuchen mit weißer Creme zu spielen.")</f>
        <v>Ein TV -Moderator und eine Schauspielerin setzen Googles, um Rock-, Papier- und Scherenkuchen vor einem Kuchen mit weißer Creme zu spielen.</v>
      </c>
    </row>
    <row r="14707">
      <c r="A14707" s="4" t="s">
        <v>18519</v>
      </c>
      <c r="B14707" s="4" t="s">
        <v>18521</v>
      </c>
      <c r="C14707" s="5" t="str">
        <f>IFERROR(__xludf.DUMMYFUNCTION("GOOGLETRANSLATE(B14707,""en"",""de"")"),"Nach einer Weile dreht die Frau einen Griff, der den Kuchen erhöht, der auf der Gesichtsschauspielerin landet.")</f>
        <v>Nach einer Weile dreht die Frau einen Griff, der den Kuchen erhöht, der auf der Gesichtsschauspielerin landet.</v>
      </c>
    </row>
    <row r="14708">
      <c r="A14708" s="4" t="s">
        <v>18519</v>
      </c>
      <c r="B14708" s="4" t="s">
        <v>18522</v>
      </c>
      <c r="C14708" s="5" t="str">
        <f>IFERROR(__xludf.DUMMYFUNCTION("GOOGLETRANSLATE(B14708,""en"",""de"")"),"Dann landet der Kuchen zum zweiten Mal auf dem Gesicht der Schauspielerin, ebenfalls auf dem Gesicht des Fernsehermoderers.")</f>
        <v>Dann landet der Kuchen zum zweiten Mal auf dem Gesicht der Schauspielerin, ebenfalls auf dem Gesicht des Fernsehermoderers.</v>
      </c>
    </row>
    <row r="14709">
      <c r="A14709" s="4" t="s">
        <v>18519</v>
      </c>
      <c r="B14709" s="4" t="s">
        <v>18523</v>
      </c>
      <c r="C14709" s="5" t="str">
        <f>IFERROR(__xludf.DUMMYFUNCTION("GOOGLETRANSLATE(B14709,""en"",""de"")"),"Der TV -Moderator hält Enten an beiden Händen, dann tat er vor, die Ente auf der rechten Hand zu essen.")</f>
        <v>Der TV -Moderator hält Enten an beiden Händen, dann tat er vor, die Ente auf der rechten Hand zu essen.</v>
      </c>
    </row>
    <row r="14710">
      <c r="A14710" s="4" t="s">
        <v>18524</v>
      </c>
      <c r="B14710" s="4" t="s">
        <v>18525</v>
      </c>
      <c r="C14710" s="5" t="str">
        <f>IFERROR(__xludf.DUMMYFUNCTION("GOOGLETRANSLATE(B14710,""en"",""de"")"),"Es werden mehrere Aufnahmen einer Stadt gezeigt wie Menschen herumlaufen und miteinander sprechen.")</f>
        <v>Es werden mehrere Aufnahmen einer Stadt gezeigt wie Menschen herumlaufen und miteinander sprechen.</v>
      </c>
    </row>
    <row r="14711">
      <c r="A14711" s="4" t="s">
        <v>18524</v>
      </c>
      <c r="B14711" s="4" t="s">
        <v>18526</v>
      </c>
      <c r="C14711" s="5" t="str">
        <f>IFERROR(__xludf.DUMMYFUNCTION("GOOGLETRANSLATE(B14711,""en"",""de"")"),"Die Leute werden dann entlang von Wänden gepflastert und Broschüren verteilen und miteinander sprechen.")</f>
        <v>Die Leute werden dann entlang von Wänden gepflastert und Broschüren verteilen und miteinander sprechen.</v>
      </c>
    </row>
    <row r="14712">
      <c r="A14712" s="4" t="s">
        <v>18524</v>
      </c>
      <c r="B14712" s="4" t="s">
        <v>18527</v>
      </c>
      <c r="C14712" s="5" t="str">
        <f>IFERROR(__xludf.DUMMYFUNCTION("GOOGLETRANSLATE(B14712,""en"",""de"")"),"Die Leute berühren die Materialien an den Wänden und endet, indem sie mit der Kamera sprechen.")</f>
        <v>Die Leute berühren die Materialien an den Wänden und endet, indem sie mit der Kamera sprechen.</v>
      </c>
    </row>
    <row r="14713">
      <c r="A14713" s="4" t="s">
        <v>18528</v>
      </c>
      <c r="B14713" s="4" t="s">
        <v>18529</v>
      </c>
      <c r="C14713" s="5" t="str">
        <f>IFERROR(__xludf.DUMMYFUNCTION("GOOGLETRANSLATE(B14713,""en"",""de"")"),"Einige Vorräte, die zum Glanz von Schuhen benötigt werden, werden gezeigt.")</f>
        <v>Einige Vorräte, die zum Glanz von Schuhen benötigt werden, werden gezeigt.</v>
      </c>
    </row>
    <row r="14714">
      <c r="A14714" s="4" t="s">
        <v>18528</v>
      </c>
      <c r="B14714" s="4" t="s">
        <v>18530</v>
      </c>
      <c r="C14714" s="5" t="str">
        <f>IFERROR(__xludf.DUMMYFUNCTION("GOOGLETRANSLATE(B14714,""en"",""de"")"),"Ein älterer Mann strahlt einen Schuh und spricht darüber, wie er Schuhe strahlt und wie er als Kind gelernt hat, Schuhe zu glänzen.")</f>
        <v>Ein älterer Mann strahlt einen Schuh und spricht darüber, wie er Schuhe strahlt und wie er als Kind gelernt hat, Schuhe zu glänzen.</v>
      </c>
    </row>
    <row r="14715">
      <c r="A14715" s="4" t="s">
        <v>18528</v>
      </c>
      <c r="B14715" s="4" t="s">
        <v>18531</v>
      </c>
      <c r="C14715" s="5" t="str">
        <f>IFERROR(__xludf.DUMMYFUNCTION("GOOGLETRANSLATE(B14715,""en"",""de"")"),"Der gleiche Mann wird gezeigt, wie ein anderer Mannschuhe leuchtet.")</f>
        <v>Der gleiche Mann wird gezeigt, wie ein anderer Mannschuhe leuchtet.</v>
      </c>
    </row>
    <row r="14716">
      <c r="A14716" s="4" t="s">
        <v>18528</v>
      </c>
      <c r="B14716" s="4" t="s">
        <v>18532</v>
      </c>
      <c r="C14716" s="5" t="str">
        <f>IFERROR(__xludf.DUMMYFUNCTION("GOOGLETRANSLATE(B14716,""en"",""de"")"),"Der gleiche Mann scheint Schuhe in einem Laden, während andere Leute sitzen oder herumlaufen.")</f>
        <v>Der gleiche Mann scheint Schuhe in einem Laden, während andere Leute sitzen oder herumlaufen.</v>
      </c>
    </row>
    <row r="14717">
      <c r="A14717" s="4" t="s">
        <v>18528</v>
      </c>
      <c r="B14717" s="4" t="s">
        <v>18533</v>
      </c>
      <c r="C14717" s="5" t="str">
        <f>IFERROR(__xludf.DUMMYFUNCTION("GOOGLETRANSLATE(B14717,""en"",""de"")"),"Ein altes Schwarzweißfoto zeigt sich von einem Friseurladen.")</f>
        <v>Ein altes Schwarzweißfoto zeigt sich von einem Friseurladen.</v>
      </c>
    </row>
    <row r="14718">
      <c r="A14718" s="4" t="s">
        <v>18528</v>
      </c>
      <c r="B14718" s="4" t="s">
        <v>18534</v>
      </c>
      <c r="C14718" s="5" t="str">
        <f>IFERROR(__xludf.DUMMYFUNCTION("GOOGLETRANSLATE(B14718,""en"",""de"")"),"Der ältere Mann strahlt einen weiteren Schuh und spricht über leuchtende Schuhe.")</f>
        <v>Der ältere Mann strahlt einen weiteren Schuh und spricht über leuchtende Schuhe.</v>
      </c>
    </row>
    <row r="14719">
      <c r="A14719" s="4" t="s">
        <v>18528</v>
      </c>
      <c r="B14719" s="4" t="s">
        <v>18535</v>
      </c>
      <c r="C14719" s="5" t="str">
        <f>IFERROR(__xludf.DUMMYFUNCTION("GOOGLETRANSLATE(B14719,""en"",""de"")"),"Ein anderer Mann ist im Hintergrund zu sehen, der weggeht.")</f>
        <v>Ein anderer Mann ist im Hintergrund zu sehen, der weggeht.</v>
      </c>
    </row>
    <row r="14720">
      <c r="A14720" s="4" t="s">
        <v>18536</v>
      </c>
      <c r="B14720" s="4" t="s">
        <v>18537</v>
      </c>
      <c r="C14720" s="5" t="str">
        <f>IFERROR(__xludf.DUMMYFUNCTION("GOOGLETRANSLATE(B14720,""en"",""de"")"),"Der Mensch steht in einem Trampolin und macht einen Vig -Somersault in den Pool.")</f>
        <v>Der Mensch steht in einem Trampolin und macht einen Vig -Somersault in den Pool.</v>
      </c>
    </row>
    <row r="14721">
      <c r="A14721" s="4" t="s">
        <v>18536</v>
      </c>
      <c r="B14721" s="4" t="s">
        <v>18538</v>
      </c>
      <c r="C14721" s="5" t="str">
        <f>IFERROR(__xludf.DUMMYFUNCTION("GOOGLETRANSLATE(B14721,""en"",""de"")"),"Zwei Männer sitzen im ersten Stock des Trampolins und beobachten den Sprung.")</f>
        <v>Zwei Männer sitzen im ersten Stock des Trampolins und beobachten den Sprung.</v>
      </c>
    </row>
    <row r="14722">
      <c r="A14722" s="4" t="s">
        <v>18536</v>
      </c>
      <c r="B14722" s="4" t="s">
        <v>18539</v>
      </c>
      <c r="C14722" s="5" t="str">
        <f>IFERROR(__xludf.DUMMYFUNCTION("GOOGLETRANSLATE(B14722,""en"",""de"")"),"Der Mann bekommt den Pool aus, schnappt sich ein Handtuch und trocknete sein Gesicht.")</f>
        <v>Der Mann bekommt den Pool aus, schnappt sich ein Handtuch und trocknete sein Gesicht.</v>
      </c>
    </row>
    <row r="14723">
      <c r="A14723" s="4" t="s">
        <v>18536</v>
      </c>
      <c r="B14723" s="4" t="s">
        <v>18540</v>
      </c>
      <c r="C14723" s="5" t="str">
        <f>IFERROR(__xludf.DUMMYFUNCTION("GOOGLETRANSLATE(B14723,""en"",""de"")"),"Die Leute laufen durch den Pool mit Taschen.")</f>
        <v>Die Leute laufen durch den Pool mit Taschen.</v>
      </c>
    </row>
    <row r="14724">
      <c r="A14724" s="4" t="s">
        <v>18541</v>
      </c>
      <c r="B14724" s="4" t="s">
        <v>18542</v>
      </c>
      <c r="C14724" s="5" t="str">
        <f>IFERROR(__xludf.DUMMYFUNCTION("GOOGLETRANSLATE(B14724,""en"",""de"")"),"Ein Mann sitzt in einem Raum.")</f>
        <v>Ein Mann sitzt in einem Raum.</v>
      </c>
    </row>
    <row r="14725">
      <c r="A14725" s="4" t="s">
        <v>18541</v>
      </c>
      <c r="B14725" s="4" t="s">
        <v>18543</v>
      </c>
      <c r="C14725" s="5" t="str">
        <f>IFERROR(__xludf.DUMMYFUNCTION("GOOGLETRANSLATE(B14725,""en"",""de"")"),"Er spricht animiert mit der Kamera.")</f>
        <v>Er spricht animiert mit der Kamera.</v>
      </c>
    </row>
    <row r="14726">
      <c r="A14726" s="4" t="s">
        <v>18541</v>
      </c>
      <c r="B14726" s="4" t="s">
        <v>18544</v>
      </c>
      <c r="C14726" s="5" t="str">
        <f>IFERROR(__xludf.DUMMYFUNCTION("GOOGLETRANSLATE(B14726,""en"",""de"")"),"Er spricht darüber und zeigt, wie man eine Mundharmonika spielt.")</f>
        <v>Er spricht darüber und zeigt, wie man eine Mundharmonika spielt.</v>
      </c>
    </row>
    <row r="14727">
      <c r="A14727" s="4" t="s">
        <v>18545</v>
      </c>
      <c r="B14727" s="4" t="s">
        <v>18546</v>
      </c>
      <c r="C14727" s="5" t="str">
        <f>IFERROR(__xludf.DUMMYFUNCTION("GOOGLETRANSLATE(B14727,""en"",""de"")"),"Mehrere Getreide- oder Röpfer -Personen gehen am Vordergrund am Vordergrund, während sich die Kamera auf eine Gruppe von Menschen im Hintergrund konzentriert.")</f>
        <v>Mehrere Getreide- oder Röpfer -Personen gehen am Vordergrund am Vordergrund, während sich die Kamera auf eine Gruppe von Menschen im Hintergrund konzentriert.</v>
      </c>
    </row>
    <row r="14728">
      <c r="A14728" s="4" t="s">
        <v>18545</v>
      </c>
      <c r="B14728" s="4" t="s">
        <v>18547</v>
      </c>
      <c r="C14728" s="5" t="str">
        <f>IFERROR(__xludf.DUMMYFUNCTION("GOOGLETRANSLATE(B14728,""en"",""de"")"),"Ein Tor öffnet und ein Reithöfungsmann jagt eine Kuh.")</f>
        <v>Ein Tor öffnet und ein Reithöfungsmann jagt eine Kuh.</v>
      </c>
    </row>
    <row r="14729">
      <c r="A14729" s="4" t="s">
        <v>18545</v>
      </c>
      <c r="B14729" s="4" t="s">
        <v>18548</v>
      </c>
      <c r="C14729" s="5" t="str">
        <f>IFERROR(__xludf.DUMMYFUNCTION("GOOGLETRANSLATE(B14729,""en"",""de"")"),"Der Mann Lassos und sichert die Kuh.")</f>
        <v>Der Mann Lassos und sichert die Kuh.</v>
      </c>
    </row>
    <row r="14730">
      <c r="A14730" s="4" t="s">
        <v>18545</v>
      </c>
      <c r="B14730" s="4" t="s">
        <v>18549</v>
      </c>
      <c r="C14730" s="5" t="str">
        <f>IFERROR(__xludf.DUMMYFUNCTION("GOOGLETRANSLATE(B14730,""en"",""de"")"),"Andere rennen auf, um mit der Kuh zu helfen.")</f>
        <v>Andere rennen auf, um mit der Kuh zu helfen.</v>
      </c>
    </row>
    <row r="14731">
      <c r="A14731" s="4" t="s">
        <v>18550</v>
      </c>
      <c r="B14731" s="4" t="s">
        <v>18551</v>
      </c>
      <c r="C14731" s="5" t="str">
        <f>IFERROR(__xludf.DUMMYFUNCTION("GOOGLETRANSLATE(B14731,""en"",""de"")"),"Eine Frau im weißen und grauen Hemd spricht, dann wird ein Glas und ein Krug Limonade mit Stroh gezeigt.")</f>
        <v>Eine Frau im weißen und grauen Hemd spricht, dann wird ein Glas und ein Krug Limonade mit Stroh gezeigt.</v>
      </c>
    </row>
    <row r="14732">
      <c r="A14732" s="4" t="s">
        <v>18550</v>
      </c>
      <c r="B14732" s="4" t="s">
        <v>18552</v>
      </c>
      <c r="C14732" s="5" t="str">
        <f>IFERROR(__xludf.DUMMYFUNCTION("GOOGLETRANSLATE(B14732,""en"",""de"")"),"Zwei Zitronen befinden sich in einer kleinen Schüssel, dann spricht die blonde Frau in der Kamera, eine Hand hat die Zitrone geschnitten, die Zitrone in die Schüssel drückt und die Zitrone mit einem Sieb in den Krug gießen.")</f>
        <v>Zwei Zitronen befinden sich in einer kleinen Schüssel, dann spricht die blonde Frau in der Kamera, eine Hand hat die Zitrone geschnitten, die Zitrone in die Schüssel drückt und die Zitrone mit einem Sieb in den Krug gießen.</v>
      </c>
    </row>
    <row r="14733">
      <c r="A14733" s="4" t="s">
        <v>18550</v>
      </c>
      <c r="B14733" s="4" t="s">
        <v>18553</v>
      </c>
      <c r="C14733" s="5" t="str">
        <f>IFERROR(__xludf.DUMMYFUNCTION("GOOGLETRANSLATE(B14733,""en"",""de"")"),"Die Frau spricht dann, dann wird der Topf in den Herd gelegt, Wasser hinzugefügt, dann den Zucker hinzugefügt, fügte die Zitronenschale hinzu und mischte den Topf, die Frau fügte gelbe Flüssigkeit in den Krug hinzu, fügte das Eis hinzu und fügte Zitronen "&amp;"in Scheiben und goss den Saft hinein das Glas.")</f>
        <v>Die Frau spricht dann, dann wird der Topf in den Herd gelegt, Wasser hinzugefügt, dann den Zucker hinzugefügt, fügte die Zitronenschale hinzu und mischte den Topf, die Frau fügte gelbe Flüssigkeit in den Krug hinzu, fügte das Eis hinzu und fügte Zitronen in Scheiben und goss den Saft hinein das Glas.</v>
      </c>
    </row>
    <row r="14734">
      <c r="A14734" s="4" t="s">
        <v>18554</v>
      </c>
      <c r="B14734" s="4" t="s">
        <v>18555</v>
      </c>
      <c r="C14734" s="5" t="str">
        <f>IFERROR(__xludf.DUMMYFUNCTION("GOOGLETRANSLATE(B14734,""en"",""de"")"),"Eine Person wird gesehen, wie sie auf einem Surfbrett entlang des Wassers reitet und andere miteinander sprechen.")</f>
        <v>Eine Person wird gesehen, wie sie auf einem Surfbrett entlang des Wassers reitet und andere miteinander sprechen.</v>
      </c>
    </row>
    <row r="14735">
      <c r="A14735" s="4" t="s">
        <v>18554</v>
      </c>
      <c r="B14735" s="4" t="s">
        <v>18556</v>
      </c>
      <c r="C14735" s="5" t="str">
        <f>IFERROR(__xludf.DUMMYFUNCTION("GOOGLETRANSLATE(B14735,""en"",""de"")"),"Ein Mann spricht mit der Kamera sowie mehr Menschen, die auf dem Wasser reiten.")</f>
        <v>Ein Mann spricht mit der Kamera sowie mehr Menschen, die auf dem Wasser reiten.</v>
      </c>
    </row>
    <row r="14736">
      <c r="A14736" s="4" t="s">
        <v>18554</v>
      </c>
      <c r="B14736" s="4" t="s">
        <v>18557</v>
      </c>
      <c r="C14736" s="5" t="str">
        <f>IFERROR(__xludf.DUMMYFUNCTION("GOOGLETRANSLATE(B14736,""en"",""de"")"),"Weitere Leute sprechen sowohl miteinander als auch in die Kamera und enden, indem sie auf den Brettern reiten.")</f>
        <v>Weitere Leute sprechen sowohl miteinander als auch in die Kamera und enden, indem sie auf den Brettern reiten.</v>
      </c>
    </row>
    <row r="14737">
      <c r="A14737" s="4" t="s">
        <v>18558</v>
      </c>
      <c r="B14737" s="4" t="s">
        <v>18559</v>
      </c>
      <c r="C14737" s="5" t="str">
        <f>IFERROR(__xludf.DUMMYFUNCTION("GOOGLETRANSLATE(B14737,""en"",""de"")"),"Eine Frau, die einen BH trägt, steht in einem Raum.")</f>
        <v>Eine Frau, die einen BH trägt, steht in einem Raum.</v>
      </c>
    </row>
    <row r="14738">
      <c r="A14738" s="4" t="s">
        <v>18558</v>
      </c>
      <c r="B14738" s="4" t="s">
        <v>18560</v>
      </c>
      <c r="C14738" s="5" t="str">
        <f>IFERROR(__xludf.DUMMYFUNCTION("GOOGLETRANSLATE(B14738,""en"",""de"")"),"Sie wirft einen Pfeil durch den Raum.")</f>
        <v>Sie wirft einen Pfeil durch den Raum.</v>
      </c>
    </row>
    <row r="14739">
      <c r="A14739" s="4" t="s">
        <v>18558</v>
      </c>
      <c r="B14739" s="4" t="s">
        <v>18561</v>
      </c>
      <c r="C14739" s="5" t="str">
        <f>IFERROR(__xludf.DUMMYFUNCTION("GOOGLETRANSLATE(B14739,""en"",""de"")"),"Ein Mann mit einem Hut steht neben ihr.")</f>
        <v>Ein Mann mit einem Hut steht neben ihr.</v>
      </c>
    </row>
    <row r="14740">
      <c r="A14740" s="4" t="s">
        <v>18562</v>
      </c>
      <c r="B14740" s="4" t="s">
        <v>18563</v>
      </c>
      <c r="C14740" s="5" t="str">
        <f>IFERROR(__xludf.DUMMYFUNCTION("GOOGLETRANSLATE(B14740,""en"",""de"")"),"Eine junge Dame mit breiten Schultern und Schwänzen nähert sich einer Bühne, in der sie ihren Geist vorbereitet.")</f>
        <v>Eine junge Dame mit breiten Schultern und Schwänzen nähert sich einer Bühne, in der sie ihren Geist vorbereitet.</v>
      </c>
    </row>
    <row r="14741">
      <c r="A14741" s="4" t="s">
        <v>18562</v>
      </c>
      <c r="B14741" s="4" t="s">
        <v>18564</v>
      </c>
      <c r="C14741" s="5" t="str">
        <f>IFERROR(__xludf.DUMMYFUNCTION("GOOGLETRANSLATE(B14741,""en"",""de"")"),"Die Dame knackt die Knöchel und beugt sich dann und versucht, die Gewichte zu heben.")</f>
        <v>Die Dame knackt die Knöchel und beugt sich dann und versucht, die Gewichte zu heben.</v>
      </c>
    </row>
    <row r="14742">
      <c r="A14742" s="4" t="s">
        <v>18562</v>
      </c>
      <c r="B14742" s="4" t="s">
        <v>18565</v>
      </c>
      <c r="C14742" s="5" t="str">
        <f>IFERROR(__xludf.DUMMYFUNCTION("GOOGLETRANSLATE(B14742,""en"",""de"")"),"Zu viel Gewicht liegt an der Stange und die Mädchen drehen ihren Arm im Kreis, fallen die Stange und schreit in Qual aus.")</f>
        <v>Zu viel Gewicht liegt an der Stange und die Mädchen drehen ihren Arm im Kreis, fallen die Stange und schreit in Qual aus.</v>
      </c>
    </row>
    <row r="14743">
      <c r="A14743" s="4" t="s">
        <v>18562</v>
      </c>
      <c r="B14743" s="4" t="s">
        <v>18566</v>
      </c>
      <c r="C14743" s="5" t="str">
        <f>IFERROR(__xludf.DUMMYFUNCTION("GOOGLETRANSLATE(B14743,""en"",""de"")"),"Ein anderes Mädchen geht dann auf und hebt die Bar auf halbem Weg, merkt sie unfähig und lässt sie fallen.")</f>
        <v>Ein anderes Mädchen geht dann auf und hebt die Bar auf halbem Weg, merkt sie unfähig und lässt sie fallen.</v>
      </c>
    </row>
    <row r="14744">
      <c r="A14744" s="4" t="s">
        <v>18562</v>
      </c>
      <c r="B14744" s="4" t="s">
        <v>18567</v>
      </c>
      <c r="C14744" s="5" t="str">
        <f>IFERROR(__xludf.DUMMYFUNCTION("GOOGLETRANSLATE(B14744,""en"",""de"")"),"Nachdem sie weggeht, streift sie sich selbst ab und versucht es erneut und hebt sie über ihren Kopf, lässt es fallen und begleitet sich selbst.")</f>
        <v>Nachdem sie weggeht, streift sie sich selbst ab und versucht es erneut und hebt sie über ihren Kopf, lässt es fallen und begleitet sich selbst.</v>
      </c>
    </row>
    <row r="14745">
      <c r="A14745" s="4" t="s">
        <v>18562</v>
      </c>
      <c r="B14745" s="4" t="s">
        <v>18568</v>
      </c>
      <c r="C14745" s="5" t="str">
        <f>IFERROR(__xludf.DUMMYFUNCTION("GOOGLETRANSLATE(B14745,""en"",""de"")"),"Anschließend wird ein Screen -Bildschirm angezeigt und ein anderes Mädchen versucht das Gewicht.")</f>
        <v>Anschließend wird ein Screen -Bildschirm angezeigt und ein anderes Mädchen versucht das Gewicht.</v>
      </c>
    </row>
    <row r="14746">
      <c r="A14746" s="4" t="s">
        <v>18562</v>
      </c>
      <c r="B14746" s="4" t="s">
        <v>18569</v>
      </c>
      <c r="C14746" s="5" t="str">
        <f>IFERROR(__xludf.DUMMYFUNCTION("GOOGLETRANSLATE(B14746,""en"",""de"")"),"Die zweite junge Dame kommt zurück und macht das Gleiche wie die Frau, die nach ihr kam.")</f>
        <v>Die zweite junge Dame kommt zurück und macht das Gleiche wie die Frau, die nach ihr kam.</v>
      </c>
    </row>
    <row r="14747">
      <c r="A14747" s="4" t="s">
        <v>18562</v>
      </c>
      <c r="B14747" s="4" t="s">
        <v>18570</v>
      </c>
      <c r="C14747" s="5" t="str">
        <f>IFERROR(__xludf.DUMMYFUNCTION("GOOGLETRANSLATE(B14747,""en"",""de"")"),"Das Mädchen kommt zurück, erkennt aber, dass das Gewicht zu schwer ist und es aufgibt, es zu heben.")</f>
        <v>Das Mädchen kommt zurück, erkennt aber, dass das Gewicht zu schwer ist und es aufgibt, es zu heben.</v>
      </c>
    </row>
    <row r="14748">
      <c r="A14748" s="4" t="s">
        <v>18562</v>
      </c>
      <c r="B14748" s="4" t="s">
        <v>18571</v>
      </c>
      <c r="C14748" s="5" t="str">
        <f>IFERROR(__xludf.DUMMYFUNCTION("GOOGLETRANSLATE(B14748,""en"",""de"")"),"Das ursprüngliche Mädchen kommt jedoch zurück und hebt bis zum letzten Mal immer mehr Gewicht, sie schmeckt dann zu einer olympischen Bühne und erhalten ihr Metall.")</f>
        <v>Das ursprüngliche Mädchen kommt jedoch zurück und hebt bis zum letzten Mal immer mehr Gewicht, sie schmeckt dann zu einer olympischen Bühne und erhalten ihr Metall.</v>
      </c>
    </row>
    <row r="14749">
      <c r="A14749" s="4" t="s">
        <v>18572</v>
      </c>
      <c r="B14749" s="4" t="s">
        <v>18573</v>
      </c>
      <c r="C14749" s="5" t="str">
        <f>IFERROR(__xludf.DUMMYFUNCTION("GOOGLETRANSLATE(B14749,""en"",""de"")"),"Ein Foto wird von einem Mann vergrenzt, der von einem Stier gefragt wird.")</f>
        <v>Ein Foto wird von einem Mann vergrenzt, der von einem Stier gefragt wird.</v>
      </c>
    </row>
    <row r="14750">
      <c r="A14750" s="4" t="s">
        <v>18572</v>
      </c>
      <c r="B14750" s="4" t="s">
        <v>18574</v>
      </c>
      <c r="C14750" s="5" t="str">
        <f>IFERROR(__xludf.DUMMYFUNCTION("GOOGLETRANSLATE(B14750,""en"",""de"")"),"Ein Stier beschuldigt einen Mann und schlägt ihn herum, bis die Leute herauskommen und ihn ablenken.")</f>
        <v>Ein Stier beschuldigt einen Mann und schlägt ihn herum, bis die Leute herauskommen und ihn ablenken.</v>
      </c>
    </row>
    <row r="14751">
      <c r="A14751" s="4" t="s">
        <v>18572</v>
      </c>
      <c r="B14751" s="4" t="s">
        <v>18575</v>
      </c>
      <c r="C14751" s="5" t="str">
        <f>IFERROR(__xludf.DUMMYFUNCTION("GOOGLETRANSLATE(B14751,""en"",""de"")"),"Es schneidet dem Mann, der wieder vom Stier angeklagt wird.")</f>
        <v>Es schneidet dem Mann, der wieder vom Stier angeklagt wird.</v>
      </c>
    </row>
    <row r="14752">
      <c r="A14752" s="4" t="s">
        <v>18572</v>
      </c>
      <c r="B14752" s="4" t="s">
        <v>18576</v>
      </c>
      <c r="C14752" s="5" t="str">
        <f>IFERROR(__xludf.DUMMYFUNCTION("GOOGLETRANSLATE(B14752,""en"",""de"")"),"Er wird wieder herumgeschlagen, bis die Leute herauskommen, um den Stier abzulenken.")</f>
        <v>Er wird wieder herumgeschlagen, bis die Leute herauskommen, um den Stier abzulenken.</v>
      </c>
    </row>
    <row r="14753">
      <c r="A14753" s="4" t="s">
        <v>18572</v>
      </c>
      <c r="B14753" s="4" t="s">
        <v>18577</v>
      </c>
      <c r="C14753" s="5" t="str">
        <f>IFERROR(__xludf.DUMMYFUNCTION("GOOGLETRANSLATE(B14753,""en"",""de"")"),"Er wird aus dem Ring gebracht.")</f>
        <v>Er wird aus dem Ring gebracht.</v>
      </c>
    </row>
    <row r="14754">
      <c r="A14754" s="4" t="s">
        <v>18572</v>
      </c>
      <c r="B14754" s="4" t="s">
        <v>18578</v>
      </c>
      <c r="C14754" s="5" t="str">
        <f>IFERROR(__xludf.DUMMYFUNCTION("GOOGLETRANSLATE(B14754,""en"",""de"")"),"Noch einmal, der Bulle beschuldigt den Mann und schlägt ihn nieder.")</f>
        <v>Noch einmal, der Bulle beschuldigt den Mann und schlägt ihn nieder.</v>
      </c>
    </row>
    <row r="14755">
      <c r="A14755" s="4" t="s">
        <v>18572</v>
      </c>
      <c r="B14755" s="4" t="s">
        <v>18579</v>
      </c>
      <c r="C14755" s="5" t="str">
        <f>IFERROR(__xludf.DUMMYFUNCTION("GOOGLETRANSLATE(B14755,""en"",""de"")"),"Die Leute kommen heraus und lenken den Stier ab.")</f>
        <v>Die Leute kommen heraus und lenken den Stier ab.</v>
      </c>
    </row>
    <row r="14756">
      <c r="A14756" s="4" t="s">
        <v>18572</v>
      </c>
      <c r="B14756" s="4" t="s">
        <v>18580</v>
      </c>
      <c r="C14756" s="5" t="str">
        <f>IFERROR(__xludf.DUMMYFUNCTION("GOOGLETRANSLATE(B14756,""en"",""de"")"),"Er wird letztes Mal durchgeführt.")</f>
        <v>Er wird letztes Mal durchgeführt.</v>
      </c>
    </row>
    <row r="14757">
      <c r="A14757" s="4" t="s">
        <v>18581</v>
      </c>
      <c r="B14757" s="4" t="s">
        <v>18582</v>
      </c>
      <c r="C14757" s="5" t="str">
        <f>IFERROR(__xludf.DUMMYFUNCTION("GOOGLETRANSLATE(B14757,""en"",""de"")"),"Ein älterer Mann sitzt auf einem Protokoll in einem öffentlichen Raum vor einem Klavier.")</f>
        <v>Ein älterer Mann sitzt auf einem Protokoll in einem öffentlichen Raum vor einem Klavier.</v>
      </c>
    </row>
    <row r="14758">
      <c r="A14758" s="4" t="s">
        <v>18581</v>
      </c>
      <c r="B14758" s="4" t="s">
        <v>18583</v>
      </c>
      <c r="C14758" s="5" t="str">
        <f>IFERROR(__xludf.DUMMYFUNCTION("GOOGLETRANSLATE(B14758,""en"",""de"")"),"Der Mann spielt dann das Klavier, während die Kamera ihn spielt.")</f>
        <v>Der Mann spielt dann das Klavier, während die Kamera ihn spielt.</v>
      </c>
    </row>
    <row r="14759">
      <c r="A14759" s="4" t="s">
        <v>18581</v>
      </c>
      <c r="B14759" s="4" t="s">
        <v>18584</v>
      </c>
      <c r="C14759" s="5" t="str">
        <f>IFERROR(__xludf.DUMMYFUNCTION("GOOGLETRANSLATE(B14759,""en"",""de"")"),"Der Mann singt in die Kamera, während er weiter spielt und die Kamera sich um seine Bewegungen bewegt.")</f>
        <v>Der Mann singt in die Kamera, während er weiter spielt und die Kamera sich um seine Bewegungen bewegt.</v>
      </c>
    </row>
    <row r="14760">
      <c r="A14760" s="4" t="s">
        <v>18585</v>
      </c>
      <c r="B14760" s="4" t="s">
        <v>18586</v>
      </c>
      <c r="C14760" s="5" t="str">
        <f>IFERROR(__xludf.DUMMYFUNCTION("GOOGLETRANSLATE(B14760,""en"",""de"")"),"Eine riesige Menge ist draußen versammelt.")</f>
        <v>Eine riesige Menge ist draußen versammelt.</v>
      </c>
    </row>
    <row r="14761">
      <c r="A14761" s="4" t="s">
        <v>18585</v>
      </c>
      <c r="B14761" s="4" t="s">
        <v>18587</v>
      </c>
      <c r="C14761" s="5" t="str">
        <f>IFERROR(__xludf.DUMMYFUNCTION("GOOGLETRANSLATE(B14761,""en"",""de"")"),"Sie alle spielen einen Übungsentanz, der als Zumba bekannt ist.")</f>
        <v>Sie alle spielen einen Übungsentanz, der als Zumba bekannt ist.</v>
      </c>
    </row>
    <row r="14762">
      <c r="A14762" s="4" t="s">
        <v>18588</v>
      </c>
      <c r="B14762" s="4" t="s">
        <v>18589</v>
      </c>
      <c r="C14762" s="5" t="str">
        <f>IFERROR(__xludf.DUMMYFUNCTION("GOOGLETRANSLATE(B14762,""en"",""de"")"),"Ein sportlicher Mann steht mit den Armen und beginnt eine Gymnastikroutine durchzuführen.")</f>
        <v>Ein sportlicher Mann steht mit den Armen und beginnt eine Gymnastikroutine durchzuführen.</v>
      </c>
    </row>
    <row r="14763">
      <c r="A14763" s="4" t="s">
        <v>18588</v>
      </c>
      <c r="B14763" s="4" t="s">
        <v>18590</v>
      </c>
      <c r="C14763" s="5" t="str">
        <f>IFERROR(__xludf.DUMMYFUNCTION("GOOGLETRANSLATE(B14763,""en"",""de"")"),"Er dreht sich um die Stange und führt mehrere Flips und Tricks und endet mit ihm, als er seine Arme in die Luft steckt.")</f>
        <v>Er dreht sich um die Stange und führt mehrere Flips und Tricks und endet mit ihm, als er seine Arme in die Luft steckt.</v>
      </c>
    </row>
    <row r="14764">
      <c r="A14764" s="4" t="s">
        <v>18591</v>
      </c>
      <c r="B14764" s="4" t="s">
        <v>18592</v>
      </c>
      <c r="C14764" s="5" t="str">
        <f>IFERROR(__xludf.DUMMYFUNCTION("GOOGLETRANSLATE(B14764,""en"",""de"")"),"Ein kleiner Junge spricht mit der Kamera in seinem Schlafzimmer.")</f>
        <v>Ein kleiner Junge spricht mit der Kamera in seinem Schlafzimmer.</v>
      </c>
    </row>
    <row r="14765">
      <c r="A14765" s="4" t="s">
        <v>18591</v>
      </c>
      <c r="B14765" s="4" t="s">
        <v>18593</v>
      </c>
      <c r="C14765" s="5" t="str">
        <f>IFERROR(__xludf.DUMMYFUNCTION("GOOGLETRANSLATE(B14765,""en"",""de"")"),"Er entfernt Dinge von Schubladen, wie Lipgloss und legt es für die Kamera an.")</f>
        <v>Er entfernt Dinge von Schubladen, wie Lipgloss und legt es für die Kamera an.</v>
      </c>
    </row>
    <row r="14766">
      <c r="A14766" s="4" t="s">
        <v>18591</v>
      </c>
      <c r="B14766" s="4" t="s">
        <v>18594</v>
      </c>
      <c r="C14766" s="5" t="str">
        <f>IFERROR(__xludf.DUMMYFUNCTION("GOOGLETRANSLATE(B14766,""en"",""de"")"),"Er wendet unordentliches Make -up an und posiert für die Kamera.")</f>
        <v>Er wendet unordentliches Make -up an und posiert für die Kamera.</v>
      </c>
    </row>
    <row r="14767">
      <c r="A14767" s="4" t="s">
        <v>18595</v>
      </c>
      <c r="B14767" s="4" t="s">
        <v>18596</v>
      </c>
      <c r="C14767" s="5" t="str">
        <f>IFERROR(__xludf.DUMMYFUNCTION("GOOGLETRANSLATE(B14767,""en"",""de"")"),"Eine Kamera schwenkt rund um einen Strand, der Wasser zeigt, das auf den Wellen kracht.")</f>
        <v>Eine Kamera schwenkt rund um einen Strand, der Wasser zeigt, das auf den Wellen kracht.</v>
      </c>
    </row>
    <row r="14768">
      <c r="A14768" s="4" t="s">
        <v>18595</v>
      </c>
      <c r="B14768" s="4" t="s">
        <v>18597</v>
      </c>
      <c r="C14768" s="5" t="str">
        <f>IFERROR(__xludf.DUMMYFUNCTION("GOOGLETRANSLATE(B14768,""en"",""de"")"),"Eine Person trägt dann Handschuhe und malt einen Armstuhl.")</f>
        <v>Eine Person trägt dann Handschuhe und malt einen Armstuhl.</v>
      </c>
    </row>
    <row r="14769">
      <c r="A14769" s="4" t="s">
        <v>18595</v>
      </c>
      <c r="B14769" s="4" t="s">
        <v>18598</v>
      </c>
      <c r="C14769" s="5" t="str">
        <f>IFERROR(__xludf.DUMMYFUNCTION("GOOGLETRANSLATE(B14769,""en"",""de"")"),"Die Person malt weiter den Stuhl und zeigt ihn am Ende.")</f>
        <v>Die Person malt weiter den Stuhl und zeigt ihn am Ende.</v>
      </c>
    </row>
    <row r="14770">
      <c r="A14770" s="4" t="s">
        <v>18599</v>
      </c>
      <c r="B14770" s="4" t="s">
        <v>18600</v>
      </c>
      <c r="C14770" s="5" t="str">
        <f>IFERROR(__xludf.DUMMYFUNCTION("GOOGLETRANSLATE(B14770,""en"",""de"")"),"Kinder werden auf einer Seite eines Fitnessstudio gezeigt, das in der Innenfußball spielt.")</f>
        <v>Kinder werden auf einer Seite eines Fitnessstudio gezeigt, das in der Innenfußball spielt.</v>
      </c>
    </row>
    <row r="14771">
      <c r="A14771" s="4" t="s">
        <v>18599</v>
      </c>
      <c r="B14771" s="4" t="s">
        <v>18601</v>
      </c>
      <c r="C14771" s="5" t="str">
        <f>IFERROR(__xludf.DUMMYFUNCTION("GOOGLETRANSLATE(B14771,""en"",""de"")"),"Eines der Kinder macht einen großartigen Schritt, um einen Verteidiger zu umgehen und fast zu punkten.")</f>
        <v>Eines der Kinder macht einen großartigen Schritt, um einen Verteidiger zu umgehen und fast zu punkten.</v>
      </c>
    </row>
    <row r="14772">
      <c r="A14772" s="4" t="s">
        <v>18599</v>
      </c>
      <c r="B14772" s="4" t="s">
        <v>18602</v>
      </c>
      <c r="C14772" s="5" t="str">
        <f>IFERROR(__xludf.DUMMYFUNCTION("GOOGLETRANSLATE(B14772,""en"",""de"")"),"Er wird dann bei einer anderen Gelegenheit bewertet, bevor das Video endet.")</f>
        <v>Er wird dann bei einer anderen Gelegenheit bewertet, bevor das Video endet.</v>
      </c>
    </row>
    <row r="14773">
      <c r="A14773" s="4" t="s">
        <v>18603</v>
      </c>
      <c r="B14773" s="4" t="s">
        <v>18604</v>
      </c>
      <c r="C14773" s="5" t="str">
        <f>IFERROR(__xludf.DUMMYFUNCTION("GOOGLETRANSLATE(B14773,""en"",""de"")"),"Ein junger Mann spricht mit der Kamera und führt in ihn und wirft Darts auf ein Brett.")</f>
        <v>Ein junger Mann spricht mit der Kamera und führt in ihn und wirft Darts auf ein Brett.</v>
      </c>
    </row>
    <row r="14774">
      <c r="A14774" s="4" t="s">
        <v>18603</v>
      </c>
      <c r="B14774" s="4" t="s">
        <v>18605</v>
      </c>
      <c r="C14774" s="5" t="str">
        <f>IFERROR(__xludf.DUMMYFUNCTION("GOOGLETRANSLATE(B14774,""en"",""de"")"),"Er hält seine Hände vor Aufregung hoch, als die Kamera auf den Darts zoomt.")</f>
        <v>Er hält seine Hände vor Aufregung hoch, als die Kamera auf den Darts zoomt.</v>
      </c>
    </row>
    <row r="14775">
      <c r="A14775" s="4" t="s">
        <v>18606</v>
      </c>
      <c r="B14775" s="4" t="s">
        <v>18607</v>
      </c>
      <c r="C14775" s="5" t="str">
        <f>IFERROR(__xludf.DUMMYFUNCTION("GOOGLETRANSLATE(B14775,""en"",""de"")"),"MJs Mama spielt mit ihren Haaren herum und glättet es heraus.")</f>
        <v>MJs Mama spielt mit ihren Haaren herum und glättet es heraus.</v>
      </c>
    </row>
    <row r="14776">
      <c r="A14776" s="4" t="s">
        <v>18606</v>
      </c>
      <c r="B14776" s="4" t="s">
        <v>18608</v>
      </c>
      <c r="C14776" s="5" t="str">
        <f>IFERROR(__xludf.DUMMYFUNCTION("GOOGLETRANSLATE(B14776,""en"",""de"")"),"Sie geht mit Klammern in den Haaren auf die Toilette und holt Behandlungen und Shampoos aus.")</f>
        <v>Sie geht mit Klammern in den Haaren auf die Toilette und holt Behandlungen und Shampoos aus.</v>
      </c>
    </row>
    <row r="14777">
      <c r="A14777" s="4" t="s">
        <v>18606</v>
      </c>
      <c r="B14777" s="4" t="s">
        <v>18609</v>
      </c>
      <c r="C14777" s="5" t="str">
        <f>IFERROR(__xludf.DUMMYFUNCTION("GOOGLETRANSLATE(B14777,""en"",""de"")"),"Sie beginnt, die Haare auf ihre Haare aufzutragen und es zu kämmen, sie beginnt sich zu trennen und legte Lockener ein.")</f>
        <v>Sie beginnt, die Haare auf ihre Haare aufzutragen und es zu kämmen, sie beginnt sich zu trennen und legte Lockener ein.</v>
      </c>
    </row>
    <row r="14778">
      <c r="A14778" s="4" t="s">
        <v>18606</v>
      </c>
      <c r="B14778" s="4" t="s">
        <v>18610</v>
      </c>
      <c r="C14778" s="5" t="str">
        <f>IFERROR(__xludf.DUMMYFUNCTION("GOOGLETRANSLATE(B14778,""en"",""de"")"),"Sie beginnt darüber zu sprechen, was sie mit ihren Haaren macht, während sie darauf wartet, die Locken zu nehmen, wenn sie sie herausnimmt, ist ihr Haar perfekt gekräuselt.")</f>
        <v>Sie beginnt darüber zu sprechen, was sie mit ihren Haaren macht, während sie darauf wartet, die Locken zu nehmen, wenn sie sie herausnimmt, ist ihr Haar perfekt gekräuselt.</v>
      </c>
    </row>
    <row r="14779">
      <c r="A14779" s="4" t="s">
        <v>18611</v>
      </c>
      <c r="B14779" s="4" t="s">
        <v>18612</v>
      </c>
      <c r="C14779" s="5" t="str">
        <f>IFERROR(__xludf.DUMMYFUNCTION("GOOGLETRANSLATE(B14779,""en"",""de"")"),"Ein Mann wird gesehen, wie er mit der Kamera spricht, während er einen Tennisschläger hält, und zeigt, wie man den Ball schlägt.")</f>
        <v>Ein Mann wird gesehen, wie er mit der Kamera spricht, während er einen Tennisschläger hält, und zeigt, wie man den Ball schlägt.</v>
      </c>
    </row>
    <row r="14780">
      <c r="A14780" s="4" t="s">
        <v>18611</v>
      </c>
      <c r="B14780" s="4" t="s">
        <v>18613</v>
      </c>
      <c r="C14780" s="5" t="str">
        <f>IFERROR(__xludf.DUMMYFUNCTION("GOOGLETRANSLATE(B14780,""en"",""de"")"),"Der Mann spricht weiter und schlägt den Ball, während er sich im Fitnessstudio bewegt und zur Kamera gestikuliert wird.")</f>
        <v>Der Mann spricht weiter und schlägt den Ball, während er sich im Fitnessstudio bewegt und zur Kamera gestikuliert wird.</v>
      </c>
    </row>
    <row r="14781">
      <c r="A14781" s="4" t="s">
        <v>18614</v>
      </c>
      <c r="B14781" s="4" t="s">
        <v>18615</v>
      </c>
      <c r="C14781" s="5" t="str">
        <f>IFERROR(__xludf.DUMMYFUNCTION("GOOGLETRANSLATE(B14781,""en"",""de"")"),"Eine Nahaufnahme eines Weihnachtsbaums wird gefolgt von Nahaufnahmen von Ornamenten gezeigt.")</f>
        <v>Eine Nahaufnahme eines Weihnachtsbaums wird gefolgt von Nahaufnahmen von Ornamenten gezeigt.</v>
      </c>
    </row>
    <row r="14782">
      <c r="A14782" s="4" t="s">
        <v>18614</v>
      </c>
      <c r="B14782" s="4" t="s">
        <v>18616</v>
      </c>
      <c r="C14782" s="5" t="str">
        <f>IFERROR(__xludf.DUMMYFUNCTION("GOOGLETRANSLATE(B14782,""en"",""de"")"),"Zwei Menschen werden dann gesehen, wie sie sich um den Baum dekorieren und das Licht ausschalten.")</f>
        <v>Zwei Menschen werden dann gesehen, wie sie sich um den Baum dekorieren und das Licht ausschalten.</v>
      </c>
    </row>
    <row r="14783">
      <c r="A14783" s="4" t="s">
        <v>18614</v>
      </c>
      <c r="B14783" s="4" t="s">
        <v>18617</v>
      </c>
      <c r="C14783" s="5" t="str">
        <f>IFERROR(__xludf.DUMMYFUNCTION("GOOGLETRANSLATE(B14783,""en"",""de"")"),"Sie dekorieren den Baum und spielen miteinander und lachen.")</f>
        <v>Sie dekorieren den Baum und spielen miteinander und lachen.</v>
      </c>
    </row>
    <row r="14784">
      <c r="A14784" s="4" t="s">
        <v>18614</v>
      </c>
      <c r="B14784" s="4" t="s">
        <v>18618</v>
      </c>
      <c r="C14784" s="5" t="str">
        <f>IFERROR(__xludf.DUMMYFUNCTION("GOOGLETRANSLATE(B14784,""en"",""de"")"),"Am Ende werden Nahaufnahmen der Bäume ebenso wie ein Bär gezeigt.")</f>
        <v>Am Ende werden Nahaufnahmen der Bäume ebenso wie ein Bär gezeigt.</v>
      </c>
    </row>
    <row r="14785">
      <c r="A14785" s="4" t="s">
        <v>18619</v>
      </c>
      <c r="B14785" s="4" t="s">
        <v>18620</v>
      </c>
      <c r="C14785" s="5" t="str">
        <f>IFERROR(__xludf.DUMMYFUNCTION("GOOGLETRANSLATE(B14785,""en"",""de"")"),"Ein Mann wird gesehen, wie er einen Kuss bläst und seine Jacke auszieht und mit einem anderen Mann interagiert.")</f>
        <v>Ein Mann wird gesehen, wie er einen Kuss bläst und seine Jacke auszieht und mit einem anderen Mann interagiert.</v>
      </c>
    </row>
    <row r="14786">
      <c r="A14786" s="4" t="s">
        <v>18619</v>
      </c>
      <c r="B14786" s="4" t="s">
        <v>18621</v>
      </c>
      <c r="C14786" s="5" t="str">
        <f>IFERROR(__xludf.DUMMYFUNCTION("GOOGLETRANSLATE(B14786,""en"",""de"")"),"Der Mann bereitet seinen Arm vor, als der andere seine Hand greift und er gibt vor, seinen Kopf zu treten.")</f>
        <v>Der Mann bereitet seinen Arm vor, als der andere seine Hand greift und er gibt vor, seinen Kopf zu treten.</v>
      </c>
    </row>
    <row r="14787">
      <c r="A14787" s="4" t="s">
        <v>18619</v>
      </c>
      <c r="B14787" s="4" t="s">
        <v>18622</v>
      </c>
      <c r="C14787" s="5" t="str">
        <f>IFERROR(__xludf.DUMMYFUNCTION("GOOGLETRANSLATE(B14787,""en"",""de"")"),"Weitere Leute treten auf, um diesen Mann zu ringen, während das Essen gezeigt wird, und der Verlierer bekommt Essen überall über sich.")</f>
        <v>Weitere Leute treten auf, um diesen Mann zu ringen, während das Essen gezeigt wird, und der Verlierer bekommt Essen überall über sich.</v>
      </c>
    </row>
    <row r="14788">
      <c r="A14788" s="4" t="s">
        <v>18623</v>
      </c>
      <c r="B14788" s="4" t="s">
        <v>18624</v>
      </c>
      <c r="C14788" s="5" t="str">
        <f>IFERROR(__xludf.DUMMYFUNCTION("GOOGLETRANSLATE(B14788,""en"",""de"")"),"Zwei Menschen werden vor einer Pflanze knien sehen, die auf dem Boden sitzt und miteinander spricht.")</f>
        <v>Zwei Menschen werden vor einer Pflanze knien sehen, die auf dem Boden sitzt und miteinander spricht.</v>
      </c>
    </row>
    <row r="14789">
      <c r="A14789" s="4" t="s">
        <v>18623</v>
      </c>
      <c r="B14789" s="4" t="s">
        <v>18625</v>
      </c>
      <c r="C14789" s="5" t="str">
        <f>IFERROR(__xludf.DUMMYFUNCTION("GOOGLETRANSLATE(B14789,""en"",""de"")"),"Die Männer bewegen sich weiterhin um die Pflanze und enden, indem sie neben dem Baum stehen und Wurzeln wegziehen und mehr Boden um ihn herumwerfen.")</f>
        <v>Die Männer bewegen sich weiterhin um die Pflanze und enden, indem sie neben dem Baum stehen und Wurzeln wegziehen und mehr Boden um ihn herumwerfen.</v>
      </c>
    </row>
    <row r="14790">
      <c r="A14790" s="4" t="s">
        <v>18626</v>
      </c>
      <c r="B14790" s="4" t="s">
        <v>18627</v>
      </c>
      <c r="C14790" s="5" t="str">
        <f>IFERROR(__xludf.DUMMYFUNCTION("GOOGLETRANSLATE(B14790,""en"",""de"")"),"Eine Nahaufnahme wird aus einem Poolraum gezeigt.")</f>
        <v>Eine Nahaufnahme wird aus einem Poolraum gezeigt.</v>
      </c>
    </row>
    <row r="14791">
      <c r="A14791" s="4" t="s">
        <v>18626</v>
      </c>
      <c r="B14791" s="4" t="s">
        <v>18628</v>
      </c>
      <c r="C14791" s="5" t="str">
        <f>IFERROR(__xludf.DUMMYFUNCTION("GOOGLETRANSLATE(B14791,""en"",""de"")"),"Ein Mann und eine Frau betreten den Raum und greifen nach Hinweisen.")</f>
        <v>Ein Mann und eine Frau betreten den Raum und greifen nach Hinweisen.</v>
      </c>
    </row>
    <row r="14792">
      <c r="A14792" s="4" t="s">
        <v>18626</v>
      </c>
      <c r="B14792" s="4" t="s">
        <v>18629</v>
      </c>
      <c r="C14792" s="5" t="str">
        <f>IFERROR(__xludf.DUMMYFUNCTION("GOOGLETRANSLATE(B14792,""en"",""de"")"),"Sie beschäftigen sich zusammen mit einem Poolspiel und schlagen die Bälle in die Taschen.")</f>
        <v>Sie beschäftigen sich zusammen mit einem Poolspiel und schlagen die Bälle in die Taschen.</v>
      </c>
    </row>
    <row r="14793">
      <c r="A14793" s="4" t="s">
        <v>18630</v>
      </c>
      <c r="B14793" s="4" t="s">
        <v>18631</v>
      </c>
      <c r="C14793" s="5" t="str">
        <f>IFERROR(__xludf.DUMMYFUNCTION("GOOGLETRANSLATE(B14793,""en"",""de"")"),"Schritt für Schritt Anweisungen, um cremige Nudeln herzustellen, wodurch die Nudeln zunächst in kochendes Wasser stecken und rühren.")</f>
        <v>Schritt für Schritt Anweisungen, um cremige Nudeln herzustellen, wodurch die Nudeln zunächst in kochendes Wasser stecken und rühren.</v>
      </c>
    </row>
    <row r="14794">
      <c r="A14794" s="4" t="s">
        <v>18630</v>
      </c>
      <c r="B14794" s="4" t="s">
        <v>18632</v>
      </c>
      <c r="C14794" s="5" t="str">
        <f>IFERROR(__xludf.DUMMYFUNCTION("GOOGLETRANSLATE(B14794,""en"",""de"")"),"Dann in einer anderen Pfanne, die Wurst und Zwiebeln hinzufügen und alles zusammen rühren.")</f>
        <v>Dann in einer anderen Pfanne, die Wurst und Zwiebeln hinzufügen und alles zusammen rühren.</v>
      </c>
    </row>
    <row r="14795">
      <c r="A14795" s="4" t="s">
        <v>18630</v>
      </c>
      <c r="B14795" s="4" t="s">
        <v>18633</v>
      </c>
      <c r="C14795" s="5" t="str">
        <f>IFERROR(__xludf.DUMMYFUNCTION("GOOGLETRANSLATE(B14795,""en"",""de"")"),"Hinzufügen von Tomaten und schwerer Creme, um es pastös zu machen.")</f>
        <v>Hinzufügen von Tomaten und schwerer Creme, um es pastös zu machen.</v>
      </c>
    </row>
    <row r="14796">
      <c r="A14796" s="4" t="s">
        <v>18630</v>
      </c>
      <c r="B14796" s="4" t="s">
        <v>18634</v>
      </c>
      <c r="C14796" s="5" t="str">
        <f>IFERROR(__xludf.DUMMYFUNCTION("GOOGLETRANSLATE(B14796,""en"",""de"")"),"Schließlich fügen Sie die Nudeln zusammen mit etwas Käse- und Petersilienflocken hinzu und mischen alles zusammen.")</f>
        <v>Schließlich fügen Sie die Nudeln zusammen mit etwas Käse- und Petersilienflocken hinzu und mischen alles zusammen.</v>
      </c>
    </row>
    <row r="14797">
      <c r="A14797" s="4" t="s">
        <v>18635</v>
      </c>
      <c r="B14797" s="4" t="s">
        <v>18636</v>
      </c>
      <c r="C14797" s="5" t="str">
        <f>IFERROR(__xludf.DUMMYFUNCTION("GOOGLETRANSLATE(B14797,""en"",""de"")"),"Ein Mann steht neben einem jungen Mädchen, das in einem Fitnessstudio ein Gymnastik -Outfit gekleidet ist und mit der Kamera spricht.")</f>
        <v>Ein Mann steht neben einem jungen Mädchen, das in einem Fitnessstudio ein Gymnastik -Outfit gekleidet ist und mit der Kamera spricht.</v>
      </c>
    </row>
    <row r="14798">
      <c r="A14798" s="4" t="s">
        <v>18635</v>
      </c>
      <c r="B14798" s="4" t="s">
        <v>18637</v>
      </c>
      <c r="C14798" s="5" t="str">
        <f>IFERROR(__xludf.DUMMYFUNCTION("GOOGLETRANSLATE(B14798,""en"",""de"")"),"Der Mann trainiert dann das Mädchen in den Turnhallen in einer Gymnastik -Trainingseinheit, während das Mädchen in einem Fitnessstudio mit anderen Kindern gefüllt ist, die Gymnastik üben.")</f>
        <v>Der Mann trainiert dann das Mädchen in den Turnhallen in einer Gymnastik -Trainingseinheit, während das Mädchen in einem Fitnessstudio mit anderen Kindern gefüllt ist, die Gymnastik üben.</v>
      </c>
    </row>
    <row r="14799">
      <c r="A14799" s="4" t="s">
        <v>18635</v>
      </c>
      <c r="B14799" s="4" t="s">
        <v>18638</v>
      </c>
      <c r="C14799" s="5" t="str">
        <f>IFERROR(__xludf.DUMMYFUNCTION("GOOGLETRANSLATE(B14799,""en"",""de"")"),"Der Mann schließt dann wieder neben dem Mädchen und redet in die Kamera.")</f>
        <v>Der Mann schließt dann wieder neben dem Mädchen und redet in die Kamera.</v>
      </c>
    </row>
    <row r="14800">
      <c r="A14800" s="4" t="s">
        <v>18639</v>
      </c>
      <c r="B14800" s="4" t="s">
        <v>18640</v>
      </c>
      <c r="C14800" s="5" t="str">
        <f>IFERROR(__xludf.DUMMYFUNCTION("GOOGLETRANSLATE(B14800,""en"",""de"")"),"Eine Person, die im abgehackten Wasser des Ozeans surft.")</f>
        <v>Eine Person, die im abgehackten Wasser des Ozeans surft.</v>
      </c>
    </row>
    <row r="14801">
      <c r="A14801" s="4" t="s">
        <v>18639</v>
      </c>
      <c r="B14801" s="4" t="s">
        <v>18641</v>
      </c>
      <c r="C14801" s="5" t="str">
        <f>IFERROR(__xludf.DUMMYFUNCTION("GOOGLETRANSLATE(B14801,""en"",""de"")"),"Eine Frau steht vor einem Schwimmbad auf dem Vordergrund, und dann wird eine Diashow mit Bildern und ein Mann, der bei einer Veranstaltung spricht, gezeigt.")</f>
        <v>Eine Frau steht vor einem Schwimmbad auf dem Vordergrund, und dann wird eine Diashow mit Bildern und ein Mann, der bei einer Veranstaltung spricht, gezeigt.</v>
      </c>
    </row>
    <row r="14802">
      <c r="A14802" s="4" t="s">
        <v>18639</v>
      </c>
      <c r="B14802" s="4" t="s">
        <v>18642</v>
      </c>
      <c r="C14802" s="5" t="str">
        <f>IFERROR(__xludf.DUMMYFUNCTION("GOOGLETRANSLATE(B14802,""en"",""de"")"),"Dann sitzt der Prinz Harry von England in einer Veranstaltung, während die Leute tanzen und auftreten.")</f>
        <v>Dann sitzt der Prinz Harry von England in einer Veranstaltung, während die Leute tanzen und auftreten.</v>
      </c>
    </row>
    <row r="14803">
      <c r="A14803" s="4" t="s">
        <v>18639</v>
      </c>
      <c r="B14803" s="4" t="s">
        <v>18643</v>
      </c>
      <c r="C14803" s="5" t="str">
        <f>IFERROR(__xludf.DUMMYFUNCTION("GOOGLETRANSLATE(B14803,""en"",""de"")"),"Danach spielen die Leute Polo auf einem Feld reiten und werfen einen Ball mit einer Stange, auch die Frau und der Mann spricht.")</f>
        <v>Danach spielen die Leute Polo auf einem Feld reiten und werfen einen Ball mit einer Stange, auch die Frau und der Mann spricht.</v>
      </c>
    </row>
    <row r="14804">
      <c r="A14804" s="4" t="s">
        <v>18644</v>
      </c>
      <c r="B14804" s="4" t="s">
        <v>18645</v>
      </c>
      <c r="C14804" s="5" t="str">
        <f>IFERROR(__xludf.DUMMYFUNCTION("GOOGLETRANSLATE(B14804,""en"",""de"")"),"Es werden verschiedene Aufnahmen von Menschen gezeigt, die beeindruckende Gymnastikflips in einer großen Gymnasium durchführen.")</f>
        <v>Es werden verschiedene Aufnahmen von Menschen gezeigt, die beeindruckende Gymnastikflips in einer großen Gymnasium durchführen.</v>
      </c>
    </row>
    <row r="14805">
      <c r="A14805" s="4" t="s">
        <v>18644</v>
      </c>
      <c r="B14805" s="4" t="s">
        <v>18646</v>
      </c>
      <c r="C14805" s="5" t="str">
        <f>IFERROR(__xludf.DUMMYFUNCTION("GOOGLETRANSLATE(B14805,""en"",""de"")"),"Die Menschen führen kontinuierlich Flips und Tricks auf den Matten durch, wobei einige in Zeitlupe und Bildern gezeigt werden.")</f>
        <v>Die Menschen führen kontinuierlich Flips und Tricks auf den Matten durch, wobei einige in Zeitlupe und Bildern gezeigt werden.</v>
      </c>
    </row>
    <row r="14806">
      <c r="A14806" s="4" t="s">
        <v>18647</v>
      </c>
      <c r="B14806" s="4" t="s">
        <v>18648</v>
      </c>
      <c r="C14806" s="5" t="str">
        <f>IFERROR(__xludf.DUMMYFUNCTION("GOOGLETRANSLATE(B14806,""en"",""de"")"),"Ein Mann hält ein Weinglas und redet.")</f>
        <v>Ein Mann hält ein Weinglas und redet.</v>
      </c>
    </row>
    <row r="14807">
      <c r="A14807" s="4" t="s">
        <v>18647</v>
      </c>
      <c r="B14807" s="4" t="s">
        <v>18649</v>
      </c>
      <c r="C14807" s="5" t="str">
        <f>IFERROR(__xludf.DUMMYFUNCTION("GOOGLETRANSLATE(B14807,""en"",""de"")"),"Er nimmt ein Getränk des Weins und setzt das Glas ab.")</f>
        <v>Er nimmt ein Getränk des Weins und setzt das Glas ab.</v>
      </c>
    </row>
    <row r="14808">
      <c r="A14808" s="4" t="s">
        <v>18647</v>
      </c>
      <c r="B14808" s="4" t="s">
        <v>18650</v>
      </c>
      <c r="C14808" s="5" t="str">
        <f>IFERROR(__xludf.DUMMYFUNCTION("GOOGLETRANSLATE(B14808,""en"",""de"")"),"Er zeigt Flaschen, die auf einer Theke sitzen.")</f>
        <v>Er zeigt Flaschen, die auf einer Theke sitzen.</v>
      </c>
    </row>
    <row r="14809">
      <c r="A14809" s="4" t="s">
        <v>18647</v>
      </c>
      <c r="B14809" s="4" t="s">
        <v>18651</v>
      </c>
      <c r="C14809" s="5" t="str">
        <f>IFERROR(__xludf.DUMMYFUNCTION("GOOGLETRANSLATE(B14809,""en"",""de"")"),"Er gießt Öl in eine Pfanne auf einem Herd.")</f>
        <v>Er gießt Öl in eine Pfanne auf einem Herd.</v>
      </c>
    </row>
    <row r="14810">
      <c r="A14810" s="4" t="s">
        <v>18647</v>
      </c>
      <c r="B14810" s="4" t="s">
        <v>18652</v>
      </c>
      <c r="C14810" s="5" t="str">
        <f>IFERROR(__xludf.DUMMYFUNCTION("GOOGLETRANSLATE(B14810,""en"",""de"")"),"Er fügt Gewürze in die Pfanne hinzu.")</f>
        <v>Er fügt Gewürze in die Pfanne hinzu.</v>
      </c>
    </row>
    <row r="14811">
      <c r="A14811" s="4" t="s">
        <v>18647</v>
      </c>
      <c r="B14811" s="4" t="s">
        <v>18653</v>
      </c>
      <c r="C14811" s="5" t="str">
        <f>IFERROR(__xludf.DUMMYFUNCTION("GOOGLETRANSLATE(B14811,""en"",""de"")"),"Er rührt einen Topf auf dem Herd.")</f>
        <v>Er rührt einen Topf auf dem Herd.</v>
      </c>
    </row>
    <row r="14812">
      <c r="A14812" s="4" t="s">
        <v>18647</v>
      </c>
      <c r="B14812" s="4" t="s">
        <v>18654</v>
      </c>
      <c r="C14812" s="5" t="str">
        <f>IFERROR(__xludf.DUMMYFUNCTION("GOOGLETRANSLATE(B14812,""en"",""de"")"),"Er nimmt eine Kugel von dem, was im Topf ist, und fügt sie in die Pfanne hinzu.")</f>
        <v>Er nimmt eine Kugel von dem, was im Topf ist, und fügt sie in die Pfanne hinzu.</v>
      </c>
    </row>
    <row r="14813">
      <c r="A14813" s="4" t="s">
        <v>18647</v>
      </c>
      <c r="B14813" s="4" t="s">
        <v>18655</v>
      </c>
      <c r="C14813" s="5" t="str">
        <f>IFERROR(__xludf.DUMMYFUNCTION("GOOGLETRANSLATE(B14813,""en"",""de"")"),"Er beginnt die Nudeln in der Pfanne zu rühren.")</f>
        <v>Er beginnt die Nudeln in der Pfanne zu rühren.</v>
      </c>
    </row>
    <row r="14814">
      <c r="A14814" s="4" t="s">
        <v>18647</v>
      </c>
      <c r="B14814" s="4" t="s">
        <v>18656</v>
      </c>
      <c r="C14814" s="5" t="str">
        <f>IFERROR(__xludf.DUMMYFUNCTION("GOOGLETRANSLATE(B14814,""en"",""de"")"),"Er schöpfert die Nudeln aus der Pfanne auf einen Teller.")</f>
        <v>Er schöpfert die Nudeln aus der Pfanne auf einen Teller.</v>
      </c>
    </row>
    <row r="14815">
      <c r="A14815" s="4" t="s">
        <v>18647</v>
      </c>
      <c r="B14815" s="4" t="s">
        <v>18657</v>
      </c>
      <c r="C14815" s="5" t="str">
        <f>IFERROR(__xludf.DUMMYFUNCTION("GOOGLETRANSLATE(B14815,""en"",""de"")"),"Er nimmt wieder sein Weinglas auf.")</f>
        <v>Er nimmt wieder sein Weinglas auf.</v>
      </c>
    </row>
    <row r="14816">
      <c r="A14816" s="4" t="s">
        <v>18658</v>
      </c>
      <c r="B14816" s="4" t="s">
        <v>18659</v>
      </c>
      <c r="C14816" s="5" t="str">
        <f>IFERROR(__xludf.DUMMYFUNCTION("GOOGLETRANSLATE(B14816,""en"",""de"")"),"Eine Gruppe von Dirtbikern wartet auf eine Rampe.")</f>
        <v>Eine Gruppe von Dirtbikern wartet auf eine Rampe.</v>
      </c>
    </row>
    <row r="14817">
      <c r="A14817" s="4" t="s">
        <v>18658</v>
      </c>
      <c r="B14817" s="4" t="s">
        <v>18660</v>
      </c>
      <c r="C14817" s="5" t="str">
        <f>IFERROR(__xludf.DUMMYFUNCTION("GOOGLETRANSLATE(B14817,""en"",""de"")"),"Sie starten, wenn es sich öffnet, im Kreis auf der Strecke herumlaufen und sich gegenseitig rennen.")</f>
        <v>Sie starten, wenn es sich öffnet, im Kreis auf der Strecke herumlaufen und sich gegenseitig rennen.</v>
      </c>
    </row>
    <row r="14818">
      <c r="A14818" s="4" t="s">
        <v>18658</v>
      </c>
      <c r="B14818" s="4" t="s">
        <v>18661</v>
      </c>
      <c r="C14818" s="5" t="str">
        <f>IFERROR(__xludf.DUMMYFUNCTION("GOOGLETRANSLATE(B14818,""en"",""de"")"),"Einige fallen von ihren Fahrrädern.")</f>
        <v>Einige fallen von ihren Fahrrädern.</v>
      </c>
    </row>
    <row r="14819">
      <c r="A14819" s="4" t="s">
        <v>18658</v>
      </c>
      <c r="B14819" s="4" t="s">
        <v>18662</v>
      </c>
      <c r="C14819" s="5" t="str">
        <f>IFERROR(__xludf.DUMMYFUNCTION("GOOGLETRANSLATE(B14819,""en"",""de"")"),"Sie schaffen es durch die Ziellinie und beenden das Rennen.")</f>
        <v>Sie schaffen es durch die Ziellinie und beenden das Rennen.</v>
      </c>
    </row>
    <row r="14820">
      <c r="A14820" s="4" t="s">
        <v>18663</v>
      </c>
      <c r="B14820" s="4" t="s">
        <v>18664</v>
      </c>
      <c r="C14820" s="5" t="str">
        <f>IFERROR(__xludf.DUMMYFUNCTION("GOOGLETRANSLATE(B14820,""en"",""de"")"),"Eine Frau unternimmt ein paar Schritte mit einem Paar Sprungapparat.")</f>
        <v>Eine Frau unternimmt ein paar Schritte mit einem Paar Sprungapparat.</v>
      </c>
    </row>
    <row r="14821">
      <c r="A14821" s="4" t="s">
        <v>18663</v>
      </c>
      <c r="B14821" s="4" t="s">
        <v>18665</v>
      </c>
      <c r="C14821" s="5" t="str">
        <f>IFERROR(__xludf.DUMMYFUNCTION("GOOGLETRANSLATE(B14821,""en"",""de"")"),"Die Frau beginnt schnell herumzuspringen.")</f>
        <v>Die Frau beginnt schnell herumzuspringen.</v>
      </c>
    </row>
    <row r="14822">
      <c r="A14822" s="4" t="s">
        <v>18663</v>
      </c>
      <c r="B14822" s="4" t="s">
        <v>18666</v>
      </c>
      <c r="C14822" s="5" t="str">
        <f>IFERROR(__xludf.DUMMYFUNCTION("GOOGLETRANSLATE(B14822,""en"",""de"")"),"Die Frau wird von einem Mann begleitet, der auch in einem Paar Sprungapparat herumspringt.")</f>
        <v>Die Frau wird von einem Mann begleitet, der auch in einem Paar Sprungapparat herumspringt.</v>
      </c>
    </row>
    <row r="14823">
      <c r="A14823" s="4" t="s">
        <v>18667</v>
      </c>
      <c r="B14823" s="4" t="s">
        <v>18668</v>
      </c>
      <c r="C14823" s="5" t="str">
        <f>IFERROR(__xludf.DUMMYFUNCTION("GOOGLETRANSLATE(B14823,""en"",""de"")"),"Ein Mann fährt auf einem langen Fluss mit einer anderen Person, die dahinter reitet.")</f>
        <v>Ein Mann fährt auf einem langen Fluss mit einer anderen Person, die dahinter reitet.</v>
      </c>
    </row>
    <row r="14824">
      <c r="A14824" s="4" t="s">
        <v>18667</v>
      </c>
      <c r="B14824" s="4" t="s">
        <v>18669</v>
      </c>
      <c r="C14824" s="5" t="str">
        <f>IFERROR(__xludf.DUMMYFUNCTION("GOOGLETRANSLATE(B14824,""en"",""de"")"),"Die Kamera wechselt in mehrere Personen, die in Röhren fahren und sich einen Fluss hinunterschieben.")</f>
        <v>Die Kamera wechselt in mehrere Personen, die in Röhren fahren und sich einen Fluss hinunterschieben.</v>
      </c>
    </row>
    <row r="14825">
      <c r="A14825" s="4" t="s">
        <v>18670</v>
      </c>
      <c r="B14825" s="4" t="s">
        <v>18671</v>
      </c>
      <c r="C14825" s="5" t="str">
        <f>IFERROR(__xludf.DUMMYFUNCTION("GOOGLETRANSLATE(B14825,""en"",""de"")"),"Ein Mädchen legt sich auf einen Tisch, während ein Mann, der Handschuhe trägt, eine Schere an ihrem Bauchnabel hält.")</f>
        <v>Ein Mädchen legt sich auf einen Tisch, während ein Mann, der Handschuhe trägt, eine Schere an ihrem Bauchnabel hält.</v>
      </c>
    </row>
    <row r="14826">
      <c r="A14826" s="4" t="s">
        <v>18670</v>
      </c>
      <c r="B14826" s="4" t="s">
        <v>18672</v>
      </c>
      <c r="C14826" s="5" t="str">
        <f>IFERROR(__xludf.DUMMYFUNCTION("GOOGLETRANSLATE(B14826,""en"",""de"")"),"Dann durchbohrt er den Magen des Mädchens und sie setzt sich auf und geht am Ende lächelnd weg.")</f>
        <v>Dann durchbohrt er den Magen des Mädchens und sie setzt sich auf und geht am Ende lächelnd weg.</v>
      </c>
    </row>
    <row r="14827">
      <c r="A14827" s="4" t="s">
        <v>18673</v>
      </c>
      <c r="B14827" s="4" t="s">
        <v>18674</v>
      </c>
      <c r="C14827" s="5" t="str">
        <f>IFERROR(__xludf.DUMMYFUNCTION("GOOGLETRANSLATE(B14827,""en"",""de"")"),"Ein Mann kämpft mit Bullen =, er hat ein rosa Blatt und rennt rückwärts vor dem Bullen, der auf ihn zukommt.")</f>
        <v>Ein Mann kämpft mit Bullen =, er hat ein rosa Blatt und rennt rückwärts vor dem Bullen, der auf ihn zukommt.</v>
      </c>
    </row>
    <row r="14828">
      <c r="A14828" s="4" t="s">
        <v>18673</v>
      </c>
      <c r="B14828" s="4" t="s">
        <v>18675</v>
      </c>
      <c r="C14828" s="5" t="str">
        <f>IFERROR(__xludf.DUMMYFUNCTION("GOOGLETRANSLATE(B14828,""en"",""de"")"),"Es gibt jetzt drei Männer und einer von ihnen wird vom Stier vollständig mit Füßen getreten.")</f>
        <v>Es gibt jetzt drei Männer und einer von ihnen wird vom Stier vollständig mit Füßen getreten.</v>
      </c>
    </row>
    <row r="14829">
      <c r="A14829" s="4" t="s">
        <v>18673</v>
      </c>
      <c r="B14829" s="4" t="s">
        <v>18676</v>
      </c>
      <c r="C14829" s="5" t="str">
        <f>IFERROR(__xludf.DUMMYFUNCTION("GOOGLETRANSLATE(B14829,""en"",""de"")"),"Dann stehen ungefähr sechs weitere Männer in einer Reihe, die mit dem Stier durcheinander bringen.")</f>
        <v>Dann stehen ungefähr sechs weitere Männer in einer Reihe, die mit dem Stier durcheinander bringen.</v>
      </c>
    </row>
    <row r="14830">
      <c r="A14830" s="4" t="s">
        <v>18673</v>
      </c>
      <c r="B14830" s="4" t="s">
        <v>18677</v>
      </c>
      <c r="C14830" s="5" t="str">
        <f>IFERROR(__xludf.DUMMYFUNCTION("GOOGLETRANSLATE(B14830,""en"",""de"")"),"Es ist sehr gefährlich mit einem Bullen und neckt ihn, diese Menschen können ernsthaft verletzt werden.")</f>
        <v>Es ist sehr gefährlich mit einem Bullen und neckt ihn, diese Menschen können ernsthaft verletzt werden.</v>
      </c>
    </row>
    <row r="14831">
      <c r="A14831" s="4" t="s">
        <v>18678</v>
      </c>
      <c r="B14831" s="4" t="s">
        <v>18679</v>
      </c>
      <c r="C14831" s="5" t="str">
        <f>IFERROR(__xludf.DUMMYFUNCTION("GOOGLETRANSLATE(B14831,""en"",""de"")"),"Der farbenfrohe Titelbildschirm ist zu sehen.")</f>
        <v>Der farbenfrohe Titelbildschirm ist zu sehen.</v>
      </c>
    </row>
    <row r="14832">
      <c r="A14832" s="4" t="s">
        <v>18678</v>
      </c>
      <c r="B14832" s="4" t="s">
        <v>18680</v>
      </c>
      <c r="C14832" s="5" t="str">
        <f>IFERROR(__xludf.DUMMYFUNCTION("GOOGLETRANSLATE(B14832,""en"",""de"")"),"Zwei Leute in einem Zimmer tanzen langsam nach hinten.")</f>
        <v>Zwei Leute in einem Zimmer tanzen langsam nach hinten.</v>
      </c>
    </row>
    <row r="14833">
      <c r="A14833" s="4" t="s">
        <v>18678</v>
      </c>
      <c r="B14833" s="4" t="s">
        <v>18681</v>
      </c>
      <c r="C14833" s="5" t="str">
        <f>IFERROR(__xludf.DUMMYFUNCTION("GOOGLETRANSLATE(B14833,""en"",""de"")"),"Ein Titelbildschirm lädt und wir sehen den Mann allein tanzen.")</f>
        <v>Ein Titelbildschirm lädt und wir sehen den Mann allein tanzen.</v>
      </c>
    </row>
    <row r="14834">
      <c r="A14834" s="4" t="s">
        <v>18678</v>
      </c>
      <c r="B14834" s="4" t="s">
        <v>18682</v>
      </c>
      <c r="C14834" s="5" t="str">
        <f>IFERROR(__xludf.DUMMYFUNCTION("GOOGLETRANSLATE(B14834,""en"",""de"")"),"Wir sehen einen Titel und die Dame im Green Room, die alleine tanzen.")</f>
        <v>Wir sehen einen Titel und die Dame im Green Room, die alleine tanzen.</v>
      </c>
    </row>
    <row r="14835">
      <c r="A14835" s="4" t="s">
        <v>18678</v>
      </c>
      <c r="B14835" s="4" t="s">
        <v>18683</v>
      </c>
      <c r="C14835" s="5" t="str">
        <f>IFERROR(__xludf.DUMMYFUNCTION("GOOGLETRANSLATE(B14835,""en"",""de"")"),"Ein Titel lädt und wir sehen die Füße des Mannes, während er tanzt.")</f>
        <v>Ein Titel lädt und wir sehen die Füße des Mannes, während er tanzt.</v>
      </c>
    </row>
    <row r="14836">
      <c r="A14836" s="4" t="s">
        <v>18678</v>
      </c>
      <c r="B14836" s="4" t="s">
        <v>18684</v>
      </c>
      <c r="C14836" s="5" t="str">
        <f>IFERROR(__xludf.DUMMYFUNCTION("GOOGLETRANSLATE(B14836,""en"",""de"")"),"Ein Titel lädt und wir sehen die Damenfüße, während sie tanzt.")</f>
        <v>Ein Titel lädt und wir sehen die Damenfüße, während sie tanzt.</v>
      </c>
    </row>
    <row r="14837">
      <c r="A14837" s="4" t="s">
        <v>18685</v>
      </c>
      <c r="B14837" s="4" t="s">
        <v>18686</v>
      </c>
      <c r="C14837" s="5" t="str">
        <f>IFERROR(__xludf.DUMMYFUNCTION("GOOGLETRANSLATE(B14837,""en"",""de"")"),"Ein Mann spricht mit der Kamera, während er seine Haare putzte und sich um ein Badezimmer umsieht.")</f>
        <v>Ein Mann spricht mit der Kamera, während er seine Haare putzte und sich um ein Badezimmer umsieht.</v>
      </c>
    </row>
    <row r="14838">
      <c r="A14838" s="4" t="s">
        <v>18685</v>
      </c>
      <c r="B14838" s="4" t="s">
        <v>18687</v>
      </c>
      <c r="C14838" s="5" t="str">
        <f>IFERROR(__xludf.DUMMYFUNCTION("GOOGLETRANSLATE(B14838,""en"",""de"")"),"Der Mann streift weiter seine Haare und beginnt mit seinem Gesichtshaar zu spielen.")</f>
        <v>Der Mann streift weiter seine Haare und beginnt mit seinem Gesichtshaar zu spielen.</v>
      </c>
    </row>
    <row r="14839">
      <c r="A14839" s="4" t="s">
        <v>18685</v>
      </c>
      <c r="B14839" s="4" t="s">
        <v>18688</v>
      </c>
      <c r="C14839" s="5" t="str">
        <f>IFERROR(__xludf.DUMMYFUNCTION("GOOGLETRANSLATE(B14839,""en"",""de"")"),"Der Mann zeigt die Kamera um seinen Kopf und zeigt seine Haare und lächelt zur Kamera.")</f>
        <v>Der Mann zeigt die Kamera um seinen Kopf und zeigt seine Haare und lächelt zur Kamera.</v>
      </c>
    </row>
    <row r="14840">
      <c r="A14840" s="4" t="s">
        <v>18689</v>
      </c>
      <c r="B14840" s="4" t="s">
        <v>18690</v>
      </c>
      <c r="C14840" s="5" t="str">
        <f>IFERROR(__xludf.DUMMYFUNCTION("GOOGLETRANSLATE(B14840,""en"",""de"")"),"Männer spielen in einem Gebäude Tennis, während der Fußball im Hintergrund im Fernsehen ist.")</f>
        <v>Männer spielen in einem Gebäude Tennis, während der Fußball im Hintergrund im Fernsehen ist.</v>
      </c>
    </row>
    <row r="14841">
      <c r="A14841" s="4" t="s">
        <v>18689</v>
      </c>
      <c r="B14841" s="4" t="s">
        <v>18691</v>
      </c>
      <c r="C14841" s="5" t="str">
        <f>IFERROR(__xludf.DUMMYFUNCTION("GOOGLETRANSLATE(B14841,""en"",""de"")"),"Sie schlugen den Ball für eine Weile hin und her.")</f>
        <v>Sie schlugen den Ball für eine Weile hin und her.</v>
      </c>
    </row>
    <row r="14842">
      <c r="A14842" s="4" t="s">
        <v>18689</v>
      </c>
      <c r="B14842" s="4" t="s">
        <v>18692</v>
      </c>
      <c r="C14842" s="5" t="str">
        <f>IFERROR(__xludf.DUMMYFUNCTION("GOOGLETRANSLATE(B14842,""en"",""de"")"),"Andere Männer im Raum schauen gelegentlich auf.")</f>
        <v>Andere Männer im Raum schauen gelegentlich auf.</v>
      </c>
    </row>
    <row r="14843">
      <c r="A14843" s="4" t="s">
        <v>18693</v>
      </c>
      <c r="B14843" s="4" t="s">
        <v>18694</v>
      </c>
      <c r="C14843" s="5" t="str">
        <f>IFERROR(__xludf.DUMMYFUNCTION("GOOGLETRANSLATE(B14843,""en"",""de"")"),"Wir sehen, wie ein Nachrichtensprecher in einem Studio spricht.")</f>
        <v>Wir sehen, wie ein Nachrichtensprecher in einem Studio spricht.</v>
      </c>
    </row>
    <row r="14844">
      <c r="A14844" s="4" t="s">
        <v>18693</v>
      </c>
      <c r="B14844" s="4" t="s">
        <v>18695</v>
      </c>
      <c r="C14844" s="5" t="str">
        <f>IFERROR(__xludf.DUMMYFUNCTION("GOOGLETRANSLATE(B14844,""en"",""de"")"),"Wir sehen dann ein Fußballspiel drinnen.")</f>
        <v>Wir sehen dann ein Fußballspiel drinnen.</v>
      </c>
    </row>
    <row r="14845">
      <c r="A14845" s="4" t="s">
        <v>18693</v>
      </c>
      <c r="B14845" s="4" t="s">
        <v>18696</v>
      </c>
      <c r="C14845" s="5" t="str">
        <f>IFERROR(__xludf.DUMMYFUNCTION("GOOGLETRANSLATE(B14845,""en"",""de"")"),"Ein Mann spricht vor der Kamera und wir sehen die Menge.")</f>
        <v>Ein Mann spricht vor der Kamera und wir sehen die Menge.</v>
      </c>
    </row>
    <row r="14846">
      <c r="A14846" s="4" t="s">
        <v>18693</v>
      </c>
      <c r="B14846" s="4" t="s">
        <v>18697</v>
      </c>
      <c r="C14846" s="5" t="str">
        <f>IFERROR(__xludf.DUMMYFUNCTION("GOOGLETRANSLATE(B14846,""en"",""de"")"),"Wir sehen das Spiel im Gange.")</f>
        <v>Wir sehen das Spiel im Gange.</v>
      </c>
    </row>
    <row r="14847">
      <c r="A14847" s="4" t="s">
        <v>18693</v>
      </c>
      <c r="B14847" s="4" t="s">
        <v>18698</v>
      </c>
      <c r="C14847" s="5" t="str">
        <f>IFERROR(__xludf.DUMMYFUNCTION("GOOGLETRANSLATE(B14847,""en"",""de"")"),"Der Mann spricht noch einmal und wir sehen das Spiel wieder.")</f>
        <v>Der Mann spricht noch einmal und wir sehen das Spiel wieder.</v>
      </c>
    </row>
    <row r="14848">
      <c r="A14848" s="4" t="s">
        <v>18693</v>
      </c>
      <c r="B14848" s="4" t="s">
        <v>18699</v>
      </c>
      <c r="C14848" s="5" t="str">
        <f>IFERROR(__xludf.DUMMYFUNCTION("GOOGLETRANSLATE(B14848,""en"",""de"")"),"Der Mann spricht noch einmal und wir kehren zum Spiel zurück.")</f>
        <v>Der Mann spricht noch einmal und wir kehren zum Spiel zurück.</v>
      </c>
    </row>
    <row r="14849">
      <c r="A14849" s="4" t="s">
        <v>18693</v>
      </c>
      <c r="B14849" s="4" t="s">
        <v>18700</v>
      </c>
      <c r="C14849" s="5" t="str">
        <f>IFERROR(__xludf.DUMMYFUNCTION("GOOGLETRANSLATE(B14849,""en"",""de"")"),"Wir sehen den Nachrichtensprecher wieder im Studio.")</f>
        <v>Wir sehen den Nachrichtensprecher wieder im Studio.</v>
      </c>
    </row>
    <row r="14850">
      <c r="A14850" s="4" t="s">
        <v>18701</v>
      </c>
      <c r="B14850" s="4" t="s">
        <v>18702</v>
      </c>
      <c r="C14850" s="5" t="str">
        <f>IFERROR(__xludf.DUMMYFUNCTION("GOOGLETRANSLATE(B14850,""en"",""de"")"),"Wir sehen eine Reihe von Männern, die Pfeile werfen und eine Frau punkten.")</f>
        <v>Wir sehen eine Reihe von Männern, die Pfeile werfen und eine Frau punkten.</v>
      </c>
    </row>
    <row r="14851">
      <c r="A14851" s="4" t="s">
        <v>18701</v>
      </c>
      <c r="B14851" s="4" t="s">
        <v>18703</v>
      </c>
      <c r="C14851" s="5" t="str">
        <f>IFERROR(__xludf.DUMMYFUNCTION("GOOGLETRANSLATE(B14851,""en"",""de"")"),"Der Mann packt die Pfeile vom Brett und geht weg.")</f>
        <v>Der Mann packt die Pfeile vom Brett und geht weg.</v>
      </c>
    </row>
    <row r="14852">
      <c r="A14852" s="4" t="s">
        <v>18701</v>
      </c>
      <c r="B14852" s="4" t="s">
        <v>18704</v>
      </c>
      <c r="C14852" s="5" t="str">
        <f>IFERROR(__xludf.DUMMYFUNCTION("GOOGLETRANSLATE(B14852,""en"",""de"")"),"Ein anderer Mann schießt, packt seine Pfeile und geht.")</f>
        <v>Ein anderer Mann schießt, packt seine Pfeile und geht.</v>
      </c>
    </row>
    <row r="14853">
      <c r="A14853" s="4" t="s">
        <v>18701</v>
      </c>
      <c r="B14853" s="4" t="s">
        <v>18705</v>
      </c>
      <c r="C14853" s="5" t="str">
        <f>IFERROR(__xludf.DUMMYFUNCTION("GOOGLETRANSLATE(B14853,""en"",""de"")"),"Ein dritter Typ schießt Darts und geht.")</f>
        <v>Ein dritter Typ schießt Darts und geht.</v>
      </c>
    </row>
    <row r="14854">
      <c r="A14854" s="4" t="s">
        <v>18701</v>
      </c>
      <c r="B14854" s="4" t="s">
        <v>18706</v>
      </c>
      <c r="C14854" s="5" t="str">
        <f>IFERROR(__xludf.DUMMYFUNCTION("GOOGLETRANSLATE(B14854,""en"",""de"")"),"Der vierte Typ schießt und geht.")</f>
        <v>Der vierte Typ schießt und geht.</v>
      </c>
    </row>
    <row r="14855">
      <c r="A14855" s="4" t="s">
        <v>18701</v>
      </c>
      <c r="B14855" s="4" t="s">
        <v>18707</v>
      </c>
      <c r="C14855" s="5" t="str">
        <f>IFERROR(__xludf.DUMMYFUNCTION("GOOGLETRANSLATE(B14855,""en"",""de"")"),"Der erste Mann kehrt für eine weitere Chance zurück.")</f>
        <v>Der erste Mann kehrt für eine weitere Chance zurück.</v>
      </c>
    </row>
    <row r="14856">
      <c r="A14856" s="4" t="s">
        <v>18701</v>
      </c>
      <c r="B14856" s="4" t="s">
        <v>18708</v>
      </c>
      <c r="C14856" s="5" t="str">
        <f>IFERROR(__xludf.DUMMYFUNCTION("GOOGLETRANSLATE(B14856,""en"",""de"")"),"Der zweite Mann geht wieder.")</f>
        <v>Der zweite Mann geht wieder.</v>
      </c>
    </row>
    <row r="14857">
      <c r="A14857" s="4" t="s">
        <v>18701</v>
      </c>
      <c r="B14857" s="4" t="s">
        <v>18709</v>
      </c>
      <c r="C14857" s="5" t="str">
        <f>IFERROR(__xludf.DUMMYFUNCTION("GOOGLETRANSLATE(B14857,""en"",""de"")"),"Der dritte Mann spielt wieder.")</f>
        <v>Der dritte Mann spielt wieder.</v>
      </c>
    </row>
    <row r="14858">
      <c r="A14858" s="4" t="s">
        <v>18701</v>
      </c>
      <c r="B14858" s="4" t="s">
        <v>18710</v>
      </c>
      <c r="C14858" s="5" t="str">
        <f>IFERROR(__xludf.DUMMYFUNCTION("GOOGLETRANSLATE(B14858,""en"",""de"")"),"Der vierte Typ geht an der Reihe.")</f>
        <v>Der vierte Typ geht an der Reihe.</v>
      </c>
    </row>
    <row r="14859">
      <c r="A14859" s="4" t="s">
        <v>18701</v>
      </c>
      <c r="B14859" s="4" t="s">
        <v>18711</v>
      </c>
      <c r="C14859" s="5" t="str">
        <f>IFERROR(__xludf.DUMMYFUNCTION("GOOGLETRANSLATE(B14859,""en"",""de"")"),"Und wir sehen sie wiederholen.")</f>
        <v>Und wir sehen sie wiederholen.</v>
      </c>
    </row>
    <row r="14860">
      <c r="A14860" s="4" t="s">
        <v>18712</v>
      </c>
      <c r="B14860" s="4" t="s">
        <v>18713</v>
      </c>
      <c r="C14860" s="5" t="str">
        <f>IFERROR(__xludf.DUMMYFUNCTION("GOOGLETRANSLATE(B14860,""en"",""de"")"),"Ein Turner bereitet sich auf einen Strahl vor.")</f>
        <v>Ein Turner bereitet sich auf einen Strahl vor.</v>
      </c>
    </row>
    <row r="14861">
      <c r="A14861" s="4" t="s">
        <v>18712</v>
      </c>
      <c r="B14861" s="4" t="s">
        <v>18714</v>
      </c>
      <c r="C14861" s="5" t="str">
        <f>IFERROR(__xludf.DUMMYFUNCTION("GOOGLETRANSLATE(B14861,""en"",""de"")"),"Er montiert, dreht und dreht sich mehrmals um.")</f>
        <v>Er montiert, dreht und dreht sich mehrmals um.</v>
      </c>
    </row>
    <row r="14862">
      <c r="A14862" s="4" t="s">
        <v>18712</v>
      </c>
      <c r="B14862" s="4" t="s">
        <v>18715</v>
      </c>
      <c r="C14862" s="5" t="str">
        <f>IFERROR(__xludf.DUMMYFUNCTION("GOOGLETRANSLATE(B14862,""en"",""de"")"),"Er steigt ab und hebt seine Arme in die Luft.")</f>
        <v>Er steigt ab und hebt seine Arme in die Luft.</v>
      </c>
    </row>
    <row r="14863">
      <c r="A14863" s="4" t="s">
        <v>18716</v>
      </c>
      <c r="B14863" s="4" t="s">
        <v>18717</v>
      </c>
      <c r="C14863" s="5" t="str">
        <f>IFERROR(__xludf.DUMMYFUNCTION("GOOGLETRANSLATE(B14863,""en"",""de"")"),"Wir sehen ein paar Eröffnungsbildschirme.")</f>
        <v>Wir sehen ein paar Eröffnungsbildschirme.</v>
      </c>
    </row>
    <row r="14864">
      <c r="A14864" s="4" t="s">
        <v>18716</v>
      </c>
      <c r="B14864" s="4" t="s">
        <v>18718</v>
      </c>
      <c r="C14864" s="5" t="str">
        <f>IFERROR(__xludf.DUMMYFUNCTION("GOOGLETRANSLATE(B14864,""en"",""de"")"),"Wir sehen einen Mann in einem blauen Hemd Bowling in einer Kegelbahn.")</f>
        <v>Wir sehen einen Mann in einem blauen Hemd Bowling in einer Kegelbahn.</v>
      </c>
    </row>
    <row r="14865">
      <c r="A14865" s="4" t="s">
        <v>18716</v>
      </c>
      <c r="B14865" s="4" t="s">
        <v>18719</v>
      </c>
      <c r="C14865" s="5" t="str">
        <f>IFERROR(__xludf.DUMMYFUNCTION("GOOGLETRANSLATE(B14865,""en"",""de"")"),"Der Mann wählt lila Ball aus dem Spender und spricht mit der Kamera.")</f>
        <v>Der Mann wählt lila Ball aus dem Spender und spricht mit der Kamera.</v>
      </c>
    </row>
    <row r="14866">
      <c r="A14866" s="4" t="s">
        <v>18716</v>
      </c>
      <c r="B14866" s="4" t="s">
        <v>18720</v>
      </c>
      <c r="C14866" s="5" t="str">
        <f>IFERROR(__xludf.DUMMYFUNCTION("GOOGLETRANSLATE(B14866,""en"",""de"")"),"Der Mann hält den Ball heraus, dann sehen wir, wie er seine Finger in den Ball steckt und mit der Kamera spricht.")</f>
        <v>Der Mann hält den Ball heraus, dann sehen wir, wie er seine Finger in den Ball steckt und mit der Kamera spricht.</v>
      </c>
    </row>
    <row r="14867">
      <c r="A14867" s="4" t="s">
        <v>18716</v>
      </c>
      <c r="B14867" s="4" t="s">
        <v>18721</v>
      </c>
      <c r="C14867" s="5" t="str">
        <f>IFERROR(__xludf.DUMMYFUNCTION("GOOGLETRANSLATE(B14867,""en"",""de"")"),"Der Mann legt den Ball nieder und schnappt sich einen anderen, dann einen anderen und spricht.")</f>
        <v>Der Mann legt den Ball nieder und schnappt sich einen anderen, dann einen anderen und spricht.</v>
      </c>
    </row>
    <row r="14868">
      <c r="A14868" s="4" t="s">
        <v>18716</v>
      </c>
      <c r="B14868" s="4" t="s">
        <v>18722</v>
      </c>
      <c r="C14868" s="5" t="str">
        <f>IFERROR(__xludf.DUMMYFUNCTION("GOOGLETRANSLATE(B14868,""en"",""de"")"),"Wir sehen dann, wie der Mann den Ball den Gang hinunter rollt.")</f>
        <v>Wir sehen dann, wie der Mann den Ball den Gang hinunter rollt.</v>
      </c>
    </row>
    <row r="14869">
      <c r="A14869" s="4" t="s">
        <v>18723</v>
      </c>
      <c r="B14869" s="4" t="s">
        <v>18724</v>
      </c>
      <c r="C14869" s="5" t="str">
        <f>IFERROR(__xludf.DUMMYFUNCTION("GOOGLETRANSLATE(B14869,""en"",""de"")"),"Ein Mann serviert einen Tennisball mit seinem Schläger.")</f>
        <v>Ein Mann serviert einen Tennisball mit seinem Schläger.</v>
      </c>
    </row>
    <row r="14870">
      <c r="A14870" s="4" t="s">
        <v>18723</v>
      </c>
      <c r="B14870" s="4" t="s">
        <v>18725</v>
      </c>
      <c r="C14870" s="5" t="str">
        <f>IFERROR(__xludf.DUMMYFUNCTION("GOOGLETRANSLATE(B14870,""en"",""de"")"),"Er bringt den Schläger auf seine Seite.")</f>
        <v>Er bringt den Schläger auf seine Seite.</v>
      </c>
    </row>
    <row r="14871">
      <c r="A14871" s="4" t="s">
        <v>18726</v>
      </c>
      <c r="B14871" s="4" t="s">
        <v>18727</v>
      </c>
      <c r="C14871" s="5" t="str">
        <f>IFERROR(__xludf.DUMMYFUNCTION("GOOGLETRANSLATE(B14871,""en"",""de"")"),"Little Girl macht in der Mitte des Hofes, in dem Schlagköder in der Gymnastik führt.")</f>
        <v>Little Girl macht in der Mitte des Hofes, in dem Schlagköder in der Gymnastik führt.</v>
      </c>
    </row>
    <row r="14872">
      <c r="A14872" s="4" t="s">
        <v>18726</v>
      </c>
      <c r="B14872" s="4" t="s">
        <v>18728</v>
      </c>
      <c r="C14872" s="5" t="str">
        <f>IFERROR(__xludf.DUMMYFUNCTION("GOOGLETRANSLATE(B14872,""en"",""de"")"),"Bilder der Frau werden gezeigt.")</f>
        <v>Bilder der Frau werden gezeigt.</v>
      </c>
    </row>
    <row r="14873">
      <c r="A14873" s="4" t="s">
        <v>18729</v>
      </c>
      <c r="B14873" s="4" t="s">
        <v>18730</v>
      </c>
      <c r="C14873" s="5" t="str">
        <f>IFERROR(__xludf.DUMMYFUNCTION("GOOGLETRANSLATE(B14873,""en"",""de"")"),"Frau, die Sportkleidung trägt, steigt Treppen und spricht mit der Kamera.")</f>
        <v>Frau, die Sportkleidung trägt, steigt Treppen und spricht mit der Kamera.</v>
      </c>
    </row>
    <row r="14874">
      <c r="A14874" s="4" t="s">
        <v>18729</v>
      </c>
      <c r="B14874" s="4" t="s">
        <v>18731</v>
      </c>
      <c r="C14874" s="5" t="str">
        <f>IFERROR(__xludf.DUMMYFUNCTION("GOOGLETRANSLATE(B14874,""en"",""de"")"),"Frau ist im Fitnessstudio und mit einem anderen Mann und mit einem anderen Mann, während eine Frau in einem Orbitrek Sport treibt.")</f>
        <v>Frau ist im Fitnessstudio und mit einem anderen Mann und mit einem anderen Mann, während eine Frau in einem Orbitrek Sport treibt.</v>
      </c>
    </row>
    <row r="14875">
      <c r="A14875" s="4" t="s">
        <v>18732</v>
      </c>
      <c r="B14875" s="4" t="s">
        <v>18733</v>
      </c>
      <c r="C14875" s="5" t="str">
        <f>IFERROR(__xludf.DUMMYFUNCTION("GOOGLETRANSLATE(B14875,""en"",""de"")"),"Eine Person bläst Blatt von einem Rasen und Gehweg mit einem Blattgebläse.")</f>
        <v>Eine Person bläst Blatt von einem Rasen und Gehweg mit einem Blattgebläse.</v>
      </c>
    </row>
    <row r="14876">
      <c r="A14876" s="4" t="s">
        <v>18732</v>
      </c>
      <c r="B14876" s="4" t="s">
        <v>18734</v>
      </c>
      <c r="C14876" s="5" t="str">
        <f>IFERROR(__xludf.DUMMYFUNCTION("GOOGLETRANSLATE(B14876,""en"",""de"")"),"Die Person beginnt zunächst das Blattgebläse auf Blätter um einen Busch und nahe Gras.")</f>
        <v>Die Person beginnt zunächst das Blattgebläse auf Blätter um einen Busch und nahe Gras.</v>
      </c>
    </row>
    <row r="14877">
      <c r="A14877" s="4" t="s">
        <v>18732</v>
      </c>
      <c r="B14877" s="4" t="s">
        <v>18735</v>
      </c>
      <c r="C14877" s="5" t="str">
        <f>IFERROR(__xludf.DUMMYFUNCTION("GOOGLETRANSLATE(B14877,""en"",""de"")"),"Die Person bläst aus einer engen Ecke und geht dann zu einem Gehweg.")</f>
        <v>Die Person bläst aus einer engen Ecke und geht dann zu einem Gehweg.</v>
      </c>
    </row>
    <row r="14878">
      <c r="A14878" s="4" t="s">
        <v>18732</v>
      </c>
      <c r="B14878" s="4" t="s">
        <v>18736</v>
      </c>
      <c r="C14878" s="5" t="str">
        <f>IFERROR(__xludf.DUMMYFUNCTION("GOOGLETRANSLATE(B14878,""en"",""de"")"),"Die Person bläst Blätter von einem Gehweg und über einen Rasen.")</f>
        <v>Die Person bläst Blätter von einem Gehweg und über einen Rasen.</v>
      </c>
    </row>
    <row r="14879">
      <c r="A14879" s="4" t="s">
        <v>18737</v>
      </c>
      <c r="B14879" s="4" t="s">
        <v>18738</v>
      </c>
      <c r="C14879" s="5" t="str">
        <f>IFERROR(__xludf.DUMMYFUNCTION("GOOGLETRANSLATE(B14879,""en"",""de"")"),"Ein Koch in der Küche, der einen Kochhut trägt, gibt Anweisungen zum Schärfen eines Messers.")</f>
        <v>Ein Koch in der Küche, der einen Kochhut trägt, gibt Anweisungen zum Schärfen eines Messers.</v>
      </c>
    </row>
    <row r="14880">
      <c r="A14880" s="4" t="s">
        <v>18737</v>
      </c>
      <c r="B14880" s="4" t="s">
        <v>18739</v>
      </c>
      <c r="C14880" s="5" t="str">
        <f>IFERROR(__xludf.DUMMYFUNCTION("GOOGLETRANSLATE(B14880,""en"",""de"")"),"Er bringt das Messer zu einem Spitzer und beginnt langsam zu demonstrieren.")</f>
        <v>Er bringt das Messer zu einem Spitzer und beginnt langsam zu demonstrieren.</v>
      </c>
    </row>
    <row r="14881">
      <c r="A14881" s="4" t="s">
        <v>18737</v>
      </c>
      <c r="B14881" s="4" t="s">
        <v>18740</v>
      </c>
      <c r="C14881" s="5" t="str">
        <f>IFERROR(__xludf.DUMMYFUNCTION("GOOGLETRANSLATE(B14881,""en"",""de"")"),"Er nimmt das Schärfwerkzeug auf und spricht darüber, was er als nächstes tun wird, und beginnt wieder zu schärfen.")</f>
        <v>Er nimmt das Schärfwerkzeug auf und spricht darüber, was er als nächstes tun wird, und beginnt wieder zu schärfen.</v>
      </c>
    </row>
    <row r="14882">
      <c r="A14882" s="4" t="s">
        <v>18737</v>
      </c>
      <c r="B14882" s="4" t="s">
        <v>18741</v>
      </c>
      <c r="C14882" s="5" t="str">
        <f>IFERROR(__xludf.DUMMYFUNCTION("GOOGLETRANSLATE(B14882,""en"",""de"")"),"Dann zeigt er alle Stücke, die mit dem Kit geliefert werden, und spricht darüber.")</f>
        <v>Dann zeigt er alle Stücke, die mit dem Kit geliefert werden, und spricht darüber.</v>
      </c>
    </row>
    <row r="14883">
      <c r="A14883" s="4" t="s">
        <v>18742</v>
      </c>
      <c r="B14883" s="4" t="s">
        <v>18743</v>
      </c>
      <c r="C14883" s="5" t="str">
        <f>IFERROR(__xludf.DUMMYFUNCTION("GOOGLETRANSLATE(B14883,""en"",""de"")"),"Eine kleine Gruppe von Kindern wird gesehen, wie sie ein Lacrosse -Feld herumläuft und ein Spiel miteinander spielt.")</f>
        <v>Eine kleine Gruppe von Kindern wird gesehen, wie sie ein Lacrosse -Feld herumläuft und ein Spiel miteinander spielt.</v>
      </c>
    </row>
    <row r="14884">
      <c r="A14884" s="4" t="s">
        <v>18742</v>
      </c>
      <c r="B14884" s="4" t="s">
        <v>18744</v>
      </c>
      <c r="C14884" s="5" t="str">
        <f>IFERROR(__xludf.DUMMYFUNCTION("GOOGLETRANSLATE(B14884,""en"",""de"")"),"Die Kamera folgt weiterhin den Menschen, die den Ball jagen und das Feld auf und ab rennen.")</f>
        <v>Die Kamera folgt weiterhin den Menschen, die den Ball jagen und das Feld auf und ab rennen.</v>
      </c>
    </row>
    <row r="14885">
      <c r="A14885" s="4" t="s">
        <v>18745</v>
      </c>
      <c r="B14885" s="4" t="s">
        <v>18746</v>
      </c>
      <c r="C14885" s="5" t="str">
        <f>IFERROR(__xludf.DUMMYFUNCTION("GOOGLETRANSLATE(B14885,""en"",""de"")"),"Ein Paar sitzt draußen und redet.")</f>
        <v>Ein Paar sitzt draußen und redet.</v>
      </c>
    </row>
    <row r="14886">
      <c r="A14886" s="4" t="s">
        <v>18745</v>
      </c>
      <c r="B14886" s="4" t="s">
        <v>18747</v>
      </c>
      <c r="C14886" s="5" t="str">
        <f>IFERROR(__xludf.DUMMYFUNCTION("GOOGLETRANSLATE(B14886,""en"",""de"")"),"Sie gehen ins Haus und sammeln Vorräte für die Rasur, die auf dem Bildschirm aufgeführt sind.")</f>
        <v>Sie gehen ins Haus und sammeln Vorräte für die Rasur, die auf dem Bildschirm aufgeführt sind.</v>
      </c>
    </row>
    <row r="14887">
      <c r="A14887" s="4" t="s">
        <v>18745</v>
      </c>
      <c r="B14887" s="4" t="s">
        <v>18748</v>
      </c>
      <c r="C14887" s="5" t="str">
        <f>IFERROR(__xludf.DUMMYFUNCTION("GOOGLETRANSLATE(B14887,""en"",""de"")"),"Die Frau latert den Mann auf und rasiert dann seinen Bart und Schnurrbart mit einem Biberschweinebin und Rasiermesser.")</f>
        <v>Die Frau latert den Mann auf und rasiert dann seinen Bart und Schnurrbart mit einem Biberschweinebin und Rasiermesser.</v>
      </c>
    </row>
    <row r="14888">
      <c r="A14888" s="4" t="s">
        <v>18745</v>
      </c>
      <c r="B14888" s="4" t="s">
        <v>18749</v>
      </c>
      <c r="C14888" s="5" t="str">
        <f>IFERROR(__xludf.DUMMYFUNCTION("GOOGLETRANSLATE(B14888,""en"",""de"")"),"Sie spügt ihn dann sauber und wendet Aftershave an.")</f>
        <v>Sie spügt ihn dann sauber und wendet Aftershave an.</v>
      </c>
    </row>
    <row r="14889">
      <c r="A14889" s="4" t="s">
        <v>18745</v>
      </c>
      <c r="B14889" s="4" t="s">
        <v>18750</v>
      </c>
      <c r="C14889" s="5" t="str">
        <f>IFERROR(__xludf.DUMMYFUNCTION("GOOGLETRANSLATE(B14889,""en"",""de"")"),"Dann wird ihm gezeigt, dass er ihr eine Schulter reiben lässt.")</f>
        <v>Dann wird ihm gezeigt, dass er ihr eine Schulter reiben lässt.</v>
      </c>
    </row>
    <row r="14890">
      <c r="A14890" s="4" t="s">
        <v>18751</v>
      </c>
      <c r="B14890" s="4" t="s">
        <v>18752</v>
      </c>
      <c r="C14890" s="5" t="str">
        <f>IFERROR(__xludf.DUMMYFUNCTION("GOOGLETRANSLATE(B14890,""en"",""de"")"),"Ein großer dünner Mann steht in einer Bar, die von Alkohol umgeben ist.")</f>
        <v>Ein großer dünner Mann steht in einer Bar, die von Alkohol umgeben ist.</v>
      </c>
    </row>
    <row r="14891">
      <c r="A14891" s="4" t="s">
        <v>18751</v>
      </c>
      <c r="B14891" s="4" t="s">
        <v>18753</v>
      </c>
      <c r="C14891" s="5" t="str">
        <f>IFERROR(__xludf.DUMMYFUNCTION("GOOGLETRANSLATE(B14891,""en"",""de"")"),"Der Mann hat eine Tasse Eis vor sich, in den er in ein normales Glas gießt, in das er dann Alkohol fügt.")</f>
        <v>Der Mann hat eine Tasse Eis vor sich, in den er in ein normales Glas gießt, in das er dann Alkohol fügt.</v>
      </c>
    </row>
    <row r="14892">
      <c r="A14892" s="4" t="s">
        <v>18751</v>
      </c>
      <c r="B14892" s="4" t="s">
        <v>18754</v>
      </c>
      <c r="C14892" s="5" t="str">
        <f>IFERROR(__xludf.DUMMYFUNCTION("GOOGLETRANSLATE(B14892,""en"",""de"")"),"Gefolgt von zwei weiteren Aufnahmen verschiedener klarer Liköre.")</f>
        <v>Gefolgt von zwei weiteren Aufnahmen verschiedener klarer Liköre.</v>
      </c>
    </row>
    <row r="14893">
      <c r="A14893" s="4" t="s">
        <v>18751</v>
      </c>
      <c r="B14893" s="4" t="s">
        <v>18755</v>
      </c>
      <c r="C14893" s="5" t="str">
        <f>IFERROR(__xludf.DUMMYFUNCTION("GOOGLETRANSLATE(B14893,""en"",""de"")"),"Dann nimmt er zwei Sirup wie Alkohol und gießt sie in die Tasse.")</f>
        <v>Dann nimmt er zwei Sirup wie Alkohol und gießt sie in die Tasse.</v>
      </c>
    </row>
    <row r="14894">
      <c r="A14894" s="4" t="s">
        <v>18751</v>
      </c>
      <c r="B14894" s="4" t="s">
        <v>18756</v>
      </c>
      <c r="C14894" s="5" t="str">
        <f>IFERROR(__xludf.DUMMYFUNCTION("GOOGLETRANSLATE(B14894,""en"",""de"")"),"Sobald alles im Glas ist, legt er den Mixer darauf und schüttelt ihn auf.")</f>
        <v>Sobald alles im Glas ist, legt er den Mixer darauf und schüttelt ihn auf.</v>
      </c>
    </row>
    <row r="14895">
      <c r="A14895" s="4" t="s">
        <v>18751</v>
      </c>
      <c r="B14895" s="4" t="s">
        <v>18757</v>
      </c>
      <c r="C14895" s="5" t="str">
        <f>IFERROR(__xludf.DUMMYFUNCTION("GOOGLETRANSLATE(B14895,""en"",""de"")"),"Schließlich ist das Getränk vollständig und er gießt es in ein anderes Glas und fügt einen Strohhalm hinzu, damit es serviert wird.")</f>
        <v>Schließlich ist das Getränk vollständig und er gießt es in ein anderes Glas und fügt einen Strohhalm hinzu, damit es serviert wird.</v>
      </c>
    </row>
    <row r="14896">
      <c r="A14896" s="4" t="s">
        <v>18758</v>
      </c>
      <c r="B14896" s="4" t="s">
        <v>18759</v>
      </c>
      <c r="C14896" s="5" t="str">
        <f>IFERROR(__xludf.DUMMYFUNCTION("GOOGLETRANSLATE(B14896,""en"",""de"")"),"Ein junger Mann steht vor der Kamera und spielt ein Set Dudelsets.")</f>
        <v>Ein junger Mann steht vor der Kamera und spielt ein Set Dudelsets.</v>
      </c>
    </row>
    <row r="14897">
      <c r="A14897" s="4" t="s">
        <v>18758</v>
      </c>
      <c r="B14897" s="4" t="s">
        <v>18760</v>
      </c>
      <c r="C14897" s="5" t="str">
        <f>IFERROR(__xludf.DUMMYFUNCTION("GOOGLETRANSLATE(B14897,""en"",""de"")"),"Er spielt weiterhin das Instrument und endet, indem er es in seinen Händen hält und ein Bild von ihm Gitarre spielt.")</f>
        <v>Er spielt weiterhin das Instrument und endet, indem er es in seinen Händen hält und ein Bild von ihm Gitarre spielt.</v>
      </c>
    </row>
    <row r="14898">
      <c r="A14898" s="4" t="s">
        <v>18761</v>
      </c>
      <c r="B14898" s="4" t="s">
        <v>18762</v>
      </c>
      <c r="C14898" s="5" t="str">
        <f>IFERROR(__xludf.DUMMYFUNCTION("GOOGLETRANSLATE(B14898,""en"",""de"")"),"Eine Person fährt mit einem Surfbrett durch eine Welle und führt in mehrere weitere Menschen, die Wellen fahren und am Wasser sitzen.")</f>
        <v>Eine Person fährt mit einem Surfbrett durch eine Welle und führt in mehrere weitere Menschen, die Wellen fahren und am Wasser sitzen.</v>
      </c>
    </row>
    <row r="14899">
      <c r="A14899" s="4" t="s">
        <v>18761</v>
      </c>
      <c r="B14899" s="4" t="s">
        <v>18763</v>
      </c>
      <c r="C14899" s="5" t="str">
        <f>IFERROR(__xludf.DUMMYFUNCTION("GOOGLETRANSLATE(B14899,""en"",""de"")"),"Weitere Aufnahmen von Menschen, die unglaubliche Wellen surfen, werden mit etwas ausgelöscht, aber insgesamt weiterfahren.")</f>
        <v>Weitere Aufnahmen von Menschen, die unglaubliche Wellen surfen, werden mit etwas ausgelöscht, aber insgesamt weiterfahren.</v>
      </c>
    </row>
    <row r="14900">
      <c r="A14900" s="4" t="s">
        <v>18764</v>
      </c>
      <c r="B14900" s="4" t="s">
        <v>18765</v>
      </c>
      <c r="C14900" s="5" t="str">
        <f>IFERROR(__xludf.DUMMYFUNCTION("GOOGLETRANSLATE(B14900,""en"",""de"")"),"Boote werden durch dunkeles Meerwasser segeln.")</f>
        <v>Boote werden durch dunkeles Meerwasser segeln.</v>
      </c>
    </row>
    <row r="14901">
      <c r="A14901" s="4" t="s">
        <v>18764</v>
      </c>
      <c r="B14901" s="4" t="s">
        <v>18766</v>
      </c>
      <c r="C14901" s="5" t="str">
        <f>IFERROR(__xludf.DUMMYFUNCTION("GOOGLETRANSLATE(B14901,""en"",""de"")"),"Wir sehen einen ersten Blick auf das Segeln auf einem Boot.")</f>
        <v>Wir sehen einen ersten Blick auf das Segeln auf einem Boot.</v>
      </c>
    </row>
    <row r="14902">
      <c r="A14902" s="4" t="s">
        <v>18764</v>
      </c>
      <c r="B14902" s="4" t="s">
        <v>18767</v>
      </c>
      <c r="C14902" s="5" t="str">
        <f>IFERROR(__xludf.DUMMYFUNCTION("GOOGLETRANSLATE(B14902,""en"",""de"")"),"Die Boote schweben durch das Wasser.")</f>
        <v>Die Boote schweben durch das Wasser.</v>
      </c>
    </row>
    <row r="14903">
      <c r="A14903" s="4" t="s">
        <v>18768</v>
      </c>
      <c r="B14903" s="4" t="s">
        <v>18769</v>
      </c>
      <c r="C14903" s="5" t="str">
        <f>IFERROR(__xludf.DUMMYFUNCTION("GOOGLETRANSLATE(B14903,""en"",""de"")"),"Die Leute sitzen auf einer Bank auf einem Rodeo.")</f>
        <v>Die Leute sitzen auf einer Bank auf einem Rodeo.</v>
      </c>
    </row>
    <row r="14904">
      <c r="A14904" s="4" t="s">
        <v>18768</v>
      </c>
      <c r="B14904" s="4" t="s">
        <v>18770</v>
      </c>
      <c r="C14904" s="5" t="str">
        <f>IFERROR(__xludf.DUMMYFUNCTION("GOOGLETRANSLATE(B14904,""en"",""de"")"),"Wir sehen Menschen, die um einen Zaun herum stehen.")</f>
        <v>Wir sehen Menschen, die um einen Zaun herum stehen.</v>
      </c>
    </row>
    <row r="14905">
      <c r="A14905" s="4" t="s">
        <v>18768</v>
      </c>
      <c r="B14905" s="4" t="s">
        <v>18771</v>
      </c>
      <c r="C14905" s="5" t="str">
        <f>IFERROR(__xludf.DUMMYFUNCTION("GOOGLETRANSLATE(B14905,""en"",""de"")"),"Das Tor offen und Kalb und ein Mann kommt heraus. Wir sehen vier Männer Hgtie Calfs.")</f>
        <v>Das Tor offen und Kalb und ein Mann kommt heraus. Wir sehen vier Männer Hgtie Calfs.</v>
      </c>
    </row>
    <row r="14906">
      <c r="A14906" s="4" t="s">
        <v>18768</v>
      </c>
      <c r="B14906" s="4" t="s">
        <v>18772</v>
      </c>
      <c r="C14906" s="5" t="str">
        <f>IFERROR(__xludf.DUMMYFUNCTION("GOOGLETRANSLATE(B14906,""en"",""de"")"),"Wir sehen, dass ein Kalb im Ring läuft und ein anderes Kalb hätiert wird.")</f>
        <v>Wir sehen, dass ein Kalb im Ring läuft und ein anderes Kalb hätiert wird.</v>
      </c>
    </row>
    <row r="14907">
      <c r="A14907" s="4" t="s">
        <v>18768</v>
      </c>
      <c r="B14907" s="4" t="s">
        <v>18773</v>
      </c>
      <c r="C14907" s="5" t="str">
        <f>IFERROR(__xludf.DUMMYFUNCTION("GOOGLETRANSLATE(B14907,""en"",""de"")"),"Ein Mann und ein kleiner Junge gehen und halten die Zügel eines Pferdes.")</f>
        <v>Ein Mann und ein kleiner Junge gehen und halten die Zügel eines Pferdes.</v>
      </c>
    </row>
    <row r="14908">
      <c r="A14908" s="4" t="s">
        <v>18768</v>
      </c>
      <c r="B14908" s="4" t="s">
        <v>18774</v>
      </c>
      <c r="C14908" s="5" t="str">
        <f>IFERROR(__xludf.DUMMYFUNCTION("GOOGLETRANSLATE(B14908,""en"",""de"")"),"Wir sehen einen älteren Mann, der die Zügel eines Pferdes hält.")</f>
        <v>Wir sehen einen älteren Mann, der die Zügel eines Pferdes hält.</v>
      </c>
    </row>
    <row r="14909">
      <c r="A14909" s="4" t="s">
        <v>18768</v>
      </c>
      <c r="B14909" s="4" t="s">
        <v>18775</v>
      </c>
      <c r="C14909" s="5" t="str">
        <f>IFERROR(__xludf.DUMMYFUNCTION("GOOGLETRANSLATE(B14909,""en"",""de"")"),"Die Kamera zeigt auf den Boden und das Video endet.")</f>
        <v>Die Kamera zeigt auf den Boden und das Video endet.</v>
      </c>
    </row>
    <row r="14910">
      <c r="A14910" s="4" t="s">
        <v>18776</v>
      </c>
      <c r="B14910" s="4" t="s">
        <v>18777</v>
      </c>
      <c r="C14910" s="5" t="str">
        <f>IFERROR(__xludf.DUMMYFUNCTION("GOOGLETRANSLATE(B14910,""en"",""de"")"),"Ein Mann trinkt aus einer Tasse, die von einer Frau gehalten wird, die ebenfalls aus einer Flasche trinkt.")</f>
        <v>Ein Mann trinkt aus einer Tasse, die von einer Frau gehalten wird, die ebenfalls aus einer Flasche trinkt.</v>
      </c>
    </row>
    <row r="14911">
      <c r="A14911" s="4" t="s">
        <v>18776</v>
      </c>
      <c r="B14911" s="4" t="s">
        <v>18778</v>
      </c>
      <c r="C14911" s="5" t="str">
        <f>IFERROR(__xludf.DUMMYFUNCTION("GOOGLETRANSLATE(B14911,""en"",""de"")"),"Die beiden trinken weiter, während andere sie aufzeichnen und dann sofort anhalten.")</f>
        <v>Die beiden trinken weiter, während andere sie aufzeichnen und dann sofort anhalten.</v>
      </c>
    </row>
    <row r="14912">
      <c r="A14912" s="4" t="s">
        <v>18779</v>
      </c>
      <c r="B14912" s="4" t="s">
        <v>18780</v>
      </c>
      <c r="C14912" s="5" t="str">
        <f>IFERROR(__xludf.DUMMYFUNCTION("GOOGLETRANSLATE(B14912,""en"",""de"")"),"Eine Gruppen von Schülern trainiert und jubelt einen Wettbewerb, dann werfen Jungen, die rotes T-Shirt tragen, Bowlingbälle und werfen alle Stifte und feiern.")</f>
        <v>Eine Gruppen von Schülern trainiert und jubelt einen Wettbewerb, dann werfen Jungen, die rotes T-Shirt tragen, Bowlingbälle und werfen alle Stifte und feiern.</v>
      </c>
    </row>
    <row r="14913">
      <c r="A14913" s="4" t="s">
        <v>18779</v>
      </c>
      <c r="B14913" s="4" t="s">
        <v>18781</v>
      </c>
      <c r="C14913" s="5" t="str">
        <f>IFERROR(__xludf.DUMMYFUNCTION("GOOGLETRANSLATE(B14913,""en"",""de"")"),"Dann spielen junge Leute, die grüne T-Shirts tragen, erfolgreich Bowling.")</f>
        <v>Dann spielen junge Leute, die grüne T-Shirts tragen, erfolgreich Bowling.</v>
      </c>
    </row>
    <row r="14914">
      <c r="A14914" s="4" t="s">
        <v>18779</v>
      </c>
      <c r="B14914" s="4" t="s">
        <v>18782</v>
      </c>
      <c r="C14914" s="5" t="str">
        <f>IFERROR(__xludf.DUMMYFUNCTION("GOOGLETRANSLATE(B14914,""en"",""de"")"),"Danach spielen Mädchen Bowling, die alle Stifte mit der Bowling Bowl werfen.")</f>
        <v>Danach spielen Mädchen Bowling, die alle Stifte mit der Bowling Bowl werfen.</v>
      </c>
    </row>
    <row r="14915">
      <c r="A14915" s="4" t="s">
        <v>18779</v>
      </c>
      <c r="B14915" s="4" t="s">
        <v>18783</v>
      </c>
      <c r="C14915" s="5" t="str">
        <f>IFERROR(__xludf.DUMMYFUNCTION("GOOGLETRANSLATE(B14915,""en"",""de"")"),"Die Gewinner des Wettbewerbs erhalten geschlossene Umschläge und Trophäen.")</f>
        <v>Die Gewinner des Wettbewerbs erhalten geschlossene Umschläge und Trophäen.</v>
      </c>
    </row>
    <row r="14916">
      <c r="A14916" s="4" t="s">
        <v>18784</v>
      </c>
      <c r="B14916" s="4" t="s">
        <v>18785</v>
      </c>
      <c r="C14916" s="5" t="str">
        <f>IFERROR(__xludf.DUMMYFUNCTION("GOOGLETRANSLATE(B14916,""en"",""de"")"),"Eine Frau kniet am Sandstrand.")</f>
        <v>Eine Frau kniet am Sandstrand.</v>
      </c>
    </row>
    <row r="14917">
      <c r="A14917" s="4" t="s">
        <v>18784</v>
      </c>
      <c r="B14917" s="4" t="s">
        <v>18786</v>
      </c>
      <c r="C14917" s="5" t="str">
        <f>IFERROR(__xludf.DUMMYFUNCTION("GOOGLETRANSLATE(B14917,""en"",""de"")"),"Sie hilft einem Baby mit der Suntan -Lotion.")</f>
        <v>Sie hilft einem Baby mit der Suntan -Lotion.</v>
      </c>
    </row>
    <row r="14918">
      <c r="A14918" s="4" t="s">
        <v>18784</v>
      </c>
      <c r="B14918" s="4" t="s">
        <v>18787</v>
      </c>
      <c r="C14918" s="5" t="str">
        <f>IFERROR(__xludf.DUMMYFUNCTION("GOOGLETRANSLATE(B14918,""en"",""de"")"),"Sie reibt die Lotion auf der Haut des Babys.")</f>
        <v>Sie reibt die Lotion auf der Haut des Babys.</v>
      </c>
    </row>
    <row r="14919">
      <c r="A14919" s="4" t="s">
        <v>18788</v>
      </c>
      <c r="B14919" s="4" t="s">
        <v>18789</v>
      </c>
      <c r="C14919" s="5" t="str">
        <f>IFERROR(__xludf.DUMMYFUNCTION("GOOGLETRANSLATE(B14919,""en"",""de"")"),"Vier Männer spielen schlecht Freen.")</f>
        <v>Vier Männer spielen schlecht Freen.</v>
      </c>
    </row>
    <row r="14920">
      <c r="A14920" s="4" t="s">
        <v>18788</v>
      </c>
      <c r="B14920" s="4" t="s">
        <v>18790</v>
      </c>
      <c r="C14920" s="5" t="str">
        <f>IFERROR(__xludf.DUMMYFUNCTION("GOOGLETRANSLATE(B14920,""en"",""de"")"),"Es gibt Clips von großartigen Aufnahmen von Teams.")</f>
        <v>Es gibt Clips von großartigen Aufnahmen von Teams.</v>
      </c>
    </row>
    <row r="14921">
      <c r="A14921" s="4" t="s">
        <v>18788</v>
      </c>
      <c r="B14921" s="4" t="s">
        <v>18791</v>
      </c>
      <c r="C14921" s="5" t="str">
        <f>IFERROR(__xludf.DUMMYFUNCTION("GOOGLETRANSLATE(B14921,""en"",""de"")"),"Das gelbe Team macht mehrere Punkte in Folge.")</f>
        <v>Das gelbe Team macht mehrere Punkte in Folge.</v>
      </c>
    </row>
    <row r="14922">
      <c r="A14922" s="4" t="s">
        <v>18788</v>
      </c>
      <c r="B14922" s="4" t="s">
        <v>18792</v>
      </c>
      <c r="C14922" s="5" t="str">
        <f>IFERROR(__xludf.DUMMYFUNCTION("GOOGLETRANSLATE(B14922,""en"",""de"")"),"Das Team von Dänemark machte mehrere Punkte.")</f>
        <v>Das Team von Dänemark machte mehrere Punkte.</v>
      </c>
    </row>
    <row r="14923">
      <c r="A14923" s="4" t="s">
        <v>18788</v>
      </c>
      <c r="B14923" s="4" t="s">
        <v>18793</v>
      </c>
      <c r="C14923" s="5" t="str">
        <f>IFERROR(__xludf.DUMMYFUNCTION("GOOGLETRANSLATE(B14923,""en"",""de"")"),"Der Clip endet mit dem gelben Team, das Trophäen hält.")</f>
        <v>Der Clip endet mit dem gelben Team, das Trophäen hält.</v>
      </c>
    </row>
    <row r="14924">
      <c r="A14924" s="4" t="s">
        <v>18794</v>
      </c>
      <c r="B14924" s="4" t="s">
        <v>18795</v>
      </c>
      <c r="C14924" s="5" t="str">
        <f>IFERROR(__xludf.DUMMYFUNCTION("GOOGLETRANSLATE(B14924,""en"",""de"")"),"Ein Mann spielt eine Ukulele für eine Frau, während ein Mann hinter einem Vorhang hinter sich schaut.")</f>
        <v>Ein Mann spielt eine Ukulele für eine Frau, während ein Mann hinter einem Vorhang hinter sich schaut.</v>
      </c>
    </row>
    <row r="14925">
      <c r="A14925" s="4" t="s">
        <v>18794</v>
      </c>
      <c r="B14925" s="4" t="s">
        <v>18796</v>
      </c>
      <c r="C14925" s="5" t="str">
        <f>IFERROR(__xludf.DUMMYFUNCTION("GOOGLETRANSLATE(B14925,""en"",""de"")"),"Plötzlich schneidet das Video auf mehrere verschiedene Leute, die Fensterwaschen -Tricks machen.")</f>
        <v>Plötzlich schneidet das Video auf mehrere verschiedene Leute, die Fensterwaschen -Tricks machen.</v>
      </c>
    </row>
    <row r="14926">
      <c r="A14926" s="4" t="s">
        <v>18794</v>
      </c>
      <c r="B14926" s="4" t="s">
        <v>18797</v>
      </c>
      <c r="C14926" s="5" t="str">
        <f>IFERROR(__xludf.DUMMYFUNCTION("GOOGLETRANSLATE(B14926,""en"",""de"")"),"Das Video endet mit einem Mann am Telefon, der einen Comedy -Sketch über Windows macht.")</f>
        <v>Das Video endet mit einem Mann am Telefon, der einen Comedy -Sketch über Windows macht.</v>
      </c>
    </row>
    <row r="14927">
      <c r="A14927" s="4" t="s">
        <v>18798</v>
      </c>
      <c r="B14927" s="4" t="s">
        <v>18799</v>
      </c>
      <c r="C14927" s="5" t="str">
        <f>IFERROR(__xludf.DUMMYFUNCTION("GOOGLETRANSLATE(B14927,""en"",""de"")"),"Eine Person wird gesehen, wie ein Trainingsgerät auf der Maschine nach oben und unten bewegt wird.")</f>
        <v>Eine Person wird gesehen, wie ein Trainingsgerät auf der Maschine nach oben und unten bewegt wird.</v>
      </c>
    </row>
    <row r="14928">
      <c r="A14928" s="4" t="s">
        <v>18798</v>
      </c>
      <c r="B14928" s="4" t="s">
        <v>18800</v>
      </c>
      <c r="C14928" s="5" t="str">
        <f>IFERROR(__xludf.DUMMYFUNCTION("GOOGLETRANSLATE(B14928,""en"",""de"")"),"Die Kamera schwenkt rund um den Mann um die Maschine und zoomt rund um den Mann, der sich herum bewegt.")</f>
        <v>Die Kamera schwenkt rund um den Mann um die Maschine und zoomt rund um den Mann, der sich herum bewegt.</v>
      </c>
    </row>
    <row r="14929">
      <c r="A14929" s="4" t="s">
        <v>18801</v>
      </c>
      <c r="B14929" s="4" t="s">
        <v>18802</v>
      </c>
      <c r="C14929" s="5" t="str">
        <f>IFERROR(__xludf.DUMMYFUNCTION("GOOGLETRANSLATE(B14929,""en"",""de"")"),"Eine Kamera wird in einem Gebäude vergrößert und führt zu einem Mann, der auf einen großen Felsen klettern.")</f>
        <v>Eine Kamera wird in einem Gebäude vergrößert und führt zu einem Mann, der auf einen großen Felsen klettern.</v>
      </c>
    </row>
    <row r="14930">
      <c r="A14930" s="4" t="s">
        <v>18801</v>
      </c>
      <c r="B14930" s="4" t="s">
        <v>18803</v>
      </c>
      <c r="C14930" s="5" t="str">
        <f>IFERROR(__xludf.DUMMYFUNCTION("GOOGLETRANSLATE(B14930,""en"",""de"")"),"Der Mann klettert ständig auf den Felsen, während er sich umsah und schafft es schließlich nach oben, während die Kamera herum schwenkt.")</f>
        <v>Der Mann klettert ständig auf den Felsen, während er sich umsah und schafft es schließlich nach oben, während die Kamera herum schwenkt.</v>
      </c>
    </row>
    <row r="14931">
      <c r="A14931" s="4" t="s">
        <v>18804</v>
      </c>
      <c r="B14931" s="4" t="s">
        <v>18805</v>
      </c>
      <c r="C14931" s="5" t="str">
        <f>IFERROR(__xludf.DUMMYFUNCTION("GOOGLETRANSLATE(B14931,""en"",""de"")"),"Auf dem Titelbildschirm wird ein Vanilleschwammkuchen angezeigt.")</f>
        <v>Auf dem Titelbildschirm wird ein Vanilleschwammkuchen angezeigt.</v>
      </c>
    </row>
    <row r="14932">
      <c r="A14932" s="4" t="s">
        <v>18804</v>
      </c>
      <c r="B14932" s="4" t="s">
        <v>18806</v>
      </c>
      <c r="C14932" s="5" t="str">
        <f>IFERROR(__xludf.DUMMYFUNCTION("GOOGLETRANSLATE(B14932,""en"",""de"")"),"Anschließend wird eine weiße Platte neben vier braunen Eier auf einen braunen Tisch gelegt.")</f>
        <v>Anschließend wird eine weiße Platte neben vier braunen Eier auf einen braunen Tisch gelegt.</v>
      </c>
    </row>
    <row r="14933">
      <c r="A14933" s="4" t="s">
        <v>18804</v>
      </c>
      <c r="B14933" s="4" t="s">
        <v>18807</v>
      </c>
      <c r="C14933" s="5" t="str">
        <f>IFERROR(__xludf.DUMMYFUNCTION("GOOGLETRANSLATE(B14933,""en"",""de"")"),"Sie werden dann in eine silberne Schüssel gestellt und werden in einem schnellen Tempo verquirlt, da Zucker allmählich hinzugefügt wird und das Peitschen fortgesetzt wird.")</f>
        <v>Sie werden dann in eine silberne Schüssel gestellt und werden in einem schnellen Tempo verquirlt, da Zucker allmählich hinzugefügt wird und das Peitschen fortgesetzt wird.</v>
      </c>
    </row>
    <row r="14934">
      <c r="A14934" s="4" t="s">
        <v>18804</v>
      </c>
      <c r="B14934" s="4" t="s">
        <v>18808</v>
      </c>
      <c r="C14934" s="5" t="str">
        <f>IFERROR(__xludf.DUMMYFUNCTION("GOOGLETRANSLATE(B14934,""en"",""de"")"),"Danach werden auf einem Tisch Milch, Butter, Mehl, Bananenpudding, Salz und Vanilleextrakt angezeigt.")</f>
        <v>Danach werden auf einem Tisch Milch, Butter, Mehl, Bananenpudding, Salz und Vanilleextrakt angezeigt.</v>
      </c>
    </row>
    <row r="14935">
      <c r="A14935" s="4" t="s">
        <v>18804</v>
      </c>
      <c r="B14935" s="4" t="s">
        <v>18809</v>
      </c>
      <c r="C14935" s="5" t="str">
        <f>IFERROR(__xludf.DUMMYFUNCTION("GOOGLETRANSLATE(B14935,""en"",""de"")"),"Die Milch und die Butter werden erhitzt und dann in einer großen Schüssel mit dem zu verseuchten Kuchenteig hinzugefügt.")</f>
        <v>Die Milch und die Butter werden erhitzt und dann in einer großen Schüssel mit dem zu verseuchten Kuchenteig hinzugefügt.</v>
      </c>
    </row>
    <row r="14936">
      <c r="A14936" s="4" t="s">
        <v>18804</v>
      </c>
      <c r="B14936" s="4" t="s">
        <v>18810</v>
      </c>
      <c r="C14936" s="5" t="str">
        <f>IFERROR(__xludf.DUMMYFUNCTION("GOOGLETRANSLATE(B14936,""en"",""de"")"),"Die Vanille wird dann hinzugefügt und in eine andere Schüssel gegossen, bevor das Endprodukt angezeigt wird.")</f>
        <v>Die Vanille wird dann hinzugefügt und in eine andere Schüssel gegossen, bevor das Endprodukt angezeigt wird.</v>
      </c>
    </row>
    <row r="14937">
      <c r="A14937" s="4" t="s">
        <v>18811</v>
      </c>
      <c r="B14937" s="4" t="s">
        <v>18812</v>
      </c>
      <c r="C14937" s="5" t="str">
        <f>IFERROR(__xludf.DUMMYFUNCTION("GOOGLETRANSLATE(B14937,""en"",""de"")"),"Eine Frau tritt einen Mann, der Handschuhe in seinen Händen trägt.")</f>
        <v>Eine Frau tritt einen Mann, der Handschuhe in seinen Händen trägt.</v>
      </c>
    </row>
    <row r="14938">
      <c r="A14938" s="4" t="s">
        <v>18811</v>
      </c>
      <c r="B14938" s="4" t="s">
        <v>18813</v>
      </c>
      <c r="C14938" s="5" t="str">
        <f>IFERROR(__xludf.DUMMYFUNCTION("GOOGLETRANSLATE(B14938,""en"",""de"")"),"Der Mann geht dann um den Kreis, während die Leute abwechselnd den Mann schlagen.")</f>
        <v>Der Mann geht dann um den Kreis, während die Leute abwechselnd den Mann schlagen.</v>
      </c>
    </row>
    <row r="14939">
      <c r="A14939" s="4" t="s">
        <v>18811</v>
      </c>
      <c r="B14939" s="4" t="s">
        <v>18814</v>
      </c>
      <c r="C14939" s="5" t="str">
        <f>IFERROR(__xludf.DUMMYFUNCTION("GOOGLETRANSLATE(B14939,""en"",""de"")"),"Der Mann geht weiter herum, während sie ihn schlugen.")</f>
        <v>Der Mann geht weiter herum, während sie ihn schlugen.</v>
      </c>
    </row>
    <row r="14940">
      <c r="A14940" s="4" t="s">
        <v>18815</v>
      </c>
      <c r="B14940" s="4" t="s">
        <v>18816</v>
      </c>
      <c r="C14940" s="5" t="str">
        <f>IFERROR(__xludf.DUMMYFUNCTION("GOOGLETRANSLATE(B14940,""en"",""de"")"),"Ein elliptischer Trainer wird sowie seine Komponenten gezeigt.")</f>
        <v>Ein elliptischer Trainer wird sowie seine Komponenten gezeigt.</v>
      </c>
    </row>
    <row r="14941">
      <c r="A14941" s="4" t="s">
        <v>18815</v>
      </c>
      <c r="B14941" s="4" t="s">
        <v>18817</v>
      </c>
      <c r="C14941" s="5" t="str">
        <f>IFERROR(__xludf.DUMMYFUNCTION("GOOGLETRANSLATE(B14941,""en"",""de"")"),"Es wird gezeigt, dass eine Frau auf der Elliptik arbeitet.")</f>
        <v>Es wird gezeigt, dass eine Frau auf der Elliptik arbeitet.</v>
      </c>
    </row>
    <row r="14942">
      <c r="A14942" s="4" t="s">
        <v>18815</v>
      </c>
      <c r="B14942" s="4" t="s">
        <v>18818</v>
      </c>
      <c r="C14942" s="5" t="str">
        <f>IFERROR(__xludf.DUMMYFUNCTION("GOOGLETRANSLATE(B14942,""en"",""de"")"),"Sie pedelt und demonstriert die Mechanik des Programmierbildschirms.")</f>
        <v>Sie pedelt und demonstriert die Mechanik des Programmierbildschirms.</v>
      </c>
    </row>
    <row r="14943">
      <c r="A14943" s="4" t="s">
        <v>18819</v>
      </c>
      <c r="B14943" s="4" t="s">
        <v>18820</v>
      </c>
      <c r="C14943" s="5" t="str">
        <f>IFERROR(__xludf.DUMMYFUNCTION("GOOGLETRANSLATE(B14943,""en"",""de"")"),"Ein Hund trägt in Kleidung und ein Mensch ist hinter ihm, nur seine Hände.")</f>
        <v>Ein Hund trägt in Kleidung und ein Mensch ist hinter ihm, nur seine Hände.</v>
      </c>
    </row>
    <row r="14944">
      <c r="A14944" s="4" t="s">
        <v>18819</v>
      </c>
      <c r="B14944" s="4" t="s">
        <v>18821</v>
      </c>
      <c r="C14944" s="5" t="str">
        <f>IFERROR(__xludf.DUMMYFUNCTION("GOOGLETRANSLATE(B14944,""en"",""de"")"),"Um auszusehen, als wäre der Hund ein Teil menschlich und tut menschlich wie Sachen.")</f>
        <v>Um auszusehen, als wäre der Hund ein Teil menschlich und tut menschlich wie Sachen.</v>
      </c>
    </row>
    <row r="14945">
      <c r="A14945" s="4" t="s">
        <v>18819</v>
      </c>
      <c r="B14945" s="4" t="s">
        <v>18822</v>
      </c>
      <c r="C14945" s="5" t="str">
        <f>IFERROR(__xludf.DUMMYFUNCTION("GOOGLETRANSLATE(B14945,""en"",""de"")"),"Er füttert sich das Frühstück und wischt sich dann das Gesicht ab.")</f>
        <v>Er füttert sich das Frühstück und wischt sich dann das Gesicht ab.</v>
      </c>
    </row>
    <row r="14946">
      <c r="A14946" s="4" t="s">
        <v>18819</v>
      </c>
      <c r="B14946" s="4" t="s">
        <v>18823</v>
      </c>
      <c r="C14946" s="5" t="str">
        <f>IFERROR(__xludf.DUMMYFUNCTION("GOOGLETRANSLATE(B14946,""en"",""de"")"),"Danach schnappt er sich eine Tasse Kaffee, um sie zu trinken.")</f>
        <v>Danach schnappt er sich eine Tasse Kaffee, um sie zu trinken.</v>
      </c>
    </row>
    <row r="14947">
      <c r="A14947" s="4" t="s">
        <v>18819</v>
      </c>
      <c r="B14947" s="4" t="s">
        <v>18824</v>
      </c>
      <c r="C14947" s="5" t="str">
        <f>IFERROR(__xludf.DUMMYFUNCTION("GOOGLETRANSLATE(B14947,""en"",""de"")"),"Er kämpft darum, sich noch eine Serviette zu schnappen, um sich wieder das Gesicht zu wischen.")</f>
        <v>Er kämpft darum, sich noch eine Serviette zu schnappen, um sich wieder das Gesicht zu wischen.</v>
      </c>
    </row>
    <row r="14948">
      <c r="A14948" s="4" t="s">
        <v>18825</v>
      </c>
      <c r="B14948" s="4" t="s">
        <v>18826</v>
      </c>
      <c r="C14948" s="5" t="str">
        <f>IFERROR(__xludf.DUMMYFUNCTION("GOOGLETRANSLATE(B14948,""en"",""de"")"),"Ein Mann wird hinter einem Boot Ski fahren.")</f>
        <v>Ein Mann wird hinter einem Boot Ski fahren.</v>
      </c>
    </row>
    <row r="14949">
      <c r="A14949" s="4" t="s">
        <v>18825</v>
      </c>
      <c r="B14949" s="4" t="s">
        <v>18827</v>
      </c>
      <c r="C14949" s="5" t="str">
        <f>IFERROR(__xludf.DUMMYFUNCTION("GOOGLETRANSLATE(B14949,""en"",""de"")"),"Er hält sich fest, als er durch das Wasser gezogen wird.")</f>
        <v>Er hält sich fest, als er durch das Wasser gezogen wird.</v>
      </c>
    </row>
    <row r="14950">
      <c r="A14950" s="4" t="s">
        <v>18825</v>
      </c>
      <c r="B14950" s="4" t="s">
        <v>18828</v>
      </c>
      <c r="C14950" s="5" t="str">
        <f>IFERROR(__xludf.DUMMYFUNCTION("GOOGLETRANSLATE(B14950,""en"",""de"")"),"Der Mann Ski Skifahren bis zum Ende des Clips.")</f>
        <v>Der Mann Ski Skifahren bis zum Ende des Clips.</v>
      </c>
    </row>
    <row r="14951">
      <c r="A14951" s="4" t="s">
        <v>18829</v>
      </c>
      <c r="B14951" s="4" t="s">
        <v>18830</v>
      </c>
      <c r="C14951" s="5" t="str">
        <f>IFERROR(__xludf.DUMMYFUNCTION("GOOGLETRANSLATE(B14951,""en"",""de"")"),"Ein sportlicher Mann wird bereit stehen, während er einen Speer hält, und rennt dann die Strecke hinunter und wirft die Stange in ein Feld.")</f>
        <v>Ein sportlicher Mann wird bereit stehen, während er einen Speer hält, und rennt dann die Strecke hinunter und wirft die Stange in ein Feld.</v>
      </c>
    </row>
    <row r="14952">
      <c r="A14952" s="4" t="s">
        <v>18829</v>
      </c>
      <c r="B14952" s="4" t="s">
        <v>18831</v>
      </c>
      <c r="C14952" s="5" t="str">
        <f>IFERROR(__xludf.DUMMYFUNCTION("GOOGLETRANSLATE(B14952,""en"",""de"")"),"Er geht mit den Händen an den Hüften weg und der gleiche Wurf wird wieder gezeigt.")</f>
        <v>Er geht mit den Händen an den Hüften weg und der gleiche Wurf wird wieder gezeigt.</v>
      </c>
    </row>
    <row r="14953">
      <c r="A14953" s="4" t="s">
        <v>18829</v>
      </c>
      <c r="B14953" s="4" t="s">
        <v>18832</v>
      </c>
      <c r="C14953" s="5" t="str">
        <f>IFERROR(__xludf.DUMMYFUNCTION("GOOGLETRANSLATE(B14953,""en"",""de"")"),"Einige weitere Athleten steigen auf, um den Speer auf das Feld zu werfen, gefolgt von dem gleichen Wurf, der erneut gezeigt wurde und sie gegen die Kamera lachen.")</f>
        <v>Einige weitere Athleten steigen auf, um den Speer auf das Feld zu werfen, gefolgt von dem gleichen Wurf, der erneut gezeigt wurde und sie gegen die Kamera lachen.</v>
      </c>
    </row>
    <row r="14954">
      <c r="A14954" s="4" t="s">
        <v>18833</v>
      </c>
      <c r="B14954" s="4" t="s">
        <v>18834</v>
      </c>
      <c r="C14954" s="5" t="str">
        <f>IFERROR(__xludf.DUMMYFUNCTION("GOOGLETRANSLATE(B14954,""en"",""de"")"),"Ein Mann in einem großen grünen Feld praktiziert über sieben Hammer mit einem Messband vor ihm über den Boden.")</f>
        <v>Ein Mann in einem großen grünen Feld praktiziert über sieben Hammer mit einem Messband vor ihm über den Boden.</v>
      </c>
    </row>
    <row r="14955">
      <c r="A14955" s="4" t="s">
        <v>18833</v>
      </c>
      <c r="B14955" s="4" t="s">
        <v>18835</v>
      </c>
      <c r="C14955" s="5" t="str">
        <f>IFERROR(__xludf.DUMMYFUNCTION("GOOGLETRANSLATE(B14955,""en"",""de"")"),"Ein nackter Mann in schwarzen Trackhosen dreht einen Hammer, der herumwirft, bis er in ein Feld vor ihm freigibt.")</f>
        <v>Ein nackter Mann in schwarzen Trackhosen dreht einen Hammer, der herumwirft, bis er in ein Feld vor ihm freigibt.</v>
      </c>
    </row>
    <row r="14956">
      <c r="A14956" s="4" t="s">
        <v>18833</v>
      </c>
      <c r="B14956" s="4" t="s">
        <v>18836</v>
      </c>
      <c r="C14956" s="5" t="str">
        <f>IFERROR(__xludf.DUMMYFUNCTION("GOOGLETRANSLATE(B14956,""en"",""de"")"),"Der Mann führt dann mindestens sechs weitere Hammerwürfe auf die gleiche Weise am selben Ort durch.")</f>
        <v>Der Mann führt dann mindestens sechs weitere Hammerwürfe auf die gleiche Weise am selben Ort durch.</v>
      </c>
    </row>
    <row r="14957">
      <c r="A14957" s="4" t="s">
        <v>18837</v>
      </c>
      <c r="B14957" s="4" t="s">
        <v>18838</v>
      </c>
      <c r="C14957" s="5" t="str">
        <f>IFERROR(__xludf.DUMMYFUNCTION("GOOGLETRANSLATE(B14957,""en"",""de"")"),"Der Mensch steht in einem Gren -Feld und beginnt mit dem Seil zu springen.")</f>
        <v>Der Mensch steht in einem Gren -Feld und beginnt mit dem Seil zu springen.</v>
      </c>
    </row>
    <row r="14958">
      <c r="A14958" s="4" t="s">
        <v>18837</v>
      </c>
      <c r="B14958" s="4" t="s">
        <v>18839</v>
      </c>
      <c r="C14958" s="5" t="str">
        <f>IFERROR(__xludf.DUMMYFUNCTION("GOOGLETRANSLATE(B14958,""en"",""de"")"),"Der Mensch lässt das Seil fallen und erklärt, wie man springt und das Seil wieder hält.")</f>
        <v>Der Mensch lässt das Seil fallen und erklärt, wie man springt und das Seil wieder hält.</v>
      </c>
    </row>
    <row r="14959">
      <c r="A14959" s="4" t="s">
        <v>18840</v>
      </c>
      <c r="B14959" s="4" t="s">
        <v>18841</v>
      </c>
      <c r="C14959" s="5" t="str">
        <f>IFERROR(__xludf.DUMMYFUNCTION("GOOGLETRANSLATE(B14959,""en"",""de"")"),"Jungs spielen vor dem Publikum einen Billard.")</f>
        <v>Jungs spielen vor dem Publikum einen Billard.</v>
      </c>
    </row>
    <row r="14960">
      <c r="A14960" s="4" t="s">
        <v>18840</v>
      </c>
      <c r="B14960" s="4" t="s">
        <v>18842</v>
      </c>
      <c r="C14960" s="5" t="str">
        <f>IFERROR(__xludf.DUMMYFUNCTION("GOOGLETRANSLATE(B14960,""en"",""de"")"),"Ein Mann ändert seinen Poolstock.")</f>
        <v>Ein Mann ändert seinen Poolstock.</v>
      </c>
    </row>
    <row r="14961">
      <c r="A14961" s="4" t="s">
        <v>18840</v>
      </c>
      <c r="B14961" s="4" t="s">
        <v>18843</v>
      </c>
      <c r="C14961" s="5" t="str">
        <f>IFERROR(__xludf.DUMMYFUNCTION("GOOGLETRANSLATE(B14961,""en"",""de"")"),"Die beiden Männer stehen nahe beieinander und geben ein Interview.")</f>
        <v>Die beiden Männer stehen nahe beieinander und geben ein Interview.</v>
      </c>
    </row>
    <row r="14962">
      <c r="A14962" s="4" t="s">
        <v>18840</v>
      </c>
      <c r="B14962" s="4" t="s">
        <v>18844</v>
      </c>
      <c r="C14962" s="5" t="str">
        <f>IFERROR(__xludf.DUMMYFUNCTION("GOOGLETRANSLATE(B14962,""en"",""de"")"),"Ein Mann legt seinen Arm um die Schultern seines Partners und sein Partner tanzt.")</f>
        <v>Ein Mann legt seinen Arm um die Schultern seines Partners und sein Partner tanzt.</v>
      </c>
    </row>
    <row r="14963">
      <c r="A14963" s="4" t="s">
        <v>18840</v>
      </c>
      <c r="B14963" s="4" t="s">
        <v>18845</v>
      </c>
      <c r="C14963" s="5" t="str">
        <f>IFERROR(__xludf.DUMMYFUNCTION("GOOGLETRANSLATE(B14963,""en"",""de"")"),"Ein Mann sitzt auf dem Schoß seines Poolspiel -Partners, nachdem er seinen Schuss gemacht hat.")</f>
        <v>Ein Mann sitzt auf dem Schoß seines Poolspiel -Partners, nachdem er seinen Schuss gemacht hat.</v>
      </c>
    </row>
    <row r="14964">
      <c r="A14964" s="4" t="s">
        <v>18846</v>
      </c>
      <c r="B14964" s="4" t="s">
        <v>18847</v>
      </c>
      <c r="C14964" s="5" t="str">
        <f>IFERROR(__xludf.DUMMYFUNCTION("GOOGLETRANSLATE(B14964,""en"",""de"")"),"Eine Person legt Beinschmiermittel auf ihr Bein auf und rasiert dann das Bein und wischt dann ihr Bein mit einem nassen Lappen ab.")</f>
        <v>Eine Person legt Beinschmiermittel auf ihr Bein auf und rasiert dann das Bein und wischt dann ihr Bein mit einem nassen Lappen ab.</v>
      </c>
    </row>
    <row r="14965">
      <c r="A14965" s="4" t="s">
        <v>18846</v>
      </c>
      <c r="B14965" s="4" t="s">
        <v>18848</v>
      </c>
      <c r="C14965" s="5" t="str">
        <f>IFERROR(__xludf.DUMMYFUNCTION("GOOGLETRANSLATE(B14965,""en"",""de"")"),"Eine Person in einem Badezimmer mit einem Fuß auf einer Toilettenabdeckung reibt Beinschmiermittel am Bein.")</f>
        <v>Eine Person in einem Badezimmer mit einem Fuß auf einer Toilettenabdeckung reibt Beinschmiermittel am Bein.</v>
      </c>
    </row>
    <row r="14966">
      <c r="A14966" s="4" t="s">
        <v>18846</v>
      </c>
      <c r="B14966" s="4" t="s">
        <v>18849</v>
      </c>
      <c r="C14966" s="5" t="str">
        <f>IFERROR(__xludf.DUMMYFUNCTION("GOOGLETRANSLATE(B14966,""en"",""de"")"),"Die Person beginnt dann, die Länge ihres Beins mit einem blauen Rasiermesser zu rasieren.")</f>
        <v>Die Person beginnt dann, die Länge ihres Beins mit einem blauen Rasiermesser zu rasieren.</v>
      </c>
    </row>
    <row r="14967">
      <c r="A14967" s="4" t="s">
        <v>18846</v>
      </c>
      <c r="B14967" s="4" t="s">
        <v>18850</v>
      </c>
      <c r="C14967" s="5" t="str">
        <f>IFERROR(__xludf.DUMMYFUNCTION("GOOGLETRANSLATE(B14967,""en"",""de"")"),"Die Person wischt ihr Bein mit nassem Lappen ab, nachdem sie den Lappen unter dem Waschbecken gehalten hat, bevor sie eine Flasche Beinschmiermittel in der Hand in einer Nahaufsicht hielt.")</f>
        <v>Die Person wischt ihr Bein mit nassem Lappen ab, nachdem sie den Lappen unter dem Waschbecken gehalten hat, bevor sie eine Flasche Beinschmiermittel in der Hand in einer Nahaufsicht hielt.</v>
      </c>
    </row>
    <row r="14968">
      <c r="A14968" s="4" t="s">
        <v>18851</v>
      </c>
      <c r="B14968" s="4" t="s">
        <v>18852</v>
      </c>
      <c r="C14968" s="5" t="str">
        <f>IFERROR(__xludf.DUMMYFUNCTION("GOOGLETRANSLATE(B14968,""en"",""de"")"),"Eine Frau und ein Mann tanzen auf einer Bühne.")</f>
        <v>Eine Frau und ein Mann tanzen auf einer Bühne.</v>
      </c>
    </row>
    <row r="14969">
      <c r="A14969" s="4" t="s">
        <v>18851</v>
      </c>
      <c r="B14969" s="4" t="s">
        <v>18853</v>
      </c>
      <c r="C14969" s="5" t="str">
        <f>IFERROR(__xludf.DUMMYFUNCTION("GOOGLETRANSLATE(B14969,""en"",""de"")"),"Hinter ihnen spielt eine Band.")</f>
        <v>Hinter ihnen spielt eine Band.</v>
      </c>
    </row>
    <row r="14970">
      <c r="A14970" s="4" t="s">
        <v>18851</v>
      </c>
      <c r="B14970" s="4" t="s">
        <v>18854</v>
      </c>
      <c r="C14970" s="5" t="str">
        <f>IFERROR(__xludf.DUMMYFUNCTION("GOOGLETRANSLATE(B14970,""en"",""de"")"),"Es gibt ein Publikum, das auf Stühlen sitzt, die für sie klatschen.")</f>
        <v>Es gibt ein Publikum, das auf Stühlen sitzt, die für sie klatschen.</v>
      </c>
    </row>
    <row r="14971">
      <c r="A14971" s="4" t="s">
        <v>18855</v>
      </c>
      <c r="B14971" s="4" t="s">
        <v>18856</v>
      </c>
      <c r="C14971" s="5" t="str">
        <f>IFERROR(__xludf.DUMMYFUNCTION("GOOGLETRANSLATE(B14971,""en"",""de"")"),"Ein junges Mädchen in einem grünen Trikot beginnt einen Schlagstock zu drehen und Tricks zu machen.")</f>
        <v>Ein junges Mädchen in einem grünen Trikot beginnt einen Schlagstock zu drehen und Tricks zu machen.</v>
      </c>
    </row>
    <row r="14972">
      <c r="A14972" s="4" t="s">
        <v>18855</v>
      </c>
      <c r="B14972" s="4" t="s">
        <v>18857</v>
      </c>
      <c r="C14972" s="5" t="str">
        <f>IFERROR(__xludf.DUMMYFUNCTION("GOOGLETRANSLATE(B14972,""en"",""de"")"),"Das Mädchen beginnt ihre Arme zu integrieren und dreht sich um und dreht den Staffelstab weiter über ihre Hände und Arme.")</f>
        <v>Das Mädchen beginnt ihre Arme zu integrieren und dreht sich um und dreht den Staffelstab weiter über ihre Hände und Arme.</v>
      </c>
    </row>
    <row r="14973">
      <c r="A14973" s="4" t="s">
        <v>18855</v>
      </c>
      <c r="B14973" s="4" t="s">
        <v>18858</v>
      </c>
      <c r="C14973" s="5" t="str">
        <f>IFERROR(__xludf.DUMMYFUNCTION("GOOGLETRANSLATE(B14973,""en"",""de"")"),"Während die junge Dame ihre Leistung fortsetzt, dreht sie den Staffelstab zwischen ihren Beinen und über ihren Kopf, fängt sie und macht einen Galopp.")</f>
        <v>Während die junge Dame ihre Leistung fortsetzt, dreht sie den Staffelstab zwischen ihren Beinen und über ihren Kopf, fängt sie und macht einen Galopp.</v>
      </c>
    </row>
    <row r="14974">
      <c r="A14974" s="4" t="s">
        <v>18855</v>
      </c>
      <c r="B14974" s="4" t="s">
        <v>18859</v>
      </c>
      <c r="C14974" s="5" t="str">
        <f>IFERROR(__xludf.DUMMYFUNCTION("GOOGLETRANSLATE(B14974,""en"",""de"")"),"Der Rest der Aufführung des jungen Mädchens ist eine Reihe von Wirbel und Twist und dann rennt sie vom Boden, um ihre Leistung zu beenden.")</f>
        <v>Der Rest der Aufführung des jungen Mädchens ist eine Reihe von Wirbel und Twist und dann rennt sie vom Boden, um ihre Leistung zu beenden.</v>
      </c>
    </row>
    <row r="14975">
      <c r="A14975" s="4" t="s">
        <v>18860</v>
      </c>
      <c r="B14975" s="4" t="s">
        <v>18861</v>
      </c>
      <c r="C14975" s="5" t="str">
        <f>IFERROR(__xludf.DUMMYFUNCTION("GOOGLETRANSLATE(B14975,""en"",""de"")"),"Eine Person hebt ein 90 kg Gewicht bis zur Schulter und dann über den Kopf, dann lässt der Mann das Gewicht auf den Boden fallen.")</f>
        <v>Eine Person hebt ein 90 kg Gewicht bis zur Schulter und dann über den Kopf, dann lässt der Mann das Gewicht auf den Boden fallen.</v>
      </c>
    </row>
    <row r="14976">
      <c r="A14976" s="4" t="s">
        <v>18860</v>
      </c>
      <c r="B14976" s="4" t="s">
        <v>18862</v>
      </c>
      <c r="C14976" s="5" t="str">
        <f>IFERROR(__xludf.DUMMYFUNCTION("GOOGLETRANSLATE(B14976,""en"",""de"")"),"Dann hebt der Mann 95 kg Gewicht über seinem Kopf.")</f>
        <v>Dann hebt der Mann 95 kg Gewicht über seinem Kopf.</v>
      </c>
    </row>
    <row r="14977">
      <c r="A14977" s="4" t="s">
        <v>18860</v>
      </c>
      <c r="B14977" s="4" t="s">
        <v>18863</v>
      </c>
      <c r="C14977" s="5" t="str">
        <f>IFERROR(__xludf.DUMMYFUNCTION("GOOGLETRANSLATE(B14977,""en"",""de"")"),"Danach hebt der Mann ein Gewicht von 101 kg erfolgreich.")</f>
        <v>Danach hebt der Mann ein Gewicht von 101 kg erfolgreich.</v>
      </c>
    </row>
    <row r="14978">
      <c r="A14978" s="4" t="s">
        <v>18864</v>
      </c>
      <c r="B14978" s="4" t="s">
        <v>18865</v>
      </c>
      <c r="C14978" s="5" t="str">
        <f>IFERROR(__xludf.DUMMYFUNCTION("GOOGLETRANSLATE(B14978,""en"",""de"")"),"Eine Nahaufnahme eines Autos wird von einer Person gesehen, die einen Schaber hält.")</f>
        <v>Eine Nahaufnahme eines Autos wird von einer Person gesehen, die einen Schaber hält.</v>
      </c>
    </row>
    <row r="14979">
      <c r="A14979" s="4" t="s">
        <v>18864</v>
      </c>
      <c r="B14979" s="4" t="s">
        <v>18866</v>
      </c>
      <c r="C14979" s="5" t="str">
        <f>IFERROR(__xludf.DUMMYFUNCTION("GOOGLETRANSLATE(B14979,""en"",""de"")"),"Die Person schiebt Eis entlang des Autos und schaut in die Kamera.")</f>
        <v>Die Person schiebt Eis entlang des Autos und schaut in die Kamera.</v>
      </c>
    </row>
    <row r="14980">
      <c r="A14980" s="4" t="s">
        <v>18864</v>
      </c>
      <c r="B14980" s="4" t="s">
        <v>18867</v>
      </c>
      <c r="C14980" s="5" t="str">
        <f>IFERROR(__xludf.DUMMYFUNCTION("GOOGLETRANSLATE(B14980,""en"",""de"")"),"Die Person räumt weiterhin Eis mit dem Schaber ab, während die Kamera ihre Bewegungen erfasst.")</f>
        <v>Die Person räumt weiterhin Eis mit dem Schaber ab, während die Kamera ihre Bewegungen erfasst.</v>
      </c>
    </row>
    <row r="14981">
      <c r="A14981" s="4" t="s">
        <v>18868</v>
      </c>
      <c r="B14981" s="4" t="s">
        <v>18869</v>
      </c>
      <c r="C14981" s="5" t="str">
        <f>IFERROR(__xludf.DUMMYFUNCTION("GOOGLETRANSLATE(B14981,""en"",""de"")"),"Ein weiblicher Wrestler hält einen weiteren Wrestler auf den Kopf.")</f>
        <v>Ein weiblicher Wrestler hält einen weiteren Wrestler auf den Kopf.</v>
      </c>
    </row>
    <row r="14982">
      <c r="A14982" s="4" t="s">
        <v>18868</v>
      </c>
      <c r="B14982" s="4" t="s">
        <v>18870</v>
      </c>
      <c r="C14982" s="5" t="str">
        <f>IFERROR(__xludf.DUMMYFUNCTION("GOOGLETRANSLATE(B14982,""en"",""de"")"),"Sie knallt sie auf die Matte auf ihren Rücken.")</f>
        <v>Sie knallt sie auf die Matte auf ihren Rücken.</v>
      </c>
    </row>
    <row r="14983">
      <c r="A14983" s="4" t="s">
        <v>18871</v>
      </c>
      <c r="B14983" s="4" t="s">
        <v>18872</v>
      </c>
      <c r="C14983" s="5" t="str">
        <f>IFERROR(__xludf.DUMMYFUNCTION("GOOGLETRANSLATE(B14983,""en"",""de"")"),"Es werden verschiedene Schüsse von Landschaften gezeigt, darunter Hirschköpfe und Baumhäuser und führt zu einem Mann, der einen Bogen und einen Pfeil schießt.")</f>
        <v>Es werden verschiedene Schüsse von Landschaften gezeigt, darunter Hirschköpfe und Baumhäuser und führt zu einem Mann, der einen Bogen und einen Pfeil schießt.</v>
      </c>
    </row>
    <row r="14984">
      <c r="A14984" s="4" t="s">
        <v>18871</v>
      </c>
      <c r="B14984" s="4" t="s">
        <v>18873</v>
      </c>
      <c r="C14984" s="5" t="str">
        <f>IFERROR(__xludf.DUMMYFUNCTION("GOOGLETRANSLATE(B14984,""en"",""de"")"),"Er trifft das Stofftier und führt in mehr Schüsse von ihm und einem anderen mit dem Bogen und Pfeil.")</f>
        <v>Er trifft das Stofftier und führt in mehr Schüsse von ihm und einem anderen mit dem Bogen und Pfeil.</v>
      </c>
    </row>
    <row r="14985">
      <c r="A14985" s="4" t="s">
        <v>18871</v>
      </c>
      <c r="B14985" s="4" t="s">
        <v>18874</v>
      </c>
      <c r="C14985" s="5" t="str">
        <f>IFERROR(__xludf.DUMMYFUNCTION("GOOGLETRANSLATE(B14985,""en"",""de"")"),"Die Kamera schwenkt um Bereiche, die sie schlagen und zeigen einen Mann, der weggeht.")</f>
        <v>Die Kamera schwenkt um Bereiche, die sie schlagen und zeigen einen Mann, der weggeht.</v>
      </c>
    </row>
    <row r="14986">
      <c r="A14986" s="4" t="s">
        <v>18875</v>
      </c>
      <c r="B14986" s="4" t="s">
        <v>18876</v>
      </c>
      <c r="C14986" s="5" t="str">
        <f>IFERROR(__xludf.DUMMYFUNCTION("GOOGLETRANSLATE(B14986,""en"",""de"")"),"Einige Menschen surfen in rauen Meereswellen.")</f>
        <v>Einige Menschen surfen in rauen Meereswellen.</v>
      </c>
    </row>
    <row r="14987">
      <c r="A14987" s="4" t="s">
        <v>18875</v>
      </c>
      <c r="B14987" s="4" t="s">
        <v>18877</v>
      </c>
      <c r="C14987" s="5" t="str">
        <f>IFERROR(__xludf.DUMMYFUNCTION("GOOGLETRANSLATE(B14987,""en"",""de"")"),"Sie legten sich auf ihre Bretter und verschwanden im Wasser.")</f>
        <v>Sie legten sich auf ihre Bretter und verschwanden im Wasser.</v>
      </c>
    </row>
    <row r="14988">
      <c r="A14988" s="4" t="s">
        <v>18875</v>
      </c>
      <c r="B14988" s="4" t="s">
        <v>18878</v>
      </c>
      <c r="C14988" s="5" t="str">
        <f>IFERROR(__xludf.DUMMYFUNCTION("GOOGLETRANSLATE(B14988,""en"",""de"")"),"Das Mädchen fährt nur die Brandung mit ihrem Vater, der hilft.")</f>
        <v>Das Mädchen fährt nur die Brandung mit ihrem Vater, der hilft.</v>
      </c>
    </row>
    <row r="14989">
      <c r="A14989" s="4" t="s">
        <v>18879</v>
      </c>
      <c r="B14989" s="4" t="s">
        <v>18880</v>
      </c>
      <c r="C14989" s="5" t="str">
        <f>IFERROR(__xludf.DUMMYFUNCTION("GOOGLETRANSLATE(B14989,""en"",""de"")"),"Ein Mann steht auf einer Leiter, die eine Wand entlang wischt.")</f>
        <v>Ein Mann steht auf einer Leiter, die eine Wand entlang wischt.</v>
      </c>
    </row>
    <row r="14990">
      <c r="A14990" s="4" t="s">
        <v>18879</v>
      </c>
      <c r="B14990" s="4" t="s">
        <v>18881</v>
      </c>
      <c r="C14990" s="5" t="str">
        <f>IFERROR(__xludf.DUMMYFUNCTION("GOOGLETRANSLATE(B14990,""en"",""de"")"),"Ein schwarzer Eimer sitzt neben ihm.")</f>
        <v>Ein schwarzer Eimer sitzt neben ihm.</v>
      </c>
    </row>
    <row r="14991">
      <c r="A14991" s="4" t="s">
        <v>18879</v>
      </c>
      <c r="B14991" s="4" t="s">
        <v>18882</v>
      </c>
      <c r="C14991" s="5" t="str">
        <f>IFERROR(__xludf.DUMMYFUNCTION("GOOGLETRANSLATE(B14991,""en"",""de"")"),"Ein Mann stehst auf und wirft Schlamm an die Wand.")</f>
        <v>Ein Mann stehst auf und wirft Schlamm an die Wand.</v>
      </c>
    </row>
    <row r="14992">
      <c r="A14992" s="4" t="s">
        <v>18883</v>
      </c>
      <c r="B14992" s="4" t="s">
        <v>18884</v>
      </c>
      <c r="C14992" s="5" t="str">
        <f>IFERROR(__xludf.DUMMYFUNCTION("GOOGLETRANSLATE(B14992,""en"",""de"")"),"Eine Frau spricht mit der Kamera, während sie neben einem Pferd steht und das Pferd nebenbei streichelt.")</f>
        <v>Eine Frau spricht mit der Kamera, während sie neben einem Pferd steht und das Pferd nebenbei streichelt.</v>
      </c>
    </row>
    <row r="14993">
      <c r="A14993" s="4" t="s">
        <v>18883</v>
      </c>
      <c r="B14993" s="4" t="s">
        <v>18885</v>
      </c>
      <c r="C14993" s="5" t="str">
        <f>IFERROR(__xludf.DUMMYFUNCTION("GOOGLETRANSLATE(B14993,""en"",""de"")"),"Das Pferd schnüffelt rund um die Frau, während sie ihn streichelt und am Ende seinen Kopf dreht.")</f>
        <v>Das Pferd schnüffelt rund um die Frau, während sie ihn streichelt und am Ende seinen Kopf dreht.</v>
      </c>
    </row>
    <row r="14994">
      <c r="A14994" s="4" t="s">
        <v>18886</v>
      </c>
      <c r="B14994" s="4" t="s">
        <v>18887</v>
      </c>
      <c r="C14994" s="5" t="str">
        <f>IFERROR(__xludf.DUMMYFUNCTION("GOOGLETRANSLATE(B14994,""en"",""de"")"),"Eine Kamera schwenkt einen Holztisch mit einem Jungen mit einer Brille.")</f>
        <v>Eine Kamera schwenkt einen Holztisch mit einem Jungen mit einer Brille.</v>
      </c>
    </row>
    <row r="14995">
      <c r="A14995" s="4" t="s">
        <v>18886</v>
      </c>
      <c r="B14995" s="4" t="s">
        <v>18888</v>
      </c>
      <c r="C14995" s="5" t="str">
        <f>IFERROR(__xludf.DUMMYFUNCTION("GOOGLETRANSLATE(B14995,""en"",""de"")"),"Der Junge schiebt verschiedene Pucks über das Holzbrett, um zu sehen, wo es endet.")</f>
        <v>Der Junge schiebt verschiedene Pucks über das Holzbrett, um zu sehen, wo es endet.</v>
      </c>
    </row>
    <row r="14996">
      <c r="A14996" s="4" t="s">
        <v>18886</v>
      </c>
      <c r="B14996" s="4" t="s">
        <v>18889</v>
      </c>
      <c r="C14996" s="5" t="str">
        <f>IFERROR(__xludf.DUMMYFUNCTION("GOOGLETRANSLATE(B14996,""en"",""de"")"),"Der Junge schiebt mehrere weitere Pucks und der Junge, der die Kamera bis zum Ende hält, um die Ergebnisse zu zeigen.")</f>
        <v>Der Junge schiebt mehrere weitere Pucks und der Junge, der die Kamera bis zum Ende hält, um die Ergebnisse zu zeigen.</v>
      </c>
    </row>
    <row r="14997">
      <c r="A14997" s="4" t="s">
        <v>18890</v>
      </c>
      <c r="B14997" s="4" t="s">
        <v>18891</v>
      </c>
      <c r="C14997" s="5" t="str">
        <f>IFERROR(__xludf.DUMMYFUNCTION("GOOGLETRANSLATE(B14997,""en"",""de"")"),"Ein Mädchen steht mit einer Gruppe von Menschen auf einer langen Plattform aus Holz.")</f>
        <v>Ein Mädchen steht mit einer Gruppe von Menschen auf einer langen Plattform aus Holz.</v>
      </c>
    </row>
    <row r="14998">
      <c r="A14998" s="4" t="s">
        <v>18890</v>
      </c>
      <c r="B14998" s="4" t="s">
        <v>18892</v>
      </c>
      <c r="C14998" s="5" t="str">
        <f>IFERROR(__xludf.DUMMYFUNCTION("GOOGLETRANSLATE(B14998,""en"",""de"")"),"Sie ist an ein Seil gebunden und mit mehreren Leuten hinter sich dann wird sie vom Ständer gestoßen, der an einem freien Fall teilnimmt.")</f>
        <v>Sie ist an ein Seil gebunden und mit mehreren Leuten hinter sich dann wird sie vom Ständer gestoßen, der an einem freien Fall teilnimmt.</v>
      </c>
    </row>
    <row r="14999">
      <c r="A14999" s="4" t="s">
        <v>18890</v>
      </c>
      <c r="B14999" s="4" t="s">
        <v>18893</v>
      </c>
      <c r="C14999" s="5" t="str">
        <f>IFERROR(__xludf.DUMMYFUNCTION("GOOGLETRANSLATE(B14999,""en"",""de"")"),"Das Weibchen fällt dann für einen langen Zeitraum über das Wasser.")</f>
        <v>Das Weibchen fällt dann für einen langen Zeitraum über das Wasser.</v>
      </c>
    </row>
    <row r="15000">
      <c r="A15000" s="4" t="s">
        <v>18894</v>
      </c>
      <c r="B15000" s="4" t="s">
        <v>18895</v>
      </c>
      <c r="C15000" s="5" t="str">
        <f>IFERROR(__xludf.DUMMYFUNCTION("GOOGLETRANSLATE(B15000,""en"",""de"")"),"Eine Frau schaut in die Kamera, während sie ihre Haare putzte und führt in sie und steckt ihre Haare in einen Pferdeschwanz.")</f>
        <v>Eine Frau schaut in die Kamera, während sie ihre Haare putzte und führt in sie und steckt ihre Haare in einen Pferdeschwanz.</v>
      </c>
    </row>
    <row r="15001">
      <c r="A15001" s="4" t="s">
        <v>18894</v>
      </c>
      <c r="B15001" s="4" t="s">
        <v>18896</v>
      </c>
      <c r="C15001" s="5" t="str">
        <f>IFERROR(__xludf.DUMMYFUNCTION("GOOGLETRANSLATE(B15001,""en"",""de"")"),"Das Mädchen flechtet dann mehr Haare in sie und endet, indem sie zur Kamera winkt.")</f>
        <v>Das Mädchen flechtet dann mehr Haare in sie und endet, indem sie zur Kamera winkt.</v>
      </c>
    </row>
    <row r="15002">
      <c r="A15002" s="4" t="s">
        <v>18897</v>
      </c>
      <c r="B15002" s="4" t="s">
        <v>18898</v>
      </c>
      <c r="C15002" s="5" t="str">
        <f>IFERROR(__xludf.DUMMYFUNCTION("GOOGLETRANSLATE(B15002,""en"",""de"")"),"Zu Beginn des Videos wird ein LKW auf der Straße gefahren.")</f>
        <v>Zu Beginn des Videos wird ein LKW auf der Straße gefahren.</v>
      </c>
    </row>
    <row r="15003">
      <c r="A15003" s="4" t="s">
        <v>18897</v>
      </c>
      <c r="B15003" s="4" t="s">
        <v>18899</v>
      </c>
      <c r="C15003" s="5" t="str">
        <f>IFERROR(__xludf.DUMMYFUNCTION("GOOGLETRANSLATE(B15003,""en"",""de"")"),"Dann wird ein Mann am Pool sitzen und mit anderen Menschen im Wasser surfen.")</f>
        <v>Dann wird ein Mann am Pool sitzen und mit anderen Menschen im Wasser surfen.</v>
      </c>
    </row>
    <row r="15004">
      <c r="A15004" s="4" t="s">
        <v>18900</v>
      </c>
      <c r="B15004" s="4" t="s">
        <v>18901</v>
      </c>
      <c r="C15004" s="5" t="str">
        <f>IFERROR(__xludf.DUMMYFUNCTION("GOOGLETRANSLATE(B15004,""en"",""de"")"),"Die Leute sind gesehen, die durch eine schneebedeckte Gegend laufen und Bretter in ihren Händen tragen und entlang des Weges reiten.")</f>
        <v>Die Leute sind gesehen, die durch eine schneebedeckte Gegend laufen und Bretter in ihren Händen tragen und entlang des Weges reiten.</v>
      </c>
    </row>
    <row r="15005">
      <c r="A15005" s="4" t="s">
        <v>18900</v>
      </c>
      <c r="B15005" s="4" t="s">
        <v>18902</v>
      </c>
      <c r="C15005" s="5" t="str">
        <f>IFERROR(__xludf.DUMMYFUNCTION("GOOGLETRANSLATE(B15005,""en"",""de"")"),"Die Leute reiten kontinuierlich den schneebedeckten Berg hinunter, während sie zur Kamera zurückblicken.")</f>
        <v>Die Leute reiten kontinuierlich den schneebedeckten Berg hinunter, während sie zur Kamera zurückblicken.</v>
      </c>
    </row>
    <row r="15006">
      <c r="A15006" s="4" t="s">
        <v>18900</v>
      </c>
      <c r="B15006" s="4" t="s">
        <v>18903</v>
      </c>
      <c r="C15006" s="5" t="str">
        <f>IFERROR(__xludf.DUMMYFUNCTION("GOOGLETRANSLATE(B15006,""en"",""de"")"),"Die Menschen reiten weiter herum und zoomen auf den Füßen.")</f>
        <v>Die Menschen reiten weiter herum und zoomen auf den Füßen.</v>
      </c>
    </row>
    <row r="15007">
      <c r="A15007" s="4" t="s">
        <v>18904</v>
      </c>
      <c r="B15007" s="4" t="s">
        <v>18905</v>
      </c>
      <c r="C15007" s="5" t="str">
        <f>IFERROR(__xludf.DUMMYFUNCTION("GOOGLETRANSLATE(B15007,""en"",""de"")"),"Eine Frau spricht mit der Kamera, die einen Hula -Reifen hält, und führt sich in sie um den Hula -Hoop.")</f>
        <v>Eine Frau spricht mit der Kamera, die einen Hula -Reifen hält, und führt sich in sie um den Hula -Hoop.</v>
      </c>
    </row>
    <row r="15008">
      <c r="A15008" s="4" t="s">
        <v>18904</v>
      </c>
      <c r="B15008" s="4" t="s">
        <v>18906</v>
      </c>
      <c r="C15008" s="5" t="str">
        <f>IFERROR(__xludf.DUMMYFUNCTION("GOOGLETRANSLATE(B15008,""en"",""de"")"),"Die Frau schiebt das Objekt weiterhin um ihre Taille, während sie sich umrennt und sich an Ort und Stelle tanzt.")</f>
        <v>Die Frau schiebt das Objekt weiterhin um ihre Taille, während sie sich umrennt und sich an Ort und Stelle tanzt.</v>
      </c>
    </row>
    <row r="15009">
      <c r="A15009" s="4" t="s">
        <v>18907</v>
      </c>
      <c r="B15009" s="4" t="s">
        <v>18908</v>
      </c>
      <c r="C15009" s="5" t="str">
        <f>IFERROR(__xludf.DUMMYFUNCTION("GOOGLETRANSLATE(B15009,""en"",""de"")"),"Ein dünner Mann und ein dicker Mann spielen Armringen, während ein Kameramann sie filmte.")</f>
        <v>Ein dünner Mann und ein dicker Mann spielen Armringen, während ein Kameramann sie filmte.</v>
      </c>
    </row>
    <row r="15010">
      <c r="A15010" s="4" t="s">
        <v>18907</v>
      </c>
      <c r="B15010" s="4" t="s">
        <v>18909</v>
      </c>
      <c r="C15010" s="5" t="str">
        <f>IFERROR(__xludf.DUMMYFUNCTION("GOOGLETRANSLATE(B15010,""en"",""de"")"),"Der dünne Mann gewinnt den Arm Wrestling -Wettbewerb.")</f>
        <v>Der dünne Mann gewinnt den Arm Wrestling -Wettbewerb.</v>
      </c>
    </row>
    <row r="15011">
      <c r="A15011" s="4" t="s">
        <v>18910</v>
      </c>
      <c r="B15011" s="4" t="s">
        <v>18911</v>
      </c>
      <c r="C15011" s="5" t="str">
        <f>IFERROR(__xludf.DUMMYFUNCTION("GOOGLETRANSLATE(B15011,""en"",""de"")"),"Menschen in Gurten gehen auf einer Plattform mit Bäumen weit unten im Hintergrund.")</f>
        <v>Menschen in Gurten gehen auf einer Plattform mit Bäumen weit unten im Hintergrund.</v>
      </c>
    </row>
    <row r="15012">
      <c r="A15012" s="4" t="s">
        <v>18910</v>
      </c>
      <c r="B15012" s="4" t="s">
        <v>18912</v>
      </c>
      <c r="C15012" s="5" t="str">
        <f>IFERROR(__xludf.DUMMYFUNCTION("GOOGLETRANSLATE(B15012,""en"",""de"")"),"Der Mann sitzt auf einer Bank und ist an ein großes weißes Seil begeistert.")</f>
        <v>Der Mann sitzt auf einer Bank und ist an ein großes weißes Seil begeistert.</v>
      </c>
    </row>
    <row r="15013">
      <c r="A15013" s="4" t="s">
        <v>18910</v>
      </c>
      <c r="B15013" s="4" t="s">
        <v>18913</v>
      </c>
      <c r="C15013" s="5" t="str">
        <f>IFERROR(__xludf.DUMMYFUNCTION("GOOGLETRANSLATE(B15013,""en"",""de"")"),"Der Mann schüttelt die Hand einer Frau.")</f>
        <v>Der Mann schüttelt die Hand einer Frau.</v>
      </c>
    </row>
    <row r="15014">
      <c r="A15014" s="4" t="s">
        <v>18910</v>
      </c>
      <c r="B15014" s="4" t="s">
        <v>18914</v>
      </c>
      <c r="C15014" s="5" t="str">
        <f>IFERROR(__xludf.DUMMYFUNCTION("GOOGLETRANSLATE(B15014,""en"",""de"")"),"Der Mann steht und geht zum Rande der Plattform, die von zwei Personen unterstützt wird.")</f>
        <v>Der Mann steht und geht zum Rande der Plattform, die von zwei Personen unterstützt wird.</v>
      </c>
    </row>
    <row r="15015">
      <c r="A15015" s="4" t="s">
        <v>18910</v>
      </c>
      <c r="B15015" s="4" t="s">
        <v>18915</v>
      </c>
      <c r="C15015" s="5" t="str">
        <f>IFERROR(__xludf.DUMMYFUNCTION("GOOGLETRANSLATE(B15015,""en"",""de"")"),"Die Dame drückt dann den Mann von der Kante und die Kamera schwenkt nach unten, um zu sehen, wie der Bungee der Mann springt.")</f>
        <v>Die Dame drückt dann den Mann von der Kante und die Kamera schwenkt nach unten, um zu sehen, wie der Bungee der Mann springt.</v>
      </c>
    </row>
    <row r="15016">
      <c r="A15016" s="4" t="s">
        <v>18910</v>
      </c>
      <c r="B15016" s="4" t="s">
        <v>18916</v>
      </c>
      <c r="C15016" s="5" t="str">
        <f>IFERROR(__xludf.DUMMYFUNCTION("GOOGLETRANSLATE(B15016,""en"",""de"")"),"Ein Mann mit Stick hält es aus und der Mann fängt es und sie ließen den Mann aus dem Seil frei.")</f>
        <v>Ein Mann mit Stick hält es aus und der Mann fängt es und sie ließen den Mann aus dem Seil frei.</v>
      </c>
    </row>
    <row r="15017">
      <c r="A15017" s="4" t="s">
        <v>18917</v>
      </c>
      <c r="B15017" s="4" t="s">
        <v>18918</v>
      </c>
      <c r="C15017" s="5" t="str">
        <f>IFERROR(__xludf.DUMMYFUNCTION("GOOGLETRANSLATE(B15017,""en"",""de"")"),"Mehrere Menschen lagen in Röhren im Schnee.")</f>
        <v>Mehrere Menschen lagen in Röhren im Schnee.</v>
      </c>
    </row>
    <row r="15018">
      <c r="A15018" s="4" t="s">
        <v>18917</v>
      </c>
      <c r="B15018" s="4" t="s">
        <v>18919</v>
      </c>
      <c r="C15018" s="5" t="str">
        <f>IFERROR(__xludf.DUMMYFUNCTION("GOOGLETRANSLATE(B15018,""en"",""de"")"),"Mehr Menschen stehen um sie herum.")</f>
        <v>Mehr Menschen stehen um sie herum.</v>
      </c>
    </row>
    <row r="15019">
      <c r="A15019" s="4" t="s">
        <v>18917</v>
      </c>
      <c r="B15019" s="4" t="s">
        <v>18920</v>
      </c>
      <c r="C15019" s="5" t="str">
        <f>IFERROR(__xludf.DUMMYFUNCTION("GOOGLETRANSLATE(B15019,""en"",""de"")"),"Schließlich gehen einige von ihnen den Hügel hinunter.")</f>
        <v>Schließlich gehen einige von ihnen den Hügel hinunter.</v>
      </c>
    </row>
    <row r="15020">
      <c r="A15020" s="4" t="s">
        <v>18917</v>
      </c>
      <c r="B15020" s="4" t="s">
        <v>18921</v>
      </c>
      <c r="C15020" s="5" t="str">
        <f>IFERROR(__xludf.DUMMYFUNCTION("GOOGLETRANSLATE(B15020,""en"",""de"")"),"Sie erreichen den Fund des Hügels.")</f>
        <v>Sie erreichen den Fund des Hügels.</v>
      </c>
    </row>
    <row r="15021">
      <c r="A15021" s="4" t="s">
        <v>18922</v>
      </c>
      <c r="B15021" s="4" t="s">
        <v>18923</v>
      </c>
      <c r="C15021" s="5" t="str">
        <f>IFERROR(__xludf.DUMMYFUNCTION("GOOGLETRANSLATE(B15021,""en"",""de"")"),"Ein Mann legt Rasiercreme ins Gesicht.")</f>
        <v>Ein Mann legt Rasiercreme ins Gesicht.</v>
      </c>
    </row>
    <row r="15022">
      <c r="A15022" s="4" t="s">
        <v>18922</v>
      </c>
      <c r="B15022" s="4" t="s">
        <v>18924</v>
      </c>
      <c r="C15022" s="5" t="str">
        <f>IFERROR(__xludf.DUMMYFUNCTION("GOOGLETRANSLATE(B15022,""en"",""de"")"),"Er rasiert sein Gesicht mit einem Rasiermesser.")</f>
        <v>Er rasiert sein Gesicht mit einem Rasiermesser.</v>
      </c>
    </row>
    <row r="15023">
      <c r="A15023" s="4" t="s">
        <v>18922</v>
      </c>
      <c r="B15023" s="4" t="s">
        <v>18925</v>
      </c>
      <c r="C15023" s="5" t="str">
        <f>IFERROR(__xludf.DUMMYFUNCTION("GOOGLETRANSLATE(B15023,""en"",""de"")"),"Er trocknet sein Gesicht mit einem Handtuch ab.")</f>
        <v>Er trocknet sein Gesicht mit einem Handtuch ab.</v>
      </c>
    </row>
    <row r="15024">
      <c r="A15024" s="4" t="s">
        <v>18926</v>
      </c>
      <c r="B15024" s="4" t="s">
        <v>18927</v>
      </c>
      <c r="C15024" s="5" t="str">
        <f>IFERROR(__xludf.DUMMYFUNCTION("GOOGLETRANSLATE(B15024,""en"",""de"")"),"Ein Schuss eines Fitnessstudio wird gezeigt, gefolgt von mehreren Clips einer Person, die versucht, Pole Volt und andere sozialisieren.")</f>
        <v>Ein Schuss eines Fitnessstudio wird gezeigt, gefolgt von mehreren Clips einer Person, die versucht, Pole Volt und andere sozialisieren.</v>
      </c>
    </row>
    <row r="15025">
      <c r="A15025" s="4" t="s">
        <v>18926</v>
      </c>
      <c r="B15025" s="4" t="s">
        <v>18928</v>
      </c>
      <c r="C15025" s="5" t="str">
        <f>IFERROR(__xludf.DUMMYFUNCTION("GOOGLETRANSLATE(B15025,""en"",""de"")"),"Mehrere Personen sprechen mit der Kamera und führen in sie ein Stangenlast.")</f>
        <v>Mehrere Personen sprechen mit der Kamera und führen in sie ein Stangenlast.</v>
      </c>
    </row>
    <row r="15026">
      <c r="A15026" s="4" t="s">
        <v>18926</v>
      </c>
      <c r="B15026" s="4" t="s">
        <v>18929</v>
      </c>
      <c r="C15026" s="5" t="str">
        <f>IFERROR(__xludf.DUMMYFUNCTION("GOOGLETRANSLATE(B15026,""en"",""de"")"),"Weitere Menschen sprechen sowohl miteinander als auch mit der Kamera und verwenden eine Stange, um eine Bar zu überwinden.")</f>
        <v>Weitere Menschen sprechen sowohl miteinander als auch mit der Kamera und verwenden eine Stange, um eine Bar zu überwinden.</v>
      </c>
    </row>
    <row r="15027">
      <c r="A15027" s="4" t="s">
        <v>18930</v>
      </c>
      <c r="B15027" s="4" t="s">
        <v>18931</v>
      </c>
      <c r="C15027" s="5" t="str">
        <f>IFERROR(__xludf.DUMMYFUNCTION("GOOGLETRANSLATE(B15027,""en"",""de"")"),"Ein kleiner weißer Ball rannte ins Spiel und trifft einen Spieler, der in den Kopf tupfte.")</f>
        <v>Ein kleiner weißer Ball rannte ins Spiel und trifft einen Spieler, der in den Kopf tupfte.</v>
      </c>
    </row>
    <row r="15028">
      <c r="A15028" s="4" t="s">
        <v>18930</v>
      </c>
      <c r="B15028" s="4" t="s">
        <v>18932</v>
      </c>
      <c r="C15028" s="5" t="str">
        <f>IFERROR(__xludf.DUMMYFUNCTION("GOOGLETRANSLATE(B15028,""en"",""de"")"),"Ein anderer Spieler stiehlt dann den Ball und tritt ihn, bis er mehr in seine Kontrolle ist, und tritt ihn direkt in das Tor.")</f>
        <v>Ein anderer Spieler stiehlt dann den Ball und tritt ihn, bis er mehr in seine Kontrolle ist, und tritt ihn direkt in das Tor.</v>
      </c>
    </row>
    <row r="15029">
      <c r="A15029" s="4" t="s">
        <v>18930</v>
      </c>
      <c r="B15029" s="4" t="s">
        <v>18933</v>
      </c>
      <c r="C15029" s="5" t="str">
        <f>IFERROR(__xludf.DUMMYFUNCTION("GOOGLETRANSLATE(B15029,""en"",""de"")"),"Eine kleine Wiederholung zeigt, wie er es geschafft hat, es dort hinein zu treten.")</f>
        <v>Eine kleine Wiederholung zeigt, wie er es geschafft hat, es dort hinein zu treten.</v>
      </c>
    </row>
    <row r="15030">
      <c r="A15030" s="4" t="s">
        <v>18930</v>
      </c>
      <c r="B15030" s="4" t="s">
        <v>18934</v>
      </c>
      <c r="C15030" s="5" t="str">
        <f>IFERROR(__xludf.DUMMYFUNCTION("GOOGLETRANSLATE(B15030,""en"",""de"")"),"Eine kurze Montage ähnlicher Bewegungen, der Spieler trat einen Ball direkt in das Tor.")</f>
        <v>Eine kurze Montage ähnlicher Bewegungen, der Spieler trat einen Ball direkt in das Tor.</v>
      </c>
    </row>
    <row r="15031">
      <c r="A15031" s="4" t="s">
        <v>18930</v>
      </c>
      <c r="B15031" s="4" t="s">
        <v>18935</v>
      </c>
      <c r="C15031" s="5" t="str">
        <f>IFERROR(__xludf.DUMMYFUNCTION("GOOGLETRANSLATE(B15031,""en"",""de"")"),"Eine kurze Menge an Filmmaterial zeigt, wie der Spieler auf seinen eigenen Schuss reagiert.")</f>
        <v>Eine kurze Menge an Filmmaterial zeigt, wie der Spieler auf seinen eigenen Schuss reagiert.</v>
      </c>
    </row>
    <row r="15032">
      <c r="A15032" s="4" t="s">
        <v>18936</v>
      </c>
      <c r="B15032" s="4" t="s">
        <v>18937</v>
      </c>
      <c r="C15032" s="5" t="str">
        <f>IFERROR(__xludf.DUMMYFUNCTION("GOOGLETRANSLATE(B15032,""en"",""de"")"),"Ein Mann surft Kite am Rande des Bretts.")</f>
        <v>Ein Mann surft Kite am Rande des Bretts.</v>
      </c>
    </row>
    <row r="15033">
      <c r="A15033" s="4" t="s">
        <v>18936</v>
      </c>
      <c r="B15033" s="4" t="s">
        <v>18938</v>
      </c>
      <c r="C15033" s="5" t="str">
        <f>IFERROR(__xludf.DUMMYFUNCTION("GOOGLETRANSLATE(B15033,""en"",""de"")"),"Die Kamera zoomen und zeigt das Brett dann wieder aus.")</f>
        <v>Die Kamera zoomen und zeigt das Brett dann wieder aus.</v>
      </c>
    </row>
    <row r="15034">
      <c r="A15034" s="4" t="s">
        <v>18936</v>
      </c>
      <c r="B15034" s="4" t="s">
        <v>18939</v>
      </c>
      <c r="C15034" s="5" t="str">
        <f>IFERROR(__xludf.DUMMYFUNCTION("GOOGLETRANSLATE(B15034,""en"",""de"")"),"Wir sehen die Straße in der Ferne und sehen Autos fahren.")</f>
        <v>Wir sehen die Straße in der Ferne und sehen Autos fahren.</v>
      </c>
    </row>
    <row r="15035">
      <c r="A15035" s="4" t="s">
        <v>18936</v>
      </c>
      <c r="B15035" s="4" t="s">
        <v>18940</v>
      </c>
      <c r="C15035" s="5" t="str">
        <f>IFERROR(__xludf.DUMMYFUNCTION("GOOGLETRANSLATE(B15035,""en"",""de"")"),"Wir sehen eine zweite Person Kitesurfen.")</f>
        <v>Wir sehen eine zweite Person Kitesurfen.</v>
      </c>
    </row>
    <row r="15036">
      <c r="A15036" s="4" t="s">
        <v>18941</v>
      </c>
      <c r="B15036" s="4" t="s">
        <v>18942</v>
      </c>
      <c r="C15036" s="5" t="str">
        <f>IFERROR(__xludf.DUMMYFUNCTION("GOOGLETRANSLATE(B15036,""en"",""de"")"),"Ein Turner ist zu sehen, wie er auf eine Reihe von ungleichmäßigen Bars springt und eine Turner -Routine vor anderen durchführt.")</f>
        <v>Ein Turner ist zu sehen, wie er auf eine Reihe von ungleichmäßigen Bars springt und eine Turner -Routine vor anderen durchführt.</v>
      </c>
    </row>
    <row r="15037">
      <c r="A15037" s="4" t="s">
        <v>18941</v>
      </c>
      <c r="B15037" s="4" t="s">
        <v>18943</v>
      </c>
      <c r="C15037" s="5" t="str">
        <f>IFERROR(__xludf.DUMMYFUNCTION("GOOGLETRANSLATE(B15037,""en"",""de"")"),"Der Mann dreht weiter um die Bars und endet damit, dass er runterspringt und sich vor der Menge verbeugt.")</f>
        <v>Der Mann dreht weiter um die Bars und endet damit, dass er runterspringt und sich vor der Menge verbeugt.</v>
      </c>
    </row>
    <row r="15038">
      <c r="A15038" s="4" t="s">
        <v>18944</v>
      </c>
      <c r="B15038" s="4" t="s">
        <v>18945</v>
      </c>
      <c r="C15038" s="5" t="str">
        <f>IFERROR(__xludf.DUMMYFUNCTION("GOOGLETRANSLATE(B15038,""en"",""de"")"),"Ein kleines Kind ist sehr langsam auf einem Spielplatz auf einem Spielplatz hinauf.")</f>
        <v>Ein kleines Kind ist sehr langsam auf einem Spielplatz auf einem Spielplatz hinauf.</v>
      </c>
    </row>
    <row r="15039">
      <c r="A15039" s="4" t="s">
        <v>18944</v>
      </c>
      <c r="B15039" s="4" t="s">
        <v>18946</v>
      </c>
      <c r="C15039" s="5" t="str">
        <f>IFERROR(__xludf.DUMMYFUNCTION("GOOGLETRANSLATE(B15039,""en"",""de"")"),"Sie kandert nach oben und rutscht dann den Rutschen hinunter.")</f>
        <v>Sie kandert nach oben und rutscht dann den Rutschen hinunter.</v>
      </c>
    </row>
    <row r="15040">
      <c r="A15040" s="4" t="s">
        <v>18947</v>
      </c>
      <c r="B15040" s="4" t="s">
        <v>18948</v>
      </c>
      <c r="C15040" s="5" t="str">
        <f>IFERROR(__xludf.DUMMYFUNCTION("GOOGLETRANSLATE(B15040,""en"",""de"")"),"Eine Nahaufnahme von Solokassen wird gezeigt, gefolgt von einem Mann, der Kugeln wirft.")</f>
        <v>Eine Nahaufnahme von Solokassen wird gezeigt, gefolgt von einem Mann, der Kugeln wirft.</v>
      </c>
    </row>
    <row r="15041">
      <c r="A15041" s="4" t="s">
        <v>18947</v>
      </c>
      <c r="B15041" s="4" t="s">
        <v>18949</v>
      </c>
      <c r="C15041" s="5" t="str">
        <f>IFERROR(__xludf.DUMMYFUNCTION("GOOGLETRANSLATE(B15041,""en"",""de"")"),"Eine Person bewegt die Tassen neben den Tisch, während die Person weiter wirft und die Männer den Platz schalten.")</f>
        <v>Eine Person bewegt die Tassen neben den Tisch, während die Person weiter wirft und die Männer den Platz schalten.</v>
      </c>
    </row>
    <row r="15042">
      <c r="A15042" s="4" t="s">
        <v>18947</v>
      </c>
      <c r="B15042" s="4" t="s">
        <v>18950</v>
      </c>
      <c r="C15042" s="5" t="str">
        <f>IFERROR(__xludf.DUMMYFUNCTION("GOOGLETRANSLATE(B15042,""en"",""de"")"),"Die beiden wechseln sich abwechselnd weiter, während die Kamera ihre Bewegungen erfasst.")</f>
        <v>Die beiden wechseln sich abwechselnd weiter, während die Kamera ihre Bewegungen erfasst.</v>
      </c>
    </row>
    <row r="15043">
      <c r="A15043" s="4" t="s">
        <v>18951</v>
      </c>
      <c r="B15043" s="4" t="s">
        <v>18952</v>
      </c>
      <c r="C15043" s="5" t="str">
        <f>IFERROR(__xludf.DUMMYFUNCTION("GOOGLETRANSLATE(B15043,""en"",""de"")"),"Zwei Männer in aufblasbaren Sumo -Wrestler -Kostümen unterhalten die Öffentlichkeit auf einer Straße auf einem öffentlichen Platz.")</f>
        <v>Zwei Männer in aufblasbaren Sumo -Wrestler -Kostümen unterhalten die Öffentlichkeit auf einer Straße auf einem öffentlichen Platz.</v>
      </c>
    </row>
    <row r="15044">
      <c r="A15044" s="4" t="s">
        <v>18951</v>
      </c>
      <c r="B15044" s="4" t="s">
        <v>18953</v>
      </c>
      <c r="C15044" s="5" t="str">
        <f>IFERROR(__xludf.DUMMYFUNCTION("GOOGLETRANSLATE(B15044,""en"",""de"")"),"Zwei Männer in aufblasbarer Sumo -Wrestler -Outfits sprechen mit der Kamera und beginnen, die Menschen zu unterhalten, die an einem asphaltierten öffentlichen Platz stehen.")</f>
        <v>Zwei Männer in aufblasbarer Sumo -Wrestler -Outfits sprechen mit der Kamera und beginnen, die Menschen zu unterhalten, die an einem asphaltierten öffentlichen Platz stehen.</v>
      </c>
    </row>
    <row r="15045">
      <c r="A15045" s="4" t="s">
        <v>18951</v>
      </c>
      <c r="B15045" s="4" t="s">
        <v>18954</v>
      </c>
      <c r="C15045" s="5" t="str">
        <f>IFERROR(__xludf.DUMMYFUNCTION("GOOGLETRANSLATE(B15045,""en"",""de"")"),"Die beiden Männer zeigen einem kleinen Jungen, wie man einen automatisierten Roller benutzt, Mock Sumo -Wrestling -Matches durchführt und mit dem Publikum Fotos macht und mit dem Publikum tanzt, bevor sie die Aufführung beenden und erneut mit der Kamera s"&amp;"prechen.")</f>
        <v>Die beiden Männer zeigen einem kleinen Jungen, wie man einen automatisierten Roller benutzt, Mock Sumo -Wrestling -Matches durchführt und mit dem Publikum Fotos macht und mit dem Publikum tanzt, bevor sie die Aufführung beenden und erneut mit der Kamera sprechen.</v>
      </c>
    </row>
    <row r="15046">
      <c r="A15046" s="4" t="s">
        <v>18955</v>
      </c>
      <c r="B15046" s="4" t="s">
        <v>18956</v>
      </c>
      <c r="C15046" s="5" t="str">
        <f>IFERROR(__xludf.DUMMYFUNCTION("GOOGLETRANSLATE(B15046,""en"",""de"")"),"Wir sehen, dass eine Person einen Hund in ein Tierheim bringt.")</f>
        <v>Wir sehen, dass eine Person einen Hund in ein Tierheim bringt.</v>
      </c>
    </row>
    <row r="15047">
      <c r="A15047" s="4" t="s">
        <v>18955</v>
      </c>
      <c r="B15047" s="4" t="s">
        <v>18957</v>
      </c>
      <c r="C15047" s="5" t="str">
        <f>IFERROR(__xludf.DUMMYFUNCTION("GOOGLETRANSLATE(B15047,""en"",""de"")"),"Wir sehen einen schwarzen Bildschirm mit Schreiben.")</f>
        <v>Wir sehen einen schwarzen Bildschirm mit Schreiben.</v>
      </c>
    </row>
    <row r="15048">
      <c r="A15048" s="4" t="s">
        <v>18955</v>
      </c>
      <c r="B15048" s="4" t="s">
        <v>18958</v>
      </c>
      <c r="C15048" s="5" t="str">
        <f>IFERROR(__xludf.DUMMYFUNCTION("GOOGLETRANSLATE(B15048,""en"",""de"")"),"Wir sehen dann, wie eine Dame einen elektrischen Rasierer benutzt und dann einen Hund schafft.")</f>
        <v>Wir sehen dann, wie eine Dame einen elektrischen Rasierer benutzt und dann einen Hund schafft.</v>
      </c>
    </row>
    <row r="15049">
      <c r="A15049" s="4" t="s">
        <v>18955</v>
      </c>
      <c r="B15049" s="4" t="s">
        <v>18959</v>
      </c>
      <c r="C15049" s="5" t="str">
        <f>IFERROR(__xludf.DUMMYFUNCTION("GOOGLETRANSLATE(B15049,""en"",""de"")"),"Der Groomer küsst den Welpen.")</f>
        <v>Der Groomer küsst den Welpen.</v>
      </c>
    </row>
    <row r="15050">
      <c r="A15050" s="4" t="s">
        <v>18955</v>
      </c>
      <c r="B15050" s="4" t="s">
        <v>18960</v>
      </c>
      <c r="C15050" s="5" t="str">
        <f>IFERROR(__xludf.DUMMYFUNCTION("GOOGLETRANSLATE(B15050,""en"",""de"")"),"Wir sehen die Aufnahme des Hundes nach der Pflege.")</f>
        <v>Wir sehen die Aufnahme des Hundes nach der Pflege.</v>
      </c>
    </row>
    <row r="15051">
      <c r="A15051" s="4" t="s">
        <v>18955</v>
      </c>
      <c r="B15051" s="4" t="s">
        <v>18961</v>
      </c>
      <c r="C15051" s="5" t="str">
        <f>IFERROR(__xludf.DUMMYFUNCTION("GOOGLETRANSLATE(B15051,""en"",""de"")"),"Wir sehen dann einen schwarzen Titelbildschirm.")</f>
        <v>Wir sehen dann einen schwarzen Titelbildschirm.</v>
      </c>
    </row>
    <row r="15052">
      <c r="A15052" s="4" t="s">
        <v>18962</v>
      </c>
      <c r="B15052" s="4" t="s">
        <v>18963</v>
      </c>
      <c r="C15052" s="5" t="str">
        <f>IFERROR(__xludf.DUMMYFUNCTION("GOOGLETRANSLATE(B15052,""en"",""de"")"),"Frau reitet mit einem Pferd in einer Scheune und eine andere Frau führt das Pferd mit einem Seil.")</f>
        <v>Frau reitet mit einem Pferd in einer Scheune und eine andere Frau führt das Pferd mit einem Seil.</v>
      </c>
    </row>
    <row r="15053">
      <c r="A15053" s="4" t="s">
        <v>18962</v>
      </c>
      <c r="B15053" s="4" t="s">
        <v>18964</v>
      </c>
      <c r="C15053" s="5" t="str">
        <f>IFERROR(__xludf.DUMMYFUNCTION("GOOGLETRANSLATE(B15053,""en"",""de"")"),"Fotos von verschiedenen Personen, die Pferde reiten, werden gezeigt.")</f>
        <v>Fotos von verschiedenen Personen, die Pferde reiten, werden gezeigt.</v>
      </c>
    </row>
    <row r="15054">
      <c r="A15054" s="4" t="s">
        <v>18962</v>
      </c>
      <c r="B15054" s="4" t="s">
        <v>18965</v>
      </c>
      <c r="C15054" s="5" t="str">
        <f>IFERROR(__xludf.DUMMYFUNCTION("GOOGLETRANSLATE(B15054,""en"",""de"")"),"Woma reitet mit einem Pferd in einer Scheune und Bildern von Menschen, die Pferde reiten.")</f>
        <v>Woma reitet mit einem Pferd in einer Scheune und Bildern von Menschen, die Pferde reiten.</v>
      </c>
    </row>
    <row r="15055">
      <c r="A15055" s="4" t="s">
        <v>18962</v>
      </c>
      <c r="B15055" s="4" t="s">
        <v>18966</v>
      </c>
      <c r="C15055" s="5" t="str">
        <f>IFERROR(__xludf.DUMMYFUNCTION("GOOGLETRANSLATE(B15055,""en"",""de"")"),"Frau fährt ein Pferd in einer Reitspur.")</f>
        <v>Frau fährt ein Pferd in einer Reitspur.</v>
      </c>
    </row>
    <row r="15056">
      <c r="A15056" s="4" t="s">
        <v>18962</v>
      </c>
      <c r="B15056" s="4" t="s">
        <v>18967</v>
      </c>
      <c r="C15056" s="5" t="str">
        <f>IFERROR(__xludf.DUMMYFUNCTION("GOOGLETRANSLATE(B15056,""en"",""de"")"),"Und ein Mädchen springt auch in den Tracks.")</f>
        <v>Und ein Mädchen springt auch in den Tracks.</v>
      </c>
    </row>
    <row r="15057">
      <c r="A15057" s="4" t="s">
        <v>18962</v>
      </c>
      <c r="B15057" s="4" t="s">
        <v>18968</v>
      </c>
      <c r="C15057" s="5" t="str">
        <f>IFERROR(__xludf.DUMMYFUNCTION("GOOGLETRANSLATE(B15057,""en"",""de"")"),"Die Kinder sind in einem Wohnzimmer vor einem Fernseher, der auf der Stimmung vor einem Fernseher spielt.")</f>
        <v>Die Kinder sind in einem Wohnzimmer vor einem Fernseher, der auf der Stimmung vor einem Fernseher spielt.</v>
      </c>
    </row>
    <row r="15058">
      <c r="A15058" s="4" t="s">
        <v>18962</v>
      </c>
      <c r="B15058" s="4" t="s">
        <v>18969</v>
      </c>
      <c r="C15058" s="5" t="str">
        <f>IFERROR(__xludf.DUMMYFUNCTION("GOOGLETRANSLATE(B15058,""en"",""de"")"),"Die Kinder sind in einer Brücke tanzen und springen in den Pool.")</f>
        <v>Die Kinder sind in einer Brücke tanzen und springen in den Pool.</v>
      </c>
    </row>
    <row r="15059">
      <c r="A15059" s="4" t="s">
        <v>18970</v>
      </c>
      <c r="B15059" s="4" t="s">
        <v>18971</v>
      </c>
      <c r="C15059" s="5" t="str">
        <f>IFERROR(__xludf.DUMMYFUNCTION("GOOGLETRANSLATE(B15059,""en"",""de"")"),"Das Video führt zu mehreren Schüssen von Surfern, die sich entlang des Wassers bewegen und Wellen an anderen Menschen anfassen.")</f>
        <v>Das Video führt zu mehreren Schüssen von Surfern, die sich entlang des Wassers bewegen und Wellen an anderen Menschen anfassen.</v>
      </c>
    </row>
    <row r="15060">
      <c r="A15060" s="4" t="s">
        <v>18970</v>
      </c>
      <c r="B15060" s="4" t="s">
        <v>18972</v>
      </c>
      <c r="C15060" s="5" t="str">
        <f>IFERROR(__xludf.DUMMYFUNCTION("GOOGLETRANSLATE(B15060,""en"",""de"")"),"Es werden mehrere Schüsse gezeigt, wie man richtig surft, und folgt von weiteren Schüssen in Zeitlupe.")</f>
        <v>Es werden mehrere Schüsse gezeigt, wie man richtig surft, und folgt von weiteren Schüssen in Zeitlupe.</v>
      </c>
    </row>
    <row r="15061">
      <c r="A15061" s="4" t="s">
        <v>18973</v>
      </c>
      <c r="B15061" s="4" t="s">
        <v>18974</v>
      </c>
      <c r="C15061" s="5" t="str">
        <f>IFERROR(__xludf.DUMMYFUNCTION("GOOGLETRANSLATE(B15061,""en"",""de"")"),"Die Rückseite eines Schnellboots wird gezeigt, gefolgt von Füßen, die in Wasser springen und sich unter Wasser umsehen.")</f>
        <v>Die Rückseite eines Schnellboots wird gezeigt, gefolgt von Füßen, die in Wasser springen und sich unter Wasser umsehen.</v>
      </c>
    </row>
    <row r="15062">
      <c r="A15062" s="4" t="s">
        <v>18973</v>
      </c>
      <c r="B15062" s="4" t="s">
        <v>18975</v>
      </c>
      <c r="C15062" s="5" t="str">
        <f>IFERROR(__xludf.DUMMYFUNCTION("GOOGLETRANSLATE(B15062,""en"",""de"")"),"Eine Person hält einen Auftritt heraus und schnappt sich einen Fisch und steckt bei Haie.")</f>
        <v>Eine Person hält einen Auftritt heraus und schnappt sich einen Fisch und steckt bei Haie.</v>
      </c>
    </row>
    <row r="15063">
      <c r="A15063" s="4" t="s">
        <v>18976</v>
      </c>
      <c r="B15063" s="4" t="s">
        <v>18977</v>
      </c>
      <c r="C15063" s="5" t="str">
        <f>IFERROR(__xludf.DUMMYFUNCTION("GOOGLETRANSLATE(B15063,""en"",""de"")"),"Ein Mann spielt ein Saxophon, während er der Kamera gegenübersteht.")</f>
        <v>Ein Mann spielt ein Saxophon, während er der Kamera gegenübersteht.</v>
      </c>
    </row>
    <row r="15064">
      <c r="A15064" s="4" t="s">
        <v>18976</v>
      </c>
      <c r="B15064" s="4" t="s">
        <v>18978</v>
      </c>
      <c r="C15064" s="5" t="str">
        <f>IFERROR(__xludf.DUMMYFUNCTION("GOOGLETRANSLATE(B15064,""en"",""de"")"),"Der Mann beendet das Spielen und lächelt sein Instrument an.")</f>
        <v>Der Mann beendet das Spielen und lächelt sein Instrument an.</v>
      </c>
    </row>
    <row r="15065">
      <c r="A15065" s="4" t="s">
        <v>18979</v>
      </c>
      <c r="B15065" s="4" t="s">
        <v>18980</v>
      </c>
      <c r="C15065" s="5" t="str">
        <f>IFERROR(__xludf.DUMMYFUNCTION("GOOGLETRANSLATE(B15065,""en"",""de"")"),"Eine Person tritt mehrmals auf eine braune Matte.")</f>
        <v>Eine Person tritt mehrmals auf eine braune Matte.</v>
      </c>
    </row>
    <row r="15066">
      <c r="A15066" s="4" t="s">
        <v>18979</v>
      </c>
      <c r="B15066" s="4" t="s">
        <v>18981</v>
      </c>
      <c r="C15066" s="5" t="str">
        <f>IFERROR(__xludf.DUMMYFUNCTION("GOOGLETRANSLATE(B15066,""en"",""de"")"),"Sie nehmen ihre Schuhe aus und zogen ein anderes Paar Schuhe an.")</f>
        <v>Sie nehmen ihre Schuhe aus und zogen ein anderes Paar Schuhe an.</v>
      </c>
    </row>
    <row r="15067">
      <c r="A15067" s="4" t="s">
        <v>18979</v>
      </c>
      <c r="B15067" s="4" t="s">
        <v>18982</v>
      </c>
      <c r="C15067" s="5" t="str">
        <f>IFERROR(__xludf.DUMMYFUNCTION("GOOGLETRANSLATE(B15067,""en"",""de"")"),"Sie treten in den neuen Schuhen weiter auf die Matte.")</f>
        <v>Sie treten in den neuen Schuhen weiter auf die Matte.</v>
      </c>
    </row>
    <row r="15068">
      <c r="A15068" s="4" t="s">
        <v>18979</v>
      </c>
      <c r="B15068" s="4" t="s">
        <v>18983</v>
      </c>
      <c r="C15068" s="5" t="str">
        <f>IFERROR(__xludf.DUMMYFUNCTION("GOOGLETRANSLATE(B15068,""en"",""de"")"),"Sie nehmen diese Schuhe aus und gehen weg.")</f>
        <v>Sie nehmen diese Schuhe aus und gehen weg.</v>
      </c>
    </row>
    <row r="15069">
      <c r="A15069" s="4" t="s">
        <v>18984</v>
      </c>
      <c r="B15069" s="4" t="s">
        <v>18985</v>
      </c>
      <c r="C15069" s="5" t="str">
        <f>IFERROR(__xludf.DUMMYFUNCTION("GOOGLETRANSLATE(B15069,""en"",""de"")"),"Ein Mann ist in einem Wald und seine Füße werden mit und ohne Schuhe gezeigt.")</f>
        <v>Ein Mann ist in einem Wald und seine Füße werden mit und ohne Schuhe gezeigt.</v>
      </c>
    </row>
    <row r="15070">
      <c r="A15070" s="4" t="s">
        <v>18984</v>
      </c>
      <c r="B15070" s="4" t="s">
        <v>18986</v>
      </c>
      <c r="C15070" s="5" t="str">
        <f>IFERROR(__xludf.DUMMYFUNCTION("GOOGLETRANSLATE(B15070,""en"",""de"")"),"Er montiert eine Drehung und gleicht es aus.")</f>
        <v>Er montiert eine Drehung und gleicht es aus.</v>
      </c>
    </row>
    <row r="15071">
      <c r="A15071" s="4" t="s">
        <v>18984</v>
      </c>
      <c r="B15071" s="4" t="s">
        <v>18987</v>
      </c>
      <c r="C15071" s="5" t="str">
        <f>IFERROR(__xludf.DUMMYFUNCTION("GOOGLETRANSLATE(B15071,""en"",""de"")"),"Er nutzt das Gretrope, um zu gehen und zeigt die richtigen Positionen, um das Gleichgewicht aufrechtzuerhalten.")</f>
        <v>Er nutzt das Gretrope, um zu gehen und zeigt die richtigen Positionen, um das Gleichgewicht aufrechtzuerhalten.</v>
      </c>
    </row>
    <row r="15072">
      <c r="A15072" s="4" t="s">
        <v>18988</v>
      </c>
      <c r="B15072" s="4" t="s">
        <v>18989</v>
      </c>
      <c r="C15072" s="5" t="str">
        <f>IFERROR(__xludf.DUMMYFUNCTION("GOOGLETRANSLATE(B15072,""en"",""de"")"),"Eine Frau im Bilder über eine Flasche mit roten Kugeln gefüllt.")</f>
        <v>Eine Frau im Bilder über eine Flasche mit roten Kugeln gefüllt.</v>
      </c>
    </row>
    <row r="15073">
      <c r="A15073" s="4" t="s">
        <v>18988</v>
      </c>
      <c r="B15073" s="4" t="s">
        <v>18990</v>
      </c>
      <c r="C15073" s="5" t="str">
        <f>IFERROR(__xludf.DUMMYFUNCTION("GOOGLETRANSLATE(B15073,""en"",""de"")"),"Das Baumwollblock wird entfernt, dann wird eine Waffe geladen.")</f>
        <v>Das Baumwollblock wird entfernt, dann wird eine Waffe geladen.</v>
      </c>
    </row>
    <row r="15074">
      <c r="A15074" s="4" t="s">
        <v>18988</v>
      </c>
      <c r="B15074" s="4" t="s">
        <v>18991</v>
      </c>
      <c r="C15074" s="5" t="str">
        <f>IFERROR(__xludf.DUMMYFUNCTION("GOOGLETRANSLATE(B15074,""en"",""de"")"),"Sie schießt die Paint -Kugeln auf ein Ziel und spitzt es rot.")</f>
        <v>Sie schießt die Paint -Kugeln auf ein Ziel und spitzt es rot.</v>
      </c>
    </row>
    <row r="15075">
      <c r="A15075" s="4" t="s">
        <v>18988</v>
      </c>
      <c r="B15075" s="4" t="s">
        <v>18992</v>
      </c>
      <c r="C15075" s="5" t="str">
        <f>IFERROR(__xludf.DUMMYFUNCTION("GOOGLETRANSLATE(B15075,""en"",""de"")"),"Es werden mehrere Ziele gezeigt, die verspritzt werden.")</f>
        <v>Es werden mehrere Ziele gezeigt, die verspritzt werden.</v>
      </c>
    </row>
    <row r="15076">
      <c r="A15076" s="4" t="s">
        <v>18993</v>
      </c>
      <c r="B15076" s="4" t="s">
        <v>18994</v>
      </c>
      <c r="C15076" s="5" t="str">
        <f>IFERROR(__xludf.DUMMYFUNCTION("GOOGLETRANSLATE(B15076,""en"",""de"")"),"Ein Mann nimmt ein Fahrrad in einer U -Bahn auseinander.")</f>
        <v>Ein Mann nimmt ein Fahrrad in einer U -Bahn auseinander.</v>
      </c>
    </row>
    <row r="15077">
      <c r="A15077" s="4" t="s">
        <v>18993</v>
      </c>
      <c r="B15077" s="4" t="s">
        <v>18995</v>
      </c>
      <c r="C15077" s="5" t="str">
        <f>IFERROR(__xludf.DUMMYFUNCTION("GOOGLETRANSLATE(B15077,""en"",""de"")"),"Er legt einen Reifen wieder auf das Fahrrad.")</f>
        <v>Er legt einen Reifen wieder auf das Fahrrad.</v>
      </c>
    </row>
    <row r="15078">
      <c r="A15078" s="4" t="s">
        <v>18996</v>
      </c>
      <c r="B15078" s="4" t="s">
        <v>16432</v>
      </c>
      <c r="C15078" s="5" t="str">
        <f>IFERROR(__xludf.DUMMYFUNCTION("GOOGLETRANSLATE(B15078,""en"",""de"")"),"Ein Mann dribiert einen Basketball.")</f>
        <v>Ein Mann dribiert einen Basketball.</v>
      </c>
    </row>
    <row r="15079">
      <c r="A15079" s="4" t="s">
        <v>18996</v>
      </c>
      <c r="B15079" s="4" t="s">
        <v>18997</v>
      </c>
      <c r="C15079" s="5" t="str">
        <f>IFERROR(__xludf.DUMMYFUNCTION("GOOGLETRANSLATE(B15079,""en"",""de"")"),"Sie rennen auf dem Platz und dribbeln weiter den Ball.")</f>
        <v>Sie rennen auf dem Platz und dribbeln weiter den Ball.</v>
      </c>
    </row>
    <row r="15080">
      <c r="A15080" s="4" t="s">
        <v>18996</v>
      </c>
      <c r="B15080" s="4" t="s">
        <v>18998</v>
      </c>
      <c r="C15080" s="5" t="str">
        <f>IFERROR(__xludf.DUMMYFUNCTION("GOOGLETRANSLATE(B15080,""en"",""de"")"),"Sie springen hoch und machen einen Korb.")</f>
        <v>Sie springen hoch und machen einen Korb.</v>
      </c>
    </row>
    <row r="15081">
      <c r="A15081" s="4" t="s">
        <v>18999</v>
      </c>
      <c r="B15081" s="4" t="s">
        <v>19000</v>
      </c>
      <c r="C15081" s="5" t="str">
        <f>IFERROR(__xludf.DUMMYFUNCTION("GOOGLETRANSLATE(B15081,""en"",""de"")"),"Die Attribute eines MOP werden durch Computergrafik-Nahaufnahmen verschiedener Teile demonstriert.")</f>
        <v>Die Attribute eines MOP werden durch Computergrafik-Nahaufnahmen verschiedener Teile demonstriert.</v>
      </c>
    </row>
    <row r="15082">
      <c r="A15082" s="4" t="s">
        <v>18999</v>
      </c>
      <c r="B15082" s="4" t="s">
        <v>19001</v>
      </c>
      <c r="C15082" s="5" t="str">
        <f>IFERROR(__xludf.DUMMYFUNCTION("GOOGLETRANSLATE(B15082,""en"",""de"")"),"Der MOP wird im tatsächlichen Gebrauch demonstriert.")</f>
        <v>Der MOP wird im tatsächlichen Gebrauch demonstriert.</v>
      </c>
    </row>
    <row r="15083">
      <c r="A15083" s="4" t="s">
        <v>18999</v>
      </c>
      <c r="B15083" s="4" t="s">
        <v>19002</v>
      </c>
      <c r="C15083" s="5" t="str">
        <f>IFERROR(__xludf.DUMMYFUNCTION("GOOGLETRANSLATE(B15083,""en"",""de"")"),"Die Herstellung des MOP -Kopfes wird gezeigt.")</f>
        <v>Die Herstellung des MOP -Kopfes wird gezeigt.</v>
      </c>
    </row>
    <row r="15084">
      <c r="A15084" s="4" t="s">
        <v>18999</v>
      </c>
      <c r="B15084" s="4" t="s">
        <v>19003</v>
      </c>
      <c r="C15084" s="5" t="str">
        <f>IFERROR(__xludf.DUMMYFUNCTION("GOOGLETRANSLATE(B15084,""en"",""de"")"),"Weitere Komponenten -Nahaufnahmen werden angezeigt.")</f>
        <v>Weitere Komponenten -Nahaufnahmen werden angezeigt.</v>
      </c>
    </row>
    <row r="15085">
      <c r="A15085" s="4" t="s">
        <v>18999</v>
      </c>
      <c r="B15085" s="4" t="s">
        <v>19004</v>
      </c>
      <c r="C15085" s="5" t="str">
        <f>IFERROR(__xludf.DUMMYFUNCTION("GOOGLETRANSLATE(B15085,""en"",""de"")"),"Der Moppkopf wird erneut demonstriert.")</f>
        <v>Der Moppkopf wird erneut demonstriert.</v>
      </c>
    </row>
    <row r="15086">
      <c r="A15086" s="4" t="s">
        <v>19005</v>
      </c>
      <c r="B15086" s="4" t="s">
        <v>19006</v>
      </c>
      <c r="C15086" s="5" t="str">
        <f>IFERROR(__xludf.DUMMYFUNCTION("GOOGLETRANSLATE(B15086,""en"",""de"")"),"Eine Person setzt sich hin und bekommt ihren Arm tätowiert.")</f>
        <v>Eine Person setzt sich hin und bekommt ihren Arm tätowiert.</v>
      </c>
    </row>
    <row r="15087">
      <c r="A15087" s="4" t="s">
        <v>19005</v>
      </c>
      <c r="B15087" s="4" t="s">
        <v>19007</v>
      </c>
      <c r="C15087" s="5" t="str">
        <f>IFERROR(__xludf.DUMMYFUNCTION("GOOGLETRANSLATE(B15087,""en"",""de"")"),"Sie stehen auf und zeigen das Tattoo.")</f>
        <v>Sie stehen auf und zeigen das Tattoo.</v>
      </c>
    </row>
    <row r="15088">
      <c r="A15088" s="4" t="s">
        <v>19008</v>
      </c>
      <c r="B15088" s="4" t="s">
        <v>19009</v>
      </c>
      <c r="C15088" s="5" t="str">
        <f>IFERROR(__xludf.DUMMYFUNCTION("GOOGLETRANSLATE(B15088,""en"",""de"")"),"Ein Turner ist zu sehen, wie sie mit ihren Armen fertig stehen und sich dem Balken umdrehen.")</f>
        <v>Ein Turner ist zu sehen, wie sie mit ihren Armen fertig stehen und sich dem Balken umdrehen.</v>
      </c>
    </row>
    <row r="15089">
      <c r="A15089" s="4" t="s">
        <v>19008</v>
      </c>
      <c r="B15089" s="4" t="s">
        <v>19010</v>
      </c>
      <c r="C15089" s="5" t="str">
        <f>IFERROR(__xludf.DUMMYFUNCTION("GOOGLETRANSLATE(B15089,""en"",""de"")"),"Springt einfach auf den Balken und führt eine Gymnastikroutine durch, bis sie abfällt.")</f>
        <v>Springt einfach auf den Balken und führt eine Gymnastikroutine durch, bis sie abfällt.</v>
      </c>
    </row>
    <row r="15090">
      <c r="A15090" s="4" t="s">
        <v>19008</v>
      </c>
      <c r="B15090" s="4" t="s">
        <v>19011</v>
      </c>
      <c r="C15090" s="5" t="str">
        <f>IFERROR(__xludf.DUMMYFUNCTION("GOOGLETRANSLATE(B15090,""en"",""de"")"),"Sie klettert wieder auf den Strahl und endet, indem sie den Strahl abblättert.")</f>
        <v>Sie klettert wieder auf den Strahl und endet, indem sie den Strahl abblättert.</v>
      </c>
    </row>
    <row r="15091">
      <c r="A15091" s="4" t="s">
        <v>19012</v>
      </c>
      <c r="B15091" s="4" t="s">
        <v>19013</v>
      </c>
      <c r="C15091" s="5" t="str">
        <f>IFERROR(__xludf.DUMMYFUNCTION("GOOGLETRANSLATE(B15091,""en"",""de"")"),"Zwei Menschen stehen an einem Sandstrand, der den Ball tritt und ihn an einen anderen gibt.")</f>
        <v>Zwei Menschen stehen an einem Sandstrand, der den Ball tritt und ihn an einen anderen gibt.</v>
      </c>
    </row>
    <row r="15092">
      <c r="A15092" s="4" t="s">
        <v>19012</v>
      </c>
      <c r="B15092" s="4" t="s">
        <v>19014</v>
      </c>
      <c r="C15092" s="5" t="str">
        <f>IFERROR(__xludf.DUMMYFUNCTION("GOOGLETRANSLATE(B15092,""en"",""de"")"),"Die Jungen geben den Ball weiter zurück und viertens, während viele Menschen herumlaufen und im Wasser spielen.")</f>
        <v>Die Jungen geben den Ball weiter zurück und viertens, während viele Menschen herumlaufen und im Wasser spielen.</v>
      </c>
    </row>
    <row r="15093">
      <c r="A15093" s="4" t="s">
        <v>19015</v>
      </c>
      <c r="B15093" s="4" t="s">
        <v>19016</v>
      </c>
      <c r="C15093" s="5" t="str">
        <f>IFERROR(__xludf.DUMMYFUNCTION("GOOGLETRANSLATE(B15093,""en"",""de"")"),"Zwei Teams von Hockeyspieler sind in der Eisbahn und spielen ein Spiel.")</f>
        <v>Zwei Teams von Hockeyspieler sind in der Eisbahn und spielen ein Spiel.</v>
      </c>
    </row>
    <row r="15094">
      <c r="A15094" s="4" t="s">
        <v>19015</v>
      </c>
      <c r="B15094" s="4" t="s">
        <v>19017</v>
      </c>
      <c r="C15094" s="5" t="str">
        <f>IFERROR(__xludf.DUMMYFUNCTION("GOOGLETRANSLATE(B15094,""en"",""de"")"),"Der Puck wird hinter dem Tor getroffen und das Team trifft es wieder und das Spiel geht weiter.")</f>
        <v>Der Puck wird hinter dem Tor getroffen und das Team trifft es wieder und das Spiel geht weiter.</v>
      </c>
    </row>
    <row r="15095">
      <c r="A15095" s="4" t="s">
        <v>19015</v>
      </c>
      <c r="B15095" s="4" t="s">
        <v>19018</v>
      </c>
      <c r="C15095" s="5" t="str">
        <f>IFERROR(__xludf.DUMMYFUNCTION("GOOGLETRANSLATE(B15095,""en"",""de"")"),"Nachdem sie dafür gekämpft hatten, schlugen die Spieler den Puck am anderen Ende und er wird vom Torwart blockiert.")</f>
        <v>Nachdem sie dafür gekämpft hatten, schlugen die Spieler den Puck am anderen Ende und er wird vom Torwart blockiert.</v>
      </c>
    </row>
    <row r="15096">
      <c r="A15096" s="4" t="s">
        <v>19015</v>
      </c>
      <c r="B15096" s="4" t="s">
        <v>19019</v>
      </c>
      <c r="C15096" s="5" t="str">
        <f>IFERROR(__xludf.DUMMYFUNCTION("GOOGLETRANSLATE(B15096,""en"",""de"")"),"Jedes Team versammelt sich mit dem Puck hin und her, aber keiner von ihnen ist erfolgreich und sie sind an beiden Enden der Eisbahn blockiert.")</f>
        <v>Jedes Team versammelt sich mit dem Puck hin und her, aber keiner von ihnen ist erfolgreich und sie sind an beiden Enden der Eisbahn blockiert.</v>
      </c>
    </row>
    <row r="15097">
      <c r="A15097" s="4" t="s">
        <v>19020</v>
      </c>
      <c r="B15097" s="4" t="s">
        <v>19021</v>
      </c>
      <c r="C15097" s="5" t="str">
        <f>IFERROR(__xludf.DUMMYFUNCTION("GOOGLETRANSLATE(B15097,""en"",""de"")"),"Ein Mann übt Kampfkünste in einem Fitnessstudio, das sich dreht und sich dreht.")</f>
        <v>Ein Mann übt Kampfkünste in einem Fitnessstudio, das sich dreht und sich dreht.</v>
      </c>
    </row>
    <row r="15098">
      <c r="A15098" s="4" t="s">
        <v>19020</v>
      </c>
      <c r="B15098" s="4" t="s">
        <v>19022</v>
      </c>
      <c r="C15098" s="5" t="str">
        <f>IFERROR(__xludf.DUMMYFUNCTION("GOOGLETRANSLATE(B15098,""en"",""de"")"),"Dann lehnt sich der Mann an ihre Hände, um seinen Körper zu drehen und Kurven zu machen.")</f>
        <v>Dann lehnt sich der Mann an ihre Hände, um seinen Körper zu drehen und Kurven zu machen.</v>
      </c>
    </row>
    <row r="15099">
      <c r="A15099" s="4" t="s">
        <v>19020</v>
      </c>
      <c r="B15099" s="4" t="s">
        <v>19023</v>
      </c>
      <c r="C15099" s="5" t="str">
        <f>IFERROR(__xludf.DUMMYFUNCTION("GOOGLETRANSLATE(B15099,""en"",""de"")"),"Danach steht der Mann auf seinen Händen und neigt seinen Körper nach vorne und vorne.")</f>
        <v>Danach steht der Mann auf seinen Händen und neigt seinen Körper nach vorne und vorne.</v>
      </c>
    </row>
    <row r="15100">
      <c r="A15100" s="4" t="s">
        <v>19020</v>
      </c>
      <c r="B15100" s="4" t="s">
        <v>19024</v>
      </c>
      <c r="C15100" s="5" t="str">
        <f>IFERROR(__xludf.DUMMYFUNCTION("GOOGLETRANSLATE(B15100,""en"",""de"")"),"Als nächstes steht die Stehungen an seinen Händen und drehen seinen Körper.")</f>
        <v>Als nächstes steht die Stehungen an seinen Händen und drehen seinen Körper.</v>
      </c>
    </row>
    <row r="15101">
      <c r="A15101" s="4" t="s">
        <v>19025</v>
      </c>
      <c r="B15101" s="4" t="s">
        <v>19026</v>
      </c>
      <c r="C15101" s="5" t="str">
        <f>IFERROR(__xludf.DUMMYFUNCTION("GOOGLETRANSLATE(B15101,""en"",""de"")"),"Zwei Männer gehen mit einem Papier und einem Klebeband die Bretter entlang.")</f>
        <v>Zwei Männer gehen mit einem Papier und einem Klebeband die Bretter entlang.</v>
      </c>
    </row>
    <row r="15102">
      <c r="A15102" s="4" t="s">
        <v>19025</v>
      </c>
      <c r="B15102" s="4" t="s">
        <v>19027</v>
      </c>
      <c r="C15102" s="5" t="str">
        <f>IFERROR(__xludf.DUMMYFUNCTION("GOOGLETRANSLATE(B15102,""en"",""de"")"),"Andere Männer legten ein grünes Blatt Papier fest und zeichnen das Papier weiter ab.")</f>
        <v>Andere Männer legten ein grünes Blatt Papier fest und zeichnen das Papier weiter ab.</v>
      </c>
    </row>
    <row r="15103">
      <c r="A15103" s="4" t="s">
        <v>19025</v>
      </c>
      <c r="B15103" s="4" t="s">
        <v>19028</v>
      </c>
      <c r="C15103" s="5" t="str">
        <f>IFERROR(__xludf.DUMMYFUNCTION("GOOGLETRANSLATE(B15103,""en"",""de"")"),"Ein letzter Satz Papier wird mit Klebeband überlegt und die Männer arbeiten weiter.")</f>
        <v>Ein letzter Satz Papier wird mit Klebeband überlegt und die Männer arbeiten weiter.</v>
      </c>
    </row>
    <row r="15104">
      <c r="A15104" s="4" t="s">
        <v>19029</v>
      </c>
      <c r="B15104" s="4" t="s">
        <v>19030</v>
      </c>
      <c r="C15104" s="5" t="str">
        <f>IFERROR(__xludf.DUMMYFUNCTION("GOOGLETRANSLATE(B15104,""en"",""de"")"),"Wir sehen ein College -Volleyballspiel, das von Frauen gespielt wird.")</f>
        <v>Wir sehen ein College -Volleyballspiel, das von Frauen gespielt wird.</v>
      </c>
    </row>
    <row r="15105">
      <c r="A15105" s="4" t="s">
        <v>19029</v>
      </c>
      <c r="B15105" s="4" t="s">
        <v>19031</v>
      </c>
      <c r="C15105" s="5" t="str">
        <f>IFERROR(__xludf.DUMMYFUNCTION("GOOGLETRANSLATE(B15105,""en"",""de"")"),"Eine Gruppe von Damen passt.")</f>
        <v>Eine Gruppe von Damen passt.</v>
      </c>
    </row>
    <row r="15106">
      <c r="A15106" s="4" t="s">
        <v>19029</v>
      </c>
      <c r="B15106" s="4" t="s">
        <v>19032</v>
      </c>
      <c r="C15106" s="5" t="str">
        <f>IFERROR(__xludf.DUMMYFUNCTION("GOOGLETRANSLATE(B15106,""en"",""de"")"),"Eine Dame fällt und gleitet über den Boden.")</f>
        <v>Eine Dame fällt und gleitet über den Boden.</v>
      </c>
    </row>
    <row r="15107">
      <c r="A15107" s="4" t="s">
        <v>19029</v>
      </c>
      <c r="B15107" s="4" t="s">
        <v>19033</v>
      </c>
      <c r="C15107" s="5" t="str">
        <f>IFERROR(__xludf.DUMMYFUNCTION("GOOGLETRANSLATE(B15107,""en"",""de"")"),"Zwei Damen hoch fünf gegenseitig.")</f>
        <v>Zwei Damen hoch fünf gegenseitig.</v>
      </c>
    </row>
    <row r="15108">
      <c r="A15108" s="4" t="s">
        <v>19029</v>
      </c>
      <c r="B15108" s="4" t="s">
        <v>19034</v>
      </c>
      <c r="C15108" s="5" t="str">
        <f>IFERROR(__xludf.DUMMYFUNCTION("GOOGLETRANSLATE(B15108,""en"",""de"")"),"Drei Damen fallen links in die Menge.")</f>
        <v>Drei Damen fallen links in die Menge.</v>
      </c>
    </row>
    <row r="15109">
      <c r="A15109" s="4" t="s">
        <v>19029</v>
      </c>
      <c r="B15109" s="4" t="s">
        <v>19035</v>
      </c>
      <c r="C15109" s="5" t="str">
        <f>IFERROR(__xludf.DUMMYFUNCTION("GOOGLETRANSLATE(B15109,""en"",""de"")"),"Eine Frau vermisst und fällt.")</f>
        <v>Eine Frau vermisst und fällt.</v>
      </c>
    </row>
    <row r="15110">
      <c r="A15110" s="4" t="s">
        <v>19029</v>
      </c>
      <c r="B15110" s="4" t="s">
        <v>19036</v>
      </c>
      <c r="C15110" s="5" t="str">
        <f>IFERROR(__xludf.DUMMYFUNCTION("GOOGLETRANSLATE(B15110,""en"",""de"")"),"Eine Person baumelt eine Reihe von Schlüssel.")</f>
        <v>Eine Person baumelt eine Reihe von Schlüssel.</v>
      </c>
    </row>
    <row r="15111">
      <c r="A15111" s="4" t="s">
        <v>19037</v>
      </c>
      <c r="B15111" s="4" t="s">
        <v>19038</v>
      </c>
      <c r="C15111" s="5" t="str">
        <f>IFERROR(__xludf.DUMMYFUNCTION("GOOGLETRANSLATE(B15111,""en"",""de"")"),"Eine Nahaufnahme der Menschen wird gezeigt, die auf einem schneebedeckten Hügel sitzen und zur Kamera schauen.")</f>
        <v>Eine Nahaufnahme der Menschen wird gezeigt, die auf einem schneebedeckten Hügel sitzen und zur Kamera schauen.</v>
      </c>
    </row>
    <row r="15112">
      <c r="A15112" s="4" t="s">
        <v>19037</v>
      </c>
      <c r="B15112" s="4" t="s">
        <v>19039</v>
      </c>
      <c r="C15112" s="5" t="str">
        <f>IFERROR(__xludf.DUMMYFUNCTION("GOOGLETRANSLATE(B15112,""en"",""de"")"),"Die Leute reiten dann alle in Röhren den schneebedeckten Pfad hinunter, wobei sich einer unten bewegt.")</f>
        <v>Die Leute reiten dann alle in Röhren den schneebedeckten Pfad hinunter, wobei sich einer unten bewegt.</v>
      </c>
    </row>
    <row r="15113">
      <c r="A15113" s="4" t="s">
        <v>19040</v>
      </c>
      <c r="B15113" s="4" t="s">
        <v>19041</v>
      </c>
      <c r="C15113" s="5" t="str">
        <f>IFERROR(__xludf.DUMMYFUNCTION("GOOGLETRANSLATE(B15113,""en"",""de"")"),"Ein Teenager hat ein paar Pfeile in den Händen.")</f>
        <v>Ein Teenager hat ein paar Pfeile in den Händen.</v>
      </c>
    </row>
    <row r="15114">
      <c r="A15114" s="4" t="s">
        <v>19040</v>
      </c>
      <c r="B15114" s="4" t="s">
        <v>19042</v>
      </c>
      <c r="C15114" s="5" t="str">
        <f>IFERROR(__xludf.DUMMYFUNCTION("GOOGLETRANSLATE(B15114,""en"",""de"")"),"Er wirft jeden Pfeil und versucht, sein Ziel an die Wand zu treffen.")</f>
        <v>Er wirft jeden Pfeil und versucht, sein Ziel an die Wand zu treffen.</v>
      </c>
    </row>
    <row r="15115">
      <c r="A15115" s="4" t="s">
        <v>19040</v>
      </c>
      <c r="B15115" s="4" t="s">
        <v>19043</v>
      </c>
      <c r="C15115" s="5" t="str">
        <f>IFERROR(__xludf.DUMMYFUNCTION("GOOGLETRANSLATE(B15115,""en"",""de"")"),"Eine Handykamera über der Dart -Board -Aufzeichnung wird beim Werfen von einem Pfeil getroffen, bevor er auf den Teppich fällt.")</f>
        <v>Eine Handykamera über der Dart -Board -Aufzeichnung wird beim Werfen von einem Pfeil getroffen, bevor er auf den Teppich fällt.</v>
      </c>
    </row>
    <row r="15116">
      <c r="A15116" s="4" t="s">
        <v>19044</v>
      </c>
      <c r="B15116" s="4" t="s">
        <v>19045</v>
      </c>
      <c r="C15116" s="5" t="str">
        <f>IFERROR(__xludf.DUMMYFUNCTION("GOOGLETRANSLATE(B15116,""en"",""de"")"),"Eine große Gruppe von Kindern tanzt in einem Raum, gefolgt von Männern, die sich bewegen und lachen.")</f>
        <v>Eine große Gruppe von Kindern tanzt in einem Raum, gefolgt von Männern, die sich bewegen und lachen.</v>
      </c>
    </row>
    <row r="15117">
      <c r="A15117" s="4" t="s">
        <v>19044</v>
      </c>
      <c r="B15117" s="4" t="s">
        <v>19046</v>
      </c>
      <c r="C15117" s="5" t="str">
        <f>IFERROR(__xludf.DUMMYFUNCTION("GOOGLETRANSLATE(B15117,""en"",""de"")"),"Weitere Clips werden von Menschen gezeigt, die sich in verschiedenen Räumen wehren und miteinander lachen.")</f>
        <v>Weitere Clips werden von Menschen gezeigt, die sich in verschiedenen Räumen wehren und miteinander lachen.</v>
      </c>
    </row>
    <row r="15118">
      <c r="A15118" s="4" t="s">
        <v>19047</v>
      </c>
      <c r="B15118" s="4" t="s">
        <v>19048</v>
      </c>
      <c r="C15118" s="5" t="str">
        <f>IFERROR(__xludf.DUMMYFUNCTION("GOOGLETRANSLATE(B15118,""en"",""de"")"),"Ein schwarzer Bildschirm erscheint mit gelbem Schreiben.")</f>
        <v>Ein schwarzer Bildschirm erscheint mit gelbem Schreiben.</v>
      </c>
    </row>
    <row r="15119">
      <c r="A15119" s="4" t="s">
        <v>19047</v>
      </c>
      <c r="B15119" s="4" t="s">
        <v>19049</v>
      </c>
      <c r="C15119" s="5" t="str">
        <f>IFERROR(__xludf.DUMMYFUNCTION("GOOGLETRANSLATE(B15119,""en"",""de"")"),"Sobald es weg ist, wird ein Feld angezeigt und ein Buff -Frauen wirft eine Aufnahme ins Feld und eine Wiederholung wird gezeigt.")</f>
        <v>Sobald es weg ist, wird ein Feld angezeigt und ein Buff -Frauen wirft eine Aufnahme ins Feld und eine Wiederholung wird gezeigt.</v>
      </c>
    </row>
    <row r="15120">
      <c r="A15120" s="4" t="s">
        <v>19050</v>
      </c>
      <c r="B15120" s="4" t="s">
        <v>19051</v>
      </c>
      <c r="C15120" s="5" t="str">
        <f>IFERROR(__xludf.DUMMYFUNCTION("GOOGLETRANSLATE(B15120,""en"",""de"")"),"Ein Mann Körper schlägt einen anderen Mann auf einen Ring.")</f>
        <v>Ein Mann Körper schlägt einen anderen Mann auf einen Ring.</v>
      </c>
    </row>
    <row r="15121">
      <c r="A15121" s="4" t="s">
        <v>19050</v>
      </c>
      <c r="B15121" s="4" t="s">
        <v>19052</v>
      </c>
      <c r="C15121" s="5" t="str">
        <f>IFERROR(__xludf.DUMMYFUNCTION("GOOGLETRANSLATE(B15121,""en"",""de"")"),"Ein Schiedsrichter tippt mehrmals auf den Boden.")</f>
        <v>Ein Schiedsrichter tippt mehrmals auf den Boden.</v>
      </c>
    </row>
    <row r="15122">
      <c r="A15122" s="4" t="s">
        <v>19050</v>
      </c>
      <c r="B15122" s="4" t="s">
        <v>19053</v>
      </c>
      <c r="C15122" s="5" t="str">
        <f>IFERROR(__xludf.DUMMYFUNCTION("GOOGLETRANSLATE(B15122,""en"",""de"")"),"Die Menge jubelt die Menschen an.")</f>
        <v>Die Menge jubelt die Menschen an.</v>
      </c>
    </row>
    <row r="15123">
      <c r="A15123" s="4" t="s">
        <v>19054</v>
      </c>
      <c r="B15123" s="4" t="s">
        <v>1487</v>
      </c>
      <c r="C15123" s="5" t="str">
        <f>IFERROR(__xludf.DUMMYFUNCTION("GOOGLETRANSLATE(B15123,""en"",""de"")"),"Wir sehen einen Öffnungsbildschirm.")</f>
        <v>Wir sehen einen Öffnungsbildschirm.</v>
      </c>
    </row>
    <row r="15124">
      <c r="A15124" s="4" t="s">
        <v>19054</v>
      </c>
      <c r="B15124" s="4" t="s">
        <v>19055</v>
      </c>
      <c r="C15124" s="5" t="str">
        <f>IFERROR(__xludf.DUMMYFUNCTION("GOOGLETRANSLATE(B15124,""en"",""de"")"),"Männer knurren und wir sehen die Menge und die Aufnahmen des Volleyballspiels.")</f>
        <v>Männer knurren und wir sehen die Menge und die Aufnahmen des Volleyballspiels.</v>
      </c>
    </row>
    <row r="15125">
      <c r="A15125" s="4" t="s">
        <v>19054</v>
      </c>
      <c r="B15125" s="4" t="s">
        <v>19056</v>
      </c>
      <c r="C15125" s="5" t="str">
        <f>IFERROR(__xludf.DUMMYFUNCTION("GOOGLETRANSLATE(B15125,""en"",""de"")"),"Wir sehen Damen am Rande.")</f>
        <v>Wir sehen Damen am Rande.</v>
      </c>
    </row>
    <row r="15126">
      <c r="A15126" s="4" t="s">
        <v>19054</v>
      </c>
      <c r="B15126" s="4" t="s">
        <v>19057</v>
      </c>
      <c r="C15126" s="5" t="str">
        <f>IFERROR(__xludf.DUMMYFUNCTION("GOOGLETRANSLATE(B15126,""en"",""de"")"),"Ein großer Mann wird aus den Beinen gezeigt, während er springt.")</f>
        <v>Ein großer Mann wird aus den Beinen gezeigt, während er springt.</v>
      </c>
    </row>
    <row r="15127">
      <c r="A15127" s="4" t="s">
        <v>19054</v>
      </c>
      <c r="B15127" s="4" t="s">
        <v>19058</v>
      </c>
      <c r="C15127" s="5" t="str">
        <f>IFERROR(__xludf.DUMMYFUNCTION("GOOGLETRANSLATE(B15127,""en"",""de"")"),"Ein Mann verpasst einen Schuss und schaut hinter ihn und zwei Männer schauen hinter sich.")</f>
        <v>Ein Mann verpasst einen Schuss und schaut hinter ihn und zwei Männer schauen hinter sich.</v>
      </c>
    </row>
    <row r="15128">
      <c r="A15128" s="4" t="s">
        <v>19054</v>
      </c>
      <c r="B15128" s="4" t="s">
        <v>19059</v>
      </c>
      <c r="C15128" s="5" t="str">
        <f>IFERROR(__xludf.DUMMYFUNCTION("GOOGLETRANSLATE(B15128,""en"",""de"")"),"Wir sehen Männer jubeln und springen.")</f>
        <v>Wir sehen Männer jubeln und springen.</v>
      </c>
    </row>
    <row r="15129">
      <c r="A15129" s="4" t="s">
        <v>19054</v>
      </c>
      <c r="B15129" s="4" t="s">
        <v>19060</v>
      </c>
      <c r="C15129" s="5" t="str">
        <f>IFERROR(__xludf.DUMMYFUNCTION("GOOGLETRANSLATE(B15129,""en"",""de"")"),"Ein Schuss wird gemacht und Teamumarmungen.")</f>
        <v>Ein Schuss wird gemacht und Teamumarmungen.</v>
      </c>
    </row>
    <row r="15130">
      <c r="A15130" s="4" t="s">
        <v>19061</v>
      </c>
      <c r="B15130" s="4" t="s">
        <v>19062</v>
      </c>
      <c r="C15130" s="5" t="str">
        <f>IFERROR(__xludf.DUMMYFUNCTION("GOOGLETRANSLATE(B15130,""en"",""de"")"),"Ein Mann reinigt den Rand eines Rades mit einer Bürste, dann spügt der Mann das Auto mit einem Schlauch aus.")</f>
        <v>Ein Mann reinigt den Rand eines Rades mit einer Bürste, dann spügt der Mann das Auto mit einem Schlauch aus.</v>
      </c>
    </row>
    <row r="15131">
      <c r="A15131" s="4" t="s">
        <v>19061</v>
      </c>
      <c r="B15131" s="4" t="s">
        <v>19063</v>
      </c>
      <c r="C15131" s="5" t="str">
        <f>IFERROR(__xludf.DUMMYFUNCTION("GOOGLETRANSLATE(B15131,""en"",""de"")"),"Danach wendet der Mann das Waschmittel mit einer Waschpeelingbürste an.")</f>
        <v>Danach wendet der Mann das Waschmittel mit einer Waschpeelingbürste an.</v>
      </c>
    </row>
    <row r="15132">
      <c r="A15132" s="4" t="s">
        <v>19061</v>
      </c>
      <c r="B15132" s="4" t="s">
        <v>19064</v>
      </c>
      <c r="C15132" s="5" t="str">
        <f>IFERROR(__xludf.DUMMYFUNCTION("GOOGLETRANSLATE(B15132,""en"",""de"")"),"Als nächstes tritt das Auto in eine automatische Autowaschmaschine ein.")</f>
        <v>Als nächstes tritt das Auto in eine automatische Autowaschmaschine ein.</v>
      </c>
    </row>
    <row r="15133">
      <c r="A15133" s="4" t="s">
        <v>19065</v>
      </c>
      <c r="B15133" s="4" t="s">
        <v>19066</v>
      </c>
      <c r="C15133" s="5" t="str">
        <f>IFERROR(__xludf.DUMMYFUNCTION("GOOGLETRANSLATE(B15133,""en"",""de"")"),"Zwei Leute ringen Arm und nehmen Kleidung ab.")</f>
        <v>Zwei Leute ringen Arm und nehmen Kleidung ab.</v>
      </c>
    </row>
    <row r="15134">
      <c r="A15134" s="4" t="s">
        <v>19065</v>
      </c>
      <c r="B15134" s="4" t="s">
        <v>19067</v>
      </c>
      <c r="C15134" s="5" t="str">
        <f>IFERROR(__xludf.DUMMYFUNCTION("GOOGLETRANSLATE(B15134,""en"",""de"")"),"Sie ziehen sich an und fliegen extremer Drachen in einem Hurrikan.")</f>
        <v>Sie ziehen sich an und fliegen extremer Drachen in einem Hurrikan.</v>
      </c>
    </row>
    <row r="15135">
      <c r="A15135" s="4" t="s">
        <v>19065</v>
      </c>
      <c r="B15135" s="4" t="s">
        <v>19068</v>
      </c>
      <c r="C15135" s="5" t="str">
        <f>IFERROR(__xludf.DUMMYFUNCTION("GOOGLETRANSLATE(B15135,""en"",""de"")"),"Die Drachen stürzen einmal gegen die Menschen.")</f>
        <v>Die Drachen stürzen einmal gegen die Menschen.</v>
      </c>
    </row>
    <row r="15136">
      <c r="A15136" s="4" t="s">
        <v>19069</v>
      </c>
      <c r="B15136" s="4" t="s">
        <v>19070</v>
      </c>
      <c r="C15136" s="5" t="str">
        <f>IFERROR(__xludf.DUMMYFUNCTION("GOOGLETRANSLATE(B15136,""en"",""de"")"),"Die Leute reiten Pferde auf einem Feld.")</f>
        <v>Die Leute reiten Pferde auf einem Feld.</v>
      </c>
    </row>
    <row r="15137">
      <c r="A15137" s="4" t="s">
        <v>19069</v>
      </c>
      <c r="B15137" s="4" t="s">
        <v>19071</v>
      </c>
      <c r="C15137" s="5" t="str">
        <f>IFERROR(__xludf.DUMMYFUNCTION("GOOGLETRANSLATE(B15137,""en"",""de"")"),"Ein Hund und eine Person kreuzen sich vor der Kamera.")</f>
        <v>Ein Hund und eine Person kreuzen sich vor der Kamera.</v>
      </c>
    </row>
    <row r="15138">
      <c r="A15138" s="4" t="s">
        <v>19069</v>
      </c>
      <c r="B15138" s="4" t="s">
        <v>19072</v>
      </c>
      <c r="C15138" s="5" t="str">
        <f>IFERROR(__xludf.DUMMYFUNCTION("GOOGLETRANSLATE(B15138,""en"",""de"")"),"Die Pferde rennen auf dem Feld herum.")</f>
        <v>Die Pferde rennen auf dem Feld herum.</v>
      </c>
    </row>
    <row r="15139">
      <c r="A15139" s="4" t="s">
        <v>19073</v>
      </c>
      <c r="B15139" s="4" t="s">
        <v>19074</v>
      </c>
      <c r="C15139" s="5" t="str">
        <f>IFERROR(__xludf.DUMMYFUNCTION("GOOGLETRANSLATE(B15139,""en"",""de"")"),"Das Äußere eines Unternehmens wird gezeigt und das blaue und weiße Zeichen darauf ""Boronia Dog Preaming &amp; Pet Supplies"" mit einem Bild eines Hundes in Wasser und mit Schaum- und Pfotenabdrücken an den Seiten und dem Wort ""Hund"" bedeckt Die Pflege ""be"&amp;"findet sich entlang der Vorderseite der Kante, die herausragt.")</f>
        <v>Das Äußere eines Unternehmens wird gezeigt und das blaue und weiße Zeichen darauf "Boronia Dog Preaming &amp; Pet Supplies" mit einem Bild eines Hundes in Wasser und mit Schaum- und Pfotenabdrücken an den Seiten und dem Wort "Hund" bedeckt Die Pflege "befindet sich entlang der Vorderseite der Kante, die herausragt.</v>
      </c>
    </row>
    <row r="15140">
      <c r="A15140" s="4" t="s">
        <v>19073</v>
      </c>
      <c r="B15140" s="4" t="s">
        <v>19075</v>
      </c>
      <c r="C15140" s="5" t="str">
        <f>IFERROR(__xludf.DUMMYFUNCTION("GOOGLETRANSLATE(B15140,""en"",""de"")"),"Eine Frau spricht und dazwischen spielt ein Clips von Weinern, die Hunde, Kunden, Hunde, die im Laden gehen, und Hunde, die im Laden gehen.")</f>
        <v>Eine Frau spricht und dazwischen spielt ein Clips von Weinern, die Hunde, Kunden, Hunde, die im Laden gehen, und Hunde, die im Laden gehen.</v>
      </c>
    </row>
    <row r="15141">
      <c r="A15141" s="4" t="s">
        <v>19073</v>
      </c>
      <c r="B15141" s="4" t="s">
        <v>19076</v>
      </c>
      <c r="C15141" s="5" t="str">
        <f>IFERROR(__xludf.DUMMYFUNCTION("GOOGLETRANSLATE(B15141,""en"",""de"")"),"Der gleiche Clip des Äußeren des Gebäudes, der am Anfang gezeigt wurde, ist die gleiche Außenansicht, die am Ende gezeigt wird.")</f>
        <v>Der gleiche Clip des Äußeren des Gebäudes, der am Anfang gezeigt wurde, ist die gleiche Außenansicht, die am Ende gezeigt wird.</v>
      </c>
    </row>
    <row r="15142">
      <c r="A15142" s="4" t="s">
        <v>19077</v>
      </c>
      <c r="B15142" s="4" t="s">
        <v>19078</v>
      </c>
      <c r="C15142" s="5" t="str">
        <f>IFERROR(__xludf.DUMMYFUNCTION("GOOGLETRANSLATE(B15142,""en"",""de"")"),"Frau steckt Butter in eine Schüssel mit Zucker und Mehl und mischt sie in einer Küchenhilfe, fügt Eier, Vanille und Mehl hinzu, wenn die Mischung homogen ist, Schokoladenchips hinzufügen.")</f>
        <v>Frau steckt Butter in eine Schüssel mit Zucker und Mehl und mischt sie in einer Küchenhilfe, fügt Eier, Vanille und Mehl hinzu, wenn die Mischung homogen ist, Schokoladenchips hinzufügen.</v>
      </c>
    </row>
    <row r="15143">
      <c r="A15143" s="4" t="s">
        <v>19077</v>
      </c>
      <c r="B15143" s="4" t="s">
        <v>19079</v>
      </c>
      <c r="C15143" s="5" t="str">
        <f>IFERROR(__xludf.DUMMYFUNCTION("GOOGLETRANSLATE(B15143,""en"",""de"")"),"Der Teig ist in Kugeln und in einem Tablett zum Ofen geformt.")</f>
        <v>Der Teig ist in Kugeln und in einem Tablett zum Ofen geformt.</v>
      </c>
    </row>
    <row r="15144">
      <c r="A15144" s="4" t="s">
        <v>19080</v>
      </c>
      <c r="B15144" s="4" t="s">
        <v>19081</v>
      </c>
      <c r="C15144" s="5" t="str">
        <f>IFERROR(__xludf.DUMMYFUNCTION("GOOGLETRANSLATE(B15144,""en"",""de"")"),"Eine Kamera schwenkt um eine dunkle Küche und führt dazu, dass die Person eine Treppe hinuntergeht.")</f>
        <v>Eine Kamera schwenkt um eine dunkle Küche und führt dazu, dass die Person eine Treppe hinuntergeht.</v>
      </c>
    </row>
    <row r="15145">
      <c r="A15145" s="4" t="s">
        <v>19080</v>
      </c>
      <c r="B15145" s="4" t="s">
        <v>19082</v>
      </c>
      <c r="C15145" s="5" t="str">
        <f>IFERROR(__xludf.DUMMYFUNCTION("GOOGLETRANSLATE(B15145,""en"",""de"")"),"Kleidung ist auf dem Boden zu sehen, gefolgt von einer Frau in Locken, die eine Zigarette raucht und am Computer spielt.")</f>
        <v>Kleidung ist auf dem Boden zu sehen, gefolgt von einer Frau in Locken, die eine Zigarette raucht und am Computer spielt.</v>
      </c>
    </row>
    <row r="15146">
      <c r="A15146" s="4" t="s">
        <v>19080</v>
      </c>
      <c r="B15146" s="4" t="s">
        <v>19083</v>
      </c>
      <c r="C15146" s="5" t="str">
        <f>IFERROR(__xludf.DUMMYFUNCTION("GOOGLETRANSLATE(B15146,""en"",""de"")"),"Sie spricht mit der Kamera und bekommt eine Aufnahme von ihr und dem Kameramann zusammen.")</f>
        <v>Sie spricht mit der Kamera und bekommt eine Aufnahme von ihr und dem Kameramann zusammen.</v>
      </c>
    </row>
    <row r="15147">
      <c r="A15147" s="4" t="s">
        <v>19084</v>
      </c>
      <c r="B15147" s="4" t="s">
        <v>19085</v>
      </c>
      <c r="C15147" s="5" t="str">
        <f>IFERROR(__xludf.DUMMYFUNCTION("GOOGLETRANSLATE(B15147,""en"",""de"")"),"Ein Mann steht vor einem mit Kartoffeln bedeckten Schneidebrett.")</f>
        <v>Ein Mann steht vor einem mit Kartoffeln bedeckten Schneidebrett.</v>
      </c>
    </row>
    <row r="15148">
      <c r="A15148" s="4" t="s">
        <v>19084</v>
      </c>
      <c r="B15148" s="4" t="s">
        <v>19086</v>
      </c>
      <c r="C15148" s="5" t="str">
        <f>IFERROR(__xludf.DUMMYFUNCTION("GOOGLETRANSLATE(B15148,""en"",""de"")"),"Er benutzt einen Schäler, um die Haut von einer Kartoffel zu schälen.")</f>
        <v>Er benutzt einen Schäler, um die Haut von einer Kartoffel zu schälen.</v>
      </c>
    </row>
    <row r="15149">
      <c r="A15149" s="4" t="s">
        <v>19084</v>
      </c>
      <c r="B15149" s="4" t="s">
        <v>19087</v>
      </c>
      <c r="C15149" s="5" t="str">
        <f>IFERROR(__xludf.DUMMYFUNCTION("GOOGLETRANSLATE(B15149,""en"",""de"")"),"Er bewegt sich schnell und schält sich, bis alle Kartoffeln nackt sind.")</f>
        <v>Er bewegt sich schnell und schält sich, bis alle Kartoffeln nackt sind.</v>
      </c>
    </row>
    <row r="15150">
      <c r="A15150" s="4" t="s">
        <v>19088</v>
      </c>
      <c r="B15150" s="4" t="s">
        <v>19089</v>
      </c>
      <c r="C15150" s="5" t="str">
        <f>IFERROR(__xludf.DUMMYFUNCTION("GOOGLETRANSLATE(B15150,""en"",""de"")"),"Ein Junge sitzt an einem Holztisch in einem Café.")</f>
        <v>Ein Junge sitzt an einem Holztisch in einem Café.</v>
      </c>
    </row>
    <row r="15151">
      <c r="A15151" s="4" t="s">
        <v>19088</v>
      </c>
      <c r="B15151" s="4" t="s">
        <v>19090</v>
      </c>
      <c r="C15151" s="5" t="str">
        <f>IFERROR(__xludf.DUMMYFUNCTION("GOOGLETRANSLATE(B15151,""en"",""de"")"),"Er zündet eine Shisha an und zieht dann den Rauch.")</f>
        <v>Er zündet eine Shisha an und zieht dann den Rauch.</v>
      </c>
    </row>
    <row r="15152">
      <c r="A15152" s="4" t="s">
        <v>19088</v>
      </c>
      <c r="B15152" s="4" t="s">
        <v>19091</v>
      </c>
      <c r="C15152" s="5" t="str">
        <f>IFERROR(__xludf.DUMMYFUNCTION("GOOGLETRANSLATE(B15152,""en"",""de"")"),"Er lehnt sich zurück und bläst Rauch aus seinem Mund.")</f>
        <v>Er lehnt sich zurück und bläst Rauch aus seinem Mund.</v>
      </c>
    </row>
    <row r="15153">
      <c r="A15153" s="4" t="s">
        <v>19092</v>
      </c>
      <c r="B15153" s="4" t="s">
        <v>19093</v>
      </c>
      <c r="C15153" s="5" t="str">
        <f>IFERROR(__xludf.DUMMYFUNCTION("GOOGLETRANSLATE(B15153,""en"",""de"")"),"Ein Mädchen sitzt und erträgt Schmerzen, als sie ein traditionelles polynesisches Tattoo bekommt.")</f>
        <v>Ein Mädchen sitzt und erträgt Schmerzen, als sie ein traditionelles polynesisches Tattoo bekommt.</v>
      </c>
    </row>
    <row r="15154">
      <c r="A15154" s="4" t="s">
        <v>19092</v>
      </c>
      <c r="B15154" s="4" t="s">
        <v>19094</v>
      </c>
      <c r="C15154" s="5" t="str">
        <f>IFERROR(__xludf.DUMMYFUNCTION("GOOGLETRANSLATE(B15154,""en"",""de"")"),"Die Künstler halten einen Moment an und putzen den Bereich.")</f>
        <v>Die Künstler halten einen Moment an und putzen den Bereich.</v>
      </c>
    </row>
    <row r="15155">
      <c r="A15155" s="4" t="s">
        <v>19092</v>
      </c>
      <c r="B15155" s="4" t="s">
        <v>19095</v>
      </c>
      <c r="C15155" s="5" t="str">
        <f>IFERROR(__xludf.DUMMYFUNCTION("GOOGLETRANSLATE(B15155,""en"",""de"")"),"Sie fangen an, ihre Hand weiter zu tätowieren, als sie den Schmerz sichtbar erfüllt.")</f>
        <v>Sie fangen an, ihre Hand weiter zu tätowieren, als sie den Schmerz sichtbar erfüllt.</v>
      </c>
    </row>
    <row r="15156">
      <c r="A15156" s="4" t="s">
        <v>19096</v>
      </c>
      <c r="B15156" s="4" t="s">
        <v>19097</v>
      </c>
      <c r="C15156" s="5" t="str">
        <f>IFERROR(__xludf.DUMMYFUNCTION("GOOGLETRANSLATE(B15156,""en"",""de"")"),"Das Video beginnt mit mehreren Aufnahmen von BMX -Fahrern, die auf einer Strecke fahren und einen harten Sturz nimmt.")</f>
        <v>Das Video beginnt mit mehreren Aufnahmen von BMX -Fahrern, die auf einer Strecke fahren und einen harten Sturz nimmt.</v>
      </c>
    </row>
    <row r="15157">
      <c r="A15157" s="4" t="s">
        <v>19096</v>
      </c>
      <c r="B15157" s="4" t="s">
        <v>19098</v>
      </c>
      <c r="C15157" s="5" t="str">
        <f>IFERROR(__xludf.DUMMYFUNCTION("GOOGLETRANSLATE(B15157,""en"",""de"")"),"Einige weitere Aufnahmen von Menschen, die auf einer Strecke reiten, werden gezeigt, dass viele am Rande stehen, um sie zu beobachten.")</f>
        <v>Einige weitere Aufnahmen von Menschen, die auf einer Strecke reiten, werden gezeigt, dass viele am Rande stehen, um sie zu beobachten.</v>
      </c>
    </row>
    <row r="15158">
      <c r="A15158" s="4" t="s">
        <v>19096</v>
      </c>
      <c r="B15158" s="4" t="s">
        <v>19099</v>
      </c>
      <c r="C15158" s="5" t="str">
        <f>IFERROR(__xludf.DUMMYFUNCTION("GOOGLETRANSLATE(B15158,""en"",""de"")"),"Mehr Stürze werden mit einem Zeitlupen -Affekt gezeigt und mehr Menschen fahren weiter herum.")</f>
        <v>Mehr Stürze werden mit einem Zeitlupen -Affekt gezeigt und mehr Menschen fahren weiter herum.</v>
      </c>
    </row>
    <row r="15159">
      <c r="A15159" s="4" t="s">
        <v>19100</v>
      </c>
      <c r="B15159" s="4" t="s">
        <v>19101</v>
      </c>
      <c r="C15159" s="5" t="str">
        <f>IFERROR(__xludf.DUMMYFUNCTION("GOOGLETRANSLATE(B15159,""en"",""de"")"),"Ein schwarzer Bildschirm erscheint mit weißen, roten, grünen und blauen Wörtern, die ""Membrillo -Filme"" auf einem Bildschirm, ""Mateo Bervelillo"" und ""Trillizos"" sagen.")</f>
        <v>Ein schwarzer Bildschirm erscheint mit weißen, roten, grünen und blauen Wörtern, die "Membrillo -Filme" auf einem Bildschirm, "Mateo Bervelillo" und "Trillizos" sagen.</v>
      </c>
    </row>
    <row r="15160">
      <c r="A15160" s="4" t="s">
        <v>19100</v>
      </c>
      <c r="B15160" s="4" t="s">
        <v>19102</v>
      </c>
      <c r="C15160" s="5" t="str">
        <f>IFERROR(__xludf.DUMMYFUNCTION("GOOGLETRANSLATE(B15160,""en"",""de"")"),"Ein Mann ist jetzt draußen, sitzt auf einer Holzkiste und klopft mit den Fingern auf die Schachtel und hüpft seine Füße auf dem Boden.")</f>
        <v>Ein Mann ist jetzt draußen, sitzt auf einer Holzkiste und klopft mit den Fingern auf die Schachtel und hüpft seine Füße auf dem Boden.</v>
      </c>
    </row>
    <row r="15161">
      <c r="A15161" s="4" t="s">
        <v>19100</v>
      </c>
      <c r="B15161" s="4" t="s">
        <v>19103</v>
      </c>
      <c r="C15161" s="5" t="str">
        <f>IFERROR(__xludf.DUMMYFUNCTION("GOOGLETRANSLATE(B15161,""en"",""de"")"),"Ein anderer Mann, der aussieht wie der erste Mann aus einer Tür und sitzt in der Nähe des ersten Mannes auf dem Stuhl im Freien und er beginnt einen Bongo zu schlagen.")</f>
        <v>Ein anderer Mann, der aussieht wie der erste Mann aus einer Tür und sitzt in der Nähe des ersten Mannes auf dem Stuhl im Freien und er beginnt einen Bongo zu schlagen.</v>
      </c>
    </row>
    <row r="15162">
      <c r="A15162" s="4" t="s">
        <v>19100</v>
      </c>
      <c r="B15162" s="4" t="s">
        <v>19104</v>
      </c>
      <c r="C15162" s="5" t="str">
        <f>IFERROR(__xludf.DUMMYFUNCTION("GOOGLETRANSLATE(B15162,""en"",""de"")"),"Ein dritter Mann, der wie die beiden früheren Männer vor ihm aussieht, kommt aus einer Tür und sitzt auf dem letzten Stuhl und spielt auf seinem Bongo.")</f>
        <v>Ein dritter Mann, der wie die beiden früheren Männer vor ihm aussieht, kommt aus einer Tür und sitzt auf dem letzten Stuhl und spielt auf seinem Bongo.</v>
      </c>
    </row>
    <row r="15163">
      <c r="A15163" s="4" t="s">
        <v>19105</v>
      </c>
      <c r="B15163" s="4" t="s">
        <v>19106</v>
      </c>
      <c r="C15163" s="5" t="str">
        <f>IFERROR(__xludf.DUMMYFUNCTION("GOOGLETRANSLATE(B15163,""en"",""de"")"),"Frau steht vor der Kamera in einem weißen Raum, das mit ihren Haaren spielt.")</f>
        <v>Frau steht vor der Kamera in einem weißen Raum, das mit ihren Haaren spielt.</v>
      </c>
    </row>
    <row r="15164">
      <c r="A15164" s="4" t="s">
        <v>19105</v>
      </c>
      <c r="B15164" s="4" t="s">
        <v>19107</v>
      </c>
      <c r="C15164" s="5" t="str">
        <f>IFERROR(__xludf.DUMMYFUNCTION("GOOGLETRANSLATE(B15164,""en"",""de"")"),"Frau sitzt in einem Schaar und einer Frau hinter ihrem Start, die sich einen kleinen Teil des Haares schnappt, der ein Geflecht und verankert sie mit einer Bobby -Stecknadel und dekoriert es mit Haarstiften.")</f>
        <v>Frau sitzt in einem Schaar und einer Frau hinter ihrem Start, die sich einen kleinen Teil des Haares schnappt, der ein Geflecht und verankert sie mit einer Bobby -Stecknadel und dekoriert es mit Haarstiften.</v>
      </c>
    </row>
    <row r="15165">
      <c r="A15165" s="4" t="s">
        <v>19108</v>
      </c>
      <c r="B15165" s="4" t="s">
        <v>19109</v>
      </c>
      <c r="C15165" s="5" t="str">
        <f>IFERROR(__xludf.DUMMYFUNCTION("GOOGLETRANSLATE(B15165,""en"",""de"")"),"Wir sehen den schwarzen Titelbildschirm.")</f>
        <v>Wir sehen den schwarzen Titelbildschirm.</v>
      </c>
    </row>
    <row r="15166">
      <c r="A15166" s="4" t="s">
        <v>19108</v>
      </c>
      <c r="B15166" s="4" t="s">
        <v>19110</v>
      </c>
      <c r="C15166" s="5" t="str">
        <f>IFERROR(__xludf.DUMMYFUNCTION("GOOGLETRANSLATE(B15166,""en"",""de"")"),"Wir sehen eine Frau und einen Mann, der an einer Maschine arbeitet.")</f>
        <v>Wir sehen eine Frau und einen Mann, der an einer Maschine arbeitet.</v>
      </c>
    </row>
    <row r="15167">
      <c r="A15167" s="4" t="s">
        <v>19108</v>
      </c>
      <c r="B15167" s="4" t="s">
        <v>19111</v>
      </c>
      <c r="C15167" s="5" t="str">
        <f>IFERROR(__xludf.DUMMYFUNCTION("GOOGLETRANSLATE(B15167,""en"",""de"")"),"Wir sehen die Leute, die mit Schüssen der Maschine über das Produkt stehen und über das Produkt sprechen.")</f>
        <v>Wir sehen die Leute, die mit Schüssen der Maschine über das Produkt stehen und über das Produkt sprechen.</v>
      </c>
    </row>
    <row r="15168">
      <c r="A15168" s="4" t="s">
        <v>19108</v>
      </c>
      <c r="B15168" s="4" t="s">
        <v>19112</v>
      </c>
      <c r="C15168" s="5" t="str">
        <f>IFERROR(__xludf.DUMMYFUNCTION("GOOGLETRANSLATE(B15168,""en"",""de"")"),"Wir sehen das Display auf der Maschine.")</f>
        <v>Wir sehen das Display auf der Maschine.</v>
      </c>
    </row>
    <row r="15169">
      <c r="A15169" s="4" t="s">
        <v>19108</v>
      </c>
      <c r="B15169" s="4" t="s">
        <v>19113</v>
      </c>
      <c r="C15169" s="5" t="str">
        <f>IFERROR(__xludf.DUMMYFUNCTION("GOOGLETRANSLATE(B15169,""en"",""de"")"),"Die Dame steigt ein, legt die Zeit und läuft auf der Maschine.")</f>
        <v>Die Dame steigt ein, legt die Zeit und läuft auf der Maschine.</v>
      </c>
    </row>
    <row r="15170">
      <c r="A15170" s="4" t="s">
        <v>19108</v>
      </c>
      <c r="B15170" s="4" t="s">
        <v>19114</v>
      </c>
      <c r="C15170" s="5" t="str">
        <f>IFERROR(__xludf.DUMMYFUNCTION("GOOGLETRANSLATE(B15170,""en"",""de"")"),"Wir sehen, dass nur der Mann spricht und dann die Maschine benutzt.")</f>
        <v>Wir sehen, dass nur der Mann spricht und dann die Maschine benutzt.</v>
      </c>
    </row>
    <row r="15171">
      <c r="A15171" s="4" t="s">
        <v>19108</v>
      </c>
      <c r="B15171" s="4" t="s">
        <v>19115</v>
      </c>
      <c r="C15171" s="5" t="str">
        <f>IFERROR(__xludf.DUMMYFUNCTION("GOOGLETRANSLATE(B15171,""en"",""de"")"),"Wir kehren zu den Leuten zurück, die zusammen reden.")</f>
        <v>Wir kehren zu den Leuten zurück, die zusammen reden.</v>
      </c>
    </row>
    <row r="15172">
      <c r="A15172" s="4" t="s">
        <v>19108</v>
      </c>
      <c r="B15172" s="4" t="s">
        <v>19116</v>
      </c>
      <c r="C15172" s="5" t="str">
        <f>IFERROR(__xludf.DUMMYFUNCTION("GOOGLETRANSLATE(B15172,""en"",""de"")"),"Wir sehen die Schluss -Titelbildschirme.")</f>
        <v>Wir sehen die Schluss -Titelbildschirme.</v>
      </c>
    </row>
    <row r="15173">
      <c r="A15173" s="4" t="s">
        <v>19117</v>
      </c>
      <c r="B15173" s="4" t="s">
        <v>19118</v>
      </c>
      <c r="C15173" s="5" t="str">
        <f>IFERROR(__xludf.DUMMYFUNCTION("GOOGLETRANSLATE(B15173,""en"",""de"")"),"Das Video beginnt mit einer Titelsequenz, die ein Mädchen zeigt, das Kleidung auf einen Mann und einen Titelbildschirm wirft.")</f>
        <v>Das Video beginnt mit einer Titelsequenz, die ein Mädchen zeigt, das Kleidung auf einen Mann und einen Titelbildschirm wirft.</v>
      </c>
    </row>
    <row r="15174">
      <c r="A15174" s="4" t="s">
        <v>19117</v>
      </c>
      <c r="B15174" s="4" t="s">
        <v>19119</v>
      </c>
      <c r="C15174" s="5" t="str">
        <f>IFERROR(__xludf.DUMMYFUNCTION("GOOGLETRANSLATE(B15174,""en"",""de"")"),"Der Mann und seine Familie sind in einem Hinterhof und sprechen mit der Kamera.")</f>
        <v>Der Mann und seine Familie sind in einem Hinterhof und sprechen mit der Kamera.</v>
      </c>
    </row>
    <row r="15175">
      <c r="A15175" s="4" t="s">
        <v>19117</v>
      </c>
      <c r="B15175" s="4" t="s">
        <v>19120</v>
      </c>
      <c r="C15175" s="5" t="str">
        <f>IFERROR(__xludf.DUMMYFUNCTION("GOOGLETRANSLATE(B15175,""en"",""de"")"),"Nachdem er gesprochen hat, jubeln sie.")</f>
        <v>Nachdem er gesprochen hat, jubeln sie.</v>
      </c>
    </row>
    <row r="15176">
      <c r="A15176" s="4" t="s">
        <v>19117</v>
      </c>
      <c r="B15176" s="4" t="s">
        <v>19121</v>
      </c>
      <c r="C15176" s="5" t="str">
        <f>IFERROR(__xludf.DUMMYFUNCTION("GOOGLETRANSLATE(B15176,""en"",""de"")"),"Der Mann und die Frau zogen einen Tutu und die Augenbindungen an.")</f>
        <v>Der Mann und die Frau zogen einen Tutu und die Augenbindungen an.</v>
      </c>
    </row>
    <row r="15177">
      <c r="A15177" s="4" t="s">
        <v>19117</v>
      </c>
      <c r="B15177" s="4" t="s">
        <v>19122</v>
      </c>
      <c r="C15177" s="5" t="str">
        <f>IFERROR(__xludf.DUMMYFUNCTION("GOOGLETRANSLATE(B15177,""en"",""de"")"),"Dann fangen sie an, Hula zu reifen, bis die Frau verliert.")</f>
        <v>Dann fangen sie an, Hula zu reifen, bis die Frau verliert.</v>
      </c>
    </row>
    <row r="15178">
      <c r="A15178" s="4" t="s">
        <v>19117</v>
      </c>
      <c r="B15178" s="4" t="s">
        <v>19123</v>
      </c>
      <c r="C15178" s="5" t="str">
        <f>IFERROR(__xludf.DUMMYFUNCTION("GOOGLETRANSLATE(B15178,""en"",""de"")"),"Danach sprechen sie mit der Kamera und verabschieden sich.")</f>
        <v>Danach sprechen sie mit der Kamera und verabschieden sich.</v>
      </c>
    </row>
    <row r="15179">
      <c r="A15179" s="4" t="s">
        <v>19124</v>
      </c>
      <c r="B15179" s="4" t="s">
        <v>19125</v>
      </c>
      <c r="C15179" s="5" t="str">
        <f>IFERROR(__xludf.DUMMYFUNCTION("GOOGLETRANSLATE(B15179,""en"",""de"")"),"Es werden mehrere Schüsse der Landschaft gezeigt, gefolgt von einer Person, die einen Trick auf einem Skateboard und andere auf einem Hügel hinunterreitet.")</f>
        <v>Es werden mehrere Schüsse der Landschaft gezeigt, gefolgt von einer Person, die einen Trick auf einem Skateboard und andere auf einem Hügel hinunterreitet.</v>
      </c>
    </row>
    <row r="15180">
      <c r="A15180" s="4" t="s">
        <v>19124</v>
      </c>
      <c r="B15180" s="4" t="s">
        <v>19126</v>
      </c>
      <c r="C15180" s="5" t="str">
        <f>IFERROR(__xludf.DUMMYFUNCTION("GOOGLETRANSLATE(B15180,""en"",""de"")"),"Es werden mehrere Aufnahmen von Menschen gezeigt, die auf Skateboards die Straße entlang reiten und mehrere Tricks machen, während die Kamera eingreift.")</f>
        <v>Es werden mehrere Aufnahmen von Menschen gezeigt, die auf Skateboards die Straße entlang reiten und mehrere Tricks machen, während die Kamera eingreift.</v>
      </c>
    </row>
    <row r="15181">
      <c r="A15181" s="4" t="s">
        <v>19124</v>
      </c>
      <c r="B15181" s="4" t="s">
        <v>19127</v>
      </c>
      <c r="C15181" s="5" t="str">
        <f>IFERROR(__xludf.DUMMYFUNCTION("GOOGLETRANSLATE(B15181,""en"",""de"")"),"Ein Mann fällt am Ende und sein Brett stürzt entlang der Seite.")</f>
        <v>Ein Mann fällt am Ende und sein Brett stürzt entlang der Seite.</v>
      </c>
    </row>
    <row r="15182">
      <c r="A15182" s="4" t="s">
        <v>19128</v>
      </c>
      <c r="B15182" s="4" t="s">
        <v>19129</v>
      </c>
      <c r="C15182" s="5" t="str">
        <f>IFERROR(__xludf.DUMMYFUNCTION("GOOGLETRANSLATE(B15182,""en"",""de"")"),"Ein Mann spricht mit der Kamera, während er sich in einem Hinterhof hervorhebt.")</f>
        <v>Ein Mann spricht mit der Kamera, während er sich in einem Hinterhof hervorhebt.</v>
      </c>
    </row>
    <row r="15183">
      <c r="A15183" s="4" t="s">
        <v>19128</v>
      </c>
      <c r="B15183" s="4" t="s">
        <v>19130</v>
      </c>
      <c r="C15183" s="5" t="str">
        <f>IFERROR(__xludf.DUMMYFUNCTION("GOOGLETRANSLATE(B15183,""en"",""de"")"),"Er schwenkt zu einem Mann, der einen Zaun mit einem Schlauch und einem anderen Mann auf der Seite besprüht.")</f>
        <v>Er schwenkt zu einem Mann, der einen Zaun mit einem Schlauch und einem anderen Mann auf der Seite besprüht.</v>
      </c>
    </row>
    <row r="15184">
      <c r="A15184" s="4" t="s">
        <v>19128</v>
      </c>
      <c r="B15184" s="4" t="s">
        <v>19131</v>
      </c>
      <c r="C15184" s="5" t="str">
        <f>IFERROR(__xludf.DUMMYFUNCTION("GOOGLETRANSLATE(B15184,""en"",""de"")"),"Der Mann sprüht weiterhin den Schlauch ab, während ein anderer auf der Seite zuschaut und zum Kameramann zurücknimmt.")</f>
        <v>Der Mann sprüht weiterhin den Schlauch ab, während ein anderer auf der Seite zuschaut und zum Kameramann zurücknimmt.</v>
      </c>
    </row>
    <row r="15185">
      <c r="A15185" s="4" t="s">
        <v>19132</v>
      </c>
      <c r="B15185" s="4" t="s">
        <v>19133</v>
      </c>
      <c r="C15185" s="5" t="str">
        <f>IFERROR(__xludf.DUMMYFUNCTION("GOOGLETRANSLATE(B15185,""en"",""de"")"),"Eine blasse junge Frau in einem weißen Kleid steht im Wald mit langem lockigem bräunlich-rotem Haar und beginnt zu überspringen.")</f>
        <v>Eine blasse junge Frau in einem weißen Kleid steht im Wald mit langem lockigem bräunlich-rotem Haar und beginnt zu überspringen.</v>
      </c>
    </row>
    <row r="15186">
      <c r="A15186" s="4" t="s">
        <v>19132</v>
      </c>
      <c r="B15186" s="4" t="s">
        <v>19134</v>
      </c>
      <c r="C15186" s="5" t="str">
        <f>IFERROR(__xludf.DUMMYFUNCTION("GOOGLETRANSLATE(B15186,""en"",""de"")"),"Dann wird sie mit einem schwarzen Hemd und langen Haaren gezeigt und beginnt in einer dunklen Treppe zu reden.")</f>
        <v>Dann wird sie mit einem schwarzen Hemd und langen Haaren gezeigt und beginnt in einer dunklen Treppe zu reden.</v>
      </c>
    </row>
    <row r="15187">
      <c r="A15187" s="4" t="s">
        <v>19132</v>
      </c>
      <c r="B15187" s="4" t="s">
        <v>19135</v>
      </c>
      <c r="C15187" s="5" t="str">
        <f>IFERROR(__xludf.DUMMYFUNCTION("GOOGLETRANSLATE(B15187,""en"",""de"")"),"Sie steht auf, dreht ihren Ponyschwanz und die Kamera schwenkt ihr Outfit und sie hat ein schwarzes Hemd und blaue Shorts und beginnt die Treppe hinauf zu gehen.")</f>
        <v>Sie steht auf, dreht ihren Ponyschwanz und die Kamera schwenkt ihr Outfit und sie hat ein schwarzes Hemd und blaue Shorts und beginnt die Treppe hinauf zu gehen.</v>
      </c>
    </row>
    <row r="15188">
      <c r="A15188" s="4" t="s">
        <v>19132</v>
      </c>
      <c r="B15188" s="4" t="s">
        <v>19136</v>
      </c>
      <c r="C15188" s="5" t="str">
        <f>IFERROR(__xludf.DUMMYFUNCTION("GOOGLETRANSLATE(B15188,""en"",""de"")"),"Als nächstes geht sie in ein Zimmer und beginnt mit einer Frau mit einem schwarzen Hemd und blonden Haaren zu sprechen.")</f>
        <v>Als nächstes geht sie in ein Zimmer und beginnt mit einer Frau mit einem schwarzen Hemd und blonden Haaren zu sprechen.</v>
      </c>
    </row>
    <row r="15189">
      <c r="A15189" s="4" t="s">
        <v>19132</v>
      </c>
      <c r="B15189" s="4" t="s">
        <v>19137</v>
      </c>
      <c r="C15189" s="5" t="str">
        <f>IFERROR(__xludf.DUMMYFUNCTION("GOOGLETRANSLATE(B15189,""en"",""de"")"),"Die Dame hält eine weiße Karteikarte mit Skizzen von zwei Köpfen.")</f>
        <v>Die Dame hält eine weiße Karteikarte mit Skizzen von zwei Köpfen.</v>
      </c>
    </row>
    <row r="15190">
      <c r="A15190" s="4" t="s">
        <v>19132</v>
      </c>
      <c r="B15190" s="4" t="s">
        <v>19138</v>
      </c>
      <c r="C15190" s="5" t="str">
        <f>IFERROR(__xludf.DUMMYFUNCTION("GOOGLETRANSLATE(B15190,""en"",""de"")"),"Die Dame wäscht sich die Haare und schneidet sie mit einer Schere auf eine sehr kurze Länge.")</f>
        <v>Die Dame wäscht sich die Haare und schneidet sie mit einer Schere auf eine sehr kurze Länge.</v>
      </c>
    </row>
    <row r="15191">
      <c r="A15191" s="4" t="s">
        <v>19132</v>
      </c>
      <c r="B15191" s="4" t="s">
        <v>19139</v>
      </c>
      <c r="C15191" s="5" t="str">
        <f>IFERROR(__xludf.DUMMYFUNCTION("GOOGLETRANSLATE(B15191,""en"",""de"")"),"Das Mädchen sitzt auf dem Stuhl und schüttelt ihr Ohrlänge und hält das abgeschnittene Haar in ihren Händen hoch.")</f>
        <v>Das Mädchen sitzt auf dem Stuhl und schüttelt ihr Ohrlänge und hält das abgeschnittene Haar in ihren Händen hoch.</v>
      </c>
    </row>
    <row r="15192">
      <c r="A15192" s="4" t="s">
        <v>19132</v>
      </c>
      <c r="B15192" s="4" t="s">
        <v>19140</v>
      </c>
      <c r="C15192" s="5" t="str">
        <f>IFERROR(__xludf.DUMMYFUNCTION("GOOGLETRANSLATE(B15192,""en"",""de"")"),"Der Friseur beginnt, ihr Haar zu trocknen, es zu schneiden und zu stylen.")</f>
        <v>Der Friseur beginnt, ihr Haar zu trocknen, es zu schneiden und zu stylen.</v>
      </c>
    </row>
    <row r="15193">
      <c r="A15193" s="4" t="s">
        <v>19132</v>
      </c>
      <c r="B15193" s="4" t="s">
        <v>19141</v>
      </c>
      <c r="C15193" s="5" t="str">
        <f>IFERROR(__xludf.DUMMYFUNCTION("GOOGLETRANSLATE(B15193,""en"",""de"")"),"Sie bekommt weiterhin die Haare runter, während ihr Haar auf die Theke und den Boden gepenkt wird.")</f>
        <v>Sie bekommt weiterhin die Haare runter, während ihr Haar auf die Theke und den Boden gepenkt wird.</v>
      </c>
    </row>
    <row r="15194">
      <c r="A15194" s="4" t="s">
        <v>19132</v>
      </c>
      <c r="B15194" s="4" t="s">
        <v>19142</v>
      </c>
      <c r="C15194" s="5" t="str">
        <f>IFERROR(__xludf.DUMMYFUNCTION("GOOGLETRANSLATE(B15194,""en"",""de"")"),"Dann sitzt sie auf einer Bank und lächelt bei dem Gedanken an ihre kurzen Haare geschnitten.")</f>
        <v>Dann sitzt sie auf einer Bank und lächelt bei dem Gedanken an ihre kurzen Haare geschnitten.</v>
      </c>
    </row>
    <row r="15195">
      <c r="A15195" s="4" t="s">
        <v>19143</v>
      </c>
      <c r="B15195" s="4" t="s">
        <v>19144</v>
      </c>
      <c r="C15195" s="5" t="str">
        <f>IFERROR(__xludf.DUMMYFUNCTION("GOOGLETRANSLATE(B15195,""en"",""de"")"),"Eine Person geht vor einem großen Schrank in den Rahmen.")</f>
        <v>Eine Person geht vor einem großen Schrank in den Rahmen.</v>
      </c>
    </row>
    <row r="15196">
      <c r="A15196" s="4" t="s">
        <v>19143</v>
      </c>
      <c r="B15196" s="4" t="s">
        <v>19145</v>
      </c>
      <c r="C15196" s="5" t="str">
        <f>IFERROR(__xludf.DUMMYFUNCTION("GOOGLETRANSLATE(B15196,""en"",""de"")"),"Die Frau lässt dann ihre Haare entlang ihrem Rücken.")</f>
        <v>Die Frau lässt dann ihre Haare entlang ihrem Rücken.</v>
      </c>
    </row>
    <row r="15197">
      <c r="A15197" s="4" t="s">
        <v>19143</v>
      </c>
      <c r="B15197" s="4" t="s">
        <v>19146</v>
      </c>
      <c r="C15197" s="5" t="str">
        <f>IFERROR(__xludf.DUMMYFUNCTION("GOOGLETRANSLATE(B15197,""en"",""de"")"),"Sie streift ihr Haar kontinuierlich und endet, indem sie aus dem Rahmen geht.")</f>
        <v>Sie streift ihr Haar kontinuierlich und endet, indem sie aus dem Rahmen geht.</v>
      </c>
    </row>
    <row r="15198">
      <c r="A15198" s="4" t="s">
        <v>19147</v>
      </c>
      <c r="B15198" s="4" t="s">
        <v>19148</v>
      </c>
      <c r="C15198" s="5" t="str">
        <f>IFERROR(__xludf.DUMMYFUNCTION("GOOGLETRANSLATE(B15198,""en"",""de"")"),"Eine kleine Gruppe von Menschen steht vor einem Fooseball -Tisch, der sich auf Stangen greift.")</f>
        <v>Eine kleine Gruppe von Menschen steht vor einem Fooseball -Tisch, der sich auf Stangen greift.</v>
      </c>
    </row>
    <row r="15199">
      <c r="A15199" s="4" t="s">
        <v>19147</v>
      </c>
      <c r="B15199" s="4" t="s">
        <v>19149</v>
      </c>
      <c r="C15199" s="5" t="str">
        <f>IFERROR(__xludf.DUMMYFUNCTION("GOOGLETRANSLATE(B15199,""en"",""de"")"),"Die Männer spielen gegeneinander, während sie Pausen einlegen, um etwas zu trinken und mit Teamkollegen zu sprechen.")</f>
        <v>Die Männer spielen gegeneinander, während sie Pausen einlegen, um etwas zu trinken und mit Teamkollegen zu sprechen.</v>
      </c>
    </row>
    <row r="15200">
      <c r="A15200" s="4" t="s">
        <v>19147</v>
      </c>
      <c r="B15200" s="4" t="s">
        <v>19150</v>
      </c>
      <c r="C15200" s="5" t="str">
        <f>IFERROR(__xludf.DUMMYFUNCTION("GOOGLETRANSLATE(B15200,""en"",""de"")"),"Die Menschen schütteln sich miteinander und umarmen Freunde und Familie.")</f>
        <v>Die Menschen schütteln sich miteinander und umarmen Freunde und Familie.</v>
      </c>
    </row>
    <row r="15201">
      <c r="A15201" s="4" t="s">
        <v>19151</v>
      </c>
      <c r="B15201" s="4" t="s">
        <v>19152</v>
      </c>
      <c r="C15201" s="5" t="str">
        <f>IFERROR(__xludf.DUMMYFUNCTION("GOOGLETRANSLATE(B15201,""en"",""de"")"),"Eine Frau steht und spricht in einem Garten neben einem Kräuter- und Pflanzenbett und einer Schubkarre, die mit Mulch gefüllt ist.")</f>
        <v>Eine Frau steht und spricht in einem Garten neben einem Kräuter- und Pflanzenbett und einer Schubkarre, die mit Mulch gefüllt ist.</v>
      </c>
    </row>
    <row r="15202">
      <c r="A15202" s="4" t="s">
        <v>19151</v>
      </c>
      <c r="B15202" s="4" t="s">
        <v>19153</v>
      </c>
      <c r="C15202" s="5" t="str">
        <f>IFERROR(__xludf.DUMMYFUNCTION("GOOGLETRANSLATE(B15202,""en"",""de"")"),"Ein Kräutergarten erscheint mit einer Frau, die daneben in einem großen Garten neben einer mit Mulch gefüllten Schubkarre steht.")</f>
        <v>Ein Kräutergarten erscheint mit einer Frau, die daneben in einem großen Garten neben einer mit Mulch gefüllten Schubkarre steht.</v>
      </c>
    </row>
    <row r="15203">
      <c r="A15203" s="4" t="s">
        <v>19151</v>
      </c>
      <c r="B15203" s="4" t="s">
        <v>19154</v>
      </c>
      <c r="C15203" s="5" t="str">
        <f>IFERROR(__xludf.DUMMYFUNCTION("GOOGLETRANSLATE(B15203,""en"",""de"")"),"Die Frau beginnt mit der Kamera zu sprechen, während er auf das Blumenbeett und den Mulch gestikuliert wird, bevor er schließlich eine Handvoll Mulch aufnimmt.")</f>
        <v>Die Frau beginnt mit der Kamera zu sprechen, während er auf das Blumenbeett und den Mulch gestikuliert wird, bevor er schließlich eine Handvoll Mulch aufnimmt.</v>
      </c>
    </row>
    <row r="15204">
      <c r="A15204" s="4" t="s">
        <v>19151</v>
      </c>
      <c r="B15204" s="4" t="s">
        <v>19155</v>
      </c>
      <c r="C15204" s="5" t="str">
        <f>IFERROR(__xludf.DUMMYFUNCTION("GOOGLETRANSLATE(B15204,""en"",""de"")"),"Die Frau spricht weiter, bevor sich die Szene in ein Video einer kleinen roten Kartoffeln auf dem Boden verwandelt, die von der Wurzel hochgezogen werden.")</f>
        <v>Die Frau spricht weiter, bevor sich die Szene in ein Video einer kleinen roten Kartoffeln auf dem Boden verwandelt, die von der Wurzel hochgezogen werden.</v>
      </c>
    </row>
    <row r="15205">
      <c r="A15205" s="4" t="s">
        <v>19156</v>
      </c>
      <c r="B15205" s="4" t="s">
        <v>19157</v>
      </c>
      <c r="C15205" s="5" t="str">
        <f>IFERROR(__xludf.DUMMYFUNCTION("GOOGLETRANSLATE(B15205,""en"",""de"")"),"Die Leute stehen auf einem Dach und sehen nach oben.")</f>
        <v>Die Leute stehen auf einem Dach und sehen nach oben.</v>
      </c>
    </row>
    <row r="15206">
      <c r="A15206" s="4" t="s">
        <v>19156</v>
      </c>
      <c r="B15206" s="4" t="s">
        <v>19158</v>
      </c>
      <c r="C15206" s="5" t="str">
        <f>IFERROR(__xludf.DUMMYFUNCTION("GOOGLETRANSLATE(B15206,""en"",""de"")"),"Eine Frau in einem grünen Hemd isst Chips.")</f>
        <v>Eine Frau in einem grünen Hemd isst Chips.</v>
      </c>
    </row>
    <row r="15207">
      <c r="A15207" s="4" t="s">
        <v>19156</v>
      </c>
      <c r="B15207" s="4" t="s">
        <v>19159</v>
      </c>
      <c r="C15207" s="5" t="str">
        <f>IFERROR(__xludf.DUMMYFUNCTION("GOOGLETRANSLATE(B15207,""en"",""de"")"),"Ein Mann in einem blauen Hemd zeigt zum Himmel und bewegt seine Hand in Kreisen.")</f>
        <v>Ein Mann in einem blauen Hemd zeigt zum Himmel und bewegt seine Hand in Kreisen.</v>
      </c>
    </row>
    <row r="15208">
      <c r="A15208" s="4" t="s">
        <v>19156</v>
      </c>
      <c r="B15208" s="4" t="s">
        <v>19160</v>
      </c>
      <c r="C15208" s="5" t="str">
        <f>IFERROR(__xludf.DUMMYFUNCTION("GOOGLETRANSLATE(B15208,""en"",""de"")"),"Es gibt viele Drachen am Himmel um sie herum.")</f>
        <v>Es gibt viele Drachen am Himmel um sie herum.</v>
      </c>
    </row>
    <row r="15209">
      <c r="A15209" s="4" t="s">
        <v>19161</v>
      </c>
      <c r="B15209" s="4" t="s">
        <v>19162</v>
      </c>
      <c r="C15209" s="5" t="str">
        <f>IFERROR(__xludf.DUMMYFUNCTION("GOOGLETRANSLATE(B15209,""en"",""de"")"),"Wir sehen einen Mann, der einen elektrischen Schleifer benutzt, um eine Vielzahl von Dingen zu schärfen.")</f>
        <v>Wir sehen einen Mann, der einen elektrischen Schleifer benutzt, um eine Vielzahl von Dingen zu schärfen.</v>
      </c>
    </row>
    <row r="15210">
      <c r="A15210" s="4" t="s">
        <v>19161</v>
      </c>
      <c r="B15210" s="4" t="s">
        <v>19163</v>
      </c>
      <c r="C15210" s="5" t="str">
        <f>IFERROR(__xludf.DUMMYFUNCTION("GOOGLETRANSLATE(B15210,""en"",""de"")"),"Er verwendet einen Bremssattel und einen Herrscher auf einem Gegenstand.")</f>
        <v>Er verwendet einen Bremssattel und einen Herrscher auf einem Gegenstand.</v>
      </c>
    </row>
    <row r="15211">
      <c r="A15211" s="4" t="s">
        <v>19161</v>
      </c>
      <c r="B15211" s="4" t="s">
        <v>19164</v>
      </c>
      <c r="C15211" s="5" t="str">
        <f>IFERROR(__xludf.DUMMYFUNCTION("GOOGLETRANSLATE(B15211,""en"",""de"")"),"Wir sehen, wie er mehr Dinge schärft und ein Werkzeug abhebt.")</f>
        <v>Wir sehen, wie er mehr Dinge schärft und ein Werkzeug abhebt.</v>
      </c>
    </row>
    <row r="15212">
      <c r="A15212" s="4" t="s">
        <v>19161</v>
      </c>
      <c r="B15212" s="4" t="s">
        <v>19165</v>
      </c>
      <c r="C15212" s="5" t="str">
        <f>IFERROR(__xludf.DUMMYFUNCTION("GOOGLETRANSLATE(B15212,""en"",""de"")"),"Der Mann passt einige Schrauben ein und bewegt einen Arm.")</f>
        <v>Der Mann passt einige Schrauben ein und bewegt einen Arm.</v>
      </c>
    </row>
    <row r="15213">
      <c r="A15213" s="4" t="s">
        <v>19161</v>
      </c>
      <c r="B15213" s="4" t="s">
        <v>19166</v>
      </c>
      <c r="C15213" s="5" t="str">
        <f>IFERROR(__xludf.DUMMYFUNCTION("GOOGLETRANSLATE(B15213,""en"",""de"")"),"Wir sehen, dass der Artikel eine 7 -jährige Garantie geliefert hat.")</f>
        <v>Wir sehen, dass der Artikel eine 7 -jährige Garantie geliefert hat.</v>
      </c>
    </row>
    <row r="15214">
      <c r="A15214" s="4" t="s">
        <v>19161</v>
      </c>
      <c r="B15214" s="4" t="s">
        <v>19167</v>
      </c>
      <c r="C15214" s="5" t="str">
        <f>IFERROR(__xludf.DUMMYFUNCTION("GOOGLETRANSLATE(B15214,""en"",""de"")"),"Der Mann fügt dem Artikel ein Öl hinzu und wir sehen die Verpackung.")</f>
        <v>Der Mann fügt dem Artikel ein Öl hinzu und wir sehen die Verpackung.</v>
      </c>
    </row>
    <row r="15215">
      <c r="A15215" s="4" t="s">
        <v>19161</v>
      </c>
      <c r="B15215" s="4" t="s">
        <v>19168</v>
      </c>
      <c r="C15215" s="5" t="str">
        <f>IFERROR(__xludf.DUMMYFUNCTION("GOOGLETRANSLATE(B15215,""en"",""de"")"),"Wir sehen die End -Credits für das Video.")</f>
        <v>Wir sehen die End -Credits für das Video.</v>
      </c>
    </row>
    <row r="15216">
      <c r="A15216" s="4" t="s">
        <v>19169</v>
      </c>
      <c r="B15216" s="4" t="s">
        <v>19170</v>
      </c>
      <c r="C15216" s="5" t="str">
        <f>IFERROR(__xludf.DUMMYFUNCTION("GOOGLETRANSLATE(B15216,""en"",""de"")"),"Eine kleine Gruppe von Frauen tanzt zusammen, um Choreografie zu tanzen und eine der Gruppe vorne zu führen.")</f>
        <v>Eine kleine Gruppe von Frauen tanzt zusammen, um Choreografie zu tanzen und eine der Gruppe vorne zu führen.</v>
      </c>
    </row>
    <row r="15217">
      <c r="A15217" s="4" t="s">
        <v>19169</v>
      </c>
      <c r="B15217" s="4" t="s">
        <v>19171</v>
      </c>
      <c r="C15217" s="5" t="str">
        <f>IFERROR(__xludf.DUMMYFUNCTION("GOOGLETRANSLATE(B15217,""en"",""de"")"),"Die Frau tanzt weiter miteinander und endet mit einem Zumba -Logo im Hintergrund.")</f>
        <v>Die Frau tanzt weiter miteinander und endet mit einem Zumba -Logo im Hintergrund.</v>
      </c>
    </row>
    <row r="15218">
      <c r="A15218" s="4" t="s">
        <v>19172</v>
      </c>
      <c r="B15218" s="4" t="s">
        <v>19173</v>
      </c>
      <c r="C15218" s="5" t="str">
        <f>IFERROR(__xludf.DUMMYFUNCTION("GOOGLETRANSLATE(B15218,""en"",""de"")"),"Eine Frau steht vor einem Spiegel und beginnt, Seil zu springen, während er gegen die Kamera lächelt.")</f>
        <v>Eine Frau steht vor einem Spiegel und beginnt, Seil zu springen, während er gegen die Kamera lächelt.</v>
      </c>
    </row>
    <row r="15219">
      <c r="A15219" s="4" t="s">
        <v>19172</v>
      </c>
      <c r="B15219" s="4" t="s">
        <v>19174</v>
      </c>
      <c r="C15219" s="5" t="str">
        <f>IFERROR(__xludf.DUMMYFUNCTION("GOOGLETRANSLATE(B15219,""en"",""de"")"),"Sie springt immer wieder und schwingt ihre Arme und endet, indem sie anhält, um in die Kamera zu lächeln.")</f>
        <v>Sie springt immer wieder und schwingt ihre Arme und endet, indem sie anhält, um in die Kamera zu lächeln.</v>
      </c>
    </row>
    <row r="15220">
      <c r="A15220" s="4" t="s">
        <v>19175</v>
      </c>
      <c r="B15220" s="4" t="s">
        <v>19176</v>
      </c>
      <c r="C15220" s="5" t="str">
        <f>IFERROR(__xludf.DUMMYFUNCTION("GOOGLETRANSLATE(B15220,""en"",""de"")"),"Frau steht in einer Küche vor einer Kamera, die eine Tür hält.")</f>
        <v>Frau steht in einer Küche vor einer Kamera, die eine Tür hält.</v>
      </c>
    </row>
    <row r="15221">
      <c r="A15221" s="4" t="s">
        <v>19175</v>
      </c>
      <c r="B15221" s="4" t="s">
        <v>19177</v>
      </c>
      <c r="C15221" s="5" t="str">
        <f>IFERROR(__xludf.DUMMYFUNCTION("GOOGLETRANSLATE(B15221,""en"",""de"")"),"Frau schneidet die Tür und vertreibt Schokoladencreme auf den Oberteil und legte eine weitere Schicht Kuchen.")</f>
        <v>Frau schneidet die Tür und vertreibt Schokoladencreme auf den Oberteil und legte eine weitere Schicht Kuchen.</v>
      </c>
    </row>
    <row r="15222">
      <c r="A15222" s="4" t="s">
        <v>19175</v>
      </c>
      <c r="B15222" s="4" t="s">
        <v>19178</v>
      </c>
      <c r="C15222" s="5" t="str">
        <f>IFERROR(__xludf.DUMMYFUNCTION("GOOGLETRANSLATE(B15222,""en"",""de"")"),"Die Frau breitete die Schokoladencreme wieder oben aus und legte eine weitere Schicht Kuchen und verteilte die Creme oben und an den Seiten.")</f>
        <v>Die Frau breitete die Schokoladencreme wieder oben aus und legte eine weitere Schicht Kuchen und verteilte die Creme oben und an den Seiten.</v>
      </c>
    </row>
    <row r="15223">
      <c r="A15223" s="4" t="s">
        <v>19175</v>
      </c>
      <c r="B15223" s="4" t="s">
        <v>19179</v>
      </c>
      <c r="C15223" s="5" t="str">
        <f>IFERROR(__xludf.DUMMYFUNCTION("GOOGLETRANSLATE(B15223,""en"",""de"")"),"Frau flach die Creme ab und lackierte sie.")</f>
        <v>Frau flach die Creme ab und lackierte sie.</v>
      </c>
    </row>
    <row r="15224">
      <c r="A15224" s="4" t="s">
        <v>19175</v>
      </c>
      <c r="B15224" s="4" t="s">
        <v>19180</v>
      </c>
      <c r="C15224" s="5" t="str">
        <f>IFERROR(__xludf.DUMMYFUNCTION("GOOGLETRANSLATE(B15224,""en"",""de"")"),"Die Frau packt einen weißen Fondant, knete ihn und bedeckte den Kuchen mit ihren Händen damit und schneidet den verbleibenden, fügt Ornamenens darüber hinzu.")</f>
        <v>Die Frau packt einen weißen Fondant, knete ihn und bedeckte den Kuchen mit ihren Händen damit und schneidet den verbleibenden, fügt Ornamenens darüber hinzu.</v>
      </c>
    </row>
    <row r="15225">
      <c r="A15225" s="4" t="s">
        <v>19181</v>
      </c>
      <c r="B15225" s="4" t="s">
        <v>19182</v>
      </c>
      <c r="C15225" s="5" t="str">
        <f>IFERROR(__xludf.DUMMYFUNCTION("GOOGLETRANSLATE(B15225,""en"",""de"")"),"Ein Mann fährt Fahrrad.")</f>
        <v>Ein Mann fährt Fahrrad.</v>
      </c>
    </row>
    <row r="15226">
      <c r="A15226" s="4" t="s">
        <v>19181</v>
      </c>
      <c r="B15226" s="4" t="s">
        <v>19183</v>
      </c>
      <c r="C15226" s="5" t="str">
        <f>IFERROR(__xludf.DUMMYFUNCTION("GOOGLETRANSLATE(B15226,""en"",""de"")"),"Er spricht auf einem Handy in einer Küche.")</f>
        <v>Er spricht auf einem Handy in einer Küche.</v>
      </c>
    </row>
    <row r="15227">
      <c r="A15227" s="4" t="s">
        <v>19181</v>
      </c>
      <c r="B15227" s="4" t="s">
        <v>19184</v>
      </c>
      <c r="C15227" s="5" t="str">
        <f>IFERROR(__xludf.DUMMYFUNCTION("GOOGLETRANSLATE(B15227,""en"",""de"")"),"Er spricht dann auf einem Telefon in der Nähe einer Garage.")</f>
        <v>Er spricht dann auf einem Telefon in der Nähe einer Garage.</v>
      </c>
    </row>
    <row r="15228">
      <c r="A15228" s="4" t="s">
        <v>19181</v>
      </c>
      <c r="B15228" s="4" t="s">
        <v>19185</v>
      </c>
      <c r="C15228" s="5" t="str">
        <f>IFERROR(__xludf.DUMMYFUNCTION("GOOGLETRANSLATE(B15228,""en"",""de"")"),"Er beginnt einen Holzzaun zu malen.")</f>
        <v>Er beginnt einen Holzzaun zu malen.</v>
      </c>
    </row>
    <row r="15229">
      <c r="A15229" s="4" t="s">
        <v>19181</v>
      </c>
      <c r="B15229" s="4" t="s">
        <v>19186</v>
      </c>
      <c r="C15229" s="5" t="str">
        <f>IFERROR(__xludf.DUMMYFUNCTION("GOOGLETRANSLATE(B15229,""en"",""de"")"),"Er setzt sich und isst Essen.")</f>
        <v>Er setzt sich und isst Essen.</v>
      </c>
    </row>
    <row r="15230">
      <c r="A15230" s="4" t="s">
        <v>19181</v>
      </c>
      <c r="B15230" s="4" t="s">
        <v>19187</v>
      </c>
      <c r="C15230" s="5" t="str">
        <f>IFERROR(__xludf.DUMMYFUNCTION("GOOGLETRANSLATE(B15230,""en"",""de"")"),"Dann beendete er den Zaun.")</f>
        <v>Dann beendete er den Zaun.</v>
      </c>
    </row>
    <row r="15231">
      <c r="A15231" s="4" t="s">
        <v>19181</v>
      </c>
      <c r="B15231" s="4" t="s">
        <v>19188</v>
      </c>
      <c r="C15231" s="5" t="str">
        <f>IFERROR(__xludf.DUMMYFUNCTION("GOOGLETRANSLATE(B15231,""en"",""de"")"),"Er springt in die Luft, um zu feiern.")</f>
        <v>Er springt in die Luft, um zu feiern.</v>
      </c>
    </row>
    <row r="15232">
      <c r="A15232" s="4" t="s">
        <v>19189</v>
      </c>
      <c r="B15232" s="4" t="s">
        <v>19190</v>
      </c>
      <c r="C15232" s="5" t="str">
        <f>IFERROR(__xludf.DUMMYFUNCTION("GOOGLETRANSLATE(B15232,""en"",""de"")"),"Ein Baby sitzt draußen an einem winzigen Tisch.")</f>
        <v>Ein Baby sitzt draußen an einem winzigen Tisch.</v>
      </c>
    </row>
    <row r="15233">
      <c r="A15233" s="4" t="s">
        <v>19189</v>
      </c>
      <c r="B15233" s="4" t="s">
        <v>19191</v>
      </c>
      <c r="C15233" s="5" t="str">
        <f>IFERROR(__xludf.DUMMYFUNCTION("GOOGLETRANSLATE(B15233,""en"",""de"")"),"Er raucht eine Zigarette und winkt auf Erwachsene.")</f>
        <v>Er raucht eine Zigarette und winkt auf Erwachsene.</v>
      </c>
    </row>
    <row r="15234">
      <c r="A15234" s="4" t="s">
        <v>19189</v>
      </c>
      <c r="B15234" s="4" t="s">
        <v>19192</v>
      </c>
      <c r="C15234" s="5" t="str">
        <f>IFERROR(__xludf.DUMMYFUNCTION("GOOGLETRANSLATE(B15234,""en"",""de"")"),"Er hoch fiv eine Frau und raucht dann weiter.")</f>
        <v>Er hoch fiv eine Frau und raucht dann weiter.</v>
      </c>
    </row>
    <row r="15235">
      <c r="A15235" s="4" t="s">
        <v>19193</v>
      </c>
      <c r="B15235" s="4" t="s">
        <v>19194</v>
      </c>
      <c r="C15235" s="5" t="str">
        <f>IFERROR(__xludf.DUMMYFUNCTION("GOOGLETRANSLATE(B15235,""en"",""de"")"),"Eine Frau hält Zutaten in ihren Händen, während sie mit der Kamera und dem kochenden Wasser spricht.")</f>
        <v>Eine Frau hält Zutaten in ihren Händen, während sie mit der Kamera und dem kochenden Wasser spricht.</v>
      </c>
    </row>
    <row r="15236">
      <c r="A15236" s="4" t="s">
        <v>19193</v>
      </c>
      <c r="B15236" s="4" t="s">
        <v>19195</v>
      </c>
      <c r="C15236" s="5" t="str">
        <f>IFERROR(__xludf.DUMMYFUNCTION("GOOGLETRANSLATE(B15236,""en"",""de"")"),"Sie freut sich auf eine Pfanne und gießt sie auf einen Teller, während sie mehr Zutaten in eine Pfanne mischt und über die Nüsse gießt.")</f>
        <v>Sie freut sich auf eine Pfanne und gießt sie auf einen Teller, während sie mehr Zutaten in eine Pfanne mischt und über die Nüsse gießt.</v>
      </c>
    </row>
    <row r="15237">
      <c r="A15237" s="4" t="s">
        <v>19193</v>
      </c>
      <c r="B15237" s="4" t="s">
        <v>19196</v>
      </c>
      <c r="C15237" s="5" t="str">
        <f>IFERROR(__xludf.DUMMYFUNCTION("GOOGLETRANSLATE(B15237,""en"",""de"")"),"Sie mischt sie alle zusammen und zeigt am Ende mehrere Teller.")</f>
        <v>Sie mischt sie alle zusammen und zeigt am Ende mehrere Teller.</v>
      </c>
    </row>
    <row r="15238">
      <c r="A15238" s="4" t="s">
        <v>19197</v>
      </c>
      <c r="B15238" s="4" t="s">
        <v>19198</v>
      </c>
      <c r="C15238" s="5" t="str">
        <f>IFERROR(__xludf.DUMMYFUNCTION("GOOGLETRANSLATE(B15238,""en"",""de"")"),"Eine Nahaufnahme einer Gitarre ist zu sehen, gefolgt von einer Person, die über den Rücken schlägt.")</f>
        <v>Eine Nahaufnahme einer Gitarre ist zu sehen, gefolgt von einer Person, die über den Rücken schlägt.</v>
      </c>
    </row>
    <row r="15239">
      <c r="A15239" s="4" t="s">
        <v>19197</v>
      </c>
      <c r="B15239" s="4" t="s">
        <v>19199</v>
      </c>
      <c r="C15239" s="5" t="str">
        <f>IFERROR(__xludf.DUMMYFUNCTION("GOOGLETRANSLATE(B15239,""en"",""de"")"),"Die Person bewegt ihre Hände den Hals der Gitarre hinauf und hinunter, während sie sie zum Spielen bewegt.")</f>
        <v>Die Person bewegt ihre Hände den Hals der Gitarre hinauf und hinunter, während sie sie zum Spielen bewegt.</v>
      </c>
    </row>
    <row r="15240">
      <c r="A15240" s="4" t="s">
        <v>19197</v>
      </c>
      <c r="B15240" s="4" t="s">
        <v>19200</v>
      </c>
      <c r="C15240" s="5" t="str">
        <f>IFERROR(__xludf.DUMMYFUNCTION("GOOGLETRANSLATE(B15240,""en"",""de"")"),"Der Mann spielt weiterhin das Instrument und hält am Ende an.")</f>
        <v>Der Mann spielt weiterhin das Instrument und hält am Ende an.</v>
      </c>
    </row>
    <row r="15241">
      <c r="A15241" s="4" t="s">
        <v>19201</v>
      </c>
      <c r="B15241" s="4" t="s">
        <v>19202</v>
      </c>
      <c r="C15241" s="5" t="str">
        <f>IFERROR(__xludf.DUMMYFUNCTION("GOOGLETRANSLATE(B15241,""en"",""de"")"),"Eine Frau ist gesehen, wie sie in den Rahmen geht, während er mit der Kamera spricht und ihr Gesicht in Creme steckt.")</f>
        <v>Eine Frau ist gesehen, wie sie in den Rahmen geht, während er mit der Kamera spricht und ihr Gesicht in Creme steckt.</v>
      </c>
    </row>
    <row r="15242">
      <c r="A15242" s="4" t="s">
        <v>19201</v>
      </c>
      <c r="B15242" s="4" t="s">
        <v>19203</v>
      </c>
      <c r="C15242" s="5" t="str">
        <f>IFERROR(__xludf.DUMMYFUNCTION("GOOGLETRANSLATE(B15242,""en"",""de"")"),"Die Frau reibt dann die Creme im Gesicht, während sie immer noch mit der Kamera spricht.")</f>
        <v>Die Frau reibt dann die Creme im Gesicht, während sie immer noch mit der Kamera spricht.</v>
      </c>
    </row>
    <row r="15243">
      <c r="A15243" s="4" t="s">
        <v>19201</v>
      </c>
      <c r="B15243" s="4" t="s">
        <v>19204</v>
      </c>
      <c r="C15243" s="5" t="str">
        <f>IFERROR(__xludf.DUMMYFUNCTION("GOOGLETRANSLATE(B15243,""en"",""de"")"),"Die Kamera schwenkt in der Küche, während die Frau in der Lotion weiter die Hände astet.")</f>
        <v>Die Kamera schwenkt in der Küche, während die Frau in der Lotion weiter die Hände astet.</v>
      </c>
    </row>
    <row r="15244">
      <c r="A15244" s="4" t="s">
        <v>19205</v>
      </c>
      <c r="B15244" s="4" t="s">
        <v>19206</v>
      </c>
      <c r="C15244" s="5" t="str">
        <f>IFERROR(__xludf.DUMMYFUNCTION("GOOGLETRANSLATE(B15244,""en"",""de"")"),"Wir sehen eine Person, die sich hinter einem Boot Jet-Ski-Ski-Ski-Ski anstrebt.")</f>
        <v>Wir sehen eine Person, die sich hinter einem Boot Jet-Ski-Ski-Ski-Ski anstrebt.</v>
      </c>
    </row>
    <row r="15245">
      <c r="A15245" s="4" t="s">
        <v>19205</v>
      </c>
      <c r="B15245" s="4" t="s">
        <v>19207</v>
      </c>
      <c r="C15245" s="5" t="str">
        <f>IFERROR(__xludf.DUMMYFUNCTION("GOOGLETRANSLATE(B15245,""en"",""de"")"),"Das Boot läuft auf Grund in eine Bürste.")</f>
        <v>Das Boot läuft auf Grund in eine Bürste.</v>
      </c>
    </row>
    <row r="15246">
      <c r="A15246" s="4" t="s">
        <v>19205</v>
      </c>
      <c r="B15246" s="4" t="s">
        <v>19208</v>
      </c>
      <c r="C15246" s="5" t="str">
        <f>IFERROR(__xludf.DUMMYFUNCTION("GOOGLETRANSLATE(B15246,""en"",""de"")"),"Der Skifahrer liegt im See.")</f>
        <v>Der Skifahrer liegt im See.</v>
      </c>
    </row>
    <row r="15247">
      <c r="A15247" s="4" t="s">
        <v>19209</v>
      </c>
      <c r="B15247" s="4" t="s">
        <v>19210</v>
      </c>
      <c r="C15247" s="5" t="str">
        <f>IFERROR(__xludf.DUMMYFUNCTION("GOOGLETRANSLATE(B15247,""en"",""de"")"),"Ein Mann spielt ein Akkordeon auf der Straße.")</f>
        <v>Ein Mann spielt ein Akkordeon auf der Straße.</v>
      </c>
    </row>
    <row r="15248">
      <c r="A15248" s="4" t="s">
        <v>19209</v>
      </c>
      <c r="B15248" s="4" t="s">
        <v>19211</v>
      </c>
      <c r="C15248" s="5" t="str">
        <f>IFERROR(__xludf.DUMMYFUNCTION("GOOGLETRANSLATE(B15248,""en"",""de"")"),"Er trägt einen Hoodie.")</f>
        <v>Er trägt einen Hoodie.</v>
      </c>
    </row>
    <row r="15249">
      <c r="A15249" s="4" t="s">
        <v>19209</v>
      </c>
      <c r="B15249" s="4" t="s">
        <v>19212</v>
      </c>
      <c r="C15249" s="5" t="str">
        <f>IFERROR(__xludf.DUMMYFUNCTION("GOOGLETRANSLATE(B15249,""en"",""de"")"),"Er sitzt neben seinem Fahrrad.")</f>
        <v>Er sitzt neben seinem Fahrrad.</v>
      </c>
    </row>
    <row r="15250">
      <c r="A15250" s="4" t="s">
        <v>19209</v>
      </c>
      <c r="B15250" s="4" t="s">
        <v>19213</v>
      </c>
      <c r="C15250" s="5" t="str">
        <f>IFERROR(__xludf.DUMMYFUNCTION("GOOGLETRANSLATE(B15250,""en"",""de"")"),"Ein Mann geht in den Hintergrund.")</f>
        <v>Ein Mann geht in den Hintergrund.</v>
      </c>
    </row>
    <row r="15251">
      <c r="A15251" s="4" t="s">
        <v>19214</v>
      </c>
      <c r="B15251" s="4" t="s">
        <v>19215</v>
      </c>
      <c r="C15251" s="5" t="str">
        <f>IFERROR(__xludf.DUMMYFUNCTION("GOOGLETRANSLATE(B15251,""en"",""de"")"),"Die Wörter ""The Shot Put"" erscheinen auf dem Bildschirm über einen Athleten.")</f>
        <v>Die Wörter "The Shot Put" erscheinen auf dem Bildschirm über einen Athleten.</v>
      </c>
    </row>
    <row r="15252">
      <c r="A15252" s="4" t="s">
        <v>19214</v>
      </c>
      <c r="B15252" s="4" t="s">
        <v>19216</v>
      </c>
      <c r="C15252" s="5" t="str">
        <f>IFERROR(__xludf.DUMMYFUNCTION("GOOGLETRANSLATE(B15252,""en"",""de"")"),"""The Shot Put Introduction"" erscheint auf dem Bildschirm, gefolgt von mehreren Athleten, die den Sport ausführen.")</f>
        <v>"The Shot Put Introduction" erscheint auf dem Bildschirm, gefolgt von mehreren Athleten, die den Sport ausführen.</v>
      </c>
    </row>
    <row r="15253">
      <c r="A15253" s="4" t="s">
        <v>19214</v>
      </c>
      <c r="B15253" s="4" t="s">
        <v>19217</v>
      </c>
      <c r="C15253" s="5" t="str">
        <f>IFERROR(__xludf.DUMMYFUNCTION("GOOGLETRANSLATE(B15253,""en"",""de"")"),"Die Wörter ""Danke, dass Sie für das Anschauen"" auf dem Bildschirm angezeigt werden.")</f>
        <v>Die Wörter "Danke, dass Sie für das Anschauen" auf dem Bildschirm angezeigt werden.</v>
      </c>
    </row>
    <row r="15254">
      <c r="A15254" s="4" t="s">
        <v>19218</v>
      </c>
      <c r="B15254" s="4" t="s">
        <v>19219</v>
      </c>
      <c r="C15254" s="5" t="str">
        <f>IFERROR(__xludf.DUMMYFUNCTION("GOOGLETRANSLATE(B15254,""en"",""de"")"),"Ein Mann hebt einen großen Krug Bier und beginnt ihn zu trinken.")</f>
        <v>Ein Mann hebt einen großen Krug Bier und beginnt ihn zu trinken.</v>
      </c>
    </row>
    <row r="15255">
      <c r="A15255" s="4" t="s">
        <v>19218</v>
      </c>
      <c r="B15255" s="4" t="s">
        <v>19220</v>
      </c>
      <c r="C15255" s="5" t="str">
        <f>IFERROR(__xludf.DUMMYFUNCTION("GOOGLETRANSLATE(B15255,""en"",""de"")"),"Leute, die an einem Tisch sitzen, jubeln ihn an.")</f>
        <v>Leute, die an einem Tisch sitzen, jubeln ihn an.</v>
      </c>
    </row>
    <row r="15256">
      <c r="A15256" s="4" t="s">
        <v>19218</v>
      </c>
      <c r="B15256" s="4" t="s">
        <v>19221</v>
      </c>
      <c r="C15256" s="5" t="str">
        <f>IFERROR(__xludf.DUMMYFUNCTION("GOOGLETRANSLATE(B15256,""en"",""de"")"),"Der Mann legt seine Hände in die Luft und lacht.")</f>
        <v>Der Mann legt seine Hände in die Luft und lacht.</v>
      </c>
    </row>
    <row r="15257">
      <c r="A15257" s="4" t="s">
        <v>19218</v>
      </c>
      <c r="B15257" s="4" t="s">
        <v>19222</v>
      </c>
      <c r="C15257" s="5" t="str">
        <f>IFERROR(__xludf.DUMMYFUNCTION("GOOGLETRANSLATE(B15257,""en"",""de"")"),"Die Menschen am Tisch beginnen ihre Hände in die Luft.")</f>
        <v>Die Menschen am Tisch beginnen ihre Hände in die Luft.</v>
      </c>
    </row>
    <row r="15258">
      <c r="A15258" s="4" t="s">
        <v>19218</v>
      </c>
      <c r="B15258" s="4" t="s">
        <v>19223</v>
      </c>
      <c r="C15258" s="5" t="str">
        <f>IFERROR(__xludf.DUMMYFUNCTION("GOOGLETRANSLATE(B15258,""en"",""de"")"),"Der Mann klatscht in die Hände.")</f>
        <v>Der Mann klatscht in die Hände.</v>
      </c>
    </row>
    <row r="15259">
      <c r="A15259" s="4" t="s">
        <v>19224</v>
      </c>
      <c r="B15259" s="4" t="s">
        <v>19225</v>
      </c>
      <c r="C15259" s="5" t="str">
        <f>IFERROR(__xludf.DUMMYFUNCTION("GOOGLETRANSLATE(B15259,""en"",""de"")"),"Ein Mann steht über einem Ofen, der etwas in einer Pfanne kocht.")</f>
        <v>Ein Mann steht über einem Ofen, der etwas in einer Pfanne kocht.</v>
      </c>
    </row>
    <row r="15260">
      <c r="A15260" s="4" t="s">
        <v>19224</v>
      </c>
      <c r="B15260" s="4" t="s">
        <v>19226</v>
      </c>
      <c r="C15260" s="5" t="str">
        <f>IFERROR(__xludf.DUMMYFUNCTION("GOOGLETRANSLATE(B15260,""en"",""de"")"),"Er beugt sich hin, um die Flamme zu überprüfen.")</f>
        <v>Er beugt sich hin, um die Flamme zu überprüfen.</v>
      </c>
    </row>
    <row r="15261">
      <c r="A15261" s="4" t="s">
        <v>19224</v>
      </c>
      <c r="B15261" s="4" t="s">
        <v>19227</v>
      </c>
      <c r="C15261" s="5" t="str">
        <f>IFERROR(__xludf.DUMMYFUNCTION("GOOGLETRANSLATE(B15261,""en"",""de"")"),"Er wirft ein paar Mal die Pfanne.")</f>
        <v>Er wirft ein paar Mal die Pfanne.</v>
      </c>
    </row>
    <row r="15262">
      <c r="A15262" s="4" t="s">
        <v>19224</v>
      </c>
      <c r="B15262" s="4" t="s">
        <v>19228</v>
      </c>
      <c r="C15262" s="5" t="str">
        <f>IFERROR(__xludf.DUMMYFUNCTION("GOOGLETRANSLATE(B15262,""en"",""de"")"),"Er fügt Gewürze in die Pfanne hinzu.")</f>
        <v>Er fügt Gewürze in die Pfanne hinzu.</v>
      </c>
    </row>
    <row r="15263">
      <c r="A15263" s="4" t="s">
        <v>19224</v>
      </c>
      <c r="B15263" s="4" t="s">
        <v>19229</v>
      </c>
      <c r="C15263" s="5" t="str">
        <f>IFERROR(__xludf.DUMMYFUNCTION("GOOGLETRANSLATE(B15263,""en"",""de"")"),"Er gießt eine Flüssigkeit in die Pfanne.")</f>
        <v>Er gießt eine Flüssigkeit in die Pfanne.</v>
      </c>
    </row>
    <row r="15264">
      <c r="A15264" s="4" t="s">
        <v>19224</v>
      </c>
      <c r="B15264" s="4" t="s">
        <v>19230</v>
      </c>
      <c r="C15264" s="5" t="str">
        <f>IFERROR(__xludf.DUMMYFUNCTION("GOOGLETRANSLATE(B15264,""en"",""de"")"),"Er schüttelt wieder die Pfanne.")</f>
        <v>Er schüttelt wieder die Pfanne.</v>
      </c>
    </row>
    <row r="15265">
      <c r="A15265" s="4" t="s">
        <v>19231</v>
      </c>
      <c r="B15265" s="4" t="s">
        <v>19232</v>
      </c>
      <c r="C15265" s="5" t="str">
        <f>IFERROR(__xludf.DUMMYFUNCTION("GOOGLETRANSLATE(B15265,""en"",""de"")"),"Eine Person hilft einer anderen Person, auf dem Bürgersteig auf Stelzen zu gehen.")</f>
        <v>Eine Person hilft einer anderen Person, auf dem Bürgersteig auf Stelzen zu gehen.</v>
      </c>
    </row>
    <row r="15266">
      <c r="A15266" s="4" t="s">
        <v>19231</v>
      </c>
      <c r="B15266" s="4" t="s">
        <v>19233</v>
      </c>
      <c r="C15266" s="5" t="str">
        <f>IFERROR(__xludf.DUMMYFUNCTION("GOOGLETRANSLATE(B15266,""en"",""de"")"),"Die Person geht alleine.")</f>
        <v>Die Person geht alleine.</v>
      </c>
    </row>
    <row r="15267">
      <c r="A15267" s="4" t="s">
        <v>19231</v>
      </c>
      <c r="B15267" s="4" t="s">
        <v>19234</v>
      </c>
      <c r="C15267" s="5" t="str">
        <f>IFERROR(__xludf.DUMMYFUNCTION("GOOGLETRANSLATE(B15267,""en"",""de"")"),"Der Mann setzt sich auf einen Stuhl.")</f>
        <v>Der Mann setzt sich auf einen Stuhl.</v>
      </c>
    </row>
    <row r="15268">
      <c r="A15268" s="4" t="s">
        <v>19235</v>
      </c>
      <c r="B15268" s="4" t="s">
        <v>19236</v>
      </c>
      <c r="C15268" s="5" t="str">
        <f>IFERROR(__xludf.DUMMYFUNCTION("GOOGLETRANSLATE(B15268,""en"",""de"")"),"Mehrere Bildschirme werden aus hellem orangefarbenem Schriftzug auf einem schwarzen Hintergrund angezeigt.")</f>
        <v>Mehrere Bildschirme werden aus hellem orangefarbenem Schriftzug auf einem schwarzen Hintergrund angezeigt.</v>
      </c>
    </row>
    <row r="15269">
      <c r="A15269" s="4" t="s">
        <v>19235</v>
      </c>
      <c r="B15269" s="4" t="s">
        <v>19237</v>
      </c>
      <c r="C15269" s="5" t="str">
        <f>IFERROR(__xludf.DUMMYFUNCTION("GOOGLETRANSLATE(B15269,""en"",""de"")"),"Ein Mann und eine Frau stehen aufrecht in einem Pool, und der Mann zeigt der Frau Schwimmtechniken.")</f>
        <v>Ein Mann und eine Frau stehen aufrecht in einem Pool, und der Mann zeigt der Frau Schwimmtechniken.</v>
      </c>
    </row>
    <row r="15270">
      <c r="A15270" s="4" t="s">
        <v>19235</v>
      </c>
      <c r="B15270" s="4" t="s">
        <v>19238</v>
      </c>
      <c r="C15270" s="5" t="str">
        <f>IFERROR(__xludf.DUMMYFUNCTION("GOOGLETRANSLATE(B15270,""en"",""de"")"),"Die Frau beginnt, die Handlungen des Mannes zu emulieren, ihre Arme zu bewegen und ihren Kopf unter das Wasser zu tauchen.")</f>
        <v>Die Frau beginnt, die Handlungen des Mannes zu emulieren, ihre Arme zu bewegen und ihren Kopf unter das Wasser zu tauchen.</v>
      </c>
    </row>
    <row r="15271">
      <c r="A15271" s="4" t="s">
        <v>19235</v>
      </c>
      <c r="B15271" s="4" t="s">
        <v>19239</v>
      </c>
      <c r="C15271" s="5" t="str">
        <f>IFERROR(__xludf.DUMMYFUNCTION("GOOGLETRANSLATE(B15271,""en"",""de"")"),"Der Mann zeigt ihr, wie man nach außen schwimmt, indem sie dies selbst tun.")</f>
        <v>Der Mann zeigt ihr, wie man nach außen schwimmt, indem sie dies selbst tun.</v>
      </c>
    </row>
    <row r="15272">
      <c r="A15272" s="4" t="s">
        <v>19235</v>
      </c>
      <c r="B15272" s="4" t="s">
        <v>19240</v>
      </c>
      <c r="C15272" s="5" t="str">
        <f>IFERROR(__xludf.DUMMYFUNCTION("GOOGLETRANSLATE(B15272,""en"",""de"")"),"Die Frau sieht zu, wie er wegschwimmt.")</f>
        <v>Die Frau sieht zu, wie er wegschwimmt.</v>
      </c>
    </row>
    <row r="15273">
      <c r="A15273" s="4" t="s">
        <v>19241</v>
      </c>
      <c r="B15273" s="4" t="s">
        <v>19242</v>
      </c>
      <c r="C15273" s="5" t="str">
        <f>IFERROR(__xludf.DUMMYFUNCTION("GOOGLETRANSLATE(B15273,""en"",""de"")"),"Ein Mädchen gießt Zutaten in eine Schüssel und mischt sie zusammen.")</f>
        <v>Ein Mädchen gießt Zutaten in eine Schüssel und mischt sie zusammen.</v>
      </c>
    </row>
    <row r="15274">
      <c r="A15274" s="4" t="s">
        <v>19241</v>
      </c>
      <c r="B15274" s="4" t="s">
        <v>19243</v>
      </c>
      <c r="C15274" s="5" t="str">
        <f>IFERROR(__xludf.DUMMYFUNCTION("GOOGLETRANSLATE(B15274,""en"",""de"")"),"Sie benutzt einen Keksschneider, um Formen aus dem Teig zu schneiden.")</f>
        <v>Sie benutzt einen Keksschneider, um Formen aus dem Teig zu schneiden.</v>
      </c>
    </row>
    <row r="15275">
      <c r="A15275" s="4" t="s">
        <v>19241</v>
      </c>
      <c r="B15275" s="4" t="s">
        <v>19244</v>
      </c>
      <c r="C15275" s="5" t="str">
        <f>IFERROR(__xludf.DUMMYFUNCTION("GOOGLETRANSLATE(B15275,""en"",""de"")"),"Sie taucht den Teig in eine weiße Glasur ein.")</f>
        <v>Sie taucht den Teig in eine weiße Glasur ein.</v>
      </c>
    </row>
    <row r="15276">
      <c r="A15276" s="4" t="s">
        <v>19245</v>
      </c>
      <c r="B15276" s="4" t="s">
        <v>19246</v>
      </c>
      <c r="C15276" s="5" t="str">
        <f>IFERROR(__xludf.DUMMYFUNCTION("GOOGLETRANSLATE(B15276,""en"",""de"")"),"Eine Person bläst Blätter in der Rückseite ihres Gartens.")</f>
        <v>Eine Person bläst Blätter in der Rückseite ihres Gartens.</v>
      </c>
    </row>
    <row r="15277">
      <c r="A15277" s="4" t="s">
        <v>19245</v>
      </c>
      <c r="B15277" s="4" t="s">
        <v>19247</v>
      </c>
      <c r="C15277" s="5" t="str">
        <f>IFERROR(__xludf.DUMMYFUNCTION("GOOGLETRANSLATE(B15277,""en"",""de"")"),"Das Kind hat einige Probleme, macht aber im Allgemeinen einen OK -Job.")</f>
        <v>Das Kind hat einige Probleme, macht aber im Allgemeinen einen OK -Job.</v>
      </c>
    </row>
    <row r="15278">
      <c r="A15278" s="4" t="s">
        <v>19248</v>
      </c>
      <c r="B15278" s="4" t="s">
        <v>19249</v>
      </c>
      <c r="C15278" s="5" t="str">
        <f>IFERROR(__xludf.DUMMYFUNCTION("GOOGLETRANSLATE(B15278,""en"",""de"")"),"Ein Nachrichtenanker präsentiert eine Geschichte hinter einem Schreibtisch in einem großen Nachrichtenredakt.")</f>
        <v>Ein Nachrichtenanker präsentiert eine Geschichte hinter einem Schreibtisch in einem großen Nachrichtenredakt.</v>
      </c>
    </row>
    <row r="15279">
      <c r="A15279" s="4" t="s">
        <v>19248</v>
      </c>
      <c r="B15279" s="4" t="s">
        <v>19250</v>
      </c>
      <c r="C15279" s="5" t="str">
        <f>IFERROR(__xludf.DUMMYFUNCTION("GOOGLETRANSLATE(B15279,""en"",""de"")"),"Menschen werden regelmäßig Zigaretten und elektrische Zigaretten rauchen.")</f>
        <v>Menschen werden regelmäßig Zigaretten und elektrische Zigaretten rauchen.</v>
      </c>
    </row>
    <row r="15280">
      <c r="A15280" s="4" t="s">
        <v>19248</v>
      </c>
      <c r="B15280" s="4" t="s">
        <v>19251</v>
      </c>
      <c r="C15280" s="5" t="str">
        <f>IFERROR(__xludf.DUMMYFUNCTION("GOOGLETRANSLATE(B15280,""en"",""de"")"),"Der Nachrichtensprecher spricht mit einem Gast in der Nachrichtenredaktion.")</f>
        <v>Der Nachrichtensprecher spricht mit einem Gast in der Nachrichtenredaktion.</v>
      </c>
    </row>
    <row r="15281">
      <c r="A15281" s="4" t="s">
        <v>19248</v>
      </c>
      <c r="B15281" s="4" t="s">
        <v>19252</v>
      </c>
      <c r="C15281" s="5" t="str">
        <f>IFERROR(__xludf.DUMMYFUNCTION("GOOGLETRANSLATE(B15281,""en"",""de"")"),"Profis werden in Büros über das Thema diskutieren.")</f>
        <v>Profis werden in Büros über das Thema diskutieren.</v>
      </c>
    </row>
    <row r="15282">
      <c r="A15282" s="4" t="s">
        <v>19248</v>
      </c>
      <c r="B15282" s="4" t="s">
        <v>19253</v>
      </c>
      <c r="C15282" s="5" t="str">
        <f>IFERROR(__xludf.DUMMYFUNCTION("GOOGLETRANSLATE(B15282,""en"",""de"")"),"Der Text wird vor einem roten Hintergrund mit einer Website und Informationen angezeigt.")</f>
        <v>Der Text wird vor einem roten Hintergrund mit einer Website und Informationen angezeigt.</v>
      </c>
    </row>
    <row r="15283">
      <c r="A15283" s="4" t="s">
        <v>19254</v>
      </c>
      <c r="B15283" s="4" t="s">
        <v>19255</v>
      </c>
      <c r="C15283" s="5" t="str">
        <f>IFERROR(__xludf.DUMMYFUNCTION("GOOGLETRANSLATE(B15283,""en"",""de"")"),"Ein Mann lächelt und spricht in die Kamera und hält einen Jungen auf einem Waschbecken.")</f>
        <v>Ein Mann lächelt und spricht in die Kamera und hält einen Jungen auf einem Waschbecken.</v>
      </c>
    </row>
    <row r="15284">
      <c r="A15284" s="4" t="s">
        <v>19254</v>
      </c>
      <c r="B15284" s="4" t="s">
        <v>19256</v>
      </c>
      <c r="C15284" s="5" t="str">
        <f>IFERROR(__xludf.DUMMYFUNCTION("GOOGLETRANSLATE(B15284,""en"",""de"")"),"Der Mann hält die Jungen die Augen offen, während er lacht und seine Zähne putzt.")</f>
        <v>Der Mann hält die Jungen die Augen offen, während er lacht und seine Zähne putzt.</v>
      </c>
    </row>
    <row r="15285">
      <c r="A15285" s="4" t="s">
        <v>19257</v>
      </c>
      <c r="B15285" s="4" t="s">
        <v>19258</v>
      </c>
      <c r="C15285" s="5" t="str">
        <f>IFERROR(__xludf.DUMMYFUNCTION("GOOGLETRANSLATE(B15285,""en"",""de"")"),"Eine Ballerina tanzt auf einer Bühne.")</f>
        <v>Eine Ballerina tanzt auf einer Bühne.</v>
      </c>
    </row>
    <row r="15286">
      <c r="A15286" s="4" t="s">
        <v>19257</v>
      </c>
      <c r="B15286" s="4" t="s">
        <v>19259</v>
      </c>
      <c r="C15286" s="5" t="str">
        <f>IFERROR(__xludf.DUMMYFUNCTION("GOOGLETRANSLATE(B15286,""en"",""de"")"),"Sie macht mehrere Spins auf der Bühne.")</f>
        <v>Sie macht mehrere Spins auf der Bühne.</v>
      </c>
    </row>
    <row r="15287">
      <c r="A15287" s="4" t="s">
        <v>19257</v>
      </c>
      <c r="B15287" s="4" t="s">
        <v>19260</v>
      </c>
      <c r="C15287" s="5" t="str">
        <f>IFERROR(__xludf.DUMMYFUNCTION("GOOGLETRANSLATE(B15287,""en"",""de"")"),"Sie macht einen Sprung auf die Bühne.")</f>
        <v>Sie macht einen Sprung auf die Bühne.</v>
      </c>
    </row>
    <row r="15288">
      <c r="A15288" s="4" t="s">
        <v>19257</v>
      </c>
      <c r="B15288" s="4" t="s">
        <v>19261</v>
      </c>
      <c r="C15288" s="5" t="str">
        <f>IFERROR(__xludf.DUMMYFUNCTION("GOOGLETRANSLATE(B15288,""en"",""de"")"),"Sie legt sich auf die Bühne.")</f>
        <v>Sie legt sich auf die Bühne.</v>
      </c>
    </row>
    <row r="15289">
      <c r="A15289" s="4" t="s">
        <v>19262</v>
      </c>
      <c r="B15289" s="4" t="s">
        <v>19263</v>
      </c>
      <c r="C15289" s="5" t="str">
        <f>IFERROR(__xludf.DUMMYFUNCTION("GOOGLETRANSLATE(B15289,""en"",""de"")"),"Ein Mann spricht mit der Kamera, die zu einer Person führt, die Häkeln spielt.")</f>
        <v>Ein Mann spricht mit der Kamera, die zu einer Person führt, die Häkeln spielt.</v>
      </c>
    </row>
    <row r="15290">
      <c r="A15290" s="4" t="s">
        <v>19262</v>
      </c>
      <c r="B15290" s="4" t="s">
        <v>19264</v>
      </c>
      <c r="C15290" s="5" t="str">
        <f>IFERROR(__xludf.DUMMYFUNCTION("GOOGLETRANSLATE(B15290,""en"",""de"")"),"Es werden mehrere Schüsse von Kindern gezeigt, die sowohl die Bälle treffen als auch mit der Kamera sprechen.")</f>
        <v>Es werden mehrere Schüsse von Kindern gezeigt, die sowohl die Bälle treffen als auch mit der Kamera sprechen.</v>
      </c>
    </row>
    <row r="15291">
      <c r="A15291" s="4" t="s">
        <v>19262</v>
      </c>
      <c r="B15291" s="4" t="s">
        <v>19265</v>
      </c>
      <c r="C15291" s="5" t="str">
        <f>IFERROR(__xludf.DUMMYFUNCTION("GOOGLETRANSLATE(B15291,""en"",""de"")"),"Mehr Kinder und Erwachsene sprechen mit der Kamera, während sie zeigen, wie sie den Ball treffen.")</f>
        <v>Mehr Kinder und Erwachsene sprechen mit der Kamera, während sie zeigen, wie sie den Ball treffen.</v>
      </c>
    </row>
    <row r="15292">
      <c r="A15292" s="4" t="s">
        <v>19266</v>
      </c>
      <c r="B15292" s="4" t="s">
        <v>19267</v>
      </c>
      <c r="C15292" s="5" t="str">
        <f>IFERROR(__xludf.DUMMYFUNCTION("GOOGLETRANSLATE(B15292,""en"",""de"")"),"Eine Person läuft eine lange Strecke mit einer Stange hinunter und versucht, sich nach vorne zu drängen.")</f>
        <v>Eine Person läuft eine lange Strecke mit einer Stange hinunter und versucht, sich nach vorne zu drängen.</v>
      </c>
    </row>
    <row r="15293">
      <c r="A15293" s="4" t="s">
        <v>19266</v>
      </c>
      <c r="B15293" s="4" t="s">
        <v>19268</v>
      </c>
      <c r="C15293" s="5" t="str">
        <f>IFERROR(__xludf.DUMMYFUNCTION("GOOGLETRANSLATE(B15293,""en"",""de"")"),"Ihr Lauf wird in Zeitlupe erneut angezeigt, als eine andere Person versucht, über die Pole zu drücken und versagt.")</f>
        <v>Ihr Lauf wird in Zeitlupe erneut angezeigt, als eine andere Person versucht, über die Pole zu drücken und versagt.</v>
      </c>
    </row>
    <row r="15294">
      <c r="A15294" s="4" t="s">
        <v>19266</v>
      </c>
      <c r="B15294" s="4" t="s">
        <v>19269</v>
      </c>
      <c r="C15294" s="5" t="str">
        <f>IFERROR(__xludf.DUMMYFUNCTION("GOOGLETRANSLATE(B15294,""en"",""de"")"),"Weitere Clips werden von Menschen gezeigt, die versuchen, über die Wand zu springen und sie nicht hoch genug zu machen.")</f>
        <v>Weitere Clips werden von Menschen gezeigt, die versuchen, über die Wand zu springen und sie nicht hoch genug zu machen.</v>
      </c>
    </row>
    <row r="15295">
      <c r="A15295" s="4" t="s">
        <v>19270</v>
      </c>
      <c r="B15295" s="4" t="s">
        <v>19271</v>
      </c>
      <c r="C15295" s="5" t="str">
        <f>IFERROR(__xludf.DUMMYFUNCTION("GOOGLETRANSLATE(B15295,""en"",""de"")"),"Zwei Kinder spielen im Rücken eines Lastwagens.")</f>
        <v>Zwei Kinder spielen im Rücken eines Lastwagens.</v>
      </c>
    </row>
    <row r="15296">
      <c r="A15296" s="4" t="s">
        <v>19270</v>
      </c>
      <c r="B15296" s="4" t="s">
        <v>19272</v>
      </c>
      <c r="C15296" s="5" t="str">
        <f>IFERROR(__xludf.DUMMYFUNCTION("GOOGLETRANSLATE(B15296,""en"",""de"")"),"Die Menschen stehen um einen gelben Eiswagen.")</f>
        <v>Die Menschen stehen um einen gelben Eiswagen.</v>
      </c>
    </row>
    <row r="15297">
      <c r="A15297" s="4" t="s">
        <v>19270</v>
      </c>
      <c r="B15297" s="4" t="s">
        <v>19273</v>
      </c>
      <c r="C15297" s="5" t="str">
        <f>IFERROR(__xludf.DUMMYFUNCTION("GOOGLETRANSLATE(B15297,""en"",""de"")"),"Zwei Kinder sitzen auf einem Bürgersteig und essen Eis.")</f>
        <v>Zwei Kinder sitzen auf einem Bürgersteig und essen Eis.</v>
      </c>
    </row>
    <row r="15298">
      <c r="A15298" s="4" t="s">
        <v>19274</v>
      </c>
      <c r="B15298" s="4" t="s">
        <v>1487</v>
      </c>
      <c r="C15298" s="5" t="str">
        <f>IFERROR(__xludf.DUMMYFUNCTION("GOOGLETRANSLATE(B15298,""en"",""de"")"),"Wir sehen einen Öffnungsbildschirm.")</f>
        <v>Wir sehen einen Öffnungsbildschirm.</v>
      </c>
    </row>
    <row r="15299">
      <c r="A15299" s="4" t="s">
        <v>19274</v>
      </c>
      <c r="B15299" s="4" t="s">
        <v>19275</v>
      </c>
      <c r="C15299" s="5" t="str">
        <f>IFERROR(__xludf.DUMMYFUNCTION("GOOGLETRANSLATE(B15299,""en"",""de"")"),"Wir sehen dann ein Mädchen rennen und auf einen Schlupf fallen und rutschen.")</f>
        <v>Wir sehen dann ein Mädchen rennen und auf einen Schlupf fallen und rutschen.</v>
      </c>
    </row>
    <row r="15300">
      <c r="A15300" s="4" t="s">
        <v>19274</v>
      </c>
      <c r="B15300" s="4" t="s">
        <v>19276</v>
      </c>
      <c r="C15300" s="5" t="str">
        <f>IFERROR(__xludf.DUMMYFUNCTION("GOOGLETRANSLATE(B15300,""en"",""de"")"),"Wir sehen einen weiteren Titelbildschirm und beobachten, wie die Kinder rutschen und über ihren Ausrutscher und rutschen.")</f>
        <v>Wir sehen einen weiteren Titelbildschirm und beobachten, wie die Kinder rutschen und über ihren Ausrutscher und rutschen.</v>
      </c>
    </row>
    <row r="15301">
      <c r="A15301" s="4" t="s">
        <v>19274</v>
      </c>
      <c r="B15301" s="4" t="s">
        <v>19277</v>
      </c>
      <c r="C15301" s="5" t="str">
        <f>IFERROR(__xludf.DUMMYFUNCTION("GOOGLETRANSLATE(B15301,""en"",""de"")"),"Ein Kind rutscht auf einem Floß den Rutschen hinunter.")</f>
        <v>Ein Kind rutscht auf einem Floß den Rutschen hinunter.</v>
      </c>
    </row>
    <row r="15302">
      <c r="A15302" s="4" t="s">
        <v>19278</v>
      </c>
      <c r="B15302" s="4" t="s">
        <v>19279</v>
      </c>
      <c r="C15302" s="5" t="str">
        <f>IFERROR(__xludf.DUMMYFUNCTION("GOOGLETRANSLATE(B15302,""en"",""de"")"),"Ein Mann zeigt, wie man eine kleine Feuerstelle entzündet.")</f>
        <v>Ein Mann zeigt, wie man eine kleine Feuerstelle entzündet.</v>
      </c>
    </row>
    <row r="15303">
      <c r="A15303" s="4" t="s">
        <v>19278</v>
      </c>
      <c r="B15303" s="4" t="s">
        <v>19280</v>
      </c>
      <c r="C15303" s="5" t="str">
        <f>IFERROR(__xludf.DUMMYFUNCTION("GOOGLETRANSLATE(B15303,""en"",""de"")"),"Erstens zeigt der Mann den Feuerstein, den er für das Feuer hat.")</f>
        <v>Erstens zeigt der Mann den Feuerstein, den er für das Feuer hat.</v>
      </c>
    </row>
    <row r="15304">
      <c r="A15304" s="4" t="s">
        <v>19278</v>
      </c>
      <c r="B15304" s="4" t="s">
        <v>19281</v>
      </c>
      <c r="C15304" s="5" t="str">
        <f>IFERROR(__xludf.DUMMYFUNCTION("GOOGLETRANSLATE(B15304,""en"",""de"")"),"Dann steckt er den Feuerstein in einen Holzstapel.")</f>
        <v>Dann steckt er den Feuerstein in einen Holzstapel.</v>
      </c>
    </row>
    <row r="15305">
      <c r="A15305" s="4" t="s">
        <v>19278</v>
      </c>
      <c r="B15305" s="4" t="s">
        <v>19282</v>
      </c>
      <c r="C15305" s="5" t="str">
        <f>IFERROR(__xludf.DUMMYFUNCTION("GOOGLETRANSLATE(B15305,""en"",""de"")"),"Der Mann zündet dann das Feuer an, das sich langsam im Holz ausbreitet.")</f>
        <v>Der Mann zündet dann das Feuer an, das sich langsam im Holz ausbreitet.</v>
      </c>
    </row>
    <row r="15306">
      <c r="A15306" s="4" t="s">
        <v>19278</v>
      </c>
      <c r="B15306" s="4" t="s">
        <v>19283</v>
      </c>
      <c r="C15306" s="5" t="str">
        <f>IFERROR(__xludf.DUMMYFUNCTION("GOOGLETRANSLATE(B15306,""en"",""de"")"),"Der Mann steckt dann das Feuer mit flachen Holzstücken, um das Feuer zu verteilen.")</f>
        <v>Der Mann steckt dann das Feuer mit flachen Holzstücken, um das Feuer zu verteilen.</v>
      </c>
    </row>
    <row r="15307">
      <c r="A15307" s="4" t="s">
        <v>19278</v>
      </c>
      <c r="B15307" s="4" t="s">
        <v>19284</v>
      </c>
      <c r="C15307" s="5" t="str">
        <f>IFERROR(__xludf.DUMMYFUNCTION("GOOGLETRANSLATE(B15307,""en"",""de"")"),"Der Mann schüttelt dann die Zweige auf dem Holz, um das Feuer weiter zu verteilen.")</f>
        <v>Der Mann schüttelt dann die Zweige auf dem Holz, um das Feuer weiter zu verteilen.</v>
      </c>
    </row>
    <row r="15308">
      <c r="A15308" s="4" t="s">
        <v>19285</v>
      </c>
      <c r="B15308" s="4" t="s">
        <v>19286</v>
      </c>
      <c r="C15308" s="5" t="str">
        <f>IFERROR(__xludf.DUMMYFUNCTION("GOOGLETRANSLATE(B15308,""en"",""de"")"),"In einem Keller spielen zwei Männer Ping Pong.")</f>
        <v>In einem Keller spielen zwei Männer Ping Pong.</v>
      </c>
    </row>
    <row r="15309">
      <c r="A15309" s="4" t="s">
        <v>19285</v>
      </c>
      <c r="B15309" s="4" t="s">
        <v>19287</v>
      </c>
      <c r="C15309" s="5" t="str">
        <f>IFERROR(__xludf.DUMMYFUNCTION("GOOGLETRANSLATE(B15309,""en"",""de"")"),"Einer der Spieler trägt ein schwarzes Hemd und der andere ist ein blaues Hemd.")</f>
        <v>Einer der Spieler trägt ein schwarzes Hemd und der andere ist ein blaues Hemd.</v>
      </c>
    </row>
    <row r="15310">
      <c r="A15310" s="4" t="s">
        <v>19285</v>
      </c>
      <c r="B15310" s="4" t="s">
        <v>19288</v>
      </c>
      <c r="C15310" s="5" t="str">
        <f>IFERROR(__xludf.DUMMYFUNCTION("GOOGLETRANSLATE(B15310,""en"",""de"")"),"Es gibt eine Matratze, die sich gegen die Kellerwand lehnt.")</f>
        <v>Es gibt eine Matratze, die sich gegen die Kellerwand lehnt.</v>
      </c>
    </row>
    <row r="15311">
      <c r="A15311" s="4" t="s">
        <v>19285</v>
      </c>
      <c r="B15311" s="4" t="s">
        <v>19289</v>
      </c>
      <c r="C15311" s="5" t="str">
        <f>IFERROR(__xludf.DUMMYFUNCTION("GOOGLETRANSLATE(B15311,""en"",""de"")"),"Die Spieler spielen weiterhin eine reibungslose Rallye.")</f>
        <v>Die Spieler spielen weiterhin eine reibungslose Rallye.</v>
      </c>
    </row>
    <row r="15312">
      <c r="A15312" s="4" t="s">
        <v>19285</v>
      </c>
      <c r="B15312" s="4" t="s">
        <v>19290</v>
      </c>
      <c r="C15312" s="5" t="str">
        <f>IFERROR(__xludf.DUMMYFUNCTION("GOOGLETRANSLATE(B15312,""en"",""de"")"),"Dann vermisst die Person in Schwarz den Schuss.")</f>
        <v>Dann vermisst die Person in Schwarz den Schuss.</v>
      </c>
    </row>
    <row r="15313">
      <c r="A15313" s="4" t="s">
        <v>19285</v>
      </c>
      <c r="B15313" s="4" t="s">
        <v>19291</v>
      </c>
      <c r="C15313" s="5" t="str">
        <f>IFERROR(__xludf.DUMMYFUNCTION("GOOGLETRANSLATE(B15313,""en"",""de"")"),"Sie spielen weiterhin ein paar Runden Ping Pong.")</f>
        <v>Sie spielen weiterhin ein paar Runden Ping Pong.</v>
      </c>
    </row>
    <row r="15314">
      <c r="A15314" s="4" t="s">
        <v>19285</v>
      </c>
      <c r="B15314" s="4" t="s">
        <v>19292</v>
      </c>
      <c r="C15314" s="5" t="str">
        <f>IFERROR(__xludf.DUMMYFUNCTION("GOOGLETRANSLATE(B15314,""en"",""de"")"),"Die Person in Blau trifft den Ball im Netz.")</f>
        <v>Die Person in Blau trifft den Ball im Netz.</v>
      </c>
    </row>
    <row r="15315">
      <c r="A15315" s="4" t="s">
        <v>19285</v>
      </c>
      <c r="B15315" s="4" t="s">
        <v>19293</v>
      </c>
      <c r="C15315" s="5" t="str">
        <f>IFERROR(__xludf.DUMMYFUNCTION("GOOGLETRANSLATE(B15315,""en"",""de"")"),"Sie spielen weiter mehr, bis die Person in Blau den Ball auf den Boden fallen lässt.")</f>
        <v>Sie spielen weiter mehr, bis die Person in Blau den Ball auf den Boden fallen lässt.</v>
      </c>
    </row>
    <row r="15316">
      <c r="A15316" s="4" t="s">
        <v>19294</v>
      </c>
      <c r="B15316" s="4" t="s">
        <v>19295</v>
      </c>
      <c r="C15316" s="5" t="str">
        <f>IFERROR(__xludf.DUMMYFUNCTION("GOOGLETRANSLATE(B15316,""en"",""de"")"),"Eine Person schneidet mit einem Hedge -Trimmer die Spitze einer rosa Hecke ab.")</f>
        <v>Eine Person schneidet mit einem Hedge -Trimmer die Spitze einer rosa Hecke ab.</v>
      </c>
    </row>
    <row r="15317">
      <c r="A15317" s="4" t="s">
        <v>19294</v>
      </c>
      <c r="B15317" s="4" t="s">
        <v>19296</v>
      </c>
      <c r="C15317" s="5" t="str">
        <f>IFERROR(__xludf.DUMMYFUNCTION("GOOGLETRANSLATE(B15317,""en"",""de"")"),"Dann schneidet der Mann die Seiten der rosa Hecke auf einem Haus.")</f>
        <v>Dann schneidet der Mann die Seiten der rosa Hecke auf einem Haus.</v>
      </c>
    </row>
    <row r="15318">
      <c r="A15318" s="4" t="s">
        <v>19297</v>
      </c>
      <c r="B15318" s="4" t="s">
        <v>19298</v>
      </c>
      <c r="C15318" s="5" t="str">
        <f>IFERROR(__xludf.DUMMYFUNCTION("GOOGLETRANSLATE(B15318,""en"",""de"")"),"Verschiedene Bilder von einem Mädchen und einem Pferd und führt zu einer Person, die ein Pferd über Sprüngen reitet.")</f>
        <v>Verschiedene Bilder von einem Mädchen und einem Pferd und führt zu einer Person, die ein Pferd über Sprüngen reitet.</v>
      </c>
    </row>
    <row r="15319">
      <c r="A15319" s="4" t="s">
        <v>19297</v>
      </c>
      <c r="B15319" s="4" t="s">
        <v>19299</v>
      </c>
      <c r="C15319" s="5" t="str">
        <f>IFERROR(__xludf.DUMMYFUNCTION("GOOGLETRANSLATE(B15319,""en"",""de"")"),"Weitere Bilder werden zusammen vom Pferd und der Person zusammen gezeigt, gefolgt von mehr Clips des Mädchens, das mit dem Pferd reitet.")</f>
        <v>Weitere Bilder werden zusammen vom Pferd und der Person zusammen gezeigt, gefolgt von mehr Clips des Mädchens, das mit dem Pferd reitet.</v>
      </c>
    </row>
    <row r="15320">
      <c r="A15320" s="4" t="s">
        <v>19297</v>
      </c>
      <c r="B15320" s="4" t="s">
        <v>19300</v>
      </c>
      <c r="C15320" s="5" t="str">
        <f>IFERROR(__xludf.DUMMYFUNCTION("GOOGLETRANSLATE(B15320,""en"",""de"")"),"Am Ende wird das Pferd an die Ställe gebunden und das Mädchen wandert um ihn herum.")</f>
        <v>Am Ende wird das Pferd an die Ställe gebunden und das Mädchen wandert um ihn herum.</v>
      </c>
    </row>
    <row r="15321">
      <c r="A15321" s="4" t="s">
        <v>19301</v>
      </c>
      <c r="B15321" s="4" t="s">
        <v>19302</v>
      </c>
      <c r="C15321" s="5" t="str">
        <f>IFERROR(__xludf.DUMMYFUNCTION("GOOGLETRANSLATE(B15321,""en"",""de"")"),"Eine junge Frau sitzt auf einem Red Lounge -Stuhl, als ein Tätowierer seinen Job macht.")</f>
        <v>Eine junge Frau sitzt auf einem Red Lounge -Stuhl, als ein Tätowierer seinen Job macht.</v>
      </c>
    </row>
    <row r="15322">
      <c r="A15322" s="4" t="s">
        <v>19301</v>
      </c>
      <c r="B15322" s="4" t="s">
        <v>19303</v>
      </c>
      <c r="C15322" s="5" t="str">
        <f>IFERROR(__xludf.DUMMYFUNCTION("GOOGLETRANSLATE(B15322,""en"",""de"")"),"Während er die Nadel wendet, bleibt das Mädchen in ihrem Gesicht, bleibt aber so still wie möglich.")</f>
        <v>Während er die Nadel wendet, bleibt das Mädchen in ihrem Gesicht, bleibt aber so still wie möglich.</v>
      </c>
    </row>
    <row r="15323">
      <c r="A15323" s="4" t="s">
        <v>19301</v>
      </c>
      <c r="B15323" s="4" t="s">
        <v>19304</v>
      </c>
      <c r="C15323" s="5" t="str">
        <f>IFERROR(__xludf.DUMMYFUNCTION("GOOGLETRANSLATE(B15323,""en"",""de"")"),"Das Tattoo ist endlich fertig und der Mann taucht auf den Rest des Tattoo auf ihrem Fuß.")</f>
        <v>Das Tattoo ist endlich fertig und der Mann taucht auf den Rest des Tattoo auf ihrem Fuß.</v>
      </c>
    </row>
    <row r="15324">
      <c r="A15324" s="4" t="s">
        <v>19305</v>
      </c>
      <c r="B15324" s="4" t="s">
        <v>19306</v>
      </c>
      <c r="C15324" s="5" t="str">
        <f>IFERROR(__xludf.DUMMYFUNCTION("GOOGLETRANSLATE(B15324,""en"",""de"")"),"Ein Mann betritt einen Kreis auf einem Feld.")</f>
        <v>Ein Mann betritt einen Kreis auf einem Feld.</v>
      </c>
    </row>
    <row r="15325">
      <c r="A15325" s="4" t="s">
        <v>19305</v>
      </c>
      <c r="B15325" s="4" t="s">
        <v>19307</v>
      </c>
      <c r="C15325" s="5" t="str">
        <f>IFERROR(__xludf.DUMMYFUNCTION("GOOGLETRANSLATE(B15325,""en"",""de"")"),"Er dreht sich, während er eine Scheibe hält.")</f>
        <v>Er dreht sich, während er eine Scheibe hält.</v>
      </c>
    </row>
    <row r="15326">
      <c r="A15326" s="4" t="s">
        <v>19305</v>
      </c>
      <c r="B15326" s="4" t="s">
        <v>19308</v>
      </c>
      <c r="C15326" s="5" t="str">
        <f>IFERROR(__xludf.DUMMYFUNCTION("GOOGLETRANSLATE(B15326,""en"",""de"")"),"Er lässt die Scheibe los und lässt sie durch die Luft fliegen.")</f>
        <v>Er lässt die Scheibe los und lässt sie durch die Luft fliegen.</v>
      </c>
    </row>
    <row r="15327">
      <c r="A15327" s="4" t="s">
        <v>19309</v>
      </c>
      <c r="B15327" s="4" t="s">
        <v>19310</v>
      </c>
      <c r="C15327" s="5" t="str">
        <f>IFERROR(__xludf.DUMMYFUNCTION("GOOGLETRANSLATE(B15327,""en"",""de"")"),"Ein Mann sitzt auf einem Stuhl.")</f>
        <v>Ein Mann sitzt auf einem Stuhl.</v>
      </c>
    </row>
    <row r="15328">
      <c r="A15328" s="4" t="s">
        <v>19309</v>
      </c>
      <c r="B15328" s="4" t="s">
        <v>19311</v>
      </c>
      <c r="C15328" s="5" t="str">
        <f>IFERROR(__xludf.DUMMYFUNCTION("GOOGLETRANSLATE(B15328,""en"",""de"")"),"Er trägt eine Maske im Gesicht.")</f>
        <v>Er trägt eine Maske im Gesicht.</v>
      </c>
    </row>
    <row r="15329">
      <c r="A15329" s="4" t="s">
        <v>19309</v>
      </c>
      <c r="B15329" s="4" t="s">
        <v>19312</v>
      </c>
      <c r="C15329" s="5" t="str">
        <f>IFERROR(__xludf.DUMMYFUNCTION("GOOGLETRANSLATE(B15329,""en"",""de"")"),"Er schweißt etwas vor ihm.")</f>
        <v>Er schweißt etwas vor ihm.</v>
      </c>
    </row>
    <row r="15330">
      <c r="A15330" s="4" t="s">
        <v>19313</v>
      </c>
      <c r="B15330" s="4" t="s">
        <v>19314</v>
      </c>
      <c r="C15330" s="5" t="str">
        <f>IFERROR(__xludf.DUMMYFUNCTION("GOOGLETRANSLATE(B15330,""en"",""de"")"),"Ein kleiner Junge sitzt auf einem Stuhl, der mit anderen wegsieht und vorbeikommt.")</f>
        <v>Ein kleiner Junge sitzt auf einem Stuhl, der mit anderen wegsieht und vorbeikommt.</v>
      </c>
    </row>
    <row r="15331">
      <c r="A15331" s="4" t="s">
        <v>19313</v>
      </c>
      <c r="B15331" s="4" t="s">
        <v>19315</v>
      </c>
      <c r="C15331" s="5" t="str">
        <f>IFERROR(__xludf.DUMMYFUNCTION("GOOGLETRANSLATE(B15331,""en"",""de"")"),"Der Mann nimmt dann einen Schluck eines Getränks und macht ein lustiges Gesicht.")</f>
        <v>Der Mann nimmt dann einen Schluck eines Getränks und macht ein lustiges Gesicht.</v>
      </c>
    </row>
    <row r="15332">
      <c r="A15332" s="4" t="s">
        <v>19316</v>
      </c>
      <c r="B15332" s="4" t="s">
        <v>19317</v>
      </c>
      <c r="C15332" s="5" t="str">
        <f>IFERROR(__xludf.DUMMYFUNCTION("GOOGLETRANSLATE(B15332,""en"",""de"")"),"Eine große Gruppe von Menschen wird im Schnee im Schnee laufen, wobei mehrere auf der Kamera interviewt werden.")</f>
        <v>Eine große Gruppe von Menschen wird im Schnee im Schnee laufen, wobei mehrere auf der Kamera interviewt werden.</v>
      </c>
    </row>
    <row r="15333">
      <c r="A15333" s="4" t="s">
        <v>19316</v>
      </c>
      <c r="B15333" s="4" t="s">
        <v>19318</v>
      </c>
      <c r="C15333" s="5" t="str">
        <f>IFERROR(__xludf.DUMMYFUNCTION("GOOGLETRANSLATE(B15333,""en"",""de"")"),"Sie sind in einem Geschäft zu sehen, das Skis schärft und miteinander lacht.")</f>
        <v>Sie sind in einem Geschäft zu sehen, das Skis schärft und miteinander lacht.</v>
      </c>
    </row>
    <row r="15334">
      <c r="A15334" s="4" t="s">
        <v>19319</v>
      </c>
      <c r="B15334" s="4" t="s">
        <v>19320</v>
      </c>
      <c r="C15334" s="5" t="str">
        <f>IFERROR(__xludf.DUMMYFUNCTION("GOOGLETRANSLATE(B15334,""en"",""de"")"),"Eine kleine Gruppe von Menschen steht mit einer Frau herum, die Zeichen hält, und führt zu Menschen, die ein Schlepper des Krieges spielen.")</f>
        <v>Eine kleine Gruppe von Menschen steht mit einer Frau herum, die Zeichen hält, und führt zu Menschen, die ein Schlepper des Krieges spielen.</v>
      </c>
    </row>
    <row r="15335">
      <c r="A15335" s="4" t="s">
        <v>19319</v>
      </c>
      <c r="B15335" s="4" t="s">
        <v>19321</v>
      </c>
      <c r="C15335" s="5" t="str">
        <f>IFERROR(__xludf.DUMMYFUNCTION("GOOGLETRANSLATE(B15335,""en"",""de"")"),"Es werden mehrere Aufnahmen der Spiele gezeigt wie ein Mädchen, das tanzt und Kinder aufwärmen.")</f>
        <v>Es werden mehrere Aufnahmen der Spiele gezeigt wie ein Mädchen, das tanzt und Kinder aufwärmen.</v>
      </c>
    </row>
    <row r="15336">
      <c r="A15336" s="4" t="s">
        <v>19319</v>
      </c>
      <c r="B15336" s="4" t="s">
        <v>19322</v>
      </c>
      <c r="C15336" s="5" t="str">
        <f>IFERROR(__xludf.DUMMYFUNCTION("GOOGLETRANSLATE(B15336,""en"",""de"")"),"Die Kinder spielen mehr Krieg und eine Nahaufnahme des Gesichts einer Person ist in Zeitlupe.")</f>
        <v>Die Kinder spielen mehr Krieg und eine Nahaufnahme des Gesichts einer Person ist in Zeitlupe.</v>
      </c>
    </row>
    <row r="15337">
      <c r="A15337" s="4" t="s">
        <v>19323</v>
      </c>
      <c r="B15337" s="4" t="s">
        <v>19324</v>
      </c>
      <c r="C15337" s="5" t="str">
        <f>IFERROR(__xludf.DUMMYFUNCTION("GOOGLETRANSLATE(B15337,""en"",""de"")"),"Eine Frau sitzt draußen auf einem weißen Stuhl, der am Akkordeon spielt.")</f>
        <v>Eine Frau sitzt draußen auf einem weißen Stuhl, der am Akkordeon spielt.</v>
      </c>
    </row>
    <row r="15338">
      <c r="A15338" s="4" t="s">
        <v>19323</v>
      </c>
      <c r="B15338" s="4" t="s">
        <v>19325</v>
      </c>
      <c r="C15338" s="5" t="str">
        <f>IFERROR(__xludf.DUMMYFUNCTION("GOOGLETRANSLATE(B15338,""en"",""de"")"),"Vor ihr sitzt ein Musikstand.")</f>
        <v>Vor ihr sitzt ein Musikstand.</v>
      </c>
    </row>
    <row r="15339">
      <c r="A15339" s="4" t="s">
        <v>19326</v>
      </c>
      <c r="B15339" s="4" t="s">
        <v>19327</v>
      </c>
      <c r="C15339" s="5" t="str">
        <f>IFERROR(__xludf.DUMMYFUNCTION("GOOGLETRANSLATE(B15339,""en"",""de"")"),"Wir sehen, wie ein Mann Ausrüstung anzieht und dann der Hockeyspieler zur Eisbahn geht.")</f>
        <v>Wir sehen, wie ein Mann Ausrüstung anzieht und dann der Hockeyspieler zur Eisbahn geht.</v>
      </c>
    </row>
    <row r="15340">
      <c r="A15340" s="4" t="s">
        <v>19326</v>
      </c>
      <c r="B15340" s="4" t="s">
        <v>19328</v>
      </c>
      <c r="C15340" s="5" t="str">
        <f>IFERROR(__xludf.DUMMYFUNCTION("GOOGLETRANSLATE(B15340,""en"",""de"")"),"Wir sehen die Menge klatschend.")</f>
        <v>Wir sehen die Menge klatschend.</v>
      </c>
    </row>
    <row r="15341">
      <c r="A15341" s="4" t="s">
        <v>19326</v>
      </c>
      <c r="B15341" s="4" t="s">
        <v>19329</v>
      </c>
      <c r="C15341" s="5" t="str">
        <f>IFERROR(__xludf.DUMMYFUNCTION("GOOGLETRANSLATE(B15341,""en"",""de"")"),"Wir sehen, dass ein Hockeyspiel gespielt wird.")</f>
        <v>Wir sehen, dass ein Hockeyspiel gespielt wird.</v>
      </c>
    </row>
    <row r="15342">
      <c r="A15342" s="4" t="s">
        <v>19326</v>
      </c>
      <c r="B15342" s="4" t="s">
        <v>19330</v>
      </c>
      <c r="C15342" s="5" t="str">
        <f>IFERROR(__xludf.DUMMYFUNCTION("GOOGLETRANSLATE(B15342,""en"",""de"")"),"Wir sehen Leute, die in die Menge klatschten.")</f>
        <v>Wir sehen Leute, die in die Menge klatschten.</v>
      </c>
    </row>
    <row r="15343">
      <c r="A15343" s="4" t="s">
        <v>19326</v>
      </c>
      <c r="B15343" s="4" t="s">
        <v>19331</v>
      </c>
      <c r="C15343" s="5" t="str">
        <f>IFERROR(__xludf.DUMMYFUNCTION("GOOGLETRANSLATE(B15343,""en"",""de"")"),"Die Hand eines Mannes ist erschüttert und sieht das ganze Team auf dem Eis.")</f>
        <v>Die Hand eines Mannes ist erschüttert und sieht das ganze Team auf dem Eis.</v>
      </c>
    </row>
    <row r="15344">
      <c r="A15344" s="4" t="s">
        <v>19332</v>
      </c>
      <c r="B15344" s="4" t="s">
        <v>19333</v>
      </c>
      <c r="C15344" s="5" t="str">
        <f>IFERROR(__xludf.DUMMYFUNCTION("GOOGLETRANSLATE(B15344,""en"",""de"")"),"Ein Mann wird gesehen, wie er einen Rubix -Würfel löst, der sich neben ihm befindet und beobachtet.")</f>
        <v>Ein Mann wird gesehen, wie er einen Rubix -Würfel löst, der sich neben ihm befindet und beobachtet.</v>
      </c>
    </row>
    <row r="15345">
      <c r="A15345" s="4" t="s">
        <v>19332</v>
      </c>
      <c r="B15345" s="4" t="s">
        <v>19334</v>
      </c>
      <c r="C15345" s="5" t="str">
        <f>IFERROR(__xludf.DUMMYFUNCTION("GOOGLETRANSLATE(B15345,""en"",""de"")"),"Er löst das Puzzle und legt es auf den Tisch und lächelt dann in die Kamera.")</f>
        <v>Er löst das Puzzle und legt es auf den Tisch und lächelt dann in die Kamera.</v>
      </c>
    </row>
    <row r="15346">
      <c r="A15346" s="4" t="s">
        <v>19335</v>
      </c>
      <c r="B15346" s="4" t="s">
        <v>19336</v>
      </c>
      <c r="C15346" s="5" t="str">
        <f>IFERROR(__xludf.DUMMYFUNCTION("GOOGLETRANSLATE(B15346,""en"",""de"")"),"Ein Bogenschießen -Montage -Video zeigt, dass in Feldern, Kongresshallen aus Hotels, Innenräumen und Lagerhäusern Schlachten stattfinden.")</f>
        <v>Ein Bogenschießen -Montage -Video zeigt, dass in Feldern, Kongresshallen aus Hotels, Innenräumen und Lagerhäusern Schlachten stattfinden.</v>
      </c>
    </row>
    <row r="15347">
      <c r="A15347" s="4" t="s">
        <v>19335</v>
      </c>
      <c r="B15347" s="4" t="s">
        <v>19337</v>
      </c>
      <c r="C15347" s="5" t="str">
        <f>IFERROR(__xludf.DUMMYFUNCTION("GOOGLETRANSLATE(B15347,""en"",""de"")"),"Ein Logo für das Bogenschießen -Tag erscheint und eine Anzeige spielt für ein anderes Video und Abonnement.")</f>
        <v>Ein Logo für das Bogenschießen -Tag erscheint und eine Anzeige spielt für ein anderes Video und Abonnement.</v>
      </c>
    </row>
    <row r="15348">
      <c r="A15348" s="4" t="s">
        <v>19338</v>
      </c>
      <c r="B15348" s="4" t="s">
        <v>19339</v>
      </c>
      <c r="C15348" s="5" t="str">
        <f>IFERROR(__xludf.DUMMYFUNCTION("GOOGLETRANSLATE(B15348,""en"",""de"")"),"Eine Nahaufnahme einer Spüle wird gezeigt, gefolgt von einer Person, die einen Wasserhahn einschaltet und die Kamera griff.")</f>
        <v>Eine Nahaufnahme einer Spüle wird gezeigt, gefolgt von einer Person, die einen Wasserhahn einschaltet und die Kamera griff.</v>
      </c>
    </row>
    <row r="15349">
      <c r="A15349" s="4" t="s">
        <v>19338</v>
      </c>
      <c r="B15349" s="4" t="s">
        <v>19340</v>
      </c>
      <c r="C15349" s="5" t="str">
        <f>IFERROR(__xludf.DUMMYFUNCTION("GOOGLETRANSLATE(B15349,""en"",""de"")"),"Sie steht vor einem Tisch und sprüht einen Lappen hinunter, gefolgt von dem Lappen entlang des Bodens.")</f>
        <v>Sie steht vor einem Tisch und sprüht einen Lappen hinunter, gefolgt von dem Lappen entlang des Bodens.</v>
      </c>
    </row>
    <row r="15350">
      <c r="A15350" s="4" t="s">
        <v>19338</v>
      </c>
      <c r="B15350" s="4" t="s">
        <v>19341</v>
      </c>
      <c r="C15350" s="5" t="str">
        <f>IFERROR(__xludf.DUMMYFUNCTION("GOOGLETRANSLATE(B15350,""en"",""de"")"),"Die Frau reinigt weiterhin den Boden und geht zurück zur Kamera.")</f>
        <v>Die Frau reinigt weiterhin den Boden und geht zurück zur Kamera.</v>
      </c>
    </row>
    <row r="15351">
      <c r="A15351" s="4" t="s">
        <v>19342</v>
      </c>
      <c r="B15351" s="4" t="s">
        <v>19343</v>
      </c>
      <c r="C15351" s="5" t="str">
        <f>IFERROR(__xludf.DUMMYFUNCTION("GOOGLETRANSLATE(B15351,""en"",""de"")"),"Es gibt zwei kleine Mädchen, die in einem Innenplatz lernen, um Kürbis zu spielen.")</f>
        <v>Es gibt zwei kleine Mädchen, die in einem Innenplatz lernen, um Kürbis zu spielen.</v>
      </c>
    </row>
    <row r="15352">
      <c r="A15352" s="4" t="s">
        <v>19342</v>
      </c>
      <c r="B15352" s="4" t="s">
        <v>19344</v>
      </c>
      <c r="C15352" s="5" t="str">
        <f>IFERROR(__xludf.DUMMYFUNCTION("GOOGLETRANSLATE(B15352,""en"",""de"")"),"Sie stehen mit ihren Schläuchen und versuchen, den Ball gegen die Wand zu schlagen.")</f>
        <v>Sie stehen mit ihren Schläuchen und versuchen, den Ball gegen die Wand zu schlagen.</v>
      </c>
    </row>
    <row r="15353">
      <c r="A15353" s="4" t="s">
        <v>19342</v>
      </c>
      <c r="B15353" s="4" t="s">
        <v>19345</v>
      </c>
      <c r="C15353" s="5" t="str">
        <f>IFERROR(__xludf.DUMMYFUNCTION("GOOGLETRANSLATE(B15353,""en"",""de"")"),"Sie versuchen, den Ball zu schlagen, aber am Ende auf den Boden stürzen.")</f>
        <v>Sie versuchen, den Ball zu schlagen, aber am Ende auf den Boden stürzen.</v>
      </c>
    </row>
    <row r="15354">
      <c r="A15354" s="4" t="s">
        <v>19342</v>
      </c>
      <c r="B15354" s="4" t="s">
        <v>19346</v>
      </c>
      <c r="C15354" s="5" t="str">
        <f>IFERROR(__xludf.DUMMYFUNCTION("GOOGLETRANSLATE(B15354,""en"",""de"")"),"Sie rennen um den Platz herum und versuchen, den Ball mit ihren Schlägern zu fangen.")</f>
        <v>Sie rennen um den Platz herum und versuchen, den Ball mit ihren Schlägern zu fangen.</v>
      </c>
    </row>
    <row r="15355">
      <c r="A15355" s="4" t="s">
        <v>19342</v>
      </c>
      <c r="B15355" s="4" t="s">
        <v>19347</v>
      </c>
      <c r="C15355" s="5" t="str">
        <f>IFERROR(__xludf.DUMMYFUNCTION("GOOGLETRANSLATE(B15355,""en"",""de"")"),"Sie rennen mit ihren übergroßen Schlägern herum und lächeln und rennen den Ball um den Platz.")</f>
        <v>Sie rennen mit ihren übergroßen Schlägern herum und lächeln und rennen den Ball um den Platz.</v>
      </c>
    </row>
    <row r="15356">
      <c r="A15356" s="4" t="s">
        <v>19348</v>
      </c>
      <c r="B15356" s="4" t="s">
        <v>19349</v>
      </c>
      <c r="C15356" s="5" t="str">
        <f>IFERROR(__xludf.DUMMYFUNCTION("GOOGLETRANSLATE(B15356,""en"",""de"")"),"Vier junge Frauen und ein Mann sind auf der Bühne, während ein Mädchen Gitarre spielt.")</f>
        <v>Vier junge Frauen und ein Mann sind auf der Bühne, während ein Mädchen Gitarre spielt.</v>
      </c>
    </row>
    <row r="15357">
      <c r="A15357" s="4" t="s">
        <v>19348</v>
      </c>
      <c r="B15357" s="4" t="s">
        <v>19350</v>
      </c>
      <c r="C15357" s="5" t="str">
        <f>IFERROR(__xludf.DUMMYFUNCTION("GOOGLETRANSLATE(B15357,""en"",""de"")"),"Die Dame in Gelb begann zu singen, dann die Dame in rosa Hemd.")</f>
        <v>Die Dame in Gelb begann zu singen, dann die Dame in rosa Hemd.</v>
      </c>
    </row>
    <row r="15358">
      <c r="A15358" s="4" t="s">
        <v>19348</v>
      </c>
      <c r="B15358" s="4" t="s">
        <v>19351</v>
      </c>
      <c r="C15358" s="5" t="str">
        <f>IFERROR(__xludf.DUMMYFUNCTION("GOOGLETRANSLATE(B15358,""en"",""de"")"),"Als die Mädchen fertig sind, jubelten die Menge zu.")</f>
        <v>Als die Mädchen fertig sind, jubelten die Menge zu.</v>
      </c>
    </row>
    <row r="15359">
      <c r="A15359" s="4" t="s">
        <v>19352</v>
      </c>
      <c r="B15359" s="4" t="s">
        <v>19353</v>
      </c>
      <c r="C15359" s="5" t="str">
        <f>IFERROR(__xludf.DUMMYFUNCTION("GOOGLETRANSLATE(B15359,""en"",""de"")"),"Wir sehen, wie ein Mann umgekehrt ins Wasser fällt.")</f>
        <v>Wir sehen, wie ein Mann umgekehrt ins Wasser fällt.</v>
      </c>
    </row>
    <row r="15360">
      <c r="A15360" s="4" t="s">
        <v>19352</v>
      </c>
      <c r="B15360" s="4" t="s">
        <v>19354</v>
      </c>
      <c r="C15360" s="5" t="str">
        <f>IFERROR(__xludf.DUMMYFUNCTION("GOOGLETRANSLATE(B15360,""en"",""de"")"),"Wir beobachten, wie Menschen auf einer Slackline über einem Gewässer laufen.")</f>
        <v>Wir beobachten, wie Menschen auf einer Slackline über einem Gewässer laufen.</v>
      </c>
    </row>
    <row r="15361">
      <c r="A15361" s="4" t="s">
        <v>19352</v>
      </c>
      <c r="B15361" s="4" t="s">
        <v>19355</v>
      </c>
      <c r="C15361" s="5" t="str">
        <f>IFERROR(__xludf.DUMMYFUNCTION("GOOGLETRANSLATE(B15361,""en"",""de"")"),"Wir sehen eine Reihe von Stürzen.")</f>
        <v>Wir sehen eine Reihe von Stürzen.</v>
      </c>
    </row>
    <row r="15362">
      <c r="A15362" s="4" t="s">
        <v>19352</v>
      </c>
      <c r="B15362" s="4" t="s">
        <v>19356</v>
      </c>
      <c r="C15362" s="5" t="str">
        <f>IFERROR(__xludf.DUMMYFUNCTION("GOOGLETRANSLATE(B15362,""en"",""de"")"),"Ein Mann schafft es hinüber.")</f>
        <v>Ein Mann schafft es hinüber.</v>
      </c>
    </row>
    <row r="15363">
      <c r="A15363" s="4" t="s">
        <v>19352</v>
      </c>
      <c r="B15363" s="4" t="s">
        <v>19357</v>
      </c>
      <c r="C15363" s="5" t="str">
        <f>IFERROR(__xludf.DUMMYFUNCTION("GOOGLETRANSLATE(B15363,""en"",""de"")"),"Wir sehen einen Mann auf einen Baum klettern und eine Kokosnuss bekommen.")</f>
        <v>Wir sehen einen Mann auf einen Baum klettern und eine Kokosnuss bekommen.</v>
      </c>
    </row>
    <row r="15364">
      <c r="A15364" s="4" t="s">
        <v>19352</v>
      </c>
      <c r="B15364" s="4" t="s">
        <v>19358</v>
      </c>
      <c r="C15364" s="5" t="str">
        <f>IFERROR(__xludf.DUMMYFUNCTION("GOOGLETRANSLATE(B15364,""en"",""de"")"),"Die Pfanne steckt die Kokosnuss in die Kokosnuss und gießt sie in den Mund, als er auf dem Boden legt.")</f>
        <v>Die Pfanne steckt die Kokosnuss in die Kokosnuss und gießt sie in den Mund, als er auf dem Boden legt.</v>
      </c>
    </row>
    <row r="15365">
      <c r="A15365" s="4" t="s">
        <v>19352</v>
      </c>
      <c r="B15365" s="4" t="s">
        <v>19359</v>
      </c>
      <c r="C15365" s="5" t="str">
        <f>IFERROR(__xludf.DUMMYFUNCTION("GOOGLETRANSLATE(B15365,""en"",""de"")"),"Der Mann setzt sich und lächelt.")</f>
        <v>Der Mann setzt sich und lächelt.</v>
      </c>
    </row>
    <row r="15366">
      <c r="A15366" s="4" t="s">
        <v>19360</v>
      </c>
      <c r="B15366" s="4" t="s">
        <v>19361</v>
      </c>
      <c r="C15366" s="5" t="str">
        <f>IFERROR(__xludf.DUMMYFUNCTION("GOOGLETRANSLATE(B15366,""en"",""de"")"),"Eine Nahaufnahme von Stiefeln wird sowohl gesehen als auch Person, die ein Loch graben.")</f>
        <v>Eine Nahaufnahme von Stiefeln wird sowohl gesehen als auch Person, die ein Loch graben.</v>
      </c>
    </row>
    <row r="15367">
      <c r="A15367" s="4" t="s">
        <v>19360</v>
      </c>
      <c r="B15367" s="4" t="s">
        <v>19362</v>
      </c>
      <c r="C15367" s="5" t="str">
        <f>IFERROR(__xludf.DUMMYFUNCTION("GOOGLETRANSLATE(B15367,""en"",""de"")"),"Die Person legt Schmutz aus und schneidet ein Loch hinein und legt gleichzeitig eine Pflanze hinein.")</f>
        <v>Die Person legt Schmutz aus und schneidet ein Loch hinein und legt gleichzeitig eine Pflanze hinein.</v>
      </c>
    </row>
    <row r="15368">
      <c r="A15368" s="4" t="s">
        <v>19360</v>
      </c>
      <c r="B15368" s="4" t="s">
        <v>19363</v>
      </c>
      <c r="C15368" s="5" t="str">
        <f>IFERROR(__xludf.DUMMYFUNCTION("GOOGLETRANSLATE(B15368,""en"",""de"")"),"Die Person wässt die Pflanze und endet, indem sie mehr Schmutz auslegt.")</f>
        <v>Die Person wässt die Pflanze und endet, indem sie mehr Schmutz auslegt.</v>
      </c>
    </row>
    <row r="15369">
      <c r="A15369" s="4" t="s">
        <v>19364</v>
      </c>
      <c r="B15369" s="4" t="s">
        <v>19365</v>
      </c>
      <c r="C15369" s="5" t="str">
        <f>IFERROR(__xludf.DUMMYFUNCTION("GOOGLETRANSLATE(B15369,""en"",""de"")"),"Ein Junge steht an der Theke vor dem Dartbrett nach hinten.")</f>
        <v>Ein Junge steht an der Theke vor dem Dartbrett nach hinten.</v>
      </c>
    </row>
    <row r="15370">
      <c r="A15370" s="4" t="s">
        <v>19364</v>
      </c>
      <c r="B15370" s="4" t="s">
        <v>19366</v>
      </c>
      <c r="C15370" s="5" t="str">
        <f>IFERROR(__xludf.DUMMYFUNCTION("GOOGLETRANSLATE(B15370,""en"",""de"")"),"Seine Mutter steht neben ihm und er macht sich bereit, seinen Pfeil zu werfen.")</f>
        <v>Seine Mutter steht neben ihm und er macht sich bereit, seinen Pfeil zu werfen.</v>
      </c>
    </row>
    <row r="15371">
      <c r="A15371" s="4" t="s">
        <v>19364</v>
      </c>
      <c r="B15371" s="4" t="s">
        <v>19367</v>
      </c>
      <c r="C15371" s="5" t="str">
        <f>IFERROR(__xludf.DUMMYFUNCTION("GOOGLETRANSLATE(B15371,""en"",""de"")"),"Er wirft es und vermisst das Dart -Board völlig zusammen.")</f>
        <v>Er wirft es und vermisst das Dart -Board völlig zusammen.</v>
      </c>
    </row>
    <row r="15372">
      <c r="A15372" s="4" t="s">
        <v>19364</v>
      </c>
      <c r="B15372" s="4" t="s">
        <v>19368</v>
      </c>
      <c r="C15372" s="5" t="str">
        <f>IFERROR(__xludf.DUMMYFUNCTION("GOOGLETRANSLATE(B15372,""en"",""de"")"),"Er trifft die Spitze der Wand und geht hinüber, um danach zu greifen und sie herauszunehmen.")</f>
        <v>Er trifft die Spitze der Wand und geht hinüber, um danach zu greifen und sie herauszunehmen.</v>
      </c>
    </row>
    <row r="15373">
      <c r="A15373" s="4" t="s">
        <v>19369</v>
      </c>
      <c r="B15373" s="4" t="s">
        <v>19370</v>
      </c>
      <c r="C15373" s="5" t="str">
        <f>IFERROR(__xludf.DUMMYFUNCTION("GOOGLETRANSLATE(B15373,""en"",""de"")"),"Ein Mann spaltet Holzstämme in einen Axt in einem grasbewachsenen Garten auf, während seine Frau die Stücke zurückholt.")</f>
        <v>Ein Mann spaltet Holzstämme in einen Axt in einem grasbewachsenen Garten auf, während seine Frau die Stücke zurückholt.</v>
      </c>
    </row>
    <row r="15374">
      <c r="A15374" s="4" t="s">
        <v>19369</v>
      </c>
      <c r="B15374" s="4" t="s">
        <v>19371</v>
      </c>
      <c r="C15374" s="5" t="str">
        <f>IFERROR(__xludf.DUMMYFUNCTION("GOOGLETRANSLATE(B15374,""en"",""de"")"),"Ein Mann spaltet sich selbst in den Hof.")</f>
        <v>Ein Mann spaltet sich selbst in den Hof.</v>
      </c>
    </row>
    <row r="15375">
      <c r="A15375" s="4" t="s">
        <v>19369</v>
      </c>
      <c r="B15375" s="4" t="s">
        <v>19372</v>
      </c>
      <c r="C15375" s="5" t="str">
        <f>IFERROR(__xludf.DUMMYFUNCTION("GOOGLETRANSLATE(B15375,""en"",""de"")"),"Der Mann setzt seine Axtklinge in das Protokoll und nimmt eine Bremse.")</f>
        <v>Der Mann setzt seine Axtklinge in das Protokoll und nimmt eine Bremse.</v>
      </c>
    </row>
    <row r="15376">
      <c r="A15376" s="4" t="s">
        <v>19373</v>
      </c>
      <c r="B15376" s="4" t="s">
        <v>19374</v>
      </c>
      <c r="C15376" s="5" t="str">
        <f>IFERROR(__xludf.DUMMYFUNCTION("GOOGLETRANSLATE(B15376,""en"",""de"")"),"Ein Mann in einem blauen Hemd setzt sich hin und hält eine Bar auf einer Übungsmaschine.")</f>
        <v>Ein Mann in einem blauen Hemd setzt sich hin und hält eine Bar auf einer Übungsmaschine.</v>
      </c>
    </row>
    <row r="15377">
      <c r="A15377" s="4" t="s">
        <v>19373</v>
      </c>
      <c r="B15377" s="4" t="s">
        <v>19375</v>
      </c>
      <c r="C15377" s="5" t="str">
        <f>IFERROR(__xludf.DUMMYFUNCTION("GOOGLETRANSLATE(B15377,""en"",""de"")"),"Er drückt ab und benutzt die Übungsmaschine.")</f>
        <v>Er drückt ab und benutzt die Übungsmaschine.</v>
      </c>
    </row>
    <row r="15378">
      <c r="A15378" s="4" t="s">
        <v>19376</v>
      </c>
      <c r="B15378" s="4" t="s">
        <v>19377</v>
      </c>
      <c r="C15378" s="5" t="str">
        <f>IFERROR(__xludf.DUMMYFUNCTION("GOOGLETRANSLATE(B15378,""en"",""de"")"),"Wir sehen einen Mann, der unter den Füßen der Frauen einen Boden wischt.")</f>
        <v>Wir sehen einen Mann, der unter den Füßen der Frauen einen Boden wischt.</v>
      </c>
    </row>
    <row r="15379">
      <c r="A15379" s="4" t="s">
        <v>19376</v>
      </c>
      <c r="B15379" s="4" t="s">
        <v>19378</v>
      </c>
      <c r="C15379" s="5" t="str">
        <f>IFERROR(__xludf.DUMMYFUNCTION("GOOGLETRANSLATE(B15379,""en"",""de"")"),"Die mittlere Dame benutzt ihren Fuß, um den Mopp zu bewegen.")</f>
        <v>Die mittlere Dame benutzt ihren Fuß, um den Mopp zu bewegen.</v>
      </c>
    </row>
    <row r="15380">
      <c r="A15380" s="4" t="s">
        <v>19376</v>
      </c>
      <c r="B15380" s="4" t="s">
        <v>19379</v>
      </c>
      <c r="C15380" s="5" t="str">
        <f>IFERROR(__xludf.DUMMYFUNCTION("GOOGLETRANSLATE(B15380,""en"",""de"")"),"Die linke Dame bewegt dann den Mopp mit ihrem Fuß.")</f>
        <v>Die linke Dame bewegt dann den Mopp mit ihrem Fuß.</v>
      </c>
    </row>
    <row r="15381">
      <c r="A15381" s="4" t="s">
        <v>19376</v>
      </c>
      <c r="B15381" s="4" t="s">
        <v>19380</v>
      </c>
      <c r="C15381" s="5" t="str">
        <f>IFERROR(__xludf.DUMMYFUNCTION("GOOGLETRANSLATE(B15381,""en"",""de"")"),"Die mittlere Dame macht es wieder, dann beendet der Mann den Boden.")</f>
        <v>Die mittlere Dame macht es wieder, dann beendet der Mann den Boden.</v>
      </c>
    </row>
    <row r="15382">
      <c r="A15382" s="4" t="s">
        <v>19381</v>
      </c>
      <c r="B15382" s="4" t="s">
        <v>19382</v>
      </c>
      <c r="C15382" s="5" t="str">
        <f>IFERROR(__xludf.DUMMYFUNCTION("GOOGLETRANSLATE(B15382,""en"",""de"")"),"Ein Typ kriecht auf dem Boden.")</f>
        <v>Ein Typ kriecht auf dem Boden.</v>
      </c>
    </row>
    <row r="15383">
      <c r="A15383" s="4" t="s">
        <v>19381</v>
      </c>
      <c r="B15383" s="4" t="s">
        <v>19383</v>
      </c>
      <c r="C15383" s="5" t="str">
        <f>IFERROR(__xludf.DUMMYFUNCTION("GOOGLETRANSLATE(B15383,""en"",""de"")"),"Der Typ benutzt ein Kastenmesser, um den Teppich zu schneiden.")</f>
        <v>Der Typ benutzt ein Kastenmesser, um den Teppich zu schneiden.</v>
      </c>
    </row>
    <row r="15384">
      <c r="A15384" s="4" t="s">
        <v>19381</v>
      </c>
      <c r="B15384" s="4" t="s">
        <v>19384</v>
      </c>
      <c r="C15384" s="5" t="str">
        <f>IFERROR(__xludf.DUMMYFUNCTION("GOOGLETRANSLATE(B15384,""en"",""de"")"),"Der Typ schaut hinter ihm.")</f>
        <v>Der Typ schaut hinter ihm.</v>
      </c>
    </row>
    <row r="15385">
      <c r="A15385" s="4" t="s">
        <v>19381</v>
      </c>
      <c r="B15385" s="4" t="s">
        <v>19385</v>
      </c>
      <c r="C15385" s="5" t="str">
        <f>IFERROR(__xludf.DUMMYFUNCTION("GOOGLETRANSLATE(B15385,""en"",""de"")"),"Es gibt viele Papiere an der Wand.")</f>
        <v>Es gibt viele Papiere an der Wand.</v>
      </c>
    </row>
    <row r="15386">
      <c r="A15386" s="4" t="s">
        <v>19386</v>
      </c>
      <c r="B15386" s="4" t="s">
        <v>19387</v>
      </c>
      <c r="C15386" s="5" t="str">
        <f>IFERROR(__xludf.DUMMYFUNCTION("GOOGLETRANSLATE(B15386,""en"",""de"")"),"Eine Gruppe von Männern wird gesehen, wie ein Kamel herumfährt, während eine Person auf dem Kamel fährt.")</f>
        <v>Eine Gruppe von Männern wird gesehen, wie ein Kamel herumfährt, während eine Person auf dem Kamel fährt.</v>
      </c>
    </row>
    <row r="15387">
      <c r="A15387" s="4" t="s">
        <v>19386</v>
      </c>
      <c r="B15387" s="4" t="s">
        <v>19388</v>
      </c>
      <c r="C15387" s="5" t="str">
        <f>IFERROR(__xludf.DUMMYFUNCTION("GOOGLETRANSLATE(B15387,""en"",""de"")"),"Ein Mann führt die Kamera mit der Person an der Spitze herum und Leute, die sie von den Seiten aufnehmen.")</f>
        <v>Ein Mann führt die Kamera mit der Person an der Spitze herum und Leute, die sie von den Seiten aufnehmen.</v>
      </c>
    </row>
    <row r="15388">
      <c r="A15388" s="4" t="s">
        <v>19386</v>
      </c>
      <c r="B15388" s="4" t="s">
        <v>19389</v>
      </c>
      <c r="C15388" s="5" t="str">
        <f>IFERROR(__xludf.DUMMYFUNCTION("GOOGLETRANSLATE(B15388,""en"",""de"")"),"Der Mann legt das Kamel für die Person zum Klettern und der Fahrer lächelt und winkt zur Kamera.")</f>
        <v>Der Mann legt das Kamel für die Person zum Klettern und der Fahrer lächelt und winkt zur Kamera.</v>
      </c>
    </row>
    <row r="15389">
      <c r="A15389" s="4" t="s">
        <v>19390</v>
      </c>
      <c r="B15389" s="4" t="s">
        <v>19391</v>
      </c>
      <c r="C15389" s="5" t="str">
        <f>IFERROR(__xludf.DUMMYFUNCTION("GOOGLETRANSLATE(B15389,""en"",""de"")"),"Ein Mann rennt in Zeitlupe einen Weg im Feld und bereitet sich darauf vor, einen Speer zu werfen.")</f>
        <v>Ein Mann rennt in Zeitlupe einen Weg im Feld und bereitet sich darauf vor, einen Speer zu werfen.</v>
      </c>
    </row>
    <row r="15390">
      <c r="A15390" s="4" t="s">
        <v>19390</v>
      </c>
      <c r="B15390" s="4" t="s">
        <v>19392</v>
      </c>
      <c r="C15390" s="5" t="str">
        <f>IFERROR(__xludf.DUMMYFUNCTION("GOOGLETRANSLATE(B15390,""en"",""de"")"),"Als er näher kommt, beginnt er seitwärts zu drehen und zu rennen und wirft den Speer.")</f>
        <v>Als er näher kommt, beginnt er seitwärts zu drehen und zu rennen und wirft den Speer.</v>
      </c>
    </row>
    <row r="15391">
      <c r="A15391" s="4" t="s">
        <v>19390</v>
      </c>
      <c r="B15391" s="4" t="s">
        <v>19393</v>
      </c>
      <c r="C15391" s="5" t="str">
        <f>IFERROR(__xludf.DUMMYFUNCTION("GOOGLETRANSLATE(B15391,""en"",""de"")"),"Sobald es veröffentlicht wird, stolpert er und hat Schwierigkeiten, sich ausgleichen zu lassen, wie der Rest der Menschen, die ihn umgeben, seine Entfernung sehen.")</f>
        <v>Sobald es veröffentlicht wird, stolpert er und hat Schwierigkeiten, sich ausgleichen zu lassen, wie der Rest der Menschen, die ihn umgeben, seine Entfernung sehen.</v>
      </c>
    </row>
    <row r="15392">
      <c r="A15392" s="4" t="s">
        <v>19394</v>
      </c>
      <c r="B15392" s="4" t="s">
        <v>19395</v>
      </c>
      <c r="C15392" s="5" t="str">
        <f>IFERROR(__xludf.DUMMYFUNCTION("GOOGLETRANSLATE(B15392,""en"",""de"")"),"Ein Turner tritt auf einem Pommel -Pferd vor einer Menge in den Tribünen auf.")</f>
        <v>Ein Turner tritt auf einem Pommel -Pferd vor einer Menge in den Tribünen auf.</v>
      </c>
    </row>
    <row r="15393">
      <c r="A15393" s="4" t="s">
        <v>19394</v>
      </c>
      <c r="B15393" s="4" t="s">
        <v>19396</v>
      </c>
      <c r="C15393" s="5" t="str">
        <f>IFERROR(__xludf.DUMMYFUNCTION("GOOGLETRANSLATE(B15393,""en"",""de"")"),"Dann dreht sie rückwärts und Land stehen auf der Schaumstoffmatte.")</f>
        <v>Dann dreht sie rückwärts und Land stehen auf der Schaumstoffmatte.</v>
      </c>
    </row>
    <row r="15394">
      <c r="A15394" s="4" t="s">
        <v>19397</v>
      </c>
      <c r="B15394" s="4" t="s">
        <v>19398</v>
      </c>
      <c r="C15394" s="5" t="str">
        <f>IFERROR(__xludf.DUMMYFUNCTION("GOOGLETRANSLATE(B15394,""en"",""de"")"),"Ein Mann schießt einen Bogen und einen Pfeil, gefolgt von einem anderen Mann, der sich verbeugt und zielt.")</f>
        <v>Ein Mann schießt einen Bogen und einen Pfeil, gefolgt von einem anderen Mann, der sich verbeugt und zielt.</v>
      </c>
    </row>
    <row r="15395">
      <c r="A15395" s="4" t="s">
        <v>19397</v>
      </c>
      <c r="B15395" s="4" t="s">
        <v>19399</v>
      </c>
      <c r="C15395" s="5" t="str">
        <f>IFERROR(__xludf.DUMMYFUNCTION("GOOGLETRANSLATE(B15395,""en"",""de"")"),"Ein anderer Mann wird vor der Schleife geknien und mit der Kamera gesprochen.")</f>
        <v>Ein anderer Mann wird vor der Schleife geknien und mit der Kamera gesprochen.</v>
      </c>
    </row>
    <row r="15396">
      <c r="A15396" s="4" t="s">
        <v>19397</v>
      </c>
      <c r="B15396" s="4" t="s">
        <v>19400</v>
      </c>
      <c r="C15396" s="5" t="str">
        <f>IFERROR(__xludf.DUMMYFUNCTION("GOOGLETRANSLATE(B15396,""en"",""de"")"),"Er zeigt auf verschiedene Kisten und schaut weiter in die Kamera und spricht.")</f>
        <v>Er zeigt auf verschiedene Kisten und schaut weiter in die Kamera und spricht.</v>
      </c>
    </row>
    <row r="15397">
      <c r="A15397" s="4" t="s">
        <v>19401</v>
      </c>
      <c r="B15397" s="4" t="s">
        <v>19402</v>
      </c>
      <c r="C15397" s="5" t="str">
        <f>IFERROR(__xludf.DUMMYFUNCTION("GOOGLETRANSLATE(B15397,""en"",""de"")"),"Das Video ist ein Tutorial über die Installation von Deckfliesen.")</f>
        <v>Das Video ist ein Tutorial über die Installation von Deckfliesen.</v>
      </c>
    </row>
    <row r="15398">
      <c r="A15398" s="4" t="s">
        <v>19401</v>
      </c>
      <c r="B15398" s="4" t="s">
        <v>19403</v>
      </c>
      <c r="C15398" s="5" t="str">
        <f>IFERROR(__xludf.DUMMYFUNCTION("GOOGLETRANSLATE(B15398,""en"",""de"")"),"Es gibt einen Auftragnehmer an einem Deck.")</f>
        <v>Es gibt einen Auftragnehmer an einem Deck.</v>
      </c>
    </row>
    <row r="15399">
      <c r="A15399" s="4" t="s">
        <v>19401</v>
      </c>
      <c r="B15399" s="4" t="s">
        <v>19404</v>
      </c>
      <c r="C15399" s="5" t="str">
        <f>IFERROR(__xludf.DUMMYFUNCTION("GOOGLETRANSLATE(B15399,""en"",""de"")"),"Er beginnt mit der Installation der ineinandergreifenden Holzfliesen auf einer Betondeckoberfläche.")</f>
        <v>Er beginnt mit der Installation der ineinandergreifenden Holzfliesen auf einer Betondeckoberfläche.</v>
      </c>
    </row>
    <row r="15400">
      <c r="A15400" s="4" t="s">
        <v>19401</v>
      </c>
      <c r="B15400" s="4" t="s">
        <v>19405</v>
      </c>
      <c r="C15400" s="5" t="str">
        <f>IFERROR(__xludf.DUMMYFUNCTION("GOOGLETRANSLATE(B15400,""en"",""de"")"),"Er deckt das gesamte Deck mit den Holzfliesen ab, um die Oberfläche gleichmäßig abzudecken.")</f>
        <v>Er deckt das gesamte Deck mit den Holzfliesen ab, um die Oberfläche gleichmäßig abzudecken.</v>
      </c>
    </row>
    <row r="15401">
      <c r="A15401" s="4" t="s">
        <v>19406</v>
      </c>
      <c r="B15401" s="4" t="s">
        <v>19407</v>
      </c>
      <c r="C15401" s="5" t="str">
        <f>IFERROR(__xludf.DUMMYFUNCTION("GOOGLETRANSLATE(B15401,""en"",""de"")"),"Ein älterer Mann ist in einem Pool und er hält einen gelben Ball vor seinem Gesicht.")</f>
        <v>Ein älterer Mann ist in einem Pool und er hält einen gelben Ball vor seinem Gesicht.</v>
      </c>
    </row>
    <row r="15402">
      <c r="A15402" s="4" t="s">
        <v>19406</v>
      </c>
      <c r="B15402" s="4" t="s">
        <v>19408</v>
      </c>
      <c r="C15402" s="5" t="str">
        <f>IFERROR(__xludf.DUMMYFUNCTION("GOOGLETRANSLATE(B15402,""en"",""de"")"),"Der Mann wirft es einem Hund, der auf einem blauen schwimmenden Gerät ausbalanciert, und der Hund trifft ihn mit seiner Nase wieder an den Mann.")</f>
        <v>Der Mann wirft es einem Hund, der auf einem blauen schwimmenden Gerät ausbalanciert, und der Hund trifft ihn mit seiner Nase wieder an den Mann.</v>
      </c>
    </row>
    <row r="15403">
      <c r="A15403" s="4" t="s">
        <v>19406</v>
      </c>
      <c r="B15403" s="4" t="s">
        <v>19409</v>
      </c>
      <c r="C15403" s="5" t="str">
        <f>IFERROR(__xludf.DUMMYFUNCTION("GOOGLETRANSLATE(B15403,""en"",""de"")"),"Der Mann wirft es zurück zum Hund und der Hund schlägt ihn zurück und schlüpft dann vom schwimmenden Gerät aus und spritzt ins Wasser.")</f>
        <v>Der Mann wirft es zurück zum Hund und der Hund schlägt ihn zurück und schlüpft dann vom schwimmenden Gerät aus und spritzt ins Wasser.</v>
      </c>
    </row>
    <row r="15404">
      <c r="A15404" s="4" t="s">
        <v>19410</v>
      </c>
      <c r="B15404" s="4" t="s">
        <v>19411</v>
      </c>
      <c r="C15404" s="5" t="str">
        <f>IFERROR(__xludf.DUMMYFUNCTION("GOOGLETRANSLATE(B15404,""en"",""de"")"),"Frauen sind insisde eine Badewanne, die ihre Beine mit Ceam und Wasser schüttelt.")</f>
        <v>Frauen sind insisde eine Badewanne, die ihre Beine mit Ceam und Wasser schüttelt.</v>
      </c>
    </row>
    <row r="15405">
      <c r="A15405" s="4" t="s">
        <v>19410</v>
      </c>
      <c r="B15405" s="4" t="s">
        <v>19412</v>
      </c>
      <c r="C15405" s="5" t="str">
        <f>IFERROR(__xludf.DUMMYFUNCTION("GOOGLETRANSLATE(B15405,""en"",""de"")"),"Frauen lachen vor einem Spiegel.")</f>
        <v>Frauen lachen vor einem Spiegel.</v>
      </c>
    </row>
    <row r="15406">
      <c r="A15406" s="4" t="s">
        <v>19413</v>
      </c>
      <c r="B15406" s="4" t="s">
        <v>19414</v>
      </c>
      <c r="C15406" s="5" t="str">
        <f>IFERROR(__xludf.DUMMYFUNCTION("GOOGLETRANSLATE(B15406,""en"",""de"")"),"Wir sehen einen Wolf in den Titelbildschirm.")</f>
        <v>Wir sehen einen Wolf in den Titelbildschirm.</v>
      </c>
    </row>
    <row r="15407">
      <c r="A15407" s="4" t="s">
        <v>19413</v>
      </c>
      <c r="B15407" s="4" t="s">
        <v>19415</v>
      </c>
      <c r="C15407" s="5" t="str">
        <f>IFERROR(__xludf.DUMMYFUNCTION("GOOGLETRANSLATE(B15407,""en"",""de"")"),"Wir sehen die Landschaft einer kleinen Stadt.")</f>
        <v>Wir sehen die Landschaft einer kleinen Stadt.</v>
      </c>
    </row>
    <row r="15408">
      <c r="A15408" s="4" t="s">
        <v>19413</v>
      </c>
      <c r="B15408" s="4" t="s">
        <v>19416</v>
      </c>
      <c r="C15408" s="5" t="str">
        <f>IFERROR(__xludf.DUMMYFUNCTION("GOOGLETRANSLATE(B15408,""en"",""de"")"),"Ein Junge reitet eine Straße auf einem Skateboard hinunter.")</f>
        <v>Ein Junge reitet eine Straße auf einem Skateboard hinunter.</v>
      </c>
    </row>
    <row r="15409">
      <c r="A15409" s="4" t="s">
        <v>19413</v>
      </c>
      <c r="B15409" s="4" t="s">
        <v>19417</v>
      </c>
      <c r="C15409" s="5" t="str">
        <f>IFERROR(__xludf.DUMMYFUNCTION("GOOGLETRANSLATE(B15409,""en"",""de"")"),"Vier Jungen auf Skateboards fahren vorbei.")</f>
        <v>Vier Jungen auf Skateboards fahren vorbei.</v>
      </c>
    </row>
    <row r="15410">
      <c r="A15410" s="4" t="s">
        <v>19413</v>
      </c>
      <c r="B15410" s="4" t="s">
        <v>19418</v>
      </c>
      <c r="C15410" s="5" t="str">
        <f>IFERROR(__xludf.DUMMYFUNCTION("GOOGLETRANSLATE(B15410,""en"",""de"")"),"Wir sehen einen Jungen fast zweimal fallen.")</f>
        <v>Wir sehen einen Jungen fast zweimal fallen.</v>
      </c>
    </row>
    <row r="15411">
      <c r="A15411" s="4" t="s">
        <v>19413</v>
      </c>
      <c r="B15411" s="4" t="s">
        <v>19419</v>
      </c>
      <c r="C15411" s="5" t="str">
        <f>IFERROR(__xludf.DUMMYFUNCTION("GOOGLETRANSLATE(B15411,""en"",""de"")"),"Wir sehen das Board am Bordstein.")</f>
        <v>Wir sehen das Board am Bordstein.</v>
      </c>
    </row>
    <row r="15412">
      <c r="A15412" s="4" t="s">
        <v>19413</v>
      </c>
      <c r="B15412" s="4" t="s">
        <v>19420</v>
      </c>
      <c r="C15412" s="5" t="str">
        <f>IFERROR(__xludf.DUMMYFUNCTION("GOOGLETRANSLATE(B15412,""en"",""de"")"),"Eine Gruppe von Jungen, die einen Hügel hinaufgehen.")</f>
        <v>Eine Gruppe von Jungen, die einen Hügel hinaufgehen.</v>
      </c>
    </row>
    <row r="15413">
      <c r="A15413" s="4" t="s">
        <v>19413</v>
      </c>
      <c r="B15413" s="4" t="s">
        <v>19421</v>
      </c>
      <c r="C15413" s="5" t="str">
        <f>IFERROR(__xludf.DUMMYFUNCTION("GOOGLETRANSLATE(B15413,""en"",""de"")"),"Das Ende spielt und wir sehen einen Jungen in einem Bus.")</f>
        <v>Das Ende spielt und wir sehen einen Jungen in einem Bus.</v>
      </c>
    </row>
    <row r="15414">
      <c r="A15414" s="4" t="s">
        <v>19422</v>
      </c>
      <c r="B15414" s="4" t="s">
        <v>19423</v>
      </c>
      <c r="C15414" s="5" t="str">
        <f>IFERROR(__xludf.DUMMYFUNCTION("GOOGLETRANSLATE(B15414,""en"",""de"")"),"Ein Mann, der in einem schwarzen Sweatshirt und schwarzen Shorts gekleidet ist, zusammen mit einer anderen Person, die in weißer sportlicher Kleidung gekleidet ist, stehen in einem Tennisplatz in der Nähe des Netzes.")</f>
        <v>Ein Mann, der in einem schwarzen Sweatshirt und schwarzen Shorts gekleidet ist, zusammen mit einer anderen Person, die in weißer sportlicher Kleidung gekleidet ist, stehen in einem Tennisplatz in der Nähe des Netzes.</v>
      </c>
    </row>
    <row r="15415">
      <c r="A15415" s="4" t="s">
        <v>19422</v>
      </c>
      <c r="B15415" s="4" t="s">
        <v>19424</v>
      </c>
      <c r="C15415" s="5" t="str">
        <f>IFERROR(__xludf.DUMMYFUNCTION("GOOGLETRANSLATE(B15415,""en"",""de"")"),"Sie halten beide Tennisschläger.")</f>
        <v>Sie halten beide Tennisschläger.</v>
      </c>
    </row>
    <row r="15416">
      <c r="A15416" s="4" t="s">
        <v>19422</v>
      </c>
      <c r="B15416" s="4" t="s">
        <v>19425</v>
      </c>
      <c r="C15416" s="5" t="str">
        <f>IFERROR(__xludf.DUMMYFUNCTION("GOOGLETRANSLATE(B15416,""en"",""de"")"),"Die Person in Schwarz gibt ein Tutorial darüber, wie man einen Aufschlag im Tennis zurückgibt.")</f>
        <v>Die Person in Schwarz gibt ein Tutorial darüber, wie man einen Aufschlag im Tennis zurückgibt.</v>
      </c>
    </row>
    <row r="15417">
      <c r="A15417" s="4" t="s">
        <v>19422</v>
      </c>
      <c r="B15417" s="4" t="s">
        <v>19426</v>
      </c>
      <c r="C15417" s="5" t="str">
        <f>IFERROR(__xludf.DUMMYFUNCTION("GOOGLETRANSLATE(B15417,""en"",""de"")"),"Es gibt einen Spieler, der den Aufschlag demonstriert, wie der Trainer erklärt.")</f>
        <v>Es gibt einen Spieler, der den Aufschlag demonstriert, wie der Trainer erklärt.</v>
      </c>
    </row>
    <row r="15418">
      <c r="A15418" s="4" t="s">
        <v>19422</v>
      </c>
      <c r="B15418" s="4" t="s">
        <v>19427</v>
      </c>
      <c r="C15418" s="5" t="str">
        <f>IFERROR(__xludf.DUMMYFUNCTION("GOOGLETRANSLATE(B15418,""en"",""de"")"),"Dann nimmt die Person in Weiß mehr über den Tennisaufschlag und das effektive Spielen.")</f>
        <v>Dann nimmt die Person in Weiß mehr über den Tennisaufschlag und das effektive Spielen.</v>
      </c>
    </row>
    <row r="15419">
      <c r="A15419" s="4" t="s">
        <v>19422</v>
      </c>
      <c r="B15419" s="4" t="s">
        <v>19428</v>
      </c>
      <c r="C15419" s="5" t="str">
        <f>IFERROR(__xludf.DUMMYFUNCTION("GOOGLETRANSLATE(B15419,""en"",""de"")"),"Der Spieler demonstriert weiterhin die Dienste.")</f>
        <v>Der Spieler demonstriert weiterhin die Dienste.</v>
      </c>
    </row>
    <row r="15420">
      <c r="A15420" s="4" t="s">
        <v>19429</v>
      </c>
      <c r="B15420" s="4" t="s">
        <v>19430</v>
      </c>
      <c r="C15420" s="5" t="str">
        <f>IFERROR(__xludf.DUMMYFUNCTION("GOOGLETRANSLATE(B15420,""en"",""de"")"),"Die Leute machen Tricks mit Rollschaufeln.")</f>
        <v>Die Leute machen Tricks mit Rollschaufeln.</v>
      </c>
    </row>
    <row r="15421">
      <c r="A15421" s="4" t="s">
        <v>19429</v>
      </c>
      <c r="B15421" s="4" t="s">
        <v>19431</v>
      </c>
      <c r="C15421" s="5" t="str">
        <f>IFERROR(__xludf.DUMMYFUNCTION("GOOGLETRANSLATE(B15421,""en"",""de"")"),"Ein Mann springt einen Treppenflug auf Rollschaufel hinunter.")</f>
        <v>Ein Mann springt einen Treppenflug auf Rollschaufel hinunter.</v>
      </c>
    </row>
    <row r="15422">
      <c r="A15422" s="4" t="s">
        <v>19429</v>
      </c>
      <c r="B15422" s="4" t="s">
        <v>19432</v>
      </c>
      <c r="C15422" s="5" t="str">
        <f>IFERROR(__xludf.DUMMYFUNCTION("GOOGLETRANSLATE(B15422,""en"",""de"")"),"Ein Mann in einem weißen Hemd springt eine Treppe hinunter.")</f>
        <v>Ein Mann in einem weißen Hemd springt eine Treppe hinunter.</v>
      </c>
    </row>
    <row r="15423">
      <c r="A15423" s="4" t="s">
        <v>19433</v>
      </c>
      <c r="B15423" s="4" t="s">
        <v>19434</v>
      </c>
      <c r="C15423" s="5" t="str">
        <f>IFERROR(__xludf.DUMMYFUNCTION("GOOGLETRANSLATE(B15423,""en"",""de"")"),"Drei Männer spielen Darts.")</f>
        <v>Drei Männer spielen Darts.</v>
      </c>
    </row>
    <row r="15424">
      <c r="A15424" s="4" t="s">
        <v>19433</v>
      </c>
      <c r="B15424" s="4" t="s">
        <v>19435</v>
      </c>
      <c r="C15424" s="5" t="str">
        <f>IFERROR(__xludf.DUMMYFUNCTION("GOOGLETRANSLATE(B15424,""en"",""de"")"),"Der Mann in den Pfirsichhemden wirft einen Pfeil auf das Dartbrett.")</f>
        <v>Der Mann in den Pfirsichhemden wirft einen Pfeil auf das Dartbrett.</v>
      </c>
    </row>
    <row r="15425">
      <c r="A15425" s="4" t="s">
        <v>19433</v>
      </c>
      <c r="B15425" s="4" t="s">
        <v>19436</v>
      </c>
      <c r="C15425" s="5" t="str">
        <f>IFERROR(__xludf.DUMMYFUNCTION("GOOGLETRANSLATE(B15425,""en"",""de"")"),"Ein Mann in Blau trifft einen Cue -Ball.")</f>
        <v>Ein Mann in Blau trifft einen Cue -Ball.</v>
      </c>
    </row>
    <row r="15426">
      <c r="A15426" s="4" t="s">
        <v>19433</v>
      </c>
      <c r="B15426" s="4" t="s">
        <v>19437</v>
      </c>
      <c r="C15426" s="5" t="str">
        <f>IFERROR(__xludf.DUMMYFUNCTION("GOOGLETRANSLATE(B15426,""en"",""de"")"),"Der Mann in Pfirsichlinien stellt sich wieder auf und schießt drei Darts auf das Dartbrett und entfernt sie.")</f>
        <v>Der Mann in Pfirsichlinien stellt sich wieder auf und schießt drei Darts auf das Dartbrett und entfernt sie.</v>
      </c>
    </row>
    <row r="15427">
      <c r="A15427" s="4" t="s">
        <v>19433</v>
      </c>
      <c r="B15427" s="4" t="s">
        <v>19438</v>
      </c>
      <c r="C15427" s="5" t="str">
        <f>IFERROR(__xludf.DUMMYFUNCTION("GOOGLETRANSLATE(B15427,""en"",""de"")"),"Er stellt sich wieder vor das Brett und wirft einen weiteren Pfeil.")</f>
        <v>Er stellt sich wieder vor das Brett und wirft einen weiteren Pfeil.</v>
      </c>
    </row>
    <row r="15428">
      <c r="A15428" s="4" t="s">
        <v>19433</v>
      </c>
      <c r="B15428" s="4" t="s">
        <v>19439</v>
      </c>
      <c r="C15428" s="5" t="str">
        <f>IFERROR(__xludf.DUMMYFUNCTION("GOOGLETRANSLATE(B15428,""en"",""de"")"),"Weitere Menschen versammeln sich, während zwei Männer die Pfeile aus den Dartboards entfernen und eine Distanz zurückgehen.")</f>
        <v>Weitere Menschen versammeln sich, während zwei Männer die Pfeile aus den Dartboards entfernen und eine Distanz zurückgehen.</v>
      </c>
    </row>
    <row r="15429">
      <c r="A15429" s="4" t="s">
        <v>19433</v>
      </c>
      <c r="B15429" s="4" t="s">
        <v>19440</v>
      </c>
      <c r="C15429" s="5" t="str">
        <f>IFERROR(__xludf.DUMMYFUNCTION("GOOGLETRANSLATE(B15429,""en"",""de"")"),"Beide Männer werfen einen Pfeil auf das Dartbrett.")</f>
        <v>Beide Männer werfen einen Pfeil auf das Dartbrett.</v>
      </c>
    </row>
    <row r="15430">
      <c r="A15430" s="4" t="s">
        <v>19433</v>
      </c>
      <c r="B15430" s="4" t="s">
        <v>19441</v>
      </c>
      <c r="C15430" s="5" t="str">
        <f>IFERROR(__xludf.DUMMYFUNCTION("GOOGLETRANSLATE(B15430,""en"",""de"")"),"Der Mann in Pfirsich geht, um die Pfeile zu entfernen.")</f>
        <v>Der Mann in Pfirsich geht, um die Pfeile zu entfernen.</v>
      </c>
    </row>
    <row r="15431">
      <c r="A15431" s="4" t="s">
        <v>19433</v>
      </c>
      <c r="B15431" s="4" t="s">
        <v>19442</v>
      </c>
      <c r="C15431" s="5" t="str">
        <f>IFERROR(__xludf.DUMMYFUNCTION("GOOGLETRANSLATE(B15431,""en"",""de"")"),"Eine Frau steht zum Dart -Board und lächelt.")</f>
        <v>Eine Frau steht zum Dart -Board und lächelt.</v>
      </c>
    </row>
    <row r="15432">
      <c r="A15432" s="4" t="s">
        <v>19433</v>
      </c>
      <c r="B15432" s="4" t="s">
        <v>19443</v>
      </c>
      <c r="C15432" s="5" t="str">
        <f>IFERROR(__xludf.DUMMYFUNCTION("GOOGLETRANSLATE(B15432,""en"",""de"")"),"Der Mann in Pfirsich wirft erneut drei Pfeile auf die Brett und lächelt, während er sie entfernt.")</f>
        <v>Der Mann in Pfirsich wirft erneut drei Pfeile auf die Brett und lächelt, während er sie entfernt.</v>
      </c>
    </row>
    <row r="15433">
      <c r="A15433" s="4" t="s">
        <v>19444</v>
      </c>
      <c r="B15433" s="4" t="s">
        <v>19445</v>
      </c>
      <c r="C15433" s="5" t="str">
        <f>IFERROR(__xludf.DUMMYFUNCTION("GOOGLETRANSLATE(B15433,""en"",""de"")"),"Wir sehen einen kleinen Jungen auf einer Plattform in einem Dschungel -Fitnessstudio.")</f>
        <v>Wir sehen einen kleinen Jungen auf einer Plattform in einem Dschungel -Fitnessstudio.</v>
      </c>
    </row>
    <row r="15434">
      <c r="A15434" s="4" t="s">
        <v>19444</v>
      </c>
      <c r="B15434" s="4" t="s">
        <v>19446</v>
      </c>
      <c r="C15434" s="5" t="str">
        <f>IFERROR(__xludf.DUMMYFUNCTION("GOOGLETRANSLATE(B15434,""en"",""de"")"),"Der Junge klettert auf die Affenbars.")</f>
        <v>Der Junge klettert auf die Affenbars.</v>
      </c>
    </row>
    <row r="15435">
      <c r="A15435" s="4" t="s">
        <v>19444</v>
      </c>
      <c r="B15435" s="4" t="s">
        <v>19447</v>
      </c>
      <c r="C15435" s="5" t="str">
        <f>IFERROR(__xludf.DUMMYFUNCTION("GOOGLETRANSLATE(B15435,""en"",""de"")"),"Der Junge erreicht die andere Plattform und dreht sich und lächelt für die Kamera.")</f>
        <v>Der Junge erreicht die andere Plattform und dreht sich und lächelt für die Kamera.</v>
      </c>
    </row>
    <row r="15436">
      <c r="A15436" s="4" t="s">
        <v>19448</v>
      </c>
      <c r="B15436" s="4" t="s">
        <v>19449</v>
      </c>
      <c r="C15436" s="5" t="str">
        <f>IFERROR(__xludf.DUMMYFUNCTION("GOOGLETRANSLATE(B15436,""en"",""de"")"),"Zwei Männer sitzen in einem Raum, der Zigaretten raucht, die eine Gitarre auf der Tastatur spielt.")</f>
        <v>Zwei Männer sitzen in einem Raum, der Zigaretten raucht, die eine Gitarre auf der Tastatur spielt.</v>
      </c>
    </row>
    <row r="15437">
      <c r="A15437" s="4" t="s">
        <v>19448</v>
      </c>
      <c r="B15437" s="4" t="s">
        <v>19450</v>
      </c>
      <c r="C15437" s="5" t="str">
        <f>IFERROR(__xludf.DUMMYFUNCTION("GOOGLETRANSLATE(B15437,""en"",""de"")"),"Der Mann auf der Gitarre auf der rechten Seite nimmt seine Zigarette aus seinem Mund und stellt sie nieder.")</f>
        <v>Der Mann auf der Gitarre auf der rechten Seite nimmt seine Zigarette aus seinem Mund und stellt sie nieder.</v>
      </c>
    </row>
    <row r="15438">
      <c r="A15438" s="4" t="s">
        <v>19448</v>
      </c>
      <c r="B15438" s="4" t="s">
        <v>19451</v>
      </c>
      <c r="C15438" s="5" t="str">
        <f>IFERROR(__xludf.DUMMYFUNCTION("GOOGLETRANSLATE(B15438,""en"",""de"")"),"Der Mann links nimmt seine Zigarette heraus und wischt den Mund an seinem Arm ab.")</f>
        <v>Der Mann links nimmt seine Zigarette heraus und wischt den Mund an seinem Arm ab.</v>
      </c>
    </row>
    <row r="15439">
      <c r="A15439" s="4" t="s">
        <v>19448</v>
      </c>
      <c r="B15439" s="4" t="s">
        <v>19452</v>
      </c>
      <c r="C15439" s="5" t="str">
        <f>IFERROR(__xludf.DUMMYFUNCTION("GOOGLETRANSLATE(B15439,""en"",""de"")"),"Sie beenden und der Mann links wischt seinen Mund ab und die rechte nimmt seine Zigarette heraus und bläst Rauch.")</f>
        <v>Sie beenden und der Mann links wischt seinen Mund ab und die rechte nimmt seine Zigarette heraus und bläst Rauch.</v>
      </c>
    </row>
    <row r="15440">
      <c r="A15440" s="4" t="s">
        <v>19453</v>
      </c>
      <c r="B15440" s="4" t="s">
        <v>19454</v>
      </c>
      <c r="C15440" s="5" t="str">
        <f>IFERROR(__xludf.DUMMYFUNCTION("GOOGLETRANSLATE(B15440,""en"",""de"")"),"Eine ältere Frau und ein kleines Kind waschen Geschirr in einer Spüle und sprechen miteinander.")</f>
        <v>Eine ältere Frau und ein kleines Kind waschen Geschirr in einer Spüle und sprechen miteinander.</v>
      </c>
    </row>
    <row r="15441">
      <c r="A15441" s="4" t="s">
        <v>19453</v>
      </c>
      <c r="B15441" s="4" t="s">
        <v>19455</v>
      </c>
      <c r="C15441" s="5" t="str">
        <f>IFERROR(__xludf.DUMMYFUNCTION("GOOGLETRANSLATE(B15441,""en"",""de"")"),"Die Leute spielen im Wasser und das Mädchen bläst Blasen, während die Frau das Geschirr waschen.")</f>
        <v>Die Leute spielen im Wasser und das Mädchen bläst Blasen, während die Frau das Geschirr waschen.</v>
      </c>
    </row>
    <row r="15442">
      <c r="A15442" s="4" t="s">
        <v>19456</v>
      </c>
      <c r="B15442" s="4" t="s">
        <v>19457</v>
      </c>
      <c r="C15442" s="5" t="str">
        <f>IFERROR(__xludf.DUMMYFUNCTION("GOOGLETRANSLATE(B15442,""en"",""de"")"),"Ein farbenfroher sechseckiger Kite fliegt hoch in der Luft.")</f>
        <v>Ein farbenfroher sechseckiger Kite fliegt hoch in der Luft.</v>
      </c>
    </row>
    <row r="15443">
      <c r="A15443" s="4" t="s">
        <v>19456</v>
      </c>
      <c r="B15443" s="4" t="s">
        <v>19458</v>
      </c>
      <c r="C15443" s="5" t="str">
        <f>IFERROR(__xludf.DUMMYFUNCTION("GOOGLETRANSLATE(B15443,""en"",""de"")"),"Der klare blaue Himmel und die helle Sonne, die glänzend ist, lassen den Drachen sehr farbenfroh und strahlend aussehen.")</f>
        <v>Der klare blaue Himmel und die helle Sonne, die glänzend ist, lassen den Drachen sehr farbenfroh und strahlend aussehen.</v>
      </c>
    </row>
    <row r="15444">
      <c r="A15444" s="4" t="s">
        <v>19459</v>
      </c>
      <c r="B15444" s="4" t="s">
        <v>19460</v>
      </c>
      <c r="C15444" s="5" t="str">
        <f>IFERROR(__xludf.DUMMYFUNCTION("GOOGLETRANSLATE(B15444,""en"",""de"")"),"Ein Cartoon -Animationsvideo wird gezeigt, wenn Menschen herumwandern und Raketen gedreht werden.")</f>
        <v>Ein Cartoon -Animationsvideo wird gezeigt, wenn Menschen herumwandern und Raketen gedreht werden.</v>
      </c>
    </row>
    <row r="15445">
      <c r="A15445" s="4" t="s">
        <v>19459</v>
      </c>
      <c r="B15445" s="4" t="s">
        <v>19461</v>
      </c>
      <c r="C15445" s="5" t="str">
        <f>IFERROR(__xludf.DUMMYFUNCTION("GOOGLETRANSLATE(B15445,""en"",""de"")"),"Zwei Männer kämpfen gegen Roboter des Bösen und endet mit einem, um fortgesetzt zu werden.")</f>
        <v>Zwei Männer kämpfen gegen Roboter des Bösen und endet mit einem, um fortgesetzt zu werden.</v>
      </c>
    </row>
    <row r="15446">
      <c r="A15446" s="4" t="s">
        <v>19462</v>
      </c>
      <c r="B15446" s="4" t="s">
        <v>19463</v>
      </c>
      <c r="C15446" s="5" t="str">
        <f>IFERROR(__xludf.DUMMYFUNCTION("GOOGLETRANSLATE(B15446,""en"",""de"")"),"Eine Frau spricht mit der Kamera und führt in sie, die verschiedene Lebensmittel herauslegt und Zutaten in einen Mixer mischt.")</f>
        <v>Eine Frau spricht mit der Kamera und führt in sie, die verschiedene Lebensmittel herauslegt und Zutaten in einen Mixer mischt.</v>
      </c>
    </row>
    <row r="15447">
      <c r="A15447" s="4" t="s">
        <v>19462</v>
      </c>
      <c r="B15447" s="4" t="s">
        <v>19464</v>
      </c>
      <c r="C15447" s="5" t="str">
        <f>IFERROR(__xludf.DUMMYFUNCTION("GOOGLETRANSLATE(B15447,""en"",""de"")"),"Sie gießt mehr Mehl in den Mixer und zeigt mehrere Schüsse von Keksen.")</f>
        <v>Sie gießt mehr Mehl in den Mixer und zeigt mehrere Schüsse von Keksen.</v>
      </c>
    </row>
    <row r="15448">
      <c r="A15448" s="4" t="s">
        <v>19462</v>
      </c>
      <c r="B15448" s="4" t="s">
        <v>19465</v>
      </c>
      <c r="C15448" s="5" t="str">
        <f>IFERROR(__xludf.DUMMYFUNCTION("GOOGLETRANSLATE(B15448,""en"",""de"")"),"Sie legt mehr Zutaten, Teiggüsse in eine Pfanne aus und zerbricht dann einen gekochten Keks.")</f>
        <v>Sie legt mehr Zutaten, Teiggüsse in eine Pfanne aus und zerbricht dann einen gekochten Keks.</v>
      </c>
    </row>
    <row r="15449">
      <c r="A15449" s="4" t="s">
        <v>19466</v>
      </c>
      <c r="B15449" s="4" t="s">
        <v>19467</v>
      </c>
      <c r="C15449" s="5" t="str">
        <f>IFERROR(__xludf.DUMMYFUNCTION("GOOGLETRANSLATE(B15449,""en"",""de"")"),"Ein älterer Mann geht und ein großer weißer Vogel beißt an seinem rechten Fuß.")</f>
        <v>Ein älterer Mann geht und ein großer weißer Vogel beißt an seinem rechten Fuß.</v>
      </c>
    </row>
    <row r="15450">
      <c r="A15450" s="4" t="s">
        <v>19466</v>
      </c>
      <c r="B15450" s="4" t="s">
        <v>19468</v>
      </c>
      <c r="C15450" s="5" t="str">
        <f>IFERROR(__xludf.DUMMYFUNCTION("GOOGLETRANSLATE(B15450,""en"",""de"")"),"Der Mann dreht sich um und zeigt und schimpft den Vogel und geht weiter.")</f>
        <v>Der Mann dreht sich um und zeigt und schimpft den Vogel und geht weiter.</v>
      </c>
    </row>
    <row r="15451">
      <c r="A15451" s="4" t="s">
        <v>19466</v>
      </c>
      <c r="B15451" s="4" t="s">
        <v>19469</v>
      </c>
      <c r="C15451" s="5" t="str">
        <f>IFERROR(__xludf.DUMMYFUNCTION("GOOGLETRANSLATE(B15451,""en"",""de"")"),"Der Mann biegt sich dann in der Nähe einiger Treppen herab, wischt sich die Außenseite des Gebäudes ab und der Vogel greift weiterhin den Mann an.")</f>
        <v>Der Mann biegt sich dann in der Nähe einiger Treppen herab, wischt sich die Außenseite des Gebäudes ab und der Vogel greift weiterhin den Mann an.</v>
      </c>
    </row>
    <row r="15452">
      <c r="A15452" s="4" t="s">
        <v>19466</v>
      </c>
      <c r="B15452" s="4" t="s">
        <v>19470</v>
      </c>
      <c r="C15452" s="5" t="str">
        <f>IFERROR(__xludf.DUMMYFUNCTION("GOOGLETRANSLATE(B15452,""en"",""de"")"),"Der Mann schimpft den Vogel erneut und bewegt den kleinen Hund, der auch da ist, dass der Hund und der Vogel interagieren sollten, aber der Vogel spielt immer wieder mit dem Mann und der Hund bleibt ihm heraus.")</f>
        <v>Der Mann schimpft den Vogel erneut und bewegt den kleinen Hund, der auch da ist, dass der Hund und der Vogel interagieren sollten, aber der Vogel spielt immer wieder mit dem Mann und der Hund bleibt ihm heraus.</v>
      </c>
    </row>
    <row r="15453">
      <c r="A15453" s="4" t="s">
        <v>19471</v>
      </c>
      <c r="B15453" s="4" t="s">
        <v>19472</v>
      </c>
      <c r="C15453" s="5" t="str">
        <f>IFERROR(__xludf.DUMMYFUNCTION("GOOGLETRANSLATE(B15453,""en"",""de"")"),"Verschiedene Frauen sehen in die Kamera, gefolgt von einem Mann, der mit der Kamera spricht.")</f>
        <v>Verschiedene Frauen sehen in die Kamera, gefolgt von einem Mann, der mit der Kamera spricht.</v>
      </c>
    </row>
    <row r="15454">
      <c r="A15454" s="4" t="s">
        <v>19471</v>
      </c>
      <c r="B15454" s="4" t="s">
        <v>19473</v>
      </c>
      <c r="C15454" s="5" t="str">
        <f>IFERROR(__xludf.DUMMYFUNCTION("GOOGLETRANSLATE(B15454,""en"",""de"")"),"Es werden mehrere Werkzeuge gezeigt, die zu einer Frau gehen, die ihr Haar ausstreift.")</f>
        <v>Es werden mehrere Werkzeuge gezeigt, die zu einer Frau gehen, die ihr Haar ausstreift.</v>
      </c>
    </row>
    <row r="15455">
      <c r="A15455" s="4" t="s">
        <v>19471</v>
      </c>
      <c r="B15455" s="4" t="s">
        <v>19474</v>
      </c>
      <c r="C15455" s="5" t="str">
        <f>IFERROR(__xludf.DUMMYFUNCTION("GOOGLETRANSLATE(B15455,""en"",""de"")"),"Eine andere Frau streift ihr Haar und führt in mehr Frauen, die lächelnd und in die Kamera schauen.")</f>
        <v>Eine andere Frau streift ihr Haar und führt in mehr Frauen, die lächelnd und in die Kamera schauen.</v>
      </c>
    </row>
    <row r="15456">
      <c r="A15456" s="4" t="s">
        <v>19475</v>
      </c>
      <c r="B15456" s="4" t="s">
        <v>19476</v>
      </c>
      <c r="C15456" s="5" t="str">
        <f>IFERROR(__xludf.DUMMYFUNCTION("GOOGLETRANSLATE(B15456,""en"",""de"")"),"Zwei Leute spielen Wallball in einem Raum.")</f>
        <v>Zwei Leute spielen Wallball in einem Raum.</v>
      </c>
    </row>
    <row r="15457">
      <c r="A15457" s="4" t="s">
        <v>19475</v>
      </c>
      <c r="B15457" s="4" t="s">
        <v>19477</v>
      </c>
      <c r="C15457" s="5" t="str">
        <f>IFERROR(__xludf.DUMMYFUNCTION("GOOGLETRANSLATE(B15457,""en"",""de"")"),"Ein Junge fällt nach unten zum Ball.")</f>
        <v>Ein Junge fällt nach unten zum Ball.</v>
      </c>
    </row>
    <row r="15458">
      <c r="A15458" s="4" t="s">
        <v>19475</v>
      </c>
      <c r="B15458" s="4" t="s">
        <v>19478</v>
      </c>
      <c r="C15458" s="5" t="str">
        <f>IFERROR(__xludf.DUMMYFUNCTION("GOOGLETRANSLATE(B15458,""en"",""de"")"),"Eine Person geht vor dem Raum.")</f>
        <v>Eine Person geht vor dem Raum.</v>
      </c>
    </row>
    <row r="15459">
      <c r="A15459" s="4" t="s">
        <v>19479</v>
      </c>
      <c r="B15459" s="4" t="s">
        <v>19480</v>
      </c>
      <c r="C15459" s="5" t="str">
        <f>IFERROR(__xludf.DUMMYFUNCTION("GOOGLETRANSLATE(B15459,""en"",""de"")"),"Ein Mann ist drinnen, als er einen Frisbee auf dem Boden nimmt.")</f>
        <v>Ein Mann ist drinnen, als er einen Frisbee auf dem Boden nimmt.</v>
      </c>
    </row>
    <row r="15460">
      <c r="A15460" s="4" t="s">
        <v>19479</v>
      </c>
      <c r="B15460" s="4" t="s">
        <v>19481</v>
      </c>
      <c r="C15460" s="5" t="str">
        <f>IFERROR(__xludf.DUMMYFUNCTION("GOOGLETRANSLATE(B15460,""en"",""de"")"),"Dann verwendet er mehrere Frisbees, um die Stunts eines mittelgroßen Collie -Hundes zu trainieren und zu zeigen.")</f>
        <v>Dann verwendet er mehrere Frisbees, um die Stunts eines mittelgroßen Collie -Hundes zu trainieren und zu zeigen.</v>
      </c>
    </row>
    <row r="15461">
      <c r="A15461" s="4" t="s">
        <v>19479</v>
      </c>
      <c r="B15461" s="4" t="s">
        <v>19482</v>
      </c>
      <c r="C15461" s="5" t="str">
        <f>IFERROR(__xludf.DUMMYFUNCTION("GOOGLETRANSLATE(B15461,""en"",""de"")"),"Der Hund rennt vom Bildschirm und bringt die Frisbees zurück.")</f>
        <v>Der Hund rennt vom Bildschirm und bringt die Frisbees zurück.</v>
      </c>
    </row>
    <row r="15462">
      <c r="A15462" s="4" t="s">
        <v>19479</v>
      </c>
      <c r="B15462" s="4" t="s">
        <v>19483</v>
      </c>
      <c r="C15462" s="5" t="str">
        <f>IFERROR(__xludf.DUMMYFUNCTION("GOOGLETRANSLATE(B15462,""en"",""de"")"),"Die Szene endet damit, dass der Hund verzweifelt versucht, einen Frisbee aus der Hand des sitzenden Mannes zu entfernen.")</f>
        <v>Die Szene endet damit, dass der Hund verzweifelt versucht, einen Frisbee aus der Hand des sitzenden Mannes zu entfernen.</v>
      </c>
    </row>
    <row r="15463">
      <c r="A15463" s="4" t="s">
        <v>19484</v>
      </c>
      <c r="B15463" s="4" t="s">
        <v>19485</v>
      </c>
      <c r="C15463" s="5" t="str">
        <f>IFERROR(__xludf.DUMMYFUNCTION("GOOGLETRANSLATE(B15463,""en"",""de"")"),"Ein älterer Mann geht auf die Kamera und zeigt auf verschiedene Pflanzen um ihn herum.")</f>
        <v>Ein älterer Mann geht auf die Kamera und zeigt auf verschiedene Pflanzen um ihn herum.</v>
      </c>
    </row>
    <row r="15464">
      <c r="A15464" s="4" t="s">
        <v>19484</v>
      </c>
      <c r="B15464" s="4" t="s">
        <v>19486</v>
      </c>
      <c r="C15464" s="5" t="str">
        <f>IFERROR(__xludf.DUMMYFUNCTION("GOOGLETRANSLATE(B15464,""en"",""de"")"),"Die Kamera schwenkt in der Umgebung mit allen Pflanzen und zeigt den Mann, der ein Werkzeug hält.")</f>
        <v>Die Kamera schwenkt in der Umgebung mit allen Pflanzen und zeigt den Mann, der ein Werkzeug hält.</v>
      </c>
    </row>
    <row r="15465">
      <c r="A15465" s="4" t="s">
        <v>19484</v>
      </c>
      <c r="B15465" s="4" t="s">
        <v>19487</v>
      </c>
      <c r="C15465" s="5" t="str">
        <f>IFERROR(__xludf.DUMMYFUNCTION("GOOGLETRANSLATE(B15465,""en"",""de"")"),"Der Mann benutzt das Werkzeug dann entlang einer Büschenhecke, während er zurückblickt und zur Kamera lächelt.")</f>
        <v>Der Mann benutzt das Werkzeug dann entlang einer Büschenhecke, während er zurückblickt und zur Kamera lächelt.</v>
      </c>
    </row>
    <row r="15466">
      <c r="A15466" s="4" t="s">
        <v>19488</v>
      </c>
      <c r="B15466" s="4" t="s">
        <v>19489</v>
      </c>
      <c r="C15466" s="5" t="str">
        <f>IFERROR(__xludf.DUMMYFUNCTION("GOOGLETRANSLATE(B15466,""en"",""de"")"),"Ein junges Mädchen spricht mit der Kamera, die vor einem Hop Scotch -Spiel im Stehen steht.")</f>
        <v>Ein junges Mädchen spricht mit der Kamera, die vor einem Hop Scotch -Spiel im Stehen steht.</v>
      </c>
    </row>
    <row r="15467">
      <c r="A15467" s="4" t="s">
        <v>19488</v>
      </c>
      <c r="B15467" s="4" t="s">
        <v>19490</v>
      </c>
      <c r="C15467" s="5" t="str">
        <f>IFERROR(__xludf.DUMMYFUNCTION("GOOGLETRANSLATE(B15467,""en"",""de"")"),"Das Mädchen wirft dann einen Felsen und hüpft, um zu enden, während er ihn greift und zurückhüstert.")</f>
        <v>Das Mädchen wirft dann einen Felsen und hüpft, um zu enden, während er ihn greift und zurückhüstert.</v>
      </c>
    </row>
    <row r="15468">
      <c r="A15468" s="4" t="s">
        <v>19491</v>
      </c>
      <c r="B15468" s="4" t="s">
        <v>19492</v>
      </c>
      <c r="C15468" s="5" t="str">
        <f>IFERROR(__xludf.DUMMYFUNCTION("GOOGLETRANSLATE(B15468,""en"",""de"")"),"Eine Frau steht hinter einem Vakuum.")</f>
        <v>Eine Frau steht hinter einem Vakuum.</v>
      </c>
    </row>
    <row r="15469">
      <c r="A15469" s="4" t="s">
        <v>19491</v>
      </c>
      <c r="B15469" s="4" t="s">
        <v>19493</v>
      </c>
      <c r="C15469" s="5" t="str">
        <f>IFERROR(__xludf.DUMMYFUNCTION("GOOGLETRANSLATE(B15469,""en"",""de"")"),"Sie beginnt den Teppich zu saugen.")</f>
        <v>Sie beginnt den Teppich zu saugen.</v>
      </c>
    </row>
    <row r="15470">
      <c r="A15470" s="4" t="s">
        <v>19491</v>
      </c>
      <c r="B15470" s="4" t="s">
        <v>19494</v>
      </c>
      <c r="C15470" s="5" t="str">
        <f>IFERROR(__xludf.DUMMYFUNCTION("GOOGLETRANSLATE(B15470,""en"",""de"")"),"Sie nimmt die Schlauchbefestigung ab und reinigt eine Lampe und die Treppe.")</f>
        <v>Sie nimmt die Schlauchbefestigung ab und reinigt eine Lampe und die Treppe.</v>
      </c>
    </row>
    <row r="15471">
      <c r="A15471" s="4" t="s">
        <v>19491</v>
      </c>
      <c r="B15471" s="4" t="s">
        <v>19495</v>
      </c>
      <c r="C15471" s="5" t="str">
        <f>IFERROR(__xludf.DUMMYFUNCTION("GOOGLETRANSLATE(B15471,""en"",""de"")"),"Sie leert den Filter des Vakuums in die Mülldose.")</f>
        <v>Sie leert den Filter des Vakuums in die Mülldose.</v>
      </c>
    </row>
    <row r="15472">
      <c r="A15472" s="4" t="s">
        <v>19496</v>
      </c>
      <c r="B15472" s="4" t="s">
        <v>19497</v>
      </c>
      <c r="C15472" s="5" t="str">
        <f>IFERROR(__xludf.DUMMYFUNCTION("GOOGLETRANSLATE(B15472,""en"",""de"")"),"Das Rezept zur Herstellung von Limeade wird gezeigt.")</f>
        <v>Das Rezept zur Herstellung von Limeade wird gezeigt.</v>
      </c>
    </row>
    <row r="15473">
      <c r="A15473" s="4" t="s">
        <v>19496</v>
      </c>
      <c r="B15473" s="4" t="s">
        <v>19498</v>
      </c>
      <c r="C15473" s="5" t="str">
        <f>IFERROR(__xludf.DUMMYFUNCTION("GOOGLETRANSLATE(B15473,""en"",""de"")"),"Limetten werden entsaftet und dann mit Wasser und Zucker kombiniert.")</f>
        <v>Limetten werden entsaftet und dann mit Wasser und Zucker kombiniert.</v>
      </c>
    </row>
    <row r="15474">
      <c r="A15474" s="4" t="s">
        <v>19496</v>
      </c>
      <c r="B15474" s="4" t="s">
        <v>19499</v>
      </c>
      <c r="C15474" s="5" t="str">
        <f>IFERROR(__xludf.DUMMYFUNCTION("GOOGLETRANSLATE(B15474,""en"",""de"")"),"Das Ganze wird gerührt.")</f>
        <v>Das Ganze wird gerührt.</v>
      </c>
    </row>
    <row r="15475">
      <c r="A15475" s="4" t="s">
        <v>19500</v>
      </c>
      <c r="B15475" s="4" t="s">
        <v>19501</v>
      </c>
      <c r="C15475" s="5" t="str">
        <f>IFERROR(__xludf.DUMMYFUNCTION("GOOGLETRANSLATE(B15475,""en"",""de"")"),"In einem Fitnessstudio zeigt es zwei Bodybauer in schwarzen Hemden, die Gewichtheber zeigen.")</f>
        <v>In einem Fitnessstudio zeigt es zwei Bodybauer in schwarzen Hemden, die Gewichtheber zeigen.</v>
      </c>
    </row>
    <row r="15476">
      <c r="A15476" s="4" t="s">
        <v>19500</v>
      </c>
      <c r="B15476" s="4" t="s">
        <v>19502</v>
      </c>
      <c r="C15476" s="5" t="str">
        <f>IFERROR(__xludf.DUMMYFUNCTION("GOOGLETRANSLATE(B15476,""en"",""de"")"),"Einer der Bodybuilder hebt die Gewichte an, während der andere die richtige Methode dafür erklärt.")</f>
        <v>Einer der Bodybuilder hebt die Gewichte an, während der andere die richtige Methode dafür erklärt.</v>
      </c>
    </row>
    <row r="15477">
      <c r="A15477" s="4" t="s">
        <v>19500</v>
      </c>
      <c r="B15477" s="4" t="s">
        <v>19503</v>
      </c>
      <c r="C15477" s="5" t="str">
        <f>IFERROR(__xludf.DUMMYFUNCTION("GOOGLETRANSLATE(B15477,""en"",""de"")"),"Der Bodybuilder hebt das Gewicht zunächst allmählich und nimmt sich dann schnell auf, um die Gewichte zu erhöhen.")</f>
        <v>Der Bodybuilder hebt das Gewicht zunächst allmählich und nimmt sich dann schnell auf, um die Gewichte zu erhöhen.</v>
      </c>
    </row>
    <row r="15478">
      <c r="A15478" s="4" t="s">
        <v>19500</v>
      </c>
      <c r="B15478" s="4" t="s">
        <v>19504</v>
      </c>
      <c r="C15478" s="5" t="str">
        <f>IFERROR(__xludf.DUMMYFUNCTION("GOOGLETRANSLATE(B15478,""en"",""de"")"),"Der andere Bodybuilder erklärt weiterhin die professionell angewandten Gewichthebenstrategien.")</f>
        <v>Der andere Bodybuilder erklärt weiterhin die professionell angewandten Gewichthebenstrategien.</v>
      </c>
    </row>
    <row r="15479">
      <c r="A15479" s="4" t="s">
        <v>19505</v>
      </c>
      <c r="B15479" s="4" t="s">
        <v>19506</v>
      </c>
      <c r="C15479" s="5" t="str">
        <f>IFERROR(__xludf.DUMMYFUNCTION("GOOGLETRANSLATE(B15479,""en"",""de"")"),"Wir sehen einen Titelbildschirm auf den Bildschirm.")</f>
        <v>Wir sehen einen Titelbildschirm auf den Bildschirm.</v>
      </c>
    </row>
    <row r="15480">
      <c r="A15480" s="4" t="s">
        <v>19505</v>
      </c>
      <c r="B15480" s="4" t="s">
        <v>19507</v>
      </c>
      <c r="C15480" s="5" t="str">
        <f>IFERROR(__xludf.DUMMYFUNCTION("GOOGLETRANSLATE(B15480,""en"",""de"")"),"Wir beobachten dann einen älteren Jungen und eine Jungenschale in einer Kegelbahn.")</f>
        <v>Wir beobachten dann einen älteren Jungen und eine Jungenschale in einer Kegelbahn.</v>
      </c>
    </row>
    <row r="15481">
      <c r="A15481" s="4" t="s">
        <v>19505</v>
      </c>
      <c r="B15481" s="4" t="s">
        <v>19508</v>
      </c>
      <c r="C15481" s="5" t="str">
        <f>IFERROR(__xludf.DUMMYFUNCTION("GOOGLETRANSLATE(B15481,""en"",""de"")"),"Ein kleiner Junge in einem orangefarbenen Hemd rollt den Ball den Gang hinunter.")</f>
        <v>Ein kleiner Junge in einem orangefarbenen Hemd rollt den Ball den Gang hinunter.</v>
      </c>
    </row>
    <row r="15482">
      <c r="A15482" s="4" t="s">
        <v>19505</v>
      </c>
      <c r="B15482" s="4" t="s">
        <v>19509</v>
      </c>
      <c r="C15482" s="5" t="str">
        <f>IFERROR(__xludf.DUMMYFUNCTION("GOOGLETRANSLATE(B15482,""en"",""de"")"),"Wir beobachten, wie ein älterer Junge in einem grünen Hemd 5 Mal den Ball rollt und 4 Streiks erhalten.")</f>
        <v>Wir beobachten, wie ein älterer Junge in einem grünen Hemd 5 Mal den Ball rollt und 4 Streiks erhalten.</v>
      </c>
    </row>
    <row r="15483">
      <c r="A15483" s="4" t="s">
        <v>19505</v>
      </c>
      <c r="B15483" s="4" t="s">
        <v>19510</v>
      </c>
      <c r="C15483" s="5" t="str">
        <f>IFERROR(__xludf.DUMMYFUNCTION("GOOGLETRANSLATE(B15483,""en"",""de"")"),"Wir sehen einen Titelbildschirm und eine Zeitlupe einer der Aufnahmen des älteren Jungen.")</f>
        <v>Wir sehen einen Titelbildschirm und eine Zeitlupe einer der Aufnahmen des älteren Jungen.</v>
      </c>
    </row>
    <row r="15484">
      <c r="A15484" s="4" t="s">
        <v>19511</v>
      </c>
      <c r="B15484" s="4" t="s">
        <v>19512</v>
      </c>
      <c r="C15484" s="5" t="str">
        <f>IFERROR(__xludf.DUMMYFUNCTION("GOOGLETRANSLATE(B15484,""en"",""de"")"),"Ein Mann wird draußen in einem Kinderpark mit grauen Shorts auf einem Paar schwarz -weißer Puma -Turnschuhe gezeigt.")</f>
        <v>Ein Mann wird draußen in einem Kinderpark mit grauen Shorts auf einem Paar schwarz -weißer Puma -Turnschuhe gezeigt.</v>
      </c>
    </row>
    <row r="15485">
      <c r="A15485" s="4" t="s">
        <v>19511</v>
      </c>
      <c r="B15485" s="4" t="s">
        <v>19513</v>
      </c>
      <c r="C15485" s="5" t="str">
        <f>IFERROR(__xludf.DUMMYFUNCTION("GOOGLETRANSLATE(B15485,""en"",""de"")"),"Dann zieht er ihn auf die Affenstangen und steht auf ihnen und geht in einen Handstand.")</f>
        <v>Dann zieht er ihn auf die Affenstangen und steht auf ihnen und geht in einen Handstand.</v>
      </c>
    </row>
    <row r="15486">
      <c r="A15486" s="4" t="s">
        <v>19511</v>
      </c>
      <c r="B15486" s="4" t="s">
        <v>19514</v>
      </c>
      <c r="C15486" s="5" t="str">
        <f>IFERROR(__xludf.DUMMYFUNCTION("GOOGLETRANSLATE(B15486,""en"",""de"")"),"Sobald er sein Gleichgewicht hat, reist er hinüber und springt von einem, den er bis zum Ende gekommen ist.")</f>
        <v>Sobald er sein Gleichgewicht hat, reist er hinüber und springt von einem, den er bis zum Ende gekommen ist.</v>
      </c>
    </row>
    <row r="15487">
      <c r="A15487" s="4" t="s">
        <v>19515</v>
      </c>
      <c r="B15487" s="4" t="s">
        <v>19516</v>
      </c>
      <c r="C15487" s="5" t="str">
        <f>IFERROR(__xludf.DUMMYFUNCTION("GOOGLETRANSLATE(B15487,""en"",""de"")"),"Drei Personen sitzen auf der Bühne und unterhalten sich.")</f>
        <v>Drei Personen sitzen auf der Bühne und unterhalten sich.</v>
      </c>
    </row>
    <row r="15488">
      <c r="A15488" s="4" t="s">
        <v>19515</v>
      </c>
      <c r="B15488" s="4" t="s">
        <v>19517</v>
      </c>
      <c r="C15488" s="5" t="str">
        <f>IFERROR(__xludf.DUMMYFUNCTION("GOOGLETRANSLATE(B15488,""en"",""de"")"),"Zwei Jungen tanzen auf die gleiche Weise.")</f>
        <v>Zwei Jungen tanzen auf die gleiche Weise.</v>
      </c>
    </row>
    <row r="15489">
      <c r="A15489" s="4" t="s">
        <v>19515</v>
      </c>
      <c r="B15489" s="4" t="s">
        <v>19518</v>
      </c>
      <c r="C15489" s="5" t="str">
        <f>IFERROR(__xludf.DUMMYFUNCTION("GOOGLETRANSLATE(B15489,""en"",""de"")"),"Ein Bild eines Mannes wird mit den Tänzern in den Bildschirm eingebaut.")</f>
        <v>Ein Bild eines Mannes wird mit den Tänzern in den Bildschirm eingebaut.</v>
      </c>
    </row>
    <row r="15490">
      <c r="A15490" s="4" t="s">
        <v>19515</v>
      </c>
      <c r="B15490" s="4" t="s">
        <v>19519</v>
      </c>
      <c r="C15490" s="5" t="str">
        <f>IFERROR(__xludf.DUMMYFUNCTION("GOOGLETRANSLATE(B15490,""en"",""de"")"),"Der Mann bedeckt sein Gesicht mit seiner Hand.")</f>
        <v>Der Mann bedeckt sein Gesicht mit seiner Hand.</v>
      </c>
    </row>
    <row r="15491">
      <c r="A15491" s="4" t="s">
        <v>19515</v>
      </c>
      <c r="B15491" s="4" t="s">
        <v>19520</v>
      </c>
      <c r="C15491" s="5" t="str">
        <f>IFERROR(__xludf.DUMMYFUNCTION("GOOGLETRANSLATE(B15491,""en"",""de"")"),"Der Mann und die Frau jagen die Tänzer Handbewegungen.")</f>
        <v>Der Mann und die Frau jagen die Tänzer Handbewegungen.</v>
      </c>
    </row>
    <row r="15492">
      <c r="A15492" s="4" t="s">
        <v>19515</v>
      </c>
      <c r="B15492" s="4" t="s">
        <v>19521</v>
      </c>
      <c r="C15492" s="5" t="str">
        <f>IFERROR(__xludf.DUMMYFUNCTION("GOOGLETRANSLATE(B15492,""en"",""de"")"),"Dieser Mann steigt aus Sitz und Knien.")</f>
        <v>Dieser Mann steigt aus Sitz und Knien.</v>
      </c>
    </row>
    <row r="15493">
      <c r="A15493" s="4" t="s">
        <v>19515</v>
      </c>
      <c r="B15493" s="4" t="s">
        <v>19522</v>
      </c>
      <c r="C15493" s="5" t="str">
        <f>IFERROR(__xludf.DUMMYFUNCTION("GOOGLETRANSLATE(B15493,""en"",""de"")"),"Der Mann bekommt die Knie und setzt sich wieder hin.")</f>
        <v>Der Mann bekommt die Knie und setzt sich wieder hin.</v>
      </c>
    </row>
    <row r="15494">
      <c r="A15494" s="4" t="s">
        <v>19515</v>
      </c>
      <c r="B15494" s="4" t="s">
        <v>19523</v>
      </c>
      <c r="C15494" s="5" t="str">
        <f>IFERROR(__xludf.DUMMYFUNCTION("GOOGLETRANSLATE(B15494,""en"",""de"")"),"Der Mann und der weibliche Berührungshände im Sitzen.")</f>
        <v>Der Mann und der weibliche Berührungshände im Sitzen.</v>
      </c>
    </row>
    <row r="15495">
      <c r="A15495" s="4" t="s">
        <v>19515</v>
      </c>
      <c r="B15495" s="4" t="s">
        <v>19524</v>
      </c>
      <c r="C15495" s="5" t="str">
        <f>IFERROR(__xludf.DUMMYFUNCTION("GOOGLETRANSLATE(B15495,""en"",""de"")"),"Der Mann klatscht in die Hände.")</f>
        <v>Der Mann klatscht in die Hände.</v>
      </c>
    </row>
    <row r="15496">
      <c r="A15496" s="4" t="s">
        <v>19515</v>
      </c>
      <c r="B15496" s="4" t="s">
        <v>19525</v>
      </c>
      <c r="C15496" s="5" t="str">
        <f>IFERROR(__xludf.DUMMYFUNCTION("GOOGLETRANSLATE(B15496,""en"",""de"")"),"Der Mann winkt hinter der Bühne auf einen Mann, um sich ihnen anzuschließen.")</f>
        <v>Der Mann winkt hinter der Bühne auf einen Mann, um sich ihnen anzuschließen.</v>
      </c>
    </row>
    <row r="15497">
      <c r="A15497" s="4" t="s">
        <v>19515</v>
      </c>
      <c r="B15497" s="4" t="s">
        <v>19526</v>
      </c>
      <c r="C15497" s="5" t="str">
        <f>IFERROR(__xludf.DUMMYFUNCTION("GOOGLETRANSLATE(B15497,""en"",""de"")"),"Ein stehender Mann, der hinter den Kulissen ist.")</f>
        <v>Ein stehender Mann, der hinter den Kulissen ist.</v>
      </c>
    </row>
    <row r="15498">
      <c r="A15498" s="4" t="s">
        <v>19515</v>
      </c>
      <c r="B15498" s="4" t="s">
        <v>19527</v>
      </c>
      <c r="C15498" s="5" t="str">
        <f>IFERROR(__xludf.DUMMYFUNCTION("GOOGLETRANSLATE(B15498,""en"",""de"")"),"Die beiden Jungen -Tänzer werden gezeigt, die eine Hand ausdehnen.")</f>
        <v>Die beiden Jungen -Tänzer werden gezeigt, die eine Hand ausdehnen.</v>
      </c>
    </row>
    <row r="15499">
      <c r="A15499" s="4" t="s">
        <v>19515</v>
      </c>
      <c r="B15499" s="4" t="s">
        <v>19528</v>
      </c>
      <c r="C15499" s="5" t="str">
        <f>IFERROR(__xludf.DUMMYFUNCTION("GOOGLETRANSLATE(B15499,""en"",""de"")"),"Ein Mann geht von der Bühne von der Bühne.")</f>
        <v>Ein Mann geht von der Bühne von der Bühne.</v>
      </c>
    </row>
    <row r="15500">
      <c r="A15500" s="4" t="s">
        <v>19515</v>
      </c>
      <c r="B15500" s="4" t="s">
        <v>19529</v>
      </c>
      <c r="C15500" s="5" t="str">
        <f>IFERROR(__xludf.DUMMYFUNCTION("GOOGLETRANSLATE(B15500,""en"",""de"")"),"Der Mann schüttelt die Hand und umarmt einen der Mann auf der Bühne.")</f>
        <v>Der Mann schüttelt die Hand und umarmt einen der Mann auf der Bühne.</v>
      </c>
    </row>
    <row r="15501">
      <c r="A15501" s="4" t="s">
        <v>19515</v>
      </c>
      <c r="B15501" s="4" t="s">
        <v>19530</v>
      </c>
      <c r="C15501" s="5" t="str">
        <f>IFERROR(__xludf.DUMMYFUNCTION("GOOGLETRANSLATE(B15501,""en"",""de"")"),"Die Frau steht und umarmt auch den Mann.")</f>
        <v>Die Frau steht und umarmt auch den Mann.</v>
      </c>
    </row>
    <row r="15502">
      <c r="A15502" s="4" t="s">
        <v>19515</v>
      </c>
      <c r="B15502" s="4" t="s">
        <v>19531</v>
      </c>
      <c r="C15502" s="5" t="str">
        <f>IFERROR(__xludf.DUMMYFUNCTION("GOOGLETRANSLATE(B15502,""en"",""de"")"),"Ein Mann steht und sitzt dann.")</f>
        <v>Ein Mann steht und sitzt dann.</v>
      </c>
    </row>
    <row r="15503">
      <c r="A15503" s="4" t="s">
        <v>19515</v>
      </c>
      <c r="B15503" s="4" t="s">
        <v>19532</v>
      </c>
      <c r="C15503" s="5" t="str">
        <f>IFERROR(__xludf.DUMMYFUNCTION("GOOGLETRANSLATE(B15503,""en"",""de"")"),"Der Mann in einem schwarzen Anzug tanzt und sitzt dann.")</f>
        <v>Der Mann in einem schwarzen Anzug tanzt und sitzt dann.</v>
      </c>
    </row>
    <row r="15504">
      <c r="A15504" s="4" t="s">
        <v>19515</v>
      </c>
      <c r="B15504" s="4" t="s">
        <v>19533</v>
      </c>
      <c r="C15504" s="5" t="str">
        <f>IFERROR(__xludf.DUMMYFUNCTION("GOOGLETRANSLATE(B15504,""en"",""de"")"),"Der Mann in einem braunen Anzug kehrt in den Backstage -Bereich zurück.")</f>
        <v>Der Mann in einem braunen Anzug kehrt in den Backstage -Bereich zurück.</v>
      </c>
    </row>
    <row r="15505">
      <c r="A15505" s="4" t="s">
        <v>19515</v>
      </c>
      <c r="B15505" s="4" t="s">
        <v>19534</v>
      </c>
      <c r="C15505" s="5" t="str">
        <f>IFERROR(__xludf.DUMMYFUNCTION("GOOGLETRANSLATE(B15505,""en"",""de"")"),"Der Mann wird hinter der Bühne gezeigt.")</f>
        <v>Der Mann wird hinter der Bühne gezeigt.</v>
      </c>
    </row>
    <row r="15506">
      <c r="A15506" s="4" t="s">
        <v>19515</v>
      </c>
      <c r="B15506" s="4" t="s">
        <v>19535</v>
      </c>
      <c r="C15506" s="5" t="str">
        <f>IFERROR(__xludf.DUMMYFUNCTION("GOOGLETRANSLATE(B15506,""en"",""de"")"),"Der Name der Show wird angezeigt.")</f>
        <v>Der Name der Show wird angezeigt.</v>
      </c>
    </row>
    <row r="15507">
      <c r="A15507" s="4" t="s">
        <v>19536</v>
      </c>
      <c r="B15507" s="4" t="s">
        <v>19537</v>
      </c>
      <c r="C15507" s="5" t="str">
        <f>IFERROR(__xludf.DUMMYFUNCTION("GOOGLETRANSLATE(B15507,""en"",""de"")"),"Es werden mehrere Schüsse gezeigt, von denen Menschen Segelboote ins Wasser schieben und sie umeinander reiten.")</f>
        <v>Es werden mehrere Schüsse gezeigt, von denen Menschen Segelboote ins Wasser schieben und sie umeinander reiten.</v>
      </c>
    </row>
    <row r="15508">
      <c r="A15508" s="4" t="s">
        <v>19536</v>
      </c>
      <c r="B15508" s="4" t="s">
        <v>19538</v>
      </c>
      <c r="C15508" s="5" t="str">
        <f>IFERROR(__xludf.DUMMYFUNCTION("GOOGLETRANSLATE(B15508,""en"",""de"")"),"Die Leute fahren auf Jetskiern, die dem Boot und den Nahaufnahmen der Boote sowie unter Wasser angezeigt werden.")</f>
        <v>Die Leute fahren auf Jetskiern, die dem Boot und den Nahaufnahmen der Boote sowie unter Wasser angezeigt werden.</v>
      </c>
    </row>
    <row r="15509">
      <c r="A15509" s="4" t="s">
        <v>19536</v>
      </c>
      <c r="B15509" s="4" t="s">
        <v>19539</v>
      </c>
      <c r="C15509" s="5" t="str">
        <f>IFERROR(__xludf.DUMMYFUNCTION("GOOGLETRANSLATE(B15509,""en"",""de"")"),"Weitere Menschen fahren auf kleineren Booten und enden, indem sie ein Boot zurück an die Küste ziehen.")</f>
        <v>Weitere Menschen fahren auf kleineren Booten und enden, indem sie ein Boot zurück an die Küste ziehen.</v>
      </c>
    </row>
    <row r="15510">
      <c r="A15510" s="4" t="s">
        <v>19540</v>
      </c>
      <c r="B15510" s="4" t="s">
        <v>19541</v>
      </c>
      <c r="C15510" s="5" t="str">
        <f>IFERROR(__xludf.DUMMYFUNCTION("GOOGLETRANSLATE(B15510,""en"",""de"")"),"Kinder fahren Fahrrad um eine Schmutzstrecke.")</f>
        <v>Kinder fahren Fahrrad um eine Schmutzstrecke.</v>
      </c>
    </row>
    <row r="15511">
      <c r="A15511" s="4" t="s">
        <v>19540</v>
      </c>
      <c r="B15511" s="4" t="s">
        <v>19542</v>
      </c>
      <c r="C15511" s="5" t="str">
        <f>IFERROR(__xludf.DUMMYFUNCTION("GOOGLETRANSLATE(B15511,""en"",""de"")"),"Einer von ihnen tippt über und fällt.")</f>
        <v>Einer von ihnen tippt über und fällt.</v>
      </c>
    </row>
    <row r="15512">
      <c r="A15512" s="4" t="s">
        <v>19540</v>
      </c>
      <c r="B15512" s="4" t="s">
        <v>19543</v>
      </c>
      <c r="C15512" s="5" t="str">
        <f>IFERROR(__xludf.DUMMYFUNCTION("GOOGLETRANSLATE(B15512,""en"",""de"")"),"Sie gehen weiter um die Strecke.")</f>
        <v>Sie gehen weiter um die Strecke.</v>
      </c>
    </row>
    <row r="15513">
      <c r="A15513" s="4" t="s">
        <v>19540</v>
      </c>
      <c r="B15513" s="4" t="s">
        <v>19544</v>
      </c>
      <c r="C15513" s="5" t="str">
        <f>IFERROR(__xludf.DUMMYFUNCTION("GOOGLETRANSLATE(B15513,""en"",""de"")"),"Eine andere Person stürzt und fällt.")</f>
        <v>Eine andere Person stürzt und fällt.</v>
      </c>
    </row>
    <row r="15514">
      <c r="A15514" s="4" t="s">
        <v>19545</v>
      </c>
      <c r="B15514" s="4" t="s">
        <v>19546</v>
      </c>
      <c r="C15514" s="5" t="str">
        <f>IFERROR(__xludf.DUMMYFUNCTION("GOOGLETRANSLATE(B15514,""en"",""de"")"),"Eine Gruppe von Tänzern in roten Outfits tanzt auf der Bühne.")</f>
        <v>Eine Gruppe von Tänzern in roten Outfits tanzt auf der Bühne.</v>
      </c>
    </row>
    <row r="15515">
      <c r="A15515" s="4" t="s">
        <v>19545</v>
      </c>
      <c r="B15515" s="4" t="s">
        <v>19547</v>
      </c>
      <c r="C15515" s="5" t="str">
        <f>IFERROR(__xludf.DUMMYFUNCTION("GOOGLETRANSLATE(B15515,""en"",""de"")"),"Eine Gruppe von Cheerleadern in Pink steht auf einem Feld, während eine Gruppe in White To to the Coach zugute kommt.")</f>
        <v>Eine Gruppe von Cheerleadern in Pink steht auf einem Feld, während eine Gruppe in White To to the Coach zugute kommt.</v>
      </c>
    </row>
    <row r="15516">
      <c r="A15516" s="4" t="s">
        <v>19545</v>
      </c>
      <c r="B15516" s="4" t="s">
        <v>19548</v>
      </c>
      <c r="C15516" s="5" t="str">
        <f>IFERROR(__xludf.DUMMYFUNCTION("GOOGLETRANSLATE(B15516,""en"",""de"")"),"Eine Solofrau in einer roten Bluse diskutiert die Ereignisse in einem Raum mit beleuchteten Buchstaben im Hintergrund.")</f>
        <v>Eine Solofrau in einer roten Bluse diskutiert die Ereignisse in einem Raum mit beleuchteten Buchstaben im Hintergrund.</v>
      </c>
    </row>
    <row r="15517">
      <c r="A15517" s="4" t="s">
        <v>19545</v>
      </c>
      <c r="B15517" s="4" t="s">
        <v>19549</v>
      </c>
      <c r="C15517" s="5" t="str">
        <f>IFERROR(__xludf.DUMMYFUNCTION("GOOGLETRANSLATE(B15517,""en"",""de"")"),"Beide Frauenteams stehen zusammen auf dem Feld.")</f>
        <v>Beide Frauenteams stehen zusammen auf dem Feld.</v>
      </c>
    </row>
    <row r="15518">
      <c r="A15518" s="4" t="s">
        <v>19545</v>
      </c>
      <c r="B15518" s="4" t="s">
        <v>19550</v>
      </c>
      <c r="C15518" s="5" t="str">
        <f>IFERROR(__xludf.DUMMYFUNCTION("GOOGLETRANSLATE(B15518,""en"",""de"")"),"Beide Gruppen von Frauen tanzen gemeinsam mit dem Trainer, der voran führt.")</f>
        <v>Beide Gruppen von Frauen tanzen gemeinsam mit dem Trainer, der voran führt.</v>
      </c>
    </row>
    <row r="15519">
      <c r="A15519" s="4" t="s">
        <v>19545</v>
      </c>
      <c r="B15519" s="4" t="s">
        <v>19551</v>
      </c>
      <c r="C15519" s="5" t="str">
        <f>IFERROR(__xludf.DUMMYFUNCTION("GOOGLETRANSLATE(B15519,""en"",""de"")"),"Die Frauen in rosa Uniformen tanzen auf dem Feld.")</f>
        <v>Die Frauen in rosa Uniformen tanzen auf dem Feld.</v>
      </c>
    </row>
    <row r="15520">
      <c r="A15520" s="4" t="s">
        <v>19545</v>
      </c>
      <c r="B15520" s="4" t="s">
        <v>19552</v>
      </c>
      <c r="C15520" s="5" t="str">
        <f>IFERROR(__xludf.DUMMYFUNCTION("GOOGLETRANSLATE(B15520,""en"",""de"")"),"Die Frauen in weißen Uniformen tanzen auf dem Feld.")</f>
        <v>Die Frauen in weißen Uniformen tanzen auf dem Feld.</v>
      </c>
    </row>
    <row r="15521">
      <c r="A15521" s="4" t="s">
        <v>19553</v>
      </c>
      <c r="B15521" s="4" t="s">
        <v>1487</v>
      </c>
      <c r="C15521" s="5" t="str">
        <f>IFERROR(__xludf.DUMMYFUNCTION("GOOGLETRANSLATE(B15521,""en"",""de"")"),"Wir sehen einen Öffnungsbildschirm.")</f>
        <v>Wir sehen einen Öffnungsbildschirm.</v>
      </c>
    </row>
    <row r="15522">
      <c r="A15522" s="4" t="s">
        <v>19553</v>
      </c>
      <c r="B15522" s="4" t="s">
        <v>19554</v>
      </c>
      <c r="C15522" s="5" t="str">
        <f>IFERROR(__xludf.DUMMYFUNCTION("GOOGLETRANSLATE(B15522,""en"",""de"")"),"Wir sehen einen Mann, der Schindeln um eine Pfeife treibt.")</f>
        <v>Wir sehen einen Mann, der Schindeln um eine Pfeife treibt.</v>
      </c>
    </row>
    <row r="15523">
      <c r="A15523" s="4" t="s">
        <v>19553</v>
      </c>
      <c r="B15523" s="4" t="s">
        <v>19555</v>
      </c>
      <c r="C15523" s="5" t="str">
        <f>IFERROR(__xludf.DUMMYFUNCTION("GOOGLETRANSLATE(B15523,""en"",""de"")"),"Der Mann drückt dann das Rohr nach unten und nagelt sie.")</f>
        <v>Der Mann drückt dann das Rohr nach unten und nagelt sie.</v>
      </c>
    </row>
    <row r="15524">
      <c r="A15524" s="4" t="s">
        <v>19553</v>
      </c>
      <c r="B15524" s="4" t="s">
        <v>19556</v>
      </c>
      <c r="C15524" s="5" t="str">
        <f>IFERROR(__xludf.DUMMYFUNCTION("GOOGLETRANSLATE(B15524,""en"",""de"")"),"Der Mann fügt Teer in die Rohrbasis und die Nägel der Schindeln um sie herum.")</f>
        <v>Der Mann fügt Teer in die Rohrbasis und die Nägel der Schindeln um sie herum.</v>
      </c>
    </row>
    <row r="15525">
      <c r="A15525" s="4" t="s">
        <v>19553</v>
      </c>
      <c r="B15525" s="4" t="s">
        <v>19557</v>
      </c>
      <c r="C15525" s="5" t="str">
        <f>IFERROR(__xludf.DUMMYFUNCTION("GOOGLETRANSLATE(B15525,""en"",""de"")"),"Der Mann legt dann Teer unter den oberen Schindel.")</f>
        <v>Der Mann legt dann Teer unter den oberen Schindel.</v>
      </c>
    </row>
    <row r="15526">
      <c r="A15526" s="4" t="s">
        <v>19553</v>
      </c>
      <c r="B15526" s="4" t="s">
        <v>19558</v>
      </c>
      <c r="C15526" s="5" t="str">
        <f>IFERROR(__xludf.DUMMYFUNCTION("GOOGLETRANSLATE(B15526,""en"",""de"")"),"Wir sehen das Haus und einen Lastwagen, der in der Einfahrt geparkt ist.")</f>
        <v>Wir sehen das Haus und einen Lastwagen, der in der Einfahrt geparkt ist.</v>
      </c>
    </row>
    <row r="15527">
      <c r="A15527" s="4" t="s">
        <v>19559</v>
      </c>
      <c r="B15527" s="4" t="s">
        <v>19560</v>
      </c>
      <c r="C15527" s="5" t="str">
        <f>IFERROR(__xludf.DUMMYFUNCTION("GOOGLETRANSLATE(B15527,""en"",""de"")"),"Eine Frau kniet im Freien auf einem Betonplatz und spült sich aus und wäscht sie mit einem Metalleimer für das Spülen und den Boden als Waschbrett für die Kleidung.")</f>
        <v>Eine Frau kniet im Freien auf einem Betonplatz und spült sich aus und wäscht sie mit einem Metalleimer für das Spülen und den Boden als Waschbrett für die Kleidung.</v>
      </c>
    </row>
    <row r="15528">
      <c r="A15528" s="4" t="s">
        <v>19559</v>
      </c>
      <c r="B15528" s="4" t="s">
        <v>19561</v>
      </c>
      <c r="C15528" s="5" t="str">
        <f>IFERROR(__xludf.DUMMYFUNCTION("GOOGLETRANSLATE(B15528,""en"",""de"")"),"Ein kleines Mädchen geht auf die Frau und gießt mehr Wasser in den Metallschaufel der Frau, dann geht es neben einem Brunnen, in dem eine andere Frau kniet und Kleidung auf die gleiche Weise wäscht.")</f>
        <v>Ein kleines Mädchen geht auf die Frau und gießt mehr Wasser in den Metallschaufel der Frau, dann geht es neben einem Brunnen, in dem eine andere Frau kniet und Kleidung auf die gleiche Weise wäscht.</v>
      </c>
    </row>
    <row r="15529">
      <c r="A15529" s="4" t="s">
        <v>19559</v>
      </c>
      <c r="B15529" s="4" t="s">
        <v>19562</v>
      </c>
      <c r="C15529" s="5" t="str">
        <f>IFERROR(__xludf.DUMMYFUNCTION("GOOGLETRANSLATE(B15529,""en"",""de"")"),"Die erste Frau wird diesmal erneut gezeigt, wobei ein großes weißes Blatt gegen den Boden mit dem Metalleimer für die Wasserversorgung wieder waschen.")</f>
        <v>Die erste Frau wird diesmal erneut gezeigt, wobei ein großes weißes Blatt gegen den Boden mit dem Metalleimer für die Wasserversorgung wieder waschen.</v>
      </c>
    </row>
    <row r="15530">
      <c r="A15530" s="4" t="s">
        <v>19563</v>
      </c>
      <c r="B15530" s="4" t="s">
        <v>19564</v>
      </c>
      <c r="C15530" s="5" t="str">
        <f>IFERROR(__xludf.DUMMYFUNCTION("GOOGLETRANSLATE(B15530,""en"",""de"")"),"Ein starker Mann hebt seine Beine über parallele Bars auf und ab.")</f>
        <v>Ein starker Mann hebt seine Beine über parallele Bars auf und ab.</v>
      </c>
    </row>
    <row r="15531">
      <c r="A15531" s="4" t="s">
        <v>19563</v>
      </c>
      <c r="B15531" s="4" t="s">
        <v>19565</v>
      </c>
      <c r="C15531" s="5" t="str">
        <f>IFERROR(__xludf.DUMMYFUNCTION("GOOGLETRANSLATE(B15531,""en"",""de"")"),"Er beginnt zu den Achseln an den Bars.")</f>
        <v>Er beginnt zu den Achseln an den Bars.</v>
      </c>
    </row>
    <row r="15532">
      <c r="A15532" s="4" t="s">
        <v>19563</v>
      </c>
      <c r="B15532" s="4" t="s">
        <v>19566</v>
      </c>
      <c r="C15532" s="5" t="str">
        <f>IFERROR(__xludf.DUMMYFUNCTION("GOOGLETRANSLATE(B15532,""en"",""de"")"),"Er beginnt mit seinen Händen über seinen Körper zu gehen.")</f>
        <v>Er beginnt mit seinen Händen über seinen Körper zu gehen.</v>
      </c>
    </row>
    <row r="15533">
      <c r="A15533" s="4" t="s">
        <v>19563</v>
      </c>
      <c r="B15533" s="4" t="s">
        <v>19567</v>
      </c>
      <c r="C15533" s="5" t="str">
        <f>IFERROR(__xludf.DUMMYFUNCTION("GOOGLETRANSLATE(B15533,""en"",""de"")"),"Er kreist mit seinen Armen am Rand der Stangen herum.")</f>
        <v>Er kreist mit seinen Armen am Rand der Stangen herum.</v>
      </c>
    </row>
    <row r="15534">
      <c r="A15534" s="4" t="s">
        <v>19563</v>
      </c>
      <c r="B15534" s="4" t="s">
        <v>19568</v>
      </c>
      <c r="C15534" s="5" t="str">
        <f>IFERROR(__xludf.DUMMYFUNCTION("GOOGLETRANSLATE(B15534,""en"",""de"")"),"Er schwingt mit den Beinen und springt mit seinen Armen über die parallelen Balken.")</f>
        <v>Er schwingt mit den Beinen und springt mit seinen Armen über die parallelen Balken.</v>
      </c>
    </row>
    <row r="15535">
      <c r="A15535" s="4" t="s">
        <v>19563</v>
      </c>
      <c r="B15535" s="4" t="s">
        <v>19569</v>
      </c>
      <c r="C15535" s="5" t="str">
        <f>IFERROR(__xludf.DUMMYFUNCTION("GOOGLETRANSLATE(B15535,""en"",""de"")"),"Ein Mann taucht auf die parallelen Balken ab.")</f>
        <v>Ein Mann taucht auf die parallelen Balken ab.</v>
      </c>
    </row>
    <row r="15536">
      <c r="A15536" s="4" t="s">
        <v>19563</v>
      </c>
      <c r="B15536" s="4" t="s">
        <v>19570</v>
      </c>
      <c r="C15536" s="5" t="str">
        <f>IFERROR(__xludf.DUMMYFUNCTION("GOOGLETRANSLATE(B15536,""en"",""de"")"),"Ein anderer Mann taucht auf die Parallelstangen auf seine Ellbogen ab.")</f>
        <v>Ein anderer Mann taucht auf die Parallelstangen auf seine Ellbogen ab.</v>
      </c>
    </row>
    <row r="15537">
      <c r="A15537" s="4" t="s">
        <v>19563</v>
      </c>
      <c r="B15537" s="4" t="s">
        <v>19571</v>
      </c>
      <c r="C15537" s="5" t="str">
        <f>IFERROR(__xludf.DUMMYFUNCTION("GOOGLETRANSLATE(B15537,""en"",""de"")"),"Dann fängt er an, auf die parallelen Bars, die russische Dips genannt werden, auf seine Achselhöhlen zu tauchen, während er seine Beine in der Luft hält.")</f>
        <v>Dann fängt er an, auf die parallelen Bars, die russische Dips genannt werden, auf seine Achselhöhlen zu tauchen, während er seine Beine in der Luft hält.</v>
      </c>
    </row>
    <row r="15538">
      <c r="A15538" s="4" t="s">
        <v>19563</v>
      </c>
      <c r="B15538" s="4" t="s">
        <v>19572</v>
      </c>
      <c r="C15538" s="5" t="str">
        <f>IFERROR(__xludf.DUMMYFUNCTION("GOOGLETRANSLATE(B15538,""en"",""de"")"),"Ein Mann taucht mit seinem Körper vor der Stange ab und die Beine stürmen unter die Bar.")</f>
        <v>Ein Mann taucht mit seinem Körper vor der Stange ab und die Beine stürmen unter die Bar.</v>
      </c>
    </row>
    <row r="15539">
      <c r="A15539" s="4" t="s">
        <v>19563</v>
      </c>
      <c r="B15539" s="4" t="s">
        <v>19573</v>
      </c>
      <c r="C15539" s="5" t="str">
        <f>IFERROR(__xludf.DUMMYFUNCTION("GOOGLETRANSLATE(B15539,""en"",""de"")"),"Dann macht er Liegestütze auf den parallelen Balken, indem er nach unten geht, nach vorne drückt, dann nach oben.")</f>
        <v>Dann macht er Liegestütze auf den parallelen Balken, indem er nach unten geht, nach vorne drückt, dann nach oben.</v>
      </c>
    </row>
    <row r="15540">
      <c r="A15540" s="4" t="s">
        <v>19563</v>
      </c>
      <c r="B15540" s="4" t="s">
        <v>19574</v>
      </c>
      <c r="C15540" s="5" t="str">
        <f>IFERROR(__xludf.DUMMYFUNCTION("GOOGLETRANSLATE(B15540,""en"",""de"")"),"Er beginnt, Liegestütze mit den Knien mit den parallelen Bars zu machen.")</f>
        <v>Er beginnt, Liegestütze mit den Knien mit den parallelen Bars zu machen.</v>
      </c>
    </row>
    <row r="15541">
      <c r="A15541" s="4" t="s">
        <v>19563</v>
      </c>
      <c r="B15541" s="4" t="s">
        <v>19575</v>
      </c>
      <c r="C15541" s="5" t="str">
        <f>IFERROR(__xludf.DUMMYFUNCTION("GOOGLETRANSLATE(B15541,""en"",""de"")"),"Ein anderer Mann macht Bein taucht, schwingt seine Beine nach oben und um jede parallele Balken und schiebt nach vorne über die parallelen Balken.")</f>
        <v>Ein anderer Mann macht Bein taucht, schwingt seine Beine nach oben und um jede parallele Balken und schiebt nach vorne über die parallelen Balken.</v>
      </c>
    </row>
    <row r="15542">
      <c r="A15542" s="4" t="s">
        <v>19563</v>
      </c>
      <c r="B15542" s="4" t="s">
        <v>19576</v>
      </c>
      <c r="C15542" s="5" t="str">
        <f>IFERROR(__xludf.DUMMYFUNCTION("GOOGLETRANSLATE(B15542,""en"",""de"")"),"Wenn er das Ende erreicht, steckt er in die Knie und hebt seinen Körper hoch und senkrecht zu den Stäben.")</f>
        <v>Wenn er das Ende erreicht, steckt er in die Knie und hebt seinen Körper hoch und senkrecht zu den Stäben.</v>
      </c>
    </row>
    <row r="15543">
      <c r="A15543" s="4" t="s">
        <v>19563</v>
      </c>
      <c r="B15543" s="4" t="s">
        <v>19577</v>
      </c>
      <c r="C15543" s="5" t="str">
        <f>IFERROR(__xludf.DUMMYFUNCTION("GOOGLETRANSLATE(B15543,""en"",""de"")"),"Dann macht er Knie und Beinerhöhungen.")</f>
        <v>Dann macht er Knie und Beinerhöhungen.</v>
      </c>
    </row>
    <row r="15544">
      <c r="A15544" s="4" t="s">
        <v>19563</v>
      </c>
      <c r="B15544" s="4" t="s">
        <v>19578</v>
      </c>
      <c r="C15544" s="5" t="str">
        <f>IFERROR(__xludf.DUMMYFUNCTION("GOOGLETRANSLATE(B15544,""en"",""de"")"),"Ein anderer Mann hält seine Beine gerade draußen und bewegt sie über jede Bar.")</f>
        <v>Ein anderer Mann hält seine Beine gerade draußen und bewegt sie über jede Bar.</v>
      </c>
    </row>
    <row r="15545">
      <c r="A15545" s="4" t="s">
        <v>19563</v>
      </c>
      <c r="B15545" s="4" t="s">
        <v>19579</v>
      </c>
      <c r="C15545" s="5" t="str">
        <f>IFERROR(__xludf.DUMMYFUNCTION("GOOGLETRANSLATE(B15545,""en"",""de"")"),"Ein anderer Mann bringt seine Beine gerade in eine V-Form an den Stangen.")</f>
        <v>Ein anderer Mann bringt seine Beine gerade in eine V-Form an den Stangen.</v>
      </c>
    </row>
    <row r="15546">
      <c r="A15546" s="4" t="s">
        <v>19563</v>
      </c>
      <c r="B15546" s="4" t="s">
        <v>19580</v>
      </c>
      <c r="C15546" s="5" t="str">
        <f>IFERROR(__xludf.DUMMYFUNCTION("GOOGLETRANSLATE(B15546,""en"",""de"")"),"Dann ruht er seine Ellbogen auf die Stangen und schwingt seinen Körper senkrecht zu den Stangen und dann parallel zu den Stangen.")</f>
        <v>Dann ruht er seine Ellbogen auf die Stangen und schwingt seinen Körper senkrecht zu den Stangen und dann parallel zu den Stangen.</v>
      </c>
    </row>
    <row r="15547">
      <c r="A15547" s="4" t="s">
        <v>19563</v>
      </c>
      <c r="B15547" s="4" t="s">
        <v>19581</v>
      </c>
      <c r="C15547" s="5" t="str">
        <f>IFERROR(__xludf.DUMMYFUNCTION("GOOGLETRANSLATE(B15547,""en"",""de"")"),"Er beginnt Schulterstände auf den Bars.")</f>
        <v>Er beginnt Schulterstände auf den Bars.</v>
      </c>
    </row>
    <row r="15548">
      <c r="A15548" s="4" t="s">
        <v>19563</v>
      </c>
      <c r="B15548" s="4" t="s">
        <v>19582</v>
      </c>
      <c r="C15548" s="5" t="str">
        <f>IFERROR(__xludf.DUMMYFUNCTION("GOOGLETRANSLATE(B15548,""en"",""de"")"),"Er wechselt zu einem Kopfstand und hält.")</f>
        <v>Er wechselt zu einem Kopfstand und hält.</v>
      </c>
    </row>
    <row r="15549">
      <c r="A15549" s="4" t="s">
        <v>19563</v>
      </c>
      <c r="B15549" s="4" t="s">
        <v>19583</v>
      </c>
      <c r="C15549" s="5" t="str">
        <f>IFERROR(__xludf.DUMMYFUNCTION("GOOGLETRANSLATE(B15549,""en"",""de"")"),"Ein anderer Mann fängt an, seinen Körper unter den Bars unter den Stangen zu schwingen und sich über die Stangen zu drücken.")</f>
        <v>Ein anderer Mann fängt an, seinen Körper unter den Bars unter den Stangen zu schwingen und sich über die Stangen zu drücken.</v>
      </c>
    </row>
    <row r="15550">
      <c r="A15550" s="4" t="s">
        <v>19584</v>
      </c>
      <c r="B15550" s="4" t="s">
        <v>19585</v>
      </c>
      <c r="C15550" s="5" t="str">
        <f>IFERROR(__xludf.DUMMYFUNCTION("GOOGLETRANSLATE(B15550,""en"",""de"")"),"Eine Gruppe von Menschen wird im Freien auf einem Markt versammelt.")</f>
        <v>Eine Gruppe von Menschen wird im Freien auf einem Markt versammelt.</v>
      </c>
    </row>
    <row r="15551">
      <c r="A15551" s="4" t="s">
        <v>19584</v>
      </c>
      <c r="B15551" s="4" t="s">
        <v>19586</v>
      </c>
      <c r="C15551" s="5" t="str">
        <f>IFERROR(__xludf.DUMMYFUNCTION("GOOGLETRANSLATE(B15551,""en"",""de"")"),"Die Leute gehen, indem sie alle Waren betrachten.")</f>
        <v>Die Leute gehen, indem sie alle Waren betrachten.</v>
      </c>
    </row>
    <row r="15552">
      <c r="A15552" s="4" t="s">
        <v>19584</v>
      </c>
      <c r="B15552" s="4" t="s">
        <v>19587</v>
      </c>
      <c r="C15552" s="5" t="str">
        <f>IFERROR(__xludf.DUMMYFUNCTION("GOOGLETRANSLATE(B15552,""en"",""de"")"),"Ein Hund erscheint, während die Menschen weiterbustriert.")</f>
        <v>Ein Hund erscheint, während die Menschen weiterbustriert.</v>
      </c>
    </row>
    <row r="15553">
      <c r="A15553" s="4" t="s">
        <v>19588</v>
      </c>
      <c r="B15553" s="4" t="s">
        <v>19589</v>
      </c>
      <c r="C15553" s="5" t="str">
        <f>IFERROR(__xludf.DUMMYFUNCTION("GOOGLETRANSLATE(B15553,""en"",""de"")"),"Ein Turner steigt vor einer Menschenmenge einen Abschwung.")</f>
        <v>Ein Turner steigt vor einer Menschenmenge einen Abschwung.</v>
      </c>
    </row>
    <row r="15554">
      <c r="A15554" s="4" t="s">
        <v>19588</v>
      </c>
      <c r="B15554" s="4" t="s">
        <v>19590</v>
      </c>
      <c r="C15554" s="5" t="str">
        <f>IFERROR(__xludf.DUMMYFUNCTION("GOOGLETRANSLATE(B15554,""en"",""de"")"),"Sie macht Biegungen, Handspringer und Vorwärts- und Rückrücken am Strahl.")</f>
        <v>Sie macht Biegungen, Handspringer und Vorwärts- und Rückrücken am Strahl.</v>
      </c>
    </row>
    <row r="15555">
      <c r="A15555" s="4" t="s">
        <v>19588</v>
      </c>
      <c r="B15555" s="4" t="s">
        <v>19591</v>
      </c>
      <c r="C15555" s="5" t="str">
        <f>IFERROR(__xludf.DUMMYFUNCTION("GOOGLETRANSLATE(B15555,""en"",""de"")"),"Sie steigt stolz ab und hebt ihre Arme in die Luft.")</f>
        <v>Sie steigt stolz ab und hebt ihre Arme in die Luft.</v>
      </c>
    </row>
    <row r="15556">
      <c r="A15556" s="4" t="s">
        <v>19592</v>
      </c>
      <c r="B15556" s="4" t="s">
        <v>19593</v>
      </c>
      <c r="C15556" s="5" t="str">
        <f>IFERROR(__xludf.DUMMYFUNCTION("GOOGLETRANSLATE(B15556,""en"",""de"")"),"Ein Mann sitzt mit einem Seil in den Händen auf einem Pferd.")</f>
        <v>Ein Mann sitzt mit einem Seil in den Händen auf einem Pferd.</v>
      </c>
    </row>
    <row r="15557">
      <c r="A15557" s="4" t="s">
        <v>19592</v>
      </c>
      <c r="B15557" s="4" t="s">
        <v>19594</v>
      </c>
      <c r="C15557" s="5" t="str">
        <f>IFERROR(__xludf.DUMMYFUNCTION("GOOGLETRANSLATE(B15557,""en"",""de"")"),"Dann reitet er auf ein Pferd und seilt ein Kalb mit dem Seil.")</f>
        <v>Dann reitet er auf ein Pferd und seilt ein Kalb mit dem Seil.</v>
      </c>
    </row>
    <row r="15558">
      <c r="A15558" s="4" t="s">
        <v>19592</v>
      </c>
      <c r="B15558" s="4" t="s">
        <v>19595</v>
      </c>
      <c r="C15558" s="5" t="str">
        <f>IFERROR(__xludf.DUMMYFUNCTION("GOOGLETRANSLATE(B15558,""en"",""de"")"),"Mehrere Personen werden gezeigt, die Rinder reiten und sich auf der Seite beobachten.")</f>
        <v>Mehrere Personen werden gezeigt, die Rinder reiten und sich auf der Seite beobachten.</v>
      </c>
    </row>
    <row r="15559">
      <c r="A15559" s="4" t="s">
        <v>19596</v>
      </c>
      <c r="B15559" s="4" t="s">
        <v>19597</v>
      </c>
      <c r="C15559" s="5" t="str">
        <f>IFERROR(__xludf.DUMMYFUNCTION("GOOGLETRANSLATE(B15559,""en"",""de"")"),"Ein Mann lehnt sich über einen Billardtisch und schlägt den Ball mit seinem Stichwort.")</f>
        <v>Ein Mann lehnt sich über einen Billardtisch und schlägt den Ball mit seinem Stichwort.</v>
      </c>
    </row>
    <row r="15560">
      <c r="A15560" s="4" t="s">
        <v>19596</v>
      </c>
      <c r="B15560" s="4" t="s">
        <v>19598</v>
      </c>
      <c r="C15560" s="5" t="str">
        <f>IFERROR(__xludf.DUMMYFUNCTION("GOOGLETRANSLATE(B15560,""en"",""de"")"),"Eine Frau in einem rosa Bikini dreht ihren Stichwort, während sie auf ihr an der Reihe wartet.")</f>
        <v>Eine Frau in einem rosa Bikini dreht ihren Stichwort, während sie auf ihr an der Reihe wartet.</v>
      </c>
    </row>
    <row r="15561">
      <c r="A15561" s="4" t="s">
        <v>19596</v>
      </c>
      <c r="B15561" s="4" t="s">
        <v>19599</v>
      </c>
      <c r="C15561" s="5" t="str">
        <f>IFERROR(__xludf.DUMMYFUNCTION("GOOGLETRANSLATE(B15561,""en"",""de"")"),"Dann macht sie einen Schuss auf den Ball und schlägt sie in die Löcher.")</f>
        <v>Dann macht sie einen Schuss auf den Ball und schlägt sie in die Löcher.</v>
      </c>
    </row>
    <row r="15562">
      <c r="A15562" s="4" t="s">
        <v>19600</v>
      </c>
      <c r="B15562" s="4" t="s">
        <v>19601</v>
      </c>
      <c r="C15562" s="5" t="str">
        <f>IFERROR(__xludf.DUMMYFUNCTION("GOOGLETRANSLATE(B15562,""en"",""de"")"),"Zwei Männer befinden sich in der Mitte des Hofes und kämpfen gegenseitig.")</f>
        <v>Zwei Männer befinden sich in der Mitte des Hofes und kämpfen gegenseitig.</v>
      </c>
    </row>
    <row r="15563">
      <c r="A15563" s="4" t="s">
        <v>19600</v>
      </c>
      <c r="B15563" s="4" t="s">
        <v>19602</v>
      </c>
      <c r="C15563" s="5" t="str">
        <f>IFERROR(__xludf.DUMMYFUNCTION("GOOGLETRANSLATE(B15563,""en"",""de"")"),"Sie üben ihre Bewegungen, während andere bereit stehen und zuschauen.")</f>
        <v>Sie üben ihre Bewegungen, während andere bereit stehen und zuschauen.</v>
      </c>
    </row>
    <row r="15564">
      <c r="A15564" s="4" t="s">
        <v>19600</v>
      </c>
      <c r="B15564" s="4" t="s">
        <v>19603</v>
      </c>
      <c r="C15564" s="5" t="str">
        <f>IFERROR(__xludf.DUMMYFUNCTION("GOOGLETRANSLATE(B15564,""en"",""de"")"),"Es ist wie eine Kultur, die von vielen praktiziert wird, die es tatsächlich genießen und denken, dass es ein lustiger Sport ist.")</f>
        <v>Es ist wie eine Kultur, die von vielen praktiziert wird, die es tatsächlich genießen und denken, dass es ein lustiger Sport ist.</v>
      </c>
    </row>
    <row r="15565">
      <c r="A15565" s="4" t="s">
        <v>19600</v>
      </c>
      <c r="B15565" s="4" t="s">
        <v>19604</v>
      </c>
      <c r="C15565" s="5" t="str">
        <f>IFERROR(__xludf.DUMMYFUNCTION("GOOGLETRANSLATE(B15565,""en"",""de"")"),"Sie nehmen es sehr ernst, einige kämpfen und einige genießen es, zuschauen.")</f>
        <v>Sie nehmen es sehr ernst, einige kämpfen und einige genießen es, zuschauen.</v>
      </c>
    </row>
    <row r="15566">
      <c r="A15566" s="4" t="s">
        <v>19605</v>
      </c>
      <c r="B15566" s="4" t="s">
        <v>19606</v>
      </c>
      <c r="C15566" s="5" t="str">
        <f>IFERROR(__xludf.DUMMYFUNCTION("GOOGLETRANSLATE(B15566,""en"",""de"")"),"Ein junger Mann auf dem Dach eines hohen Gebäudes mit der Kulisse einer Skyline der Stadt führt eine Reihe von Tanzbewegungen, Gymnastikbewegungen, Sturzbewegungen und hohe Tritte durch.")</f>
        <v>Ein junger Mann auf dem Dach eines hohen Gebäudes mit der Kulisse einer Skyline der Stadt führt eine Reihe von Tanzbewegungen, Gymnastikbewegungen, Sturzbewegungen und hohe Tritte durch.</v>
      </c>
    </row>
    <row r="15567">
      <c r="A15567" s="4" t="s">
        <v>19605</v>
      </c>
      <c r="B15567" s="4" t="s">
        <v>19607</v>
      </c>
      <c r="C15567" s="5" t="str">
        <f>IFERROR(__xludf.DUMMYFUNCTION("GOOGLETRANSLATE(B15567,""en"",""de"")"),"Der Mann beginnt mit dem Rücken zur Kamera und steht vor der Skyline der Stadt vom Dach.")</f>
        <v>Der Mann beginnt mit dem Rücken zur Kamera und steht vor der Skyline der Stadt vom Dach.</v>
      </c>
    </row>
    <row r="15568">
      <c r="A15568" s="4" t="s">
        <v>19605</v>
      </c>
      <c r="B15568" s="4" t="s">
        <v>19608</v>
      </c>
      <c r="C15568" s="5" t="str">
        <f>IFERROR(__xludf.DUMMYFUNCTION("GOOGLETRANSLATE(B15568,""en"",""de"")"),"Der Mann beginnt dann eine Reihe von hohen Tritten, handlosen Rückenflips und Breakdance -Bewegungen.")</f>
        <v>Der Mann beginnt dann eine Reihe von hohen Tritten, handlosen Rückenflips und Breakdance -Bewegungen.</v>
      </c>
    </row>
    <row r="15569">
      <c r="A15569" s="4" t="s">
        <v>19605</v>
      </c>
      <c r="B15569" s="4" t="s">
        <v>19609</v>
      </c>
      <c r="C15569" s="5" t="str">
        <f>IFERROR(__xludf.DUMMYFUNCTION("GOOGLETRANSLATE(B15569,""en"",""de"")"),"Der Tanz bewegt sich mit mehr Tritten, Kopfständern und Halbkunstbewegungen, während die Kamera den Mann umkreist, wenn der Mann fertig ist und mit dem Rücken zur Kamera wieder zum Dachrand geht.")</f>
        <v>Der Tanz bewegt sich mit mehr Tritten, Kopfständern und Halbkunstbewegungen, während die Kamera den Mann umkreist, wenn der Mann fertig ist und mit dem Rücken zur Kamera wieder zum Dachrand geht.</v>
      </c>
    </row>
    <row r="15570">
      <c r="A15570" s="4" t="s">
        <v>19610</v>
      </c>
      <c r="B15570" s="4" t="s">
        <v>19611</v>
      </c>
      <c r="C15570" s="5" t="str">
        <f>IFERROR(__xludf.DUMMYFUNCTION("GOOGLETRANSLATE(B15570,""en"",""de"")"),"Eine Person, die ein Kostüm trägt, sitzt mitten auf der Straße und spielt ein Akkordeon.")</f>
        <v>Eine Person, die ein Kostüm trägt, sitzt mitten auf der Straße und spielt ein Akkordeon.</v>
      </c>
    </row>
    <row r="15571">
      <c r="A15571" s="4" t="s">
        <v>19610</v>
      </c>
      <c r="B15571" s="4" t="s">
        <v>19612</v>
      </c>
      <c r="C15571" s="5" t="str">
        <f>IFERROR(__xludf.DUMMYFUNCTION("GOOGLETRANSLATE(B15571,""en"",""de"")"),"Die Person spielt weiter, während die Kamera zoomt und mehrere Autos und die Leute hinter sich.")</f>
        <v>Die Person spielt weiter, während die Kamera zoomt und mehrere Autos und die Leute hinter sich.</v>
      </c>
    </row>
    <row r="15572">
      <c r="A15572" s="4" t="s">
        <v>19613</v>
      </c>
      <c r="B15572" s="4" t="s">
        <v>19614</v>
      </c>
      <c r="C15572" s="5" t="str">
        <f>IFERROR(__xludf.DUMMYFUNCTION("GOOGLETRANSLATE(B15572,""en"",""de"")"),"Wir sehen einen Mann mit einer Kamera sprechen.")</f>
        <v>Wir sehen einen Mann mit einer Kamera sprechen.</v>
      </c>
    </row>
    <row r="15573">
      <c r="A15573" s="4" t="s">
        <v>19613</v>
      </c>
      <c r="B15573" s="4" t="s">
        <v>19615</v>
      </c>
      <c r="C15573" s="5" t="str">
        <f>IFERROR(__xludf.DUMMYFUNCTION("GOOGLETRANSLATE(B15573,""en"",""de"")"),"Wir sehen Schüsse von Männern und einer Menge von Menschen.")</f>
        <v>Wir sehen Schüsse von Männern und einer Menge von Menschen.</v>
      </c>
    </row>
    <row r="15574">
      <c r="A15574" s="4" t="s">
        <v>19613</v>
      </c>
      <c r="B15574" s="4" t="s">
        <v>19616</v>
      </c>
      <c r="C15574" s="5" t="str">
        <f>IFERROR(__xludf.DUMMYFUNCTION("GOOGLETRANSLATE(B15574,""en"",""de"")"),"Die Männer spielen Rockpapierschere.")</f>
        <v>Die Männer spielen Rockpapierschere.</v>
      </c>
    </row>
    <row r="15575">
      <c r="A15575" s="4" t="s">
        <v>19613</v>
      </c>
      <c r="B15575" s="4" t="s">
        <v>19617</v>
      </c>
      <c r="C15575" s="5" t="str">
        <f>IFERROR(__xludf.DUMMYFUNCTION("GOOGLETRANSLATE(B15575,""en"",""de"")"),"Eine Frau in der Menge springt auf und ab.")</f>
        <v>Eine Frau in der Menge springt auf und ab.</v>
      </c>
    </row>
    <row r="15576">
      <c r="A15576" s="4" t="s">
        <v>19613</v>
      </c>
      <c r="B15576" s="4" t="s">
        <v>19618</v>
      </c>
      <c r="C15576" s="5" t="str">
        <f>IFERROR(__xludf.DUMMYFUNCTION("GOOGLETRANSLATE(B15576,""en"",""de"")"),"Wir sehen den Mann hoch fünf gegenseitig.")</f>
        <v>Wir sehen den Mann hoch fünf gegenseitig.</v>
      </c>
    </row>
    <row r="15577">
      <c r="A15577" s="4" t="s">
        <v>19613</v>
      </c>
      <c r="B15577" s="4" t="s">
        <v>19619</v>
      </c>
      <c r="C15577" s="5" t="str">
        <f>IFERROR(__xludf.DUMMYFUNCTION("GOOGLETRANSLATE(B15577,""en"",""de"")"),"Wir sehen eine Dame vor einer Person im Kostüm.")</f>
        <v>Wir sehen eine Dame vor einer Person im Kostüm.</v>
      </c>
    </row>
    <row r="15578">
      <c r="A15578" s="4" t="s">
        <v>19613</v>
      </c>
      <c r="B15578" s="4" t="s">
        <v>19620</v>
      </c>
      <c r="C15578" s="5" t="str">
        <f>IFERROR(__xludf.DUMMYFUNCTION("GOOGLETRANSLATE(B15578,""en"",""de"")"),"Der Mann in Rot hebt seine Hände im Triumph.")</f>
        <v>Der Mann in Rot hebt seine Hände im Triumph.</v>
      </c>
    </row>
    <row r="15579">
      <c r="A15579" s="4" t="s">
        <v>19613</v>
      </c>
      <c r="B15579" s="4" t="s">
        <v>19621</v>
      </c>
      <c r="C15579" s="5" t="str">
        <f>IFERROR(__xludf.DUMMYFUNCTION("GOOGLETRANSLATE(B15579,""en"",""de"")"),"Damen bringen dem Mann in Rot einen großen Scheck.")</f>
        <v>Damen bringen dem Mann in Rot einen großen Scheck.</v>
      </c>
    </row>
    <row r="15580">
      <c r="A15580" s="4" t="s">
        <v>19622</v>
      </c>
      <c r="B15580" s="4" t="s">
        <v>19623</v>
      </c>
      <c r="C15580" s="5" t="str">
        <f>IFERROR(__xludf.DUMMYFUNCTION("GOOGLETRANSLATE(B15580,""en"",""de"")"),"Menschen rutschen auf aufblasbare Schlitten den Hügel hinunter.")</f>
        <v>Menschen rutschen auf aufblasbare Schlitten den Hügel hinunter.</v>
      </c>
    </row>
    <row r="15581">
      <c r="A15581" s="4" t="s">
        <v>19622</v>
      </c>
      <c r="B15581" s="4" t="s">
        <v>19624</v>
      </c>
      <c r="C15581" s="5" t="str">
        <f>IFERROR(__xludf.DUMMYFUNCTION("GOOGLETRANSLATE(B15581,""en"",""de"")"),"Die Leute wechseln sich ab, um die Hügel hinunter zu schläfen.")</f>
        <v>Die Leute wechseln sich ab, um die Hügel hinunter zu schläfen.</v>
      </c>
    </row>
    <row r="15582">
      <c r="A15582" s="4" t="s">
        <v>19622</v>
      </c>
      <c r="B15582" s="4" t="s">
        <v>19625</v>
      </c>
      <c r="C15582" s="5" t="str">
        <f>IFERROR(__xludf.DUMMYFUNCTION("GOOGLETRANSLATE(B15582,""en"",""de"")"),"Dann kommen die Leute zusammen, um die Gruppe zu schläfen.")</f>
        <v>Dann kommen die Leute zusammen, um die Gruppe zu schläfen.</v>
      </c>
    </row>
    <row r="15583">
      <c r="A15583" s="4" t="s">
        <v>19622</v>
      </c>
      <c r="B15583" s="4" t="s">
        <v>19626</v>
      </c>
      <c r="C15583" s="5" t="str">
        <f>IFERROR(__xludf.DUMMYFUNCTION("GOOGLETRANSLATE(B15583,""en"",""de"")"),"Auch die Leute ritten auf einer Linie den Hügel hinunter.")</f>
        <v>Auch die Leute ritten auf einer Linie den Hügel hinunter.</v>
      </c>
    </row>
    <row r="15584">
      <c r="A15584" s="4" t="s">
        <v>19627</v>
      </c>
      <c r="B15584" s="4" t="s">
        <v>19628</v>
      </c>
      <c r="C15584" s="5" t="str">
        <f>IFERROR(__xludf.DUMMYFUNCTION("GOOGLETRANSLATE(B15584,""en"",""de"")"),"Eine Frau tanzt auf der Straße und platziert ein Instrument, während andere nebenbei zuschauen.")</f>
        <v>Eine Frau tanzt auf der Straße und platziert ein Instrument, während andere nebenbei zuschauen.</v>
      </c>
    </row>
    <row r="15585">
      <c r="A15585" s="4" t="s">
        <v>19627</v>
      </c>
      <c r="B15585" s="4" t="s">
        <v>19629</v>
      </c>
      <c r="C15585" s="5" t="str">
        <f>IFERROR(__xludf.DUMMYFUNCTION("GOOGLETRANSLATE(B15585,""en"",""de"")"),"Die Frau spielt weiterhin das Instrument, während sie ihr Bein auf und ab bewegt und die Leute auf der Seite für sie klatschen.")</f>
        <v>Die Frau spielt weiterhin das Instrument, während sie ihr Bein auf und ab bewegt und die Leute auf der Seite für sie klatschen.</v>
      </c>
    </row>
    <row r="15586">
      <c r="A15586" s="4" t="s">
        <v>19630</v>
      </c>
      <c r="B15586" s="4" t="s">
        <v>19631</v>
      </c>
      <c r="C15586" s="5" t="str">
        <f>IFERROR(__xludf.DUMMYFUNCTION("GOOGLETRANSLATE(B15586,""en"",""de"")"),"Zuerst legt der Mann rosa Lippenstift auf die Lippen und er sagt, er sei ein Joker.")</f>
        <v>Zuerst legt der Mann rosa Lippenstift auf die Lippen und er sagt, er sei ein Joker.</v>
      </c>
    </row>
    <row r="15587">
      <c r="A15587" s="4" t="s">
        <v>19630</v>
      </c>
      <c r="B15587" s="4" t="s">
        <v>19632</v>
      </c>
      <c r="C15587" s="5" t="str">
        <f>IFERROR(__xludf.DUMMYFUNCTION("GOOGLETRANSLATE(B15587,""en"",""de"")"),"Dann legt er es auf die Seite seiner Lippen und die Leute lachen.")</f>
        <v>Dann legt er es auf die Seite seiner Lippen und die Leute lachen.</v>
      </c>
    </row>
    <row r="15588">
      <c r="A15588" s="4" t="s">
        <v>19630</v>
      </c>
      <c r="B15588" s="4" t="s">
        <v>19633</v>
      </c>
      <c r="C15588" s="5" t="str">
        <f>IFERROR(__xludf.DUMMYFUNCTION("GOOGLETRANSLATE(B15588,""en"",""de"")"),"Als nächstes legt er 2 dicke Linien unter seine Augen und sagt etwas, er versucht auch, es auf sein Kinn zu legen, aber das Video endet.")</f>
        <v>Als nächstes legt er 2 dicke Linien unter seine Augen und sagt etwas, er versucht auch, es auf sein Kinn zu legen, aber das Video endet.</v>
      </c>
    </row>
    <row r="15589">
      <c r="A15589" s="4" t="s">
        <v>19634</v>
      </c>
      <c r="B15589" s="4" t="s">
        <v>19635</v>
      </c>
      <c r="C15589" s="5" t="str">
        <f>IFERROR(__xludf.DUMMYFUNCTION("GOOGLETRANSLATE(B15589,""en"",""de"")"),"Ein Text -Intro führt zu einem Jungen, der auf einem Hocker sitzt und ein Akkordeon hat.")</f>
        <v>Ein Text -Intro führt zu einem Jungen, der auf einem Hocker sitzt und ein Akkordeon hat.</v>
      </c>
    </row>
    <row r="15590">
      <c r="A15590" s="4" t="s">
        <v>19634</v>
      </c>
      <c r="B15590" s="4" t="s">
        <v>19636</v>
      </c>
      <c r="C15590" s="5" t="str">
        <f>IFERROR(__xludf.DUMMYFUNCTION("GOOGLETRANSLATE(B15590,""en"",""de"")"),"Der Junge spielt dann das Instrument, während er von der Kamera wegblickt.")</f>
        <v>Der Junge spielt dann das Instrument, während er von der Kamera wegblickt.</v>
      </c>
    </row>
    <row r="15591">
      <c r="A15591" s="4" t="s">
        <v>19634</v>
      </c>
      <c r="B15591" s="4" t="s">
        <v>19637</v>
      </c>
      <c r="C15591" s="5" t="str">
        <f>IFERROR(__xludf.DUMMYFUNCTION("GOOGLETRANSLATE(B15591,""en"",""de"")"),"Der Junge spielt weiter, während er sich im Raum umsah und das Akkordeon herum zieht.")</f>
        <v>Der Junge spielt weiter, während er sich im Raum umsah und das Akkordeon herum zieht.</v>
      </c>
    </row>
    <row r="15592">
      <c r="A15592" s="4" t="s">
        <v>19638</v>
      </c>
      <c r="B15592" s="4" t="s">
        <v>19639</v>
      </c>
      <c r="C15592" s="5" t="str">
        <f>IFERROR(__xludf.DUMMYFUNCTION("GOOGLETRANSLATE(B15592,""en"",""de"")"),"Ein Mädchen hebt ihren Arm und bereitet sich darauf vor, den Balancestrahl in einer Arena zu montieren.")</f>
        <v>Ein Mädchen hebt ihren Arm und bereitet sich darauf vor, den Balancestrahl in einer Arena zu montieren.</v>
      </c>
    </row>
    <row r="15593">
      <c r="A15593" s="4" t="s">
        <v>19638</v>
      </c>
      <c r="B15593" s="4" t="s">
        <v>19640</v>
      </c>
      <c r="C15593" s="5" t="str">
        <f>IFERROR(__xludf.DUMMYFUNCTION("GOOGLETRANSLATE(B15593,""en"",""de"")"),"Das Mädchen steigt und führt eine Routine auf dem Balancestrahl durch.")</f>
        <v>Das Mädchen steigt und führt eine Routine auf dem Balancestrahl durch.</v>
      </c>
    </row>
    <row r="15594">
      <c r="A15594" s="4" t="s">
        <v>19638</v>
      </c>
      <c r="B15594" s="4" t="s">
        <v>19641</v>
      </c>
      <c r="C15594" s="5" t="str">
        <f>IFERROR(__xludf.DUMMYFUNCTION("GOOGLETRANSLATE(B15594,""en"",""de"")"),"Das Mädchen legt sich auf den Strahl und dreht sich in die stehende Position.")</f>
        <v>Das Mädchen legt sich auf den Strahl und dreht sich in die stehende Position.</v>
      </c>
    </row>
    <row r="15595">
      <c r="A15595" s="4" t="s">
        <v>19638</v>
      </c>
      <c r="B15595" s="4" t="s">
        <v>19642</v>
      </c>
      <c r="C15595" s="5" t="str">
        <f>IFERROR(__xludf.DUMMYFUNCTION("GOOGLETRANSLATE(B15595,""en"",""de"")"),"Das Mädchen dreht sich über den Strahl.")</f>
        <v>Das Mädchen dreht sich über den Strahl.</v>
      </c>
    </row>
    <row r="15596">
      <c r="A15596" s="4" t="s">
        <v>19638</v>
      </c>
      <c r="B15596" s="4" t="s">
        <v>19643</v>
      </c>
      <c r="C15596" s="5" t="str">
        <f>IFERROR(__xludf.DUMMYFUNCTION("GOOGLETRANSLATE(B15596,""en"",""de"")"),"Das Mädchen läuft Flips und steigt den Strahl ab.")</f>
        <v>Das Mädchen läuft Flips und steigt den Strahl ab.</v>
      </c>
    </row>
    <row r="15597">
      <c r="A15597" s="4" t="s">
        <v>19638</v>
      </c>
      <c r="B15597" s="4" t="s">
        <v>19644</v>
      </c>
      <c r="C15597" s="5" t="str">
        <f>IFERROR(__xludf.DUMMYFUNCTION("GOOGLETRANSLATE(B15597,""en"",""de"")"),"Die Menge jubelt und klatscht für das Mädchen, als sie ihre Hände hebt.")</f>
        <v>Die Menge jubelt und klatscht für das Mädchen, als sie ihre Hände hebt.</v>
      </c>
    </row>
    <row r="15598">
      <c r="A15598" s="4" t="s">
        <v>19645</v>
      </c>
      <c r="B15598" s="4" t="s">
        <v>19646</v>
      </c>
      <c r="C15598" s="5" t="str">
        <f>IFERROR(__xludf.DUMMYFUNCTION("GOOGLETRANSLATE(B15598,""en"",""de"")"),"Eine Frau spricht mit der Kamera, die ein Schärfwerkzeug in ihren Händen hält.")</f>
        <v>Eine Frau spricht mit der Kamera, die ein Schärfwerkzeug in ihren Händen hält.</v>
      </c>
    </row>
    <row r="15599">
      <c r="A15599" s="4" t="s">
        <v>19645</v>
      </c>
      <c r="B15599" s="4" t="s">
        <v>19647</v>
      </c>
      <c r="C15599" s="5" t="str">
        <f>IFERROR(__xludf.DUMMYFUNCTION("GOOGLETRANSLATE(B15599,""en"",""de"")"),"Sie zeigt dann, wie man das Messer richtig schneidet und das Objekt während des Sprechens ablegt.")</f>
        <v>Sie zeigt dann, wie man das Messer richtig schneidet und das Objekt während des Sprechens ablegt.</v>
      </c>
    </row>
    <row r="15600">
      <c r="A15600" s="4" t="s">
        <v>19648</v>
      </c>
      <c r="B15600" s="4" t="s">
        <v>19649</v>
      </c>
      <c r="C15600" s="5" t="str">
        <f>IFERROR(__xludf.DUMMYFUNCTION("GOOGLETRANSLATE(B15600,""en"",""de"")"),"Ein Schlagstock -Twirler steht auf dem Boden im Fitnessstudio.")</f>
        <v>Ein Schlagstock -Twirler steht auf dem Boden im Fitnessstudio.</v>
      </c>
    </row>
    <row r="15601">
      <c r="A15601" s="4" t="s">
        <v>19648</v>
      </c>
      <c r="B15601" s="4" t="s">
        <v>19650</v>
      </c>
      <c r="C15601" s="5" t="str">
        <f>IFERROR(__xludf.DUMMYFUNCTION("GOOGLETRANSLATE(B15601,""en"",""de"")"),"Sie beginnt ihre Routine.")</f>
        <v>Sie beginnt ihre Routine.</v>
      </c>
    </row>
    <row r="15602">
      <c r="A15602" s="4" t="s">
        <v>19648</v>
      </c>
      <c r="B15602" s="4" t="s">
        <v>19651</v>
      </c>
      <c r="C15602" s="5" t="str">
        <f>IFERROR(__xludf.DUMMYFUNCTION("GOOGLETRANSLATE(B15602,""en"",""de"")"),"Sie wirft den Staffelstab in die Luft.")</f>
        <v>Sie wirft den Staffelstab in die Luft.</v>
      </c>
    </row>
    <row r="15603">
      <c r="A15603" s="4" t="s">
        <v>19648</v>
      </c>
      <c r="B15603" s="4" t="s">
        <v>19652</v>
      </c>
      <c r="C15603" s="5" t="str">
        <f>IFERROR(__xludf.DUMMYFUNCTION("GOOGLETRANSLATE(B15603,""en"",""de"")"),"Sie dreht und dreht.")</f>
        <v>Sie dreht und dreht.</v>
      </c>
    </row>
    <row r="15604">
      <c r="A15604" s="4" t="s">
        <v>19648</v>
      </c>
      <c r="B15604" s="4" t="s">
        <v>19653</v>
      </c>
      <c r="C15604" s="5" t="str">
        <f>IFERROR(__xludf.DUMMYFUNCTION("GOOGLETRANSLATE(B15604,""en"",""de"")"),"Sie wirft weiterhin den Staffelstab und tanzt.")</f>
        <v>Sie wirft weiterhin den Staffelstab und tanzt.</v>
      </c>
    </row>
    <row r="15605">
      <c r="A15605" s="4" t="s">
        <v>19648</v>
      </c>
      <c r="B15605" s="4" t="s">
        <v>19654</v>
      </c>
      <c r="C15605" s="5" t="str">
        <f>IFERROR(__xludf.DUMMYFUNCTION("GOOGLETRANSLATE(B15605,""en"",""de"")"),"Sie lässt ihren Schlagstock fallen und strebt nach ihr.")</f>
        <v>Sie lässt ihren Schlagstock fallen und strebt nach ihr.</v>
      </c>
    </row>
    <row r="15606">
      <c r="A15606" s="4" t="s">
        <v>19648</v>
      </c>
      <c r="B15606" s="4" t="s">
        <v>19655</v>
      </c>
      <c r="C15606" s="5" t="str">
        <f>IFERROR(__xludf.DUMMYFUNCTION("GOOGLETRANSLATE(B15606,""en"",""de"")"),"Sie wirbt, tanzt und dreht sich wieder um.")</f>
        <v>Sie wirbt, tanzt und dreht sich wieder um.</v>
      </c>
    </row>
    <row r="15607">
      <c r="A15607" s="4" t="s">
        <v>19648</v>
      </c>
      <c r="B15607" s="4" t="s">
        <v>19656</v>
      </c>
      <c r="C15607" s="5" t="str">
        <f>IFERROR(__xludf.DUMMYFUNCTION("GOOGLETRANSLATE(B15607,""en"",""de"")"),"Sie lässt den Staffelstab wieder fallen.")</f>
        <v>Sie lässt den Staffelstab wieder fallen.</v>
      </c>
    </row>
    <row r="15608">
      <c r="A15608" s="4" t="s">
        <v>19648</v>
      </c>
      <c r="B15608" s="4" t="s">
        <v>19657</v>
      </c>
      <c r="C15608" s="5" t="str">
        <f>IFERROR(__xludf.DUMMYFUNCTION("GOOGLETRANSLATE(B15608,""en"",""de"")"),"Sie hat jetzt zwei Schlagstöcke und wirft und tanzt und wirft sie in die Luft.")</f>
        <v>Sie hat jetzt zwei Schlagstöcke und wirft und tanzt und wirft sie in die Luft.</v>
      </c>
    </row>
    <row r="15609">
      <c r="A15609" s="4" t="s">
        <v>19648</v>
      </c>
      <c r="B15609" s="4" t="s">
        <v>19658</v>
      </c>
      <c r="C15609" s="5" t="str">
        <f>IFERROR(__xludf.DUMMYFUNCTION("GOOGLETRANSLATE(B15609,""en"",""de"")"),"Sie ließ es ein drittes Mal fallen.")</f>
        <v>Sie ließ es ein drittes Mal fallen.</v>
      </c>
    </row>
    <row r="15610">
      <c r="A15610" s="4" t="s">
        <v>19648</v>
      </c>
      <c r="B15610" s="4" t="s">
        <v>19659</v>
      </c>
      <c r="C15610" s="5" t="str">
        <f>IFERROR(__xludf.DUMMYFUNCTION("GOOGLETRANSLATE(B15610,""en"",""de"")"),"Sie nahm es auf und fügte einen dritten Staffelstab hinzu und beendete ihre Routine.")</f>
        <v>Sie nahm es auf und fügte einen dritten Staffelstab hinzu und beendete ihre Routine.</v>
      </c>
    </row>
    <row r="15611">
      <c r="A15611" s="4" t="s">
        <v>19660</v>
      </c>
      <c r="B15611" s="4" t="s">
        <v>19661</v>
      </c>
      <c r="C15611" s="5" t="str">
        <f>IFERROR(__xludf.DUMMYFUNCTION("GOOGLETRANSLATE(B15611,""en"",""de"")"),"Der alte Mann hält eine grüne Pole und schlägt mitten in einem Raum einen Piñata.")</f>
        <v>Der alte Mann hält eine grüne Pole und schlägt mitten in einem Raum einen Piñata.</v>
      </c>
    </row>
    <row r="15612">
      <c r="A15612" s="4" t="s">
        <v>19660</v>
      </c>
      <c r="B15612" s="4" t="s">
        <v>19662</v>
      </c>
      <c r="C15612" s="5" t="str">
        <f>IFERROR(__xludf.DUMMYFUNCTION("GOOGLETRANSLATE(B15612,""en"",""de"")"),"Kleine Kinder sind Tancin und springen hinter dem Mann.")</f>
        <v>Kleine Kinder sind Tancin und springen hinter dem Mann.</v>
      </c>
    </row>
    <row r="15613">
      <c r="A15613" s="4" t="s">
        <v>19660</v>
      </c>
      <c r="B15613" s="4" t="s">
        <v>19663</v>
      </c>
      <c r="C15613" s="5" t="str">
        <f>IFERROR(__xludf.DUMMYFUNCTION("GOOGLETRANSLATE(B15613,""en"",""de"")"),"Der Mann giviert die Stange zu einem Kind und anderen Kindern steht hinter ihm.")</f>
        <v>Der Mann giviert die Stange zu einem Kind und anderen Kindern steht hinter ihm.</v>
      </c>
    </row>
    <row r="15614">
      <c r="A15614" s="4" t="s">
        <v>19664</v>
      </c>
      <c r="B15614" s="4" t="s">
        <v>19665</v>
      </c>
      <c r="C15614" s="5" t="str">
        <f>IFERROR(__xludf.DUMMYFUNCTION("GOOGLETRANSLATE(B15614,""en"",""de"")"),"In einem Kulturzentrum stricken einige Leute mit Garn und Stricknadeln.")</f>
        <v>In einem Kulturzentrum stricken einige Leute mit Garn und Stricknadeln.</v>
      </c>
    </row>
    <row r="15615">
      <c r="A15615" s="4" t="s">
        <v>19664</v>
      </c>
      <c r="B15615" s="4" t="s">
        <v>19666</v>
      </c>
      <c r="C15615" s="5" t="str">
        <f>IFERROR(__xludf.DUMMYFUNCTION("GOOGLETRANSLATE(B15615,""en"",""de"")"),"Ein Rack aus Strickmützen und Pullovern ist gegen die Wand gestapelt.")</f>
        <v>Ein Rack aus Strickmützen und Pullovern ist gegen die Wand gestapelt.</v>
      </c>
    </row>
    <row r="15616">
      <c r="A15616" s="4" t="s">
        <v>19664</v>
      </c>
      <c r="B15616" s="4" t="s">
        <v>19667</v>
      </c>
      <c r="C15616" s="5" t="str">
        <f>IFERROR(__xludf.DUMMYFUNCTION("GOOGLETRANSLATE(B15616,""en"",""de"")"),"Es wird ein fertiger grauer Pullover mit schwarzer Stickerei gezeigt.")</f>
        <v>Es wird ein fertiger grauer Pullover mit schwarzer Stickerei gezeigt.</v>
      </c>
    </row>
    <row r="15617">
      <c r="A15617" s="4" t="s">
        <v>19664</v>
      </c>
      <c r="B15617" s="4" t="s">
        <v>19668</v>
      </c>
      <c r="C15617" s="5" t="str">
        <f>IFERROR(__xludf.DUMMYFUNCTION("GOOGLETRANSLATE(B15617,""en"",""de"")"),"Eine Frau, die den Daily News Channel repräsentiert, spricht über den Pullover und trägt ihn dann.")</f>
        <v>Eine Frau, die den Daily News Channel repräsentiert, spricht über den Pullover und trägt ihn dann.</v>
      </c>
    </row>
    <row r="15618">
      <c r="A15618" s="4" t="s">
        <v>19664</v>
      </c>
      <c r="B15618" s="4" t="s">
        <v>19669</v>
      </c>
      <c r="C15618" s="5" t="str">
        <f>IFERROR(__xludf.DUMMYFUNCTION("GOOGLETRANSLATE(B15618,""en"",""de"")"),"Es gibt Leute, die mit Garn und Nadeln sitzen und stricken.")</f>
        <v>Es gibt Leute, die mit Garn und Nadeln sitzen und stricken.</v>
      </c>
    </row>
    <row r="15619">
      <c r="A15619" s="4" t="s">
        <v>19664</v>
      </c>
      <c r="B15619" s="4" t="s">
        <v>19670</v>
      </c>
      <c r="C15619" s="5" t="str">
        <f>IFERROR(__xludf.DUMMYFUNCTION("GOOGLETRANSLATE(B15619,""en"",""de"")"),"Es gibt einen Mann namens John George, der über seine Strickerfahrung in der Klasse spricht.")</f>
        <v>Es gibt einen Mann namens John George, der über seine Strickerfahrung in der Klasse spricht.</v>
      </c>
    </row>
    <row r="15620">
      <c r="A15620" s="4" t="s">
        <v>19664</v>
      </c>
      <c r="B15620" s="4" t="s">
        <v>19671</v>
      </c>
      <c r="C15620" s="5" t="str">
        <f>IFERROR(__xludf.DUMMYFUNCTION("GOOGLETRANSLATE(B15620,""en"",""de"")"),"Er zeigt zusammen mit seinen anderen Mitstrickern, wie sie stricken.")</f>
        <v>Er zeigt zusammen mit seinen anderen Mitstrickern, wie sie stricken.</v>
      </c>
    </row>
    <row r="15621">
      <c r="A15621" s="4" t="s">
        <v>19664</v>
      </c>
      <c r="B15621" s="4" t="s">
        <v>19672</v>
      </c>
      <c r="C15621" s="5" t="str">
        <f>IFERROR(__xludf.DUMMYFUNCTION("GOOGLETRANSLATE(B15621,""en"",""de"")"),"Eine andere Person namens Charles Henry spricht über seine Strickerfahrung im Kulturzentrum.")</f>
        <v>Eine andere Person namens Charles Henry spricht über seine Strickerfahrung im Kulturzentrum.</v>
      </c>
    </row>
    <row r="15622">
      <c r="A15622" s="4" t="s">
        <v>19664</v>
      </c>
      <c r="B15622" s="4" t="s">
        <v>19673</v>
      </c>
      <c r="C15622" s="5" t="str">
        <f>IFERROR(__xludf.DUMMYFUNCTION("GOOGLETRANSLATE(B15622,""en"",""de"")"),"Mehrere Menschen sind im Kulturzentrum zu sehen, die zusammen sitzen und stricken, während einer der Organisatoren spricht.")</f>
        <v>Mehrere Menschen sind im Kulturzentrum zu sehen, die zusammen sitzen und stricken, während einer der Organisatoren spricht.</v>
      </c>
    </row>
    <row r="15623">
      <c r="A15623" s="4" t="s">
        <v>19664</v>
      </c>
      <c r="B15623" s="4" t="s">
        <v>19674</v>
      </c>
      <c r="C15623" s="5" t="str">
        <f>IFERROR(__xludf.DUMMYFUNCTION("GOOGLETRANSLATE(B15623,""en"",""de"")"),"Der Nachrichtenreporter trägt den grauen Pullover und sieht darin sehr glücklich aus.")</f>
        <v>Der Nachrichtenreporter trägt den grauen Pullover und sieht darin sehr glücklich aus.</v>
      </c>
    </row>
    <row r="15624">
      <c r="A15624" s="4" t="s">
        <v>19675</v>
      </c>
      <c r="B15624" s="4" t="s">
        <v>19676</v>
      </c>
      <c r="C15624" s="5" t="str">
        <f>IFERROR(__xludf.DUMMYFUNCTION("GOOGLETRANSLATE(B15624,""en"",""de"")"),"Zwei Menschen zäunen in einem umgewandten Raum mit Tupfen, während sie in Zaunausrüstung und Zäunmasken einschließlich einer Zaunwaffe gekleidet sind.")</f>
        <v>Zwei Menschen zäunen in einem umgewandten Raum mit Tupfen, während sie in Zaunausrüstung und Zäunmasken einschließlich einer Zaunwaffe gekleidet sind.</v>
      </c>
    </row>
    <row r="15625">
      <c r="A15625" s="4" t="s">
        <v>19675</v>
      </c>
      <c r="B15625" s="4" t="s">
        <v>19677</v>
      </c>
      <c r="C15625" s="5" t="str">
        <f>IFERROR(__xludf.DUMMYFUNCTION("GOOGLETRANSLATE(B15625,""en"",""de"")"),"Eine animierte Grafik bevölkert, die den Körperbau der beiden Fechter in einem Gittermuster zeigt, wobei die beiden animierten Figuren Zaun-/Waffenbewegungen aufweisen.")</f>
        <v>Eine animierte Grafik bevölkert, die den Körperbau der beiden Fechter in einem Gittermuster zeigt, wobei die beiden animierten Figuren Zaun-/Waffenbewegungen aufweisen.</v>
      </c>
    </row>
    <row r="15626">
      <c r="A15626" s="4" t="s">
        <v>19675</v>
      </c>
      <c r="B15626" s="4" t="s">
        <v>19678</v>
      </c>
      <c r="C15626" s="5" t="str">
        <f>IFERROR(__xludf.DUMMYFUNCTION("GOOGLETRANSLATE(B15626,""en"",""de"")"),"Ein Ausschnitt entspricht mehreren Personen, die vor einem extremen Zaunschild mit der Kamera interviewt und mit stillen Bildern von Personen, die sich auf Zaun vorbereiten, interviewt und sprechen.")</f>
        <v>Ein Ausschnitt entspricht mehreren Personen, die vor einem extremen Zaunschild mit der Kamera interviewt und mit stillen Bildern von Personen, die sich auf Zaun vorbereiten, interviewt und sprechen.</v>
      </c>
    </row>
    <row r="15627">
      <c r="A15627" s="4" t="s">
        <v>19675</v>
      </c>
      <c r="B15627" s="4" t="s">
        <v>19679</v>
      </c>
      <c r="C15627" s="5" t="str">
        <f>IFERROR(__xludf.DUMMYFUNCTION("GOOGLETRANSLATE(B15627,""en"",""de"")"),"Die beiden Menschen, die in Zäunen gekleidet sind, beginnen in einer Demonstration zu zänen.")</f>
        <v>Die beiden Menschen, die in Zäunen gekleidet sind, beginnen in einer Demonstration zu zänen.</v>
      </c>
    </row>
    <row r="15628">
      <c r="A15628" s="4" t="s">
        <v>19680</v>
      </c>
      <c r="B15628" s="4" t="s">
        <v>19681</v>
      </c>
      <c r="C15628" s="5" t="str">
        <f>IFERROR(__xludf.DUMMYFUNCTION("GOOGLETRANSLATE(B15628,""en"",""de"")"),"Ein CBS -Nachrichtensprecher berichtet über eine Geschichte.")</f>
        <v>Ein CBS -Nachrichtensprecher berichtet über eine Geschichte.</v>
      </c>
    </row>
    <row r="15629">
      <c r="A15629" s="4" t="s">
        <v>19680</v>
      </c>
      <c r="B15629" s="4" t="s">
        <v>19682</v>
      </c>
      <c r="C15629" s="5" t="str">
        <f>IFERROR(__xludf.DUMMYFUNCTION("GOOGLETRANSLATE(B15629,""en"",""de"")"),"Eine Blaskapelle erscheint auf einem großen Feld.")</f>
        <v>Eine Blaskapelle erscheint auf einem großen Feld.</v>
      </c>
    </row>
    <row r="15630">
      <c r="A15630" s="4" t="s">
        <v>19680</v>
      </c>
      <c r="B15630" s="4" t="s">
        <v>19683</v>
      </c>
      <c r="C15630" s="5" t="str">
        <f>IFERROR(__xludf.DUMMYFUNCTION("GOOGLETRANSLATE(B15630,""en"",""de"")"),"Ein Student der Blaskapelle gibt zusammen mit dem Ausbilder der Blaskapelle ein Interview.")</f>
        <v>Ein Student der Blaskapelle gibt zusammen mit dem Ausbilder der Blaskapelle ein Interview.</v>
      </c>
    </row>
    <row r="15631">
      <c r="A15631" s="4" t="s">
        <v>19680</v>
      </c>
      <c r="B15631" s="4" t="s">
        <v>19684</v>
      </c>
      <c r="C15631" s="5" t="str">
        <f>IFERROR(__xludf.DUMMYFUNCTION("GOOGLETRANSLATE(B15631,""en"",""de"")"),"Die Blaskapelle übt ihre Leistung.")</f>
        <v>Die Blaskapelle übt ihre Leistung.</v>
      </c>
    </row>
    <row r="15632">
      <c r="A15632" s="4" t="s">
        <v>19685</v>
      </c>
      <c r="B15632" s="4" t="s">
        <v>19686</v>
      </c>
      <c r="C15632" s="5" t="str">
        <f>IFERROR(__xludf.DUMMYFUNCTION("GOOGLETRANSLATE(B15632,""en"",""de"")"),"Diese junge Frau spielt im Studio Klavier.")</f>
        <v>Diese junge Frau spielt im Studio Klavier.</v>
      </c>
    </row>
    <row r="15633">
      <c r="A15633" s="4" t="s">
        <v>19685</v>
      </c>
      <c r="B15633" s="4" t="s">
        <v>19687</v>
      </c>
      <c r="C15633" s="5" t="str">
        <f>IFERROR(__xludf.DUMMYFUNCTION("GOOGLETRANSLATE(B15633,""en"",""de"")"),"Niemand sonst ist mit ihr da drin und sie sieht sehr ernst aus, was sie tut.")</f>
        <v>Niemand sonst ist mit ihr da drin und sie sieht sehr ernst aus, was sie tut.</v>
      </c>
    </row>
    <row r="15634">
      <c r="A15634" s="4" t="s">
        <v>19685</v>
      </c>
      <c r="B15634" s="4" t="s">
        <v>19688</v>
      </c>
      <c r="C15634" s="5" t="str">
        <f>IFERROR(__xludf.DUMMYFUNCTION("GOOGLETRANSLATE(B15634,""en"",""de"")"),"Sie trägt ein rosa T-Shirt und eine blumfarbene Leggings, dann bleibt sie irgendwann auf.")</f>
        <v>Sie trägt ein rosa T-Shirt und eine blumfarbene Leggings, dann bleibt sie irgendwann auf.</v>
      </c>
    </row>
    <row r="15635">
      <c r="A15635" s="4" t="s">
        <v>19689</v>
      </c>
      <c r="B15635" s="4" t="s">
        <v>19690</v>
      </c>
      <c r="C15635" s="5" t="str">
        <f>IFERROR(__xludf.DUMMYFUNCTION("GOOGLETRANSLATE(B15635,""en"",""de"")"),"Eine Gruppe von Menschen steht auf einer Brücke im Freien.")</f>
        <v>Eine Gruppe von Menschen steht auf einer Brücke im Freien.</v>
      </c>
    </row>
    <row r="15636">
      <c r="A15636" s="4" t="s">
        <v>19689</v>
      </c>
      <c r="B15636" s="4" t="s">
        <v>19691</v>
      </c>
      <c r="C15636" s="5" t="str">
        <f>IFERROR(__xludf.DUMMYFUNCTION("GOOGLETRANSLATE(B15636,""en"",""de"")"),"Sie legen Geräte um die Körper des anderen, um sie zu schützen.")</f>
        <v>Sie legen Geräte um die Körper des anderen, um sie zu schützen.</v>
      </c>
    </row>
    <row r="15637">
      <c r="A15637" s="4" t="s">
        <v>19689</v>
      </c>
      <c r="B15637" s="4" t="s">
        <v>19692</v>
      </c>
      <c r="C15637" s="5" t="str">
        <f>IFERROR(__xludf.DUMMYFUNCTION("GOOGLETRANSLATE(B15637,""en"",""de"")"),"Die Person springt von der Seite der Brücke auf einem Bungee -Kabel und schwingt darüber über das Wasser.")</f>
        <v>Die Person springt von der Seite der Brücke auf einem Bungee -Kabel und schwingt darüber über das Wasser.</v>
      </c>
    </row>
    <row r="15638">
      <c r="A15638" s="4" t="s">
        <v>19693</v>
      </c>
      <c r="B15638" s="4" t="s">
        <v>19694</v>
      </c>
      <c r="C15638" s="5" t="str">
        <f>IFERROR(__xludf.DUMMYFUNCTION("GOOGLETRANSLATE(B15638,""en"",""de"")"),"Viele Menschen sind auf einem Platz versammelt.")</f>
        <v>Viele Menschen sind auf einem Platz versammelt.</v>
      </c>
    </row>
    <row r="15639">
      <c r="A15639" s="4" t="s">
        <v>19693</v>
      </c>
      <c r="B15639" s="4" t="s">
        <v>19695</v>
      </c>
      <c r="C15639" s="5" t="str">
        <f>IFERROR(__xludf.DUMMYFUNCTION("GOOGLETRANSLATE(B15639,""en"",""de"")"),"Die Leute rennen auf der Straße und in der Bucht.")</f>
        <v>Die Leute rennen auf der Straße und in der Bucht.</v>
      </c>
    </row>
    <row r="15640">
      <c r="A15640" s="4" t="s">
        <v>19696</v>
      </c>
      <c r="B15640" s="4" t="s">
        <v>19697</v>
      </c>
      <c r="C15640" s="5" t="str">
        <f>IFERROR(__xludf.DUMMYFUNCTION("GOOGLETRANSLATE(B15640,""en"",""de"")"),"Eine Gruppe junger Männer sitzt an einem Tisch mit Rubik -Würfeln vor sich.")</f>
        <v>Eine Gruppe junger Männer sitzt an einem Tisch mit Rubik -Würfeln vor sich.</v>
      </c>
    </row>
    <row r="15641">
      <c r="A15641" s="4" t="s">
        <v>19696</v>
      </c>
      <c r="B15641" s="4" t="s">
        <v>19698</v>
      </c>
      <c r="C15641" s="5" t="str">
        <f>IFERROR(__xludf.DUMMYFUNCTION("GOOGLETRANSLATE(B15641,""en"",""de"")"),"Die beiden Jungen rechts haben bereits begonnen und die beiden Jungen auf der linken Seite haben eine Verzögerung.")</f>
        <v>Die beiden Jungen rechts haben bereits begonnen und die beiden Jungen auf der linken Seite haben eine Verzögerung.</v>
      </c>
    </row>
    <row r="15642">
      <c r="A15642" s="4" t="s">
        <v>19696</v>
      </c>
      <c r="B15642" s="4" t="s">
        <v>19699</v>
      </c>
      <c r="C15642" s="5" t="str">
        <f>IFERROR(__xludf.DUMMYFUNCTION("GOOGLETRANSLATE(B15642,""en"",""de"")"),"In acht Sekunden löst der Junge seinen Würfel und die Jungen hinter ihnen springen auf und gratulieren ihm, wie die anderen weiterhin ihre lösen.")</f>
        <v>In acht Sekunden löst der Junge seinen Würfel und die Jungen hinter ihnen springen auf und gratulieren ihm, wie die anderen weiterhin ihre lösen.</v>
      </c>
    </row>
    <row r="15643">
      <c r="A15643" s="4" t="s">
        <v>19700</v>
      </c>
      <c r="B15643" s="4" t="s">
        <v>19701</v>
      </c>
      <c r="C15643" s="5" t="str">
        <f>IFERROR(__xludf.DUMMYFUNCTION("GOOGLETRANSLATE(B15643,""en"",""de"")"),"Eine Person sitzt im Wasser mit einem an seinen Füßen befestigten Skier.")</f>
        <v>Eine Person sitzt im Wasser mit einem an seinen Füßen befestigten Skier.</v>
      </c>
    </row>
    <row r="15644">
      <c r="A15644" s="4" t="s">
        <v>19700</v>
      </c>
      <c r="B15644" s="4" t="s">
        <v>19702</v>
      </c>
      <c r="C15644" s="5" t="str">
        <f>IFERROR(__xludf.DUMMYFUNCTION("GOOGLETRANSLATE(B15644,""en"",""de"")"),"Der Mann steht dann auf den Skiern auf und reitet das Wasser hinter einem Boot entlang.")</f>
        <v>Der Mann steht dann auf den Skiern auf und reitet das Wasser hinter einem Boot entlang.</v>
      </c>
    </row>
    <row r="15645">
      <c r="A15645" s="4" t="s">
        <v>19703</v>
      </c>
      <c r="B15645" s="4" t="s">
        <v>19704</v>
      </c>
      <c r="C15645" s="5" t="str">
        <f>IFERROR(__xludf.DUMMYFUNCTION("GOOGLETRANSLATE(B15645,""en"",""de"")"),"Es wird ein Blick auf einen weiten Bäume in einem Wald angezeigt.")</f>
        <v>Es wird ein Blick auf einen weiten Bäume in einem Wald angezeigt.</v>
      </c>
    </row>
    <row r="15646">
      <c r="A15646" s="4" t="s">
        <v>19703</v>
      </c>
      <c r="B15646" s="4" t="s">
        <v>19705</v>
      </c>
      <c r="C15646" s="5" t="str">
        <f>IFERROR(__xludf.DUMMYFUNCTION("GOOGLETRANSLATE(B15646,""en"",""de"")"),"Eine Frau geht raus und hält einen Hula -Reifen.")</f>
        <v>Eine Frau geht raus und hält einen Hula -Reifen.</v>
      </c>
    </row>
    <row r="15647">
      <c r="A15647" s="4" t="s">
        <v>19703</v>
      </c>
      <c r="B15647" s="4" t="s">
        <v>19706</v>
      </c>
      <c r="C15647" s="5" t="str">
        <f>IFERROR(__xludf.DUMMYFUNCTION("GOOGLETRANSLATE(B15647,""en"",""de"")"),"Sie beginnt den Reifen verführerisch beim Tanzen zu benutzen.")</f>
        <v>Sie beginnt den Reifen verführerisch beim Tanzen zu benutzen.</v>
      </c>
    </row>
    <row r="15648">
      <c r="A15648" s="4" t="s">
        <v>19703</v>
      </c>
      <c r="B15648" s="4" t="s">
        <v>19707</v>
      </c>
      <c r="C15648" s="5" t="str">
        <f>IFERROR(__xludf.DUMMYFUNCTION("GOOGLETRANSLATE(B15648,""en"",""de"")"),"Sie dreht, flieht und macht Wagenräder, während sie den Reifen benutzt.")</f>
        <v>Sie dreht, flieht und macht Wagenräder, während sie den Reifen benutzt.</v>
      </c>
    </row>
    <row r="15649">
      <c r="A15649" s="4" t="s">
        <v>19703</v>
      </c>
      <c r="B15649" s="4" t="s">
        <v>19708</v>
      </c>
      <c r="C15649" s="5" t="str">
        <f>IFERROR(__xludf.DUMMYFUNCTION("GOOGLETRANSLATE(B15649,""en"",""de"")"),"Sie beendet ihre Leistung mit einer gefrorenen, nach oben starrenden Pose.")</f>
        <v>Sie beendet ihre Leistung mit einer gefrorenen, nach oben starrenden Pose.</v>
      </c>
    </row>
    <row r="15650">
      <c r="A15650" s="4" t="s">
        <v>19709</v>
      </c>
      <c r="B15650" s="4" t="s">
        <v>19710</v>
      </c>
      <c r="C15650" s="5" t="str">
        <f>IFERROR(__xludf.DUMMYFUNCTION("GOOGLETRANSLATE(B15650,""en"",""de"")"),"Man, das ein grünes Hemd webt, steht neben einem kleinen Mädchen.")</f>
        <v>Man, das ein grünes Hemd webt, steht neben einem kleinen Mädchen.</v>
      </c>
    </row>
    <row r="15651">
      <c r="A15651" s="4" t="s">
        <v>19709</v>
      </c>
      <c r="B15651" s="4" t="s">
        <v>19711</v>
      </c>
      <c r="C15651" s="5" t="str">
        <f>IFERROR(__xludf.DUMMYFUNCTION("GOOGLETRANSLATE(B15651,""en"",""de"")"),"Mädchen, das eine Brille trägt, spricht mit der Kamera.")</f>
        <v>Mädchen, das eine Brille trägt, spricht mit der Kamera.</v>
      </c>
    </row>
    <row r="15652">
      <c r="A15652" s="4" t="s">
        <v>19709</v>
      </c>
      <c r="B15652" s="4" t="s">
        <v>19712</v>
      </c>
      <c r="C15652" s="5" t="str">
        <f>IFERROR(__xludf.DUMMYFUNCTION("GOOGLETRANSLATE(B15652,""en"",""de"")"),"Der Mann und das Mädchen trinken aus einer weißen Tasse.")</f>
        <v>Der Mann und das Mädchen trinken aus einer weißen Tasse.</v>
      </c>
    </row>
    <row r="15653">
      <c r="A15653" s="4" t="s">
        <v>19709</v>
      </c>
      <c r="B15653" s="4" t="s">
        <v>19713</v>
      </c>
      <c r="C15653" s="5" t="str">
        <f>IFERROR(__xludf.DUMMYFUNCTION("GOOGLETRANSLATE(B15653,""en"",""de"")"),"Das Mädchen hält das Getränk in ihrem Mund und spuckte es auf das Gras und der Mann tut dasselbe.")</f>
        <v>Das Mädchen hält das Getränk in ihrem Mund und spuckte es auf das Gras und der Mann tut dasselbe.</v>
      </c>
    </row>
    <row r="15654">
      <c r="A15654" s="4" t="s">
        <v>19714</v>
      </c>
      <c r="B15654" s="4" t="s">
        <v>19715</v>
      </c>
      <c r="C15654" s="5" t="str">
        <f>IFERROR(__xludf.DUMMYFUNCTION("GOOGLETRANSLATE(B15654,""en"",""de"")"),"Ein Mädchen geht zum Ende eines Tauchbretts und hebt ihre Hände.")</f>
        <v>Ein Mädchen geht zum Ende eines Tauchbretts und hebt ihre Hände.</v>
      </c>
    </row>
    <row r="15655">
      <c r="A15655" s="4" t="s">
        <v>19714</v>
      </c>
      <c r="B15655" s="4" t="s">
        <v>19716</v>
      </c>
      <c r="C15655" s="5" t="str">
        <f>IFERROR(__xludf.DUMMYFUNCTION("GOOGLETRANSLATE(B15655,""en"",""de"")"),"Das Mädchen springt auf das Tauchbrett, um sich vorzubereiten.")</f>
        <v>Das Mädchen springt auf das Tauchbrett, um sich vorzubereiten.</v>
      </c>
    </row>
    <row r="15656">
      <c r="A15656" s="4" t="s">
        <v>19714</v>
      </c>
      <c r="B15656" s="4" t="s">
        <v>19717</v>
      </c>
      <c r="C15656" s="5" t="str">
        <f>IFERROR(__xludf.DUMMYFUNCTION("GOOGLETRANSLATE(B15656,""en"",""de"")"),"Das Mädchen macht dann einen rückwärts flippenden Tauchgang in den Pool.")</f>
        <v>Das Mädchen macht dann einen rückwärts flippenden Tauchgang in den Pool.</v>
      </c>
    </row>
    <row r="15657">
      <c r="A15657" s="4" t="s">
        <v>19718</v>
      </c>
      <c r="B15657" s="4" t="s">
        <v>19719</v>
      </c>
      <c r="C15657" s="5" t="str">
        <f>IFERROR(__xludf.DUMMYFUNCTION("GOOGLETRANSLATE(B15657,""en"",""de"")"),"Die Leute beobachten, wie sich die Konkurrenten in der Nähe einer roten Bühne fertig machen.")</f>
        <v>Die Leute beobachten, wie sich die Konkurrenten in der Nähe einer roten Bühne fertig machen.</v>
      </c>
    </row>
    <row r="15658">
      <c r="A15658" s="4" t="s">
        <v>19718</v>
      </c>
      <c r="B15658" s="4" t="s">
        <v>19720</v>
      </c>
      <c r="C15658" s="5" t="str">
        <f>IFERROR(__xludf.DUMMYFUNCTION("GOOGLETRANSLATE(B15658,""en"",""de"")"),"Die Konkurrenten stellten ihre Roboter in den Kreis, als der Richter sie anweist.")</f>
        <v>Die Konkurrenten stellten ihre Roboter in den Kreis, als der Richter sie anweist.</v>
      </c>
    </row>
    <row r="15659">
      <c r="A15659" s="4" t="s">
        <v>19718</v>
      </c>
      <c r="B15659" s="4" t="s">
        <v>19721</v>
      </c>
      <c r="C15659" s="5" t="str">
        <f>IFERROR(__xludf.DUMMYFUNCTION("GOOGLETRANSLATE(B15659,""en"",""de"")"),"Der Richter signalisiert den Beginn des Wettbewerbs.")</f>
        <v>Der Richter signalisiert den Beginn des Wettbewerbs.</v>
      </c>
    </row>
    <row r="15660">
      <c r="A15660" s="4" t="s">
        <v>19718</v>
      </c>
      <c r="B15660" s="4" t="s">
        <v>19722</v>
      </c>
      <c r="C15660" s="5" t="str">
        <f>IFERROR(__xludf.DUMMYFUNCTION("GOOGLETRANSLATE(B15660,""en"",""de"")"),"Die Roboter beginnen sich zu bewegen, und einer der Roboter wird aus dem Kreis gedrängt.")</f>
        <v>Die Roboter beginnen sich zu bewegen, und einer der Roboter wird aus dem Kreis gedrängt.</v>
      </c>
    </row>
    <row r="15661">
      <c r="A15661" s="4" t="s">
        <v>19718</v>
      </c>
      <c r="B15661" s="4" t="s">
        <v>19723</v>
      </c>
      <c r="C15661" s="5" t="str">
        <f>IFERROR(__xludf.DUMMYFUNCTION("GOOGLETRANSLATE(B15661,""en"",""de"")"),"Die Konkurrenten gehen wieder auf die Bühne und ersetzen ihre Roboter.")</f>
        <v>Die Konkurrenten gehen wieder auf die Bühne und ersetzen ihre Roboter.</v>
      </c>
    </row>
    <row r="15662">
      <c r="A15662" s="4" t="s">
        <v>19718</v>
      </c>
      <c r="B15662" s="4" t="s">
        <v>19724</v>
      </c>
      <c r="C15662" s="5" t="str">
        <f>IFERROR(__xludf.DUMMYFUNCTION("GOOGLETRANSLATE(B15662,""en"",""de"")"),"Der Richter signalisiert, dass der Wettbewerb wieder beginnt, und jeder applaudiert, wenn einer von ihnen gewinnt.")</f>
        <v>Der Richter signalisiert, dass der Wettbewerb wieder beginnt, und jeder applaudiert, wenn einer von ihnen gewinnt.</v>
      </c>
    </row>
    <row r="15663">
      <c r="A15663" s="4" t="s">
        <v>19725</v>
      </c>
      <c r="B15663" s="4" t="s">
        <v>19726</v>
      </c>
      <c r="C15663" s="5" t="str">
        <f>IFERROR(__xludf.DUMMYFUNCTION("GOOGLETRANSLATE(B15663,""en"",""de"")"),"Ein Mann steht in einem Raum mit Blau.")</f>
        <v>Ein Mann steht in einem Raum mit Blau.</v>
      </c>
    </row>
    <row r="15664">
      <c r="A15664" s="4" t="s">
        <v>19725</v>
      </c>
      <c r="B15664" s="4" t="s">
        <v>19727</v>
      </c>
      <c r="C15664" s="5" t="str">
        <f>IFERROR(__xludf.DUMMYFUNCTION("GOOGLETRANSLATE(B15664,""en"",""de"")"),"Er wendet ein Bild an die Wand.")</f>
        <v>Er wendet ein Bild an die Wand.</v>
      </c>
    </row>
    <row r="15665">
      <c r="A15665" s="4" t="s">
        <v>19725</v>
      </c>
      <c r="B15665" s="4" t="s">
        <v>19728</v>
      </c>
      <c r="C15665" s="5" t="str">
        <f>IFERROR(__xludf.DUMMYFUNCTION("GOOGLETRANSLATE(B15665,""en"",""de"")"),"Er verwendet ein Werkzeug, um es zu glätten.")</f>
        <v>Er verwendet ein Werkzeug, um es zu glätten.</v>
      </c>
    </row>
    <row r="15666">
      <c r="A15666" s="4" t="s">
        <v>19725</v>
      </c>
      <c r="B15666" s="4" t="s">
        <v>19729</v>
      </c>
      <c r="C15666" s="5" t="str">
        <f>IFERROR(__xludf.DUMMYFUNCTION("GOOGLETRANSLATE(B15666,""en"",""de"")"),"Er schneidet das Papier unten.")</f>
        <v>Er schneidet das Papier unten.</v>
      </c>
    </row>
    <row r="15667">
      <c r="A15667" s="4" t="s">
        <v>19730</v>
      </c>
      <c r="B15667" s="4" t="s">
        <v>19731</v>
      </c>
      <c r="C15667" s="5" t="str">
        <f>IFERROR(__xludf.DUMMYFUNCTION("GOOGLETRANSLATE(B15667,""en"",""de"")"),"Ein Mann, der vor einem Gebäudefenster mit einem großen Rakel steht.")</f>
        <v>Ein Mann, der vor einem Gebäudefenster mit einem großen Rakel steht.</v>
      </c>
    </row>
    <row r="15668">
      <c r="A15668" s="4" t="s">
        <v>19730</v>
      </c>
      <c r="B15668" s="4" t="s">
        <v>19732</v>
      </c>
      <c r="C15668" s="5" t="str">
        <f>IFERROR(__xludf.DUMMYFUNCTION("GOOGLETRANSLATE(B15668,""en"",""de"")"),"Er geht über das Türfenster und benutzt dann ein anderes Gerät nach dem Wischen der Seife.")</f>
        <v>Er geht über das Türfenster und benutzt dann ein anderes Gerät nach dem Wischen der Seife.</v>
      </c>
    </row>
    <row r="15669">
      <c r="A15669" s="4" t="s">
        <v>19730</v>
      </c>
      <c r="B15669" s="4" t="s">
        <v>19733</v>
      </c>
      <c r="C15669" s="5" t="str">
        <f>IFERROR(__xludf.DUMMYFUNCTION("GOOGLETRANSLATE(B15669,""en"",""de"")"),"Er beginnt ganz oben und steigt darauf, in die Ecken des Fensters zu gelangen.")</f>
        <v>Er beginnt ganz oben und steigt darauf, in die Ecken des Fensters zu gelangen.</v>
      </c>
    </row>
    <row r="15670">
      <c r="A15670" s="4" t="s">
        <v>19730</v>
      </c>
      <c r="B15670" s="4" t="s">
        <v>19734</v>
      </c>
      <c r="C15670" s="5" t="str">
        <f>IFERROR(__xludf.DUMMYFUNCTION("GOOGLETRANSLATE(B15670,""en"",""de"")"),"Das Fenster sieht sehr sauber und schön aus, wenn er all das tut.")</f>
        <v>Das Fenster sieht sehr sauber und schön aus, wenn er all das tut.</v>
      </c>
    </row>
    <row r="15671">
      <c r="A15671" s="4" t="s">
        <v>19735</v>
      </c>
      <c r="B15671" s="4" t="s">
        <v>19736</v>
      </c>
      <c r="C15671" s="5" t="str">
        <f>IFERROR(__xludf.DUMMYFUNCTION("GOOGLETRANSLATE(B15671,""en"",""de"")"),"Eine Gruppe von Cheerleadern tritt auf der Bühne auf, während die Leute zuschauen.")</f>
        <v>Eine Gruppe von Cheerleadern tritt auf der Bühne auf, während die Leute zuschauen.</v>
      </c>
    </row>
    <row r="15672">
      <c r="A15672" s="4" t="s">
        <v>19735</v>
      </c>
      <c r="B15672" s="4" t="s">
        <v>19737</v>
      </c>
      <c r="C15672" s="5" t="str">
        <f>IFERROR(__xludf.DUMMYFUNCTION("GOOGLETRANSLATE(B15672,""en"",""de"")"),"Dann machen die Cheerleader einen Turm und springen dann, dann machen sie Wagenräder.")</f>
        <v>Dann machen die Cheerleader einen Turm und springen dann, dann machen sie Wagenräder.</v>
      </c>
    </row>
    <row r="15673">
      <c r="A15673" s="4" t="s">
        <v>19735</v>
      </c>
      <c r="B15673" s="4" t="s">
        <v>19738</v>
      </c>
      <c r="C15673" s="5" t="str">
        <f>IFERROR(__xludf.DUMMYFUNCTION("GOOGLETRANSLATE(B15673,""en"",""de"")"),"Zwei Cheerleader stehen in einem Turm auf und drehen sich dann um und fallen auf die Arme der Menschen.")</f>
        <v>Zwei Cheerleader stehen in einem Turm auf und drehen sich dann um und fallen auf die Arme der Menschen.</v>
      </c>
    </row>
    <row r="15674">
      <c r="A15674" s="4" t="s">
        <v>19735</v>
      </c>
      <c r="B15674" s="4" t="s">
        <v>19739</v>
      </c>
      <c r="C15674" s="5" t="str">
        <f>IFERROR(__xludf.DUMMYFUNCTION("GOOGLETRANSLATE(B15674,""en"",""de"")"),"Die Mädchen machen wieder einen Turm und drehen und springen.")</f>
        <v>Die Mädchen machen wieder einen Turm und drehen und springen.</v>
      </c>
    </row>
    <row r="15675">
      <c r="A15675" s="4" t="s">
        <v>19735</v>
      </c>
      <c r="B15675" s="4" t="s">
        <v>19740</v>
      </c>
      <c r="C15675" s="5" t="str">
        <f>IFERROR(__xludf.DUMMYFUNCTION("GOOGLETRANSLATE(B15675,""en"",""de"")"),"Die Cheerleader heben die Mädchen hoch und drehen sich dann hin, dann treten sie weiter auf.")</f>
        <v>Die Cheerleader heben die Mädchen hoch und drehen sich dann hin, dann treten sie weiter auf.</v>
      </c>
    </row>
    <row r="15676">
      <c r="A15676" s="4" t="s">
        <v>19741</v>
      </c>
      <c r="B15676" s="4" t="s">
        <v>19742</v>
      </c>
      <c r="C15676" s="5" t="str">
        <f>IFERROR(__xludf.DUMMYFUNCTION("GOOGLETRANSLATE(B15676,""en"",""de"")"),"Zwei Männer sind lange an einem Hügel hinunter.")</f>
        <v>Zwei Männer sind lange an einem Hügel hinunter.</v>
      </c>
    </row>
    <row r="15677">
      <c r="A15677" s="4" t="s">
        <v>19741</v>
      </c>
      <c r="B15677" s="4" t="s">
        <v>19743</v>
      </c>
      <c r="C15677" s="5" t="str">
        <f>IFERROR(__xludf.DUMMYFUNCTION("GOOGLETRANSLATE(B15677,""en"",""de"")"),"Er hält stehen und legt seinen Fuß auf den Boden.")</f>
        <v>Er hält stehen und legt seinen Fuß auf den Boden.</v>
      </c>
    </row>
    <row r="15678">
      <c r="A15678" s="4" t="s">
        <v>19741</v>
      </c>
      <c r="B15678" s="4" t="s">
        <v>19744</v>
      </c>
      <c r="C15678" s="5" t="str">
        <f>IFERROR(__xludf.DUMMYFUNCTION("GOOGLETRANSLATE(B15678,""en"",""de"")"),"Er steht auf seinem Brett auf den Kopf.")</f>
        <v>Er steht auf seinem Brett auf den Kopf.</v>
      </c>
    </row>
    <row r="15679">
      <c r="A15679" s="4" t="s">
        <v>19741</v>
      </c>
      <c r="B15679" s="4" t="s">
        <v>19745</v>
      </c>
      <c r="C15679" s="5" t="str">
        <f>IFERROR(__xludf.DUMMYFUNCTION("GOOGLETRANSLATE(B15679,""en"",""de"")"),"Ein Mann in einem grünen Hemd sitzt mit seinem langen Brett vor ihm auf dem Boden.")</f>
        <v>Ein Mann in einem grünen Hemd sitzt mit seinem langen Brett vor ihm auf dem Boden.</v>
      </c>
    </row>
    <row r="15680">
      <c r="A15680" s="4" t="s">
        <v>19746</v>
      </c>
      <c r="B15680" s="4" t="s">
        <v>19747</v>
      </c>
      <c r="C15680" s="5" t="str">
        <f>IFERROR(__xludf.DUMMYFUNCTION("GOOGLETRANSLATE(B15680,""en"",""de"")"),"Die Person wird gezeigt, die die Zutaten mischt.")</f>
        <v>Die Person wird gezeigt, die die Zutaten mischt.</v>
      </c>
    </row>
    <row r="15681">
      <c r="A15681" s="4" t="s">
        <v>19746</v>
      </c>
      <c r="B15681" s="4" t="s">
        <v>19748</v>
      </c>
      <c r="C15681" s="5" t="str">
        <f>IFERROR(__xludf.DUMMYFUNCTION("GOOGLETRANSLATE(B15681,""en"",""de"")"),"Die Person rollt den Teig und schneidet ihn in kleine Stücke und flacht die winzigen Kugeln mit ihren Händen aus.")</f>
        <v>Die Person rollt den Teig und schneidet ihn in kleine Stücke und flacht die winzigen Kugeln mit ihren Händen aus.</v>
      </c>
    </row>
    <row r="15682">
      <c r="A15682" s="4" t="s">
        <v>19746</v>
      </c>
      <c r="B15682" s="4" t="s">
        <v>19749</v>
      </c>
      <c r="C15682" s="5" t="str">
        <f>IFERROR(__xludf.DUMMYFUNCTION("GOOGLETRANSLATE(B15682,""en"",""de"")"),"Die Person verwendet eine Gabel, um Linien in den Teig zu stecken.")</f>
        <v>Die Person verwendet eine Gabel, um Linien in den Teig zu stecken.</v>
      </c>
    </row>
    <row r="15683">
      <c r="A15683" s="4" t="s">
        <v>19746</v>
      </c>
      <c r="B15683" s="4" t="s">
        <v>19750</v>
      </c>
      <c r="C15683" s="5" t="str">
        <f>IFERROR(__xludf.DUMMYFUNCTION("GOOGLETRANSLATE(B15683,""en"",""de"")"),"Dann legt die Person die Kekse auf ein Backblech in eine Pfanne und backt sie 15 Minuten lang.")</f>
        <v>Dann legt die Person die Kekse auf ein Backblech in eine Pfanne und backt sie 15 Minuten lang.</v>
      </c>
    </row>
    <row r="15684">
      <c r="A15684" s="4" t="s">
        <v>19746</v>
      </c>
      <c r="B15684" s="4" t="s">
        <v>19751</v>
      </c>
      <c r="C15684" s="5" t="str">
        <f>IFERROR(__xludf.DUMMYFUNCTION("GOOGLETRANSLATE(B15684,""en"",""de"")"),"Dann nimmt die Kekse heraus, wenn sie fertig sind.")</f>
        <v>Dann nimmt die Kekse heraus, wenn sie fertig sind.</v>
      </c>
    </row>
    <row r="15685">
      <c r="A15685" s="4" t="s">
        <v>19752</v>
      </c>
      <c r="B15685" s="4" t="s">
        <v>19753</v>
      </c>
      <c r="C15685" s="5" t="str">
        <f>IFERROR(__xludf.DUMMYFUNCTION("GOOGLETRANSLATE(B15685,""en"",""de"")"),"Eine Person flieht und wirft in die Luft einen Hula -Ring, dann passt die Frau den Hula -Ring durch ihren Körper.")</f>
        <v>Eine Person flieht und wirft in die Luft einen Hula -Ring, dann passt die Frau den Hula -Ring durch ihren Körper.</v>
      </c>
    </row>
    <row r="15686">
      <c r="A15686" s="4" t="s">
        <v>19752</v>
      </c>
      <c r="B15686" s="4" t="s">
        <v>19754</v>
      </c>
      <c r="C15686" s="5" t="str">
        <f>IFERROR(__xludf.DUMMYFUNCTION("GOOGLETRANSLATE(B15686,""en"",""de"")"),"Danach passierte die Frau schnell den Hula -Ring um ihre Taille.")</f>
        <v>Danach passierte die Frau schnell den Hula -Ring um ihre Taille.</v>
      </c>
    </row>
    <row r="15687">
      <c r="A15687" s="4" t="s">
        <v>19752</v>
      </c>
      <c r="B15687" s="4" t="s">
        <v>19755</v>
      </c>
      <c r="C15687" s="5" t="str">
        <f>IFERROR(__xludf.DUMMYFUNCTION("GOOGLETRANSLATE(B15687,""en"",""de"")"),"Dann macht die Frau eine Übung mit ihren Füßen und dem Körper.")</f>
        <v>Dann macht die Frau eine Übung mit ihren Füßen und dem Körper.</v>
      </c>
    </row>
    <row r="15688">
      <c r="A15688" s="4" t="s">
        <v>19756</v>
      </c>
      <c r="B15688" s="4" t="s">
        <v>19757</v>
      </c>
      <c r="C15688" s="5" t="str">
        <f>IFERROR(__xludf.DUMMYFUNCTION("GOOGLETRANSLATE(B15688,""en"",""de"")"),"Oma spricht mit einem kleinen blonden Kind, das in einem Trainer sitzt, während er in einem roten Faden in einem Lising -Raum strickt.")</f>
        <v>Oma spricht mit einem kleinen blonden Kind, das in einem Trainer sitzt, während er in einem roten Faden in einem Lising -Raum strickt.</v>
      </c>
    </row>
    <row r="15689">
      <c r="A15689" s="4" t="s">
        <v>19756</v>
      </c>
      <c r="B15689" s="4" t="s">
        <v>19758</v>
      </c>
      <c r="C15689" s="5" t="str">
        <f>IFERROR(__xludf.DUMMYFUNCTION("GOOGLETRANSLATE(B15689,""en"",""de"")"),"Das Kind hält den Faden und rennt im Raum und zieht ihn und die Frau spricht mit ihm, das Kind schnappt sich den Faden vom Boden und rennt im Wohnzimmer.")</f>
        <v>Das Kind hält den Faden und rennt im Raum und zieht ihn und die Frau spricht mit ihm, das Kind schnappt sich den Faden vom Boden und rennt im Wohnzimmer.</v>
      </c>
    </row>
    <row r="15690">
      <c r="A15690" s="4" t="s">
        <v>19759</v>
      </c>
      <c r="B15690" s="4" t="s">
        <v>19760</v>
      </c>
      <c r="C15690" s="5" t="str">
        <f>IFERROR(__xludf.DUMMYFUNCTION("GOOGLETRANSLATE(B15690,""en"",""de"")"),"Es werden mehrere Nachrichtenlogos gezeigt, und dann taucht ein männlicher Reporter auf, der hinter seinem Schreibtisch spricht.")</f>
        <v>Es werden mehrere Nachrichtenlogos gezeigt, und dann taucht ein männlicher Reporter auf, der hinter seinem Schreibtisch spricht.</v>
      </c>
    </row>
    <row r="15691">
      <c r="A15691" s="4" t="s">
        <v>19759</v>
      </c>
      <c r="B15691" s="4" t="s">
        <v>19761</v>
      </c>
      <c r="C15691" s="5" t="str">
        <f>IFERROR(__xludf.DUMMYFUNCTION("GOOGLETRANSLATE(B15691,""en"",""de"")"),"Die Kamera dreht dann zu einer Frau und sie beginnt Interviews mit Männern, die ein Fußballspiel spielten.")</f>
        <v>Die Kamera dreht dann zu einer Frau und sie beginnt Interviews mit Männern, die ein Fußballspiel spielten.</v>
      </c>
    </row>
    <row r="15692">
      <c r="A15692" s="4" t="s">
        <v>19759</v>
      </c>
      <c r="B15692" s="4" t="s">
        <v>19762</v>
      </c>
      <c r="C15692" s="5" t="str">
        <f>IFERROR(__xludf.DUMMYFUNCTION("GOOGLETRANSLATE(B15692,""en"",""de"")"),"Viele Viertel werden gespielt und nachdem die Tore erzielt wurden, beginnen die Spieler, sich gegenseitig auf den Rücken des anderen zu springen und vor Freude zu springen und ihr Glück zu zeigen.")</f>
        <v>Viele Viertel werden gespielt und nachdem die Tore erzielt wurden, beginnen die Spieler, sich gegenseitig auf den Rücken des anderen zu springen und vor Freude zu springen und ihr Glück zu zeigen.</v>
      </c>
    </row>
    <row r="15693">
      <c r="A15693" s="4" t="s">
        <v>19763</v>
      </c>
      <c r="B15693" s="4" t="s">
        <v>19764</v>
      </c>
      <c r="C15693" s="5" t="str">
        <f>IFERROR(__xludf.DUMMYFUNCTION("GOOGLETRANSLATE(B15693,""en"",""de"")"),"Zwei Männer führen Kickbox in einem Raum durch, während ein Mann die Bewegungen überwacht.")</f>
        <v>Zwei Männer führen Kickbox in einem Raum durch, während ein Mann die Bewegungen überwacht.</v>
      </c>
    </row>
    <row r="15694">
      <c r="A15694" s="4" t="s">
        <v>19763</v>
      </c>
      <c r="B15694" s="4" t="s">
        <v>19765</v>
      </c>
      <c r="C15694" s="5" t="str">
        <f>IFERROR(__xludf.DUMMYFUNCTION("GOOGLETRANSLATE(B15694,""en"",""de"")"),"Eine Person lehnt sich an die Wand hinter den Männern.")</f>
        <v>Eine Person lehnt sich an die Wand hinter den Männern.</v>
      </c>
    </row>
    <row r="15695">
      <c r="A15695" s="4" t="s">
        <v>19763</v>
      </c>
      <c r="B15695" s="4" t="s">
        <v>19766</v>
      </c>
      <c r="C15695" s="5" t="str">
        <f>IFERROR(__xludf.DUMMYFUNCTION("GOOGLETRANSLATE(B15695,""en"",""de"")"),"Ein kleines Kind passt vor den Männern.")</f>
        <v>Ein kleines Kind passt vor den Männern.</v>
      </c>
    </row>
    <row r="15696">
      <c r="A15696" s="4" t="s">
        <v>19763</v>
      </c>
      <c r="B15696" s="4" t="s">
        <v>19767</v>
      </c>
      <c r="C15696" s="5" t="str">
        <f>IFERROR(__xludf.DUMMYFUNCTION("GOOGLETRANSLATE(B15696,""en"",""de"")"),"Eine Frau geht und steht vor den Männern.")</f>
        <v>Eine Frau geht und steht vor den Männern.</v>
      </c>
    </row>
    <row r="15697">
      <c r="A15697" s="4" t="s">
        <v>19768</v>
      </c>
      <c r="B15697" s="4" t="s">
        <v>19769</v>
      </c>
      <c r="C15697" s="5" t="str">
        <f>IFERROR(__xludf.DUMMYFUNCTION("GOOGLETRANSLATE(B15697,""en"",""de"")"),"Ein großer Mann steht auf einer kreisförmigen Kuppel in einem Feld.")</f>
        <v>Ein großer Mann steht auf einer kreisförmigen Kuppel in einem Feld.</v>
      </c>
    </row>
    <row r="15698">
      <c r="A15698" s="4" t="s">
        <v>19768</v>
      </c>
      <c r="B15698" s="4" t="s">
        <v>19770</v>
      </c>
      <c r="C15698" s="5" t="str">
        <f>IFERROR(__xludf.DUMMYFUNCTION("GOOGLETRANSLATE(B15698,""en"",""de"")"),"Er hält einen Stahlball am Seil, während er spricht.")</f>
        <v>Er hält einen Stahlball am Seil, während er spricht.</v>
      </c>
    </row>
    <row r="15699">
      <c r="A15699" s="4" t="s">
        <v>19768</v>
      </c>
      <c r="B15699" s="4" t="s">
        <v>19771</v>
      </c>
      <c r="C15699" s="5" t="str">
        <f>IFERROR(__xludf.DUMMYFUNCTION("GOOGLETRANSLATE(B15699,""en"",""de"")"),"Dann zeigt er, wie man steht, bevor er den Ball im Kreis um den Kopf schwingt.")</f>
        <v>Dann zeigt er, wie man steht, bevor er den Ball im Kreis um den Kopf schwingt.</v>
      </c>
    </row>
    <row r="15700">
      <c r="A15700" s="4" t="s">
        <v>19768</v>
      </c>
      <c r="B15700" s="4" t="s">
        <v>19772</v>
      </c>
      <c r="C15700" s="5" t="str">
        <f>IFERROR(__xludf.DUMMYFUNCTION("GOOGLETRANSLATE(B15700,""en"",""de"")"),"Er lässt los und der Ball fliegt weit über das Feld, als er weggeht.")</f>
        <v>Er lässt los und der Ball fliegt weit über das Feld, als er weggeht.</v>
      </c>
    </row>
    <row r="15701">
      <c r="A15701" s="4" t="s">
        <v>19773</v>
      </c>
      <c r="B15701" s="4" t="s">
        <v>19774</v>
      </c>
      <c r="C15701" s="5" t="str">
        <f>IFERROR(__xludf.DUMMYFUNCTION("GOOGLETRANSLATE(B15701,""en"",""de"")"),"Eine Mutter sitzt mit ihrem kleinen Baby oben auf einer Rutsche.")</f>
        <v>Eine Mutter sitzt mit ihrem kleinen Baby oben auf einer Rutsche.</v>
      </c>
    </row>
    <row r="15702">
      <c r="A15702" s="4" t="s">
        <v>19773</v>
      </c>
      <c r="B15702" s="4" t="s">
        <v>19775</v>
      </c>
      <c r="C15702" s="5" t="str">
        <f>IFERROR(__xludf.DUMMYFUNCTION("GOOGLETRANSLATE(B15702,""en"",""de"")"),"Sie erwägt eine Weile unterzugehen.")</f>
        <v>Sie erwägt eine Weile unterzugehen.</v>
      </c>
    </row>
    <row r="15703">
      <c r="A15703" s="4" t="s">
        <v>19773</v>
      </c>
      <c r="B15703" s="4" t="s">
        <v>19776</v>
      </c>
      <c r="C15703" s="5" t="str">
        <f>IFERROR(__xludf.DUMMYFUNCTION("GOOGLETRANSLATE(B15703,""en"",""de"")"),"Sie rutscht schließlich mit Baby.")</f>
        <v>Sie rutscht schließlich mit Baby.</v>
      </c>
    </row>
    <row r="15704">
      <c r="A15704" s="4" t="s">
        <v>19773</v>
      </c>
      <c r="B15704" s="4" t="s">
        <v>19777</v>
      </c>
      <c r="C15704" s="5" t="str">
        <f>IFERROR(__xludf.DUMMYFUNCTION("GOOGLETRANSLATE(B15704,""en"",""de"")"),"Wenn sie den Boden erreichen, lässt sie ihn gehen und er beginnt herumzulaufen.")</f>
        <v>Wenn sie den Boden erreichen, lässt sie ihn gehen und er beginnt herumzulaufen.</v>
      </c>
    </row>
    <row r="15705">
      <c r="A15705" s="4" t="s">
        <v>19778</v>
      </c>
      <c r="B15705" s="4" t="s">
        <v>19779</v>
      </c>
      <c r="C15705" s="5" t="str">
        <f>IFERROR(__xludf.DUMMYFUNCTION("GOOGLETRANSLATE(B15705,""en"",""de"")"),"Ein Junge steht mitten auf einem Parkplatz.")</f>
        <v>Ein Junge steht mitten auf einem Parkplatz.</v>
      </c>
    </row>
    <row r="15706">
      <c r="A15706" s="4" t="s">
        <v>19778</v>
      </c>
      <c r="B15706" s="4" t="s">
        <v>19780</v>
      </c>
      <c r="C15706" s="5" t="str">
        <f>IFERROR(__xludf.DUMMYFUNCTION("GOOGLETRANSLATE(B15706,""en"",""de"")"),"Er trägt einen Hut mit einer Feder darin und einer Sonnenbrille.")</f>
        <v>Er trägt einen Hut mit einer Feder darin und einer Sonnenbrille.</v>
      </c>
    </row>
    <row r="15707">
      <c r="A15707" s="4" t="s">
        <v>19778</v>
      </c>
      <c r="B15707" s="4" t="s">
        <v>19781</v>
      </c>
      <c r="C15707" s="5" t="str">
        <f>IFERROR(__xludf.DUMMYFUNCTION("GOOGLETRANSLATE(B15707,""en"",""de"")"),"Er spielt einen Dudelsack.")</f>
        <v>Er spielt einen Dudelsack.</v>
      </c>
    </row>
    <row r="15708">
      <c r="A15708" s="4" t="s">
        <v>19782</v>
      </c>
      <c r="B15708" s="4" t="s">
        <v>19783</v>
      </c>
      <c r="C15708" s="5" t="str">
        <f>IFERROR(__xludf.DUMMYFUNCTION("GOOGLETRANSLATE(B15708,""en"",""de"")"),"Ein Mann wird gesehen, der einen Fußball auf seine Füße tritt und ihn allmählich an eine Wand weitergibt.")</f>
        <v>Ein Mann wird gesehen, der einen Fußball auf seine Füße tritt und ihn allmählich an eine Wand weitergibt.</v>
      </c>
    </row>
    <row r="15709">
      <c r="A15709" s="4" t="s">
        <v>19782</v>
      </c>
      <c r="B15709" s="4" t="s">
        <v>19784</v>
      </c>
      <c r="C15709" s="5" t="str">
        <f>IFERROR(__xludf.DUMMYFUNCTION("GOOGLETRANSLATE(B15709,""en"",""de"")"),"Der Mann tritt den Ball weiter von seinem Fuß und gegen die Wand, während die Kamera ihn einfängt.")</f>
        <v>Der Mann tritt den Ball weiter von seinem Fuß und gegen die Wand, während die Kamera ihn einfängt.</v>
      </c>
    </row>
    <row r="15710">
      <c r="A15710" s="4" t="s">
        <v>19785</v>
      </c>
      <c r="B15710" s="4" t="s">
        <v>19786</v>
      </c>
      <c r="C15710" s="5" t="str">
        <f>IFERROR(__xludf.DUMMYFUNCTION("GOOGLETRANSLATE(B15710,""en"",""de"")"),"Männer stehen auf dem Eis in einer großen Eisregion auf dem Eis.")</f>
        <v>Männer stehen auf dem Eis in einer großen Eisregion auf dem Eis.</v>
      </c>
    </row>
    <row r="15711">
      <c r="A15711" s="4" t="s">
        <v>19785</v>
      </c>
      <c r="B15711" s="4" t="s">
        <v>19787</v>
      </c>
      <c r="C15711" s="5" t="str">
        <f>IFERROR(__xludf.DUMMYFUNCTION("GOOGLETRANSLATE(B15711,""en"",""de"")"),"Der Mann schnappte sich einen Fisch aus dem Eis und lag auf dem Boden.")</f>
        <v>Der Mann schnappte sich einen Fisch aus dem Eis und lag auf dem Boden.</v>
      </c>
    </row>
    <row r="15712">
      <c r="A15712" s="4" t="s">
        <v>19788</v>
      </c>
      <c r="B15712" s="4" t="s">
        <v>19789</v>
      </c>
      <c r="C15712" s="5" t="str">
        <f>IFERROR(__xludf.DUMMYFUNCTION("GOOGLETRANSLATE(B15712,""en"",""de"")"),"Ein Mann ist auf einem Snowboard auf einem schneebedeckten Hügel.")</f>
        <v>Ein Mann ist auf einem Snowboard auf einem schneebedeckten Hügel.</v>
      </c>
    </row>
    <row r="15713">
      <c r="A15713" s="4" t="s">
        <v>19788</v>
      </c>
      <c r="B15713" s="4" t="s">
        <v>19790</v>
      </c>
      <c r="C15713" s="5" t="str">
        <f>IFERROR(__xludf.DUMMYFUNCTION("GOOGLETRANSLATE(B15713,""en"",""de"")"),"Er gleitet über den dicht gepackten Schnee.")</f>
        <v>Er gleitet über den dicht gepackten Schnee.</v>
      </c>
    </row>
    <row r="15714">
      <c r="A15714" s="4" t="s">
        <v>19788</v>
      </c>
      <c r="B15714" s="4" t="s">
        <v>19791</v>
      </c>
      <c r="C15714" s="5" t="str">
        <f>IFERROR(__xludf.DUMMYFUNCTION("GOOGLETRANSLATE(B15714,""en"",""de"")"),"Er geht durch einen Marker und springt über Hindernisse.")</f>
        <v>Er geht durch einen Marker und springt über Hindernisse.</v>
      </c>
    </row>
    <row r="15715">
      <c r="A15715" s="4" t="s">
        <v>19792</v>
      </c>
      <c r="B15715" s="4" t="s">
        <v>19793</v>
      </c>
      <c r="C15715" s="5" t="str">
        <f>IFERROR(__xludf.DUMMYFUNCTION("GOOGLETRANSLATE(B15715,""en"",""de"")"),"Auf dem Bildschirm werden ein stehendes Paar Beine angezeigt und die Wörter ""Sommerbeinroutine"" werden angezeigt.")</f>
        <v>Auf dem Bildschirm werden ein stehendes Paar Beine angezeigt und die Wörter "Sommerbeinroutine" werden angezeigt.</v>
      </c>
    </row>
    <row r="15716">
      <c r="A15716" s="4" t="s">
        <v>19792</v>
      </c>
      <c r="B15716" s="4" t="s">
        <v>19794</v>
      </c>
      <c r="C15716" s="5" t="str">
        <f>IFERROR(__xludf.DUMMYFUNCTION("GOOGLETRANSLATE(B15716,""en"",""de"")"),"Die Beine sind jetzt mit dem Knie vom Boden gebeugt und das Mädchen reibt das Mango -Peeling über ihre Beine und wischt dann den Überschuss mit einem Handtuch ab.")</f>
        <v>Die Beine sind jetzt mit dem Knie vom Boden gebeugt und das Mädchen reibt das Mango -Peeling über ihre Beine und wischt dann den Überschuss mit einem Handtuch ab.</v>
      </c>
    </row>
    <row r="15717">
      <c r="A15717" s="4" t="s">
        <v>19792</v>
      </c>
      <c r="B15717" s="4" t="s">
        <v>19795</v>
      </c>
      <c r="C15717" s="5" t="str">
        <f>IFERROR(__xludf.DUMMYFUNCTION("GOOGLETRANSLATE(B15717,""en"",""de"")"),"Auf der oberen rechten Hand des Bildschirms spielt ein kleines Video und zeigt ein Veet -Produkt, während das Mädchen zwei Veet -Wachsstreifen nimmt und sie auf ihr Bein legt und sie dann in der Reihenfolge entfernt, in der sie aufgestellt wurden.")</f>
        <v>Auf der oberen rechten Hand des Bildschirms spielt ein kleines Video und zeigt ein Veet -Produkt, während das Mädchen zwei Veet -Wachsstreifen nimmt und sie auf ihr Bein legt und sie dann in der Reihenfolge entfernt, in der sie aufgestellt wurden.</v>
      </c>
    </row>
    <row r="15718">
      <c r="A15718" s="4" t="s">
        <v>19792</v>
      </c>
      <c r="B15718" s="4" t="s">
        <v>19796</v>
      </c>
      <c r="C15718" s="5" t="str">
        <f>IFERROR(__xludf.DUMMYFUNCTION("GOOGLETRANSLATE(B15718,""en"",""de"")"),"Das Mädchen nimmt dann ein weiteres Veet -Produkt, das sich als Wischstreifen herausstellt und ihre Beine abweist, dann ein Handtuch an ihren Beinen.")</f>
        <v>Das Mädchen nimmt dann ein weiteres Veet -Produkt, das sich als Wischstreifen herausstellt und ihre Beine abweist, dann ein Handtuch an ihren Beinen.</v>
      </c>
    </row>
    <row r="15719">
      <c r="A15719" s="4" t="s">
        <v>19792</v>
      </c>
      <c r="B15719" s="4" t="s">
        <v>19797</v>
      </c>
      <c r="C15719" s="5" t="str">
        <f>IFERROR(__xludf.DUMMYFUNCTION("GOOGLETRANSLATE(B15719,""en"",""de"")"),"Nachdem sie ihre Beine abgewischt hat, nimmt sie Nivea Lotion und reibt sie über ihre Beine, steht auf und zeigt dann ihre Beine in verschiedenen Winkeln an der Kamera.")</f>
        <v>Nachdem sie ihre Beine abgewischt hat, nimmt sie Nivea Lotion und reibt sie über ihre Beine, steht auf und zeigt dann ihre Beine in verschiedenen Winkeln an der Kamera.</v>
      </c>
    </row>
    <row r="15720">
      <c r="A15720" s="4" t="s">
        <v>19798</v>
      </c>
      <c r="B15720" s="4" t="s">
        <v>19799</v>
      </c>
      <c r="C15720" s="5" t="str">
        <f>IFERROR(__xludf.DUMMYFUNCTION("GOOGLETRANSLATE(B15720,""en"",""de"")"),"Ein Turner macht auf einer hohen Bar Flips und Handsprings.")</f>
        <v>Ein Turner macht auf einer hohen Bar Flips und Handsprings.</v>
      </c>
    </row>
    <row r="15721">
      <c r="A15721" s="4" t="s">
        <v>19798</v>
      </c>
      <c r="B15721" s="4" t="s">
        <v>19800</v>
      </c>
      <c r="C15721" s="5" t="str">
        <f>IFERROR(__xludf.DUMMYFUNCTION("GOOGLETRANSLATE(B15721,""en"",""de"")"),"Sie geht mehrmals vorwärts und rückwärts.")</f>
        <v>Sie geht mehrmals vorwärts und rückwärts.</v>
      </c>
    </row>
    <row r="15722">
      <c r="A15722" s="4" t="s">
        <v>19798</v>
      </c>
      <c r="B15722" s="4" t="s">
        <v>19801</v>
      </c>
      <c r="C15722" s="5" t="str">
        <f>IFERROR(__xludf.DUMMYFUNCTION("GOOGLETRANSLATE(B15722,""en"",""de"")"),"Der Bildschirm stoppt, als sie an die Oberseite des Strahls geht.")</f>
        <v>Der Bildschirm stoppt, als sie an die Oberseite des Strahls geht.</v>
      </c>
    </row>
    <row r="15723">
      <c r="A15723" s="4" t="s">
        <v>19802</v>
      </c>
      <c r="B15723" s="4" t="s">
        <v>19803</v>
      </c>
      <c r="C15723" s="5" t="str">
        <f>IFERROR(__xludf.DUMMYFUNCTION("GOOGLETRANSLATE(B15723,""en"",""de"")"),"Eine Kamera schwenkt um einen großen schneebedeckten Hügel sowie Menschen, die auf einem Skiaufzug sitzen und um einen Berg reiten.")</f>
        <v>Eine Kamera schwenkt um einen großen schneebedeckten Hügel sowie Menschen, die auf einem Skiaufzug sitzen und um einen Berg reiten.</v>
      </c>
    </row>
    <row r="15724">
      <c r="A15724" s="4" t="s">
        <v>19802</v>
      </c>
      <c r="B15724" s="4" t="s">
        <v>19804</v>
      </c>
      <c r="C15724" s="5" t="str">
        <f>IFERROR(__xludf.DUMMYFUNCTION("GOOGLETRANSLATE(B15724,""en"",""de"")"),"Die Leute machen Flips und Tricks und folgen gegenseitig einen Hügel hinunter und fangen sich aus mehreren Blickwinkeln mit dem Skifahren.")</f>
        <v>Die Leute machen Flips und Tricks und folgen gegenseitig einen Hügel hinunter und fangen sich aus mehreren Blickwinkeln mit dem Skifahren.</v>
      </c>
    </row>
    <row r="15725">
      <c r="A15725" s="4" t="s">
        <v>19805</v>
      </c>
      <c r="B15725" s="4" t="s">
        <v>19806</v>
      </c>
      <c r="C15725" s="5" t="str">
        <f>IFERROR(__xludf.DUMMYFUNCTION("GOOGLETRANSLATE(B15725,""en"",""de"")"),"Ein Mann in einem Mantel zieht ein Brett einen Schneehügel hinauf.")</f>
        <v>Ein Mann in einem Mantel zieht ein Brett einen Schneehügel hinauf.</v>
      </c>
    </row>
    <row r="15726">
      <c r="A15726" s="4" t="s">
        <v>19805</v>
      </c>
      <c r="B15726" s="4" t="s">
        <v>19807</v>
      </c>
      <c r="C15726" s="5" t="str">
        <f>IFERROR(__xludf.DUMMYFUNCTION("GOOGLETRANSLATE(B15726,""en"",""de"")"),"Er beginnt den Snowboarden den Hügel hinunter.")</f>
        <v>Er beginnt den Snowboarden den Hügel hinunter.</v>
      </c>
    </row>
    <row r="15727">
      <c r="A15727" s="4" t="s">
        <v>19805</v>
      </c>
      <c r="B15727" s="4" t="s">
        <v>19808</v>
      </c>
      <c r="C15727" s="5" t="str">
        <f>IFERROR(__xludf.DUMMYFUNCTION("GOOGLETRANSLATE(B15727,""en"",""de"")"),"Der Mann hebt die Schutzbrille von seinem Gesicht und lächelt.")</f>
        <v>Der Mann hebt die Schutzbrille von seinem Gesicht und lächelt.</v>
      </c>
    </row>
    <row r="15728">
      <c r="A15728" s="4" t="s">
        <v>19805</v>
      </c>
      <c r="B15728" s="4" t="s">
        <v>19809</v>
      </c>
      <c r="C15728" s="5" t="str">
        <f>IFERROR(__xludf.DUMMYFUNCTION("GOOGLETRANSLATE(B15728,""en"",""de"")"),"Die Menschen snowboarden zusammen einen Hügel hinunter.")</f>
        <v>Die Menschen snowboarden zusammen einen Hügel hinunter.</v>
      </c>
    </row>
    <row r="15729">
      <c r="A15729" s="4" t="s">
        <v>19810</v>
      </c>
      <c r="B15729" s="4" t="s">
        <v>19811</v>
      </c>
      <c r="C15729" s="5" t="str">
        <f>IFERROR(__xludf.DUMMYFUNCTION("GOOGLETRANSLATE(B15729,""en"",""de"")"),"Ein Mann steckt Hundebehörden in die Hand eines anderen Mannes.")</f>
        <v>Ein Mann steckt Hundebehörden in die Hand eines anderen Mannes.</v>
      </c>
    </row>
    <row r="15730">
      <c r="A15730" s="4" t="s">
        <v>19810</v>
      </c>
      <c r="B15730" s="4" t="s">
        <v>19812</v>
      </c>
      <c r="C15730" s="5" t="str">
        <f>IFERROR(__xludf.DUMMYFUNCTION("GOOGLETRANSLATE(B15730,""en"",""de"")"),"Der Mann geht einen Hund über den Bürgersteig.")</f>
        <v>Der Mann geht einen Hund über den Bürgersteig.</v>
      </c>
    </row>
    <row r="15731">
      <c r="A15731" s="4" t="s">
        <v>19810</v>
      </c>
      <c r="B15731" s="4" t="s">
        <v>19813</v>
      </c>
      <c r="C15731" s="5" t="str">
        <f>IFERROR(__xludf.DUMMYFUNCTION("GOOGLETRANSLATE(B15731,""en"",""de"")"),"Jemand anderes geht hinter ihnen.")</f>
        <v>Jemand anderes geht hinter ihnen.</v>
      </c>
    </row>
    <row r="15732">
      <c r="A15732" s="4" t="s">
        <v>19814</v>
      </c>
      <c r="B15732" s="4" t="s">
        <v>19815</v>
      </c>
      <c r="C15732" s="5" t="str">
        <f>IFERROR(__xludf.DUMMYFUNCTION("GOOGLETRANSLATE(B15732,""en"",""de"")"),"Ein Mann kniet mit einem Rasierer und schaut in Richtung Kamera.")</f>
        <v>Ein Mann kniet mit einem Rasierer und schaut in Richtung Kamera.</v>
      </c>
    </row>
    <row r="15733">
      <c r="A15733" s="4" t="s">
        <v>19814</v>
      </c>
      <c r="B15733" s="4" t="s">
        <v>19816</v>
      </c>
      <c r="C15733" s="5" t="str">
        <f>IFERROR(__xludf.DUMMYFUNCTION("GOOGLETRANSLATE(B15733,""en"",""de"")"),"Der Mann rasiert einen Teil seines Beins und hält ein Objekt auf, während er weggeht.")</f>
        <v>Der Mann rasiert einen Teil seines Beins und hält ein Objekt auf, während er weggeht.</v>
      </c>
    </row>
    <row r="15734">
      <c r="A15734" s="4" t="s">
        <v>19817</v>
      </c>
      <c r="B15734" s="4" t="s">
        <v>19818</v>
      </c>
      <c r="C15734" s="5" t="str">
        <f>IFERROR(__xludf.DUMMYFUNCTION("GOOGLETRANSLATE(B15734,""en"",""de"")"),"Ein schwarzer Bildschirm mit einem weißen Banner unten enthält verschiedene Informationen, die eine Website, ein Status, eine Telefonnummer und ein Logo enthalten.")</f>
        <v>Ein schwarzer Bildschirm mit einem weißen Banner unten enthält verschiedene Informationen, die eine Website, ein Status, eine Telefonnummer und ein Logo enthalten.</v>
      </c>
    </row>
    <row r="15735">
      <c r="A15735" s="4" t="s">
        <v>19817</v>
      </c>
      <c r="B15735" s="4" t="s">
        <v>19819</v>
      </c>
      <c r="C15735" s="5" t="str">
        <f>IFERROR(__xludf.DUMMYFUNCTION("GOOGLETRANSLATE(B15735,""en"",""de"")"),"Ein weißer Bildschirm folgt und enthält ein Logo, einen Namen der Produkte und zeigt an, dass es sich um ein ""Anleitungsvideo"" handelt.")</f>
        <v>Ein weißer Bildschirm folgt und enthält ein Logo, einen Namen der Produkte und zeigt an, dass es sich um ein "Anleitungsvideo" handelt.</v>
      </c>
    </row>
    <row r="15736">
      <c r="A15736" s="4" t="s">
        <v>19817</v>
      </c>
      <c r="B15736" s="4" t="s">
        <v>19820</v>
      </c>
      <c r="C15736" s="5" t="str">
        <f>IFERROR(__xludf.DUMMYFUNCTION("GOOGLETRANSLATE(B15736,""en"",""de"")"),"Ein weiterer weißer Bildschirm wird angezeigt und es wird eine Inhaltsliste angezeigt und dort 1-5.")</f>
        <v>Ein weiterer weißer Bildschirm wird angezeigt und es wird eine Inhaltsliste angezeigt und dort 1-5.</v>
      </c>
    </row>
    <row r="15737">
      <c r="A15737" s="4" t="s">
        <v>19817</v>
      </c>
      <c r="B15737" s="4" t="s">
        <v>19821</v>
      </c>
      <c r="C15737" s="5" t="str">
        <f>IFERROR(__xludf.DUMMYFUNCTION("GOOGLETRANSLATE(B15737,""en"",""de"")"),"Auf dem nächsten weißen Bildschirm wird ein Karton angezeigt und dann beginnt es, die vielen verschiedenen Inhalte anzuzeigen, die in der Box enthalten sind, zusammen mit den Namen von ihnen daneben.")</f>
        <v>Auf dem nächsten weißen Bildschirm wird ein Karton angezeigt und dann beginnt es, die vielen verschiedenen Inhalte anzuzeigen, die in der Box enthalten sind, zusammen mit den Namen von ihnen daneben.</v>
      </c>
    </row>
    <row r="15738">
      <c r="A15738" s="4" t="s">
        <v>19817</v>
      </c>
      <c r="B15738" s="4" t="s">
        <v>19822</v>
      </c>
      <c r="C15738" s="5" t="str">
        <f>IFERROR(__xludf.DUMMYFUNCTION("GOOGLETRANSLATE(B15738,""en"",""de"")"),"Eine Frau steht jetzt in einem Flur, als sie ihr Reinigungswerkzeug zusammenstellt, indem sie die obere Portion auf ihre Stange verschraubt und ein Tuch am Ende aufträgt, dann schneidet sie ihre Sprühflasche auf ihre Hüfte.")</f>
        <v>Eine Frau steht jetzt in einem Flur, als sie ihr Reinigungswerkzeug zusammenstellt, indem sie die obere Portion auf ihre Stange verschraubt und ein Tuch am Ende aufträgt, dann schneidet sie ihre Sprühflasche auf ihre Hüfte.</v>
      </c>
    </row>
    <row r="15739">
      <c r="A15739" s="4" t="s">
        <v>19817</v>
      </c>
      <c r="B15739" s="4" t="s">
        <v>19823</v>
      </c>
      <c r="C15739" s="5" t="str">
        <f>IFERROR(__xludf.DUMMYFUNCTION("GOOGLETRANSLATE(B15739,""en"",""de"")"),"Die Frau beginnt dann, das Tuch auf das Reinigungswerkzeug zu sprühen, und beginnt, verschiedene Bereiche im Büro zu reinigen, einschließlich Fenstern, Aufzugstüren, Fernseher und der Auswechslung der Kleidung dazwischen, um der Oberfläche zu entsprechen,"&amp;" an der sie arbeitet.")</f>
        <v>Die Frau beginnt dann, das Tuch auf das Reinigungswerkzeug zu sprühen, und beginnt, verschiedene Bereiche im Büro zu reinigen, einschließlich Fenstern, Aufzugstüren, Fernseher und der Auswechslung der Kleidung dazwischen, um der Oberfläche zu entsprechen, an der sie arbeitet.</v>
      </c>
    </row>
    <row r="15740">
      <c r="A15740" s="4" t="s">
        <v>19817</v>
      </c>
      <c r="B15740" s="4" t="s">
        <v>19824</v>
      </c>
      <c r="C15740" s="5" t="str">
        <f>IFERROR(__xludf.DUMMYFUNCTION("GOOGLETRANSLATE(B15740,""en"",""de"")"),"Die Frau ist jetzt an einer Doppelglas -Tür zu sehen, als sie jetzt ein Tuch in der Hand hält, um die Türen und andere Oberflächen zu reinigen.")</f>
        <v>Die Frau ist jetzt an einer Doppelglas -Tür zu sehen, als sie jetzt ein Tuch in der Hand hält, um die Türen und andere Oberflächen zu reinigen.</v>
      </c>
    </row>
    <row r="15741">
      <c r="A15741" s="4" t="s">
        <v>19817</v>
      </c>
      <c r="B15741" s="4" t="s">
        <v>19825</v>
      </c>
      <c r="C15741" s="5" t="str">
        <f>IFERROR(__xludf.DUMMYFUNCTION("GOOGLETRANSLATE(B15741,""en"",""de"")"),"Die Frau wird dann gezeigt, wie die verschiedenen Kleider in die Waschmaschine stecken und dann ihr Reinigungswerkzeug an die Wand hängen.")</f>
        <v>Die Frau wird dann gezeigt, wie die verschiedenen Kleider in die Waschmaschine stecken und dann ihr Reinigungswerkzeug an die Wand hängen.</v>
      </c>
    </row>
    <row r="15742">
      <c r="A15742" s="4" t="s">
        <v>19817</v>
      </c>
      <c r="B15742" s="4" t="s">
        <v>19826</v>
      </c>
      <c r="C15742" s="5" t="str">
        <f>IFERROR(__xludf.DUMMYFUNCTION("GOOGLETRANSLATE(B15742,""en"",""de"")"),"Ein schwarzer Bildschirm erscheint und enthält das gleiche weiße Banner wie zu Beginn.")</f>
        <v>Ein schwarzer Bildschirm erscheint und enthält das gleiche weiße Banner wie zu Beginn.</v>
      </c>
    </row>
    <row r="15743">
      <c r="A15743" s="4" t="s">
        <v>19827</v>
      </c>
      <c r="B15743" s="4" t="s">
        <v>19828</v>
      </c>
      <c r="C15743" s="5" t="str">
        <f>IFERROR(__xludf.DUMMYFUNCTION("GOOGLETRANSLATE(B15743,""en"",""de"")"),"Ein Mann reibt sich hektisch die Hände, als er neben einer Frau steht.")</f>
        <v>Ein Mann reibt sich hektisch die Hände, als er neben einer Frau steht.</v>
      </c>
    </row>
    <row r="15744">
      <c r="A15744" s="4" t="s">
        <v>19827</v>
      </c>
      <c r="B15744" s="4" t="s">
        <v>19829</v>
      </c>
      <c r="C15744" s="5" t="str">
        <f>IFERROR(__xludf.DUMMYFUNCTION("GOOGLETRANSLATE(B15744,""en"",""de"")"),"Die Kamera verschiebt sich und Sie können sehen, dass er in einem Casino ein schwarzes Jackspiel spielt.")</f>
        <v>Die Kamera verschiebt sich und Sie können sehen, dass er in einem Casino ein schwarzes Jackspiel spielt.</v>
      </c>
    </row>
    <row r="15745">
      <c r="A15745" s="4" t="s">
        <v>19827</v>
      </c>
      <c r="B15745" s="4" t="s">
        <v>19830</v>
      </c>
      <c r="C15745" s="5" t="str">
        <f>IFERROR(__xludf.DUMMYFUNCTION("GOOGLETRANSLATE(B15745,""en"",""de"")"),"Sobald der Händler alle Karten überflippt hat, werden die beiden erneut gesprochen und lächeln.")</f>
        <v>Sobald der Händler alle Karten überflippt hat, werden die beiden erneut gesprochen und lächeln.</v>
      </c>
    </row>
    <row r="15746">
      <c r="A15746" s="4" t="s">
        <v>19831</v>
      </c>
      <c r="B15746" s="4" t="s">
        <v>19832</v>
      </c>
      <c r="C15746" s="5" t="str">
        <f>IFERROR(__xludf.DUMMYFUNCTION("GOOGLETRANSLATE(B15746,""en"",""de"")"),"Es wird ein großer abgehackter Wasserfall gezeigt.")</f>
        <v>Es wird ein großer abgehackter Wasserfall gezeigt.</v>
      </c>
    </row>
    <row r="15747">
      <c r="A15747" s="4" t="s">
        <v>19831</v>
      </c>
      <c r="B15747" s="4" t="s">
        <v>19833</v>
      </c>
      <c r="C15747" s="5" t="str">
        <f>IFERROR(__xludf.DUMMYFUNCTION("GOOGLETRANSLATE(B15747,""en"",""de"")"),"Ein Mann legt sich auf einer lockeren Linie über dem Wasser.")</f>
        <v>Ein Mann legt sich auf einer lockeren Linie über dem Wasser.</v>
      </c>
    </row>
    <row r="15748">
      <c r="A15748" s="4" t="s">
        <v>19831</v>
      </c>
      <c r="B15748" s="4" t="s">
        <v>19834</v>
      </c>
      <c r="C15748" s="5" t="str">
        <f>IFERROR(__xludf.DUMMYFUNCTION("GOOGLETRANSLATE(B15748,""en"",""de"")"),"Eine Person spielt Gitarre auf einem Rock.")</f>
        <v>Eine Person spielt Gitarre auf einem Rock.</v>
      </c>
    </row>
    <row r="15749">
      <c r="A15749" s="4" t="s">
        <v>19835</v>
      </c>
      <c r="B15749" s="4" t="s">
        <v>19836</v>
      </c>
      <c r="C15749" s="5" t="str">
        <f>IFERROR(__xludf.DUMMYFUNCTION("GOOGLETRANSLATE(B15749,""en"",""de"")"),"Kinder unterschiedlichen Alters spielen auf einem Spielplatz.")</f>
        <v>Kinder unterschiedlichen Alters spielen auf einem Spielplatz.</v>
      </c>
    </row>
    <row r="15750">
      <c r="A15750" s="4" t="s">
        <v>19835</v>
      </c>
      <c r="B15750" s="4" t="s">
        <v>19837</v>
      </c>
      <c r="C15750" s="5" t="str">
        <f>IFERROR(__xludf.DUMMYFUNCTION("GOOGLETRANSLATE(B15750,""en"",""de"")"),"Ein paar Frauen sind im Spielplatz und reden.")</f>
        <v>Ein paar Frauen sind im Spielplatz und reden.</v>
      </c>
    </row>
    <row r="15751">
      <c r="A15751" s="4" t="s">
        <v>19835</v>
      </c>
      <c r="B15751" s="4" t="s">
        <v>19838</v>
      </c>
      <c r="C15751" s="5" t="str">
        <f>IFERROR(__xludf.DUMMYFUNCTION("GOOGLETRANSLATE(B15751,""en"",""de"")"),"Eine junge Frau, die ein Baby hält, geht zu einer Schaukel und legt das Baby in die Schwung.")</f>
        <v>Eine junge Frau, die ein Baby hält, geht zu einer Schaukel und legt das Baby in die Schwung.</v>
      </c>
    </row>
    <row r="15752">
      <c r="A15752" s="4" t="s">
        <v>19835</v>
      </c>
      <c r="B15752" s="4" t="s">
        <v>19839</v>
      </c>
      <c r="C15752" s="5" t="str">
        <f>IFERROR(__xludf.DUMMYFUNCTION("GOOGLETRANSLATE(B15752,""en"",""de"")"),"Sie geht dann vor dem Baby und sitzt auf dem ambabygezogenen Sitz in Erwachsenen.")</f>
        <v>Sie geht dann vor dem Baby und sitzt auf dem ambabygezogenen Sitz in Erwachsenen.</v>
      </c>
    </row>
    <row r="15753">
      <c r="A15753" s="4" t="s">
        <v>19835</v>
      </c>
      <c r="B15753" s="4" t="s">
        <v>19840</v>
      </c>
      <c r="C15753" s="5" t="str">
        <f>IFERROR(__xludf.DUMMYFUNCTION("GOOGLETRANSLATE(B15753,""en"",""de"")"),"Eine andere Frau geht mit ein paar Kindern vorbei.")</f>
        <v>Eine andere Frau geht mit ein paar Kindern vorbei.</v>
      </c>
    </row>
    <row r="15754">
      <c r="A15754" s="4" t="s">
        <v>19835</v>
      </c>
      <c r="B15754" s="4" t="s">
        <v>19841</v>
      </c>
      <c r="C15754" s="5" t="str">
        <f>IFERROR(__xludf.DUMMYFUNCTION("GOOGLETRANSLATE(B15754,""en"",""de"")"),"Die Frau auf der Schwung schwingt das Baby, während er mit ihm spricht und Gesichter auf ihn macht.")</f>
        <v>Die Frau auf der Schwung schwingt das Baby, während er mit ihm spricht und Gesichter auf ihn macht.</v>
      </c>
    </row>
    <row r="15755">
      <c r="A15755" s="4" t="s">
        <v>19842</v>
      </c>
      <c r="B15755" s="4" t="s">
        <v>19843</v>
      </c>
      <c r="C15755" s="5" t="str">
        <f>IFERROR(__xludf.DUMMYFUNCTION("GOOGLETRANSLATE(B15755,""en"",""de"")"),"Ein Mann zeigt, wie man eine Röhre in einem Reifen wechselt.")</f>
        <v>Ein Mann zeigt, wie man eine Röhre in einem Reifen wechselt.</v>
      </c>
    </row>
    <row r="15756">
      <c r="A15756" s="4" t="s">
        <v>19842</v>
      </c>
      <c r="B15756" s="4" t="s">
        <v>19844</v>
      </c>
      <c r="C15756" s="5" t="str">
        <f>IFERROR(__xludf.DUMMYFUNCTION("GOOGLETRANSLATE(B15756,""en"",""de"")"),"Er nimmt den alten Röhrchen heraus, steckt das neue hinein und pumpt es dann auf.")</f>
        <v>Er nimmt den alten Röhrchen heraus, steckt das neue hinein und pumpt es dann auf.</v>
      </c>
    </row>
    <row r="15757">
      <c r="A15757" s="4" t="s">
        <v>19845</v>
      </c>
      <c r="B15757" s="4" t="s">
        <v>19846</v>
      </c>
      <c r="C15757" s="5" t="str">
        <f>IFERROR(__xludf.DUMMYFUNCTION("GOOGLETRANSLATE(B15757,""en"",""de"")"),"Es werden mehrere Textaufnahmen angezeigt, gefolgt von einer Person, die in den Rahmen geht.")</f>
        <v>Es werden mehrere Textaufnahmen angezeigt, gefolgt von einer Person, die in den Rahmen geht.</v>
      </c>
    </row>
    <row r="15758">
      <c r="A15758" s="4" t="s">
        <v>19845</v>
      </c>
      <c r="B15758" s="4" t="s">
        <v>19847</v>
      </c>
      <c r="C15758" s="5" t="str">
        <f>IFERROR(__xludf.DUMMYFUNCTION("GOOGLETRANSLATE(B15758,""en"",""de"")"),"Die Person geht dann in und aus dem Rahmen, der verschiedene Tanzbewegungen auf dem Boden ausführt.")</f>
        <v>Die Person geht dann in und aus dem Rahmen, der verschiedene Tanzbewegungen auf dem Boden ausführt.</v>
      </c>
    </row>
    <row r="15759">
      <c r="A15759" s="4" t="s">
        <v>19845</v>
      </c>
      <c r="B15759" s="4" t="s">
        <v>19848</v>
      </c>
      <c r="C15759" s="5" t="str">
        <f>IFERROR(__xludf.DUMMYFUNCTION("GOOGLETRANSLATE(B15759,""en"",""de"")"),"Die Person bewegt sich weiterhin am Boden und zeigt, wie man Bewegungen ausführt.")</f>
        <v>Die Person bewegt sich weiterhin am Boden und zeigt, wie man Bewegungen ausführt.</v>
      </c>
    </row>
    <row r="15760">
      <c r="A15760" s="4" t="s">
        <v>19849</v>
      </c>
      <c r="B15760" s="4" t="s">
        <v>19850</v>
      </c>
      <c r="C15760" s="5" t="str">
        <f>IFERROR(__xludf.DUMMYFUNCTION("GOOGLETRANSLATE(B15760,""en"",""de"")"),"Die Leute sitzen an einem Tisch, während ein Mann neben ihnen steht und einen Hauch von einer Shisha nimmt.")</f>
        <v>Die Leute sitzen an einem Tisch, während ein Mann neben ihnen steht und einen Hauch von einer Shisha nimmt.</v>
      </c>
    </row>
    <row r="15761">
      <c r="A15761" s="4" t="s">
        <v>19849</v>
      </c>
      <c r="B15761" s="4" t="s">
        <v>19851</v>
      </c>
      <c r="C15761" s="5" t="str">
        <f>IFERROR(__xludf.DUMMYFUNCTION("GOOGLETRANSLATE(B15761,""en"",""de"")"),"Er gibt dem Schlauch einem Mädchen, das ein paar Risse nimmt, und der Mann wird gezeigt, der mit der Kamera spricht.")</f>
        <v>Er gibt dem Schlauch einem Mädchen, das ein paar Risse nimmt, und der Mann wird gezeigt, der mit der Kamera spricht.</v>
      </c>
    </row>
    <row r="15762">
      <c r="A15762" s="4" t="s">
        <v>19849</v>
      </c>
      <c r="B15762" s="4" t="s">
        <v>19852</v>
      </c>
      <c r="C15762" s="5" t="str">
        <f>IFERROR(__xludf.DUMMYFUNCTION("GOOGLETRANSLATE(B15762,""en"",""de"")"),"Die Mädchen geben den Schlauch an einen anderen, der sitzt, während sie ein paar Hits nimmt und ihn an die andere Person zurückgibt.")</f>
        <v>Die Mädchen geben den Schlauch an einen anderen, der sitzt, während sie ein paar Hits nimmt und ihn an die andere Person zurückgibt.</v>
      </c>
    </row>
    <row r="15763">
      <c r="A15763" s="4" t="s">
        <v>19853</v>
      </c>
      <c r="B15763" s="4" t="s">
        <v>19854</v>
      </c>
      <c r="C15763" s="5" t="str">
        <f>IFERROR(__xludf.DUMMYFUNCTION("GOOGLETRANSLATE(B15763,""en"",""de"")"),"Zwei Jungen Skateboard durch die Straßen zu verschiedenen Zeiten, die Helme tragen.")</f>
        <v>Zwei Jungen Skateboard durch die Straßen zu verschiedenen Zeiten, die Helme tragen.</v>
      </c>
    </row>
    <row r="15764">
      <c r="A15764" s="4" t="s">
        <v>19853</v>
      </c>
      <c r="B15764" s="4" t="s">
        <v>19855</v>
      </c>
      <c r="C15764" s="5" t="str">
        <f>IFERROR(__xludf.DUMMYFUNCTION("GOOGLETRANSLATE(B15764,""en"",""de"")"),"Ein Skateboarder in einem blauen T-Shirt und einem schwarzen Helm-Skateboards durch Straßen, die an den Landschaften und Wohnvierteln grenzen.")</f>
        <v>Ein Skateboarder in einem blauen T-Shirt und einem schwarzen Helm-Skateboards durch Straßen, die an den Landschaften und Wohnvierteln grenzen.</v>
      </c>
    </row>
    <row r="15765">
      <c r="A15765" s="4" t="s">
        <v>19853</v>
      </c>
      <c r="B15765" s="4" t="s">
        <v>19856</v>
      </c>
      <c r="C15765" s="5" t="str">
        <f>IFERROR(__xludf.DUMMYFUNCTION("GOOGLETRANSLATE(B15765,""en"",""de"")"),"Ein Skateboarder, der alles Black trägt, fällt vom Skateboard auf die asphaltierte Straße, steigt auf und geht los.")</f>
        <v>Ein Skateboarder, der alles Black trägt, fällt vom Skateboard auf die asphaltierte Straße, steigt auf und geht los.</v>
      </c>
    </row>
    <row r="15766">
      <c r="A15766" s="4" t="s">
        <v>19857</v>
      </c>
      <c r="B15766" s="4" t="s">
        <v>19858</v>
      </c>
      <c r="C15766" s="5" t="str">
        <f>IFERROR(__xludf.DUMMYFUNCTION("GOOGLETRANSLATE(B15766,""en"",""de"")"),"Ein Mann wird mit einem Seil im Mund gesehen und reitet auf ein Pferd, das sofort ein Kalb seilt.")</f>
        <v>Ein Mann wird mit einem Seil im Mund gesehen und reitet auf ein Pferd, das sofort ein Kalb seilt.</v>
      </c>
    </row>
    <row r="15767">
      <c r="A15767" s="4" t="s">
        <v>19857</v>
      </c>
      <c r="B15767" s="4" t="s">
        <v>19859</v>
      </c>
      <c r="C15767" s="5" t="str">
        <f>IFERROR(__xludf.DUMMYFUNCTION("GOOGLETRANSLATE(B15767,""en"",""de"")"),"Er wirft das Kalb nieder und bindet ihn an, gefolgt von mehreren anderen Männern, die den gleichen Trick mit unterschiedlichen Geschwindigkeiten durchführen.")</f>
        <v>Er wirft das Kalb nieder und bindet ihn an, gefolgt von mehreren anderen Männern, die den gleichen Trick mit unterschiedlichen Geschwindigkeiten durchführen.</v>
      </c>
    </row>
    <row r="15768">
      <c r="A15768" s="4" t="s">
        <v>19860</v>
      </c>
      <c r="B15768" s="4" t="s">
        <v>19861</v>
      </c>
      <c r="C15768" s="5" t="str">
        <f>IFERROR(__xludf.DUMMYFUNCTION("GOOGLETRANSLATE(B15768,""en"",""de"")"),"Eine Frau reinigt einen Cafeteria -Boden mit einem Mopp, während er gelegentlich mit der Kamera spricht.")</f>
        <v>Eine Frau reinigt einen Cafeteria -Boden mit einem Mopp, während er gelegentlich mit der Kamera spricht.</v>
      </c>
    </row>
    <row r="15769">
      <c r="A15769" s="4" t="s">
        <v>19860</v>
      </c>
      <c r="B15769" s="4" t="s">
        <v>19862</v>
      </c>
      <c r="C15769" s="5" t="str">
        <f>IFERROR(__xludf.DUMMYFUNCTION("GOOGLETRANSLATE(B15769,""en"",""de"")"),"Die Frau geht zu und reinigt einen anderen Teil des Cafeteria -Bodens.")</f>
        <v>Die Frau geht zu und reinigt einen anderen Teil des Cafeteria -Bodens.</v>
      </c>
    </row>
    <row r="15770">
      <c r="A15770" s="4" t="s">
        <v>19860</v>
      </c>
      <c r="B15770" s="4" t="s">
        <v>19863</v>
      </c>
      <c r="C15770" s="5" t="str">
        <f>IFERROR(__xludf.DUMMYFUNCTION("GOOGLETRANSLATE(B15770,""en"",""de"")"),"Die Frau stürzt den Moppkopf in einen Eimer.")</f>
        <v>Die Frau stürzt den Moppkopf in einen Eimer.</v>
      </c>
    </row>
    <row r="15771">
      <c r="A15771" s="4" t="s">
        <v>19860</v>
      </c>
      <c r="B15771" s="4" t="s">
        <v>19864</v>
      </c>
      <c r="C15771" s="5" t="str">
        <f>IFERROR(__xludf.DUMMYFUNCTION("GOOGLETRANSLATE(B15771,""en"",""de"")"),"Eine Reihe von Menschen geht im Hintergrund vorbei.")</f>
        <v>Eine Reihe von Menschen geht im Hintergrund vorbei.</v>
      </c>
    </row>
    <row r="15772">
      <c r="A15772" s="4" t="s">
        <v>19860</v>
      </c>
      <c r="B15772" s="4" t="s">
        <v>7146</v>
      </c>
      <c r="C15772" s="5" t="str">
        <f>IFERROR(__xludf.DUMMYFUNCTION("GOOGLETRANSLATE(B15772,""en"",""de"")"),"Die Frau spricht mit der Kamera.")</f>
        <v>Die Frau spricht mit der Kamera.</v>
      </c>
    </row>
    <row r="15773">
      <c r="A15773" s="4" t="s">
        <v>19865</v>
      </c>
      <c r="B15773" s="4" t="s">
        <v>19866</v>
      </c>
      <c r="C15773" s="5" t="str">
        <f>IFERROR(__xludf.DUMMYFUNCTION("GOOGLETRANSLATE(B15773,""en"",""de"")"),"Ein Mann steht als nächstes ein braunes Pferd.")</f>
        <v>Ein Mann steht als nächstes ein braunes Pferd.</v>
      </c>
    </row>
    <row r="15774">
      <c r="A15774" s="4" t="s">
        <v>19865</v>
      </c>
      <c r="B15774" s="4" t="s">
        <v>5248</v>
      </c>
      <c r="C15774" s="5" t="str">
        <f>IFERROR(__xludf.DUMMYFUNCTION("GOOGLETRANSLATE(B15774,""en"",""de"")"),"Die Leute reiten Pferde entlang eines Dirt Trail.")</f>
        <v>Die Leute reiten Pferde entlang eines Dirt Trail.</v>
      </c>
    </row>
    <row r="15775">
      <c r="A15775" s="4" t="s">
        <v>19865</v>
      </c>
      <c r="B15775" s="4" t="s">
        <v>19867</v>
      </c>
      <c r="C15775" s="5" t="str">
        <f>IFERROR(__xludf.DUMMYFUNCTION("GOOGLETRANSLATE(B15775,""en"",""de"")"),"Die Pferde bekommen etwas Wasser.")</f>
        <v>Die Pferde bekommen etwas Wasser.</v>
      </c>
    </row>
    <row r="15776">
      <c r="A15776" s="4" t="s">
        <v>19865</v>
      </c>
      <c r="B15776" s="4" t="s">
        <v>19868</v>
      </c>
      <c r="C15776" s="5" t="str">
        <f>IFERROR(__xludf.DUMMYFUNCTION("GOOGLETRANSLATE(B15776,""en"",""de"")"),"Sie gehen weiter auf dem Weg auf den Pferden.")</f>
        <v>Sie gehen weiter auf dem Weg auf den Pferden.</v>
      </c>
    </row>
    <row r="15777">
      <c r="A15777" s="4" t="s">
        <v>19865</v>
      </c>
      <c r="B15777" s="4" t="s">
        <v>19869</v>
      </c>
      <c r="C15777" s="5" t="str">
        <f>IFERROR(__xludf.DUMMYFUNCTION("GOOGLETRANSLATE(B15777,""en"",""de"")"),"Ein Bild eines braunen Hauses wird gezeigt.")</f>
        <v>Ein Bild eines braunen Hauses wird gezeigt.</v>
      </c>
    </row>
    <row r="15778">
      <c r="A15778" s="4" t="s">
        <v>19870</v>
      </c>
      <c r="B15778" s="4" t="s">
        <v>19871</v>
      </c>
      <c r="C15778" s="5" t="str">
        <f>IFERROR(__xludf.DUMMYFUNCTION("GOOGLETRANSLATE(B15778,""en"",""de"")"),"Ein Intro beginnt für DX Sports und zeigt zwei Männer, die eine Straße entlang schieben.")</f>
        <v>Ein Intro beginnt für DX Sports und zeigt zwei Männer, die eine Straße entlang schieben.</v>
      </c>
    </row>
    <row r="15779">
      <c r="A15779" s="4" t="s">
        <v>19870</v>
      </c>
      <c r="B15779" s="4" t="s">
        <v>19872</v>
      </c>
      <c r="C15779" s="5" t="str">
        <f>IFERROR(__xludf.DUMMYFUNCTION("GOOGLETRANSLATE(B15779,""en"",""de"")"),"Die weiterhin die Straße hinunter fahren, während die Kamera ihnen unmittelbar hinter der kurvenreichen Straße hinunter folgt.")</f>
        <v>Die weiterhin die Straße hinunter fahren, während die Kamera ihnen unmittelbar hinter der kurvenreichen Straße hinunter folgt.</v>
      </c>
    </row>
    <row r="15780">
      <c r="A15780" s="4" t="s">
        <v>19870</v>
      </c>
      <c r="B15780" s="4" t="s">
        <v>19873</v>
      </c>
      <c r="C15780" s="5" t="str">
        <f>IFERROR(__xludf.DUMMYFUNCTION("GOOGLETRANSLATE(B15780,""en"",""de"")"),"Die Männer steigen schließlich zu einem Auto und ihre Fahrt die lange Straße hinunter.")</f>
        <v>Die Männer steigen schließlich zu einem Auto und ihre Fahrt die lange Straße hinunter.</v>
      </c>
    </row>
    <row r="15781">
      <c r="A15781" s="4" t="s">
        <v>19874</v>
      </c>
      <c r="B15781" s="4" t="s">
        <v>19875</v>
      </c>
      <c r="C15781" s="5" t="str">
        <f>IFERROR(__xludf.DUMMYFUNCTION("GOOGLETRANSLATE(B15781,""en"",""de"")"),"Ein Mann zeigt einen Stiefel und glänzenden Werkzeuge.")</f>
        <v>Ein Mann zeigt einen Stiefel und glänzenden Werkzeuge.</v>
      </c>
    </row>
    <row r="15782">
      <c r="A15782" s="4" t="s">
        <v>19874</v>
      </c>
      <c r="B15782" s="4" t="s">
        <v>19876</v>
      </c>
      <c r="C15782" s="5" t="str">
        <f>IFERROR(__xludf.DUMMYFUNCTION("GOOGLETRANSLATE(B15782,""en"",""de"")"),"Dann reinigt der Mann den Schuh mit einem Tuch.")</f>
        <v>Dann reinigt der Mann den Schuh mit einem Tuch.</v>
      </c>
    </row>
    <row r="15783">
      <c r="A15783" s="4" t="s">
        <v>19874</v>
      </c>
      <c r="B15783" s="4" t="s">
        <v>19877</v>
      </c>
      <c r="C15783" s="5" t="str">
        <f>IFERROR(__xludf.DUMMYFUNCTION("GOOGLETRANSLATE(B15783,""en"",""de"")"),"Danach zeigt der Mann die Spitze des Schuhs und trägt schwarze Farbe auf und zeigt Einlegesohlen.")</f>
        <v>Danach zeigt der Mann die Spitze des Schuhs und trägt schwarze Farbe auf und zeigt Einlegesohlen.</v>
      </c>
    </row>
    <row r="15784">
      <c r="A15784" s="4" t="s">
        <v>19874</v>
      </c>
      <c r="B15784" s="4" t="s">
        <v>19878</v>
      </c>
      <c r="C15784" s="5" t="str">
        <f>IFERROR(__xludf.DUMMYFUNCTION("GOOGLETRANSLATE(B15784,""en"",""de"")"),"Dann poliert der Mann die Schuhe mit einer Creme, nachdem er die Schuhe besprüht hat.")</f>
        <v>Dann poliert der Mann die Schuhe mit einer Creme, nachdem er die Schuhe besprüht hat.</v>
      </c>
    </row>
    <row r="15785">
      <c r="A15785" s="4" t="s">
        <v>19879</v>
      </c>
      <c r="B15785" s="4" t="s">
        <v>19880</v>
      </c>
      <c r="C15785" s="5" t="str">
        <f>IFERROR(__xludf.DUMMYFUNCTION("GOOGLETRANSLATE(B15785,""en"",""de"")"),"Ein Kind sitzt hinter einem Drum -Set.")</f>
        <v>Ein Kind sitzt hinter einem Drum -Set.</v>
      </c>
    </row>
    <row r="15786">
      <c r="A15786" s="4" t="s">
        <v>19879</v>
      </c>
      <c r="B15786" s="4" t="s">
        <v>19881</v>
      </c>
      <c r="C15786" s="5" t="str">
        <f>IFERROR(__xludf.DUMMYFUNCTION("GOOGLETRANSLATE(B15786,""en"",""de"")"),"Er beginnt vor ihm Schlagzeug zu spielen.")</f>
        <v>Er beginnt vor ihm Schlagzeug zu spielen.</v>
      </c>
    </row>
    <row r="15787">
      <c r="A15787" s="4" t="s">
        <v>19879</v>
      </c>
      <c r="B15787" s="4" t="s">
        <v>19882</v>
      </c>
      <c r="C15787" s="5" t="str">
        <f>IFERROR(__xludf.DUMMYFUNCTION("GOOGLETRANSLATE(B15787,""en"",""de"")"),"Er steht auf und winkt die Menge.")</f>
        <v>Er steht auf und winkt die Menge.</v>
      </c>
    </row>
    <row r="15788">
      <c r="A15788" s="4" t="s">
        <v>19883</v>
      </c>
      <c r="B15788" s="4" t="s">
        <v>19884</v>
      </c>
      <c r="C15788" s="5" t="str">
        <f>IFERROR(__xludf.DUMMYFUNCTION("GOOGLETRANSLATE(B15788,""en"",""de"")"),"Der Mann spielt mit einem Ball, der mit einem Lacrosse -Pol ausbalanciert wird.")</f>
        <v>Der Mann spielt mit einem Ball, der mit einem Lacrosse -Pol ausbalanciert wird.</v>
      </c>
    </row>
    <row r="15789">
      <c r="A15789" s="4" t="s">
        <v>19883</v>
      </c>
      <c r="B15789" s="4" t="s">
        <v>19885</v>
      </c>
      <c r="C15789" s="5" t="str">
        <f>IFERROR(__xludf.DUMMYFUNCTION("GOOGLETRANSLATE(B15789,""en"",""de"")"),"Little Kid schnappt sich den Ball mit der Stange vom Boden.")</f>
        <v>Little Kid schnappt sich den Ball mit der Stange vom Boden.</v>
      </c>
    </row>
    <row r="15790">
      <c r="A15790" s="4" t="s">
        <v>19883</v>
      </c>
      <c r="B15790" s="4" t="s">
        <v>19886</v>
      </c>
      <c r="C15790" s="5" t="str">
        <f>IFERROR(__xludf.DUMMYFUNCTION("GOOGLETRANSLATE(B15790,""en"",""de"")"),"Kid spielt mit einem Ball in einem grünen Grasfeld.")</f>
        <v>Kid spielt mit einem Ball in einem grünen Grasfeld.</v>
      </c>
    </row>
    <row r="15791">
      <c r="A15791" s="4" t="s">
        <v>19887</v>
      </c>
      <c r="B15791" s="4" t="s">
        <v>19888</v>
      </c>
      <c r="C15791" s="5" t="str">
        <f>IFERROR(__xludf.DUMMYFUNCTION("GOOGLETRANSLATE(B15791,""en"",""de"")"),"Ein Waldgebiet ist zu sehen und junge Männer gehen die Straße hinauf.")</f>
        <v>Ein Waldgebiet ist zu sehen und junge Männer gehen die Straße hinauf.</v>
      </c>
    </row>
    <row r="15792">
      <c r="A15792" s="4" t="s">
        <v>19887</v>
      </c>
      <c r="B15792" s="4" t="s">
        <v>19889</v>
      </c>
      <c r="C15792" s="5" t="str">
        <f>IFERROR(__xludf.DUMMYFUNCTION("GOOGLETRANSLATE(B15792,""en"",""de"")"),"Gruppen von Skateboardern fahren gegenseitig eine bewaldete Straße hinunter und werden von Trolley -Autos zurück nach oben gezogen.")</f>
        <v>Gruppen von Skateboardern fahren gegenseitig eine bewaldete Straße hinunter und werden von Trolley -Autos zurück nach oben gezogen.</v>
      </c>
    </row>
    <row r="15793">
      <c r="A15793" s="4" t="s">
        <v>19887</v>
      </c>
      <c r="B15793" s="4" t="s">
        <v>19890</v>
      </c>
      <c r="C15793" s="5" t="str">
        <f>IFERROR(__xludf.DUMMYFUNCTION("GOOGLETRANSLATE(B15793,""en"",""de"")"),"Die Skateboarder fahren nacheinander in einer bewaldeten Straße nach den anderen und harten Kurven, während Freunde neben der Seite zuschauen.")</f>
        <v>Die Skateboarder fahren nacheinander in einer bewaldeten Straße nach den anderen und harten Kurven, während Freunde neben der Seite zuschauen.</v>
      </c>
    </row>
    <row r="15794">
      <c r="A15794" s="4" t="s">
        <v>19891</v>
      </c>
      <c r="B15794" s="4" t="s">
        <v>19892</v>
      </c>
      <c r="C15794" s="5" t="str">
        <f>IFERROR(__xludf.DUMMYFUNCTION("GOOGLETRANSLATE(B15794,""en"",""de"")"),"Eine große Gruppe von Menschen sitzt auf einer Bühne und führt zu einem Mann und einer Frau, die Gastgeber ist.")</f>
        <v>Eine große Gruppe von Menschen sitzt auf einer Bühne und führt zu einem Mann und einer Frau, die Gastgeber ist.</v>
      </c>
    </row>
    <row r="15795">
      <c r="A15795" s="4" t="s">
        <v>19891</v>
      </c>
      <c r="B15795" s="4" t="s">
        <v>19893</v>
      </c>
      <c r="C15795" s="5" t="str">
        <f>IFERROR(__xludf.DUMMYFUNCTION("GOOGLETRANSLATE(B15795,""en"",""de"")"),"Die Gastgeber führen zu einer großen Gruppe von Menschen auf der Bühne, die eine Tanzroutine miteinander aufführen.")</f>
        <v>Die Gastgeber führen zu einer großen Gruppe von Menschen auf der Bühne, die eine Tanzroutine miteinander aufführen.</v>
      </c>
    </row>
    <row r="15796">
      <c r="A15796" s="4" t="s">
        <v>19891</v>
      </c>
      <c r="B15796" s="4" t="s">
        <v>19894</v>
      </c>
      <c r="C15796" s="5" t="str">
        <f>IFERROR(__xludf.DUMMYFUNCTION("GOOGLETRANSLATE(B15796,""en"",""de"")"),"Die Leute tanzen weiter umeinander und enden mit dem Klatschen der Richter und dem Wirt, der sie abführt.")</f>
        <v>Die Leute tanzen weiter umeinander und enden mit dem Klatschen der Richter und dem Wirt, der sie abführt.</v>
      </c>
    </row>
    <row r="15797">
      <c r="A15797" s="4" t="s">
        <v>19895</v>
      </c>
      <c r="B15797" s="4" t="s">
        <v>19896</v>
      </c>
      <c r="C15797" s="5" t="str">
        <f>IFERROR(__xludf.DUMMYFUNCTION("GOOGLETRANSLATE(B15797,""en"",""de"")"),"Little Kind spielt vor einer Wand Saxophon.")</f>
        <v>Little Kind spielt vor einer Wand Saxophon.</v>
      </c>
    </row>
    <row r="15798">
      <c r="A15798" s="4" t="s">
        <v>19895</v>
      </c>
      <c r="B15798" s="4" t="s">
        <v>19897</v>
      </c>
      <c r="C15798" s="5" t="str">
        <f>IFERROR(__xludf.DUMMYFUNCTION("GOOGLETRANSLATE(B15798,""en"",""de"")"),"Die Leute gehen vor dem Kind vor.")</f>
        <v>Die Leute gehen vor dem Kind vor.</v>
      </c>
    </row>
    <row r="15799">
      <c r="A15799" s="4" t="s">
        <v>19895</v>
      </c>
      <c r="B15799" s="4" t="s">
        <v>19898</v>
      </c>
      <c r="C15799" s="5" t="str">
        <f>IFERROR(__xludf.DUMMYFUNCTION("GOOGLETRANSLATE(B15799,""en"",""de"")"),"Der alte Mann kniet kniet und steckte ein paar Münzen in den Hut des Kindes.")</f>
        <v>Der alte Mann kniet kniet und steckte ein paar Münzen in den Hut des Kindes.</v>
      </c>
    </row>
    <row r="15800">
      <c r="A15800" s="4" t="s">
        <v>19899</v>
      </c>
      <c r="B15800" s="4" t="s">
        <v>19900</v>
      </c>
      <c r="C15800" s="5" t="str">
        <f>IFERROR(__xludf.DUMMYFUNCTION("GOOGLETRANSLATE(B15800,""en"",""de"")"),"Ein sportlicher Mann steht im Kreis mit der Seite seiner Arme in einem Kreis.")</f>
        <v>Ein sportlicher Mann steht im Kreis mit der Seite seiner Arme in einem Kreis.</v>
      </c>
    </row>
    <row r="15801">
      <c r="A15801" s="4" t="s">
        <v>19899</v>
      </c>
      <c r="B15801" s="4" t="s">
        <v>19901</v>
      </c>
      <c r="C15801" s="5" t="str">
        <f>IFERROR(__xludf.DUMMYFUNCTION("GOOGLETRANSLATE(B15801,""en"",""de"")"),"Der Mann schwingt dann um ein Objekt um und herum.")</f>
        <v>Der Mann schwingt dann um ein Objekt um und herum.</v>
      </c>
    </row>
    <row r="15802">
      <c r="A15802" s="4" t="s">
        <v>19899</v>
      </c>
      <c r="B15802" s="4" t="s">
        <v>19902</v>
      </c>
      <c r="C15802" s="5" t="str">
        <f>IFERROR(__xludf.DUMMYFUNCTION("GOOGLETRANSLATE(B15802,""en"",""de"")"),"Der Mann dreht sich weiter und endet, indem er ihn in die Ferne bringt.")</f>
        <v>Der Mann dreht sich weiter und endet, indem er ihn in die Ferne bringt.</v>
      </c>
    </row>
    <row r="15803">
      <c r="A15803" s="4" t="s">
        <v>19903</v>
      </c>
      <c r="B15803" s="4" t="s">
        <v>19904</v>
      </c>
      <c r="C15803" s="5" t="str">
        <f>IFERROR(__xludf.DUMMYFUNCTION("GOOGLETRANSLATE(B15803,""en"",""de"")"),"Auf dem geschlossenen Platz spielen drei Personen, die Racquetball spielen, und die Aussicht ist von der Person, die die Kamera trägt.")</f>
        <v>Auf dem geschlossenen Platz spielen drei Personen, die Racquetball spielen, und die Aussicht ist von der Person, die die Kamera trägt.</v>
      </c>
    </row>
    <row r="15804">
      <c r="A15804" s="4" t="s">
        <v>19903</v>
      </c>
      <c r="B15804" s="4" t="s">
        <v>19905</v>
      </c>
      <c r="C15804" s="5" t="str">
        <f>IFERROR(__xludf.DUMMYFUNCTION("GOOGLETRANSLATE(B15804,""en"",""de"")"),"Die Kamera -Person nimmt den Ball mit Schläger auf den Schläger aus, rollt ihn ab und trifft dann an die Wand.")</f>
        <v>Die Kamera -Person nimmt den Ball mit Schläger auf den Schläger aus, rollt ihn ab und trifft dann an die Wand.</v>
      </c>
    </row>
    <row r="15805">
      <c r="A15805" s="4" t="s">
        <v>19903</v>
      </c>
      <c r="B15805" s="4" t="s">
        <v>19906</v>
      </c>
      <c r="C15805" s="5" t="str">
        <f>IFERROR(__xludf.DUMMYFUNCTION("GOOGLETRANSLATE(B15805,""en"",""de"")"),"Die Aussicht ändert sich zur Tür und es stehen zwei Männer an der Tür, die darauf warten, den Ball zu treffen.")</f>
        <v>Die Aussicht ändert sich zur Tür und es stehen zwei Männer an der Tür, die darauf warten, den Ball zu treffen.</v>
      </c>
    </row>
    <row r="15806">
      <c r="A15806" s="4" t="s">
        <v>19907</v>
      </c>
      <c r="B15806" s="4" t="s">
        <v>19908</v>
      </c>
      <c r="C15806" s="5" t="str">
        <f>IFERROR(__xludf.DUMMYFUNCTION("GOOGLETRANSLATE(B15806,""en"",""de"")"),"Wir sehen blinkende Bilder von Motorradfahrten.")</f>
        <v>Wir sehen blinkende Bilder von Motorradfahrten.</v>
      </c>
    </row>
    <row r="15807">
      <c r="A15807" s="4" t="s">
        <v>19907</v>
      </c>
      <c r="B15807" s="4" t="s">
        <v>19909</v>
      </c>
      <c r="C15807" s="5" t="str">
        <f>IFERROR(__xludf.DUMMYFUNCTION("GOOGLETRANSLATE(B15807,""en"",""de"")"),"Wir sehen einen Mann, der hoch über einer Stadt steht.")</f>
        <v>Wir sehen einen Mann, der hoch über einer Stadt steht.</v>
      </c>
    </row>
    <row r="15808">
      <c r="A15808" s="4" t="s">
        <v>19907</v>
      </c>
      <c r="B15808" s="4" t="s">
        <v>19910</v>
      </c>
      <c r="C15808" s="5" t="str">
        <f>IFERROR(__xludf.DUMMYFUNCTION("GOOGLETRANSLATE(B15808,""en"",""de"")"),"Wir sehen dann Motorradstunts.")</f>
        <v>Wir sehen dann Motorradstunts.</v>
      </c>
    </row>
    <row r="15809">
      <c r="A15809" s="4" t="s">
        <v>19907</v>
      </c>
      <c r="B15809" s="4" t="s">
        <v>19911</v>
      </c>
      <c r="C15809" s="5" t="str">
        <f>IFERROR(__xludf.DUMMYFUNCTION("GOOGLETRANSLATE(B15809,""en"",""de"")"),"Ein Fahrrad springt auf eine Gruppe von Menschen auf einem Platz.")</f>
        <v>Ein Fahrrad springt auf eine Gruppe von Menschen auf einem Platz.</v>
      </c>
    </row>
    <row r="15810">
      <c r="A15810" s="4" t="s">
        <v>19907</v>
      </c>
      <c r="B15810" s="4" t="s">
        <v>19912</v>
      </c>
      <c r="C15810" s="5" t="str">
        <f>IFERROR(__xludf.DUMMYFUNCTION("GOOGLETRANSLATE(B15810,""en"",""de"")"),"Wir sehen, wie vier Fahrräder nacheinander eine Rampe springen.")</f>
        <v>Wir sehen, wie vier Fahrräder nacheinander eine Rampe springen.</v>
      </c>
    </row>
    <row r="15811">
      <c r="A15811" s="4" t="s">
        <v>19907</v>
      </c>
      <c r="B15811" s="4" t="s">
        <v>19913</v>
      </c>
      <c r="C15811" s="5" t="str">
        <f>IFERROR(__xludf.DUMMYFUNCTION("GOOGLETRANSLATE(B15811,""en"",""de"")"),"Wir sehen einen Mann in Red Reden.")</f>
        <v>Wir sehen einen Mann in Red Reden.</v>
      </c>
    </row>
    <row r="15812">
      <c r="A15812" s="4" t="s">
        <v>19907</v>
      </c>
      <c r="B15812" s="4" t="s">
        <v>19914</v>
      </c>
      <c r="C15812" s="5" t="str">
        <f>IFERROR(__xludf.DUMMYFUNCTION("GOOGLETRANSLATE(B15812,""en"",""de"")"),"Ein Mann springt von seinem Fahrrad.")</f>
        <v>Ein Mann springt von seinem Fahrrad.</v>
      </c>
    </row>
    <row r="15813">
      <c r="A15813" s="4" t="s">
        <v>19907</v>
      </c>
      <c r="B15813" s="4" t="s">
        <v>19915</v>
      </c>
      <c r="C15813" s="5" t="str">
        <f>IFERROR(__xludf.DUMMYFUNCTION("GOOGLETRANSLATE(B15813,""en"",""de"")"),"Ein Mann küsst eine Frau auf sein Fahrrad.")</f>
        <v>Ein Mann küsst eine Frau auf sein Fahrrad.</v>
      </c>
    </row>
    <row r="15814">
      <c r="A15814" s="4" t="s">
        <v>19907</v>
      </c>
      <c r="B15814" s="4" t="s">
        <v>19916</v>
      </c>
      <c r="C15814" s="5" t="str">
        <f>IFERROR(__xludf.DUMMYFUNCTION("GOOGLETRANSLATE(B15814,""en"",""de"")"),"Wir sehen, dass Junge redet.")</f>
        <v>Wir sehen, dass Junge redet.</v>
      </c>
    </row>
    <row r="15815">
      <c r="A15815" s="4" t="s">
        <v>19907</v>
      </c>
      <c r="B15815" s="4" t="s">
        <v>19917</v>
      </c>
      <c r="C15815" s="5" t="str">
        <f>IFERROR(__xludf.DUMMYFUNCTION("GOOGLETRANSLATE(B15815,""en"",""de"")"),"Ein Fahrrad tritt Rauch auf.")</f>
        <v>Ein Fahrrad tritt Rauch auf.</v>
      </c>
    </row>
    <row r="15816">
      <c r="A15816" s="4" t="s">
        <v>19907</v>
      </c>
      <c r="B15816" s="4" t="s">
        <v>19918</v>
      </c>
      <c r="C15816" s="5" t="str">
        <f>IFERROR(__xludf.DUMMYFUNCTION("GOOGLETRANSLATE(B15816,""en"",""de"")"),"Ein Mann legt seinen Arm in die Luft.")</f>
        <v>Ein Mann legt seinen Arm in die Luft.</v>
      </c>
    </row>
    <row r="15817">
      <c r="A15817" s="4" t="s">
        <v>19907</v>
      </c>
      <c r="B15817" s="4" t="s">
        <v>19919</v>
      </c>
      <c r="C15817" s="5" t="str">
        <f>IFERROR(__xludf.DUMMYFUNCTION("GOOGLETRANSLATE(B15817,""en"",""de"")"),"Wir sehen, dass ein Bike eine Flaschenstopp zerschmettert.")</f>
        <v>Wir sehen, dass ein Bike eine Flaschenstopp zerschmettert.</v>
      </c>
    </row>
    <row r="15818">
      <c r="A15818" s="4" t="s">
        <v>19920</v>
      </c>
      <c r="B15818" s="4" t="s">
        <v>19921</v>
      </c>
      <c r="C15818" s="5" t="str">
        <f>IFERROR(__xludf.DUMMYFUNCTION("GOOGLETRANSLATE(B15818,""en"",""de"")"),"Ein schwarz -weißes Video zeigt eine junge Blaskapelle, die mit einer Parade die Straße entlang geht.")</f>
        <v>Ein schwarz -weißes Video zeigt eine junge Blaskapelle, die mit einer Parade die Straße entlang geht.</v>
      </c>
    </row>
    <row r="15819">
      <c r="A15819" s="4" t="s">
        <v>19920</v>
      </c>
      <c r="B15819" s="4" t="s">
        <v>19922</v>
      </c>
      <c r="C15819" s="5" t="str">
        <f>IFERROR(__xludf.DUMMYFUNCTION("GOOGLETRANSLATE(B15819,""en"",""de"")"),"Mehrere Leute in der Band gehen bis dahin eine Nahaufnahme eines Jungen, der die Trompete spielt, und er wird hervorgehoben.")</f>
        <v>Mehrere Leute in der Band gehen bis dahin eine Nahaufnahme eines Jungen, der die Trompete spielt, und er wird hervorgehoben.</v>
      </c>
    </row>
    <row r="15820">
      <c r="A15820" s="4" t="s">
        <v>19920</v>
      </c>
      <c r="B15820" s="4" t="s">
        <v>19923</v>
      </c>
      <c r="C15820" s="5" t="str">
        <f>IFERROR(__xludf.DUMMYFUNCTION("GOOGLETRANSLATE(B15820,""en"",""de"")"),"Das Video geht weiter und die Majorette -Mädchen beginnen zu tanzen.")</f>
        <v>Das Video geht weiter und die Majorette -Mädchen beginnen zu tanzen.</v>
      </c>
    </row>
    <row r="15821">
      <c r="A15821" s="4" t="s">
        <v>19920</v>
      </c>
      <c r="B15821" s="4" t="s">
        <v>19924</v>
      </c>
      <c r="C15821" s="5" t="str">
        <f>IFERROR(__xludf.DUMMYFUNCTION("GOOGLETRANSLATE(B15821,""en"",""de"")"),"Jetzt sind sie still und spielen ohne zu marschieren, als die kleinen Kinder anfangen, sie zu beobachten.")</f>
        <v>Jetzt sind sie still und spielen ohne zu marschieren, als die kleinen Kinder anfangen, sie zu beobachten.</v>
      </c>
    </row>
    <row r="15822">
      <c r="A15822" s="4" t="s">
        <v>19925</v>
      </c>
      <c r="B15822" s="4" t="s">
        <v>19926</v>
      </c>
      <c r="C15822" s="5" t="str">
        <f>IFERROR(__xludf.DUMMYFUNCTION("GOOGLETRANSLATE(B15822,""en"",""de"")"),"Zwei Jungen rechnen Blätter in einem Hof ​​mit großen grünen und roten Raksen.")</f>
        <v>Zwei Jungen rechnen Blätter in einem Hof ​​mit großen grünen und roten Raksen.</v>
      </c>
    </row>
    <row r="15823">
      <c r="A15823" s="4" t="s">
        <v>19925</v>
      </c>
      <c r="B15823" s="4" t="s">
        <v>19927</v>
      </c>
      <c r="C15823" s="5" t="str">
        <f>IFERROR(__xludf.DUMMYFUNCTION("GOOGLETRANSLATE(B15823,""en"",""de"")"),"Ein Hund rennt kontinuierlich durch die Blätter und durcheinander.")</f>
        <v>Ein Hund rennt kontinuierlich durch die Blätter und durcheinander.</v>
      </c>
    </row>
    <row r="15824">
      <c r="A15824" s="4" t="s">
        <v>19925</v>
      </c>
      <c r="B15824" s="4" t="s">
        <v>19928</v>
      </c>
      <c r="C15824" s="5" t="str">
        <f>IFERROR(__xludf.DUMMYFUNCTION("GOOGLETRANSLATE(B15824,""en"",""de"")"),"Die Jungs lachen und versuchen immer wieder, die Blätter zu harken.")</f>
        <v>Die Jungs lachen und versuchen immer wieder, die Blätter zu harken.</v>
      </c>
    </row>
    <row r="15825">
      <c r="A15825" s="4" t="s">
        <v>19929</v>
      </c>
      <c r="B15825" s="4" t="s">
        <v>19930</v>
      </c>
      <c r="C15825" s="5" t="str">
        <f>IFERROR(__xludf.DUMMYFUNCTION("GOOGLETRANSLATE(B15825,""en"",""de"")"),"Es ist eine große Bühne zu sehen, dass Übergänge zu verschiedenen Winkeln von Menschen, die Sprungseiltricks auf einer Stufe in Zeitlupe durchführen.")</f>
        <v>Es ist eine große Bühne zu sehen, dass Übergänge zu verschiedenen Winkeln von Menschen, die Sprungseiltricks auf einer Stufe in Zeitlupe durchführen.</v>
      </c>
    </row>
    <row r="15826">
      <c r="A15826" s="4" t="s">
        <v>19929</v>
      </c>
      <c r="B15826" s="4" t="s">
        <v>19931</v>
      </c>
      <c r="C15826" s="5" t="str">
        <f>IFERROR(__xludf.DUMMYFUNCTION("GOOGLETRANSLATE(B15826,""en"",""de"")"),"Weitere Aufnahmen von verschiedenen Menschen, die unglaubliche Fähigkeiten zum Seilverfahren ausführen, und endet mit einer Gruppe, die ihre Arme hoch hält.")</f>
        <v>Weitere Aufnahmen von verschiedenen Menschen, die unglaubliche Fähigkeiten zum Seilverfahren ausführen, und endet mit einer Gruppe, die ihre Arme hoch hält.</v>
      </c>
    </row>
    <row r="15827">
      <c r="A15827" s="4" t="s">
        <v>19932</v>
      </c>
      <c r="B15827" s="4" t="s">
        <v>19933</v>
      </c>
      <c r="C15827" s="5" t="str">
        <f>IFERROR(__xludf.DUMMYFUNCTION("GOOGLETRANSLATE(B15827,""en"",""de"")"),"Eine Kamera schwenkt rund um einen Hof und zeigt zwei Hunde am Leinen.")</f>
        <v>Eine Kamera schwenkt rund um einen Hof und zeigt zwei Hunde am Leinen.</v>
      </c>
    </row>
    <row r="15828">
      <c r="A15828" s="4" t="s">
        <v>19932</v>
      </c>
      <c r="B15828" s="4" t="s">
        <v>19934</v>
      </c>
      <c r="C15828" s="5" t="str">
        <f>IFERROR(__xludf.DUMMYFUNCTION("GOOGLETRANSLATE(B15828,""en"",""de"")"),"Die Hunde bewegen sich mit der Person, während sich Autos in und aus dem Rahmen bewegen.")</f>
        <v>Die Hunde bewegen sich mit der Person, während sich Autos in und aus dem Rahmen bewegen.</v>
      </c>
    </row>
    <row r="15829">
      <c r="A15829" s="4" t="s">
        <v>19932</v>
      </c>
      <c r="B15829" s="4" t="s">
        <v>19935</v>
      </c>
      <c r="C15829" s="5" t="str">
        <f>IFERROR(__xludf.DUMMYFUNCTION("GOOGLETRANSLATE(B15829,""en"",""de"")"),"Die Kamera schwenkt am Ende am Himmel.")</f>
        <v>Die Kamera schwenkt am Ende am Himmel.</v>
      </c>
    </row>
    <row r="15830">
      <c r="A15830" s="4" t="s">
        <v>19936</v>
      </c>
      <c r="B15830" s="4" t="s">
        <v>19937</v>
      </c>
      <c r="C15830" s="5" t="str">
        <f>IFERROR(__xludf.DUMMYFUNCTION("GOOGLETRANSLATE(B15830,""en"",""de"")"),"1 Die Öffnung des Videos.")</f>
        <v>1 Die Öffnung des Videos.</v>
      </c>
    </row>
    <row r="15831">
      <c r="A15831" s="4" t="s">
        <v>19936</v>
      </c>
      <c r="B15831" s="4" t="s">
        <v>19938</v>
      </c>
      <c r="C15831" s="5" t="str">
        <f>IFERROR(__xludf.DUMMYFUNCTION("GOOGLETRANSLATE(B15831,""en"",""de"")"),"2 Ein Mädchen macht viele Flips an den Bars.")</f>
        <v>2 Ein Mädchen macht viele Flips an den Bars.</v>
      </c>
    </row>
    <row r="15832">
      <c r="A15832" s="4" t="s">
        <v>19939</v>
      </c>
      <c r="B15832" s="4" t="s">
        <v>19940</v>
      </c>
      <c r="C15832" s="5" t="str">
        <f>IFERROR(__xludf.DUMMYFUNCTION("GOOGLETRANSLATE(B15832,""en"",""de"")"),"Ein kleines Mädchen ist in einer Küche und redet.")</f>
        <v>Ein kleines Mädchen ist in einer Küche und redet.</v>
      </c>
    </row>
    <row r="15833">
      <c r="A15833" s="4" t="s">
        <v>19939</v>
      </c>
      <c r="B15833" s="4" t="s">
        <v>19941</v>
      </c>
      <c r="C15833" s="5" t="str">
        <f>IFERROR(__xludf.DUMMYFUNCTION("GOOGLETRANSLATE(B15833,""en"",""de"")"),"Das Mädchen mischt mehrere Dinge aus kleinen Schalen in einer größeren Schüssel.")</f>
        <v>Das Mädchen mischt mehrere Dinge aus kleinen Schalen in einer größeren Schüssel.</v>
      </c>
    </row>
    <row r="15834">
      <c r="A15834" s="4" t="s">
        <v>19939</v>
      </c>
      <c r="B15834" s="4" t="s">
        <v>19942</v>
      </c>
      <c r="C15834" s="5" t="str">
        <f>IFERROR(__xludf.DUMMYFUNCTION("GOOGLETRANSLATE(B15834,""en"",""de"")"),"Ein Erwachsener hilft dem Mädchen, ihre Backpfannen zu sprühen.")</f>
        <v>Ein Erwachsener hilft dem Mädchen, ihre Backpfannen zu sprühen.</v>
      </c>
    </row>
    <row r="15835">
      <c r="A15835" s="4" t="s">
        <v>19939</v>
      </c>
      <c r="B15835" s="4" t="s">
        <v>19943</v>
      </c>
      <c r="C15835" s="5" t="str">
        <f>IFERROR(__xludf.DUMMYFUNCTION("GOOGLETRANSLATE(B15835,""en"",""de"")"),"Das Mädchen steckt ihre Mischung in die Pfannen und steckt sie in einen einfachen Backofen.")</f>
        <v>Das Mädchen steckt ihre Mischung in die Pfannen und steckt sie in einen einfachen Backofen.</v>
      </c>
    </row>
    <row r="15836">
      <c r="A15836" s="4" t="s">
        <v>19939</v>
      </c>
      <c r="B15836" s="4" t="s">
        <v>19944</v>
      </c>
      <c r="C15836" s="5" t="str">
        <f>IFERROR(__xludf.DUMMYFUNCTION("GOOGLETRANSLATE(B15836,""en"",""de"")"),"Das Mädchen entfernt dann das, was sie aus dem Ofen gemacht hat.")</f>
        <v>Das Mädchen entfernt dann das, was sie aus dem Ofen gemacht hat.</v>
      </c>
    </row>
    <row r="15837">
      <c r="A15837" s="4" t="s">
        <v>19939</v>
      </c>
      <c r="B15837" s="4" t="s">
        <v>19945</v>
      </c>
      <c r="C15837" s="5" t="str">
        <f>IFERROR(__xludf.DUMMYFUNCTION("GOOGLETRANSLATE(B15837,""en"",""de"")"),"Ein jüngerer Junge sieht beim Essen eines Cupcake zu.")</f>
        <v>Ein jüngerer Junge sieht beim Essen eines Cupcake zu.</v>
      </c>
    </row>
    <row r="15838">
      <c r="A15838" s="4" t="s">
        <v>19939</v>
      </c>
      <c r="B15838" s="4" t="s">
        <v>19946</v>
      </c>
      <c r="C15838" s="5" t="str">
        <f>IFERROR(__xludf.DUMMYFUNCTION("GOOGLETRANSLATE(B15838,""en"",""de"")"),"Die jungen Mädchen schneiden die Wüste, die sie gemacht hat, und isst sie.")</f>
        <v>Die jungen Mädchen schneiden die Wüste, die sie gemacht hat, und isst sie.</v>
      </c>
    </row>
    <row r="15839">
      <c r="A15839" s="4" t="s">
        <v>19947</v>
      </c>
      <c r="B15839" s="4" t="s">
        <v>19948</v>
      </c>
      <c r="C15839" s="5" t="str">
        <f>IFERROR(__xludf.DUMMYFUNCTION("GOOGLETRANSLATE(B15839,""en"",""de"")"),"Ein Mann spricht mit der Kamera, während eine Frau auf einer Maschine vor ihm trainiert und die Einstellungen anpasst.")</f>
        <v>Ein Mann spricht mit der Kamera, während eine Frau auf einer Maschine vor ihm trainiert und die Einstellungen anpasst.</v>
      </c>
    </row>
    <row r="15840">
      <c r="A15840" s="4" t="s">
        <v>19947</v>
      </c>
      <c r="B15840" s="4" t="s">
        <v>19949</v>
      </c>
      <c r="C15840" s="5" t="str">
        <f>IFERROR(__xludf.DUMMYFUNCTION("GOOGLETRANSLATE(B15840,""en"",""de"")"),"Der Mann bewegt sich weiter auf der Maschine und zeigt seine unterschiedlichen Einstellungen, während der Mann weiterhin mit der Kamera spricht.")</f>
        <v>Der Mann bewegt sich weiter auf der Maschine und zeigt seine unterschiedlichen Einstellungen, während der Mann weiterhin mit der Kamera spricht.</v>
      </c>
    </row>
    <row r="15841">
      <c r="A15841" s="4" t="s">
        <v>19950</v>
      </c>
      <c r="B15841" s="4" t="s">
        <v>19951</v>
      </c>
      <c r="C15841" s="5" t="str">
        <f>IFERROR(__xludf.DUMMYFUNCTION("GOOGLETRANSLATE(B15841,""en"",""de"")"),"Eine Person hämmert Nägel in ein Dach.")</f>
        <v>Eine Person hämmert Nägel in ein Dach.</v>
      </c>
    </row>
    <row r="15842">
      <c r="A15842" s="4" t="s">
        <v>19950</v>
      </c>
      <c r="B15842" s="4" t="s">
        <v>19952</v>
      </c>
      <c r="C15842" s="5" t="str">
        <f>IFERROR(__xludf.DUMMYFUNCTION("GOOGLETRANSLATE(B15842,""en"",""de"")"),"Sie gleitet Fliesen auf das Dach und nagelt sie ein.")</f>
        <v>Sie gleitet Fliesen auf das Dach und nagelt sie ein.</v>
      </c>
    </row>
    <row r="15843">
      <c r="A15843" s="4" t="s">
        <v>19953</v>
      </c>
      <c r="B15843" s="4" t="s">
        <v>19954</v>
      </c>
      <c r="C15843" s="5" t="str">
        <f>IFERROR(__xludf.DUMMYFUNCTION("GOOGLETRANSLATE(B15843,""en"",""de"")"),"Eine Gruppe von Menschen sitzt auf Kamelen im Sand neben einem Hügel.")</f>
        <v>Eine Gruppe von Menschen sitzt auf Kamelen im Sand neben einem Hügel.</v>
      </c>
    </row>
    <row r="15844">
      <c r="A15844" s="4" t="s">
        <v>19953</v>
      </c>
      <c r="B15844" s="4" t="s">
        <v>19955</v>
      </c>
      <c r="C15844" s="5" t="str">
        <f>IFERROR(__xludf.DUMMYFUNCTION("GOOGLETRANSLATE(B15844,""en"",""de"")"),"Ein Mann greift nach der Kette im Mund des Kamel, während das Kamel sitzt.")</f>
        <v>Ein Mann greift nach der Kette im Mund des Kamel, während das Kamel sitzt.</v>
      </c>
    </row>
    <row r="15845">
      <c r="A15845" s="4" t="s">
        <v>19953</v>
      </c>
      <c r="B15845" s="4" t="s">
        <v>19956</v>
      </c>
      <c r="C15845" s="5" t="str">
        <f>IFERROR(__xludf.DUMMYFUNCTION("GOOGLETRANSLATE(B15845,""en"",""de"")"),"Der Mann in hellblau hilft den Mann in dunkelblau auf.")</f>
        <v>Der Mann in hellblau hilft den Mann in dunkelblau auf.</v>
      </c>
    </row>
    <row r="15846">
      <c r="A15846" s="4" t="s">
        <v>19953</v>
      </c>
      <c r="B15846" s="4" t="s">
        <v>19957</v>
      </c>
      <c r="C15846" s="5" t="str">
        <f>IFERROR(__xludf.DUMMYFUNCTION("GOOGLETRANSLATE(B15846,""en"",""de"")"),"Das zweite Kamel, das das nächste Paar hält, beginnt auf dem Boden zu sitzen.")</f>
        <v>Das zweite Kamel, das das nächste Paar hält, beginnt auf dem Boden zu sitzen.</v>
      </c>
    </row>
    <row r="15847">
      <c r="A15847" s="4" t="s">
        <v>19958</v>
      </c>
      <c r="B15847" s="4" t="s">
        <v>19959</v>
      </c>
      <c r="C15847" s="5" t="str">
        <f>IFERROR(__xludf.DUMMYFUNCTION("GOOGLETRANSLATE(B15847,""en"",""de"")"),"Eine Frau flechtet langsam ihre Haare.")</f>
        <v>Eine Frau flechtet langsam ihre Haare.</v>
      </c>
    </row>
    <row r="15848">
      <c r="A15848" s="4" t="s">
        <v>19958</v>
      </c>
      <c r="B15848" s="4" t="s">
        <v>19960</v>
      </c>
      <c r="C15848" s="5" t="str">
        <f>IFERROR(__xludf.DUMMYFUNCTION("GOOGLETRANSLATE(B15848,""en"",""de"")"),"Sie bindet dann die Zöpfen zusammen und bindet das Ende zusammen.")</f>
        <v>Sie bindet dann die Zöpfen zusammen und bindet das Ende zusammen.</v>
      </c>
    </row>
    <row r="15849">
      <c r="A15849" s="4" t="s">
        <v>19961</v>
      </c>
      <c r="B15849" s="4" t="s">
        <v>19962</v>
      </c>
      <c r="C15849" s="5" t="str">
        <f>IFERROR(__xludf.DUMMYFUNCTION("GOOGLETRANSLATE(B15849,""en"",""de"")"),"Eine Frau und ein Junge schälen Kartoffeln vor einem Müll.")</f>
        <v>Eine Frau und ein Junge schälen Kartoffeln vor einem Müll.</v>
      </c>
    </row>
    <row r="15850">
      <c r="A15850" s="4" t="s">
        <v>19961</v>
      </c>
      <c r="B15850" s="4" t="s">
        <v>19963</v>
      </c>
      <c r="C15850" s="5" t="str">
        <f>IFERROR(__xludf.DUMMYFUNCTION("GOOGLETRANSLATE(B15850,""en"",""de"")"),"Dann setzt der Junge die Kartoffel und den Schäler über die Theke, aber er nimmt sie wieder.")</f>
        <v>Dann setzt der Junge die Kartoffel und den Schäler über die Theke, aber er nimmt sie wieder.</v>
      </c>
    </row>
    <row r="15851">
      <c r="A15851" s="4" t="s">
        <v>19961</v>
      </c>
      <c r="B15851" s="4" t="s">
        <v>19964</v>
      </c>
      <c r="C15851" s="5" t="str">
        <f>IFERROR(__xludf.DUMMYFUNCTION("GOOGLETRANSLATE(B15851,""en"",""de"")"),"Die Frau endet, um die Kartoffel zu schneiden.")</f>
        <v>Die Frau endet, um die Kartoffel zu schneiden.</v>
      </c>
    </row>
    <row r="15852">
      <c r="A15852" s="4" t="s">
        <v>19965</v>
      </c>
      <c r="B15852" s="4" t="s">
        <v>19966</v>
      </c>
      <c r="C15852" s="5" t="str">
        <f>IFERROR(__xludf.DUMMYFUNCTION("GOOGLETRANSLATE(B15852,""en"",""de"")"),"Ein kleiner Junge, der in einem Dschungel -Fitnessstudio spielt.")</f>
        <v>Ein kleiner Junge, der in einem Dschungel -Fitnessstudio spielt.</v>
      </c>
    </row>
    <row r="15853">
      <c r="A15853" s="4" t="s">
        <v>19965</v>
      </c>
      <c r="B15853" s="4" t="s">
        <v>19967</v>
      </c>
      <c r="C15853" s="5" t="str">
        <f>IFERROR(__xludf.DUMMYFUNCTION("GOOGLETRANSLATE(B15853,""en"",""de"")"),"Er klettert eine Treppe hinauf.")</f>
        <v>Er klettert eine Treppe hinauf.</v>
      </c>
    </row>
    <row r="15854">
      <c r="A15854" s="4" t="s">
        <v>19965</v>
      </c>
      <c r="B15854" s="4" t="s">
        <v>19968</v>
      </c>
      <c r="C15854" s="5" t="str">
        <f>IFERROR(__xludf.DUMMYFUNCTION("GOOGLETRANSLATE(B15854,""en"",""de"")"),"Jetzt rutscht schnell eine Rutsche hinunter.")</f>
        <v>Jetzt rutscht schnell eine Rutsche hinunter.</v>
      </c>
    </row>
    <row r="15855">
      <c r="A15855" s="4" t="s">
        <v>19965</v>
      </c>
      <c r="B15855" s="4" t="s">
        <v>19969</v>
      </c>
      <c r="C15855" s="5" t="str">
        <f>IFERROR(__xludf.DUMMYFUNCTION("GOOGLETRANSLATE(B15855,""en"",""de"")"),"Ein anderer Junge spielt im Gras.")</f>
        <v>Ein anderer Junge spielt im Gras.</v>
      </c>
    </row>
    <row r="15856">
      <c r="A15856" s="4" t="s">
        <v>19965</v>
      </c>
      <c r="B15856" s="4" t="s">
        <v>19970</v>
      </c>
      <c r="C15856" s="5" t="str">
        <f>IFERROR(__xludf.DUMMYFUNCTION("GOOGLETRANSLATE(B15856,""en"",""de"")"),"Jetzt wird der erste Junge von einer Frau abgeholt.")</f>
        <v>Jetzt wird der erste Junge von einer Frau abgeholt.</v>
      </c>
    </row>
    <row r="15857">
      <c r="A15857" s="4" t="s">
        <v>19965</v>
      </c>
      <c r="B15857" s="4" t="s">
        <v>19971</v>
      </c>
      <c r="C15857" s="5" t="str">
        <f>IFERROR(__xludf.DUMMYFUNCTION("GOOGLETRANSLATE(B15857,""en"",""de"")"),"Jetzt wird er noch einmal die Rutsche hinuntergehen.")</f>
        <v>Jetzt wird er noch einmal die Rutsche hinuntergehen.</v>
      </c>
    </row>
    <row r="15858">
      <c r="A15858" s="4" t="s">
        <v>19965</v>
      </c>
      <c r="B15858" s="4" t="s">
        <v>19972</v>
      </c>
      <c r="C15858" s="5" t="str">
        <f>IFERROR(__xludf.DUMMYFUNCTION("GOOGLETRANSLATE(B15858,""en"",""de"")"),"Der Junge spielt gerne mit einem großen Rad auf dem Spielplatz.")</f>
        <v>Der Junge spielt gerne mit einem großen Rad auf dem Spielplatz.</v>
      </c>
    </row>
    <row r="15859">
      <c r="A15859" s="4" t="s">
        <v>19965</v>
      </c>
      <c r="B15859" s="4" t="s">
        <v>19973</v>
      </c>
      <c r="C15859" s="5" t="str">
        <f>IFERROR(__xludf.DUMMYFUNCTION("GOOGLETRANSLATE(B15859,""en"",""de"")"),"Wieder geht er die Rutsche hinunter, aber mit Papa direkt hinter ihm.")</f>
        <v>Wieder geht er die Rutsche hinunter, aber mit Papa direkt hinter ihm.</v>
      </c>
    </row>
    <row r="15860">
      <c r="A15860" s="4" t="s">
        <v>19965</v>
      </c>
      <c r="B15860" s="4" t="s">
        <v>19974</v>
      </c>
      <c r="C15860" s="5" t="str">
        <f>IFERROR(__xludf.DUMMYFUNCTION("GOOGLETRANSLATE(B15860,""en"",""de"")"),"Er geht das vierte Mal durch die Rutsche, aber mit einem anderen kleinen Jungen.")</f>
        <v>Er geht das vierte Mal durch die Rutsche, aber mit einem anderen kleinen Jungen.</v>
      </c>
    </row>
    <row r="15861">
      <c r="A15861" s="4" t="s">
        <v>19965</v>
      </c>
      <c r="B15861" s="4" t="s">
        <v>19975</v>
      </c>
      <c r="C15861" s="5" t="str">
        <f>IFERROR(__xludf.DUMMYFUNCTION("GOOGLETRANSLATE(B15861,""en"",""de"")"),"Er geht noch mehrmals die Rutsche hinunter.")</f>
        <v>Er geht noch mehrmals die Rutsche hinunter.</v>
      </c>
    </row>
    <row r="15862">
      <c r="A15862" s="4" t="s">
        <v>19976</v>
      </c>
      <c r="B15862" s="4" t="s">
        <v>19977</v>
      </c>
      <c r="C15862" s="5" t="str">
        <f>IFERROR(__xludf.DUMMYFUNCTION("GOOGLETRANSLATE(B15862,""en"",""de"")"),"Eine Gruppe von Teams wird gezeigt, dass verschiedene Sportveranstaltungen mit Schnee beteiligt sind.")</f>
        <v>Eine Gruppe von Teams wird gezeigt, dass verschiedene Sportveranstaltungen mit Schnee beteiligt sind.</v>
      </c>
    </row>
    <row r="15863">
      <c r="A15863" s="4" t="s">
        <v>19976</v>
      </c>
      <c r="B15863" s="4" t="s">
        <v>19978</v>
      </c>
      <c r="C15863" s="5" t="str">
        <f>IFERROR(__xludf.DUMMYFUNCTION("GOOGLETRANSLATE(B15863,""en"",""de"")"),"Die Kamera zeigt dann Handicap -Personen, die ein Spiel spielen, in dem sie in einem Rollstuhl sitzen und Puck wie Objekte mit Griffen schieben.")</f>
        <v>Die Kamera zeigt dann Handicap -Personen, die ein Spiel spielen, in dem sie in einem Rollstuhl sitzen und Puck wie Objekte mit Griffen schieben.</v>
      </c>
    </row>
    <row r="15864">
      <c r="A15864" s="4" t="s">
        <v>19976</v>
      </c>
      <c r="B15864" s="4" t="s">
        <v>19979</v>
      </c>
      <c r="C15864" s="5" t="str">
        <f>IFERROR(__xludf.DUMMYFUNCTION("GOOGLETRANSLATE(B15864,""en"",""de"")"),"Ein Mann wird dann gezeigt und beginnt zu sprechen, das Spiel zu beschreiben, das stattfindet.")</f>
        <v>Ein Mann wird dann gezeigt und beginnt zu sprechen, das Spiel zu beschreiben, das stattfindet.</v>
      </c>
    </row>
    <row r="15865">
      <c r="A15865" s="4" t="s">
        <v>19980</v>
      </c>
      <c r="B15865" s="4" t="s">
        <v>19981</v>
      </c>
      <c r="C15865" s="5" t="str">
        <f>IFERROR(__xludf.DUMMYFUNCTION("GOOGLETRANSLATE(B15865,""en"",""de"")"),"Ein Intro führt zu mehreren Werkzeugen, die auf einem Tisch gelegt wurden, und eine Frauen, die in einer Pflanze entfernen.")</f>
        <v>Ein Intro führt zu mehreren Werkzeugen, die auf einem Tisch gelegt wurden, und eine Frauen, die in einer Pflanze entfernen.</v>
      </c>
    </row>
    <row r="15866">
      <c r="A15866" s="4" t="s">
        <v>19980</v>
      </c>
      <c r="B15866" s="4" t="s">
        <v>19982</v>
      </c>
      <c r="C15866" s="5" t="str">
        <f>IFERROR(__xludf.DUMMYFUNCTION("GOOGLETRANSLATE(B15866,""en"",""de"")"),"Die Frau zieht dann einen Lappen heraus und wischt sich vom Tisch ab.")</f>
        <v>Die Frau zieht dann einen Lappen heraus und wischt sich vom Tisch ab.</v>
      </c>
    </row>
    <row r="15867">
      <c r="A15867" s="4" t="s">
        <v>19980</v>
      </c>
      <c r="B15867" s="4" t="s">
        <v>19983</v>
      </c>
      <c r="C15867" s="5" t="str">
        <f>IFERROR(__xludf.DUMMYFUNCTION("GOOGLETRANSLATE(B15867,""en"",""de"")"),"Sie hält den Lappen wieder fest, sprüht den Tisch hinunter und wischt den Tisch in einer ordnungsgemäßen Bewegung ab.")</f>
        <v>Sie hält den Lappen wieder fest, sprüht den Tisch hinunter und wischt den Tisch in einer ordnungsgemäßen Bewegung ab.</v>
      </c>
    </row>
    <row r="15868">
      <c r="A15868" s="4" t="s">
        <v>19980</v>
      </c>
      <c r="B15868" s="4" t="s">
        <v>19984</v>
      </c>
      <c r="C15868" s="5" t="str">
        <f>IFERROR(__xludf.DUMMYFUNCTION("GOOGLETRANSLATE(B15868,""en"",""de"")"),"Sie wird dann erneut angezeigt, wenn sie sich über verschiedene Bereiche staubt und die Anlage wieder auf den Tisch legt und die Stühle hineinschiebt.")</f>
        <v>Sie wird dann erneut angezeigt, wenn sie sich über verschiedene Bereiche staubt und die Anlage wieder auf den Tisch legt und die Stühle hineinschiebt.</v>
      </c>
    </row>
    <row r="15869">
      <c r="A15869" s="4" t="s">
        <v>19985</v>
      </c>
      <c r="B15869" s="4" t="s">
        <v>19986</v>
      </c>
      <c r="C15869" s="5" t="str">
        <f>IFERROR(__xludf.DUMMYFUNCTION("GOOGLETRANSLATE(B15869,""en"",""de"")"),"Eine Frau sitzt am Strand und trägt Sonnenschutzmittel auf den Rücken.")</f>
        <v>Eine Frau sitzt am Strand und trägt Sonnenschutzmittel auf den Rücken.</v>
      </c>
    </row>
    <row r="15870">
      <c r="A15870" s="4" t="s">
        <v>19985</v>
      </c>
      <c r="B15870" s="4" t="s">
        <v>19987</v>
      </c>
      <c r="C15870" s="5" t="str">
        <f>IFERROR(__xludf.DUMMYFUNCTION("GOOGLETRANSLATE(B15870,""en"",""de"")"),"Ein Luftballon fliegt durch die Luft.")</f>
        <v>Ein Luftballon fliegt durch die Luft.</v>
      </c>
    </row>
    <row r="15871">
      <c r="A15871" s="4" t="s">
        <v>19985</v>
      </c>
      <c r="B15871" s="4" t="s">
        <v>19988</v>
      </c>
      <c r="C15871" s="5" t="str">
        <f>IFERROR(__xludf.DUMMYFUNCTION("GOOGLETRANSLATE(B15871,""en"",""de"")"),"Ein DJ wird gesehen, wie er eine Scheibe dreht.")</f>
        <v>Ein DJ wird gesehen, wie er eine Scheibe dreht.</v>
      </c>
    </row>
    <row r="15872">
      <c r="A15872" s="4" t="s">
        <v>19985</v>
      </c>
      <c r="B15872" s="4" t="s">
        <v>19989</v>
      </c>
      <c r="C15872" s="5" t="str">
        <f>IFERROR(__xludf.DUMMYFUNCTION("GOOGLETRANSLATE(B15872,""en"",""de"")"),"Eine Frau geht mit ihrem Koffer.")</f>
        <v>Eine Frau geht mit ihrem Koffer.</v>
      </c>
    </row>
    <row r="15873">
      <c r="A15873" s="4" t="s">
        <v>19985</v>
      </c>
      <c r="B15873" s="4" t="s">
        <v>19990</v>
      </c>
      <c r="C15873" s="5" t="str">
        <f>IFERROR(__xludf.DUMMYFUNCTION("GOOGLETRANSLATE(B15873,""en"",""de"")"),"Einige Grafikautos stürzen ineinander ab.")</f>
        <v>Einige Grafikautos stürzen ineinander ab.</v>
      </c>
    </row>
    <row r="15874">
      <c r="A15874" s="4" t="s">
        <v>19985</v>
      </c>
      <c r="B15874" s="4" t="s">
        <v>19991</v>
      </c>
      <c r="C15874" s="5" t="str">
        <f>IFERROR(__xludf.DUMMYFUNCTION("GOOGLETRANSLATE(B15874,""en"",""de"")"),"Hohe orangefarbene Flammen sind zu sehen.")</f>
        <v>Hohe orangefarbene Flammen sind zu sehen.</v>
      </c>
    </row>
    <row r="15875">
      <c r="A15875" s="4" t="s">
        <v>19992</v>
      </c>
      <c r="B15875" s="4" t="s">
        <v>19993</v>
      </c>
      <c r="C15875" s="5" t="str">
        <f>IFERROR(__xludf.DUMMYFUNCTION("GOOGLETRANSLATE(B15875,""en"",""de"")"),"Drei verschiedene Frauen werden nacheinander gezeigt.")</f>
        <v>Drei verschiedene Frauen werden nacheinander gezeigt.</v>
      </c>
    </row>
    <row r="15876">
      <c r="A15876" s="4" t="s">
        <v>19992</v>
      </c>
      <c r="B15876" s="4" t="s">
        <v>19994</v>
      </c>
      <c r="C15876" s="5" t="str">
        <f>IFERROR(__xludf.DUMMYFUNCTION("GOOGLETRANSLATE(B15876,""en"",""de"")"),"Jede Frau sitzt und spielt Schlagzeug und Becken.")</f>
        <v>Jede Frau sitzt und spielt Schlagzeug und Becken.</v>
      </c>
    </row>
    <row r="15877">
      <c r="A15877" s="4" t="s">
        <v>19992</v>
      </c>
      <c r="B15877" s="4" t="s">
        <v>19995</v>
      </c>
      <c r="C15877" s="5" t="str">
        <f>IFERROR(__xludf.DUMMYFUNCTION("GOOGLETRANSLATE(B15877,""en"",""de"")"),"Sie werden als die drei besten Trommlerinnen der Welt in Rechnung gestellt, während sie ununterbrochen spielen.")</f>
        <v>Sie werden als die drei besten Trommlerinnen der Welt in Rechnung gestellt, während sie ununterbrochen spielen.</v>
      </c>
    </row>
    <row r="15878">
      <c r="A15878" s="4" t="s">
        <v>19996</v>
      </c>
      <c r="B15878" s="4" t="s">
        <v>19997</v>
      </c>
      <c r="C15878" s="5" t="str">
        <f>IFERROR(__xludf.DUMMYFUNCTION("GOOGLETRANSLATE(B15878,""en"",""de"")"),"Dieses Video zeigt, wie ein mikrowellener Kuchen mit Ganache Frosting erstellt wird.")</f>
        <v>Dieses Video zeigt, wie ein mikrowellener Kuchen mit Ganache Frosting erstellt wird.</v>
      </c>
    </row>
    <row r="15879">
      <c r="A15879" s="4" t="s">
        <v>19996</v>
      </c>
      <c r="B15879" s="4" t="s">
        <v>19998</v>
      </c>
      <c r="C15879" s="5" t="str">
        <f>IFERROR(__xludf.DUMMYFUNCTION("GOOGLETRANSLATE(B15879,""en"",""de"")"),"Zuerst fügt die Frau 1/4 Tasse Gemüseöl 1 Tasse Zucker hinzu und sie steckt es in eine Rührschüssel.")</f>
        <v>Zuerst fügt die Frau 1/4 Tasse Gemüseöl 1 Tasse Zucker hinzu und sie steckt es in eine Rührschüssel.</v>
      </c>
    </row>
    <row r="15880">
      <c r="A15880" s="4" t="s">
        <v>19996</v>
      </c>
      <c r="B15880" s="4" t="s">
        <v>19999</v>
      </c>
      <c r="C15880" s="5" t="str">
        <f>IFERROR(__xludf.DUMMYFUNCTION("GOOGLETRANSLATE(B15880,""en"",""de"")"),"Dann mischt sie den Zucker, bis er sich auflöst, und er fügt 1 ganze Tasse Milch zusammen mit zwei Teelöffeln Zitronensaft hinzu.")</f>
        <v>Dann mischt sie den Zucker, bis er sich auflöst, und er fügt 1 ganze Tasse Milch zusammen mit zwei Teelöffeln Zitronensaft hinzu.</v>
      </c>
    </row>
    <row r="15881">
      <c r="A15881" s="4" t="s">
        <v>19996</v>
      </c>
      <c r="B15881" s="4" t="s">
        <v>20000</v>
      </c>
      <c r="C15881" s="5" t="str">
        <f>IFERROR(__xludf.DUMMYFUNCTION("GOOGLETRANSLATE(B15881,""en"",""de"")"),"Als nächstes fügt sie 1 Teelöffel Vanilleextrakt hinzu und mischt alles zusammen, dann fügt sie 1 1/4 Tassen aller Zweckmehl zusammen mit 1/4 Tasse ungesüßtem Kakaopulver und Salz hinzu.")</f>
        <v>Als nächstes fügt sie 1 Teelöffel Vanilleextrakt hinzu und mischt alles zusammen, dann fügt sie 1 1/4 Tassen aller Zweckmehl zusammen mit 1/4 Tasse ungesüßtem Kakaopulver und Salz hinzu.</v>
      </c>
    </row>
    <row r="15882">
      <c r="A15882" s="4" t="s">
        <v>19996</v>
      </c>
      <c r="B15882" s="4" t="s">
        <v>20001</v>
      </c>
      <c r="C15882" s="5" t="str">
        <f>IFERROR(__xludf.DUMMYFUNCTION("GOOGLETRANSLATE(B15882,""en"",""de"")"),"Dann fügt sie Backpulver und Backpulver hinzu und sie wischt es glatt.")</f>
        <v>Dann fügt sie Backpulver und Backpulver hinzu und sie wischt es glatt.</v>
      </c>
    </row>
    <row r="15883">
      <c r="A15883" s="4" t="s">
        <v>19996</v>
      </c>
      <c r="B15883" s="4" t="s">
        <v>20002</v>
      </c>
      <c r="C15883" s="5" t="str">
        <f>IFERROR(__xludf.DUMMYFUNCTION("GOOGLETRANSLATE(B15883,""en"",""de"")"),"Schließlich gießt sie die Mischung in ein mikrowellen- und sicheres Gericht und es ist fertig.")</f>
        <v>Schließlich gießt sie die Mischung in ein mikrowellen- und sicheres Gericht und es ist fertig.</v>
      </c>
    </row>
    <row r="15884">
      <c r="A15884" s="4" t="s">
        <v>19996</v>
      </c>
      <c r="B15884" s="4" t="s">
        <v>20003</v>
      </c>
      <c r="C15884" s="5" t="str">
        <f>IFERROR(__xludf.DUMMYFUNCTION("GOOGLETRANSLATE(B15884,""en"",""de"")"),"Sie lasst uns dann 15 Minuten lang den Kuchen stehen.")</f>
        <v>Sie lasst uns dann 15 Minuten lang den Kuchen stehen.</v>
      </c>
    </row>
    <row r="15885">
      <c r="A15885" s="4" t="s">
        <v>20004</v>
      </c>
      <c r="B15885" s="4" t="s">
        <v>20005</v>
      </c>
      <c r="C15885" s="5" t="str">
        <f>IFERROR(__xludf.DUMMYFUNCTION("GOOGLETRANSLATE(B15885,""en"",""de"")"),"Ein Mann, der Sonnenbrille trägt, spricht mit der Kamera.")</f>
        <v>Ein Mann, der Sonnenbrille trägt, spricht mit der Kamera.</v>
      </c>
    </row>
    <row r="15886">
      <c r="A15886" s="4" t="s">
        <v>20004</v>
      </c>
      <c r="B15886" s="4" t="s">
        <v>20006</v>
      </c>
      <c r="C15886" s="5" t="str">
        <f>IFERROR(__xludf.DUMMYFUNCTION("GOOGLETRANSLATE(B15886,""en"",""de"")"),"Er zeigt, wie man die Saiten an der Vorderseite eines Fahrrads schneidet und einen Teil des Reifens entzieht.")</f>
        <v>Er zeigt, wie man die Saiten an der Vorderseite eines Fahrrads schneidet und einen Teil des Reifens entzieht.</v>
      </c>
    </row>
    <row r="15887">
      <c r="A15887" s="4" t="s">
        <v>20004</v>
      </c>
      <c r="B15887" s="4" t="s">
        <v>20007</v>
      </c>
      <c r="C15887" s="5" t="str">
        <f>IFERROR(__xludf.DUMMYFUNCTION("GOOGLETRANSLATE(B15887,""en"",""de"")"),"Er ersetzt das Teil und erklärt, wie der Prozess im Laufe seines Ablaufs durchgeführt wird.")</f>
        <v>Er ersetzt das Teil und erklärt, wie der Prozess im Laufe seines Ablaufs durchgeführt wird.</v>
      </c>
    </row>
    <row r="15888">
      <c r="A15888" s="4" t="s">
        <v>20004</v>
      </c>
      <c r="B15888" s="4" t="s">
        <v>20008</v>
      </c>
      <c r="C15888" s="5" t="str">
        <f>IFERROR(__xludf.DUMMYFUNCTION("GOOGLETRANSLATE(B15888,""en"",""de"")"),"Dann spricht er weiter mit der Kamera.")</f>
        <v>Dann spricht er weiter mit der Kamera.</v>
      </c>
    </row>
    <row r="15889">
      <c r="A15889" s="4" t="s">
        <v>20009</v>
      </c>
      <c r="B15889" s="4" t="s">
        <v>20010</v>
      </c>
      <c r="C15889" s="5" t="str">
        <f>IFERROR(__xludf.DUMMYFUNCTION("GOOGLETRANSLATE(B15889,""en"",""de"")"),"Ein Mann, der auf einer Übungsausrüstung sitzt.")</f>
        <v>Ein Mann, der auf einer Übungsausrüstung sitzt.</v>
      </c>
    </row>
    <row r="15890">
      <c r="A15890" s="4" t="s">
        <v>20009</v>
      </c>
      <c r="B15890" s="4" t="s">
        <v>20011</v>
      </c>
      <c r="C15890" s="5" t="str">
        <f>IFERROR(__xludf.DUMMYFUNCTION("GOOGLETRANSLATE(B15890,""en"",""de"")"),"Er legte seine Füße auf einen Halter und legte den Riemen an.")</f>
        <v>Er legte seine Füße auf einen Halter und legte den Riemen an.</v>
      </c>
    </row>
    <row r="15891">
      <c r="A15891" s="4" t="s">
        <v>20009</v>
      </c>
      <c r="B15891" s="4" t="s">
        <v>20012</v>
      </c>
      <c r="C15891" s="5" t="str">
        <f>IFERROR(__xludf.DUMMYFUNCTION("GOOGLETRANSLATE(B15891,""en"",""de"")"),"Er zog die Stange und schob gleichzeitig die Beine.")</f>
        <v>Er zog die Stange und schob gleichzeitig die Beine.</v>
      </c>
    </row>
    <row r="15892">
      <c r="A15892" s="4" t="s">
        <v>20009</v>
      </c>
      <c r="B15892" s="4" t="s">
        <v>20013</v>
      </c>
      <c r="C15892" s="5" t="str">
        <f>IFERROR(__xludf.DUMMYFUNCTION("GOOGLETRANSLATE(B15892,""en"",""de"")"),"Er wiederholt den Vorgang mehrmals.")</f>
        <v>Er wiederholt den Vorgang mehrmals.</v>
      </c>
    </row>
    <row r="15893">
      <c r="A15893" s="4" t="s">
        <v>20014</v>
      </c>
      <c r="B15893" s="4" t="s">
        <v>20015</v>
      </c>
      <c r="C15893" s="5" t="str">
        <f>IFERROR(__xludf.DUMMYFUNCTION("GOOGLETRANSLATE(B15893,""en"",""de"")"),"Eine Person Vakuum Schmutz von einer Couch mit einem Handvakuum mit einer Bürstendüse.")</f>
        <v>Eine Person Vakuum Schmutz von einer Couch mit einem Handvakuum mit einer Bürstendüse.</v>
      </c>
    </row>
    <row r="15894">
      <c r="A15894" s="4" t="s">
        <v>20014</v>
      </c>
      <c r="B15894" s="4" t="s">
        <v>20016</v>
      </c>
      <c r="C15894" s="5" t="str">
        <f>IFERROR(__xludf.DUMMYFUNCTION("GOOGLETRANSLATE(B15894,""en"",""de"")"),"Dann vakuumiert die Person die Spalten der Couch mit einer Spaltnudel, die Person verwendet ein Griff gehaltenes Vakuum, um die Oberseite der Couch und des Bodens zu reinigen.")</f>
        <v>Dann vakuumiert die Person die Spalten der Couch mit einer Spaltnudel, die Person verwendet ein Griff gehaltenes Vakuum, um die Oberseite der Couch und des Bodens zu reinigen.</v>
      </c>
    </row>
    <row r="15895">
      <c r="A15895" s="4" t="s">
        <v>20014</v>
      </c>
      <c r="B15895" s="4" t="s">
        <v>20017</v>
      </c>
      <c r="C15895" s="5" t="str">
        <f>IFERROR(__xludf.DUMMYFUNCTION("GOOGLETRANSLATE(B15895,""en"",""de"")"),"Danach zeigt die Frau die Batterie des Vakuums und dann hält sie sie.")</f>
        <v>Danach zeigt die Frau die Batterie des Vakuums und dann hält sie sie.</v>
      </c>
    </row>
    <row r="15896">
      <c r="A15896" s="4" t="s">
        <v>20018</v>
      </c>
      <c r="B15896" s="4" t="s">
        <v>20019</v>
      </c>
      <c r="C15896" s="5" t="str">
        <f>IFERROR(__xludf.DUMMYFUNCTION("GOOGLETRANSLATE(B15896,""en"",""de"")"),"Es gibt einen Swimmingpool im Freien mit einem sehr hohen Tauchbrett.")</f>
        <v>Es gibt einen Swimmingpool im Freien mit einem sehr hohen Tauchbrett.</v>
      </c>
    </row>
    <row r="15897">
      <c r="A15897" s="4" t="s">
        <v>20018</v>
      </c>
      <c r="B15897" s="4" t="s">
        <v>20020</v>
      </c>
      <c r="C15897" s="5" t="str">
        <f>IFERROR(__xludf.DUMMYFUNCTION("GOOGLETRANSLATE(B15897,""en"",""de"")"),"Es gibt eine Frau in einem grünen Schwimmanzug, der in den Pool eintaucht.")</f>
        <v>Es gibt eine Frau in einem grünen Schwimmanzug, der in den Pool eintaucht.</v>
      </c>
    </row>
    <row r="15898">
      <c r="A15898" s="4" t="s">
        <v>20018</v>
      </c>
      <c r="B15898" s="4" t="s">
        <v>20021</v>
      </c>
      <c r="C15898" s="5" t="str">
        <f>IFERROR(__xludf.DUMMYFUNCTION("GOOGLETRANSLATE(B15898,""en"",""de"")"),"Sie macht verschiedene Tauchbewegungen wie rückwärts, vorwärts und Hecht.")</f>
        <v>Sie macht verschiedene Tauchbewegungen wie rückwärts, vorwärts und Hecht.</v>
      </c>
    </row>
    <row r="15899">
      <c r="A15899" s="4" t="s">
        <v>20018</v>
      </c>
      <c r="B15899" s="4" t="s">
        <v>20022</v>
      </c>
      <c r="C15899" s="5" t="str">
        <f>IFERROR(__xludf.DUMMYFUNCTION("GOOGLETRANSLATE(B15899,""en"",""de"")"),"Sie steht auch auf der Hand, bevor sie schnell in den Pool taucht.")</f>
        <v>Sie steht auch auf der Hand, bevor sie schnell in den Pool taucht.</v>
      </c>
    </row>
    <row r="15900">
      <c r="A15900" s="4" t="s">
        <v>20018</v>
      </c>
      <c r="B15900" s="4" t="s">
        <v>20023</v>
      </c>
      <c r="C15900" s="5" t="str">
        <f>IFERROR(__xludf.DUMMYFUNCTION("GOOGLETRANSLATE(B15900,""en"",""de"")"),"Sie wiederholt ihre Schritte und taucht mehrmals in den Pool ein.")</f>
        <v>Sie wiederholt ihre Schritte und taucht mehrmals in den Pool ein.</v>
      </c>
    </row>
    <row r="15901">
      <c r="A15901" s="4" t="s">
        <v>20024</v>
      </c>
      <c r="B15901" s="4" t="s">
        <v>20025</v>
      </c>
      <c r="C15901" s="5" t="str">
        <f>IFERROR(__xludf.DUMMYFUNCTION("GOOGLETRANSLATE(B15901,""en"",""de"")"),"Eine kleine Gruppe von Menschen steht in einem Park mit Armen und Beinen an ihren Seiten bereit.")</f>
        <v>Eine kleine Gruppe von Menschen steht in einem Park mit Armen und Beinen an ihren Seiten bereit.</v>
      </c>
    </row>
    <row r="15902">
      <c r="A15902" s="4" t="s">
        <v>20024</v>
      </c>
      <c r="B15902" s="4" t="s">
        <v>20026</v>
      </c>
      <c r="C15902" s="5" t="str">
        <f>IFERROR(__xludf.DUMMYFUNCTION("GOOGLETRANSLATE(B15902,""en"",""de"")"),"Die Gruppe bewegt sich dann mit den Fans in ihren Händen bewegen sich ihre Arme und Beine.")</f>
        <v>Die Gruppe bewegt sich dann mit den Fans in ihren Händen bewegen sich ihre Arme und Beine.</v>
      </c>
    </row>
    <row r="15903">
      <c r="A15903" s="4" t="s">
        <v>20024</v>
      </c>
      <c r="B15903" s="4" t="s">
        <v>20027</v>
      </c>
      <c r="C15903" s="5" t="str">
        <f>IFERROR(__xludf.DUMMYFUNCTION("GOOGLETRANSLATE(B15903,""en"",""de"")"),"Die Gruppe bewegt sich weiter zusammen und endet damit, dass sie zusammen stehen und in die Ferne schauen.")</f>
        <v>Die Gruppe bewegt sich weiter zusammen und endet damit, dass sie zusammen stehen und in die Ferne schauen.</v>
      </c>
    </row>
    <row r="15904">
      <c r="A15904" s="4" t="s">
        <v>20028</v>
      </c>
      <c r="B15904" s="4" t="s">
        <v>20029</v>
      </c>
      <c r="C15904" s="5" t="str">
        <f>IFERROR(__xludf.DUMMYFUNCTION("GOOGLETRANSLATE(B15904,""en"",""de"")"),"Ein Taucher erstreckt sich auf einer hohen Tauchplattform, die sich an der Taille biegt.")</f>
        <v>Ein Taucher erstreckt sich auf einer hohen Tauchplattform, die sich an der Taille biegt.</v>
      </c>
    </row>
    <row r="15905">
      <c r="A15905" s="4" t="s">
        <v>20028</v>
      </c>
      <c r="B15905" s="4" t="s">
        <v>20030</v>
      </c>
      <c r="C15905" s="5" t="str">
        <f>IFERROR(__xludf.DUMMYFUNCTION("GOOGLETRANSLATE(B15905,""en"",""de"")"),"Die Taucherhandtücher werfen dann ihr Handtuch ab und nähert sich dem Ende des Tauchbretts für einen ersten Versuch.")</f>
        <v>Die Taucherhandtücher werfen dann ihr Handtuch ab und nähert sich dem Ende des Tauchbretts für einen ersten Versuch.</v>
      </c>
    </row>
    <row r="15906">
      <c r="A15906" s="4" t="s">
        <v>20028</v>
      </c>
      <c r="B15906" s="4" t="s">
        <v>20031</v>
      </c>
      <c r="C15906" s="5" t="str">
        <f>IFERROR(__xludf.DUMMYFUNCTION("GOOGLETRANSLATE(B15906,""en"",""de"")"),"Der Taucher macht mehrere Tauchgänge, die vor dem Landung im Wasser flips in der Luft durchführen.")</f>
        <v>Der Taucher macht mehrere Tauchgänge, die vor dem Landung im Wasser flips in der Luft durchführen.</v>
      </c>
    </row>
    <row r="15907">
      <c r="A15907" s="4" t="s">
        <v>20032</v>
      </c>
      <c r="B15907" s="4" t="s">
        <v>20033</v>
      </c>
      <c r="C15907" s="5" t="str">
        <f>IFERROR(__xludf.DUMMYFUNCTION("GOOGLETRANSLATE(B15907,""en"",""de"")"),"Glasscherben sitzt auf dem Boden.")</f>
        <v>Glasscherben sitzt auf dem Boden.</v>
      </c>
    </row>
    <row r="15908">
      <c r="A15908" s="4" t="s">
        <v>20032</v>
      </c>
      <c r="B15908" s="4" t="s">
        <v>20034</v>
      </c>
      <c r="C15908" s="5" t="str">
        <f>IFERROR(__xludf.DUMMYFUNCTION("GOOGLETRANSLATE(B15908,""en"",""de"")"),"Ein junger Mann erstreckt sich davor.")</f>
        <v>Ein junger Mann erstreckt sich davor.</v>
      </c>
    </row>
    <row r="15909">
      <c r="A15909" s="4" t="s">
        <v>20032</v>
      </c>
      <c r="B15909" s="4" t="s">
        <v>20035</v>
      </c>
      <c r="C15909" s="5" t="str">
        <f>IFERROR(__xludf.DUMMYFUNCTION("GOOGLETRANSLATE(B15909,""en"",""de"")"),"Dann brechen er Tanzbewegungen.")</f>
        <v>Dann brechen er Tanzbewegungen.</v>
      </c>
    </row>
    <row r="15910">
      <c r="A15910" s="4" t="s">
        <v>20032</v>
      </c>
      <c r="B15910" s="4" t="s">
        <v>20036</v>
      </c>
      <c r="C15910" s="5" t="str">
        <f>IFERROR(__xludf.DUMMYFUNCTION("GOOGLETRANSLATE(B15910,""en"",""de"")"),"Er legt seine Beine hinter seinen Kopf.")</f>
        <v>Er legt seine Beine hinter seinen Kopf.</v>
      </c>
    </row>
    <row r="15911">
      <c r="A15911" s="4" t="s">
        <v>20037</v>
      </c>
      <c r="B15911" s="4" t="s">
        <v>20038</v>
      </c>
      <c r="C15911" s="5" t="str">
        <f>IFERROR(__xludf.DUMMYFUNCTION("GOOGLETRANSLATE(B15911,""en"",""de"")"),"Ein Junge sitzt an einem Tisch in einem überfüllten Raum.")</f>
        <v>Ein Junge sitzt an einem Tisch in einem überfüllten Raum.</v>
      </c>
    </row>
    <row r="15912">
      <c r="A15912" s="4" t="s">
        <v>20037</v>
      </c>
      <c r="B15912" s="4" t="s">
        <v>20039</v>
      </c>
      <c r="C15912" s="5" t="str">
        <f>IFERROR(__xludf.DUMMYFUNCTION("GOOGLETRANSLATE(B15912,""en"",""de"")"),"Er hat einen Rubik -Würfel und versucht das Puzzle zu lösen.")</f>
        <v>Er hat einen Rubik -Würfel und versucht das Puzzle zu lösen.</v>
      </c>
    </row>
    <row r="15913">
      <c r="A15913" s="4" t="s">
        <v>20037</v>
      </c>
      <c r="B15913" s="4" t="s">
        <v>20040</v>
      </c>
      <c r="C15913" s="5" t="str">
        <f>IFERROR(__xludf.DUMMYFUNCTION("GOOGLETRANSLATE(B15913,""en"",""de"")"),"Er zahle sich selbst, als er den Würfel beendet und ihn auf den Tisch wirft.")</f>
        <v>Er zahle sich selbst, als er den Würfel beendet und ihn auf den Tisch wirft.</v>
      </c>
    </row>
    <row r="15914">
      <c r="A15914" s="4" t="s">
        <v>20041</v>
      </c>
      <c r="B15914" s="4" t="s">
        <v>20042</v>
      </c>
      <c r="C15914" s="5" t="str">
        <f>IFERROR(__xludf.DUMMYFUNCTION("GOOGLETRANSLATE(B15914,""en"",""de"")"),"Das Video beginnt mit verschiedenen Wörtern und Anweisungen zum Einfügen und Entfernen von Halloween -Kontaktlinsen.")</f>
        <v>Das Video beginnt mit verschiedenen Wörtern und Anweisungen zum Einfügen und Entfernen von Halloween -Kontaktlinsen.</v>
      </c>
    </row>
    <row r="15915">
      <c r="A15915" s="4" t="s">
        <v>20041</v>
      </c>
      <c r="B15915" s="4" t="s">
        <v>20043</v>
      </c>
      <c r="C15915" s="5" t="str">
        <f>IFERROR(__xludf.DUMMYFUNCTION("GOOGLETRANSLATE(B15915,""en"",""de"")"),"Ein Kontaktlinsenbehälter wird dann mit Kontaktlösung und den Kontakten in beide Seiten des Behälters gefüllt.")</f>
        <v>Ein Kontaktlinsenbehälter wird dann mit Kontaktlösung und den Kontakten in beide Seiten des Behälters gefüllt.</v>
      </c>
    </row>
    <row r="15916">
      <c r="A15916" s="4" t="s">
        <v>20041</v>
      </c>
      <c r="B15916" s="4" t="s">
        <v>20044</v>
      </c>
      <c r="C15916" s="5" t="str">
        <f>IFERROR(__xludf.DUMMYFUNCTION("GOOGLETRANSLATE(B15916,""en"",""de"")"),"Die Frau legt dann ihren Daumen und den Finger auf die linke Seite und zieht eine weiße Kontaktlinse heraus und steckt sie in ihr rechtes Auge und blinzelt ein paar Mal, während die Wörter ""White Out Contact Lens"" am unteren Rand des Bildschirms.")</f>
        <v>Die Frau legt dann ihren Daumen und den Finger auf die linke Seite und zieht eine weiße Kontaktlinse heraus und steckt sie in ihr rechtes Auge und blinzelt ein paar Mal, während die Wörter "White Out Contact Lens" am unteren Rand des Bildschirms.</v>
      </c>
    </row>
    <row r="15917">
      <c r="A15917" s="4" t="s">
        <v>20041</v>
      </c>
      <c r="B15917" s="4" t="s">
        <v>20045</v>
      </c>
      <c r="C15917" s="5" t="str">
        <f>IFERROR(__xludf.DUMMYFUNCTION("GOOGLETRANSLATE(B15917,""en"",""de"")"),"Die Frau greift auf die rechte Seite des Kontaktlinsenbehälters, zieht die andere Kontaktlinse heraus und steckt sie in ihr linke Auge und blinzelt dann mehrmals.")</f>
        <v>Die Frau greift auf die rechte Seite des Kontaktlinsenbehälters, zieht die andere Kontaktlinse heraus und steckt sie in ihr linke Auge und blinzelt dann mehrmals.</v>
      </c>
    </row>
    <row r="15918">
      <c r="A15918" s="4" t="s">
        <v>20041</v>
      </c>
      <c r="B15918" s="4" t="s">
        <v>20046</v>
      </c>
      <c r="C15918" s="5" t="str">
        <f>IFERROR(__xludf.DUMMYFUNCTION("GOOGLETRANSLATE(B15918,""en"",""de"")"),"Die Frau greift dann zuerst in ihr linkes Auge zurück, dann in ihr rechts, um die Kontaktlinsen zu entfernen, und eine Aufnahme von ihnen im Container der Kontaktlinsen erscheint.")</f>
        <v>Die Frau greift dann zuerst in ihr linkes Auge zurück, dann in ihr rechts, um die Kontaktlinsen zu entfernen, und eine Aufnahme von ihnen im Container der Kontaktlinsen erscheint.</v>
      </c>
    </row>
    <row r="15919">
      <c r="A15919" s="4" t="s">
        <v>20041</v>
      </c>
      <c r="B15919" s="4" t="s">
        <v>20047</v>
      </c>
      <c r="C15919" s="5" t="str">
        <f>IFERROR(__xludf.DUMMYFUNCTION("GOOGLETRANSLATE(B15919,""en"",""de"")"),"Das Video endet mit einem Bildschirm, in dem Sie den YouTube -Kanal für hilfreiche Videos abonnieren sollen.")</f>
        <v>Das Video endet mit einem Bildschirm, in dem Sie den YouTube -Kanal für hilfreiche Videos abonnieren sollen.</v>
      </c>
    </row>
    <row r="15920">
      <c r="A15920" s="4" t="s">
        <v>20048</v>
      </c>
      <c r="B15920" s="4" t="s">
        <v>20049</v>
      </c>
      <c r="C15920" s="5" t="str">
        <f>IFERROR(__xludf.DUMMYFUNCTION("GOOGLETRANSLATE(B15920,""en"",""de"")"),"Eine Frau und ein Mann retten Blätter vor ihrem Haus.")</f>
        <v>Eine Frau und ein Mann retten Blätter vor ihrem Haus.</v>
      </c>
    </row>
    <row r="15921">
      <c r="A15921" s="4" t="s">
        <v>20048</v>
      </c>
      <c r="B15921" s="4" t="s">
        <v>20050</v>
      </c>
      <c r="C15921" s="5" t="str">
        <f>IFERROR(__xludf.DUMMYFUNCTION("GOOGLETRANSLATE(B15921,""en"",""de"")"),"Sie bewegen die Blätter in eine Feuerstelle und verbrennen sie.")</f>
        <v>Sie bewegen die Blätter in eine Feuerstelle und verbrennen sie.</v>
      </c>
    </row>
    <row r="15922">
      <c r="A15922" s="4" t="s">
        <v>20051</v>
      </c>
      <c r="B15922" s="4" t="s">
        <v>20052</v>
      </c>
      <c r="C15922" s="5" t="str">
        <f>IFERROR(__xludf.DUMMYFUNCTION("GOOGLETRANSLATE(B15922,""en"",""de"")"),"Jungen Arm ringen in einem Match für eine große Menge.")</f>
        <v>Jungen Arm ringen in einem Match für eine große Menge.</v>
      </c>
    </row>
    <row r="15923">
      <c r="A15923" s="4" t="s">
        <v>20051</v>
      </c>
      <c r="B15923" s="4" t="s">
        <v>20053</v>
      </c>
      <c r="C15923" s="5" t="str">
        <f>IFERROR(__xludf.DUMMYFUNCTION("GOOGLETRANSLATE(B15923,""en"",""de"")"),"Die Menge gratuliert dem Gewinner.")</f>
        <v>Die Menge gratuliert dem Gewinner.</v>
      </c>
    </row>
    <row r="15924">
      <c r="A15924" s="4" t="s">
        <v>20051</v>
      </c>
      <c r="B15924" s="4" t="s">
        <v>20054</v>
      </c>
      <c r="C15924" s="5" t="str">
        <f>IFERROR(__xludf.DUMMYFUNCTION("GOOGLETRANSLATE(B15924,""en"",""de"")"),"Die beiden Jungen schütteln nach dem Match die Hand.")</f>
        <v>Die beiden Jungen schütteln nach dem Match die Hand.</v>
      </c>
    </row>
    <row r="15925">
      <c r="A15925" s="4" t="s">
        <v>20055</v>
      </c>
      <c r="B15925" s="4" t="s">
        <v>20056</v>
      </c>
      <c r="C15925" s="5" t="str">
        <f>IFERROR(__xludf.DUMMYFUNCTION("GOOGLETRANSLATE(B15925,""en"",""de"")"),"Ein kleiner Junge trägt einen Helm, spricht mit der Kamera und hält Pads hoch.")</f>
        <v>Ein kleiner Junge trägt einen Helm, spricht mit der Kamera und hält Pads hoch.</v>
      </c>
    </row>
    <row r="15926">
      <c r="A15926" s="4" t="s">
        <v>20055</v>
      </c>
      <c r="B15926" s="4" t="s">
        <v>20057</v>
      </c>
      <c r="C15926" s="5" t="str">
        <f>IFERROR(__xludf.DUMMYFUNCTION("GOOGLETRANSLATE(B15926,""en"",""de"")"),"Der Junge wird dann in verschiedenen Clips gezeigt, die auf dem Brett herumfähren und gleichzeitig mit der Kamera sprechen.")</f>
        <v>Der Junge wird dann in verschiedenen Clips gezeigt, die auf dem Brett herumfähren und gleichzeitig mit der Kamera sprechen.</v>
      </c>
    </row>
    <row r="15927">
      <c r="A15927" s="4" t="s">
        <v>20055</v>
      </c>
      <c r="B15927" s="4" t="s">
        <v>20058</v>
      </c>
      <c r="C15927" s="5" t="str">
        <f>IFERROR(__xludf.DUMMYFUNCTION("GOOGLETRANSLATE(B15927,""en"",""de"")"),"Der Junge zeigt, wie man richtige Skatenbewegungen ausführt, während er sich biegt und sein Brett schnappt.")</f>
        <v>Der Junge zeigt, wie man richtige Skatenbewegungen ausführt, während er sich biegt und sein Brett schnappt.</v>
      </c>
    </row>
    <row r="15928">
      <c r="A15928" s="4" t="s">
        <v>20059</v>
      </c>
      <c r="B15928" s="4" t="s">
        <v>20060</v>
      </c>
      <c r="C15928" s="5" t="str">
        <f>IFERROR(__xludf.DUMMYFUNCTION("GOOGLETRANSLATE(B15928,""en"",""de"")"),"Ein Mann spricht am Telefon.")</f>
        <v>Ein Mann spricht am Telefon.</v>
      </c>
    </row>
    <row r="15929">
      <c r="A15929" s="4" t="s">
        <v>20059</v>
      </c>
      <c r="B15929" s="4" t="s">
        <v>20061</v>
      </c>
      <c r="C15929" s="5" t="str">
        <f>IFERROR(__xludf.DUMMYFUNCTION("GOOGLETRANSLATE(B15929,""en"",""de"")"),"Der Mann steckt eine Zigarette in den Mund.")</f>
        <v>Der Mann steckt eine Zigarette in den Mund.</v>
      </c>
    </row>
    <row r="15930">
      <c r="A15930" s="4" t="s">
        <v>20059</v>
      </c>
      <c r="B15930" s="4" t="s">
        <v>20062</v>
      </c>
      <c r="C15930" s="5" t="str">
        <f>IFERROR(__xludf.DUMMYFUNCTION("GOOGLETRANSLATE(B15930,""en"",""de"")"),"Der Mann zündet die Zigarette an.")</f>
        <v>Der Mann zündet die Zigarette an.</v>
      </c>
    </row>
    <row r="15931">
      <c r="A15931" s="4" t="s">
        <v>20059</v>
      </c>
      <c r="B15931" s="4" t="s">
        <v>20063</v>
      </c>
      <c r="C15931" s="5" t="str">
        <f>IFERROR(__xludf.DUMMYFUNCTION("GOOGLETRANSLATE(B15931,""en"",""de"")"),"Der Mann entfernt die Zigarette aus seinem Mund und hält sie in der Hand.")</f>
        <v>Der Mann entfernt die Zigarette aus seinem Mund und hält sie in der Hand.</v>
      </c>
    </row>
    <row r="15932">
      <c r="A15932" s="4" t="s">
        <v>20064</v>
      </c>
      <c r="B15932" s="4" t="s">
        <v>20065</v>
      </c>
      <c r="C15932" s="5" t="str">
        <f>IFERROR(__xludf.DUMMYFUNCTION("GOOGLETRANSLATE(B15932,""en"",""de"")"),"Eine Gruppe von Erwachsenen spielt ein Strandvolleyballspiel.")</f>
        <v>Eine Gruppe von Erwachsenen spielt ein Strandvolleyballspiel.</v>
      </c>
    </row>
    <row r="15933">
      <c r="A15933" s="4" t="s">
        <v>20064</v>
      </c>
      <c r="B15933" s="4" t="s">
        <v>20066</v>
      </c>
      <c r="C15933" s="5" t="str">
        <f>IFERROR(__xludf.DUMMYFUNCTION("GOOGLETRANSLATE(B15933,""en"",""de"")"),"Gruppen von Kindern von Kindern spielen ein Strandvolleyballspiel.")</f>
        <v>Gruppen von Kindern von Kindern spielen ein Strandvolleyballspiel.</v>
      </c>
    </row>
    <row r="15934">
      <c r="A15934" s="4" t="s">
        <v>20064</v>
      </c>
      <c r="B15934" s="4" t="s">
        <v>20067</v>
      </c>
      <c r="C15934" s="5" t="str">
        <f>IFERROR(__xludf.DUMMYFUNCTION("GOOGLETRANSLATE(B15934,""en"",""de"")"),"Regeln werden für das Spiel angezeigt.")</f>
        <v>Regeln werden für das Spiel angezeigt.</v>
      </c>
    </row>
    <row r="15935">
      <c r="A15935" s="4" t="s">
        <v>20064</v>
      </c>
      <c r="B15935" s="4" t="s">
        <v>20068</v>
      </c>
      <c r="C15935" s="5" t="str">
        <f>IFERROR(__xludf.DUMMYFUNCTION("GOOGLETRANSLATE(B15935,""en"",""de"")"),"Eine Gruppe von Mädchen spielt ein Volleyballspiel.")</f>
        <v>Eine Gruppe von Mädchen spielt ein Volleyballspiel.</v>
      </c>
    </row>
    <row r="15936">
      <c r="A15936" s="4" t="s">
        <v>20064</v>
      </c>
      <c r="B15936" s="4" t="s">
        <v>20069</v>
      </c>
      <c r="C15936" s="5" t="str">
        <f>IFERROR(__xludf.DUMMYFUNCTION("GOOGLETRANSLATE(B15936,""en"",""de"")"),"Eine Gruppe von Erwachsenen spielt an einem bewölkten Tag ein Volleyballspiel.")</f>
        <v>Eine Gruppe von Erwachsenen spielt an einem bewölkten Tag ein Volleyballspiel.</v>
      </c>
    </row>
    <row r="15937">
      <c r="A15937" s="4" t="s">
        <v>20070</v>
      </c>
      <c r="B15937" s="4" t="s">
        <v>20071</v>
      </c>
      <c r="C15937" s="5" t="str">
        <f>IFERROR(__xludf.DUMMYFUNCTION("GOOGLETRANSLATE(B15937,""en"",""de"")"),"Ein Stadion ist von oben mit einem großen Publikum zu sehen.")</f>
        <v>Ein Stadion ist von oben mit einem großen Publikum zu sehen.</v>
      </c>
    </row>
    <row r="15938">
      <c r="A15938" s="4" t="s">
        <v>20070</v>
      </c>
      <c r="B15938" s="4" t="s">
        <v>20072</v>
      </c>
      <c r="C15938" s="5" t="str">
        <f>IFERROR(__xludf.DUMMYFUNCTION("GOOGLETRANSLATE(B15938,""en"",""de"")"),"Die Turner nehmen an einer Veranstaltung teil und machen stationäre Plattformroutine mit Handgriffen.")</f>
        <v>Die Turner nehmen an einer Veranstaltung teil und machen stationäre Plattformroutine mit Handgriffen.</v>
      </c>
    </row>
    <row r="15939">
      <c r="A15939" s="4" t="s">
        <v>20070</v>
      </c>
      <c r="B15939" s="4" t="s">
        <v>20073</v>
      </c>
      <c r="C15939" s="5" t="str">
        <f>IFERROR(__xludf.DUMMYFUNCTION("GOOGLETRANSLATE(B15939,""en"",""de"")"),"Die Medaillengewinner des Wettbewerbs erhalten ihre Auszeichnungen und stehen zusammen im Winken.")</f>
        <v>Die Medaillengewinner des Wettbewerbs erhalten ihre Auszeichnungen und stehen zusammen im Winken.</v>
      </c>
    </row>
    <row r="15940">
      <c r="A15940" s="4" t="s">
        <v>20070</v>
      </c>
      <c r="B15940" s="4" t="s">
        <v>20074</v>
      </c>
      <c r="C15940" s="5" t="str">
        <f>IFERROR(__xludf.DUMMYFUNCTION("GOOGLETRANSLATE(B15940,""en"",""de"")"),"Athleten geben nach dem Wettbewerb Interviews.")</f>
        <v>Athleten geben nach dem Wettbewerb Interviews.</v>
      </c>
    </row>
    <row r="15941">
      <c r="A15941" s="4" t="s">
        <v>20075</v>
      </c>
      <c r="B15941" s="4" t="s">
        <v>20076</v>
      </c>
      <c r="C15941" s="5" t="str">
        <f>IFERROR(__xludf.DUMMYFUNCTION("GOOGLETRANSLATE(B15941,""en"",""de"")"),"Die Frau steht vor einem Spiegel und trinkt einen Mundwasser und spuckt es in die Handwäsche und lächelt in die Kamera.")</f>
        <v>Die Frau steht vor einem Spiegel und trinkt einen Mundwasser und spuckt es in die Handwäsche und lächelt in die Kamera.</v>
      </c>
    </row>
    <row r="15942">
      <c r="A15942" s="4" t="s">
        <v>20075</v>
      </c>
      <c r="B15942" s="4" t="s">
        <v>20077</v>
      </c>
      <c r="C15942" s="5" t="str">
        <f>IFERROR(__xludf.DUMMYFUNCTION("GOOGLETRANSLATE(B15942,""en"",""de"")"),"Der Mensch steht vor dem Spiegel, versuche, die Mundwasserflasche und die Getränke daraus zu öffnen, und ist von ihm angewidert.")</f>
        <v>Der Mensch steht vor dem Spiegel, versuche, die Mundwasserflasche und die Getränke daraus zu öffnen, und ist von ihm angewidert.</v>
      </c>
    </row>
    <row r="15943">
      <c r="A15943" s="4" t="s">
        <v>20078</v>
      </c>
      <c r="B15943" s="4" t="s">
        <v>20079</v>
      </c>
      <c r="C15943" s="5" t="str">
        <f>IFERROR(__xludf.DUMMYFUNCTION("GOOGLETRANSLATE(B15943,""en"",""de"")"),"Verschiedene Textintro führt zu einem Mann, der einen Schuss hält und sich umdreht.")</f>
        <v>Verschiedene Textintro führt zu einem Mann, der einen Schuss hält und sich umdreht.</v>
      </c>
    </row>
    <row r="15944">
      <c r="A15944" s="4" t="s">
        <v>20078</v>
      </c>
      <c r="B15944" s="4" t="s">
        <v>20080</v>
      </c>
      <c r="C15944" s="5" t="str">
        <f>IFERROR(__xludf.DUMMYFUNCTION("GOOGLETRANSLATE(B15944,""en"",""de"")"),"Der Mann wirft das Objekt in die Ferne aus, während die Kamera folgt, wenn es darum geht.")</f>
        <v>Der Mann wirft das Objekt in die Ferne aus, während die Kamera folgt, wenn es darum geht.</v>
      </c>
    </row>
    <row r="15945">
      <c r="A15945" s="4" t="s">
        <v>20081</v>
      </c>
      <c r="B15945" s="4" t="s">
        <v>20082</v>
      </c>
      <c r="C15945" s="5" t="str">
        <f>IFERROR(__xludf.DUMMYFUNCTION("GOOGLETRANSLATE(B15945,""en"",""de"")"),"Mehrere Frauen sind gesehen, die sich in einem Fitnessstudio bewegen und verschiedene Übungen auf einem Strahl durchführen.")</f>
        <v>Mehrere Frauen sind gesehen, die sich in einem Fitnessstudio bewegen und verschiedene Übungen auf einem Strahl durchführen.</v>
      </c>
    </row>
    <row r="15946">
      <c r="A15946" s="4" t="s">
        <v>20081</v>
      </c>
      <c r="B15946" s="4" t="s">
        <v>20083</v>
      </c>
      <c r="C15946" s="5" t="str">
        <f>IFERROR(__xludf.DUMMYFUNCTION("GOOGLETRANSLATE(B15946,""en"",""de"")"),"Die Frau springt weiter auf und ab und führt zu einem Reifen und springt auf und ab eine Tasche auf und ab.")</f>
        <v>Die Frau springt weiter auf und ab und führt zu einem Reifen und springt auf und ab eine Tasche auf und ab.</v>
      </c>
    </row>
    <row r="15947">
      <c r="A15947" s="4" t="s">
        <v>20081</v>
      </c>
      <c r="B15947" s="4" t="s">
        <v>20084</v>
      </c>
      <c r="C15947" s="5" t="str">
        <f>IFERROR(__xludf.DUMMYFUNCTION("GOOGLETRANSLATE(B15947,""en"",""de"")"),"Der Trainer spricht dann mit der Kamera.")</f>
        <v>Der Trainer spricht dann mit der Kamera.</v>
      </c>
    </row>
    <row r="15948">
      <c r="A15948" s="4" t="s">
        <v>20085</v>
      </c>
      <c r="B15948" s="4" t="s">
        <v>20086</v>
      </c>
      <c r="C15948" s="5" t="str">
        <f>IFERROR(__xludf.DUMMYFUNCTION("GOOGLETRANSLATE(B15948,""en"",""de"")"),"Ein kahlköpfiger Mann und eine Frau, die Taschentuch in ihren Haaren trägt, stehen neben einem maßgeschneiderten Bus.")</f>
        <v>Ein kahlköpfiger Mann und eine Frau, die Taschentuch in ihren Haaren trägt, stehen neben einem maßgeschneiderten Bus.</v>
      </c>
    </row>
    <row r="15949">
      <c r="A15949" s="4" t="s">
        <v>20085</v>
      </c>
      <c r="B15949" s="4" t="s">
        <v>20087</v>
      </c>
      <c r="C15949" s="5" t="str">
        <f>IFERROR(__xludf.DUMMYFUNCTION("GOOGLETRANSLATE(B15949,""en"",""de"")"),"Die Dame ads eine Kugel Eis zu einem Zuckerkegel.")</f>
        <v>Die Dame ads eine Kugel Eis zu einem Zuckerkegel.</v>
      </c>
    </row>
    <row r="15950">
      <c r="A15950" s="4" t="s">
        <v>20085</v>
      </c>
      <c r="B15950" s="4" t="s">
        <v>20088</v>
      </c>
      <c r="C15950" s="5" t="str">
        <f>IFERROR(__xludf.DUMMYFUNCTION("GOOGLETRANSLATE(B15950,""en"",""de"")"),"Der kahlköpfige Mann legt ein Menü an der Seite des Busses.")</f>
        <v>Der kahlköpfige Mann legt ein Menü an der Seite des Busses.</v>
      </c>
    </row>
    <row r="15951">
      <c r="A15951" s="4" t="s">
        <v>20085</v>
      </c>
      <c r="B15951" s="4" t="s">
        <v>20089</v>
      </c>
      <c r="C15951" s="5" t="str">
        <f>IFERROR(__xludf.DUMMYFUNCTION("GOOGLETRANSLATE(B15951,""en"",""de"")"),"Die Dame aus dem Eisbus über gibt einer Kunden eine Eiszacke zu.")</f>
        <v>Die Dame aus dem Eisbus über gibt einer Kunden eine Eiszacke zu.</v>
      </c>
    </row>
    <row r="15952">
      <c r="A15952" s="4" t="s">
        <v>20085</v>
      </c>
      <c r="B15952" s="4" t="s">
        <v>20090</v>
      </c>
      <c r="C15952" s="5" t="str">
        <f>IFERROR(__xludf.DUMMYFUNCTION("GOOGLETRANSLATE(B15952,""en"",""de"")"),"Mehrere Bilder und Clips vieler verschiedener Menschen essen und zeigen ihr Eis.")</f>
        <v>Mehrere Bilder und Clips vieler verschiedener Menschen essen und zeigen ihr Eis.</v>
      </c>
    </row>
    <row r="15953">
      <c r="A15953" s="4" t="s">
        <v>20085</v>
      </c>
      <c r="B15953" s="4" t="s">
        <v>20091</v>
      </c>
      <c r="C15953" s="5" t="str">
        <f>IFERROR(__xludf.DUMMYFUNCTION("GOOGLETRANSLATE(B15953,""en"",""de"")"),"Der kahle Mann und die Dame im Inneren des Eisvalonbusse werden gezeigt und geben Vorräte auf, wenn mehr Bilder von Kunden essen und ihre Eiscreme zeigen.")</f>
        <v>Der kahle Mann und die Dame im Inneren des Eisvalonbusse werden gezeigt und geben Vorräte auf, wenn mehr Bilder von Kunden essen und ihre Eiscreme zeigen.</v>
      </c>
    </row>
    <row r="15954">
      <c r="A15954" s="4" t="s">
        <v>20092</v>
      </c>
      <c r="B15954" s="4" t="s">
        <v>20093</v>
      </c>
      <c r="C15954" s="5" t="str">
        <f>IFERROR(__xludf.DUMMYFUNCTION("GOOGLETRANSLATE(B15954,""en"",""de"")"),"Eine Gruppe von Bikern fährt eine belebte Straße mit Autos.")</f>
        <v>Eine Gruppe von Bikern fährt eine belebte Straße mit Autos.</v>
      </c>
    </row>
    <row r="15955">
      <c r="A15955" s="4" t="s">
        <v>20092</v>
      </c>
      <c r="B15955" s="4" t="s">
        <v>20094</v>
      </c>
      <c r="C15955" s="5" t="str">
        <f>IFERROR(__xludf.DUMMYFUNCTION("GOOGLETRANSLATE(B15955,""en"",""de"")"),"Sie sind mit Kameras zu sehen, die auf Skateboards montiert sind, bevor sie im Verkehr steigen.")</f>
        <v>Sie sind mit Kameras zu sehen, die auf Skateboards montiert sind, bevor sie im Verkehr steigen.</v>
      </c>
    </row>
    <row r="15956">
      <c r="A15956" s="4" t="s">
        <v>20092</v>
      </c>
      <c r="B15956" s="4" t="s">
        <v>20095</v>
      </c>
      <c r="C15956" s="5" t="str">
        <f>IFERROR(__xludf.DUMMYFUNCTION("GOOGLETRANSLATE(B15956,""en"",""de"")"),"Der Mann steigt sein Brett ab und nimmt seinen Helm ab, bevor er läuft.")</f>
        <v>Der Mann steigt sein Brett ab und nimmt seinen Helm ab, bevor er läuft.</v>
      </c>
    </row>
    <row r="15957">
      <c r="A15957" s="4" t="s">
        <v>20096</v>
      </c>
      <c r="B15957" s="4" t="s">
        <v>20097</v>
      </c>
      <c r="C15957" s="5" t="str">
        <f>IFERROR(__xludf.DUMMYFUNCTION("GOOGLETRANSLATE(B15957,""en"",""de"")"),"Eine Frau steht am Ende eines Tauchbretts mit den Armen und dem Vorwärtsblatt vor.")</f>
        <v>Eine Frau steht am Ende eines Tauchbretts mit den Armen und dem Vorwärtsblatt vor.</v>
      </c>
    </row>
    <row r="15958">
      <c r="A15958" s="4" t="s">
        <v>20096</v>
      </c>
      <c r="B15958" s="4" t="s">
        <v>20098</v>
      </c>
      <c r="C15958" s="5" t="str">
        <f>IFERROR(__xludf.DUMMYFUNCTION("GOOGLETRANSLATE(B15958,""en"",""de"")"),"Die Frau springt dann auf das Brett auf und ab und taucht zurück ins Wasser.")</f>
        <v>Die Frau springt dann auf das Brett auf und ab und taucht zurück ins Wasser.</v>
      </c>
    </row>
    <row r="15959">
      <c r="A15959" s="4" t="s">
        <v>20099</v>
      </c>
      <c r="B15959" s="4" t="s">
        <v>20100</v>
      </c>
      <c r="C15959" s="5" t="str">
        <f>IFERROR(__xludf.DUMMYFUNCTION("GOOGLETRANSLATE(B15959,""en"",""de"")"),"Eine Nahaufnahme an der Innenseite eines Weltraumschiffs wird von einer Frau mit verrückten Haaren gezeigt, die ins Mikrofon spricht.")</f>
        <v>Eine Nahaufnahme an der Innenseite eines Weltraumschiffs wird von einer Frau mit verrückten Haaren gezeigt, die ins Mikrofon spricht.</v>
      </c>
    </row>
    <row r="15960">
      <c r="A15960" s="4" t="s">
        <v>20099</v>
      </c>
      <c r="B15960" s="4" t="s">
        <v>20101</v>
      </c>
      <c r="C15960" s="5" t="str">
        <f>IFERROR(__xludf.DUMMYFUNCTION("GOOGLETRANSLATE(B15960,""en"",""de"")"),"Sie spielt dann ein Lied auf einer Flöte mit Schüssen eines anderen Mannes an einem anderen Ort, an dem eine Flöte spielt.")</f>
        <v>Sie spielt dann ein Lied auf einer Flöte mit Schüssen eines anderen Mannes an einem anderen Ort, an dem eine Flöte spielt.</v>
      </c>
    </row>
    <row r="15961">
      <c r="A15961" s="4" t="s">
        <v>20099</v>
      </c>
      <c r="B15961" s="4" t="s">
        <v>20102</v>
      </c>
      <c r="C15961" s="5" t="str">
        <f>IFERROR(__xludf.DUMMYFUNCTION("GOOGLETRANSLATE(B15961,""en"",""de"")"),"Die Kamera schwenkt zurück und vierten zwischen den beiden und endet mit dem Mann, der mit der Kamera spricht, die Frau zurückwedelt und der Mann löst.")</f>
        <v>Die Kamera schwenkt zurück und vierten zwischen den beiden und endet mit dem Mann, der mit der Kamera spricht, die Frau zurückwedelt und der Mann löst.</v>
      </c>
    </row>
    <row r="15962">
      <c r="A15962" s="4" t="s">
        <v>20103</v>
      </c>
      <c r="B15962" s="4" t="s">
        <v>20104</v>
      </c>
      <c r="C15962" s="5" t="str">
        <f>IFERROR(__xludf.DUMMYFUNCTION("GOOGLETRANSLATE(B15962,""en"",""de"")"),"Ein Mann wird gesehen, der eine Tür entlang wischt und dann ein großes Plakat über die Tür legt.")</f>
        <v>Ein Mann wird gesehen, der eine Tür entlang wischt und dann ein großes Plakat über die Tür legt.</v>
      </c>
    </row>
    <row r="15963">
      <c r="A15963" s="4" t="s">
        <v>20103</v>
      </c>
      <c r="B15963" s="4" t="s">
        <v>20105</v>
      </c>
      <c r="C15963" s="5" t="str">
        <f>IFERROR(__xludf.DUMMYFUNCTION("GOOGLETRANSLATE(B15963,""en"",""de"")"),"Er legt das Papier ab und zieht sich an den Rändern ab und endet mit mehreren Bildern von Postern und dem Kauf.")</f>
        <v>Er legt das Papier ab und zieht sich an den Rändern ab und endet mit mehreren Bildern von Postern und dem Kauf.</v>
      </c>
    </row>
    <row r="15964">
      <c r="A15964" s="4" t="s">
        <v>20106</v>
      </c>
      <c r="B15964" s="4" t="s">
        <v>20107</v>
      </c>
      <c r="C15964" s="5" t="str">
        <f>IFERROR(__xludf.DUMMYFUNCTION("GOOGLETRANSLATE(B15964,""en"",""de"")"),"Sackgüter sitzen auf einer Theke.")</f>
        <v>Sackgüter sitzen auf einer Theke.</v>
      </c>
    </row>
    <row r="15965">
      <c r="A15965" s="4" t="s">
        <v>20106</v>
      </c>
      <c r="B15965" s="4" t="s">
        <v>20108</v>
      </c>
      <c r="C15965" s="5" t="str">
        <f>IFERROR(__xludf.DUMMYFUNCTION("GOOGLETRANSLATE(B15965,""en"",""de"")"),"Jemand steckt das i -Tüpfelchen in Kuchen- und Muffinpfannen.")</f>
        <v>Jemand steckt das i -Tüpfelchen in Kuchen- und Muffinpfannen.</v>
      </c>
    </row>
    <row r="15966">
      <c r="A15966" s="4" t="s">
        <v>20106</v>
      </c>
      <c r="B15966" s="4" t="s">
        <v>20109</v>
      </c>
      <c r="C15966" s="5" t="str">
        <f>IFERROR(__xludf.DUMMYFUNCTION("GOOGLETRANSLATE(B15966,""en"",""de"")"),"Sie backen sie im Ofen.")</f>
        <v>Sie backen sie im Ofen.</v>
      </c>
    </row>
    <row r="15967">
      <c r="A15967" s="4" t="s">
        <v>20106</v>
      </c>
      <c r="B15967" s="4" t="s">
        <v>20110</v>
      </c>
      <c r="C15967" s="5" t="str">
        <f>IFERROR(__xludf.DUMMYFUNCTION("GOOGLETRANSLATE(B15967,""en"",""de"")"),"Sie legten sie auf einen Teller und fangen an, sie zu vereisen.")</f>
        <v>Sie legten sie auf einen Teller und fangen an, sie zu vereisen.</v>
      </c>
    </row>
    <row r="15968">
      <c r="A15968" s="4" t="s">
        <v>20111</v>
      </c>
      <c r="B15968" s="4" t="s">
        <v>20112</v>
      </c>
      <c r="C15968" s="5" t="str">
        <f>IFERROR(__xludf.DUMMYFUNCTION("GOOGLETRANSLATE(B15968,""en"",""de"")"),"Eine Frau wird außerhalb von High Five Five Two Kinder gezeigt, die in ihrer Nähe spielen.")</f>
        <v>Eine Frau wird außerhalb von High Five Five Two Kinder gezeigt, die in ihrer Nähe spielen.</v>
      </c>
    </row>
    <row r="15969">
      <c r="A15969" s="4" t="s">
        <v>20111</v>
      </c>
      <c r="B15969" s="4" t="s">
        <v>20113</v>
      </c>
      <c r="C15969" s="5" t="str">
        <f>IFERROR(__xludf.DUMMYFUNCTION("GOOGLETRANSLATE(B15969,""en"",""de"")"),"Die Frau hilft dem Mädchen und springt über den Boden, bis sie fällt.")</f>
        <v>Die Frau hilft dem Mädchen und springt über den Boden, bis sie fällt.</v>
      </c>
    </row>
    <row r="15970">
      <c r="A15970" s="4" t="s">
        <v>20114</v>
      </c>
      <c r="B15970" s="4" t="s">
        <v>20115</v>
      </c>
      <c r="C15970" s="5" t="str">
        <f>IFERROR(__xludf.DUMMYFUNCTION("GOOGLETRANSLATE(B15970,""en"",""de"")"),"Eine Frau starrt verständnislos in die Kamera.")</f>
        <v>Eine Frau starrt verständnislos in die Kamera.</v>
      </c>
    </row>
    <row r="15971">
      <c r="A15971" s="4" t="s">
        <v>20114</v>
      </c>
      <c r="B15971" s="4" t="s">
        <v>20116</v>
      </c>
      <c r="C15971" s="5" t="str">
        <f>IFERROR(__xludf.DUMMYFUNCTION("GOOGLETRANSLATE(B15971,""en"",""de"")"),"Sie nimmt einen Tee -Getränk.")</f>
        <v>Sie nimmt einen Tee -Getränk.</v>
      </c>
    </row>
    <row r="15972">
      <c r="A15972" s="4" t="s">
        <v>20114</v>
      </c>
      <c r="B15972" s="4" t="s">
        <v>20117</v>
      </c>
      <c r="C15972" s="5" t="str">
        <f>IFERROR(__xludf.DUMMYFUNCTION("GOOGLETRANSLATE(B15972,""en"",""de"")"),"Sie wiederholt die gleiche Aktion genau.")</f>
        <v>Sie wiederholt die gleiche Aktion genau.</v>
      </c>
    </row>
    <row r="15973">
      <c r="A15973" s="4" t="s">
        <v>20114</v>
      </c>
      <c r="B15973" s="4" t="s">
        <v>20118</v>
      </c>
      <c r="C15973" s="5" t="str">
        <f>IFERROR(__xludf.DUMMYFUNCTION("GOOGLETRANSLATE(B15973,""en"",""de"")"),"Sie nimmt dann ein weiteres Getränk und macht ein bedrohliches Gesicht.")</f>
        <v>Sie nimmt dann ein weiteres Getränk und macht ein bedrohliches Gesicht.</v>
      </c>
    </row>
    <row r="15974">
      <c r="A15974" s="4" t="s">
        <v>20119</v>
      </c>
      <c r="B15974" s="4" t="s">
        <v>20120</v>
      </c>
      <c r="C15974" s="5" t="str">
        <f>IFERROR(__xludf.DUMMYFUNCTION("GOOGLETRANSLATE(B15974,""en"",""de"")"),"Ein Junge und sein Hund werden in einer großen Schüssel unter Wasser schwimmen sehen.")</f>
        <v>Ein Junge und sein Hund werden in einer großen Schüssel unter Wasser schwimmen sehen.</v>
      </c>
    </row>
    <row r="15975">
      <c r="A15975" s="4" t="s">
        <v>20119</v>
      </c>
      <c r="B15975" s="4" t="s">
        <v>20121</v>
      </c>
      <c r="C15975" s="5" t="str">
        <f>IFERROR(__xludf.DUMMYFUNCTION("GOOGLETRANSLATE(B15975,""en"",""de"")"),"Die beiden kommen über die Oberfläche und der Hund rennt herum, während der Junge die Augen reibt.")</f>
        <v>Die beiden kommen über die Oberfläche und der Hund rennt herum, während der Junge die Augen reibt.</v>
      </c>
    </row>
    <row r="15976">
      <c r="A15976" s="4" t="s">
        <v>20122</v>
      </c>
      <c r="B15976" s="4" t="s">
        <v>20123</v>
      </c>
      <c r="C15976" s="5" t="str">
        <f>IFERROR(__xludf.DUMMYFUNCTION("GOOGLETRANSLATE(B15976,""en"",""de"")"),"Ein Mann steht in einem Schlafzimmer und übt seine Geige.")</f>
        <v>Ein Mann steht in einem Schlafzimmer und übt seine Geige.</v>
      </c>
    </row>
    <row r="15977">
      <c r="A15977" s="4" t="s">
        <v>20122</v>
      </c>
      <c r="B15977" s="4" t="s">
        <v>20124</v>
      </c>
      <c r="C15977" s="5" t="str">
        <f>IFERROR(__xludf.DUMMYFUNCTION("GOOGLETRANSLATE(B15977,""en"",""de"")"),"Ein weiterer Tag vergeht und es ist jetzt Sonnenlicht draußen, wenn der Junge wieder sein Instrument spielt.")</f>
        <v>Ein weiterer Tag vergeht und es ist jetzt Sonnenlicht draußen, wenn der Junge wieder sein Instrument spielt.</v>
      </c>
    </row>
    <row r="15978">
      <c r="A15978" s="4" t="s">
        <v>20122</v>
      </c>
      <c r="B15978" s="4" t="s">
        <v>20125</v>
      </c>
      <c r="C15978" s="5" t="str">
        <f>IFERROR(__xludf.DUMMYFUNCTION("GOOGLETRANSLATE(B15978,""en"",""de"")"),"Das Praktizieren wird im selben Raum noch einige weitere Tage fortgesetzt und endet bis zum 7. Tag.")</f>
        <v>Das Praktizieren wird im selben Raum noch einige weitere Tage fortgesetzt und endet bis zum 7. Tag.</v>
      </c>
    </row>
    <row r="15979">
      <c r="A15979" s="4" t="s">
        <v>20122</v>
      </c>
      <c r="B15979" s="4" t="s">
        <v>20126</v>
      </c>
      <c r="C15979" s="5" t="str">
        <f>IFERROR(__xludf.DUMMYFUNCTION("GOOGLETRANSLATE(B15979,""en"",""de"")"),"Schließlich nimmt der Mann ein Set in den Raum und beginnt zu reden und effektive Wege zu demonstrieren, um die Geige zu halten und sie effizient zu spielen.")</f>
        <v>Schließlich nimmt der Mann ein Set in den Raum und beginnt zu reden und effektive Wege zu demonstrieren, um die Geige zu halten und sie effizient zu spielen.</v>
      </c>
    </row>
    <row r="15980">
      <c r="A15980" s="4" t="s">
        <v>20127</v>
      </c>
      <c r="B15980" s="4" t="s">
        <v>20128</v>
      </c>
      <c r="C15980" s="5" t="str">
        <f>IFERROR(__xludf.DUMMYFUNCTION("GOOGLETRANSLATE(B15980,""en"",""de"")"),"Wir sehen einen Öffnungsbildschirm auf Schwarz.")</f>
        <v>Wir sehen einen Öffnungsbildschirm auf Schwarz.</v>
      </c>
    </row>
    <row r="15981">
      <c r="A15981" s="4" t="s">
        <v>20127</v>
      </c>
      <c r="B15981" s="4" t="s">
        <v>20129</v>
      </c>
      <c r="C15981" s="5" t="str">
        <f>IFERROR(__xludf.DUMMYFUNCTION("GOOGLETRANSLATE(B15981,""en"",""de"")"),"Wir sehen einen Mann und eine Frau, die Geschirr waschen und reden.")</f>
        <v>Wir sehen einen Mann und eine Frau, die Geschirr waschen und reden.</v>
      </c>
    </row>
    <row r="15982">
      <c r="A15982" s="4" t="s">
        <v>20127</v>
      </c>
      <c r="B15982" s="4" t="s">
        <v>20130</v>
      </c>
      <c r="C15982" s="5" t="str">
        <f>IFERROR(__xludf.DUMMYFUNCTION("GOOGLETRANSLATE(B15982,""en"",""de"")"),"Ein Bild einer Dame taucht auf dem Bildschirm auf.")</f>
        <v>Ein Bild einer Dame taucht auf dem Bildschirm auf.</v>
      </c>
    </row>
    <row r="15983">
      <c r="A15983" s="4" t="s">
        <v>20127</v>
      </c>
      <c r="B15983" s="4" t="s">
        <v>20131</v>
      </c>
      <c r="C15983" s="5" t="str">
        <f>IFERROR(__xludf.DUMMYFUNCTION("GOOGLETRANSLATE(B15983,""en"",""de"")"),"Wir sehen das Damenbild wieder.")</f>
        <v>Wir sehen das Damenbild wieder.</v>
      </c>
    </row>
    <row r="15984">
      <c r="A15984" s="4" t="s">
        <v>20127</v>
      </c>
      <c r="B15984" s="4" t="s">
        <v>20132</v>
      </c>
      <c r="C15984" s="5" t="str">
        <f>IFERROR(__xludf.DUMMYFUNCTION("GOOGLETRANSLATE(B15984,""en"",""de"")"),"Die Dame taucht in den Untertiteln auf.")</f>
        <v>Die Dame taucht in den Untertiteln auf.</v>
      </c>
    </row>
    <row r="15985">
      <c r="A15985" s="4" t="s">
        <v>20127</v>
      </c>
      <c r="B15985" s="4" t="s">
        <v>20133</v>
      </c>
      <c r="C15985" s="5" t="str">
        <f>IFERROR(__xludf.DUMMYFUNCTION("GOOGLETRANSLATE(B15985,""en"",""de"")"),"Wir sehen sie von einer dunkleren, höheren Kamera.")</f>
        <v>Wir sehen sie von einer dunkleren, höheren Kamera.</v>
      </c>
    </row>
    <row r="15986">
      <c r="A15986" s="4" t="s">
        <v>20127</v>
      </c>
      <c r="B15986" s="4" t="s">
        <v>20134</v>
      </c>
      <c r="C15986" s="5" t="str">
        <f>IFERROR(__xludf.DUMMYFUNCTION("GOOGLETRANSLATE(B15986,""en"",""de"")"),"Wir sehen sie wieder von der höheren Kamera.")</f>
        <v>Wir sehen sie wieder von der höheren Kamera.</v>
      </c>
    </row>
    <row r="15987">
      <c r="A15987" s="4" t="s">
        <v>20135</v>
      </c>
      <c r="B15987" s="4" t="s">
        <v>20136</v>
      </c>
      <c r="C15987" s="5" t="str">
        <f>IFERROR(__xludf.DUMMYFUNCTION("GOOGLETRANSLATE(B15987,""en"",""de"")"),"Frau posiert in einem weißen Spiel in einer Präsentation zur Kamera.")</f>
        <v>Frau posiert in einem weißen Spiel in einer Präsentation zur Kamera.</v>
      </c>
    </row>
    <row r="15988">
      <c r="A15988" s="4" t="s">
        <v>20135</v>
      </c>
      <c r="B15988" s="4" t="s">
        <v>20137</v>
      </c>
      <c r="C15988" s="5" t="str">
        <f>IFERROR(__xludf.DUMMYFUNCTION("GOOGLETRANSLATE(B15988,""en"",""de"")"),"Frau steht in einer Küche, die mit der Kamera spricht und einen Teller mit Nudeln und den Zeugnissen zeigt.")</f>
        <v>Frau steht in einer Küche, die mit der Kamera spricht und einen Teller mit Nudeln und den Zeugnissen zeigt.</v>
      </c>
    </row>
    <row r="15989">
      <c r="A15989" s="4" t="s">
        <v>20135</v>
      </c>
      <c r="B15989" s="4" t="s">
        <v>20138</v>
      </c>
      <c r="C15989" s="5" t="str">
        <f>IFERROR(__xludf.DUMMYFUNCTION("GOOGLETRANSLATE(B15989,""en"",""de"")"),"Frau hackt Gemüse und sautiert Gemüse in einer Pfanne.")</f>
        <v>Frau hackt Gemüse und sautiert Gemüse in einer Pfanne.</v>
      </c>
    </row>
    <row r="15990">
      <c r="A15990" s="4" t="s">
        <v>20135</v>
      </c>
      <c r="B15990" s="4" t="s">
        <v>20139</v>
      </c>
      <c r="C15990" s="5" t="str">
        <f>IFERROR(__xludf.DUMMYFUNCTION("GOOGLETRANSLATE(B15990,""en"",""de"")"),"Hen Mischen Sie das Gemüse mit Nudeln.")</f>
        <v>Hen Mischen Sie das Gemüse mit Nudeln.</v>
      </c>
    </row>
    <row r="15991">
      <c r="A15991" s="4" t="s">
        <v>20140</v>
      </c>
      <c r="B15991" s="4" t="s">
        <v>20141</v>
      </c>
      <c r="C15991" s="5" t="str">
        <f>IFERROR(__xludf.DUMMYFUNCTION("GOOGLETRANSLATE(B15991,""en"",""de"")"),"Wir sehen einen Shuffle Curling Court.")</f>
        <v>Wir sehen einen Shuffle Curling Court.</v>
      </c>
    </row>
    <row r="15992">
      <c r="A15992" s="4" t="s">
        <v>20140</v>
      </c>
      <c r="B15992" s="4" t="s">
        <v>20142</v>
      </c>
      <c r="C15992" s="5" t="str">
        <f>IFERROR(__xludf.DUMMYFUNCTION("GOOGLETRANSLATE(B15992,""en"",""de"")"),"Pfeile zeigen auf Steine ​​auf dem Platz.")</f>
        <v>Pfeile zeigen auf Steine ​​auf dem Platz.</v>
      </c>
    </row>
    <row r="15993">
      <c r="A15993" s="4" t="s">
        <v>20140</v>
      </c>
      <c r="B15993" s="4" t="s">
        <v>20143</v>
      </c>
      <c r="C15993" s="5" t="str">
        <f>IFERROR(__xludf.DUMMYFUNCTION("GOOGLETRANSLATE(B15993,""en"",""de"")"),"Eine Dame geht weg und kehrt zurück.")</f>
        <v>Eine Dame geht weg und kehrt zurück.</v>
      </c>
    </row>
    <row r="15994">
      <c r="A15994" s="4" t="s">
        <v>20140</v>
      </c>
      <c r="B15994" s="4" t="s">
        <v>20144</v>
      </c>
      <c r="C15994" s="5" t="str">
        <f>IFERROR(__xludf.DUMMYFUNCTION("GOOGLETRANSLATE(B15994,""en"",""de"")"),"Pfeile scheinen auf die Steine ​​zu zeigen.")</f>
        <v>Pfeile scheinen auf die Steine ​​zu zeigen.</v>
      </c>
    </row>
    <row r="15995">
      <c r="A15995" s="4" t="s">
        <v>20140</v>
      </c>
      <c r="B15995" s="4" t="s">
        <v>20145</v>
      </c>
      <c r="C15995" s="5" t="str">
        <f>IFERROR(__xludf.DUMMYFUNCTION("GOOGLETRANSLATE(B15995,""en"",""de"")"),"Wir sehen zwei Damen, eine andere Dame, dann andere.")</f>
        <v>Wir sehen zwei Damen, eine andere Dame, dann andere.</v>
      </c>
    </row>
    <row r="15996">
      <c r="A15996" s="4" t="s">
        <v>20140</v>
      </c>
      <c r="B15996" s="4" t="s">
        <v>20146</v>
      </c>
      <c r="C15996" s="5" t="str">
        <f>IFERROR(__xludf.DUMMYFUNCTION("GOOGLETRANSLATE(B15996,""en"",""de"")"),"Wir sehen, dass ein Team von Spielern die Steine ​​wirft.")</f>
        <v>Wir sehen, dass ein Team von Spielern die Steine ​​wirft.</v>
      </c>
    </row>
    <row r="15997">
      <c r="A15997" s="4" t="s">
        <v>20140</v>
      </c>
      <c r="B15997" s="4" t="s">
        <v>20147</v>
      </c>
      <c r="C15997" s="5" t="str">
        <f>IFERROR(__xludf.DUMMYFUNCTION("GOOGLETRANSLATE(B15997,""en"",""de"")"),"Wir sehen die Menge klatschen.")</f>
        <v>Wir sehen die Menge klatschen.</v>
      </c>
    </row>
    <row r="15998">
      <c r="A15998" s="4" t="s">
        <v>20140</v>
      </c>
      <c r="B15998" s="4" t="s">
        <v>20148</v>
      </c>
      <c r="C15998" s="5" t="str">
        <f>IFERROR(__xludf.DUMMYFUNCTION("GOOGLETRANSLATE(B15998,""en"",""de"")"),"Wir sehen, dass die Punktzahl auf dem Bildschirm angezeigt wird.")</f>
        <v>Wir sehen, dass die Punktzahl auf dem Bildschirm angezeigt wird.</v>
      </c>
    </row>
    <row r="15999">
      <c r="A15999" s="4" t="s">
        <v>20149</v>
      </c>
      <c r="B15999" s="4" t="s">
        <v>20150</v>
      </c>
      <c r="C15999" s="5" t="str">
        <f>IFERROR(__xludf.DUMMYFUNCTION("GOOGLETRANSLATE(B15999,""en"",""de"")"),"Ein kleines Kind spielt neben einem erwachsenen Dudelsackpiper einen Dudelsack.")</f>
        <v>Ein kleines Kind spielt neben einem erwachsenen Dudelsackpiper einen Dudelsack.</v>
      </c>
    </row>
    <row r="16000">
      <c r="A16000" s="4" t="s">
        <v>20149</v>
      </c>
      <c r="B16000" s="4" t="s">
        <v>20151</v>
      </c>
      <c r="C16000" s="5" t="str">
        <f>IFERROR(__xludf.DUMMYFUNCTION("GOOGLETRANSLATE(B16000,""en"",""de"")"),"Der junge Dudelsacker marschiert an Ort und Stelle, während er seinen Dudelsack spielt, während die Zuschauer von hinten zuschauen.")</f>
        <v>Der junge Dudelsacker marschiert an Ort und Stelle, während er seinen Dudelsack spielt, während die Zuschauer von hinten zuschauen.</v>
      </c>
    </row>
    <row r="16001">
      <c r="A16001" s="4" t="s">
        <v>20149</v>
      </c>
      <c r="B16001" s="4" t="s">
        <v>20152</v>
      </c>
      <c r="C16001" s="5" t="str">
        <f>IFERROR(__xludf.DUMMYFUNCTION("GOOGLETRANSLATE(B16001,""en"",""de"")"),"Der erwachsene Dudelsacker und das Kind stehen während der Durchführung nebeneinander.")</f>
        <v>Der erwachsene Dudelsacker und das Kind stehen während der Durchführung nebeneinander.</v>
      </c>
    </row>
    <row r="16002">
      <c r="A16002" s="4" t="s">
        <v>20149</v>
      </c>
      <c r="B16002" s="4" t="s">
        <v>20153</v>
      </c>
      <c r="C16002" s="5" t="str">
        <f>IFERROR(__xludf.DUMMYFUNCTION("GOOGLETRANSLATE(B16002,""en"",""de"")"),"Das Kind beendet das Spielen und geht vorwärts zur Kamera.")</f>
        <v>Das Kind beendet das Spielen und geht vorwärts zur Kamera.</v>
      </c>
    </row>
    <row r="16003">
      <c r="A16003" s="4" t="s">
        <v>20154</v>
      </c>
      <c r="B16003" s="4" t="s">
        <v>20155</v>
      </c>
      <c r="C16003" s="5" t="str">
        <f>IFERROR(__xludf.DUMMYFUNCTION("GOOGLETRANSLATE(B16003,""en"",""de"")"),"Ein kleiner Junge schwingt auf dem öffentlichen Spielplatz.")</f>
        <v>Ein kleiner Junge schwingt auf dem öffentlichen Spielplatz.</v>
      </c>
    </row>
    <row r="16004">
      <c r="A16004" s="4" t="s">
        <v>20154</v>
      </c>
      <c r="B16004" s="4" t="s">
        <v>20156</v>
      </c>
      <c r="C16004" s="5" t="str">
        <f>IFERROR(__xludf.DUMMYFUNCTION("GOOGLETRANSLATE(B16004,""en"",""de"")"),"Er schwingt hoch in die Luft, als jemand ihn schiebt.")</f>
        <v>Er schwingt hoch in die Luft, als jemand ihn schiebt.</v>
      </c>
    </row>
    <row r="16005">
      <c r="A16005" s="4" t="s">
        <v>20154</v>
      </c>
      <c r="B16005" s="4" t="s">
        <v>20157</v>
      </c>
      <c r="C16005" s="5" t="str">
        <f>IFERROR(__xludf.DUMMYFUNCTION("GOOGLETRANSLATE(B16005,""en"",""de"")"),"Der Junge lächelt und spricht mit der Kamera mit der Person.")</f>
        <v>Der Junge lächelt und spricht mit der Kamera mit der Person.</v>
      </c>
    </row>
    <row r="16006">
      <c r="A16006" s="4" t="s">
        <v>20158</v>
      </c>
      <c r="B16006" s="4" t="s">
        <v>20159</v>
      </c>
      <c r="C16006" s="5" t="str">
        <f>IFERROR(__xludf.DUMMYFUNCTION("GOOGLETRANSLATE(B16006,""en"",""de"")"),"Männer spielen einen Sport im Sand.")</f>
        <v>Männer spielen einen Sport im Sand.</v>
      </c>
    </row>
    <row r="16007">
      <c r="A16007" s="4" t="s">
        <v>20158</v>
      </c>
      <c r="B16007" s="4" t="s">
        <v>20160</v>
      </c>
      <c r="C16007" s="5" t="str">
        <f>IFERROR(__xludf.DUMMYFUNCTION("GOOGLETRANSLATE(B16007,""en"",""de"")"),"Ein Mann sitzt verletzt auf dem Sand.")</f>
        <v>Ein Mann sitzt verletzt auf dem Sand.</v>
      </c>
    </row>
    <row r="16008">
      <c r="A16008" s="4" t="s">
        <v>20161</v>
      </c>
      <c r="B16008" s="4" t="s">
        <v>20162</v>
      </c>
      <c r="C16008" s="5" t="str">
        <f>IFERROR(__xludf.DUMMYFUNCTION("GOOGLETRANSLATE(B16008,""en"",""de"")"),"Eine Blaskapelle spielt auf der Straße.")</f>
        <v>Eine Blaskapelle spielt auf der Straße.</v>
      </c>
    </row>
    <row r="16009">
      <c r="A16009" s="4" t="s">
        <v>20161</v>
      </c>
      <c r="B16009" s="4" t="s">
        <v>20163</v>
      </c>
      <c r="C16009" s="5" t="str">
        <f>IFERROR(__xludf.DUMMYFUNCTION("GOOGLETRANSLATE(B16009,""en"",""de"")"),"Die Leute gehen hinter die Blaskapelle.")</f>
        <v>Die Leute gehen hinter die Blaskapelle.</v>
      </c>
    </row>
    <row r="16010">
      <c r="A16010" s="4" t="s">
        <v>20161</v>
      </c>
      <c r="B16010" s="4" t="s">
        <v>20164</v>
      </c>
      <c r="C16010" s="5" t="str">
        <f>IFERROR(__xludf.DUMMYFUNCTION("GOOGLETRANSLATE(B16010,""en"",""de"")"),"Die Leute geben ein großes Fenster eines Geschäfts vorne.")</f>
        <v>Die Leute geben ein großes Fenster eines Geschäfts vorne.</v>
      </c>
    </row>
    <row r="16011">
      <c r="A16011" s="4" t="s">
        <v>20165</v>
      </c>
      <c r="B16011" s="4" t="s">
        <v>20166</v>
      </c>
      <c r="C16011" s="5" t="str">
        <f>IFERROR(__xludf.DUMMYFUNCTION("GOOGLETRANSLATE(B16011,""en"",""de"")"),"Ein Mann malt das etwas auf dem Bodengrün.")</f>
        <v>Ein Mann malt das etwas auf dem Bodengrün.</v>
      </c>
    </row>
    <row r="16012">
      <c r="A16012" s="4" t="s">
        <v>20165</v>
      </c>
      <c r="B16012" s="4" t="s">
        <v>20167</v>
      </c>
      <c r="C16012" s="5" t="str">
        <f>IFERROR(__xludf.DUMMYFUNCTION("GOOGLETRANSLATE(B16012,""en"",""de"")"),"Sie streichelt wiederholt auf und ab, um sicherzustellen, dass er keine Plätze in der Gegend verpasst.")</f>
        <v>Sie streichelt wiederholt auf und ab, um sicherzustellen, dass er keine Plätze in der Gegend verpasst.</v>
      </c>
    </row>
    <row r="16013">
      <c r="A16013" s="4" t="s">
        <v>20165</v>
      </c>
      <c r="B16013" s="4" t="s">
        <v>20168</v>
      </c>
      <c r="C16013" s="5" t="str">
        <f>IFERROR(__xludf.DUMMYFUNCTION("GOOGLETRANSLATE(B16013,""en"",""de"")"),"Er steht ein wenig auf und schaut sich das Stück ein wenig an, bevor er seinen Pinsel in die Farbe zurückgreift und wieder anfängt.")</f>
        <v>Er steht ein wenig auf und schaut sich das Stück ein wenig an, bevor er seinen Pinsel in die Farbe zurückgreift und wieder anfängt.</v>
      </c>
    </row>
    <row r="16014">
      <c r="A16014" s="4" t="s">
        <v>20165</v>
      </c>
      <c r="B16014" s="4" t="s">
        <v>20169</v>
      </c>
      <c r="C16014" s="5" t="str">
        <f>IFERROR(__xludf.DUMMYFUNCTION("GOOGLETRANSLATE(B16014,""en"",""de"")"),"Er bewegt sich zu Teilen, die er noch nicht zu Malen gegangen ist.")</f>
        <v>Er bewegt sich zu Teilen, die er noch nicht zu Malen gegangen ist.</v>
      </c>
    </row>
    <row r="16015">
      <c r="A16015" s="4" t="s">
        <v>20170</v>
      </c>
      <c r="B16015" s="4" t="s">
        <v>20171</v>
      </c>
      <c r="C16015" s="5" t="str">
        <f>IFERROR(__xludf.DUMMYFUNCTION("GOOGLETRANSLATE(B16015,""en"",""de"")"),"Auf einem offenen Feld gibt es ein wettbewerbsfähiges Kriegsspiel.")</f>
        <v>Auf einem offenen Feld gibt es ein wettbewerbsfähiges Kriegsspiel.</v>
      </c>
    </row>
    <row r="16016">
      <c r="A16016" s="4" t="s">
        <v>20170</v>
      </c>
      <c r="B16016" s="4" t="s">
        <v>20172</v>
      </c>
      <c r="C16016" s="5" t="str">
        <f>IFERROR(__xludf.DUMMYFUNCTION("GOOGLETRANSLATE(B16016,""en"",""de"")"),"Wo ein Team mit Blau gegen ein anderes Team antritt.")</f>
        <v>Wo ein Team mit Blau gegen ein anderes Team antritt.</v>
      </c>
    </row>
    <row r="16017">
      <c r="A16017" s="4" t="s">
        <v>20170</v>
      </c>
      <c r="B16017" s="4" t="s">
        <v>20173</v>
      </c>
      <c r="C16017" s="5" t="str">
        <f>IFERROR(__xludf.DUMMYFUNCTION("GOOGLETRANSLATE(B16017,""en"",""de"")"),"Der Trainer gibt dem Team Anweisungen zum Anziehen des Seils.")</f>
        <v>Der Trainer gibt dem Team Anweisungen zum Anziehen des Seils.</v>
      </c>
    </row>
    <row r="16018">
      <c r="A16018" s="4" t="s">
        <v>20170</v>
      </c>
      <c r="B16018" s="4" t="s">
        <v>20174</v>
      </c>
      <c r="C16018" s="5" t="str">
        <f>IFERROR(__xludf.DUMMYFUNCTION("GOOGLETRANSLATE(B16018,""en"",""de"")"),"Er ermutigt sie, ihre Bemühungen nicht zu geben und fortzusetzen.")</f>
        <v>Er ermutigt sie, ihre Bemühungen nicht zu geben und fortzusetzen.</v>
      </c>
    </row>
    <row r="16019">
      <c r="A16019" s="4" t="s">
        <v>20170</v>
      </c>
      <c r="B16019" s="4" t="s">
        <v>20175</v>
      </c>
      <c r="C16019" s="5" t="str">
        <f>IFERROR(__xludf.DUMMYFUNCTION("GOOGLETRANSLATE(B16019,""en"",""de"")"),"Es gibt Zuschauer, die die Veranstaltung beobachten und den Teilnehmern jubeln.")</f>
        <v>Es gibt Zuschauer, die die Veranstaltung beobachten und den Teilnehmern jubeln.</v>
      </c>
    </row>
    <row r="16020">
      <c r="A16020" s="4" t="s">
        <v>20170</v>
      </c>
      <c r="B16020" s="4" t="s">
        <v>20176</v>
      </c>
      <c r="C16020" s="5" t="str">
        <f>IFERROR(__xludf.DUMMYFUNCTION("GOOGLETRANSLATE(B16020,""en"",""de"")"),"Es gibt noch wenige Runden des Krieges, die die Zuschauer für die Spieler beobachten und jubeln.")</f>
        <v>Es gibt noch wenige Runden des Krieges, die die Zuschauer für die Spieler beobachten und jubeln.</v>
      </c>
    </row>
    <row r="16021">
      <c r="A16021" s="4" t="s">
        <v>20170</v>
      </c>
      <c r="B16021" s="4" t="s">
        <v>20177</v>
      </c>
      <c r="C16021" s="5" t="str">
        <f>IFERROR(__xludf.DUMMYFUNCTION("GOOGLETRANSLATE(B16021,""en"",""de"")"),"Der Trainer ermutigt weiterhin die Spieler.")</f>
        <v>Der Trainer ermutigt weiterhin die Spieler.</v>
      </c>
    </row>
    <row r="16022">
      <c r="A16022" s="4" t="s">
        <v>20170</v>
      </c>
      <c r="B16022" s="4" t="s">
        <v>20178</v>
      </c>
      <c r="C16022" s="5" t="str">
        <f>IFERROR(__xludf.DUMMYFUNCTION("GOOGLETRANSLATE(B16022,""en"",""de"")"),"Nachdem sie den Tauziehen gewonnen hatten, rennen alle Zuschauer aus und umarmen die Spieler.")</f>
        <v>Nachdem sie den Tauziehen gewonnen hatten, rennen alle Zuschauer aus und umarmen die Spieler.</v>
      </c>
    </row>
    <row r="16023">
      <c r="A16023" s="4" t="s">
        <v>20170</v>
      </c>
      <c r="B16023" s="4" t="s">
        <v>20179</v>
      </c>
      <c r="C16023" s="5" t="str">
        <f>IFERROR(__xludf.DUMMYFUNCTION("GOOGLETRANSLATE(B16023,""en"",""de"")"),"Ein Kameramann macht ihre Bilder.")</f>
        <v>Ein Kameramann macht ihre Bilder.</v>
      </c>
    </row>
    <row r="16024">
      <c r="A16024" s="4" t="s">
        <v>20170</v>
      </c>
      <c r="B16024" s="4" t="s">
        <v>20180</v>
      </c>
      <c r="C16024" s="5" t="str">
        <f>IFERROR(__xludf.DUMMYFUNCTION("GOOGLETRANSLATE(B16024,""en"",""de"")"),"Das gesamte Team posiert nach seinem Sieg für ein Teambild.")</f>
        <v>Das gesamte Team posiert nach seinem Sieg für ein Teambild.</v>
      </c>
    </row>
    <row r="16025">
      <c r="A16025" s="4" t="s">
        <v>20181</v>
      </c>
      <c r="B16025" s="4" t="s">
        <v>20182</v>
      </c>
      <c r="C16025" s="5" t="str">
        <f>IFERROR(__xludf.DUMMYFUNCTION("GOOGLETRANSLATE(B16025,""en"",""de"")"),"Eine Frau beginnt ein Pferd zu bürsten.")</f>
        <v>Eine Frau beginnt ein Pferd zu bürsten.</v>
      </c>
    </row>
    <row r="16026">
      <c r="A16026" s="4" t="s">
        <v>20181</v>
      </c>
      <c r="B16026" s="4" t="s">
        <v>20183</v>
      </c>
      <c r="C16026" s="5" t="str">
        <f>IFERROR(__xludf.DUMMYFUNCTION("GOOGLETRANSLATE(B16026,""en"",""de"")"),"Sie bekommt eine rosa Pinsel und beginnt das Pferd erneut zu bürsten.")</f>
        <v>Sie bekommt eine rosa Pinsel und beginnt das Pferd erneut zu bürsten.</v>
      </c>
    </row>
    <row r="16027">
      <c r="A16027" s="4" t="s">
        <v>20181</v>
      </c>
      <c r="B16027" s="4" t="s">
        <v>20184</v>
      </c>
      <c r="C16027" s="5" t="str">
        <f>IFERROR(__xludf.DUMMYFUNCTION("GOOGLETRANSLATE(B16027,""en"",""de"")"),"Sie bekommt einen schwarzen Pinsel und streift das Pferd weiter.")</f>
        <v>Sie bekommt einen schwarzen Pinsel und streift das Pferd weiter.</v>
      </c>
    </row>
    <row r="16028">
      <c r="A16028" s="4" t="s">
        <v>20181</v>
      </c>
      <c r="B16028" s="4" t="s">
        <v>20185</v>
      </c>
      <c r="C16028" s="5" t="str">
        <f>IFERROR(__xludf.DUMMYFUNCTION("GOOGLETRANSLATE(B16028,""en"",""de"")"),"Sie beginnt die Beine auf dem Pferd zu putzen.")</f>
        <v>Sie beginnt die Beine auf dem Pferd zu putzen.</v>
      </c>
    </row>
    <row r="16029">
      <c r="A16029" s="4" t="s">
        <v>20181</v>
      </c>
      <c r="B16029" s="4" t="s">
        <v>20186</v>
      </c>
      <c r="C16029" s="5" t="str">
        <f>IFERROR(__xludf.DUMMYFUNCTION("GOOGLETRANSLATE(B16029,""en"",""de"")"),"Sie hebt den Pferd Fuß hoch und reinigt den Boden des Fußes.")</f>
        <v>Sie hebt den Pferd Fuß hoch und reinigt den Boden des Fußes.</v>
      </c>
    </row>
    <row r="16030">
      <c r="A16030" s="4" t="s">
        <v>20187</v>
      </c>
      <c r="B16030" s="4" t="s">
        <v>20188</v>
      </c>
      <c r="C16030" s="5" t="str">
        <f>IFERROR(__xludf.DUMMYFUNCTION("GOOGLETRANSLATE(B16030,""en"",""de"")"),"Ein Mann spricht mit der Kamera und führt in ihn eine Kochanlage mit einem heißen Herd.")</f>
        <v>Ein Mann spricht mit der Kamera und führt in ihn eine Kochanlage mit einem heißen Herd.</v>
      </c>
    </row>
    <row r="16031">
      <c r="A16031" s="4" t="s">
        <v>20187</v>
      </c>
      <c r="B16031" s="4" t="s">
        <v>20189</v>
      </c>
      <c r="C16031" s="5" t="str">
        <f>IFERROR(__xludf.DUMMYFUNCTION("GOOGLETRANSLATE(B16031,""en"",""de"")"),"Der Mann mischt Zutaten in eine Schüssel und gießt sie in eine Pfanne, während sie kontinuierlich rühren.")</f>
        <v>Der Mann mischt Zutaten in eine Schüssel und gießt sie in eine Pfanne, während sie kontinuierlich rühren.</v>
      </c>
    </row>
    <row r="16032">
      <c r="A16032" s="4" t="s">
        <v>20187</v>
      </c>
      <c r="B16032" s="4" t="s">
        <v>20190</v>
      </c>
      <c r="C16032" s="5" t="str">
        <f>IFERROR(__xludf.DUMMYFUNCTION("GOOGLETRANSLATE(B16032,""en"",""de"")"),"Er gießt das Essen auf einen Teller und hält die Pfanne immer noch in der Hand.")</f>
        <v>Er gießt das Essen auf einen Teller und hält die Pfanne immer noch in der Hand.</v>
      </c>
    </row>
    <row r="16033">
      <c r="A16033" s="4" t="s">
        <v>20191</v>
      </c>
      <c r="B16033" s="4" t="s">
        <v>20192</v>
      </c>
      <c r="C16033" s="5" t="str">
        <f>IFERROR(__xludf.DUMMYFUNCTION("GOOGLETRANSLATE(B16033,""en"",""de"")"),"Eine Montage eines Priesters gibt den Menschen die Gemeinschaft.")</f>
        <v>Eine Montage eines Priesters gibt den Menschen die Gemeinschaft.</v>
      </c>
    </row>
    <row r="16034">
      <c r="A16034" s="4" t="s">
        <v>20191</v>
      </c>
      <c r="B16034" s="4" t="s">
        <v>20193</v>
      </c>
      <c r="C16034" s="5" t="str">
        <f>IFERROR(__xludf.DUMMYFUNCTION("GOOGLETRANSLATE(B16034,""en"",""de"")"),"Jesus und Mutter Teresa werden gezeigt, wie eine Montage weitergeht.")</f>
        <v>Jesus und Mutter Teresa werden gezeigt, wie eine Montage weitergeht.</v>
      </c>
    </row>
    <row r="16035">
      <c r="A16035" s="4" t="s">
        <v>20194</v>
      </c>
      <c r="B16035" s="4" t="s">
        <v>20195</v>
      </c>
      <c r="C16035" s="5" t="str">
        <f>IFERROR(__xludf.DUMMYFUNCTION("GOOGLETRANSLATE(B16035,""en"",""de"")"),"Eine junge Dame mit Burnettehaar steht hinter einer schwarzen Theke in einer Bar mit mehreren Alkohol.")</f>
        <v>Eine junge Dame mit Burnettehaar steht hinter einer schwarzen Theke in einer Bar mit mehreren Alkohol.</v>
      </c>
    </row>
    <row r="16036">
      <c r="A16036" s="4" t="s">
        <v>20194</v>
      </c>
      <c r="B16036" s="4" t="s">
        <v>20196</v>
      </c>
      <c r="C16036" s="5" t="str">
        <f>IFERROR(__xludf.DUMMYFUNCTION("GOOGLETRANSLATE(B16036,""en"",""de"")"),"Sie greift dann ein klares Glas und steckt Eis hinein.")</f>
        <v>Sie greift dann ein klares Glas und steckt Eis hinein.</v>
      </c>
    </row>
    <row r="16037">
      <c r="A16037" s="4" t="s">
        <v>20194</v>
      </c>
      <c r="B16037" s="4" t="s">
        <v>20197</v>
      </c>
      <c r="C16037" s="5" t="str">
        <f>IFERROR(__xludf.DUMMYFUNCTION("GOOGLETRANSLATE(B16037,""en"",""de"")"),"Als nächstes kommt der Alkohol und sie gießt, Orangensaft und Sirup darin, und das Getränk ist vollständig.")</f>
        <v>Als nächstes kommt der Alkohol und sie gießt, Orangensaft und Sirup darin, und das Getränk ist vollständig.</v>
      </c>
    </row>
    <row r="16038">
      <c r="A16038" s="4" t="s">
        <v>20198</v>
      </c>
      <c r="B16038" s="4" t="s">
        <v>20199</v>
      </c>
      <c r="C16038" s="5" t="str">
        <f>IFERROR(__xludf.DUMMYFUNCTION("GOOGLETRANSLATE(B16038,""en"",""de"")"),"Vier Männer stehen auf dem Racquetballplatz.")</f>
        <v>Vier Männer stehen auf dem Racquetballplatz.</v>
      </c>
    </row>
    <row r="16039">
      <c r="A16039" s="4" t="s">
        <v>20198</v>
      </c>
      <c r="B16039" s="4" t="s">
        <v>20200</v>
      </c>
      <c r="C16039" s="5" t="str">
        <f>IFERROR(__xludf.DUMMYFUNCTION("GOOGLETRANSLATE(B16039,""en"",""de"")"),"Ein Mann dient den Ball.")</f>
        <v>Ein Mann dient den Ball.</v>
      </c>
    </row>
    <row r="16040">
      <c r="A16040" s="4" t="s">
        <v>20198</v>
      </c>
      <c r="B16040" s="4" t="s">
        <v>20201</v>
      </c>
      <c r="C16040" s="5" t="str">
        <f>IFERROR(__xludf.DUMMYFUNCTION("GOOGLETRANSLATE(B16040,""en"",""de"")"),"Die Männer beginnen dann zu Volley.")</f>
        <v>Die Männer beginnen dann zu Volley.</v>
      </c>
    </row>
    <row r="16041">
      <c r="A16041" s="4" t="s">
        <v>20198</v>
      </c>
      <c r="B16041" s="4" t="s">
        <v>20202</v>
      </c>
      <c r="C16041" s="5" t="str">
        <f>IFERROR(__xludf.DUMMYFUNCTION("GOOGLETRANSLATE(B16041,""en"",""de"")"),"Ein Team bewertet einen Punkt.")</f>
        <v>Ein Team bewertet einen Punkt.</v>
      </c>
    </row>
    <row r="16042">
      <c r="A16042" s="4" t="s">
        <v>20198</v>
      </c>
      <c r="B16042" s="4" t="s">
        <v>20203</v>
      </c>
      <c r="C16042" s="5" t="str">
        <f>IFERROR(__xludf.DUMMYFUNCTION("GOOGLETRANSLATE(B16042,""en"",""de"")"),"Sie alle wiederholen den Vorgang.")</f>
        <v>Sie alle wiederholen den Vorgang.</v>
      </c>
    </row>
    <row r="16043">
      <c r="A16043" s="4" t="s">
        <v>20204</v>
      </c>
      <c r="B16043" s="4" t="s">
        <v>20205</v>
      </c>
      <c r="C16043" s="5" t="str">
        <f>IFERROR(__xludf.DUMMYFUNCTION("GOOGLETRANSLATE(B16043,""en"",""de"")"),"Eine Person in einem orangefarbenen Schutzanzug und eine Metallschwarz -Maske lötet etwas in einer industriellen Umgebung.")</f>
        <v>Eine Person in einem orangefarbenen Schutzanzug und eine Metallschwarz -Maske lötet etwas in einer industriellen Umgebung.</v>
      </c>
    </row>
    <row r="16044">
      <c r="A16044" s="4" t="s">
        <v>20204</v>
      </c>
      <c r="B16044" s="4" t="s">
        <v>20206</v>
      </c>
      <c r="C16044" s="5" t="str">
        <f>IFERROR(__xludf.DUMMYFUNCTION("GOOGLETRANSLATE(B16044,""en"",""de"")"),"Eine Person steht neben einer schwarzen Schachtel in einem Metallhelm, als Feuerfunken auf der rechten Seite aus einer Kabelbox ausbrechen.")</f>
        <v>Eine Person steht neben einer schwarzen Schachtel in einem Metallhelm, als Feuerfunken auf der rechten Seite aus einer Kabelbox ausbrechen.</v>
      </c>
    </row>
    <row r="16045">
      <c r="A16045" s="4" t="s">
        <v>20204</v>
      </c>
      <c r="B16045" s="4" t="s">
        <v>20207</v>
      </c>
      <c r="C16045" s="5" t="str">
        <f>IFERROR(__xludf.DUMMYFUNCTION("GOOGLETRANSLATE(B16045,""en"",""de"")"),"Ein großes graues Rad dreht sich hinter dem Arbeiter inmitten der Feuerfunken und einem weiteren Arbeiter, der in einem blauen Schutzanzug vorbeikommt.")</f>
        <v>Ein großes graues Rad dreht sich hinter dem Arbeiter inmitten der Feuerfunken und einem weiteren Arbeiter, der in einem blauen Schutzanzug vorbeikommt.</v>
      </c>
    </row>
    <row r="16046">
      <c r="A16046" s="4" t="s">
        <v>20208</v>
      </c>
      <c r="B16046" s="4" t="s">
        <v>20209</v>
      </c>
      <c r="C16046" s="5" t="str">
        <f>IFERROR(__xludf.DUMMYFUNCTION("GOOGLETRANSLATE(B16046,""en"",""de"")"),"Zwei Frauen stehen auf den Schultern anderer.")</f>
        <v>Zwei Frauen stehen auf den Schultern anderer.</v>
      </c>
    </row>
    <row r="16047">
      <c r="A16047" s="4" t="s">
        <v>20208</v>
      </c>
      <c r="B16047" s="4" t="s">
        <v>20210</v>
      </c>
      <c r="C16047" s="5" t="str">
        <f>IFERROR(__xludf.DUMMYFUNCTION("GOOGLETRANSLATE(B16047,""en"",""de"")"),"Sie heben eine andere Frau in die Luft und balancieren sie zwischen ihnen, bevor sie sie fallen lassen, um gefangen zu werden.")</f>
        <v>Sie heben eine andere Frau in die Luft und balancieren sie zwischen ihnen, bevor sie sie fallen lassen, um gefangen zu werden.</v>
      </c>
    </row>
    <row r="16048">
      <c r="A16048" s="4" t="s">
        <v>20208</v>
      </c>
      <c r="B16048" s="4" t="s">
        <v>20211</v>
      </c>
      <c r="C16048" s="5" t="str">
        <f>IFERROR(__xludf.DUMMYFUNCTION("GOOGLETRANSLATE(B16048,""en"",""de"")"),"Die folgenden Mädchen sind jedoch zu Boden geworfen.")</f>
        <v>Die folgenden Mädchen sind jedoch zu Boden geworfen.</v>
      </c>
    </row>
    <row r="16049">
      <c r="A16049" s="4" t="s">
        <v>20212</v>
      </c>
      <c r="B16049" s="4" t="s">
        <v>20213</v>
      </c>
      <c r="C16049" s="5" t="str">
        <f>IFERROR(__xludf.DUMMYFUNCTION("GOOGLETRANSLATE(B16049,""en"",""de"")"),"Ein Mann schneidet mit einer Axt in ein Stück Holz.")</f>
        <v>Ein Mann schneidet mit einer Axt in ein Stück Holz.</v>
      </c>
    </row>
    <row r="16050">
      <c r="A16050" s="4" t="s">
        <v>20212</v>
      </c>
      <c r="B16050" s="4" t="s">
        <v>20214</v>
      </c>
      <c r="C16050" s="5" t="str">
        <f>IFERROR(__xludf.DUMMYFUNCTION("GOOGLETRANSLATE(B16050,""en"",""de"")"),"Dann wird seine Aktion in Zeitlupe wiederholt.")</f>
        <v>Dann wird seine Aktion in Zeitlupe wiederholt.</v>
      </c>
    </row>
    <row r="16051">
      <c r="A16051" s="4" t="s">
        <v>20212</v>
      </c>
      <c r="B16051" s="4" t="s">
        <v>20215</v>
      </c>
      <c r="C16051" s="5" t="str">
        <f>IFERROR(__xludf.DUMMYFUNCTION("GOOGLETRANSLATE(B16051,""en"",""de"")"),"Als nächstes nimmt er ein Stück Holz, das er in einen Stapel geschnitten hat.")</f>
        <v>Als nächstes nimmt er ein Stück Holz, das er in einen Stapel geschnitten hat.</v>
      </c>
    </row>
    <row r="16052">
      <c r="A16052" s="4" t="s">
        <v>20216</v>
      </c>
      <c r="B16052" s="4" t="s">
        <v>20217</v>
      </c>
      <c r="C16052" s="5" t="str">
        <f>IFERROR(__xludf.DUMMYFUNCTION("GOOGLETRANSLATE(B16052,""en"",""de"")"),"Für ein Video über Möbelreparaturen kommt eine Einführung auf den Bildschirm.")</f>
        <v>Für ein Video über Möbelreparaturen kommt eine Einführung auf den Bildschirm.</v>
      </c>
    </row>
    <row r="16053">
      <c r="A16053" s="4" t="s">
        <v>20216</v>
      </c>
      <c r="B16053" s="4" t="s">
        <v>20218</v>
      </c>
      <c r="C16053" s="5" t="str">
        <f>IFERROR(__xludf.DUMMYFUNCTION("GOOGLETRANSLATE(B16053,""en"",""de"")"),"Eine Frau wird auf dem Bildschirm mit Handschuhen und einem Tuch in der Hand, die Creme auf einer Lederoptomane reiben, um die Abnutzung zu reparieren.")</f>
        <v>Eine Frau wird auf dem Bildschirm mit Handschuhen und einem Tuch in der Hand, die Creme auf einer Lederoptomane reiben, um die Abnutzung zu reparieren.</v>
      </c>
    </row>
    <row r="16054">
      <c r="A16054" s="4" t="s">
        <v>20216</v>
      </c>
      <c r="B16054" s="4" t="s">
        <v>20219</v>
      </c>
      <c r="C16054" s="5" t="str">
        <f>IFERROR(__xludf.DUMMYFUNCTION("GOOGLETRANSLATE(B16054,""en"",""de"")"),"Das Video endet mit den Grafiken für die Schließkredite am Ende.")</f>
        <v>Das Video endet mit den Grafiken für die Schließkredite am Ende.</v>
      </c>
    </row>
    <row r="16055">
      <c r="A16055" s="4" t="s">
        <v>20220</v>
      </c>
      <c r="B16055" s="4" t="s">
        <v>20221</v>
      </c>
      <c r="C16055" s="5" t="str">
        <f>IFERROR(__xludf.DUMMYFUNCTION("GOOGLETRANSLATE(B16055,""en"",""de"")"),"Der Mensch steht mit einem Netz hinter ihm vor Gericht.")</f>
        <v>Der Mensch steht mit einem Netz hinter ihm vor Gericht.</v>
      </c>
    </row>
    <row r="16056">
      <c r="A16056" s="4" t="s">
        <v>20220</v>
      </c>
      <c r="B16056" s="4" t="s">
        <v>20222</v>
      </c>
      <c r="C16056" s="5" t="str">
        <f>IFERROR(__xludf.DUMMYFUNCTION("GOOGLETRANSLATE(B16056,""en"",""de"")"),"Männer spielen in einem orientierten Hof -Fitnessstudio Volyball.")</f>
        <v>Männer spielen in einem orientierten Hof -Fitnessstudio Volyball.</v>
      </c>
    </row>
    <row r="16057">
      <c r="A16057" s="4" t="s">
        <v>20223</v>
      </c>
      <c r="B16057" s="4" t="s">
        <v>20224</v>
      </c>
      <c r="C16057" s="5" t="str">
        <f>IFERROR(__xludf.DUMMYFUNCTION("GOOGLETRANSLATE(B16057,""en"",""de"")"),"Ein junger männlicher Athlet steht auf einem Feld und dreht sich in einem kleinen Kreis rückwärts.")</f>
        <v>Ein junger männlicher Athlet steht auf einem Feld und dreht sich in einem kleinen Kreis rückwärts.</v>
      </c>
    </row>
    <row r="16058">
      <c r="A16058" s="4" t="s">
        <v>20223</v>
      </c>
      <c r="B16058" s="4" t="s">
        <v>20225</v>
      </c>
      <c r="C16058" s="5" t="str">
        <f>IFERROR(__xludf.DUMMYFUNCTION("GOOGLETRANSLATE(B16058,""en"",""de"")"),"Dann streckt er seine Arme aus und beginnt sie hin und her zu bewegen.")</f>
        <v>Dann streckt er seine Arme aus und beginnt sie hin und her zu bewegen.</v>
      </c>
    </row>
    <row r="16059">
      <c r="A16059" s="4" t="s">
        <v>20223</v>
      </c>
      <c r="B16059" s="4" t="s">
        <v>20226</v>
      </c>
      <c r="C16059" s="5" t="str">
        <f>IFERROR(__xludf.DUMMYFUNCTION("GOOGLETRANSLATE(B16059,""en"",""de"")"),"Sobald er fertig ist, dreht er sich herum und wirft den Diskus auf das Feld aus, geht weg und schaut zurück auf die Ferne.")</f>
        <v>Sobald er fertig ist, dreht er sich herum und wirft den Diskus auf das Feld aus, geht weg und schaut zurück auf die Ferne.</v>
      </c>
    </row>
    <row r="16060">
      <c r="A16060" s="4" t="s">
        <v>20227</v>
      </c>
      <c r="B16060" s="4" t="s">
        <v>20228</v>
      </c>
      <c r="C16060" s="5" t="str">
        <f>IFERROR(__xludf.DUMMYFUNCTION("GOOGLETRANSLATE(B16060,""en"",""de"")"),"Zwei Menschen retten Blätter in einem Park.")</f>
        <v>Zwei Menschen retten Blätter in einem Park.</v>
      </c>
    </row>
    <row r="16061">
      <c r="A16061" s="4" t="s">
        <v>20227</v>
      </c>
      <c r="B16061" s="4" t="s">
        <v>20229</v>
      </c>
      <c r="C16061" s="5" t="str">
        <f>IFERROR(__xludf.DUMMYFUNCTION("GOOGLETRANSLATE(B16061,""en"",""de"")"),"Der Mann im Heck dreht den Rücken in die Kamera.")</f>
        <v>Der Mann im Heck dreht den Rücken in die Kamera.</v>
      </c>
    </row>
    <row r="16062">
      <c r="A16062" s="4" t="s">
        <v>20227</v>
      </c>
      <c r="B16062" s="4" t="s">
        <v>20230</v>
      </c>
      <c r="C16062" s="5" t="str">
        <f>IFERROR(__xludf.DUMMYFUNCTION("GOOGLETRANSLATE(B16062,""en"",""de"")"),"Die Dame links dreht nach rechts.")</f>
        <v>Die Dame links dreht nach rechts.</v>
      </c>
    </row>
    <row r="16063">
      <c r="A16063" s="4" t="s">
        <v>20231</v>
      </c>
      <c r="B16063" s="4" t="s">
        <v>20232</v>
      </c>
      <c r="C16063" s="5" t="str">
        <f>IFERROR(__xludf.DUMMYFUNCTION("GOOGLETRANSLATE(B16063,""en"",""de"")"),"Der Mann benutzt sein Match, um die Holzstämme in Brand zu setzen.")</f>
        <v>Der Mann benutzt sein Match, um die Holzstämme in Brand zu setzen.</v>
      </c>
    </row>
    <row r="16064">
      <c r="A16064" s="4" t="s">
        <v>20231</v>
      </c>
      <c r="B16064" s="4" t="s">
        <v>20233</v>
      </c>
      <c r="C16064" s="5" t="str">
        <f>IFERROR(__xludf.DUMMYFUNCTION("GOOGLETRANSLATE(B16064,""en"",""de"")"),"Das Feuer ist zuerst wirklich klein, aber dann wächst es und wird größer.")</f>
        <v>Das Feuer ist zuerst wirklich klein, aber dann wächst es und wird größer.</v>
      </c>
    </row>
    <row r="16065">
      <c r="A16065" s="4" t="s">
        <v>20231</v>
      </c>
      <c r="B16065" s="4" t="s">
        <v>20234</v>
      </c>
      <c r="C16065" s="5" t="str">
        <f>IFERROR(__xludf.DUMMYFUNCTION("GOOGLETRANSLATE(B16065,""en"",""de"")"),"Nach einer Weile endet das Video immer noch das Feuer, das durch Streichhölzer und Baumzweige erzeugt wurde.")</f>
        <v>Nach einer Weile endet das Video immer noch das Feuer, das durch Streichhölzer und Baumzweige erzeugt wurde.</v>
      </c>
    </row>
    <row r="16066">
      <c r="A16066" s="4" t="s">
        <v>20235</v>
      </c>
      <c r="B16066" s="4" t="s">
        <v>20236</v>
      </c>
      <c r="C16066" s="5" t="str">
        <f>IFERROR(__xludf.DUMMYFUNCTION("GOOGLETRANSLATE(B16066,""en"",""de"")"),"Die Livestrong -Website zeigt ein Video zum Boxen an.")</f>
        <v>Die Livestrong -Website zeigt ein Video zum Boxen an.</v>
      </c>
    </row>
    <row r="16067">
      <c r="A16067" s="4" t="s">
        <v>20235</v>
      </c>
      <c r="B16067" s="4" t="s">
        <v>20237</v>
      </c>
      <c r="C16067" s="5" t="str">
        <f>IFERROR(__xludf.DUMMYFUNCTION("GOOGLETRANSLATE(B16067,""en"",""de"")"),"Jolie Glassman, ein Boxer, dem demonstriert, wie man den Boxsack richtig schlägt und boxt.")</f>
        <v>Jolie Glassman, ein Boxer, dem demonstriert, wie man den Boxsack richtig schlägt und boxt.</v>
      </c>
    </row>
    <row r="16068">
      <c r="A16068" s="4" t="s">
        <v>20235</v>
      </c>
      <c r="B16068" s="4" t="s">
        <v>20238</v>
      </c>
      <c r="C16068" s="5" t="str">
        <f>IFERROR(__xludf.DUMMYFUNCTION("GOOGLETRANSLATE(B16068,""en"",""de"")"),"Sie ist in einem Fitnessstudio, das Tritt- und Stanztechniken demonstriert.")</f>
        <v>Sie ist in einem Fitnessstudio, das Tritt- und Stanztechniken demonstriert.</v>
      </c>
    </row>
    <row r="16069">
      <c r="A16069" s="4" t="s">
        <v>20239</v>
      </c>
      <c r="B16069" s="4" t="s">
        <v>20240</v>
      </c>
      <c r="C16069" s="5" t="str">
        <f>IFERROR(__xludf.DUMMYFUNCTION("GOOGLETRANSLATE(B16069,""en"",""de"")"),"Eine Person wird gesehen, wie sie einen schneebedeckten Hügel entlang reitet, und eine andere Person und ein anderes Kind reiten den Berg hinunter.")</f>
        <v>Eine Person wird gesehen, wie sie einen schneebedeckten Hügel entlang reitet, und eine andere Person und ein anderes Kind reiten den Berg hinunter.</v>
      </c>
    </row>
    <row r="16070">
      <c r="A16070" s="4" t="s">
        <v>20239</v>
      </c>
      <c r="B16070" s="4" t="s">
        <v>20241</v>
      </c>
      <c r="C16070" s="5" t="str">
        <f>IFERROR(__xludf.DUMMYFUNCTION("GOOGLETRANSLATE(B16070,""en"",""de"")"),"Es werden einige weitere Clips gezeigt, von denen Menschen aus verschiedenen Blickwinkeln den Berg hinunter reiten, wobei Menschen schreien und jubeln.")</f>
        <v>Es werden einige weitere Clips gezeigt, von denen Menschen aus verschiedenen Blickwinkeln den Berg hinunter reiten, wobei Menschen schreien und jubeln.</v>
      </c>
    </row>
    <row r="16071">
      <c r="A16071" s="4" t="s">
        <v>20242</v>
      </c>
      <c r="B16071" s="4" t="s">
        <v>20243</v>
      </c>
      <c r="C16071" s="5" t="str">
        <f>IFERROR(__xludf.DUMMYFUNCTION("GOOGLETRANSLATE(B16071,""en"",""de"")"),"Wir sehen ein Kind, das Hopscotch in einem Hof ​​spielt.")</f>
        <v>Wir sehen ein Kind, das Hopscotch in einem Hof ​​spielt.</v>
      </c>
    </row>
    <row r="16072">
      <c r="A16072" s="4" t="s">
        <v>20242</v>
      </c>
      <c r="B16072" s="4" t="s">
        <v>20244</v>
      </c>
      <c r="C16072" s="5" t="str">
        <f>IFERROR(__xludf.DUMMYFUNCTION("GOOGLETRANSLATE(B16072,""en"",""de"")"),"Ein älteres Mädchen die Sprünge.")</f>
        <v>Ein älteres Mädchen die Sprünge.</v>
      </c>
    </row>
    <row r="16073">
      <c r="A16073" s="4" t="s">
        <v>20242</v>
      </c>
      <c r="B16073" s="4" t="s">
        <v>20245</v>
      </c>
      <c r="C16073" s="5" t="str">
        <f>IFERROR(__xludf.DUMMYFUNCTION("GOOGLETRANSLATE(B16073,""en"",""de"")"),"Das erste Mädchen springt zurück zum Startort.")</f>
        <v>Das erste Mädchen springt zurück zum Startort.</v>
      </c>
    </row>
    <row r="16074">
      <c r="A16074" s="4" t="s">
        <v>20242</v>
      </c>
      <c r="B16074" s="4" t="s">
        <v>20246</v>
      </c>
      <c r="C16074" s="5" t="str">
        <f>IFERROR(__xludf.DUMMYFUNCTION("GOOGLETRANSLATE(B16074,""en"",""de"")"),"Das ältere Mädchen geht dann wieder.")</f>
        <v>Das ältere Mädchen geht dann wieder.</v>
      </c>
    </row>
    <row r="16075">
      <c r="A16075" s="4" t="s">
        <v>20247</v>
      </c>
      <c r="B16075" s="4" t="s">
        <v>20248</v>
      </c>
      <c r="C16075" s="5" t="str">
        <f>IFERROR(__xludf.DUMMYFUNCTION("GOOGLETRANSLATE(B16075,""en"",""de"")"),"Ein Mann zeigt durch Beispiel, wie man den Rekorder spielt.")</f>
        <v>Ein Mann zeigt durch Beispiel, wie man den Rekorder spielt.</v>
      </c>
    </row>
    <row r="16076">
      <c r="A16076" s="4" t="s">
        <v>20247</v>
      </c>
      <c r="B16076" s="4" t="s">
        <v>20249</v>
      </c>
      <c r="C16076" s="5" t="str">
        <f>IFERROR(__xludf.DUMMYFUNCTION("GOOGLETRANSLATE(B16076,""en"",""de"")"),"Ein Mann steht vor zwei Fenstern, die mit geschlossenen beigen Jalousien bedeckt sind und ein Holzrekorderinstrument mit beiden Händen vor sich hält, während er mit der Kamera spricht.")</f>
        <v>Ein Mann steht vor zwei Fenstern, die mit geschlossenen beigen Jalousien bedeckt sind und ein Holzrekorderinstrument mit beiden Händen vor sich hält, während er mit der Kamera spricht.</v>
      </c>
    </row>
    <row r="16077">
      <c r="A16077" s="4" t="s">
        <v>20247</v>
      </c>
      <c r="B16077" s="4" t="s">
        <v>20250</v>
      </c>
      <c r="C16077" s="5" t="str">
        <f>IFERROR(__xludf.DUMMYFUNCTION("GOOGLETRANSLATE(B16077,""en"",""de"")"),"Die Kamera schließt sich am Körper des Holzrekorders, als der Mann beginnt, seine Finger aus dem verschiedenen Loch zu heben, um Geräusche zu machen.")</f>
        <v>Die Kamera schließt sich am Körper des Holzrekorders, als der Mann beginnt, seine Finger aus dem verschiedenen Loch zu heben, um Geräusche zu machen.</v>
      </c>
    </row>
    <row r="16078">
      <c r="A16078" s="4" t="s">
        <v>20247</v>
      </c>
      <c r="B16078" s="4" t="s">
        <v>20251</v>
      </c>
      <c r="C16078" s="5" t="str">
        <f>IFERROR(__xludf.DUMMYFUNCTION("GOOGLETRANSLATE(B16078,""en"",""de"")"),"Die Kamera bleibt für den Rest des Clips in einer Nahaufnahme der Hände des Mannes und am Boden des Rekorders.")</f>
        <v>Die Kamera bleibt für den Rest des Clips in einer Nahaufnahme der Hände des Mannes und am Boden des Rekorders.</v>
      </c>
    </row>
    <row r="16079">
      <c r="A16079" s="4" t="s">
        <v>20252</v>
      </c>
      <c r="B16079" s="4" t="s">
        <v>20253</v>
      </c>
      <c r="C16079" s="5" t="str">
        <f>IFERROR(__xludf.DUMMYFUNCTION("GOOGLETRANSLATE(B16079,""en"",""de"")"),"Eine Gruppe von Gesteinen wird gegen die Ufer eines großen blauen Flusses gezeigt.")</f>
        <v>Eine Gruppe von Gesteinen wird gegen die Ufer eines großen blauen Flusses gezeigt.</v>
      </c>
    </row>
    <row r="16080">
      <c r="A16080" s="4" t="s">
        <v>20252</v>
      </c>
      <c r="B16080" s="4" t="s">
        <v>20254</v>
      </c>
      <c r="C16080" s="5" t="str">
        <f>IFERROR(__xludf.DUMMYFUNCTION("GOOGLETRANSLATE(B16080,""en"",""de"")"),"Die Kamera überspannt weiter den Fluss und es wird eine Bergkette gezeigt.")</f>
        <v>Die Kamera überspannt weiter den Fluss und es wird eine Bergkette gezeigt.</v>
      </c>
    </row>
    <row r="16081">
      <c r="A16081" s="4" t="s">
        <v>20252</v>
      </c>
      <c r="B16081" s="4" t="s">
        <v>20255</v>
      </c>
      <c r="C16081" s="5" t="str">
        <f>IFERROR(__xludf.DUMMYFUNCTION("GOOGLETRANSLATE(B16081,""en"",""de"")"),"Ein weiterer Winkel wird angezeigt und ein kleiner Kreis erscheint auf dem Bildschirm.")</f>
        <v>Ein weiterer Winkel wird angezeigt und ein kleiner Kreis erscheint auf dem Bildschirm.</v>
      </c>
    </row>
    <row r="16082">
      <c r="A16082" s="4" t="s">
        <v>20252</v>
      </c>
      <c r="B16082" s="4" t="s">
        <v>20256</v>
      </c>
      <c r="C16082" s="5" t="str">
        <f>IFERROR(__xludf.DUMMYFUNCTION("GOOGLETRANSLATE(B16082,""en"",""de"")"),"Zwei Wanderer, die Rucksäcke tragen, sind sichtbar und zeigen ein Seil.")</f>
        <v>Zwei Wanderer, die Rucksäcke tragen, sind sichtbar und zeigen ein Seil.</v>
      </c>
    </row>
    <row r="16083">
      <c r="A16083" s="4" t="s">
        <v>20252</v>
      </c>
      <c r="B16083" s="4" t="s">
        <v>20257</v>
      </c>
      <c r="C16083" s="5" t="str">
        <f>IFERROR(__xludf.DUMMYFUNCTION("GOOGLETRANSLATE(B16083,""en"",""de"")"),"Ein Mann steigt dann ins Wasser und zieht die Seile um einen Baum von einer Seite des Wassers zur anderen an und sitzt auf dem Seil.")</f>
        <v>Ein Mann steigt dann ins Wasser und zieht die Seile um einen Baum von einer Seite des Wassers zur anderen an und sitzt auf dem Seil.</v>
      </c>
    </row>
    <row r="16084">
      <c r="A16084" s="4" t="s">
        <v>20252</v>
      </c>
      <c r="B16084" s="4" t="s">
        <v>20258</v>
      </c>
      <c r="C16084" s="5" t="str">
        <f>IFERROR(__xludf.DUMMYFUNCTION("GOOGLETRANSLATE(B16084,""en"",""de"")"),"Der Mann steht dann auf und versucht, das Seil über das Wasser zu engagiert, fällt aber ins Wasser.")</f>
        <v>Der Mann steht dann auf und versucht, das Seil über das Wasser zu engagiert, fällt aber ins Wasser.</v>
      </c>
    </row>
    <row r="16085">
      <c r="A16085" s="4" t="s">
        <v>20259</v>
      </c>
      <c r="B16085" s="4" t="s">
        <v>20260</v>
      </c>
      <c r="C16085" s="5" t="str">
        <f>IFERROR(__xludf.DUMMYFUNCTION("GOOGLETRANSLATE(B16085,""en"",""de"")"),"Ein Mann wird vor einem Übungsstrahl gesehen und beginnt sich auf die Bars zu bewegen, während andere um ihn herum üben.")</f>
        <v>Ein Mann wird vor einem Übungsstrahl gesehen und beginnt sich auf die Bars zu bewegen, während andere um ihn herum üben.</v>
      </c>
    </row>
    <row r="16086">
      <c r="A16086" s="4" t="s">
        <v>20259</v>
      </c>
      <c r="B16086" s="4" t="s">
        <v>20261</v>
      </c>
      <c r="C16086" s="5" t="str">
        <f>IFERROR(__xludf.DUMMYFUNCTION("GOOGLETRANSLATE(B16086,""en"",""de"")"),"Der Mann trainiert weiter auf dem Strahl und macht eine Pause, um mit der Kamera zu sprechen, während er seine Hände benutzt.")</f>
        <v>Der Mann trainiert weiter auf dem Strahl und macht eine Pause, um mit der Kamera zu sprechen, während er seine Hände benutzt.</v>
      </c>
    </row>
    <row r="16087">
      <c r="A16087" s="4" t="s">
        <v>20262</v>
      </c>
      <c r="B16087" s="4" t="s">
        <v>20263</v>
      </c>
      <c r="C16087" s="5" t="str">
        <f>IFERROR(__xludf.DUMMYFUNCTION("GOOGLETRANSLATE(B16087,""en"",""de"")"),"Eine Person wird gesehen, wie sie einen Lappen abweist, gefolgt von mehreren Zutaten, die an ihrer Hüfte befestigt sind.")</f>
        <v>Eine Person wird gesehen, wie sie einen Lappen abweist, gefolgt von mehreren Zutaten, die an ihrer Hüfte befestigt sind.</v>
      </c>
    </row>
    <row r="16088">
      <c r="A16088" s="4" t="s">
        <v>20262</v>
      </c>
      <c r="B16088" s="4" t="s">
        <v>20264</v>
      </c>
      <c r="C16088" s="5" t="str">
        <f>IFERROR(__xludf.DUMMYFUNCTION("GOOGLETRANSLATE(B16088,""en"",""de"")"),"Sie sprüht den Lappen hinunter und wird dann erneut gesehen, wie sie verschiedene Fenster um ein Büro waschen.")</f>
        <v>Sie sprüht den Lappen hinunter und wird dann erneut gesehen, wie sie verschiedene Fenster um ein Büro waschen.</v>
      </c>
    </row>
    <row r="16089">
      <c r="A16089" s="4" t="s">
        <v>20262</v>
      </c>
      <c r="B16089" s="4" t="s">
        <v>20265</v>
      </c>
      <c r="C16089" s="5" t="str">
        <f>IFERROR(__xludf.DUMMYFUNCTION("GOOGLETRANSLATE(B16089,""en"",""de"")"),"Sie wischt auch Türgriffe ab und steckt dann die Lumpen in eine Waschmaschine und hängt am Ende die Stange auf.")</f>
        <v>Sie wischt auch Türgriffe ab und steckt dann die Lumpen in eine Waschmaschine und hängt am Ende die Stange auf.</v>
      </c>
    </row>
    <row r="16090">
      <c r="A16090" s="4" t="s">
        <v>20266</v>
      </c>
      <c r="B16090" s="4" t="s">
        <v>20267</v>
      </c>
      <c r="C16090" s="5" t="str">
        <f>IFERROR(__xludf.DUMMYFUNCTION("GOOGLETRANSLATE(B16090,""en"",""de"")"),"Eine Gruppe von Skatern geht schnell um eine Außenstrecke.")</f>
        <v>Eine Gruppe von Skatern geht schnell um eine Außenstrecke.</v>
      </c>
    </row>
    <row r="16091">
      <c r="A16091" s="4" t="s">
        <v>20266</v>
      </c>
      <c r="B16091" s="4" t="s">
        <v>20268</v>
      </c>
      <c r="C16091" s="5" t="str">
        <f>IFERROR(__xludf.DUMMYFUNCTION("GOOGLETRANSLATE(B16091,""en"",""de"")"),"Ein Mann, der sich im Rollstuhl zusammenrollt, spricht mit der Kamera.")</f>
        <v>Ein Mann, der sich im Rollstuhl zusammenrollt, spricht mit der Kamera.</v>
      </c>
    </row>
    <row r="16092">
      <c r="A16092" s="4" t="s">
        <v>20266</v>
      </c>
      <c r="B16092" s="4" t="s">
        <v>20269</v>
      </c>
      <c r="C16092" s="5" t="str">
        <f>IFERROR(__xludf.DUMMYFUNCTION("GOOGLETRANSLATE(B16092,""en"",""de"")"),"Ein Mann wird mit einem Puck gezeigt, der auftritt.")</f>
        <v>Ein Mann wird mit einem Puck gezeigt, der auftritt.</v>
      </c>
    </row>
    <row r="16093">
      <c r="A16093" s="4" t="s">
        <v>20266</v>
      </c>
      <c r="B16093" s="4" t="s">
        <v>20270</v>
      </c>
      <c r="C16093" s="5" t="str">
        <f>IFERROR(__xludf.DUMMYFUNCTION("GOOGLETRANSLATE(B16093,""en"",""de"")"),"Mehrere Leute spielen mit dem Gespräch mit der Kamera.")</f>
        <v>Mehrere Leute spielen mit dem Gespräch mit der Kamera.</v>
      </c>
    </row>
    <row r="16094">
      <c r="A16094" s="4" t="s">
        <v>20271</v>
      </c>
      <c r="B16094" s="4" t="s">
        <v>20272</v>
      </c>
      <c r="C16094" s="5" t="str">
        <f>IFERROR(__xludf.DUMMYFUNCTION("GOOGLETRANSLATE(B16094,""en"",""de"")"),"Eine Person segelt Wind durch ein Gewässer.")</f>
        <v>Eine Person segelt Wind durch ein Gewässer.</v>
      </c>
    </row>
    <row r="16095">
      <c r="A16095" s="4" t="s">
        <v>20271</v>
      </c>
      <c r="B16095" s="4" t="s">
        <v>20273</v>
      </c>
      <c r="C16095" s="5" t="str">
        <f>IFERROR(__xludf.DUMMYFUNCTION("GOOGLETRANSLATE(B16095,""en"",""de"")"),"Die Person geht an jemanden vorbei, der schwimmt.")</f>
        <v>Die Person geht an jemanden vorbei, der schwimmt.</v>
      </c>
    </row>
    <row r="16096">
      <c r="A16096" s="4" t="s">
        <v>20271</v>
      </c>
      <c r="B16096" s="4" t="s">
        <v>20274</v>
      </c>
      <c r="C16096" s="5" t="str">
        <f>IFERROR(__xludf.DUMMYFUNCTION("GOOGLETRANSLATE(B16096,""en"",""de"")"),"Die Person schaltet ihr Board ein.")</f>
        <v>Die Person schaltet ihr Board ein.</v>
      </c>
    </row>
    <row r="16097">
      <c r="A16097" s="4" t="s">
        <v>20275</v>
      </c>
      <c r="B16097" s="4" t="s">
        <v>20276</v>
      </c>
      <c r="C16097" s="5" t="str">
        <f>IFERROR(__xludf.DUMMYFUNCTION("GOOGLETRANSLATE(B16097,""en"",""de"")"),"Eine Gruppe von Cheerleadern trägt dunkelrote, weiße und schwarze Uniformen, die in der Formation stehen und sich auf ihre Routine vorbereiten, und die folgenden Wörter auf dem Bildschirm sagen ""Mill Creek HS Class AAAAA"".")</f>
        <v>Eine Gruppe von Cheerleadern trägt dunkelrote, weiße und schwarze Uniformen, die in der Formation stehen und sich auf ihre Routine vorbereiten, und die folgenden Wörter auf dem Bildschirm sagen "Mill Creek HS Class AAAAA".</v>
      </c>
    </row>
    <row r="16098">
      <c r="A16098" s="4" t="s">
        <v>20275</v>
      </c>
      <c r="B16098" s="4" t="s">
        <v>20277</v>
      </c>
      <c r="C16098" s="5" t="str">
        <f>IFERROR(__xludf.DUMMYFUNCTION("GOOGLETRANSLATE(B16098,""en"",""de"")"),"Die Cheerleader beginnen ihre Routine und beinhaltet viel Springen, Jubeln, Umdrehen, entweder synchron oder getrennt, wirft und fangen andere Cheerleader und viele andere Bewegungen.")</f>
        <v>Die Cheerleader beginnen ihre Routine und beinhaltet viel Springen, Jubeln, Umdrehen, entweder synchron oder getrennt, wirft und fangen andere Cheerleader und viele andere Bewegungen.</v>
      </c>
    </row>
    <row r="16099">
      <c r="A16099" s="4" t="s">
        <v>20275</v>
      </c>
      <c r="B16099" s="4" t="s">
        <v>20278</v>
      </c>
      <c r="C16099" s="5" t="str">
        <f>IFERROR(__xludf.DUMMYFUNCTION("GOOGLETRANSLATE(B16099,""en"",""de"")"),"Sie beenden ihre Routine, jubeln sich an und 2 Frauen vom Publikum rennen auf und umarmen einige der Cheerleader.")</f>
        <v>Sie beenden ihre Routine, jubeln sich an und 2 Frauen vom Publikum rennen auf und umarmen einige der Cheerleader.</v>
      </c>
    </row>
    <row r="16100">
      <c r="A16100" s="4" t="s">
        <v>20279</v>
      </c>
      <c r="B16100" s="4" t="s">
        <v>20280</v>
      </c>
      <c r="C16100" s="5" t="str">
        <f>IFERROR(__xludf.DUMMYFUNCTION("GOOGLETRANSLATE(B16100,""en"",""de"")"),"Ein Teenager schüttelt seine Hand auf ein Glas Wasser, während eine Jugend ihn beobachtet.")</f>
        <v>Ein Teenager schüttelt seine Hand auf ein Glas Wasser, während eine Jugend ihn beobachtet.</v>
      </c>
    </row>
    <row r="16101">
      <c r="A16101" s="4" t="s">
        <v>20279</v>
      </c>
      <c r="B16101" s="4" t="s">
        <v>20281</v>
      </c>
      <c r="C16101" s="5" t="str">
        <f>IFERROR(__xludf.DUMMYFUNCTION("GOOGLETRANSLATE(B16101,""en"",""de"")"),"Dann nimmt der Teenager das Glas, die seine Hand schüttelt und das Wasser trinkt, während das Lachen.")</f>
        <v>Dann nimmt der Teenager das Glas, die seine Hand schüttelt und das Wasser trinkt, während das Lachen.</v>
      </c>
    </row>
    <row r="16102">
      <c r="A16102" s="4" t="s">
        <v>20279</v>
      </c>
      <c r="B16102" s="4" t="s">
        <v>20282</v>
      </c>
      <c r="C16102" s="5" t="str">
        <f>IFERROR(__xludf.DUMMYFUNCTION("GOOGLETRANSLATE(B16102,""en"",""de"")"),"Danach nimmt der Jugendliche das Glas und hält dann eine Tasse, während der Teenager seine rechte Hand faltet.")</f>
        <v>Danach nimmt der Jugendliche das Glas und hält dann eine Tasse, während der Teenager seine rechte Hand faltet.</v>
      </c>
    </row>
    <row r="16103">
      <c r="A16103" s="4" t="s">
        <v>20279</v>
      </c>
      <c r="B16103" s="4" t="s">
        <v>20283</v>
      </c>
      <c r="C16103" s="5" t="str">
        <f>IFERROR(__xludf.DUMMYFUNCTION("GOOGLETRANSLATE(B16103,""en"",""de"")"),"Als nächstes nimmt der Teenager eine Tasse und gibt vor zu trinken, während er Schmerzen macht.")</f>
        <v>Als nächstes nimmt der Teenager eine Tasse und gibt vor zu trinken, während er Schmerzen macht.</v>
      </c>
    </row>
    <row r="16104">
      <c r="A16104" s="4" t="s">
        <v>20284</v>
      </c>
      <c r="B16104" s="4" t="s">
        <v>20285</v>
      </c>
      <c r="C16104" s="5" t="str">
        <f>IFERROR(__xludf.DUMMYFUNCTION("GOOGLETRANSLATE(B16104,""en"",""de"")"),"Wir sehen Leute, die in einer Stadtstraße joggen.")</f>
        <v>Wir sehen Leute, die in einer Stadtstraße joggen.</v>
      </c>
    </row>
    <row r="16105">
      <c r="A16105" s="4" t="s">
        <v>20284</v>
      </c>
      <c r="B16105" s="4" t="s">
        <v>20286</v>
      </c>
      <c r="C16105" s="5" t="str">
        <f>IFERROR(__xludf.DUMMYFUNCTION("GOOGLETRANSLATE(B16105,""en"",""de"")"),"Wir zoomen in einem hemdlosen Mann, der jongliert.")</f>
        <v>Wir zoomen in einem hemdlosen Mann, der jongliert.</v>
      </c>
    </row>
    <row r="16106">
      <c r="A16106" s="4" t="s">
        <v>20284</v>
      </c>
      <c r="B16106" s="4" t="s">
        <v>20287</v>
      </c>
      <c r="C16106" s="5" t="str">
        <f>IFERROR(__xludf.DUMMYFUNCTION("GOOGLETRANSLATE(B16106,""en"",""de"")"),"Wir schwenken rückwärts zu den anderen Läufern.")</f>
        <v>Wir schwenken rückwärts zu den anderen Läufern.</v>
      </c>
    </row>
    <row r="16107">
      <c r="A16107" s="4" t="s">
        <v>20288</v>
      </c>
      <c r="B16107" s="4" t="s">
        <v>20289</v>
      </c>
      <c r="C16107" s="5" t="str">
        <f>IFERROR(__xludf.DUMMYFUNCTION("GOOGLETRANSLATE(B16107,""en"",""de"")"),"Eine Frau spricht in einer Bar, dann steckt sie Eis in ein Edelstahlglas.")</f>
        <v>Eine Frau spricht in einer Bar, dann steckt sie Eis in ein Edelstahlglas.</v>
      </c>
    </row>
    <row r="16108">
      <c r="A16108" s="4" t="s">
        <v>20288</v>
      </c>
      <c r="B16108" s="4" t="s">
        <v>20290</v>
      </c>
      <c r="C16108" s="5" t="str">
        <f>IFERROR(__xludf.DUMMYFUNCTION("GOOGLETRANSLATE(B16108,""en"",""de"")"),"Dann fügt die Frau zwei Messungen von Alkohol, Saft und Zucker zu.")</f>
        <v>Dann fügt die Frau zwei Messungen von Alkohol, Saft und Zucker zu.</v>
      </c>
    </row>
    <row r="16109">
      <c r="A16109" s="4" t="s">
        <v>20288</v>
      </c>
      <c r="B16109" s="4" t="s">
        <v>20291</v>
      </c>
      <c r="C16109" s="5" t="str">
        <f>IFERROR(__xludf.DUMMYFUNCTION("GOOGLETRANSLATE(B16109,""en"",""de"")"),"Danach setzt die Frau eine Tasse darauf und schüttelt sie und serviert in einer Tasse mit einer Zitrone.")</f>
        <v>Danach setzt die Frau eine Tasse darauf und schüttelt sie und serviert in einer Tasse mit einer Zitrone.</v>
      </c>
    </row>
    <row r="16110">
      <c r="A16110" s="4" t="s">
        <v>20292</v>
      </c>
      <c r="B16110" s="4" t="s">
        <v>20293</v>
      </c>
      <c r="C16110" s="5" t="str">
        <f>IFERROR(__xludf.DUMMYFUNCTION("GOOGLETRANSLATE(B16110,""en"",""de"")"),"Eine Frau in einem gelben Hemd hält eine Flasche in der Hand.")</f>
        <v>Eine Frau in einem gelben Hemd hält eine Flasche in der Hand.</v>
      </c>
    </row>
    <row r="16111">
      <c r="A16111" s="4" t="s">
        <v>20292</v>
      </c>
      <c r="B16111" s="4" t="s">
        <v>20294</v>
      </c>
      <c r="C16111" s="5" t="str">
        <f>IFERROR(__xludf.DUMMYFUNCTION("GOOGLETRANSLATE(B16111,""en"",""de"")"),"Sie öffnet die Flasche und gießt sie in einen Eimer auf dem Boden.")</f>
        <v>Sie öffnet die Flasche und gießt sie in einen Eimer auf dem Boden.</v>
      </c>
    </row>
    <row r="16112">
      <c r="A16112" s="4" t="s">
        <v>20292</v>
      </c>
      <c r="B16112" s="4" t="s">
        <v>20295</v>
      </c>
      <c r="C16112" s="5" t="str">
        <f>IFERROR(__xludf.DUMMYFUNCTION("GOOGLETRANSLATE(B16112,""en"",""de"")"),"Sie steckt einen Mopplappen in den Eimer und legt ihn auf ihren Mopp.")</f>
        <v>Sie steckt einen Mopplappen in den Eimer und legt ihn auf ihren Mopp.</v>
      </c>
    </row>
    <row r="16113">
      <c r="A16113" s="4" t="s">
        <v>20292</v>
      </c>
      <c r="B16113" s="4" t="s">
        <v>20296</v>
      </c>
      <c r="C16113" s="5" t="str">
        <f>IFERROR(__xludf.DUMMYFUNCTION("GOOGLETRANSLATE(B16113,""en"",""de"")"),"Sie hebt dann den Eimer aus dem Raum.")</f>
        <v>Sie hebt dann den Eimer aus dem Raum.</v>
      </c>
    </row>
    <row r="16114">
      <c r="A16114" s="4" t="s">
        <v>20292</v>
      </c>
      <c r="B16114" s="4" t="s">
        <v>20297</v>
      </c>
      <c r="C16114" s="5" t="str">
        <f>IFERROR(__xludf.DUMMYFUNCTION("GOOGLETRANSLATE(B16114,""en"",""de"")"),"Sie fängt an, die Fliese auf dem Boden zu wischen.")</f>
        <v>Sie fängt an, die Fliese auf dem Boden zu wischen.</v>
      </c>
    </row>
    <row r="16115">
      <c r="A16115" s="4" t="s">
        <v>20298</v>
      </c>
      <c r="B16115" s="4" t="s">
        <v>20299</v>
      </c>
      <c r="C16115" s="5" t="str">
        <f>IFERROR(__xludf.DUMMYFUNCTION("GOOGLETRANSLATE(B16115,""en"",""de"")"),"Der Fliesenbildschirm spielt mit einem Bild eines langen Feldes.")</f>
        <v>Der Fliesenbildschirm spielt mit einem Bild eines langen Feldes.</v>
      </c>
    </row>
    <row r="16116">
      <c r="A16116" s="4" t="s">
        <v>20298</v>
      </c>
      <c r="B16116" s="4" t="s">
        <v>20300</v>
      </c>
      <c r="C16116" s="5" t="str">
        <f>IFERROR(__xludf.DUMMYFUNCTION("GOOGLETRANSLATE(B16116,""en"",""de"")"),"Ein Mann geht mit einer Scheibe auf und ein Hund hält daran fest, als er ein paar Menschen angeht.")</f>
        <v>Ein Mann geht mit einer Scheibe auf und ein Hund hält daran fest, als er ein paar Menschen angeht.</v>
      </c>
    </row>
    <row r="16117">
      <c r="A16117" s="4" t="s">
        <v>20298</v>
      </c>
      <c r="B16117" s="4" t="s">
        <v>20301</v>
      </c>
      <c r="C16117" s="5" t="str">
        <f>IFERROR(__xludf.DUMMYFUNCTION("GOOGLETRANSLATE(B16117,""en"",""de"")"),"Der Mann beginnt mit dem Hund zu spielen, indem er das Denken wirft und ihn zurückbringen lässt.")</f>
        <v>Der Mann beginnt mit dem Hund zu spielen, indem er das Denken wirft und ihn zurückbringen lässt.</v>
      </c>
    </row>
    <row r="16118">
      <c r="A16118" s="4" t="s">
        <v>20298</v>
      </c>
      <c r="B16118" s="4" t="s">
        <v>20302</v>
      </c>
      <c r="C16118" s="5" t="str">
        <f>IFERROR(__xludf.DUMMYFUNCTION("GOOGLETRANSLATE(B16118,""en"",""de"")"),"Dann klatscht er für den Hund.")</f>
        <v>Dann klatscht er für den Hund.</v>
      </c>
    </row>
    <row r="16119">
      <c r="A16119" s="4" t="s">
        <v>20298</v>
      </c>
      <c r="B16119" s="4" t="s">
        <v>20303</v>
      </c>
      <c r="C16119" s="5" t="str">
        <f>IFERROR(__xludf.DUMMYFUNCTION("GOOGLETRANSLATE(B16119,""en"",""de"")"),"Die Credits rollen am Ende.")</f>
        <v>Die Credits rollen am Ende.</v>
      </c>
    </row>
    <row r="16120">
      <c r="A16120" s="4" t="s">
        <v>20304</v>
      </c>
      <c r="B16120" s="4" t="s">
        <v>20305</v>
      </c>
      <c r="C16120" s="5" t="str">
        <f>IFERROR(__xludf.DUMMYFUNCTION("GOOGLETRANSLATE(B16120,""en"",""de"")"),"Ein roter Ball befindet sich zwischen zwei Polen.")</f>
        <v>Ein roter Ball befindet sich zwischen zwei Polen.</v>
      </c>
    </row>
    <row r="16121">
      <c r="A16121" s="4" t="s">
        <v>20304</v>
      </c>
      <c r="B16121" s="4" t="s">
        <v>20306</v>
      </c>
      <c r="C16121" s="5" t="str">
        <f>IFERROR(__xludf.DUMMYFUNCTION("GOOGLETRANSLATE(B16121,""en"",""de"")"),"Ein Cricket -Butter beginnt zu schwingen.")</f>
        <v>Ein Cricket -Butter beginnt zu schwingen.</v>
      </c>
    </row>
    <row r="16122">
      <c r="A16122" s="4" t="s">
        <v>20304</v>
      </c>
      <c r="B16122" s="4" t="s">
        <v>20307</v>
      </c>
      <c r="C16122" s="5" t="str">
        <f>IFERROR(__xludf.DUMMYFUNCTION("GOOGLETRANSLATE(B16122,""en"",""de"")"),"Zwei Schuhe sitzen auf beiden Seiten.")</f>
        <v>Zwei Schuhe sitzen auf beiden Seiten.</v>
      </c>
    </row>
    <row r="16123">
      <c r="A16123" s="4" t="s">
        <v>20304</v>
      </c>
      <c r="B16123" s="4" t="s">
        <v>20308</v>
      </c>
      <c r="C16123" s="5" t="str">
        <f>IFERROR(__xludf.DUMMYFUNCTION("GOOGLETRANSLATE(B16123,""en"",""de"")"),"Die Fledermaus schlägt den Ball.")</f>
        <v>Die Fledermaus schlägt den Ball.</v>
      </c>
    </row>
    <row r="16124">
      <c r="A16124" s="4" t="s">
        <v>20309</v>
      </c>
      <c r="B16124" s="4" t="s">
        <v>20310</v>
      </c>
      <c r="C16124" s="5" t="str">
        <f>IFERROR(__xludf.DUMMYFUNCTION("GOOGLETRANSLATE(B16124,""en"",""de"")"),"Eine große Gruppe von Mädchen, die in Cheerleading -Outfits gekleidet sind, stehen in der Formation, und genauso starten die Mädchen synchron und beginnen ihre sehr detaillierte Routine, die Sprünge, Flips, Handklatschen und usw. umfasst.")</f>
        <v>Eine große Gruppe von Mädchen, die in Cheerleading -Outfits gekleidet sind, stehen in der Formation, und genauso starten die Mädchen synchron und beginnen ihre sehr detaillierte Routine, die Sprünge, Flips, Handklatschen und usw. umfasst.</v>
      </c>
    </row>
    <row r="16125">
      <c r="A16125" s="4" t="s">
        <v>20309</v>
      </c>
      <c r="B16125" s="4" t="s">
        <v>20311</v>
      </c>
      <c r="C16125" s="5" t="str">
        <f>IFERROR(__xludf.DUMMYFUNCTION("GOOGLETRANSLATE(B16125,""en"",""de"")"),"Sie brechen in 5 verschiedene Gruppen ab, in denen sich alle Mädchen in jeder Gruppe zusammenkausten und ein Mädchen in die Luft werfen und sie hochhalten, aber plötzlich ist die vorder Und sie warten nur, bis die Mädchen fertig sind, um ihre Routine sync"&amp;"hron zu wieder aufzunehmen.")</f>
        <v>Sie brechen in 5 verschiedene Gruppen ab, in denen sich alle Mädchen in jeder Gruppe zusammenkausten und ein Mädchen in die Luft werfen und sie hochhalten, aber plötzlich ist die vorder Und sie warten nur, bis die Mädchen fertig sind, um ihre Routine synchron zu wieder aufzunehmen.</v>
      </c>
    </row>
    <row r="16126">
      <c r="A16126" s="4" t="s">
        <v>20309</v>
      </c>
      <c r="B16126" s="4" t="s">
        <v>20312</v>
      </c>
      <c r="C16126" s="5" t="str">
        <f>IFERROR(__xludf.DUMMYFUNCTION("GOOGLETRANSLATE(B16126,""en"",""de"")"),"Sie stehen alle still in der Formation, als plötzlich eines der Mädchen ihren linken Schuh auszieht und ihn zur Seite wirft und sie alle einige Sekunden lang still bleiben.")</f>
        <v>Sie stehen alle still in der Formation, als plötzlich eines der Mädchen ihren linken Schuh auszieht und ihn zur Seite wirft und sie alle einige Sekunden lang still bleiben.</v>
      </c>
    </row>
    <row r="16127">
      <c r="A16127" s="4" t="s">
        <v>20309</v>
      </c>
      <c r="B16127" s="4" t="s">
        <v>20313</v>
      </c>
      <c r="C16127" s="5" t="str">
        <f>IFERROR(__xludf.DUMMYFUNCTION("GOOGLETRANSLATE(B16127,""en"",""de"")"),"Die Mädchen nehmen ihren Jubel wieder und trennen sich in 5 Abschnitten erneut, um ein Mädchen in der Luft zu halten, aber wieder verliert die mittlere Gruppe das Gleichgewicht des Mädchens oben und sie versagen und sie fällt in ihren Fang und sie nehmen "&amp;"ihre wieder auf Routine, die jetzt mehrere Flips von jedem Mädchen bis zum Ziel enthalten.")</f>
        <v>Die Mädchen nehmen ihren Jubel wieder und trennen sich in 5 Abschnitten erneut, um ein Mädchen in der Luft zu halten, aber wieder verliert die mittlere Gruppe das Gleichgewicht des Mädchens oben und sie versagen und sie fällt in ihren Fang und sie nehmen ihre wieder auf Routine, die jetzt mehrere Flips von jedem Mädchen bis zum Ziel enthalten.</v>
      </c>
    </row>
    <row r="16128">
      <c r="A16128" s="4" t="s">
        <v>20314</v>
      </c>
      <c r="B16128" s="4" t="s">
        <v>20315</v>
      </c>
      <c r="C16128" s="5" t="str">
        <f>IFERROR(__xludf.DUMMYFUNCTION("GOOGLETRANSLATE(B16128,""en"",""de"")"),"Ein Mann beugt sich vor, als ein Baby in einer Schaukel versucht, seine Haare zu greifen und zu kauen.")</f>
        <v>Ein Mann beugt sich vor, als ein Baby in einer Schaukel versucht, seine Haare zu greifen und zu kauen.</v>
      </c>
    </row>
    <row r="16129">
      <c r="A16129" s="4" t="s">
        <v>20314</v>
      </c>
      <c r="B16129" s="4" t="s">
        <v>20316</v>
      </c>
      <c r="C16129" s="5" t="str">
        <f>IFERROR(__xludf.DUMMYFUNCTION("GOOGLETRANSLATE(B16129,""en"",""de"")"),"Das Baby lacht und schwingt hin und her und versucht dann, die Kamera zu greifen.")</f>
        <v>Das Baby lacht und schwingt hin und her und versucht dann, die Kamera zu greifen.</v>
      </c>
    </row>
    <row r="16130">
      <c r="A16130" s="4" t="s">
        <v>20317</v>
      </c>
      <c r="B16130" s="4" t="s">
        <v>20318</v>
      </c>
      <c r="C16130" s="5" t="str">
        <f>IFERROR(__xludf.DUMMYFUNCTION("GOOGLETRANSLATE(B16130,""en"",""de"")"),"Ein paar Leute surfen auf Wellen.")</f>
        <v>Ein paar Leute surfen auf Wellen.</v>
      </c>
    </row>
    <row r="16131">
      <c r="A16131" s="4" t="s">
        <v>20317</v>
      </c>
      <c r="B16131" s="4" t="s">
        <v>20319</v>
      </c>
      <c r="C16131" s="5" t="str">
        <f>IFERROR(__xludf.DUMMYFUNCTION("GOOGLETRANSLATE(B16131,""en"",""de"")"),"Sie fallen manchmal, sind aber in Ordnung.")</f>
        <v>Sie fallen manchmal, sind aber in Ordnung.</v>
      </c>
    </row>
    <row r="16132">
      <c r="A16132" s="4" t="s">
        <v>20320</v>
      </c>
      <c r="B16132" s="4" t="s">
        <v>20321</v>
      </c>
      <c r="C16132" s="5" t="str">
        <f>IFERROR(__xludf.DUMMYFUNCTION("GOOGLETRANSLATE(B16132,""en"",""de"")"),"Bandmitglieder in Vollkleid stehen in einem Hof.")</f>
        <v>Bandmitglieder in Vollkleid stehen in einem Hof.</v>
      </c>
    </row>
    <row r="16133">
      <c r="A16133" s="4" t="s">
        <v>20320</v>
      </c>
      <c r="B16133" s="4" t="s">
        <v>20322</v>
      </c>
      <c r="C16133" s="5" t="str">
        <f>IFERROR(__xludf.DUMMYFUNCTION("GOOGLETRANSLATE(B16133,""en"",""de"")"),"Sie verwenden einen Rechen, um Blätter zu harken.")</f>
        <v>Sie verwenden einen Rechen, um Blätter zu harken.</v>
      </c>
    </row>
    <row r="16134">
      <c r="A16134" s="4" t="s">
        <v>20320</v>
      </c>
      <c r="B16134" s="4" t="s">
        <v>20323</v>
      </c>
      <c r="C16134" s="5" t="str">
        <f>IFERROR(__xludf.DUMMYFUNCTION("GOOGLETRANSLATE(B16134,""en"",""de"")"),"Ein Mann geht vorbei, während sie retten.")</f>
        <v>Ein Mann geht vorbei, während sie retten.</v>
      </c>
    </row>
    <row r="16135">
      <c r="A16135" s="4" t="s">
        <v>20324</v>
      </c>
      <c r="B16135" s="4" t="s">
        <v>20325</v>
      </c>
      <c r="C16135" s="5" t="str">
        <f>IFERROR(__xludf.DUMMYFUNCTION("GOOGLETRANSLATE(B16135,""en"",""de"")"),"Eine Frau steht hinter einer Theke, die zur Kamera spricht und dann beginnt, eine Kartoffel zu schälen.")</f>
        <v>Eine Frau steht hinter einer Theke, die zur Kamera spricht und dann beginnt, eine Kartoffel zu schälen.</v>
      </c>
    </row>
    <row r="16136">
      <c r="A16136" s="4" t="s">
        <v>20324</v>
      </c>
      <c r="B16136" s="4" t="s">
        <v>20326</v>
      </c>
      <c r="C16136" s="5" t="str">
        <f>IFERROR(__xludf.DUMMYFUNCTION("GOOGLETRANSLATE(B16136,""en"",""de"")"),"Sie schält weiterhin Kartoffeln, während sie eine Pause macht, um mit der Kamera zu sprechen und zu lächeln.")</f>
        <v>Sie schält weiterhin Kartoffeln, während sie eine Pause macht, um mit der Kamera zu sprechen und zu lächeln.</v>
      </c>
    </row>
    <row r="16137">
      <c r="A16137" s="4" t="s">
        <v>20327</v>
      </c>
      <c r="B16137" s="4" t="s">
        <v>20328</v>
      </c>
      <c r="C16137" s="5" t="str">
        <f>IFERROR(__xludf.DUMMYFUNCTION("GOOGLETRANSLATE(B16137,""en"",""de"")"),"Junge Männer und ein Auto spricht und spiele herum, bevor er am Skigisten ankommt.")</f>
        <v>Junge Männer und ein Auto spricht und spiele herum, bevor er am Skigisten ankommt.</v>
      </c>
    </row>
    <row r="16138">
      <c r="A16138" s="4" t="s">
        <v>20327</v>
      </c>
      <c r="B16138" s="4" t="s">
        <v>20329</v>
      </c>
      <c r="C16138" s="5" t="str">
        <f>IFERROR(__xludf.DUMMYFUNCTION("GOOGLETRANSLATE(B16138,""en"",""de"")"),"Wir sehen Männer, die über Hindernisse und Rampen am Skihang snowboarden.")</f>
        <v>Wir sehen Männer, die über Hindernisse und Rampen am Skihang snowboarden.</v>
      </c>
    </row>
    <row r="16139">
      <c r="A16139" s="4" t="s">
        <v>20327</v>
      </c>
      <c r="B16139" s="4" t="s">
        <v>20330</v>
      </c>
      <c r="C16139" s="5" t="str">
        <f>IFERROR(__xludf.DUMMYFUNCTION("GOOGLETRANSLATE(B16139,""en"",""de"")"),"Ein Mann springt um eine Rampe und fällt zu Boden.")</f>
        <v>Ein Mann springt um eine Rampe und fällt zu Boden.</v>
      </c>
    </row>
    <row r="16140">
      <c r="A16140" s="4" t="s">
        <v>20327</v>
      </c>
      <c r="B16140" s="4" t="s">
        <v>20331</v>
      </c>
      <c r="C16140" s="5" t="str">
        <f>IFERROR(__xludf.DUMMYFUNCTION("GOOGLETRANSLATE(B16140,""en"",""de"")"),"Wir sehen die Jungs auf dem Parkplatz stehen und werden ihre Namen gezeigt.")</f>
        <v>Wir sehen die Jungs auf dem Parkplatz stehen und werden ihre Namen gezeigt.</v>
      </c>
    </row>
    <row r="16141">
      <c r="A16141" s="4" t="s">
        <v>20327</v>
      </c>
      <c r="B16141" s="4" t="s">
        <v>20332</v>
      </c>
      <c r="C16141" s="5" t="str">
        <f>IFERROR(__xludf.DUMMYFUNCTION("GOOGLETRANSLATE(B16141,""en"",""de"")"),"Der letzte Junge entfernt seinen Helm, schüttelt die Haare und lächelt in die Kamera.")</f>
        <v>Der letzte Junge entfernt seinen Helm, schüttelt die Haare und lächelt in die Kamera.</v>
      </c>
    </row>
    <row r="16142">
      <c r="A16142" s="4" t="s">
        <v>20327</v>
      </c>
      <c r="B16142" s="4" t="s">
        <v>1380</v>
      </c>
      <c r="C16142" s="5" t="str">
        <f>IFERROR(__xludf.DUMMYFUNCTION("GOOGLETRANSLATE(B16142,""en"",""de"")"),"Wir sehen dann die Endgutschrift.")</f>
        <v>Wir sehen dann die Endgutschrift.</v>
      </c>
    </row>
    <row r="16143">
      <c r="A16143" s="4" t="s">
        <v>20333</v>
      </c>
      <c r="B16143" s="4" t="s">
        <v>20334</v>
      </c>
      <c r="C16143" s="5" t="str">
        <f>IFERROR(__xludf.DUMMYFUNCTION("GOOGLETRANSLATE(B16143,""en"",""de"")"),"Ein Mann steht hinter einer Frau, die auf einem Stuhl sitzt.")</f>
        <v>Ein Mann steht hinter einer Frau, die auf einem Stuhl sitzt.</v>
      </c>
    </row>
    <row r="16144">
      <c r="A16144" s="4" t="s">
        <v>20333</v>
      </c>
      <c r="B16144" s="4" t="s">
        <v>20335</v>
      </c>
      <c r="C16144" s="5" t="str">
        <f>IFERROR(__xludf.DUMMYFUNCTION("GOOGLETRANSLATE(B16144,""en"",""de"")"),"Er steckt ein Produkt in ihre Haare.")</f>
        <v>Er steckt ein Produkt in ihre Haare.</v>
      </c>
    </row>
    <row r="16145">
      <c r="A16145" s="4" t="s">
        <v>20333</v>
      </c>
      <c r="B16145" s="4" t="s">
        <v>20336</v>
      </c>
      <c r="C16145" s="5" t="str">
        <f>IFERROR(__xludf.DUMMYFUNCTION("GOOGLETRANSLATE(B16145,""en"",""de"")"),"Er beginnt ihre Haare zu föhnen.")</f>
        <v>Er beginnt ihre Haare zu föhnen.</v>
      </c>
    </row>
    <row r="16146">
      <c r="A16146" s="4" t="s">
        <v>20333</v>
      </c>
      <c r="B16146" s="4" t="s">
        <v>20337</v>
      </c>
      <c r="C16146" s="5" t="str">
        <f>IFERROR(__xludf.DUMMYFUNCTION("GOOGLETRANSLATE(B16146,""en"",""de"")"),"Sie beginnt selbst ihre Haare zu föhnen.")</f>
        <v>Sie beginnt selbst ihre Haare zu föhnen.</v>
      </c>
    </row>
    <row r="16147">
      <c r="A16147" s="4" t="s">
        <v>20338</v>
      </c>
      <c r="B16147" s="4" t="s">
        <v>20339</v>
      </c>
      <c r="C16147" s="5" t="str">
        <f>IFERROR(__xludf.DUMMYFUNCTION("GOOGLETRANSLATE(B16147,""en"",""de"")"),"Eine Frau hält eine Flöte und übt die Schlüssel, während Sie sich hinlegen.")</f>
        <v>Eine Frau hält eine Flöte und übt die Schlüssel, während Sie sich hinlegen.</v>
      </c>
    </row>
    <row r="16148">
      <c r="A16148" s="4" t="s">
        <v>20338</v>
      </c>
      <c r="B16148" s="4" t="s">
        <v>20340</v>
      </c>
      <c r="C16148" s="5" t="str">
        <f>IFERROR(__xludf.DUMMYFUNCTION("GOOGLETRANSLATE(B16148,""en"",""de"")"),"Eine Frau in einem formellen Kleid hält eine Flöte und Gesten im Gespräch auf.")</f>
        <v>Eine Frau in einem formellen Kleid hält eine Flöte und Gesten im Gespräch auf.</v>
      </c>
    </row>
    <row r="16149">
      <c r="A16149" s="4" t="s">
        <v>20338</v>
      </c>
      <c r="B16149" s="4" t="s">
        <v>20341</v>
      </c>
      <c r="C16149" s="5" t="str">
        <f>IFERROR(__xludf.DUMMYFUNCTION("GOOGLETRANSLATE(B16149,""en"",""de"")"),"Eine Frau spielt die Flöte mit übertriebenem Blasen.")</f>
        <v>Eine Frau spielt die Flöte mit übertriebenem Blasen.</v>
      </c>
    </row>
    <row r="16150">
      <c r="A16150" s="4" t="s">
        <v>20338</v>
      </c>
      <c r="B16150" s="4" t="s">
        <v>20342</v>
      </c>
      <c r="C16150" s="5" t="str">
        <f>IFERROR(__xludf.DUMMYFUNCTION("GOOGLETRANSLATE(B16150,""en"",""de"")"),"Eine Frau spielt eine Flöte in einem Raum mit anderen Instrumenten im Hintergrund.")</f>
        <v>Eine Frau spielt eine Flöte in einem Raum mit anderen Instrumenten im Hintergrund.</v>
      </c>
    </row>
    <row r="16151">
      <c r="A16151" s="4" t="s">
        <v>20338</v>
      </c>
      <c r="B16151" s="4" t="s">
        <v>20343</v>
      </c>
      <c r="C16151" s="5" t="str">
        <f>IFERROR(__xludf.DUMMYFUNCTION("GOOGLETRANSLATE(B16151,""en"",""de"")"),"Die beiden Frauen spielen zusammen Flöten.")</f>
        <v>Die beiden Frauen spielen zusammen Flöten.</v>
      </c>
    </row>
    <row r="16152">
      <c r="A16152" s="4" t="s">
        <v>20338</v>
      </c>
      <c r="B16152" s="4" t="s">
        <v>20344</v>
      </c>
      <c r="C16152" s="5" t="str">
        <f>IFERROR(__xludf.DUMMYFUNCTION("GOOGLETRANSLATE(B16152,""en"",""de"")"),"Die Frau schüttelt mit einem Krampf die Hände.")</f>
        <v>Die Frau schüttelt mit einem Krampf die Hände.</v>
      </c>
    </row>
    <row r="16153">
      <c r="A16153" s="4" t="s">
        <v>20345</v>
      </c>
      <c r="B16153" s="4" t="s">
        <v>20346</v>
      </c>
      <c r="C16153" s="5" t="str">
        <f>IFERROR(__xludf.DUMMYFUNCTION("GOOGLETRANSLATE(B16153,""en"",""de"")"),"Eine Szene aus der Urknalltheorie wird gezeigt und der Mann liegt in einem Tattoo -Raum in einem Tisch und ein Tätowierer steht ihm zu.")</f>
        <v>Eine Szene aus der Urknalltheorie wird gezeigt und der Mann liegt in einem Tattoo -Raum in einem Tisch und ein Tätowierer steht ihm zu.</v>
      </c>
    </row>
    <row r="16154">
      <c r="A16154" s="4" t="s">
        <v>20345</v>
      </c>
      <c r="B16154" s="4" t="s">
        <v>20347</v>
      </c>
      <c r="C16154" s="5" t="str">
        <f>IFERROR(__xludf.DUMMYFUNCTION("GOOGLETRANSLATE(B16154,""en"",""de"")"),"Der Mann im Bett steht und spricht mit einer Frau und entfernen Sie die falschen Tattoo -Ärmel.")</f>
        <v>Der Mann im Bett steht und spricht mit einer Frau und entfernen Sie die falschen Tattoo -Ärmel.</v>
      </c>
    </row>
    <row r="16155">
      <c r="A16155" s="4" t="s">
        <v>20348</v>
      </c>
      <c r="B16155" s="4" t="s">
        <v>20349</v>
      </c>
      <c r="C16155" s="5" t="str">
        <f>IFERROR(__xludf.DUMMYFUNCTION("GOOGLETRANSLATE(B16155,""en"",""de"")"),"Eine Nahaufnahme der Füße einer Person wird gezeigt, gefolgt von zwei Männern, die in einem offenen Raum mit Tennisschlägern und einem Ball zu sehen sind.")</f>
        <v>Eine Nahaufnahme der Füße einer Person wird gezeigt, gefolgt von zwei Männern, die in einem offenen Raum mit Tennisschlägern und einem Ball zu sehen sind.</v>
      </c>
    </row>
    <row r="16156">
      <c r="A16156" s="4" t="s">
        <v>20348</v>
      </c>
      <c r="B16156" s="4" t="s">
        <v>20350</v>
      </c>
      <c r="C16156" s="5" t="str">
        <f>IFERROR(__xludf.DUMMYFUNCTION("GOOGLETRANSLATE(B16156,""en"",""de"")"),"Dann schlugen Männer den Ball rund um den Raum, während sie zu jeder Seite rennen, um den Ball zu schlagen.")</f>
        <v>Dann schlugen Männer den Ball rund um den Raum, während sie zu jeder Seite rennen, um den Ball zu schlagen.</v>
      </c>
    </row>
    <row r="16157">
      <c r="A16157" s="4" t="s">
        <v>20351</v>
      </c>
      <c r="B16157" s="4" t="s">
        <v>20352</v>
      </c>
      <c r="C16157" s="5" t="str">
        <f>IFERROR(__xludf.DUMMYFUNCTION("GOOGLETRANSLATE(B16157,""en"",""de"")"),"Ein freier Strand ist sichtbar und die Menschen fingen an, ihre Autos an die Küste zu ziehen.")</f>
        <v>Ein freier Strand ist sichtbar und die Menschen fingen an, ihre Autos an die Küste zu ziehen.</v>
      </c>
    </row>
    <row r="16158">
      <c r="A16158" s="4" t="s">
        <v>20351</v>
      </c>
      <c r="B16158" s="4" t="s">
        <v>20353</v>
      </c>
      <c r="C16158" s="5" t="str">
        <f>IFERROR(__xludf.DUMMYFUNCTION("GOOGLETRANSLATE(B16158,""en"",""de"")"),"Der Bürgersteig erscheint dann und ein Junge beginnt die Straße in der Nähe des Strandes entlang zu skateboard.")</f>
        <v>Der Bürgersteig erscheint dann und ein Junge beginnt die Straße in der Nähe des Strandes entlang zu skateboard.</v>
      </c>
    </row>
    <row r="16159">
      <c r="A16159" s="4" t="s">
        <v>20351</v>
      </c>
      <c r="B16159" s="4" t="s">
        <v>20354</v>
      </c>
      <c r="C16159" s="5" t="str">
        <f>IFERROR(__xludf.DUMMYFUNCTION("GOOGLETRANSLATE(B16159,""en"",""de"")"),"Er macht weiterhin Tricks und Skateboards durch die Stadt vorbei Menschen und Autos.")</f>
        <v>Er macht weiterhin Tricks und Skateboards durch die Stadt vorbei Menschen und Autos.</v>
      </c>
    </row>
    <row r="16160">
      <c r="A16160" s="4" t="s">
        <v>20351</v>
      </c>
      <c r="B16160" s="4" t="s">
        <v>20355</v>
      </c>
      <c r="C16160" s="5" t="str">
        <f>IFERROR(__xludf.DUMMYFUNCTION("GOOGLETRANSLATE(B16160,""en"",""de"")"),"Nach einer Weile setzt er eine Pause ein und spricht mit einem anderen Mann, bevor er schließlich wieder aufsteht, um das Skateboarding fortzusetzen.")</f>
        <v>Nach einer Weile setzt er eine Pause ein und spricht mit einem anderen Mann, bevor er schließlich wieder aufsteht, um das Skateboarding fortzusetzen.</v>
      </c>
    </row>
    <row r="16161">
      <c r="A16161" s="4" t="s">
        <v>20356</v>
      </c>
      <c r="B16161" s="4" t="s">
        <v>20357</v>
      </c>
      <c r="C16161" s="5" t="str">
        <f>IFERROR(__xludf.DUMMYFUNCTION("GOOGLETRANSLATE(B16161,""en"",""de"")"),"Ein Typ Ski mit einer Kamera auf seinem Helm, um uns zu zeigen, was er beim Skifahren ist.")</f>
        <v>Ein Typ Ski mit einer Kamera auf seinem Helm, um uns zu zeigen, was er beim Skifahren ist.</v>
      </c>
    </row>
    <row r="16162">
      <c r="A16162" s="4" t="s">
        <v>20356</v>
      </c>
      <c r="B16162" s="4" t="s">
        <v>20358</v>
      </c>
      <c r="C16162" s="5" t="str">
        <f>IFERROR(__xludf.DUMMYFUNCTION("GOOGLETRANSLATE(B16162,""en"",""de"")"),"Der Kerl fährt den Hügel hinunter und gibt einen Mann vorbei, der vor ihm war.")</f>
        <v>Der Kerl fährt den Hügel hinunter und gibt einen Mann vorbei, der vor ihm war.</v>
      </c>
    </row>
    <row r="16163">
      <c r="A16163" s="4" t="s">
        <v>20356</v>
      </c>
      <c r="B16163" s="4" t="s">
        <v>20359</v>
      </c>
      <c r="C16163" s="5" t="str">
        <f>IFERROR(__xludf.DUMMYFUNCTION("GOOGLETRANSLATE(B16163,""en"",""de"")"),"Als der Kerl Skier anfängt, auch andere Skifahrer zu überqueren, schafft es schließlich der Skifahrer bis zum Ende von Hill Slop und kommt zum Stillstand.")</f>
        <v>Als der Kerl Skier anfängt, auch andere Skifahrer zu überqueren, schafft es schließlich der Skifahrer bis zum Ende von Hill Slop und kommt zum Stillstand.</v>
      </c>
    </row>
    <row r="16164">
      <c r="A16164" s="4" t="s">
        <v>20360</v>
      </c>
      <c r="B16164" s="4" t="s">
        <v>20361</v>
      </c>
      <c r="C16164" s="5" t="str">
        <f>IFERROR(__xludf.DUMMYFUNCTION("GOOGLETRANSLATE(B16164,""en"",""de"")"),"Ein Mann und eine Frau spielen Rockpapierschere.")</f>
        <v>Ein Mann und eine Frau spielen Rockpapierschere.</v>
      </c>
    </row>
    <row r="16165">
      <c r="A16165" s="4" t="s">
        <v>20360</v>
      </c>
      <c r="B16165" s="4" t="s">
        <v>20362</v>
      </c>
      <c r="C16165" s="5" t="str">
        <f>IFERROR(__xludf.DUMMYFUNCTION("GOOGLETRANSLATE(B16165,""en"",""de"")"),"Der Mann steigt auf sein Knie und zieht einen Ring heraus.")</f>
        <v>Der Mann steigt auf sein Knie und zieht einen Ring heraus.</v>
      </c>
    </row>
    <row r="16166">
      <c r="A16166" s="4" t="s">
        <v>20360</v>
      </c>
      <c r="B16166" s="4" t="s">
        <v>20363</v>
      </c>
      <c r="C16166" s="5" t="str">
        <f>IFERROR(__xludf.DUMMYFUNCTION("GOOGLETRANSLATE(B16166,""en"",""de"")"),"Sie umarmen sich neben dem Schwimmbad.")</f>
        <v>Sie umarmen sich neben dem Schwimmbad.</v>
      </c>
    </row>
    <row r="16167">
      <c r="A16167" s="4" t="s">
        <v>20360</v>
      </c>
      <c r="B16167" s="4" t="s">
        <v>20364</v>
      </c>
      <c r="C16167" s="5" t="str">
        <f>IFERROR(__xludf.DUMMYFUNCTION("GOOGLETRANSLATE(B16167,""en"",""de"")"),"Sie geben sich gegenseitig einen Kuss.")</f>
        <v>Sie geben sich gegenseitig einen Kuss.</v>
      </c>
    </row>
    <row r="16168">
      <c r="A16168" s="4" t="s">
        <v>20365</v>
      </c>
      <c r="B16168" s="4" t="s">
        <v>20366</v>
      </c>
      <c r="C16168" s="5" t="str">
        <f>IFERROR(__xludf.DUMMYFUNCTION("GOOGLETRANSLATE(B16168,""en"",""de"")"),"Ein Mann rennt eine Strecke hinunter, die er in einen Sandhaufen springt.")</f>
        <v>Ein Mann rennt eine Strecke hinunter, die er in einen Sandhaufen springt.</v>
      </c>
    </row>
    <row r="16169">
      <c r="A16169" s="4" t="s">
        <v>20365</v>
      </c>
      <c r="B16169" s="4" t="s">
        <v>20367</v>
      </c>
      <c r="C16169" s="5" t="str">
        <f>IFERROR(__xludf.DUMMYFUNCTION("GOOGLETRANSLATE(B16169,""en"",""de"")"),"Er rennt wieder die Strecke hinunter und springt mehrmals in den Sand.")</f>
        <v>Er rennt wieder die Strecke hinunter und springt mehrmals in den Sand.</v>
      </c>
    </row>
    <row r="16170">
      <c r="A16170" s="4" t="s">
        <v>20365</v>
      </c>
      <c r="B16170" s="4" t="s">
        <v>20368</v>
      </c>
      <c r="C16170" s="5" t="str">
        <f>IFERROR(__xludf.DUMMYFUNCTION("GOOGLETRANSLATE(B16170,""en"",""de"")"),"Auf dem Bildschirm werden Punktzahlen angezeigt.")</f>
        <v>Auf dem Bildschirm werden Punktzahlen angezeigt.</v>
      </c>
    </row>
    <row r="16171">
      <c r="A16171" s="4" t="s">
        <v>20369</v>
      </c>
      <c r="B16171" s="4" t="s">
        <v>20370</v>
      </c>
      <c r="C16171" s="5" t="str">
        <f>IFERROR(__xludf.DUMMYFUNCTION("GOOGLETRANSLATE(B16171,""en"",""de"")"),"Ein Mann, der ein grünes Outfit trägt, führt ein Kamel an.")</f>
        <v>Ein Mann, der ein grünes Outfit trägt, führt ein Kamel an.</v>
      </c>
    </row>
    <row r="16172">
      <c r="A16172" s="4" t="s">
        <v>20369</v>
      </c>
      <c r="B16172" s="4" t="s">
        <v>20371</v>
      </c>
      <c r="C16172" s="5" t="str">
        <f>IFERROR(__xludf.DUMMYFUNCTION("GOOGLETRANSLATE(B16172,""en"",""de"")"),"Zwei Personen sitzen auf dem Kamel.")</f>
        <v>Zwei Personen sitzen auf dem Kamel.</v>
      </c>
    </row>
    <row r="16173">
      <c r="A16173" s="4" t="s">
        <v>20369</v>
      </c>
      <c r="B16173" s="4" t="s">
        <v>20372</v>
      </c>
      <c r="C16173" s="5" t="str">
        <f>IFERROR(__xludf.DUMMYFUNCTION("GOOGLETRANSLATE(B16173,""en"",""de"")"),"Ein Mann geht neben dem Kamel.")</f>
        <v>Ein Mann geht neben dem Kamel.</v>
      </c>
    </row>
    <row r="16174">
      <c r="A16174" s="4" t="s">
        <v>20373</v>
      </c>
      <c r="B16174" s="4" t="s">
        <v>20374</v>
      </c>
      <c r="C16174" s="5" t="str">
        <f>IFERROR(__xludf.DUMMYFUNCTION("GOOGLETRANSLATE(B16174,""en"",""de"")"),"Die Leute spielen mit Pferden ein Spiel auf einem Feld.")</f>
        <v>Die Leute spielen mit Pferden ein Spiel auf einem Feld.</v>
      </c>
    </row>
    <row r="16175">
      <c r="A16175" s="4" t="s">
        <v>20373</v>
      </c>
      <c r="B16175" s="4" t="s">
        <v>20375</v>
      </c>
      <c r="C16175" s="5" t="str">
        <f>IFERROR(__xludf.DUMMYFUNCTION("GOOGLETRANSLATE(B16175,""en"",""de"")"),"Die Kamera -Person fährt in der Nähe des Parkplatzes rechts.")</f>
        <v>Die Kamera -Person fährt in der Nähe des Parkplatzes rechts.</v>
      </c>
    </row>
    <row r="16176">
      <c r="A16176" s="4" t="s">
        <v>20373</v>
      </c>
      <c r="B16176" s="4" t="s">
        <v>20376</v>
      </c>
      <c r="C16176" s="5" t="str">
        <f>IFERROR(__xludf.DUMMYFUNCTION("GOOGLETRANSLATE(B16176,""en"",""de"")"),"Die Kamera -Person fährt wieder in der Nähe des Parkplatzes.")</f>
        <v>Die Kamera -Person fährt wieder in der Nähe des Parkplatzes.</v>
      </c>
    </row>
    <row r="16177">
      <c r="A16177" s="4" t="s">
        <v>20373</v>
      </c>
      <c r="B16177" s="4" t="s">
        <v>20377</v>
      </c>
      <c r="C16177" s="5" t="str">
        <f>IFERROR(__xludf.DUMMYFUNCTION("GOOGLETRANSLATE(B16177,""en"",""de"")"),"Die Person verlangsamt sich in der Nähe des Ziels.")</f>
        <v>Die Person verlangsamt sich in der Nähe des Ziels.</v>
      </c>
    </row>
    <row r="16178">
      <c r="A16178" s="4" t="s">
        <v>20378</v>
      </c>
      <c r="B16178" s="4" t="s">
        <v>20379</v>
      </c>
      <c r="C16178" s="5" t="str">
        <f>IFERROR(__xludf.DUMMYFUNCTION("GOOGLETRANSLATE(B16178,""en"",""de"")"),"Eine Grafik zeigt und dann folgen Fotos eines Mädchens, das mit Reiten aufgewachsen ist.")</f>
        <v>Eine Grafik zeigt und dann folgen Fotos eines Mädchens, das mit Reiten aufgewachsen ist.</v>
      </c>
    </row>
    <row r="16179">
      <c r="A16179" s="4" t="s">
        <v>20378</v>
      </c>
      <c r="B16179" s="4" t="s">
        <v>20380</v>
      </c>
      <c r="C16179" s="5" t="str">
        <f>IFERROR(__xludf.DUMMYFUNCTION("GOOGLETRANSLATE(B16179,""en"",""de"")"),"Drei Jahre nach diesen Fotos bewegt sich das Mädchen und sie wird Reitpferde gezeigt.")</f>
        <v>Drei Jahre nach diesen Fotos bewegt sich das Mädchen und sie wird Reitpferde gezeigt.</v>
      </c>
    </row>
    <row r="16180">
      <c r="A16180" s="4" t="s">
        <v>20378</v>
      </c>
      <c r="B16180" s="4" t="s">
        <v>20381</v>
      </c>
      <c r="C16180" s="5" t="str">
        <f>IFERROR(__xludf.DUMMYFUNCTION("GOOGLETRANSLATE(B16180,""en"",""de"")"),"Das Mädchen wird mit anderen Mädchen gezeigt, die mit einigen Auszeichnungen für Reiten posieren.")</f>
        <v>Das Mädchen wird mit anderen Mädchen gezeigt, die mit einigen Auszeichnungen für Reiten posieren.</v>
      </c>
    </row>
    <row r="16181">
      <c r="A16181" s="4" t="s">
        <v>20378</v>
      </c>
      <c r="B16181" s="4" t="s">
        <v>20382</v>
      </c>
      <c r="C16181" s="5" t="str">
        <f>IFERROR(__xludf.DUMMYFUNCTION("GOOGLETRANSLATE(B16181,""en"",""de"")"),"Ein weiteres Video wird von dem Mädchen gezeigt, das im Innenraum mit dem Pferd reitet.")</f>
        <v>Ein weiteres Video wird von dem Mädchen gezeigt, das im Innenraum mit dem Pferd reitet.</v>
      </c>
    </row>
    <row r="16182">
      <c r="A16182" s="4" t="s">
        <v>20378</v>
      </c>
      <c r="B16182" s="4" t="s">
        <v>20383</v>
      </c>
      <c r="C16182" s="5" t="str">
        <f>IFERROR(__xludf.DUMMYFUNCTION("GOOGLETRANSLATE(B16182,""en"",""de"")"),"Fotos von dem Mädchen, das sich um ihre Pferde kümmert, schließen das Video aus.")</f>
        <v>Fotos von dem Mädchen, das sich um ihre Pferde kümmert, schließen das Video aus.</v>
      </c>
    </row>
    <row r="16183">
      <c r="A16183" s="4" t="s">
        <v>20384</v>
      </c>
      <c r="B16183" s="4" t="s">
        <v>20385</v>
      </c>
      <c r="C16183" s="5" t="str">
        <f>IFERROR(__xludf.DUMMYFUNCTION("GOOGLETRANSLATE(B16183,""en"",""de"")"),"Eine Frau putzt ihre Zähne und führt in Zahnpasta auf einer Zahnbürste.")</f>
        <v>Eine Frau putzt ihre Zähne und führt in Zahnpasta auf einer Zahnbürste.</v>
      </c>
    </row>
    <row r="16184">
      <c r="A16184" s="4" t="s">
        <v>20384</v>
      </c>
      <c r="B16184" s="4" t="s">
        <v>20386</v>
      </c>
      <c r="C16184" s="5" t="str">
        <f>IFERROR(__xludf.DUMMYFUNCTION("GOOGLETRANSLATE(B16184,""en"",""de"")"),"Ein anderes Mädchen putzt die Zähne und zeigt mehrere Standbilder, wie man die Zähne richtig putzte.")</f>
        <v>Ein anderes Mädchen putzt die Zähne und zeigt mehrere Standbilder, wie man die Zähne richtig putzte.</v>
      </c>
    </row>
    <row r="16185">
      <c r="A16185" s="4" t="s">
        <v>20384</v>
      </c>
      <c r="B16185" s="4" t="s">
        <v>20387</v>
      </c>
      <c r="C16185" s="5" t="str">
        <f>IFERROR(__xludf.DUMMYFUNCTION("GOOGLETRANSLATE(B16185,""en"",""de"")"),"Weitere Clips werden von Menschen gezeigt, die ihre Zähne putzen.")</f>
        <v>Weitere Clips werden von Menschen gezeigt, die ihre Zähne putzen.</v>
      </c>
    </row>
    <row r="16186">
      <c r="A16186" s="4" t="s">
        <v>20388</v>
      </c>
      <c r="B16186" s="4" t="s">
        <v>20389</v>
      </c>
      <c r="C16186" s="5" t="str">
        <f>IFERROR(__xludf.DUMMYFUNCTION("GOOGLETRANSLATE(B16186,""en"",""de"")"),"Mehrere Menschen sind in Stoßfänger -Rollern in einem kleinen Einschluss herum.")</f>
        <v>Mehrere Menschen sind in Stoßfänger -Rollern in einem kleinen Einschluss herum.</v>
      </c>
    </row>
    <row r="16187">
      <c r="A16187" s="4" t="s">
        <v>20388</v>
      </c>
      <c r="B16187" s="4" t="s">
        <v>20390</v>
      </c>
      <c r="C16187" s="5" t="str">
        <f>IFERROR(__xludf.DUMMYFUNCTION("GOOGLETRANSLATE(B16187,""en"",""de"")"),"Schließlich steigen sie aus dem großen Klumpen aus und bewegen sich leichter im Fitnessstudio.")</f>
        <v>Schließlich steigen sie aus dem großen Klumpen aus und bewegen sich leichter im Fitnessstudio.</v>
      </c>
    </row>
    <row r="16188">
      <c r="A16188" s="4" t="s">
        <v>20388</v>
      </c>
      <c r="B16188" s="4" t="s">
        <v>20391</v>
      </c>
      <c r="C16188" s="5" t="str">
        <f>IFERROR(__xludf.DUMMYFUNCTION("GOOGLETRANSLATE(B16188,""en"",""de"")"),"Die Fahrt endet schließlich und alle Leute steigen aus und ein Mädchen und ein Junge gehen zur Kamera und geben einen Daumen hoch.")</f>
        <v>Die Fahrt endet schließlich und alle Leute steigen aus und ein Mädchen und ein Junge gehen zur Kamera und geben einen Daumen hoch.</v>
      </c>
    </row>
    <row r="16189">
      <c r="A16189" s="4" t="s">
        <v>20392</v>
      </c>
      <c r="B16189" s="4" t="s">
        <v>20393</v>
      </c>
      <c r="C16189" s="5" t="str">
        <f>IFERROR(__xludf.DUMMYFUNCTION("GOOGLETRANSLATE(B16189,""en"",""de"")"),"Eine große Gruppe von Menschen wandert in einem Strandbereich herum, gefolgt von Menschen, die tanzen und den Strand genießen.")</f>
        <v>Eine große Gruppe von Menschen wandert in einem Strandbereich herum, gefolgt von Menschen, die tanzen und den Strand genießen.</v>
      </c>
    </row>
    <row r="16190">
      <c r="A16190" s="4" t="s">
        <v>20392</v>
      </c>
      <c r="B16190" s="4" t="s">
        <v>20394</v>
      </c>
      <c r="C16190" s="5" t="str">
        <f>IFERROR(__xludf.DUMMYFUNCTION("GOOGLETRANSLATE(B16190,""en"",""de"")"),"Es werden mehrere Clips aus einem Fußballspiel angezeigt und Fans, die zur Kamera feiern.")</f>
        <v>Es werden mehrere Clips aus einem Fußballspiel angezeigt und Fans, die zur Kamera feiern.</v>
      </c>
    </row>
    <row r="16191">
      <c r="A16191" s="4" t="s">
        <v>20392</v>
      </c>
      <c r="B16191" s="4" t="s">
        <v>20395</v>
      </c>
      <c r="C16191" s="5" t="str">
        <f>IFERROR(__xludf.DUMMYFUNCTION("GOOGLETRANSLATE(B16191,""en"",""de"")"),"Am Ende feiert das Team alle zusammen, während Confetti vom Himmel fällt.")</f>
        <v>Am Ende feiert das Team alle zusammen, während Confetti vom Himmel fällt.</v>
      </c>
    </row>
    <row r="16192">
      <c r="A16192" s="4" t="s">
        <v>20396</v>
      </c>
      <c r="B16192" s="4" t="s">
        <v>20397</v>
      </c>
      <c r="C16192" s="5" t="str">
        <f>IFERROR(__xludf.DUMMYFUNCTION("GOOGLETRANSLATE(B16192,""en"",""de"")"),"Eine Frau spielt Musik auf einer Stereoanlage in einer geschäftigen Stadt.")</f>
        <v>Eine Frau spielt Musik auf einer Stereoanlage in einer geschäftigen Stadt.</v>
      </c>
    </row>
    <row r="16193">
      <c r="A16193" s="4" t="s">
        <v>20396</v>
      </c>
      <c r="B16193" s="4" t="s">
        <v>20398</v>
      </c>
      <c r="C16193" s="5" t="str">
        <f>IFERROR(__xludf.DUMMYFUNCTION("GOOGLETRANSLATE(B16193,""en"",""de"")"),"Eine andere Frau steht auf dem Bürgersteig mit Kopfhörern.")</f>
        <v>Eine andere Frau steht auf dem Bürgersteig mit Kopfhörern.</v>
      </c>
    </row>
    <row r="16194">
      <c r="A16194" s="4" t="s">
        <v>20396</v>
      </c>
      <c r="B16194" s="4" t="s">
        <v>20399</v>
      </c>
      <c r="C16194" s="5" t="str">
        <f>IFERROR(__xludf.DUMMYFUNCTION("GOOGLETRANSLATE(B16194,""en"",""de"")"),"Beide lächeln sich gegenseitig an, als sie zur Musik orten.")</f>
        <v>Beide lächeln sich gegenseitig an, als sie zur Musik orten.</v>
      </c>
    </row>
    <row r="16195">
      <c r="A16195" s="4" t="s">
        <v>20396</v>
      </c>
      <c r="B16195" s="4" t="s">
        <v>20400</v>
      </c>
      <c r="C16195" s="5" t="str">
        <f>IFERROR(__xludf.DUMMYFUNCTION("GOOGLETRANSLATE(B16195,""en"",""de"")"),"Die Frau nimmt die Stereoanlage auf und beginnt zu laufen.")</f>
        <v>Die Frau nimmt die Stereoanlage auf und beginnt zu laufen.</v>
      </c>
    </row>
    <row r="16196">
      <c r="A16196" s="4" t="s">
        <v>20396</v>
      </c>
      <c r="B16196" s="4" t="s">
        <v>20401</v>
      </c>
      <c r="C16196" s="5" t="str">
        <f>IFERROR(__xludf.DUMMYFUNCTION("GOOGLETRANSLATE(B16196,""en"",""de"")"),"Die andere Frau folgt ihr auf demselben Bürgersteig.")</f>
        <v>Die andere Frau folgt ihr auf demselben Bürgersteig.</v>
      </c>
    </row>
    <row r="16197">
      <c r="A16197" s="4" t="s">
        <v>20396</v>
      </c>
      <c r="B16197" s="4" t="s">
        <v>20402</v>
      </c>
      <c r="C16197" s="5" t="str">
        <f>IFERROR(__xludf.DUMMYFUNCTION("GOOGLETRANSLATE(B16197,""en"",""de"")"),"Sie gehen zusammen die Stereoanlage zusammen.")</f>
        <v>Sie gehen zusammen die Stereoanlage zusammen.</v>
      </c>
    </row>
    <row r="16198">
      <c r="A16198" s="4" t="s">
        <v>20396</v>
      </c>
      <c r="B16198" s="4" t="s">
        <v>20403</v>
      </c>
      <c r="C16198" s="5" t="str">
        <f>IFERROR(__xludf.DUMMYFUNCTION("GOOGLETRANSLATE(B16198,""en"",""de"")"),"Ein Mann in einem roten Hemd tanzt mit einer anderen Frau neben einem Auto.")</f>
        <v>Ein Mann in einem roten Hemd tanzt mit einer anderen Frau neben einem Auto.</v>
      </c>
    </row>
    <row r="16199">
      <c r="A16199" s="4" t="s">
        <v>20396</v>
      </c>
      <c r="B16199" s="4" t="s">
        <v>20404</v>
      </c>
      <c r="C16199" s="5" t="str">
        <f>IFERROR(__xludf.DUMMYFUNCTION("GOOGLETRANSLATE(B16199,""en"",""de"")"),"Sie schließen sich der Frau an, die mit der Stereoanlage in der Hand geht.")</f>
        <v>Sie schließen sich der Frau an, die mit der Stereoanlage in der Hand geht.</v>
      </c>
    </row>
    <row r="16200">
      <c r="A16200" s="4" t="s">
        <v>20396</v>
      </c>
      <c r="B16200" s="4" t="s">
        <v>20405</v>
      </c>
      <c r="C16200" s="5" t="str">
        <f>IFERROR(__xludf.DUMMYFUNCTION("GOOGLETRANSLATE(B16200,""en"",""de"")"),"Einige andere Leute schließen sich ihnen an, während sie zur Musik gehen und tanzen.")</f>
        <v>Einige andere Leute schließen sich ihnen an, während sie zur Musik gehen und tanzen.</v>
      </c>
    </row>
    <row r="16201">
      <c r="A16201" s="4" t="s">
        <v>20396</v>
      </c>
      <c r="B16201" s="4" t="s">
        <v>20406</v>
      </c>
      <c r="C16201" s="5" t="str">
        <f>IFERROR(__xludf.DUMMYFUNCTION("GOOGLETRANSLATE(B16201,""en"",""de"")"),"Alle Leute brechen in einen synchronisierten Tanz direkt auf der Straße ein.")</f>
        <v>Alle Leute brechen in einen synchronisierten Tanz direkt auf der Straße ein.</v>
      </c>
    </row>
    <row r="16202">
      <c r="A16202" s="4" t="s">
        <v>20407</v>
      </c>
      <c r="B16202" s="4" t="s">
        <v>20408</v>
      </c>
      <c r="C16202" s="5" t="str">
        <f>IFERROR(__xludf.DUMMYFUNCTION("GOOGLETRANSLATE(B16202,""en"",""de"")"),"Ein alter Mann spricht neben einem Segelboot am Ufer, dann trägt der Mann das Segelboot zum Ozean.")</f>
        <v>Ein alter Mann spricht neben einem Segelboot am Ufer, dann trägt der Mann das Segelboot zum Ozean.</v>
      </c>
    </row>
    <row r="16203">
      <c r="A16203" s="4" t="s">
        <v>20407</v>
      </c>
      <c r="B16203" s="4" t="s">
        <v>20409</v>
      </c>
      <c r="C16203" s="5" t="str">
        <f>IFERROR(__xludf.DUMMYFUNCTION("GOOGLETRANSLATE(B16203,""en"",""de"")"),"Der alte Mann segelt das Boot an der Grenze des Bootes und zieht einen Griff.")</f>
        <v>Der alte Mann segelt das Boot an der Grenze des Bootes und zieht einen Griff.</v>
      </c>
    </row>
    <row r="16204">
      <c r="A16204" s="4" t="s">
        <v>20407</v>
      </c>
      <c r="B16204" s="4" t="s">
        <v>20410</v>
      </c>
      <c r="C16204" s="5" t="str">
        <f>IFERROR(__xludf.DUMMYFUNCTION("GOOGLETRANSLATE(B16204,""en"",""de"")"),"Dann sitzt der alte Mann eine Weile und segelt weiter und hört auf, wenn er spricht.")</f>
        <v>Dann sitzt der alte Mann eine Weile und segelt weiter und hört auf, wenn er spricht.</v>
      </c>
    </row>
    <row r="16205">
      <c r="A16205" s="4" t="s">
        <v>20407</v>
      </c>
      <c r="B16205" s="4" t="s">
        <v>20411</v>
      </c>
      <c r="C16205" s="5" t="str">
        <f>IFERROR(__xludf.DUMMYFUNCTION("GOOGLETRANSLATE(B16205,""en"",""de"")"),"Danach hält der alte Mann an und das Boot dreht sich um, dann zieht er das Boot zum Ufer.")</f>
        <v>Danach hält der alte Mann an und das Boot dreht sich um, dann zieht er das Boot zum Ufer.</v>
      </c>
    </row>
    <row r="16206">
      <c r="A16206" s="4" t="s">
        <v>20407</v>
      </c>
      <c r="B16206" s="4" t="s">
        <v>20412</v>
      </c>
      <c r="C16206" s="5" t="str">
        <f>IFERROR(__xludf.DUMMYFUNCTION("GOOGLETRANSLATE(B16206,""en"",""de"")"),"Danach segelt der alte Mann weiter im Ozean.")</f>
        <v>Danach segelt der alte Mann weiter im Ozean.</v>
      </c>
    </row>
    <row r="16207">
      <c r="A16207" s="4" t="s">
        <v>20413</v>
      </c>
      <c r="B16207" s="4" t="s">
        <v>20414</v>
      </c>
      <c r="C16207" s="5" t="str">
        <f>IFERROR(__xludf.DUMMYFUNCTION("GOOGLETRANSLATE(B16207,""en"",""de"")"),"Die Hände einer Person spielen eine Reihe von Bongo -Schlagzeug und pausieren, um mit der Kamera zu sprechen.")</f>
        <v>Die Hände einer Person spielen eine Reihe von Bongo -Schlagzeug und pausieren, um mit der Kamera zu sprechen.</v>
      </c>
    </row>
    <row r="16208">
      <c r="A16208" s="4" t="s">
        <v>20413</v>
      </c>
      <c r="B16208" s="4" t="s">
        <v>20415</v>
      </c>
      <c r="C16208" s="5" t="str">
        <f>IFERROR(__xludf.DUMMYFUNCTION("GOOGLETRANSLATE(B16208,""en"",""de"")"),"Er drückt einen Knopf auf sein Handy und spielt erneut das Schlagzeug und endet mit einem letzten Schlag auf die Trommel.")</f>
        <v>Er drückt einen Knopf auf sein Handy und spielt erneut das Schlagzeug und endet mit einem letzten Schlag auf die Trommel.</v>
      </c>
    </row>
    <row r="16209">
      <c r="A16209" s="4" t="s">
        <v>20416</v>
      </c>
      <c r="B16209" s="4" t="s">
        <v>20417</v>
      </c>
      <c r="C16209" s="5" t="str">
        <f>IFERROR(__xludf.DUMMYFUNCTION("GOOGLETRANSLATE(B16209,""en"",""de"")"),"Die Menschen stehen in einer Linie, die Schwerter hält.")</f>
        <v>Die Menschen stehen in einer Linie, die Schwerter hält.</v>
      </c>
    </row>
    <row r="16210">
      <c r="A16210" s="4" t="s">
        <v>20416</v>
      </c>
      <c r="B16210" s="4" t="s">
        <v>20418</v>
      </c>
      <c r="C16210" s="5" t="str">
        <f>IFERROR(__xludf.DUMMYFUNCTION("GOOGLETRANSLATE(B16210,""en"",""de"")"),"Ein Mann in einer weißen Jacke spricht in ein Mikrofon.")</f>
        <v>Ein Mann in einer weißen Jacke spricht in ein Mikrofon.</v>
      </c>
    </row>
    <row r="16211">
      <c r="A16211" s="4" t="s">
        <v>20416</v>
      </c>
      <c r="B16211" s="4" t="s">
        <v>20419</v>
      </c>
      <c r="C16211" s="5" t="str">
        <f>IFERROR(__xludf.DUMMYFUNCTION("GOOGLETRANSLATE(B16211,""en"",""de"")"),"Ein weiterer älterer Herren spricht in ein Mikrofon.")</f>
        <v>Ein weiterer älterer Herren spricht in ein Mikrofon.</v>
      </c>
    </row>
    <row r="16212">
      <c r="A16212" s="4" t="s">
        <v>20420</v>
      </c>
      <c r="B16212" s="4" t="s">
        <v>20421</v>
      </c>
      <c r="C16212" s="5" t="str">
        <f>IFERROR(__xludf.DUMMYFUNCTION("GOOGLETRANSLATE(B16212,""en"",""de"")"),"Ein Mann deckt eine Wand mit Zement mit einem Schlauch ab.")</f>
        <v>Ein Mann deckt eine Wand mit Zement mit einem Schlauch ab.</v>
      </c>
    </row>
    <row r="16213">
      <c r="A16213" s="4" t="s">
        <v>20420</v>
      </c>
      <c r="B16213" s="4" t="s">
        <v>20422</v>
      </c>
      <c r="C16213" s="5" t="str">
        <f>IFERROR(__xludf.DUMMYFUNCTION("GOOGLETRANSLATE(B16213,""en"",""de"")"),"Eine Person arbeitet hinter der Wand.")</f>
        <v>Eine Person arbeitet hinter der Wand.</v>
      </c>
    </row>
    <row r="16214">
      <c r="A16214" s="4" t="s">
        <v>20420</v>
      </c>
      <c r="B16214" s="4" t="s">
        <v>20423</v>
      </c>
      <c r="C16214" s="5" t="str">
        <f>IFERROR(__xludf.DUMMYFUNCTION("GOOGLETRANSLATE(B16214,""en"",""de"")"),"Die Person bedeckt den letzten Abschnitt der Wand.")</f>
        <v>Die Person bedeckt den letzten Abschnitt der Wand.</v>
      </c>
    </row>
    <row r="16215">
      <c r="A16215" s="4" t="s">
        <v>20424</v>
      </c>
      <c r="B16215" s="4" t="s">
        <v>20425</v>
      </c>
      <c r="C16215" s="5" t="str">
        <f>IFERROR(__xludf.DUMMYFUNCTION("GOOGLETRANSLATE(B16215,""en"",""de"")"),"Eine Person ist gesehen, wie er in einen Rahmen geht und ein Instrument vor einem Klavier hält.")</f>
        <v>Eine Person ist gesehen, wie er in einen Rahmen geht und ein Instrument vor einem Klavier hält.</v>
      </c>
    </row>
    <row r="16216">
      <c r="A16216" s="4" t="s">
        <v>20424</v>
      </c>
      <c r="B16216" s="4" t="s">
        <v>20426</v>
      </c>
      <c r="C16216" s="5" t="str">
        <f>IFERROR(__xludf.DUMMYFUNCTION("GOOGLETRANSLATE(B16216,""en"",""de"")"),"Er spielt das Instrument vor dem Klavier und geht zurück zur Kamera.")</f>
        <v>Er spielt das Instrument vor dem Klavier und geht zurück zur Kamera.</v>
      </c>
    </row>
    <row r="16217">
      <c r="A16217" s="4" t="s">
        <v>20427</v>
      </c>
      <c r="B16217" s="4" t="s">
        <v>20428</v>
      </c>
      <c r="C16217" s="5" t="str">
        <f>IFERROR(__xludf.DUMMYFUNCTION("GOOGLETRANSLATE(B16217,""en"",""de"")"),"Das Logo ""Fab"" erscheint mit zwei gekreuzten Schwertern.")</f>
        <v>Das Logo "Fab" erscheint mit zwei gekreuzten Schwertern.</v>
      </c>
    </row>
    <row r="16218">
      <c r="A16218" s="4" t="s">
        <v>20427</v>
      </c>
      <c r="B16218" s="4" t="s">
        <v>20429</v>
      </c>
      <c r="C16218" s="5" t="str">
        <f>IFERROR(__xludf.DUMMYFUNCTION("GOOGLETRANSLATE(B16218,""en"",""de"")"),"Die Wörter ""Meyerco Machete Cut -Test"" folgen auf dem Bildschirm.")</f>
        <v>Die Wörter "Meyerco Machete Cut -Test" folgen auf dem Bildschirm.</v>
      </c>
    </row>
    <row r="16219">
      <c r="A16219" s="4" t="s">
        <v>20427</v>
      </c>
      <c r="B16219" s="4" t="s">
        <v>20430</v>
      </c>
      <c r="C16219" s="5" t="str">
        <f>IFERROR(__xludf.DUMMYFUNCTION("GOOGLETRANSLATE(B16219,""en"",""de"")"),"Ein Mann schneidet einen beschädigten Busch mit einer Machette.")</f>
        <v>Ein Mann schneidet einen beschädigten Busch mit einer Machette.</v>
      </c>
    </row>
    <row r="16220">
      <c r="A16220" s="4" t="s">
        <v>20427</v>
      </c>
      <c r="B16220" s="4" t="s">
        <v>20431</v>
      </c>
      <c r="C16220" s="5" t="str">
        <f>IFERROR(__xludf.DUMMYFUNCTION("GOOGLETRANSLATE(B16220,""en"",""de"")"),"Der Mann hackt weiterhin den geschnittenen Zweig auf einem Deck.")</f>
        <v>Der Mann hackt weiterhin den geschnittenen Zweig auf einem Deck.</v>
      </c>
    </row>
    <row r="16221">
      <c r="A16221" s="4" t="s">
        <v>20432</v>
      </c>
      <c r="B16221" s="4" t="s">
        <v>20433</v>
      </c>
      <c r="C16221" s="5" t="str">
        <f>IFERROR(__xludf.DUMMYFUNCTION("GOOGLETRANSLATE(B16221,""en"",""de"")"),"Eine Gruppe von Tänzern Ballett konkurriert mit einer Gruppe von Hip -Hop -Tänzern.")</f>
        <v>Eine Gruppe von Tänzern Ballett konkurriert mit einer Gruppe von Hip -Hop -Tänzern.</v>
      </c>
    </row>
    <row r="16222">
      <c r="A16222" s="4" t="s">
        <v>20432</v>
      </c>
      <c r="B16222" s="4" t="s">
        <v>20434</v>
      </c>
      <c r="C16222" s="5" t="str">
        <f>IFERROR(__xludf.DUMMYFUNCTION("GOOGLETRANSLATE(B16222,""en"",""de"")"),"Ein Junge tanzt Hip Hop, dreht sich und macht einen Flip.")</f>
        <v>Ein Junge tanzt Hip Hop, dreht sich und macht einen Flip.</v>
      </c>
    </row>
    <row r="16223">
      <c r="A16223" s="4" t="s">
        <v>20432</v>
      </c>
      <c r="B16223" s="4" t="s">
        <v>20435</v>
      </c>
      <c r="C16223" s="5" t="str">
        <f>IFERROR(__xludf.DUMMYFUNCTION("GOOGLETRANSLATE(B16223,""en"",""de"")"),"Danach klettert der Junge auf eine Säule, um einen Flip rückwärts zu machen und auf seinen Händen zu stehen. Dann wird eine Balletttänzerin von ihren Freunden erhoben.")</f>
        <v>Danach klettert der Junge auf eine Säule, um einen Flip rückwärts zu machen und auf seinen Händen zu stehen. Dann wird eine Balletttänzerin von ihren Freunden erhoben.</v>
      </c>
    </row>
    <row r="16224">
      <c r="A16224" s="4" t="s">
        <v>20432</v>
      </c>
      <c r="B16224" s="4" t="s">
        <v>20436</v>
      </c>
      <c r="C16224" s="5" t="str">
        <f>IFERROR(__xludf.DUMMYFUNCTION("GOOGLETRANSLATE(B16224,""en"",""de"")"),"Dann rennt ein Junge und brechen eine Tür, um auf die andere Seite einzudringen, wo ein Mädchen überrascht ist.")</f>
        <v>Dann rennt ein Junge und brechen eine Tür, um auf die andere Seite einzudringen, wo ein Mädchen überrascht ist.</v>
      </c>
    </row>
    <row r="16225">
      <c r="A16225" s="4" t="s">
        <v>20437</v>
      </c>
      <c r="B16225" s="4" t="s">
        <v>20438</v>
      </c>
      <c r="C16225" s="5" t="str">
        <f>IFERROR(__xludf.DUMMYFUNCTION("GOOGLETRANSLATE(B16225,""en"",""de"")"),"Ein Mädchen lächelt in eine Kamera und hält eine Geige und zieht ihre Haare hinter ihren Kopf.")</f>
        <v>Ein Mädchen lächelt in eine Kamera und hält eine Geige und zieht ihre Haare hinter ihren Kopf.</v>
      </c>
    </row>
    <row r="16226">
      <c r="A16226" s="4" t="s">
        <v>20437</v>
      </c>
      <c r="B16226" s="4" t="s">
        <v>20439</v>
      </c>
      <c r="C16226" s="5" t="str">
        <f>IFERROR(__xludf.DUMMYFUNCTION("GOOGLETRANSLATE(B16226,""en"",""de"")"),"Sie spricht weiter mit der Kamera, gefolgt von ihr, wie sie die Geige spielt.")</f>
        <v>Sie spricht weiter mit der Kamera, gefolgt von ihr, wie sie die Geige spielt.</v>
      </c>
    </row>
    <row r="16227">
      <c r="A16227" s="4" t="s">
        <v>20437</v>
      </c>
      <c r="B16227" s="4" t="s">
        <v>20440</v>
      </c>
      <c r="C16227" s="5" t="str">
        <f>IFERROR(__xludf.DUMMYFUNCTION("GOOGLETRANSLATE(B16227,""en"",""de"")"),"Sie nimmt ihre Haare runter und spricht weiter mit der Kamera und zeigt verschiedene Geigenbewegungen beim Singen.")</f>
        <v>Sie nimmt ihre Haare runter und spricht weiter mit der Kamera und zeigt verschiedene Geigenbewegungen beim Singen.</v>
      </c>
    </row>
    <row r="16228">
      <c r="A16228" s="4" t="s">
        <v>20437</v>
      </c>
      <c r="B16228" s="4" t="s">
        <v>20441</v>
      </c>
      <c r="C16228" s="5" t="str">
        <f>IFERROR(__xludf.DUMMYFUNCTION("GOOGLETRANSLATE(B16228,""en"",""de"")"),"Sie legt wieder ihre Haare hoch und fährt fort, damit sie spielt.")</f>
        <v>Sie legt wieder ihre Haare hoch und fährt fort, damit sie spielt.</v>
      </c>
    </row>
    <row r="16229">
      <c r="A16229" s="4" t="s">
        <v>20442</v>
      </c>
      <c r="B16229" s="4" t="s">
        <v>20443</v>
      </c>
      <c r="C16229" s="5" t="str">
        <f>IFERROR(__xludf.DUMMYFUNCTION("GOOGLETRANSLATE(B16229,""en"",""de"")"),"Eine Person schaltet die Notlichter eines Autos ein und nimmt den Notruf heraus.")</f>
        <v>Eine Person schaltet die Notlichter eines Autos ein und nimmt den Notruf heraus.</v>
      </c>
    </row>
    <row r="16230">
      <c r="A16230" s="4" t="s">
        <v>20442</v>
      </c>
      <c r="B16230" s="4" t="s">
        <v>20444</v>
      </c>
      <c r="C16230" s="5" t="str">
        <f>IFERROR(__xludf.DUMMYFUNCTION("GOOGLETRANSLATE(B16230,""en"",""de"")"),"Dann verliert der Mann die Reifenmuttern und liest dann das Handbuch.")</f>
        <v>Dann verliert der Mann die Reifenmuttern und liest dann das Handbuch.</v>
      </c>
    </row>
    <row r="16231">
      <c r="A16231" s="4" t="s">
        <v>20442</v>
      </c>
      <c r="B16231" s="4" t="s">
        <v>20445</v>
      </c>
      <c r="C16231" s="5" t="str">
        <f>IFERROR(__xludf.DUMMYFUNCTION("GOOGLETRANSLATE(B16231,""en"",""de"")"),"Danach setzt der Mann einen Jack unter das Auto, um ihn zu erheben.")</f>
        <v>Danach setzt der Mann einen Jack unter das Auto, um ihn zu erheben.</v>
      </c>
    </row>
    <row r="16232">
      <c r="A16232" s="4" t="s">
        <v>20442</v>
      </c>
      <c r="B16232" s="4" t="s">
        <v>20446</v>
      </c>
      <c r="C16232" s="5" t="str">
        <f>IFERROR(__xludf.DUMMYFUNCTION("GOOGLETRANSLATE(B16232,""en"",""de"")"),"Als nächstes setzt der Mann den Notreifen und eng die Lug -Nüsse.")</f>
        <v>Als nächstes setzt der Mann den Notreifen und eng die Lug -Nüsse.</v>
      </c>
    </row>
    <row r="16233">
      <c r="A16233" s="4" t="s">
        <v>20442</v>
      </c>
      <c r="B16233" s="4" t="s">
        <v>20447</v>
      </c>
      <c r="C16233" s="5" t="str">
        <f>IFERROR(__xludf.DUMMYFUNCTION("GOOGLETRANSLATE(B16233,""en"",""de"")"),"Am Ende hält der Mann den Jack und den platten Reifen.")</f>
        <v>Am Ende hält der Mann den Jack und den platten Reifen.</v>
      </c>
    </row>
    <row r="16234">
      <c r="A16234" s="4" t="s">
        <v>20448</v>
      </c>
      <c r="B16234" s="4" t="s">
        <v>20449</v>
      </c>
      <c r="C16234" s="5" t="str">
        <f>IFERROR(__xludf.DUMMYFUNCTION("GOOGLETRANSLATE(B16234,""en"",""de"")"),"Eine Frau spricht mit der Kamera, während sie eine Geige hält.")</f>
        <v>Eine Frau spricht mit der Kamera, während sie eine Geige hält.</v>
      </c>
    </row>
    <row r="16235">
      <c r="A16235" s="4" t="s">
        <v>20448</v>
      </c>
      <c r="B16235" s="4" t="s">
        <v>20450</v>
      </c>
      <c r="C16235" s="5" t="str">
        <f>IFERROR(__xludf.DUMMYFUNCTION("GOOGLETRANSLATE(B16235,""en"",""de"")"),"Die Frau spricht weiter und sie zeigen, wie man ein Lied spielt.")</f>
        <v>Die Frau spricht weiter und sie zeigen, wie man ein Lied spielt.</v>
      </c>
    </row>
    <row r="16236">
      <c r="A16236" s="4" t="s">
        <v>20448</v>
      </c>
      <c r="B16236" s="4" t="s">
        <v>20451</v>
      </c>
      <c r="C16236" s="5" t="str">
        <f>IFERROR(__xludf.DUMMYFUNCTION("GOOGLETRANSLATE(B16236,""en"",""de"")"),"Sie spielt das Lied und lächelt zur Kamera.")</f>
        <v>Sie spielt das Lied und lächelt zur Kamera.</v>
      </c>
    </row>
    <row r="16237">
      <c r="A16237" s="4" t="s">
        <v>20452</v>
      </c>
      <c r="B16237" s="4" t="s">
        <v>20453</v>
      </c>
      <c r="C16237" s="5" t="str">
        <f>IFERROR(__xludf.DUMMYFUNCTION("GOOGLETRANSLATE(B16237,""en"",""de"")"),"Eine Person wird gesehen, wie sich über seine Beine beugt, mit einer Person, die Rasierschaum über sein Bein legt.")</f>
        <v>Eine Person wird gesehen, wie sich über seine Beine beugt, mit einer Person, die Rasierschaum über sein Bein legt.</v>
      </c>
    </row>
    <row r="16238">
      <c r="A16238" s="4" t="s">
        <v>20452</v>
      </c>
      <c r="B16238" s="4" t="s">
        <v>20454</v>
      </c>
      <c r="C16238" s="5" t="str">
        <f>IFERROR(__xludf.DUMMYFUNCTION("GOOGLETRANSLATE(B16238,""en"",""de"")"),"Die Person schnappt sich dann einen Rasierer und beginnt, das Bein des Mannes zu rasieren, während er es in ein Waschbecken taucht.")</f>
        <v>Die Person schnappt sich dann einen Rasierer und beginnt, das Bein des Mannes zu rasieren, während er es in ein Waschbecken taucht.</v>
      </c>
    </row>
    <row r="16239">
      <c r="A16239" s="4" t="s">
        <v>20452</v>
      </c>
      <c r="B16239" s="4" t="s">
        <v>20455</v>
      </c>
      <c r="C16239" s="5" t="str">
        <f>IFERROR(__xludf.DUMMYFUNCTION("GOOGLETRANSLATE(B16239,""en"",""de"")"),"Die Frau rasiert weiter sein Bein, während er zurück zum Waschbecken schwebt und ihn etwas trinkt.")</f>
        <v>Die Frau rasiert weiter sein Bein, während er zurück zum Waschbecken schwebt und ihn etwas trinkt.</v>
      </c>
    </row>
    <row r="16240">
      <c r="A16240" s="4" t="s">
        <v>20456</v>
      </c>
      <c r="B16240" s="4" t="s">
        <v>20457</v>
      </c>
      <c r="C16240" s="5" t="str">
        <f>IFERROR(__xludf.DUMMYFUNCTION("GOOGLETRANSLATE(B16240,""en"",""de"")"),"Ein Mann Ball rollt über ein Baseballfeld und ein kleiner Junge in einem grünen Hemd tritt den Ball und rennt durch die Basen.")</f>
        <v>Ein Mann Ball rollt über ein Baseballfeld und ein kleiner Junge in einem grünen Hemd tritt den Ball und rennt durch die Basen.</v>
      </c>
    </row>
    <row r="16241">
      <c r="A16241" s="4" t="s">
        <v>20456</v>
      </c>
      <c r="B16241" s="4" t="s">
        <v>20458</v>
      </c>
      <c r="C16241" s="5" t="str">
        <f>IFERROR(__xludf.DUMMYFUNCTION("GOOGLETRANSLATE(B16241,""en"",""de"")"),"Der Junge hält an und schaut in die Kamera und rennt dann wieder.")</f>
        <v>Der Junge hält an und schaut in die Kamera und rennt dann wieder.</v>
      </c>
    </row>
    <row r="16242">
      <c r="A16242" s="4" t="s">
        <v>20456</v>
      </c>
      <c r="B16242" s="4" t="s">
        <v>20459</v>
      </c>
      <c r="C16242" s="5" t="str">
        <f>IFERROR(__xludf.DUMMYFUNCTION("GOOGLETRANSLATE(B16242,""en"",""de"")"),"Eine Person läuft vor der Kamera.")</f>
        <v>Eine Person läuft vor der Kamera.</v>
      </c>
    </row>
    <row r="16243">
      <c r="A16243" s="4" t="s">
        <v>20456</v>
      </c>
      <c r="B16243" s="4" t="s">
        <v>20460</v>
      </c>
      <c r="C16243" s="5" t="str">
        <f>IFERROR(__xludf.DUMMYFUNCTION("GOOGLETRANSLATE(B16243,""en"",""de"")"),"Der Junge schafft es nach Hause, als eine Dame einen Ball zum Zaun jagt.")</f>
        <v>Der Junge schafft es nach Hause, als eine Dame einen Ball zum Zaun jagt.</v>
      </c>
    </row>
    <row r="16244">
      <c r="A16244" s="4" t="s">
        <v>20461</v>
      </c>
      <c r="B16244" s="4" t="s">
        <v>20462</v>
      </c>
      <c r="C16244" s="5" t="str">
        <f>IFERROR(__xludf.DUMMYFUNCTION("GOOGLETRANSLATE(B16244,""en"",""de"")"),"Der Junge im roten Hut und der blaue Mantel wird von einem Seil über einige eisige Straßen in einem roten Röhrchen gezogen.")</f>
        <v>Der Junge im roten Hut und der blaue Mantel wird von einem Seil über einige eisige Straßen in einem roten Röhrchen gezogen.</v>
      </c>
    </row>
    <row r="16245">
      <c r="A16245" s="4" t="s">
        <v>20461</v>
      </c>
      <c r="B16245" s="4" t="s">
        <v>20463</v>
      </c>
      <c r="C16245" s="5" t="str">
        <f>IFERROR(__xludf.DUMMYFUNCTION("GOOGLETRANSLATE(B16245,""en"",""de"")"),"Ein Mann in einem schwarzen Hut hat an der Reihe mit der Röhre.")</f>
        <v>Ein Mann in einem schwarzen Hut hat an der Reihe mit der Röhre.</v>
      </c>
    </row>
    <row r="16246">
      <c r="A16246" s="4" t="s">
        <v>20461</v>
      </c>
      <c r="B16246" s="4" t="s">
        <v>20464</v>
      </c>
      <c r="C16246" s="5" t="str">
        <f>IFERROR(__xludf.DUMMYFUNCTION("GOOGLETRANSLATE(B16246,""en"",""de"")"),"Ein Mann in einem grauen Hut trifft eine Schneeböhnerung mit der Röhre.")</f>
        <v>Ein Mann in einem grauen Hut trifft eine Schneeböhnerung mit der Röhre.</v>
      </c>
    </row>
    <row r="16247">
      <c r="A16247" s="4" t="s">
        <v>20461</v>
      </c>
      <c r="B16247" s="4" t="s">
        <v>20465</v>
      </c>
      <c r="C16247" s="5" t="str">
        <f>IFERROR(__xludf.DUMMYFUNCTION("GOOGLETRANSLATE(B16247,""en"",""de"")"),"Ein Mann geht einen Schneeberg in der Röhre hinauf.")</f>
        <v>Ein Mann geht einen Schneeberg in der Röhre hinauf.</v>
      </c>
    </row>
    <row r="16248">
      <c r="A16248" s="4" t="s">
        <v>20461</v>
      </c>
      <c r="B16248" s="4" t="s">
        <v>20466</v>
      </c>
      <c r="C16248" s="5" t="str">
        <f>IFERROR(__xludf.DUMMYFUNCTION("GOOGLETRANSLATE(B16248,""en"",""de"")"),"Mehr Menschen beginnen zu rutschen, aber diesmal ist es mit einem kleinen Schlitten, nicht mit einem Röhrchen.")</f>
        <v>Mehr Menschen beginnen zu rutschen, aber diesmal ist es mit einem kleinen Schlitten, nicht mit einem Röhrchen.</v>
      </c>
    </row>
    <row r="16249">
      <c r="A16249" s="4" t="s">
        <v>20461</v>
      </c>
      <c r="B16249" s="4" t="s">
        <v>20467</v>
      </c>
      <c r="C16249" s="5" t="str">
        <f>IFERROR(__xludf.DUMMYFUNCTION("GOOGLETRANSLATE(B16249,""en"",""de"")"),"Ein Mann lässt das Seil los und trifft einen Schneebögen.")</f>
        <v>Ein Mann lässt das Seil los und trifft einen Schneebögen.</v>
      </c>
    </row>
    <row r="16250">
      <c r="A16250" s="4" t="s">
        <v>20461</v>
      </c>
      <c r="B16250" s="4" t="s">
        <v>20468</v>
      </c>
      <c r="C16250" s="5" t="str">
        <f>IFERROR(__xludf.DUMMYFUNCTION("GOOGLETRANSLATE(B16250,""en"",""de"")"),"Eine Gruppe von Freunden sitzt zusammen auf einer Couch.")</f>
        <v>Eine Gruppe von Freunden sitzt zusammen auf einer Couch.</v>
      </c>
    </row>
    <row r="16251">
      <c r="A16251" s="4" t="s">
        <v>20469</v>
      </c>
      <c r="B16251" s="4" t="s">
        <v>20470</v>
      </c>
      <c r="C16251" s="5" t="str">
        <f>IFERROR(__xludf.DUMMYFUNCTION("GOOGLETRANSLATE(B16251,""en"",""de"")"),"Ein Mann, der nur schwarze Shorts, Sandalen und einen Ganggürtel trägt, steigt mit einem Seil in einer natürlichen Umgebung mit Bäumen und Laub mit einem Seil.")</f>
        <v>Ein Mann, der nur schwarze Shorts, Sandalen und einen Ganggürtel trägt, steigt mit einem Seil in einer natürlichen Umgebung mit Bäumen und Laub mit einem Seil.</v>
      </c>
    </row>
    <row r="16252">
      <c r="A16252" s="4" t="s">
        <v>20469</v>
      </c>
      <c r="B16252" s="4" t="s">
        <v>20471</v>
      </c>
      <c r="C16252" s="5" t="str">
        <f>IFERROR(__xludf.DUMMYFUNCTION("GOOGLETRANSLATE(B16252,""en"",""de"")"),"Der Mann in den schwarzen Shorts steht am Felsgrund und beginnt, den Felsen zu besteigen.")</f>
        <v>Der Mann in den schwarzen Shorts steht am Felsgrund und beginnt, den Felsen zu besteigen.</v>
      </c>
    </row>
    <row r="16253">
      <c r="A16253" s="4" t="s">
        <v>20469</v>
      </c>
      <c r="B16253" s="4" t="s">
        <v>20472</v>
      </c>
      <c r="C16253" s="5" t="str">
        <f>IFERROR(__xludf.DUMMYFUNCTION("GOOGLETRANSLATE(B16253,""en"",""de"")"),"Der Mann steigt vom Boden mit Knien, um ein Gleichgewicht zu gewinnen, und ein Seil, das sich durch den Griff mit den Felsen verliert.")</f>
        <v>Der Mann steigt vom Boden mit Knien, um ein Gleichgewicht zu gewinnen, und ein Seil, das sich durch den Griff mit den Felsen verliert.</v>
      </c>
    </row>
    <row r="16254">
      <c r="A16254" s="4" t="s">
        <v>20469</v>
      </c>
      <c r="B16254" s="4" t="s">
        <v>20473</v>
      </c>
      <c r="C16254" s="5" t="str">
        <f>IFERROR(__xludf.DUMMYFUNCTION("GOOGLETRANSLATE(B16254,""en"",""de"")"),"Der Mann erreicht die Spitze des Felsens, während das braune Seil, dahinter, baumelt.")</f>
        <v>Der Mann erreicht die Spitze des Felsens, während das braune Seil, dahinter, baumelt.</v>
      </c>
    </row>
    <row r="16255">
      <c r="A16255" s="4" t="s">
        <v>20474</v>
      </c>
      <c r="B16255" s="4" t="s">
        <v>20475</v>
      </c>
      <c r="C16255" s="5" t="str">
        <f>IFERROR(__xludf.DUMMYFUNCTION("GOOGLETRANSLATE(B16255,""en"",""de"")"),"Ein Mann fällt hin, während er eine Fahrspur entlang ausprobiert.")</f>
        <v>Ein Mann fällt hin, während er eine Fahrspur entlang ausprobiert.</v>
      </c>
    </row>
    <row r="16256">
      <c r="A16256" s="4" t="s">
        <v>20474</v>
      </c>
      <c r="B16256" s="4" t="s">
        <v>20476</v>
      </c>
      <c r="C16256" s="5" t="str">
        <f>IFERROR(__xludf.DUMMYFUNCTION("GOOGLETRANSLATE(B16256,""en"",""de"")"),"Eine Frau fällt hin, versucht zu bowlen.")</f>
        <v>Eine Frau fällt hin, versucht zu bowlen.</v>
      </c>
    </row>
    <row r="16257">
      <c r="A16257" s="4" t="s">
        <v>20474</v>
      </c>
      <c r="B16257" s="4" t="s">
        <v>20477</v>
      </c>
      <c r="C16257" s="5" t="str">
        <f>IFERROR(__xludf.DUMMYFUNCTION("GOOGLETRANSLATE(B16257,""en"",""de"")"),"Ein Mann wirft einen Bowlingkugel und er trifft die Decke.")</f>
        <v>Ein Mann wirft einen Bowlingkugel und er trifft die Decke.</v>
      </c>
    </row>
    <row r="16258">
      <c r="A16258" s="4" t="s">
        <v>20474</v>
      </c>
      <c r="B16258" s="4" t="s">
        <v>20478</v>
      </c>
      <c r="C16258" s="5" t="str">
        <f>IFERROR(__xludf.DUMMYFUNCTION("GOOGLETRANSLATE(B16258,""en"",""de"")"),"Ein Mann schlüpft und fällt, als er versucht, zu rollen.")</f>
        <v>Ein Mann schlüpft und fällt, als er versucht, zu rollen.</v>
      </c>
    </row>
    <row r="16259">
      <c r="A16259" s="4" t="s">
        <v>20479</v>
      </c>
      <c r="B16259" s="4" t="s">
        <v>20480</v>
      </c>
      <c r="C16259" s="5" t="str">
        <f>IFERROR(__xludf.DUMMYFUNCTION("GOOGLETRANSLATE(B16259,""en"",""de"")"),"Eine Person dreht einen Ski verkehrt herum.")</f>
        <v>Eine Person dreht einen Ski verkehrt herum.</v>
      </c>
    </row>
    <row r="16260">
      <c r="A16260" s="4" t="s">
        <v>20479</v>
      </c>
      <c r="B16260" s="4" t="s">
        <v>20481</v>
      </c>
      <c r="C16260" s="5" t="str">
        <f>IFERROR(__xludf.DUMMYFUNCTION("GOOGLETRANSLATE(B16260,""en"",""de"")"),"Sie schmelzen auf den Boden des Ski.")</f>
        <v>Sie schmelzen auf den Boden des Ski.</v>
      </c>
    </row>
    <row r="16261">
      <c r="A16261" s="4" t="s">
        <v>20479</v>
      </c>
      <c r="B16261" s="4" t="s">
        <v>20482</v>
      </c>
      <c r="C16261" s="5" t="str">
        <f>IFERROR(__xludf.DUMMYFUNCTION("GOOGLETRANSLATE(B16261,""en"",""de"")"),"Sie rennen das Eisen über den Ski über den Kopf.")</f>
        <v>Sie rennen das Eisen über den Ski über den Kopf.</v>
      </c>
    </row>
    <row r="16262">
      <c r="A16262" s="4" t="s">
        <v>20483</v>
      </c>
      <c r="B16262" s="4" t="s">
        <v>20484</v>
      </c>
      <c r="C16262" s="5" t="str">
        <f>IFERROR(__xludf.DUMMYFUNCTION("GOOGLETRANSLATE(B16262,""en"",""de"")"),"Ein Turner steht vor und winkt die Arme vor einer Aufführung.")</f>
        <v>Ein Turner steht vor und winkt die Arme vor einer Aufführung.</v>
      </c>
    </row>
    <row r="16263">
      <c r="A16263" s="4" t="s">
        <v>20483</v>
      </c>
      <c r="B16263" s="4" t="s">
        <v>20485</v>
      </c>
      <c r="C16263" s="5" t="str">
        <f>IFERROR(__xludf.DUMMYFUNCTION("GOOGLETRANSLATE(B16263,""en"",""de"")"),"Der Turner hüpft hoch und montiert den Balancestrahl.")</f>
        <v>Der Turner hüpft hoch und montiert den Balancestrahl.</v>
      </c>
    </row>
    <row r="16264">
      <c r="A16264" s="4" t="s">
        <v>20483</v>
      </c>
      <c r="B16264" s="4" t="s">
        <v>20486</v>
      </c>
      <c r="C16264" s="5" t="str">
        <f>IFERROR(__xludf.DUMMYFUNCTION("GOOGLETRANSLATE(B16264,""en"",""de"")"),"Der Turner macht eine Routine auf dem Balancestrahl mit Flips und Handfedern.")</f>
        <v>Der Turner macht eine Routine auf dem Balancestrahl mit Flips und Handfedern.</v>
      </c>
    </row>
    <row r="16265">
      <c r="A16265" s="4" t="s">
        <v>20483</v>
      </c>
      <c r="B16265" s="4" t="s">
        <v>20487</v>
      </c>
      <c r="C16265" s="5" t="str">
        <f>IFERROR(__xludf.DUMMYFUNCTION("GOOGLETRANSLATE(B16265,""en"",""de"")"),"Der Turner springt und macht die Spaltungen in der Luft.")</f>
        <v>Der Turner springt und macht die Spaltungen in der Luft.</v>
      </c>
    </row>
    <row r="16266">
      <c r="A16266" s="4" t="s">
        <v>20483</v>
      </c>
      <c r="B16266" s="4" t="s">
        <v>20488</v>
      </c>
      <c r="C16266" s="5" t="str">
        <f>IFERROR(__xludf.DUMMYFUNCTION("GOOGLETRANSLATE(B16266,""en"",""de"")"),"Der Turner steigt den Balancestrahl auf die Matte ab.")</f>
        <v>Der Turner steigt den Balancestrahl auf die Matte ab.</v>
      </c>
    </row>
    <row r="16267">
      <c r="A16267" s="4" t="s">
        <v>20489</v>
      </c>
      <c r="B16267" s="4" t="s">
        <v>20490</v>
      </c>
      <c r="C16267" s="5" t="str">
        <f>IFERROR(__xludf.DUMMYFUNCTION("GOOGLETRANSLATE(B16267,""en"",""de"")"),"Wir sehen eine weiße Eröffnungsszene.")</f>
        <v>Wir sehen eine weiße Eröffnungsszene.</v>
      </c>
    </row>
    <row r="16268">
      <c r="A16268" s="4" t="s">
        <v>20489</v>
      </c>
      <c r="B16268" s="4" t="s">
        <v>20491</v>
      </c>
      <c r="C16268" s="5" t="str">
        <f>IFERROR(__xludf.DUMMYFUNCTION("GOOGLETRANSLATE(B16268,""en"",""de"")"),"Wir sehen eine Frau in einer Küche reden und kochen.")</f>
        <v>Wir sehen eine Frau in einer Küche reden und kochen.</v>
      </c>
    </row>
    <row r="16269">
      <c r="A16269" s="4" t="s">
        <v>20489</v>
      </c>
      <c r="B16269" s="4" t="s">
        <v>20492</v>
      </c>
      <c r="C16269" s="5" t="str">
        <f>IFERROR(__xludf.DUMMYFUNCTION("GOOGLETRANSLATE(B16269,""en"",""de"")"),"Die Dame schneidet eine Kartoffel und stellt sie ins Wasser.")</f>
        <v>Die Dame schneidet eine Kartoffel und stellt sie ins Wasser.</v>
      </c>
    </row>
    <row r="16270">
      <c r="A16270" s="4" t="s">
        <v>20489</v>
      </c>
      <c r="B16270" s="4" t="s">
        <v>20493</v>
      </c>
      <c r="C16270" s="5" t="str">
        <f>IFERROR(__xludf.DUMMYFUNCTION("GOOGLETRANSLATE(B16270,""en"",""de"")"),"Die Dame steckt die Kartoffel in kaltes Wasser.")</f>
        <v>Die Dame steckt die Kartoffel in kaltes Wasser.</v>
      </c>
    </row>
    <row r="16271">
      <c r="A16271" s="4" t="s">
        <v>20489</v>
      </c>
      <c r="B16271" s="4" t="s">
        <v>20494</v>
      </c>
      <c r="C16271" s="5" t="str">
        <f>IFERROR(__xludf.DUMMYFUNCTION("GOOGLETRANSLATE(B16271,""en"",""de"")"),"Die Dame schleppt die Haut leicht von der Kartoffel.")</f>
        <v>Die Dame schleppt die Haut leicht von der Kartoffel.</v>
      </c>
    </row>
    <row r="16272">
      <c r="A16272" s="4" t="s">
        <v>20489</v>
      </c>
      <c r="B16272" s="4" t="s">
        <v>2486</v>
      </c>
      <c r="C16272" s="5" t="str">
        <f>IFERROR(__xludf.DUMMYFUNCTION("GOOGLETRANSLATE(B16272,""en"",""de"")"),"Wir sehen den Schlussbildschirm.")</f>
        <v>Wir sehen den Schlussbildschirm.</v>
      </c>
    </row>
    <row r="16273">
      <c r="A16273" s="4" t="s">
        <v>20495</v>
      </c>
      <c r="B16273" s="4" t="s">
        <v>20496</v>
      </c>
      <c r="C16273" s="5" t="str">
        <f>IFERROR(__xludf.DUMMYFUNCTION("GOOGLETRANSLATE(B16273,""en"",""de"")"),"Ein Koch mischt Wasser und Essig in einer Glasschüssel und fügt ihm getrocknete Chilis hinzu.")</f>
        <v>Ein Koch mischt Wasser und Essig in einer Glasschüssel und fügt ihm getrocknete Chilis hinzu.</v>
      </c>
    </row>
    <row r="16274">
      <c r="A16274" s="4" t="s">
        <v>20495</v>
      </c>
      <c r="B16274" s="4" t="s">
        <v>20497</v>
      </c>
      <c r="C16274" s="5" t="str">
        <f>IFERROR(__xludf.DUMMYFUNCTION("GOOGLETRANSLATE(B16274,""en"",""de"")"),"Dann mischt der Küchenchef in einem Mixer Kapern, Knoblauch, Sardellen und schwarze Oliven zusammen mit etwas Olivenöl.")</f>
        <v>Dann mischt der Küchenchef in einem Mixer Kapern, Knoblauch, Sardellen und schwarze Oliven zusammen mit etwas Olivenöl.</v>
      </c>
    </row>
    <row r="16275">
      <c r="A16275" s="4" t="s">
        <v>20495</v>
      </c>
      <c r="B16275" s="4" t="s">
        <v>20498</v>
      </c>
      <c r="C16275" s="5" t="str">
        <f>IFERROR(__xludf.DUMMYFUNCTION("GOOGLETRANSLATE(B16275,""en"",""de"")"),"Der Küchenchef mischt die Zutaten zu einer Paste.")</f>
        <v>Der Küchenchef mischt die Zutaten zu einer Paste.</v>
      </c>
    </row>
    <row r="16276">
      <c r="A16276" s="4" t="s">
        <v>20495</v>
      </c>
      <c r="B16276" s="4" t="s">
        <v>20499</v>
      </c>
      <c r="C16276" s="5" t="str">
        <f>IFERROR(__xludf.DUMMYFUNCTION("GOOGLETRANSLATE(B16276,""en"",""de"")"),"Der Küchenchef fügt Öl in eine Brandpfanne etwas Knoblauch hinzu und sautiert sie mit sonnengetrockneten Tomaten.")</f>
        <v>Der Küchenchef fügt Öl in eine Brandpfanne etwas Knoblauch hinzu und sautiert sie mit sonnengetrockneten Tomaten.</v>
      </c>
    </row>
    <row r="16277">
      <c r="A16277" s="4" t="s">
        <v>20495</v>
      </c>
      <c r="B16277" s="4" t="s">
        <v>20500</v>
      </c>
      <c r="C16277" s="5" t="str">
        <f>IFERROR(__xludf.DUMMYFUNCTION("GOOGLETRANSLATE(B16277,""en"",""de"")"),"Dann fügt die Olivenpapenade in die Pfanne hinzu.")</f>
        <v>Dann fügt die Olivenpapenade in die Pfanne hinzu.</v>
      </c>
    </row>
    <row r="16278">
      <c r="A16278" s="4" t="s">
        <v>20495</v>
      </c>
      <c r="B16278" s="4" t="s">
        <v>20501</v>
      </c>
      <c r="C16278" s="5" t="str">
        <f>IFERROR(__xludf.DUMMYFUNCTION("GOOGLETRANSLATE(B16278,""en"",""de"")"),"Der Küchenchef kocht dann zusammen etwas Petersilie und Knoblauch.")</f>
        <v>Der Küchenchef kocht dann zusammen etwas Petersilie und Knoblauch.</v>
      </c>
    </row>
    <row r="16279">
      <c r="A16279" s="4" t="s">
        <v>20495</v>
      </c>
      <c r="B16279" s="4" t="s">
        <v>20502</v>
      </c>
      <c r="C16279" s="5" t="str">
        <f>IFERROR(__xludf.DUMMYFUNCTION("GOOGLETRANSLATE(B16279,""en"",""de"")"),"Dann fügt er etwas Spaghetti zum kochenden Salzwasser hinzu und kocht es.")</f>
        <v>Dann fügt er etwas Spaghetti zum kochenden Salzwasser hinzu und kocht es.</v>
      </c>
    </row>
    <row r="16280">
      <c r="A16280" s="4" t="s">
        <v>20495</v>
      </c>
      <c r="B16280" s="4" t="s">
        <v>20503</v>
      </c>
      <c r="C16280" s="5" t="str">
        <f>IFERROR(__xludf.DUMMYFUNCTION("GOOGLETRANSLATE(B16280,""en"",""de"")"),"Er fügt den Spaghetti die gehackte Petersilie hinzu und mischt sie zusammen mit der Oliven Tapenade gut.")</f>
        <v>Er fügt den Spaghetti die gehackte Petersilie hinzu und mischt sie zusammen mit der Oliven Tapenade gut.</v>
      </c>
    </row>
    <row r="16281">
      <c r="A16281" s="4" t="s">
        <v>20504</v>
      </c>
      <c r="B16281" s="4" t="s">
        <v>20505</v>
      </c>
      <c r="C16281" s="5" t="str">
        <f>IFERROR(__xludf.DUMMYFUNCTION("GOOGLETRANSLATE(B16281,""en"",""de"")"),"Eine Person setzt schwarzes Zuckerguss auf einen Kuchen.")</f>
        <v>Eine Person setzt schwarzes Zuckerguss auf einen Kuchen.</v>
      </c>
    </row>
    <row r="16282">
      <c r="A16282" s="4" t="s">
        <v>20504</v>
      </c>
      <c r="B16282" s="4" t="s">
        <v>20506</v>
      </c>
      <c r="C16282" s="5" t="str">
        <f>IFERROR(__xludf.DUMMYFUNCTION("GOOGLETRANSLATE(B16282,""en"",""de"")"),"Sie gießen das Zuckerguss aus einem Topf.")</f>
        <v>Sie gießen das Zuckerguss aus einem Topf.</v>
      </c>
    </row>
    <row r="16283">
      <c r="A16283" s="4" t="s">
        <v>20504</v>
      </c>
      <c r="B16283" s="4" t="s">
        <v>20507</v>
      </c>
      <c r="C16283" s="5" t="str">
        <f>IFERROR(__xludf.DUMMYFUNCTION("GOOGLETRANSLATE(B16283,""en"",""de"")"),"Sie legen Erdbeeren, Blaubeeren, Himbeeren und schwarze Beeren auf den Kuchen.")</f>
        <v>Sie legen Erdbeeren, Blaubeeren, Himbeeren und schwarze Beeren auf den Kuchen.</v>
      </c>
    </row>
    <row r="16284">
      <c r="A16284" s="4" t="s">
        <v>20508</v>
      </c>
      <c r="B16284" s="4" t="s">
        <v>20509</v>
      </c>
      <c r="C16284" s="5" t="str">
        <f>IFERROR(__xludf.DUMMYFUNCTION("GOOGLETRANSLATE(B16284,""en"",""de"")"),"Eine große Gruppe von Menschen sieht auf Trampolinen herumhüpfen und sich gegenseitig Völkerbälle werfen.")</f>
        <v>Eine große Gruppe von Menschen sieht auf Trampolinen herumhüpfen und sich gegenseitig Völkerbälle werfen.</v>
      </c>
    </row>
    <row r="16285">
      <c r="A16285" s="4" t="s">
        <v>20508</v>
      </c>
      <c r="B16285" s="4" t="s">
        <v>20510</v>
      </c>
      <c r="C16285" s="5" t="str">
        <f>IFERROR(__xludf.DUMMYFUNCTION("GOOGLETRANSLATE(B16285,""en"",""de"")"),"Die Kamera schwenkt zu den Menschen von außen und zurück zu den Kindern, die spielen.")</f>
        <v>Die Kamera schwenkt zu den Menschen von außen und zurück zu den Kindern, die spielen.</v>
      </c>
    </row>
    <row r="16286">
      <c r="A16286" s="4" t="s">
        <v>20511</v>
      </c>
      <c r="B16286" s="4" t="s">
        <v>20512</v>
      </c>
      <c r="C16286" s="5" t="str">
        <f>IFERROR(__xludf.DUMMYFUNCTION("GOOGLETRANSLATE(B16286,""en"",""de"")"),"Es wird ein rosa Bildschirm angezeigt, der schwarze Zahlen und Wörter mit der Aufschrift ""Handbagbuyer 82"" aufweist, dann scheinen die Herzen den Intro -Bildschirm auszublenden und eine lächelnde blonde Frau, die Green trägt, scheint direkt mit der Kame"&amp;"ra zu sprechen.")</f>
        <v>Es wird ein rosa Bildschirm angezeigt, der schwarze Zahlen und Wörter mit der Aufschrift "Handbagbuyer 82" aufweist, dann scheinen die Herzen den Intro -Bildschirm auszublenden und eine lächelnde blonde Frau, die Green trägt, scheint direkt mit der Kamera zu sprechen.</v>
      </c>
    </row>
    <row r="16287">
      <c r="A16287" s="4" t="s">
        <v>20511</v>
      </c>
      <c r="B16287" s="4" t="s">
        <v>20513</v>
      </c>
      <c r="C16287" s="5" t="str">
        <f>IFERROR(__xludf.DUMMYFUNCTION("GOOGLETRANSLATE(B16287,""en"",""de"")"),"Die Frau nimmt dann ein Tablett mit einem Cover auf, das farbenfrohe Locken verschiedener Größen enthält, und sie redet weiter, während sie auf sie zeigt.")</f>
        <v>Die Frau nimmt dann ein Tablett mit einem Cover auf, das farbenfrohe Locken verschiedener Größen enthält, und sie redet weiter, während sie auf sie zeigt.</v>
      </c>
    </row>
    <row r="16288">
      <c r="A16288" s="4" t="s">
        <v>20511</v>
      </c>
      <c r="B16288" s="4" t="s">
        <v>20514</v>
      </c>
      <c r="C16288" s="5" t="str">
        <f>IFERROR(__xludf.DUMMYFUNCTION("GOOGLETRANSLATE(B16288,""en"",""de"")"),"Die Frau nimmt dann eine schwarze Tasche auf und schnappt sich einen silbernen Clip daraus, steckt ihn wieder in die Tasche und legt die Tasche auf die Seite und redet weiter.")</f>
        <v>Die Frau nimmt dann eine schwarze Tasche auf und schnappt sich einen silbernen Clip daraus, steckt ihn wieder in die Tasche und legt die Tasche auf die Seite und redet weiter.</v>
      </c>
    </row>
    <row r="16289">
      <c r="A16289" s="4" t="s">
        <v>20511</v>
      </c>
      <c r="B16289" s="4" t="s">
        <v>20515</v>
      </c>
      <c r="C16289" s="5" t="str">
        <f>IFERROR(__xludf.DUMMYFUNCTION("GOOGLETRANSLATE(B16289,""en"",""de"")"),"Die Frau steht jetzt in einem Badezimmer und trägt einen roten Pullover mit Hello Kitty auf der Vorderseite und sie putzt ihr Haar, rollt es in Locken und schneidet jeden einzeln mit dem silbernen Clip und den Locken, die sie zuvor gezeigt hat.")</f>
        <v>Die Frau steht jetzt in einem Badezimmer und trägt einen roten Pullover mit Hello Kitty auf der Vorderseite und sie putzt ihr Haar, rollt es in Locken und schneidet jeden einzeln mit dem silbernen Clip und den Locken, die sie zuvor gezeigt hat.</v>
      </c>
    </row>
    <row r="16290">
      <c r="A16290" s="4" t="s">
        <v>20511</v>
      </c>
      <c r="B16290" s="4" t="s">
        <v>20516</v>
      </c>
      <c r="C16290" s="5" t="str">
        <f>IFERROR(__xludf.DUMMYFUNCTION("GOOGLETRANSLATE(B16290,""en"",""de"")"),"Als sie abschließt, alle Locken zu setzen, die auf den gesamten Kopf passen können, lächelt sie zur Kamera und dreht ihren Kopf von einer Seite zur anderen.")</f>
        <v>Als sie abschließt, alle Locken zu setzen, die auf den gesamten Kopf passen können, lächelt sie zur Kamera und dreht ihren Kopf von einer Seite zur anderen.</v>
      </c>
    </row>
    <row r="16291">
      <c r="A16291" s="4" t="s">
        <v>20511</v>
      </c>
      <c r="B16291" s="4" t="s">
        <v>20517</v>
      </c>
      <c r="C16291" s="5" t="str">
        <f>IFERROR(__xludf.DUMMYFUNCTION("GOOGLETRANSLATE(B16291,""en"",""de"")"),"Die Frau steht jetzt wieder im Badezimmer und trägt wieder grün und sie hat ihre Haare herunter und sie redet und benutzt ihre Hände, um ihre Haare herum zu bewegen, um die Locken zu zeigen.")</f>
        <v>Die Frau steht jetzt wieder im Badezimmer und trägt wieder grün und sie hat ihre Haare herunter und sie redet und benutzt ihre Hände, um ihre Haare herum zu bewegen, um die Locken zu zeigen.</v>
      </c>
    </row>
    <row r="16292">
      <c r="A16292" s="4" t="s">
        <v>20511</v>
      </c>
      <c r="B16292" s="4" t="s">
        <v>20518</v>
      </c>
      <c r="C16292" s="5" t="str">
        <f>IFERROR(__xludf.DUMMYFUNCTION("GOOGLETRANSLATE(B16292,""en"",""de"")"),"Der Outro Screan ist rosa und endet mit schwarzen Wörtern und dann mit einem schwarzen Bildschirm, auf dem ein rotes Lippenpaar mit Clip -Kunst enthält.")</f>
        <v>Der Outro Screan ist rosa und endet mit schwarzen Wörtern und dann mit einem schwarzen Bildschirm, auf dem ein rotes Lippenpaar mit Clip -Kunst enthält.</v>
      </c>
    </row>
    <row r="16293">
      <c r="A16293" s="4" t="s">
        <v>20519</v>
      </c>
      <c r="B16293" s="4" t="s">
        <v>20520</v>
      </c>
      <c r="C16293" s="5" t="str">
        <f>IFERROR(__xludf.DUMMYFUNCTION("GOOGLETRANSLATE(B16293,""en"",""de"")"),"Frau steht in einem grünen Feld und übt einen Ball in einem Golfclub aus.")</f>
        <v>Frau steht in einem grünen Feld und übt einen Ball in einem Golfclub aus.</v>
      </c>
    </row>
    <row r="16294">
      <c r="A16294" s="4" t="s">
        <v>20519</v>
      </c>
      <c r="B16294" s="4" t="s">
        <v>20521</v>
      </c>
      <c r="C16294" s="5" t="str">
        <f>IFERROR(__xludf.DUMMYFUNCTION("GOOGLETRANSLATE(B16294,""en"",""de"")"),"Eine andere Frau ist im Platz und es praktiziert mit dem Mädchen, das den Ball von einem Golfclub zu einem anderen gibt.")</f>
        <v>Eine andere Frau ist im Platz und es praktiziert mit dem Mädchen, das den Ball von einem Golfclub zu einem anderen gibt.</v>
      </c>
    </row>
    <row r="16295">
      <c r="A16295" s="4" t="s">
        <v>20519</v>
      </c>
      <c r="B16295" s="4" t="s">
        <v>20522</v>
      </c>
      <c r="C16295" s="5" t="str">
        <f>IFERROR(__xludf.DUMMYFUNCTION("GOOGLETRANSLATE(B16295,""en"",""de"")"),"Im Hintergrund werden Autos auf einem Parkplatz geparkt.")</f>
        <v>Im Hintergrund werden Autos auf einem Parkplatz geparkt.</v>
      </c>
    </row>
    <row r="16296">
      <c r="A16296" s="4" t="s">
        <v>20523</v>
      </c>
      <c r="B16296" s="4" t="s">
        <v>20524</v>
      </c>
      <c r="C16296" s="5" t="str">
        <f>IFERROR(__xludf.DUMMYFUNCTION("GOOGLETRANSLATE(B16296,""en"",""de"")"),"Ein Mann spricht mit der Kamera und zeigt auf verschiedene Werkzeuge und Holzgegenstände vor ihm.")</f>
        <v>Ein Mann spricht mit der Kamera und zeigt auf verschiedene Werkzeuge und Holzgegenstände vor ihm.</v>
      </c>
    </row>
    <row r="16297">
      <c r="A16297" s="4" t="s">
        <v>20523</v>
      </c>
      <c r="B16297" s="4" t="s">
        <v>20525</v>
      </c>
      <c r="C16297" s="5" t="str">
        <f>IFERROR(__xludf.DUMMYFUNCTION("GOOGLETRANSLATE(B16297,""en"",""de"")"),"Der Mann löst die Seite aus, gefolgt von dem Schleifen auf die Seite.")</f>
        <v>Der Mann löst die Seite aus, gefolgt von dem Schleifen auf die Seite.</v>
      </c>
    </row>
    <row r="16298">
      <c r="A16298" s="4" t="s">
        <v>20523</v>
      </c>
      <c r="B16298" s="4" t="s">
        <v>20526</v>
      </c>
      <c r="C16298" s="5" t="str">
        <f>IFERROR(__xludf.DUMMYFUNCTION("GOOGLETRANSLATE(B16298,""en"",""de"")"),"Der Mann nimmt dann einen Schraubendreher und bohrt in Löcher, während sie anhält, um ihn zu schleifen und der Kamera zu zeigen.")</f>
        <v>Der Mann nimmt dann einen Schraubendreher und bohrt in Löcher, während sie anhält, um ihn zu schleifen und der Kamera zu zeigen.</v>
      </c>
    </row>
    <row r="16299">
      <c r="A16299" s="4" t="s">
        <v>20527</v>
      </c>
      <c r="B16299" s="4" t="s">
        <v>20528</v>
      </c>
      <c r="C16299" s="5" t="str">
        <f>IFERROR(__xludf.DUMMYFUNCTION("GOOGLETRANSLATE(B16299,""en"",""de"")"),"Eine Kamera schwenkt rund um einen gefrorenen See mit Bäumen und führt zu einer Gruppe von Menschen, die um ein Loch fischen.")</f>
        <v>Eine Kamera schwenkt rund um einen gefrorenen See mit Bäumen und führt zu einer Gruppe von Menschen, die um ein Loch fischen.</v>
      </c>
    </row>
    <row r="16300">
      <c r="A16300" s="4" t="s">
        <v>20527</v>
      </c>
      <c r="B16300" s="4" t="s">
        <v>20529</v>
      </c>
      <c r="C16300" s="5" t="str">
        <f>IFERROR(__xludf.DUMMYFUNCTION("GOOGLETRANSLATE(B16300,""en"",""de"")"),"Die Männer sitzen weiterhin mit einem Stangen um die Löcher und spricht miteinander und wandern um das Eis.")</f>
        <v>Die Männer sitzen weiterhin mit einem Stangen um die Löcher und spricht miteinander und wandern um das Eis.</v>
      </c>
    </row>
    <row r="16301">
      <c r="A16301" s="4" t="s">
        <v>20530</v>
      </c>
      <c r="B16301" s="4" t="s">
        <v>20531</v>
      </c>
      <c r="C16301" s="5" t="str">
        <f>IFERROR(__xludf.DUMMYFUNCTION("GOOGLETRANSLATE(B16301,""en"",""de"")"),"Eine Nahaufnahme eines Kürbis ist zu sehen, gefolgt von einem Kinder, das die Mitte ausgeht.")</f>
        <v>Eine Nahaufnahme eines Kürbis ist zu sehen, gefolgt von einem Kinder, das die Mitte ausgeht.</v>
      </c>
    </row>
    <row r="16302">
      <c r="A16302" s="4" t="s">
        <v>20530</v>
      </c>
      <c r="B16302" s="4" t="s">
        <v>20532</v>
      </c>
      <c r="C16302" s="5" t="str">
        <f>IFERROR(__xludf.DUMMYFUNCTION("GOOGLETRANSLATE(B16302,""en"",""de"")"),"Ein weiteres Kind neben ihr ist gesehen, wie er den Kürbis herausschneidet, wenn ein Erwachsener in den Rahmen geht.")</f>
        <v>Ein weiteres Kind neben ihr ist gesehen, wie er den Kürbis herausschneidet, wenn ein Erwachsener in den Rahmen geht.</v>
      </c>
    </row>
    <row r="16303">
      <c r="A16303" s="4" t="s">
        <v>20530</v>
      </c>
      <c r="B16303" s="4" t="s">
        <v>20533</v>
      </c>
      <c r="C16303" s="5" t="str">
        <f>IFERROR(__xludf.DUMMYFUNCTION("GOOGLETRANSLATE(B16303,""en"",""de"")"),"Die Erwachsenen helfen den Kindern, mit einem an die Kamera zu lächeln und Samen hochzuhalten, während die Kamera im Raum schwenkt.")</f>
        <v>Die Erwachsenen helfen den Kindern, mit einem an die Kamera zu lächeln und Samen hochzuhalten, während die Kamera im Raum schwenkt.</v>
      </c>
    </row>
    <row r="16304">
      <c r="A16304" s="4" t="s">
        <v>20534</v>
      </c>
      <c r="B16304" s="4" t="s">
        <v>20535</v>
      </c>
      <c r="C16304" s="5" t="str">
        <f>IFERROR(__xludf.DUMMYFUNCTION("GOOGLETRANSLATE(B16304,""en"",""de"")"),"Ein Mann hält ein Messer, während er zur Kamera und lächelt.")</f>
        <v>Ein Mann hält ein Messer, während er zur Kamera und lächelt.</v>
      </c>
    </row>
    <row r="16305">
      <c r="A16305" s="4" t="s">
        <v>20534</v>
      </c>
      <c r="B16305" s="4" t="s">
        <v>20536</v>
      </c>
      <c r="C16305" s="5" t="str">
        <f>IFERROR(__xludf.DUMMYFUNCTION("GOOGLETRANSLATE(B16305,""en"",""de"")"),"Er beginnt, die Tomate in verschiedenen Abschnitten auf den Tisch zu schneiden.")</f>
        <v>Er beginnt, die Tomate in verschiedenen Abschnitten auf den Tisch zu schneiden.</v>
      </c>
    </row>
    <row r="16306">
      <c r="A16306" s="4" t="s">
        <v>20534</v>
      </c>
      <c r="B16306" s="4" t="s">
        <v>20537</v>
      </c>
      <c r="C16306" s="5" t="str">
        <f>IFERROR(__xludf.DUMMYFUNCTION("GOOGLETRANSLATE(B16306,""en"",""de"")"),"Dann schärft er das Messer auf der Maschine neben dem Gemüse und zeigt, wie viel besser es funktioniert.")</f>
        <v>Dann schärft er das Messer auf der Maschine neben dem Gemüse und zeigt, wie viel besser es funktioniert.</v>
      </c>
    </row>
    <row r="16307">
      <c r="A16307" s="4" t="s">
        <v>20538</v>
      </c>
      <c r="B16307" s="4" t="s">
        <v>20539</v>
      </c>
      <c r="C16307" s="5" t="str">
        <f>IFERROR(__xludf.DUMMYFUNCTION("GOOGLETRANSLATE(B16307,""en"",""de"")"),"Eine Gruppe von Menschen befindet sich in Röhren, die mit riesigen Steinen auf dem trüben Wasser schweben.")</f>
        <v>Eine Gruppe von Menschen befindet sich in Röhren, die mit riesigen Steinen auf dem trüben Wasser schweben.</v>
      </c>
    </row>
    <row r="16308">
      <c r="A16308" s="4" t="s">
        <v>20538</v>
      </c>
      <c r="B16308" s="4" t="s">
        <v>20540</v>
      </c>
      <c r="C16308" s="5" t="str">
        <f>IFERROR(__xludf.DUMMYFUNCTION("GOOGLETRANSLATE(B16308,""en"",""de"")"),"Die Kamera scannt die Menge und die Leute paddeln sich ständig über das Wasser.")</f>
        <v>Die Kamera scannt die Menge und die Leute paddeln sich ständig über das Wasser.</v>
      </c>
    </row>
    <row r="16309">
      <c r="A16309" s="4" t="s">
        <v>20541</v>
      </c>
      <c r="B16309" s="4" t="s">
        <v>20542</v>
      </c>
      <c r="C16309" s="5" t="str">
        <f>IFERROR(__xludf.DUMMYFUNCTION("GOOGLETRANSLATE(B16309,""en"",""de"")"),"Jungs Arm ringen in der Gegenwart von zwei Schiedsrichtern in Innenräumen.")</f>
        <v>Jungs Arm ringen in der Gegenwart von zwei Schiedsrichtern in Innenräumen.</v>
      </c>
    </row>
    <row r="16310">
      <c r="A16310" s="4" t="s">
        <v>20541</v>
      </c>
      <c r="B16310" s="4" t="s">
        <v>20543</v>
      </c>
      <c r="C16310" s="5" t="str">
        <f>IFERROR(__xludf.DUMMYFUNCTION("GOOGLETRANSLATE(B16310,""en"",""de"")"),"Der Schiedsrichter zeigt in Richtung des Siegers.")</f>
        <v>Der Schiedsrichter zeigt in Richtung des Siegers.</v>
      </c>
    </row>
    <row r="16311">
      <c r="A16311" s="4" t="s">
        <v>20541</v>
      </c>
      <c r="B16311" s="4" t="s">
        <v>20544</v>
      </c>
      <c r="C16311" s="5" t="str">
        <f>IFERROR(__xludf.DUMMYFUNCTION("GOOGLETRANSLATE(B16311,""en"",""de"")"),"Die Spieler geben einen DAB -Handschlag.")</f>
        <v>Die Spieler geben einen DAB -Handschlag.</v>
      </c>
    </row>
    <row r="16312">
      <c r="A16312" s="4" t="s">
        <v>20545</v>
      </c>
      <c r="B16312" s="4" t="s">
        <v>20546</v>
      </c>
      <c r="C16312" s="5" t="str">
        <f>IFERROR(__xludf.DUMMYFUNCTION("GOOGLETRANSLATE(B16312,""en"",""de"")"),"Titelbildschirme werden auf dem Video angezeigt.")</f>
        <v>Titelbildschirme werden auf dem Video angezeigt.</v>
      </c>
    </row>
    <row r="16313">
      <c r="A16313" s="4" t="s">
        <v>20545</v>
      </c>
      <c r="B16313" s="4" t="s">
        <v>20547</v>
      </c>
      <c r="C16313" s="5" t="str">
        <f>IFERROR(__xludf.DUMMYFUNCTION("GOOGLETRANSLATE(B16313,""en"",""de"")"),"Die Frau zeigt, wie ein Hula -Hoop in einem großen Raum verwendet wird, während eine andere Person spricht.")</f>
        <v>Die Frau zeigt, wie ein Hula -Hoop in einem großen Raum verwendet wird, während eine andere Person spricht.</v>
      </c>
    </row>
    <row r="16314">
      <c r="A16314" s="4" t="s">
        <v>20545</v>
      </c>
      <c r="B16314" s="4" t="s">
        <v>20548</v>
      </c>
      <c r="C16314" s="5" t="str">
        <f>IFERROR(__xludf.DUMMYFUNCTION("GOOGLETRANSLATE(B16314,""en"",""de"")"),"Eine andere Person schaut durch das Fenster der Tür.")</f>
        <v>Eine andere Person schaut durch das Fenster der Tür.</v>
      </c>
    </row>
    <row r="16315">
      <c r="A16315" s="4" t="s">
        <v>20545</v>
      </c>
      <c r="B16315" s="4" t="s">
        <v>20549</v>
      </c>
      <c r="C16315" s="5" t="str">
        <f>IFERROR(__xludf.DUMMYFUNCTION("GOOGLETRANSLATE(B16315,""en"",""de"")"),"Die Frau hält Hula auf und nimmt sich verbeugt.")</f>
        <v>Die Frau hält Hula auf und nimmt sich verbeugt.</v>
      </c>
    </row>
    <row r="16316">
      <c r="A16316" s="4" t="s">
        <v>20545</v>
      </c>
      <c r="B16316" s="4" t="s">
        <v>20550</v>
      </c>
      <c r="C16316" s="5" t="str">
        <f>IFERROR(__xludf.DUMMYFUNCTION("GOOGLETRANSLATE(B16316,""en"",""de"")"),"Die Endgutschrift rollen.")</f>
        <v>Die Endgutschrift rollen.</v>
      </c>
    </row>
    <row r="16317">
      <c r="A16317" s="4" t="s">
        <v>20551</v>
      </c>
      <c r="B16317" s="4" t="s">
        <v>20552</v>
      </c>
      <c r="C16317" s="5" t="str">
        <f>IFERROR(__xludf.DUMMYFUNCTION("GOOGLETRANSLATE(B16317,""en"",""de"")"),"Zwei Leute spielen Tennis auf einem Platz.")</f>
        <v>Zwei Leute spielen Tennis auf einem Platz.</v>
      </c>
    </row>
    <row r="16318">
      <c r="A16318" s="4" t="s">
        <v>20551</v>
      </c>
      <c r="B16318" s="4" t="s">
        <v>20553</v>
      </c>
      <c r="C16318" s="5" t="str">
        <f>IFERROR(__xludf.DUMMYFUNCTION("GOOGLETRANSLATE(B16318,""en"",""de"")"),"Eine Person fällt auf den Rücken zurück.")</f>
        <v>Eine Person fällt auf den Rücken zurück.</v>
      </c>
    </row>
    <row r="16319">
      <c r="A16319" s="4" t="s">
        <v>20554</v>
      </c>
      <c r="B16319" s="4" t="s">
        <v>20555</v>
      </c>
      <c r="C16319" s="5" t="str">
        <f>IFERROR(__xludf.DUMMYFUNCTION("GOOGLETRANSLATE(B16319,""en"",""de"")"),"Ein Mann hat seinen Saxophon um seinen Hals und er erklärt über Schilf und Mundstücke und wie Sie Ihren Mund darauf legen sollten oder was und was noch.")</f>
        <v>Ein Mann hat seinen Saxophon um seinen Hals und er erklärt über Schilf und Mundstücke und wie Sie Ihren Mund darauf legen sollten oder was und was noch.</v>
      </c>
    </row>
    <row r="16320">
      <c r="A16320" s="4" t="s">
        <v>20554</v>
      </c>
      <c r="B16320" s="4" t="s">
        <v>20556</v>
      </c>
      <c r="C16320" s="5" t="str">
        <f>IFERROR(__xludf.DUMMYFUNCTION("GOOGLETRANSLATE(B16320,""en"",""de"")"),"Er spricht eine Weile darüber und zeigt, wie Sie Ihre Zunge bewegen würden, um Klang zu machen.")</f>
        <v>Er spricht eine Weile darüber und zeigt, wie Sie Ihre Zunge bewegen würden, um Klang zu machen.</v>
      </c>
    </row>
    <row r="16321">
      <c r="A16321" s="4" t="s">
        <v>20554</v>
      </c>
      <c r="B16321" s="4" t="s">
        <v>20557</v>
      </c>
      <c r="C16321" s="5" t="str">
        <f>IFERROR(__xludf.DUMMYFUNCTION("GOOGLETRANSLATE(B16321,""en"",""de"")"),"Er bläst in den Saxophon, um etwas mehr zu demonstrieren.")</f>
        <v>Er bläst in den Saxophon, um etwas mehr zu demonstrieren.</v>
      </c>
    </row>
    <row r="16322">
      <c r="A16322" s="4" t="s">
        <v>20554</v>
      </c>
      <c r="B16322" s="4" t="s">
        <v>20558</v>
      </c>
      <c r="C16322" s="5" t="str">
        <f>IFERROR(__xludf.DUMMYFUNCTION("GOOGLETRANSLATE(B16322,""en"",""de"")"),"Er steckt sogar kurz seinen Finger in den Mund, um zu versuchen, auch etwas besser zu erklären.")</f>
        <v>Er steckt sogar kurz seinen Finger in den Mund, um zu versuchen, auch etwas besser zu erklären.</v>
      </c>
    </row>
    <row r="16323">
      <c r="A16323" s="4" t="s">
        <v>20559</v>
      </c>
      <c r="B16323" s="4" t="s">
        <v>20560</v>
      </c>
      <c r="C16323" s="5" t="str">
        <f>IFERROR(__xludf.DUMMYFUNCTION("GOOGLETRANSLATE(B16323,""en"",""de"")"),"Ein Mann schiebt einen Rasenmäher um eine Rasenfläche mit Gras, wobei Zelte das Gras schneiden.")</f>
        <v>Ein Mann schiebt einen Rasenmäher um eine Rasenfläche mit Gras, wobei Zelte das Gras schneiden.</v>
      </c>
    </row>
    <row r="16324">
      <c r="A16324" s="4" t="s">
        <v>20559</v>
      </c>
      <c r="B16324" s="4" t="s">
        <v>20561</v>
      </c>
      <c r="C16324" s="5" t="str">
        <f>IFERROR(__xludf.DUMMYFUNCTION("GOOGLETRANSLATE(B16324,""en"",""de"")"),"Der Mann schneidet das hohe Gras um einen Baum.")</f>
        <v>Der Mann schneidet das hohe Gras um einen Baum.</v>
      </c>
    </row>
    <row r="16325">
      <c r="A16325" s="4" t="s">
        <v>20559</v>
      </c>
      <c r="B16325" s="4" t="s">
        <v>20562</v>
      </c>
      <c r="C16325" s="5" t="str">
        <f>IFERROR(__xludf.DUMMYFUNCTION("GOOGLETRANSLATE(B16325,""en"",""de"")"),"Der Mann schließt den Rasenmäher und macht eine Pause.")</f>
        <v>Der Mann schließt den Rasenmäher und macht eine Pause.</v>
      </c>
    </row>
    <row r="16326">
      <c r="A16326" s="4" t="s">
        <v>20563</v>
      </c>
      <c r="B16326" s="4" t="s">
        <v>20564</v>
      </c>
      <c r="C16326" s="5" t="str">
        <f>IFERROR(__xludf.DUMMYFUNCTION("GOOGLETRANSLATE(B16326,""en"",""de"")"),"Eine Nahaufnahme einer Landschaft wird gezeigt, gefolgt von einer Frau, die auf der Seite einen Felsen hinaufstieg.")</f>
        <v>Eine Nahaufnahme einer Landschaft wird gezeigt, gefolgt von einer Frau, die auf der Seite einen Felsen hinaufstieg.</v>
      </c>
    </row>
    <row r="16327">
      <c r="A16327" s="4" t="s">
        <v>20563</v>
      </c>
      <c r="B16327" s="4" t="s">
        <v>20565</v>
      </c>
      <c r="C16327" s="5" t="str">
        <f>IFERROR(__xludf.DUMMYFUNCTION("GOOGLETRANSLATE(B16327,""en"",""de"")"),"Die Frau klettert weiter und endet damit, dass sie die Oberseite erreicht und ihre Arme hochwirft.")</f>
        <v>Die Frau klettert weiter und endet damit, dass sie die Oberseite erreicht und ihre Arme hochwirft.</v>
      </c>
    </row>
    <row r="16328">
      <c r="A16328" s="4" t="s">
        <v>20566</v>
      </c>
      <c r="B16328" s="4" t="s">
        <v>20567</v>
      </c>
      <c r="C16328" s="5" t="str">
        <f>IFERROR(__xludf.DUMMYFUNCTION("GOOGLETRANSLATE(B16328,""en"",""de"")"),"Eine Gruppe von Menschen spielt Dodge Ball in einem Platz.")</f>
        <v>Eine Gruppe von Menschen spielt Dodge Ball in einem Platz.</v>
      </c>
    </row>
    <row r="16329">
      <c r="A16329" s="4" t="s">
        <v>20566</v>
      </c>
      <c r="B16329" s="4" t="s">
        <v>20568</v>
      </c>
      <c r="C16329" s="5" t="str">
        <f>IFERROR(__xludf.DUMMYFUNCTION("GOOGLETRANSLATE(B16329,""en"",""de"")"),"Die Leute scherzen die Kamera.")</f>
        <v>Die Leute scherzen die Kamera.</v>
      </c>
    </row>
    <row r="16330">
      <c r="A16330" s="4" t="s">
        <v>20569</v>
      </c>
      <c r="B16330" s="4" t="s">
        <v>20570</v>
      </c>
      <c r="C16330" s="5" t="str">
        <f>IFERROR(__xludf.DUMMYFUNCTION("GOOGLETRANSLATE(B16330,""en"",""de"")"),"Eine weiße Wand wird mit Stiften gezeigt, die herausstechen und Klebebandstreifen hängen, und ein Mädchen beginnt Klippe, die die Wand klettert, als ein Mann in einem blauen Hemd zu reden beginnt.")</f>
        <v>Eine weiße Wand wird mit Stiften gezeigt, die herausstechen und Klebebandstreifen hängen, und ein Mädchen beginnt Klippe, die die Wand klettert, als ein Mann in einem blauen Hemd zu reden beginnt.</v>
      </c>
    </row>
    <row r="16331">
      <c r="A16331" s="4" t="s">
        <v>20569</v>
      </c>
      <c r="B16331" s="4" t="s">
        <v>20571</v>
      </c>
      <c r="C16331" s="5" t="str">
        <f>IFERROR(__xludf.DUMMYFUNCTION("GOOGLETRANSLATE(B16331,""en"",""de"")"),"Die junge Dame führt weiterhin die Wand hinauf, während der Mann weiterhin auf einem geteilten Bildschirm spricht.")</f>
        <v>Die junge Dame führt weiterhin die Wand hinauf, während der Mann weiterhin auf einem geteilten Bildschirm spricht.</v>
      </c>
    </row>
    <row r="16332">
      <c r="A16332" s="4" t="s">
        <v>20569</v>
      </c>
      <c r="B16332" s="4" t="s">
        <v>20572</v>
      </c>
      <c r="C16332" s="5" t="str">
        <f>IFERROR(__xludf.DUMMYFUNCTION("GOOGLETRANSLATE(B16332,""en"",""de"")"),"Der Mann hebt seinen Fuß hoch, um über eine bestimmte Position zu sprechen, und das Mädchen demonstriert es, als sie vom Teller steigt.")</f>
        <v>Der Mann hebt seinen Fuß hoch, um über eine bestimmte Position zu sprechen, und das Mädchen demonstriert es, als sie vom Teller steigt.</v>
      </c>
    </row>
    <row r="16333">
      <c r="A16333" s="4" t="s">
        <v>20573</v>
      </c>
      <c r="B16333" s="4" t="s">
        <v>20574</v>
      </c>
      <c r="C16333" s="5" t="str">
        <f>IFERROR(__xludf.DUMMYFUNCTION("GOOGLETRANSLATE(B16333,""en"",""de"")"),"Ein kleines Auto ist mit einer dicken Schneeschicht bedeckt.")</f>
        <v>Ein kleines Auto ist mit einer dicken Schneeschicht bedeckt.</v>
      </c>
    </row>
    <row r="16334">
      <c r="A16334" s="4" t="s">
        <v>20573</v>
      </c>
      <c r="B16334" s="4" t="s">
        <v>20575</v>
      </c>
      <c r="C16334" s="5" t="str">
        <f>IFERROR(__xludf.DUMMYFUNCTION("GOOGLETRANSLATE(B16334,""en"",""de"")"),"Ein Mann erscheint mit einer Kehrmaschine.")</f>
        <v>Ein Mann erscheint mit einer Kehrmaschine.</v>
      </c>
    </row>
    <row r="16335">
      <c r="A16335" s="4" t="s">
        <v>20573</v>
      </c>
      <c r="B16335" s="4" t="s">
        <v>20576</v>
      </c>
      <c r="C16335" s="5" t="str">
        <f>IFERROR(__xludf.DUMMYFUNCTION("GOOGLETRANSLATE(B16335,""en"",""de"")"),"Er benutzt es, um den gesamten Schnee vom Fahrzeug zu schärfen.")</f>
        <v>Er benutzt es, um den gesamten Schnee vom Fahrzeug zu schärfen.</v>
      </c>
    </row>
    <row r="16336">
      <c r="A16336" s="4" t="s">
        <v>20577</v>
      </c>
      <c r="B16336" s="4" t="s">
        <v>20578</v>
      </c>
      <c r="C16336" s="5" t="str">
        <f>IFERROR(__xludf.DUMMYFUNCTION("GOOGLETRANSLATE(B16336,""en"",""de"")"),"Der Mann kniet auf dem Boden und spricht mit der Kamera und zeigt die Fliesen über dem Holzboden.")</f>
        <v>Der Mann kniet auf dem Boden und spricht mit der Kamera und zeigt die Fliesen über dem Holzboden.</v>
      </c>
    </row>
    <row r="16337">
      <c r="A16337" s="4" t="s">
        <v>20577</v>
      </c>
      <c r="B16337" s="4" t="s">
        <v>20579</v>
      </c>
      <c r="C16337" s="5" t="str">
        <f>IFERROR(__xludf.DUMMYFUNCTION("GOOGLETRANSLATE(B16337,""en"",""de"")"),"Der Mensch zeigt einen Ort ohne Holzboden und stellt den Holzstangen in den Boden, der den Raum misst.")</f>
        <v>Der Mensch zeigt einen Ort ohne Holzboden und stellt den Holzstangen in den Boden, der den Raum misst.</v>
      </c>
    </row>
    <row r="16338">
      <c r="A16338" s="4" t="s">
        <v>20577</v>
      </c>
      <c r="B16338" s="4" t="s">
        <v>20580</v>
      </c>
      <c r="C16338" s="5" t="str">
        <f>IFERROR(__xludf.DUMMYFUNCTION("GOOGLETRANSLATE(B16338,""en"",""de"")"),"Der Mann steckt ein Holzblatt in den Weltraum und legt Bodenfliesen.")</f>
        <v>Der Mann steckt ein Holzblatt in den Weltraum und legt Bodenfliesen.</v>
      </c>
    </row>
    <row r="16339">
      <c r="A16339" s="4" t="s">
        <v>20581</v>
      </c>
      <c r="B16339" s="4" t="s">
        <v>20582</v>
      </c>
      <c r="C16339" s="5" t="str">
        <f>IFERROR(__xludf.DUMMYFUNCTION("GOOGLETRANSLATE(B16339,""en"",""de"")"),"Auf dem Bett sitzt ein Junge, der seinen Sonnenbrand zeigt und Creme darauf legt.")</f>
        <v>Auf dem Bett sitzt ein Junge, der seinen Sonnenbrand zeigt und Creme darauf legt.</v>
      </c>
    </row>
    <row r="16340">
      <c r="A16340" s="4" t="s">
        <v>20581</v>
      </c>
      <c r="B16340" s="4" t="s">
        <v>20583</v>
      </c>
      <c r="C16340" s="5" t="str">
        <f>IFERROR(__xludf.DUMMYFUNCTION("GOOGLETRANSLATE(B16340,""en"",""de"")"),"Ein Freund schüttelt wegen des Sonnenbrands des anderen den Kopf.")</f>
        <v>Ein Freund schüttelt wegen des Sonnenbrands des anderen den Kopf.</v>
      </c>
    </row>
    <row r="16341">
      <c r="A16341" s="4" t="s">
        <v>20581</v>
      </c>
      <c r="B16341" s="4" t="s">
        <v>20584</v>
      </c>
      <c r="C16341" s="5" t="str">
        <f>IFERROR(__xludf.DUMMYFUNCTION("GOOGLETRANSLATE(B16341,""en"",""de"")"),"Der Freund hebt sein Hemd, um auch seinen Sonnenbrand zu zeigen.")</f>
        <v>Der Freund hebt sein Hemd, um auch seinen Sonnenbrand zu zeigen.</v>
      </c>
    </row>
    <row r="16342">
      <c r="A16342" s="4" t="s">
        <v>20581</v>
      </c>
      <c r="B16342" s="4" t="s">
        <v>20585</v>
      </c>
      <c r="C16342" s="5" t="str">
        <f>IFERROR(__xludf.DUMMYFUNCTION("GOOGLETRANSLATE(B16342,""en"",""de"")"),"Die Kamera schwenkt um Raum und zurück zum ersten Mann.")</f>
        <v>Die Kamera schwenkt um Raum und zurück zum ersten Mann.</v>
      </c>
    </row>
    <row r="16343">
      <c r="A16343" s="4" t="s">
        <v>20581</v>
      </c>
      <c r="B16343" s="4" t="s">
        <v>20586</v>
      </c>
      <c r="C16343" s="5" t="str">
        <f>IFERROR(__xludf.DUMMYFUNCTION("GOOGLETRANSLATE(B16343,""en"",""de"")"),"Ein Mädchen geht mit dem Teller, legt ihn auf den Tisch und tanzt.")</f>
        <v>Ein Mädchen geht mit dem Teller, legt ihn auf den Tisch und tanzt.</v>
      </c>
    </row>
    <row r="16344">
      <c r="A16344" s="4" t="s">
        <v>20581</v>
      </c>
      <c r="B16344" s="4" t="s">
        <v>20587</v>
      </c>
      <c r="C16344" s="5" t="str">
        <f>IFERROR(__xludf.DUMMYFUNCTION("GOOGLETRANSLATE(B16344,""en"",""de"")"),"Die Kamera schwenkt zu einem Spiegel, wobei zwei Männer mit einem Telefon stehen und winken.")</f>
        <v>Die Kamera schwenkt zu einem Spiegel, wobei zwei Männer mit einem Telefon stehen und winken.</v>
      </c>
    </row>
    <row r="16345">
      <c r="A16345" s="4" t="s">
        <v>20581</v>
      </c>
      <c r="B16345" s="4" t="s">
        <v>20588</v>
      </c>
      <c r="C16345" s="5" t="str">
        <f>IFERROR(__xludf.DUMMYFUNCTION("GOOGLETRANSLATE(B16345,""en"",""de"")"),"Die Kamera schaut über den Balkon des Raumes.")</f>
        <v>Die Kamera schaut über den Balkon des Raumes.</v>
      </c>
    </row>
    <row r="16346">
      <c r="A16346" s="4" t="s">
        <v>20581</v>
      </c>
      <c r="B16346" s="4" t="s">
        <v>20589</v>
      </c>
      <c r="C16346" s="5" t="str">
        <f>IFERROR(__xludf.DUMMYFUNCTION("GOOGLETRANSLATE(B16346,""en"",""de"")"),"Eine Frau legt einen Teller mit Essen auf einen Tisch und ein Mann geht wieder hinein.")</f>
        <v>Eine Frau legt einen Teller mit Essen auf einen Tisch und ein Mann geht wieder hinein.</v>
      </c>
    </row>
    <row r="16347">
      <c r="A16347" s="4" t="s">
        <v>20581</v>
      </c>
      <c r="B16347" s="4" t="s">
        <v>20590</v>
      </c>
      <c r="C16347" s="5" t="str">
        <f>IFERROR(__xludf.DUMMYFUNCTION("GOOGLETRANSLATE(B16347,""en"",""de"")"),"Der sonnenverbrannte Mann nimmt sein Hemd aus und legt es auf das Bett.")</f>
        <v>Der sonnenverbrannte Mann nimmt sein Hemd aus und legt es auf das Bett.</v>
      </c>
    </row>
    <row r="16348">
      <c r="A16348" s="4" t="s">
        <v>20581</v>
      </c>
      <c r="B16348" s="4" t="s">
        <v>20591</v>
      </c>
      <c r="C16348" s="5" t="str">
        <f>IFERROR(__xludf.DUMMYFUNCTION("GOOGLETRANSLATE(B16348,""en"",""de"")"),"Seine Freunde helfen ihm mit Creme auf seinem Sonnenbrand.")</f>
        <v>Seine Freunde helfen ihm mit Creme auf seinem Sonnenbrand.</v>
      </c>
    </row>
    <row r="16349">
      <c r="A16349" s="4" t="s">
        <v>20581</v>
      </c>
      <c r="B16349" s="4" t="s">
        <v>20592</v>
      </c>
      <c r="C16349" s="5" t="str">
        <f>IFERROR(__xludf.DUMMYFUNCTION("GOOGLETRANSLATE(B16349,""en"",""de"")"),"Die Frau sitzt am Tisch isst.")</f>
        <v>Die Frau sitzt am Tisch isst.</v>
      </c>
    </row>
    <row r="16350">
      <c r="A16350" s="4" t="s">
        <v>20593</v>
      </c>
      <c r="B16350" s="4" t="s">
        <v>20594</v>
      </c>
      <c r="C16350" s="5" t="str">
        <f>IFERROR(__xludf.DUMMYFUNCTION("GOOGLETRANSLATE(B16350,""en"",""de"")"),"Ein Mann wird gezeigt, der eine Rubix -Rube mit Rekordgeschwindigkeit löst, während ein Timer geht und ein Mann ihn aufzeichnet.")</f>
        <v>Ein Mann wird gezeigt, der eine Rubix -Rube mit Rekordgeschwindigkeit löst, während ein Timer geht und ein Mann ihn aufzeichnet.</v>
      </c>
    </row>
    <row r="16351">
      <c r="A16351" s="4" t="s">
        <v>20593</v>
      </c>
      <c r="B16351" s="4" t="s">
        <v>20595</v>
      </c>
      <c r="C16351" s="5" t="str">
        <f>IFERROR(__xludf.DUMMYFUNCTION("GOOGLETRANSLATE(B16351,""en"",""de"")"),"Ein anderer Spieler in einem jüngeren Alter wird gezeigt, wie er den Rubix -Würfel sowie einen dritten Patron kurz danach löst.")</f>
        <v>Ein anderer Spieler in einem jüngeren Alter wird gezeigt, wie er den Rubix -Würfel sowie einen dritten Patron kurz danach löst.</v>
      </c>
    </row>
    <row r="16352">
      <c r="A16352" s="4" t="s">
        <v>20596</v>
      </c>
      <c r="B16352" s="4" t="s">
        <v>20597</v>
      </c>
      <c r="C16352" s="5" t="str">
        <f>IFERROR(__xludf.DUMMYFUNCTION("GOOGLETRANSLATE(B16352,""en"",""de"")"),"Die kandierten Früchte befinden sich in der Schüssel, dann gießt die Frau Likör hinein und mischte sie.")</f>
        <v>Die kandierten Früchte befinden sich in der Schüssel, dann gießt die Frau Likör hinein und mischte sie.</v>
      </c>
    </row>
    <row r="16353">
      <c r="A16353" s="4" t="s">
        <v>20596</v>
      </c>
      <c r="B16353" s="4" t="s">
        <v>20598</v>
      </c>
      <c r="C16353" s="5" t="str">
        <f>IFERROR(__xludf.DUMMYFUNCTION("GOOGLETRANSLATE(B16353,""en"",""de"")"),"Die Frau fügte braunen Zucker auf der Butter hinzu, fügte dann nach und nach Eier hinzu und mischte sich und dann Creme, dann Mehl, Backpulver, Zimtpulver und mischte sie gut.")</f>
        <v>Die Frau fügte braunen Zucker auf der Butter hinzu, fügte dann nach und nach Eier hinzu und mischte sich und dann Creme, dann Mehl, Backpulver, Zimtpulver und mischte sie gut.</v>
      </c>
    </row>
    <row r="16354">
      <c r="A16354" s="4" t="s">
        <v>20596</v>
      </c>
      <c r="B16354" s="4" t="s">
        <v>20599</v>
      </c>
      <c r="C16354" s="5" t="str">
        <f>IFERROR(__xludf.DUMMYFUNCTION("GOOGLETRANSLATE(B16354,""en"",""de"")"),"Die getrocknete Fruchtmischung wird im Teig und dann zerkleinert und sie wurden gut zusammen gemischt.")</f>
        <v>Die getrocknete Fruchtmischung wird im Teig und dann zerkleinert und sie wurden gut zusammen gemischt.</v>
      </c>
    </row>
    <row r="16355">
      <c r="A16355" s="4" t="s">
        <v>20596</v>
      </c>
      <c r="B16355" s="4" t="s">
        <v>20600</v>
      </c>
      <c r="C16355" s="5" t="str">
        <f>IFERROR(__xludf.DUMMYFUNCTION("GOOGLETRANSLATE(B16355,""en"",""de"")"),"Der Teig wird in die Pfanne gegossen, den Teig glätten und sicherstellen, dass er gleichmäßig verteilt ist.")</f>
        <v>Der Teig wird in die Pfanne gegossen, den Teig glätten und sicherstellen, dass er gleichmäßig verteilt ist.</v>
      </c>
    </row>
    <row r="16356">
      <c r="A16356" s="4" t="s">
        <v>20601</v>
      </c>
      <c r="B16356" s="4" t="s">
        <v>20602</v>
      </c>
      <c r="C16356" s="5" t="str">
        <f>IFERROR(__xludf.DUMMYFUNCTION("GOOGLETRANSLATE(B16356,""en"",""de"")"),"Ein Mann steht stehen und sieht sich um und reinigt dann einen Bowlingkugel und steht vor einer Fahrspur.")</f>
        <v>Ein Mann steht stehen und sieht sich um und reinigt dann einen Bowlingkugel und steht vor einer Fahrspur.</v>
      </c>
    </row>
    <row r="16357">
      <c r="A16357" s="4" t="s">
        <v>20601</v>
      </c>
      <c r="B16357" s="4" t="s">
        <v>20603</v>
      </c>
      <c r="C16357" s="5" t="str">
        <f>IFERROR(__xludf.DUMMYFUNCTION("GOOGLETRANSLATE(B16357,""en"",""de"")"),"Der Mann wirft den Ball nach unten und trifft mehrere Stifte.")</f>
        <v>Der Mann wirft den Ball nach unten und trifft mehrere Stifte.</v>
      </c>
    </row>
    <row r="16358">
      <c r="A16358" s="4" t="s">
        <v>20604</v>
      </c>
      <c r="B16358" s="4" t="s">
        <v>20605</v>
      </c>
      <c r="C16358" s="5" t="str">
        <f>IFERROR(__xludf.DUMMYFUNCTION("GOOGLETRANSLATE(B16358,""en"",""de"")"),"Ein Mädchen spricht mit der Kamera und betritt einen Friseursalon und schüttelt mit einem Stylisten die Hände.")</f>
        <v>Ein Mädchen spricht mit der Kamera und betritt einen Friseursalon und schüttelt mit einem Stylisten die Hände.</v>
      </c>
    </row>
    <row r="16359">
      <c r="A16359" s="4" t="s">
        <v>20604</v>
      </c>
      <c r="B16359" s="4" t="s">
        <v>20606</v>
      </c>
      <c r="C16359" s="5" t="str">
        <f>IFERROR(__xludf.DUMMYFUNCTION("GOOGLETRANSLATE(B16359,""en"",""de"")"),"Es werden mehrere Schüsse eines Künstlers gezeigt und der Mann fängt dann an, die Haare des Mädchens zu schneiden.")</f>
        <v>Es werden mehrere Schüsse eines Künstlers gezeigt und der Mann fängt dann an, die Haare des Mädchens zu schneiden.</v>
      </c>
    </row>
    <row r="16360">
      <c r="A16360" s="4" t="s">
        <v>20604</v>
      </c>
      <c r="B16360" s="4" t="s">
        <v>20607</v>
      </c>
      <c r="C16360" s="5" t="str">
        <f>IFERROR(__xludf.DUMMYFUNCTION("GOOGLETRANSLATE(B16360,""en"",""de"")"),"Er gibt ihr die Haare und wäscht ihr Haar, gefolgt von weiteren Schnitten und schaut in einen Spiegel.")</f>
        <v>Er gibt ihr die Haare und wäscht ihr Haar, gefolgt von weiteren Schnitten und schaut in einen Spiegel.</v>
      </c>
    </row>
    <row r="16361">
      <c r="A16361" s="4" t="s">
        <v>20604</v>
      </c>
      <c r="B16361" s="4" t="s">
        <v>20608</v>
      </c>
      <c r="C16361" s="5" t="str">
        <f>IFERROR(__xludf.DUMMYFUNCTION("GOOGLETRANSLATE(B16361,""en"",""de"")"),"Am Ende sieht ihr Haar genauso aus wie die Künstlerin und sie wird lächelnd gesehen und umarmt eine Person, die mit einem Seite an Seite der Künstlerin und ihres endet.")</f>
        <v>Am Ende sieht ihr Haar genauso aus wie die Künstlerin und sie wird lächelnd gesehen und umarmt eine Person, die mit einem Seite an Seite der Künstlerin und ihres endet.</v>
      </c>
    </row>
    <row r="16362">
      <c r="A16362" s="4" t="s">
        <v>20609</v>
      </c>
      <c r="B16362" s="4" t="s">
        <v>20610</v>
      </c>
      <c r="C16362" s="5" t="str">
        <f>IFERROR(__xludf.DUMMYFUNCTION("GOOGLETRANSLATE(B16362,""en"",""de"")"),"Eine Person wird in der Nähe einer Menge beugt und beginnt, ein Spiel Shuffleboard zu spielen.")</f>
        <v>Eine Person wird in der Nähe einer Menge beugt und beginnt, ein Spiel Shuffleboard zu spielen.</v>
      </c>
    </row>
    <row r="16363">
      <c r="A16363" s="4" t="s">
        <v>20609</v>
      </c>
      <c r="B16363" s="4" t="s">
        <v>20611</v>
      </c>
      <c r="C16363" s="5" t="str">
        <f>IFERROR(__xludf.DUMMYFUNCTION("GOOGLETRANSLATE(B16363,""en"",""de"")"),"Die Leute spielen weiter und vierte auf der Matte, während andere Leute um sie herum spielen und in den Rahmen gehen.")</f>
        <v>Die Leute spielen weiter und vierte auf der Matte, während andere Leute um sie herum spielen und in den Rahmen gehen.</v>
      </c>
    </row>
    <row r="16364">
      <c r="A16364" s="4" t="s">
        <v>20609</v>
      </c>
      <c r="B16364" s="4" t="s">
        <v>20612</v>
      </c>
      <c r="C16364" s="5" t="str">
        <f>IFERROR(__xludf.DUMMYFUNCTION("GOOGLETRANSLATE(B16364,""en"",""de"")"),"Ein Mann und eine Frau werden gesehen, wie sie miteinander sprechen, und wird erneut gezeigt, wie er die Pucks drückt.")</f>
        <v>Ein Mann und eine Frau werden gesehen, wie sie miteinander sprechen, und wird erneut gezeigt, wie er die Pucks drückt.</v>
      </c>
    </row>
    <row r="16365">
      <c r="A16365" s="4" t="s">
        <v>20613</v>
      </c>
      <c r="B16365" s="4" t="s">
        <v>20614</v>
      </c>
      <c r="C16365" s="5" t="str">
        <f>IFERROR(__xludf.DUMMYFUNCTION("GOOGLETRANSLATE(B16365,""en"",""de"")"),"Für ein Cricketspiel wird ein Intro gezeigt.")</f>
        <v>Für ein Cricketspiel wird ein Intro gezeigt.</v>
      </c>
    </row>
    <row r="16366">
      <c r="A16366" s="4" t="s">
        <v>20613</v>
      </c>
      <c r="B16366" s="4" t="s">
        <v>20615</v>
      </c>
      <c r="C16366" s="5" t="str">
        <f>IFERROR(__xludf.DUMMYFUNCTION("GOOGLETRANSLATE(B16366,""en"",""de"")"),"Mehrere Spieler spielen ein Cricketspiel auf einem Feld.")</f>
        <v>Mehrere Spieler spielen ein Cricketspiel auf einem Feld.</v>
      </c>
    </row>
    <row r="16367">
      <c r="A16367" s="4" t="s">
        <v>20613</v>
      </c>
      <c r="B16367" s="4" t="s">
        <v>20616</v>
      </c>
      <c r="C16367" s="5" t="str">
        <f>IFERROR(__xludf.DUMMYFUNCTION("GOOGLETRANSLATE(B16367,""en"",""de"")"),"Ein Mann stolpert über einen der Cricket -Pfosten.")</f>
        <v>Ein Mann stolpert über einen der Cricket -Pfosten.</v>
      </c>
    </row>
    <row r="16368">
      <c r="A16368" s="4" t="s">
        <v>20613</v>
      </c>
      <c r="B16368" s="4" t="s">
        <v>20617</v>
      </c>
      <c r="C16368" s="5" t="str">
        <f>IFERROR(__xludf.DUMMYFUNCTION("GOOGLETRANSLATE(B16368,""en"",""de"")"),"Die Spieler schütteln die Hand, wenn das Spiel endet.")</f>
        <v>Die Spieler schütteln die Hand, wenn das Spiel endet.</v>
      </c>
    </row>
    <row r="16369">
      <c r="A16369" s="4" t="s">
        <v>20613</v>
      </c>
      <c r="B16369" s="4" t="s">
        <v>20618</v>
      </c>
      <c r="C16369" s="5" t="str">
        <f>IFERROR(__xludf.DUMMYFUNCTION("GOOGLETRANSLATE(B16369,""en"",""de"")"),"Die Ergebnisse des Spiels A, die dann auf dem Bildschirm angezeigt werden.")</f>
        <v>Die Ergebnisse des Spiels A, die dann auf dem Bildschirm angezeigt werden.</v>
      </c>
    </row>
    <row r="16370">
      <c r="A16370" s="4" t="s">
        <v>20619</v>
      </c>
      <c r="B16370" s="4" t="s">
        <v>20620</v>
      </c>
      <c r="C16370" s="5" t="str">
        <f>IFERROR(__xludf.DUMMYFUNCTION("GOOGLETRANSLATE(B16370,""en"",""de"")"),"In einem Geschäft namens Skinny Ski's gibt es einen Tisch mit Dingen, die benötigt werden, um Skiern zu sehen.")</f>
        <v>In einem Geschäft namens Skinny Ski's gibt es einen Tisch mit Dingen, die benötigt werden, um Skiern zu sehen.</v>
      </c>
    </row>
    <row r="16371">
      <c r="A16371" s="4" t="s">
        <v>20619</v>
      </c>
      <c r="B16371" s="4" t="s">
        <v>20621</v>
      </c>
      <c r="C16371" s="5" t="str">
        <f>IFERROR(__xludf.DUMMYFUNCTION("GOOGLETRANSLATE(B16371,""en"",""de"")"),"Ein Mann verwendet etwas Geräte, um etwas Wachs über einem Ski zu schmelzen und es ein paar Mal durchzugehen.")</f>
        <v>Ein Mann verwendet etwas Geräte, um etwas Wachs über einem Ski zu schmelzen und es ein paar Mal durchzugehen.</v>
      </c>
    </row>
    <row r="16372">
      <c r="A16372" s="4" t="s">
        <v>20619</v>
      </c>
      <c r="B16372" s="4" t="s">
        <v>20622</v>
      </c>
      <c r="C16372" s="5" t="str">
        <f>IFERROR(__xludf.DUMMYFUNCTION("GOOGLETRANSLATE(B16372,""en"",""de"")"),"Dann benutzt er das Eisen direkt auf dem Ski, um das Wachs zu glätten, das er gerade darüber geschmolzen hat, und ging ein paar Mal durch.")</f>
        <v>Dann benutzt er das Eisen direkt auf dem Ski, um das Wachs zu glätten, das er gerade darüber geschmolzen hat, und ging ein paar Mal durch.</v>
      </c>
    </row>
    <row r="16373">
      <c r="A16373" s="4" t="s">
        <v>20619</v>
      </c>
      <c r="B16373" s="4" t="s">
        <v>20623</v>
      </c>
      <c r="C16373" s="5" t="str">
        <f>IFERROR(__xludf.DUMMYFUNCTION("GOOGLETRANSLATE(B16373,""en"",""de"")"),"Anschließend zeigt er ein Paket von Dibloc Low Fluoro Hot Wachs und Informationen zum Kontakt mit Diensten.")</f>
        <v>Anschließend zeigt er ein Paket von Dibloc Low Fluoro Hot Wachs und Informationen zum Kontakt mit Diensten.</v>
      </c>
    </row>
    <row r="16374">
      <c r="A16374" s="4" t="s">
        <v>20624</v>
      </c>
      <c r="B16374" s="4" t="s">
        <v>13124</v>
      </c>
      <c r="C16374" s="5" t="str">
        <f>IFERROR(__xludf.DUMMYFUNCTION("GOOGLETRANSLATE(B16374,""en"",""de"")"),"Wir sehen die Titelkarte auf Schwarz.")</f>
        <v>Wir sehen die Titelkarte auf Schwarz.</v>
      </c>
    </row>
    <row r="16375">
      <c r="A16375" s="4" t="s">
        <v>20624</v>
      </c>
      <c r="B16375" s="4" t="s">
        <v>20625</v>
      </c>
      <c r="C16375" s="5" t="str">
        <f>IFERROR(__xludf.DUMMYFUNCTION("GOOGLETRANSLATE(B16375,""en"",""de"")"),"Ein Mann spielt Schlagzeug mit Händen.")</f>
        <v>Ein Mann spielt Schlagzeug mit Händen.</v>
      </c>
    </row>
    <row r="16376">
      <c r="A16376" s="4" t="s">
        <v>20624</v>
      </c>
      <c r="B16376" s="4" t="s">
        <v>20626</v>
      </c>
      <c r="C16376" s="5" t="str">
        <f>IFERROR(__xludf.DUMMYFUNCTION("GOOGLETRANSLATE(B16376,""en"",""de"")"),"Der Mann pausiert dann wieder.")</f>
        <v>Der Mann pausiert dann wieder.</v>
      </c>
    </row>
    <row r="16377">
      <c r="A16377" s="4" t="s">
        <v>20624</v>
      </c>
      <c r="B16377" s="4" t="s">
        <v>20627</v>
      </c>
      <c r="C16377" s="5" t="str">
        <f>IFERROR(__xludf.DUMMYFUNCTION("GOOGLETRANSLATE(B16377,""en"",""de"")"),"Der Mann pausiert dann langsamer.")</f>
        <v>Der Mann pausiert dann langsamer.</v>
      </c>
    </row>
    <row r="16378">
      <c r="A16378" s="4" t="s">
        <v>20628</v>
      </c>
      <c r="B16378" s="4" t="s">
        <v>20629</v>
      </c>
      <c r="C16378" s="5" t="str">
        <f>IFERROR(__xludf.DUMMYFUNCTION("GOOGLETRANSLATE(B16378,""en"",""de"")"),"Ein afroamerikanischer Mann steht draußen neben einer hohen Felswand.")</f>
        <v>Ein afroamerikanischer Mann steht draußen neben einer hohen Felswand.</v>
      </c>
    </row>
    <row r="16379">
      <c r="A16379" s="4" t="s">
        <v>20628</v>
      </c>
      <c r="B16379" s="4" t="s">
        <v>20630</v>
      </c>
      <c r="C16379" s="5" t="str">
        <f>IFERROR(__xludf.DUMMYFUNCTION("GOOGLETRANSLATE(B16379,""en"",""de"")"),"Der Mann berührt weiter den Felsen und beginnt sich zu dehnen.")</f>
        <v>Der Mann berührt weiter den Felsen und beginnt sich zu dehnen.</v>
      </c>
    </row>
    <row r="16380">
      <c r="A16380" s="4" t="s">
        <v>20628</v>
      </c>
      <c r="B16380" s="4" t="s">
        <v>20631</v>
      </c>
      <c r="C16380" s="5" t="str">
        <f>IFERROR(__xludf.DUMMYFUNCTION("GOOGLETRANSLATE(B16380,""en"",""de"")"),"Danach beginnt er aktiv und wild auf die Wand zu klettern und kommt auf die andere Seite, aber er tut es ohne an ihm befestigte Seile.")</f>
        <v>Danach beginnt er aktiv und wild auf die Wand zu klettern und kommt auf die andere Seite, aber er tut es ohne an ihm befestigte Seile.</v>
      </c>
    </row>
    <row r="16381">
      <c r="A16381" s="4" t="s">
        <v>20632</v>
      </c>
      <c r="B16381" s="4" t="s">
        <v>20633</v>
      </c>
      <c r="C16381" s="5" t="str">
        <f>IFERROR(__xludf.DUMMYFUNCTION("GOOGLETRANSLATE(B16381,""en"",""de"")"),"Ein Junge in einem blauen Hemd spielt im Sand am Strand.")</f>
        <v>Ein Junge in einem blauen Hemd spielt im Sand am Strand.</v>
      </c>
    </row>
    <row r="16382">
      <c r="A16382" s="4" t="s">
        <v>20632</v>
      </c>
      <c r="B16382" s="4" t="s">
        <v>20634</v>
      </c>
      <c r="C16382" s="5" t="str">
        <f>IFERROR(__xludf.DUMMYFUNCTION("GOOGLETRANSLATE(B16382,""en"",""de"")"),"Ein Mann in einem weißen Hemd steht hinter ihm und hilft ihm.")</f>
        <v>Ein Mann in einem weißen Hemd steht hinter ihm und hilft ihm.</v>
      </c>
    </row>
    <row r="16383">
      <c r="A16383" s="4" t="s">
        <v>20632</v>
      </c>
      <c r="B16383" s="4" t="s">
        <v>20635</v>
      </c>
      <c r="C16383" s="5" t="str">
        <f>IFERROR(__xludf.DUMMYFUNCTION("GOOGLETRANSLATE(B16383,""en"",""de"")"),"Ein Mann in blauen Shorts hilft dem Jungen auch, das Sandburg zu machen.")</f>
        <v>Ein Mann in blauen Shorts hilft dem Jungen auch, das Sandburg zu machen.</v>
      </c>
    </row>
    <row r="16384">
      <c r="A16384" s="4" t="s">
        <v>20636</v>
      </c>
      <c r="B16384" s="4" t="s">
        <v>20637</v>
      </c>
      <c r="C16384" s="5" t="str">
        <f>IFERROR(__xludf.DUMMYFUNCTION("GOOGLETRANSLATE(B16384,""en"",""de"")"),"Ein Mann wird mit einer Frau gezeigt, die in einer Fernsehsendung vor einer großen Menge tanzt.")</f>
        <v>Ein Mann wird mit einer Frau gezeigt, die in einer Fernsehsendung vor einer großen Menge tanzt.</v>
      </c>
    </row>
    <row r="16385">
      <c r="A16385" s="4" t="s">
        <v>20636</v>
      </c>
      <c r="B16385" s="4" t="s">
        <v>20638</v>
      </c>
      <c r="C16385" s="5" t="str">
        <f>IFERROR(__xludf.DUMMYFUNCTION("GOOGLETRANSLATE(B16385,""en"",""de"")"),"Die Frau dreht sich, als der Mann sie durch die Routine führt.")</f>
        <v>Die Frau dreht sich, als der Mann sie durch die Routine führt.</v>
      </c>
    </row>
    <row r="16386">
      <c r="A16386" s="4" t="s">
        <v>20636</v>
      </c>
      <c r="B16386" s="4" t="s">
        <v>20639</v>
      </c>
      <c r="C16386" s="5" t="str">
        <f>IFERROR(__xludf.DUMMYFUNCTION("GOOGLETRANSLATE(B16386,""en"",""de"")"),"Sie wird dann hochgehoben und wieder herumgedreht.")</f>
        <v>Sie wird dann hochgehoben und wieder herumgedreht.</v>
      </c>
    </row>
    <row r="16387">
      <c r="A16387" s="4" t="s">
        <v>20636</v>
      </c>
      <c r="B16387" s="4" t="s">
        <v>20640</v>
      </c>
      <c r="C16387" s="5" t="str">
        <f>IFERROR(__xludf.DUMMYFUNCTION("GOOGLETRANSLATE(B16387,""en"",""de"")"),"Sie tanzen sehr romantisch und sie wird in verschiedenen Zeiten herumgedreht, bevor sie vom Mann nach hinten gekippt wird, während sie weiter tanzen.")</f>
        <v>Sie tanzen sehr romantisch und sie wird in verschiedenen Zeiten herumgedreht, bevor sie vom Mann nach hinten gekippt wird, während sie weiter tanzen.</v>
      </c>
    </row>
    <row r="16388">
      <c r="A16388" s="4" t="s">
        <v>20636</v>
      </c>
      <c r="B16388" s="4" t="s">
        <v>20641</v>
      </c>
      <c r="C16388" s="5" t="str">
        <f>IFERROR(__xludf.DUMMYFUNCTION("GOOGLETRANSLATE(B16388,""en"",""de"")"),"Die beiden Tänzer erreichen sich gegenseitig und die Routine endet.")</f>
        <v>Die beiden Tänzer erreichen sich gegenseitig und die Routine endet.</v>
      </c>
    </row>
    <row r="16389">
      <c r="A16389" s="4" t="s">
        <v>20642</v>
      </c>
      <c r="B16389" s="4" t="s">
        <v>20643</v>
      </c>
      <c r="C16389" s="5" t="str">
        <f>IFERROR(__xludf.DUMMYFUNCTION("GOOGLETRANSLATE(B16389,""en"",""de"")"),"Ein Wrestler wird auf den Schultern eines Mannes gehisst.")</f>
        <v>Ein Wrestler wird auf den Schultern eines Mannes gehisst.</v>
      </c>
    </row>
    <row r="16390">
      <c r="A16390" s="4" t="s">
        <v>20642</v>
      </c>
      <c r="B16390" s="4" t="s">
        <v>20644</v>
      </c>
      <c r="C16390" s="5" t="str">
        <f>IFERROR(__xludf.DUMMYFUNCTION("GOOGLETRANSLATE(B16390,""en"",""de"")"),"Der Mann wirft den Wrestler auf einen Tisch.")</f>
        <v>Der Mann wirft den Wrestler auf einen Tisch.</v>
      </c>
    </row>
    <row r="16391">
      <c r="A16391" s="4" t="s">
        <v>20642</v>
      </c>
      <c r="B16391" s="4" t="s">
        <v>20645</v>
      </c>
      <c r="C16391" s="5" t="str">
        <f>IFERROR(__xludf.DUMMYFUNCTION("GOOGLETRANSLATE(B16391,""en"",""de"")"),"Der andere Mann schleudert laut.")</f>
        <v>Der andere Mann schleudert laut.</v>
      </c>
    </row>
    <row r="16392">
      <c r="A16392" s="4" t="s">
        <v>20642</v>
      </c>
      <c r="B16392" s="4" t="s">
        <v>20646</v>
      </c>
      <c r="C16392" s="5" t="str">
        <f>IFERROR(__xludf.DUMMYFUNCTION("GOOGLETRANSLATE(B16392,""en"",""de"")"),"Einer der anderen Männer steht über dem verletzten Mann.")</f>
        <v>Einer der anderen Männer steht über dem verletzten Mann.</v>
      </c>
    </row>
    <row r="16393">
      <c r="A16393" s="4" t="s">
        <v>20647</v>
      </c>
      <c r="B16393" s="4" t="s">
        <v>20648</v>
      </c>
      <c r="C16393" s="5" t="str">
        <f>IFERROR(__xludf.DUMMYFUNCTION("GOOGLETRANSLATE(B16393,""en"",""de"")"),"Eine Gruppe von Jungen spielt mit Mädchen ein Foosballspiel.")</f>
        <v>Eine Gruppe von Jungen spielt mit Mädchen ein Foosballspiel.</v>
      </c>
    </row>
    <row r="16394">
      <c r="A16394" s="4" t="s">
        <v>20647</v>
      </c>
      <c r="B16394" s="4" t="s">
        <v>20649</v>
      </c>
      <c r="C16394" s="5" t="str">
        <f>IFERROR(__xludf.DUMMYFUNCTION("GOOGLETRANSLATE(B16394,""en"",""de"")"),"Die beiden Gruppen stehen auf beiden Seiten der Maschine.")</f>
        <v>Die beiden Gruppen stehen auf beiden Seiten der Maschine.</v>
      </c>
    </row>
    <row r="16395">
      <c r="A16395" s="4" t="s">
        <v>20647</v>
      </c>
      <c r="B16395" s="4" t="s">
        <v>20650</v>
      </c>
      <c r="C16395" s="5" t="str">
        <f>IFERROR(__xludf.DUMMYFUNCTION("GOOGLETRANSLATE(B16395,""en"",""de"")"),"Sie benutzen die kleinen Männer, um den Ball hin und her zu schlagen.")</f>
        <v>Sie benutzen die kleinen Männer, um den Ball hin und her zu schlagen.</v>
      </c>
    </row>
    <row r="16396">
      <c r="A16396" s="4" t="s">
        <v>20651</v>
      </c>
      <c r="B16396" s="4" t="s">
        <v>20652</v>
      </c>
      <c r="C16396" s="5" t="str">
        <f>IFERROR(__xludf.DUMMYFUNCTION("GOOGLETRANSLATE(B16396,""en"",""de"")"),"Teenes skateboard sehr schnell die Straße entlang.")</f>
        <v>Teenes skateboard sehr schnell die Straße entlang.</v>
      </c>
    </row>
    <row r="16397">
      <c r="A16397" s="4" t="s">
        <v>20651</v>
      </c>
      <c r="B16397" s="4" t="s">
        <v>20653</v>
      </c>
      <c r="C16397" s="5" t="str">
        <f>IFERROR(__xludf.DUMMYFUNCTION("GOOGLETRANSLATE(B16397,""en"",""de"")"),"Ein Teenager fällt mit dem Gesicht von seinem Skateboard auf dem Boden.")</f>
        <v>Ein Teenager fällt mit dem Gesicht von seinem Skateboard auf dem Boden.</v>
      </c>
    </row>
    <row r="16398">
      <c r="A16398" s="4" t="s">
        <v>20651</v>
      </c>
      <c r="B16398" s="4" t="s">
        <v>20654</v>
      </c>
      <c r="C16398" s="5" t="str">
        <f>IFERROR(__xludf.DUMMYFUNCTION("GOOGLETRANSLATE(B16398,""en"",""de"")"),"Ein anderer Teenager fällt auf die Straße.")</f>
        <v>Ein anderer Teenager fällt auf die Straße.</v>
      </c>
    </row>
    <row r="16399">
      <c r="A16399" s="4" t="s">
        <v>20651</v>
      </c>
      <c r="B16399" s="4" t="s">
        <v>20655</v>
      </c>
      <c r="C16399" s="5" t="str">
        <f>IFERROR(__xludf.DUMMYFUNCTION("GOOGLETRANSLATE(B16399,""en"",""de"")"),"Andere Teenager fahren weiter und einige auf ihnen fallen beim Skaten.")</f>
        <v>Andere Teenager fahren weiter und einige auf ihnen fallen beim Skaten.</v>
      </c>
    </row>
    <row r="16400">
      <c r="A16400" s="4" t="s">
        <v>20656</v>
      </c>
      <c r="B16400" s="4" t="s">
        <v>20657</v>
      </c>
      <c r="C16400" s="5" t="str">
        <f>IFERROR(__xludf.DUMMYFUNCTION("GOOGLETRANSLATE(B16400,""en"",""de"")"),"Die Leute fahren mit Fahrrädern auf einer holprigen Strecke.")</f>
        <v>Die Leute fahren mit Fahrrädern auf einer holprigen Strecke.</v>
      </c>
    </row>
    <row r="16401">
      <c r="A16401" s="4" t="s">
        <v>20656</v>
      </c>
      <c r="B16401" s="4" t="s">
        <v>20658</v>
      </c>
      <c r="C16401" s="5" t="str">
        <f>IFERROR(__xludf.DUMMYFUNCTION("GOOGLETRANSLATE(B16401,""en"",""de"")"),"Dann kommen sie bis zur Ziellinie an, an der die Menschen den Wettbewerb waschen.")</f>
        <v>Dann kommen sie bis zur Ziellinie an, an der die Menschen den Wettbewerb waschen.</v>
      </c>
    </row>
    <row r="16402">
      <c r="A16402" s="4" t="s">
        <v>20659</v>
      </c>
      <c r="B16402" s="4" t="s">
        <v>20660</v>
      </c>
      <c r="C16402" s="5" t="str">
        <f>IFERROR(__xludf.DUMMYFUNCTION("GOOGLETRANSLATE(B16402,""en"",""de"")"),"Eine große Gruppe von Männern ist gesehen, wie man auf einem Indoor -Feld herumläuft, wenn man ein Ziel erzielt und das Publikum jubelt.")</f>
        <v>Eine große Gruppe von Männern ist gesehen, wie man auf einem Indoor -Feld herumläuft, wenn man ein Ziel erzielt und das Publikum jubelt.</v>
      </c>
    </row>
    <row r="16403">
      <c r="A16403" s="4" t="s">
        <v>20659</v>
      </c>
      <c r="B16403" s="4" t="s">
        <v>20661</v>
      </c>
      <c r="C16403" s="5" t="str">
        <f>IFERROR(__xludf.DUMMYFUNCTION("GOOGLETRANSLATE(B16403,""en"",""de"")"),"Es werden einige weitere Tore gezeigt, gefolgt von verlangsamten Schüssen jedes Tores.")</f>
        <v>Es werden einige weitere Tore gezeigt, gefolgt von verlangsamten Schüssen jedes Tores.</v>
      </c>
    </row>
    <row r="16404">
      <c r="A16404" s="4" t="s">
        <v>20659</v>
      </c>
      <c r="B16404" s="4" t="s">
        <v>20662</v>
      </c>
      <c r="C16404" s="5" t="str">
        <f>IFERROR(__xludf.DUMMYFUNCTION("GOOGLETRANSLATE(B16404,""en"",""de"")"),"Die Nahaufnahme der Spieler werden gezeigt und endet mit einer Gruppe von Spielern, die alle miteinander umarmen und jubeln.")</f>
        <v>Die Nahaufnahme der Spieler werden gezeigt und endet mit einer Gruppe von Spielern, die alle miteinander umarmen und jubeln.</v>
      </c>
    </row>
    <row r="16405">
      <c r="A16405" s="4" t="s">
        <v>20663</v>
      </c>
      <c r="B16405" s="4" t="s">
        <v>20664</v>
      </c>
      <c r="C16405" s="5" t="str">
        <f>IFERROR(__xludf.DUMMYFUNCTION("GOOGLETRANSLATE(B16405,""en"",""de"")"),"Ein Junge genießt einen Eiskegel.")</f>
        <v>Ein Junge genießt einen Eiskegel.</v>
      </c>
    </row>
    <row r="16406">
      <c r="A16406" s="4" t="s">
        <v>20663</v>
      </c>
      <c r="B16406" s="4" t="s">
        <v>20665</v>
      </c>
      <c r="C16406" s="5" t="str">
        <f>IFERROR(__xludf.DUMMYFUNCTION("GOOGLETRANSLATE(B16406,""en"",""de"")"),"Ein Mädchen isst leckt und isst eine Eiskegel.")</f>
        <v>Ein Mädchen isst leckt und isst eine Eiskegel.</v>
      </c>
    </row>
    <row r="16407">
      <c r="A16407" s="4" t="s">
        <v>20663</v>
      </c>
      <c r="B16407" s="4" t="s">
        <v>20666</v>
      </c>
      <c r="C16407" s="5" t="str">
        <f>IFERROR(__xludf.DUMMYFUNCTION("GOOGLETRANSLATE(B16407,""en"",""de"")"),"Der Junge beendet den Eiskegel.")</f>
        <v>Der Junge beendet den Eiskegel.</v>
      </c>
    </row>
    <row r="16408">
      <c r="A16408" s="4" t="s">
        <v>20663</v>
      </c>
      <c r="B16408" s="4" t="s">
        <v>20667</v>
      </c>
      <c r="C16408" s="5" t="str">
        <f>IFERROR(__xludf.DUMMYFUNCTION("GOOGLETRANSLATE(B16408,""en"",""de"")"),"Das Mädchen leckt leicht die Eiskegel.")</f>
        <v>Das Mädchen leckt leicht die Eiskegel.</v>
      </c>
    </row>
    <row r="16409">
      <c r="A16409" s="4" t="s">
        <v>20668</v>
      </c>
      <c r="B16409" s="4" t="s">
        <v>20669</v>
      </c>
      <c r="C16409" s="5" t="str">
        <f>IFERROR(__xludf.DUMMYFUNCTION("GOOGLETRANSLATE(B16409,""en"",""de"")"),"Ein Bogenschießen -Turnier beginnt und die Montage zeigt die Spieler, die sich hinter Schildern verstecken und hin und her schießen.")</f>
        <v>Ein Bogenschießen -Turnier beginnt und die Montage zeigt die Spieler, die sich hinter Schildern verstecken und hin und her schießen.</v>
      </c>
    </row>
    <row r="16410">
      <c r="A16410" s="4" t="s">
        <v>20668</v>
      </c>
      <c r="B16410" s="4" t="s">
        <v>20670</v>
      </c>
      <c r="C16410" s="5" t="str">
        <f>IFERROR(__xludf.DUMMYFUNCTION("GOOGLETRANSLATE(B16410,""en"",""de"")"),"Die Eltern der Kinder werden gezeigt, wie sie die Schlacht beobachten.")</f>
        <v>Die Eltern der Kinder werden gezeigt, wie sie die Schlacht beobachten.</v>
      </c>
    </row>
    <row r="16411">
      <c r="A16411" s="4" t="s">
        <v>20671</v>
      </c>
      <c r="B16411" s="4" t="s">
        <v>20672</v>
      </c>
      <c r="C16411" s="5" t="str">
        <f>IFERROR(__xludf.DUMMYFUNCTION("GOOGLETRANSLATE(B16411,""en"",""de"")"),"Ein Mädchen springt auf einen Balancestrahl.")</f>
        <v>Ein Mädchen springt auf einen Balancestrahl.</v>
      </c>
    </row>
    <row r="16412">
      <c r="A16412" s="4" t="s">
        <v>20671</v>
      </c>
      <c r="B16412" s="4" t="s">
        <v>20673</v>
      </c>
      <c r="C16412" s="5" t="str">
        <f>IFERROR(__xludf.DUMMYFUNCTION("GOOGLETRANSLATE(B16412,""en"",""de"")"),"Sie beginnt eine Routine auf dem Balancestrahl.")</f>
        <v>Sie beginnt eine Routine auf dem Balancestrahl.</v>
      </c>
    </row>
    <row r="16413">
      <c r="A16413" s="4" t="s">
        <v>20671</v>
      </c>
      <c r="B16413" s="4" t="s">
        <v>20674</v>
      </c>
      <c r="C16413" s="5" t="str">
        <f>IFERROR(__xludf.DUMMYFUNCTION("GOOGLETRANSLATE(B16413,""en"",""de"")"),"Sie steigt und landet auf der Matte mit den Händen in der Luft.")</f>
        <v>Sie steigt und landet auf der Matte mit den Händen in der Luft.</v>
      </c>
    </row>
    <row r="16414">
      <c r="A16414" s="4" t="s">
        <v>20675</v>
      </c>
      <c r="B16414" s="4" t="s">
        <v>20676</v>
      </c>
      <c r="C16414" s="5" t="str">
        <f>IFERROR(__xludf.DUMMYFUNCTION("GOOGLETRANSLATE(B16414,""en"",""de"")"),"Am Anfang tanzt eine Frau vor einem Mann auf der Bühne.")</f>
        <v>Am Anfang tanzt eine Frau vor einem Mann auf der Bühne.</v>
      </c>
    </row>
    <row r="16415">
      <c r="A16415" s="4" t="s">
        <v>20675</v>
      </c>
      <c r="B16415" s="4" t="s">
        <v>20677</v>
      </c>
      <c r="C16415" s="5" t="str">
        <f>IFERROR(__xludf.DUMMYFUNCTION("GOOGLETRANSLATE(B16415,""en"",""de"")"),"Es gibt viele verschiedene Frauen, die Hip -Hop -Bewegungen machen.")</f>
        <v>Es gibt viele verschiedene Frauen, die Hip -Hop -Bewegungen machen.</v>
      </c>
    </row>
    <row r="16416">
      <c r="A16416" s="4" t="s">
        <v>20678</v>
      </c>
      <c r="B16416" s="4" t="s">
        <v>20679</v>
      </c>
      <c r="C16416" s="5" t="str">
        <f>IFERROR(__xludf.DUMMYFUNCTION("GOOGLETRANSLATE(B16416,""en"",""de"")"),"Zwei Sumos ringen heftig, während ein Richter sie beobachtet.")</f>
        <v>Zwei Sumos ringen heftig, während ein Richter sie beobachtet.</v>
      </c>
    </row>
    <row r="16417">
      <c r="A16417" s="4" t="s">
        <v>20678</v>
      </c>
      <c r="B16417" s="4" t="s">
        <v>20680</v>
      </c>
      <c r="C16417" s="5" t="str">
        <f>IFERROR(__xludf.DUMMYFUNCTION("GOOGLETRANSLATE(B16417,""en"",""de"")"),"Dann drückte der Sumo, der schwarzen Slip trägt, den anderen Sumo aus dem Ring.")</f>
        <v>Dann drückte der Sumo, der schwarzen Slip trägt, den anderen Sumo aus dem Ring.</v>
      </c>
    </row>
    <row r="16418">
      <c r="A16418" s="4" t="s">
        <v>20678</v>
      </c>
      <c r="B16418" s="4" t="s">
        <v>20681</v>
      </c>
      <c r="C16418" s="5" t="str">
        <f>IFERROR(__xludf.DUMMYFUNCTION("GOOGLETRANSLATE(B16418,""en"",""de"")"),"Dann ringen zwei Sumo und stolpern mit dem Richter, einer von ihnen fällt.")</f>
        <v>Dann ringen zwei Sumo und stolpern mit dem Richter, einer von ihnen fällt.</v>
      </c>
    </row>
    <row r="16419">
      <c r="A16419" s="4" t="s">
        <v>20678</v>
      </c>
      <c r="B16419" s="4" t="s">
        <v>20682</v>
      </c>
      <c r="C16419" s="5" t="str">
        <f>IFERROR(__xludf.DUMMYFUNCTION("GOOGLETRANSLATE(B16419,""en"",""de"")"),"Danach ringt der Sumosn weiter und der Sumo mit schwarzem Slip fällt aus dem Ring.")</f>
        <v>Danach ringt der Sumosn weiter und der Sumo mit schwarzem Slip fällt aus dem Ring.</v>
      </c>
    </row>
    <row r="16420">
      <c r="A16420" s="4" t="s">
        <v>20683</v>
      </c>
      <c r="B16420" s="4" t="s">
        <v>20684</v>
      </c>
      <c r="C16420" s="5" t="str">
        <f>IFERROR(__xludf.DUMMYFUNCTION("GOOGLETRANSLATE(B16420,""en"",""de"")"),"Ein Mann spricht mit der Kamera und hält ein Stück Papier hoch.")</f>
        <v>Ein Mann spricht mit der Kamera und hält ein Stück Papier hoch.</v>
      </c>
    </row>
    <row r="16421">
      <c r="A16421" s="4" t="s">
        <v>20683</v>
      </c>
      <c r="B16421" s="4" t="s">
        <v>20685</v>
      </c>
      <c r="C16421" s="5" t="str">
        <f>IFERROR(__xludf.DUMMYFUNCTION("GOOGLETRANSLATE(B16421,""en"",""de"")"),"Der Mann hält auch einen Rasierer hoch und beginnt auf dem Papier zu schreiben.")</f>
        <v>Der Mann hält auch einen Rasierer hoch und beginnt auf dem Papier zu schreiben.</v>
      </c>
    </row>
    <row r="16422">
      <c r="A16422" s="4" t="s">
        <v>20683</v>
      </c>
      <c r="B16422" s="4" t="s">
        <v>20686</v>
      </c>
      <c r="C16422" s="5" t="str">
        <f>IFERROR(__xludf.DUMMYFUNCTION("GOOGLETRANSLATE(B16422,""en"",""de"")"),"Der Mann wird dann gesehen, wie er sein Gesicht rasiert und mit Credits endet.")</f>
        <v>Der Mann wird dann gesehen, wie er sein Gesicht rasiert und mit Credits endet.</v>
      </c>
    </row>
    <row r="16423">
      <c r="A16423" s="4" t="s">
        <v>20687</v>
      </c>
      <c r="B16423" s="4" t="s">
        <v>20688</v>
      </c>
      <c r="C16423" s="5" t="str">
        <f>IFERROR(__xludf.DUMMYFUNCTION("GOOGLETRANSLATE(B16423,""en"",""de"")"),"Wir sehen eine Dame im Badezimmer.")</f>
        <v>Wir sehen eine Dame im Badezimmer.</v>
      </c>
    </row>
    <row r="16424">
      <c r="A16424" s="4" t="s">
        <v>20687</v>
      </c>
      <c r="B16424" s="4" t="s">
        <v>20689</v>
      </c>
      <c r="C16424" s="5" t="str">
        <f>IFERROR(__xludf.DUMMYFUNCTION("GOOGLETRANSLATE(B16424,""en"",""de"")"),"Sie zeigt uns ihre Föhnschachtel.")</f>
        <v>Sie zeigt uns ihre Föhnschachtel.</v>
      </c>
    </row>
    <row r="16425">
      <c r="A16425" s="4" t="s">
        <v>20687</v>
      </c>
      <c r="B16425" s="4" t="s">
        <v>20690</v>
      </c>
      <c r="C16425" s="5" t="str">
        <f>IFERROR(__xludf.DUMMYFUNCTION("GOOGLETRANSLATE(B16425,""en"",""de"")"),"Sie bringt die Föhnkasten wieder in Sicht.")</f>
        <v>Sie bringt die Föhnkasten wieder in Sicht.</v>
      </c>
    </row>
    <row r="16426">
      <c r="A16426" s="4" t="s">
        <v>20687</v>
      </c>
      <c r="B16426" s="4" t="s">
        <v>20691</v>
      </c>
      <c r="C16426" s="5" t="str">
        <f>IFERROR(__xludf.DUMMYFUNCTION("GOOGLETRANSLATE(B16426,""en"",""de"")"),"Die Dame greift und hebt ihre Haare.")</f>
        <v>Die Dame greift und hebt ihre Haare.</v>
      </c>
    </row>
    <row r="16427">
      <c r="A16427" s="4" t="s">
        <v>20687</v>
      </c>
      <c r="B16427" s="4" t="s">
        <v>20692</v>
      </c>
      <c r="C16427" s="5" t="str">
        <f>IFERROR(__xludf.DUMMYFUNCTION("GOOGLETRANSLATE(B16427,""en"",""de"")"),"Die Dame zeigt uns Trockneraufsätze und den Trockner.")</f>
        <v>Die Dame zeigt uns Trockneraufsätze und den Trockner.</v>
      </c>
    </row>
    <row r="16428">
      <c r="A16428" s="4" t="s">
        <v>20687</v>
      </c>
      <c r="B16428" s="4" t="s">
        <v>20693</v>
      </c>
      <c r="C16428" s="5" t="str">
        <f>IFERROR(__xludf.DUMMYFUNCTION("GOOGLETRANSLATE(B16428,""en"",""de"")"),"Die Pinsel der Dame hören Haare und fügt Fühe hinzu, dass blase ihre Haare entfallen.")</f>
        <v>Die Pinsel der Dame hören Haare und fügt Fühe hinzu, dass blase ihre Haare entfallen.</v>
      </c>
    </row>
    <row r="16429">
      <c r="A16429" s="4" t="s">
        <v>20694</v>
      </c>
      <c r="B16429" s="4" t="s">
        <v>20695</v>
      </c>
      <c r="C16429" s="5" t="str">
        <f>IFERROR(__xludf.DUMMYFUNCTION("GOOGLETRANSLATE(B16429,""en"",""de"")"),"Eine Nahaufnahme eines Computers wird gezeigt, gefolgt von einem Mann, der in den Rahmen tritt und in das Mikrofon singt.")</f>
        <v>Eine Nahaufnahme eines Computers wird gezeigt, gefolgt von einem Mann, der in den Rahmen tritt und in das Mikrofon singt.</v>
      </c>
    </row>
    <row r="16430">
      <c r="A16430" s="4" t="s">
        <v>20694</v>
      </c>
      <c r="B16430" s="4" t="s">
        <v>20696</v>
      </c>
      <c r="C16430" s="5" t="str">
        <f>IFERROR(__xludf.DUMMYFUNCTION("GOOGLETRANSLATE(B16430,""en"",""de"")"),"Der Mann singt weiterhin, während die Kamera ihn einfängt und am Ende zu schwarz ist.")</f>
        <v>Der Mann singt weiterhin, während die Kamera ihn einfängt und am Ende zu schwarz ist.</v>
      </c>
    </row>
    <row r="16431">
      <c r="A16431" s="4" t="s">
        <v>20697</v>
      </c>
      <c r="B16431" s="4" t="s">
        <v>20698</v>
      </c>
      <c r="C16431" s="5" t="str">
        <f>IFERROR(__xludf.DUMMYFUNCTION("GOOGLETRANSLATE(B16431,""en"",""de"")"),"Eine alte Frau spricht vor einem Marathon, an dem viele Leute teilnehmen.")</f>
        <v>Eine alte Frau spricht vor einem Marathon, an dem viele Leute teilnehmen.</v>
      </c>
    </row>
    <row r="16432">
      <c r="A16432" s="4" t="s">
        <v>20697</v>
      </c>
      <c r="B16432" s="4" t="s">
        <v>20699</v>
      </c>
      <c r="C16432" s="5" t="str">
        <f>IFERROR(__xludf.DUMMYFUNCTION("GOOGLETRANSLATE(B16432,""en"",""de"")"),"Dann überquert die Frau die Ziellinie und die Leute helfen ihr.")</f>
        <v>Dann überquert die Frau die Ziellinie und die Leute helfen ihr.</v>
      </c>
    </row>
    <row r="16433">
      <c r="A16433" s="4" t="s">
        <v>20697</v>
      </c>
      <c r="B16433" s="4" t="s">
        <v>20700</v>
      </c>
      <c r="C16433" s="5" t="str">
        <f>IFERROR(__xludf.DUMMYFUNCTION("GOOGLETRANSLATE(B16433,""en"",""de"")"),"Ein Kameramann filmt vor der Ziellinie, während die Leute ankommen.")</f>
        <v>Ein Kameramann filmt vor der Ziellinie, während die Leute ankommen.</v>
      </c>
    </row>
    <row r="16434">
      <c r="A16434" s="4" t="s">
        <v>20697</v>
      </c>
      <c r="B16434" s="4" t="s">
        <v>20701</v>
      </c>
      <c r="C16434" s="5" t="str">
        <f>IFERROR(__xludf.DUMMYFUNCTION("GOOGLETRANSLATE(B16434,""en"",""de"")"),"Eine Frau hebt ihre Arme, wenn sie die Ziellinie überqueren.")</f>
        <v>Eine Frau hebt ihre Arme, wenn sie die Ziellinie überqueren.</v>
      </c>
    </row>
    <row r="16435">
      <c r="A16435" s="4" t="s">
        <v>20702</v>
      </c>
      <c r="B16435" s="4" t="s">
        <v>20703</v>
      </c>
      <c r="C16435" s="5" t="str">
        <f>IFERROR(__xludf.DUMMYFUNCTION("GOOGLETRANSLATE(B16435,""en"",""de"")"),"Ein sehr großer Mann, der einen schwarzen Speedo trägt, steht in einer Randbahn und puffend.")</f>
        <v>Ein sehr großer Mann, der einen schwarzen Speedo trägt, steht in einer Randbahn und puffend.</v>
      </c>
    </row>
    <row r="16436">
      <c r="A16436" s="4" t="s">
        <v>20702</v>
      </c>
      <c r="B16436" s="4" t="s">
        <v>20704</v>
      </c>
      <c r="C16436" s="5" t="str">
        <f>IFERROR(__xludf.DUMMYFUNCTION("GOOGLETRANSLATE(B16436,""en"",""de"")"),"Ein Schiedsrichter geht am Mann vorbei, ein Mann vom Boden steht auf und der sehr große Mann tritt ihn, nimmt ihn auf und schlägt ihn dann auf die Eisbahn.")</f>
        <v>Ein Schiedsrichter geht am Mann vorbei, ein Mann vom Boden steht auf und der sehr große Mann tritt ihn, nimmt ihn auf und schlägt ihn dann auf die Eisbahn.</v>
      </c>
    </row>
    <row r="16437">
      <c r="A16437" s="4" t="s">
        <v>20702</v>
      </c>
      <c r="B16437" s="4" t="s">
        <v>20705</v>
      </c>
      <c r="C16437" s="5" t="str">
        <f>IFERROR(__xludf.DUMMYFUNCTION("GOOGLETRANSLATE(B16437,""en"",""de"")"),"Der Mann liegt nur dort vor Schmerzen.")</f>
        <v>Der Mann liegt nur dort vor Schmerzen.</v>
      </c>
    </row>
    <row r="16438">
      <c r="A16438" s="4" t="s">
        <v>20706</v>
      </c>
      <c r="B16438" s="4" t="s">
        <v>20707</v>
      </c>
      <c r="C16438" s="5" t="str">
        <f>IFERROR(__xludf.DUMMYFUNCTION("GOOGLETRANSLATE(B16438,""en"",""de"")"),"Zwei Frauen sprechen miteinander und führen zu ihnen, die Kampfkünste gegeneinander ausführen.")</f>
        <v>Zwei Frauen sprechen miteinander und führen zu ihnen, die Kampfkünste gegeneinander ausführen.</v>
      </c>
    </row>
    <row r="16439">
      <c r="A16439" s="4" t="s">
        <v>20706</v>
      </c>
      <c r="B16439" s="4" t="s">
        <v>20708</v>
      </c>
      <c r="C16439" s="5" t="str">
        <f>IFERROR(__xludf.DUMMYFUNCTION("GOOGLETRANSLATE(B16439,""en"",""de"")"),"Die Mädchen kämpfen weiter und führt in eine, die sich hinsetzt, während die andere weiterhin Bewegungen durchführt.")</f>
        <v>Die Mädchen kämpfen weiter und führt in eine, die sich hinsetzt, während die andere weiterhin Bewegungen durchführt.</v>
      </c>
    </row>
    <row r="16440">
      <c r="A16440" s="4" t="s">
        <v>20709</v>
      </c>
      <c r="B16440" s="4" t="s">
        <v>20710</v>
      </c>
      <c r="C16440" s="5" t="str">
        <f>IFERROR(__xludf.DUMMYFUNCTION("GOOGLETRANSLATE(B16440,""en"",""de"")"),"Ein Mädchen im roten Outfit serviert ihren Freund in einem Tennisspiel im Freien.")</f>
        <v>Ein Mädchen im roten Outfit serviert ihren Freund in einem Tennisspiel im Freien.</v>
      </c>
    </row>
    <row r="16441">
      <c r="A16441" s="4" t="s">
        <v>20709</v>
      </c>
      <c r="B16441" s="4" t="s">
        <v>20711</v>
      </c>
      <c r="C16441" s="5" t="str">
        <f>IFERROR(__xludf.DUMMYFUNCTION("GOOGLETRANSLATE(B16441,""en"",""de"")"),"Der Freund gibt den Ball zurück und die beiden spielen eine Runde Tennis.")</f>
        <v>Der Freund gibt den Ball zurück und die beiden spielen eine Runde Tennis.</v>
      </c>
    </row>
    <row r="16442">
      <c r="A16442" s="4" t="s">
        <v>20709</v>
      </c>
      <c r="B16442" s="4" t="s">
        <v>20712</v>
      </c>
      <c r="C16442" s="5" t="str">
        <f>IFERROR(__xludf.DUMMYFUNCTION("GOOGLETRANSLATE(B16442,""en"",""de"")"),"Der Ball wird vom Netz abgelenkt und der Partner verliert die Runde.")</f>
        <v>Der Ball wird vom Netz abgelenkt und der Partner verliert die Runde.</v>
      </c>
    </row>
    <row r="16443">
      <c r="A16443" s="4" t="s">
        <v>20713</v>
      </c>
      <c r="B16443" s="4" t="s">
        <v>20714</v>
      </c>
      <c r="C16443" s="5" t="str">
        <f>IFERROR(__xludf.DUMMYFUNCTION("GOOGLETRANSLATE(B16443,""en"",""de"")"),"Mehrere Männer stehen auf einem Pier.")</f>
        <v>Mehrere Männer stehen auf einem Pier.</v>
      </c>
    </row>
    <row r="16444">
      <c r="A16444" s="4" t="s">
        <v>20713</v>
      </c>
      <c r="B16444" s="4" t="s">
        <v>20715</v>
      </c>
      <c r="C16444" s="5" t="str">
        <f>IFERROR(__xludf.DUMMYFUNCTION("GOOGLETRANSLATE(B16444,""en"",""de"")"),"Einer der Männer ist ohne Hemd.")</f>
        <v>Einer der Männer ist ohne Hemd.</v>
      </c>
    </row>
    <row r="16445">
      <c r="A16445" s="4" t="s">
        <v>20713</v>
      </c>
      <c r="B16445" s="4" t="s">
        <v>20716</v>
      </c>
      <c r="C16445" s="5" t="str">
        <f>IFERROR(__xludf.DUMMYFUNCTION("GOOGLETRANSLATE(B16445,""en"",""de"")"),"Sie bringen etwas rohes Fleisch heraus.")</f>
        <v>Sie bringen etwas rohes Fleisch heraus.</v>
      </c>
    </row>
    <row r="16446">
      <c r="A16446" s="4" t="s">
        <v>20713</v>
      </c>
      <c r="B16446" s="4" t="s">
        <v>20717</v>
      </c>
      <c r="C16446" s="5" t="str">
        <f>IFERROR(__xludf.DUMMYFUNCTION("GOOGLETRANSLATE(B16446,""en"",""de"")"),"Einer der Männer steigt auf ein Brett und macht Tricks.")</f>
        <v>Einer der Männer steigt auf ein Brett und macht Tricks.</v>
      </c>
    </row>
    <row r="16447">
      <c r="A16447" s="4" t="s">
        <v>20718</v>
      </c>
      <c r="B16447" s="4" t="s">
        <v>20719</v>
      </c>
      <c r="C16447" s="5" t="str">
        <f>IFERROR(__xludf.DUMMYFUNCTION("GOOGLETRANSLATE(B16447,""en"",""de"")"),"Eine Gruppe sitzt auf Pferden als Ständer und ruht sich aus.")</f>
        <v>Eine Gruppe sitzt auf Pferden als Ständer und ruht sich aus.</v>
      </c>
    </row>
    <row r="16448">
      <c r="A16448" s="4" t="s">
        <v>20718</v>
      </c>
      <c r="B16448" s="4" t="s">
        <v>20720</v>
      </c>
      <c r="C16448" s="5" t="str">
        <f>IFERROR(__xludf.DUMMYFUNCTION("GOOGLETRANSLATE(B16448,""en"",""de"")"),"Die Gruppe fährt auf den Pferden entlang einer Spur.")</f>
        <v>Die Gruppe fährt auf den Pferden entlang einer Spur.</v>
      </c>
    </row>
    <row r="16449">
      <c r="A16449" s="4" t="s">
        <v>20721</v>
      </c>
      <c r="B16449" s="4" t="s">
        <v>20722</v>
      </c>
      <c r="C16449" s="5" t="str">
        <f>IFERROR(__xludf.DUMMYFUNCTION("GOOGLETRANSLATE(B16449,""en"",""de"")"),"Eine Frau spricht sowohl mit der Kamera als auch mit anderen Leuten in einem Auto mit ihr.")</f>
        <v>Eine Frau spricht sowohl mit der Kamera als auch mit anderen Leuten in einem Auto mit ihr.</v>
      </c>
    </row>
    <row r="16450">
      <c r="A16450" s="4" t="s">
        <v>20721</v>
      </c>
      <c r="B16450" s="4" t="s">
        <v>20723</v>
      </c>
      <c r="C16450" s="5" t="str">
        <f>IFERROR(__xludf.DUMMYFUNCTION("GOOGLETRANSLATE(B16450,""en"",""de"")"),"Schüsse von ihr und ihrer Freundin werden durch einen Rahmen gezeigt und führen in sie Tätowierungen an.")</f>
        <v>Schüsse von ihr und ihrer Freundin werden durch einen Rahmen gezeigt und führen in sie Tätowierungen an.</v>
      </c>
    </row>
    <row r="16451">
      <c r="A16451" s="4" t="s">
        <v>20721</v>
      </c>
      <c r="B16451" s="4" t="s">
        <v>20724</v>
      </c>
      <c r="C16451" s="5" t="str">
        <f>IFERROR(__xludf.DUMMYFUNCTION("GOOGLETRANSLATE(B16451,""en"",""de"")"),"Sie zeigten im Auto und warten darauf, ein Tattoo herunterzufahren, während sie noch mit der Kamera sprechen.")</f>
        <v>Sie zeigten im Auto und warten darauf, ein Tattoo herunterzufahren, während sie noch mit der Kamera sprechen.</v>
      </c>
    </row>
    <row r="16452">
      <c r="A16452" s="4" t="s">
        <v>20721</v>
      </c>
      <c r="B16452" s="4" t="s">
        <v>20725</v>
      </c>
      <c r="C16452" s="5" t="str">
        <f>IFERROR(__xludf.DUMMYFUNCTION("GOOGLETRANSLATE(B16452,""en"",""de"")"),"Die Mädchen werden dann jeweils gezeigt, wie sie Tätowierungen erledigen und endet mit Bildern ihrer Tätowierungen, die gezeigt werden.")</f>
        <v>Die Mädchen werden dann jeweils gezeigt, wie sie Tätowierungen erledigen und endet mit Bildern ihrer Tätowierungen, die gezeigt werden.</v>
      </c>
    </row>
    <row r="16453">
      <c r="A16453" s="4" t="s">
        <v>20726</v>
      </c>
      <c r="B16453" s="4" t="s">
        <v>20727</v>
      </c>
      <c r="C16453" s="5" t="str">
        <f>IFERROR(__xludf.DUMMYFUNCTION("GOOGLETRANSLATE(B16453,""en"",""de"")"),"Eine Frau, die ein rosa und weißes Hemd und schwarze Strumpfhosen trägt, steht in ihrem Vorgarten.")</f>
        <v>Eine Frau, die ein rosa und weißes Hemd und schwarze Strumpfhosen trägt, steht in ihrem Vorgarten.</v>
      </c>
    </row>
    <row r="16454">
      <c r="A16454" s="4" t="s">
        <v>20726</v>
      </c>
      <c r="B16454" s="4" t="s">
        <v>20728</v>
      </c>
      <c r="C16454" s="5" t="str">
        <f>IFERROR(__xludf.DUMMYFUNCTION("GOOGLETRANSLATE(B16454,""en"",""de"")"),"Sie hält zwei Schlagstöcke in sich und wirbt sie.")</f>
        <v>Sie hält zwei Schlagstöcke in sich und wirbt sie.</v>
      </c>
    </row>
    <row r="16455">
      <c r="A16455" s="4" t="s">
        <v>20726</v>
      </c>
      <c r="B16455" s="4" t="s">
        <v>20729</v>
      </c>
      <c r="C16455" s="5" t="str">
        <f>IFERROR(__xludf.DUMMYFUNCTION("GOOGLETRANSLATE(B16455,""en"",""de"")"),"Sie dreht ihren Körper und dreht sich mehrmals um, als sie die Schlagstöcke in beiden Händen verdreht.")</f>
        <v>Sie dreht ihren Körper und dreht sich mehrmals um, als sie die Schlagstöcke in beiden Händen verdreht.</v>
      </c>
    </row>
    <row r="16456">
      <c r="A16456" s="4" t="s">
        <v>20726</v>
      </c>
      <c r="B16456" s="4" t="s">
        <v>20730</v>
      </c>
      <c r="C16456" s="5" t="str">
        <f>IFERROR(__xludf.DUMMYFUNCTION("GOOGLETRANSLATE(B16456,""en"",""de"")"),"Sie bewegt auch ihren Fuß hin und her und geht und hebt ihren Fuß, während sie verdreht.")</f>
        <v>Sie bewegt auch ihren Fuß hin und her und geht und hebt ihren Fuß, während sie verdreht.</v>
      </c>
    </row>
    <row r="16457">
      <c r="A16457" s="4" t="s">
        <v>20726</v>
      </c>
      <c r="B16457" s="4" t="s">
        <v>20731</v>
      </c>
      <c r="C16457" s="5" t="str">
        <f>IFERROR(__xludf.DUMMYFUNCTION("GOOGLETRANSLATE(B16457,""en"",""de"")"),"Sie wirft dann den Schlagstock unter ihr Bein und fängt sie mit ihrer anderen Hand.")</f>
        <v>Sie wirft dann den Schlagstock unter ihr Bein und fängt sie mit ihrer anderen Hand.</v>
      </c>
    </row>
    <row r="16458">
      <c r="A16458" s="4" t="s">
        <v>20726</v>
      </c>
      <c r="B16458" s="4" t="s">
        <v>20732</v>
      </c>
      <c r="C16458" s="5" t="str">
        <f>IFERROR(__xludf.DUMMYFUNCTION("GOOGLETRANSLATE(B16458,""en"",""de"")"),"Sie wirft weiter den Staffelstab in der Nähe eines schattigen Baumes.")</f>
        <v>Sie wirft weiter den Staffelstab in der Nähe eines schattigen Baumes.</v>
      </c>
    </row>
    <row r="16459">
      <c r="A16459" s="4" t="s">
        <v>20726</v>
      </c>
      <c r="B16459" s="4" t="s">
        <v>20733</v>
      </c>
      <c r="C16459" s="5" t="str">
        <f>IFERROR(__xludf.DUMMYFUNCTION("GOOGLETRANSLATE(B16459,""en"",""de"")"),"Sie dreht ihren ganzen Körper um, als sie die Schlagstöcke dreht.")</f>
        <v>Sie dreht ihren ganzen Körper um, als sie die Schlagstöcke dreht.</v>
      </c>
    </row>
    <row r="16460">
      <c r="A16460" s="4" t="s">
        <v>20726</v>
      </c>
      <c r="B16460" s="4" t="s">
        <v>20734</v>
      </c>
      <c r="C16460" s="5" t="str">
        <f>IFERROR(__xludf.DUMMYFUNCTION("GOOGLETRANSLATE(B16460,""en"",""de"")"),"Sie knallt sich schließlich nieder und hält den Staffelstab gerade in der Hand.")</f>
        <v>Sie knallt sich schließlich nieder und hält den Staffelstab gerade in der Hand.</v>
      </c>
    </row>
    <row r="16461">
      <c r="A16461" s="4" t="s">
        <v>20735</v>
      </c>
      <c r="B16461" s="4" t="s">
        <v>20736</v>
      </c>
      <c r="C16461" s="5" t="str">
        <f>IFERROR(__xludf.DUMMYFUNCTION("GOOGLETRANSLATE(B16461,""en"",""de"")"),"Wir sehen, wie Wasser über einen Fluss fließt.")</f>
        <v>Wir sehen, wie Wasser über einen Fluss fließt.</v>
      </c>
    </row>
    <row r="16462">
      <c r="A16462" s="4" t="s">
        <v>20735</v>
      </c>
      <c r="B16462" s="4" t="s">
        <v>20737</v>
      </c>
      <c r="C16462" s="5" t="str">
        <f>IFERROR(__xludf.DUMMYFUNCTION("GOOGLETRANSLATE(B16462,""en"",""de"")"),"Ein Titel erscheint auf dem Bildschirm.")</f>
        <v>Ein Titel erscheint auf dem Bildschirm.</v>
      </c>
    </row>
    <row r="16463">
      <c r="A16463" s="4" t="s">
        <v>20735</v>
      </c>
      <c r="B16463" s="4" t="s">
        <v>20738</v>
      </c>
      <c r="C16463" s="5" t="str">
        <f>IFERROR(__xludf.DUMMYFUNCTION("GOOGLETRANSLATE(B16463,""en"",""de"")"),"Eine Person in einem Kanu geht über den Wasserfall.")</f>
        <v>Eine Person in einem Kanu geht über den Wasserfall.</v>
      </c>
    </row>
    <row r="16464">
      <c r="A16464" s="4" t="s">
        <v>20735</v>
      </c>
      <c r="B16464" s="4" t="s">
        <v>20739</v>
      </c>
      <c r="C16464" s="5" t="str">
        <f>IFERROR(__xludf.DUMMYFUNCTION("GOOGLETRANSLATE(B16464,""en"",""de"")"),"Die Person reitet die Stromschnellen des Flusses.")</f>
        <v>Die Person reitet die Stromschnellen des Flusses.</v>
      </c>
    </row>
    <row r="16465">
      <c r="A16465" s="4" t="s">
        <v>20735</v>
      </c>
      <c r="B16465" s="4" t="s">
        <v>20740</v>
      </c>
      <c r="C16465" s="5" t="str">
        <f>IFERROR(__xludf.DUMMYFUNCTION("GOOGLETRANSLATE(B16465,""en"",""de"")"),"Wir sehen Leute auf einem Felsen am Flussufer, der den Kanoer beobachtet.")</f>
        <v>Wir sehen Leute auf einem Felsen am Flussufer, der den Kanoer beobachtet.</v>
      </c>
    </row>
    <row r="16466">
      <c r="A16466" s="4" t="s">
        <v>20735</v>
      </c>
      <c r="B16466" s="4" t="s">
        <v>20741</v>
      </c>
      <c r="C16466" s="5" t="str">
        <f>IFERROR(__xludf.DUMMYFUNCTION("GOOGLETRANSLATE(B16466,""en"",""de"")"),"Die Person im Kanu lächelt und spricht mit der Kamera.")</f>
        <v>Die Person im Kanu lächelt und spricht mit der Kamera.</v>
      </c>
    </row>
    <row r="16467">
      <c r="A16467" s="4" t="s">
        <v>20742</v>
      </c>
      <c r="B16467" s="4" t="s">
        <v>20743</v>
      </c>
      <c r="C16467" s="5" t="str">
        <f>IFERROR(__xludf.DUMMYFUNCTION("GOOGLETRANSLATE(B16467,""en"",""de"")"),"Eine Nahaufnahme von Reifen wird von einem Mann gezeigt, der an einem Reifen arbeitet und vor der Kamera interviewt wird.")</f>
        <v>Eine Nahaufnahme von Reifen wird von einem Mann gezeigt, der an einem Reifen arbeitet und vor der Kamera interviewt wird.</v>
      </c>
    </row>
    <row r="16468">
      <c r="A16468" s="4" t="s">
        <v>20742</v>
      </c>
      <c r="B16468" s="4" t="s">
        <v>20744</v>
      </c>
      <c r="C16468" s="5" t="str">
        <f>IFERROR(__xludf.DUMMYFUNCTION("GOOGLETRANSLATE(B16468,""en"",""de"")"),"Die Kamera erfasst das Werkzeug auf den Reifen aus mehreren Winkeln und hebt das Auto für die Arbeit.")</f>
        <v>Die Kamera erfasst das Werkzeug auf den Reifen aus mehreren Winkeln und hebt das Auto für die Arbeit.</v>
      </c>
    </row>
    <row r="16469">
      <c r="A16469" s="4" t="s">
        <v>20742</v>
      </c>
      <c r="B16469" s="4" t="s">
        <v>20745</v>
      </c>
      <c r="C16469" s="5" t="str">
        <f>IFERROR(__xludf.DUMMYFUNCTION("GOOGLETRANSLATE(B16469,""en"",""de"")"),"Weitere Aufnahmen der Männer, die wie man als man bearbeitet wird, spricht mit der Kamera und endet, indem sie zu Weiß verblassen.")</f>
        <v>Weitere Aufnahmen der Männer, die wie man als man bearbeitet wird, spricht mit der Kamera und endet, indem sie zu Weiß verblassen.</v>
      </c>
    </row>
    <row r="16470">
      <c r="A16470" s="4" t="s">
        <v>20746</v>
      </c>
      <c r="B16470" s="4" t="s">
        <v>20747</v>
      </c>
      <c r="C16470" s="5" t="str">
        <f>IFERROR(__xludf.DUMMYFUNCTION("GOOGLETRANSLATE(B16470,""en"",""de"")"),"Als Mann und Frau, die rote Jacken trugen, jubelte der Mann, während die Frau mit ihrem iPad ein Video mit ihrem iPad macht, hat sie sehr ernsthaft aussah, die Frau hat dem Mann das iPad übergeben.")</f>
        <v>Als Mann und Frau, die rote Jacken trugen, jubelte der Mann, während die Frau mit ihrem iPad ein Video mit ihrem iPad macht, hat sie sehr ernsthaft aussah, die Frau hat dem Mann das iPad übergeben.</v>
      </c>
    </row>
    <row r="16471">
      <c r="A16471" s="4" t="s">
        <v>20746</v>
      </c>
      <c r="B16471" s="4" t="s">
        <v>20748</v>
      </c>
      <c r="C16471" s="5" t="str">
        <f>IFERROR(__xludf.DUMMYFUNCTION("GOOGLETRANSLATE(B16471,""en"",""de"")"),"Eine Frau nimmt eine Stange auf und steckt sie in die größere Stange. Ein Mann in blauer Jacke schaute vom Boden auf.")</f>
        <v>Eine Frau nimmt eine Stange auf und steckt sie in die größere Stange. Ein Mann in blauer Jacke schaute vom Boden auf.</v>
      </c>
    </row>
    <row r="16472">
      <c r="A16472" s="4" t="s">
        <v>20746</v>
      </c>
      <c r="B16472" s="4" t="s">
        <v>20749</v>
      </c>
      <c r="C16472" s="5" t="str">
        <f>IFERROR(__xludf.DUMMYFUNCTION("GOOGLETRANSLATE(B16472,""en"",""de"")"),"Ein männlicher Athlet, der rotes und blaues Oberteil trug, rannte, hüpfte und sprang auf den Sand #18, dann stieg er auf dem Gras und dem Feld in Richtung der Gruppe der Menschen auf.")</f>
        <v>Ein männlicher Athlet, der rotes und blaues Oberteil trug, rannte, hüpfte und sprang auf den Sand #18, dann stieg er auf dem Gras und dem Feld in Richtung der Gruppe der Menschen auf.</v>
      </c>
    </row>
    <row r="16473">
      <c r="A16473" s="4" t="s">
        <v>20746</v>
      </c>
      <c r="B16473" s="4" t="s">
        <v>20750</v>
      </c>
      <c r="C16473" s="5" t="str">
        <f>IFERROR(__xludf.DUMMYFUNCTION("GOOGLETRANSLATE(B16473,""en"",""de"")"),"Ein männlicher Athlet, der blaues Oberteil trug, rannte auf die Spur, hüpfte nach dem Übergeben der weißen Linie und sprang zum Sand, traf den sandigen Boden, stand dann auf und ging dann zum Gleisfeld.")</f>
        <v>Ein männlicher Athlet, der blaues Oberteil trug, rannte auf die Spur, hüpfte nach dem Übergeben der weißen Linie und sprang zum Sand, traf den sandigen Boden, stand dann auf und ging dann zum Gleisfeld.</v>
      </c>
    </row>
    <row r="16474">
      <c r="A16474" s="4" t="s">
        <v>20746</v>
      </c>
      <c r="B16474" s="4" t="s">
        <v>20751</v>
      </c>
      <c r="C16474" s="5" t="str">
        <f>IFERROR(__xludf.DUMMYFUNCTION("GOOGLETRANSLATE(B16474,""en"",""de"")"),"Ein männlicher Athlet in roter und blauer Uniform begann auf das Feld zu rennen, hüpfte, als er an der weißen Linie vorbeikam und dann in Richtung Sand des Sandplatzes sprang, er schlug auf den Boden, fiel auf seine Seite und stand auf und ging auf das Fe"&amp;"ld zu.")</f>
        <v>Ein männlicher Athlet in roter und blauer Uniform begann auf das Feld zu rennen, hüpfte, als er an der weißen Linie vorbeikam und dann in Richtung Sand des Sandplatzes sprang, er schlug auf den Boden, fiel auf seine Seite und stand auf und ging auf das Feld zu.</v>
      </c>
    </row>
    <row r="16475">
      <c r="A16475" s="4" t="s">
        <v>20746</v>
      </c>
      <c r="B16475" s="4" t="s">
        <v>20752</v>
      </c>
      <c r="C16475" s="5" t="str">
        <f>IFERROR(__xludf.DUMMYFUNCTION("GOOGLETRANSLATE(B16475,""en"",""de"")"),"Eine Frau im roten Oberteil wird gezeigt.")</f>
        <v>Eine Frau im roten Oberteil wird gezeigt.</v>
      </c>
    </row>
    <row r="16476">
      <c r="A16476" s="4" t="s">
        <v>20753</v>
      </c>
      <c r="B16476" s="4" t="s">
        <v>20754</v>
      </c>
      <c r="C16476" s="5" t="str">
        <f>IFERROR(__xludf.DUMMYFUNCTION("GOOGLETRANSLATE(B16476,""en"",""de"")"),"Eine Frau sitzt auf einem Krankenhausbett mit einem Rasiermesser im Mund und die Menschen um sie herum bewegen ihr Haar aus ihrem Gesicht.")</f>
        <v>Eine Frau sitzt auf einem Krankenhausbett mit einem Rasiermesser im Mund und die Menschen um sie herum bewegen ihr Haar aus ihrem Gesicht.</v>
      </c>
    </row>
    <row r="16477">
      <c r="A16477" s="4" t="s">
        <v>20753</v>
      </c>
      <c r="B16477" s="4" t="s">
        <v>20755</v>
      </c>
      <c r="C16477" s="5" t="str">
        <f>IFERROR(__xludf.DUMMYFUNCTION("GOOGLETRANSLATE(B16477,""en"",""de"")"),"Die Frau fängt dann an, den Rasiermesser den Teil ihres linken Beins auf und ab zu ziehen, den sie mit ihrer Kurve erreichen kann.")</f>
        <v>Die Frau fängt dann an, den Rasiermesser den Teil ihres linken Beins auf und ab zu ziehen, den sie mit ihrer Kurve erreichen kann.</v>
      </c>
    </row>
    <row r="16478">
      <c r="A16478" s="4" t="s">
        <v>20753</v>
      </c>
      <c r="B16478" s="4" t="s">
        <v>20756</v>
      </c>
      <c r="C16478" s="5" t="str">
        <f>IFERROR(__xludf.DUMMYFUNCTION("GOOGLETRANSLATE(B16478,""en"",""de"")"),"Die Frau packt dann den Rasierer aus ihrem Mund mit ihrer rechten Hand und fängt an, ihr linkes Bein zu rasieren.")</f>
        <v>Die Frau packt dann den Rasierer aus ihrem Mund mit ihrer rechten Hand und fängt an, ihr linkes Bein zu rasieren.</v>
      </c>
    </row>
    <row r="16479">
      <c r="A16479" s="4" t="s">
        <v>20753</v>
      </c>
      <c r="B16479" s="4" t="s">
        <v>20757</v>
      </c>
      <c r="C16479" s="5" t="str">
        <f>IFERROR(__xludf.DUMMYFUNCTION("GOOGLETRANSLATE(B16479,""en"",""de"")"),"Die Frau steckt den Rasiermessergriff zurück in den Mund und versucht sich wieder zu rasieren, aber er fällt aus ihrem Mund und sie lässt frustriert ihren Kopf fallen und lehnt sich dann zurück auf das Bett, lacht und verschraubt dann die Arme.")</f>
        <v>Die Frau steckt den Rasiermessergriff zurück in den Mund und versucht sich wieder zu rasieren, aber er fällt aus ihrem Mund und sie lässt frustriert ihren Kopf fallen und lehnt sich dann zurück auf das Bett, lacht und verschraubt dann die Arme.</v>
      </c>
    </row>
    <row r="16480">
      <c r="A16480" s="4" t="s">
        <v>20758</v>
      </c>
      <c r="B16480" s="4" t="s">
        <v>20759</v>
      </c>
      <c r="C16480" s="5" t="str">
        <f>IFERROR(__xludf.DUMMYFUNCTION("GOOGLETRANSLATE(B16480,""en"",""de"")"),"Ein Mann in einem schwarzen Hut steht auf der Straße.")</f>
        <v>Ein Mann in einem schwarzen Hut steht auf der Straße.</v>
      </c>
    </row>
    <row r="16481">
      <c r="A16481" s="4" t="s">
        <v>20758</v>
      </c>
      <c r="B16481" s="4" t="s">
        <v>20760</v>
      </c>
      <c r="C16481" s="5" t="str">
        <f>IFERROR(__xludf.DUMMYFUNCTION("GOOGLETRANSLATE(B16481,""en"",""de"")"),"Eine Person tanzt auf der Straße.")</f>
        <v>Eine Person tanzt auf der Straße.</v>
      </c>
    </row>
    <row r="16482">
      <c r="A16482" s="4" t="s">
        <v>20758</v>
      </c>
      <c r="B16482" s="4" t="s">
        <v>20761</v>
      </c>
      <c r="C16482" s="5" t="str">
        <f>IFERROR(__xludf.DUMMYFUNCTION("GOOGLETRANSLATE(B16482,""en"",""de"")"),"Ein Mann beginnt das Pause vor einem Auto zu tanzen.")</f>
        <v>Ein Mann beginnt das Pause vor einem Auto zu tanzen.</v>
      </c>
    </row>
    <row r="16483">
      <c r="A16483" s="4" t="s">
        <v>20762</v>
      </c>
      <c r="B16483" s="4" t="s">
        <v>20763</v>
      </c>
      <c r="C16483" s="5" t="str">
        <f>IFERROR(__xludf.DUMMYFUNCTION("GOOGLETRANSLATE(B16483,""en"",""de"")"),"Ein Mann, der eine Brille trägt, hält ein Buch und spricht.")</f>
        <v>Ein Mann, der eine Brille trägt, hält ein Buch und spricht.</v>
      </c>
    </row>
    <row r="16484">
      <c r="A16484" s="4" t="s">
        <v>20762</v>
      </c>
      <c r="B16484" s="4" t="s">
        <v>20764</v>
      </c>
      <c r="C16484" s="5" t="str">
        <f>IFERROR(__xludf.DUMMYFUNCTION("GOOGLETRANSLATE(B16484,""en"",""de"")"),"Er wird gezeigt, wie er eine Kegelbahn betritt.")</f>
        <v>Er wird gezeigt, wie er eine Kegelbahn betritt.</v>
      </c>
    </row>
    <row r="16485">
      <c r="A16485" s="4" t="s">
        <v>20762</v>
      </c>
      <c r="B16485" s="4" t="s">
        <v>20765</v>
      </c>
      <c r="C16485" s="5" t="str">
        <f>IFERROR(__xludf.DUMMYFUNCTION("GOOGLETRANSLATE(B16485,""en"",""de"")"),"Der Mann interviewt die Spieler und schließt sich ihnen in ein Bowlingspiel an.")</f>
        <v>Der Mann interviewt die Spieler und schließt sich ihnen in ein Bowlingspiel an.</v>
      </c>
    </row>
    <row r="16486">
      <c r="A16486" s="4" t="s">
        <v>20762</v>
      </c>
      <c r="B16486" s="4" t="s">
        <v>20766</v>
      </c>
      <c r="C16486" s="5" t="str">
        <f>IFERROR(__xludf.DUMMYFUNCTION("GOOGLETRANSLATE(B16486,""en"",""de"")"),"Ein Spieler erklärt die Techniken, die er verwendet.")</f>
        <v>Ein Spieler erklärt die Techniken, die er verwendet.</v>
      </c>
    </row>
    <row r="16487">
      <c r="A16487" s="4" t="s">
        <v>20767</v>
      </c>
      <c r="B16487" s="4" t="s">
        <v>20768</v>
      </c>
      <c r="C16487" s="5" t="str">
        <f>IFERROR(__xludf.DUMMYFUNCTION("GOOGLETRANSLATE(B16487,""en"",""de"")"),"Eine Person paddelt einen Fluss in einem Kanu hinunter.")</f>
        <v>Eine Person paddelt einen Fluss in einem Kanu hinunter.</v>
      </c>
    </row>
    <row r="16488">
      <c r="A16488" s="4" t="s">
        <v>20767</v>
      </c>
      <c r="B16488" s="4" t="s">
        <v>20769</v>
      </c>
      <c r="C16488" s="5" t="str">
        <f>IFERROR(__xludf.DUMMYFUNCTION("GOOGLETRANSLATE(B16488,""en"",""de"")"),"Die Person dreht sich um und schaut zurück.")</f>
        <v>Die Person dreht sich um und schaut zurück.</v>
      </c>
    </row>
    <row r="16489">
      <c r="A16489" s="4" t="s">
        <v>20770</v>
      </c>
      <c r="B16489" s="4" t="s">
        <v>20771</v>
      </c>
      <c r="C16489" s="5" t="str">
        <f>IFERROR(__xludf.DUMMYFUNCTION("GOOGLETRANSLATE(B16489,""en"",""de"")"),"Ein Mann spricht mit der Kamera und hält ein Instrument hoch.")</f>
        <v>Ein Mann spricht mit der Kamera und hält ein Instrument hoch.</v>
      </c>
    </row>
    <row r="16490">
      <c r="A16490" s="4" t="s">
        <v>20770</v>
      </c>
      <c r="B16490" s="4" t="s">
        <v>20772</v>
      </c>
      <c r="C16490" s="5" t="str">
        <f>IFERROR(__xludf.DUMMYFUNCTION("GOOGLETRANSLATE(B16490,""en"",""de"")"),"Der Mann spielt dann das Instrument vor der Kamera.")</f>
        <v>Der Mann spielt dann das Instrument vor der Kamera.</v>
      </c>
    </row>
    <row r="16491">
      <c r="A16491" s="4" t="s">
        <v>20770</v>
      </c>
      <c r="B16491" s="4" t="s">
        <v>20773</v>
      </c>
      <c r="C16491" s="5" t="str">
        <f>IFERROR(__xludf.DUMMYFUNCTION("GOOGLETRANSLATE(B16491,""en"",""de"")"),"Der Mann spielt weiterhin das Instrument und hält an, um in die Kamera zu schauen.")</f>
        <v>Der Mann spielt weiterhin das Instrument und hält an, um in die Kamera zu schauen.</v>
      </c>
    </row>
    <row r="16492">
      <c r="A16492" s="4" t="s">
        <v>20774</v>
      </c>
      <c r="B16492" s="4" t="s">
        <v>20775</v>
      </c>
      <c r="C16492" s="5" t="str">
        <f>IFERROR(__xludf.DUMMYFUNCTION("GOOGLETRANSLATE(B16492,""en"",""de"")"),"Ein Hund ist nahe an der Kamera und kämpft mit einem anderen Hund.")</f>
        <v>Ein Hund ist nahe an der Kamera und kämpft mit einem anderen Hund.</v>
      </c>
    </row>
    <row r="16493">
      <c r="A16493" s="4" t="s">
        <v>20774</v>
      </c>
      <c r="B16493" s="4" t="s">
        <v>20776</v>
      </c>
      <c r="C16493" s="5" t="str">
        <f>IFERROR(__xludf.DUMMYFUNCTION("GOOGLETRANSLATE(B16493,""en"",""de"")"),"Sie springen vom Schoß eines Mannes und dann wieder weiter, während sie weiter spielen.")</f>
        <v>Sie springen vom Schoß eines Mannes und dann wieder weiter, während sie weiter spielen.</v>
      </c>
    </row>
    <row r="16494">
      <c r="A16494" s="4" t="s">
        <v>20774</v>
      </c>
      <c r="B16494" s="4" t="s">
        <v>20777</v>
      </c>
      <c r="C16494" s="5" t="str">
        <f>IFERROR(__xludf.DUMMYFUNCTION("GOOGLETRANSLATE(B16494,""en"",""de"")"),"Der Mann zieht seine Brille wieder auf, während sich die Hunde beruhigen und sich auf seinen Schoß legen.")</f>
        <v>Der Mann zieht seine Brille wieder auf, während sich die Hunde beruhigen und sich auf seinen Schoß legen.</v>
      </c>
    </row>
    <row r="16495">
      <c r="A16495" s="4" t="s">
        <v>20778</v>
      </c>
      <c r="B16495" s="4" t="s">
        <v>20779</v>
      </c>
      <c r="C16495" s="5" t="str">
        <f>IFERROR(__xludf.DUMMYFUNCTION("GOOGLETRANSLATE(B16495,""en"",""de"")"),"In einem Mann und einer Frau spielen eine Spiele Raquet Ball.")</f>
        <v>In einem Mann und einer Frau spielen eine Spiele Raquet Ball.</v>
      </c>
    </row>
    <row r="16496">
      <c r="A16496" s="4" t="s">
        <v>20778</v>
      </c>
      <c r="B16496" s="4" t="s">
        <v>20780</v>
      </c>
      <c r="C16496" s="5" t="str">
        <f>IFERROR(__xludf.DUMMYFUNCTION("GOOGLETRANSLATE(B16496,""en"",""de"")"),"Sie beginnt ein bisschen kausal darüber zu sprechen.")</f>
        <v>Sie beginnt ein bisschen kausal darüber zu sprechen.</v>
      </c>
    </row>
    <row r="16497">
      <c r="A16497" s="4" t="s">
        <v>20778</v>
      </c>
      <c r="B16497" s="4" t="s">
        <v>20781</v>
      </c>
      <c r="C16497" s="5" t="str">
        <f>IFERROR(__xludf.DUMMYFUNCTION("GOOGLETRANSLATE(B16497,""en"",""de"")"),"Dann übt sie, es ein bisschen alleine zu schlagen.")</f>
        <v>Dann übt sie, es ein bisschen alleine zu schlagen.</v>
      </c>
    </row>
    <row r="16498">
      <c r="A16498" s="4" t="s">
        <v>20778</v>
      </c>
      <c r="B16498" s="4" t="s">
        <v>20782</v>
      </c>
      <c r="C16498" s="5" t="str">
        <f>IFERROR(__xludf.DUMMYFUNCTION("GOOGLETRANSLATE(B16498,""en"",""de"")"),"Dies ist ein Spiel, das sie wirklich gerne spielt, es ist ein Hobby.")</f>
        <v>Dies ist ein Spiel, das sie wirklich gerne spielt, es ist ein Hobby.</v>
      </c>
    </row>
    <row r="16499">
      <c r="A16499" s="4" t="s">
        <v>20783</v>
      </c>
      <c r="B16499" s="4" t="s">
        <v>20784</v>
      </c>
      <c r="C16499" s="5" t="str">
        <f>IFERROR(__xludf.DUMMYFUNCTION("GOOGLETRANSLATE(B16499,""en"",""de"")"),"Ein Video zeigt, wie man Curry Toast macht.")</f>
        <v>Ein Video zeigt, wie man Curry Toast macht.</v>
      </c>
    </row>
    <row r="16500">
      <c r="A16500" s="4" t="s">
        <v>20783</v>
      </c>
      <c r="B16500" s="4" t="s">
        <v>20785</v>
      </c>
      <c r="C16500" s="5" t="str">
        <f>IFERROR(__xludf.DUMMYFUNCTION("GOOGLETRANSLATE(B16500,""en"",""de"")"),"Das Curry ist in einer Pfanne und das Brot und die Butter befinden sich auf einem Tablett.")</f>
        <v>Das Curry ist in einer Pfanne und das Brot und die Butter befinden sich auf einem Tablett.</v>
      </c>
    </row>
    <row r="16501">
      <c r="A16501" s="4" t="s">
        <v>20783</v>
      </c>
      <c r="B16501" s="4" t="s">
        <v>20786</v>
      </c>
      <c r="C16501" s="5" t="str">
        <f>IFERROR(__xludf.DUMMYFUNCTION("GOOGLETRANSLATE(B16501,""en"",""de"")"),"Der Mann legt die Butter auf, dann das Curry auf das Brot, bevor er sie röstet.")</f>
        <v>Der Mann legt die Butter auf, dann das Curry auf das Brot, bevor er sie röstet.</v>
      </c>
    </row>
    <row r="16502">
      <c r="A16502" s="4" t="s">
        <v>20783</v>
      </c>
      <c r="B16502" s="4" t="s">
        <v>20787</v>
      </c>
      <c r="C16502" s="5" t="str">
        <f>IFERROR(__xludf.DUMMYFUNCTION("GOOGLETRANSLATE(B16502,""en"",""de"")"),"Ein Cartoon -Chaos einer Stick -Person tanzt am Ende.")</f>
        <v>Ein Cartoon -Chaos einer Stick -Person tanzt am Ende.</v>
      </c>
    </row>
    <row r="16503">
      <c r="A16503" s="4" t="s">
        <v>20788</v>
      </c>
      <c r="B16503" s="4" t="s">
        <v>20789</v>
      </c>
      <c r="C16503" s="5" t="str">
        <f>IFERROR(__xludf.DUMMYFUNCTION("GOOGLETRANSLATE(B16503,""en"",""de"")"),"Bei den Olympischen Spielen 2008 bereitet sich ein Mann darauf vor, eine geladene Langhantel zu heben.")</f>
        <v>Bei den Olympischen Spielen 2008 bereitet sich ein Mann darauf vor, eine geladene Langhantel zu heben.</v>
      </c>
    </row>
    <row r="16504">
      <c r="A16504" s="4" t="s">
        <v>20788</v>
      </c>
      <c r="B16504" s="4" t="s">
        <v>20790</v>
      </c>
      <c r="C16504" s="5" t="str">
        <f>IFERROR(__xludf.DUMMYFUNCTION("GOOGLETRANSLATE(B16504,""en"",""de"")"),"Er beugt sich und arbeitet mit großer Anstrengung hoch und hebt schließlich die Langhantel über seinen Kopf.")</f>
        <v>Er beugt sich und arbeitet mit großer Anstrengung hoch und hebt schließlich die Langhantel über seinen Kopf.</v>
      </c>
    </row>
    <row r="16505">
      <c r="A16505" s="4" t="s">
        <v>20788</v>
      </c>
      <c r="B16505" s="4" t="s">
        <v>20791</v>
      </c>
      <c r="C16505" s="5" t="str">
        <f>IFERROR(__xludf.DUMMYFUNCTION("GOOGLETRANSLATE(B16505,""en"",""de"")"),"Er lässt die Gewichte fallen und sie stürzen zu Boden.")</f>
        <v>Er lässt die Gewichte fallen und sie stürzen zu Boden.</v>
      </c>
    </row>
    <row r="16506">
      <c r="A16506" s="4" t="s">
        <v>20788</v>
      </c>
      <c r="B16506" s="4" t="s">
        <v>20792</v>
      </c>
      <c r="C16506" s="5" t="str">
        <f>IFERROR(__xludf.DUMMYFUNCTION("GOOGLETRANSLATE(B16506,""en"",""de"")"),"Er feiert und wir sehen, dass der Olympianer einen Rekord aufgestellt hat.")</f>
        <v>Er feiert und wir sehen, dass der Olympianer einen Rekord aufgestellt hat.</v>
      </c>
    </row>
    <row r="16507">
      <c r="A16507" s="4" t="s">
        <v>20793</v>
      </c>
      <c r="B16507" s="4" t="s">
        <v>20794</v>
      </c>
      <c r="C16507" s="5" t="str">
        <f>IFERROR(__xludf.DUMMYFUNCTION("GOOGLETRANSLATE(B16507,""en"",""de"")"),"Ein Mann wird ein Fahrrad ausrollen und beginnt mit einem anderen Mann die Reifen zu überprüfen.")</f>
        <v>Ein Mann wird ein Fahrrad ausrollen und beginnt mit einem anderen Mann die Reifen zu überprüfen.</v>
      </c>
    </row>
    <row r="16508">
      <c r="A16508" s="4" t="s">
        <v>20793</v>
      </c>
      <c r="B16508" s="4" t="s">
        <v>20795</v>
      </c>
      <c r="C16508" s="5" t="str">
        <f>IFERROR(__xludf.DUMMYFUNCTION("GOOGLETRANSLATE(B16508,""en"",""de"")"),"Ein Mann schneidet einen Draht und prüft mehr Reifen und ein anderer Mann dreht die Reifen noch einmal.")</f>
        <v>Ein Mann schneidet einen Draht und prüft mehr Reifen und ein anderer Mann dreht die Reifen noch einmal.</v>
      </c>
    </row>
    <row r="16509">
      <c r="A16509" s="4" t="s">
        <v>20796</v>
      </c>
      <c r="B16509" s="4" t="s">
        <v>20797</v>
      </c>
      <c r="C16509" s="5" t="str">
        <f>IFERROR(__xludf.DUMMYFUNCTION("GOOGLETRANSLATE(B16509,""en"",""de"")"),"Ein bunten Mann spricht mit einem Kopf mit einem Kopf voller Haare mit einem Kopf hinter ihm.")</f>
        <v>Ein bunten Mann spricht mit einem Kopf mit einem Kopf voller Haare mit einem Kopf hinter ihm.</v>
      </c>
    </row>
    <row r="16510">
      <c r="A16510" s="4" t="s">
        <v>20796</v>
      </c>
      <c r="B16510" s="4" t="s">
        <v>20798</v>
      </c>
      <c r="C16510" s="5" t="str">
        <f>IFERROR(__xludf.DUMMYFUNCTION("GOOGLETRANSLATE(B16510,""en"",""de"")"),"Dann schneidet er die Haare auf die Dummy auf bestimmte Weise und die Kamera zoomt am Ende am Ende.")</f>
        <v>Dann schneidet er die Haare auf die Dummy auf bestimmte Weise und die Kamera zoomt am Ende am Ende.</v>
      </c>
    </row>
    <row r="16511">
      <c r="A16511" s="4" t="s">
        <v>20799</v>
      </c>
      <c r="B16511" s="4" t="s">
        <v>20800</v>
      </c>
      <c r="C16511" s="5" t="str">
        <f>IFERROR(__xludf.DUMMYFUNCTION("GOOGLETRANSLATE(B16511,""en"",""de"")"),"Zwei Teams stehen zusammen in der Scrimmage -Linie und warten darauf, das Spiel zu spielen.")</f>
        <v>Zwei Teams stehen zusammen in der Scrimmage -Linie und warten darauf, das Spiel zu spielen.</v>
      </c>
    </row>
    <row r="16512">
      <c r="A16512" s="4" t="s">
        <v>20799</v>
      </c>
      <c r="B16512" s="4" t="s">
        <v>20801</v>
      </c>
      <c r="C16512" s="5" t="str">
        <f>IFERROR(__xludf.DUMMYFUNCTION("GOOGLETRANSLATE(B16512,""en"",""de"")"),"Das Spiel beginnt und die beiden Teams kämpfen jeweils wild in einem Lacrosse -Spiel.")</f>
        <v>Das Spiel beginnt und die beiden Teams kämpfen jeweils wild in einem Lacrosse -Spiel.</v>
      </c>
    </row>
    <row r="16513">
      <c r="A16513" s="4" t="s">
        <v>20799</v>
      </c>
      <c r="B16513" s="4" t="s">
        <v>20802</v>
      </c>
      <c r="C16513" s="5" t="str">
        <f>IFERROR(__xludf.DUMMYFUNCTION("GOOGLETRANSLATE(B16513,""en"",""de"")"),"Eine Person wird so schlecht getroffen, er ist unterwegs und bleibt auf dem Feld, während der Rest der Spieler das Feld hinunterzieht.")</f>
        <v>Eine Person wird so schlecht getroffen, er ist unterwegs und bleibt auf dem Feld, während der Rest der Spieler das Feld hinunterzieht.</v>
      </c>
    </row>
    <row r="16514">
      <c r="A16514" s="4" t="s">
        <v>20803</v>
      </c>
      <c r="B16514" s="4" t="s">
        <v>20804</v>
      </c>
      <c r="C16514" s="5" t="str">
        <f>IFERROR(__xludf.DUMMYFUNCTION("GOOGLETRANSLATE(B16514,""en"",""de"")"),"Ein Baby wird in einem Pool verkehrt herum schwebend.")</f>
        <v>Ein Baby wird in einem Pool verkehrt herum schwebend.</v>
      </c>
    </row>
    <row r="16515">
      <c r="A16515" s="4" t="s">
        <v>20803</v>
      </c>
      <c r="B16515" s="4" t="s">
        <v>20805</v>
      </c>
      <c r="C16515" s="5" t="str">
        <f>IFERROR(__xludf.DUMMYFUNCTION("GOOGLETRANSLATE(B16515,""en"",""de"")"),"Trainer bringen dem Kind bei, wie man über Wasser bleibt.")</f>
        <v>Trainer bringen dem Kind bei, wie man über Wasser bleibt.</v>
      </c>
    </row>
    <row r="16516">
      <c r="A16516" s="4" t="s">
        <v>20803</v>
      </c>
      <c r="B16516" s="4" t="s">
        <v>20806</v>
      </c>
      <c r="C16516" s="5" t="str">
        <f>IFERROR(__xludf.DUMMYFUNCTION("GOOGLETRANSLATE(B16516,""en"",""de"")"),"Er lernt, wie man schwimmt und sich über Wasser hält.")</f>
        <v>Er lernt, wie man schwimmt und sich über Wasser hält.</v>
      </c>
    </row>
    <row r="16517">
      <c r="A16517" s="4" t="s">
        <v>20807</v>
      </c>
      <c r="B16517" s="4" t="s">
        <v>20808</v>
      </c>
      <c r="C16517" s="5" t="str">
        <f>IFERROR(__xludf.DUMMYFUNCTION("GOOGLETRANSLATE(B16517,""en"",""de"")"),"In der Luft wird ein Wind Drachen gezeigt.")</f>
        <v>In der Luft wird ein Wind Drachen gezeigt.</v>
      </c>
    </row>
    <row r="16518">
      <c r="A16518" s="4" t="s">
        <v>20807</v>
      </c>
      <c r="B16518" s="4" t="s">
        <v>20809</v>
      </c>
      <c r="C16518" s="5" t="str">
        <f>IFERROR(__xludf.DUMMYFUNCTION("GOOGLETRANSLATE(B16518,""en"",""de"")"),"Ein Mann in einem schwarzen Hemd kontrolliert den Wind Kite und fällt auf den Boden.")</f>
        <v>Ein Mann in einem schwarzen Hemd kontrolliert den Wind Kite und fällt auf den Boden.</v>
      </c>
    </row>
    <row r="16519">
      <c r="A16519" s="4" t="s">
        <v>20807</v>
      </c>
      <c r="B16519" s="4" t="s">
        <v>20810</v>
      </c>
      <c r="C16519" s="5" t="str">
        <f>IFERROR(__xludf.DUMMYFUNCTION("GOOGLETRANSLATE(B16519,""en"",""de"")"),"Hunde rennen im Gras herum.")</f>
        <v>Hunde rennen im Gras herum.</v>
      </c>
    </row>
    <row r="16520">
      <c r="A16520" s="4" t="s">
        <v>20811</v>
      </c>
      <c r="B16520" s="4" t="s">
        <v>20812</v>
      </c>
      <c r="C16520" s="5" t="str">
        <f>IFERROR(__xludf.DUMMYFUNCTION("GOOGLETRANSLATE(B16520,""en"",""de"")"),"Eine Einführungsgrafik kommt auf den Bildschirm mit einer Volleyball -Meisterschaft.")</f>
        <v>Eine Einführungsgrafik kommt auf den Bildschirm mit einer Volleyball -Meisterschaft.</v>
      </c>
    </row>
    <row r="16521">
      <c r="A16521" s="4" t="s">
        <v>20811</v>
      </c>
      <c r="B16521" s="4" t="s">
        <v>20813</v>
      </c>
      <c r="C16521" s="5" t="str">
        <f>IFERROR(__xludf.DUMMYFUNCTION("GOOGLETRANSLATE(B16521,""en"",""de"")"),"Ein Mann kommt auf den Bildschirm und kündigt den Wettbewerb an, bevor er beginnt.")</f>
        <v>Ein Mann kommt auf den Bildschirm und kündigt den Wettbewerb an, bevor er beginnt.</v>
      </c>
    </row>
    <row r="16522">
      <c r="A16522" s="4" t="s">
        <v>20811</v>
      </c>
      <c r="B16522" s="4" t="s">
        <v>20814</v>
      </c>
      <c r="C16522" s="5" t="str">
        <f>IFERROR(__xludf.DUMMYFUNCTION("GOOGLETRANSLATE(B16522,""en"",""de"")"),"Verschiedene Mädchen spielen Beachvolleyball, als der Erzähler die Geschichte ihres Weges zur Meisterschaft erzählt.")</f>
        <v>Verschiedene Mädchen spielen Beachvolleyball, als der Erzähler die Geschichte ihres Weges zur Meisterschaft erzählt.</v>
      </c>
    </row>
    <row r="16523">
      <c r="A16523" s="4" t="s">
        <v>20811</v>
      </c>
      <c r="B16523" s="4" t="s">
        <v>20815</v>
      </c>
      <c r="C16523" s="5" t="str">
        <f>IFERROR(__xludf.DUMMYFUNCTION("GOOGLETRANSLATE(B16523,""en"",""de"")"),"Viele der Teammitglieder werden auf dem Platz sprechen und für den Sieg strategisch.")</f>
        <v>Viele der Teammitglieder werden auf dem Platz sprechen und für den Sieg strategisch.</v>
      </c>
    </row>
    <row r="16524">
      <c r="A16524" s="4" t="s">
        <v>20811</v>
      </c>
      <c r="B16524" s="4" t="s">
        <v>20816</v>
      </c>
      <c r="C16524" s="5" t="str">
        <f>IFERROR(__xludf.DUMMYFUNCTION("GOOGLETRANSLATE(B16524,""en"",""de"")"),"Das Video schneidet einen Konferenzraum, in dem es eine Diskussion über die Volleyballspieler gibt.")</f>
        <v>Das Video schneidet einen Konferenzraum, in dem es eine Diskussion über die Volleyballspieler gibt.</v>
      </c>
    </row>
    <row r="16525">
      <c r="A16525" s="4" t="s">
        <v>20811</v>
      </c>
      <c r="B16525" s="4" t="s">
        <v>20817</v>
      </c>
      <c r="C16525" s="5" t="str">
        <f>IFERROR(__xludf.DUMMYFUNCTION("GOOGLETRANSLATE(B16525,""en"",""de"")"),"Das Video endet mit den Grafiken für den Credit.")</f>
        <v>Das Video endet mit den Grafiken für den Credit.</v>
      </c>
    </row>
    <row r="16526">
      <c r="A16526" s="4" t="s">
        <v>20818</v>
      </c>
      <c r="B16526" s="4" t="s">
        <v>20819</v>
      </c>
      <c r="C16526" s="5" t="str">
        <f>IFERROR(__xludf.DUMMYFUNCTION("GOOGLETRANSLATE(B16526,""en"",""de"")"),"Männer sitzen in einem dunklen Raum und sprechen mit der Kamera.")</f>
        <v>Männer sitzen in einem dunklen Raum und sprechen mit der Kamera.</v>
      </c>
    </row>
    <row r="16527">
      <c r="A16527" s="4" t="s">
        <v>20818</v>
      </c>
      <c r="B16527" s="4" t="s">
        <v>20820</v>
      </c>
      <c r="C16527" s="5" t="str">
        <f>IFERROR(__xludf.DUMMYFUNCTION("GOOGLETRANSLATE(B16527,""en"",""de"")"),"Sumo -Wrestler stehen in der Bühne, um zu kämpfen, und die Menschen sind um sie herum versammelt und sitzen in den Terrassen.")</f>
        <v>Sumo -Wrestler stehen in der Bühne, um zu kämpfen, und die Menschen sind um sie herum versammelt und sitzen in den Terrassen.</v>
      </c>
    </row>
    <row r="16528">
      <c r="A16528" s="4" t="s">
        <v>20818</v>
      </c>
      <c r="B16528" s="4" t="s">
        <v>20821</v>
      </c>
      <c r="C16528" s="5" t="str">
        <f>IFERROR(__xludf.DUMMYFUNCTION("GOOGLETRANSLATE(B16528,""en"",""de"")"),"Männer sprechen im dunklen Raum und erklären ihren Standpunkt.")</f>
        <v>Männer sprechen im dunklen Raum und erklären ihren Standpunkt.</v>
      </c>
    </row>
    <row r="16529">
      <c r="A16529" s="4" t="s">
        <v>20822</v>
      </c>
      <c r="B16529" s="4" t="s">
        <v>20823</v>
      </c>
      <c r="C16529" s="5" t="str">
        <f>IFERROR(__xludf.DUMMYFUNCTION("GOOGLETRANSLATE(B16529,""en"",""de"")"),"Ein Mann rennt mit einem Stock herunter, er legt ihn hin und springt über ein wirklich hohes Hindernis, er landet und glucks.")</f>
        <v>Ein Mann rennt mit einem Stock herunter, er legt ihn hin und springt über ein wirklich hohes Hindernis, er landet und glucks.</v>
      </c>
    </row>
    <row r="16530">
      <c r="A16530" s="4" t="s">
        <v>20822</v>
      </c>
      <c r="B16530" s="4" t="s">
        <v>20824</v>
      </c>
      <c r="C16530" s="5" t="str">
        <f>IFERROR(__xludf.DUMMYFUNCTION("GOOGLETRANSLATE(B16530,""en"",""de"")"),"Der nächste Mann nimmt an der Reihe und er tut das gleiche mit dem Stock, um das Hindernis zu überwinden und nach der Landung vor Aufregung aufzuspringen.")</f>
        <v>Der nächste Mann nimmt an der Reihe und er tut das gleiche mit dem Stock, um das Hindernis zu überwinden und nach der Landung vor Aufregung aufzuspringen.</v>
      </c>
    </row>
    <row r="16531">
      <c r="A16531" s="4" t="s">
        <v>20822</v>
      </c>
      <c r="B16531" s="4" t="s">
        <v>20825</v>
      </c>
      <c r="C16531" s="5" t="str">
        <f>IFERROR(__xludf.DUMMYFUNCTION("GOOGLETRANSLATE(B16531,""en"",""de"")"),"Dann geht ein anderer Mann an der Reihe und wenn er landet, wirft er seinen Helm ab und schreit und springt vor Freude wie die vorherigen Männer.")</f>
        <v>Dann geht ein anderer Mann an der Reihe und wenn er landet, wirft er seinen Helm ab und schreit und springt vor Freude wie die vorherigen Männer.</v>
      </c>
    </row>
    <row r="16532">
      <c r="A16532" s="4" t="s">
        <v>20822</v>
      </c>
      <c r="B16532" s="4" t="s">
        <v>20826</v>
      </c>
      <c r="C16532" s="5" t="str">
        <f>IFERROR(__xludf.DUMMYFUNCTION("GOOGLETRANSLATE(B16532,""en"",""de"")"),"Das Publikum ist auch sehr begeistert, sie alle sind mehr Kurven, um die beste Punktzahl zu erzielen.")</f>
        <v>Das Publikum ist auch sehr begeistert, sie alle sind mehr Kurven, um die beste Punktzahl zu erzielen.</v>
      </c>
    </row>
    <row r="16533">
      <c r="A16533" s="4" t="s">
        <v>20827</v>
      </c>
      <c r="B16533" s="4" t="s">
        <v>1487</v>
      </c>
      <c r="C16533" s="5" t="str">
        <f>IFERROR(__xludf.DUMMYFUNCTION("GOOGLETRANSLATE(B16533,""en"",""de"")"),"Wir sehen einen Öffnungsbildschirm.")</f>
        <v>Wir sehen einen Öffnungsbildschirm.</v>
      </c>
    </row>
    <row r="16534">
      <c r="A16534" s="4" t="s">
        <v>20827</v>
      </c>
      <c r="B16534" s="4" t="s">
        <v>20828</v>
      </c>
      <c r="C16534" s="5" t="str">
        <f>IFERROR(__xludf.DUMMYFUNCTION("GOOGLETRANSLATE(B16534,""en"",""de"")"),"Wir sehen Kinder in lila Pose für ein Foto.")</f>
        <v>Wir sehen Kinder in lila Pose für ein Foto.</v>
      </c>
    </row>
    <row r="16535">
      <c r="A16535" s="4" t="s">
        <v>20827</v>
      </c>
      <c r="B16535" s="4" t="s">
        <v>20829</v>
      </c>
      <c r="C16535" s="5" t="str">
        <f>IFERROR(__xludf.DUMMYFUNCTION("GOOGLETRANSLATE(B16535,""en"",""de"")"),"Die Kinder spielen dann Tauziehen, als zwei Mädchen in der Nähe jubeln.")</f>
        <v>Die Kinder spielen dann Tauziehen, als zwei Mädchen in der Nähe jubeln.</v>
      </c>
    </row>
    <row r="16536">
      <c r="A16536" s="4" t="s">
        <v>20827</v>
      </c>
      <c r="B16536" s="4" t="s">
        <v>20830</v>
      </c>
      <c r="C16536" s="5" t="str">
        <f>IFERROR(__xludf.DUMMYFUNCTION("GOOGLETRANSLATE(B16536,""en"",""de"")"),"Wir wechseln zu einem Mädchen und einem Jungen, der jubelt.")</f>
        <v>Wir wechseln zu einem Mädchen und einem Jungen, der jubelt.</v>
      </c>
    </row>
    <row r="16537">
      <c r="A16537" s="4" t="s">
        <v>20827</v>
      </c>
      <c r="B16537" s="4" t="s">
        <v>20831</v>
      </c>
      <c r="C16537" s="5" t="str">
        <f>IFERROR(__xludf.DUMMYFUNCTION("GOOGLETRANSLATE(B16537,""en"",""de"")"),"Wir sehen zwei verschiedene Kinder jubeln.")</f>
        <v>Wir sehen zwei verschiedene Kinder jubeln.</v>
      </c>
    </row>
    <row r="16538">
      <c r="A16538" s="4" t="s">
        <v>20827</v>
      </c>
      <c r="B16538" s="4" t="s">
        <v>20832</v>
      </c>
      <c r="C16538" s="5" t="str">
        <f>IFERROR(__xludf.DUMMYFUNCTION("GOOGLETRANSLATE(B16538,""en"",""de"")"),"Wir wechseln wieder die jubelnden Kinder.")</f>
        <v>Wir wechseln wieder die jubelnden Kinder.</v>
      </c>
    </row>
    <row r="16539">
      <c r="A16539" s="4" t="s">
        <v>20827</v>
      </c>
      <c r="B16539" s="4" t="s">
        <v>20833</v>
      </c>
      <c r="C16539" s="5" t="str">
        <f>IFERROR(__xludf.DUMMYFUNCTION("GOOGLETRANSLATE(B16539,""en"",""de"")"),"Die Kinder gewinnen und ein Sprung und Jubel, während ein Mädchen mit einem Lehrer spricht.")</f>
        <v>Die Kinder gewinnen und ein Sprung und Jubel, während ein Mädchen mit einem Lehrer spricht.</v>
      </c>
    </row>
    <row r="16540">
      <c r="A16540" s="4" t="s">
        <v>20827</v>
      </c>
      <c r="B16540" s="4" t="s">
        <v>4513</v>
      </c>
      <c r="C16540" s="5" t="str">
        <f>IFERROR(__xludf.DUMMYFUNCTION("GOOGLETRANSLATE(B16540,""en"",""de"")"),"Wir sehen die Endgutschrift.")</f>
        <v>Wir sehen die Endgutschrift.</v>
      </c>
    </row>
    <row r="16541">
      <c r="A16541" s="4" t="s">
        <v>20834</v>
      </c>
      <c r="B16541" s="4" t="s">
        <v>20835</v>
      </c>
      <c r="C16541" s="5" t="str">
        <f>IFERROR(__xludf.DUMMYFUNCTION("GOOGLETRANSLATE(B16541,""en"",""de"")"),"In einem Raum werden mehrere hemdlose Männer versammelt, man raucht eine Zigarette, während der Rest ihn anfeuert.")</f>
        <v>In einem Raum werden mehrere hemdlose Männer versammelt, man raucht eine Zigarette, während der Rest ihn anfeuert.</v>
      </c>
    </row>
    <row r="16542">
      <c r="A16542" s="4" t="s">
        <v>20834</v>
      </c>
      <c r="B16542" s="4" t="s">
        <v>20836</v>
      </c>
      <c r="C16542" s="5" t="str">
        <f>IFERROR(__xludf.DUMMYFUNCTION("GOOGLETRANSLATE(B16542,""en"",""de"")"),"Er saugt die Zigarette bis zur Knospe hinunter.")</f>
        <v>Er saugt die Zigarette bis zur Knospe hinunter.</v>
      </c>
    </row>
    <row r="16543">
      <c r="A16543" s="4" t="s">
        <v>20834</v>
      </c>
      <c r="B16543" s="4" t="s">
        <v>20837</v>
      </c>
      <c r="C16543" s="5" t="str">
        <f>IFERROR(__xludf.DUMMYFUNCTION("GOOGLETRANSLATE(B16543,""en"",""de"")"),"Er hustet ein wenig und atmet es dann in der Nase ein und zeigt danach auf die Kamera.")</f>
        <v>Er hustet ein wenig und atmet es dann in der Nase ein und zeigt danach auf die Kamera.</v>
      </c>
    </row>
    <row r="16544">
      <c r="A16544" s="4" t="s">
        <v>20838</v>
      </c>
      <c r="B16544" s="4" t="s">
        <v>20839</v>
      </c>
      <c r="C16544" s="5" t="str">
        <f>IFERROR(__xludf.DUMMYFUNCTION("GOOGLETRANSLATE(B16544,""en"",""de"")"),"Pucks sitzen entlang des Eiss und ein Mann, der mit der Kamera spricht und Menschen herumlaufen.")</f>
        <v>Pucks sitzen entlang des Eiss und ein Mann, der mit der Kamera spricht und Menschen herumlaufen.</v>
      </c>
    </row>
    <row r="16545">
      <c r="A16545" s="4" t="s">
        <v>20838</v>
      </c>
      <c r="B16545" s="4" t="s">
        <v>20840</v>
      </c>
      <c r="C16545" s="5" t="str">
        <f>IFERROR(__xludf.DUMMYFUNCTION("GOOGLETRANSLATE(B16545,""en"",""de"")"),"Weitere Clips werden von Menschen gezeigt, die sich auf dem Eis zusammenrollen und gleichzeitig mit der Kamera sprechen.")</f>
        <v>Weitere Clips werden von Menschen gezeigt, die sich auf dem Eis zusammenrollen und gleichzeitig mit der Kamera sprechen.</v>
      </c>
    </row>
    <row r="16546">
      <c r="A16546" s="4" t="s">
        <v>20838</v>
      </c>
      <c r="B16546" s="4" t="s">
        <v>20841</v>
      </c>
      <c r="C16546" s="5" t="str">
        <f>IFERROR(__xludf.DUMMYFUNCTION("GOOGLETRANSLATE(B16546,""en"",""de"")"),"Die Leute schieben den Puck weiter über das Eis, während sie zur Kamera zurückblicken und mit der Kamera sprechen.")</f>
        <v>Die Leute schieben den Puck weiter über das Eis, während sie zur Kamera zurückblicken und mit der Kamera sprechen.</v>
      </c>
    </row>
    <row r="16547">
      <c r="A16547" s="4" t="s">
        <v>20842</v>
      </c>
      <c r="B16547" s="4" t="s">
        <v>20843</v>
      </c>
      <c r="C16547" s="5" t="str">
        <f>IFERROR(__xludf.DUMMYFUNCTION("GOOGLETRANSLATE(B16547,""en"",""de"")"),"Wir sehen einen Reifen gut auf einem Tisch in einer Klemme.")</f>
        <v>Wir sehen einen Reifen gut auf einem Tisch in einer Klemme.</v>
      </c>
    </row>
    <row r="16548">
      <c r="A16548" s="4" t="s">
        <v>20842</v>
      </c>
      <c r="B16548" s="4" t="s">
        <v>20844</v>
      </c>
      <c r="C16548" s="5" t="str">
        <f>IFERROR(__xludf.DUMMYFUNCTION("GOOGLETRANSLATE(B16548,""en"",""de"")"),"Ein Mann setzt den Brunnen umgekehrt.")</f>
        <v>Ein Mann setzt den Brunnen umgekehrt.</v>
      </c>
    </row>
    <row r="16549">
      <c r="A16549" s="4" t="s">
        <v>20842</v>
      </c>
      <c r="B16549" s="4" t="s">
        <v>20845</v>
      </c>
      <c r="C16549" s="5" t="str">
        <f>IFERROR(__xludf.DUMMYFUNCTION("GOOGLETRANSLATE(B16549,""en"",""de"")"),"Der Mann drückt und dreht einen Reifen gut über das Rad.")</f>
        <v>Der Mann drückt und dreht einen Reifen gut über das Rad.</v>
      </c>
    </row>
    <row r="16550">
      <c r="A16550" s="4" t="s">
        <v>20846</v>
      </c>
      <c r="B16550" s="4" t="s">
        <v>20847</v>
      </c>
      <c r="C16550" s="5" t="str">
        <f>IFERROR(__xludf.DUMMYFUNCTION("GOOGLETRANSLATE(B16550,""en"",""de"")"),"Wir sehen Waterski und die Seite eines Bootes.")</f>
        <v>Wir sehen Waterski und die Seite eines Bootes.</v>
      </c>
    </row>
    <row r="16551">
      <c r="A16551" s="4" t="s">
        <v>20846</v>
      </c>
      <c r="B16551" s="4" t="s">
        <v>20848</v>
      </c>
      <c r="C16551" s="5" t="str">
        <f>IFERROR(__xludf.DUMMYFUNCTION("GOOGLETRANSLATE(B16551,""en"",""de"")"),"Wir sehen einen Jungen, der auf einem Dock steht, Leute, die ihr Boot dann an Bord gehen.")</f>
        <v>Wir sehen einen Jungen, der auf einem Dock steht, Leute, die ihr Boot dann an Bord gehen.</v>
      </c>
    </row>
    <row r="16552">
      <c r="A16552" s="4" t="s">
        <v>20846</v>
      </c>
      <c r="B16552" s="4" t="s">
        <v>20849</v>
      </c>
      <c r="C16552" s="5" t="str">
        <f>IFERROR(__xludf.DUMMYFUNCTION("GOOGLETRANSLATE(B16552,""en"",""de"")"),"Wir sehen zwei Jungen spielen.")</f>
        <v>Wir sehen zwei Jungen spielen.</v>
      </c>
    </row>
    <row r="16553">
      <c r="A16553" s="4" t="s">
        <v>20846</v>
      </c>
      <c r="B16553" s="4" t="s">
        <v>20850</v>
      </c>
      <c r="C16553" s="5" t="str">
        <f>IFERROR(__xludf.DUMMYFUNCTION("GOOGLETRANSLATE(B16553,""en"",""de"")"),"Wir sehen eine Person, die Wasser Ski auf einem See Skifahren.")</f>
        <v>Wir sehen eine Person, die Wasser Ski auf einem See Skifahren.</v>
      </c>
    </row>
    <row r="16554">
      <c r="A16554" s="4" t="s">
        <v>20846</v>
      </c>
      <c r="B16554" s="4" t="s">
        <v>20851</v>
      </c>
      <c r="C16554" s="5" t="str">
        <f>IFERROR(__xludf.DUMMYFUNCTION("GOOGLETRANSLATE(B16554,""en"",""de"")"),"Wir sehen die Autos auf dem Parkplatz in der Nähe des Sees und ein Hund schnüffelt an der Kamera.")</f>
        <v>Wir sehen die Autos auf dem Parkplatz in der Nähe des Sees und ein Hund schnüffelt an der Kamera.</v>
      </c>
    </row>
    <row r="16555">
      <c r="A16555" s="4" t="s">
        <v>20846</v>
      </c>
      <c r="B16555" s="4" t="s">
        <v>20852</v>
      </c>
      <c r="C16555" s="5" t="str">
        <f>IFERROR(__xludf.DUMMYFUNCTION("GOOGLETRANSLATE(B16555,""en"",""de"")"),"Wir sehen einen Laden, dann eine Person, die auf ein Kajak paddelt.")</f>
        <v>Wir sehen einen Laden, dann eine Person, die auf ein Kajak paddelt.</v>
      </c>
    </row>
    <row r="16556">
      <c r="A16556" s="4" t="s">
        <v>20846</v>
      </c>
      <c r="B16556" s="4" t="s">
        <v>20853</v>
      </c>
      <c r="C16556" s="5" t="str">
        <f>IFERROR(__xludf.DUMMYFUNCTION("GOOGLETRANSLATE(B16556,""en"",""de"")"),"Eine Person springt ins Wasser und wir sehen den Wasserskifahrer wieder.")</f>
        <v>Eine Person springt ins Wasser und wir sehen den Wasserskifahrer wieder.</v>
      </c>
    </row>
    <row r="16557">
      <c r="A16557" s="4" t="s">
        <v>20846</v>
      </c>
      <c r="B16557" s="4" t="s">
        <v>20854</v>
      </c>
      <c r="C16557" s="5" t="str">
        <f>IFERROR(__xludf.DUMMYFUNCTION("GOOGLETRANSLATE(B16557,""en"",""de"")"),"Ein Junge auf einem Trampolin in einem Geschäft, Leute auf einem Floß und ein Junge springen ins Wasser.")</f>
        <v>Ein Junge auf einem Trampolin in einem Geschäft, Leute auf einem Floß und ein Junge springen ins Wasser.</v>
      </c>
    </row>
    <row r="16558">
      <c r="A16558" s="4" t="s">
        <v>20846</v>
      </c>
      <c r="B16558" s="4" t="s">
        <v>20855</v>
      </c>
      <c r="C16558" s="5" t="str">
        <f>IFERROR(__xludf.DUMMYFUNCTION("GOOGLETRANSLATE(B16558,""en"",""de"")"),"Wir sehen einen Jungen auf einem Spielzeugfahrrad, der Wasser Skifahrer fällt.")</f>
        <v>Wir sehen einen Jungen auf einem Spielzeugfahrrad, der Wasser Skifahrer fällt.</v>
      </c>
    </row>
    <row r="16559">
      <c r="A16559" s="4" t="s">
        <v>20846</v>
      </c>
      <c r="B16559" s="4" t="s">
        <v>20856</v>
      </c>
      <c r="C16559" s="5" t="str">
        <f>IFERROR(__xludf.DUMMYFUNCTION("GOOGLETRANSLATE(B16559,""en"",""de"")"),"Eine Person auf Skiern springt eine Rampe.")</f>
        <v>Eine Person auf Skiern springt eine Rampe.</v>
      </c>
    </row>
    <row r="16560">
      <c r="A16560" s="4" t="s">
        <v>20857</v>
      </c>
      <c r="B16560" s="4" t="s">
        <v>20858</v>
      </c>
      <c r="C16560" s="5" t="str">
        <f>IFERROR(__xludf.DUMMYFUNCTION("GOOGLETRANSLATE(B16560,""en"",""de"")"),"Eine Gruppe von Darstellern steht auf einer Bühne.")</f>
        <v>Eine Gruppe von Darstellern steht auf einer Bühne.</v>
      </c>
    </row>
    <row r="16561">
      <c r="A16561" s="4" t="s">
        <v>20857</v>
      </c>
      <c r="B16561" s="4" t="s">
        <v>20859</v>
      </c>
      <c r="C16561" s="5" t="str">
        <f>IFERROR(__xludf.DUMMYFUNCTION("GOOGLETRANSLATE(B16561,""en"",""de"")"),"Sie drehen sich um und beginnen Schlagzeug zu spielen.")</f>
        <v>Sie drehen sich um und beginnen Schlagzeug zu spielen.</v>
      </c>
    </row>
    <row r="16562">
      <c r="A16562" s="4" t="s">
        <v>20857</v>
      </c>
      <c r="B16562" s="4" t="s">
        <v>20860</v>
      </c>
      <c r="C16562" s="5" t="str">
        <f>IFERROR(__xludf.DUMMYFUNCTION("GOOGLETRANSLATE(B16562,""en"",""de"")"),"Sie zogen Sonnenbrillen an, während sie für das Publikum spielen.")</f>
        <v>Sie zogen Sonnenbrillen an, während sie für das Publikum spielen.</v>
      </c>
    </row>
    <row r="16563">
      <c r="A16563" s="4" t="s">
        <v>20861</v>
      </c>
      <c r="B16563" s="4" t="s">
        <v>20862</v>
      </c>
      <c r="C16563" s="5" t="str">
        <f>IFERROR(__xludf.DUMMYFUNCTION("GOOGLETRANSLATE(B16563,""en"",""de"")"),"Ein Nachrichtenmann steht vor einem Bildschirm, der spricht, als er ein Volleyballspiel am Strand zeigt.")</f>
        <v>Ein Nachrichtenmann steht vor einem Bildschirm, der spricht, als er ein Volleyballspiel am Strand zeigt.</v>
      </c>
    </row>
    <row r="16564">
      <c r="A16564" s="4" t="s">
        <v>20861</v>
      </c>
      <c r="B16564" s="4" t="s">
        <v>20863</v>
      </c>
      <c r="C16564" s="5" t="str">
        <f>IFERROR(__xludf.DUMMYFUNCTION("GOOGLETRANSLATE(B16564,""en"",""de"")"),"Dann sehen wir die Spieler, die sich umkämpfen und den Ball treten, wechseln sich mit der Kamera einzeln, bevor wir zu Szenen aus dem Spiel zurückkehren.")</f>
        <v>Dann sehen wir die Spieler, die sich umkämpfen und den Ball treten, wechseln sich mit der Kamera einzeln, bevor wir zu Szenen aus dem Spiel zurückkehren.</v>
      </c>
    </row>
    <row r="16565">
      <c r="A16565" s="4" t="s">
        <v>20864</v>
      </c>
      <c r="B16565" s="4" t="s">
        <v>20865</v>
      </c>
      <c r="C16565" s="5" t="str">
        <f>IFERROR(__xludf.DUMMYFUNCTION("GOOGLETRANSLATE(B16565,""en"",""de"")"),"Ein kleiner Junge hat einen langen Stock und schiebt einen Puck über ein weißes Dreieck mit Zahlen.")</f>
        <v>Ein kleiner Junge hat einen langen Stock und schiebt einen Puck über ein weißes Dreieck mit Zahlen.</v>
      </c>
    </row>
    <row r="16566">
      <c r="A16566" s="4" t="s">
        <v>20864</v>
      </c>
      <c r="B16566" s="4" t="s">
        <v>20866</v>
      </c>
      <c r="C16566" s="5" t="str">
        <f>IFERROR(__xludf.DUMMYFUNCTION("GOOGLETRANSLATE(B16566,""en"",""de"")"),"Der Puck geht weit unten in das Brett und das Kleinkind jagt danach.")</f>
        <v>Der Puck geht weit unten in das Brett und das Kleinkind jagt danach.</v>
      </c>
    </row>
    <row r="16567">
      <c r="A16567" s="4" t="s">
        <v>20864</v>
      </c>
      <c r="B16567" s="4" t="s">
        <v>20867</v>
      </c>
      <c r="C16567" s="5" t="str">
        <f>IFERROR(__xludf.DUMMYFUNCTION("GOOGLETRANSLATE(B16567,""en"",""de"")"),"Sobald der Puck wieder auf dem Brett ist, rennt er wieder das Brett hinunter.")</f>
        <v>Sobald der Puck wieder auf dem Brett ist, rennt er wieder das Brett hinunter.</v>
      </c>
    </row>
    <row r="16568">
      <c r="A16568" s="4" t="s">
        <v>20868</v>
      </c>
      <c r="B16568" s="4" t="s">
        <v>20869</v>
      </c>
      <c r="C16568" s="5" t="str">
        <f>IFERROR(__xludf.DUMMYFUNCTION("GOOGLETRANSLATE(B16568,""en"",""de"")"),"Ein Mann wird tief unter Wasser in einem Pool gezeigt, der einen Brustschlag ausübt.")</f>
        <v>Ein Mann wird tief unter Wasser in einem Pool gezeigt, der einen Brustschlag ausübt.</v>
      </c>
    </row>
    <row r="16569">
      <c r="A16569" s="4" t="s">
        <v>20868</v>
      </c>
      <c r="B16569" s="4" t="s">
        <v>20870</v>
      </c>
      <c r="C16569" s="5" t="str">
        <f>IFERROR(__xludf.DUMMYFUNCTION("GOOGLETRANSLATE(B16569,""en"",""de"")"),"Während er schwimmt, steht ein Mann in einem orangefarbenen Polo außen und beschreibt seine Technik.")</f>
        <v>Während er schwimmt, steht ein Mann in einem orangefarbenen Polo außen und beschreibt seine Technik.</v>
      </c>
    </row>
    <row r="16570">
      <c r="A16570" s="4" t="s">
        <v>20871</v>
      </c>
      <c r="B16570" s="4" t="s">
        <v>20872</v>
      </c>
      <c r="C16570" s="5" t="str">
        <f>IFERROR(__xludf.DUMMYFUNCTION("GOOGLETRANSLATE(B16570,""en"",""de"")"),"Eine Reihe von Bildschirm blinkt und sie zeigt Statistiken über das Fahren betrunken und wann Sie Pausen einlegen müssen.")</f>
        <v>Eine Reihe von Bildschirm blinkt und sie zeigt Statistiken über das Fahren betrunken und wann Sie Pausen einlegen müssen.</v>
      </c>
    </row>
    <row r="16571">
      <c r="A16571" s="4" t="s">
        <v>20871</v>
      </c>
      <c r="B16571" s="4" t="s">
        <v>20873</v>
      </c>
      <c r="C16571" s="5" t="str">
        <f>IFERROR(__xludf.DUMMYFUNCTION("GOOGLETRANSLATE(B16571,""en"",""de"")"),"Danach spielt eine Gruppe von etwa vierzig Personen in einem großen Pool, das Wasserball spielt.")</f>
        <v>Danach spielt eine Gruppe von etwa vierzig Personen in einem großen Pool, das Wasserball spielt.</v>
      </c>
    </row>
    <row r="16572">
      <c r="A16572" s="4" t="s">
        <v>20871</v>
      </c>
      <c r="B16572" s="4" t="s">
        <v>20874</v>
      </c>
      <c r="C16572" s="5" t="str">
        <f>IFERROR(__xludf.DUMMYFUNCTION("GOOGLETRANSLATE(B16572,""en"",""de"")"),"Die Leute wechseln abwechselnd hin und her und werfen den Ball und eine Person macht endlich ein Tor.")</f>
        <v>Die Leute wechseln abwechselnd hin und her und werfen den Ball und eine Person macht endlich ein Tor.</v>
      </c>
    </row>
    <row r="16573">
      <c r="A16573" s="4" t="s">
        <v>20875</v>
      </c>
      <c r="B16573" s="4" t="s">
        <v>20876</v>
      </c>
      <c r="C16573" s="5" t="str">
        <f>IFERROR(__xludf.DUMMYFUNCTION("GOOGLETRANSLATE(B16573,""en"",""de"")"),"Ein Mann spielt ein Holzinstrument in einem anderen Mann, der in einem kleinen Raum sitzt.")</f>
        <v>Ein Mann spielt ein Holzinstrument in einem anderen Mann, der in einem kleinen Raum sitzt.</v>
      </c>
    </row>
    <row r="16574">
      <c r="A16574" s="4" t="s">
        <v>20875</v>
      </c>
      <c r="B16574" s="4" t="s">
        <v>20877</v>
      </c>
      <c r="C16574" s="5" t="str">
        <f>IFERROR(__xludf.DUMMYFUNCTION("GOOGLETRANSLATE(B16574,""en"",""de"")"),"Wenn er fertig ist, senkt er sein Instrument und lächelt breit.")</f>
        <v>Wenn er fertig ist, senkt er sein Instrument und lächelt breit.</v>
      </c>
    </row>
    <row r="16575">
      <c r="A16575" s="4" t="s">
        <v>20875</v>
      </c>
      <c r="B16575" s="4" t="s">
        <v>20878</v>
      </c>
      <c r="C16575" s="5" t="str">
        <f>IFERROR(__xludf.DUMMYFUNCTION("GOOGLETRANSLATE(B16575,""en"",""de"")"),"Sie scheinen in einem Zug zu fahren.")</f>
        <v>Sie scheinen in einem Zug zu fahren.</v>
      </c>
    </row>
    <row r="16576">
      <c r="A16576" s="4" t="s">
        <v>20879</v>
      </c>
      <c r="B16576" s="4" t="s">
        <v>20880</v>
      </c>
      <c r="C16576" s="5" t="str">
        <f>IFERROR(__xludf.DUMMYFUNCTION("GOOGLETRANSLATE(B16576,""en"",""de"")"),"Das Innere und die Vorräte eines altmodischen Friseurladens werden gezeigt.")</f>
        <v>Das Innere und die Vorräte eines altmodischen Friseurladens werden gezeigt.</v>
      </c>
    </row>
    <row r="16577">
      <c r="A16577" s="4" t="s">
        <v>20879</v>
      </c>
      <c r="B16577" s="4" t="s">
        <v>20881</v>
      </c>
      <c r="C16577" s="5" t="str">
        <f>IFERROR(__xludf.DUMMYFUNCTION("GOOGLETRANSLATE(B16577,""en"",""de"")"),"Ein Mann schärft einen Rasierband.")</f>
        <v>Ein Mann schärft einen Rasierband.</v>
      </c>
    </row>
    <row r="16578">
      <c r="A16578" s="4" t="s">
        <v>20879</v>
      </c>
      <c r="B16578" s="4" t="s">
        <v>20882</v>
      </c>
      <c r="C16578" s="5" t="str">
        <f>IFERROR(__xludf.DUMMYFUNCTION("GOOGLETRANSLATE(B16578,""en"",""de"")"),"Er zeigt die Creme, als er sie auf seinen Kunden legt.")</f>
        <v>Er zeigt die Creme, als er sie auf seinen Kunden legt.</v>
      </c>
    </row>
    <row r="16579">
      <c r="A16579" s="4" t="s">
        <v>20879</v>
      </c>
      <c r="B16579" s="4" t="s">
        <v>20883</v>
      </c>
      <c r="C16579" s="5" t="str">
        <f>IFERROR(__xludf.DUMMYFUNCTION("GOOGLETRANSLATE(B16579,""en"",""de"")"),"Dann gibt er dem Mann sanft und beruflich eine Bartrasur.")</f>
        <v>Dann gibt er dem Mann sanft und beruflich eine Bartrasur.</v>
      </c>
    </row>
    <row r="16580">
      <c r="A16580" s="4" t="s">
        <v>20879</v>
      </c>
      <c r="B16580" s="4" t="s">
        <v>20884</v>
      </c>
      <c r="C16580" s="5" t="str">
        <f>IFERROR(__xludf.DUMMYFUNCTION("GOOGLETRANSLATE(B16580,""en"",""de"")"),"Der Mann liegt still, als er ein Tuch aufweist und dann nachhave.")</f>
        <v>Der Mann liegt still, als er ein Tuch aufweist und dann nachhave.</v>
      </c>
    </row>
    <row r="16581">
      <c r="A16581" s="4" t="s">
        <v>20879</v>
      </c>
      <c r="B16581" s="4" t="s">
        <v>20885</v>
      </c>
      <c r="C16581" s="5" t="str">
        <f>IFERROR(__xludf.DUMMYFUNCTION("GOOGLETRANSLATE(B16581,""en"",""de"")"),"Eine Nahaufnahme wird aus dem sauberen rasierten Gesicht gezeigt.")</f>
        <v>Eine Nahaufnahme wird aus dem sauberen rasierten Gesicht gezeigt.</v>
      </c>
    </row>
    <row r="16582">
      <c r="A16582" s="4" t="s">
        <v>20886</v>
      </c>
      <c r="B16582" s="4" t="s">
        <v>20887</v>
      </c>
      <c r="C16582" s="5" t="str">
        <f>IFERROR(__xludf.DUMMYFUNCTION("GOOGLETRANSLATE(B16582,""en"",""de"")"),"Wir sehen eine Eröffnungsszene auf schwarzem Hintergrund.")</f>
        <v>Wir sehen eine Eröffnungsszene auf schwarzem Hintergrund.</v>
      </c>
    </row>
    <row r="16583">
      <c r="A16583" s="4" t="s">
        <v>20886</v>
      </c>
      <c r="B16583" s="4" t="s">
        <v>20888</v>
      </c>
      <c r="C16583" s="5" t="str">
        <f>IFERROR(__xludf.DUMMYFUNCTION("GOOGLETRANSLATE(B16583,""en"",""de"")"),"Wir sehen einen Mann, der einen Nagel hämmert.")</f>
        <v>Wir sehen einen Mann, der einen Nagel hämmert.</v>
      </c>
    </row>
    <row r="16584">
      <c r="A16584" s="4" t="s">
        <v>20886</v>
      </c>
      <c r="B16584" s="4" t="s">
        <v>20889</v>
      </c>
      <c r="C16584" s="5" t="str">
        <f>IFERROR(__xludf.DUMMYFUNCTION("GOOGLETRANSLATE(B16584,""en"",""de"")"),"Der Mann zeigt uns einige Schrauben.")</f>
        <v>Der Mann zeigt uns einige Schrauben.</v>
      </c>
    </row>
    <row r="16585">
      <c r="A16585" s="4" t="s">
        <v>20886</v>
      </c>
      <c r="B16585" s="4" t="s">
        <v>20890</v>
      </c>
      <c r="C16585" s="5" t="str">
        <f>IFERROR(__xludf.DUMMYFUNCTION("GOOGLETRANSLATE(B16585,""en"",""de"")"),"Wir sehen den Mann eine Schraube ein.")</f>
        <v>Wir sehen den Mann eine Schraube ein.</v>
      </c>
    </row>
    <row r="16586">
      <c r="A16586" s="4" t="s">
        <v>20891</v>
      </c>
      <c r="B16586" s="4" t="s">
        <v>20892</v>
      </c>
      <c r="C16586" s="5" t="str">
        <f>IFERROR(__xludf.DUMMYFUNCTION("GOOGLETRANSLATE(B16586,""en"",""de"")"),"Es werden mehrere Schüsse aus Paintball gezeigt, gefolgt von vielen Bildern von Waffen.")</f>
        <v>Es werden mehrere Schüsse aus Paintball gezeigt, gefolgt von vielen Bildern von Waffen.</v>
      </c>
    </row>
    <row r="16587">
      <c r="A16587" s="4" t="s">
        <v>20891</v>
      </c>
      <c r="B16587" s="4" t="s">
        <v>20893</v>
      </c>
      <c r="C16587" s="5" t="str">
        <f>IFERROR(__xludf.DUMMYFUNCTION("GOOGLETRANSLATE(B16587,""en"",""de"")"),"Weitere Bilder von Waffen werden angezeigt und endet mit Text über dem Bildschirm.")</f>
        <v>Weitere Bilder von Waffen werden angezeigt und endet mit Text über dem Bildschirm.</v>
      </c>
    </row>
    <row r="16588">
      <c r="A16588" s="4" t="s">
        <v>20894</v>
      </c>
      <c r="B16588" s="4" t="s">
        <v>20895</v>
      </c>
      <c r="C16588" s="5" t="str">
        <f>IFERROR(__xludf.DUMMYFUNCTION("GOOGLETRANSLATE(B16588,""en"",""de"")"),"Wir sehen einen Eröffnungs -Titelbildschirm und ein Mann und eine Dame sehen glücklich aus und die Dame wirft ihre Hände in die Luft.")</f>
        <v>Wir sehen einen Eröffnungs -Titelbildschirm und ein Mann und eine Dame sehen glücklich aus und die Dame wirft ihre Hände in die Luft.</v>
      </c>
    </row>
    <row r="16589">
      <c r="A16589" s="4" t="s">
        <v>20894</v>
      </c>
      <c r="B16589" s="4" t="s">
        <v>20896</v>
      </c>
      <c r="C16589" s="5" t="str">
        <f>IFERROR(__xludf.DUMMYFUNCTION("GOOGLETRANSLATE(B16589,""en"",""de"")"),"Wir sehen einen Mann mit Blackjack vor einem Bildschirm.")</f>
        <v>Wir sehen einen Mann mit Blackjack vor einem Bildschirm.</v>
      </c>
    </row>
    <row r="16590">
      <c r="A16590" s="4" t="s">
        <v>20894</v>
      </c>
      <c r="B16590" s="4" t="s">
        <v>20897</v>
      </c>
      <c r="C16590" s="5" t="str">
        <f>IFERROR(__xludf.DUMMYFUNCTION("GOOGLETRANSLATE(B16590,""en"",""de"")"),"Wir sehen einen C -Emblem -Bildschirm.")</f>
        <v>Wir sehen einen C -Emblem -Bildschirm.</v>
      </c>
    </row>
    <row r="16591">
      <c r="A16591" s="4" t="s">
        <v>20894</v>
      </c>
      <c r="B16591" s="4" t="s">
        <v>20898</v>
      </c>
      <c r="C16591" s="5" t="str">
        <f>IFERROR(__xludf.DUMMYFUNCTION("GOOGLETRANSLATE(B16591,""en"",""de"")"),"Wir sehen, dass der Mann weiterhin Karten behandelt.")</f>
        <v>Wir sehen, dass der Mann weiterhin Karten behandelt.</v>
      </c>
    </row>
    <row r="16592">
      <c r="A16592" s="4" t="s">
        <v>20894</v>
      </c>
      <c r="B16592" s="4" t="s">
        <v>3608</v>
      </c>
      <c r="C16592" s="5" t="str">
        <f>IFERROR(__xludf.DUMMYFUNCTION("GOOGLETRANSLATE(B16592,""en"",""de"")"),"Wir sehen den Endbildschirm.")</f>
        <v>Wir sehen den Endbildschirm.</v>
      </c>
    </row>
    <row r="16593">
      <c r="A16593" s="4" t="s">
        <v>20899</v>
      </c>
      <c r="B16593" s="4" t="s">
        <v>20900</v>
      </c>
      <c r="C16593" s="5" t="str">
        <f>IFERROR(__xludf.DUMMYFUNCTION("GOOGLETRANSLATE(B16593,""en"",""de"")"),"Eine junge Dame befindet sich in einem Raum, in dem ein Stück grau -weiße Tapete an einer Wand runterrollt.")</f>
        <v>Eine junge Dame befindet sich in einem Raum, in dem ein Stück grau -weiße Tapete an einer Wand runterrollt.</v>
      </c>
    </row>
    <row r="16594">
      <c r="A16594" s="4" t="s">
        <v>20899</v>
      </c>
      <c r="B16594" s="4" t="s">
        <v>20901</v>
      </c>
      <c r="C16594" s="5" t="str">
        <f>IFERROR(__xludf.DUMMYFUNCTION("GOOGLETRANSLATE(B16594,""en"",""de"")"),"Sie ist jetzt an einer anderen Wand und verwendet ein Utensil, um das Papier zu glätten.")</f>
        <v>Sie ist jetzt an einer anderen Wand und verwendet ein Utensil, um das Papier zu glätten.</v>
      </c>
    </row>
    <row r="16595">
      <c r="A16595" s="4" t="s">
        <v>20899</v>
      </c>
      <c r="B16595" s="4" t="s">
        <v>20902</v>
      </c>
      <c r="C16595" s="5" t="str">
        <f>IFERROR(__xludf.DUMMYFUNCTION("GOOGLETRANSLATE(B16595,""en"",""de"")"),"Dann wird sie gezeigt, wie sie die graue Tapete schneidet und es bürstet.")</f>
        <v>Dann wird sie gezeigt, wie sie die graue Tapete schneidet und es bürstet.</v>
      </c>
    </row>
    <row r="16596">
      <c r="A16596" s="4" t="s">
        <v>20899</v>
      </c>
      <c r="B16596" s="4" t="s">
        <v>20903</v>
      </c>
      <c r="C16596" s="5" t="str">
        <f>IFERROR(__xludf.DUMMYFUNCTION("GOOGLETRANSLATE(B16596,""en"",""de"")"),"Schließlich bewegt sie sich zu einem anderen Blumenstück und beginnt das überschüssige Papier abzuschneiden, um sicherzustellen, dass es richtig gemessen wird.")</f>
        <v>Schließlich bewegt sie sich zu einem anderen Blumenstück und beginnt das überschüssige Papier abzuschneiden, um sicherzustellen, dass es richtig gemessen wird.</v>
      </c>
    </row>
    <row r="16597">
      <c r="A16597" s="4" t="s">
        <v>20904</v>
      </c>
      <c r="B16597" s="4" t="s">
        <v>20905</v>
      </c>
      <c r="C16597" s="5" t="str">
        <f>IFERROR(__xludf.DUMMYFUNCTION("GOOGLETRANSLATE(B16597,""en"",""de"")"),"Eine Person wird gesehen, wie sie ihre Hände unter einen Dink steckt und die Seife an ihren Händen reibt.")</f>
        <v>Eine Person wird gesehen, wie sie ihre Hände unter einen Dink steckt und die Seife an ihren Händen reibt.</v>
      </c>
    </row>
    <row r="16598">
      <c r="A16598" s="4" t="s">
        <v>20904</v>
      </c>
      <c r="B16598" s="4" t="s">
        <v>20906</v>
      </c>
      <c r="C16598" s="5" t="str">
        <f>IFERROR(__xludf.DUMMYFUNCTION("GOOGLETRANSLATE(B16598,""en"",""de"")"),"Die Person schrubbt ihre Hände gründlich und leitet sie dann unter einen Wasserhahn.")</f>
        <v>Die Person schrubbt ihre Hände gründlich und leitet sie dann unter einen Wasserhahn.</v>
      </c>
    </row>
    <row r="16599">
      <c r="A16599" s="4" t="s">
        <v>20904</v>
      </c>
      <c r="B16599" s="4" t="s">
        <v>20907</v>
      </c>
      <c r="C16599" s="5" t="str">
        <f>IFERROR(__xludf.DUMMYFUNCTION("GOOGLETRANSLATE(B16599,""en"",""de"")"),"Dann greift sie ein Papiertuch, um ihre Hände zu trocknen und sie abzusuchen.")</f>
        <v>Dann greift sie ein Papiertuch, um ihre Hände zu trocknen und sie abzusuchen.</v>
      </c>
    </row>
    <row r="16600">
      <c r="A16600" s="4" t="s">
        <v>20908</v>
      </c>
      <c r="B16600" s="4" t="s">
        <v>20909</v>
      </c>
      <c r="C16600" s="5" t="str">
        <f>IFERROR(__xludf.DUMMYFUNCTION("GOOGLETRANSLATE(B16600,""en"",""de"")"),"Ein Mann wird gesehen, der sich auf dem Boden erstreckt, gefolgt von Menschen, die miteinander fechten.")</f>
        <v>Ein Mann wird gesehen, der sich auf dem Boden erstreckt, gefolgt von Menschen, die miteinander fechten.</v>
      </c>
    </row>
    <row r="16601">
      <c r="A16601" s="4" t="s">
        <v>20908</v>
      </c>
      <c r="B16601" s="4" t="s">
        <v>20910</v>
      </c>
      <c r="C16601" s="5" t="str">
        <f>IFERROR(__xludf.DUMMYFUNCTION("GOOGLETRANSLATE(B16601,""en"",""de"")"),"Die Leute bewegen sich miteinander um einen Arena -Zaun und die Kamera, die ihre Bewegungen erfasst.")</f>
        <v>Die Leute bewegen sich miteinander um einen Arena -Zaun und die Kamera, die ihre Bewegungen erfasst.</v>
      </c>
    </row>
    <row r="16602">
      <c r="A16602" s="4" t="s">
        <v>20908</v>
      </c>
      <c r="B16602" s="4" t="s">
        <v>20911</v>
      </c>
      <c r="C16602" s="5" t="str">
        <f>IFERROR(__xludf.DUMMYFUNCTION("GOOGLETRANSLATE(B16602,""en"",""de"")"),"Sie kämpfen weiter und vierten und enden, indem sie weggehen.")</f>
        <v>Sie kämpfen weiter und vierten und enden, indem sie weggehen.</v>
      </c>
    </row>
    <row r="16603">
      <c r="A16603" s="4" t="s">
        <v>20912</v>
      </c>
      <c r="B16603" s="4" t="s">
        <v>20913</v>
      </c>
      <c r="C16603" s="5" t="str">
        <f>IFERROR(__xludf.DUMMYFUNCTION("GOOGLETRANSLATE(B16603,""en"",""de"")"),"Es gibt ein geschäftiges Restaurant am See, in dem fast alle Tische von den Gästen besetzt sind.")</f>
        <v>Es gibt ein geschäftiges Restaurant am See, in dem fast alle Tische von den Gästen besetzt sind.</v>
      </c>
    </row>
    <row r="16604">
      <c r="A16604" s="4" t="s">
        <v>20912</v>
      </c>
      <c r="B16604" s="4" t="s">
        <v>20914</v>
      </c>
      <c r="C16604" s="5" t="str">
        <f>IFERROR(__xludf.DUMMYFUNCTION("GOOGLETRANSLATE(B16604,""en"",""de"")"),"Der Server füllt Eis in der Brille aus und Barista macht Kaffee.")</f>
        <v>Der Server füllt Eis in der Brille aus und Barista macht Kaffee.</v>
      </c>
    </row>
    <row r="16605">
      <c r="A16605" s="4" t="s">
        <v>20912</v>
      </c>
      <c r="B16605" s="4" t="s">
        <v>20915</v>
      </c>
      <c r="C16605" s="5" t="str">
        <f>IFERROR(__xludf.DUMMYFUNCTION("GOOGLETRANSLATE(B16605,""en"",""de"")"),"Die Kunden sind damit beschäftigt, ihr Essen zu essen, das serviert wird.")</f>
        <v>Die Kunden sind damit beschäftigt, ihr Essen zu essen, das serviert wird.</v>
      </c>
    </row>
    <row r="16606">
      <c r="A16606" s="4" t="s">
        <v>20912</v>
      </c>
      <c r="B16606" s="4" t="s">
        <v>20916</v>
      </c>
      <c r="C16606" s="5" t="str">
        <f>IFERROR(__xludf.DUMMYFUNCTION("GOOGLETRANSLATE(B16606,""en"",""de"")"),"Der Barkeeper mischt Getränke, um verschiedene Cocktails zu machen.")</f>
        <v>Der Barkeeper mischt Getränke, um verschiedene Cocktails zu machen.</v>
      </c>
    </row>
    <row r="16607">
      <c r="A16607" s="4" t="s">
        <v>20912</v>
      </c>
      <c r="B16607" s="4" t="s">
        <v>20917</v>
      </c>
      <c r="C16607" s="5" t="str">
        <f>IFERROR(__xludf.DUMMYFUNCTION("GOOGLETRANSLATE(B16607,""en"",""de"")"),"Der Barista macht Latte und Cappuccino.")</f>
        <v>Der Barista macht Latte und Cappuccino.</v>
      </c>
    </row>
    <row r="16608">
      <c r="A16608" s="4" t="s">
        <v>20912</v>
      </c>
      <c r="B16608" s="4" t="s">
        <v>20918</v>
      </c>
      <c r="C16608" s="5" t="str">
        <f>IFERROR(__xludf.DUMMYFUNCTION("GOOGLETRANSLATE(B16608,""en"",""de"")"),"Eine Kunde von Dame genießt ihre Getränke.")</f>
        <v>Eine Kunde von Dame genießt ihre Getränke.</v>
      </c>
    </row>
    <row r="16609">
      <c r="A16609" s="4" t="s">
        <v>20919</v>
      </c>
      <c r="B16609" s="4" t="s">
        <v>20920</v>
      </c>
      <c r="C16609" s="5" t="str">
        <f>IFERROR(__xludf.DUMMYFUNCTION("GOOGLETRANSLATE(B16609,""en"",""de"")"),"Eine Gruppe von Frauen steht vor der Kamera.")</f>
        <v>Eine Gruppe von Frauen steht vor der Kamera.</v>
      </c>
    </row>
    <row r="16610">
      <c r="A16610" s="4" t="s">
        <v>20919</v>
      </c>
      <c r="B16610" s="4" t="s">
        <v>20921</v>
      </c>
      <c r="C16610" s="5" t="str">
        <f>IFERROR(__xludf.DUMMYFUNCTION("GOOGLETRANSLATE(B16610,""en"",""de"")"),"Eine ältere Frau geht zum Kopf der Gruppe.")</f>
        <v>Eine ältere Frau geht zum Kopf der Gruppe.</v>
      </c>
    </row>
    <row r="16611">
      <c r="A16611" s="4" t="s">
        <v>20919</v>
      </c>
      <c r="B16611" s="4" t="s">
        <v>20922</v>
      </c>
      <c r="C16611" s="5" t="str">
        <f>IFERROR(__xludf.DUMMYFUNCTION("GOOGLETRANSLATE(B16611,""en"",""de"")"),"Die Gruppe tanzt zusammen vor der Kamera.")</f>
        <v>Die Gruppe tanzt zusammen vor der Kamera.</v>
      </c>
    </row>
    <row r="16612">
      <c r="A16612" s="4" t="s">
        <v>20923</v>
      </c>
      <c r="B16612" s="4" t="s">
        <v>20924</v>
      </c>
      <c r="C16612" s="5" t="str">
        <f>IFERROR(__xludf.DUMMYFUNCTION("GOOGLETRANSLATE(B16612,""en"",""de"")"),"Ein Mann in einem schneebedeckten Parkplatz, der mit hohen Straßenlaternen gesäumt war, kratzte abends Schnee und Eis von seinem kastanienbraunen Sportwagen.")</f>
        <v>Ein Mann in einem schneebedeckten Parkplatz, der mit hohen Straßenlaternen gesäumt war, kratzte abends Schnee und Eis von seinem kastanienbraunen Sportwagen.</v>
      </c>
    </row>
    <row r="16613">
      <c r="A16613" s="4" t="s">
        <v>20923</v>
      </c>
      <c r="B16613" s="4" t="s">
        <v>20925</v>
      </c>
      <c r="C16613" s="5" t="str">
        <f>IFERROR(__xludf.DUMMYFUNCTION("GOOGLETRANSLATE(B16613,""en"",""de"")"),"Der Mann beginnt zunächst Eis und Schnee vom Boden seiner Windschutzscheibe und der Motorhaube seines Autos und des vorderen Grills.")</f>
        <v>Der Mann beginnt zunächst Eis und Schnee vom Boden seiner Windschutzscheibe und der Motorhaube seines Autos und des vorderen Grills.</v>
      </c>
    </row>
    <row r="16614">
      <c r="A16614" s="4" t="s">
        <v>20923</v>
      </c>
      <c r="B16614" s="4" t="s">
        <v>20926</v>
      </c>
      <c r="C16614" s="5" t="str">
        <f>IFERROR(__xludf.DUMMYFUNCTION("GOOGLETRANSLATE(B16614,""en"",""de"")"),"Der Mann kratzt dann und tritt dann in Eisbrocken, die die Gegend um den Beifahrerreifen umgeben.")</f>
        <v>Der Mann kratzt dann und tritt dann in Eisbrocken, die die Gegend um den Beifahrerreifen umgeben.</v>
      </c>
    </row>
    <row r="16615">
      <c r="A16615" s="4" t="s">
        <v>20923</v>
      </c>
      <c r="B16615" s="4" t="s">
        <v>20927</v>
      </c>
      <c r="C16615" s="5" t="str">
        <f>IFERROR(__xludf.DUMMYFUNCTION("GOOGLETRANSLATE(B16615,""en"",""de"")"),"Zuletzt kratzt der Mann Eis vom Kofferraum des Autos und im hinteren Beifahrerreifen aus, bevor er verzichtet und auf die Kamera geht.")</f>
        <v>Zuletzt kratzt der Mann Eis vom Kofferraum des Autos und im hinteren Beifahrerreifen aus, bevor er verzichtet und auf die Kamera geht.</v>
      </c>
    </row>
    <row r="16616">
      <c r="A16616" s="4" t="s">
        <v>20928</v>
      </c>
      <c r="B16616" s="4" t="s">
        <v>20929</v>
      </c>
      <c r="C16616" s="5" t="str">
        <f>IFERROR(__xludf.DUMMYFUNCTION("GOOGLETRANSLATE(B16616,""en"",""de"")"),"Eine schwarze Schablone mit Scrollendruck mit weißem Schriftzug verläuft in einer Aufwärtsbewegung über den Bildschirm.")</f>
        <v>Eine schwarze Schablone mit Scrollendruck mit weißem Schriftzug verläuft in einer Aufwärtsbewegung über den Bildschirm.</v>
      </c>
    </row>
    <row r="16617">
      <c r="A16617" s="4" t="s">
        <v>20928</v>
      </c>
      <c r="B16617" s="4" t="s">
        <v>20930</v>
      </c>
      <c r="C16617" s="5" t="str">
        <f>IFERROR(__xludf.DUMMYFUNCTION("GOOGLETRANSLATE(B16617,""en"",""de"")"),"Ein Motorboot mit zwei Kanu wie Rümpfe auf beiden Seiten des Segels, segelt bei Tageslicht über einen Ozean, zwei Personen, die an der Seite hängen.")</f>
        <v>Ein Motorboot mit zwei Kanu wie Rümpfe auf beiden Seiten des Segels, segelt bei Tageslicht über einen Ozean, zwei Personen, die an der Seite hängen.</v>
      </c>
    </row>
    <row r="16618">
      <c r="A16618" s="4" t="s">
        <v>20928</v>
      </c>
      <c r="B16618" s="4" t="s">
        <v>20931</v>
      </c>
      <c r="C16618" s="5" t="str">
        <f>IFERROR(__xludf.DUMMYFUNCTION("GOOGLETRANSLATE(B16618,""en"",""de"")"),"Das Bild des Bootes auf dem Wasser ändert sich in die Nachtsicht, wobei nur grün -weiße Farben vor dem Rollen des Credits reflektieren.")</f>
        <v>Das Bild des Bootes auf dem Wasser ändert sich in die Nachtsicht, wobei nur grün -weiße Farben vor dem Rollen des Credits reflektieren.</v>
      </c>
    </row>
    <row r="16619">
      <c r="A16619" s="4" t="s">
        <v>20932</v>
      </c>
      <c r="B16619" s="4" t="s">
        <v>20933</v>
      </c>
      <c r="C16619" s="5" t="str">
        <f>IFERROR(__xludf.DUMMYFUNCTION("GOOGLETRANSLATE(B16619,""en"",""de"")"),"Es gibt vier Personen, die am BMX Dirt Bying -Wettbewerb teilnehmen.")</f>
        <v>Es gibt vier Personen, die am BMX Dirt Bying -Wettbewerb teilnehmen.</v>
      </c>
    </row>
    <row r="16620">
      <c r="A16620" s="4" t="s">
        <v>20932</v>
      </c>
      <c r="B16620" s="4" t="s">
        <v>20934</v>
      </c>
      <c r="C16620" s="5" t="str">
        <f>IFERROR(__xludf.DUMMYFUNCTION("GOOGLETRANSLATE(B16620,""en"",""de"")"),"Sie machen unglaubliche Stunts auf ihren Fahrrädern, indem sie hoch über Gräben und steiles Gelände hochspringen.")</f>
        <v>Sie machen unglaubliche Stunts auf ihren Fahrrädern, indem sie hoch über Gräben und steiles Gelände hochspringen.</v>
      </c>
    </row>
    <row r="16621">
      <c r="A16621" s="4" t="s">
        <v>20932</v>
      </c>
      <c r="B16621" s="4" t="s">
        <v>20935</v>
      </c>
      <c r="C16621" s="5" t="str">
        <f>IFERROR(__xludf.DUMMYFUNCTION("GOOGLETRANSLATE(B16621,""en"",""de"")"),"Einer der Biker stürzt einen Sturz, nachdem er über eine hügelige Straße gesprungen war.")</f>
        <v>Einer der Biker stürzt einen Sturz, nachdem er über eine hügelige Straße gesprungen war.</v>
      </c>
    </row>
    <row r="16622">
      <c r="A16622" s="4" t="s">
        <v>20932</v>
      </c>
      <c r="B16622" s="4" t="s">
        <v>20936</v>
      </c>
      <c r="C16622" s="5" t="str">
        <f>IFERROR(__xludf.DUMMYFUNCTION("GOOGLETRANSLATE(B16622,""en"",""de"")"),"Mehrere andere Biker gehen mit voller Geschwindigkeit über hügeliges Gelände und steiler Hügel.")</f>
        <v>Mehrere andere Biker gehen mit voller Geschwindigkeit über hügeliges Gelände und steiler Hügel.</v>
      </c>
    </row>
    <row r="16623">
      <c r="A16623" s="4" t="s">
        <v>20932</v>
      </c>
      <c r="B16623" s="4" t="s">
        <v>20937</v>
      </c>
      <c r="C16623" s="5" t="str">
        <f>IFERROR(__xludf.DUMMYFUNCTION("GOOGLETRANSLATE(B16623,""en"",""de"")"),"Die Menschen sind versammelt, um an der BMX -Veranstaltung zu sehen und teilzunehmen.")</f>
        <v>Die Menschen sind versammelt, um an der BMX -Veranstaltung zu sehen und teilzunehmen.</v>
      </c>
    </row>
    <row r="16624">
      <c r="A16624" s="4" t="s">
        <v>20932</v>
      </c>
      <c r="B16624" s="4" t="s">
        <v>20938</v>
      </c>
      <c r="C16624" s="5" t="str">
        <f>IFERROR(__xludf.DUMMYFUNCTION("GOOGLETRANSLATE(B16624,""en"",""de"")"),"Die Biker machen ihre Stunts weiter, als sie über hügeliges Gelände und Hügel gehen.")</f>
        <v>Die Biker machen ihre Stunts weiter, als sie über hügeliges Gelände und Hügel gehen.</v>
      </c>
    </row>
    <row r="16625">
      <c r="A16625" s="4" t="s">
        <v>20932</v>
      </c>
      <c r="B16625" s="4" t="s">
        <v>20939</v>
      </c>
      <c r="C16625" s="5" t="str">
        <f>IFERROR(__xludf.DUMMYFUNCTION("GOOGLETRANSLATE(B16625,""en"",""de"")"),"Die Gewinner des Rennens erhalten Trophäen und Zertifikate.")</f>
        <v>Die Gewinner des Rennens erhalten Trophäen und Zertifikate.</v>
      </c>
    </row>
    <row r="16626">
      <c r="A16626" s="4" t="s">
        <v>20932</v>
      </c>
      <c r="B16626" s="4" t="s">
        <v>20940</v>
      </c>
      <c r="C16626" s="5" t="str">
        <f>IFERROR(__xludf.DUMMYFUNCTION("GOOGLETRANSLATE(B16626,""en"",""de"")"),"Sie erheben stolz ihre Trophäen hoch, um ihre Leistung zu zeigen.")</f>
        <v>Sie erheben stolz ihre Trophäen hoch, um ihre Leistung zu zeigen.</v>
      </c>
    </row>
    <row r="16627">
      <c r="A16627" s="4" t="s">
        <v>20941</v>
      </c>
      <c r="B16627" s="4" t="s">
        <v>20942</v>
      </c>
      <c r="C16627" s="5" t="str">
        <f>IFERROR(__xludf.DUMMYFUNCTION("GOOGLETRANSLATE(B16627,""en"",""de"")"),"Der Mann ist Climbong eine Felswand, die zum Gurt ist.")</f>
        <v>Der Mann ist Climbong eine Felswand, die zum Gurt ist.</v>
      </c>
    </row>
    <row r="16628">
      <c r="A16628" s="4" t="s">
        <v>20941</v>
      </c>
      <c r="B16628" s="4" t="s">
        <v>20943</v>
      </c>
      <c r="C16628" s="5" t="str">
        <f>IFERROR(__xludf.DUMMYFUNCTION("GOOGLETRANSLATE(B16628,""en"",""de"")"),"Eine Gruppe von Freunden steht auf dem Feld und über ihnen klettert der Mann die Felswand.")</f>
        <v>Eine Gruppe von Freunden steht auf dem Feld und über ihnen klettert der Mann die Felswand.</v>
      </c>
    </row>
    <row r="16629">
      <c r="A16629" s="4" t="s">
        <v>20941</v>
      </c>
      <c r="B16629" s="4" t="s">
        <v>20944</v>
      </c>
      <c r="C16629" s="5" t="str">
        <f>IFERROR(__xludf.DUMMYFUNCTION("GOOGLETRANSLATE(B16629,""en"",""de"")"),"Der Mensch ist Beigng the Fel Wall und die anderen Menschen auf dem Boden sind am Gurt, das auch zur Klettern ist, um auch die Wand zu besteigen.")</f>
        <v>Der Mensch ist Beigng the Fel Wall und die anderen Menschen auf dem Boden sind am Gurt, das auch zur Klettern ist, um auch die Wand zu besteigen.</v>
      </c>
    </row>
    <row r="16630">
      <c r="A16630" s="4" t="s">
        <v>20945</v>
      </c>
      <c r="B16630" s="4" t="s">
        <v>20946</v>
      </c>
      <c r="C16630" s="5" t="str">
        <f>IFERROR(__xludf.DUMMYFUNCTION("GOOGLETRANSLATE(B16630,""en"",""de"")"),"Ein Mann, der Handschuhe trägt, spricht mit der Kamera und hält verschiedene Objekte an der Kamera.")</f>
        <v>Ein Mann, der Handschuhe trägt, spricht mit der Kamera und hält verschiedene Objekte an der Kamera.</v>
      </c>
    </row>
    <row r="16631">
      <c r="A16631" s="4" t="s">
        <v>20945</v>
      </c>
      <c r="B16631" s="4" t="s">
        <v>20947</v>
      </c>
      <c r="C16631" s="5" t="str">
        <f>IFERROR(__xludf.DUMMYFUNCTION("GOOGLETRANSLATE(B16631,""en"",""de"")"),"Anschließend stellt er die Objekte zusammen, um eine große Flamme zu erstellen und am Ende ein Werkzeug abzudehnen und die Ergebnisse anzuzeigen.")</f>
        <v>Anschließend stellt er die Objekte zusammen, um eine große Flamme zu erstellen und am Ende ein Werkzeug abzudehnen und die Ergebnisse anzuzeigen.</v>
      </c>
    </row>
    <row r="16632">
      <c r="A16632" s="4" t="s">
        <v>20948</v>
      </c>
      <c r="B16632" s="4" t="s">
        <v>20949</v>
      </c>
      <c r="C16632" s="5" t="str">
        <f>IFERROR(__xludf.DUMMYFUNCTION("GOOGLETRANSLATE(B16632,""en"",""de"")"),"Ein Mann im grauen Hemd tritt Gips mit einem Handheld -Spatel auf die Innenwand eines Gebäudes auf.")</f>
        <v>Ein Mann im grauen Hemd tritt Gips mit einem Handheld -Spatel auf die Innenwand eines Gebäudes auf.</v>
      </c>
    </row>
    <row r="16633">
      <c r="A16633" s="4" t="s">
        <v>20948</v>
      </c>
      <c r="B16633" s="4" t="s">
        <v>20950</v>
      </c>
      <c r="C16633" s="5" t="str">
        <f>IFERROR(__xludf.DUMMYFUNCTION("GOOGLETRANSLATE(B16633,""en"",""de"")"),"Der Hauptpunkt auf die Ecken des Raums, um die Linie zu zeigen, die er arbeitet.")</f>
        <v>Der Hauptpunkt auf die Ecken des Raums, um die Linie zu zeigen, die er arbeitet.</v>
      </c>
    </row>
    <row r="16634">
      <c r="A16634" s="4" t="s">
        <v>20948</v>
      </c>
      <c r="B16634" s="4" t="s">
        <v>20951</v>
      </c>
      <c r="C16634" s="5" t="str">
        <f>IFERROR(__xludf.DUMMYFUNCTION("GOOGLETRANSLATE(B16634,""en"",""de"")"),"Der Mann in wendet mehr Gips die Wand an und bedeckt mehr Fläche.")</f>
        <v>Der Mann in wendet mehr Gips die Wand an und bedeckt mehr Fläche.</v>
      </c>
    </row>
    <row r="16635">
      <c r="A16635" s="4" t="s">
        <v>20948</v>
      </c>
      <c r="B16635" s="4" t="s">
        <v>20952</v>
      </c>
      <c r="C16635" s="5" t="str">
        <f>IFERROR(__xludf.DUMMYFUNCTION("GOOGLETRANSLATE(B16635,""en"",""de"")"),"Der Mann in Gray hält an, um mit seinem Partner zu besprechen.")</f>
        <v>Der Mann in Gray hält an, um mit seinem Partner zu besprechen.</v>
      </c>
    </row>
    <row r="16636">
      <c r="A16636" s="4" t="s">
        <v>20948</v>
      </c>
      <c r="B16636" s="4" t="s">
        <v>20953</v>
      </c>
      <c r="C16636" s="5" t="str">
        <f>IFERROR(__xludf.DUMMYFUNCTION("GOOGLETRANSLATE(B16636,""en"",""de"")"),"Der Mann in Gray und sein Partner beginnt, eine Beschichtung zusammen an der Wand aufzutragen.")</f>
        <v>Der Mann in Gray und sein Partner beginnt, eine Beschichtung zusammen an der Wand aufzutragen.</v>
      </c>
    </row>
    <row r="16637">
      <c r="A16637" s="4" t="s">
        <v>20948</v>
      </c>
      <c r="B16637" s="4" t="s">
        <v>20954</v>
      </c>
      <c r="C16637" s="5" t="str">
        <f>IFERROR(__xludf.DUMMYFUNCTION("GOOGLETRANSLATE(B16637,""en"",""de"")"),"Der Mann in Grey sieht und gibt seinem Freund Tipps.")</f>
        <v>Der Mann in Grey sieht und gibt seinem Freund Tipps.</v>
      </c>
    </row>
    <row r="16638">
      <c r="A16638" s="4" t="s">
        <v>20948</v>
      </c>
      <c r="B16638" s="4" t="s">
        <v>20955</v>
      </c>
      <c r="C16638" s="5" t="str">
        <f>IFERROR(__xludf.DUMMYFUNCTION("GOOGLETRANSLATE(B16638,""en"",""de"")"),"Der Mann in Grau und der Freund tragen beide Gips höher an der Wand und der Decke auf.")</f>
        <v>Der Mann in Grau und der Freund tragen beide Gips höher an der Wand und der Decke auf.</v>
      </c>
    </row>
    <row r="16639">
      <c r="A16639" s="4" t="s">
        <v>20956</v>
      </c>
      <c r="B16639" s="4" t="s">
        <v>20957</v>
      </c>
      <c r="C16639" s="5" t="str">
        <f>IFERROR(__xludf.DUMMYFUNCTION("GOOGLETRANSLATE(B16639,""en"",""de"")"),"Ein Sänger steht auf einem Klavier auf einer großen Bühne und spricht in das Mikrofon, während ein Schlagzeuger im Hintergrund spielt.")</f>
        <v>Ein Sänger steht auf einem Klavier auf einer großen Bühne und spricht in das Mikrofon, während ein Schlagzeuger im Hintergrund spielt.</v>
      </c>
    </row>
    <row r="16640">
      <c r="A16640" s="4" t="s">
        <v>20956</v>
      </c>
      <c r="B16640" s="4" t="s">
        <v>20958</v>
      </c>
      <c r="C16640" s="5" t="str">
        <f>IFERROR(__xludf.DUMMYFUNCTION("GOOGLETRANSLATE(B16640,""en"",""de"")"),"Er singt weiter dem Publikum, gefolgt vom Klavier und tanzt auf der Bühne.")</f>
        <v>Er singt weiter dem Publikum, gefolgt vom Klavier und tanzt auf der Bühne.</v>
      </c>
    </row>
    <row r="16641">
      <c r="A16641" s="4" t="s">
        <v>20956</v>
      </c>
      <c r="B16641" s="4" t="s">
        <v>20959</v>
      </c>
      <c r="C16641" s="5" t="str">
        <f>IFERROR(__xludf.DUMMYFUNCTION("GOOGLETRANSLATE(B16641,""en"",""de"")"),"Die Drums spielen weiter und die Lichter flackern hinter ihm, während die Leute andere Trommeln um das Set mischen.")</f>
        <v>Die Drums spielen weiter und die Lichter flackern hinter ihm, während die Leute andere Trommeln um das Set mischen.</v>
      </c>
    </row>
    <row r="16642">
      <c r="A16642" s="4" t="s">
        <v>20956</v>
      </c>
      <c r="B16642" s="4" t="s">
        <v>20960</v>
      </c>
      <c r="C16642" s="5" t="str">
        <f>IFERROR(__xludf.DUMMYFUNCTION("GOOGLETRANSLATE(B16642,""en"",""de"")"),"Die beiden Männer spielen dann miteinander die Trommeln, während sie zwischen Drum -Kits und Bewegungen wechseln.")</f>
        <v>Die beiden Männer spielen dann miteinander die Trommeln, während sie zwischen Drum -Kits und Bewegungen wechseln.</v>
      </c>
    </row>
    <row r="16643">
      <c r="A16643" s="4" t="s">
        <v>20961</v>
      </c>
      <c r="B16643" s="4" t="s">
        <v>20962</v>
      </c>
      <c r="C16643" s="5" t="str">
        <f>IFERROR(__xludf.DUMMYFUNCTION("GOOGLETRANSLATE(B16643,""en"",""de"")"),"Eine Kamera schwenkt in einem Fernsehset, der zu einem Mann führt, der einen Stock vor einer großen Menge hält.")</f>
        <v>Eine Kamera schwenkt in einem Fernsehset, der zu einem Mann führt, der einen Stock vor einer großen Menge hält.</v>
      </c>
    </row>
    <row r="16644">
      <c r="A16644" s="4" t="s">
        <v>20961</v>
      </c>
      <c r="B16644" s="4" t="s">
        <v>20963</v>
      </c>
      <c r="C16644" s="5" t="str">
        <f>IFERROR(__xludf.DUMMYFUNCTION("GOOGLETRANSLATE(B16644,""en"",""de"")"),"Er spricht mit einer Frau und eine Einstellung von Leuten, die Shuffle Board spielen, werden in Zeitlupe gezeigt.")</f>
        <v>Er spricht mit einer Frau und eine Einstellung von Leuten, die Shuffle Board spielen, werden in Zeitlupe gezeigt.</v>
      </c>
    </row>
    <row r="16645">
      <c r="A16645" s="4" t="s">
        <v>20964</v>
      </c>
      <c r="B16645" s="4" t="s">
        <v>20965</v>
      </c>
      <c r="C16645" s="5" t="str">
        <f>IFERROR(__xludf.DUMMYFUNCTION("GOOGLETRANSLATE(B16645,""en"",""de"")"),"Eine Person schärft ein Messer hinter einem Tisch.")</f>
        <v>Eine Person schärft ein Messer hinter einem Tisch.</v>
      </c>
    </row>
    <row r="16646">
      <c r="A16646" s="4" t="s">
        <v>20964</v>
      </c>
      <c r="B16646" s="4" t="s">
        <v>20966</v>
      </c>
      <c r="C16646" s="5" t="str">
        <f>IFERROR(__xludf.DUMMYFUNCTION("GOOGLETRANSLATE(B16646,""en"",""de"")"),"Die Leute stehen vor dem Tisch und beobachten.")</f>
        <v>Die Leute stehen vor dem Tisch und beobachten.</v>
      </c>
    </row>
    <row r="16647">
      <c r="A16647" s="4" t="s">
        <v>20964</v>
      </c>
      <c r="B16647" s="4" t="s">
        <v>20967</v>
      </c>
      <c r="C16647" s="5" t="str">
        <f>IFERROR(__xludf.DUMMYFUNCTION("GOOGLETRANSLATE(B16647,""en"",""de"")"),"Er nimmt den Messerschärfer auf und schärft es, um das Messer zu schärfen.")</f>
        <v>Er nimmt den Messerschärfer auf und schärft es, um das Messer zu schärfen.</v>
      </c>
    </row>
    <row r="16648">
      <c r="A16648" s="4" t="s">
        <v>20968</v>
      </c>
      <c r="B16648" s="4" t="s">
        <v>20969</v>
      </c>
      <c r="C16648" s="5" t="str">
        <f>IFERROR(__xludf.DUMMYFUNCTION("GOOGLETRANSLATE(B16648,""en"",""de"")"),"Eine Frau wäscht das Geschirr in einer Spüle, während ein Mann mit der Kamera spricht und das Geschirr zoomt.")</f>
        <v>Eine Frau wäscht das Geschirr in einer Spüle, während ein Mann mit der Kamera spricht und das Geschirr zoomt.</v>
      </c>
    </row>
    <row r="16649">
      <c r="A16649" s="4" t="s">
        <v>20968</v>
      </c>
      <c r="B16649" s="4" t="s">
        <v>20970</v>
      </c>
      <c r="C16649" s="5" t="str">
        <f>IFERROR(__xludf.DUMMYFUNCTION("GOOGLETRANSLATE(B16649,""en"",""de"")"),"Der Mann spricht weiterhin mit der Kamera und demonstriert, wie man das Geschirr richtig waschen.")</f>
        <v>Der Mann spricht weiterhin mit der Kamera und demonstriert, wie man das Geschirr richtig waschen.</v>
      </c>
    </row>
    <row r="16650">
      <c r="A16650" s="4" t="s">
        <v>20971</v>
      </c>
      <c r="B16650" s="4" t="s">
        <v>20972</v>
      </c>
      <c r="C16650" s="5" t="str">
        <f>IFERROR(__xludf.DUMMYFUNCTION("GOOGLETRANSLATE(B16650,""en"",""de"")"),"Eine Person steht vor einem Picknicktisch, der mit der Kamera spricht, während er ein Fahrradrad hält.")</f>
        <v>Eine Person steht vor einem Picknicktisch, der mit der Kamera spricht, während er ein Fahrradrad hält.</v>
      </c>
    </row>
    <row r="16651">
      <c r="A16651" s="4" t="s">
        <v>20971</v>
      </c>
      <c r="B16651" s="4" t="s">
        <v>20973</v>
      </c>
      <c r="C16651" s="5" t="str">
        <f>IFERROR(__xludf.DUMMYFUNCTION("GOOGLETRANSLATE(B16651,""en"",""de"")"),"Dann legt er den Reifen auf den Boden und bewegt seine Hände um den Reifen, um sicherzustellen, dass der Reifen richtig aufgeblasen wird.")</f>
        <v>Dann legt er den Reifen auf den Boden und bewegt seine Hände um den Reifen, um sicherzustellen, dass der Reifen richtig aufgeblasen wird.</v>
      </c>
    </row>
    <row r="16652">
      <c r="A16652" s="4" t="s">
        <v>20971</v>
      </c>
      <c r="B16652" s="4" t="s">
        <v>20974</v>
      </c>
      <c r="C16652" s="5" t="str">
        <f>IFERROR(__xludf.DUMMYFUNCTION("GOOGLETRANSLATE(B16652,""en"",""de"")"),"Er geht den Reifen zurück auf den Tisch und zieht ein Seil heraus, mit dem es binden.")</f>
        <v>Er geht den Reifen zurück auf den Tisch und zieht ein Seil heraus, mit dem es binden.</v>
      </c>
    </row>
    <row r="16653">
      <c r="A16653" s="4" t="s">
        <v>20975</v>
      </c>
      <c r="B16653" s="4" t="s">
        <v>20976</v>
      </c>
      <c r="C16653" s="5" t="str">
        <f>IFERROR(__xludf.DUMMYFUNCTION("GOOGLETRANSLATE(B16653,""en"",""de"")"),"Zwei Personen werden gesehen, wie sie sich zurückziehen und auf einer großen Matte miteinander fechten.")</f>
        <v>Zwei Personen werden gesehen, wie sie sich zurückziehen und auf einer großen Matte miteinander fechten.</v>
      </c>
    </row>
    <row r="16654">
      <c r="A16654" s="4" t="s">
        <v>20975</v>
      </c>
      <c r="B16654" s="4" t="s">
        <v>20977</v>
      </c>
      <c r="C16654" s="5" t="str">
        <f>IFERROR(__xludf.DUMMYFUNCTION("GOOGLETRANSLATE(B16654,""en"",""de"")"),"Das Publikum jubelt, als es fertig ist und endet, indem sie das Match in Zeitlupe erneut zeigt.")</f>
        <v>Das Publikum jubelt, als es fertig ist und endet, indem sie das Match in Zeitlupe erneut zeigt.</v>
      </c>
    </row>
    <row r="16655">
      <c r="A16655" s="4" t="s">
        <v>20978</v>
      </c>
      <c r="B16655" s="4" t="s">
        <v>20979</v>
      </c>
      <c r="C16655" s="5" t="str">
        <f>IFERROR(__xludf.DUMMYFUNCTION("GOOGLETRANSLATE(B16655,""en"",""de"")"),"Eine Person sitzt in einer Röhre, die ein Bier trinkt, während andere Menschen in der Ferne sehen.")</f>
        <v>Eine Person sitzt in einer Röhre, die ein Bier trinkt, während andere Menschen in der Ferne sehen.</v>
      </c>
    </row>
    <row r="16656">
      <c r="A16656" s="4" t="s">
        <v>20978</v>
      </c>
      <c r="B16656" s="4" t="s">
        <v>20980</v>
      </c>
      <c r="C16656" s="5" t="str">
        <f>IFERROR(__xludf.DUMMYFUNCTION("GOOGLETRANSLATE(B16656,""en"",""de"")"),"Es werden mehr Schüsse von den Menschen gezeigt, die in Röhren fahren, während sie Biere trinken und miteinander sprechen.")</f>
        <v>Es werden mehr Schüsse von den Menschen gezeigt, die in Röhren fahren, während sie Biere trinken und miteinander sprechen.</v>
      </c>
    </row>
    <row r="16657">
      <c r="A16657" s="4" t="s">
        <v>20981</v>
      </c>
      <c r="B16657" s="4" t="s">
        <v>20982</v>
      </c>
      <c r="C16657" s="5" t="str">
        <f>IFERROR(__xludf.DUMMYFUNCTION("GOOGLETRANSLATE(B16657,""en"",""de"")"),"Ein Mädchen spricht mit der Kamera und führt in ihre Flaschen und wäscht ihr Gesicht.")</f>
        <v>Ein Mädchen spricht mit der Kamera und führt in ihre Flaschen und wäscht ihr Gesicht.</v>
      </c>
    </row>
    <row r="16658">
      <c r="A16658" s="4" t="s">
        <v>20981</v>
      </c>
      <c r="B16658" s="4" t="s">
        <v>20983</v>
      </c>
      <c r="C16658" s="5" t="str">
        <f>IFERROR(__xludf.DUMMYFUNCTION("GOOGLETRANSLATE(B16658,""en"",""de"")"),"Sie wischt sich das Gesicht mit einem Handtuch ab und legt dann Lotion über ihr Gesicht.")</f>
        <v>Sie wischt sich das Gesicht mit einem Handtuch ab und legt dann Lotion über ihr Gesicht.</v>
      </c>
    </row>
    <row r="16659">
      <c r="A16659" s="4" t="s">
        <v>20984</v>
      </c>
      <c r="B16659" s="4" t="s">
        <v>20985</v>
      </c>
      <c r="C16659" s="5" t="str">
        <f>IFERROR(__xludf.DUMMYFUNCTION("GOOGLETRANSLATE(B16659,""en"",""de"")"),"Ein Mann gekleidet ein schwarzes Hemd und Tarndruck -Shorts zeigt, wie man die Gummirreifen an einem Autoradrand repariert.")</f>
        <v>Ein Mann gekleidet ein schwarzes Hemd und Tarndruck -Shorts zeigt, wie man die Gummirreifen an einem Autoradrand repariert.</v>
      </c>
    </row>
    <row r="16660">
      <c r="A16660" s="4" t="s">
        <v>20984</v>
      </c>
      <c r="B16660" s="4" t="s">
        <v>20986</v>
      </c>
      <c r="C16660" s="5" t="str">
        <f>IFERROR(__xludf.DUMMYFUNCTION("GOOGLETRANSLATE(B16660,""en"",""de"")"),"Er zeigt alle Werkzeuge, die für den Prozess erforderlich sind.")</f>
        <v>Er zeigt alle Werkzeuge, die für den Prozess erforderlich sind.</v>
      </c>
    </row>
    <row r="16661">
      <c r="A16661" s="4" t="s">
        <v>20984</v>
      </c>
      <c r="B16661" s="4" t="s">
        <v>20987</v>
      </c>
      <c r="C16661" s="5" t="str">
        <f>IFERROR(__xludf.DUMMYFUNCTION("GOOGLETRANSLATE(B16661,""en"",""de"")"),"Er nimmt den Gummireifen und sprüht ihn mit einer Flüssigkeit.")</f>
        <v>Er nimmt den Gummireifen und sprüht ihn mit einer Flüssigkeit.</v>
      </c>
    </row>
    <row r="16662">
      <c r="A16662" s="4" t="s">
        <v>20984</v>
      </c>
      <c r="B16662" s="4" t="s">
        <v>20988</v>
      </c>
      <c r="C16662" s="5" t="str">
        <f>IFERROR(__xludf.DUMMYFUNCTION("GOOGLETRANSLATE(B16662,""en"",""de"")"),"Dann passt er zum inneren Rand des Rades in den Reifen.")</f>
        <v>Dann passt er zum inneren Rand des Rades in den Reifen.</v>
      </c>
    </row>
    <row r="16663">
      <c r="A16663" s="4" t="s">
        <v>20984</v>
      </c>
      <c r="B16663" s="4" t="s">
        <v>20989</v>
      </c>
      <c r="C16663" s="5" t="str">
        <f>IFERROR(__xludf.DUMMYFUNCTION("GOOGLETRANSLATE(B16663,""en"",""de"")"),"Er benutzt einen Schläger, um ihn fest zu sichern.")</f>
        <v>Er benutzt einen Schläger, um ihn fest zu sichern.</v>
      </c>
    </row>
    <row r="16664">
      <c r="A16664" s="4" t="s">
        <v>20984</v>
      </c>
      <c r="B16664" s="4" t="s">
        <v>20990</v>
      </c>
      <c r="C16664" s="5" t="str">
        <f>IFERROR(__xludf.DUMMYFUNCTION("GOOGLETRANSLATE(B16664,""en"",""de"")"),"Anschließend wird ein Werkzeug verwendet, um die verschiedenen Schrauben festzuziehen, die über den gesamten Durchmesser des inneren Kreises des Reifens laufen.")</f>
        <v>Anschließend wird ein Werkzeug verwendet, um die verschiedenen Schrauben festzuziehen, die über den gesamten Durchmesser des inneren Kreises des Reifens laufen.</v>
      </c>
    </row>
    <row r="16665">
      <c r="A16665" s="4" t="s">
        <v>20984</v>
      </c>
      <c r="B16665" s="4" t="s">
        <v>20991</v>
      </c>
      <c r="C16665" s="5" t="str">
        <f>IFERROR(__xludf.DUMMYFUNCTION("GOOGLETRANSLATE(B16665,""en"",""de"")"),"Dann benutzt er einen Drehmomentschlüssel, um die Schrauben weiter festzuziehen.")</f>
        <v>Dann benutzt er einen Drehmomentschlüssel, um die Schrauben weiter festzuziehen.</v>
      </c>
    </row>
    <row r="16666">
      <c r="A16666" s="4" t="s">
        <v>20984</v>
      </c>
      <c r="B16666" s="4" t="s">
        <v>20992</v>
      </c>
      <c r="C16666" s="5" t="str">
        <f>IFERROR(__xludf.DUMMYFUNCTION("GOOGLETRANSLATE(B16666,""en"",""de"")"),"Er füllt Luft aus und überprüft den Reifendruck.")</f>
        <v>Er füllt Luft aus und überprüft den Reifendruck.</v>
      </c>
    </row>
    <row r="16667">
      <c r="A16667" s="4" t="s">
        <v>20993</v>
      </c>
      <c r="B16667" s="4" t="s">
        <v>20994</v>
      </c>
      <c r="C16667" s="5" t="str">
        <f>IFERROR(__xludf.DUMMYFUNCTION("GOOGLETRANSLATE(B16667,""en"",""de"")"),"Eine Gruppe von Mädchen posiert für ein Bild.")</f>
        <v>Eine Gruppe von Mädchen posiert für ein Bild.</v>
      </c>
    </row>
    <row r="16668">
      <c r="A16668" s="4" t="s">
        <v>20993</v>
      </c>
      <c r="B16668" s="4" t="s">
        <v>20995</v>
      </c>
      <c r="C16668" s="5" t="str">
        <f>IFERROR(__xludf.DUMMYFUNCTION("GOOGLETRANSLATE(B16668,""en"",""de"")"),"Sie werden dann gezeigt, wie sie Volleyall auf einem Feld vor mehreren Zelten spielen.")</f>
        <v>Sie werden dann gezeigt, wie sie Volleyall auf einem Feld vor mehreren Zelten spielen.</v>
      </c>
    </row>
    <row r="16669">
      <c r="A16669" s="4" t="s">
        <v>20993</v>
      </c>
      <c r="B16669" s="4" t="s">
        <v>20996</v>
      </c>
      <c r="C16669" s="5" t="str">
        <f>IFERROR(__xludf.DUMMYFUNCTION("GOOGLETRANSLATE(B16669,""en"",""de"")"),"Sie lohen den Ball hin und her.")</f>
        <v>Sie lohen den Ball hin und her.</v>
      </c>
    </row>
    <row r="16670">
      <c r="A16670" s="4" t="s">
        <v>20993</v>
      </c>
      <c r="B16670" s="4" t="s">
        <v>20997</v>
      </c>
      <c r="C16670" s="5" t="str">
        <f>IFERROR(__xludf.DUMMYFUNCTION("GOOGLETRANSLATE(B16670,""en"",""de"")"),"Ein Junge macht eine Handgeste vor der Kamera, während er lächelt.")</f>
        <v>Ein Junge macht eine Handgeste vor der Kamera, während er lächelt.</v>
      </c>
    </row>
    <row r="16671">
      <c r="A16671" s="4" t="s">
        <v>20993</v>
      </c>
      <c r="B16671" s="4" t="s">
        <v>20998</v>
      </c>
      <c r="C16671" s="5" t="str">
        <f>IFERROR(__xludf.DUMMYFUNCTION("GOOGLETRANSLATE(B16671,""en"",""de"")"),"Wieder wird uns die Gruppe von Mädchen gezeigt, die auf dem Foto posieren.")</f>
        <v>Wieder wird uns die Gruppe von Mädchen gezeigt, die auf dem Foto posieren.</v>
      </c>
    </row>
    <row r="16672">
      <c r="A16672" s="4" t="s">
        <v>20999</v>
      </c>
      <c r="B16672" s="4" t="s">
        <v>21000</v>
      </c>
      <c r="C16672" s="5" t="str">
        <f>IFERROR(__xludf.DUMMYFUNCTION("GOOGLETRANSLATE(B16672,""en"",""de"")"),"Eine Frau spricht mit der Kamera, während er vor einem Brett steht.")</f>
        <v>Eine Frau spricht mit der Kamera, während er vor einem Brett steht.</v>
      </c>
    </row>
    <row r="16673">
      <c r="A16673" s="4" t="s">
        <v>20999</v>
      </c>
      <c r="B16673" s="4" t="s">
        <v>21001</v>
      </c>
      <c r="C16673" s="5" t="str">
        <f>IFERROR(__xludf.DUMMYFUNCTION("GOOGLETRANSLATE(B16673,""en"",""de"")"),"Sie beginnt sich auf und ab zu bewegt, während sie sich umrennt und ihren Körper bewegt.")</f>
        <v>Sie beginnt sich auf und ab zu bewegt, während sie sich umrennt und ihren Körper bewegt.</v>
      </c>
    </row>
    <row r="16674">
      <c r="A16674" s="4" t="s">
        <v>20999</v>
      </c>
      <c r="B16674" s="4" t="s">
        <v>21002</v>
      </c>
      <c r="C16674" s="5" t="str">
        <f>IFERROR(__xludf.DUMMYFUNCTION("GOOGLETRANSLATE(B16674,""en"",""de"")"),"Sie bewegt sich weiter und hält am Ende zur Kamera an.")</f>
        <v>Sie bewegt sich weiter und hält am Ende zur Kamera an.</v>
      </c>
    </row>
    <row r="16675">
      <c r="A16675" s="4" t="s">
        <v>21003</v>
      </c>
      <c r="B16675" s="4" t="s">
        <v>21004</v>
      </c>
      <c r="C16675" s="5" t="str">
        <f>IFERROR(__xludf.DUMMYFUNCTION("GOOGLETRANSLATE(B16675,""en"",""de"")"),"Wir sehen Leute, die in einem Pool Wasserball spielen.")</f>
        <v>Wir sehen Leute, die in einem Pool Wasserball spielen.</v>
      </c>
    </row>
    <row r="16676">
      <c r="A16676" s="4" t="s">
        <v>21003</v>
      </c>
      <c r="B16676" s="4" t="s">
        <v>21005</v>
      </c>
      <c r="C16676" s="5" t="str">
        <f>IFERROR(__xludf.DUMMYFUNCTION("GOOGLETRANSLATE(B16676,""en"",""de"")"),"Ein Mann auf der rechten Seite wirft den Ball einem Spieler näher am Tor.")</f>
        <v>Ein Mann auf der rechten Seite wirft den Ball einem Spieler näher am Tor.</v>
      </c>
    </row>
    <row r="16677">
      <c r="A16677" s="4" t="s">
        <v>21003</v>
      </c>
      <c r="B16677" s="4" t="s">
        <v>21006</v>
      </c>
      <c r="C16677" s="5" t="str">
        <f>IFERROR(__xludf.DUMMYFUNCTION("GOOGLETRANSLATE(B16677,""en"",""de"")"),"Dieser Spieler wirft dann den Ball zu einem Mann links.")</f>
        <v>Dieser Spieler wirft dann den Ball zu einem Mann links.</v>
      </c>
    </row>
    <row r="16678">
      <c r="A16678" s="4" t="s">
        <v>21003</v>
      </c>
      <c r="B16678" s="4" t="s">
        <v>21007</v>
      </c>
      <c r="C16678" s="5" t="str">
        <f>IFERROR(__xludf.DUMMYFUNCTION("GOOGLETRANSLATE(B16678,""en"",""de"")"),"Ein Mann packt den Ball und wirft ihn in das Tor.")</f>
        <v>Ein Mann packt den Ball und wirft ihn in das Tor.</v>
      </c>
    </row>
    <row r="16679">
      <c r="A16679" s="4" t="s">
        <v>21008</v>
      </c>
      <c r="B16679" s="4" t="s">
        <v>21009</v>
      </c>
      <c r="C16679" s="5" t="str">
        <f>IFERROR(__xludf.DUMMYFUNCTION("GOOGLETRANSLATE(B16679,""en"",""de"")"),"Ein kleiner Junge fährt auf einem Skateboard entlang, gefolgt von mehreren Aufnahmen von Menschen, die auf Brettern fahren.")</f>
        <v>Ein kleiner Junge fährt auf einem Skateboard entlang, gefolgt von mehreren Aufnahmen von Menschen, die auf Brettern fahren.</v>
      </c>
    </row>
    <row r="16680">
      <c r="A16680" s="4" t="s">
        <v>21008</v>
      </c>
      <c r="B16680" s="4" t="s">
        <v>21010</v>
      </c>
      <c r="C16680" s="5" t="str">
        <f>IFERROR(__xludf.DUMMYFUNCTION("GOOGLETRANSLATE(B16680,""en"",""de"")"),"Die Jungs führen mehrere Tricks aus, während die Kamera in den Himmel schwenkt und die Strecke auf und ab bewegt.")</f>
        <v>Die Jungs führen mehrere Tricks aus, während die Kamera in den Himmel schwenkt und die Strecke auf und ab bewegt.</v>
      </c>
    </row>
    <row r="16681">
      <c r="A16681" s="4" t="s">
        <v>21011</v>
      </c>
      <c r="B16681" s="4" t="s">
        <v>21012</v>
      </c>
      <c r="C16681" s="5" t="str">
        <f>IFERROR(__xludf.DUMMYFUNCTION("GOOGLETRANSLATE(B16681,""en"",""de"")"),"Eine Frau spielt in einem Raum einen Set Dudelsack.")</f>
        <v>Eine Frau spielt in einem Raum einen Set Dudelsack.</v>
      </c>
    </row>
    <row r="16682">
      <c r="A16682" s="4" t="s">
        <v>21011</v>
      </c>
      <c r="B16682" s="4" t="s">
        <v>21013</v>
      </c>
      <c r="C16682" s="5" t="str">
        <f>IFERROR(__xludf.DUMMYFUNCTION("GOOGLETRANSLATE(B16682,""en"",""de"")"),"Sie lacht wie ein Mann hilft ihr, die Pfeifen anzupassen und spielt weiter.")</f>
        <v>Sie lacht wie ein Mann hilft ihr, die Pfeifen anzupassen und spielt weiter.</v>
      </c>
    </row>
    <row r="16683">
      <c r="A16683" s="4" t="s">
        <v>21014</v>
      </c>
      <c r="B16683" s="4" t="s">
        <v>21015</v>
      </c>
      <c r="C16683" s="5" t="str">
        <f>IFERROR(__xludf.DUMMYFUNCTION("GOOGLETRANSLATE(B16683,""en"",""de"")"),"Ein großer schwarzer Hund geht die Straße entlang.")</f>
        <v>Ein großer schwarzer Hund geht die Straße entlang.</v>
      </c>
    </row>
    <row r="16684">
      <c r="A16684" s="4" t="s">
        <v>21014</v>
      </c>
      <c r="B16684" s="4" t="s">
        <v>21016</v>
      </c>
      <c r="C16684" s="5" t="str">
        <f>IFERROR(__xludf.DUMMYFUNCTION("GOOGLETRANSLATE(B16684,""en"",""de"")"),"Er hält die Leine eines anderen Hundes in seinem Mund.")</f>
        <v>Er hält die Leine eines anderen Hundes in seinem Mund.</v>
      </c>
    </row>
    <row r="16685">
      <c r="A16685" s="4" t="s">
        <v>21014</v>
      </c>
      <c r="B16685" s="4" t="s">
        <v>21017</v>
      </c>
      <c r="C16685" s="5" t="str">
        <f>IFERROR(__xludf.DUMMYFUNCTION("GOOGLETRANSLATE(B16685,""en"",""de"")"),"Der zweite Hund erlaubt dem ersten, ihn zu führen, wohin er geht.")</f>
        <v>Der zweite Hund erlaubt dem ersten, ihn zu führen, wohin er geht.</v>
      </c>
    </row>
    <row r="16686">
      <c r="A16686" s="4" t="s">
        <v>21018</v>
      </c>
      <c r="B16686" s="4" t="s">
        <v>21019</v>
      </c>
      <c r="C16686" s="5" t="str">
        <f>IFERROR(__xludf.DUMMYFUNCTION("GOOGLETRANSLATE(B16686,""en"",""de"")"),"Eine Frau liegt in einem Raum auf dem Boden.")</f>
        <v>Eine Frau liegt in einem Raum auf dem Boden.</v>
      </c>
    </row>
    <row r="16687">
      <c r="A16687" s="4" t="s">
        <v>21018</v>
      </c>
      <c r="B16687" s="4" t="s">
        <v>21020</v>
      </c>
      <c r="C16687" s="5" t="str">
        <f>IFERROR(__xludf.DUMMYFUNCTION("GOOGLETRANSLATE(B16687,""en"",""de"")"),"Musik beginnt zu spielen und sie steht auf und beginnt Bauch zu tanzen.")</f>
        <v>Musik beginnt zu spielen und sie steht auf und beginnt Bauch zu tanzen.</v>
      </c>
    </row>
    <row r="16688">
      <c r="A16688" s="4" t="s">
        <v>21018</v>
      </c>
      <c r="B16688" s="4" t="s">
        <v>21021</v>
      </c>
      <c r="C16688" s="5" t="str">
        <f>IFERROR(__xludf.DUMMYFUNCTION("GOOGLETRANSLATE(B16688,""en"",""de"")"),"Während sie tanzt, beobachten andere.")</f>
        <v>Während sie tanzt, beobachten andere.</v>
      </c>
    </row>
    <row r="16689">
      <c r="A16689" s="4" t="s">
        <v>21018</v>
      </c>
      <c r="B16689" s="4" t="s">
        <v>21022</v>
      </c>
      <c r="C16689" s="5" t="str">
        <f>IFERROR(__xludf.DUMMYFUNCTION("GOOGLETRANSLATE(B16689,""en"",""de"")"),"Im Hintergrund umarmt ein Kind eine Frau, während es weiterzusehen.")</f>
        <v>Im Hintergrund umarmt ein Kind eine Frau, während es weiterzusehen.</v>
      </c>
    </row>
    <row r="16690">
      <c r="A16690" s="4" t="s">
        <v>21018</v>
      </c>
      <c r="B16690" s="4" t="s">
        <v>21023</v>
      </c>
      <c r="C16690" s="5" t="str">
        <f>IFERROR(__xludf.DUMMYFUNCTION("GOOGLETRANSLATE(B16690,""en"",""de"")"),"Die Musik hört auf und der Tänzer geht von der Bühne.")</f>
        <v>Die Musik hört auf und der Tänzer geht von der Bühne.</v>
      </c>
    </row>
    <row r="16691">
      <c r="A16691" s="4" t="s">
        <v>21024</v>
      </c>
      <c r="B16691" s="4" t="s">
        <v>21025</v>
      </c>
      <c r="C16691" s="5" t="str">
        <f>IFERROR(__xludf.DUMMYFUNCTION("GOOGLETRANSLATE(B16691,""en"",""de"")"),"Eine junge Frau sitzt einen Stuhl, der extrem still still ist, da eine Schere auf der Nase aufgestellt wird.")</f>
        <v>Eine junge Frau sitzt einen Stuhl, der extrem still still ist, da eine Schere auf der Nase aufgestellt wird.</v>
      </c>
    </row>
    <row r="16692">
      <c r="A16692" s="4" t="s">
        <v>21024</v>
      </c>
      <c r="B16692" s="4" t="s">
        <v>21026</v>
      </c>
      <c r="C16692" s="5" t="str">
        <f>IFERROR(__xludf.DUMMYFUNCTION("GOOGLETRANSLATE(B16692,""en"",""de"")"),"Die Person, die ihr Septum durchbohrt, hält es weiterhin und greift mit der anderen Hand die Nadel.")</f>
        <v>Die Person, die ihr Septum durchbohrt, hält es weiterhin und greift mit der anderen Hand die Nadel.</v>
      </c>
    </row>
    <row r="16693">
      <c r="A16693" s="4" t="s">
        <v>21024</v>
      </c>
      <c r="B16693" s="4" t="s">
        <v>21027</v>
      </c>
      <c r="C16693" s="5" t="str">
        <f>IFERROR(__xludf.DUMMYFUNCTION("GOOGLETRANSLATE(B16693,""en"",""de"")"),"Sobald er es durchbohrt, fliegt ein Tropfen Rotz von ihrer Nase und das Mädchen beginnt zu reden, bis die Bälle am Ende des Rings sind.")</f>
        <v>Sobald er es durchbohrt, fliegt ein Tropfen Rotz von ihrer Nase und das Mädchen beginnt zu reden, bis die Bälle am Ende des Rings sind.</v>
      </c>
    </row>
    <row r="16694">
      <c r="A16694" s="4" t="s">
        <v>21028</v>
      </c>
      <c r="B16694" s="4" t="s">
        <v>21029</v>
      </c>
      <c r="C16694" s="5" t="str">
        <f>IFERROR(__xludf.DUMMYFUNCTION("GOOGLETRANSLATE(B16694,""en"",""de"")"),"Ein Mann tritt auf ein Tauchbrett und springt.")</f>
        <v>Ein Mann tritt auf ein Tauchbrett und springt.</v>
      </c>
    </row>
    <row r="16695">
      <c r="A16695" s="4" t="s">
        <v>21028</v>
      </c>
      <c r="B16695" s="4" t="s">
        <v>21030</v>
      </c>
      <c r="C16695" s="5" t="str">
        <f>IFERROR(__xludf.DUMMYFUNCTION("GOOGLETRANSLATE(B16695,""en"",""de"")"),"Dann dreht der Mann dreimal um und tauche im Pool ein.")</f>
        <v>Dann dreht der Mann dreimal um und tauche im Pool ein.</v>
      </c>
    </row>
    <row r="16696">
      <c r="A16696" s="4" t="s">
        <v>21031</v>
      </c>
      <c r="B16696" s="4" t="s">
        <v>21032</v>
      </c>
      <c r="C16696" s="5" t="str">
        <f>IFERROR(__xludf.DUMMYFUNCTION("GOOGLETRANSLATE(B16696,""en"",""de"")"),"Eine Pinata hängt von der Decke.")</f>
        <v>Eine Pinata hängt von der Decke.</v>
      </c>
    </row>
    <row r="16697">
      <c r="A16697" s="4" t="s">
        <v>21031</v>
      </c>
      <c r="B16697" s="4" t="s">
        <v>21033</v>
      </c>
      <c r="C16697" s="5" t="str">
        <f>IFERROR(__xludf.DUMMYFUNCTION("GOOGLETRANSLATE(B16697,""en"",""de"")"),"Ein Junge schlägt die Pinata mit einem Stock.")</f>
        <v>Ein Junge schlägt die Pinata mit einem Stock.</v>
      </c>
    </row>
    <row r="16698">
      <c r="A16698" s="4" t="s">
        <v>21031</v>
      </c>
      <c r="B16698" s="4" t="s">
        <v>21034</v>
      </c>
      <c r="C16698" s="5" t="str">
        <f>IFERROR(__xludf.DUMMYFUNCTION("GOOGLETRANSLATE(B16698,""en"",""de"")"),"Die Leute stehen hinter ihm und beobachten.")</f>
        <v>Die Leute stehen hinter ihm und beobachten.</v>
      </c>
    </row>
    <row r="16699">
      <c r="A16699" s="4" t="s">
        <v>21035</v>
      </c>
      <c r="B16699" s="4" t="s">
        <v>21036</v>
      </c>
      <c r="C16699" s="5" t="str">
        <f>IFERROR(__xludf.DUMMYFUNCTION("GOOGLETRANSLATE(B16699,""en"",""de"")"),"Ein Arbeiter entfernt Moos von der Oberseite eines Daches.")</f>
        <v>Ein Arbeiter entfernt Moos von der Oberseite eines Daches.</v>
      </c>
    </row>
    <row r="16700">
      <c r="A16700" s="4" t="s">
        <v>21035</v>
      </c>
      <c r="B16700" s="4" t="s">
        <v>21037</v>
      </c>
      <c r="C16700" s="5" t="str">
        <f>IFERROR(__xludf.DUMMYFUNCTION("GOOGLETRANSLATE(B16700,""en"",""de"")"),"Ein anderer Arbeiter spricht Wasser über das Dach.")</f>
        <v>Ein anderer Arbeiter spricht Wasser über das Dach.</v>
      </c>
    </row>
    <row r="16701">
      <c r="A16701" s="4" t="s">
        <v>21035</v>
      </c>
      <c r="B16701" s="4" t="s">
        <v>21038</v>
      </c>
      <c r="C16701" s="5" t="str">
        <f>IFERROR(__xludf.DUMMYFUNCTION("GOOGLETRANSLATE(B16701,""en"",""de"")"),"Das Dach ist dann wirklich sauber.")</f>
        <v>Das Dach ist dann wirklich sauber.</v>
      </c>
    </row>
    <row r="16702">
      <c r="A16702" s="4" t="s">
        <v>21039</v>
      </c>
      <c r="B16702" s="4" t="s">
        <v>21040</v>
      </c>
      <c r="C16702" s="5" t="str">
        <f>IFERROR(__xludf.DUMMYFUNCTION("GOOGLETRANSLATE(B16702,""en"",""de"")"),"Zwei Männer werden voreinander knien und beginnen sich gegenseitig zu ringen.")</f>
        <v>Zwei Männer werden voreinander knien und beginnen sich gegenseitig zu ringen.</v>
      </c>
    </row>
    <row r="16703">
      <c r="A16703" s="4" t="s">
        <v>21039</v>
      </c>
      <c r="B16703" s="4" t="s">
        <v>21041</v>
      </c>
      <c r="C16703" s="5" t="str">
        <f>IFERROR(__xludf.DUMMYFUNCTION("GOOGLETRANSLATE(B16703,""en"",""de"")"),"Eine große Gruppe von Menschen sieht nebenbei eine große Gruppe gesehen, während die Männer kämpfen.")</f>
        <v>Eine große Gruppe von Menschen sieht nebenbei eine große Gruppe gesehen, während die Männer kämpfen.</v>
      </c>
    </row>
    <row r="16704">
      <c r="A16704" s="4" t="s">
        <v>21039</v>
      </c>
      <c r="B16704" s="4" t="s">
        <v>21042</v>
      </c>
      <c r="C16704" s="5" t="str">
        <f>IFERROR(__xludf.DUMMYFUNCTION("GOOGLETRANSLATE(B16704,""en"",""de"")"),"Die Männer kämpfen weiter mit einem, der den anderen in den Ring drückt.")</f>
        <v>Die Männer kämpfen weiter mit einem, der den anderen in den Ring drückt.</v>
      </c>
    </row>
    <row r="16705">
      <c r="A16705" s="4" t="s">
        <v>21043</v>
      </c>
      <c r="B16705" s="4" t="s">
        <v>21044</v>
      </c>
      <c r="C16705" s="5" t="str">
        <f>IFERROR(__xludf.DUMMYFUNCTION("GOOGLETRANSLATE(B16705,""en"",""de"")"),"Zwei Männer sind in Zaunausrüstung gekleidet.")</f>
        <v>Zwei Männer sind in Zaunausrüstung gekleidet.</v>
      </c>
    </row>
    <row r="16706">
      <c r="A16706" s="4" t="s">
        <v>21043</v>
      </c>
      <c r="B16706" s="4" t="s">
        <v>21045</v>
      </c>
      <c r="C16706" s="5" t="str">
        <f>IFERROR(__xludf.DUMMYFUNCTION("GOOGLETRANSLATE(B16706,""en"",""de"")"),"Sie kämpfen mit ihren Schwertern auf einem Gericht.")</f>
        <v>Sie kämpfen mit ihren Schwertern auf einem Gericht.</v>
      </c>
    </row>
    <row r="16707">
      <c r="A16707" s="4" t="s">
        <v>21043</v>
      </c>
      <c r="B16707" s="4" t="s">
        <v>21046</v>
      </c>
      <c r="C16707" s="5" t="str">
        <f>IFERROR(__xludf.DUMMYFUNCTION("GOOGLETRANSLATE(B16707,""en"",""de"")"),"Grüne Linien geben gelegentlich die Bewegungen an, die sie machen.")</f>
        <v>Grüne Linien geben gelegentlich die Bewegungen an, die sie machen.</v>
      </c>
    </row>
    <row r="16708">
      <c r="A16708" s="4" t="s">
        <v>21043</v>
      </c>
      <c r="B16708" s="4" t="s">
        <v>21047</v>
      </c>
      <c r="C16708" s="5" t="str">
        <f>IFERROR(__xludf.DUMMYFUNCTION("GOOGLETRANSLATE(B16708,""en"",""de"")"),"Sie stechen mit den Schwertern an und springen über die Bühne.")</f>
        <v>Sie stechen mit den Schwertern an und springen über die Bühne.</v>
      </c>
    </row>
    <row r="16709">
      <c r="A16709" s="4" t="s">
        <v>21048</v>
      </c>
      <c r="B16709" s="4" t="s">
        <v>21049</v>
      </c>
      <c r="C16709" s="5" t="str">
        <f>IFERROR(__xludf.DUMMYFUNCTION("GOOGLETRANSLATE(B16709,""en"",""de"")"),"Eine Person legte Objekte in einen Kürbis auf einen Schreibtisch, während sie hineinschauten.")</f>
        <v>Eine Person legte Objekte in einen Kürbis auf einen Schreibtisch, während sie hineinschauten.</v>
      </c>
    </row>
    <row r="16710">
      <c r="A16710" s="4" t="s">
        <v>21048</v>
      </c>
      <c r="B16710" s="4" t="s">
        <v>21050</v>
      </c>
      <c r="C16710" s="5" t="str">
        <f>IFERROR(__xludf.DUMMYFUNCTION("GOOGLETRANSLATE(B16710,""en"",""de"")"),"Wenn der Mann weggeht, bläst der Kürbis und schaltet ein Licht ein, um einen Mund und zwei Augen zu sehen.")</f>
        <v>Wenn der Mann weggeht, bläst der Kürbis und schaltet ein Licht ein, um einen Mund und zwei Augen zu sehen.</v>
      </c>
    </row>
    <row r="16711">
      <c r="A16711" s="4" t="s">
        <v>21051</v>
      </c>
      <c r="B16711" s="4" t="s">
        <v>21052</v>
      </c>
      <c r="C16711" s="5" t="str">
        <f>IFERROR(__xludf.DUMMYFUNCTION("GOOGLETRANSLATE(B16711,""en"",""de"")"),"Eine Gruppe von Menschen fährt die Seite eines Berges hinunter.")</f>
        <v>Eine Gruppe von Menschen fährt die Seite eines Berges hinunter.</v>
      </c>
    </row>
    <row r="16712">
      <c r="A16712" s="4" t="s">
        <v>21051</v>
      </c>
      <c r="B16712" s="4" t="s">
        <v>21053</v>
      </c>
      <c r="C16712" s="5" t="str">
        <f>IFERROR(__xludf.DUMMYFUNCTION("GOOGLETRANSLATE(B16712,""en"",""de"")"),"Eine Gruppe von Elch ist zwischen den Szenen von Aufzügen und Hubschraubern.")</f>
        <v>Eine Gruppe von Elch ist zwischen den Szenen von Aufzügen und Hubschraubern.</v>
      </c>
    </row>
    <row r="16713">
      <c r="A16713" s="4" t="s">
        <v>21051</v>
      </c>
      <c r="B16713" s="4" t="s">
        <v>21054</v>
      </c>
      <c r="C16713" s="5" t="str">
        <f>IFERROR(__xludf.DUMMYFUNCTION("GOOGLETRANSLATE(B16713,""en"",""de"")"),"Die Menschen geben sich gegenseitig hohe Fünfer, wenn sie Ski fahren.")</f>
        <v>Die Menschen geben sich gegenseitig hohe Fünfer, wenn sie Ski fahren.</v>
      </c>
    </row>
    <row r="16714">
      <c r="A16714" s="4" t="s">
        <v>21055</v>
      </c>
      <c r="B16714" s="4" t="s">
        <v>21056</v>
      </c>
      <c r="C16714" s="5" t="str">
        <f>IFERROR(__xludf.DUMMYFUNCTION("GOOGLETRANSLATE(B16714,""en"",""de"")"),"Der Mann steckt zuerst in den blauen Mop -Eimer und beginnt zu wischen.")</f>
        <v>Der Mann steckt zuerst in den blauen Mop -Eimer und beginnt zu wischen.</v>
      </c>
    </row>
    <row r="16715">
      <c r="A16715" s="4" t="s">
        <v>21055</v>
      </c>
      <c r="B16715" s="4" t="s">
        <v>21057</v>
      </c>
      <c r="C16715" s="5" t="str">
        <f>IFERROR(__xludf.DUMMYFUNCTION("GOOGLETRANSLATE(B16715,""en"",""de"")"),"Zuerst mops er in der Nähe des Herdes und der Theke.")</f>
        <v>Zuerst mops er in der Nähe des Herdes und der Theke.</v>
      </c>
    </row>
    <row r="16716">
      <c r="A16716" s="4" t="s">
        <v>21055</v>
      </c>
      <c r="B16716" s="4" t="s">
        <v>21058</v>
      </c>
      <c r="C16716" s="5" t="str">
        <f>IFERROR(__xludf.DUMMYFUNCTION("GOOGLETRANSLATE(B16716,""en"",""de"")"),"Dann macht er auf dem Boden, der zwischen dem Kühlschrank und einem anderen Zähler.")</f>
        <v>Dann macht er auf dem Boden, der zwischen dem Kühlschrank und einem anderen Zähler.</v>
      </c>
    </row>
    <row r="16717">
      <c r="A16717" s="4" t="s">
        <v>21055</v>
      </c>
      <c r="B16717" s="4" t="s">
        <v>21059</v>
      </c>
      <c r="C16717" s="5" t="str">
        <f>IFERROR(__xludf.DUMMYFUNCTION("GOOGLETRANSLATE(B16717,""en"",""de"")"),"Dann mops er in die Mitte des Küchenbodens.")</f>
        <v>Dann mops er in die Mitte des Küchenbodens.</v>
      </c>
    </row>
    <row r="16718">
      <c r="A16718" s="4" t="s">
        <v>21060</v>
      </c>
      <c r="B16718" s="4" t="s">
        <v>21061</v>
      </c>
      <c r="C16718" s="5" t="str">
        <f>IFERROR(__xludf.DUMMYFUNCTION("GOOGLETRANSLATE(B16718,""en"",""de"")"),"Wir sehen eine Aufnahme einer Leichtathletik -Arena.")</f>
        <v>Wir sehen eine Aufnahme einer Leichtathletik -Arena.</v>
      </c>
    </row>
    <row r="16719">
      <c r="A16719" s="4" t="s">
        <v>21060</v>
      </c>
      <c r="B16719" s="4" t="s">
        <v>21062</v>
      </c>
      <c r="C16719" s="5" t="str">
        <f>IFERROR(__xludf.DUMMYFUNCTION("GOOGLETRANSLATE(B16719,""en"",""de"")"),"Eine Dame in einem blauen Hemd aus Usbekistan rennt und führt einen Hochsprung durch und wir sehen ihre Punktzahl.")</f>
        <v>Eine Dame in einem blauen Hemd aus Usbekistan rennt und führt einen Hochsprung durch und wir sehen ihre Punktzahl.</v>
      </c>
    </row>
    <row r="16720">
      <c r="A16720" s="4" t="s">
        <v>21060</v>
      </c>
      <c r="B16720" s="4" t="s">
        <v>21063</v>
      </c>
      <c r="C16720" s="5" t="str">
        <f>IFERROR(__xludf.DUMMYFUNCTION("GOOGLETRANSLATE(B16720,""en"",""de"")"),"Wir sehen eine Frau aus China rennen und spielen einen Hochsprung und sehen ihre Punktzahl und wir sehen ihren Manager und eine Zeitlupe.")</f>
        <v>Wir sehen eine Frau aus China rennen und spielen einen Hochsprung und sehen ihre Punktzahl und wir sehen ihren Manager und eine Zeitlupe.</v>
      </c>
    </row>
    <row r="16721">
      <c r="A16721" s="4" t="s">
        <v>21060</v>
      </c>
      <c r="B16721" s="4" t="s">
        <v>21064</v>
      </c>
      <c r="C16721" s="5" t="str">
        <f>IFERROR(__xludf.DUMMYFUNCTION("GOOGLETRANSLATE(B16721,""en"",""de"")"),"Eine andere Dame als Usbekistan führt einen Hochsprung durch und wir sehen ihre Punktzahl.")</f>
        <v>Eine andere Dame als Usbekistan führt einen Hochsprung durch und wir sehen ihre Punktzahl.</v>
      </c>
    </row>
    <row r="16722">
      <c r="A16722" s="4" t="s">
        <v>21060</v>
      </c>
      <c r="B16722" s="4" t="s">
        <v>21065</v>
      </c>
      <c r="C16722" s="5" t="str">
        <f>IFERROR(__xludf.DUMMYFUNCTION("GOOGLETRANSLATE(B16722,""en"",""de"")"),"Die First Lady tritt wieder auf und schlägt die Bar um und sieht enttäuscht aus.")</f>
        <v>Die First Lady tritt wieder auf und schlägt die Bar um und sieht enttäuscht aus.</v>
      </c>
    </row>
    <row r="16723">
      <c r="A16723" s="4" t="s">
        <v>21060</v>
      </c>
      <c r="B16723" s="4" t="s">
        <v>21066</v>
      </c>
      <c r="C16723" s="5" t="str">
        <f>IFERROR(__xludf.DUMMYFUNCTION("GOOGLETRANSLATE(B16723,""en"",""de"")"),"Die Dame aus China hat eine zweite Runde und klopft auch über die Bar und sieht verrückt aus.")</f>
        <v>Die Dame aus China hat eine zweite Runde und klopft auch über die Bar und sieht verrückt aus.</v>
      </c>
    </row>
    <row r="16724">
      <c r="A16724" s="4" t="s">
        <v>21060</v>
      </c>
      <c r="B16724" s="4" t="s">
        <v>21067</v>
      </c>
      <c r="C16724" s="5" t="str">
        <f>IFERROR(__xludf.DUMMYFUNCTION("GOOGLETRANSLATE(B16724,""en"",""de"")"),"Die zweite Dame aus Usbekistan spielt und räumt die Messlatte und weint fast.")</f>
        <v>Die zweite Dame aus Usbekistan spielt und räumt die Messlatte und weint fast.</v>
      </c>
    </row>
    <row r="16725">
      <c r="A16725" s="4" t="s">
        <v>21060</v>
      </c>
      <c r="B16725" s="4" t="s">
        <v>21068</v>
      </c>
      <c r="C16725" s="5" t="str">
        <f>IFERROR(__xludf.DUMMYFUNCTION("GOOGLETRANSLATE(B16725,""en"",""de"")"),"Wir sehen die Arena und die Anzeigetafel auf dem Bildschirm.")</f>
        <v>Wir sehen die Arena und die Anzeigetafel auf dem Bildschirm.</v>
      </c>
    </row>
    <row r="16726">
      <c r="A16726" s="4" t="s">
        <v>21069</v>
      </c>
      <c r="B16726" s="4" t="s">
        <v>21070</v>
      </c>
      <c r="C16726" s="5" t="str">
        <f>IFERROR(__xludf.DUMMYFUNCTION("GOOGLETRANSLATE(B16726,""en"",""de"")"),"Es werden mehrere Clips gezeigt, die auf Skateboards in einem Park herumfahren, während sie zurückblicken und zur Kamera lächeln.")</f>
        <v>Es werden mehrere Clips gezeigt, die auf Skateboards in einem Park herumfahren, während sie zurückblicken und zur Kamera lächeln.</v>
      </c>
    </row>
    <row r="16727">
      <c r="A16727" s="4" t="s">
        <v>21069</v>
      </c>
      <c r="B16727" s="4" t="s">
        <v>21071</v>
      </c>
      <c r="C16727" s="5" t="str">
        <f>IFERROR(__xludf.DUMMYFUNCTION("GOOGLETRANSLATE(B16727,""en"",""de"")"),"Das Video setzt sich mit vielen weiteren Aufnahmen von Leuten fort, die Schleifen und Tricks auf ihren Skateboards durchführen und mit der Kamera sprechen.")</f>
        <v>Das Video setzt sich mit vielen weiteren Aufnahmen von Leuten fort, die Schleifen und Tricks auf ihren Skateboards durchführen und mit der Kamera sprechen.</v>
      </c>
    </row>
    <row r="16728">
      <c r="A16728" s="4" t="s">
        <v>21069</v>
      </c>
      <c r="B16728" s="4" t="s">
        <v>21072</v>
      </c>
      <c r="C16728" s="5" t="str">
        <f>IFERROR(__xludf.DUMMYFUNCTION("GOOGLETRANSLATE(B16728,""en"",""de"")"),"Am Ende fahren sie zusammen in einem Auto herum und lachen miteinander.")</f>
        <v>Am Ende fahren sie zusammen in einem Auto herum und lachen miteinander.</v>
      </c>
    </row>
    <row r="16729">
      <c r="A16729" s="4" t="s">
        <v>21073</v>
      </c>
      <c r="B16729" s="4" t="s">
        <v>21074</v>
      </c>
      <c r="C16729" s="5" t="str">
        <f>IFERROR(__xludf.DUMMYFUNCTION("GOOGLETRANSLATE(B16729,""en"",""de"")"),"Eine Gruppe von Männern und Frauen macht ein Sprungseil für aerobische Übungen.")</f>
        <v>Eine Gruppe von Männern und Frauen macht ein Sprungseil für aerobische Übungen.</v>
      </c>
    </row>
    <row r="16730">
      <c r="A16730" s="4" t="s">
        <v>21073</v>
      </c>
      <c r="B16730" s="4" t="s">
        <v>21075</v>
      </c>
      <c r="C16730" s="5" t="str">
        <f>IFERROR(__xludf.DUMMYFUNCTION("GOOGLETRANSLATE(B16730,""en"",""de"")"),"Sie rennen in einem Kreis und springen, während sie rennen.")</f>
        <v>Sie rennen in einem Kreis und springen, während sie rennen.</v>
      </c>
    </row>
    <row r="16731">
      <c r="A16731" s="4" t="s">
        <v>21073</v>
      </c>
      <c r="B16731" s="4" t="s">
        <v>21076</v>
      </c>
      <c r="C16731" s="5" t="str">
        <f>IFERROR(__xludf.DUMMYFUNCTION("GOOGLETRANSLATE(B16731,""en"",""de"")"),"Sie legen dann Matten aus und machen mehrere Yoga -Kühlbewegungen.")</f>
        <v>Sie legen dann Matten aus und machen mehrere Yoga -Kühlbewegungen.</v>
      </c>
    </row>
    <row r="16732">
      <c r="A16732" s="4" t="s">
        <v>21077</v>
      </c>
      <c r="B16732" s="4" t="s">
        <v>21078</v>
      </c>
      <c r="C16732" s="5" t="str">
        <f>IFERROR(__xludf.DUMMYFUNCTION("GOOGLETRANSLATE(B16732,""en"",""de"")"),"Wir sehen einen Mann und eine Frau betreten einen Barraum in Kostümen.")</f>
        <v>Wir sehen einen Mann und eine Frau betreten einen Barraum in Kostümen.</v>
      </c>
    </row>
    <row r="16733">
      <c r="A16733" s="4" t="s">
        <v>21077</v>
      </c>
      <c r="B16733" s="4" t="s">
        <v>21079</v>
      </c>
      <c r="C16733" s="5" t="str">
        <f>IFERROR(__xludf.DUMMYFUNCTION("GOOGLETRANSLATE(B16733,""en"",""de"")"),"Der Mann und die Frau führen einen Tanz aus.")</f>
        <v>Der Mann und die Frau führen einen Tanz aus.</v>
      </c>
    </row>
    <row r="16734">
      <c r="A16734" s="4" t="s">
        <v>21077</v>
      </c>
      <c r="B16734" s="4" t="s">
        <v>21080</v>
      </c>
      <c r="C16734" s="5" t="str">
        <f>IFERROR(__xludf.DUMMYFUNCTION("GOOGLETRANSLATE(B16734,""en"",""de"")"),"Der Mann dreht die Frau und schwingt sie herum.")</f>
        <v>Der Mann dreht die Frau und schwingt sie herum.</v>
      </c>
    </row>
    <row r="16735">
      <c r="A16735" s="4" t="s">
        <v>21077</v>
      </c>
      <c r="B16735" s="4" t="s">
        <v>21081</v>
      </c>
      <c r="C16735" s="5" t="str">
        <f>IFERROR(__xludf.DUMMYFUNCTION("GOOGLETRANSLATE(B16735,""en"",""de"")"),"Der Mann nimmt die Frau auf und legt sie auf seine Schultern.")</f>
        <v>Der Mann nimmt die Frau auf und legt sie auf seine Schultern.</v>
      </c>
    </row>
    <row r="16736">
      <c r="A16736" s="4" t="s">
        <v>21077</v>
      </c>
      <c r="B16736" s="4" t="s">
        <v>21082</v>
      </c>
      <c r="C16736" s="5" t="str">
        <f>IFERROR(__xludf.DUMMYFUNCTION("GOOGLETRANSLATE(B16736,""en"",""de"")"),"Dann schaltet er sie auf den Boden ab.")</f>
        <v>Dann schaltet er sie auf den Boden ab.</v>
      </c>
    </row>
    <row r="16737">
      <c r="A16737" s="4" t="s">
        <v>21077</v>
      </c>
      <c r="B16737" s="4" t="s">
        <v>21083</v>
      </c>
      <c r="C16737" s="5" t="str">
        <f>IFERROR(__xludf.DUMMYFUNCTION("GOOGLETRANSLATE(B16737,""en"",""de"")"),"Der Mann legt die Dame auf seine Schulter und dreht sie zweimal um.")</f>
        <v>Der Mann legt die Dame auf seine Schulter und dreht sie zweimal um.</v>
      </c>
    </row>
    <row r="16738">
      <c r="A16738" s="4" t="s">
        <v>21077</v>
      </c>
      <c r="B16738" s="4" t="s">
        <v>21084</v>
      </c>
      <c r="C16738" s="5" t="str">
        <f>IFERROR(__xludf.DUMMYFUNCTION("GOOGLETRANSLATE(B16738,""en"",""de"")"),"Der Mann dreht die Dame um und herum und taucht die Dame ab.")</f>
        <v>Der Mann dreht die Dame um und herum und taucht die Dame ab.</v>
      </c>
    </row>
    <row r="16739">
      <c r="A16739" s="4" t="s">
        <v>21077</v>
      </c>
      <c r="B16739" s="4" t="s">
        <v>21085</v>
      </c>
      <c r="C16739" s="5" t="str">
        <f>IFERROR(__xludf.DUMMYFUNCTION("GOOGLETRANSLATE(B16739,""en"",""de"")"),"Die Menge klatscht für die Menschen.")</f>
        <v>Die Menge klatscht für die Menschen.</v>
      </c>
    </row>
    <row r="16740">
      <c r="A16740" s="4" t="s">
        <v>21077</v>
      </c>
      <c r="B16740" s="4" t="s">
        <v>21086</v>
      </c>
      <c r="C16740" s="5" t="str">
        <f>IFERROR(__xludf.DUMMYFUNCTION("GOOGLETRANSLATE(B16740,""en"",""de"")"),"Der Mann dreht die Dame herum.")</f>
        <v>Der Mann dreht die Dame herum.</v>
      </c>
    </row>
    <row r="16741">
      <c r="A16741" s="4" t="s">
        <v>21077</v>
      </c>
      <c r="B16741" s="4" t="s">
        <v>21087</v>
      </c>
      <c r="C16741" s="5" t="str">
        <f>IFERROR(__xludf.DUMMYFUNCTION("GOOGLETRANSLATE(B16741,""en"",""de"")"),"Die Tänze beenden und nehmen ihre Bögen und schütteln die Hand.")</f>
        <v>Die Tänze beenden und nehmen ihre Bögen und schütteln die Hand.</v>
      </c>
    </row>
    <row r="16742">
      <c r="A16742" s="4" t="s">
        <v>21088</v>
      </c>
      <c r="B16742" s="4" t="s">
        <v>21089</v>
      </c>
      <c r="C16742" s="5" t="str">
        <f>IFERROR(__xludf.DUMMYFUNCTION("GOOGLETRANSLATE(B16742,""en"",""de"")"),"Mehrere Männer spielen Tischfußball, während ein Publikum weitergeht.")</f>
        <v>Mehrere Männer spielen Tischfußball, während ein Publikum weitergeht.</v>
      </c>
    </row>
    <row r="16743">
      <c r="A16743" s="4" t="s">
        <v>21088</v>
      </c>
      <c r="B16743" s="4" t="s">
        <v>21090</v>
      </c>
      <c r="C16743" s="5" t="str">
        <f>IFERROR(__xludf.DUMMYFUNCTION("GOOGLETRANSLATE(B16743,""en"",""de"")"),"Eine kahle Person ruft den Ball ab und verwandelt ihn wieder ins Spiel.")</f>
        <v>Eine kahle Person ruft den Ball ab und verwandelt ihn wieder ins Spiel.</v>
      </c>
    </row>
    <row r="16744">
      <c r="A16744" s="4" t="s">
        <v>21088</v>
      </c>
      <c r="B16744" s="4" t="s">
        <v>21091</v>
      </c>
      <c r="C16744" s="5" t="str">
        <f>IFERROR(__xludf.DUMMYFUNCTION("GOOGLETRANSLATE(B16744,""en"",""de"")"),"Die kahlköpfige Person greift aus irgendeinem Grund nach dem Tisch.")</f>
        <v>Die kahlköpfige Person greift aus irgendeinem Grund nach dem Tisch.</v>
      </c>
    </row>
    <row r="16745">
      <c r="A16745" s="4" t="s">
        <v>21088</v>
      </c>
      <c r="B16745" s="4" t="s">
        <v>21092</v>
      </c>
      <c r="C16745" s="5" t="str">
        <f>IFERROR(__xludf.DUMMYFUNCTION("GOOGLETRANSLATE(B16745,""en"",""de"")"),"Die kahlköpfige Person ruft den Ball ab und verwandelt ihn wieder ins Spiel.")</f>
        <v>Die kahlköpfige Person ruft den Ball ab und verwandelt ihn wieder ins Spiel.</v>
      </c>
    </row>
    <row r="16746">
      <c r="A16746" s="4" t="s">
        <v>21088</v>
      </c>
      <c r="B16746" s="4" t="s">
        <v>21093</v>
      </c>
      <c r="C16746" s="5" t="str">
        <f>IFERROR(__xludf.DUMMYFUNCTION("GOOGLETRANSLATE(B16746,""en"",""de"")"),"Die Spieler schütteln die Hand, wenn das Match endet.")</f>
        <v>Die Spieler schütteln die Hand, wenn das Match endet.</v>
      </c>
    </row>
    <row r="16747">
      <c r="A16747" s="4" t="s">
        <v>21094</v>
      </c>
      <c r="B16747" s="4" t="s">
        <v>21095</v>
      </c>
      <c r="C16747" s="5" t="str">
        <f>IFERROR(__xludf.DUMMYFUNCTION("GOOGLETRANSLATE(B16747,""en"",""de"")"),"Ein Mann spricht mit der Kamera und führt in Clips, in denen er Schmutz bewegt.")</f>
        <v>Ein Mann spricht mit der Kamera und führt in Clips, in denen er Schmutz bewegt.</v>
      </c>
    </row>
    <row r="16748">
      <c r="A16748" s="4" t="s">
        <v>21094</v>
      </c>
      <c r="B16748" s="4" t="s">
        <v>21096</v>
      </c>
      <c r="C16748" s="5" t="str">
        <f>IFERROR(__xludf.DUMMYFUNCTION("GOOGLETRANSLATE(B16748,""en"",""de"")"),"Andere Männer helfen dabei, die Bereiche zu pflanzen, während sie sich um Radkarren und Pflanzen bewegten, während sie immer noch mit der Kamera sprechen.")</f>
        <v>Andere Männer helfen dabei, die Bereiche zu pflanzen, während sie sich um Radkarren und Pflanzen bewegten, während sie immer noch mit der Kamera sprechen.</v>
      </c>
    </row>
    <row r="16749">
      <c r="A16749" s="4" t="s">
        <v>21097</v>
      </c>
      <c r="B16749" s="4" t="s">
        <v>21098</v>
      </c>
      <c r="C16749" s="5" t="str">
        <f>IFERROR(__xludf.DUMMYFUNCTION("GOOGLETRANSLATE(B16749,""en"",""de"")"),"Ein Mann wirft jedes Mal eine Bowlingkugeln und wirft alle Stifte.")</f>
        <v>Ein Mann wirft jedes Mal eine Bowlingkugeln und wirft alle Stifte.</v>
      </c>
    </row>
    <row r="16750">
      <c r="A16750" s="4" t="s">
        <v>21097</v>
      </c>
      <c r="B16750" s="4" t="s">
        <v>21099</v>
      </c>
      <c r="C16750" s="5" t="str">
        <f>IFERROR(__xludf.DUMMYFUNCTION("GOOGLETRANSLATE(B16750,""en"",""de"")"),"Dann spielt der Mann erfolgreich Bowling.")</f>
        <v>Dann spielt der Mann erfolgreich Bowling.</v>
      </c>
    </row>
    <row r="16751">
      <c r="A16751" s="4" t="s">
        <v>21097</v>
      </c>
      <c r="B16751" s="4" t="s">
        <v>21100</v>
      </c>
      <c r="C16751" s="5" t="str">
        <f>IFERROR(__xludf.DUMMYFUNCTION("GOOGLETRANSLATE(B16751,""en"",""de"")"),"Der Mann vermisst einen Stift im letzten Stück.")</f>
        <v>Der Mann vermisst einen Stift im letzten Stück.</v>
      </c>
    </row>
    <row r="16752">
      <c r="A16752" s="4" t="s">
        <v>21101</v>
      </c>
      <c r="B16752" s="4" t="s">
        <v>21102</v>
      </c>
      <c r="C16752" s="5" t="str">
        <f>IFERROR(__xludf.DUMMYFUNCTION("GOOGLETRANSLATE(B16752,""en"",""de"")"),"A ruht sich unter einem Auto an, aber es hebt es nicht vom Boden.")</f>
        <v>A ruht sich unter einem Auto an, aber es hebt es nicht vom Boden.</v>
      </c>
    </row>
    <row r="16753">
      <c r="A16753" s="4" t="s">
        <v>21101</v>
      </c>
      <c r="B16753" s="4" t="s">
        <v>21103</v>
      </c>
      <c r="C16753" s="5" t="str">
        <f>IFERROR(__xludf.DUMMYFUNCTION("GOOGLETRANSLATE(B16753,""en"",""de"")"),"Ein Mann benutzt eine elektrische Bohrmaschine, um den Bodenbuchsen zu wickeln und den Autoreifen vom Boden abzuheben.")</f>
        <v>Ein Mann benutzt eine elektrische Bohrmaschine, um den Bodenbuchsen zu wickeln und den Autoreifen vom Boden abzuheben.</v>
      </c>
    </row>
    <row r="16754">
      <c r="A16754" s="4" t="s">
        <v>21101</v>
      </c>
      <c r="B16754" s="4" t="s">
        <v>21104</v>
      </c>
      <c r="C16754" s="5" t="str">
        <f>IFERROR(__xludf.DUMMYFUNCTION("GOOGLETRANSLATE(B16754,""en"",""de"")"),"Der Mann benutzt die elektrische Bohrmaschine, um den Boden zurück und senkt das Auto.")</f>
        <v>Der Mann benutzt die elektrische Bohrmaschine, um den Boden zurück und senkt das Auto.</v>
      </c>
    </row>
    <row r="16755">
      <c r="A16755" s="4" t="s">
        <v>21105</v>
      </c>
      <c r="B16755" s="4" t="s">
        <v>21106</v>
      </c>
      <c r="C16755" s="5" t="str">
        <f>IFERROR(__xludf.DUMMYFUNCTION("GOOGLETRANSLATE(B16755,""en"",""de"")"),"Ein männlicher Turner geht zu einem Strahl und pvert seine Hände.")</f>
        <v>Ein männlicher Turner geht zu einem Strahl und pvert seine Hände.</v>
      </c>
    </row>
    <row r="16756">
      <c r="A16756" s="4" t="s">
        <v>21105</v>
      </c>
      <c r="B16756" s="4" t="s">
        <v>21107</v>
      </c>
      <c r="C16756" s="5" t="str">
        <f>IFERROR(__xludf.DUMMYFUNCTION("GOOGLETRANSLATE(B16756,""en"",""de"")"),"Er montiert den Balken, dreht sich dann mehrmals um ihn und wechselt zwischen den Balken.")</f>
        <v>Er montiert den Balken, dreht sich dann mehrmals um ihn und wechselt zwischen den Balken.</v>
      </c>
    </row>
    <row r="16757">
      <c r="A16757" s="4" t="s">
        <v>21105</v>
      </c>
      <c r="B16757" s="4" t="s">
        <v>21108</v>
      </c>
      <c r="C16757" s="5" t="str">
        <f>IFERROR(__xludf.DUMMYFUNCTION("GOOGLETRANSLATE(B16757,""en"",""de"")"),"Er steigt ab und hebt seine Arme in die Luft.")</f>
        <v>Er steigt ab und hebt seine Arme in die Luft.</v>
      </c>
    </row>
    <row r="16758">
      <c r="A16758" s="4" t="s">
        <v>21109</v>
      </c>
      <c r="B16758" s="4" t="s">
        <v>21110</v>
      </c>
      <c r="C16758" s="5" t="str">
        <f>IFERROR(__xludf.DUMMYFUNCTION("GOOGLETRANSLATE(B16758,""en"",""de"")"),"Eine junge Frau hält ein Tafel, um ein Video von Menschen aufzunehmen, die in einem Rennen laufen, und sie steht auf einer Strecke, die mit Menschen gefüllt ist.")</f>
        <v>Eine junge Frau hält ein Tafel, um ein Video von Menschen aufzunehmen, die in einem Rennen laufen, und sie steht auf einer Strecke, die mit Menschen gefüllt ist.</v>
      </c>
    </row>
    <row r="16759">
      <c r="A16759" s="4" t="s">
        <v>21109</v>
      </c>
      <c r="B16759" s="4" t="s">
        <v>21111</v>
      </c>
      <c r="C16759" s="5" t="str">
        <f>IFERROR(__xludf.DUMMYFUNCTION("GOOGLETRANSLATE(B16759,""en"",""de"")"),"Ein Mann rennt über das Grasfeld mit einem orangefarbenen Hemd und einer Flagge auf dem Gras in der Mitte der Strecke.")</f>
        <v>Ein Mann rennt über das Grasfeld mit einem orangefarbenen Hemd und einer Flagge auf dem Gras in der Mitte der Strecke.</v>
      </c>
    </row>
    <row r="16760">
      <c r="A16760" s="4" t="s">
        <v>21109</v>
      </c>
      <c r="B16760" s="4" t="s">
        <v>21112</v>
      </c>
      <c r="C16760" s="5" t="str">
        <f>IFERROR(__xludf.DUMMYFUNCTION("GOOGLETRANSLATE(B16760,""en"",""de"")"),"Ein anderer Mann in einem schwarzen Hemd läuft auf den Mann im orangefarbenen Hemd.")</f>
        <v>Ein anderer Mann in einem schwarzen Hemd läuft auf den Mann im orangefarbenen Hemd.</v>
      </c>
    </row>
    <row r="16761">
      <c r="A16761" s="4" t="s">
        <v>21109</v>
      </c>
      <c r="B16761" s="4" t="s">
        <v>21113</v>
      </c>
      <c r="C16761" s="5" t="str">
        <f>IFERROR(__xludf.DUMMYFUNCTION("GOOGLETRANSLATE(B16761,""en"",""de"")"),"Die junge Frau fährt weiterhin den Track mit ihrem Tafel.")</f>
        <v>Die junge Frau fährt weiterhin den Track mit ihrem Tafel.</v>
      </c>
    </row>
    <row r="16762">
      <c r="A16762" s="4" t="s">
        <v>21109</v>
      </c>
      <c r="B16762" s="4" t="s">
        <v>21114</v>
      </c>
      <c r="C16762" s="5" t="str">
        <f>IFERROR(__xludf.DUMMYFUNCTION("GOOGLETRANSLATE(B16762,""en"",""de"")"),"Der Mann im orangefarbenen Hemd läuft wieder über das Gras.")</f>
        <v>Der Mann im orangefarbenen Hemd läuft wieder über das Gras.</v>
      </c>
    </row>
    <row r="16763">
      <c r="A16763" s="4" t="s">
        <v>21109</v>
      </c>
      <c r="B16763" s="4" t="s">
        <v>21115</v>
      </c>
      <c r="C16763" s="5" t="str">
        <f>IFERROR(__xludf.DUMMYFUNCTION("GOOGLETRANSLATE(B16763,""en"",""de"")"),"Die junge Frau legt ihr Tablet nieder, nachdem sie versucht hat, das Spiel auf Video zu Video zu bringen, und schaut in die Ferne auf die Leute auf der Strecke.")</f>
        <v>Die junge Frau legt ihr Tablet nieder, nachdem sie versucht hat, das Spiel auf Video zu Video zu bringen, und schaut in die Ferne auf die Leute auf der Strecke.</v>
      </c>
    </row>
    <row r="16764">
      <c r="A16764" s="4" t="s">
        <v>21109</v>
      </c>
      <c r="B16764" s="4" t="s">
        <v>21116</v>
      </c>
      <c r="C16764" s="5" t="str">
        <f>IFERROR(__xludf.DUMMYFUNCTION("GOOGLETRANSLATE(B16764,""en"",""de"")"),"Jeder fängt an, auf der Tribüne zusammen zu klatschen.")</f>
        <v>Jeder fängt an, auf der Tribüne zusammen zu klatschen.</v>
      </c>
    </row>
    <row r="16765">
      <c r="A16765" s="4" t="s">
        <v>21109</v>
      </c>
      <c r="B16765" s="4" t="s">
        <v>21117</v>
      </c>
      <c r="C16765" s="5" t="str">
        <f>IFERROR(__xludf.DUMMYFUNCTION("GOOGLETRANSLATE(B16765,""en"",""de"")"),"Es gibt ein Foto mit einem Mann, der eine Track -Uniform trägt.")</f>
        <v>Es gibt ein Foto mit einem Mann, der eine Track -Uniform trägt.</v>
      </c>
    </row>
    <row r="16766">
      <c r="A16766" s="4" t="s">
        <v>21118</v>
      </c>
      <c r="B16766" s="4" t="s">
        <v>21119</v>
      </c>
      <c r="C16766" s="5" t="str">
        <f>IFERROR(__xludf.DUMMYFUNCTION("GOOGLETRANSLATE(B16766,""en"",""de"")"),"Die Tür öffnet sich und zwei Personen, die Hausschuhe tragen, betreten den Raum.")</f>
        <v>Die Tür öffnet sich und zwei Personen, die Hausschuhe tragen, betreten den Raum.</v>
      </c>
    </row>
    <row r="16767">
      <c r="A16767" s="4" t="s">
        <v>21118</v>
      </c>
      <c r="B16767" s="4" t="s">
        <v>21120</v>
      </c>
      <c r="C16767" s="5" t="str">
        <f>IFERROR(__xludf.DUMMYFUNCTION("GOOGLETRANSLATE(B16767,""en"",""de"")"),"Ein Logo wird kurz auf dem Bildschirm angezeigt.")</f>
        <v>Ein Logo wird kurz auf dem Bildschirm angezeigt.</v>
      </c>
    </row>
    <row r="16768">
      <c r="A16768" s="4" t="s">
        <v>21118</v>
      </c>
      <c r="B16768" s="4" t="s">
        <v>21121</v>
      </c>
      <c r="C16768" s="5" t="str">
        <f>IFERROR(__xludf.DUMMYFUNCTION("GOOGLETRANSLATE(B16768,""en"",""de"")"),"Zwei Männer, die vor zwei Waschbecken und Spiegeln stehen, entfernen die Roben, die sie tragen, um Spandex -Kleidung zu enthüllen, und drehen sich dann in die Kamera, um sie zu sprechen.")</f>
        <v>Zwei Männer, die vor zwei Waschbecken und Spiegeln stehen, entfernen die Roben, die sie tragen, um Spandex -Kleidung zu enthüllen, und drehen sich dann in die Kamera, um sie zu sprechen.</v>
      </c>
    </row>
    <row r="16769">
      <c r="A16769" s="4" t="s">
        <v>21118</v>
      </c>
      <c r="B16769" s="4" t="s">
        <v>21122</v>
      </c>
      <c r="C16769" s="5" t="str">
        <f>IFERROR(__xludf.DUMMYFUNCTION("GOOGLETRANSLATE(B16769,""en"",""de"")"),"Eine große Gruppe von Menschen fährt die Straße hinunter.")</f>
        <v>Eine große Gruppe von Menschen fährt die Straße hinunter.</v>
      </c>
    </row>
    <row r="16770">
      <c r="A16770" s="4" t="s">
        <v>21118</v>
      </c>
      <c r="B16770" s="4" t="s">
        <v>21123</v>
      </c>
      <c r="C16770" s="5" t="str">
        <f>IFERROR(__xludf.DUMMYFUNCTION("GOOGLETRANSLATE(B16770,""en"",""de"")"),"Ein barfuß -Mann steht in einem Badezimmer.")</f>
        <v>Ein barfuß -Mann steht in einem Badezimmer.</v>
      </c>
    </row>
    <row r="16771">
      <c r="A16771" s="4" t="s">
        <v>21118</v>
      </c>
      <c r="B16771" s="4" t="s">
        <v>21124</v>
      </c>
      <c r="C16771" s="5" t="str">
        <f>IFERROR(__xludf.DUMMYFUNCTION("GOOGLETRANSLATE(B16771,""en"",""de"")"),"Der Titel ""Wie man deine Beine rasiert"" erscheint über einem Mann, der diese Aktion ausführt.")</f>
        <v>Der Titel "Wie man deine Beine rasiert" erscheint über einem Mann, der diese Aktion ausführt.</v>
      </c>
    </row>
    <row r="16772">
      <c r="A16772" s="4" t="s">
        <v>21118</v>
      </c>
      <c r="B16772" s="4" t="s">
        <v>21125</v>
      </c>
      <c r="C16772" s="5" t="str">
        <f>IFERROR(__xludf.DUMMYFUNCTION("GOOGLETRANSLATE(B16772,""en"",""de"")"),"Die Männer diskutieren und zeigen mit einem elektrischen Rasiermesser, um Ihre Beine zu rasieren.")</f>
        <v>Die Männer diskutieren und zeigen mit einem elektrischen Rasiermesser, um Ihre Beine zu rasieren.</v>
      </c>
    </row>
    <row r="16773">
      <c r="A16773" s="4" t="s">
        <v>21118</v>
      </c>
      <c r="B16773" s="4" t="s">
        <v>21126</v>
      </c>
      <c r="C16773" s="5" t="str">
        <f>IFERROR(__xludf.DUMMYFUNCTION("GOOGLETRANSLATE(B16773,""en"",""de"")"),"Man diskutiert dann, wie hoch Ihre Beine rasieren sollten.")</f>
        <v>Man diskutiert dann, wie hoch Ihre Beine rasieren sollten.</v>
      </c>
    </row>
    <row r="16774">
      <c r="A16774" s="4" t="s">
        <v>21118</v>
      </c>
      <c r="B16774" s="4" t="s">
        <v>21127</v>
      </c>
      <c r="C16774" s="5" t="str">
        <f>IFERROR(__xludf.DUMMYFUNCTION("GOOGLETRANSLATE(B16774,""en"",""de"")"),"Der Mann zeigt, wie man deine Beine schädigt.")</f>
        <v>Der Mann zeigt, wie man deine Beine schädigt.</v>
      </c>
    </row>
    <row r="16775">
      <c r="A16775" s="4" t="s">
        <v>21118</v>
      </c>
      <c r="B16775" s="4" t="s">
        <v>21128</v>
      </c>
      <c r="C16775" s="5" t="str">
        <f>IFERROR(__xludf.DUMMYFUNCTION("GOOGLETRANSLATE(B16775,""en"",""de"")"),"Die beiden Männer zeigen, wie man einen Rasiermesser benutzt, um deine Beine zu rasieren.")</f>
        <v>Die beiden Männer zeigen, wie man einen Rasiermesser benutzt, um deine Beine zu rasieren.</v>
      </c>
    </row>
    <row r="16776">
      <c r="A16776" s="4" t="s">
        <v>21118</v>
      </c>
      <c r="B16776" s="4" t="s">
        <v>21129</v>
      </c>
      <c r="C16776" s="5" t="str">
        <f>IFERROR(__xludf.DUMMYFUNCTION("GOOGLETRANSLATE(B16776,""en"",""de"")"),"Sie zeigen dann, wie Sie Ihre Beine abspülen können.")</f>
        <v>Sie zeigen dann, wie Sie Ihre Beine abspülen können.</v>
      </c>
    </row>
    <row r="16777">
      <c r="A16777" s="4" t="s">
        <v>21118</v>
      </c>
      <c r="B16777" s="4" t="s">
        <v>21130</v>
      </c>
      <c r="C16777" s="5" t="str">
        <f>IFERROR(__xludf.DUMMYFUNCTION("GOOGLETRANSLATE(B16777,""en"",""de"")"),"Ein Mann fährt mit dem Fahrrad die Straße hinunter.")</f>
        <v>Ein Mann fährt mit dem Fahrrad die Straße hinunter.</v>
      </c>
    </row>
    <row r="16778">
      <c r="A16778" s="4" t="s">
        <v>21118</v>
      </c>
      <c r="B16778" s="4" t="s">
        <v>21131</v>
      </c>
      <c r="C16778" s="5" t="str">
        <f>IFERROR(__xludf.DUMMYFUNCTION("GOOGLETRANSLATE(B16778,""en"",""de"")"),"Die beiden Männer rasieren ihr anderes Bein.")</f>
        <v>Die beiden Männer rasieren ihr anderes Bein.</v>
      </c>
    </row>
    <row r="16779">
      <c r="A16779" s="4" t="s">
        <v>21132</v>
      </c>
      <c r="B16779" s="4" t="s">
        <v>21133</v>
      </c>
      <c r="C16779" s="5" t="str">
        <f>IFERROR(__xludf.DUMMYFUNCTION("GOOGLETRANSLATE(B16779,""en"",""de"")"),"Zwei Kinder stehen vor einem Weihnachtsbaum und zeigen lila Stiefel, die am Weihnachtsbaum hängen.")</f>
        <v>Zwei Kinder stehen vor einem Weihnachtsbaum und zeigen lila Stiefel, die am Weihnachtsbaum hängen.</v>
      </c>
    </row>
    <row r="16780">
      <c r="A16780" s="4" t="s">
        <v>21132</v>
      </c>
      <c r="B16780" s="4" t="s">
        <v>21134</v>
      </c>
      <c r="C16780" s="5" t="str">
        <f>IFERROR(__xludf.DUMMYFUNCTION("GOOGLETRANSLATE(B16780,""en"",""de"")"),"Die Kinder zeigen auf die Eier und die Ornamenens.")</f>
        <v>Die Kinder zeigen auf die Eier und die Ornamenens.</v>
      </c>
    </row>
    <row r="16781">
      <c r="A16781" s="4" t="s">
        <v>21132</v>
      </c>
      <c r="B16781" s="4" t="s">
        <v>21135</v>
      </c>
      <c r="C16781" s="5" t="str">
        <f>IFERROR(__xludf.DUMMYFUNCTION("GOOGLETRANSLATE(B16781,""en"",""de"")"),"Die Kinder stehen neben den drei und verabschieden sich von der Kamera.")</f>
        <v>Die Kinder stehen neben den drei und verabschieden sich von der Kamera.</v>
      </c>
    </row>
    <row r="16782">
      <c r="A16782" s="4" t="s">
        <v>21136</v>
      </c>
      <c r="B16782" s="4" t="s">
        <v>3869</v>
      </c>
      <c r="C16782" s="5" t="str">
        <f>IFERROR(__xludf.DUMMYFUNCTION("GOOGLETRANSLATE(B16782,""en"",""de"")"),"Eine Frau tanzt auf einer Bühne.")</f>
        <v>Eine Frau tanzt auf einer Bühne.</v>
      </c>
    </row>
    <row r="16783">
      <c r="A16783" s="4" t="s">
        <v>21136</v>
      </c>
      <c r="B16783" s="4" t="s">
        <v>21137</v>
      </c>
      <c r="C16783" s="5" t="str">
        <f>IFERROR(__xludf.DUMMYFUNCTION("GOOGLETRANSLATE(B16783,""en"",""de"")"),"Eine Person hebt sie in die Luft über sie.")</f>
        <v>Eine Person hebt sie in die Luft über sie.</v>
      </c>
    </row>
    <row r="16784">
      <c r="A16784" s="4" t="s">
        <v>21136</v>
      </c>
      <c r="B16784" s="4" t="s">
        <v>21138</v>
      </c>
      <c r="C16784" s="5" t="str">
        <f>IFERROR(__xludf.DUMMYFUNCTION("GOOGLETRANSLATE(B16784,""en"",""de"")"),"Ballerinas tanzen auf einer Bühne.")</f>
        <v>Ballerinas tanzen auf einer Bühne.</v>
      </c>
    </row>
    <row r="16785">
      <c r="A16785" s="4" t="s">
        <v>21139</v>
      </c>
      <c r="B16785" s="4" t="s">
        <v>21140</v>
      </c>
      <c r="C16785" s="5" t="str">
        <f>IFERROR(__xludf.DUMMYFUNCTION("GOOGLETRANSLATE(B16785,""en"",""de"")"),"Die Menschen werden auf einem Schleppseil einen Hügel hinauf gezogen, der auf Zwischenrohren sitzt.")</f>
        <v>Die Menschen werden auf einem Schleppseil einen Hügel hinauf gezogen, der auf Zwischenrohren sitzt.</v>
      </c>
    </row>
    <row r="16786">
      <c r="A16786" s="4" t="s">
        <v>21139</v>
      </c>
      <c r="B16786" s="4" t="s">
        <v>21141</v>
      </c>
      <c r="C16786" s="5" t="str">
        <f>IFERROR(__xludf.DUMMYFUNCTION("GOOGLETRANSLATE(B16786,""en"",""de"")"),"Eine Familie zieht ihre Zwischenrohre von Hand und die Spitze des Hügels.")</f>
        <v>Eine Familie zieht ihre Zwischenrohre von Hand und die Spitze des Hügels.</v>
      </c>
    </row>
    <row r="16787">
      <c r="A16787" s="4" t="s">
        <v>21139</v>
      </c>
      <c r="B16787" s="4" t="s">
        <v>21142</v>
      </c>
      <c r="C16787" s="5" t="str">
        <f>IFERROR(__xludf.DUMMYFUNCTION("GOOGLETRANSLATE(B16787,""en"",""de"")"),"Eine Person sitzt in einem Interrohr oben auf einem Hügel und reitet dann den Hang hinunter und lacht.")</f>
        <v>Eine Person sitzt in einem Interrohr oben auf einem Hügel und reitet dann den Hang hinunter und lacht.</v>
      </c>
    </row>
    <row r="16788">
      <c r="A16788" s="4" t="s">
        <v>21139</v>
      </c>
      <c r="B16788" s="4" t="s">
        <v>21143</v>
      </c>
      <c r="C16788" s="5" t="str">
        <f>IFERROR(__xludf.DUMMYFUNCTION("GOOGLETRANSLATE(B16788,""en"",""de"")"),"Die Familienbänder mit den Zwischenröhren in einer kreisförmigen Gruppierung mit den Kindern, die in ihnen sitzen.")</f>
        <v>Die Familienbänder mit den Zwischenröhren in einer kreisförmigen Gruppierung mit den Kindern, die in ihnen sitzen.</v>
      </c>
    </row>
    <row r="16789">
      <c r="A16789" s="4" t="s">
        <v>21139</v>
      </c>
      <c r="B16789" s="4" t="s">
        <v>21144</v>
      </c>
      <c r="C16789" s="5" t="str">
        <f>IFERROR(__xludf.DUMMYFUNCTION("GOOGLETRANSLATE(B16789,""en"",""de"")"),"Die Familie fährt in einer großen Gruppierung von Zwischenrohren in einem schneebedeckten Hang.")</f>
        <v>Die Familie fährt in einer großen Gruppierung von Zwischenrohren in einem schneebedeckten Hang.</v>
      </c>
    </row>
    <row r="16790">
      <c r="A16790" s="4" t="s">
        <v>21145</v>
      </c>
      <c r="B16790" s="4" t="s">
        <v>21146</v>
      </c>
      <c r="C16790" s="5" t="str">
        <f>IFERROR(__xludf.DUMMYFUNCTION("GOOGLETRANSLATE(B16790,""en"",""de"")"),"Ein sportlicher Mann dreht sich in Kreisen und wirft einen Diskussion lang über ein Feld.")</f>
        <v>Ein sportlicher Mann dreht sich in Kreisen und wirft einen Diskussion lang über ein Feld.</v>
      </c>
    </row>
    <row r="16791">
      <c r="A16791" s="4" t="s">
        <v>21145</v>
      </c>
      <c r="B16791" s="4" t="s">
        <v>21147</v>
      </c>
      <c r="C16791" s="5" t="str">
        <f>IFERROR(__xludf.DUMMYFUNCTION("GOOGLETRANSLATE(B16791,""en"",""de"")"),"Er tritt auf und wirft noch einige Bälle in einen Kreis, während er am Ende mit seinem Hemd Schweiß von seinem Gesicht wischt.")</f>
        <v>Er tritt auf und wirft noch einige Bälle in einen Kreis, während er am Ende mit seinem Hemd Schweiß von seinem Gesicht wischt.</v>
      </c>
    </row>
    <row r="16792">
      <c r="A16792" s="4" t="s">
        <v>21148</v>
      </c>
      <c r="B16792" s="4" t="s">
        <v>21149</v>
      </c>
      <c r="C16792" s="5" t="str">
        <f>IFERROR(__xludf.DUMMYFUNCTION("GOOGLETRANSLATE(B16792,""en"",""de"")"),"Ein Mann geht über einen Hof, während er einen Stock in der Hand hält.")</f>
        <v>Ein Mann geht über einen Hof, während er einen Stock in der Hand hält.</v>
      </c>
    </row>
    <row r="16793">
      <c r="A16793" s="4" t="s">
        <v>21148</v>
      </c>
      <c r="B16793" s="4" t="s">
        <v>21150</v>
      </c>
      <c r="C16793" s="5" t="str">
        <f>IFERROR(__xludf.DUMMYFUNCTION("GOOGLETRANSLATE(B16793,""en"",""de"")"),"Der Mann wird dann gesehen, wie er ein Häkelstück spielt, während andere nebenbei zuschauen.")</f>
        <v>Der Mann wird dann gesehen, wie er ein Häkelstück spielt, während andere nebenbei zuschauen.</v>
      </c>
    </row>
    <row r="16794">
      <c r="A16794" s="4" t="s">
        <v>21148</v>
      </c>
      <c r="B16794" s="4" t="s">
        <v>21151</v>
      </c>
      <c r="C16794" s="5" t="str">
        <f>IFERROR(__xludf.DUMMYFUNCTION("GOOGLETRANSLATE(B16794,""en"",""de"")"),"Der Mann schlägt weiterhin den Ball herum und beugen sich und misst seine Schüsse aus.")</f>
        <v>Der Mann schlägt weiterhin den Ball herum und beugen sich und misst seine Schüsse aus.</v>
      </c>
    </row>
    <row r="16795">
      <c r="A16795" s="4" t="s">
        <v>21152</v>
      </c>
      <c r="B16795" s="4" t="s">
        <v>21153</v>
      </c>
      <c r="C16795" s="5" t="str">
        <f>IFERROR(__xludf.DUMMYFUNCTION("GOOGLETRANSLATE(B16795,""en"",""de"")"),"Die Credits von Clip werden angezeigt.")</f>
        <v>Die Credits von Clip werden angezeigt.</v>
      </c>
    </row>
    <row r="16796">
      <c r="A16796" s="4" t="s">
        <v>21152</v>
      </c>
      <c r="B16796" s="4" t="s">
        <v>21154</v>
      </c>
      <c r="C16796" s="5" t="str">
        <f>IFERROR(__xludf.DUMMYFUNCTION("GOOGLETRANSLATE(B16796,""en"",""de"")"),"Limetten werden in Stücke auf einem weißen Schneidebrett geschnitten.")</f>
        <v>Limetten werden in Stücke auf einem weißen Schneidebrett geschnitten.</v>
      </c>
    </row>
    <row r="16797">
      <c r="A16797" s="4" t="s">
        <v>21152</v>
      </c>
      <c r="B16797" s="4" t="s">
        <v>21155</v>
      </c>
      <c r="C16797" s="5" t="str">
        <f>IFERROR(__xludf.DUMMYFUNCTION("GOOGLETRANSLATE(B16797,""en"",""de"")"),"Die geschnittenen Limetten werden in einen Mixer mit einer Flüssigkeit gelegt und gemischt.")</f>
        <v>Die geschnittenen Limetten werden in einen Mixer mit einer Flüssigkeit gelegt und gemischt.</v>
      </c>
    </row>
    <row r="16798">
      <c r="A16798" s="4" t="s">
        <v>21152</v>
      </c>
      <c r="B16798" s="4" t="s">
        <v>21156</v>
      </c>
      <c r="C16798" s="5" t="str">
        <f>IFERROR(__xludf.DUMMYFUNCTION("GOOGLETRANSLATE(B16798,""en"",""de"")"),"Die Flüssigkeit wird zu einem Krug mit einem Sieb hinzugefügt.")</f>
        <v>Die Flüssigkeit wird zu einem Krug mit einem Sieb hinzugefügt.</v>
      </c>
    </row>
    <row r="16799">
      <c r="A16799" s="4" t="s">
        <v>21152</v>
      </c>
      <c r="B16799" s="4" t="s">
        <v>21157</v>
      </c>
      <c r="C16799" s="5" t="str">
        <f>IFERROR(__xludf.DUMMYFUNCTION("GOOGLETRANSLATE(B16799,""en"",""de"")"),"Die Credits von Video werden angezeigt.")</f>
        <v>Die Credits von Video werden angezeigt.</v>
      </c>
    </row>
    <row r="16800">
      <c r="A16800" s="4" t="s">
        <v>21158</v>
      </c>
      <c r="B16800" s="4" t="s">
        <v>21159</v>
      </c>
      <c r="C16800" s="5" t="str">
        <f>IFERROR(__xludf.DUMMYFUNCTION("GOOGLETRANSLATE(B16800,""en"",""de"")"),"Eine Nachrichtenfrau sitzt an einem Schreibtisch und redet.")</f>
        <v>Eine Nachrichtenfrau sitzt an einem Schreibtisch und redet.</v>
      </c>
    </row>
    <row r="16801">
      <c r="A16801" s="4" t="s">
        <v>21158</v>
      </c>
      <c r="B16801" s="4" t="s">
        <v>21160</v>
      </c>
      <c r="C16801" s="5" t="str">
        <f>IFERROR(__xludf.DUMMYFUNCTION("GOOGLETRANSLATE(B16801,""en"",""de"")"),"Wir sehen zahlreiche Menschen, die mit Kajaks in Wasser rennen und einen Fluss von Stromschnellen entlang rennen.")</f>
        <v>Wir sehen zahlreiche Menschen, die mit Kajaks in Wasser rennen und einen Fluss von Stromschnellen entlang rennen.</v>
      </c>
    </row>
    <row r="16802">
      <c r="A16802" s="4" t="s">
        <v>21158</v>
      </c>
      <c r="B16802" s="4" t="s">
        <v>21161</v>
      </c>
      <c r="C16802" s="5" t="str">
        <f>IFERROR(__xludf.DUMMYFUNCTION("GOOGLETRANSLATE(B16802,""en"",""de"")"),"Wenn sie fertig sind, werden einige der Konkurrenten vor der Kamera interviewt und andere gehen auf gefälschten Kajaks im Wasser.")</f>
        <v>Wenn sie fertig sind, werden einige der Konkurrenten vor der Kamera interviewt und andere gehen auf gefälschten Kajaks im Wasser.</v>
      </c>
    </row>
    <row r="16803">
      <c r="A16803" s="4" t="s">
        <v>21162</v>
      </c>
      <c r="B16803" s="4" t="s">
        <v>21163</v>
      </c>
      <c r="C16803" s="5" t="str">
        <f>IFERROR(__xludf.DUMMYFUNCTION("GOOGLETRANSLATE(B16803,""en"",""de"")"),"Wir sehen eine schwangere Frau, die Ballett in einem Studio macht.")</f>
        <v>Wir sehen eine schwangere Frau, die Ballett in einem Studio macht.</v>
      </c>
    </row>
    <row r="16804">
      <c r="A16804" s="4" t="s">
        <v>21162</v>
      </c>
      <c r="B16804" s="4" t="s">
        <v>21164</v>
      </c>
      <c r="C16804" s="5" t="str">
        <f>IFERROR(__xludf.DUMMYFUNCTION("GOOGLETRANSLATE(B16804,""en"",""de"")"),"Die Dame dreht sich und macht ein Pliea.")</f>
        <v>Die Dame dreht sich und macht ein Pliea.</v>
      </c>
    </row>
    <row r="16805">
      <c r="A16805" s="4" t="s">
        <v>21162</v>
      </c>
      <c r="B16805" s="4" t="s">
        <v>21165</v>
      </c>
      <c r="C16805" s="5" t="str">
        <f>IFERROR(__xludf.DUMMYFUNCTION("GOOGLETRANSLATE(B16805,""en"",""de"")"),"Die Leute im Hintergrund klatschen für die Dame.")</f>
        <v>Die Leute im Hintergrund klatschen für die Dame.</v>
      </c>
    </row>
    <row r="16806">
      <c r="A16806" s="4" t="s">
        <v>21162</v>
      </c>
      <c r="B16806" s="4" t="s">
        <v>21166</v>
      </c>
      <c r="C16806" s="5" t="str">
        <f>IFERROR(__xludf.DUMMYFUNCTION("GOOGLETRANSLATE(B16806,""en"",""de"")"),"Die Dame geht dann von der Kamera, während sie lacht.")</f>
        <v>Die Dame geht dann von der Kamera, während sie lacht.</v>
      </c>
    </row>
    <row r="16807">
      <c r="A16807" s="4" t="s">
        <v>21167</v>
      </c>
      <c r="B16807" s="4" t="s">
        <v>21168</v>
      </c>
      <c r="C16807" s="5" t="str">
        <f>IFERROR(__xludf.DUMMYFUNCTION("GOOGLETRANSLATE(B16807,""en"",""de"")"),"Zwei Wasserhähne laufen und zeigen eine Person Hände unter der Spüle.")</f>
        <v>Zwei Wasserhähne laufen und zeigen eine Person Hände unter der Spüle.</v>
      </c>
    </row>
    <row r="16808">
      <c r="A16808" s="4" t="s">
        <v>21167</v>
      </c>
      <c r="B16808" s="4" t="s">
        <v>21169</v>
      </c>
      <c r="C16808" s="5" t="str">
        <f>IFERROR(__xludf.DUMMYFUNCTION("GOOGLETRANSLATE(B16808,""en"",""de"")"),"Der Mann bewegt seine Hände herum und endet dann damit, dass er seine Hände durch seine Haare wischt.")</f>
        <v>Der Mann bewegt seine Hände herum und endet dann damit, dass er seine Hände durch seine Haare wischt.</v>
      </c>
    </row>
    <row r="16809">
      <c r="A16809" s="4" t="s">
        <v>21170</v>
      </c>
      <c r="B16809" s="4" t="s">
        <v>21171</v>
      </c>
      <c r="C16809" s="5" t="str">
        <f>IFERROR(__xludf.DUMMYFUNCTION("GOOGLETRANSLATE(B16809,""en"",""de"")"),"Ein Mann in einem rosa Anzug spricht mit einem Mann in einem roten Anzug und Mann, der kein Hemd trägt.")</f>
        <v>Ein Mann in einem rosa Anzug spricht mit einem Mann in einem roten Anzug und Mann, der kein Hemd trägt.</v>
      </c>
    </row>
    <row r="16810">
      <c r="A16810" s="4" t="s">
        <v>21170</v>
      </c>
      <c r="B16810" s="4" t="s">
        <v>21172</v>
      </c>
      <c r="C16810" s="5" t="str">
        <f>IFERROR(__xludf.DUMMYFUNCTION("GOOGLETRANSLATE(B16810,""en"",""de"")"),"Sie spielen Rockpapierschere.")</f>
        <v>Sie spielen Rockpapierschere.</v>
      </c>
    </row>
    <row r="16811">
      <c r="A16811" s="4" t="s">
        <v>21170</v>
      </c>
      <c r="B16811" s="4" t="s">
        <v>21173</v>
      </c>
      <c r="C16811" s="5" t="str">
        <f>IFERROR(__xludf.DUMMYFUNCTION("GOOGLETRANSLATE(B16811,""en"",""de"")"),"Der Mann im rosa Anzug feiert.")</f>
        <v>Der Mann im rosa Anzug feiert.</v>
      </c>
    </row>
    <row r="16812">
      <c r="A16812" s="4" t="s">
        <v>21170</v>
      </c>
      <c r="B16812" s="4" t="s">
        <v>21174</v>
      </c>
      <c r="C16812" s="5" t="str">
        <f>IFERROR(__xludf.DUMMYFUNCTION("GOOGLETRANSLATE(B16812,""en"",""de"")"),"Der Mann, der kein Hemd trägt, jagt den Mann im rosa Anzug.")</f>
        <v>Der Mann, der kein Hemd trägt, jagt den Mann im rosa Anzug.</v>
      </c>
    </row>
    <row r="16813">
      <c r="A16813" s="4" t="s">
        <v>21170</v>
      </c>
      <c r="B16813" s="4" t="s">
        <v>21175</v>
      </c>
      <c r="C16813" s="5" t="str">
        <f>IFERROR(__xludf.DUMMYFUNCTION("GOOGLETRANSLATE(B16813,""en"",""de"")"),"Der Mann im rosa Anzug fällt nieder.")</f>
        <v>Der Mann im rosa Anzug fällt nieder.</v>
      </c>
    </row>
    <row r="16814">
      <c r="A16814" s="4" t="s">
        <v>21170</v>
      </c>
      <c r="B16814" s="4" t="s">
        <v>21176</v>
      </c>
      <c r="C16814" s="5" t="str">
        <f>IFERROR(__xludf.DUMMYFUNCTION("GOOGLETRANSLATE(B16814,""en"",""de"")"),"Der Mann, der kein Hemd trägt, wirft einen weißen Lauf auf den Mann auf den Boden.")</f>
        <v>Der Mann, der kein Hemd trägt, wirft einen weißen Lauf auf den Mann auf den Boden.</v>
      </c>
    </row>
    <row r="16815">
      <c r="A16815" s="4" t="s">
        <v>21170</v>
      </c>
      <c r="B16815" s="4" t="s">
        <v>21177</v>
      </c>
      <c r="C16815" s="5" t="str">
        <f>IFERROR(__xludf.DUMMYFUNCTION("GOOGLETRANSLATE(B16815,""en"",""de"")"),"Ein Mann in einem schwarzen Anzug kommt aus den Büschen heraus.")</f>
        <v>Ein Mann in einem schwarzen Anzug kommt aus den Büschen heraus.</v>
      </c>
    </row>
    <row r="16816">
      <c r="A16816" s="4" t="s">
        <v>21170</v>
      </c>
      <c r="B16816" s="4" t="s">
        <v>21178</v>
      </c>
      <c r="C16816" s="5" t="str">
        <f>IFERROR(__xludf.DUMMYFUNCTION("GOOGLETRANSLATE(B16816,""en"",""de"")"),"Er kämpft gegen den Mann im roten Anzug.")</f>
        <v>Er kämpft gegen den Mann im roten Anzug.</v>
      </c>
    </row>
    <row r="16817">
      <c r="A16817" s="4" t="s">
        <v>21170</v>
      </c>
      <c r="B16817" s="4" t="s">
        <v>21179</v>
      </c>
      <c r="C16817" s="5" t="str">
        <f>IFERROR(__xludf.DUMMYFUNCTION("GOOGLETRANSLATE(B16817,""en"",""de"")"),"Der Mann ohne Hemd wirft einen Fass auf den Mann im schwarzen Anzug.")</f>
        <v>Der Mann ohne Hemd wirft einen Fass auf den Mann im schwarzen Anzug.</v>
      </c>
    </row>
    <row r="16818">
      <c r="A16818" s="4" t="s">
        <v>21180</v>
      </c>
      <c r="B16818" s="4" t="s">
        <v>21181</v>
      </c>
      <c r="C16818" s="5" t="str">
        <f>IFERROR(__xludf.DUMMYFUNCTION("GOOGLETRANSLATE(B16818,""en"",""de"")"),"Ein Sprungläufer erwärmt sich, bevor er einen Weitsprung eingeht.")</f>
        <v>Ein Sprungläufer erwärmt sich, bevor er einen Weitsprung eingeht.</v>
      </c>
    </row>
    <row r="16819">
      <c r="A16819" s="4" t="s">
        <v>21180</v>
      </c>
      <c r="B16819" s="4" t="s">
        <v>21182</v>
      </c>
      <c r="C16819" s="5" t="str">
        <f>IFERROR(__xludf.DUMMYFUNCTION("GOOGLETRANSLATE(B16819,""en"",""de"")"),"Er macht den Weitsprung, hüpft dann sofort auf und rennt zurück, jubelt und feiert mit der Menge.")</f>
        <v>Er macht den Weitsprung, hüpft dann sofort auf und rennt zurück, jubelt und feiert mit der Menge.</v>
      </c>
    </row>
    <row r="16820">
      <c r="A16820" s="4" t="s">
        <v>21180</v>
      </c>
      <c r="B16820" s="4" t="s">
        <v>21183</v>
      </c>
      <c r="C16820" s="5" t="str">
        <f>IFERROR(__xludf.DUMMYFUNCTION("GOOGLETRANSLATE(B16820,""en"",""de"")"),"Er schlägt seine Brust und umarmt die Leute.")</f>
        <v>Er schlägt seine Brust und umarmt die Leute.</v>
      </c>
    </row>
    <row r="16821">
      <c r="A16821" s="4" t="s">
        <v>21180</v>
      </c>
      <c r="B16821" s="4" t="s">
        <v>21184</v>
      </c>
      <c r="C16821" s="5" t="str">
        <f>IFERROR(__xludf.DUMMYFUNCTION("GOOGLETRANSLATE(B16821,""en"",""de"")"),"Dann posiert er vor einer Anzeigetafel, während die Leute fotografieren.")</f>
        <v>Dann posiert er vor einer Anzeigetafel, während die Leute fotografieren.</v>
      </c>
    </row>
    <row r="16822">
      <c r="A16822" s="4" t="s">
        <v>21185</v>
      </c>
      <c r="B16822" s="4" t="s">
        <v>21186</v>
      </c>
      <c r="C16822" s="5" t="str">
        <f>IFERROR(__xludf.DUMMYFUNCTION("GOOGLETRANSLATE(B16822,""en"",""de"")"),"Ein Mann führt Reparaturen an einem Fahrrad auf den Holzböden eines Schlafzimmers durch, während zwei Katzen zu sehen sind.")</f>
        <v>Ein Mann führt Reparaturen an einem Fahrrad auf den Holzböden eines Schlafzimmers durch, während zwei Katzen zu sehen sind.</v>
      </c>
    </row>
    <row r="16823">
      <c r="A16823" s="4" t="s">
        <v>21185</v>
      </c>
      <c r="B16823" s="4" t="s">
        <v>21187</v>
      </c>
      <c r="C16823" s="5" t="str">
        <f>IFERROR(__xludf.DUMMYFUNCTION("GOOGLETRANSLATE(B16823,""en"",""de"")"),"Ein Mann betritt ein Schlafzimmer und nimmt ein Fahrrad auf seinem Schlafzimmerboden.")</f>
        <v>Ein Mann betritt ein Schlafzimmer und nimmt ein Fahrrad auf seinem Schlafzimmerboden.</v>
      </c>
    </row>
    <row r="16824">
      <c r="A16824" s="4" t="s">
        <v>21185</v>
      </c>
      <c r="B16824" s="4" t="s">
        <v>21188</v>
      </c>
      <c r="C16824" s="5" t="str">
        <f>IFERROR(__xludf.DUMMYFUNCTION("GOOGLETRANSLATE(B16824,""en"",""de"")"),"Der Mann führt dann Reparaturen mit Werkzeugen durch, während zwei Katzen um die Peripherie herumlaufen und sich bewegen.")</f>
        <v>Der Mann führt dann Reparaturen mit Werkzeugen durch, während zwei Katzen um die Peripherie herumlaufen und sich bewegen.</v>
      </c>
    </row>
    <row r="16825">
      <c r="A16825" s="4" t="s">
        <v>21185</v>
      </c>
      <c r="B16825" s="4" t="s">
        <v>21189</v>
      </c>
      <c r="C16825" s="5" t="str">
        <f>IFERROR(__xludf.DUMMYFUNCTION("GOOGLETRANSLATE(B16825,""en"",""de"")"),"Der Mann produziert viel schwarze Staub, während er die Reparaturen am Fahrrad durchführt, und er verlässt schließlich den Raum, kommt zurück und geht dann wieder, wenn eine Katze sich dem Bereich nähert, aus dem der Mann arbeitete.")</f>
        <v>Der Mann produziert viel schwarze Staub, während er die Reparaturen am Fahrrad durchführt, und er verlässt schließlich den Raum, kommt zurück und geht dann wieder, wenn eine Katze sich dem Bereich nähert, aus dem der Mann arbeitete.</v>
      </c>
    </row>
    <row r="16826">
      <c r="A16826" s="4" t="s">
        <v>21190</v>
      </c>
      <c r="B16826" s="4" t="s">
        <v>21191</v>
      </c>
      <c r="C16826" s="5" t="str">
        <f>IFERROR(__xludf.DUMMYFUNCTION("GOOGLETRANSLATE(B16826,""en"",""de"")"),"Ein Kind in einem blauen Hemd ist ein langes Boarding.")</f>
        <v>Ein Kind in einem blauen Hemd ist ein langes Boarding.</v>
      </c>
    </row>
    <row r="16827">
      <c r="A16827" s="4" t="s">
        <v>21190</v>
      </c>
      <c r="B16827" s="4" t="s">
        <v>21192</v>
      </c>
      <c r="C16827" s="5" t="str">
        <f>IFERROR(__xludf.DUMMYFUNCTION("GOOGLETRANSLATE(B16827,""en"",""de"")"),"Er fällt von und auf die Straße.")</f>
        <v>Er fällt von und auf die Straße.</v>
      </c>
    </row>
    <row r="16828">
      <c r="A16828" s="4" t="s">
        <v>21190</v>
      </c>
      <c r="B16828" s="4" t="s">
        <v>21193</v>
      </c>
      <c r="C16828" s="5" t="str">
        <f>IFERROR(__xludf.DUMMYFUNCTION("GOOGLETRANSLATE(B16828,""en"",""de"")"),"Er geht die Straße auf seinem langen Brett hinunter.")</f>
        <v>Er geht die Straße auf seinem langen Brett hinunter.</v>
      </c>
    </row>
    <row r="16829">
      <c r="A16829" s="4" t="s">
        <v>21194</v>
      </c>
      <c r="B16829" s="4" t="s">
        <v>21195</v>
      </c>
      <c r="C16829" s="5" t="str">
        <f>IFERROR(__xludf.DUMMYFUNCTION("GOOGLETRANSLATE(B16829,""en"",""de"")"),"Eine Kamera vergrößert verschiedene Lebensmittel und Zutaten sowie eine Pfanne auf einem Herd.")</f>
        <v>Eine Kamera vergrößert verschiedene Lebensmittel und Zutaten sowie eine Pfanne auf einem Herd.</v>
      </c>
    </row>
    <row r="16830">
      <c r="A16830" s="4" t="s">
        <v>21194</v>
      </c>
      <c r="B16830" s="4" t="s">
        <v>21196</v>
      </c>
      <c r="C16830" s="5" t="str">
        <f>IFERROR(__xludf.DUMMYFUNCTION("GOOGLETRANSLATE(B16830,""en"",""de"")"),"Eine Person, die Handschuhe trägt, ist zu sehen, wie es Lebensmittel auf einen Teller ausbreitet, gefolgt von einem großen Gebäck und Butter darauf.")</f>
        <v>Eine Person, die Handschuhe trägt, ist zu sehen, wie es Lebensmittel auf einen Teller ausbreitet, gefolgt von einem großen Gebäck und Butter darauf.</v>
      </c>
    </row>
    <row r="16831">
      <c r="A16831" s="4" t="s">
        <v>21194</v>
      </c>
      <c r="B16831" s="4" t="s">
        <v>21197</v>
      </c>
      <c r="C16831" s="5" t="str">
        <f>IFERROR(__xludf.DUMMYFUNCTION("GOOGLETRANSLATE(B16831,""en"",""de"")"),"Die Person macht weiterhin Schichten und macht dann den Kuchen ab und zeigt den soliden Kuchen.")</f>
        <v>Die Person macht weiterhin Schichten und macht dann den Kuchen ab und zeigt den soliden Kuchen.</v>
      </c>
    </row>
    <row r="16832">
      <c r="A16832" s="4" t="s">
        <v>21194</v>
      </c>
      <c r="B16832" s="4" t="s">
        <v>21198</v>
      </c>
      <c r="C16832" s="5" t="str">
        <f>IFERROR(__xludf.DUMMYFUNCTION("GOOGLETRANSLATE(B16832,""en"",""de"")"),"Sie nimmt ein Band aus, rollt dann mehr Teig aus und verbreitet ihn entlang des Kuchens, wobei das fertige Ergebnis gezeigt wird.")</f>
        <v>Sie nimmt ein Band aus, rollt dann mehr Teig aus und verbreitet ihn entlang des Kuchens, wobei das fertige Ergebnis gezeigt wird.</v>
      </c>
    </row>
    <row r="16833">
      <c r="A16833" s="4" t="s">
        <v>21199</v>
      </c>
      <c r="B16833" s="4" t="s">
        <v>21200</v>
      </c>
      <c r="C16833" s="5" t="str">
        <f>IFERROR(__xludf.DUMMYFUNCTION("GOOGLETRANSLATE(B16833,""en"",""de"")"),"Ein Mann steht vor einem Tisch voller Objekte, während die Leute dem Mann zuhören.")</f>
        <v>Ein Mann steht vor einem Tisch voller Objekte, während die Leute dem Mann zuhören.</v>
      </c>
    </row>
    <row r="16834">
      <c r="A16834" s="4" t="s">
        <v>21199</v>
      </c>
      <c r="B16834" s="4" t="s">
        <v>21201</v>
      </c>
      <c r="C16834" s="5" t="str">
        <f>IFERROR(__xludf.DUMMYFUNCTION("GOOGLETRANSLATE(B16834,""en"",""de"")"),"Eine Frau zeigt Müsliriegel und erklärt Menschen am Tisch.")</f>
        <v>Eine Frau zeigt Müsliriegel und erklärt Menschen am Tisch.</v>
      </c>
    </row>
    <row r="16835">
      <c r="A16835" s="4" t="s">
        <v>21199</v>
      </c>
      <c r="B16835" s="4" t="s">
        <v>21202</v>
      </c>
      <c r="C16835" s="5" t="str">
        <f>IFERROR(__xludf.DUMMYFUNCTION("GOOGLETRANSLATE(B16835,""en"",""de"")"),"Dann legte eine Person Wachs auf Skier mit einer elektrischen kleinen Maschine in einem Raum voller Skier.")</f>
        <v>Dann legte eine Person Wachs auf Skier mit einer elektrischen kleinen Maschine in einem Raum voller Skier.</v>
      </c>
    </row>
    <row r="16836">
      <c r="A16836" s="4" t="s">
        <v>21203</v>
      </c>
      <c r="B16836" s="4" t="s">
        <v>21204</v>
      </c>
      <c r="C16836" s="5" t="str">
        <f>IFERROR(__xludf.DUMMYFUNCTION("GOOGLETRANSLATE(B16836,""en"",""de"")"),"Der Mann interviewt einige Leute, die zwei Frauen im Bikini -Wrestling beobachten, die Frau gewinnt und beginnt zu springen.")</f>
        <v>Der Mann interviewt einige Leute, die zwei Frauen im Bikini -Wrestling beobachten, die Frau gewinnt und beginnt zu springen.</v>
      </c>
    </row>
    <row r="16837">
      <c r="A16837" s="4" t="s">
        <v>21203</v>
      </c>
      <c r="B16837" s="4" t="s">
        <v>21205</v>
      </c>
      <c r="C16837" s="5" t="str">
        <f>IFERROR(__xludf.DUMMYFUNCTION("GOOGLETRANSLATE(B16837,""en"",""de"")"),"Zwei Frauen in Bikini stehen mit einem Zwerg und er gewinnt den Kampf, während der Interviewer mit Menschen im Publikum spricht.")</f>
        <v>Zwei Frauen in Bikini stehen mit einem Zwerg und er gewinnt den Kampf, während der Interviewer mit Menschen im Publikum spricht.</v>
      </c>
    </row>
    <row r="16838">
      <c r="A16838" s="4" t="s">
        <v>21203</v>
      </c>
      <c r="B16838" s="4" t="s">
        <v>21206</v>
      </c>
      <c r="C16838" s="5" t="str">
        <f>IFERROR(__xludf.DUMMYFUNCTION("GOOGLETRANSLATE(B16838,""en"",""de"")"),"Frauen im Bikini bereiten sich auf das Ringen im Ring vor.")</f>
        <v>Frauen im Bikini bereiten sich auf das Ringen im Ring vor.</v>
      </c>
    </row>
    <row r="16839">
      <c r="A16839" s="4" t="s">
        <v>21203</v>
      </c>
      <c r="B16839" s="4" t="s">
        <v>21207</v>
      </c>
      <c r="C16839" s="5" t="str">
        <f>IFERROR(__xludf.DUMMYFUNCTION("GOOGLETRANSLATE(B16839,""en"",""de"")"),"Einige Clips von YouTube -Videos werden angezeigt.")</f>
        <v>Einige Clips von YouTube -Videos werden angezeigt.</v>
      </c>
    </row>
    <row r="16840">
      <c r="A16840" s="4" t="s">
        <v>21208</v>
      </c>
      <c r="B16840" s="4" t="s">
        <v>21209</v>
      </c>
      <c r="C16840" s="5" t="str">
        <f>IFERROR(__xludf.DUMMYFUNCTION("GOOGLETRANSLATE(B16840,""en"",""de"")"),"Mehrere Nahaufnahmen von Sandwiches werden ebenso gesehen wie eine Person, die Fleisch und Gemüse aufschneidet.")</f>
        <v>Mehrere Nahaufnahmen von Sandwiches werden ebenso gesehen wie eine Person, die Fleisch und Gemüse aufschneidet.</v>
      </c>
    </row>
    <row r="16841">
      <c r="A16841" s="4" t="s">
        <v>21208</v>
      </c>
      <c r="B16841" s="4" t="s">
        <v>21210</v>
      </c>
      <c r="C16841" s="5" t="str">
        <f>IFERROR(__xludf.DUMMYFUNCTION("GOOGLETRANSLATE(B16841,""en"",""de"")"),"Die Person schneidet Brot gefolgt, indem er verschiedene Zutaten auf das Brot legt.")</f>
        <v>Die Person schneidet Brot gefolgt, indem er verschiedene Zutaten auf das Brot legt.</v>
      </c>
    </row>
    <row r="16842">
      <c r="A16842" s="4" t="s">
        <v>21208</v>
      </c>
      <c r="B16842" s="4" t="s">
        <v>21211</v>
      </c>
      <c r="C16842" s="5" t="str">
        <f>IFERROR(__xludf.DUMMYFUNCTION("GOOGLETRANSLATE(B16842,""en"",""de"")"),"Die Person schließt das Brot, um Sandwiches zu machen, die sie in eine französische Presse stecken und der Kamera präsentieren.")</f>
        <v>Die Person schließt das Brot, um Sandwiches zu machen, die sie in eine französische Presse stecken und der Kamera präsentieren.</v>
      </c>
    </row>
    <row r="16843">
      <c r="A16843" s="4" t="s">
        <v>21212</v>
      </c>
      <c r="B16843" s="4" t="s">
        <v>21213</v>
      </c>
      <c r="C16843" s="5" t="str">
        <f>IFERROR(__xludf.DUMMYFUNCTION("GOOGLETRANSLATE(B16843,""en"",""de"")"),"Ein Mann führt zu sehen, wie es in der Mitte eines Stadtplatzes Break -Tanzbewegungen durchführt, während die Leute in und aus dem Rahmen hinein- und ausgehen.")</f>
        <v>Ein Mann führt zu sehen, wie es in der Mitte eines Stadtplatzes Break -Tanzbewegungen durchführt, während die Leute in und aus dem Rahmen hinein- und ausgehen.</v>
      </c>
    </row>
    <row r="16844">
      <c r="A16844" s="4" t="s">
        <v>21212</v>
      </c>
      <c r="B16844" s="4" t="s">
        <v>21214</v>
      </c>
      <c r="C16844" s="5" t="str">
        <f>IFERROR(__xludf.DUMMYFUNCTION("GOOGLETRANSLATE(B16844,""en"",""de"")"),"Der Mann tanzt weiter herum und hält Posen, während er zur Kamera zurückblickt.")</f>
        <v>Der Mann tanzt weiter herum und hält Posen, während er zur Kamera zurückblickt.</v>
      </c>
    </row>
    <row r="16845">
      <c r="A16845" s="4" t="s">
        <v>21215</v>
      </c>
      <c r="B16845" s="4" t="s">
        <v>21216</v>
      </c>
      <c r="C16845" s="5" t="str">
        <f>IFERROR(__xludf.DUMMYFUNCTION("GOOGLETRANSLATE(B16845,""en"",""de"")"),"Zwei Leute treten Box in einem Boxring vor einer Menge, während sich der Schiedsrichter um die Boxer dreht.")</f>
        <v>Zwei Leute treten Box in einem Boxring vor einer Menge, während sich der Schiedsrichter um die Boxer dreht.</v>
      </c>
    </row>
    <row r="16846">
      <c r="A16846" s="4" t="s">
        <v>21215</v>
      </c>
      <c r="B16846" s="4" t="s">
        <v>21217</v>
      </c>
      <c r="C16846" s="5" t="str">
        <f>IFERROR(__xludf.DUMMYFUNCTION("GOOGLETRANSLATE(B16846,""en"",""de"")"),"Der Schiedsrichter repariert den Helm des Boxers.")</f>
        <v>Der Schiedsrichter repariert den Helm des Boxers.</v>
      </c>
    </row>
    <row r="16847">
      <c r="A16847" s="4" t="s">
        <v>21215</v>
      </c>
      <c r="B16847" s="4" t="s">
        <v>21218</v>
      </c>
      <c r="C16847" s="5" t="str">
        <f>IFERROR(__xludf.DUMMYFUNCTION("GOOGLETRANSLATE(B16847,""en"",""de"")"),"Ein Stockfliegen und landet auf dem Boxring.")</f>
        <v>Ein Stockfliegen und landet auf dem Boxring.</v>
      </c>
    </row>
    <row r="16848">
      <c r="A16848" s="4" t="s">
        <v>21219</v>
      </c>
      <c r="B16848" s="4" t="s">
        <v>21220</v>
      </c>
      <c r="C16848" s="5" t="str">
        <f>IFERROR(__xludf.DUMMYFUNCTION("GOOGLETRANSLATE(B16848,""en"",""de"")"),"Ein Stück, das das Cricketspiel ist, wird auf dem Bildschirm angezeigt.")</f>
        <v>Ein Stück, das das Cricketspiel ist, wird auf dem Bildschirm angezeigt.</v>
      </c>
    </row>
    <row r="16849">
      <c r="A16849" s="4" t="s">
        <v>21219</v>
      </c>
      <c r="B16849" s="4" t="s">
        <v>21221</v>
      </c>
      <c r="C16849" s="5" t="str">
        <f>IFERROR(__xludf.DUMMYFUNCTION("GOOGLETRANSLATE(B16849,""en"",""de"")"),"Die Spieler im Cricketspiel feiern und interagieren miteinander.")</f>
        <v>Die Spieler im Cricketspiel feiern und interagieren miteinander.</v>
      </c>
    </row>
    <row r="16850">
      <c r="A16850" s="4" t="s">
        <v>21219</v>
      </c>
      <c r="B16850" s="4" t="s">
        <v>21222</v>
      </c>
      <c r="C16850" s="5" t="str">
        <f>IFERROR(__xludf.DUMMYFUNCTION("GOOGLETRANSLATE(B16850,""en"",""de"")"),"Eine Wiederholung wird angezeigt und dann werden Statistiken auf dem Bildschirm angezeigt.")</f>
        <v>Eine Wiederholung wird angezeigt und dann werden Statistiken auf dem Bildschirm angezeigt.</v>
      </c>
    </row>
    <row r="16851">
      <c r="A16851" s="4" t="s">
        <v>21219</v>
      </c>
      <c r="B16851" s="4" t="s">
        <v>21223</v>
      </c>
      <c r="C16851" s="5" t="str">
        <f>IFERROR(__xludf.DUMMYFUNCTION("GOOGLETRANSLATE(B16851,""en"",""de"")"),"Das Spiel wird mit einem anderen Spiel fortgesetzt und dieses Stück wird eine Wiederholung gezeigt.")</f>
        <v>Das Spiel wird mit einem anderen Spiel fortgesetzt und dieses Stück wird eine Wiederholung gezeigt.</v>
      </c>
    </row>
    <row r="16852">
      <c r="A16852" s="4" t="s">
        <v>21219</v>
      </c>
      <c r="B16852" s="4" t="s">
        <v>21224</v>
      </c>
      <c r="C16852" s="5" t="str">
        <f>IFERROR(__xludf.DUMMYFUNCTION("GOOGLETRANSLATE(B16852,""en"",""de"")"),"Ein weiteres Stück wird gezeigt und auch eine Wiederholung dieses Stücks gezeigt.")</f>
        <v>Ein weiteres Stück wird gezeigt und auch eine Wiederholung dieses Stücks gezeigt.</v>
      </c>
    </row>
    <row r="16853">
      <c r="A16853" s="4" t="s">
        <v>21219</v>
      </c>
      <c r="B16853" s="4" t="s">
        <v>21225</v>
      </c>
      <c r="C16853" s="5" t="str">
        <f>IFERROR(__xludf.DUMMYFUNCTION("GOOGLETRANSLATE(B16853,""en"",""de"")"),"Das nächste Stück wird gezeigt und das Team beginnt zu feiern, bevor eine Wiederholung dieses Stücks gezeigt wird.")</f>
        <v>Das nächste Stück wird gezeigt und das Team beginnt zu feiern, bevor eine Wiederholung dieses Stücks gezeigt wird.</v>
      </c>
    </row>
    <row r="16854">
      <c r="A16854" s="4" t="s">
        <v>21219</v>
      </c>
      <c r="B16854" s="4" t="s">
        <v>21226</v>
      </c>
      <c r="C16854" s="5" t="str">
        <f>IFERROR(__xludf.DUMMYFUNCTION("GOOGLETRANSLATE(B16854,""en"",""de"")"),"Das nächste Stück wird angezeigt und dann endet das Video.")</f>
        <v>Das nächste Stück wird angezeigt und dann endet das Video.</v>
      </c>
    </row>
    <row r="16855">
      <c r="A16855" s="4" t="s">
        <v>21227</v>
      </c>
      <c r="B16855" s="4" t="s">
        <v>21228</v>
      </c>
      <c r="C16855" s="5" t="str">
        <f>IFERROR(__xludf.DUMMYFUNCTION("GOOGLETRANSLATE(B16855,""en"",""de"")"),"Eine Kamera schwenkt in einem Strandbereich, gefolgt von Menschen, die mit einem Surfbrett laufen und Tricks auf dem Wasser machen.")</f>
        <v>Eine Kamera schwenkt in einem Strandbereich, gefolgt von Menschen, die mit einem Surfbrett laufen und Tricks auf dem Wasser machen.</v>
      </c>
    </row>
    <row r="16856">
      <c r="A16856" s="4" t="s">
        <v>21227</v>
      </c>
      <c r="B16856" s="4" t="s">
        <v>21229</v>
      </c>
      <c r="C16856" s="5" t="str">
        <f>IFERROR(__xludf.DUMMYFUNCTION("GOOGLETRANSLATE(B16856,""en"",""de"")"),"Die Kamera fängt die Männer ein, die verschiedene Tricks durchführen und im Meer schwimmen und sich in Zeitlupe bewegen.")</f>
        <v>Die Kamera fängt die Männer ein, die verschiedene Tricks durchführen und im Meer schwimmen und sich in Zeitlupe bewegen.</v>
      </c>
    </row>
    <row r="16857">
      <c r="A16857" s="4" t="s">
        <v>21230</v>
      </c>
      <c r="B16857" s="4" t="s">
        <v>21231</v>
      </c>
      <c r="C16857" s="5" t="str">
        <f>IFERROR(__xludf.DUMMYFUNCTION("GOOGLETRANSLATE(B16857,""en"",""de"")"),"Ein Wasserballspiel wird gezeigt, wobei ein Spieler hervorgehoben wird.")</f>
        <v>Ein Wasserballspiel wird gezeigt, wobei ein Spieler hervorgehoben wird.</v>
      </c>
    </row>
    <row r="16858">
      <c r="A16858" s="4" t="s">
        <v>21230</v>
      </c>
      <c r="B16858" s="4" t="s">
        <v>21232</v>
      </c>
      <c r="C16858" s="5" t="str">
        <f>IFERROR(__xludf.DUMMYFUNCTION("GOOGLETRANSLATE(B16858,""en"",""de"")"),"Ein Mann, der in Weiß gekleidet ist, geht im Hintergrund am Pool hin und her.")</f>
        <v>Ein Mann, der in Weiß gekleidet ist, geht im Hintergrund am Pool hin und her.</v>
      </c>
    </row>
    <row r="16859">
      <c r="A16859" s="4" t="s">
        <v>21230</v>
      </c>
      <c r="B16859" s="4" t="s">
        <v>21233</v>
      </c>
      <c r="C16859" s="5" t="str">
        <f>IFERROR(__xludf.DUMMYFUNCTION("GOOGLETRANSLATE(B16859,""en"",""de"")"),"Ein in Weiß gekleideter Mann steht im Vordergrund und wird gestikuliert.")</f>
        <v>Ein in Weiß gekleideter Mann steht im Vordergrund und wird gestikuliert.</v>
      </c>
    </row>
    <row r="16860">
      <c r="A16860" s="4" t="s">
        <v>21234</v>
      </c>
      <c r="B16860" s="4" t="s">
        <v>21235</v>
      </c>
      <c r="C16860" s="5" t="str">
        <f>IFERROR(__xludf.DUMMYFUNCTION("GOOGLETRANSLATE(B16860,""en"",""de"")"),"Ein Mann in gelb und schwarze Winterkleidung Eisfische auf einem gefrorenen See.")</f>
        <v>Ein Mann in gelb und schwarze Winterkleidung Eisfische auf einem gefrorenen See.</v>
      </c>
    </row>
    <row r="16861">
      <c r="A16861" s="4" t="s">
        <v>21234</v>
      </c>
      <c r="B16861" s="4" t="s">
        <v>21236</v>
      </c>
      <c r="C16861" s="5" t="str">
        <f>IFERROR(__xludf.DUMMYFUNCTION("GOOGLETRANSLATE(B16861,""en"",""de"")"),"Der Mann taumelt lange Zeit in einem Fisch.")</f>
        <v>Der Mann taumelt lange Zeit in einem Fisch.</v>
      </c>
    </row>
    <row r="16862">
      <c r="A16862" s="4" t="s">
        <v>21234</v>
      </c>
      <c r="B16862" s="4" t="s">
        <v>21237</v>
      </c>
      <c r="C16862" s="5" t="str">
        <f>IFERROR(__xludf.DUMMYFUNCTION("GOOGLETRANSLATE(B16862,""en"",""de"")"),"Die Mannes fangen schließlich die Oberfläche.")</f>
        <v>Die Mannes fangen schließlich die Oberfläche.</v>
      </c>
    </row>
    <row r="16863">
      <c r="A16863" s="4" t="s">
        <v>21238</v>
      </c>
      <c r="B16863" s="4" t="s">
        <v>21239</v>
      </c>
      <c r="C16863" s="5" t="str">
        <f>IFERROR(__xludf.DUMMYFUNCTION("GOOGLETRANSLATE(B16863,""en"",""de"")"),"Die Leute spielen in einem Schwimmbad ein Spiel Wasserball.")</f>
        <v>Die Leute spielen in einem Schwimmbad ein Spiel Wasserball.</v>
      </c>
    </row>
    <row r="16864">
      <c r="A16864" s="4" t="s">
        <v>21238</v>
      </c>
      <c r="B16864" s="4" t="s">
        <v>21240</v>
      </c>
      <c r="C16864" s="5" t="str">
        <f>IFERROR(__xludf.DUMMYFUNCTION("GOOGLETRANSLATE(B16864,""en"",""de"")"),"Eine Frau, die auf der Seite des Pools steht, spricht mit der Kamera.")</f>
        <v>Eine Frau, die auf der Seite des Pools steht, spricht mit der Kamera.</v>
      </c>
    </row>
    <row r="16865">
      <c r="A16865" s="4" t="s">
        <v>21238</v>
      </c>
      <c r="B16865" s="4" t="s">
        <v>21241</v>
      </c>
      <c r="C16865" s="5" t="str">
        <f>IFERROR(__xludf.DUMMYFUNCTION("GOOGLETRANSLATE(B16865,""en"",""de"")"),"Ein Mann bläst eine Pfeife auf der Seite des Schwimmbades.")</f>
        <v>Ein Mann bläst eine Pfeife auf der Seite des Schwimmbades.</v>
      </c>
    </row>
    <row r="16866">
      <c r="A16866" s="4" t="s">
        <v>21242</v>
      </c>
      <c r="B16866" s="4" t="s">
        <v>21243</v>
      </c>
      <c r="C16866" s="5" t="str">
        <f>IFERROR(__xludf.DUMMYFUNCTION("GOOGLETRANSLATE(B16866,""en"",""de"")"),"Ein junger Mann wird in einem Raum gezeigt, der Ping Pong spielt.")</f>
        <v>Ein junger Mann wird in einem Raum gezeigt, der Ping Pong spielt.</v>
      </c>
    </row>
    <row r="16867">
      <c r="A16867" s="4" t="s">
        <v>21242</v>
      </c>
      <c r="B16867" s="4" t="s">
        <v>21244</v>
      </c>
      <c r="C16867" s="5" t="str">
        <f>IFERROR(__xludf.DUMMYFUNCTION("GOOGLETRANSLATE(B16867,""en"",""de"")"),"Irgendwann zuckt er mit den Schultern, während er darauf wartet, dass sein Gegner anfängt.")</f>
        <v>Irgendwann zuckt er mit den Schultern, während er darauf wartet, dass sein Gegner anfängt.</v>
      </c>
    </row>
    <row r="16868">
      <c r="A16868" s="4" t="s">
        <v>21242</v>
      </c>
      <c r="B16868" s="4" t="s">
        <v>21245</v>
      </c>
      <c r="C16868" s="5" t="str">
        <f>IFERROR(__xludf.DUMMYFUNCTION("GOOGLETRANSLATE(B16868,""en"",""de"")"),"Das Video zeigt weiterhin dem Mann, der Ping Pong spielt, und hört manchmal aufgrund des Balls an, den Tisch verlässt.")</f>
        <v>Das Video zeigt weiterhin dem Mann, der Ping Pong spielt, und hört manchmal aufgrund des Balls an, den Tisch verlässt.</v>
      </c>
    </row>
    <row r="16869">
      <c r="A16869" s="4" t="s">
        <v>21242</v>
      </c>
      <c r="B16869" s="4" t="s">
        <v>21246</v>
      </c>
      <c r="C16869" s="5" t="str">
        <f>IFERROR(__xludf.DUMMYFUNCTION("GOOGLETRANSLATE(B16869,""en"",""de"")"),"Das Video endet, als der Mann zur Kamera kommt, um es auszuschalten.")</f>
        <v>Das Video endet, als der Mann zur Kamera kommt, um es auszuschalten.</v>
      </c>
    </row>
    <row r="16870">
      <c r="A16870" s="4" t="s">
        <v>21247</v>
      </c>
      <c r="B16870" s="4" t="s">
        <v>21248</v>
      </c>
      <c r="C16870" s="5" t="str">
        <f>IFERROR(__xludf.DUMMYFUNCTION("GOOGLETRANSLATE(B16870,""en"",""de"")"),"Es gibt mehrere Personen in einem Park, der an Aktivitäten im Freien teilnimmt.")</f>
        <v>Es gibt mehrere Personen in einem Park, der an Aktivitäten im Freien teilnimmt.</v>
      </c>
    </row>
    <row r="16871">
      <c r="A16871" s="4" t="s">
        <v>21247</v>
      </c>
      <c r="B16871" s="4" t="s">
        <v>21249</v>
      </c>
      <c r="C16871" s="5" t="str">
        <f>IFERROR(__xludf.DUMMYFUNCTION("GOOGLETRANSLATE(B16871,""en"",""de"")"),"Es gibt eine Person, die an einem engen Seil fährt und versucht, sich auszugleichen, während er gegen Ende des Seils abfällt.")</f>
        <v>Es gibt eine Person, die an einem engen Seil fährt und versucht, sich auszugleichen, während er gegen Ende des Seils abfällt.</v>
      </c>
    </row>
    <row r="16872">
      <c r="A16872" s="4" t="s">
        <v>21247</v>
      </c>
      <c r="B16872" s="4" t="s">
        <v>21250</v>
      </c>
      <c r="C16872" s="5" t="str">
        <f>IFERROR(__xludf.DUMMYFUNCTION("GOOGLETRANSLATE(B16872,""en"",""de"")"),"Auf dem Boden rennen Kinder herum.")</f>
        <v>Auf dem Boden rennen Kinder herum.</v>
      </c>
    </row>
    <row r="16873">
      <c r="A16873" s="4" t="s">
        <v>21247</v>
      </c>
      <c r="B16873" s="4" t="s">
        <v>21251</v>
      </c>
      <c r="C16873" s="5" t="str">
        <f>IFERROR(__xludf.DUMMYFUNCTION("GOOGLETRANSLATE(B16873,""en"",""de"")"),"Auf dem engen Seil geht ein anderer Mann.")</f>
        <v>Auf dem engen Seil geht ein anderer Mann.</v>
      </c>
    </row>
    <row r="16874">
      <c r="A16874" s="4" t="s">
        <v>21247</v>
      </c>
      <c r="B16874" s="4" t="s">
        <v>21252</v>
      </c>
      <c r="C16874" s="5" t="str">
        <f>IFERROR(__xludf.DUMMYFUNCTION("GOOGLETRANSLATE(B16874,""en"",""de"")"),"Es gibt auch viele Menschen, die auf dem Boden sitzen, während sie die Aktivitäten beobachten.")</f>
        <v>Es gibt auch viele Menschen, die auf dem Boden sitzen, während sie die Aktivitäten beobachten.</v>
      </c>
    </row>
    <row r="16875">
      <c r="A16875" s="4" t="s">
        <v>21247</v>
      </c>
      <c r="B16875" s="4" t="s">
        <v>21253</v>
      </c>
      <c r="C16875" s="5" t="str">
        <f>IFERROR(__xludf.DUMMYFUNCTION("GOOGLETRANSLATE(B16875,""en"",""de"")"),"Ein Mann geht weiter und springt auf dem engen Seil und springt auf dem engen Seil und macht Stunts, während die Leute ihn beobachten.")</f>
        <v>Ein Mann geht weiter und springt auf dem engen Seil und springt auf dem engen Seil und macht Stunts, während die Leute ihn beobachten.</v>
      </c>
    </row>
    <row r="16876">
      <c r="A16876" s="4" t="s">
        <v>21247</v>
      </c>
      <c r="B16876" s="4" t="s">
        <v>21254</v>
      </c>
      <c r="C16876" s="5" t="str">
        <f>IFERROR(__xludf.DUMMYFUNCTION("GOOGLETRANSLATE(B16876,""en"",""de"")"),"Es gibt ein Fahrrad auf den Boden, wobei sich die Räder schnell drehen.")</f>
        <v>Es gibt ein Fahrrad auf den Boden, wobei sich die Räder schnell drehen.</v>
      </c>
    </row>
    <row r="16877">
      <c r="A16877" s="4" t="s">
        <v>21255</v>
      </c>
      <c r="B16877" s="4" t="s">
        <v>21256</v>
      </c>
      <c r="C16877" s="5" t="str">
        <f>IFERROR(__xludf.DUMMYFUNCTION("GOOGLETRANSLATE(B16877,""en"",""de"")"),"Ein Mann schneidet die Hecke eines Hauses mit einem Trimmer.")</f>
        <v>Ein Mann schneidet die Hecke eines Hauses mit einem Trimmer.</v>
      </c>
    </row>
    <row r="16878">
      <c r="A16878" s="4" t="s">
        <v>21255</v>
      </c>
      <c r="B16878" s="4" t="s">
        <v>21257</v>
      </c>
      <c r="C16878" s="5" t="str">
        <f>IFERROR(__xludf.DUMMYFUNCTION("GOOGLETRANSLATE(B16878,""en"",""de"")"),"Der Mann hört auf zu schneiden und zieht den Draht des Trimmers und schneidet weiter.")</f>
        <v>Der Mann hört auf zu schneiden und zieht den Draht des Trimmers und schneidet weiter.</v>
      </c>
    </row>
    <row r="16879">
      <c r="A16879" s="4" t="s">
        <v>21258</v>
      </c>
      <c r="B16879" s="4" t="s">
        <v>21259</v>
      </c>
      <c r="C16879" s="5" t="str">
        <f>IFERROR(__xludf.DUMMYFUNCTION("GOOGLETRANSLATE(B16879,""en"",""de"")"),"Ein kleiner Junge sitzt auf einem Stuhl, der mit der Kamera spricht.")</f>
        <v>Ein kleiner Junge sitzt auf einem Stuhl, der mit der Kamera spricht.</v>
      </c>
    </row>
    <row r="16880">
      <c r="A16880" s="4" t="s">
        <v>21258</v>
      </c>
      <c r="B16880" s="4" t="s">
        <v>21260</v>
      </c>
      <c r="C16880" s="5" t="str">
        <f>IFERROR(__xludf.DUMMYFUNCTION("GOOGLETRANSLATE(B16880,""en"",""de"")"),"Er zeigt, dass sein Arm in einer Besetzung ist und seine Socken und Schuhe anzieht.")</f>
        <v>Er zeigt, dass sein Arm in einer Besetzung ist und seine Socken und Schuhe anzieht.</v>
      </c>
    </row>
    <row r="16881">
      <c r="A16881" s="4" t="s">
        <v>21258</v>
      </c>
      <c r="B16881" s="4" t="s">
        <v>21261</v>
      </c>
      <c r="C16881" s="5" t="str">
        <f>IFERROR(__xludf.DUMMYFUNCTION("GOOGLETRANSLATE(B16881,""en"",""de"")"),"Er bindet schließlich seine Schuhe und schaut zurück in die Kamera.")</f>
        <v>Er bindet schließlich seine Schuhe und schaut zurück in die Kamera.</v>
      </c>
    </row>
    <row r="16882">
      <c r="A16882" s="4" t="s">
        <v>21262</v>
      </c>
      <c r="B16882" s="4" t="s">
        <v>21263</v>
      </c>
      <c r="C16882" s="5" t="str">
        <f>IFERROR(__xludf.DUMMYFUNCTION("GOOGLETRANSLATE(B16882,""en"",""de"")"),"Ein paar Kinder sind angezogen, um auf Dirtbikes auszugehen.")</f>
        <v>Ein paar Kinder sind angezogen, um auf Dirtbikes auszugehen.</v>
      </c>
    </row>
    <row r="16883">
      <c r="A16883" s="4" t="s">
        <v>21262</v>
      </c>
      <c r="B16883" s="4" t="s">
        <v>21264</v>
      </c>
      <c r="C16883" s="5" t="str">
        <f>IFERROR(__xludf.DUMMYFUNCTION("GOOGLETRANSLATE(B16883,""en"",""de"")"),"Die Kinder springen und machen schnelle Kurven.")</f>
        <v>Die Kinder springen und machen schnelle Kurven.</v>
      </c>
    </row>
    <row r="16884">
      <c r="A16884" s="4" t="s">
        <v>21262</v>
      </c>
      <c r="B16884" s="4" t="s">
        <v>21265</v>
      </c>
      <c r="C16884" s="5" t="str">
        <f>IFERROR(__xludf.DUMMYFUNCTION("GOOGLETRANSLATE(B16884,""en"",""de"")"),"Eine Bordkamera erfasst den ganzen Spaß.")</f>
        <v>Eine Bordkamera erfasst den ganzen Spaß.</v>
      </c>
    </row>
    <row r="16885">
      <c r="A16885" s="4" t="s">
        <v>21266</v>
      </c>
      <c r="B16885" s="4" t="s">
        <v>21267</v>
      </c>
      <c r="C16885" s="5" t="str">
        <f>IFERROR(__xludf.DUMMYFUNCTION("GOOGLETRANSLATE(B16885,""en"",""de"")"),"Ein junger Mann malt den Zaun.")</f>
        <v>Ein junger Mann malt den Zaun.</v>
      </c>
    </row>
    <row r="16886">
      <c r="A16886" s="4" t="s">
        <v>21266</v>
      </c>
      <c r="B16886" s="4" t="s">
        <v>21268</v>
      </c>
      <c r="C16886" s="5" t="str">
        <f>IFERROR(__xludf.DUMMYFUNCTION("GOOGLETRANSLATE(B16886,""en"",""de"")"),"Ein Mann im weißen Hemd kam zu dem Mann in Streifen und sprach mit ihm.")</f>
        <v>Ein Mann im weißen Hemd kam zu dem Mann in Streifen und sprach mit ihm.</v>
      </c>
    </row>
    <row r="16887">
      <c r="A16887" s="4" t="s">
        <v>21266</v>
      </c>
      <c r="B16887" s="4" t="s">
        <v>21269</v>
      </c>
      <c r="C16887" s="5" t="str">
        <f>IFERROR(__xludf.DUMMYFUNCTION("GOOGLETRANSLATE(B16887,""en"",""de"")"),"Der Mann in Streifen hat das Brot gemalt, dann spricht er in seinem Handy.")</f>
        <v>Der Mann in Streifen hat das Brot gemalt, dann spricht er in seinem Handy.</v>
      </c>
    </row>
    <row r="16888">
      <c r="A16888" s="4" t="s">
        <v>21270</v>
      </c>
      <c r="B16888" s="4" t="s">
        <v>21271</v>
      </c>
      <c r="C16888" s="5" t="str">
        <f>IFERROR(__xludf.DUMMYFUNCTION("GOOGLETRANSLATE(B16888,""en"",""de"")"),"An einem sonnigen Tag segeln zwei Personen auf einem Schnellboot durch den Ozean.")</f>
        <v>An einem sonnigen Tag segeln zwei Personen auf einem Schnellboot durch den Ozean.</v>
      </c>
    </row>
    <row r="16889">
      <c r="A16889" s="4" t="s">
        <v>21270</v>
      </c>
      <c r="B16889" s="4" t="s">
        <v>21272</v>
      </c>
      <c r="C16889" s="5" t="str">
        <f>IFERROR(__xludf.DUMMYFUNCTION("GOOGLETRANSLATE(B16889,""en"",""de"")"),"Sie gehen stetig und mit hoher Geschwindigkeit durch das Meerwasser.")</f>
        <v>Sie gehen stetig und mit hoher Geschwindigkeit durch das Meerwasser.</v>
      </c>
    </row>
    <row r="16890">
      <c r="A16890" s="4" t="s">
        <v>21270</v>
      </c>
      <c r="B16890" s="4" t="s">
        <v>21273</v>
      </c>
      <c r="C16890" s="5" t="str">
        <f>IFERROR(__xludf.DUMMYFUNCTION("GOOGLETRANSLATE(B16890,""en"",""de"")"),"Einer der Seeleute zieht ein rotes Seil, als er auf dem Dampfboot Bretter aufweckt.")</f>
        <v>Einer der Seeleute zieht ein rotes Seil, als er auf dem Dampfboot Bretter aufweckt.</v>
      </c>
    </row>
    <row r="16891">
      <c r="A16891" s="4" t="s">
        <v>21270</v>
      </c>
      <c r="B16891" s="4" t="s">
        <v>21274</v>
      </c>
      <c r="C16891" s="5" t="str">
        <f>IFERROR(__xludf.DUMMYFUNCTION("GOOGLETRANSLATE(B16891,""en"",""de"")"),"Sie beschleunigen durch das Wasser, um ein anderes Boot einzuholen, das vor ihnen liegt.")</f>
        <v>Sie beschleunigen durch das Wasser, um ein anderes Boot einzuholen, das vor ihnen liegt.</v>
      </c>
    </row>
    <row r="16892">
      <c r="A16892" s="4" t="s">
        <v>21270</v>
      </c>
      <c r="B16892" s="4" t="s">
        <v>21275</v>
      </c>
      <c r="C16892" s="5" t="str">
        <f>IFERROR(__xludf.DUMMYFUNCTION("GOOGLETRANSLATE(B16892,""en"",""de"")"),"Mehrere andere Dampfboote gehen an ihnen vorbei, während sie durch den Ozean segeln.")</f>
        <v>Mehrere andere Dampfboote gehen an ihnen vorbei, während sie durch den Ozean segeln.</v>
      </c>
    </row>
    <row r="16893">
      <c r="A16893" s="4" t="s">
        <v>21276</v>
      </c>
      <c r="B16893" s="4" t="s">
        <v>21277</v>
      </c>
      <c r="C16893" s="5" t="str">
        <f>IFERROR(__xludf.DUMMYFUNCTION("GOOGLETRANSLATE(B16893,""en"",""de"")"),"Eine Frau ist in einem Heim -Fitnessstudio und spricht mit der Kamera.")</f>
        <v>Eine Frau ist in einem Heim -Fitnessstudio und spricht mit der Kamera.</v>
      </c>
    </row>
    <row r="16894">
      <c r="A16894" s="4" t="s">
        <v>21276</v>
      </c>
      <c r="B16894" s="4" t="s">
        <v>21278</v>
      </c>
      <c r="C16894" s="5" t="str">
        <f>IFERROR(__xludf.DUMMYFUNCTION("GOOGLETRANSLATE(B16894,""en"",""de"")"),"Sie zeigt, wie man Bewegungsausrüstung verwendet, Seile tritt und zieht, auch wenn man an einem Computer sitzt.")</f>
        <v>Sie zeigt, wie man Bewegungsausrüstung verwendet, Seile tritt und zieht, auch wenn man an einem Computer sitzt.</v>
      </c>
    </row>
    <row r="16895">
      <c r="A16895" s="4" t="s">
        <v>21276</v>
      </c>
      <c r="B16895" s="4" t="s">
        <v>21279</v>
      </c>
      <c r="C16895" s="5" t="str">
        <f>IFERROR(__xludf.DUMMYFUNCTION("GOOGLETRANSLATE(B16895,""en"",""de"")"),"Sie spricht über einen längeren Zeitraum mit der Kamera, gespickt mit Training auf der Ausrüstung.")</f>
        <v>Sie spricht über einen längeren Zeitraum mit der Kamera, gespickt mit Training auf der Ausrüstung.</v>
      </c>
    </row>
    <row r="16896">
      <c r="A16896" s="4" t="s">
        <v>21280</v>
      </c>
      <c r="B16896" s="4" t="s">
        <v>21281</v>
      </c>
      <c r="C16896" s="5" t="str">
        <f>IFERROR(__xludf.DUMMYFUNCTION("GOOGLETRANSLATE(B16896,""en"",""de"")"),"Das Publikum schaut nach den Spielen.")</f>
        <v>Das Publikum schaut nach den Spielen.</v>
      </c>
    </row>
    <row r="16897">
      <c r="A16897" s="4" t="s">
        <v>21280</v>
      </c>
      <c r="B16897" s="4" t="s">
        <v>21282</v>
      </c>
      <c r="C16897" s="5" t="str">
        <f>IFERROR(__xludf.DUMMYFUNCTION("GOOGLETRANSLATE(B16897,""en"",""de"")"),"Ein Mann rennt mit einem dünnen, länglichen Stock und wirft den Stock.")</f>
        <v>Ein Mann rennt mit einem dünnen, länglichen Stock und wirft den Stock.</v>
      </c>
    </row>
    <row r="16898">
      <c r="A16898" s="4" t="s">
        <v>21280</v>
      </c>
      <c r="B16898" s="4" t="s">
        <v>21283</v>
      </c>
      <c r="C16898" s="5" t="str">
        <f>IFERROR(__xludf.DUMMYFUNCTION("GOOGLETRANSLATE(B16898,""en"",""de"")"),"Der Typ streckt seine Zunge heraus.")</f>
        <v>Der Typ streckt seine Zunge heraus.</v>
      </c>
    </row>
    <row r="16899">
      <c r="A16899" s="4" t="s">
        <v>21280</v>
      </c>
      <c r="B16899" s="4" t="s">
        <v>21284</v>
      </c>
      <c r="C16899" s="5" t="str">
        <f>IFERROR(__xludf.DUMMYFUNCTION("GOOGLETRANSLATE(B16899,""en"",""de"")"),"Der Typ hält seine Lippen zusammen und hebt seine Hand.")</f>
        <v>Der Typ hält seine Lippen zusammen und hebt seine Hand.</v>
      </c>
    </row>
    <row r="16900">
      <c r="A16900" s="4" t="s">
        <v>21280</v>
      </c>
      <c r="B16900" s="4" t="s">
        <v>21285</v>
      </c>
      <c r="C16900" s="5" t="str">
        <f>IFERROR(__xludf.DUMMYFUNCTION("GOOGLETRANSLATE(B16900,""en"",""de"")"),"Der Typ lächelt und legt ein Tuch ab.")</f>
        <v>Der Typ lächelt und legt ein Tuch ab.</v>
      </c>
    </row>
    <row r="16901">
      <c r="A16901" s="4" t="s">
        <v>21286</v>
      </c>
      <c r="B16901" s="4" t="s">
        <v>21287</v>
      </c>
      <c r="C16901" s="5" t="str">
        <f>IFERROR(__xludf.DUMMYFUNCTION("GOOGLETRANSLATE(B16901,""en"",""de"")"),"Die Scottish Archery Association hat sich in ihrer Reichweite versammelt, wobei mehrere Personen bereit sind, an einer Veranstaltung teilzunehmen.")</f>
        <v>Die Scottish Archery Association hat sich in ihrer Reichweite versammelt, wobei mehrere Personen bereit sind, an einer Veranstaltung teilzunehmen.</v>
      </c>
    </row>
    <row r="16902">
      <c r="A16902" s="4" t="s">
        <v>21286</v>
      </c>
      <c r="B16902" s="4" t="s">
        <v>21288</v>
      </c>
      <c r="C16902" s="5" t="str">
        <f>IFERROR(__xludf.DUMMYFUNCTION("GOOGLETRANSLATE(B16902,""en"",""de"")"),"Die Teilnehmer wechseln sich ab, um ihren Bogen und ihren Pfeil zu nutzen, um Kunst zu zielen, die die Zielplatte mehrere Meter von ihnen entfernt platzierte.")</f>
        <v>Die Teilnehmer wechseln sich ab, um ihren Bogen und ihren Pfeil zu nutzen, um Kunst zu zielen, die die Zielplatte mehrere Meter von ihnen entfernt platzierte.</v>
      </c>
    </row>
    <row r="16903">
      <c r="A16903" s="4" t="s">
        <v>21286</v>
      </c>
      <c r="B16903" s="4" t="s">
        <v>21289</v>
      </c>
      <c r="C16903" s="5" t="str">
        <f>IFERROR(__xludf.DUMMYFUNCTION("GOOGLETRANSLATE(B16903,""en"",""de"")"),"Die Bogenschützen zielen auf ihre Pfeile und schießen auf das Ziel, um das Bulls -Auge zu zielen.")</f>
        <v>Die Bogenschützen zielen auf ihre Pfeile und schießen auf das Ziel, um das Bulls -Auge zu zielen.</v>
      </c>
    </row>
    <row r="16904">
      <c r="A16904" s="4" t="s">
        <v>21290</v>
      </c>
      <c r="B16904" s="4" t="s">
        <v>21291</v>
      </c>
      <c r="C16904" s="5" t="str">
        <f>IFERROR(__xludf.DUMMYFUNCTION("GOOGLETRANSLATE(B16904,""en"",""de"")"),"Eine Person läuft entlang einer lockeren Linie.")</f>
        <v>Eine Person läuft entlang einer lockeren Linie.</v>
      </c>
    </row>
    <row r="16905">
      <c r="A16905" s="4" t="s">
        <v>21290</v>
      </c>
      <c r="B16905" s="4" t="s">
        <v>21292</v>
      </c>
      <c r="C16905" s="5" t="str">
        <f>IFERROR(__xludf.DUMMYFUNCTION("GOOGLETRANSLATE(B16905,""en"",""de"")"),"Sie bewegen sich auf der Slack -Linie hin und her.")</f>
        <v>Sie bewegen sich auf der Slack -Linie hin und her.</v>
      </c>
    </row>
    <row r="16906">
      <c r="A16906" s="4" t="s">
        <v>21290</v>
      </c>
      <c r="B16906" s="4" t="s">
        <v>21293</v>
      </c>
      <c r="C16906" s="5" t="str">
        <f>IFERROR(__xludf.DUMMYFUNCTION("GOOGLETRANSLATE(B16906,""en"",""de"")"),"Er dreht sich um und geht in die andere Richtung.")</f>
        <v>Er dreht sich um und geht in die andere Richtung.</v>
      </c>
    </row>
    <row r="16907">
      <c r="A16907" s="4" t="s">
        <v>21294</v>
      </c>
      <c r="B16907" s="4" t="s">
        <v>21295</v>
      </c>
      <c r="C16907" s="5" t="str">
        <f>IFERROR(__xludf.DUMMYFUNCTION("GOOGLETRANSLATE(B16907,""en"",""de"")"),"Ein Mann und eine Frau führen verschiedene Tanzbewegungen zurück und den vierten Platz in einem leeren Raum.")</f>
        <v>Ein Mann und eine Frau führen verschiedene Tanzbewegungen zurück und den vierten Platz in einem leeren Raum.</v>
      </c>
    </row>
    <row r="16908">
      <c r="A16908" s="4" t="s">
        <v>21294</v>
      </c>
      <c r="B16908" s="4" t="s">
        <v>21296</v>
      </c>
      <c r="C16908" s="5" t="str">
        <f>IFERROR(__xludf.DUMMYFUNCTION("GOOGLETRANSLATE(B16908,""en"",""de"")"),"Das Paar dreht sich weiter und führt die Tango -Routine durch, während der Mann sie hinter ihm herumschleudert.")</f>
        <v>Das Paar dreht sich weiter und führt die Tango -Routine durch, während der Mann sie hinter ihm herumschleudert.</v>
      </c>
    </row>
    <row r="16909">
      <c r="A16909" s="4" t="s">
        <v>21297</v>
      </c>
      <c r="B16909" s="4" t="s">
        <v>21298</v>
      </c>
      <c r="C16909" s="5" t="str">
        <f>IFERROR(__xludf.DUMMYFUNCTION("GOOGLETRANSLATE(B16909,""en"",""de"")"),"Ein Mann spricht mit der Kamera, während er einen Draht in seinen Händen hält.")</f>
        <v>Ein Mann spricht mit der Kamera, während er einen Draht in seinen Händen hält.</v>
      </c>
    </row>
    <row r="16910">
      <c r="A16910" s="4" t="s">
        <v>21297</v>
      </c>
      <c r="B16910" s="4" t="s">
        <v>21299</v>
      </c>
      <c r="C16910" s="5" t="str">
        <f>IFERROR(__xludf.DUMMYFUNCTION("GOOGLETRANSLATE(B16910,""en"",""de"")"),"Er spricht weiterhin, während er seine Hände benutzt und durch einen Teppichbereich tritt.")</f>
        <v>Er spricht weiterhin, während er seine Hände benutzt und durch einen Teppichbereich tritt.</v>
      </c>
    </row>
    <row r="16911">
      <c r="A16911" s="4" t="s">
        <v>21297</v>
      </c>
      <c r="B16911" s="4" t="s">
        <v>21300</v>
      </c>
      <c r="C16911" s="5" t="str">
        <f>IFERROR(__xludf.DUMMYFUNCTION("GOOGLETRANSLATE(B16911,""en"",""de"")"),"Anschließend verwendet er ein Vakuum auf den Böden, während er immer noch mit der Kamera spricht.")</f>
        <v>Anschließend verwendet er ein Vakuum auf den Böden, während er immer noch mit der Kamera spricht.</v>
      </c>
    </row>
    <row r="16912">
      <c r="A16912" s="4" t="s">
        <v>21301</v>
      </c>
      <c r="B16912" s="4" t="s">
        <v>21302</v>
      </c>
      <c r="C16912" s="5" t="str">
        <f>IFERROR(__xludf.DUMMYFUNCTION("GOOGLETRANSLATE(B16912,""en"",""de"")"),"Ein Clip zeigt ein paar Menschen aus Weißwasser, die einige ziemlich harte Flussströme raften.")</f>
        <v>Ein Clip zeigt ein paar Menschen aus Weißwasser, die einige ziemlich harte Flussströme raften.</v>
      </c>
    </row>
    <row r="16913">
      <c r="A16913" s="4" t="s">
        <v>21301</v>
      </c>
      <c r="B16913" s="4" t="s">
        <v>21303</v>
      </c>
      <c r="C16913" s="5" t="str">
        <f>IFERROR(__xludf.DUMMYFUNCTION("GOOGLETRANSLATE(B16913,""en"",""de"")"),"Sie arbeiten unisono und es ist sehr rau.")</f>
        <v>Sie arbeiten unisono und es ist sehr rau.</v>
      </c>
    </row>
    <row r="16914">
      <c r="A16914" s="4" t="s">
        <v>21301</v>
      </c>
      <c r="B16914" s="4" t="s">
        <v>21304</v>
      </c>
      <c r="C16914" s="5" t="str">
        <f>IFERROR(__xludf.DUMMYFUNCTION("GOOGLETRANSLATE(B16914,""en"",""de"")"),"Sie schlagen fast einen Felsen, als sie alle sehr hart paddeln.")</f>
        <v>Sie schlagen fast einen Felsen, als sie alle sehr hart paddeln.</v>
      </c>
    </row>
    <row r="16915">
      <c r="A16915" s="4" t="s">
        <v>21301</v>
      </c>
      <c r="B16915" s="4" t="s">
        <v>21305</v>
      </c>
      <c r="C16915" s="5" t="str">
        <f>IFERROR(__xludf.DUMMYFUNCTION("GOOGLETRANSLATE(B16915,""en"",""de"")"),"Eine immer noch Show von ihnen, nachdem sie es geschafft haben, wird gezeigt, wenn sie jubeln.")</f>
        <v>Eine immer noch Show von ihnen, nachdem sie es geschafft haben, wird gezeigt, wenn sie jubeln.</v>
      </c>
    </row>
    <row r="16916">
      <c r="A16916" s="4" t="s">
        <v>21301</v>
      </c>
      <c r="B16916" s="4" t="s">
        <v>21306</v>
      </c>
      <c r="C16916" s="5" t="str">
        <f>IFERROR(__xludf.DUMMYFUNCTION("GOOGLETRANSLATE(B16916,""en"",""de"")"),"Anschließend wird ein Schuss von ihnen in Zeitlupe der schwierigsten Teile gezeigt.")</f>
        <v>Anschließend wird ein Schuss von ihnen in Zeitlupe der schwierigsten Teile gezeigt.</v>
      </c>
    </row>
    <row r="16917">
      <c r="A16917" s="4" t="s">
        <v>21301</v>
      </c>
      <c r="B16917" s="4" t="s">
        <v>21307</v>
      </c>
      <c r="C16917" s="5" t="str">
        <f>IFERROR(__xludf.DUMMYFUNCTION("GOOGLETRANSLATE(B16917,""en"",""de"")"),"Das Video zeigt mehr Zeitlupe und schnelle Bewegung, bevor sie zu Ende geht und Endgutschrift und einen YouTube -Kanalnamen angezeigt wird.")</f>
        <v>Das Video zeigt mehr Zeitlupe und schnelle Bewegung, bevor sie zu Ende geht und Endgutschrift und einen YouTube -Kanalnamen angezeigt wird.</v>
      </c>
    </row>
    <row r="16918">
      <c r="A16918" s="4" t="s">
        <v>21308</v>
      </c>
      <c r="B16918" s="4" t="s">
        <v>21309</v>
      </c>
      <c r="C16918" s="5" t="str">
        <f>IFERROR(__xludf.DUMMYFUNCTION("GOOGLETRANSLATE(B16918,""en"",""de"")"),"Eine Dame steht und hält einen Hammer.")</f>
        <v>Eine Dame steht und hält einen Hammer.</v>
      </c>
    </row>
    <row r="16919">
      <c r="A16919" s="4" t="s">
        <v>21308</v>
      </c>
      <c r="B16919" s="4" t="s">
        <v>21310</v>
      </c>
      <c r="C16919" s="5" t="str">
        <f>IFERROR(__xludf.DUMMYFUNCTION("GOOGLETRANSLATE(B16919,""en"",""de"")"),"Die Dame dreht sich mit dem Hammer und wirft den Hammer.")</f>
        <v>Die Dame dreht sich mit dem Hammer und wirft den Hammer.</v>
      </c>
    </row>
    <row r="16920">
      <c r="A16920" s="4" t="s">
        <v>21308</v>
      </c>
      <c r="B16920" s="4" t="s">
        <v>21311</v>
      </c>
      <c r="C16920" s="5" t="str">
        <f>IFERROR(__xludf.DUMMYFUNCTION("GOOGLETRANSLATE(B16920,""en"",""de"")"),"Die Dame geht, nachdem er den Hammer freigelassen hat.")</f>
        <v>Die Dame geht, nachdem er den Hammer freigelassen hat.</v>
      </c>
    </row>
    <row r="16921">
      <c r="A16921" s="4" t="s">
        <v>21312</v>
      </c>
      <c r="B16921" s="4" t="s">
        <v>21313</v>
      </c>
      <c r="C16921" s="5" t="str">
        <f>IFERROR(__xludf.DUMMYFUNCTION("GOOGLETRANSLATE(B16921,""en"",""de"")"),"Kinder spielen in einem Olimpic Pool und eine Frau spricht mit der Kamera.")</f>
        <v>Kinder spielen in einem Olimpic Pool und eine Frau spricht mit der Kamera.</v>
      </c>
    </row>
    <row r="16922">
      <c r="A16922" s="4" t="s">
        <v>21312</v>
      </c>
      <c r="B16922" s="4" t="s">
        <v>21314</v>
      </c>
      <c r="C16922" s="5" t="str">
        <f>IFERROR(__xludf.DUMMYFUNCTION("GOOGLETRANSLATE(B16922,""en"",""de"")"),"Kid verwendet Sonnenschutzmittel und eine Frau spricht über Coppertone Sonnenschutzmittel, die für Kinder empfohlen werden.")</f>
        <v>Kid verwendet Sonnenschutzmittel und eine Frau spricht über Coppertone Sonnenschutzmittel, die für Kinder empfohlen werden.</v>
      </c>
    </row>
    <row r="16923">
      <c r="A16923" s="4" t="s">
        <v>21315</v>
      </c>
      <c r="B16923" s="4" t="s">
        <v>21316</v>
      </c>
      <c r="C16923" s="5" t="str">
        <f>IFERROR(__xludf.DUMMYFUNCTION("GOOGLETRANSLATE(B16923,""en"",""de"")"),"Ein Mann spricht ein Mikrofon mit einem Mikrofon, dann führt der Mann Armringen mit einer Person durch.")</f>
        <v>Ein Mann spricht ein Mikrofon mit einem Mikrofon, dann führt der Mann Armringen mit einer Person durch.</v>
      </c>
    </row>
    <row r="16924">
      <c r="A16924" s="4" t="s">
        <v>21315</v>
      </c>
      <c r="B16924" s="4" t="s">
        <v>21317</v>
      </c>
      <c r="C16924" s="5" t="str">
        <f>IFERROR(__xludf.DUMMYFUNCTION("GOOGLETRANSLATE(B16924,""en"",""de"")"),"Der Mann schnappt sich ein Gewicht und übt mit seiner linken Hand das Gewichtsheben.")</f>
        <v>Der Mann schnappt sich ein Gewicht und übt mit seiner linken Hand das Gewichtsheben.</v>
      </c>
    </row>
    <row r="16925">
      <c r="A16925" s="4" t="s">
        <v>21315</v>
      </c>
      <c r="B16925" s="4" t="s">
        <v>21318</v>
      </c>
      <c r="C16925" s="5" t="str">
        <f>IFERROR(__xludf.DUMMYFUNCTION("GOOGLETRANSLATE(B16925,""en"",""de"")"),"Danach nimmt der Mann seine Uhr ab und führt Armringen mit der Person durch und gewinnt dann, dann springt er glücklich.")</f>
        <v>Danach nimmt der Mann seine Uhr ab und führt Armringen mit der Person durch und gewinnt dann, dann springt er glücklich.</v>
      </c>
    </row>
    <row r="16926">
      <c r="A16926" s="4" t="s">
        <v>21319</v>
      </c>
      <c r="B16926" s="4" t="s">
        <v>21320</v>
      </c>
      <c r="C16926" s="5" t="str">
        <f>IFERROR(__xludf.DUMMYFUNCTION("GOOGLETRANSLATE(B16926,""en"",""de"")"),"Eine Drum -Linie findet in einer Stadtstraße statt.")</f>
        <v>Eine Drum -Linie findet in einer Stadtstraße statt.</v>
      </c>
    </row>
    <row r="16927">
      <c r="A16927" s="4" t="s">
        <v>21319</v>
      </c>
      <c r="B16927" s="4" t="s">
        <v>21321</v>
      </c>
      <c r="C16927" s="5" t="str">
        <f>IFERROR(__xludf.DUMMYFUNCTION("GOOGLETRANSLATE(B16927,""en"",""de"")"),"Sie fangen an, dann die Straße entlang zu marschieren.")</f>
        <v>Sie fangen an, dann die Straße entlang zu marschieren.</v>
      </c>
    </row>
    <row r="16928">
      <c r="A16928" s="4" t="s">
        <v>21322</v>
      </c>
      <c r="B16928" s="4" t="s">
        <v>21323</v>
      </c>
      <c r="C16928" s="5" t="str">
        <f>IFERROR(__xludf.DUMMYFUNCTION("GOOGLETRANSLATE(B16928,""en"",""de"")"),"Ein Mann bowmt und vermisst einen Stift mit seinem ersten Ball.")</f>
        <v>Ein Mann bowmt und vermisst einen Stift mit seinem ersten Ball.</v>
      </c>
    </row>
    <row r="16929">
      <c r="A16929" s="4" t="s">
        <v>21322</v>
      </c>
      <c r="B16929" s="4" t="s">
        <v>21324</v>
      </c>
      <c r="C16929" s="5" t="str">
        <f>IFERROR(__xludf.DUMMYFUNCTION("GOOGLETRANSLATE(B16929,""en"",""de"")"),"Er bekommt alle Streiks für die nächsten sechs Runden.")</f>
        <v>Er bekommt alle Streiks für die nächsten sechs Runden.</v>
      </c>
    </row>
    <row r="16930">
      <c r="A16930" s="4" t="s">
        <v>21322</v>
      </c>
      <c r="B16930" s="4" t="s">
        <v>21325</v>
      </c>
      <c r="C16930" s="5" t="str">
        <f>IFERROR(__xludf.DUMMYFUNCTION("GOOGLETRANSLATE(B16930,""en"",""de"")"),"Der Mann wechselt Bälle und spüelt mehrere weitere Runden, die größtenteils Schläge bekommen.")</f>
        <v>Der Mann wechselt Bälle und spüelt mehrere weitere Runden, die größtenteils Schläge bekommen.</v>
      </c>
    </row>
    <row r="16931">
      <c r="A16931" s="4" t="s">
        <v>21322</v>
      </c>
      <c r="B16931" s="4" t="s">
        <v>21326</v>
      </c>
      <c r="C16931" s="5" t="str">
        <f>IFERROR(__xludf.DUMMYFUNCTION("GOOGLETRANSLATE(B16931,""en"",""de"")"),"Er wechselt seinen Ball wieder und spült zwei weitere Streiks.")</f>
        <v>Er wechselt seinen Ball wieder und spült zwei weitere Streiks.</v>
      </c>
    </row>
    <row r="16932">
      <c r="A16932" s="4" t="s">
        <v>21322</v>
      </c>
      <c r="B16932" s="4" t="s">
        <v>21327</v>
      </c>
      <c r="C16932" s="5" t="str">
        <f>IFERROR(__xludf.DUMMYFUNCTION("GOOGLETRANSLATE(B16932,""en"",""de"")"),"Eine Wiederholung des Mannes mit jedem Ball wird gezeigt.")</f>
        <v>Eine Wiederholung des Mannes mit jedem Ball wird gezeigt.</v>
      </c>
    </row>
    <row r="16933">
      <c r="A16933" s="4" t="s">
        <v>21328</v>
      </c>
      <c r="B16933" s="4" t="s">
        <v>21329</v>
      </c>
      <c r="C16933" s="5" t="str">
        <f>IFERROR(__xludf.DUMMYFUNCTION("GOOGLETRANSLATE(B16933,""en"",""de"")"),"Die Leute sind in einer Stadt, die spazieren geht, redet und Aktivitäten durchführt.")</f>
        <v>Die Leute sind in einer Stadt, die spazieren geht, redet und Aktivitäten durchführt.</v>
      </c>
    </row>
    <row r="16934">
      <c r="A16934" s="4" t="s">
        <v>21328</v>
      </c>
      <c r="B16934" s="4" t="s">
        <v>21330</v>
      </c>
      <c r="C16934" s="5" t="str">
        <f>IFERROR(__xludf.DUMMYFUNCTION("GOOGLETRANSLATE(B16934,""en"",""de"")"),"Zwei Männer spielen auf der Straßenpapier, einer Schere und Stein auf anderen Menschen.")</f>
        <v>Zwei Männer spielen auf der Straßenpapier, einer Schere und Stein auf anderen Menschen.</v>
      </c>
    </row>
    <row r="16935">
      <c r="A16935" s="4" t="s">
        <v>21328</v>
      </c>
      <c r="B16935" s="4" t="s">
        <v>21331</v>
      </c>
      <c r="C16935" s="5" t="str">
        <f>IFERROR(__xludf.DUMMYFUNCTION("GOOGLETRANSLATE(B16935,""en"",""de"")"),"Ein Mann spricht mit Leuten, die ihn beobachten.")</f>
        <v>Ein Mann spricht mit Leuten, die ihn beobachten.</v>
      </c>
    </row>
    <row r="16936">
      <c r="A16936" s="4" t="s">
        <v>21332</v>
      </c>
      <c r="B16936" s="4" t="s">
        <v>21333</v>
      </c>
      <c r="C16936" s="5" t="str">
        <f>IFERROR(__xludf.DUMMYFUNCTION("GOOGLETRANSLATE(B16936,""en"",""de"")"),"Ein Mann wird in einem Schwimmbad gezeigt.")</f>
        <v>Ein Mann wird in einem Schwimmbad gezeigt.</v>
      </c>
    </row>
    <row r="16937">
      <c r="A16937" s="4" t="s">
        <v>21332</v>
      </c>
      <c r="B16937" s="4" t="s">
        <v>21334</v>
      </c>
      <c r="C16937" s="5" t="str">
        <f>IFERROR(__xludf.DUMMYFUNCTION("GOOGLETRANSLATE(B16937,""en"",""de"")"),"Er wirft einen Ball immer wieder zu seinem Hund.")</f>
        <v>Er wirft einen Ball immer wieder zu seinem Hund.</v>
      </c>
    </row>
    <row r="16938">
      <c r="A16938" s="4" t="s">
        <v>21332</v>
      </c>
      <c r="B16938" s="4" t="s">
        <v>21335</v>
      </c>
      <c r="C16938" s="5" t="str">
        <f>IFERROR(__xludf.DUMMYFUNCTION("GOOGLETRANSLATE(B16938,""en"",""de"")"),"Der Hund springt den Ball kontinuierlich mit seiner Nase zurück.")</f>
        <v>Der Hund springt den Ball kontinuierlich mit seiner Nase zurück.</v>
      </c>
    </row>
    <row r="16939">
      <c r="A16939" s="4" t="s">
        <v>21336</v>
      </c>
      <c r="B16939" s="4" t="s">
        <v>21337</v>
      </c>
      <c r="C16939" s="5" t="str">
        <f>IFERROR(__xludf.DUMMYFUNCTION("GOOGLETRANSLATE(B16939,""en"",""de"")"),"Eine Frau in einem grünen Hemd steht draußen und hält einen Hula -Reifen.")</f>
        <v>Eine Frau in einem grünen Hemd steht draußen und hält einen Hula -Reifen.</v>
      </c>
    </row>
    <row r="16940">
      <c r="A16940" s="4" t="s">
        <v>21336</v>
      </c>
      <c r="B16940" s="4" t="s">
        <v>21338</v>
      </c>
      <c r="C16940" s="5" t="str">
        <f>IFERROR(__xludf.DUMMYFUNCTION("GOOGLETRANSLATE(B16940,""en"",""de"")"),"Sie beginnt Hula Hoop mit dem Hula Hoop.")</f>
        <v>Sie beginnt Hula Hoop mit dem Hula Hoop.</v>
      </c>
    </row>
    <row r="16941">
      <c r="A16941" s="4" t="s">
        <v>21336</v>
      </c>
      <c r="B16941" s="4" t="s">
        <v>21339</v>
      </c>
      <c r="C16941" s="5" t="str">
        <f>IFERROR(__xludf.DUMMYFUNCTION("GOOGLETRANSLATE(B16941,""en"",""de"")"),"Wörter kommen am Ende auf den Bildschirm.")</f>
        <v>Wörter kommen am Ende auf den Bildschirm.</v>
      </c>
    </row>
    <row r="16942">
      <c r="A16942" s="4" t="s">
        <v>21340</v>
      </c>
      <c r="B16942" s="4" t="s">
        <v>21341</v>
      </c>
      <c r="C16942" s="5" t="str">
        <f>IFERROR(__xludf.DUMMYFUNCTION("GOOGLETRANSLATE(B16942,""en"",""de"")"),"Eine Gruppe von Menschen liegt vor einem Skigebiet mit dem Titel Boulder Ridge und beginnt, mit ihren Röhren in Einklang zu kommen.")</f>
        <v>Eine Gruppe von Menschen liegt vor einem Skigebiet mit dem Titel Boulder Ridge und beginnt, mit ihren Röhren in Einklang zu kommen.</v>
      </c>
    </row>
    <row r="16943">
      <c r="A16943" s="4" t="s">
        <v>21340</v>
      </c>
      <c r="B16943" s="4" t="s">
        <v>21342</v>
      </c>
      <c r="C16943" s="5" t="str">
        <f>IFERROR(__xludf.DUMMYFUNCTION("GOOGLETRANSLATE(B16943,""en"",""de"")"),"Während sie warten, können sie mehrere Leute den Hügel hinunter und Schläuche hinuntergehen sehen, bevor es endlich an der Reihe ist.")</f>
        <v>Während sie warten, können sie mehrere Leute den Hügel hinunter und Schläuche hinuntergehen sehen, bevor es endlich an der Reihe ist.</v>
      </c>
    </row>
    <row r="16944">
      <c r="A16944" s="4" t="s">
        <v>21340</v>
      </c>
      <c r="B16944" s="4" t="s">
        <v>21343</v>
      </c>
      <c r="C16944" s="5" t="str">
        <f>IFERROR(__xludf.DUMMYFUNCTION("GOOGLETRANSLATE(B16944,""en"",""de"")"),"Sobald sie den Boden erreicht haben, greifen sie nach ihrer Röhre und gehen vom Hang ab.")</f>
        <v>Sobald sie den Boden erreicht haben, greifen sie nach ihrer Röhre und gehen vom Hang ab.</v>
      </c>
    </row>
    <row r="16945">
      <c r="A16945" s="4" t="s">
        <v>21344</v>
      </c>
      <c r="B16945" s="4" t="s">
        <v>21345</v>
      </c>
      <c r="C16945" s="5" t="str">
        <f>IFERROR(__xludf.DUMMYFUNCTION("GOOGLETRANSLATE(B16945,""en"",""de"")"),"Ein Intro -Video mit einem blauen Bildschirm mit einem Bild eines gezogenen Schiffes befindet sich im Hintergrund, während gelbe Wörter von unten nach oben scrollen.")</f>
        <v>Ein Intro -Video mit einem blauen Bildschirm mit einem Bild eines gezogenen Schiffes befindet sich im Hintergrund, während gelbe Wörter von unten nach oben scrollen.</v>
      </c>
    </row>
    <row r="16946">
      <c r="A16946" s="4" t="s">
        <v>21344</v>
      </c>
      <c r="B16946" s="4" t="s">
        <v>21346</v>
      </c>
      <c r="C16946" s="5" t="str">
        <f>IFERROR(__xludf.DUMMYFUNCTION("GOOGLETRANSLATE(B16946,""en"",""de"")"),"Eine Aussicht vom Wasser beginnt und ein paar Häuser und viele Bäume werden an Land gezeigt.")</f>
        <v>Eine Aussicht vom Wasser beginnt und ein paar Häuser und viele Bäume werden an Land gezeigt.</v>
      </c>
    </row>
    <row r="16947">
      <c r="A16947" s="4" t="s">
        <v>21344</v>
      </c>
      <c r="B16947" s="4" t="s">
        <v>21347</v>
      </c>
      <c r="C16947" s="5" t="str">
        <f>IFERROR(__xludf.DUMMYFUNCTION("GOOGLETRANSLATE(B16947,""en"",""de"")"),"Eine Person unter Wasser im Schnorchelausrüstung schwimmt jetzt um den Boden des Wassers und trifft sich mit einem anderen Schnorchel. Beide gehen in ein Schiff, das sich unter Wasser befindet, da beide ihre Taschenlampen und Kameras halten, um das Schiff"&amp;" und alles andere am Boden zu erkunden das Wasser.")</f>
        <v>Eine Person unter Wasser im Schnorchelausrüstung schwimmt jetzt um den Boden des Wassers und trifft sich mit einem anderen Schnorchel. Beide gehen in ein Schiff, das sich unter Wasser befindet, da beide ihre Taschenlampen und Kameras halten, um das Schiff und alles andere am Boden zu erkunden das Wasser.</v>
      </c>
    </row>
    <row r="16948">
      <c r="A16948" s="4" t="s">
        <v>21344</v>
      </c>
      <c r="B16948" s="4" t="s">
        <v>21348</v>
      </c>
      <c r="C16948" s="5" t="str">
        <f>IFERROR(__xludf.DUMMYFUNCTION("GOOGLETRANSLATE(B16948,""en"",""de"")"),"Eine Fischschule erscheinen und sie schwimmen und hängen am Boot herum.")</f>
        <v>Eine Fischschule erscheinen und sie schwimmen und hängen am Boot herum.</v>
      </c>
    </row>
    <row r="16949">
      <c r="A16949" s="4" t="s">
        <v>21344</v>
      </c>
      <c r="B16949" s="4" t="s">
        <v>21349</v>
      </c>
      <c r="C16949" s="5" t="str">
        <f>IFERROR(__xludf.DUMMYFUNCTION("GOOGLETRANSLATE(B16949,""en"",""de"")"),"Der Fokus geht auf die Schnorcheln zurück, während sie den Bereich weiterhin mit ihren Taschenlampen erkunden.")</f>
        <v>Der Fokus geht auf die Schnorcheln zurück, während sie den Bereich weiterhin mit ihren Taschenlampen erkunden.</v>
      </c>
    </row>
    <row r="16950">
      <c r="A16950" s="4" t="s">
        <v>21344</v>
      </c>
      <c r="B16950" s="4" t="s">
        <v>21350</v>
      </c>
      <c r="C16950" s="5" t="str">
        <f>IFERROR(__xludf.DUMMYFUNCTION("GOOGLETRANSLATE(B16950,""en"",""de"")"),"Das Outro -Video wird angezeigt und es ist das gleiche blaue Bild wie das Intro und enthält einige Kontaktinformationen zum Video. Die Credits beginnen mit dem Text Scrollen von unten nach oben zu rollen.")</f>
        <v>Das Outro -Video wird angezeigt und es ist das gleiche blaue Bild wie das Intro und enthält einige Kontaktinformationen zum Video. Die Credits beginnen mit dem Text Scrollen von unten nach oben zu rollen.</v>
      </c>
    </row>
    <row r="16951">
      <c r="A16951" s="4" t="s">
        <v>21351</v>
      </c>
      <c r="B16951" s="4" t="s">
        <v>21352</v>
      </c>
      <c r="C16951" s="5" t="str">
        <f>IFERROR(__xludf.DUMMYFUNCTION("GOOGLETRANSLATE(B16951,""en"",""de"")"),"Ein Mann sitzt und spielt eine Gitarre.")</f>
        <v>Ein Mann sitzt und spielt eine Gitarre.</v>
      </c>
    </row>
    <row r="16952">
      <c r="A16952" s="4" t="s">
        <v>21351</v>
      </c>
      <c r="B16952" s="4" t="s">
        <v>21353</v>
      </c>
      <c r="C16952" s="5" t="str">
        <f>IFERROR(__xludf.DUMMYFUNCTION("GOOGLETRANSLATE(B16952,""en"",""de"")"),"Nahaufnahmen werden gelegentlich aus dem Instrument gezeigt und dann zurück zum Mann, der spielt.")</f>
        <v>Nahaufnahmen werden gelegentlich aus dem Instrument gezeigt und dann zurück zum Mann, der spielt.</v>
      </c>
    </row>
    <row r="16953">
      <c r="A16953" s="4" t="s">
        <v>21354</v>
      </c>
      <c r="B16953" s="4" t="s">
        <v>21355</v>
      </c>
      <c r="C16953" s="5" t="str">
        <f>IFERROR(__xludf.DUMMYFUNCTION("GOOGLETRANSLATE(B16953,""en"",""de"")"),"Die Leute spielen ein Polo -Match auf einem Feld.")</f>
        <v>Die Leute spielen ein Polo -Match auf einem Feld.</v>
      </c>
    </row>
    <row r="16954">
      <c r="A16954" s="4" t="s">
        <v>21354</v>
      </c>
      <c r="B16954" s="4" t="s">
        <v>21356</v>
      </c>
      <c r="C16954" s="5" t="str">
        <f>IFERROR(__xludf.DUMMYFUNCTION("GOOGLETRANSLATE(B16954,""en"",""de"")"),"Der Fokus liegt auf einem Mann und einem Pferd, die den Ball jagen.")</f>
        <v>Der Fokus liegt auf einem Mann und einem Pferd, die den Ball jagen.</v>
      </c>
    </row>
    <row r="16955">
      <c r="A16955" s="4" t="s">
        <v>21354</v>
      </c>
      <c r="B16955" s="4" t="s">
        <v>21357</v>
      </c>
      <c r="C16955" s="5" t="str">
        <f>IFERROR(__xludf.DUMMYFUNCTION("GOOGLETRANSLATE(B16955,""en"",""de"")"),"Die Kamera bleibt die ganze Zeit auf Nummer 2.")</f>
        <v>Die Kamera bleibt die ganze Zeit auf Nummer 2.</v>
      </c>
    </row>
    <row r="16956">
      <c r="A16956" s="4" t="s">
        <v>21358</v>
      </c>
      <c r="B16956" s="4" t="s">
        <v>21359</v>
      </c>
      <c r="C16956" s="5" t="str">
        <f>IFERROR(__xludf.DUMMYFUNCTION("GOOGLETRANSLATE(B16956,""en"",""de"")"),"Ein Mann namens Bob rennt und macht einen Weitsprung.")</f>
        <v>Ein Mann namens Bob rennt und macht einen Weitsprung.</v>
      </c>
    </row>
    <row r="16957">
      <c r="A16957" s="4" t="s">
        <v>21358</v>
      </c>
      <c r="B16957" s="4" t="s">
        <v>21360</v>
      </c>
      <c r="C16957" s="5" t="str">
        <f>IFERROR(__xludf.DUMMYFUNCTION("GOOGLETRANSLATE(B16957,""en"",""de"")"),"Er macht es wieder in etwas Sand.")</f>
        <v>Er macht es wieder in etwas Sand.</v>
      </c>
    </row>
    <row r="16958">
      <c r="A16958" s="4" t="s">
        <v>21358</v>
      </c>
      <c r="B16958" s="4" t="s">
        <v>21361</v>
      </c>
      <c r="C16958" s="5" t="str">
        <f>IFERROR(__xludf.DUMMYFUNCTION("GOOGLETRANSLATE(B16958,""en"",""de"")"),"Er macht diesen Lauf weiter und springt wieder wie ein Profi.")</f>
        <v>Er macht diesen Lauf weiter und springt wieder wie ein Profi.</v>
      </c>
    </row>
    <row r="16959">
      <c r="A16959" s="4" t="s">
        <v>21358</v>
      </c>
      <c r="B16959" s="4" t="s">
        <v>21362</v>
      </c>
      <c r="C16959" s="5" t="str">
        <f>IFERROR(__xludf.DUMMYFUNCTION("GOOGLETRANSLATE(B16959,""en"",""de"")"),"Dann wird ein anderer Mann namens Ralph als nächstes an der Reihe sein.")</f>
        <v>Dann wird ein anderer Mann namens Ralph als nächstes an der Reihe sein.</v>
      </c>
    </row>
    <row r="16960">
      <c r="A16960" s="4" t="s">
        <v>21363</v>
      </c>
      <c r="B16960" s="4" t="s">
        <v>21364</v>
      </c>
      <c r="C16960" s="5" t="str">
        <f>IFERROR(__xludf.DUMMYFUNCTION("GOOGLETRANSLATE(B16960,""en"",""de"")"),"Verschiedene Textintros führen zu mehreren Personen, die einen langen Track rennen.")</f>
        <v>Verschiedene Textintros führen zu mehreren Personen, die einen langen Track rennen.</v>
      </c>
    </row>
    <row r="16961">
      <c r="A16961" s="4" t="s">
        <v>21363</v>
      </c>
      <c r="B16961" s="4" t="s">
        <v>21365</v>
      </c>
      <c r="C16961" s="5" t="str">
        <f>IFERROR(__xludf.DUMMYFUNCTION("GOOGLETRANSLATE(B16961,""en"",""de"")"),"Die Kamera erfasst die Läufer aus mehreren Blickwinkeln und führt in sie, die Sprünge durchführen.")</f>
        <v>Die Kamera erfasst die Läufer aus mehreren Blickwinkeln und führt in sie, die Sprünge durchführen.</v>
      </c>
    </row>
    <row r="16962">
      <c r="A16962" s="4" t="s">
        <v>21363</v>
      </c>
      <c r="B16962" s="4" t="s">
        <v>21366</v>
      </c>
      <c r="C16962" s="5" t="str">
        <f>IFERROR(__xludf.DUMMYFUNCTION("GOOGLETRANSLATE(B16962,""en"",""de"")"),"Die Läufer springen kontinuierlich in die Grube und enden mit Text über den Bildschirm.")</f>
        <v>Die Läufer springen kontinuierlich in die Grube und enden mit Text über den Bildschirm.</v>
      </c>
    </row>
    <row r="16963">
      <c r="A16963" s="4" t="s">
        <v>21367</v>
      </c>
      <c r="B16963" s="4" t="s">
        <v>21368</v>
      </c>
      <c r="C16963" s="5" t="str">
        <f>IFERROR(__xludf.DUMMYFUNCTION("GOOGLETRANSLATE(B16963,""en"",""de"")"),"Eine Frau in einem roten Anzug spricht hinter einem Schreibtisch.")</f>
        <v>Eine Frau in einem roten Anzug spricht hinter einem Schreibtisch.</v>
      </c>
    </row>
    <row r="16964">
      <c r="A16964" s="4" t="s">
        <v>21367</v>
      </c>
      <c r="B16964" s="4" t="s">
        <v>21369</v>
      </c>
      <c r="C16964" s="5" t="str">
        <f>IFERROR(__xludf.DUMMYFUNCTION("GOOGLETRANSLATE(B16964,""en"",""de"")"),"Ein Mann steht auf und hält seinen Fuß zurück, der zurück ist.")</f>
        <v>Ein Mann steht auf und hält seinen Fuß zurück, der zurück ist.</v>
      </c>
    </row>
    <row r="16965">
      <c r="A16965" s="4" t="s">
        <v>21367</v>
      </c>
      <c r="B16965" s="4" t="s">
        <v>21370</v>
      </c>
      <c r="C16965" s="5" t="str">
        <f>IFERROR(__xludf.DUMMYFUNCTION("GOOGLETRANSLATE(B16965,""en"",""de"")"),"Die Leute rennen den Bürgersteig hinunter.")</f>
        <v>Die Leute rennen den Bürgersteig hinunter.</v>
      </c>
    </row>
    <row r="16966">
      <c r="A16966" s="4" t="s">
        <v>21367</v>
      </c>
      <c r="B16966" s="4" t="s">
        <v>21371</v>
      </c>
      <c r="C16966" s="5" t="str">
        <f>IFERROR(__xludf.DUMMYFUNCTION("GOOGLETRANSLATE(B16966,""en"",""de"")"),"Ein Mann in einem blauen Hemd spricht mit der Kamera.")</f>
        <v>Ein Mann in einem blauen Hemd spricht mit der Kamera.</v>
      </c>
    </row>
    <row r="16967">
      <c r="A16967" s="4" t="s">
        <v>21367</v>
      </c>
      <c r="B16967" s="4" t="s">
        <v>21372</v>
      </c>
      <c r="C16967" s="5" t="str">
        <f>IFERROR(__xludf.DUMMYFUNCTION("GOOGLETRANSLATE(B16967,""en"",""de"")"),"Eine Frau in einem schwarzen Hemd spricht mit der Kamera.")</f>
        <v>Eine Frau in einem schwarzen Hemd spricht mit der Kamera.</v>
      </c>
    </row>
    <row r="16968">
      <c r="A16968" s="4" t="s">
        <v>21367</v>
      </c>
      <c r="B16968" s="4" t="s">
        <v>21373</v>
      </c>
      <c r="C16968" s="5" t="str">
        <f>IFERROR(__xludf.DUMMYFUNCTION("GOOGLETRANSLATE(B16968,""en"",""de"")"),"Die Leute rennen eine Spur hinunter.")</f>
        <v>Die Leute rennen eine Spur hinunter.</v>
      </c>
    </row>
    <row r="16969">
      <c r="A16969" s="4" t="s">
        <v>21374</v>
      </c>
      <c r="B16969" s="4" t="s">
        <v>21375</v>
      </c>
      <c r="C16969" s="5" t="str">
        <f>IFERROR(__xludf.DUMMYFUNCTION("GOOGLETRANSLATE(B16969,""en"",""de"")"),"Wir sehen Männer die Straße entlang und einen Skateboarder fallen.")</f>
        <v>Wir sehen Männer die Straße entlang und einen Skateboarder fallen.</v>
      </c>
    </row>
    <row r="16970">
      <c r="A16970" s="4" t="s">
        <v>21374</v>
      </c>
      <c r="B16970" s="4" t="s">
        <v>21376</v>
      </c>
      <c r="C16970" s="5" t="str">
        <f>IFERROR(__xludf.DUMMYFUNCTION("GOOGLETRANSLATE(B16970,""en"",""de"")"),"Wir sehen Clubkinder und Skateboarder mit Titelbildschirmen.")</f>
        <v>Wir sehen Clubkinder und Skateboarder mit Titelbildschirmen.</v>
      </c>
    </row>
    <row r="16971">
      <c r="A16971" s="4" t="s">
        <v>21374</v>
      </c>
      <c r="B16971" s="4" t="s">
        <v>21377</v>
      </c>
      <c r="C16971" s="5" t="str">
        <f>IFERROR(__xludf.DUMMYFUNCTION("GOOGLETRANSLATE(B16971,""en"",""de"")"),"Wir sehen, wie Männer eine Straße entlang skateboard und in Gruppen herumstehen.")</f>
        <v>Wir sehen, wie Männer eine Straße entlang skateboard und in Gruppen herumstehen.</v>
      </c>
    </row>
    <row r="16972">
      <c r="A16972" s="4" t="s">
        <v>21374</v>
      </c>
      <c r="B16972" s="4" t="s">
        <v>21378</v>
      </c>
      <c r="C16972" s="5" t="str">
        <f>IFERROR(__xludf.DUMMYFUNCTION("GOOGLETRANSLATE(B16972,""en"",""de"")"),"Ein Mann springt über Treppen und rennt in die Kamera.")</f>
        <v>Ein Mann springt über Treppen und rennt in die Kamera.</v>
      </c>
    </row>
    <row r="16973">
      <c r="A16973" s="4" t="s">
        <v>21374</v>
      </c>
      <c r="B16973" s="4" t="s">
        <v>21379</v>
      </c>
      <c r="C16973" s="5" t="str">
        <f>IFERROR(__xludf.DUMMYFUNCTION("GOOGLETRANSLATE(B16973,""en"",""de"")"),"Ein Mann fällt und ein anderer läuft in die Kamera.")</f>
        <v>Ein Mann fällt und ein anderer läuft in die Kamera.</v>
      </c>
    </row>
    <row r="16974">
      <c r="A16974" s="4" t="s">
        <v>21374</v>
      </c>
      <c r="B16974" s="4" t="s">
        <v>21380</v>
      </c>
      <c r="C16974" s="5" t="str">
        <f>IFERROR(__xludf.DUMMYFUNCTION("GOOGLETRANSLATE(B16974,""en"",""de"")"),"Wir sehen einen Mann winken und einen anderen auf einem Bullenhorn.")</f>
        <v>Wir sehen einen Mann winken und einen anderen auf einem Bullenhorn.</v>
      </c>
    </row>
    <row r="16975">
      <c r="A16975" s="4" t="s">
        <v>21374</v>
      </c>
      <c r="B16975" s="4" t="s">
        <v>21381</v>
      </c>
      <c r="C16975" s="5" t="str">
        <f>IFERROR(__xludf.DUMMYFUNCTION("GOOGLETRANSLATE(B16975,""en"",""de"")"),"Der Clublichter blinkt und eine Band spielt Musik, während die Leute tanzen.")</f>
        <v>Der Clublichter blinkt und eine Band spielt Musik, während die Leute tanzen.</v>
      </c>
    </row>
    <row r="16976">
      <c r="A16976" s="4" t="s">
        <v>21374</v>
      </c>
      <c r="B16976" s="4" t="s">
        <v>21382</v>
      </c>
      <c r="C16976" s="5" t="str">
        <f>IFERROR(__xludf.DUMMYFUNCTION("GOOGLETRANSLATE(B16976,""en"",""de"")"),"Wir sehen die Credits und mehr Skaten.")</f>
        <v>Wir sehen die Credits und mehr Skaten.</v>
      </c>
    </row>
    <row r="16977">
      <c r="A16977" s="4" t="s">
        <v>21383</v>
      </c>
      <c r="B16977" s="4" t="s">
        <v>21384</v>
      </c>
      <c r="C16977" s="5" t="str">
        <f>IFERROR(__xludf.DUMMYFUNCTION("GOOGLETRANSLATE(B16977,""en"",""de"")"),"Ein Intro -Clip erscheint und es ist eine Animation eines grauen Schaukelstuhls auf einem sehr hellgrauen Bildschirm mit orangefarbenen Wörtern mit ""Die Stripperinnen!"" und die weißen Buchstaben M &amp; R in einem dunkelblauen Oval.")</f>
        <v>Ein Intro -Clip erscheint und es ist eine Animation eines grauen Schaukelstuhls auf einem sehr hellgrauen Bildschirm mit orangefarbenen Wörtern mit "Die Stripperinnen!" und die weißen Buchstaben M &amp; R in einem dunkelblauen Oval.</v>
      </c>
    </row>
    <row r="16978">
      <c r="A16978" s="4" t="s">
        <v>21383</v>
      </c>
      <c r="B16978" s="4" t="s">
        <v>21385</v>
      </c>
      <c r="C16978" s="5" t="str">
        <f>IFERROR(__xludf.DUMMYFUNCTION("GOOGLETRANSLATE(B16978,""en"",""de"")"),"Es werden Clips of the Shop Exterior und Innenräume gezeigt und umfassen eine Person in einem Büro, Personen im Geschäft, die an den Holzstücken arbeiten, Menschen interviewt werden, Holzversorgungen und die fertigen Holzstücke selbst.")</f>
        <v>Es werden Clips of the Shop Exterior und Innenräume gezeigt und umfassen eine Person in einem Büro, Personen im Geschäft, die an den Holzstücken arbeiten, Menschen interviewt werden, Holzversorgungen und die fertigen Holzstücke selbst.</v>
      </c>
    </row>
    <row r="16979">
      <c r="A16979" s="4" t="s">
        <v>21383</v>
      </c>
      <c r="B16979" s="4" t="s">
        <v>21386</v>
      </c>
      <c r="C16979" s="5" t="str">
        <f>IFERROR(__xludf.DUMMYFUNCTION("GOOGLETRANSLATE(B16979,""en"",""de"")"),"Das Outro erscheint und es ist der Videoclip der Arbeiter, die an den Holzstücken arbeiten, und der Text wird auf dem Bildschirm angezeigt, der die Adresse, E -Mail, Website und Telefonnummer enthält. Der Außengeschäft wird erneut angezeigt.")</f>
        <v>Das Outro erscheint und es ist der Videoclip der Arbeiter, die an den Holzstücken arbeiten, und der Text wird auf dem Bildschirm angezeigt, der die Adresse, E -Mail, Website und Telefonnummer enthält. Der Außengeschäft wird erneut angezeigt.</v>
      </c>
    </row>
    <row r="16980">
      <c r="A16980" s="4" t="s">
        <v>21383</v>
      </c>
      <c r="B16980" s="4" t="s">
        <v>21387</v>
      </c>
      <c r="C16980" s="5" t="str">
        <f>IFERROR(__xludf.DUMMYFUNCTION("GOOGLETRANSLATE(B16980,""en"",""de"")"),"Der letzte Bildschirm ist der hellgraue Bildschirm, der zuerst angezeigt wird, und enthalten den Firmennamen, die Nummer und die Website.")</f>
        <v>Der letzte Bildschirm ist der hellgraue Bildschirm, der zuerst angezeigt wird, und enthalten den Firmennamen, die Nummer und die Website.</v>
      </c>
    </row>
    <row r="16981">
      <c r="A16981" s="4" t="s">
        <v>21388</v>
      </c>
      <c r="B16981" s="4" t="s">
        <v>21389</v>
      </c>
      <c r="C16981" s="5" t="str">
        <f>IFERROR(__xludf.DUMMYFUNCTION("GOOGLETRANSLATE(B16981,""en"",""de"")"),"Ein Mädchen sitzt vor einem Schoßoberteil.")</f>
        <v>Ein Mädchen sitzt vor einem Schoßoberteil.</v>
      </c>
    </row>
    <row r="16982">
      <c r="A16982" s="4" t="s">
        <v>21388</v>
      </c>
      <c r="B16982" s="4" t="s">
        <v>21390</v>
      </c>
      <c r="C16982" s="5" t="str">
        <f>IFERROR(__xludf.DUMMYFUNCTION("GOOGLETRANSLATE(B16982,""en"",""de"")"),"Sie raucht eine Shisha mit einer roten Spitze und bläst den Rauch aus ihrem Mund.")</f>
        <v>Sie raucht eine Shisha mit einer roten Spitze und bläst den Rauch aus ihrem Mund.</v>
      </c>
    </row>
    <row r="16983">
      <c r="A16983" s="4" t="s">
        <v>21388</v>
      </c>
      <c r="B16983" s="4" t="s">
        <v>21391</v>
      </c>
      <c r="C16983" s="5" t="str">
        <f>IFERROR(__xludf.DUMMYFUNCTION("GOOGLETRANSLATE(B16983,""en"",""de"")"),"Sie lacht und teilt dann die Shisha mit einer anderen Frau, die auch den Tipp und auch raucht.")</f>
        <v>Sie lacht und teilt dann die Shisha mit einer anderen Frau, die auch den Tipp und auch raucht.</v>
      </c>
    </row>
    <row r="16984">
      <c r="A16984" s="4" t="s">
        <v>21388</v>
      </c>
      <c r="B16984" s="4" t="s">
        <v>21392</v>
      </c>
      <c r="C16984" s="5" t="str">
        <f>IFERROR(__xludf.DUMMYFUNCTION("GOOGLETRANSLATE(B16984,""en"",""de"")"),"Die Frauen reden und rauchen lange am Tisch.")</f>
        <v>Die Frauen reden und rauchen lange am Tisch.</v>
      </c>
    </row>
    <row r="16985">
      <c r="A16985" s="4" t="s">
        <v>21393</v>
      </c>
      <c r="B16985" s="4" t="s">
        <v>21394</v>
      </c>
      <c r="C16985" s="5" t="str">
        <f>IFERROR(__xludf.DUMMYFUNCTION("GOOGLETRANSLATE(B16985,""en"",""de"")"),"Bilder eines Büros werden gezeigt.")</f>
        <v>Bilder eines Büros werden gezeigt.</v>
      </c>
    </row>
    <row r="16986">
      <c r="A16986" s="4" t="s">
        <v>21393</v>
      </c>
      <c r="B16986" s="4" t="s">
        <v>21395</v>
      </c>
      <c r="C16986" s="5" t="str">
        <f>IFERROR(__xludf.DUMMYFUNCTION("GOOGLETRANSLATE(B16986,""en"",""de"")"),"Eine Frau macht die Haare einer anderen Frau.")</f>
        <v>Eine Frau macht die Haare einer anderen Frau.</v>
      </c>
    </row>
    <row r="16987">
      <c r="A16987" s="4" t="s">
        <v>21393</v>
      </c>
      <c r="B16987" s="4" t="s">
        <v>21396</v>
      </c>
      <c r="C16987" s="5" t="str">
        <f>IFERROR(__xludf.DUMMYFUNCTION("GOOGLETRANSLATE(B16987,""en"",""de"")"),"Die Leute machen Haare in einem Friseursalon.")</f>
        <v>Die Leute machen Haare in einem Friseursalon.</v>
      </c>
    </row>
    <row r="16988">
      <c r="A16988" s="4" t="s">
        <v>21397</v>
      </c>
      <c r="B16988" s="4" t="s">
        <v>21398</v>
      </c>
      <c r="C16988" s="5" t="str">
        <f>IFERROR(__xludf.DUMMYFUNCTION("GOOGLETRANSLATE(B16988,""en"",""de"")"),"Eine Frau spricht mit der Kamera, während sie verschiedene Objekte in ihren Händen hält, und beginnt ein Fenster vor sich zu sprühen.")</f>
        <v>Eine Frau spricht mit der Kamera, während sie verschiedene Objekte in ihren Händen hält, und beginnt ein Fenster vor sich zu sprühen.</v>
      </c>
    </row>
    <row r="16989">
      <c r="A16989" s="4" t="s">
        <v>21397</v>
      </c>
      <c r="B16989" s="4" t="s">
        <v>21399</v>
      </c>
      <c r="C16989" s="5" t="str">
        <f>IFERROR(__xludf.DUMMYFUNCTION("GOOGLETRANSLATE(B16989,""en"",""de"")"),"Die Frau wischt sich mit einem Lappen sowie einem Schaber das Fenster ab und blickt weiterhin zurück und spricht mit der Kamera.")</f>
        <v>Die Frau wischt sich mit einem Lappen sowie einem Schaber das Fenster ab und blickt weiterhin zurück und spricht mit der Kamera.</v>
      </c>
    </row>
    <row r="16990">
      <c r="A16990" s="4" t="s">
        <v>21400</v>
      </c>
      <c r="B16990" s="4" t="s">
        <v>21401</v>
      </c>
      <c r="C16990" s="5" t="str">
        <f>IFERROR(__xludf.DUMMYFUNCTION("GOOGLETRANSLATE(B16990,""en"",""de"")"),"Eine Person fährt in einer Gruppe von Freunden auf einem felsigen Fluss einen schnellen auf einer Inter -Rohr hinunter.")</f>
        <v>Eine Person fährt in einer Gruppe von Freunden auf einem felsigen Fluss einen schnellen auf einer Inter -Rohr hinunter.</v>
      </c>
    </row>
    <row r="16991">
      <c r="A16991" s="4" t="s">
        <v>21400</v>
      </c>
      <c r="B16991" s="4" t="s">
        <v>21402</v>
      </c>
      <c r="C16991" s="5" t="str">
        <f>IFERROR(__xludf.DUMMYFUNCTION("GOOGLETRANSLATE(B16991,""en"",""de"")"),"Die Menschen in den Gezeiten werden von einem Flussleitfaden im Poloshirt unterstützt.")</f>
        <v>Die Menschen in den Gezeiten werden von einem Flussleitfaden im Poloshirt unterstützt.</v>
      </c>
    </row>
    <row r="16992">
      <c r="A16992" s="4" t="s">
        <v>21403</v>
      </c>
      <c r="B16992" s="4" t="s">
        <v>21404</v>
      </c>
      <c r="C16992" s="5" t="str">
        <f>IFERROR(__xludf.DUMMYFUNCTION("GOOGLETRANSLATE(B16992,""en"",""de"")"),"Ein Mädchen gießt Flüssigkeit aus einer Flasche zu einer Tasse mit einer jungen Frau, dann spülen sie ihren Mund, während sie Gesten machen und lachen.")</f>
        <v>Ein Mädchen gießt Flüssigkeit aus einer Flasche zu einer Tasse mit einer jungen Frau, dann spülen sie ihren Mund, während sie Gesten machen und lachen.</v>
      </c>
    </row>
    <row r="16993">
      <c r="A16993" s="4" t="s">
        <v>21403</v>
      </c>
      <c r="B16993" s="4" t="s">
        <v>21405</v>
      </c>
      <c r="C16993" s="5" t="str">
        <f>IFERROR(__xludf.DUMMYFUNCTION("GOOGLETRANSLATE(B16993,""en"",""de"")"),"Danach spuckt die junge Dame die Flüssigkeit und dann hat sie die Wange des Mädchens, das spuckt.")</f>
        <v>Danach spuckt die junge Dame die Flüssigkeit und dann hat sie die Wange des Mädchens, das spuckt.</v>
      </c>
    </row>
    <row r="16994">
      <c r="A16994" s="4" t="s">
        <v>21403</v>
      </c>
      <c r="B16994" s="4" t="s">
        <v>21406</v>
      </c>
      <c r="C16994" s="5" t="str">
        <f>IFERROR(__xludf.DUMMYFUNCTION("GOOGLETRANSLATE(B16994,""en"",""de"")"),"Als nächstes schaltet sich das Mädchen den Wasserhahn der Badewanne an und biegt sich, nachdem das Mädchen den Wasserhahn ausgeschaltet und während des Sprechens ihre Hände reinigt hat.")</f>
        <v>Als nächstes schaltet sich das Mädchen den Wasserhahn der Badewanne an und biegt sich, nachdem das Mädchen den Wasserhahn ausgeschaltet und während des Sprechens ihre Hände reinigt hat.</v>
      </c>
    </row>
    <row r="16995">
      <c r="A16995" s="4" t="s">
        <v>21407</v>
      </c>
      <c r="B16995" s="4" t="s">
        <v>1487</v>
      </c>
      <c r="C16995" s="5" t="str">
        <f>IFERROR(__xludf.DUMMYFUNCTION("GOOGLETRANSLATE(B16995,""en"",""de"")"),"Wir sehen einen Öffnungsbildschirm.")</f>
        <v>Wir sehen einen Öffnungsbildschirm.</v>
      </c>
    </row>
    <row r="16996">
      <c r="A16996" s="4" t="s">
        <v>21407</v>
      </c>
      <c r="B16996" s="4" t="s">
        <v>21408</v>
      </c>
      <c r="C16996" s="5" t="str">
        <f>IFERROR(__xludf.DUMMYFUNCTION("GOOGLETRANSLATE(B16996,""en"",""de"")"),"Wir sehen einen Mann reden.")</f>
        <v>Wir sehen einen Mann reden.</v>
      </c>
    </row>
    <row r="16997">
      <c r="A16997" s="4" t="s">
        <v>21407</v>
      </c>
      <c r="B16997" s="4" t="s">
        <v>21409</v>
      </c>
      <c r="C16997" s="5" t="str">
        <f>IFERROR(__xludf.DUMMYFUNCTION("GOOGLETRANSLATE(B16997,""en"",""de"")"),"Der Mann benimmt die Hände und fügt Seife hinzu.")</f>
        <v>Der Mann benimmt die Hände und fügt Seife hinzu.</v>
      </c>
    </row>
    <row r="16998">
      <c r="A16998" s="4" t="s">
        <v>21407</v>
      </c>
      <c r="B16998" s="4" t="s">
        <v>21410</v>
      </c>
      <c r="C16998" s="5" t="str">
        <f>IFERROR(__xludf.DUMMYFUNCTION("GOOGLETRANSLATE(B16998,""en"",""de"")"),"Wir sehen den Mann seine Hände waschen.")</f>
        <v>Wir sehen den Mann seine Hände waschen.</v>
      </c>
    </row>
    <row r="16999">
      <c r="A16999" s="4" t="s">
        <v>21407</v>
      </c>
      <c r="B16999" s="4" t="s">
        <v>21411</v>
      </c>
      <c r="C16999" s="5" t="str">
        <f>IFERROR(__xludf.DUMMYFUNCTION("GOOGLETRANSLATE(B16999,""en"",""de"")"),"Der Mann spügt seine Hände.")</f>
        <v>Der Mann spügt seine Hände.</v>
      </c>
    </row>
    <row r="17000">
      <c r="A17000" s="4" t="s">
        <v>21407</v>
      </c>
      <c r="B17000" s="4" t="s">
        <v>21412</v>
      </c>
      <c r="C17000" s="5" t="str">
        <f>IFERROR(__xludf.DUMMYFUNCTION("GOOGLETRANSLATE(B17000,""en"",""de"")"),"Der Mann entschließt seine Hände und schaltet das Wasser mit dem Papiertuch aus.")</f>
        <v>Der Mann entschließt seine Hände und schaltet das Wasser mit dem Papiertuch aus.</v>
      </c>
    </row>
    <row r="17001">
      <c r="A17001" s="4" t="s">
        <v>21407</v>
      </c>
      <c r="B17001" s="4" t="s">
        <v>1380</v>
      </c>
      <c r="C17001" s="5" t="str">
        <f>IFERROR(__xludf.DUMMYFUNCTION("GOOGLETRANSLATE(B17001,""en"",""de"")"),"Wir sehen dann die Endgutschrift.")</f>
        <v>Wir sehen dann die Endgutschrift.</v>
      </c>
    </row>
    <row r="17002">
      <c r="A17002" s="4" t="s">
        <v>21413</v>
      </c>
      <c r="B17002" s="4" t="s">
        <v>21414</v>
      </c>
      <c r="C17002" s="5" t="str">
        <f>IFERROR(__xludf.DUMMYFUNCTION("GOOGLETRANSLATE(B17002,""en"",""de"")"),"Mehrere junge Männer üben lange Sprünge und rückwärts springt in ein Fitnessstudio mit einer amerikanischen Flagge an der Wand.")</f>
        <v>Mehrere junge Männer üben lange Sprünge und rückwärts springt in ein Fitnessstudio mit einer amerikanischen Flagge an der Wand.</v>
      </c>
    </row>
    <row r="17003">
      <c r="A17003" s="4" t="s">
        <v>21413</v>
      </c>
      <c r="B17003" s="4" t="s">
        <v>21415</v>
      </c>
      <c r="C17003" s="5" t="str">
        <f>IFERROR(__xludf.DUMMYFUNCTION("GOOGLETRANSLATE(B17003,""en"",""de"")"),"Ein Mann übt einen Weitsprung in ein Indoor -Fitnessstudio mit einer Innensandkiste zur Landung und einer gezogenen Rennstrecke.")</f>
        <v>Ein Mann übt einen Weitsprung in ein Indoor -Fitnessstudio mit einer Innensandkiste zur Landung und einer gezogenen Rennstrecke.</v>
      </c>
    </row>
    <row r="17004">
      <c r="A17004" s="4" t="s">
        <v>21413</v>
      </c>
      <c r="B17004" s="4" t="s">
        <v>21416</v>
      </c>
      <c r="C17004" s="5" t="str">
        <f>IFERROR(__xludf.DUMMYFUNCTION("GOOGLETRANSLATE(B17004,""en"",""de"")"),"Ein anderer Mann übt, sich rückwärts über eine Stange auf eine Fitnessmatte im Fitnessstudio zu schleudern.")</f>
        <v>Ein anderer Mann übt, sich rückwärts über eine Stange auf eine Fitnessmatte im Fitnessstudio zu schleudern.</v>
      </c>
    </row>
    <row r="17005">
      <c r="A17005" s="4" t="s">
        <v>21413</v>
      </c>
      <c r="B17005" s="4" t="s">
        <v>21417</v>
      </c>
      <c r="C17005" s="5" t="str">
        <f>IFERROR(__xludf.DUMMYFUNCTION("GOOGLETRANSLATE(B17005,""en"",""de"")"),"Einige weitere Männer üben lange Sprünge und rückwärts im Fitnessstudio mit den Sandbox- und Fitnessmatten als Landewerkzeuge in das Fitnessstudio.")</f>
        <v>Einige weitere Männer üben lange Sprünge und rückwärts im Fitnessstudio mit den Sandbox- und Fitnessmatten als Landewerkzeuge in das Fitnessstudio.</v>
      </c>
    </row>
    <row r="17006">
      <c r="A17006" s="4" t="s">
        <v>21418</v>
      </c>
      <c r="B17006" s="4" t="s">
        <v>21419</v>
      </c>
      <c r="C17006" s="5" t="str">
        <f>IFERROR(__xludf.DUMMYFUNCTION("GOOGLETRANSLATE(B17006,""en"",""de"")"),"Es gibt zwei Teilnehmer, die am sportlichen Sprungwettbewerb teilnehmen.")</f>
        <v>Es gibt zwei Teilnehmer, die am sportlichen Sprungwettbewerb teilnehmen.</v>
      </c>
    </row>
    <row r="17007">
      <c r="A17007" s="4" t="s">
        <v>21418</v>
      </c>
      <c r="B17007" s="4" t="s">
        <v>21420</v>
      </c>
      <c r="C17007" s="5" t="str">
        <f>IFERROR(__xludf.DUMMYFUNCTION("GOOGLETRANSLATE(B17007,""en"",""de"")"),"Es gibt mehrere Zuschauer und Richter, die sie beobachten, wenn sie in einem großen Innenstadion über die Bar springen.")</f>
        <v>Es gibt mehrere Zuschauer und Richter, die sie beobachten, wenn sie in einem großen Innenstadion über die Bar springen.</v>
      </c>
    </row>
    <row r="17008">
      <c r="A17008" s="4" t="s">
        <v>21418</v>
      </c>
      <c r="B17008" s="4" t="s">
        <v>21421</v>
      </c>
      <c r="C17008" s="5" t="str">
        <f>IFERROR(__xludf.DUMMYFUNCTION("GOOGLETRANSLATE(B17008,""en"",""de"")"),"Beide Teilnehmer springen erfolgreich über die Bar.")</f>
        <v>Beide Teilnehmer springen erfolgreich über die Bar.</v>
      </c>
    </row>
    <row r="17009">
      <c r="A17009" s="4" t="s">
        <v>21418</v>
      </c>
      <c r="B17009" s="4" t="s">
        <v>21422</v>
      </c>
      <c r="C17009" s="5" t="str">
        <f>IFERROR(__xludf.DUMMYFUNCTION("GOOGLETRANSLATE(B17009,""en"",""de"")"),"Es gibt ein Zeitlupenvideo des Kandidaten, der über die Bar springt.")</f>
        <v>Es gibt ein Zeitlupenvideo des Kandidaten, der über die Bar springt.</v>
      </c>
    </row>
    <row r="17010">
      <c r="A17010" s="4" t="s">
        <v>21423</v>
      </c>
      <c r="B17010" s="4" t="s">
        <v>21424</v>
      </c>
      <c r="C17010" s="5" t="str">
        <f>IFERROR(__xludf.DUMMYFUNCTION("GOOGLETRANSLATE(B17010,""en"",""de"")"),"Es gibt mehrere Leute, die sich auf Skifahren vorbereiten.")</f>
        <v>Es gibt mehrere Leute, die sich auf Skifahren vorbereiten.</v>
      </c>
    </row>
    <row r="17011">
      <c r="A17011" s="4" t="s">
        <v>21423</v>
      </c>
      <c r="B17011" s="4" t="s">
        <v>21425</v>
      </c>
      <c r="C17011" s="5" t="str">
        <f>IFERROR(__xludf.DUMMYFUNCTION("GOOGLETRANSLATE(B17011,""en"",""de"")"),"Es gibt eine Person, die bergab mit voller Geschwindigkeit fährt, deren Schatten zu sehen ist.")</f>
        <v>Es gibt eine Person, die bergab mit voller Geschwindigkeit fährt, deren Schatten zu sehen ist.</v>
      </c>
    </row>
    <row r="17012">
      <c r="A17012" s="4" t="s">
        <v>21423</v>
      </c>
      <c r="B17012" s="4" t="s">
        <v>21426</v>
      </c>
      <c r="C17012" s="5" t="str">
        <f>IFERROR(__xludf.DUMMYFUNCTION("GOOGLETRANSLATE(B17012,""en"",""de"")"),"Es gibt Leute, die auf einem Berg sitzen und warten, um mit dem Skifahren zu beginnen.")</f>
        <v>Es gibt Leute, die auf einem Berg sitzen und warten, um mit dem Skifahren zu beginnen.</v>
      </c>
    </row>
    <row r="17013">
      <c r="A17013" s="4" t="s">
        <v>21423</v>
      </c>
      <c r="B17013" s="4" t="s">
        <v>21427</v>
      </c>
      <c r="C17013" s="5" t="str">
        <f>IFERROR(__xludf.DUMMYFUNCTION("GOOGLETRANSLATE(B17013,""en"",""de"")"),"Der Skifahrer, der schnell bergab geht, zeigt, wie sich die Geschwindigkeit dreht und verwaltet, während er bergab geht.")</f>
        <v>Der Skifahrer, der schnell bergab geht, zeigt, wie sich die Geschwindigkeit dreht und verwaltet, während er bergab geht.</v>
      </c>
    </row>
    <row r="17014">
      <c r="A17014" s="4" t="s">
        <v>21423</v>
      </c>
      <c r="B17014" s="4" t="s">
        <v>21428</v>
      </c>
      <c r="C17014" s="5" t="str">
        <f>IFERROR(__xludf.DUMMYFUNCTION("GOOGLETRANSLATE(B17014,""en"",""de"")"),"Es gibt einige Leute, die auf einer Rolltreppe auf den Skiberg zugehen.")</f>
        <v>Es gibt einige Leute, die auf einer Rolltreppe auf den Skiberg zugehen.</v>
      </c>
    </row>
    <row r="17015">
      <c r="A17015" s="4" t="s">
        <v>21423</v>
      </c>
      <c r="B17015" s="4" t="s">
        <v>21429</v>
      </c>
      <c r="C17015" s="5" t="str">
        <f>IFERROR(__xludf.DUMMYFUNCTION("GOOGLETRANSLATE(B17015,""en"",""de"")"),"Der Skifahrer fährt weiter bergab an steilen und kurvenreichen Hängen.")</f>
        <v>Der Skifahrer fährt weiter bergab an steilen und kurvenreichen Hängen.</v>
      </c>
    </row>
    <row r="17016">
      <c r="A17016" s="4" t="s">
        <v>21430</v>
      </c>
      <c r="B17016" s="4" t="s">
        <v>21431</v>
      </c>
      <c r="C17016" s="5" t="str">
        <f>IFERROR(__xludf.DUMMYFUNCTION("GOOGLETRANSLATE(B17016,""en"",""de"")"),"Es gibt ein Mädchen mit hellen Augen und dunkelbraunen Haaren, die über farbige Augenlinsen sprechen.")</f>
        <v>Es gibt ein Mädchen mit hellen Augen und dunkelbraunen Haaren, die über farbige Augenlinsen sprechen.</v>
      </c>
    </row>
    <row r="17017">
      <c r="A17017" s="4" t="s">
        <v>21430</v>
      </c>
      <c r="B17017" s="4" t="s">
        <v>21432</v>
      </c>
      <c r="C17017" s="5" t="str">
        <f>IFERROR(__xludf.DUMMYFUNCTION("GOOGLETRANSLATE(B17017,""en"",""de"")"),"Sie macht ein Tutorial, wie man farbige Objektive in Ihren Augen trägt.")</f>
        <v>Sie macht ein Tutorial, wie man farbige Objektive in Ihren Augen trägt.</v>
      </c>
    </row>
    <row r="17018">
      <c r="A17018" s="4" t="s">
        <v>21430</v>
      </c>
      <c r="B17018" s="4" t="s">
        <v>21433</v>
      </c>
      <c r="C17018" s="5" t="str">
        <f>IFERROR(__xludf.DUMMYFUNCTION("GOOGLETRANSLATE(B17018,""en"",""de"")"),"Sie öffnet eine kleine Glasflasche, die die farbigen Objektive enthält.")</f>
        <v>Sie öffnet eine kleine Glasflasche, die die farbigen Objektive enthält.</v>
      </c>
    </row>
    <row r="17019">
      <c r="A17019" s="4" t="s">
        <v>21430</v>
      </c>
      <c r="B17019" s="4" t="s">
        <v>21434</v>
      </c>
      <c r="C17019" s="5" t="str">
        <f>IFERROR(__xludf.DUMMYFUNCTION("GOOGLETRANSLATE(B17019,""en"",""de"")"),"Sie entfernt das Objektiv aus und legt es auf ihren Finger.")</f>
        <v>Sie entfernt das Objektiv aus und legt es auf ihren Finger.</v>
      </c>
    </row>
    <row r="17020">
      <c r="A17020" s="4" t="s">
        <v>21430</v>
      </c>
      <c r="B17020" s="4" t="s">
        <v>21435</v>
      </c>
      <c r="C17020" s="5" t="str">
        <f>IFERROR(__xludf.DUMMYFUNCTION("GOOGLETRANSLATE(B17020,""en"",""de"")"),"Dann trägt sie die Linse in ihrem rechten Auge sanft und dann in ihrem linken Auge.")</f>
        <v>Dann trägt sie die Linse in ihrem rechten Auge sanft und dann in ihrem linken Auge.</v>
      </c>
    </row>
    <row r="17021">
      <c r="A17021" s="4" t="s">
        <v>21430</v>
      </c>
      <c r="B17021" s="4" t="s">
        <v>21436</v>
      </c>
      <c r="C17021" s="5" t="str">
        <f>IFERROR(__xludf.DUMMYFUNCTION("GOOGLETRANSLATE(B17021,""en"",""de"")"),"Sie zeigt das gelbe Objektiv, das sie getragen hat.")</f>
        <v>Sie zeigt das gelbe Objektiv, das sie getragen hat.</v>
      </c>
    </row>
    <row r="17022">
      <c r="A17022" s="4" t="s">
        <v>21437</v>
      </c>
      <c r="B17022" s="4" t="s">
        <v>21438</v>
      </c>
      <c r="C17022" s="5" t="str">
        <f>IFERROR(__xludf.DUMMYFUNCTION("GOOGLETRANSLATE(B17022,""en"",""de"")"),"Wir sehen den Titel über der Szene.")</f>
        <v>Wir sehen den Titel über der Szene.</v>
      </c>
    </row>
    <row r="17023">
      <c r="A17023" s="4" t="s">
        <v>21437</v>
      </c>
      <c r="B17023" s="4" t="s">
        <v>21439</v>
      </c>
      <c r="C17023" s="5" t="str">
        <f>IFERROR(__xludf.DUMMYFUNCTION("GOOGLETRANSLATE(B17023,""en"",""de"")"),"Wir sehen, dass die Rückseite eines Mannes seinen Rasen mit einem elektrischen Mäher mäht.")</f>
        <v>Wir sehen, dass die Rückseite eines Mannes seinen Rasen mit einem elektrischen Mäher mäht.</v>
      </c>
    </row>
    <row r="17024">
      <c r="A17024" s="4" t="s">
        <v>21437</v>
      </c>
      <c r="B17024" s="4" t="s">
        <v>21440</v>
      </c>
      <c r="C17024" s="5" t="str">
        <f>IFERROR(__xludf.DUMMYFUNCTION("GOOGLETRANSLATE(B17024,""en"",""de"")"),"Der Mann geht auf halbem Weg den Hof und dreht sich um.")</f>
        <v>Der Mann geht auf halbem Weg den Hof und dreht sich um.</v>
      </c>
    </row>
    <row r="17025">
      <c r="A17025" s="4" t="s">
        <v>21437</v>
      </c>
      <c r="B17025" s="4" t="s">
        <v>21441</v>
      </c>
      <c r="C17025" s="5" t="str">
        <f>IFERROR(__xludf.DUMMYFUNCTION("GOOGLETRANSLATE(B17025,""en"",""de"")"),"Der Endtitel kehrt zum Bildschirm zurück.")</f>
        <v>Der Endtitel kehrt zum Bildschirm zurück.</v>
      </c>
    </row>
    <row r="17026">
      <c r="A17026" s="4" t="s">
        <v>21442</v>
      </c>
      <c r="B17026" s="4" t="s">
        <v>21443</v>
      </c>
      <c r="C17026" s="5" t="str">
        <f>IFERROR(__xludf.DUMMYFUNCTION("GOOGLETRANSLATE(B17026,""en"",""de"")"),"Ein Mann fährt auf einem kleinen Rangwagen, der mit einem Blattgebläse Blätter bläst.")</f>
        <v>Ein Mann fährt auf einem kleinen Rangwagen, der mit einem Blattgebläse Blätter bläst.</v>
      </c>
    </row>
    <row r="17027">
      <c r="A17027" s="4" t="s">
        <v>21442</v>
      </c>
      <c r="B17027" s="4" t="s">
        <v>21444</v>
      </c>
      <c r="C17027" s="5" t="str">
        <f>IFERROR(__xludf.DUMMYFUNCTION("GOOGLETRANSLATE(B17027,""en"",""de"")"),"Der Mann geht direkt auf eine Gabelung in den Spuren eines Wagens und um eine Kurve.")</f>
        <v>Der Mann geht direkt auf eine Gabelung in den Spuren eines Wagens und um eine Kurve.</v>
      </c>
    </row>
    <row r="17028">
      <c r="A17028" s="4" t="s">
        <v>21445</v>
      </c>
      <c r="B17028" s="4" t="s">
        <v>21446</v>
      </c>
      <c r="C17028" s="5" t="str">
        <f>IFERROR(__xludf.DUMMYFUNCTION("GOOGLETRANSLATE(B17028,""en"",""de"")"),"Ein kleines Kind verwendet einen Spielzeugstaubsauger auf einem Holzboden.")</f>
        <v>Ein kleines Kind verwendet einen Spielzeugstaubsauger auf einem Holzboden.</v>
      </c>
    </row>
    <row r="17029">
      <c r="A17029" s="4" t="s">
        <v>21445</v>
      </c>
      <c r="B17029" s="4" t="s">
        <v>21447</v>
      </c>
      <c r="C17029" s="5" t="str">
        <f>IFERROR(__xludf.DUMMYFUNCTION("GOOGLETRANSLATE(B17029,""en"",""de"")"),"Die Mutter kommt und hilft dem Kind.")</f>
        <v>Die Mutter kommt und hilft dem Kind.</v>
      </c>
    </row>
    <row r="17030">
      <c r="A17030" s="4" t="s">
        <v>21448</v>
      </c>
      <c r="B17030" s="4" t="s">
        <v>21449</v>
      </c>
      <c r="C17030" s="5" t="str">
        <f>IFERROR(__xludf.DUMMYFUNCTION("GOOGLETRANSLATE(B17030,""en"",""de"")"),"Mehrere Männer beginnen, ihren Körper so schnell wie möglich zu drehen.")</f>
        <v>Mehrere Männer beginnen, ihren Körper so schnell wie möglich zu drehen.</v>
      </c>
    </row>
    <row r="17031">
      <c r="A17031" s="4" t="s">
        <v>21448</v>
      </c>
      <c r="B17031" s="4" t="s">
        <v>21450</v>
      </c>
      <c r="C17031" s="5" t="str">
        <f>IFERROR(__xludf.DUMMYFUNCTION("GOOGLETRANSLATE(B17031,""en"",""de"")"),"Sie jeweils in verschiedenen Situationen, alle spielen den gleichen Sport.")</f>
        <v>Sie jeweils in verschiedenen Situationen, alle spielen den gleichen Sport.</v>
      </c>
    </row>
    <row r="17032">
      <c r="A17032" s="4" t="s">
        <v>21448</v>
      </c>
      <c r="B17032" s="4" t="s">
        <v>21451</v>
      </c>
      <c r="C17032" s="5" t="str">
        <f>IFERROR(__xludf.DUMMYFUNCTION("GOOGLETRANSLATE(B17032,""en"",""de"")"),"Sie bauen so viel Geschwindigkeit wie möglich auf, damit sie so weit wie möglich werfen können.")</f>
        <v>Sie bauen so viel Geschwindigkeit wie möglich auf, damit sie so weit wie möglich werfen können.</v>
      </c>
    </row>
    <row r="17033">
      <c r="A17033" s="4" t="s">
        <v>21448</v>
      </c>
      <c r="B17033" s="4" t="s">
        <v>21452</v>
      </c>
      <c r="C17033" s="5" t="str">
        <f>IFERROR(__xludf.DUMMYFUNCTION("GOOGLETRANSLATE(B17033,""en"",""de"")"),"Es gibt sogar Publikum für diesen Sport, der tatsächlich kommt, um sie zu sehen.")</f>
        <v>Es gibt sogar Publikum für diesen Sport, der tatsächlich kommt, um sie zu sehen.</v>
      </c>
    </row>
    <row r="17034">
      <c r="A17034" s="4" t="s">
        <v>21453</v>
      </c>
      <c r="B17034" s="4" t="s">
        <v>21454</v>
      </c>
      <c r="C17034" s="5" t="str">
        <f>IFERROR(__xludf.DUMMYFUNCTION("GOOGLETRANSLATE(B17034,""en"",""de"")"),"Wir sehen einen BMX -Biker, während er sich auf das Fahren vorbereitet.")</f>
        <v>Wir sehen einen BMX -Biker, während er sich auf das Fahren vorbereitet.</v>
      </c>
    </row>
    <row r="17035">
      <c r="A17035" s="4" t="s">
        <v>21453</v>
      </c>
      <c r="B17035" s="4" t="s">
        <v>21455</v>
      </c>
      <c r="C17035" s="5" t="str">
        <f>IFERROR(__xludf.DUMMYFUNCTION("GOOGLETRANSLATE(B17035,""en"",""de"")"),"Wir sehen das Tor offen und sehen das Feld.")</f>
        <v>Wir sehen das Tor offen und sehen das Feld.</v>
      </c>
    </row>
    <row r="17036">
      <c r="A17036" s="4" t="s">
        <v>21453</v>
      </c>
      <c r="B17036" s="4" t="s">
        <v>21456</v>
      </c>
      <c r="C17036" s="5" t="str">
        <f>IFERROR(__xludf.DUMMYFUNCTION("GOOGLETRANSLATE(B17036,""en"",""de"")"),"Der Fahrer nimmt den Kurs ab.")</f>
        <v>Der Fahrer nimmt den Kurs ab.</v>
      </c>
    </row>
    <row r="17037">
      <c r="A17037" s="4" t="s">
        <v>21453</v>
      </c>
      <c r="B17037" s="4" t="s">
        <v>21457</v>
      </c>
      <c r="C17037" s="5" t="str">
        <f>IFERROR(__xludf.DUMMYFUNCTION("GOOGLETRANSLATE(B17037,""en"",""de"")"),"Wir sehen, wie Fahrer Sprünge und Menschen fahren.")</f>
        <v>Wir sehen, wie Fahrer Sprünge und Menschen fahren.</v>
      </c>
    </row>
    <row r="17038">
      <c r="A17038" s="4" t="s">
        <v>21453</v>
      </c>
      <c r="B17038" s="4" t="s">
        <v>21458</v>
      </c>
      <c r="C17038" s="5" t="str">
        <f>IFERROR(__xludf.DUMMYFUNCTION("GOOGLETRANSLATE(B17038,""en"",""de"")"),"Wir sehen einen weiteren Start und eine Gruppe von Menschen startet auf einer Innenstrecke.")</f>
        <v>Wir sehen einen weiteren Start und eine Gruppe von Menschen startet auf einer Innenstrecke.</v>
      </c>
    </row>
    <row r="17039">
      <c r="A17039" s="4" t="s">
        <v>21453</v>
      </c>
      <c r="B17039" s="4" t="s">
        <v>21459</v>
      </c>
      <c r="C17039" s="5" t="str">
        <f>IFERROR(__xludf.DUMMYFUNCTION("GOOGLETRANSLATE(B17039,""en"",""de"")"),"Wir sehen, wie Männer im Freien reiten und ein weiteres Tor öffnet.")</f>
        <v>Wir sehen, wie Männer im Freien reiten und ein weiteres Tor öffnet.</v>
      </c>
    </row>
    <row r="17040">
      <c r="A17040" s="4" t="s">
        <v>21453</v>
      </c>
      <c r="B17040" s="4" t="s">
        <v>21460</v>
      </c>
      <c r="C17040" s="5" t="str">
        <f>IFERROR(__xludf.DUMMYFUNCTION("GOOGLETRANSLATE(B17040,""en"",""de"")"),"Wir sehen ein Fahrrad, das auf seiner Seite liegt.")</f>
        <v>Wir sehen ein Fahrrad, das auf seiner Seite liegt.</v>
      </c>
    </row>
    <row r="17041">
      <c r="A17041" s="4" t="s">
        <v>21461</v>
      </c>
      <c r="B17041" s="4" t="s">
        <v>21462</v>
      </c>
      <c r="C17041" s="5" t="str">
        <f>IFERROR(__xludf.DUMMYFUNCTION("GOOGLETRANSLATE(B17041,""en"",""de"")"),"Ein Intro beginnt und zeigt einen Mann, der eine Schaufel hält und mit der Kamera spricht.")</f>
        <v>Ein Intro beginnt und zeigt einen Mann, der eine Schaufel hält und mit der Kamera spricht.</v>
      </c>
    </row>
    <row r="17042">
      <c r="A17042" s="4" t="s">
        <v>21461</v>
      </c>
      <c r="B17042" s="4" t="s">
        <v>21463</v>
      </c>
      <c r="C17042" s="5" t="str">
        <f>IFERROR(__xludf.DUMMYFUNCTION("GOOGLETRANSLATE(B17042,""en"",""de"")"),"Er rechne nach und nach Blätter und spricht mit der Kamera und zeigt mehrere Menschen, die auch beim Aufnehmen von Blättern helfen.")</f>
        <v>Er rechne nach und nach Blätter und spricht mit der Kamera und zeigt mehrere Menschen, die auch beim Aufnehmen von Blättern helfen.</v>
      </c>
    </row>
    <row r="17043">
      <c r="A17043" s="4" t="s">
        <v>21461</v>
      </c>
      <c r="B17043" s="4" t="s">
        <v>21464</v>
      </c>
      <c r="C17043" s="5" t="str">
        <f>IFERROR(__xludf.DUMMYFUNCTION("GOOGLETRANSLATE(B17043,""en"",""de"")"),"Verschiedene Personen werden vor der Kamera interviewt, während mehrere andere gezeigt werden, dass sie die Blätter aufregen.")</f>
        <v>Verschiedene Personen werden vor der Kamera interviewt, während mehrere andere gezeigt werden, dass sie die Blätter aufregen.</v>
      </c>
    </row>
    <row r="17044">
      <c r="A17044" s="4" t="s">
        <v>21461</v>
      </c>
      <c r="B17044" s="4" t="s">
        <v>21465</v>
      </c>
      <c r="C17044" s="5" t="str">
        <f>IFERROR(__xludf.DUMMYFUNCTION("GOOGLETRANSLATE(B17044,""en"",""de"")"),"Ein Mann sitzt in seinem Auto und ein anderer zieht seine Handschuhe an.")</f>
        <v>Ein Mann sitzt in seinem Auto und ein anderer zieht seine Handschuhe an.</v>
      </c>
    </row>
    <row r="17045">
      <c r="A17045" s="4" t="s">
        <v>21461</v>
      </c>
      <c r="B17045" s="4" t="s">
        <v>21466</v>
      </c>
      <c r="C17045" s="5" t="str">
        <f>IFERROR(__xludf.DUMMYFUNCTION("GOOGLETRANSLATE(B17045,""en"",""de"")"),"Die Kamera schwenkt über die Blätter aus, während mehrere andere ihre harte Arbeit besprechen.")</f>
        <v>Die Kamera schwenkt über die Blätter aus, während mehrere andere ihre harte Arbeit besprechen.</v>
      </c>
    </row>
    <row r="17046">
      <c r="A17046" s="4" t="s">
        <v>21467</v>
      </c>
      <c r="B17046" s="4" t="s">
        <v>21468</v>
      </c>
      <c r="C17046" s="5" t="str">
        <f>IFERROR(__xludf.DUMMYFUNCTION("GOOGLETRANSLATE(B17046,""en"",""de"")"),"Wir sehen zwei Mädchen, die sich den anderen beugen.")</f>
        <v>Wir sehen zwei Mädchen, die sich den anderen beugen.</v>
      </c>
    </row>
    <row r="17047">
      <c r="A17047" s="4" t="s">
        <v>21467</v>
      </c>
      <c r="B17047" s="4" t="s">
        <v>21469</v>
      </c>
      <c r="C17047" s="5" t="str">
        <f>IFERROR(__xludf.DUMMYFUNCTION("GOOGLETRANSLATE(B17047,""en"",""de"")"),"Das Biegermädchen steht auf.")</f>
        <v>Das Biegermädchen steht auf.</v>
      </c>
    </row>
    <row r="17048">
      <c r="A17048" s="4" t="s">
        <v>21467</v>
      </c>
      <c r="B17048" s="4" t="s">
        <v>21470</v>
      </c>
      <c r="C17048" s="5" t="str">
        <f>IFERROR(__xludf.DUMMYFUNCTION("GOOGLETRANSLATE(B17048,""en"",""de"")"),"Wir sehen eine Person, die die sitzenden Mädchenzehennägel malen.")</f>
        <v>Wir sehen eine Person, die die sitzenden Mädchenzehennägel malen.</v>
      </c>
    </row>
    <row r="17049">
      <c r="A17049" s="4" t="s">
        <v>21471</v>
      </c>
      <c r="B17049" s="4" t="s">
        <v>21472</v>
      </c>
      <c r="C17049" s="5" t="str">
        <f>IFERROR(__xludf.DUMMYFUNCTION("GOOGLETRANSLATE(B17049,""en"",""de"")"),"Little Kid befindet sich auf einem Parkplatz und spielt Hopscotch neben Autos.")</f>
        <v>Little Kid befindet sich auf einem Parkplatz und spielt Hopscotch neben Autos.</v>
      </c>
    </row>
    <row r="17050">
      <c r="A17050" s="4" t="s">
        <v>21471</v>
      </c>
      <c r="B17050" s="4" t="s">
        <v>21473</v>
      </c>
      <c r="C17050" s="5" t="str">
        <f>IFERROR(__xludf.DUMMYFUNCTION("GOOGLETRANSLATE(B17050,""en"",""de"")"),"Der Mann, der Shorts trägt, steht neben dem Hopscotch -Spiel.")</f>
        <v>Der Mann, der Shorts trägt, steht neben dem Hopscotch -Spiel.</v>
      </c>
    </row>
    <row r="17051">
      <c r="A17051" s="4" t="s">
        <v>21471</v>
      </c>
      <c r="B17051" s="4" t="s">
        <v>21474</v>
      </c>
      <c r="C17051" s="5" t="str">
        <f>IFERROR(__xludf.DUMMYFUNCTION("GOOGLETRANSLATE(B17051,""en"",""de"")"),"Litle Blondes Kind steht auf der Straße, die in der Schriftart eines Mannes spielt.")</f>
        <v>Litle Blondes Kind steht auf der Straße, die in der Schriftart eines Mannes spielt.</v>
      </c>
    </row>
    <row r="17052">
      <c r="A17052" s="4" t="s">
        <v>21475</v>
      </c>
      <c r="B17052" s="4" t="s">
        <v>21476</v>
      </c>
      <c r="C17052" s="5" t="str">
        <f>IFERROR(__xludf.DUMMYFUNCTION("GOOGLETRANSLATE(B17052,""en"",""de"")"),"Es gibt Pferde und sie steigen aus einem Anhänger.")</f>
        <v>Es gibt Pferde und sie steigen aus einem Anhänger.</v>
      </c>
    </row>
    <row r="17053">
      <c r="A17053" s="4" t="s">
        <v>21475</v>
      </c>
      <c r="B17053" s="4" t="s">
        <v>21477</v>
      </c>
      <c r="C17053" s="5" t="str">
        <f>IFERROR(__xludf.DUMMYFUNCTION("GOOGLETRANSLATE(B17053,""en"",""de"")"),"Sie fahren durch die Wüste, durch verschiedene Teile der Wüste.")</f>
        <v>Sie fahren durch die Wüste, durch verschiedene Teile der Wüste.</v>
      </c>
    </row>
    <row r="17054">
      <c r="A17054" s="4" t="s">
        <v>21478</v>
      </c>
      <c r="B17054" s="4" t="s">
        <v>21479</v>
      </c>
      <c r="C17054" s="5" t="str">
        <f>IFERROR(__xludf.DUMMYFUNCTION("GOOGLETRANSLATE(B17054,""en"",""de"")"),"Eine Frau wäscht ihre Hände unter einer Spüle mit einem Licht, das für die Temperatur im Wasser auftritt.")</f>
        <v>Eine Frau wäscht ihre Hände unter einer Spüle mit einem Licht, das für die Temperatur im Wasser auftritt.</v>
      </c>
    </row>
    <row r="17055">
      <c r="A17055" s="4" t="s">
        <v>21478</v>
      </c>
      <c r="B17055" s="4" t="s">
        <v>21480</v>
      </c>
      <c r="C17055" s="5" t="str">
        <f>IFERROR(__xludf.DUMMYFUNCTION("GOOGLETRANSLATE(B17055,""en"",""de"")"),"Die Person schrubbt ihre Hände weiter und schüttelt sie am Ende ab.")</f>
        <v>Die Person schrubbt ihre Hände weiter und schüttelt sie am Ende ab.</v>
      </c>
    </row>
    <row r="17056">
      <c r="A17056" s="4" t="s">
        <v>21481</v>
      </c>
      <c r="B17056" s="4" t="s">
        <v>21482</v>
      </c>
      <c r="C17056" s="5" t="str">
        <f>IFERROR(__xludf.DUMMYFUNCTION("GOOGLETRANSLATE(B17056,""en"",""de"")"),"Die Leute segeln auf Segelbrettern im Meer.")</f>
        <v>Die Leute segeln auf Segelbrettern im Meer.</v>
      </c>
    </row>
    <row r="17057">
      <c r="A17057" s="4" t="s">
        <v>21481</v>
      </c>
      <c r="B17057" s="4" t="s">
        <v>21483</v>
      </c>
      <c r="C17057" s="5" t="str">
        <f>IFERROR(__xludf.DUMMYFUNCTION("GOOGLETRANSLATE(B17057,""en"",""de"")"),"Ein Mann segelt auf einem Segelbrett, der andere Seeleute an der Spitze passt.")</f>
        <v>Ein Mann segelt auf einem Segelbrett, der andere Seeleute an der Spitze passt.</v>
      </c>
    </row>
    <row r="17058">
      <c r="A17058" s="4" t="s">
        <v>21481</v>
      </c>
      <c r="B17058" s="4" t="s">
        <v>21484</v>
      </c>
      <c r="C17058" s="5" t="str">
        <f>IFERROR(__xludf.DUMMYFUNCTION("GOOGLETRANSLATE(B17058,""en"",""de"")"),"Ein Flugzeug fliegt über dem Strand, an dem Menschen segeln.")</f>
        <v>Ein Flugzeug fliegt über dem Strand, an dem Menschen segeln.</v>
      </c>
    </row>
    <row r="17059">
      <c r="A17059" s="4" t="s">
        <v>21481</v>
      </c>
      <c r="B17059" s="4" t="s">
        <v>21485</v>
      </c>
      <c r="C17059" s="5" t="str">
        <f>IFERROR(__xludf.DUMMYFUNCTION("GOOGLETRANSLATE(B17059,""en"",""de"")"),"Eine Frau fotografiert die Stadt von einem Hügel.")</f>
        <v>Eine Frau fotografiert die Stadt von einem Hügel.</v>
      </c>
    </row>
    <row r="17060">
      <c r="A17060" s="4" t="s">
        <v>21486</v>
      </c>
      <c r="B17060" s="4" t="s">
        <v>21487</v>
      </c>
      <c r="C17060" s="5" t="str">
        <f>IFERROR(__xludf.DUMMYFUNCTION("GOOGLETRANSLATE(B17060,""en"",""de"")"),"Mehrere Menschen sind in verschiedenen Szenen zu sehen, die in der Öffentlichkeit spazieren gehen.")</f>
        <v>Mehrere Menschen sind in verschiedenen Szenen zu sehen, die in der Öffentlichkeit spazieren gehen.</v>
      </c>
    </row>
    <row r="17061">
      <c r="A17061" s="4" t="s">
        <v>21486</v>
      </c>
      <c r="B17061" s="4" t="s">
        <v>21488</v>
      </c>
      <c r="C17061" s="5" t="str">
        <f>IFERROR(__xludf.DUMMYFUNCTION("GOOGLETRANSLATE(B17061,""en"",""de"")"),"Ein Mann hilft einer Frau, ein Pferd im Wald zu montieren.")</f>
        <v>Ein Mann hilft einer Frau, ein Pferd im Wald zu montieren.</v>
      </c>
    </row>
    <row r="17062">
      <c r="A17062" s="4" t="s">
        <v>21486</v>
      </c>
      <c r="B17062" s="4" t="s">
        <v>21489</v>
      </c>
      <c r="C17062" s="5" t="str">
        <f>IFERROR(__xludf.DUMMYFUNCTION("GOOGLETRANSLATE(B17062,""en"",""de"")"),"Sie füttert die Pferdeäpfel, während sie durch die bewaldeten Wege reiten.")</f>
        <v>Sie füttert die Pferdeäpfel, während sie durch die bewaldeten Wege reiten.</v>
      </c>
    </row>
    <row r="17063">
      <c r="A17063" s="4" t="s">
        <v>21490</v>
      </c>
      <c r="B17063" s="4" t="s">
        <v>21491</v>
      </c>
      <c r="C17063" s="5" t="str">
        <f>IFERROR(__xludf.DUMMYFUNCTION("GOOGLETRANSLATE(B17063,""en"",""de"")"),"Ein Junge fällt im Wald auf und hält ein Stück Rinde und spricht mit der Kamera.")</f>
        <v>Ein Junge fällt im Wald auf und hält ein Stück Rinde und spricht mit der Kamera.</v>
      </c>
    </row>
    <row r="17064">
      <c r="A17064" s="4" t="s">
        <v>21490</v>
      </c>
      <c r="B17064" s="4" t="s">
        <v>21492</v>
      </c>
      <c r="C17064" s="5" t="str">
        <f>IFERROR(__xludf.DUMMYFUNCTION("GOOGLETRANSLATE(B17064,""en"",""de"")"),"Eine Frau hat gesehen, wie er einen Stapel Strecken macht, während der Junge in den Rahmen geht.")</f>
        <v>Eine Frau hat gesehen, wie er einen Stapel Strecken macht, während der Junge in den Rahmen geht.</v>
      </c>
    </row>
    <row r="17065">
      <c r="A17065" s="4" t="s">
        <v>21490</v>
      </c>
      <c r="B17065" s="4" t="s">
        <v>21493</v>
      </c>
      <c r="C17065" s="5" t="str">
        <f>IFERROR(__xludf.DUMMYFUNCTION("GOOGLETRANSLATE(B17065,""en"",""de"")"),"Sie leuchtet den Stock fort, bis eine Flamme beginnt und ihn ins Feuer steckt.")</f>
        <v>Sie leuchtet den Stock fort, bis eine Flamme beginnt und ihn ins Feuer steckt.</v>
      </c>
    </row>
    <row r="17066">
      <c r="A17066" s="4" t="s">
        <v>21490</v>
      </c>
      <c r="B17066" s="4" t="s">
        <v>21494</v>
      </c>
      <c r="C17066" s="5" t="str">
        <f>IFERROR(__xludf.DUMMYFUNCTION("GOOGLETRANSLATE(B17066,""en"",""de"")"),"Das Feuer wird allmählich größer und die Frau steckt immer mehr Bellen hinein.")</f>
        <v>Das Feuer wird allmählich größer und die Frau steckt immer mehr Bellen hinein.</v>
      </c>
    </row>
    <row r="17067">
      <c r="A17067" s="4" t="s">
        <v>21495</v>
      </c>
      <c r="B17067" s="4" t="s">
        <v>21496</v>
      </c>
      <c r="C17067" s="5" t="str">
        <f>IFERROR(__xludf.DUMMYFUNCTION("GOOGLETRANSLATE(B17067,""en"",""de"")"),"Ein Mann trägt ein rotes Hemd und steht neben einem Fooseball -Tisch.")</f>
        <v>Ein Mann trägt ein rotes Hemd und steht neben einem Fooseball -Tisch.</v>
      </c>
    </row>
    <row r="17068">
      <c r="A17068" s="4" t="s">
        <v>21495</v>
      </c>
      <c r="B17068" s="4" t="s">
        <v>21497</v>
      </c>
      <c r="C17068" s="5" t="str">
        <f>IFERROR(__xludf.DUMMYFUNCTION("GOOGLETRANSLATE(B17068,""en"",""de"")"),"Der Mann spielt ein bisschen, gefolgt von einer Bierdose und präsentiert es der Kamera.")</f>
        <v>Der Mann spielt ein bisschen, gefolgt von einer Bierdose und präsentiert es der Kamera.</v>
      </c>
    </row>
    <row r="17069">
      <c r="A17069" s="4" t="s">
        <v>21495</v>
      </c>
      <c r="B17069" s="4" t="s">
        <v>21498</v>
      </c>
      <c r="C17069" s="5" t="str">
        <f>IFERROR(__xludf.DUMMYFUNCTION("GOOGLETRANSLATE(B17069,""en"",""de"")"),"Der Mann spielt dann weiter, während die Kamera auf den Tisch zoomt.")</f>
        <v>Der Mann spielt dann weiter, während die Kamera auf den Tisch zoomt.</v>
      </c>
    </row>
    <row r="17070">
      <c r="A17070" s="4" t="s">
        <v>21499</v>
      </c>
      <c r="B17070" s="4" t="s">
        <v>21500</v>
      </c>
      <c r="C17070" s="5" t="str">
        <f>IFERROR(__xludf.DUMMYFUNCTION("GOOGLETRANSLATE(B17070,""en"",""de"")"),"Ein Mann rennt überall mit Sprungseilen, während die Menge jubelt.")</f>
        <v>Ein Mann rennt überall mit Sprungseilen, während die Menge jubelt.</v>
      </c>
    </row>
    <row r="17071">
      <c r="A17071" s="4" t="s">
        <v>21499</v>
      </c>
      <c r="B17071" s="4" t="s">
        <v>21501</v>
      </c>
      <c r="C17071" s="5" t="str">
        <f>IFERROR(__xludf.DUMMYFUNCTION("GOOGLETRANSLATE(B17071,""en"",""de"")"),"Einige Leute kriechen im Hintergrund auf dem Boden.")</f>
        <v>Einige Leute kriechen im Hintergrund auf dem Boden.</v>
      </c>
    </row>
    <row r="17072">
      <c r="A17072" s="4" t="s">
        <v>21499</v>
      </c>
      <c r="B17072" s="4" t="s">
        <v>21502</v>
      </c>
      <c r="C17072" s="5" t="str">
        <f>IFERROR(__xludf.DUMMYFUNCTION("GOOGLETRANSLATE(B17072,""en"",""de"")"),"Der Mann beendet die Routine und rennt dann rüber, um eine Frau zu umarmen.")</f>
        <v>Der Mann beendet die Routine und rennt dann rüber, um eine Frau zu umarmen.</v>
      </c>
    </row>
    <row r="17073">
      <c r="A17073" s="4" t="s">
        <v>21503</v>
      </c>
      <c r="B17073" s="4" t="s">
        <v>21504</v>
      </c>
      <c r="C17073" s="5" t="str">
        <f>IFERROR(__xludf.DUMMYFUNCTION("GOOGLETRANSLATE(B17073,""en"",""de"")"),"Zwei Kinder stehen im Innenraum herum und mit Tennisschlägern.")</f>
        <v>Zwei Kinder stehen im Innenraum herum und mit Tennisschlägern.</v>
      </c>
    </row>
    <row r="17074">
      <c r="A17074" s="4" t="s">
        <v>21503</v>
      </c>
      <c r="B17074" s="4" t="s">
        <v>21505</v>
      </c>
      <c r="C17074" s="5" t="str">
        <f>IFERROR(__xludf.DUMMYFUNCTION("GOOGLETRANSLATE(B17074,""en"",""de"")"),"Die Kamera schwenkt zu Kindern, die den Ball trifft, der Tennisschläger hält.")</f>
        <v>Die Kamera schwenkt zu Kindern, die den Ball trifft, der Tennisschläger hält.</v>
      </c>
    </row>
    <row r="17075">
      <c r="A17075" s="4" t="s">
        <v>21503</v>
      </c>
      <c r="B17075" s="4" t="s">
        <v>21506</v>
      </c>
      <c r="C17075" s="5" t="str">
        <f>IFERROR(__xludf.DUMMYFUNCTION("GOOGLETRANSLATE(B17075,""en"",""de"")"),"Die Kinder schlagen weiterhin den Ball umeinander.")</f>
        <v>Die Kinder schlagen weiterhin den Ball umeinander.</v>
      </c>
    </row>
    <row r="17076">
      <c r="A17076" s="4" t="s">
        <v>21507</v>
      </c>
      <c r="B17076" s="4" t="s">
        <v>21508</v>
      </c>
      <c r="C17076" s="5" t="str">
        <f>IFERROR(__xludf.DUMMYFUNCTION("GOOGLETRANSLATE(B17076,""en"",""de"")"),"Eine kleine Gruppe von Menschen steht miteinander und führt dazu, dass sie rennen und ein Paintballspiel spielen.")</f>
        <v>Eine kleine Gruppe von Menschen steht miteinander und führt dazu, dass sie rennen und ein Paintballspiel spielen.</v>
      </c>
    </row>
    <row r="17077">
      <c r="A17077" s="4" t="s">
        <v>21507</v>
      </c>
      <c r="B17077" s="4" t="s">
        <v>21509</v>
      </c>
      <c r="C17077" s="5" t="str">
        <f>IFERROR(__xludf.DUMMYFUNCTION("GOOGLETRANSLATE(B17077,""en"",""de"")"),"Der Kameramann zielt überall um ihn herum, um andere zu fangen und mehrmals in die Ferne zu schießen.")</f>
        <v>Der Kameramann zielt überall um ihn herum, um andere zu fangen und mehrmals in die Ferne zu schießen.</v>
      </c>
    </row>
    <row r="17078">
      <c r="A17078" s="4" t="s">
        <v>21507</v>
      </c>
      <c r="B17078" s="4" t="s">
        <v>21510</v>
      </c>
      <c r="C17078" s="5" t="str">
        <f>IFERROR(__xludf.DUMMYFUNCTION("GOOGLETRANSLATE(B17078,""en"",""de"")"),"Das Spiel geht weiter, da der Mann am Ende herumläuft und anhält.")</f>
        <v>Das Spiel geht weiter, da der Mann am Ende herumläuft und anhält.</v>
      </c>
    </row>
    <row r="17079">
      <c r="A17079" s="4" t="s">
        <v>21511</v>
      </c>
      <c r="B17079" s="4" t="s">
        <v>21512</v>
      </c>
      <c r="C17079" s="5" t="str">
        <f>IFERROR(__xludf.DUMMYFUNCTION("GOOGLETRANSLATE(B17079,""en"",""de"")"),"Ein Mann kniet auf einer blauen Matte.")</f>
        <v>Ein Mann kniet auf einer blauen Matte.</v>
      </c>
    </row>
    <row r="17080">
      <c r="A17080" s="4" t="s">
        <v>21511</v>
      </c>
      <c r="B17080" s="4" t="s">
        <v>21513</v>
      </c>
      <c r="C17080" s="5" t="str">
        <f>IFERROR(__xludf.DUMMYFUNCTION("GOOGLETRANSLATE(B17080,""en"",""de"")"),"Ein anderer Mann kniet neben ihm auf den Boden.")</f>
        <v>Ein anderer Mann kniet neben ihm auf den Boden.</v>
      </c>
    </row>
    <row r="17081">
      <c r="A17081" s="4" t="s">
        <v>21511</v>
      </c>
      <c r="B17081" s="4" t="s">
        <v>21514</v>
      </c>
      <c r="C17081" s="5" t="str">
        <f>IFERROR(__xludf.DUMMYFUNCTION("GOOGLETRANSLATE(B17081,""en"",""de"")"),"Der Mann hebt ein Ende eines Gewichts und hebt es über seinen Kopf.")</f>
        <v>Der Mann hebt ein Ende eines Gewichts und hebt es über seinen Kopf.</v>
      </c>
    </row>
    <row r="17082">
      <c r="A17082" s="4" t="s">
        <v>21515</v>
      </c>
      <c r="B17082" s="4" t="s">
        <v>21516</v>
      </c>
      <c r="C17082" s="5" t="str">
        <f>IFERROR(__xludf.DUMMYFUNCTION("GOOGLETRANSLATE(B17082,""en"",""de"")"),"Ein Mann, der schwarze Socken trägt, zeigt seine schwarzen Lederschuhe an und bindet seine Schnürsenkel.")</f>
        <v>Ein Mann, der schwarze Socken trägt, zeigt seine schwarzen Lederschuhe an und bindet seine Schnürsenkel.</v>
      </c>
    </row>
    <row r="17083">
      <c r="A17083" s="4" t="s">
        <v>21515</v>
      </c>
      <c r="B17083" s="4" t="s">
        <v>21517</v>
      </c>
      <c r="C17083" s="5" t="str">
        <f>IFERROR(__xludf.DUMMYFUNCTION("GOOGLETRANSLATE(B17083,""en"",""de"")"),"Es gibt eine andere Person, die braune Lederschuhe auf schwarzen Socken trägt.")</f>
        <v>Es gibt eine andere Person, die braune Lederschuhe auf schwarzen Socken trägt.</v>
      </c>
    </row>
    <row r="17084">
      <c r="A17084" s="4" t="s">
        <v>21515</v>
      </c>
      <c r="B17084" s="4" t="s">
        <v>21518</v>
      </c>
      <c r="C17084" s="5" t="str">
        <f>IFERROR(__xludf.DUMMYFUNCTION("GOOGLETRANSLATE(B17084,""en"",""de"")"),"Er bindet die Schnürsenkel fest, um sie zu sichern.")</f>
        <v>Er bindet die Schnürsenkel fest, um sie zu sichern.</v>
      </c>
    </row>
    <row r="17085">
      <c r="A17085" s="4" t="s">
        <v>21515</v>
      </c>
      <c r="B17085" s="4" t="s">
        <v>21519</v>
      </c>
      <c r="C17085" s="5" t="str">
        <f>IFERROR(__xludf.DUMMYFUNCTION("GOOGLETRANSLATE(B17085,""en"",""de"")"),"Dann zeigt eine andere Szene eine Person, die Lederschuhe auf schwarzen Socken trägt.")</f>
        <v>Dann zeigt eine andere Szene eine Person, die Lederschuhe auf schwarzen Socken trägt.</v>
      </c>
    </row>
    <row r="17086">
      <c r="A17086" s="4" t="s">
        <v>21515</v>
      </c>
      <c r="B17086" s="4" t="s">
        <v>21520</v>
      </c>
      <c r="C17086" s="5" t="str">
        <f>IFERROR(__xludf.DUMMYFUNCTION("GOOGLETRANSLATE(B17086,""en"",""de"")"),"Gefolgt von mehreren Szenen, die die Person zeigen, die braune Lederschuhe mit Schnürsenkel trägt.")</f>
        <v>Gefolgt von mehreren Szenen, die die Person zeigen, die braune Lederschuhe mit Schnürsenkel trägt.</v>
      </c>
    </row>
    <row r="17087">
      <c r="A17087" s="4" t="s">
        <v>21515</v>
      </c>
      <c r="B17087" s="4" t="s">
        <v>21521</v>
      </c>
      <c r="C17087" s="5" t="str">
        <f>IFERROR(__xludf.DUMMYFUNCTION("GOOGLETRANSLATE(B17087,""en"",""de"")"),"Er trägt die Schuhe über schwarze Socken und bindet die Schuhschnürsenkel sicher.")</f>
        <v>Er trägt die Schuhe über schwarze Socken und bindet die Schuhschnürsenkel sicher.</v>
      </c>
    </row>
    <row r="17088">
      <c r="A17088" s="4" t="s">
        <v>21515</v>
      </c>
      <c r="B17088" s="4" t="s">
        <v>21522</v>
      </c>
      <c r="C17088" s="5" t="str">
        <f>IFERROR(__xludf.DUMMYFUNCTION("GOOGLETRANSLATE(B17088,""en"",""de"")"),"Dann steht er auf, nachdem er die braunen Lederschuhe mit dem Tragen von Leder gemacht hat.")</f>
        <v>Dann steht er auf, nachdem er die braunen Lederschuhe mit dem Tragen von Leder gemacht hat.</v>
      </c>
    </row>
    <row r="17089">
      <c r="A17089" s="4" t="s">
        <v>21523</v>
      </c>
      <c r="B17089" s="4" t="s">
        <v>21524</v>
      </c>
      <c r="C17089" s="5" t="str">
        <f>IFERROR(__xludf.DUMMYFUNCTION("GOOGLETRANSLATE(B17089,""en"",""de"")"),"Die Hände einer Person sehen die Nägel einer Katze, während die Katze ein wenig kämpft.")</f>
        <v>Die Hände einer Person sehen die Nägel einer Katze, während die Katze ein wenig kämpft.</v>
      </c>
    </row>
    <row r="17090">
      <c r="A17090" s="4" t="s">
        <v>21523</v>
      </c>
      <c r="B17090" s="4" t="s">
        <v>21525</v>
      </c>
      <c r="C17090" s="5" t="str">
        <f>IFERROR(__xludf.DUMMYFUNCTION("GOOGLETRANSLATE(B17090,""en"",""de"")"),"Weitere Aufnahmen von ihr, die die Katze ausschneiden, werden gezeigt und an einem Punkt bewegt er sich und sie greift ihn am Hals.")</f>
        <v>Weitere Aufnahmen von ihr, die die Katze ausschneiden, werden gezeigt und an einem Punkt bewegt er sich und sie greift ihn am Hals.</v>
      </c>
    </row>
    <row r="17091">
      <c r="A17091" s="4" t="s">
        <v>21526</v>
      </c>
      <c r="B17091" s="4" t="s">
        <v>21527</v>
      </c>
      <c r="C17091" s="5" t="str">
        <f>IFERROR(__xludf.DUMMYFUNCTION("GOOGLETRANSLATE(B17091,""en"",""de"")"),"Männer befinden sich in einem Stadion, das von den Tribünen aus Schnee gereinigt wird.")</f>
        <v>Männer befinden sich in einem Stadion, das von den Tribünen aus Schnee gereinigt wird.</v>
      </c>
    </row>
    <row r="17092">
      <c r="A17092" s="4" t="s">
        <v>21526</v>
      </c>
      <c r="B17092" s="4" t="s">
        <v>21528</v>
      </c>
      <c r="C17092" s="5" t="str">
        <f>IFERROR(__xludf.DUMMYFUNCTION("GOOGLETRANSLATE(B17092,""en"",""de"")"),"Männer reiten Pferde im schneebedeckten Feld.")</f>
        <v>Männer reiten Pferde im schneebedeckten Feld.</v>
      </c>
    </row>
    <row r="17093">
      <c r="A17093" s="4" t="s">
        <v>21526</v>
      </c>
      <c r="B17093" s="4" t="s">
        <v>21529</v>
      </c>
      <c r="C17093" s="5" t="str">
        <f>IFERROR(__xludf.DUMMYFUNCTION("GOOGLETRANSLATE(B17093,""en"",""de"")"),"Männer setzen Stiefel und Polo -Uniformen.")</f>
        <v>Männer setzen Stiefel und Polo -Uniformen.</v>
      </c>
    </row>
    <row r="17094">
      <c r="A17094" s="4" t="s">
        <v>21526</v>
      </c>
      <c r="B17094" s="4" t="s">
        <v>21530</v>
      </c>
      <c r="C17094" s="5" t="str">
        <f>IFERROR(__xludf.DUMMYFUNCTION("GOOGLETRANSLATE(B17094,""en"",""de"")"),"Frauen stehen auf einem Feld und sitzen auf Tribünen.")</f>
        <v>Frauen stehen auf einem Feld und sitzen auf Tribünen.</v>
      </c>
    </row>
    <row r="17095">
      <c r="A17095" s="4" t="s">
        <v>21526</v>
      </c>
      <c r="B17095" s="4" t="s">
        <v>21531</v>
      </c>
      <c r="C17095" s="5" t="str">
        <f>IFERROR(__xludf.DUMMYFUNCTION("GOOGLETRANSLATE(B17095,""en"",""de"")"),"Männer spielen Polo auf schneebedecktem Feld, während die Leute sie beobachten.")</f>
        <v>Männer spielen Polo auf schneebedecktem Feld, während die Leute sie beobachten.</v>
      </c>
    </row>
    <row r="17096">
      <c r="A17096" s="4" t="s">
        <v>21532</v>
      </c>
      <c r="B17096" s="4" t="s">
        <v>21533</v>
      </c>
      <c r="C17096" s="5" t="str">
        <f>IFERROR(__xludf.DUMMYFUNCTION("GOOGLETRANSLATE(B17096,""en"",""de"")"),"Ein junger Mann, der ein Krawattenhemd trägt, spricht mit der Kamera und zeigt dann, wie er Kleidung auszieht.")</f>
        <v>Ein junger Mann, der ein Krawattenhemd trägt, spricht mit der Kamera und zeigt dann, wie er Kleidung auszieht.</v>
      </c>
    </row>
    <row r="17097">
      <c r="A17097" s="4" t="s">
        <v>21532</v>
      </c>
      <c r="B17097" s="4" t="s">
        <v>21534</v>
      </c>
      <c r="C17097" s="5" t="str">
        <f>IFERROR(__xludf.DUMMYFUNCTION("GOOGLETRANSLATE(B17097,""en"",""de"")"),"Er zeigt seine Beine und führt dann einen elektrischen Rasiermesser in die Beine rasiert vom Haar.")</f>
        <v>Er zeigt seine Beine und führt dann einen elektrischen Rasiermesser in die Beine rasiert vom Haar.</v>
      </c>
    </row>
    <row r="17098">
      <c r="A17098" s="4" t="s">
        <v>21532</v>
      </c>
      <c r="B17098" s="4" t="s">
        <v>21535</v>
      </c>
      <c r="C17098" s="5" t="str">
        <f>IFERROR(__xludf.DUMMYFUNCTION("GOOGLETRANSLATE(B17098,""en"",""de"")"),"Dann legt er Rasiercreme auf seine Beine und rasiert sie, zeigt schließlich seine nackten Beine am Ende und spricht mit der Kamera.")</f>
        <v>Dann legt er Rasiercreme auf seine Beine und rasiert sie, zeigt schließlich seine nackten Beine am Ende und spricht mit der Kamera.</v>
      </c>
    </row>
    <row r="17099">
      <c r="A17099" s="4" t="s">
        <v>21536</v>
      </c>
      <c r="B17099" s="4" t="s">
        <v>21537</v>
      </c>
      <c r="C17099" s="5" t="str">
        <f>IFERROR(__xludf.DUMMYFUNCTION("GOOGLETRANSLATE(B17099,""en"",""de"")"),"Wir sehen Astronauten in einem Schiff schweben.")</f>
        <v>Wir sehen Astronauten in einem Schiff schweben.</v>
      </c>
    </row>
    <row r="17100">
      <c r="A17100" s="4" t="s">
        <v>21536</v>
      </c>
      <c r="B17100" s="4" t="s">
        <v>21538</v>
      </c>
      <c r="C17100" s="5" t="str">
        <f>IFERROR(__xludf.DUMMYFUNCTION("GOOGLETRANSLATE(B17100,""en"",""de"")"),"Der Mann gibt der Dame das Mikrofon.")</f>
        <v>Der Mann gibt der Dame das Mikrofon.</v>
      </c>
    </row>
    <row r="17101">
      <c r="A17101" s="4" t="s">
        <v>21536</v>
      </c>
      <c r="B17101" s="4" t="s">
        <v>21539</v>
      </c>
      <c r="C17101" s="5" t="str">
        <f>IFERROR(__xludf.DUMMYFUNCTION("GOOGLETRANSLATE(B17101,""en"",""de"")"),"Der mittlere Mann kreuzt die Hände und hat das Mikrofon.")</f>
        <v>Der mittlere Mann kreuzt die Hände und hat das Mikrofon.</v>
      </c>
    </row>
    <row r="17102">
      <c r="A17102" s="4" t="s">
        <v>21536</v>
      </c>
      <c r="B17102" s="4" t="s">
        <v>21540</v>
      </c>
      <c r="C17102" s="5" t="str">
        <f>IFERROR(__xludf.DUMMYFUNCTION("GOOGLETRANSLATE(B17102,""en"",""de"")"),"Die Dame bekommt das Mikrofon zurück und spricht.")</f>
        <v>Die Dame bekommt das Mikrofon zurück und spricht.</v>
      </c>
    </row>
    <row r="17103">
      <c r="A17103" s="4" t="s">
        <v>21536</v>
      </c>
      <c r="B17103" s="4" t="s">
        <v>21541</v>
      </c>
      <c r="C17103" s="5" t="str">
        <f>IFERROR(__xludf.DUMMYFUNCTION("GOOGLETRANSLATE(B17103,""en"",""de"")"),"Die Dame greift Flöte und spielt.")</f>
        <v>Die Dame greift Flöte und spielt.</v>
      </c>
    </row>
    <row r="17104">
      <c r="A17104" s="4" t="s">
        <v>21542</v>
      </c>
      <c r="B17104" s="4" t="s">
        <v>21543</v>
      </c>
      <c r="C17104" s="5" t="str">
        <f>IFERROR(__xludf.DUMMYFUNCTION("GOOGLETRANSLATE(B17104,""en"",""de"")"),"Eine Frau wird mit einem Pferd spazieren gehen und zu einem anderen Mädchen herumlaufen, der weggeht.")</f>
        <v>Eine Frau wird mit einem Pferd spazieren gehen und zu einem anderen Mädchen herumlaufen, der weggeht.</v>
      </c>
    </row>
    <row r="17105">
      <c r="A17105" s="4" t="s">
        <v>21542</v>
      </c>
      <c r="B17105" s="4" t="s">
        <v>21544</v>
      </c>
      <c r="C17105" s="5" t="str">
        <f>IFERROR(__xludf.DUMMYFUNCTION("GOOGLETRANSLATE(B17105,""en"",""de"")"),"Weitere Mädchen halten ein Produkt und sprechen mit der Kamera und führen zu den Mädchen, die zeigen, wie man das Pferd reinigt und das Pferd bürstet.")</f>
        <v>Weitere Mädchen halten ein Produkt und sprechen mit der Kamera und führen zu den Mädchen, die zeigen, wie man das Pferd reinigt und das Pferd bürstet.</v>
      </c>
    </row>
    <row r="17106">
      <c r="A17106" s="4" t="s">
        <v>21545</v>
      </c>
      <c r="B17106" s="4" t="s">
        <v>21546</v>
      </c>
      <c r="C17106" s="5" t="str">
        <f>IFERROR(__xludf.DUMMYFUNCTION("GOOGLETRANSLATE(B17106,""en"",""de"")"),"Ein Mann benutzt einen elliptischen Trainer im Stehen.")</f>
        <v>Ein Mann benutzt einen elliptischen Trainer im Stehen.</v>
      </c>
    </row>
    <row r="17107">
      <c r="A17107" s="4" t="s">
        <v>21545</v>
      </c>
      <c r="B17107" s="4" t="s">
        <v>21547</v>
      </c>
      <c r="C17107" s="5" t="str">
        <f>IFERROR(__xludf.DUMMYFUNCTION("GOOGLETRANSLATE(B17107,""en"",""de"")"),"Dann sitzt eine Frau darauf, als sie es auf eine andere Weise benutzt.")</f>
        <v>Dann sitzt eine Frau darauf, als sie es auf eine andere Weise benutzt.</v>
      </c>
    </row>
    <row r="17108">
      <c r="A17108" s="4" t="s">
        <v>21545</v>
      </c>
      <c r="B17108" s="4" t="s">
        <v>21548</v>
      </c>
      <c r="C17108" s="5" t="str">
        <f>IFERROR(__xludf.DUMMYFUNCTION("GOOGLETRANSLATE(B17108,""en"",""de"")"),"Es wechselt zwischen den beiden, während sie trainieren.")</f>
        <v>Es wechselt zwischen den beiden, während sie trainieren.</v>
      </c>
    </row>
    <row r="17109">
      <c r="A17109" s="4" t="s">
        <v>21545</v>
      </c>
      <c r="B17109" s="4" t="s">
        <v>21549</v>
      </c>
      <c r="C17109" s="5" t="str">
        <f>IFERROR(__xludf.DUMMYFUNCTION("GOOGLETRANSLATE(B17109,""en"",""de"")"),"Eine Nahaufnahme wird angezeigt, wie die Maschine funktioniert, und faltet sich für einen einfachen Speicher zusammen.")</f>
        <v>Eine Nahaufnahme wird angezeigt, wie die Maschine funktioniert, und faltet sich für einen einfachen Speicher zusammen.</v>
      </c>
    </row>
    <row r="17110">
      <c r="A17110" s="4" t="s">
        <v>21550</v>
      </c>
      <c r="B17110" s="4" t="s">
        <v>21551</v>
      </c>
      <c r="C17110" s="5" t="str">
        <f>IFERROR(__xludf.DUMMYFUNCTION("GOOGLETRANSLATE(B17110,""en"",""de"")"),"Ein Mann und ein Junge sind draußen auf einer Einfahrt.")</f>
        <v>Ein Mann und ein Junge sind draußen auf einer Einfahrt.</v>
      </c>
    </row>
    <row r="17111">
      <c r="A17111" s="4" t="s">
        <v>21550</v>
      </c>
      <c r="B17111" s="4" t="s">
        <v>21552</v>
      </c>
      <c r="C17111" s="5" t="str">
        <f>IFERROR(__xludf.DUMMYFUNCTION("GOOGLETRANSLATE(B17111,""en"",""de"")"),"Sie konkurrieren darum, wie schnell sie Schnee von der Einfahrt schaufeln können.")</f>
        <v>Sie konkurrieren darum, wie schnell sie Schnee von der Einfahrt schaufeln können.</v>
      </c>
    </row>
    <row r="17112">
      <c r="A17112" s="4" t="s">
        <v>21550</v>
      </c>
      <c r="B17112" s="4" t="s">
        <v>21553</v>
      </c>
      <c r="C17112" s="5" t="str">
        <f>IFERROR(__xludf.DUMMYFUNCTION("GOOGLETRANSLATE(B17112,""en"",""de"")"),"Sie rennen so schnell wie möglich hin und her.")</f>
        <v>Sie rennen so schnell wie möglich hin und her.</v>
      </c>
    </row>
    <row r="17113">
      <c r="A17113" s="4" t="s">
        <v>21554</v>
      </c>
      <c r="B17113" s="4" t="s">
        <v>21555</v>
      </c>
      <c r="C17113" s="5" t="str">
        <f>IFERROR(__xludf.DUMMYFUNCTION("GOOGLETRANSLATE(B17113,""en"",""de"")"),"Eine Gruppe von Menschen schwimmt auf Flüssen auf einem Fluss.")</f>
        <v>Eine Gruppe von Menschen schwimmt auf Flüssen auf einem Fluss.</v>
      </c>
    </row>
    <row r="17114">
      <c r="A17114" s="4" t="s">
        <v>21554</v>
      </c>
      <c r="B17114" s="4" t="s">
        <v>21556</v>
      </c>
      <c r="C17114" s="5" t="str">
        <f>IFERROR(__xludf.DUMMYFUNCTION("GOOGLETRANSLATE(B17114,""en"",""de"")"),"Sie paddeln die Flöße durch raue Weißwasser -Stromschnellen.")</f>
        <v>Sie paddeln die Flöße durch raue Weißwasser -Stromschnellen.</v>
      </c>
    </row>
    <row r="17115">
      <c r="A17115" s="4" t="s">
        <v>21554</v>
      </c>
      <c r="B17115" s="4" t="s">
        <v>21557</v>
      </c>
      <c r="C17115" s="5" t="str">
        <f>IFERROR(__xludf.DUMMYFUNCTION("GOOGLETRANSLATE(B17115,""en"",""de"")"),"Die Menschen fallen heraus und werden von anderen Sparren zurückgezogen, bevor sie auf dem Weg fortgesetzt werden.")</f>
        <v>Die Menschen fallen heraus und werden von anderen Sparren zurückgezogen, bevor sie auf dem Weg fortgesetzt werden.</v>
      </c>
    </row>
    <row r="17116">
      <c r="A17116" s="4" t="s">
        <v>21558</v>
      </c>
      <c r="B17116" s="4" t="s">
        <v>21559</v>
      </c>
      <c r="C17116" s="5" t="str">
        <f>IFERROR(__xludf.DUMMYFUNCTION("GOOGLETRANSLATE(B17116,""en"",""de"")"),"Ein Mann spricht mit der Kamera, während er in einem Kajak sitzt und einen Spielzeugperson auf einem Kajak in seinem Schoß hält.")</f>
        <v>Ein Mann spricht mit der Kamera, während er in einem Kajak sitzt und einen Spielzeugperson auf einem Kajak in seinem Schoß hält.</v>
      </c>
    </row>
    <row r="17117">
      <c r="A17117" s="4" t="s">
        <v>21558</v>
      </c>
      <c r="B17117" s="4" t="s">
        <v>21560</v>
      </c>
      <c r="C17117" s="5" t="str">
        <f>IFERROR(__xludf.DUMMYFUNCTION("GOOGLETRANSLATE(B17117,""en"",""de"")"),"Der Mann spricht weiterhin mit der Kamera, während er das Objekt hält, und führt in ihn im Kajak herum.")</f>
        <v>Der Mann spricht weiterhin mit der Kamera, während er das Objekt hält, und führt in ihn im Kajak herum.</v>
      </c>
    </row>
    <row r="17118">
      <c r="A17118" s="4" t="s">
        <v>21561</v>
      </c>
      <c r="B17118" s="4" t="s">
        <v>21562</v>
      </c>
      <c r="C17118" s="5" t="str">
        <f>IFERROR(__xludf.DUMMYFUNCTION("GOOGLETRANSLATE(B17118,""en"",""de"")"),"Ein Mann ist draußen vor einer Veranda zu sehen, die einen Mäher zurück und den vierten Platz drückt.")</f>
        <v>Ein Mann ist draußen vor einer Veranda zu sehen, die einen Mäher zurück und den vierten Platz drückt.</v>
      </c>
    </row>
    <row r="17119">
      <c r="A17119" s="4" t="s">
        <v>21561</v>
      </c>
      <c r="B17119" s="4" t="s">
        <v>21563</v>
      </c>
      <c r="C17119" s="5" t="str">
        <f>IFERROR(__xludf.DUMMYFUNCTION("GOOGLETRANSLATE(B17119,""en"",""de"")"),"Er fährt den Mäher entlang des Gras und bewegt sich den Rasen auf und ab.")</f>
        <v>Er fährt den Mäher entlang des Gras und bewegt sich den Rasen auf und ab.</v>
      </c>
    </row>
    <row r="17120">
      <c r="A17120" s="4" t="s">
        <v>21564</v>
      </c>
      <c r="B17120" s="4" t="s">
        <v>21565</v>
      </c>
      <c r="C17120" s="5" t="str">
        <f>IFERROR(__xludf.DUMMYFUNCTION("GOOGLETRANSLATE(B17120,""en"",""de"")"),"Ein Mann trägt einen Anzug und spricht und die Worte auf dem Bildschirm sagen, dass sein Name reich ist und dass er der Moderator des Best of the Best -TV ist.")</f>
        <v>Ein Mann trägt einen Anzug und spricht und die Worte auf dem Bildschirm sagen, dass sein Name reich ist und dass er der Moderator des Best of the Best -TV ist.</v>
      </c>
    </row>
    <row r="17121">
      <c r="A17121" s="4" t="s">
        <v>21564</v>
      </c>
      <c r="B17121" s="4" t="s">
        <v>21566</v>
      </c>
      <c r="C17121" s="5" t="str">
        <f>IFERROR(__xludf.DUMMYFUNCTION("GOOGLETRANSLATE(B17121,""en"",""de"")"),"Eine Serie hat immer noch Bilder von Häusern, Menschen, Stuckarbeit in einem Haus gemacht, eine Liste der Stuckinformationen beginnt zu spielen und die Öffnungswörter, bevor die Bilder beginnen, sagen ""Best of the Best Television"".")</f>
        <v>Eine Serie hat immer noch Bilder von Häusern, Menschen, Stuckarbeit in einem Haus gemacht, eine Liste der Stuckinformationen beginnt zu spielen und die Öffnungswörter, bevor die Bilder beginnen, sagen "Best of the Best Television".</v>
      </c>
    </row>
    <row r="17122">
      <c r="A17122" s="4" t="s">
        <v>21564</v>
      </c>
      <c r="B17122" s="4" t="s">
        <v>21567</v>
      </c>
      <c r="C17122" s="5" t="str">
        <f>IFERROR(__xludf.DUMMYFUNCTION("GOOGLETRANSLATE(B17122,""en"",""de"")"),"Wenn die Bilder erstellt werden, wird ein dunkelgrauer Bildschirm angezeigt, der den Namen der Stuckfirma, deren Telefonnummer und deren Website enthält.")</f>
        <v>Wenn die Bilder erstellt werden, wird ein dunkelgrauer Bildschirm angezeigt, der den Namen der Stuckfirma, deren Telefonnummer und deren Website enthält.</v>
      </c>
    </row>
    <row r="17123">
      <c r="A17123" s="4" t="s">
        <v>21564</v>
      </c>
      <c r="B17123" s="4" t="s">
        <v>21568</v>
      </c>
      <c r="C17123" s="5" t="str">
        <f>IFERROR(__xludf.DUMMYFUNCTION("GOOGLETRANSLATE(B17123,""en"",""de"")"),"Der Host scheint noch einmal zu sprechen und endet mit den Wörtern, die ein Bildschirm mit dem Besten des besten Fernsehens und einem Bildschirm, der den Produzenten und seine Website nennt, mithört.")</f>
        <v>Der Host scheint noch einmal zu sprechen und endet mit den Wörtern, die ein Bildschirm mit dem Besten des besten Fernsehens und einem Bildschirm, der den Produzenten und seine Website nennt, mithört.</v>
      </c>
    </row>
    <row r="17124">
      <c r="A17124" s="4" t="s">
        <v>21569</v>
      </c>
      <c r="B17124" s="4" t="s">
        <v>21570</v>
      </c>
      <c r="C17124" s="5" t="str">
        <f>IFERROR(__xludf.DUMMYFUNCTION("GOOGLETRANSLATE(B17124,""en"",""de"")"),"Eine Einführungsgrafik ist mit dem Titel zu sehen.")</f>
        <v>Eine Einführungsgrafik ist mit dem Titel zu sehen.</v>
      </c>
    </row>
    <row r="17125">
      <c r="A17125" s="4" t="s">
        <v>21569</v>
      </c>
      <c r="B17125" s="4" t="s">
        <v>21571</v>
      </c>
      <c r="C17125" s="5" t="str">
        <f>IFERROR(__xludf.DUMMYFUNCTION("GOOGLETRANSLATE(B17125,""en"",""de"")"),"Ein großer leerer Strand wird vom Ufer aus gesehen.")</f>
        <v>Ein großer leerer Strand wird vom Ufer aus gesehen.</v>
      </c>
    </row>
    <row r="17126">
      <c r="A17126" s="4" t="s">
        <v>21569</v>
      </c>
      <c r="B17126" s="4" t="s">
        <v>21572</v>
      </c>
      <c r="C17126" s="5" t="str">
        <f>IFERROR(__xludf.DUMMYFUNCTION("GOOGLETRANSLATE(B17126,""en"",""de"")"),"Ein Vogel ist zu sehen, der die Küste entlang geht.")</f>
        <v>Ein Vogel ist zu sehen, der die Küste entlang geht.</v>
      </c>
    </row>
    <row r="17127">
      <c r="A17127" s="4" t="s">
        <v>21569</v>
      </c>
      <c r="B17127" s="4" t="s">
        <v>21573</v>
      </c>
      <c r="C17127" s="5" t="str">
        <f>IFERROR(__xludf.DUMMYFUNCTION("GOOGLETRANSLATE(B17127,""en"",""de"")"),"Eine Gruppe reitet Pferde entlang der Küste zusammen.")</f>
        <v>Eine Gruppe reitet Pferde entlang der Küste zusammen.</v>
      </c>
    </row>
    <row r="17128">
      <c r="A17128" s="4" t="s">
        <v>21569</v>
      </c>
      <c r="B17128" s="4" t="s">
        <v>21574</v>
      </c>
      <c r="C17128" s="5" t="str">
        <f>IFERROR(__xludf.DUMMYFUNCTION("GOOGLETRANSLATE(B17128,""en"",""de"")"),"Verschiedene Blütenarten sind zu sehen.")</f>
        <v>Verschiedene Blütenarten sind zu sehen.</v>
      </c>
    </row>
    <row r="17129">
      <c r="A17129" s="4" t="s">
        <v>21569</v>
      </c>
      <c r="B17129" s="4" t="s">
        <v>21575</v>
      </c>
      <c r="C17129" s="5" t="str">
        <f>IFERROR(__xludf.DUMMYFUNCTION("GOOGLETRANSLATE(B17129,""en"",""de"")"),"Die Gruppe fährt entlang der Bluffs.")</f>
        <v>Die Gruppe fährt entlang der Bluffs.</v>
      </c>
    </row>
    <row r="17130">
      <c r="A17130" s="4" t="s">
        <v>21569</v>
      </c>
      <c r="B17130" s="4" t="s">
        <v>21576</v>
      </c>
      <c r="C17130" s="5" t="str">
        <f>IFERROR(__xludf.DUMMYFUNCTION("GOOGLETRANSLATE(B17130,""en"",""de"")"),"Ein weiblicher Fahrer fährt in der Nähe des Gewässers.")</f>
        <v>Ein weiblicher Fahrer fährt in der Nähe des Gewässers.</v>
      </c>
    </row>
    <row r="17131">
      <c r="A17131" s="4" t="s">
        <v>21569</v>
      </c>
      <c r="B17131" s="4" t="s">
        <v>21577</v>
      </c>
      <c r="C17131" s="5" t="str">
        <f>IFERROR(__xludf.DUMMYFUNCTION("GOOGLETRANSLATE(B17131,""en"",""de"")"),"Die Gruppe reitet durch losen Sand und die Pferde treten sie in die Luft.")</f>
        <v>Die Gruppe reitet durch losen Sand und die Pferde treten sie in die Luft.</v>
      </c>
    </row>
    <row r="17132">
      <c r="A17132" s="4" t="s">
        <v>21569</v>
      </c>
      <c r="B17132" s="4" t="s">
        <v>21578</v>
      </c>
      <c r="C17132" s="5" t="str">
        <f>IFERROR(__xludf.DUMMYFUNCTION("GOOGLETRANSLATE(B17132,""en"",""de"")"),"Die Gruppe fährt entlang eines Dünenabschnitts und durch eine geringe Vegetation.")</f>
        <v>Die Gruppe fährt entlang eines Dünenabschnitts und durch eine geringe Vegetation.</v>
      </c>
    </row>
    <row r="17133">
      <c r="A17133" s="4" t="s">
        <v>21569</v>
      </c>
      <c r="B17133" s="4" t="s">
        <v>21579</v>
      </c>
      <c r="C17133" s="5" t="str">
        <f>IFERROR(__xludf.DUMMYFUNCTION("GOOGLETRANSLATE(B17133,""en"",""de"")"),"Die Gruppe fährt mit einem Gallup durch das Wasser und entlang des Strandes.")</f>
        <v>Die Gruppe fährt mit einem Gallup durch das Wasser und entlang des Strandes.</v>
      </c>
    </row>
    <row r="17134">
      <c r="A17134" s="4" t="s">
        <v>21569</v>
      </c>
      <c r="B17134" s="4" t="s">
        <v>21580</v>
      </c>
      <c r="C17134" s="5" t="str">
        <f>IFERROR(__xludf.DUMMYFUNCTION("GOOGLETRANSLATE(B17134,""en"",""de"")"),"Die Fahrer fahren langsam und dann wird es später am Tag und die Sonne wird niedrig.")</f>
        <v>Die Fahrer fahren langsam und dann wird es später am Tag und die Sonne wird niedrig.</v>
      </c>
    </row>
    <row r="17135">
      <c r="A17135" s="4" t="s">
        <v>21569</v>
      </c>
      <c r="B17135" s="4" t="s">
        <v>21581</v>
      </c>
      <c r="C17135" s="5" t="str">
        <f>IFERROR(__xludf.DUMMYFUNCTION("GOOGLETRANSLATE(B17135,""en"",""de"")"),"Der Strand ist aus der Ferne zu sehen, wie die Sonne gesetzt hat.")</f>
        <v>Der Strand ist aus der Ferne zu sehen, wie die Sonne gesetzt hat.</v>
      </c>
    </row>
    <row r="17136">
      <c r="A17136" s="4" t="s">
        <v>21582</v>
      </c>
      <c r="B17136" s="4" t="s">
        <v>21583</v>
      </c>
      <c r="C17136" s="5" t="str">
        <f>IFERROR(__xludf.DUMMYFUNCTION("GOOGLETRANSLATE(B17136,""en"",""de"")"),"Ein weißer Text auf einem schwarzen Hintergrund erklärt, dass während dieses Videos keine Menschen verletzt wurden.")</f>
        <v>Ein weißer Text auf einem schwarzen Hintergrund erklärt, dass während dieses Videos keine Menschen verletzt wurden.</v>
      </c>
    </row>
    <row r="17137">
      <c r="A17137" s="4" t="s">
        <v>21582</v>
      </c>
      <c r="B17137" s="4" t="s">
        <v>21584</v>
      </c>
      <c r="C17137" s="5" t="str">
        <f>IFERROR(__xludf.DUMMYFUNCTION("GOOGLETRANSLATE(B17137,""en"",""de"")"),"Ein junger Mann macht einige Gesichter zur Kamera, während er vor einem Felsen steht.")</f>
        <v>Ein junger Mann macht einige Gesichter zur Kamera, während er vor einem Felsen steht.</v>
      </c>
    </row>
    <row r="17138">
      <c r="A17138" s="4" t="s">
        <v>21582</v>
      </c>
      <c r="B17138" s="4" t="s">
        <v>21585</v>
      </c>
      <c r="C17138" s="5" t="str">
        <f>IFERROR(__xludf.DUMMYFUNCTION("GOOGLETRANSLATE(B17138,""en"",""de"")"),"Einige Filmmaterial -Spiele anderer Menschen, die in enges Seil laufen und andere Tricks auf dem engen Seil machen.")</f>
        <v>Einige Filmmaterial -Spiele anderer Menschen, die in enges Seil laufen und andere Tricks auf dem engen Seil machen.</v>
      </c>
    </row>
    <row r="17139">
      <c r="A17139" s="4" t="s">
        <v>21582</v>
      </c>
      <c r="B17139" s="4" t="s">
        <v>21586</v>
      </c>
      <c r="C17139" s="5" t="str">
        <f>IFERROR(__xludf.DUMMYFUNCTION("GOOGLETRANSLATE(B17139,""en"",""de"")"),"Ein älterer Mann fährt mit einem winzigen Fahrrad in einem Geschäft.")</f>
        <v>Ein älterer Mann fährt mit einem winzigen Fahrrad in einem Geschäft.</v>
      </c>
    </row>
    <row r="17140">
      <c r="A17140" s="4" t="s">
        <v>21582</v>
      </c>
      <c r="B17140" s="4" t="s">
        <v>21587</v>
      </c>
      <c r="C17140" s="5" t="str">
        <f>IFERROR(__xludf.DUMMYFUNCTION("GOOGLETRANSLATE(B17140,""en"",""de"")"),"Es wird mehr Filmmaterial aus engen Seilwanderern gezeigt, die stolpern und fallen.")</f>
        <v>Es wird mehr Filmmaterial aus engen Seilwanderern gezeigt, die stolpern und fallen.</v>
      </c>
    </row>
    <row r="17141">
      <c r="A17141" s="4" t="s">
        <v>21582</v>
      </c>
      <c r="B17141" s="4" t="s">
        <v>21588</v>
      </c>
      <c r="C17141" s="5" t="str">
        <f>IFERROR(__xludf.DUMMYFUNCTION("GOOGLETRANSLATE(B17141,""en"",""de"")"),"Einige Grafiken der Organisationen, die das Video erstellt haben, werden gezeigt.")</f>
        <v>Einige Grafiken der Organisationen, die das Video erstellt haben, werden gezeigt.</v>
      </c>
    </row>
    <row r="17142">
      <c r="A17142" s="4" t="s">
        <v>21589</v>
      </c>
      <c r="B17142" s="4" t="s">
        <v>21590</v>
      </c>
      <c r="C17142" s="5" t="str">
        <f>IFERROR(__xludf.DUMMYFUNCTION("GOOGLETRANSLATE(B17142,""en"",""de"")"),"Eine Person wird in einem Kajak entlang des Wassers am Wasser gefahren.")</f>
        <v>Eine Person wird in einem Kajak entlang des Wassers am Wasser gefahren.</v>
      </c>
    </row>
    <row r="17143">
      <c r="A17143" s="4" t="s">
        <v>21589</v>
      </c>
      <c r="B17143" s="4" t="s">
        <v>21591</v>
      </c>
      <c r="C17143" s="5" t="str">
        <f>IFERROR(__xludf.DUMMYFUNCTION("GOOGLETRANSLATE(B17143,""en"",""de"")"),"Die Person benutzt ein Paddel, um sich um das Wasser zu drücken und in die Ferne zu schauen.")</f>
        <v>Die Person benutzt ein Paddel, um sich um das Wasser zu drücken und in die Ferne zu schauen.</v>
      </c>
    </row>
    <row r="17144">
      <c r="A17144" s="4" t="s">
        <v>21589</v>
      </c>
      <c r="B17144" s="4" t="s">
        <v>21592</v>
      </c>
      <c r="C17144" s="5" t="str">
        <f>IFERROR(__xludf.DUMMYFUNCTION("GOOGLETRANSLATE(B17144,""en"",""de"")"),"Die Person fährt weiter herum im Wasser herum und bewegt sich von der Kamera weg.")</f>
        <v>Die Person fährt weiter herum im Wasser herum und bewegt sich von der Kamera weg.</v>
      </c>
    </row>
    <row r="17145">
      <c r="A17145" s="4" t="s">
        <v>21593</v>
      </c>
      <c r="B17145" s="4" t="s">
        <v>21594</v>
      </c>
      <c r="C17145" s="5" t="str">
        <f>IFERROR(__xludf.DUMMYFUNCTION("GOOGLETRANSLATE(B17145,""en"",""de"")"),"Ein Mann mit einem Saxophon um den Hals zeigt, wie man das Saxophon vor einer grünen Tafel und neben einem braunen Klavier spielt.")</f>
        <v>Ein Mann mit einem Saxophon um den Hals zeigt, wie man das Saxophon vor einer grünen Tafel und neben einem braunen Klavier spielt.</v>
      </c>
    </row>
    <row r="17146">
      <c r="A17146" s="4" t="s">
        <v>21593</v>
      </c>
      <c r="B17146" s="4" t="s">
        <v>21595</v>
      </c>
      <c r="C17146" s="5" t="str">
        <f>IFERROR(__xludf.DUMMYFUNCTION("GOOGLETRANSLATE(B17146,""en"",""de"")"),"Der Mann verweist auf verschiedene Abschnitte des Saxophons, während er mit der Kamera spricht.")</f>
        <v>Der Mann verweist auf verschiedene Abschnitte des Saxophons, während er mit der Kamera spricht.</v>
      </c>
    </row>
    <row r="17147">
      <c r="A17147" s="4" t="s">
        <v>21593</v>
      </c>
      <c r="B17147" s="4" t="s">
        <v>21596</v>
      </c>
      <c r="C17147" s="5" t="str">
        <f>IFERROR(__xludf.DUMMYFUNCTION("GOOGLETRANSLATE(B17147,""en"",""de"")"),"Der Mann beginnt kurz das Saxophon zu spielen und dreht sich dann in die Tafel und schreibt Notizen darüber, während er mit der Kamera spricht.")</f>
        <v>Der Mann beginnt kurz das Saxophon zu spielen und dreht sich dann in die Tafel und schreibt Notizen darüber, während er mit der Kamera spricht.</v>
      </c>
    </row>
    <row r="17148">
      <c r="A17148" s="4" t="s">
        <v>21593</v>
      </c>
      <c r="B17148" s="4" t="s">
        <v>21597</v>
      </c>
      <c r="C17148" s="5" t="str">
        <f>IFERROR(__xludf.DUMMYFUNCTION("GOOGLETRANSLATE(B17148,""en"",""de"")"),"Der Mann verweist auf Notizen, die auf der Tafel geschrieben wurden, bevor er anfing zu spielen, als er die Notizen vom Board liest, bevor er zum Reden und Spiel vor der Kamera zurückkehrt.")</f>
        <v>Der Mann verweist auf Notizen, die auf der Tafel geschrieben wurden, bevor er anfing zu spielen, als er die Notizen vom Board liest, bevor er zum Reden und Spiel vor der Kamera zurückkehrt.</v>
      </c>
    </row>
    <row r="17149">
      <c r="A17149" s="4" t="s">
        <v>21598</v>
      </c>
      <c r="B17149" s="4" t="s">
        <v>21599</v>
      </c>
      <c r="C17149" s="5" t="str">
        <f>IFERROR(__xludf.DUMMYFUNCTION("GOOGLETRANSLATE(B17149,""en"",""de"")"),"Eine Person betritt den Blick auf die Kamera, wo sich auf dem Boden ein Orangenspielzeug befindet.")</f>
        <v>Eine Person betritt den Blick auf die Kamera, wo sich auf dem Boden ein Orangenspielzeug befindet.</v>
      </c>
    </row>
    <row r="17150">
      <c r="A17150" s="4" t="s">
        <v>21598</v>
      </c>
      <c r="B17150" s="4" t="s">
        <v>21600</v>
      </c>
      <c r="C17150" s="5" t="str">
        <f>IFERROR(__xludf.DUMMYFUNCTION("GOOGLETRANSLATE(B17150,""en"",""de"")"),"Die Person beginnt sich kräftig auf dem Spielzeug zu wischen.")</f>
        <v>Die Person beginnt sich kräftig auf dem Spielzeug zu wischen.</v>
      </c>
    </row>
    <row r="17151">
      <c r="A17151" s="4" t="s">
        <v>21598</v>
      </c>
      <c r="B17151" s="4" t="s">
        <v>21601</v>
      </c>
      <c r="C17151" s="5" t="str">
        <f>IFERROR(__xludf.DUMMYFUNCTION("GOOGLETRANSLATE(B17151,""en"",""de"")"),"Die Person tritt das Spielzeug weg, als sie fertig mit dem Spielzeug wischen.")</f>
        <v>Die Person tritt das Spielzeug weg, als sie fertig mit dem Spielzeug wischen.</v>
      </c>
    </row>
    <row r="17152">
      <c r="A17152" s="4" t="s">
        <v>21602</v>
      </c>
      <c r="B17152" s="4" t="s">
        <v>21603</v>
      </c>
      <c r="C17152" s="5" t="str">
        <f>IFERROR(__xludf.DUMMYFUNCTION("GOOGLETRANSLATE(B17152,""en"",""de"")"),"Ein sitzender Mann spricht mit einem Raum voller Fußballspieler.")</f>
        <v>Ein sitzender Mann spricht mit einem Raum voller Fußballspieler.</v>
      </c>
    </row>
    <row r="17153">
      <c r="A17153" s="4" t="s">
        <v>21602</v>
      </c>
      <c r="B17153" s="4" t="s">
        <v>21604</v>
      </c>
      <c r="C17153" s="5" t="str">
        <f>IFERROR(__xludf.DUMMYFUNCTION("GOOGLETRANSLATE(B17153,""en"",""de"")"),"Sie treten den Ball in ihrem Umkleideraum herum.")</f>
        <v>Sie treten den Ball in ihrem Umkleideraum herum.</v>
      </c>
    </row>
    <row r="17154">
      <c r="A17154" s="4" t="s">
        <v>21602</v>
      </c>
      <c r="B17154" s="4" t="s">
        <v>21605</v>
      </c>
      <c r="C17154" s="5" t="str">
        <f>IFERROR(__xludf.DUMMYFUNCTION("GOOGLETRANSLATE(B17154,""en"",""de"")"),"Der Mann spricht mit der Kamera über das Spiel.")</f>
        <v>Der Mann spricht mit der Kamera über das Spiel.</v>
      </c>
    </row>
    <row r="17155">
      <c r="A17155" s="4" t="s">
        <v>21602</v>
      </c>
      <c r="B17155" s="4" t="s">
        <v>21606</v>
      </c>
      <c r="C17155" s="5" t="str">
        <f>IFERROR(__xludf.DUMMYFUNCTION("GOOGLETRANSLATE(B17155,""en"",""de"")"),"Er geht raus und ein Spiel wird in Arbeit gezeigt, als er länger diskutiert.")</f>
        <v>Er geht raus und ein Spiel wird in Arbeit gezeigt, als er länger diskutiert.</v>
      </c>
    </row>
    <row r="17156">
      <c r="A17156" s="4" t="s">
        <v>21602</v>
      </c>
      <c r="B17156" s="4" t="s">
        <v>21607</v>
      </c>
      <c r="C17156" s="5" t="str">
        <f>IFERROR(__xludf.DUMMYFUNCTION("GOOGLETRANSLATE(B17156,""en"",""de"")"),"Männer reden, spielen das Spiel und posieren am Ende für ein Teamfoto.")</f>
        <v>Männer reden, spielen das Spiel und posieren am Ende für ein Teamfoto.</v>
      </c>
    </row>
    <row r="17157">
      <c r="A17157" s="4" t="s">
        <v>21608</v>
      </c>
      <c r="B17157" s="4" t="s">
        <v>21609</v>
      </c>
      <c r="C17157" s="5" t="str">
        <f>IFERROR(__xludf.DUMMYFUNCTION("GOOGLETRANSLATE(B17157,""en"",""de"")"),"Teenager Skateboard auf der Straße und ein Parkplatz tagsüber.")</f>
        <v>Teenager Skateboard auf der Straße und ein Parkplatz tagsüber.</v>
      </c>
    </row>
    <row r="17158">
      <c r="A17158" s="4" t="s">
        <v>21608</v>
      </c>
      <c r="B17158" s="4" t="s">
        <v>21610</v>
      </c>
      <c r="C17158" s="5" t="str">
        <f>IFERROR(__xludf.DUMMYFUNCTION("GOOGLETRANSLATE(B17158,""en"",""de"")"),"Das Teenager -Skateboard in der Straße Tag und Nacht.")</f>
        <v>Das Teenager -Skateboard in der Straße Tag und Nacht.</v>
      </c>
    </row>
    <row r="17159">
      <c r="A17159" s="4" t="s">
        <v>21608</v>
      </c>
      <c r="B17159" s="4" t="s">
        <v>21611</v>
      </c>
      <c r="C17159" s="5" t="str">
        <f>IFERROR(__xludf.DUMMYFUNCTION("GOOGLETRANSLATE(B17159,""en"",""de"")"),"Jugendliche Skateboard in einer belebten Straße, dann Skateboard auf den Schienen eines Gebäudes.")</f>
        <v>Jugendliche Skateboard in einer belebten Straße, dann Skateboard auf den Schienen eines Gebäudes.</v>
      </c>
    </row>
    <row r="17160">
      <c r="A17160" s="4" t="s">
        <v>21608</v>
      </c>
      <c r="B17160" s="4" t="s">
        <v>21612</v>
      </c>
      <c r="C17160" s="5" t="str">
        <f>IFERROR(__xludf.DUMMYFUNCTION("GOOGLETRANSLATE(B17160,""en"",""de"")"),"Danach der Teenager Skateboard Tag und Nacht auf der Straße.")</f>
        <v>Danach der Teenager Skateboard Tag und Nacht auf der Straße.</v>
      </c>
    </row>
    <row r="17161">
      <c r="A17161" s="4" t="s">
        <v>21613</v>
      </c>
      <c r="B17161" s="4" t="s">
        <v>21614</v>
      </c>
      <c r="C17161" s="5" t="str">
        <f>IFERROR(__xludf.DUMMYFUNCTION("GOOGLETRANSLATE(B17161,""en"",""de"")"),"Ein Mann hält ein Hemd an die Kamera hoch, während der Kameramann mit dem Hemd zum Mann zurückgeht.")</f>
        <v>Ein Mann hält ein Hemd an die Kamera hoch, während der Kameramann mit dem Hemd zum Mann zurückgeht.</v>
      </c>
    </row>
    <row r="17162">
      <c r="A17162" s="4" t="s">
        <v>21613</v>
      </c>
      <c r="B17162" s="4" t="s">
        <v>21615</v>
      </c>
      <c r="C17162" s="5" t="str">
        <f>IFERROR(__xludf.DUMMYFUNCTION("GOOGLETRANSLATE(B17162,""en"",""de"")"),"Der Mann hält sich und zeigt auf ein Eisen in seiner Nähe.")</f>
        <v>Der Mann hält sich und zeigt auf ein Eisen in seiner Nähe.</v>
      </c>
    </row>
    <row r="17163">
      <c r="A17163" s="4" t="s">
        <v>21613</v>
      </c>
      <c r="B17163" s="4" t="s">
        <v>21616</v>
      </c>
      <c r="C17163" s="5" t="str">
        <f>IFERROR(__xludf.DUMMYFUNCTION("GOOGLETRANSLATE(B17163,""en"",""de"")"),"Er nimmt das Eisen auf und wartet darauf, dass es heiß wird, und bügelt dann sein Hemd, während er in die Kamera schaut.")</f>
        <v>Er nimmt das Eisen auf und wartet darauf, dass es heiß wird, und bügelt dann sein Hemd, während er in die Kamera schaut.</v>
      </c>
    </row>
    <row r="17164">
      <c r="A17164" s="4" t="s">
        <v>21617</v>
      </c>
      <c r="B17164" s="4" t="s">
        <v>21618</v>
      </c>
      <c r="C17164" s="5" t="str">
        <f>IFERROR(__xludf.DUMMYFUNCTION("GOOGLETRANSLATE(B17164,""en"",""de"")"),"Eine kleine Gruppe von Menschen steht in einem Gymnasium mit einer herunter und schießt einen Korb.")</f>
        <v>Eine kleine Gruppe von Menschen steht in einem Gymnasium mit einer herunter und schießt einen Korb.</v>
      </c>
    </row>
    <row r="17165">
      <c r="A17165" s="4" t="s">
        <v>21617</v>
      </c>
      <c r="B17165" s="4" t="s">
        <v>21619</v>
      </c>
      <c r="C17165" s="5" t="str">
        <f>IFERROR(__xludf.DUMMYFUNCTION("GOOGLETRANSLATE(B17165,""en"",""de"")"),"Mehrere weitere Leute sind gesehen, wie sie die Fahrspur hinunterlaufen und einen Korb über ihnen schießen.")</f>
        <v>Mehrere weitere Leute sind gesehen, wie sie die Fahrspur hinunterlaufen und einen Korb über ihnen schießen.</v>
      </c>
    </row>
    <row r="17166">
      <c r="A17166" s="4" t="s">
        <v>21617</v>
      </c>
      <c r="B17166" s="4" t="s">
        <v>21620</v>
      </c>
      <c r="C17166" s="5" t="str">
        <f>IFERROR(__xludf.DUMMYFUNCTION("GOOGLETRANSLATE(B17166,""en"",""de"")"),"Weitere Mädchen rennen herunter, um einen Korb zu schießen und zu enden, indem sie wieder zusammengehen.")</f>
        <v>Weitere Mädchen rennen herunter, um einen Korb zu schießen und zu enden, indem sie wieder zusammengehen.</v>
      </c>
    </row>
    <row r="17167">
      <c r="A17167" s="4" t="s">
        <v>21621</v>
      </c>
      <c r="B17167" s="4" t="s">
        <v>21622</v>
      </c>
      <c r="C17167" s="5" t="str">
        <f>IFERROR(__xludf.DUMMYFUNCTION("GOOGLETRANSLATE(B17167,""en"",""de"")"),"Ein Standbild eines Hockeyteams wird angezeigt und eine Nummer sieben wird auf dem Bildschirm angezeigt.")</f>
        <v>Ein Standbild eines Hockeyteams wird angezeigt und eine Nummer sieben wird auf dem Bildschirm angezeigt.</v>
      </c>
    </row>
    <row r="17168">
      <c r="A17168" s="4" t="s">
        <v>21621</v>
      </c>
      <c r="B17168" s="4" t="s">
        <v>21623</v>
      </c>
      <c r="C17168" s="5" t="str">
        <f>IFERROR(__xludf.DUMMYFUNCTION("GOOGLETRANSLATE(B17168,""en"",""de"")"),"Ein Kreis unterstreicht dann den Spieler und das Spiel beginnt.")</f>
        <v>Ein Kreis unterstreicht dann den Spieler und das Spiel beginnt.</v>
      </c>
    </row>
    <row r="17169">
      <c r="A17169" s="4" t="s">
        <v>21621</v>
      </c>
      <c r="B17169" s="4" t="s">
        <v>21624</v>
      </c>
      <c r="C17169" s="5" t="str">
        <f>IFERROR(__xludf.DUMMYFUNCTION("GOOGLETRANSLATE(B17169,""en"",""de"")"),"Während das Spiel weitergeht, wird der Athlet mehrmals abgebildet, wenn er etwas Spektakuläres macht.")</f>
        <v>Während das Spiel weitergeht, wird der Athlet mehrmals abgebildet, wenn er etwas Spektakuläres macht.</v>
      </c>
    </row>
    <row r="17170">
      <c r="A17170" s="4" t="s">
        <v>21625</v>
      </c>
      <c r="B17170" s="4" t="s">
        <v>21626</v>
      </c>
      <c r="C17170" s="5" t="str">
        <f>IFERROR(__xludf.DUMMYFUNCTION("GOOGLETRANSLATE(B17170,""en"",""de"")"),"Ein Mann, der eine Pole hält, rennt schnell in Richtung Ziellinie und wirft ihn ziemlich weit.")</f>
        <v>Ein Mann, der eine Pole hält, rennt schnell in Richtung Ziellinie und wirft ihn ziemlich weit.</v>
      </c>
    </row>
    <row r="17171">
      <c r="A17171" s="4" t="s">
        <v>21625</v>
      </c>
      <c r="B17171" s="4" t="s">
        <v>21627</v>
      </c>
      <c r="C17171" s="5" t="str">
        <f>IFERROR(__xludf.DUMMYFUNCTION("GOOGLETRANSLATE(B17171,""en"",""de"")"),"Der Athlet scheint stolz auf seinen Wurf und sein Moment wird in Zeitlupe wieder gezeigt.")</f>
        <v>Der Athlet scheint stolz auf seinen Wurf und sein Moment wird in Zeitlupe wieder gezeigt.</v>
      </c>
    </row>
    <row r="17172">
      <c r="A17172" s="4" t="s">
        <v>21625</v>
      </c>
      <c r="B17172" s="4" t="s">
        <v>21628</v>
      </c>
      <c r="C17172" s="5" t="str">
        <f>IFERROR(__xludf.DUMMYFUNCTION("GOOGLETRANSLATE(B17172,""en"",""de"")"),"Der Kommentator diskutiert weiterhin seine Technik, während er den Wurf mehrmals wiederholt.")</f>
        <v>Der Kommentator diskutiert weiterhin seine Technik, während er den Wurf mehrmals wiederholt.</v>
      </c>
    </row>
    <row r="17173">
      <c r="A17173" s="4" t="s">
        <v>21629</v>
      </c>
      <c r="B17173" s="4" t="s">
        <v>21630</v>
      </c>
      <c r="C17173" s="5" t="str">
        <f>IFERROR(__xludf.DUMMYFUNCTION("GOOGLETRANSLATE(B17173,""en"",""de"")"),"Eine Person drückt Knöpfe auf einem Ofen.")</f>
        <v>Eine Person drückt Knöpfe auf einem Ofen.</v>
      </c>
    </row>
    <row r="17174">
      <c r="A17174" s="4" t="s">
        <v>21629</v>
      </c>
      <c r="B17174" s="4" t="s">
        <v>21631</v>
      </c>
      <c r="C17174" s="5" t="str">
        <f>IFERROR(__xludf.DUMMYFUNCTION("GOOGLETRANSLATE(B17174,""en"",""de"")"),"Ein Mädchen gießt zusammen Zutaten in eine Schüssel.")</f>
        <v>Ein Mädchen gießt zusammen Zutaten in eine Schüssel.</v>
      </c>
    </row>
    <row r="17175">
      <c r="A17175" s="4" t="s">
        <v>21629</v>
      </c>
      <c r="B17175" s="4" t="s">
        <v>21632</v>
      </c>
      <c r="C17175" s="5" t="str">
        <f>IFERROR(__xludf.DUMMYFUNCTION("GOOGLETRANSLATE(B17175,""en"",""de"")"),"Sie mischt die Zutaten mit einem Mixer und steckt dann mehr Zutaten in die Schüssel.")</f>
        <v>Sie mischt die Zutaten mit einem Mixer und steckt dann mehr Zutaten in die Schüssel.</v>
      </c>
    </row>
    <row r="17176">
      <c r="A17176" s="4" t="s">
        <v>21629</v>
      </c>
      <c r="B17176" s="4" t="s">
        <v>21633</v>
      </c>
      <c r="C17176" s="5" t="str">
        <f>IFERROR(__xludf.DUMMYFUNCTION("GOOGLETRANSLATE(B17176,""en"",""de"")"),"Die Mischungen und schließlich geben eine weitere kleine Menge Zutaten in die Schüssel.")</f>
        <v>Die Mischungen und schließlich geben eine weitere kleine Menge Zutaten in die Schüssel.</v>
      </c>
    </row>
    <row r="17177">
      <c r="A17177" s="4" t="s">
        <v>21629</v>
      </c>
      <c r="B17177" s="4" t="s">
        <v>21634</v>
      </c>
      <c r="C17177" s="5" t="str">
        <f>IFERROR(__xludf.DUMMYFUNCTION("GOOGLETRANSLATE(B17177,""en"",""de"")"),"Sie mischt ein drittes Mal und fügt Schokoladenchips hinzu und mischt schließlich noch einmal.")</f>
        <v>Sie mischt ein drittes Mal und fügt Schokoladenchips hinzu und mischt schließlich noch einmal.</v>
      </c>
    </row>
    <row r="17178">
      <c r="A17178" s="4" t="s">
        <v>21629</v>
      </c>
      <c r="B17178" s="4" t="s">
        <v>21635</v>
      </c>
      <c r="C17178" s="5" t="str">
        <f>IFERROR(__xludf.DUMMYFUNCTION("GOOGLETRANSLATE(B17178,""en"",""de"")"),"Der Ofen blickt und sie bereitet eine Pfanne mit Keksteig vor.")</f>
        <v>Der Ofen blickt und sie bereitet eine Pfanne mit Keksteig vor.</v>
      </c>
    </row>
    <row r="17179">
      <c r="A17179" s="4" t="s">
        <v>21629</v>
      </c>
      <c r="B17179" s="4" t="s">
        <v>21636</v>
      </c>
      <c r="C17179" s="5" t="str">
        <f>IFERROR(__xludf.DUMMYFUNCTION("GOOGLETRANSLATE(B17179,""en"",""de"")"),"Sie steckt den Teig in den Ofen und drückt Backoptionen.")</f>
        <v>Sie steckt den Teig in den Ofen und drückt Backoptionen.</v>
      </c>
    </row>
    <row r="17180">
      <c r="A17180" s="4" t="s">
        <v>21629</v>
      </c>
      <c r="B17180" s="4" t="s">
        <v>21637</v>
      </c>
      <c r="C17180" s="5" t="str">
        <f>IFERROR(__xludf.DUMMYFUNCTION("GOOGLETRANSLATE(B17180,""en"",""de"")"),"Nach einigen Minuten nimmt sie die Pfanne heraus und breitete die Kekse aus.")</f>
        <v>Nach einigen Minuten nimmt sie die Pfanne heraus und breitete die Kekse aus.</v>
      </c>
    </row>
    <row r="17181">
      <c r="A17181" s="4" t="s">
        <v>21638</v>
      </c>
      <c r="B17181" s="4" t="s">
        <v>21639</v>
      </c>
      <c r="C17181" s="5" t="str">
        <f>IFERROR(__xludf.DUMMYFUNCTION("GOOGLETRANSLATE(B17181,""en"",""de"")"),"Limonade wird in ein Glas gegossen und eine Frau, die Wasser ausgießt.")</f>
        <v>Limonade wird in ein Glas gegossen und eine Frau, die Wasser ausgießt.</v>
      </c>
    </row>
    <row r="17182">
      <c r="A17182" s="4" t="s">
        <v>21638</v>
      </c>
      <c r="B17182" s="4" t="s">
        <v>21640</v>
      </c>
      <c r="C17182" s="5" t="str">
        <f>IFERROR(__xludf.DUMMYFUNCTION("GOOGLETRANSLATE(B17182,""en"",""de"")"),"Sie mischt Zutaten in einen Behälter und gießt mehr Wasser aus.")</f>
        <v>Sie mischt Zutaten in einen Behälter und gießt mehr Wasser aus.</v>
      </c>
    </row>
    <row r="17183">
      <c r="A17183" s="4" t="s">
        <v>21638</v>
      </c>
      <c r="B17183" s="4" t="s">
        <v>21641</v>
      </c>
      <c r="C17183" s="5" t="str">
        <f>IFERROR(__xludf.DUMMYFUNCTION("GOOGLETRANSLATE(B17183,""en"",""de"")"),"In dem sie zeigt sie ihre Limonade.")</f>
        <v>In dem sie zeigt sie ihre Limonade.</v>
      </c>
    </row>
    <row r="17184">
      <c r="A17184" s="4" t="s">
        <v>21642</v>
      </c>
      <c r="B17184" s="4" t="s">
        <v>21643</v>
      </c>
      <c r="C17184" s="5" t="str">
        <f>IFERROR(__xludf.DUMMYFUNCTION("GOOGLETRANSLATE(B17184,""en"",""de"")"),"Eine große Gruppe von Menschen ist zu sehen, wie sich mehrere Männer um ein Seil halten und sich darauf vorbereiten, ein Tauziehen zu spielen.")</f>
        <v>Eine große Gruppe von Menschen ist zu sehen, wie sich mehrere Männer um ein Seil halten und sich darauf vorbereiten, ein Tauziehen zu spielen.</v>
      </c>
    </row>
    <row r="17185">
      <c r="A17185" s="4" t="s">
        <v>21642</v>
      </c>
      <c r="B17185" s="4" t="s">
        <v>21644</v>
      </c>
      <c r="C17185" s="5" t="str">
        <f>IFERROR(__xludf.DUMMYFUNCTION("GOOGLETRANSLATE(B17185,""en"",""de"")"),"Eine andere Gruppe von Männern ist zu sehen, wenn sie das Seil zieht, während eine Menschenmenge um sie herum stand.")</f>
        <v>Eine andere Gruppe von Männern ist zu sehen, wenn sie das Seil zieht, während eine Menschenmenge um sie herum stand.</v>
      </c>
    </row>
    <row r="17186">
      <c r="A17186" s="4" t="s">
        <v>21642</v>
      </c>
      <c r="B17186" s="4" t="s">
        <v>21645</v>
      </c>
      <c r="C17186" s="5" t="str">
        <f>IFERROR(__xludf.DUMMYFUNCTION("GOOGLETRANSLATE(B17186,""en"",""de"")"),"Eine dritte Gruppe von Männern spielt mit einer Menschenmenge um sie herum ein Schlepper des Krieges.")</f>
        <v>Eine dritte Gruppe von Männern spielt mit einer Menschenmenge um sie herum ein Schlepper des Krieges.</v>
      </c>
    </row>
    <row r="17187">
      <c r="A17187" s="4" t="s">
        <v>21642</v>
      </c>
      <c r="B17187" s="4" t="s">
        <v>21646</v>
      </c>
      <c r="C17187" s="5" t="str">
        <f>IFERROR(__xludf.DUMMYFUNCTION("GOOGLETRANSLATE(B17187,""en"",""de"")"),"Eine vierte Gruppe von Männern spielt auch in einer Menschenmenge ein Schlepper des Krieges.")</f>
        <v>Eine vierte Gruppe von Männern spielt auch in einer Menschenmenge ein Schlepper des Krieges.</v>
      </c>
    </row>
    <row r="17188">
      <c r="A17188" s="4" t="s">
        <v>21642</v>
      </c>
      <c r="B17188" s="4" t="s">
        <v>21647</v>
      </c>
      <c r="C17188" s="5" t="str">
        <f>IFERROR(__xludf.DUMMYFUNCTION("GOOGLETRANSLATE(B17188,""en"",""de"")"),"Eine fünfte Gruppe von Männern wird gezeigt, wie sie in einer Menschenmenge von Menschen und Hunden Schlepper des Krieges spielt.")</f>
        <v>Eine fünfte Gruppe von Männern wird gezeigt, wie sie in einer Menschenmenge von Menschen und Hunden Schlepper des Krieges spielt.</v>
      </c>
    </row>
    <row r="17189">
      <c r="A17189" s="4" t="s">
        <v>21642</v>
      </c>
      <c r="B17189" s="4" t="s">
        <v>21648</v>
      </c>
      <c r="C17189" s="5" t="str">
        <f>IFERROR(__xludf.DUMMYFUNCTION("GOOGLETRANSLATE(B17189,""en"",""de"")"),"Eine andere Gruppe von Männern spielt ein Schlepper des Krieges, wobei eine Menge beobachtet.")</f>
        <v>Eine andere Gruppe von Männern spielt ein Schlepper des Krieges, wobei eine Menge beobachtet.</v>
      </c>
    </row>
    <row r="17190">
      <c r="A17190" s="4" t="s">
        <v>21642</v>
      </c>
      <c r="B17190" s="4" t="s">
        <v>21649</v>
      </c>
      <c r="C17190" s="5" t="str">
        <f>IFERROR(__xludf.DUMMYFUNCTION("GOOGLETRANSLATE(B17190,""en"",""de"")"),"Eine siebte Gruppe von Männern spielt in einer Menschenmenge ein Schlepper des Krieges.")</f>
        <v>Eine siebte Gruppe von Männern spielt in einer Menschenmenge ein Schlepper des Krieges.</v>
      </c>
    </row>
    <row r="17191">
      <c r="A17191" s="4" t="s">
        <v>21642</v>
      </c>
      <c r="B17191" s="4" t="s">
        <v>21650</v>
      </c>
      <c r="C17191" s="5" t="str">
        <f>IFERROR(__xludf.DUMMYFUNCTION("GOOGLETRANSLATE(B17191,""en"",""de"")"),"Eine andere Gruppe von Männern spielt in Kriegsschlepper und scheint zu gewinnen, während er von der Menge angefeuert wird.")</f>
        <v>Eine andere Gruppe von Männern spielt in Kriegsschlepper und scheint zu gewinnen, während er von der Menge angefeuert wird.</v>
      </c>
    </row>
    <row r="17192">
      <c r="A17192" s="4" t="s">
        <v>21642</v>
      </c>
      <c r="B17192" s="4" t="s">
        <v>21651</v>
      </c>
      <c r="C17192" s="5" t="str">
        <f>IFERROR(__xludf.DUMMYFUNCTION("GOOGLETRANSLATE(B17192,""en"",""de"")"),"Eine andere Gruppe von Männern spielt jedoch Tauziehen, während eine Menge weitergeht.")</f>
        <v>Eine andere Gruppe von Männern spielt jedoch Tauziehen, während eine Menge weitergeht.</v>
      </c>
    </row>
    <row r="17193">
      <c r="A17193" s="4" t="s">
        <v>21642</v>
      </c>
      <c r="B17193" s="4" t="s">
        <v>21652</v>
      </c>
      <c r="C17193" s="5" t="str">
        <f>IFERROR(__xludf.DUMMYFUNCTION("GOOGLETRANSLATE(B17193,""en"",""de"")"),"Eine andere Gruppe von Männern wird gezeigt, wenn ein Publikum aus der Nähe schmeckt.")</f>
        <v>Eine andere Gruppe von Männern wird gezeigt, wenn ein Publikum aus der Nähe schmeckt.</v>
      </c>
    </row>
    <row r="17194">
      <c r="A17194" s="4" t="s">
        <v>21642</v>
      </c>
      <c r="B17194" s="4" t="s">
        <v>21653</v>
      </c>
      <c r="C17194" s="5" t="str">
        <f>IFERROR(__xludf.DUMMYFUNCTION("GOOGLETRANSLATE(B17194,""en"",""de"")"),"Eine andere Gruppe von Männern spielt, während die Leute sitzen und im Hintergrund stehen.")</f>
        <v>Eine andere Gruppe von Männern spielt, während die Leute sitzen und im Hintergrund stehen.</v>
      </c>
    </row>
    <row r="17195">
      <c r="A17195" s="4" t="s">
        <v>21642</v>
      </c>
      <c r="B17195" s="4" t="s">
        <v>21654</v>
      </c>
      <c r="C17195" s="5" t="str">
        <f>IFERROR(__xludf.DUMMYFUNCTION("GOOGLETRANSLATE(B17195,""en"",""de"")"),"Eine andere Gruppe von Männern spielt, während die Leute sitzen und um sie herum stehen.")</f>
        <v>Eine andere Gruppe von Männern spielt, während die Leute sitzen und um sie herum stehen.</v>
      </c>
    </row>
    <row r="17196">
      <c r="A17196" s="4" t="s">
        <v>21642</v>
      </c>
      <c r="B17196" s="4" t="s">
        <v>21655</v>
      </c>
      <c r="C17196" s="5" t="str">
        <f>IFERROR(__xludf.DUMMYFUNCTION("GOOGLETRANSLATE(B17196,""en"",""de"")"),"Eine andere Gruppe von Männern wird aus der Nähe gezeigt, während Menschen sitzen und im Hintergrund stehen.")</f>
        <v>Eine andere Gruppe von Männern wird aus der Nähe gezeigt, während Menschen sitzen und im Hintergrund stehen.</v>
      </c>
    </row>
    <row r="17197">
      <c r="A17197" s="4" t="s">
        <v>21642</v>
      </c>
      <c r="B17197" s="4" t="s">
        <v>21656</v>
      </c>
      <c r="C17197" s="5" t="str">
        <f>IFERROR(__xludf.DUMMYFUNCTION("GOOGLETRANSLATE(B17197,""en"",""de"")"),"Eine Gruppe von Männern wird aus nächster Nähe mit Menschen um sie herum gezeigt.")</f>
        <v>Eine Gruppe von Männern wird aus nächster Nähe mit Menschen um sie herum gezeigt.</v>
      </c>
    </row>
    <row r="17198">
      <c r="A17198" s="4" t="s">
        <v>21642</v>
      </c>
      <c r="B17198" s="4" t="s">
        <v>21657</v>
      </c>
      <c r="C17198" s="5" t="str">
        <f>IFERROR(__xludf.DUMMYFUNCTION("GOOGLETRANSLATE(B17198,""en"",""de"")"),"Eine andere Gruppe von Männern spielt, während die Leute auf dem Bürgersteig stehen.")</f>
        <v>Eine andere Gruppe von Männern spielt, während die Leute auf dem Bürgersteig stehen.</v>
      </c>
    </row>
    <row r="17199">
      <c r="A17199" s="4" t="s">
        <v>21642</v>
      </c>
      <c r="B17199" s="4" t="s">
        <v>21658</v>
      </c>
      <c r="C17199" s="5" t="str">
        <f>IFERROR(__xludf.DUMMYFUNCTION("GOOGLETRANSLATE(B17199,""en"",""de"")"),"Eine Gruppe von Männern in allen Schwarzen spielt ein Schlepper des Krieges, während die Menschen um sie herum stehen.")</f>
        <v>Eine Gruppe von Männern in allen Schwarzen spielt ein Schlepper des Krieges, während die Menschen um sie herum stehen.</v>
      </c>
    </row>
    <row r="17200">
      <c r="A17200" s="4" t="s">
        <v>21642</v>
      </c>
      <c r="B17200" s="4" t="s">
        <v>21659</v>
      </c>
      <c r="C17200" s="5" t="str">
        <f>IFERROR(__xludf.DUMMYFUNCTION("GOOGLETRANSLATE(B17200,""en"",""de"")"),"Eine andere Gruppe von Männern spielt ein Tauziehen unter einer großen Menge, die ihnen jubelt.")</f>
        <v>Eine andere Gruppe von Männern spielt ein Tauziehen unter einer großen Menge, die ihnen jubelt.</v>
      </c>
    </row>
    <row r="17201">
      <c r="A17201" s="4" t="s">
        <v>21642</v>
      </c>
      <c r="B17201" s="4" t="s">
        <v>21660</v>
      </c>
      <c r="C17201" s="5" t="str">
        <f>IFERROR(__xludf.DUMMYFUNCTION("GOOGLETRANSLATE(B17201,""en"",""de"")"),"Einige der Männer fallen, wenn sie das Spiel gewinnen.")</f>
        <v>Einige der Männer fallen, wenn sie das Spiel gewinnen.</v>
      </c>
    </row>
    <row r="17202">
      <c r="A17202" s="4" t="s">
        <v>21642</v>
      </c>
      <c r="B17202" s="4" t="s">
        <v>21661</v>
      </c>
      <c r="C17202" s="5" t="str">
        <f>IFERROR(__xludf.DUMMYFUNCTION("GOOGLETRANSLATE(B17202,""en"",""de"")"),"Eine andere Gruppe wird mit einer Menge von Menschen und einem jungen Mädchen, das schreit, hautnah gesehen.")</f>
        <v>Eine andere Gruppe wird mit einer Menge von Menschen und einem jungen Mädchen, das schreit, hautnah gesehen.</v>
      </c>
    </row>
    <row r="17203">
      <c r="A17203" s="4" t="s">
        <v>21662</v>
      </c>
      <c r="B17203" s="4" t="s">
        <v>21663</v>
      </c>
      <c r="C17203" s="5" t="str">
        <f>IFERROR(__xludf.DUMMYFUNCTION("GOOGLETRANSLATE(B17203,""en"",""de"")"),"Es gibt einen Mann, der gelbe Gummihandschuhe trägt, die demonstriert, wie man einen Reifen auf einem Autorad repariert.")</f>
        <v>Es gibt einen Mann, der gelbe Gummihandschuhe trägt, die demonstriert, wie man einen Reifen auf einem Autorad repariert.</v>
      </c>
    </row>
    <row r="17204">
      <c r="A17204" s="4" t="s">
        <v>21662</v>
      </c>
      <c r="B17204" s="4" t="s">
        <v>21664</v>
      </c>
      <c r="C17204" s="5" t="str">
        <f>IFERROR(__xludf.DUMMYFUNCTION("GOOGLETRANSLATE(B17204,""en"",""de"")"),"Er schrauben die Schrauben ab, die die Platten des Rades halten.")</f>
        <v>Er schrauben die Schrauben ab, die die Platten des Rades halten.</v>
      </c>
    </row>
    <row r="17205">
      <c r="A17205" s="4" t="s">
        <v>21662</v>
      </c>
      <c r="B17205" s="4" t="s">
        <v>21665</v>
      </c>
      <c r="C17205" s="5" t="str">
        <f>IFERROR(__xludf.DUMMYFUNCTION("GOOGLETRANSLATE(B17205,""en"",""de"")"),"Er lockert die Schrauben, um den Reifen zu entfernen.")</f>
        <v>Er lockert die Schrauben, um den Reifen zu entfernen.</v>
      </c>
    </row>
    <row r="17206">
      <c r="A17206" s="4" t="s">
        <v>21666</v>
      </c>
      <c r="B17206" s="4" t="s">
        <v>21667</v>
      </c>
      <c r="C17206" s="5" t="str">
        <f>IFERROR(__xludf.DUMMYFUNCTION("GOOGLETRANSLATE(B17206,""en"",""de"")"),"Eine Gruppe junger Männer befindet sich in einem Raum.")</f>
        <v>Eine Gruppe junger Männer befindet sich in einem Raum.</v>
      </c>
    </row>
    <row r="17207">
      <c r="A17207" s="4" t="s">
        <v>21666</v>
      </c>
      <c r="B17207" s="4" t="s">
        <v>21668</v>
      </c>
      <c r="C17207" s="5" t="str">
        <f>IFERROR(__xludf.DUMMYFUNCTION("GOOGLETRANSLATE(B17207,""en"",""de"")"),"Sie engagieren sich gemeinsam mit einem Tischfußballspiel.")</f>
        <v>Sie engagieren sich gemeinsam mit einem Tischfußballspiel.</v>
      </c>
    </row>
    <row r="17208">
      <c r="A17208" s="4" t="s">
        <v>21666</v>
      </c>
      <c r="B17208" s="4" t="s">
        <v>21669</v>
      </c>
      <c r="C17208" s="5" t="str">
        <f>IFERROR(__xludf.DUMMYFUNCTION("GOOGLETRANSLATE(B17208,""en"",""de"")"),"Sie lachen und treten die Menschen hin und her.")</f>
        <v>Sie lachen und treten die Menschen hin und her.</v>
      </c>
    </row>
    <row r="17209">
      <c r="A17209" s="4" t="s">
        <v>21670</v>
      </c>
      <c r="B17209" s="4" t="s">
        <v>21671</v>
      </c>
      <c r="C17209" s="5" t="str">
        <f>IFERROR(__xludf.DUMMYFUNCTION("GOOGLETRANSLATE(B17209,""en"",""de"")"),"Ein Sreet -Woth -Häuser und Autos, die mit Schnee bedeckt sind, werden gezeigt.")</f>
        <v>Ein Sreet -Woth -Häuser und Autos, die mit Schnee bedeckt sind, werden gezeigt.</v>
      </c>
    </row>
    <row r="17210">
      <c r="A17210" s="4" t="s">
        <v>21670</v>
      </c>
      <c r="B17210" s="4" t="s">
        <v>21672</v>
      </c>
      <c r="C17210" s="5" t="str">
        <f>IFERROR(__xludf.DUMMYFUNCTION("GOOGLETRANSLATE(B17210,""en"",""de"")"),"Der Mensch entfernt eine dicke Schneeschicht aus einem Auto.")</f>
        <v>Der Mensch entfernt eine dicke Schneeschicht aus einem Auto.</v>
      </c>
    </row>
    <row r="17211">
      <c r="A17211" s="4" t="s">
        <v>21673</v>
      </c>
      <c r="B17211" s="4" t="s">
        <v>21674</v>
      </c>
      <c r="C17211" s="5" t="str">
        <f>IFERROR(__xludf.DUMMYFUNCTION("GOOGLETRANSLATE(B17211,""en"",""de"")"),"Eine Frau spricht mit der Kamera, während er auf einem Stuhl sitzt, und führt dazu, dass man in einer Dusche einen Hund hält.")</f>
        <v>Eine Frau spricht mit der Kamera, während er auf einem Stuhl sitzt, und führt dazu, dass man in einer Dusche einen Hund hält.</v>
      </c>
    </row>
    <row r="17212">
      <c r="A17212" s="4" t="s">
        <v>21673</v>
      </c>
      <c r="B17212" s="4" t="s">
        <v>21675</v>
      </c>
      <c r="C17212" s="5" t="str">
        <f>IFERROR(__xludf.DUMMYFUNCTION("GOOGLETRANSLATE(B17212,""en"",""de"")"),"Sie schrubbt den Hund mit Seife und spült dann den Hund ab, während sie mit der Kamera spricht.")</f>
        <v>Sie schrubbt den Hund mit Seife und spült dann den Hund ab, während sie mit der Kamera spricht.</v>
      </c>
    </row>
    <row r="17213">
      <c r="A17213" s="4" t="s">
        <v>21673</v>
      </c>
      <c r="B17213" s="4" t="s">
        <v>21676</v>
      </c>
      <c r="C17213" s="5" t="str">
        <f>IFERROR(__xludf.DUMMYFUNCTION("GOOGLETRANSLATE(B17213,""en"",""de"")"),"Sie spielt dann mit dem Hund draußen und spricht zeitweise mit der Kamera.")</f>
        <v>Sie spielt dann mit dem Hund draußen und spricht zeitweise mit der Kamera.</v>
      </c>
    </row>
    <row r="17214">
      <c r="A17214" s="4" t="s">
        <v>21677</v>
      </c>
      <c r="B17214" s="4" t="s">
        <v>21678</v>
      </c>
      <c r="C17214" s="5" t="str">
        <f>IFERROR(__xludf.DUMMYFUNCTION("GOOGLETRANSLATE(B17214,""en"",""de"")"),"Die Worte ""Conga the Entertainers Dance Company Flemington New Jersey"" erscheint auf dem Bildschirm.")</f>
        <v>Die Worte "Conga the Entertainers Dance Company Flemington New Jersey" erscheint auf dem Bildschirm.</v>
      </c>
    </row>
    <row r="17215">
      <c r="A17215" s="4" t="s">
        <v>21677</v>
      </c>
      <c r="B17215" s="4" t="s">
        <v>21679</v>
      </c>
      <c r="C17215" s="5" t="str">
        <f>IFERROR(__xludf.DUMMYFUNCTION("GOOGLETRANSLATE(B17215,""en"",""de"")"),"Vier junge Mädchen treten bei den ""American Dance Championships auf der Bühne.")</f>
        <v>Vier junge Mädchen treten bei den "American Dance Championships auf der Bühne.</v>
      </c>
    </row>
    <row r="17216">
      <c r="A17216" s="4" t="s">
        <v>21677</v>
      </c>
      <c r="B17216" s="4" t="s">
        <v>21680</v>
      </c>
      <c r="C17216" s="5" t="str">
        <f>IFERROR(__xludf.DUMMYFUNCTION("GOOGLETRANSLATE(B17216,""en"",""de"")"),"""Die Mädchen fallen als Teil der Routine zu Boden und tanzen weiter.")</f>
        <v>"Die Mädchen fallen als Teil der Routine zu Boden und tanzen weiter.</v>
      </c>
    </row>
    <row r="17217">
      <c r="A17217" s="4" t="s">
        <v>21681</v>
      </c>
      <c r="B17217" s="4" t="s">
        <v>21682</v>
      </c>
      <c r="C17217" s="5" t="str">
        <f>IFERROR(__xludf.DUMMYFUNCTION("GOOGLETRANSLATE(B17217,""en"",""de"")"),"Ein Mann steht um einen riesigen Ball.")</f>
        <v>Ein Mann steht um einen riesigen Ball.</v>
      </c>
    </row>
    <row r="17218">
      <c r="A17218" s="4" t="s">
        <v>21681</v>
      </c>
      <c r="B17218" s="4" t="s">
        <v>21683</v>
      </c>
      <c r="C17218" s="5" t="str">
        <f>IFERROR(__xludf.DUMMYFUNCTION("GOOGLETRANSLATE(B17218,""en"",""de"")"),"Der Mann kniet sich nieder und ergriff einen Ball.")</f>
        <v>Der Mann kniet sich nieder und ergriff einen Ball.</v>
      </c>
    </row>
    <row r="17219">
      <c r="A17219" s="4" t="s">
        <v>21681</v>
      </c>
      <c r="B17219" s="4" t="s">
        <v>21684</v>
      </c>
      <c r="C17219" s="5" t="str">
        <f>IFERROR(__xludf.DUMMYFUNCTION("GOOGLETRANSLATE(B17219,""en"",""de"")"),"Der Mann rutscht mit dem Ball heraus und rutscht den Ball vor sich.")</f>
        <v>Der Mann rutscht mit dem Ball heraus und rutscht den Ball vor sich.</v>
      </c>
    </row>
    <row r="17220">
      <c r="A17220" s="4" t="s">
        <v>21681</v>
      </c>
      <c r="B17220" s="4" t="s">
        <v>21685</v>
      </c>
      <c r="C17220" s="5" t="str">
        <f>IFERROR(__xludf.DUMMYFUNCTION("GOOGLETRANSLATE(B17220,""en"",""de"")"),"Ein Mann wird vom Ball getroffen und fällt auf den Boden.")</f>
        <v>Ein Mann wird vom Ball getroffen und fällt auf den Boden.</v>
      </c>
    </row>
    <row r="17221">
      <c r="A17221" s="4" t="s">
        <v>21681</v>
      </c>
      <c r="B17221" s="4" t="s">
        <v>21686</v>
      </c>
      <c r="C17221" s="5" t="str">
        <f>IFERROR(__xludf.DUMMYFUNCTION("GOOGLETRANSLATE(B17221,""en"",""de"")"),"Der Mann steht auf und beginnt zu laufen.")</f>
        <v>Der Mann steht auf und beginnt zu laufen.</v>
      </c>
    </row>
    <row r="17222">
      <c r="A17222" s="4" t="s">
        <v>21687</v>
      </c>
      <c r="B17222" s="4" t="s">
        <v>21688</v>
      </c>
      <c r="C17222" s="5" t="str">
        <f>IFERROR(__xludf.DUMMYFUNCTION("GOOGLETRANSLATE(B17222,""en"",""de"")"),"Zwei jugendliche Jungen stehen an einer Schule, die Rock, Paper &amp; Scissors spielt und von einer großen Gruppe von Teenagern umgeben ist, die zuschauen.")</f>
        <v>Zwei jugendliche Jungen stehen an einer Schule, die Rock, Paper &amp; Scissors spielt und von einer großen Gruppe von Teenagern umgeben ist, die zuschauen.</v>
      </c>
    </row>
    <row r="17223">
      <c r="A17223" s="4" t="s">
        <v>21687</v>
      </c>
      <c r="B17223" s="4" t="s">
        <v>21689</v>
      </c>
      <c r="C17223" s="5" t="str">
        <f>IFERROR(__xludf.DUMMYFUNCTION("GOOGLETRANSLATE(B17223,""en"",""de"")"),"Eine Frau geht auf sie zu, um zu schauen, was sie tun, und geht dann zurück aus dem Kreis.")</f>
        <v>Eine Frau geht auf sie zu, um zu schauen, was sie tun, und geht dann zurück aus dem Kreis.</v>
      </c>
    </row>
    <row r="17224">
      <c r="A17224" s="4" t="s">
        <v>21687</v>
      </c>
      <c r="B17224" s="4" t="s">
        <v>21690</v>
      </c>
      <c r="C17224" s="5" t="str">
        <f>IFERROR(__xludf.DUMMYFUNCTION("GOOGLETRANSLATE(B17224,""en"",""de"")"),"Ein Mann geht dann zu den Jungen und hält sie auf, indem er jeden Jungen seine Hände legt und sie weggeht.")</f>
        <v>Ein Mann geht dann zu den Jungen und hält sie auf, indem er jeden Jungen seine Hände legt und sie weggeht.</v>
      </c>
    </row>
    <row r="17225">
      <c r="A17225" s="4" t="s">
        <v>21691</v>
      </c>
      <c r="B17225" s="4" t="s">
        <v>21692</v>
      </c>
      <c r="C17225" s="5" t="str">
        <f>IFERROR(__xludf.DUMMYFUNCTION("GOOGLETRANSLATE(B17225,""en"",""de"")"),"Ein bewegender, bewölkter Himmel mit Blitz erscheint, bevor wir weiße Text sehen.")</f>
        <v>Ein bewegender, bewölkter Himmel mit Blitz erscheint, bevor wir weiße Text sehen.</v>
      </c>
    </row>
    <row r="17226">
      <c r="A17226" s="4" t="s">
        <v>21691</v>
      </c>
      <c r="B17226" s="4" t="s">
        <v>21693</v>
      </c>
      <c r="C17226" s="5" t="str">
        <f>IFERROR(__xludf.DUMMYFUNCTION("GOOGLETRANSLATE(B17226,""en"",""de"")"),"Mehrere Menschen werden in der Nähe gezeigt und rauchen Zigaretten.")</f>
        <v>Mehrere Menschen werden in der Nähe gezeigt und rauchen Zigaretten.</v>
      </c>
    </row>
    <row r="17227">
      <c r="A17227" s="4" t="s">
        <v>21691</v>
      </c>
      <c r="B17227" s="4" t="s">
        <v>21694</v>
      </c>
      <c r="C17227" s="5" t="str">
        <f>IFERROR(__xludf.DUMMYFUNCTION("GOOGLETRANSLATE(B17227,""en"",""de"")"),"Einige sprechen mit der Kamera.")</f>
        <v>Einige sprechen mit der Kamera.</v>
      </c>
    </row>
    <row r="17228">
      <c r="A17228" s="4" t="s">
        <v>21691</v>
      </c>
      <c r="B17228" s="4" t="s">
        <v>21695</v>
      </c>
      <c r="C17228" s="5" t="str">
        <f>IFERROR(__xludf.DUMMYFUNCTION("GOOGLETRANSLATE(B17228,""en"",""de"")"),"Das Video endet mit den Worten South Beach Smoke.")</f>
        <v>Das Video endet mit den Worten South Beach Smoke.</v>
      </c>
    </row>
    <row r="17229">
      <c r="A17229" s="4" t="s">
        <v>21696</v>
      </c>
      <c r="B17229" s="4" t="s">
        <v>21697</v>
      </c>
      <c r="C17229" s="5" t="str">
        <f>IFERROR(__xludf.DUMMYFUNCTION("GOOGLETRANSLATE(B17229,""en"",""de"")"),"Eine Frau spricht mit der Kamera, dann schneidet sie einen kleinen Jungen mit einem Hula -Hoop.")</f>
        <v>Eine Frau spricht mit der Kamera, dann schneidet sie einen kleinen Jungen mit einem Hula -Hoop.</v>
      </c>
    </row>
    <row r="17230">
      <c r="A17230" s="4" t="s">
        <v>21696</v>
      </c>
      <c r="B17230" s="4" t="s">
        <v>21698</v>
      </c>
      <c r="C17230" s="5" t="str">
        <f>IFERROR(__xludf.DUMMYFUNCTION("GOOGLETRANSLATE(B17230,""en"",""de"")"),"Die Frau zeigt farbiges Klebeband, um einen Schlauch umzuwickeln und die Röhre selbst zu erzeugen.")</f>
        <v>Die Frau zeigt farbiges Klebeband, um einen Schlauch umzuwickeln und die Röhre selbst zu erzeugen.</v>
      </c>
    </row>
    <row r="17231">
      <c r="A17231" s="4" t="s">
        <v>21696</v>
      </c>
      <c r="B17231" s="4" t="s">
        <v>21699</v>
      </c>
      <c r="C17231" s="5" t="str">
        <f>IFERROR(__xludf.DUMMYFUNCTION("GOOGLETRANSLATE(B17231,""en"",""de"")"),"Sie zeigt das Endprodukt, dann der Junge, der den Hula Hoop wieder benutzt.")</f>
        <v>Sie zeigt das Endprodukt, dann der Junge, der den Hula Hoop wieder benutzt.</v>
      </c>
    </row>
    <row r="17232">
      <c r="A17232" s="4" t="s">
        <v>21700</v>
      </c>
      <c r="B17232" s="4" t="s">
        <v>21701</v>
      </c>
      <c r="C17232" s="5" t="str">
        <f>IFERROR(__xludf.DUMMYFUNCTION("GOOGLETRANSLATE(B17232,""en"",""de"")"),"Eine Frau passt eine Kamera in einem Schlafzimmer ein.")</f>
        <v>Eine Frau passt eine Kamera in einem Schlafzimmer ein.</v>
      </c>
    </row>
    <row r="17233">
      <c r="A17233" s="4" t="s">
        <v>21700</v>
      </c>
      <c r="B17233" s="4" t="s">
        <v>21702</v>
      </c>
      <c r="C17233" s="5" t="str">
        <f>IFERROR(__xludf.DUMMYFUNCTION("GOOGLETRANSLATE(B17233,""en"",""de"")"),"Sie raucht eine Zigarette und verwandelt sie in ein Tablett.")</f>
        <v>Sie raucht eine Zigarette und verwandelt sie in ein Tablett.</v>
      </c>
    </row>
    <row r="17234">
      <c r="A17234" s="4" t="s">
        <v>21700</v>
      </c>
      <c r="B17234" s="4" t="s">
        <v>21703</v>
      </c>
      <c r="C17234" s="5" t="str">
        <f>IFERROR(__xludf.DUMMYFUNCTION("GOOGLETRANSLATE(B17234,""en"",""de"")"),"Sie knirscht die Zigarette in das Tablett, wenn sie fertig ist.")</f>
        <v>Sie knirscht die Zigarette in das Tablett, wenn sie fertig ist.</v>
      </c>
    </row>
    <row r="17235">
      <c r="A17235" s="4" t="s">
        <v>21704</v>
      </c>
      <c r="B17235" s="4" t="s">
        <v>21705</v>
      </c>
      <c r="C17235" s="5" t="str">
        <f>IFERROR(__xludf.DUMMYFUNCTION("GOOGLETRANSLATE(B17235,""en"",""de"")"),"Eine Frau, die eine Präsentation darüber macht, wie man ein Hemd bügelt.")</f>
        <v>Eine Frau, die eine Präsentation darüber macht, wie man ein Hemd bügelt.</v>
      </c>
    </row>
    <row r="17236">
      <c r="A17236" s="4" t="s">
        <v>21704</v>
      </c>
      <c r="B17236" s="4" t="s">
        <v>21706</v>
      </c>
      <c r="C17236" s="5" t="str">
        <f>IFERROR(__xludf.DUMMYFUNCTION("GOOGLETRANSLATE(B17236,""en"",""de"")"),"Sie spricht über das Hemd und bringt ein Startch -Spray hervor.")</f>
        <v>Sie spricht über das Hemd und bringt ein Startch -Spray hervor.</v>
      </c>
    </row>
    <row r="17237">
      <c r="A17237" s="4" t="s">
        <v>21704</v>
      </c>
      <c r="B17237" s="4" t="s">
        <v>21707</v>
      </c>
      <c r="C17237" s="5" t="str">
        <f>IFERROR(__xludf.DUMMYFUNCTION("GOOGLETRANSLATE(B17237,""en"",""de"")"),"Sie beginnt, das Spray auf dem Hemd zu benutzen.")</f>
        <v>Sie beginnt, das Spray auf dem Hemd zu benutzen.</v>
      </c>
    </row>
    <row r="17238">
      <c r="A17238" s="4" t="s">
        <v>21704</v>
      </c>
      <c r="B17238" s="4" t="s">
        <v>21708</v>
      </c>
      <c r="C17238" s="5" t="str">
        <f>IFERROR(__xludf.DUMMYFUNCTION("GOOGLETRANSLATE(B17238,""en"",""de"")"),"Sie ordnet dann das Hemd neu.")</f>
        <v>Sie ordnet dann das Hemd neu.</v>
      </c>
    </row>
    <row r="17239">
      <c r="A17239" s="4" t="s">
        <v>21704</v>
      </c>
      <c r="B17239" s="4" t="s">
        <v>21709</v>
      </c>
      <c r="C17239" s="5" t="str">
        <f>IFERROR(__xludf.DUMMYFUNCTION("GOOGLETRANSLATE(B17239,""en"",""de"")"),"Als nächstes zeigt sie, wie man das Hemd bügelt.")</f>
        <v>Als nächstes zeigt sie, wie man das Hemd bügelt.</v>
      </c>
    </row>
    <row r="17240">
      <c r="A17240" s="4" t="s">
        <v>21704</v>
      </c>
      <c r="B17240" s="4" t="s">
        <v>21710</v>
      </c>
      <c r="C17240" s="5" t="str">
        <f>IFERROR(__xludf.DUMMYFUNCTION("GOOGLETRANSLATE(B17240,""en"",""de"")"),"Sie zeigt dann, wie man die härteren Falten herausholt.")</f>
        <v>Sie zeigt dann, wie man die härteren Falten herausholt.</v>
      </c>
    </row>
    <row r="17241">
      <c r="A17241" s="4" t="s">
        <v>21704</v>
      </c>
      <c r="B17241" s="4" t="s">
        <v>21711</v>
      </c>
      <c r="C17241" s="5" t="str">
        <f>IFERROR(__xludf.DUMMYFUNCTION("GOOGLETRANSLATE(B17241,""en"",""de"")"),"Als nächstes dreht sie sich über das Hemd und legt den Ärmel herunter.")</f>
        <v>Als nächstes dreht sie sich über das Hemd und legt den Ärmel herunter.</v>
      </c>
    </row>
    <row r="17242">
      <c r="A17242" s="4" t="s">
        <v>21704</v>
      </c>
      <c r="B17242" s="4" t="s">
        <v>21712</v>
      </c>
      <c r="C17242" s="5" t="str">
        <f>IFERROR(__xludf.DUMMYFUNCTION("GOOGLETRANSLATE(B17242,""en"",""de"")"),"Sie zeigt dann, wie man die Hülse bügelt.")</f>
        <v>Sie zeigt dann, wie man die Hülse bügelt.</v>
      </c>
    </row>
    <row r="17243">
      <c r="A17243" s="4" t="s">
        <v>21704</v>
      </c>
      <c r="B17243" s="4" t="s">
        <v>21713</v>
      </c>
      <c r="C17243" s="5" t="str">
        <f>IFERROR(__xludf.DUMMYFUNCTION("GOOGLETRANSLATE(B17243,""en"",""de"")"),"Sie dreht dann das Hemd um.")</f>
        <v>Sie dreht dann das Hemd um.</v>
      </c>
    </row>
    <row r="17244">
      <c r="A17244" s="4" t="s">
        <v>21714</v>
      </c>
      <c r="B17244" s="4" t="s">
        <v>21715</v>
      </c>
      <c r="C17244" s="5" t="str">
        <f>IFERROR(__xludf.DUMMYFUNCTION("GOOGLETRANSLATE(B17244,""en"",""de"")"),"Eine Person fährt auf einem Dirtbike.")</f>
        <v>Eine Person fährt auf einem Dirtbike.</v>
      </c>
    </row>
    <row r="17245">
      <c r="A17245" s="4" t="s">
        <v>21714</v>
      </c>
      <c r="B17245" s="4" t="s">
        <v>21716</v>
      </c>
      <c r="C17245" s="5" t="str">
        <f>IFERROR(__xludf.DUMMYFUNCTION("GOOGLETRANSLATE(B17245,""en"",""de"")"),"Er setzt sich für ein Rennen ein.")</f>
        <v>Er setzt sich für ein Rennen ein.</v>
      </c>
    </row>
    <row r="17246">
      <c r="A17246" s="4" t="s">
        <v>21714</v>
      </c>
      <c r="B17246" s="4" t="s">
        <v>21717</v>
      </c>
      <c r="C17246" s="5" t="str">
        <f>IFERROR(__xludf.DUMMYFUNCTION("GOOGLETRANSLATE(B17246,""en"",""de"")"),"Er fängt an, mit seinem Dirtbike zu fahren.")</f>
        <v>Er fängt an, mit seinem Dirtbike zu fahren.</v>
      </c>
    </row>
    <row r="17247">
      <c r="A17247" s="4" t="s">
        <v>21714</v>
      </c>
      <c r="B17247" s="4" t="s">
        <v>21718</v>
      </c>
      <c r="C17247" s="5" t="str">
        <f>IFERROR(__xludf.DUMMYFUNCTION("GOOGLETRANSLATE(B17247,""en"",""de"")"),"Der Text wird auf dem Bildschirm angezeigt, wenn er verblasst.")</f>
        <v>Der Text wird auf dem Bildschirm angezeigt, wenn er verblasst.</v>
      </c>
    </row>
    <row r="17248">
      <c r="A17248" s="4" t="s">
        <v>21719</v>
      </c>
      <c r="B17248" s="4" t="s">
        <v>21720</v>
      </c>
      <c r="C17248" s="5" t="str">
        <f>IFERROR(__xludf.DUMMYFUNCTION("GOOGLETRANSLATE(B17248,""en"",""de"")"),"Ein Mann in einem weißen Hemd steht in einem Fitnessstudio.")</f>
        <v>Ein Mann in einem weißen Hemd steht in einem Fitnessstudio.</v>
      </c>
    </row>
    <row r="17249">
      <c r="A17249" s="4" t="s">
        <v>21719</v>
      </c>
      <c r="B17249" s="4" t="s">
        <v>21721</v>
      </c>
      <c r="C17249" s="5" t="str">
        <f>IFERROR(__xludf.DUMMYFUNCTION("GOOGLETRANSLATE(B17249,""en"",""de"")"),"Er sitzt auf einer Übungsmaschine und beginnt zu trainieren.")</f>
        <v>Er sitzt auf einer Übungsmaschine und beginnt zu trainieren.</v>
      </c>
    </row>
    <row r="17250">
      <c r="A17250" s="4" t="s">
        <v>21719</v>
      </c>
      <c r="B17250" s="4" t="s">
        <v>21722</v>
      </c>
      <c r="C17250" s="5" t="str">
        <f>IFERROR(__xludf.DUMMYFUNCTION("GOOGLETRANSLATE(B17250,""en"",""de"")"),"Er endet und legt die Messlatte ab.")</f>
        <v>Er endet und legt die Messlatte ab.</v>
      </c>
    </row>
    <row r="17251">
      <c r="A17251" s="4" t="s">
        <v>21723</v>
      </c>
      <c r="B17251" s="4" t="s">
        <v>21724</v>
      </c>
      <c r="C17251" s="5" t="str">
        <f>IFERROR(__xludf.DUMMYFUNCTION("GOOGLETRANSLATE(B17251,""en"",""de"")"),"Eine Dame tanzt und spricht drinnen.")</f>
        <v>Eine Dame tanzt und spricht drinnen.</v>
      </c>
    </row>
    <row r="17252">
      <c r="A17252" s="4" t="s">
        <v>21723</v>
      </c>
      <c r="B17252" s="4" t="s">
        <v>21725</v>
      </c>
      <c r="C17252" s="5" t="str">
        <f>IFERROR(__xludf.DUMMYFUNCTION("GOOGLETRANSLATE(B17252,""en"",""de"")"),"Die Dame mischt alle Zutaten und backt bunte Schichten für einen Kuchen.")</f>
        <v>Die Dame mischt alle Zutaten und backt bunte Schichten für einen Kuchen.</v>
      </c>
    </row>
    <row r="17253">
      <c r="A17253" s="4" t="s">
        <v>21723</v>
      </c>
      <c r="B17253" s="4" t="s">
        <v>21726</v>
      </c>
      <c r="C17253" s="5" t="str">
        <f>IFERROR(__xludf.DUMMYFUNCTION("GOOGLETRANSLATE(B17253,""en"",""de"")"),"Die Dame fügte dem geschichteten Kuchen viel farbenfrohe Verzierung hinzu.")</f>
        <v>Die Dame fügte dem geschichteten Kuchen viel farbenfrohe Verzierung hinzu.</v>
      </c>
    </row>
    <row r="17254">
      <c r="A17254" s="4" t="s">
        <v>21723</v>
      </c>
      <c r="B17254" s="4" t="s">
        <v>21727</v>
      </c>
      <c r="C17254" s="5" t="str">
        <f>IFERROR(__xludf.DUMMYFUNCTION("GOOGLETRANSLATE(B17254,""en"",""de"")"),"Die Dame geht nach draußen zu einem Kaninchenkäfig.")</f>
        <v>Die Dame geht nach draußen zu einem Kaninchenkäfig.</v>
      </c>
    </row>
    <row r="17255">
      <c r="A17255" s="4" t="s">
        <v>21728</v>
      </c>
      <c r="B17255" s="4" t="s">
        <v>21729</v>
      </c>
      <c r="C17255" s="5" t="str">
        <f>IFERROR(__xludf.DUMMYFUNCTION("GOOGLETRANSLATE(B17255,""en"",""de"")"),"Zwei Jungen stehen auf einer Wohnfahrt.")</f>
        <v>Zwei Jungen stehen auf einer Wohnfahrt.</v>
      </c>
    </row>
    <row r="17256">
      <c r="A17256" s="4" t="s">
        <v>21728</v>
      </c>
      <c r="B17256" s="4" t="s">
        <v>21730</v>
      </c>
      <c r="C17256" s="5" t="str">
        <f>IFERROR(__xludf.DUMMYFUNCTION("GOOGLETRANSLATE(B17256,""en"",""de"")"),"Der kleine Junge spielt Hopscotch zweimal auf der Einfahrt.")</f>
        <v>Der kleine Junge spielt Hopscotch zweimal auf der Einfahrt.</v>
      </c>
    </row>
    <row r="17257">
      <c r="A17257" s="4" t="s">
        <v>21728</v>
      </c>
      <c r="B17257" s="4" t="s">
        <v>21731</v>
      </c>
      <c r="C17257" s="5" t="str">
        <f>IFERROR(__xludf.DUMMYFUNCTION("GOOGLETRANSLATE(B17257,""en"",""de"")"),"Ein kleines Mädchen spielt auch das Spiel und folgt dann den anderen Kindern außerhalb der Einfahrt.")</f>
        <v>Ein kleines Mädchen spielt auch das Spiel und folgt dann den anderen Kindern außerhalb der Einfahrt.</v>
      </c>
    </row>
    <row r="17258">
      <c r="A17258" s="4" t="s">
        <v>21732</v>
      </c>
      <c r="B17258" s="4" t="s">
        <v>21733</v>
      </c>
      <c r="C17258" s="5" t="str">
        <f>IFERROR(__xludf.DUMMYFUNCTION("GOOGLETRANSLATE(B17258,""en"",""de"")"),"Die Frau auf dem Feld steht hinter dem Netz.")</f>
        <v>Die Frau auf dem Feld steht hinter dem Netz.</v>
      </c>
    </row>
    <row r="17259">
      <c r="A17259" s="4" t="s">
        <v>21732</v>
      </c>
      <c r="B17259" s="4" t="s">
        <v>21734</v>
      </c>
      <c r="C17259" s="5" t="str">
        <f>IFERROR(__xludf.DUMMYFUNCTION("GOOGLETRANSLATE(B17259,""en"",""de"")"),"Die Frau wirbelte herum und warf ein Schwermetall auf das Feld.")</f>
        <v>Die Frau wirbelte herum und warf ein Schwermetall auf das Feld.</v>
      </c>
    </row>
    <row r="17260">
      <c r="A17260" s="4" t="s">
        <v>21732</v>
      </c>
      <c r="B17260" s="4" t="s">
        <v>21735</v>
      </c>
      <c r="C17260" s="5" t="str">
        <f>IFERROR(__xludf.DUMMYFUNCTION("GOOGLETRANSLATE(B17260,""en"",""de"")"),"Das Feld hat Leute in der, ein Mann rennt.")</f>
        <v>Das Feld hat Leute in der, ein Mann rennt.</v>
      </c>
    </row>
    <row r="17261">
      <c r="A17261" s="4" t="s">
        <v>21732</v>
      </c>
      <c r="B17261" s="4" t="s">
        <v>21736</v>
      </c>
      <c r="C17261" s="5" t="str">
        <f>IFERROR(__xludf.DUMMYFUNCTION("GOOGLETRANSLATE(B17261,""en"",""de"")"),"Der Athlet in Pink Top geht vorwärts.")</f>
        <v>Der Athlet in Pink Top geht vorwärts.</v>
      </c>
    </row>
    <row r="17262">
      <c r="A17262" s="4" t="s">
        <v>21732</v>
      </c>
      <c r="B17262" s="4" t="s">
        <v>21737</v>
      </c>
      <c r="C17262" s="5" t="str">
        <f>IFERROR(__xludf.DUMMYFUNCTION("GOOGLETRANSLATE(B17262,""en"",""de"")"),"Ein Athlet mit Barrios -Tag auf ihrem Hemd steht hinter dem Netz.")</f>
        <v>Ein Athlet mit Barrios -Tag auf ihrem Hemd steht hinter dem Netz.</v>
      </c>
    </row>
    <row r="17263">
      <c r="A17263" s="4" t="s">
        <v>21732</v>
      </c>
      <c r="B17263" s="4" t="s">
        <v>21738</v>
      </c>
      <c r="C17263" s="5" t="str">
        <f>IFERROR(__xludf.DUMMYFUNCTION("GOOGLETRANSLATE(B17263,""en"",""de"")"),"Die Frau hob das kreisförmige Metall und sie fing an, herumzuwirbeln und das Metall warf.")</f>
        <v>Die Frau hob das kreisförmige Metall und sie fing an, herumzuwirbeln und das Metall warf.</v>
      </c>
    </row>
    <row r="17264">
      <c r="A17264" s="4" t="s">
        <v>21732</v>
      </c>
      <c r="B17264" s="4" t="s">
        <v>21739</v>
      </c>
      <c r="C17264" s="5" t="str">
        <f>IFERROR(__xludf.DUMMYFUNCTION("GOOGLETRANSLATE(B17264,""en"",""de"")"),"Das Metall traf das Feld.")</f>
        <v>Das Metall traf das Feld.</v>
      </c>
    </row>
    <row r="17265">
      <c r="A17265" s="4" t="s">
        <v>21732</v>
      </c>
      <c r="B17265" s="4" t="s">
        <v>21740</v>
      </c>
      <c r="C17265" s="5" t="str">
        <f>IFERROR(__xludf.DUMMYFUNCTION("GOOGLETRANSLATE(B17265,""en"",""de"")"),"Ein Mann rennt auf den weißen Kreis auf dem Boden.")</f>
        <v>Ein Mann rennt auf den weißen Kreis auf dem Boden.</v>
      </c>
    </row>
    <row r="17266">
      <c r="A17266" s="4" t="s">
        <v>21732</v>
      </c>
      <c r="B17266" s="4" t="s">
        <v>21741</v>
      </c>
      <c r="C17266" s="5" t="str">
        <f>IFERROR(__xludf.DUMMYFUNCTION("GOOGLETRANSLATE(B17266,""en"",""de"")"),"Eine Frau erstreckt sich hinter dem Netz.")</f>
        <v>Eine Frau erstreckt sich hinter dem Netz.</v>
      </c>
    </row>
    <row r="17267">
      <c r="A17267" s="4" t="s">
        <v>21732</v>
      </c>
      <c r="B17267" s="4" t="s">
        <v>21742</v>
      </c>
      <c r="C17267" s="5" t="str">
        <f>IFERROR(__xludf.DUMMYFUNCTION("GOOGLETRANSLATE(B17267,""en"",""de"")"),"Sie wirbelte herum und warf etwas auf das Feld.")</f>
        <v>Sie wirbelte herum und warf etwas auf das Feld.</v>
      </c>
    </row>
    <row r="17268">
      <c r="A17268" s="4" t="s">
        <v>21732</v>
      </c>
      <c r="B17268" s="4" t="s">
        <v>21743</v>
      </c>
      <c r="C17268" s="5" t="str">
        <f>IFERROR(__xludf.DUMMYFUNCTION("GOOGLETRANSLATE(B17268,""en"",""de"")"),"Zwei Männer rennen aufeinander zu.")</f>
        <v>Zwei Männer rennen aufeinander zu.</v>
      </c>
    </row>
    <row r="17269">
      <c r="A17269" s="4" t="s">
        <v>21732</v>
      </c>
      <c r="B17269" s="4" t="s">
        <v>21744</v>
      </c>
      <c r="C17269" s="5" t="str">
        <f>IFERROR(__xludf.DUMMYFUNCTION("GOOGLETRANSLATE(B17269,""en"",""de"")"),"Die Frau umarmte andere Frau.")</f>
        <v>Die Frau umarmte andere Frau.</v>
      </c>
    </row>
    <row r="17270">
      <c r="A17270" s="4" t="s">
        <v>21732</v>
      </c>
      <c r="B17270" s="4" t="s">
        <v>21745</v>
      </c>
      <c r="C17270" s="5" t="str">
        <f>IFERROR(__xludf.DUMMYFUNCTION("GOOGLETRANSLATE(B17270,""en"",""de"")"),"Das grüne Feld hat das Publikum an den Seiten des Feldes.")</f>
        <v>Das grüne Feld hat das Publikum an den Seiten des Feldes.</v>
      </c>
    </row>
    <row r="17271">
      <c r="A17271" s="4" t="s">
        <v>21746</v>
      </c>
      <c r="B17271" s="4" t="s">
        <v>21747</v>
      </c>
      <c r="C17271" s="5" t="str">
        <f>IFERROR(__xludf.DUMMYFUNCTION("GOOGLETRANSLATE(B17271,""en"",""de"")"),"Ein Mann auf dem Dach stellt einige Metallstücke durch die Schindeln auf.")</f>
        <v>Ein Mann auf dem Dach stellt einige Metallstücke durch die Schindeln auf.</v>
      </c>
    </row>
    <row r="17272">
      <c r="A17272" s="4" t="s">
        <v>21746</v>
      </c>
      <c r="B17272" s="4" t="s">
        <v>21748</v>
      </c>
      <c r="C17272" s="5" t="str">
        <f>IFERROR(__xludf.DUMMYFUNCTION("GOOGLETRANSLATE(B17272,""en"",""de"")"),"Er setzt kleine Metallstücke auf das Metall, um sie festzuhalten.")</f>
        <v>Er setzt kleine Metallstücke auf das Metall, um sie festzuhalten.</v>
      </c>
    </row>
    <row r="17273">
      <c r="A17273" s="4" t="s">
        <v>21746</v>
      </c>
      <c r="B17273" s="4" t="s">
        <v>21749</v>
      </c>
      <c r="C17273" s="5" t="str">
        <f>IFERROR(__xludf.DUMMYFUNCTION("GOOGLETRANSLATE(B17273,""en"",""de"")"),"Er spricht ein bisschen scherzhaft darüber.")</f>
        <v>Er spricht ein bisschen scherzhaft darüber.</v>
      </c>
    </row>
    <row r="17274">
      <c r="A17274" s="4" t="s">
        <v>21746</v>
      </c>
      <c r="B17274" s="4" t="s">
        <v>21750</v>
      </c>
      <c r="C17274" s="5" t="str">
        <f>IFERROR(__xludf.DUMMYFUNCTION("GOOGLETRANSLATE(B17274,""en"",""de"")"),"Dann versuchte er es etwas mehr anzupassen.")</f>
        <v>Dann versuchte er es etwas mehr anzupassen.</v>
      </c>
    </row>
    <row r="17275">
      <c r="A17275" s="4" t="s">
        <v>21751</v>
      </c>
      <c r="B17275" s="4" t="s">
        <v>1251</v>
      </c>
      <c r="C17275" s="5" t="str">
        <f>IFERROR(__xludf.DUMMYFUNCTION("GOOGLETRANSLATE(B17275,""en"",""de"")"),"Die Credits des Clips werden angezeigt.")</f>
        <v>Die Credits des Clips werden angezeigt.</v>
      </c>
    </row>
    <row r="17276">
      <c r="A17276" s="4" t="s">
        <v>21751</v>
      </c>
      <c r="B17276" s="4" t="s">
        <v>21752</v>
      </c>
      <c r="C17276" s="5" t="str">
        <f>IFERROR(__xludf.DUMMYFUNCTION("GOOGLETRANSLATE(B17276,""en"",""de"")"),"Haarprodukte und Haarwerkzeuge werden angezeigt.")</f>
        <v>Haarprodukte und Haarwerkzeuge werden angezeigt.</v>
      </c>
    </row>
    <row r="17277">
      <c r="A17277" s="4" t="s">
        <v>21751</v>
      </c>
      <c r="B17277" s="4" t="s">
        <v>21753</v>
      </c>
      <c r="C17277" s="5" t="str">
        <f>IFERROR(__xludf.DUMMYFUNCTION("GOOGLETRANSLATE(B17277,""en"",""de"")"),"Der männliche Stylist ist das Haar eines Kunden mit Produkten, einem Clipper und einem Haartrockner.")</f>
        <v>Der männliche Stylist ist das Haar eines Kunden mit Produkten, einem Clipper und einem Haartrockner.</v>
      </c>
    </row>
    <row r="17278">
      <c r="A17278" s="4" t="s">
        <v>21751</v>
      </c>
      <c r="B17278" s="4" t="s">
        <v>573</v>
      </c>
      <c r="C17278" s="5" t="str">
        <f>IFERROR(__xludf.DUMMYFUNCTION("GOOGLETRANSLATE(B17278,""en"",""de"")"),"Die Credits des Videos werden angezeigt.")</f>
        <v>Die Credits des Videos werden angezeigt.</v>
      </c>
    </row>
    <row r="17279">
      <c r="A17279" s="4" t="s">
        <v>21754</v>
      </c>
      <c r="B17279" s="4" t="s">
        <v>21755</v>
      </c>
      <c r="C17279" s="5" t="str">
        <f>IFERROR(__xludf.DUMMYFUNCTION("GOOGLETRANSLATE(B17279,""en"",""de"")"),"An einem Poolplatz sind die Leute um einige Pooltische versammelt, die darauf warten, dass die Spieler sich abwenden.")</f>
        <v>An einem Poolplatz sind die Leute um einige Pooltische versammelt, die darauf warten, dass die Spieler sich abwenden.</v>
      </c>
    </row>
    <row r="17280">
      <c r="A17280" s="4" t="s">
        <v>21754</v>
      </c>
      <c r="B17280" s="4" t="s">
        <v>21756</v>
      </c>
      <c r="C17280" s="5" t="str">
        <f>IFERROR(__xludf.DUMMYFUNCTION("GOOGLETRANSLATE(B17280,""en"",""de"")"),"Ein Mann nimmt seine Wende und dann ein anderer in Red nimmt sein Schlag, aber Bot, das es macht.")</f>
        <v>Ein Mann nimmt seine Wende und dann ein anderer in Red nimmt sein Schlag, aber Bot, das es macht.</v>
      </c>
    </row>
    <row r="17281">
      <c r="A17281" s="4" t="s">
        <v>21754</v>
      </c>
      <c r="B17281" s="4" t="s">
        <v>21757</v>
      </c>
      <c r="C17281" s="5" t="str">
        <f>IFERROR(__xludf.DUMMYFUNCTION("GOOGLETRANSLATE(B17281,""en"",""de"")"),"Niemand schafft es an der Reihe, so dass sie zum nächsten Spieler weitermachen.")</f>
        <v>Niemand schafft es an der Reihe, so dass sie zum nächsten Spieler weitermachen.</v>
      </c>
    </row>
    <row r="17282">
      <c r="A17282" s="4" t="s">
        <v>21754</v>
      </c>
      <c r="B17282" s="4" t="s">
        <v>21758</v>
      </c>
      <c r="C17282" s="5" t="str">
        <f>IFERROR(__xludf.DUMMYFUNCTION("GOOGLETRANSLATE(B17282,""en"",""de"")"),"Das Spiel wartet weiter darauf, dass jemand ein paar Schüsse macht.")</f>
        <v>Das Spiel wartet weiter darauf, dass jemand ein paar Schüsse macht.</v>
      </c>
    </row>
    <row r="17283">
      <c r="A17283" s="4" t="s">
        <v>21759</v>
      </c>
      <c r="B17283" s="4" t="s">
        <v>21760</v>
      </c>
      <c r="C17283" s="5" t="str">
        <f>IFERROR(__xludf.DUMMYFUNCTION("GOOGLETRANSLATE(B17283,""en"",""de"")"),"Ein Track -Athlet bereitet sich vor und erstreckt sich an einer Startlinie.")</f>
        <v>Ein Track -Athlet bereitet sich vor und erstreckt sich an einer Startlinie.</v>
      </c>
    </row>
    <row r="17284">
      <c r="A17284" s="4" t="s">
        <v>21759</v>
      </c>
      <c r="B17284" s="4" t="s">
        <v>21761</v>
      </c>
      <c r="C17284" s="5" t="str">
        <f>IFERROR(__xludf.DUMMYFUNCTION("GOOGLETRANSLATE(B17284,""en"",""de"")"),"Ein Track -Athlet läuft eine Strecke hinunter und Hochsprung über die Bar auf eine Matte.")</f>
        <v>Ein Track -Athlet läuft eine Strecke hinunter und Hochsprung über die Bar auf eine Matte.</v>
      </c>
    </row>
    <row r="17285">
      <c r="A17285" s="4" t="s">
        <v>21759</v>
      </c>
      <c r="B17285" s="4" t="s">
        <v>21762</v>
      </c>
      <c r="C17285" s="5" t="str">
        <f>IFERROR(__xludf.DUMMYFUNCTION("GOOGLETRANSLATE(B17285,""en"",""de"")"),"Der Athlet macht Versuche, über die Bar zu springen, aber es ist erfolglos, ihn auf die Matte zu klopfen.")</f>
        <v>Der Athlet macht Versuche, über die Bar zu springen, aber es ist erfolglos, ihn auf die Matte zu klopfen.</v>
      </c>
    </row>
    <row r="17286">
      <c r="A17286" s="4" t="s">
        <v>21763</v>
      </c>
      <c r="B17286" s="4" t="s">
        <v>21764</v>
      </c>
      <c r="C17286" s="5" t="str">
        <f>IFERROR(__xludf.DUMMYFUNCTION("GOOGLETRANSLATE(B17286,""en"",""de"")"),"Ein Mädchen macht auf einem Trampolin in einem Gymnasium.")</f>
        <v>Ein Mädchen macht auf einem Trampolin in einem Gymnasium.</v>
      </c>
    </row>
    <row r="17287">
      <c r="A17287" s="4" t="s">
        <v>21763</v>
      </c>
      <c r="B17287" s="4" t="s">
        <v>21765</v>
      </c>
      <c r="C17287" s="5" t="str">
        <f>IFERROR(__xludf.DUMMYFUNCTION("GOOGLETRANSLATE(B17287,""en"",""de"")"),"Wir sehen dann, wie ein Kind rückwärts in den Pool taucht.")</f>
        <v>Wir sehen dann, wie ein Kind rückwärts in den Pool taucht.</v>
      </c>
    </row>
    <row r="17288">
      <c r="A17288" s="4" t="s">
        <v>21763</v>
      </c>
      <c r="B17288" s="4" t="s">
        <v>21766</v>
      </c>
      <c r="C17288" s="5" t="str">
        <f>IFERROR(__xludf.DUMMYFUNCTION("GOOGLETRANSLATE(B17288,""en"",""de"")"),"Wir sehen das Kind auf dem Trampolin.")</f>
        <v>Wir sehen das Kind auf dem Trampolin.</v>
      </c>
    </row>
    <row r="17289">
      <c r="A17289" s="4" t="s">
        <v>21763</v>
      </c>
      <c r="B17289" s="4" t="s">
        <v>21767</v>
      </c>
      <c r="C17289" s="5" t="str">
        <f>IFERROR(__xludf.DUMMYFUNCTION("GOOGLETRANSLATE(B17289,""en"",""de"")"),"Wir sehen dann die Kinder wieder tauchen.")</f>
        <v>Wir sehen dann die Kinder wieder tauchen.</v>
      </c>
    </row>
    <row r="17290">
      <c r="A17290" s="4" t="s">
        <v>21763</v>
      </c>
      <c r="B17290" s="4" t="s">
        <v>21768</v>
      </c>
      <c r="C17290" s="5" t="str">
        <f>IFERROR(__xludf.DUMMYFUNCTION("GOOGLETRANSLATE(B17290,""en"",""de"")"),"Wir kehren zu den Kindern zurück, die auf dem Trampolin üben und wieder zu ihnen tauchen.")</f>
        <v>Wir kehren zu den Kindern zurück, die auf dem Trampolin üben und wieder zu ihnen tauchen.</v>
      </c>
    </row>
    <row r="17291">
      <c r="A17291" s="4" t="s">
        <v>21769</v>
      </c>
      <c r="B17291" s="4" t="s">
        <v>21770</v>
      </c>
      <c r="C17291" s="5" t="str">
        <f>IFERROR(__xludf.DUMMYFUNCTION("GOOGLETRANSLATE(B17291,""en"",""de"")"),"Eine Frau spielt eine Tanzroutine auf einer Bühne vor einem großen Publikum.")</f>
        <v>Eine Frau spielt eine Tanzroutine auf einer Bühne vor einem großen Publikum.</v>
      </c>
    </row>
    <row r="17292">
      <c r="A17292" s="4" t="s">
        <v>21769</v>
      </c>
      <c r="B17292" s="4" t="s">
        <v>21771</v>
      </c>
      <c r="C17292" s="5" t="str">
        <f>IFERROR(__xludf.DUMMYFUNCTION("GOOGLETRANSLATE(B17292,""en"",""de"")"),"Die Frau tanzt über die Bühne weiter und endet mit einem Bogen und geht von der Bühne.")</f>
        <v>Die Frau tanzt über die Bühne weiter und endet mit einem Bogen und geht von der Bühne.</v>
      </c>
    </row>
    <row r="17293">
      <c r="A17293" s="4" t="s">
        <v>21772</v>
      </c>
      <c r="B17293" s="4" t="s">
        <v>21773</v>
      </c>
      <c r="C17293" s="5" t="str">
        <f>IFERROR(__xludf.DUMMYFUNCTION("GOOGLETRANSLATE(B17293,""en"",""de"")"),"Ein Mann steht an einer Bar.")</f>
        <v>Ein Mann steht an einer Bar.</v>
      </c>
    </row>
    <row r="17294">
      <c r="A17294" s="4" t="s">
        <v>21772</v>
      </c>
      <c r="B17294" s="4" t="s">
        <v>21774</v>
      </c>
      <c r="C17294" s="5" t="str">
        <f>IFERROR(__xludf.DUMMYFUNCTION("GOOGLETRANSLATE(B17294,""en"",""de"")"),"Wir sehen den Titelbildschirm, wie man etwas trinken kann.")</f>
        <v>Wir sehen den Titelbildschirm, wie man etwas trinken kann.</v>
      </c>
    </row>
    <row r="17295">
      <c r="A17295" s="4" t="s">
        <v>21772</v>
      </c>
      <c r="B17295" s="4" t="s">
        <v>21775</v>
      </c>
      <c r="C17295" s="5" t="str">
        <f>IFERROR(__xludf.DUMMYFUNCTION("GOOGLETRANSLATE(B17295,""en"",""de"")"),"Der Mann gießt drei Liköre und etwas Limettensaton in ein Glas.")</f>
        <v>Der Mann gießt drei Liköre und etwas Limettensaton in ein Glas.</v>
      </c>
    </row>
    <row r="17296">
      <c r="A17296" s="4" t="s">
        <v>21772</v>
      </c>
      <c r="B17296" s="4" t="s">
        <v>21776</v>
      </c>
      <c r="C17296" s="5" t="str">
        <f>IFERROR(__xludf.DUMMYFUNCTION("GOOGLETRANSLATE(B17296,""en"",""de"")"),"Er rührt das Glas mit einem Metallwerkzeug.")</f>
        <v>Er rührt das Glas mit einem Metallwerkzeug.</v>
      </c>
    </row>
    <row r="17297">
      <c r="A17297" s="4" t="s">
        <v>21772</v>
      </c>
      <c r="B17297" s="4" t="s">
        <v>21777</v>
      </c>
      <c r="C17297" s="5" t="str">
        <f>IFERROR(__xludf.DUMMYFUNCTION("GOOGLETRANSLATE(B17297,""en"",""de"")"),"Der Mann trinkt dann aus dem Glas.")</f>
        <v>Der Mann trinkt dann aus dem Glas.</v>
      </c>
    </row>
    <row r="17298">
      <c r="A17298" s="4" t="s">
        <v>21772</v>
      </c>
      <c r="B17298" s="4" t="s">
        <v>21778</v>
      </c>
      <c r="C17298" s="5" t="str">
        <f>IFERROR(__xludf.DUMMYFUNCTION("GOOGLETRANSLATE(B17298,""en"",""de"")"),"Der Mann zeigt auf die Kamera, wir sehen die Endsequenz.")</f>
        <v>Der Mann zeigt auf die Kamera, wir sehen die Endsequenz.</v>
      </c>
    </row>
    <row r="17299">
      <c r="A17299" s="4" t="s">
        <v>21779</v>
      </c>
      <c r="B17299" s="4" t="s">
        <v>21780</v>
      </c>
      <c r="C17299" s="5" t="str">
        <f>IFERROR(__xludf.DUMMYFUNCTION("GOOGLETRANSLATE(B17299,""en"",""de"")"),"Ein Paar Tänzer beginnt sich beim Latin Dance Cup vorzubilden.")</f>
        <v>Ein Paar Tänzer beginnt sich beim Latin Dance Cup vorzubilden.</v>
      </c>
    </row>
    <row r="17300">
      <c r="A17300" s="4" t="s">
        <v>21779</v>
      </c>
      <c r="B17300" s="4" t="s">
        <v>21781</v>
      </c>
      <c r="C17300" s="5" t="str">
        <f>IFERROR(__xludf.DUMMYFUNCTION("GOOGLETRANSLATE(B17300,""en"",""de"")"),"Die Frau zeigt die Spaltung.")</f>
        <v>Die Frau zeigt die Spaltung.</v>
      </c>
    </row>
    <row r="17301">
      <c r="A17301" s="4" t="s">
        <v>21779</v>
      </c>
      <c r="B17301" s="4" t="s">
        <v>21782</v>
      </c>
      <c r="C17301" s="5" t="str">
        <f>IFERROR(__xludf.DUMMYFUNCTION("GOOGLETRANSLATE(B17301,""en"",""de"")"),"Die Tänzer beginnen sich umeinander zu drehen.")</f>
        <v>Die Tänzer beginnen sich umeinander zu drehen.</v>
      </c>
    </row>
    <row r="17302">
      <c r="A17302" s="4" t="s">
        <v>21779</v>
      </c>
      <c r="B17302" s="4" t="s">
        <v>21783</v>
      </c>
      <c r="C17302" s="5" t="str">
        <f>IFERROR(__xludf.DUMMYFUNCTION("GOOGLETRANSLATE(B17302,""en"",""de"")"),"Die Tänzer beginnen sich separat vorzuformieren.")</f>
        <v>Die Tänzer beginnen sich separat vorzuformieren.</v>
      </c>
    </row>
    <row r="17303">
      <c r="A17303" s="4" t="s">
        <v>21779</v>
      </c>
      <c r="B17303" s="4" t="s">
        <v>21784</v>
      </c>
      <c r="C17303" s="5" t="str">
        <f>IFERROR(__xludf.DUMMYFUNCTION("GOOGLETRANSLATE(B17303,""en"",""de"")"),"Die Tänzer beginnt für ein großes Finish wieder zusammen zu bewegen.")</f>
        <v>Die Tänzer beginnt für ein großes Finish wieder zusammen zu bewegen.</v>
      </c>
    </row>
    <row r="17304">
      <c r="A17304" s="4" t="s">
        <v>21785</v>
      </c>
      <c r="B17304" s="4" t="s">
        <v>21786</v>
      </c>
      <c r="C17304" s="5" t="str">
        <f>IFERROR(__xludf.DUMMYFUNCTION("GOOGLETRANSLATE(B17304,""en"",""de"")"),"Ein Mann spricht mit der Kamera draußen, während verschiedene Objekte und Werkzeuge um ihn herum sitzen.")</f>
        <v>Ein Mann spricht mit der Kamera draußen, während verschiedene Objekte und Werkzeuge um ihn herum sitzen.</v>
      </c>
    </row>
    <row r="17305">
      <c r="A17305" s="4" t="s">
        <v>21785</v>
      </c>
      <c r="B17305" s="4" t="s">
        <v>21787</v>
      </c>
      <c r="C17305" s="5" t="str">
        <f>IFERROR(__xludf.DUMMYFUNCTION("GOOGLETRANSLATE(B17305,""en"",""de"")"),"Der Mann spricht weiter und führt in Clips von ihm, die um einen niedrigen Mäher herumschieben.")</f>
        <v>Der Mann spricht weiter und führt in Clips von ihm, die um einen niedrigen Mäher herumschieben.</v>
      </c>
    </row>
    <row r="17306">
      <c r="A17306" s="4" t="s">
        <v>21785</v>
      </c>
      <c r="B17306" s="4" t="s">
        <v>21788</v>
      </c>
      <c r="C17306" s="5" t="str">
        <f>IFERROR(__xludf.DUMMYFUNCTION("GOOGLETRANSLATE(B17306,""en"",""de"")"),"Er schneidet das Gras weiter und führt zu mehr Klammern von ihm, die sprechen.")</f>
        <v>Er schneidet das Gras weiter und führt zu mehr Klammern von ihm, die sprechen.</v>
      </c>
    </row>
    <row r="17307">
      <c r="A17307" s="4" t="s">
        <v>21789</v>
      </c>
      <c r="B17307" s="4" t="s">
        <v>21790</v>
      </c>
      <c r="C17307" s="5" t="str">
        <f>IFERROR(__xludf.DUMMYFUNCTION("GOOGLETRANSLATE(B17307,""en"",""de"")"),"Die Awesomeness TV Network -Logo -Animation spielt.")</f>
        <v>Die Awesomeness TV Network -Logo -Animation spielt.</v>
      </c>
    </row>
    <row r="17308">
      <c r="A17308" s="4" t="s">
        <v>21789</v>
      </c>
      <c r="B17308" s="4" t="s">
        <v>21791</v>
      </c>
      <c r="C17308" s="5" t="str">
        <f>IFERROR(__xludf.DUMMYFUNCTION("GOOGLETRANSLATE(B17308,""en"",""de"")"),"Ein Mann flippt und stürzt über eine Matte.")</f>
        <v>Ein Mann flippt und stürzt über eine Matte.</v>
      </c>
    </row>
    <row r="17309">
      <c r="A17309" s="4" t="s">
        <v>21789</v>
      </c>
      <c r="B17309" s="4" t="s">
        <v>21792</v>
      </c>
      <c r="C17309" s="5" t="str">
        <f>IFERROR(__xludf.DUMMYFUNCTION("GOOGLETRANSLATE(B17309,""en"",""de"")"),"Der gleiche Mann dreht sich wieder über die Matte, diesmal kein Hemd.")</f>
        <v>Der gleiche Mann dreht sich wieder über die Matte, diesmal kein Hemd.</v>
      </c>
    </row>
    <row r="17310">
      <c r="A17310" s="4" t="s">
        <v>21789</v>
      </c>
      <c r="B17310" s="4" t="s">
        <v>21793</v>
      </c>
      <c r="C17310" s="5" t="str">
        <f>IFERROR(__xludf.DUMMYFUNCTION("GOOGLETRANSLATE(B17310,""en"",""de"")"),"Der Mann spricht mit der Kamera.")</f>
        <v>Der Mann spricht mit der Kamera.</v>
      </c>
    </row>
    <row r="17311">
      <c r="A17311" s="4" t="s">
        <v>21789</v>
      </c>
      <c r="B17311" s="4" t="s">
        <v>21794</v>
      </c>
      <c r="C17311" s="5" t="str">
        <f>IFERROR(__xludf.DUMMYFUNCTION("GOOGLETRANSLATE(B17311,""en"",""de"")"),"Eine Frau mit einem blauen Bogen im Haar geht hinter dem Mann über den Bildschirm und spricht mit einer anderen Frau, die den Bildschirm verlässt.")</f>
        <v>Eine Frau mit einem blauen Bogen im Haar geht hinter dem Mann über den Bildschirm und spricht mit einer anderen Frau, die den Bildschirm verlässt.</v>
      </c>
    </row>
    <row r="17312">
      <c r="A17312" s="4" t="s">
        <v>21789</v>
      </c>
      <c r="B17312" s="4" t="s">
        <v>21795</v>
      </c>
      <c r="C17312" s="5" t="str">
        <f>IFERROR(__xludf.DUMMYFUNCTION("GOOGLETRANSLATE(B17312,""en"",""de"")"),"Der hemdlose Mann wird wieder umgedreht und stürzt über den Bildschirm, diesmal landet er nicht seinen letzten Flip und er fällt auf seine Seite.")</f>
        <v>Der hemdlose Mann wird wieder umgedreht und stürzt über den Bildschirm, diesmal landet er nicht seinen letzten Flip und er fällt auf seine Seite.</v>
      </c>
    </row>
    <row r="17313">
      <c r="A17313" s="4" t="s">
        <v>21789</v>
      </c>
      <c r="B17313" s="4" t="s">
        <v>21796</v>
      </c>
      <c r="C17313" s="5" t="str">
        <f>IFERROR(__xludf.DUMMYFUNCTION("GOOGLETRANSLATE(B17313,""en"",""de"")"),"Dann geht er auf einen Mann auf der Seite der Matte zu.")</f>
        <v>Dann geht er auf einen Mann auf der Seite der Matte zu.</v>
      </c>
    </row>
    <row r="17314">
      <c r="A17314" s="4" t="s">
        <v>21789</v>
      </c>
      <c r="B17314" s="4" t="s">
        <v>21797</v>
      </c>
      <c r="C17314" s="5" t="str">
        <f>IFERROR(__xludf.DUMMYFUNCTION("GOOGLETRANSLATE(B17314,""en"",""de"")"),"Der Zuschauer verweist auf seinen Kopf und der Turner tut auch mit seinem eigenen Kopf dasselbe.")</f>
        <v>Der Zuschauer verweist auf seinen Kopf und der Turner tut auch mit seinem eigenen Kopf dasselbe.</v>
      </c>
    </row>
    <row r="17315">
      <c r="A17315" s="4" t="s">
        <v>21789</v>
      </c>
      <c r="B17315" s="4" t="s">
        <v>21798</v>
      </c>
      <c r="C17315" s="5" t="str">
        <f>IFERROR(__xludf.DUMMYFUNCTION("GOOGLETRANSLATE(B17315,""en"",""de"")"),"Der Turner spricht erneut mit der Kamera und erklärt erneut, was während dieser Routine passiert ist.")</f>
        <v>Der Turner spricht erneut mit der Kamera und erklärt erneut, was während dieser Routine passiert ist.</v>
      </c>
    </row>
    <row r="17316">
      <c r="A17316" s="4" t="s">
        <v>21789</v>
      </c>
      <c r="B17316" s="4" t="s">
        <v>21799</v>
      </c>
      <c r="C17316" s="5" t="str">
        <f>IFERROR(__xludf.DUMMYFUNCTION("GOOGLETRANSLATE(B17316,""en"",""de"")"),"Ein kleines Video taucht in der unteren rechten Wiederholung auf, in dem er fällt.")</f>
        <v>Ein kleines Video taucht in der unteren rechten Wiederholung auf, in dem er fällt.</v>
      </c>
    </row>
    <row r="17317">
      <c r="A17317" s="4" t="s">
        <v>21789</v>
      </c>
      <c r="B17317" s="4" t="s">
        <v>21800</v>
      </c>
      <c r="C17317" s="5" t="str">
        <f>IFERROR(__xludf.DUMMYFUNCTION("GOOGLETRANSLATE(B17317,""en"",""de"")"),"Er fängt wieder an, über die Matte zu flippen.")</f>
        <v>Er fängt wieder an, über die Matte zu flippen.</v>
      </c>
    </row>
    <row r="17318">
      <c r="A17318" s="4" t="s">
        <v>21789</v>
      </c>
      <c r="B17318" s="4" t="s">
        <v>21801</v>
      </c>
      <c r="C17318" s="5" t="str">
        <f>IFERROR(__xludf.DUMMYFUNCTION("GOOGLETRANSLATE(B17318,""en"",""de"")"),"Der Mann steht neben ein paar anderen Jungs, er springt in die Luft und macht einige Tritte.")</f>
        <v>Der Mann steht neben ein paar anderen Jungs, er springt in die Luft und macht einige Tritte.</v>
      </c>
    </row>
    <row r="17319">
      <c r="A17319" s="4" t="s">
        <v>21789</v>
      </c>
      <c r="B17319" s="4" t="s">
        <v>21802</v>
      </c>
      <c r="C17319" s="5" t="str">
        <f>IFERROR(__xludf.DUMMYFUNCTION("GOOGLETRANSLATE(B17319,""en"",""de"")"),"Jetzt macht er Rückenflips über die Matte.")</f>
        <v>Jetzt macht er Rückenflips über die Matte.</v>
      </c>
    </row>
    <row r="17320">
      <c r="A17320" s="4" t="s">
        <v>21789</v>
      </c>
      <c r="B17320" s="4" t="s">
        <v>21803</v>
      </c>
      <c r="C17320" s="5" t="str">
        <f>IFERROR(__xludf.DUMMYFUNCTION("GOOGLETRANSLATE(B17320,""en"",""de"")"),"Er übergeht von einem Vorwärtsflip zum Rückflippen.")</f>
        <v>Er übergeht von einem Vorwärtsflip zum Rückflippen.</v>
      </c>
    </row>
    <row r="17321">
      <c r="A17321" s="4" t="s">
        <v>21789</v>
      </c>
      <c r="B17321" s="4" t="s">
        <v>21804</v>
      </c>
      <c r="C17321" s="5" t="str">
        <f>IFERROR(__xludf.DUMMYFUNCTION("GOOGLETRANSLATE(B17321,""en"",""de"")"),"Jetzt steht er auf der Seitenlinie und macht sich bereit, Flips zu machen.")</f>
        <v>Jetzt steht er auf der Seitenlinie und macht sich bereit, Flips zu machen.</v>
      </c>
    </row>
    <row r="17322">
      <c r="A17322" s="4" t="s">
        <v>21789</v>
      </c>
      <c r="B17322" s="4" t="s">
        <v>21805</v>
      </c>
      <c r="C17322" s="5" t="str">
        <f>IFERROR(__xludf.DUMMYFUNCTION("GOOGLETRANSLATE(B17322,""en"",""de"")"),"Er macht noch ein paar Flips und landet auf der roten Matte.")</f>
        <v>Er macht noch ein paar Flips und landet auf der roten Matte.</v>
      </c>
    </row>
    <row r="17323">
      <c r="A17323" s="4" t="s">
        <v>21789</v>
      </c>
      <c r="B17323" s="4" t="s">
        <v>21806</v>
      </c>
      <c r="C17323" s="5" t="str">
        <f>IFERROR(__xludf.DUMMYFUNCTION("GOOGLETRANSLATE(B17323,""en"",""de"")"),"Jetzt dreht er sich wieder und kehrt um und beginnt in die andere Richtung umzudrehen.")</f>
        <v>Jetzt dreht er sich wieder und kehrt um und beginnt in die andere Richtung umzudrehen.</v>
      </c>
    </row>
    <row r="17324">
      <c r="A17324" s="4" t="s">
        <v>21789</v>
      </c>
      <c r="B17324" s="4" t="s">
        <v>21807</v>
      </c>
      <c r="C17324" s="5" t="str">
        <f>IFERROR(__xludf.DUMMYFUNCTION("GOOGLETRANSLATE(B17324,""en"",""de"")"),"Diesmal trägt er ein gelbes Hemd und beginnt mit einem Tritt und fängt dann nach rückwärts zu.")</f>
        <v>Diesmal trägt er ein gelbes Hemd und beginnt mit einem Tritt und fängt dann nach rückwärts zu.</v>
      </c>
    </row>
    <row r="17325">
      <c r="A17325" s="4" t="s">
        <v>21789</v>
      </c>
      <c r="B17325" s="4" t="s">
        <v>21808</v>
      </c>
      <c r="C17325" s="5" t="str">
        <f>IFERROR(__xludf.DUMMYFUNCTION("GOOGLETRANSLATE(B17325,""en"",""de"")"),"Jetzt geht er langsam über die Matte.")</f>
        <v>Jetzt geht er langsam über die Matte.</v>
      </c>
    </row>
    <row r="17326">
      <c r="A17326" s="4" t="s">
        <v>21809</v>
      </c>
      <c r="B17326" s="4" t="s">
        <v>21810</v>
      </c>
      <c r="C17326" s="5" t="str">
        <f>IFERROR(__xludf.DUMMYFUNCTION("GOOGLETRANSLATE(B17326,""en"",""de"")"),"Ein Mann steht auf einem großen Feld, das verschiedene Hundetrips mit einem Hund ausführt.")</f>
        <v>Ein Mann steht auf einem großen Feld, das verschiedene Hundetrips mit einem Hund ausführt.</v>
      </c>
    </row>
    <row r="17327">
      <c r="A17327" s="4" t="s">
        <v>21809</v>
      </c>
      <c r="B17327" s="4" t="s">
        <v>21811</v>
      </c>
      <c r="C17327" s="5" t="str">
        <f>IFERROR(__xludf.DUMMYFUNCTION("GOOGLETRANSLATE(B17327,""en"",""de"")"),"Eine andere Person beobachtet in der Ferne, wie der Mann und der Hund weiterhin Tricks ausführen und der Hund rundum rennt.")</f>
        <v>Eine andere Person beobachtet in der Ferne, wie der Mann und der Hund weiterhin Tricks ausführen und der Hund rundum rennt.</v>
      </c>
    </row>
    <row r="17328">
      <c r="A17328" s="4" t="s">
        <v>21812</v>
      </c>
      <c r="B17328" s="4" t="s">
        <v>21813</v>
      </c>
      <c r="C17328" s="5" t="str">
        <f>IFERROR(__xludf.DUMMYFUNCTION("GOOGLETRANSLATE(B17328,""en"",""de"")"),"Ein Mann schaut sich um und packt sein Gesicht.")</f>
        <v>Ein Mann schaut sich um und packt sein Gesicht.</v>
      </c>
    </row>
    <row r="17329">
      <c r="A17329" s="4" t="s">
        <v>21812</v>
      </c>
      <c r="B17329" s="4" t="s">
        <v>21814</v>
      </c>
      <c r="C17329" s="5" t="str">
        <f>IFERROR(__xludf.DUMMYFUNCTION("GOOGLETRANSLATE(B17329,""en"",""de"")"),"Er legt ein Handtuch über sein Gesicht.")</f>
        <v>Er legt ein Handtuch über sein Gesicht.</v>
      </c>
    </row>
    <row r="17330">
      <c r="A17330" s="4" t="s">
        <v>21812</v>
      </c>
      <c r="B17330" s="4" t="s">
        <v>21815</v>
      </c>
      <c r="C17330" s="5" t="str">
        <f>IFERROR(__xludf.DUMMYFUNCTION("GOOGLETRANSLATE(B17330,""en"",""de"")"),"Der Mann zeigt eine Rasiereinheit und einen Balsam.")</f>
        <v>Der Mann zeigt eine Rasiereinheit und einen Balsam.</v>
      </c>
    </row>
    <row r="17331">
      <c r="A17331" s="4" t="s">
        <v>21812</v>
      </c>
      <c r="B17331" s="4" t="s">
        <v>21816</v>
      </c>
      <c r="C17331" s="5" t="str">
        <f>IFERROR(__xludf.DUMMYFUNCTION("GOOGLETRANSLATE(B17331,""en"",""de"")"),"Er zeigt eine Schüssel und wackelt die Rasierbürste um sie herum.")</f>
        <v>Er zeigt eine Schüssel und wackelt die Rasierbürste um sie herum.</v>
      </c>
    </row>
    <row r="17332">
      <c r="A17332" s="4" t="s">
        <v>21812</v>
      </c>
      <c r="B17332" s="4" t="s">
        <v>21817</v>
      </c>
      <c r="C17332" s="5" t="str">
        <f>IFERROR(__xludf.DUMMYFUNCTION("GOOGLETRANSLATE(B17332,""en"",""de"")"),"Der Mann setzt Rasiercreme über sein Gesicht mit seiner Rasierpinsel auf sein Gesicht.")</f>
        <v>Der Mann setzt Rasiercreme über sein Gesicht mit seiner Rasierpinsel auf sein Gesicht.</v>
      </c>
    </row>
    <row r="17333">
      <c r="A17333" s="4" t="s">
        <v>21812</v>
      </c>
      <c r="B17333" s="4" t="s">
        <v>21818</v>
      </c>
      <c r="C17333" s="5" t="str">
        <f>IFERROR(__xludf.DUMMYFUNCTION("GOOGLETRANSLATE(B17333,""en"",""de"")"),"Er nimmt einen Rasierer und rasiert.")</f>
        <v>Er nimmt einen Rasierer und rasiert.</v>
      </c>
    </row>
    <row r="17334">
      <c r="A17334" s="4" t="s">
        <v>21812</v>
      </c>
      <c r="B17334" s="4" t="s">
        <v>21819</v>
      </c>
      <c r="C17334" s="5" t="str">
        <f>IFERROR(__xludf.DUMMYFUNCTION("GOOGLETRANSLATE(B17334,""en"",""de"")"),"Er schnappt sich wieder die Schüssel und wackelt die Rasierbürste um die Innenseite.")</f>
        <v>Er schnappt sich wieder die Schüssel und wackelt die Rasierbürste um die Innenseite.</v>
      </c>
    </row>
    <row r="17335">
      <c r="A17335" s="4" t="s">
        <v>21812</v>
      </c>
      <c r="B17335" s="4" t="s">
        <v>21820</v>
      </c>
      <c r="C17335" s="5" t="str">
        <f>IFERROR(__xludf.DUMMYFUNCTION("GOOGLETRANSLATE(B17335,""en"",""de"")"),"Er schlägt Rasiercreme über sein Gesicht.")</f>
        <v>Er schlägt Rasiercreme über sein Gesicht.</v>
      </c>
    </row>
    <row r="17336">
      <c r="A17336" s="4" t="s">
        <v>21812</v>
      </c>
      <c r="B17336" s="4" t="s">
        <v>21821</v>
      </c>
      <c r="C17336" s="5" t="str">
        <f>IFERROR(__xludf.DUMMYFUNCTION("GOOGLETRANSLATE(B17336,""en"",""de"")"),"Er rasiert noch einmal sein Gesicht.")</f>
        <v>Er rasiert noch einmal sein Gesicht.</v>
      </c>
    </row>
    <row r="17337">
      <c r="A17337" s="4" t="s">
        <v>21812</v>
      </c>
      <c r="B17337" s="4" t="s">
        <v>21822</v>
      </c>
      <c r="C17337" s="5" t="str">
        <f>IFERROR(__xludf.DUMMYFUNCTION("GOOGLETRANSLATE(B17337,""en"",""de"")"),"Er spritzt sein Gesicht und trocknet es mit einem lila Handtuch.")</f>
        <v>Er spritzt sein Gesicht und trocknet es mit einem lila Handtuch.</v>
      </c>
    </row>
    <row r="17338">
      <c r="A17338" s="4" t="s">
        <v>21812</v>
      </c>
      <c r="B17338" s="4" t="s">
        <v>21823</v>
      </c>
      <c r="C17338" s="5" t="str">
        <f>IFERROR(__xludf.DUMMYFUNCTION("GOOGLETRANSLATE(B17338,""en"",""de"")"),"Er reibt ein Öl über sein Gesicht und zeigt aufgeregt seine Muskeln.")</f>
        <v>Er reibt ein Öl über sein Gesicht und zeigt aufgeregt seine Muskeln.</v>
      </c>
    </row>
    <row r="17339">
      <c r="A17339" s="4" t="s">
        <v>21824</v>
      </c>
      <c r="B17339" s="4" t="s">
        <v>21825</v>
      </c>
      <c r="C17339" s="5" t="str">
        <f>IFERROR(__xludf.DUMMYFUNCTION("GOOGLETRANSLATE(B17339,""en"",""de"")"),"Ein Mann im roten Turban steht in einer Küche.")</f>
        <v>Ein Mann im roten Turban steht in einer Küche.</v>
      </c>
    </row>
    <row r="17340">
      <c r="A17340" s="4" t="s">
        <v>21824</v>
      </c>
      <c r="B17340" s="4" t="s">
        <v>21826</v>
      </c>
      <c r="C17340" s="5" t="str">
        <f>IFERROR(__xludf.DUMMYFUNCTION("GOOGLETRANSLATE(B17340,""en"",""de"")"),"Er gießt einige Zutaten in ein Glas.")</f>
        <v>Er gießt einige Zutaten in ein Glas.</v>
      </c>
    </row>
    <row r="17341">
      <c r="A17341" s="4" t="s">
        <v>21824</v>
      </c>
      <c r="B17341" s="4" t="s">
        <v>21827</v>
      </c>
      <c r="C17341" s="5" t="str">
        <f>IFERROR(__xludf.DUMMYFUNCTION("GOOGLETRANSLATE(B17341,""en"",""de"")"),"Er erklärt seine Methoden, die einen Löffel halten.")</f>
        <v>Er erklärt seine Methoden, die einen Löffel halten.</v>
      </c>
    </row>
    <row r="17342">
      <c r="A17342" s="4" t="s">
        <v>21824</v>
      </c>
      <c r="B17342" s="4" t="s">
        <v>21828</v>
      </c>
      <c r="C17342" s="5" t="str">
        <f>IFERROR(__xludf.DUMMYFUNCTION("GOOGLETRANSLATE(B17342,""en"",""de"")"),"Dann beendet er das Getränk mit einer Beilage.")</f>
        <v>Dann beendet er das Getränk mit einer Beilage.</v>
      </c>
    </row>
    <row r="17343">
      <c r="A17343" s="4" t="s">
        <v>21829</v>
      </c>
      <c r="B17343" s="4" t="s">
        <v>21830</v>
      </c>
      <c r="C17343" s="5" t="str">
        <f>IFERROR(__xludf.DUMMYFUNCTION("GOOGLETRANSLATE(B17343,""en"",""de"")"),"Eine Nahaufnahme eines Meeresbodens wird ebenso gezeigt, wie ein Taucher und Fisch herumschwimmen.")</f>
        <v>Eine Nahaufnahme eines Meeresbodens wird ebenso gezeigt, wie ein Taucher und Fisch herumschwimmen.</v>
      </c>
    </row>
    <row r="17344">
      <c r="A17344" s="4" t="s">
        <v>21829</v>
      </c>
      <c r="B17344" s="4" t="s">
        <v>21831</v>
      </c>
      <c r="C17344" s="5" t="str">
        <f>IFERROR(__xludf.DUMMYFUNCTION("GOOGLETRANSLATE(B17344,""en"",""de"")"),"Die Kamera fängt weiterhin den Boden des Bodens sowie mehrere Fisch- und Bodenfutterhäuschen auf dem Boden auf.")</f>
        <v>Die Kamera fängt weiterhin den Boden des Bodens sowie mehrere Fisch- und Bodenfutterhäuschen auf dem Boden auf.</v>
      </c>
    </row>
    <row r="17345">
      <c r="A17345" s="4" t="s">
        <v>21829</v>
      </c>
      <c r="B17345" s="4" t="s">
        <v>21832</v>
      </c>
      <c r="C17345" s="5" t="str">
        <f>IFERROR(__xludf.DUMMYFUNCTION("GOOGLETRANSLATE(B17345,""en"",""de"")"),"Der Taucher bewegt eine Taschenlampe herum, um den Boden festzuhalten, und beobachtet, wie sich die Wildtiere bewegt.")</f>
        <v>Der Taucher bewegt eine Taschenlampe herum, um den Boden festzuhalten, und beobachtet, wie sich die Wildtiere bewegt.</v>
      </c>
    </row>
    <row r="17346">
      <c r="A17346" s="4" t="s">
        <v>21833</v>
      </c>
      <c r="B17346" s="4" t="s">
        <v>21834</v>
      </c>
      <c r="C17346" s="5" t="str">
        <f>IFERROR(__xludf.DUMMYFUNCTION("GOOGLETRANSLATE(B17346,""en"",""de"")"),"Ein Mann geht mit Stelzen auf dem Gras.")</f>
        <v>Ein Mann geht mit Stelzen auf dem Gras.</v>
      </c>
    </row>
    <row r="17347">
      <c r="A17347" s="4" t="s">
        <v>21833</v>
      </c>
      <c r="B17347" s="4" t="s">
        <v>21835</v>
      </c>
      <c r="C17347" s="5" t="str">
        <f>IFERROR(__xludf.DUMMYFUNCTION("GOOGLETRANSLATE(B17347,""en"",""de"")"),"Die Leute beobachten ihn neben einem Teich.")</f>
        <v>Die Leute beobachten ihn neben einem Teich.</v>
      </c>
    </row>
    <row r="17348">
      <c r="A17348" s="4" t="s">
        <v>21833</v>
      </c>
      <c r="B17348" s="4" t="s">
        <v>21836</v>
      </c>
      <c r="C17348" s="5" t="str">
        <f>IFERROR(__xludf.DUMMYFUNCTION("GOOGLETRANSLATE(B17348,""en"",""de"")"),"Er geht weiter auf dem Gras zu den Menschen.")</f>
        <v>Er geht weiter auf dem Gras zu den Menschen.</v>
      </c>
    </row>
    <row r="17349">
      <c r="A17349" s="4" t="s">
        <v>21837</v>
      </c>
      <c r="B17349" s="4" t="s">
        <v>21838</v>
      </c>
      <c r="C17349" s="5" t="str">
        <f>IFERROR(__xludf.DUMMYFUNCTION("GOOGLETRANSLATE(B17349,""en"",""de"")"),"Eine Nahaufnahme eines Gemäldes wird angezeigt, gefolgt von einem Pinsel, der in Farbe eintaucht und sich entlang des Bildes bewegt.")</f>
        <v>Eine Nahaufnahme eines Gemäldes wird angezeigt, gefolgt von einem Pinsel, der in Farbe eintaucht und sich entlang des Bildes bewegt.</v>
      </c>
    </row>
    <row r="17350">
      <c r="A17350" s="4" t="s">
        <v>21837</v>
      </c>
      <c r="B17350" s="4" t="s">
        <v>21839</v>
      </c>
      <c r="C17350" s="5" t="str">
        <f>IFERROR(__xludf.DUMMYFUNCTION("GOOGLETRANSLATE(B17350,""en"",""de"")"),"Die Person malt weiterhin Büsche im Bild und endet mit Credits, die über dem Bildschirm rollen.")</f>
        <v>Die Person malt weiterhin Büsche im Bild und endet mit Credits, die über dem Bildschirm rollen.</v>
      </c>
    </row>
    <row r="17351">
      <c r="A17351" s="4" t="s">
        <v>21840</v>
      </c>
      <c r="B17351" s="4" t="s">
        <v>21841</v>
      </c>
      <c r="C17351" s="5" t="str">
        <f>IFERROR(__xludf.DUMMYFUNCTION("GOOGLETRANSLATE(B17351,""en"",""de"")"),"Eine Nahaufnahme von Kartoffeln wird von einer Frau gezeigt, die mit der Kamera spricht.")</f>
        <v>Eine Nahaufnahme von Kartoffeln wird von einer Frau gezeigt, die mit der Kamera spricht.</v>
      </c>
    </row>
    <row r="17352">
      <c r="A17352" s="4" t="s">
        <v>21840</v>
      </c>
      <c r="B17352" s="4" t="s">
        <v>21842</v>
      </c>
      <c r="C17352" s="5" t="str">
        <f>IFERROR(__xludf.DUMMYFUNCTION("GOOGLETRANSLATE(B17352,""en"",""de"")"),"Die Frau zeigt auf einen Topf und beginnt dann, die Kartoffeln zu schälen und sie in einen Topf zu setzen.")</f>
        <v>Die Frau zeigt auf einen Topf und beginnt dann, die Kartoffeln zu schälen und sie in einen Topf zu setzen.</v>
      </c>
    </row>
    <row r="17353">
      <c r="A17353" s="4" t="s">
        <v>21840</v>
      </c>
      <c r="B17353" s="4" t="s">
        <v>21843</v>
      </c>
      <c r="C17353" s="5" t="str">
        <f>IFERROR(__xludf.DUMMYFUNCTION("GOOGLETRANSLATE(B17353,""en"",""de"")"),"Sie mischt es mit Salz und taucht die Kartoffeln in Eiswasser ein und beobachtet, wie sie das Peeling beenden.")</f>
        <v>Sie mischt es mit Salz und taucht die Kartoffeln in Eiswasser ein und beobachtet, wie sie das Peeling beenden.</v>
      </c>
    </row>
    <row r="17354">
      <c r="A17354" s="4" t="s">
        <v>21844</v>
      </c>
      <c r="B17354" s="4" t="s">
        <v>21845</v>
      </c>
      <c r="C17354" s="5" t="str">
        <f>IFERROR(__xludf.DUMMYFUNCTION("GOOGLETRANSLATE(B17354,""en"",""de"")"),"Eine Frau wird gesehen, wie sie in die Ferne schaut, gefolgt von Schüssen ihres Reitens und in die Ferne.")</f>
        <v>Eine Frau wird gesehen, wie sie in die Ferne schaut, gefolgt von Schüssen ihres Reitens und in die Ferne.</v>
      </c>
    </row>
    <row r="17355">
      <c r="A17355" s="4" t="s">
        <v>21844</v>
      </c>
      <c r="B17355" s="4" t="s">
        <v>21846</v>
      </c>
      <c r="C17355" s="5" t="str">
        <f>IFERROR(__xludf.DUMMYFUNCTION("GOOGLETRANSLATE(B17355,""en"",""de"")"),"Die Frau reitet weiter auf dem Pferd herum und endet damit, dass sie weggeht und zur Kamera winkt.")</f>
        <v>Die Frau reitet weiter auf dem Pferd herum und endet damit, dass sie weggeht und zur Kamera winkt.</v>
      </c>
    </row>
    <row r="17356">
      <c r="A17356" s="4" t="s">
        <v>21847</v>
      </c>
      <c r="B17356" s="4" t="s">
        <v>21848</v>
      </c>
      <c r="C17356" s="5" t="str">
        <f>IFERROR(__xludf.DUMMYFUNCTION("GOOGLETRANSLATE(B17356,""en"",""de"")"),"Ein weiblicher Gewichtheber versucht, eine Reihe von Gewichten zu heben.")</f>
        <v>Ein weiblicher Gewichtheber versucht, eine Reihe von Gewichten zu heben.</v>
      </c>
    </row>
    <row r="17357">
      <c r="A17357" s="4" t="s">
        <v>21847</v>
      </c>
      <c r="B17357" s="4" t="s">
        <v>21849</v>
      </c>
      <c r="C17357" s="5" t="str">
        <f>IFERROR(__xludf.DUMMYFUNCTION("GOOGLETRANSLATE(B17357,""en"",""de"")"),"Sie hebt sich langsam an den Knien.")</f>
        <v>Sie hebt sich langsam an den Knien.</v>
      </c>
    </row>
    <row r="17358">
      <c r="A17358" s="4" t="s">
        <v>21847</v>
      </c>
      <c r="B17358" s="4" t="s">
        <v>21850</v>
      </c>
      <c r="C17358" s="5" t="str">
        <f>IFERROR(__xludf.DUMMYFUNCTION("GOOGLETRANSLATE(B17358,""en"",""de"")"),"Sie hebt die Bar zu ihrer Brust und hielt inne.")</f>
        <v>Sie hebt die Bar zu ihrer Brust und hielt inne.</v>
      </c>
    </row>
    <row r="17359">
      <c r="A17359" s="4" t="s">
        <v>21847</v>
      </c>
      <c r="B17359" s="4" t="s">
        <v>21851</v>
      </c>
      <c r="C17359" s="5" t="str">
        <f>IFERROR(__xludf.DUMMYFUNCTION("GOOGLETRANSLATE(B17359,""en"",""de"")"),"Sie hebt es dann über ihren Kopf, bevor sie sich darunter hockt.")</f>
        <v>Sie hebt es dann über ihren Kopf, bevor sie sich darunter hockt.</v>
      </c>
    </row>
    <row r="17360">
      <c r="A17360" s="4" t="s">
        <v>21852</v>
      </c>
      <c r="B17360" s="4" t="s">
        <v>21853</v>
      </c>
      <c r="C17360" s="5" t="str">
        <f>IFERROR(__xludf.DUMMYFUNCTION("GOOGLETRANSLATE(B17360,""en"",""de"")"),"Zwei Menschen stehen im Rampenlicht von Angesicht zu Angesicht.")</f>
        <v>Zwei Menschen stehen im Rampenlicht von Angesicht zu Angesicht.</v>
      </c>
    </row>
    <row r="17361">
      <c r="A17361" s="4" t="s">
        <v>21852</v>
      </c>
      <c r="B17361" s="4" t="s">
        <v>21854</v>
      </c>
      <c r="C17361" s="5" t="str">
        <f>IFERROR(__xludf.DUMMYFUNCTION("GOOGLETRANSLATE(B17361,""en"",""de"")"),"Der Mann, der einen schwarzen und weißen Anzug trägt, simuliert der Frau, die ein Kleid rechts trägt, einen Schlag.")</f>
        <v>Der Mann, der einen schwarzen und weißen Anzug trägt, simuliert der Frau, die ein Kleid rechts trägt, einen Schlag.</v>
      </c>
    </row>
    <row r="17362">
      <c r="A17362" s="4" t="s">
        <v>21852</v>
      </c>
      <c r="B17362" s="4" t="s">
        <v>21855</v>
      </c>
      <c r="C17362" s="5" t="str">
        <f>IFERROR(__xludf.DUMMYFUNCTION("GOOGLETRANSLATE(B17362,""en"",""de"")"),"Ein Mann, der ein schwarzes Tank -Top trägt, richtet sich sofort ins Rampenlicht, um zwischen den beiden zu stehen, und alle beginnen zu tanzen, während der Raum beleuchtet ist, um einen großen Tanzbereich mit Menschen im Publikum zu zeigen, die sie beoba"&amp;"chten.")</f>
        <v>Ein Mann, der ein schwarzes Tank -Top trägt, richtet sich sofort ins Rampenlicht, um zwischen den beiden zu stehen, und alle beginnen zu tanzen, während der Raum beleuchtet ist, um einen großen Tanzbereich mit Menschen im Publikum zu zeigen, die sie beobachten.</v>
      </c>
    </row>
    <row r="17363">
      <c r="A17363" s="4" t="s">
        <v>21852</v>
      </c>
      <c r="B17363" s="4" t="s">
        <v>21856</v>
      </c>
      <c r="C17363" s="5" t="str">
        <f>IFERROR(__xludf.DUMMYFUNCTION("GOOGLETRANSLATE(B17363,""en"",""de"")"),"Die drei tanzen weiter, bis der Mann im schwarzen Tanktop die Frau aufnimmt und sie zu Boden wirft und die Tanzfläche verlässt.")</f>
        <v>Die drei tanzen weiter, bis der Mann im schwarzen Tanktop die Frau aufnimmt und sie zu Boden wirft und die Tanzfläche verlässt.</v>
      </c>
    </row>
    <row r="17364">
      <c r="A17364" s="4" t="s">
        <v>21852</v>
      </c>
      <c r="B17364" s="4" t="s">
        <v>21857</v>
      </c>
      <c r="C17364" s="5" t="str">
        <f>IFERROR(__xludf.DUMMYFUNCTION("GOOGLETRANSLATE(B17364,""en"",""de"")"),"Der Mann im Anzug und die Frau tanzen weiterhin alleine.")</f>
        <v>Der Mann im Anzug und die Frau tanzen weiterhin alleine.</v>
      </c>
    </row>
    <row r="17365">
      <c r="A17365" s="4" t="s">
        <v>21852</v>
      </c>
      <c r="B17365" s="4" t="s">
        <v>21858</v>
      </c>
      <c r="C17365" s="5" t="str">
        <f>IFERROR(__xludf.DUMMYFUNCTION("GOOGLETRANSLATE(B17365,""en"",""de"")"),"Der Mann im Tanktop kehrt auf die Tanzfläche zurück und versucht, den Mann in den Anzug zu schlagen, aber der Mann im Anzug weicht den Schlag aus und schiebt den Mann in das Tanktop aus der Tanzfläche.")</f>
        <v>Der Mann im Tanktop kehrt auf die Tanzfläche zurück und versucht, den Mann in den Anzug zu schlagen, aber der Mann im Anzug weicht den Schlag aus und schiebt den Mann in das Tanktop aus der Tanzfläche.</v>
      </c>
    </row>
    <row r="17366">
      <c r="A17366" s="4" t="s">
        <v>21852</v>
      </c>
      <c r="B17366" s="4" t="s">
        <v>21859</v>
      </c>
      <c r="C17366" s="5" t="str">
        <f>IFERROR(__xludf.DUMMYFUNCTION("GOOGLETRANSLATE(B17366,""en"",""de"")"),"Der Mann im Anzug und die Frau im Kleid tanzt weiterhin alleine und sie enden dramatisch in einer Pose mit dem Rücken auf dem Boden und der Mann schwebt über ihr.")</f>
        <v>Der Mann im Anzug und die Frau im Kleid tanzt weiterhin alleine und sie enden dramatisch in einer Pose mit dem Rücken auf dem Boden und der Mann schwebt über ihr.</v>
      </c>
    </row>
    <row r="17367">
      <c r="A17367" s="4" t="s">
        <v>21860</v>
      </c>
      <c r="B17367" s="4" t="s">
        <v>21861</v>
      </c>
      <c r="C17367" s="5" t="str">
        <f>IFERROR(__xludf.DUMMYFUNCTION("GOOGLETRANSLATE(B17367,""en"",""de"")"),"Ein blondes sportliches Mädchen mit ernstem Gesicht hat ihre Hände alle kreidet und steht neben einem Holzbalkenstrahl, der in einem schwarz -weißen dekorierten Bodysuit gekleidet ist, und das Banner auf dem Bildschirm, sagt, ist Shawn Johnson 1. Platz Na"&amp;"ch 2. Rotation.")</f>
        <v>Ein blondes sportliches Mädchen mit ernstem Gesicht hat ihre Hände alle kreidet und steht neben einem Holzbalkenstrahl, der in einem schwarz -weißen dekorierten Bodysuit gekleidet ist, und das Banner auf dem Bildschirm, sagt, ist Shawn Johnson 1. Platz Nach 2. Rotation.</v>
      </c>
    </row>
    <row r="17368">
      <c r="A17368" s="4" t="s">
        <v>21860</v>
      </c>
      <c r="B17368" s="4" t="s">
        <v>21862</v>
      </c>
      <c r="C17368" s="5" t="str">
        <f>IFERROR(__xludf.DUMMYFUNCTION("GOOGLETRANSLATE(B17368,""en"",""de"")"),"Das Mädchen reibt sich ein paar Mal die Hände zusammen, das Publikum klatscht, sie lächelt und hebt ihre zwei Arme in der Luft, lächelt, dreht sich zum Pferd und rennt und springt, bis sie auf dem Balancestrahl landet.")</f>
        <v>Das Mädchen reibt sich ein paar Mal die Hände zusammen, das Publikum klatscht, sie lächelt und hebt ihre zwei Arme in der Luft, lächelt, dreht sich zum Pferd und rennt und springt, bis sie auf dem Balancestrahl landet.</v>
      </c>
    </row>
    <row r="17369">
      <c r="A17369" s="4" t="s">
        <v>21860</v>
      </c>
      <c r="B17369" s="4" t="s">
        <v>21863</v>
      </c>
      <c r="C17369" s="5" t="str">
        <f>IFERROR(__xludf.DUMMYFUNCTION("GOOGLETRANSLATE(B17369,""en"",""de"")"),"Das Mädchen beginnt sofort ihre Routine und es umfasst viele Flips, Gehen, Wirbel, Handbewegungen, Spins und etcetera.")</f>
        <v>Das Mädchen beginnt sofort ihre Routine und es umfasst viele Flips, Gehen, Wirbel, Handbewegungen, Spins und etcetera.</v>
      </c>
    </row>
    <row r="17370">
      <c r="A17370" s="4" t="s">
        <v>21860</v>
      </c>
      <c r="B17370" s="4" t="s">
        <v>21864</v>
      </c>
      <c r="C17370" s="5" t="str">
        <f>IFERROR(__xludf.DUMMYFUNCTION("GOOGLETRANSLATE(B17370,""en"",""de"")"),"Das Mädchen geht zum am weitesten entfernten Ende des Balancestrahls, starr Die Menge jubelt.")</f>
        <v>Das Mädchen geht zum am weitesten entfernten Ende des Balancestrahls, starr Die Menge jubelt.</v>
      </c>
    </row>
    <row r="17371">
      <c r="A17371" s="4" t="s">
        <v>21865</v>
      </c>
      <c r="B17371" s="4" t="s">
        <v>21866</v>
      </c>
      <c r="C17371" s="5" t="str">
        <f>IFERROR(__xludf.DUMMYFUNCTION("GOOGLETRANSLATE(B17371,""en"",""de"")"),"Ein Ochse wird von einem Trainer auf einem Stadtplatz gehalten.")</f>
        <v>Ein Ochse wird von einem Trainer auf einem Stadtplatz gehalten.</v>
      </c>
    </row>
    <row r="17372">
      <c r="A17372" s="4" t="s">
        <v>21865</v>
      </c>
      <c r="B17372" s="4" t="s">
        <v>21867</v>
      </c>
      <c r="C17372" s="5" t="str">
        <f>IFERROR(__xludf.DUMMYFUNCTION("GOOGLETRANSLATE(B17372,""en"",""de"")"),"Zwei Ochsen Duell mit Hörnern in einem Corral, während Trainer sie leiten.")</f>
        <v>Zwei Ochsen Duell mit Hörnern in einem Corral, während Trainer sie leiten.</v>
      </c>
    </row>
    <row r="17373">
      <c r="A17373" s="4" t="s">
        <v>21865</v>
      </c>
      <c r="B17373" s="4" t="s">
        <v>21868</v>
      </c>
      <c r="C17373" s="5" t="str">
        <f>IFERROR(__xludf.DUMMYFUNCTION("GOOGLETRANSLATE(B17373,""en"",""de"")"),"Die Ochsenladung an den Trainern, die sich gegen die Wand stellten.")</f>
        <v>Die Ochsenladung an den Trainern, die sich gegen die Wand stellten.</v>
      </c>
    </row>
    <row r="17374">
      <c r="A17374" s="4" t="s">
        <v>21865</v>
      </c>
      <c r="B17374" s="4" t="s">
        <v>21869</v>
      </c>
      <c r="C17374" s="5" t="str">
        <f>IFERROR(__xludf.DUMMYFUNCTION("GOOGLETRANSLATE(B17374,""en"",""de"")"),"Die Zuschauer beobachten und gehen während der Veranstaltung auf den Tribünen.")</f>
        <v>Die Zuschauer beobachten und gehen während der Veranstaltung auf den Tribünen.</v>
      </c>
    </row>
    <row r="17375">
      <c r="A17375" s="4" t="s">
        <v>21870</v>
      </c>
      <c r="B17375" s="4" t="s">
        <v>21871</v>
      </c>
      <c r="C17375" s="5" t="str">
        <f>IFERROR(__xludf.DUMMYFUNCTION("GOOGLETRANSLATE(B17375,""en"",""de"")"),"Die Leute trainieren in einem Raum, der auf einen Stiefhocker tritt.")</f>
        <v>Die Leute trainieren in einem Raum, der auf einen Stiefhocker tritt.</v>
      </c>
    </row>
    <row r="17376">
      <c r="A17376" s="4" t="s">
        <v>21870</v>
      </c>
      <c r="B17376" s="4" t="s">
        <v>21872</v>
      </c>
      <c r="C17376" s="5" t="str">
        <f>IFERROR(__xludf.DUMMYFUNCTION("GOOGLETRANSLATE(B17376,""en"",""de"")"),"Ein Mann in einem weißen Hemd führt die Gruppe an.")</f>
        <v>Ein Mann in einem weißen Hemd führt die Gruppe an.</v>
      </c>
    </row>
    <row r="17377">
      <c r="A17377" s="4" t="s">
        <v>21870</v>
      </c>
      <c r="B17377" s="4" t="s">
        <v>21873</v>
      </c>
      <c r="C17377" s="5" t="str">
        <f>IFERROR(__xludf.DUMMYFUNCTION("GOOGLETRANSLATE(B17377,""en"",""de"")"),"Dann geht er hinter der Kamera.")</f>
        <v>Dann geht er hinter der Kamera.</v>
      </c>
    </row>
    <row r="17378">
      <c r="A17378" s="4" t="s">
        <v>21874</v>
      </c>
      <c r="B17378" s="4" t="s">
        <v>21875</v>
      </c>
      <c r="C17378" s="5" t="str">
        <f>IFERROR(__xludf.DUMMYFUNCTION("GOOGLETRANSLATE(B17378,""en"",""de"")"),"Eine Reihe von Athleten wird gezeigt, die vor einer Menge an einem Discus -Wurfwettbewerb teilnehmen.")</f>
        <v>Eine Reihe von Athleten wird gezeigt, die vor einer Menge an einem Discus -Wurfwettbewerb teilnehmen.</v>
      </c>
    </row>
    <row r="17379">
      <c r="A17379" s="4" t="s">
        <v>21874</v>
      </c>
      <c r="B17379" s="4" t="s">
        <v>21876</v>
      </c>
      <c r="C17379" s="5" t="str">
        <f>IFERROR(__xludf.DUMMYFUNCTION("GOOGLETRANSLATE(B17379,""en"",""de"")"),"Die Menge begrüßt den Athleten, als ein Mann den Athleten Preise ausgibt.")</f>
        <v>Die Menge begrüßt den Athleten, als ein Mann den Athleten Preise ausgibt.</v>
      </c>
    </row>
    <row r="17380">
      <c r="A17380" s="4" t="s">
        <v>21874</v>
      </c>
      <c r="B17380" s="4" t="s">
        <v>21877</v>
      </c>
      <c r="C17380" s="5" t="str">
        <f>IFERROR(__xludf.DUMMYFUNCTION("GOOGLETRANSLATE(B17380,""en"",""de"")"),"Journalisten umgeben die Athleten mit Kameras.")</f>
        <v>Journalisten umgeben die Athleten mit Kameras.</v>
      </c>
    </row>
    <row r="17381">
      <c r="A17381" s="4" t="s">
        <v>21874</v>
      </c>
      <c r="B17381" s="4" t="s">
        <v>21878</v>
      </c>
      <c r="C17381" s="5" t="str">
        <f>IFERROR(__xludf.DUMMYFUNCTION("GOOGLETRANSLATE(B17381,""en"",""de"")"),"Weitere Diskus -Wurfaufführungen werden gezeigt.")</f>
        <v>Weitere Diskus -Wurfaufführungen werden gezeigt.</v>
      </c>
    </row>
    <row r="17382">
      <c r="A17382" s="4" t="s">
        <v>21874</v>
      </c>
      <c r="B17382" s="4" t="s">
        <v>21879</v>
      </c>
      <c r="C17382" s="5" t="str">
        <f>IFERROR(__xludf.DUMMYFUNCTION("GOOGLETRANSLATE(B17382,""en"",""de"")"),"Eine Kamera -Crew konzentriert sich auf einen verschwitzten Sitzensportler.")</f>
        <v>Eine Kamera -Crew konzentriert sich auf einen verschwitzten Sitzensportler.</v>
      </c>
    </row>
    <row r="17383">
      <c r="A17383" s="4" t="s">
        <v>21874</v>
      </c>
      <c r="B17383" s="4" t="s">
        <v>21880</v>
      </c>
      <c r="C17383" s="5" t="str">
        <f>IFERROR(__xludf.DUMMYFUNCTION("GOOGLETRANSLATE(B17383,""en"",""de"")"),"Eine weitere Aufführung des Diskuswurfs wird gezeigt.")</f>
        <v>Eine weitere Aufführung des Diskuswurfs wird gezeigt.</v>
      </c>
    </row>
    <row r="17384">
      <c r="A17384" s="4" t="s">
        <v>21874</v>
      </c>
      <c r="B17384" s="4" t="s">
        <v>21881</v>
      </c>
      <c r="C17384" s="5" t="str">
        <f>IFERROR(__xludf.DUMMYFUNCTION("GOOGLETRANSLATE(B17384,""en"",""de"")"),"Drei Leute sitzen vor einem Publikum.")</f>
        <v>Drei Leute sitzen vor einem Publikum.</v>
      </c>
    </row>
    <row r="17385">
      <c r="A17385" s="4" t="s">
        <v>21882</v>
      </c>
      <c r="B17385" s="4" t="s">
        <v>21883</v>
      </c>
      <c r="C17385" s="5" t="str">
        <f>IFERROR(__xludf.DUMMYFUNCTION("GOOGLETRANSLATE(B17385,""en"",""de"")"),"Ein Mann spricht davon, ein scharfes Nudelgericht zu machen.")</f>
        <v>Ein Mann spricht davon, ein scharfes Nudelgericht zu machen.</v>
      </c>
    </row>
    <row r="17386">
      <c r="A17386" s="4" t="s">
        <v>21882</v>
      </c>
      <c r="B17386" s="4" t="s">
        <v>21884</v>
      </c>
      <c r="C17386" s="5" t="str">
        <f>IFERROR(__xludf.DUMMYFUNCTION("GOOGLETRANSLATE(B17386,""en"",""de"")"),"Der Mann nimmt Wurst und kocht sie in einer Pfanne.")</f>
        <v>Der Mann nimmt Wurst und kocht sie in einer Pfanne.</v>
      </c>
    </row>
    <row r="17387">
      <c r="A17387" s="4" t="s">
        <v>21882</v>
      </c>
      <c r="B17387" s="4" t="s">
        <v>21885</v>
      </c>
      <c r="C17387" s="5" t="str">
        <f>IFERROR(__xludf.DUMMYFUNCTION("GOOGLETRANSLATE(B17387,""en"",""de"")"),"Petersilie wird der Wurst hinzugefügt.")</f>
        <v>Petersilie wird der Wurst hinzugefügt.</v>
      </c>
    </row>
    <row r="17388">
      <c r="A17388" s="4" t="s">
        <v>21882</v>
      </c>
      <c r="B17388" s="4" t="s">
        <v>21886</v>
      </c>
      <c r="C17388" s="5" t="str">
        <f>IFERROR(__xludf.DUMMYFUNCTION("GOOGLETRANSLATE(B17388,""en"",""de"")"),"Weißwein wird der Mischung hinzugefügt.")</f>
        <v>Weißwein wird der Mischung hinzugefügt.</v>
      </c>
    </row>
    <row r="17389">
      <c r="A17389" s="4" t="s">
        <v>21882</v>
      </c>
      <c r="B17389" s="4" t="s">
        <v>21887</v>
      </c>
      <c r="C17389" s="5" t="str">
        <f>IFERROR(__xludf.DUMMYFUNCTION("GOOGLETRANSLATE(B17389,""en"",""de"")"),"Das Fleisch wird zusammen mit einem Glas Marinara -Sauce zu einer schweren Creme hinzugefügt.")</f>
        <v>Das Fleisch wird zusammen mit einem Glas Marinara -Sauce zu einer schweren Creme hinzugefügt.</v>
      </c>
    </row>
    <row r="17390">
      <c r="A17390" s="4" t="s">
        <v>21882</v>
      </c>
      <c r="B17390" s="4" t="s">
        <v>21888</v>
      </c>
      <c r="C17390" s="5" t="str">
        <f>IFERROR(__xludf.DUMMYFUNCTION("GOOGLETRANSLATE(B17390,""en"",""de"")"),"Wasser wird im Topf kochen.")</f>
        <v>Wasser wird im Topf kochen.</v>
      </c>
    </row>
    <row r="17391">
      <c r="A17391" s="4" t="s">
        <v>21882</v>
      </c>
      <c r="B17391" s="4" t="s">
        <v>21889</v>
      </c>
      <c r="C17391" s="5" t="str">
        <f>IFERROR(__xludf.DUMMYFUNCTION("GOOGLETRANSLATE(B17391,""en"",""de"")"),"Nudeln und Sauce werden im Topf zusammengemischt.")</f>
        <v>Nudeln und Sauce werden im Topf zusammengemischt.</v>
      </c>
    </row>
    <row r="17392">
      <c r="A17392" s="4" t="s">
        <v>21882</v>
      </c>
      <c r="B17392" s="4" t="s">
        <v>21890</v>
      </c>
      <c r="C17392" s="5" t="str">
        <f>IFERROR(__xludf.DUMMYFUNCTION("GOOGLETRANSLATE(B17392,""en"",""de"")"),"Die letzte Pasta wird in eine Schüssel hinzugefügt und Parmesankäse wird hinzugefügt.")</f>
        <v>Die letzte Pasta wird in eine Schüssel hinzugefügt und Parmesankäse wird hinzugefügt.</v>
      </c>
    </row>
    <row r="17393">
      <c r="A17393" s="4" t="s">
        <v>21891</v>
      </c>
      <c r="B17393" s="4" t="s">
        <v>21892</v>
      </c>
      <c r="C17393" s="5" t="str">
        <f>IFERROR(__xludf.DUMMYFUNCTION("GOOGLETRANSLATE(B17393,""en"",""de"")"),"Eine große Gruppe von Menschen sitzt auf Pferden in der Nähe von geschalteten Gebieten.")</f>
        <v>Eine große Gruppe von Menschen sitzt auf Pferden in der Nähe von geschalteten Gebieten.</v>
      </c>
    </row>
    <row r="17394">
      <c r="A17394" s="4" t="s">
        <v>21891</v>
      </c>
      <c r="B17394" s="4" t="s">
        <v>21893</v>
      </c>
      <c r="C17394" s="5" t="str">
        <f>IFERROR(__xludf.DUMMYFUNCTION("GOOGLETRANSLATE(B17394,""en"",""de"")"),"Die Leute schauen erstaunlich um, während ein Reiten fast augenblicklich ein Kalb fängt.")</f>
        <v>Die Leute schauen erstaunlich um, während ein Reiten fast augenblicklich ein Kalb fängt.</v>
      </c>
    </row>
    <row r="17395">
      <c r="A17395" s="4" t="s">
        <v>21891</v>
      </c>
      <c r="B17395" s="4" t="s">
        <v>21894</v>
      </c>
      <c r="C17395" s="5" t="str">
        <f>IFERROR(__xludf.DUMMYFUNCTION("GOOGLETRANSLATE(B17395,""en"",""de"")"),"Die Mannseile des Kalbs und die Menge jubeln ihm an, als der Ansager ihm seine Zeit gibt.")</f>
        <v>Die Mannseile des Kalbs und die Menge jubeln ihm an, als der Ansager ihm seine Zeit gibt.</v>
      </c>
    </row>
    <row r="17396">
      <c r="A17396" s="4" t="s">
        <v>21895</v>
      </c>
      <c r="B17396" s="4" t="s">
        <v>21896</v>
      </c>
      <c r="C17396" s="5" t="str">
        <f>IFERROR(__xludf.DUMMYFUNCTION("GOOGLETRANSLATE(B17396,""en"",""de"")"),"Bilder einer Stadt, die n Schnee bedeckt ist, werden gezeigt.")</f>
        <v>Bilder einer Stadt, die n Schnee bedeckt ist, werden gezeigt.</v>
      </c>
    </row>
    <row r="17397">
      <c r="A17397" s="4" t="s">
        <v>21895</v>
      </c>
      <c r="B17397" s="4" t="s">
        <v>21897</v>
      </c>
      <c r="C17397" s="5" t="str">
        <f>IFERROR(__xludf.DUMMYFUNCTION("GOOGLETRANSLATE(B17397,""en"",""de"")"),"Eine Person abbricht das Eis von ihrem Auto.")</f>
        <v>Eine Person abbricht das Eis von ihrem Auto.</v>
      </c>
    </row>
    <row r="17398">
      <c r="A17398" s="4" t="s">
        <v>21898</v>
      </c>
      <c r="B17398" s="4" t="s">
        <v>21899</v>
      </c>
      <c r="C17398" s="5" t="str">
        <f>IFERROR(__xludf.DUMMYFUNCTION("GOOGLETRANSLATE(B17398,""en"",""de"")"),"Eine Katze legt sich im Schoß eines Menschen auf dem Rücken.")</f>
        <v>Eine Katze legt sich im Schoß eines Menschen auf dem Rücken.</v>
      </c>
    </row>
    <row r="17399">
      <c r="A17399" s="4" t="s">
        <v>21898</v>
      </c>
      <c r="B17399" s="4" t="s">
        <v>21900</v>
      </c>
      <c r="C17399" s="5" t="str">
        <f>IFERROR(__xludf.DUMMYFUNCTION("GOOGLETRANSLATE(B17399,""en"",""de"")"),"Die Person schneidet die Katzennägel mit einem Nagelschneider aus.")</f>
        <v>Die Person schneidet die Katzennägel mit einem Nagelschneider aus.</v>
      </c>
    </row>
    <row r="17400">
      <c r="A17400" s="4" t="s">
        <v>21898</v>
      </c>
      <c r="B17400" s="4" t="s">
        <v>21901</v>
      </c>
      <c r="C17400" s="5" t="str">
        <f>IFERROR(__xludf.DUMMYFUNCTION("GOOGLETRANSLATE(B17400,""en"",""de"")"),"Sie beenden und streicheln den Fuß der Katze.")</f>
        <v>Sie beenden und streicheln den Fuß der Katze.</v>
      </c>
    </row>
    <row r="17401">
      <c r="A17401" s="4" t="s">
        <v>21902</v>
      </c>
      <c r="B17401" s="4" t="s">
        <v>21903</v>
      </c>
      <c r="C17401" s="5" t="str">
        <f>IFERROR(__xludf.DUMMYFUNCTION("GOOGLETRANSLATE(B17401,""en"",""de"")"),"Eine Frau ist draußen in einem Sport -BH- und Bikini -Böden, der vor dem Vorbereiten herumläuft.")</f>
        <v>Eine Frau ist draußen in einem Sport -BH- und Bikini -Böden, der vor dem Vorbereiten herumläuft.</v>
      </c>
    </row>
    <row r="17402">
      <c r="A17402" s="4" t="s">
        <v>21902</v>
      </c>
      <c r="B17402" s="4" t="s">
        <v>21904</v>
      </c>
      <c r="C17402" s="5" t="str">
        <f>IFERROR(__xludf.DUMMYFUNCTION("GOOGLETRANSLATE(B17402,""en"",""de"")"),"Sie nimmt ihre Haare runter und stellt sie wieder in einen Pferdeschwanz.")</f>
        <v>Sie nimmt ihre Haare runter und stellt sie wieder in einen Pferdeschwanz.</v>
      </c>
    </row>
    <row r="17403">
      <c r="A17403" s="4" t="s">
        <v>21902</v>
      </c>
      <c r="B17403" s="4" t="s">
        <v>21905</v>
      </c>
      <c r="C17403" s="5" t="str">
        <f>IFERROR(__xludf.DUMMYFUNCTION("GOOGLETRANSLATE(B17403,""en"",""de"")"),"Sie setzt sich um ihren Hintern und steht da und setzt sich darauf vor, ihren Lauf zu beginnen.")</f>
        <v>Sie setzt sich um ihren Hintern und steht da und setzt sich darauf vor, ihren Lauf zu beginnen.</v>
      </c>
    </row>
    <row r="17404">
      <c r="A17404" s="4" t="s">
        <v>21902</v>
      </c>
      <c r="B17404" s="4" t="s">
        <v>21906</v>
      </c>
      <c r="C17404" s="5" t="str">
        <f>IFERROR(__xludf.DUMMYFUNCTION("GOOGLETRANSLATE(B17404,""en"",""de"")"),"Sie beginnt ihren Lauf und springt über den Kurs und landet.")</f>
        <v>Sie beginnt ihren Lauf und springt über den Kurs und landet.</v>
      </c>
    </row>
    <row r="17405">
      <c r="A17405" s="4" t="s">
        <v>21907</v>
      </c>
      <c r="B17405" s="4" t="s">
        <v>21908</v>
      </c>
      <c r="C17405" s="5" t="str">
        <f>IFERROR(__xludf.DUMMYFUNCTION("GOOGLETRANSLATE(B17405,""en"",""de"")"),"Es gibt zwei junge Mädchen, die Geigen in den Händen halten, mit einem Musikstand und einem Buch mit Musiknoten dahinter stehen.")</f>
        <v>Es gibt zwei junge Mädchen, die Geigen in den Händen halten, mit einem Musikstand und einem Buch mit Musiknoten dahinter stehen.</v>
      </c>
    </row>
    <row r="17406">
      <c r="A17406" s="4" t="s">
        <v>21907</v>
      </c>
      <c r="B17406" s="4" t="s">
        <v>21909</v>
      </c>
      <c r="C17406" s="5" t="str">
        <f>IFERROR(__xludf.DUMMYFUNCTION("GOOGLETRANSLATE(B17406,""en"",""de"")"),"Das ältere Mädchen hilft und lehrt ihrer jüngeren Schwester, die Geige richtig zu halten, indem sie ihre Kopfposition wechselt.")</f>
        <v>Das ältere Mädchen hilft und lehrt ihrer jüngeren Schwester, die Geige richtig zu halten, indem sie ihre Kopfposition wechselt.</v>
      </c>
    </row>
    <row r="17407">
      <c r="A17407" s="4" t="s">
        <v>21907</v>
      </c>
      <c r="B17407" s="4" t="s">
        <v>21910</v>
      </c>
      <c r="C17407" s="5" t="str">
        <f>IFERROR(__xludf.DUMMYFUNCTION("GOOGLETRANSLATE(B17407,""en"",""de"")"),"Dann packt die ältere Schwester ihre Geige und stellt die Saiten der Geige ab.")</f>
        <v>Dann packt die ältere Schwester ihre Geige und stellt die Saiten der Geige ab.</v>
      </c>
    </row>
    <row r="17408">
      <c r="A17408" s="4" t="s">
        <v>21907</v>
      </c>
      <c r="B17408" s="4" t="s">
        <v>21911</v>
      </c>
      <c r="C17408" s="5" t="str">
        <f>IFERROR(__xludf.DUMMYFUNCTION("GOOGLETRANSLATE(B17408,""en"",""de"")"),"Dann beginnt die ältere Schwester die Geige zu spielen, während die jüngere Schwester sie beobachtet.")</f>
        <v>Dann beginnt die ältere Schwester die Geige zu spielen, während die jüngere Schwester sie beobachtet.</v>
      </c>
    </row>
    <row r="17409">
      <c r="A17409" s="4" t="s">
        <v>21907</v>
      </c>
      <c r="B17409" s="4" t="s">
        <v>21912</v>
      </c>
      <c r="C17409" s="5" t="str">
        <f>IFERROR(__xludf.DUMMYFUNCTION("GOOGLETRANSLATE(B17409,""en"",""de"")"),"Das ältere Mädchen zeigt ihrer Schwester, wie man die Geige spielt.")</f>
        <v>Das ältere Mädchen zeigt ihrer Schwester, wie man die Geige spielt.</v>
      </c>
    </row>
    <row r="17410">
      <c r="A17410" s="4" t="s">
        <v>21907</v>
      </c>
      <c r="B17410" s="4" t="s">
        <v>21913</v>
      </c>
      <c r="C17410" s="5" t="str">
        <f>IFERROR(__xludf.DUMMYFUNCTION("GOOGLETRANSLATE(B17410,""en"",""de"")"),"Dann beginnen beide zusammen, die Geige zusammen zu spielen.")</f>
        <v>Dann beginnen beide zusammen, die Geige zusammen zu spielen.</v>
      </c>
    </row>
    <row r="17411">
      <c r="A17411" s="4" t="s">
        <v>21914</v>
      </c>
      <c r="B17411" s="4" t="s">
        <v>21915</v>
      </c>
      <c r="C17411" s="5" t="str">
        <f>IFERROR(__xludf.DUMMYFUNCTION("GOOGLETRANSLATE(B17411,""en"",""de"")"),"Ein Mann wird auf einer Bühne gezeigt und spielt Schlagzeug.")</f>
        <v>Ein Mann wird auf einer Bühne gezeigt und spielt Schlagzeug.</v>
      </c>
    </row>
    <row r="17412">
      <c r="A17412" s="4" t="s">
        <v>21914</v>
      </c>
      <c r="B17412" s="4" t="s">
        <v>21916</v>
      </c>
      <c r="C17412" s="5" t="str">
        <f>IFERROR(__xludf.DUMMYFUNCTION("GOOGLETRANSLATE(B17412,""en"",""de"")"),"Er schlägt die Becken und Trommeln sehr schnell.")</f>
        <v>Er schlägt die Becken und Trommeln sehr schnell.</v>
      </c>
    </row>
    <row r="17413">
      <c r="A17413" s="4" t="s">
        <v>21914</v>
      </c>
      <c r="B17413" s="4" t="s">
        <v>21917</v>
      </c>
      <c r="C17413" s="5" t="str">
        <f>IFERROR(__xludf.DUMMYFUNCTION("GOOGLETRANSLATE(B17413,""en"",""de"")"),"Er fährt fort und macht Gesichter, während er geht.")</f>
        <v>Er fährt fort und macht Gesichter, während er geht.</v>
      </c>
    </row>
    <row r="17414">
      <c r="A17414" s="4" t="s">
        <v>21918</v>
      </c>
      <c r="B17414" s="4" t="s">
        <v>21919</v>
      </c>
      <c r="C17414" s="5" t="str">
        <f>IFERROR(__xludf.DUMMYFUNCTION("GOOGLETRANSLATE(B17414,""en"",""de"")"),"Eine große Gruppe von Menschen reitet auf einem großen Feld umeinander herum.")</f>
        <v>Eine große Gruppe von Menschen reitet auf einem großen Feld umeinander herum.</v>
      </c>
    </row>
    <row r="17415">
      <c r="A17415" s="4" t="s">
        <v>21918</v>
      </c>
      <c r="B17415" s="4" t="s">
        <v>21920</v>
      </c>
      <c r="C17415" s="5" t="str">
        <f>IFERROR(__xludf.DUMMYFUNCTION("GOOGLETRANSLATE(B17415,""en"",""de"")"),"Einer von ihnen wirft einen Ball auf das Feld und die Leute spielen ein Spiel auf ihren Pferden.")</f>
        <v>Einer von ihnen wirft einen Ball auf das Feld und die Leute spielen ein Spiel auf ihren Pferden.</v>
      </c>
    </row>
    <row r="17416">
      <c r="A17416" s="4" t="s">
        <v>21921</v>
      </c>
      <c r="B17416" s="4" t="s">
        <v>21922</v>
      </c>
      <c r="C17416" s="5" t="str">
        <f>IFERROR(__xludf.DUMMYFUNCTION("GOOGLETRANSLATE(B17416,""en"",""de"")"),"Es gibt einen Mann, der in einem offenen Krocket in einem offenen Feld gekleidet ist.")</f>
        <v>Es gibt einen Mann, der in einem offenen Krocket in einem offenen Feld gekleidet ist.</v>
      </c>
    </row>
    <row r="17417">
      <c r="A17417" s="4" t="s">
        <v>21921</v>
      </c>
      <c r="B17417" s="4" t="s">
        <v>21923</v>
      </c>
      <c r="C17417" s="5" t="str">
        <f>IFERROR(__xludf.DUMMYFUNCTION("GOOGLETRANSLATE(B17417,""en"",""de"")"),"Auf dem Feld sind mehrere Stühle angeordnet.")</f>
        <v>Auf dem Feld sind mehrere Stühle angeordnet.</v>
      </c>
    </row>
    <row r="17418">
      <c r="A17418" s="4" t="s">
        <v>21921</v>
      </c>
      <c r="B17418" s="4" t="s">
        <v>21924</v>
      </c>
      <c r="C17418" s="5" t="str">
        <f>IFERROR(__xludf.DUMMYFUNCTION("GOOGLETRANSLATE(B17418,""en"",""de"")"),"Er nimmt den Schläger in die Hand und schlägt den Krocketball zum Reifen.")</f>
        <v>Er nimmt den Schläger in die Hand und schlägt den Krocketball zum Reifen.</v>
      </c>
    </row>
    <row r="17419">
      <c r="A17419" s="4" t="s">
        <v>21921</v>
      </c>
      <c r="B17419" s="4" t="s">
        <v>21925</v>
      </c>
      <c r="C17419" s="5" t="str">
        <f>IFERROR(__xludf.DUMMYFUNCTION("GOOGLETRANSLATE(B17419,""en"",""de"")"),"Er trifft den Ball und er landet direkt in den Reifen.")</f>
        <v>Er trifft den Ball und er landet direkt in den Reifen.</v>
      </c>
    </row>
    <row r="17420">
      <c r="A17420" s="4" t="s">
        <v>21926</v>
      </c>
      <c r="B17420" s="4" t="s">
        <v>21927</v>
      </c>
      <c r="C17420" s="5" t="str">
        <f>IFERROR(__xludf.DUMMYFUNCTION("GOOGLETRANSLATE(B17420,""en"",""de"")"),"Ein Mann nimmt einen Ball mit seinem Schläger und schwingt ihn zu seinem Gegner über das Netz.")</f>
        <v>Ein Mann nimmt einen Ball mit seinem Schläger und schwingt ihn zu seinem Gegner über das Netz.</v>
      </c>
    </row>
    <row r="17421">
      <c r="A17421" s="4" t="s">
        <v>21926</v>
      </c>
      <c r="B17421" s="4" t="s">
        <v>21928</v>
      </c>
      <c r="C17421" s="5" t="str">
        <f>IFERROR(__xludf.DUMMYFUNCTION("GOOGLETRANSLATE(B17421,""en"",""de"")"),"Der Gegner dient dem Ball.")</f>
        <v>Der Gegner dient dem Ball.</v>
      </c>
    </row>
    <row r="17422">
      <c r="A17422" s="4" t="s">
        <v>21926</v>
      </c>
      <c r="B17422" s="4" t="s">
        <v>21929</v>
      </c>
      <c r="C17422" s="5" t="str">
        <f>IFERROR(__xludf.DUMMYFUNCTION("GOOGLETRANSLATE(B17422,""en"",""de"")"),"Die Teams treten schnell vor und zurück auf den Ball.")</f>
        <v>Die Teams treten schnell vor und zurück auf den Ball.</v>
      </c>
    </row>
    <row r="17423">
      <c r="A17423" s="4" t="s">
        <v>21926</v>
      </c>
      <c r="B17423" s="4" t="s">
        <v>21930</v>
      </c>
      <c r="C17423" s="5" t="str">
        <f>IFERROR(__xludf.DUMMYFUNCTION("GOOGLETRANSLATE(B17423,""en"",""de"")"),"Das Spiel hört für eine Sekunde auf und setzt mit einem der Teams fort, das den Ball bedient.")</f>
        <v>Das Spiel hört für eine Sekunde auf und setzt mit einem der Teams fort, das den Ball bedient.</v>
      </c>
    </row>
    <row r="17424">
      <c r="A17424" s="4" t="s">
        <v>21926</v>
      </c>
      <c r="B17424" s="4" t="s">
        <v>21931</v>
      </c>
      <c r="C17424" s="5" t="str">
        <f>IFERROR(__xludf.DUMMYFUNCTION("GOOGLETRANSLATE(B17424,""en"",""de"")"),"Sie kämpfen gegenseitig auf dem Platz und schicken den Ball über das Netz hin und her.")</f>
        <v>Sie kämpfen gegenseitig auf dem Platz und schicken den Ball über das Netz hin und her.</v>
      </c>
    </row>
    <row r="17425">
      <c r="A17425" s="4" t="s">
        <v>21926</v>
      </c>
      <c r="B17425" s="4" t="s">
        <v>21932</v>
      </c>
      <c r="C17425" s="5" t="str">
        <f>IFERROR(__xludf.DUMMYFUNCTION("GOOGLETRANSLATE(B17425,""en"",""de"")"),"Der Ball geht aus den Grenzen.")</f>
        <v>Der Ball geht aus den Grenzen.</v>
      </c>
    </row>
    <row r="17426">
      <c r="A17426" s="4" t="s">
        <v>21926</v>
      </c>
      <c r="B17426" s="4" t="s">
        <v>21933</v>
      </c>
      <c r="C17426" s="5" t="str">
        <f>IFERROR(__xludf.DUMMYFUNCTION("GOOGLETRANSLATE(B17426,""en"",""de"")"),"Ein Mann dient dem Ball und sie beteiligen sich in einem kurzen Hin und Her des Balls, bevor der Ball zu Boden fällt.")</f>
        <v>Ein Mann dient dem Ball und sie beteiligen sich in einem kurzen Hin und Her des Balls, bevor der Ball zu Boden fällt.</v>
      </c>
    </row>
    <row r="17427">
      <c r="A17427" s="4" t="s">
        <v>21934</v>
      </c>
      <c r="B17427" s="4" t="s">
        <v>7239</v>
      </c>
      <c r="C17427" s="5" t="str">
        <f>IFERROR(__xludf.DUMMYFUNCTION("GOOGLETRANSLATE(B17427,""en"",""de"")"),"Wir sehen einen schwarzen Titelbildschirm.")</f>
        <v>Wir sehen einen schwarzen Titelbildschirm.</v>
      </c>
    </row>
    <row r="17428">
      <c r="A17428" s="4" t="s">
        <v>21934</v>
      </c>
      <c r="B17428" s="4" t="s">
        <v>21935</v>
      </c>
      <c r="C17428" s="5" t="str">
        <f>IFERROR(__xludf.DUMMYFUNCTION("GOOGLETRANSLATE(B17428,""en"",""de"")"),"Ein Mann geht mit einem Rakel zu einer Mauer zu einer Mauer und zeigt uns eine Flasche Windex.")</f>
        <v>Ein Mann geht mit einem Rakel zu einer Mauer zu einer Mauer und zeigt uns eine Flasche Windex.</v>
      </c>
    </row>
    <row r="17429">
      <c r="A17429" s="4" t="s">
        <v>21934</v>
      </c>
      <c r="B17429" s="4" t="s">
        <v>21936</v>
      </c>
      <c r="C17429" s="5" t="str">
        <f>IFERROR(__xludf.DUMMYFUNCTION("GOOGLETRANSLATE(B17429,""en"",""de"")"),"Der Mann wäscht das Fenster.")</f>
        <v>Der Mann wäscht das Fenster.</v>
      </c>
    </row>
    <row r="17430">
      <c r="A17430" s="4" t="s">
        <v>21934</v>
      </c>
      <c r="B17430" s="4" t="s">
        <v>21937</v>
      </c>
      <c r="C17430" s="5" t="str">
        <f>IFERROR(__xludf.DUMMYFUNCTION("GOOGLETRANSLATE(B17430,""en"",""de"")"),"Der Mann sprüht Windex und wäscht mit Rakeln ab.")</f>
        <v>Der Mann sprüht Windex und wäscht mit Rakeln ab.</v>
      </c>
    </row>
    <row r="17431">
      <c r="A17431" s="4" t="s">
        <v>21934</v>
      </c>
      <c r="B17431" s="4" t="s">
        <v>21938</v>
      </c>
      <c r="C17431" s="5" t="str">
        <f>IFERROR(__xludf.DUMMYFUNCTION("GOOGLETRANSLATE(B17431,""en"",""de"")"),"Der Mann verwendet Blattgebläse, um das Fenster zu trocknen.")</f>
        <v>Der Mann verwendet Blattgebläse, um das Fenster zu trocknen.</v>
      </c>
    </row>
    <row r="17432">
      <c r="A17432" s="4" t="s">
        <v>21934</v>
      </c>
      <c r="B17432" s="4" t="s">
        <v>21939</v>
      </c>
      <c r="C17432" s="5" t="str">
        <f>IFERROR(__xludf.DUMMYFUNCTION("GOOGLETRANSLATE(B17432,""en"",""de"")"),"Der Mann endet und spricht über das Fenster, bevor er weggeht.")</f>
        <v>Der Mann endet und spricht über das Fenster, bevor er weggeht.</v>
      </c>
    </row>
    <row r="17433">
      <c r="A17433" s="4" t="s">
        <v>21940</v>
      </c>
      <c r="B17433" s="4" t="s">
        <v>21941</v>
      </c>
      <c r="C17433" s="5" t="str">
        <f>IFERROR(__xludf.DUMMYFUNCTION("GOOGLETRANSLATE(B17433,""en"",""de"")"),"Zwei Kinder machen gemischte Kampfkünste vor einem Fernseher.")</f>
        <v>Zwei Kinder machen gemischte Kampfkünste vor einem Fernseher.</v>
      </c>
    </row>
    <row r="17434">
      <c r="A17434" s="4" t="s">
        <v>21940</v>
      </c>
      <c r="B17434" s="4" t="s">
        <v>21942</v>
      </c>
      <c r="C17434" s="5" t="str">
        <f>IFERROR(__xludf.DUMMYFUNCTION("GOOGLETRANSLATE(B17434,""en"",""de"")"),"Sie schlagen und treten gegenseitig für den Sport.")</f>
        <v>Sie schlagen und treten gegenseitig für den Sport.</v>
      </c>
    </row>
    <row r="17435">
      <c r="A17435" s="4" t="s">
        <v>21943</v>
      </c>
      <c r="B17435" s="4" t="s">
        <v>21944</v>
      </c>
      <c r="C17435" s="5" t="str">
        <f>IFERROR(__xludf.DUMMYFUNCTION("GOOGLETRANSLATE(B17435,""en"",""de"")"),"Ein Mann ist in mehreren Schüssen auf einem Skateboard in einem dunklen Lagerhaus zu sehen.")</f>
        <v>Ein Mann ist in mehreren Schüssen auf einem Skateboard in einem dunklen Lagerhaus zu sehen.</v>
      </c>
    </row>
    <row r="17436">
      <c r="A17436" s="4" t="s">
        <v>21943</v>
      </c>
      <c r="B17436" s="4" t="s">
        <v>21945</v>
      </c>
      <c r="C17436" s="5" t="str">
        <f>IFERROR(__xludf.DUMMYFUNCTION("GOOGLETRANSLATE(B17436,""en"",""de"")"),"Der Mann beginnt dann auf sein Brett, um Bewegungen zu demonstrieren.")</f>
        <v>Der Mann beginnt dann auf sein Brett, um Bewegungen zu demonstrieren.</v>
      </c>
    </row>
    <row r="17437">
      <c r="A17437" s="4" t="s">
        <v>21943</v>
      </c>
      <c r="B17437" s="4" t="s">
        <v>21946</v>
      </c>
      <c r="C17437" s="5" t="str">
        <f>IFERROR(__xludf.DUMMYFUNCTION("GOOGLETRANSLATE(B17437,""en"",""de"")"),"Er springt weiter im Raum, während die Kamera seine Bewegungen einfängt.")</f>
        <v>Er springt weiter im Raum, während die Kamera seine Bewegungen einfängt.</v>
      </c>
    </row>
    <row r="17438">
      <c r="A17438" s="4" t="s">
        <v>21947</v>
      </c>
      <c r="B17438" s="4" t="s">
        <v>21948</v>
      </c>
      <c r="C17438" s="5" t="str">
        <f>IFERROR(__xludf.DUMMYFUNCTION("GOOGLETRANSLATE(B17438,""en"",""de"")"),"Wir sehen einen Hockey -Torwart auf dem Eis.")</f>
        <v>Wir sehen einen Hockey -Torwart auf dem Eis.</v>
      </c>
    </row>
    <row r="17439">
      <c r="A17439" s="4" t="s">
        <v>21947</v>
      </c>
      <c r="B17439" s="4" t="s">
        <v>21949</v>
      </c>
      <c r="C17439" s="5" t="str">
        <f>IFERROR(__xludf.DUMMYFUNCTION("GOOGLETRANSLATE(B17439,""en"",""de"")"),"Der Torwart blockiert wiederholt.")</f>
        <v>Der Torwart blockiert wiederholt.</v>
      </c>
    </row>
    <row r="17440">
      <c r="A17440" s="4" t="s">
        <v>21947</v>
      </c>
      <c r="B17440" s="4" t="s">
        <v>21950</v>
      </c>
      <c r="C17440" s="5" t="str">
        <f>IFERROR(__xludf.DUMMYFUNCTION("GOOGLETRANSLATE(B17440,""en"",""de"")"),"Wir sehen den Torwart auf dem Eis.")</f>
        <v>Wir sehen den Torwart auf dem Eis.</v>
      </c>
    </row>
    <row r="17441">
      <c r="A17441" s="4" t="s">
        <v>21947</v>
      </c>
      <c r="B17441" s="4" t="s">
        <v>21951</v>
      </c>
      <c r="C17441" s="5" t="str">
        <f>IFERROR(__xludf.DUMMYFUNCTION("GOOGLETRANSLATE(B17441,""en"",""de"")"),"Ein Schuss macht es vorbei und der Torwart hat einen Wutanfall.")</f>
        <v>Ein Schuss macht es vorbei und der Torwart hat einen Wutanfall.</v>
      </c>
    </row>
    <row r="17442">
      <c r="A17442" s="4" t="s">
        <v>21947</v>
      </c>
      <c r="B17442" s="4" t="s">
        <v>21952</v>
      </c>
      <c r="C17442" s="5" t="str">
        <f>IFERROR(__xludf.DUMMYFUNCTION("GOOGLETRANSLATE(B17442,""en"",""de"")"),"Der Torwart sitzt auf dem Boden, als eine Person ihren Schuss macht.")</f>
        <v>Der Torwart sitzt auf dem Boden, als eine Person ihren Schuss macht.</v>
      </c>
    </row>
    <row r="17443">
      <c r="A17443" s="4" t="s">
        <v>21953</v>
      </c>
      <c r="B17443" s="4" t="s">
        <v>21954</v>
      </c>
      <c r="C17443" s="5" t="str">
        <f>IFERROR(__xludf.DUMMYFUNCTION("GOOGLETRANSLATE(B17443,""en"",""de"")"),"Ein Mann, der ein schwarzes Hemd und Blue Jeans trägt, spielt eine Akustikgitarre.")</f>
        <v>Ein Mann, der ein schwarzes Hemd und Blue Jeans trägt, spielt eine Akustikgitarre.</v>
      </c>
    </row>
    <row r="17444">
      <c r="A17444" s="4" t="s">
        <v>21953</v>
      </c>
      <c r="B17444" s="4" t="s">
        <v>21955</v>
      </c>
      <c r="C17444" s="5" t="str">
        <f>IFERROR(__xludf.DUMMYFUNCTION("GOOGLETRANSLATE(B17444,""en"",""de"")"),"Er spielt ein Riff, als er rhythmisch seine Beine bewegt.")</f>
        <v>Er spielt ein Riff, als er rhythmisch seine Beine bewegt.</v>
      </c>
    </row>
    <row r="17445">
      <c r="A17445" s="4" t="s">
        <v>21953</v>
      </c>
      <c r="B17445" s="4" t="s">
        <v>21956</v>
      </c>
      <c r="C17445" s="5" t="str">
        <f>IFERROR(__xludf.DUMMYFUNCTION("GOOGLETRANSLATE(B17445,""en"",""de"")"),"Er spielt weiterhin Gitarre, während sich die Kamera auf seine Hände und die Gitarre konzentriert.")</f>
        <v>Er spielt weiterhin Gitarre, während sich die Kamera auf seine Hände und die Gitarre konzentriert.</v>
      </c>
    </row>
    <row r="17446">
      <c r="A17446" s="4" t="s">
        <v>21953</v>
      </c>
      <c r="B17446" s="4" t="s">
        <v>21957</v>
      </c>
      <c r="C17446" s="5" t="str">
        <f>IFERROR(__xludf.DUMMYFUNCTION("GOOGLETRANSLATE(B17446,""en"",""de"")"),"Er spielt mehrere verschiedene Melodien nacheinander, als er die Gitarre mit seiner Wahl betreibt.")</f>
        <v>Er spielt mehrere verschiedene Melodien nacheinander, als er die Gitarre mit seiner Wahl betreibt.</v>
      </c>
    </row>
    <row r="17447">
      <c r="A17447" s="4" t="s">
        <v>21958</v>
      </c>
      <c r="B17447" s="4" t="s">
        <v>21959</v>
      </c>
      <c r="C17447" s="5" t="str">
        <f>IFERROR(__xludf.DUMMYFUNCTION("GOOGLETRANSLATE(B17447,""en"",""de"")"),"Ein Mann wird gelacht und lächelt vor sich hin und führt in ihn ein Klavier vor ihm.")</f>
        <v>Ein Mann wird gelacht und lächelt vor sich hin und führt in ihn ein Klavier vor ihm.</v>
      </c>
    </row>
    <row r="17448">
      <c r="A17448" s="4" t="s">
        <v>21958</v>
      </c>
      <c r="B17448" s="4" t="s">
        <v>21960</v>
      </c>
      <c r="C17448" s="5" t="str">
        <f>IFERROR(__xludf.DUMMYFUNCTION("GOOGLETRANSLATE(B17448,""en"",""de"")"),"Der Mann macht eine Pause und schaut in die Ferne, um einen anderen Mann sowohl mit ihm als auch in ein Mikrofon zu sehen.")</f>
        <v>Der Mann macht eine Pause und schaut in die Ferne, um einen anderen Mann sowohl mit ihm als auch in ein Mikrofon zu sehen.</v>
      </c>
    </row>
    <row r="17449">
      <c r="A17449" s="4" t="s">
        <v>21961</v>
      </c>
      <c r="B17449" s="4" t="s">
        <v>21962</v>
      </c>
      <c r="C17449" s="5" t="str">
        <f>IFERROR(__xludf.DUMMYFUNCTION("GOOGLETRANSLATE(B17449,""en"",""de"")"),"Eine Reihe von Spielern befindet sich zusammen auf einem Platz.")</f>
        <v>Eine Reihe von Spielern befindet sich zusammen auf einem Platz.</v>
      </c>
    </row>
    <row r="17450">
      <c r="A17450" s="4" t="s">
        <v>21961</v>
      </c>
      <c r="B17450" s="4" t="s">
        <v>21963</v>
      </c>
      <c r="C17450" s="5" t="str">
        <f>IFERROR(__xludf.DUMMYFUNCTION("GOOGLETRANSLATE(B17450,""en"",""de"")"),"Sie beginnen im Einklang zu springen.")</f>
        <v>Sie beginnen im Einklang zu springen.</v>
      </c>
    </row>
    <row r="17451">
      <c r="A17451" s="4" t="s">
        <v>21961</v>
      </c>
      <c r="B17451" s="4" t="s">
        <v>21964</v>
      </c>
      <c r="C17451" s="5" t="str">
        <f>IFERROR(__xludf.DUMMYFUNCTION("GOOGLETRANSLATE(B17451,""en"",""de"")"),"Sie bewegen sich gleich, tanzen und drehen sich durch die Seile.")</f>
        <v>Sie bewegen sich gleich, tanzen und drehen sich durch die Seile.</v>
      </c>
    </row>
    <row r="17452">
      <c r="A17452" s="4" t="s">
        <v>21965</v>
      </c>
      <c r="B17452" s="4" t="s">
        <v>21966</v>
      </c>
      <c r="C17452" s="5" t="str">
        <f>IFERROR(__xludf.DUMMYFUNCTION("GOOGLETRANSLATE(B17452,""en"",""de"")"),"Ein Mann bereitet sich darauf vor, ein Instrument zu spielen.")</f>
        <v>Ein Mann bereitet sich darauf vor, ein Instrument zu spielen.</v>
      </c>
    </row>
    <row r="17453">
      <c r="A17453" s="4" t="s">
        <v>21965</v>
      </c>
      <c r="B17453" s="4" t="s">
        <v>21967</v>
      </c>
      <c r="C17453" s="5" t="str">
        <f>IFERROR(__xludf.DUMMYFUNCTION("GOOGLETRANSLATE(B17453,""en"",""de"")"),"Der Typ spielt ein Saxophon und verwendet ein Mikrofon.")</f>
        <v>Der Typ spielt ein Saxophon und verwendet ein Mikrofon.</v>
      </c>
    </row>
    <row r="17454">
      <c r="A17454" s="4" t="s">
        <v>21965</v>
      </c>
      <c r="B17454" s="4" t="s">
        <v>21968</v>
      </c>
      <c r="C17454" s="5" t="str">
        <f>IFERROR(__xludf.DUMMYFUNCTION("GOOGLETRANSLATE(B17454,""en"",""de"")"),"Der Kerl nimmt das Saxophon aus seinem Mund und den Bents um.")</f>
        <v>Der Kerl nimmt das Saxophon aus seinem Mund und den Bents um.</v>
      </c>
    </row>
    <row r="17455">
      <c r="A17455" s="4" t="s">
        <v>21969</v>
      </c>
      <c r="B17455" s="4" t="s">
        <v>21970</v>
      </c>
      <c r="C17455" s="5" t="str">
        <f>IFERROR(__xludf.DUMMYFUNCTION("GOOGLETRANSLATE(B17455,""en"",""de"")"),"Eine Person malt einen Holzzaun.")</f>
        <v>Eine Person malt einen Holzzaun.</v>
      </c>
    </row>
    <row r="17456">
      <c r="A17456" s="4" t="s">
        <v>21969</v>
      </c>
      <c r="B17456" s="4" t="s">
        <v>21971</v>
      </c>
      <c r="C17456" s="5" t="str">
        <f>IFERROR(__xludf.DUMMYFUNCTION("GOOGLETRANSLATE(B17456,""en"",""de"")"),"Die Pfoten einer Katze kommen unter dem Zaun hervor.")</f>
        <v>Die Pfoten einer Katze kommen unter dem Zaun hervor.</v>
      </c>
    </row>
    <row r="17457">
      <c r="A17457" s="4" t="s">
        <v>21969</v>
      </c>
      <c r="B17457" s="4" t="s">
        <v>21972</v>
      </c>
      <c r="C17457" s="5" t="str">
        <f>IFERROR(__xludf.DUMMYFUNCTION("GOOGLETRANSLATE(B17457,""en"",""de"")"),"Ein Hund schaut auf die Pfoten der Katze.")</f>
        <v>Ein Hund schaut auf die Pfoten der Katze.</v>
      </c>
    </row>
    <row r="17458">
      <c r="A17458" s="4" t="s">
        <v>21973</v>
      </c>
      <c r="B17458" s="4" t="s">
        <v>21974</v>
      </c>
      <c r="C17458" s="5" t="str">
        <f>IFERROR(__xludf.DUMMYFUNCTION("GOOGLETRANSLATE(B17458,""en"",""de"")"),"Ein Mann sieht eine Aufführung im Fernsehen an, während er zu Hause ein Set von Handtrommeln spielt.")</f>
        <v>Ein Mann sieht eine Aufführung im Fernsehen an, während er zu Hause ein Set von Handtrommeln spielt.</v>
      </c>
    </row>
    <row r="17459">
      <c r="A17459" s="4" t="s">
        <v>21973</v>
      </c>
      <c r="B17459" s="4" t="s">
        <v>21975</v>
      </c>
      <c r="C17459" s="5" t="str">
        <f>IFERROR(__xludf.DUMMYFUNCTION("GOOGLETRANSLATE(B17459,""en"",""de"")"),"Der Mann freut sich und konzentriert sich beim Spielen beim Schlagzeug.")</f>
        <v>Der Mann freut sich und konzentriert sich beim Spielen beim Schlagzeug.</v>
      </c>
    </row>
    <row r="17460">
      <c r="A17460" s="4" t="s">
        <v>21973</v>
      </c>
      <c r="B17460" s="4" t="s">
        <v>21976</v>
      </c>
      <c r="C17460" s="5" t="str">
        <f>IFERROR(__xludf.DUMMYFUNCTION("GOOGLETRANSLATE(B17460,""en"",""de"")"),"Der Mann lehnt sich zurück und spielt energisch auf den Schlagzeug.")</f>
        <v>Der Mann lehnt sich zurück und spielt energisch auf den Schlagzeug.</v>
      </c>
    </row>
    <row r="17461">
      <c r="A17461" s="4" t="s">
        <v>21977</v>
      </c>
      <c r="B17461" s="4" t="s">
        <v>21978</v>
      </c>
      <c r="C17461" s="5" t="str">
        <f>IFERROR(__xludf.DUMMYFUNCTION("GOOGLETRANSLATE(B17461,""en"",""de"")"),"Es werden viele Bäume und tiefes Wasser aus einem Fluss gezeigt.")</f>
        <v>Es werden viele Bäume und tiefes Wasser aus einem Fluss gezeigt.</v>
      </c>
    </row>
    <row r="17462">
      <c r="A17462" s="4" t="s">
        <v>21977</v>
      </c>
      <c r="B17462" s="4" t="s">
        <v>21979</v>
      </c>
      <c r="C17462" s="5" t="str">
        <f>IFERROR(__xludf.DUMMYFUNCTION("GOOGLETRANSLATE(B17462,""en"",""de"")"),"Ein Mann steht auf der Rückseite eines Schnellboots.")</f>
        <v>Ein Mann steht auf der Rückseite eines Schnellboots.</v>
      </c>
    </row>
    <row r="17463">
      <c r="A17463" s="4" t="s">
        <v>21977</v>
      </c>
      <c r="B17463" s="4" t="s">
        <v>21980</v>
      </c>
      <c r="C17463" s="5" t="str">
        <f>IFERROR(__xludf.DUMMYFUNCTION("GOOGLETRANSLATE(B17463,""en"",""de"")"),"Er legt sein Brett ins Wasser und beginnt mit Wasser Ski zu fahren.")</f>
        <v>Er legt sein Brett ins Wasser und beginnt mit Wasser Ski zu fahren.</v>
      </c>
    </row>
    <row r="17464">
      <c r="A17464" s="4" t="s">
        <v>21977</v>
      </c>
      <c r="B17464" s="4" t="s">
        <v>21981</v>
      </c>
      <c r="C17464" s="5" t="str">
        <f>IFERROR(__xludf.DUMMYFUNCTION("GOOGLETRANSLATE(B17464,""en"",""de"")"),"Er führt mehrere Tricks durch, während er Skiern.")</f>
        <v>Er führt mehrere Tricks durch, während er Skiern.</v>
      </c>
    </row>
    <row r="17465">
      <c r="A17465" s="4" t="s">
        <v>21982</v>
      </c>
      <c r="B17465" s="4" t="s">
        <v>21983</v>
      </c>
      <c r="C17465" s="5" t="str">
        <f>IFERROR(__xludf.DUMMYFUNCTION("GOOGLETRANSLATE(B17465,""en"",""de"")"),"Ein kleiner Junge schwingt eine Pinata an, ohne einen guten Hit zu bekommen.")</f>
        <v>Ein kleiner Junge schwingt eine Pinata an, ohne einen guten Hit zu bekommen.</v>
      </c>
    </row>
    <row r="17466">
      <c r="A17466" s="4" t="s">
        <v>21982</v>
      </c>
      <c r="B17466" s="4" t="s">
        <v>21984</v>
      </c>
      <c r="C17466" s="5" t="str">
        <f>IFERROR(__xludf.DUMMYFUNCTION("GOOGLETRANSLATE(B17466,""en"",""de"")"),"Der Junge weicht der Pinata aus, die ihn anschwingt.")</f>
        <v>Der Junge weicht der Pinata aus, die ihn anschwingt.</v>
      </c>
    </row>
    <row r="17467">
      <c r="A17467" s="4" t="s">
        <v>21982</v>
      </c>
      <c r="B17467" s="4" t="s">
        <v>21985</v>
      </c>
      <c r="C17467" s="5" t="str">
        <f>IFERROR(__xludf.DUMMYFUNCTION("GOOGLETRANSLATE(B17467,""en"",""de"")"),"Der Junge gibt auf und geht weg.")</f>
        <v>Der Junge gibt auf und geht weg.</v>
      </c>
    </row>
    <row r="17468">
      <c r="A17468" s="4" t="s">
        <v>21986</v>
      </c>
      <c r="B17468" s="4" t="s">
        <v>21987</v>
      </c>
      <c r="C17468" s="5" t="str">
        <f>IFERROR(__xludf.DUMMYFUNCTION("GOOGLETRANSLATE(B17468,""en"",""de"")"),"Ein Mann betritt einen Raum, der seine Dudelsack spielt.")</f>
        <v>Ein Mann betritt einen Raum, der seine Dudelsack spielt.</v>
      </c>
    </row>
    <row r="17469">
      <c r="A17469" s="4" t="s">
        <v>21986</v>
      </c>
      <c r="B17469" s="4" t="s">
        <v>21988</v>
      </c>
      <c r="C17469" s="5" t="str">
        <f>IFERROR(__xludf.DUMMYFUNCTION("GOOGLETRANSLATE(B17469,""en"",""de"")"),"Er hört auf, seine Dudelsack zu spielen.")</f>
        <v>Er hört auf, seine Dudelsack zu spielen.</v>
      </c>
    </row>
    <row r="17470">
      <c r="A17470" s="4" t="s">
        <v>21989</v>
      </c>
      <c r="B17470" s="4" t="s">
        <v>21990</v>
      </c>
      <c r="C17470" s="5" t="str">
        <f>IFERROR(__xludf.DUMMYFUNCTION("GOOGLETRANSLATE(B17470,""en"",""de"")"),"Eine Gruppe von Männern spricht in einem Raum.")</f>
        <v>Eine Gruppe von Männern spricht in einem Raum.</v>
      </c>
    </row>
    <row r="17471">
      <c r="A17471" s="4" t="s">
        <v>21989</v>
      </c>
      <c r="B17471" s="4" t="s">
        <v>21991</v>
      </c>
      <c r="C17471" s="5" t="str">
        <f>IFERROR(__xludf.DUMMYFUNCTION("GOOGLETRANSLATE(B17471,""en"",""de"")"),"Mehrere Kampfszenen stammen aus einem Kampfsportfilm.")</f>
        <v>Mehrere Kampfszenen stammen aus einem Kampfsportfilm.</v>
      </c>
    </row>
    <row r="17472">
      <c r="A17472" s="4" t="s">
        <v>21989</v>
      </c>
      <c r="B17472" s="4" t="s">
        <v>21992</v>
      </c>
      <c r="C17472" s="5" t="str">
        <f>IFERROR(__xludf.DUMMYFUNCTION("GOOGLETRANSLATE(B17472,""en"",""de"")"),"Sie bewegen sich schnell und geben vor, für die Kamera zu kämpfen.")</f>
        <v>Sie bewegen sich schnell und geben vor, für die Kamera zu kämpfen.</v>
      </c>
    </row>
    <row r="17473">
      <c r="A17473" s="4" t="s">
        <v>21993</v>
      </c>
      <c r="B17473" s="4" t="s">
        <v>21994</v>
      </c>
      <c r="C17473" s="5" t="str">
        <f>IFERROR(__xludf.DUMMYFUNCTION("GOOGLETRANSLATE(B17473,""en"",""de"")"),"Ein Mann wird gesehen, wie er mit der Kamera spricht und führt in Schüsse, in denen er einen Flur entlanggeht und einen Kaffee bekommt.")</f>
        <v>Ein Mann wird gesehen, wie er mit der Kamera spricht und führt in Schüsse, in denen er einen Flur entlanggeht und einen Kaffee bekommt.</v>
      </c>
    </row>
    <row r="17474">
      <c r="A17474" s="4" t="s">
        <v>21993</v>
      </c>
      <c r="B17474" s="4" t="s">
        <v>21995</v>
      </c>
      <c r="C17474" s="5" t="str">
        <f>IFERROR(__xludf.DUMMYFUNCTION("GOOGLETRANSLATE(B17474,""en"",""de"")"),"Er greift Zucker, legt einen Deckel über seinen Kaffee und lächelt dann in der Ferne, während er weggeht.")</f>
        <v>Er greift Zucker, legt einen Deckel über seinen Kaffee und lächelt dann in der Ferne, während er weggeht.</v>
      </c>
    </row>
    <row r="17475">
      <c r="A17475" s="4" t="s">
        <v>21996</v>
      </c>
      <c r="B17475" s="4" t="s">
        <v>21997</v>
      </c>
      <c r="C17475" s="5" t="str">
        <f>IFERROR(__xludf.DUMMYFUNCTION("GOOGLETRANSLATE(B17475,""en"",""de"")"),"Ein Mann malt professionell mehrere Möbelstücke mit einem Sprühmaler in einer Lackiererei, während er Overalls, ein Jeanshemd und eine Lackmaske trägt.")</f>
        <v>Ein Mann malt professionell mehrere Möbelstücke mit einem Sprühmaler in einer Lackiererei, während er Overalls, ein Jeanshemd und eine Lackmaske trägt.</v>
      </c>
    </row>
    <row r="17476">
      <c r="A17476" s="4" t="s">
        <v>21996</v>
      </c>
      <c r="B17476" s="4" t="s">
        <v>21998</v>
      </c>
      <c r="C17476" s="5" t="str">
        <f>IFERROR(__xludf.DUMMYFUNCTION("GOOGLETRANSLATE(B17476,""en"",""de"")"),"Der Mann beginnt damit, einen hölzernen Sessel metallisch grau mit einer goldenen Sprühfarbe zu malen.")</f>
        <v>Der Mann beginnt damit, einen hölzernen Sessel metallisch grau mit einer goldenen Sprühfarbe zu malen.</v>
      </c>
    </row>
    <row r="17477">
      <c r="A17477" s="4" t="s">
        <v>21996</v>
      </c>
      <c r="B17477" s="4" t="s">
        <v>21999</v>
      </c>
      <c r="C17477" s="5" t="str">
        <f>IFERROR(__xludf.DUMMYFUNCTION("GOOGLETRANSLATE(B17477,""en"",""de"")"),"Der Mann malt dann einen Seitentisch mit Schwarz mit Lichtern, die vom schwarz gestrichenen Holz leuchten.")</f>
        <v>Der Mann malt dann einen Seitentisch mit Schwarz mit Lichtern, die vom schwarz gestrichenen Holz leuchten.</v>
      </c>
    </row>
    <row r="17478">
      <c r="A17478" s="4" t="s">
        <v>21996</v>
      </c>
      <c r="B17478" s="4" t="s">
        <v>22000</v>
      </c>
      <c r="C17478" s="5" t="str">
        <f>IFERROR(__xludf.DUMMYFUNCTION("GOOGLETRANSLATE(B17478,""en"",""de"")"),"Der Mann endet damit, eine Kommodenschublade Pink zu malen, bevor die Szene zu einer schwarzen Marketinggrafik verblasst.")</f>
        <v>Der Mann endet damit, eine Kommodenschublade Pink zu malen, bevor die Szene zu einer schwarzen Marketinggrafik verblasst.</v>
      </c>
    </row>
    <row r="17479">
      <c r="A17479" s="4" t="s">
        <v>22001</v>
      </c>
      <c r="B17479" s="4" t="s">
        <v>22002</v>
      </c>
      <c r="C17479" s="5" t="str">
        <f>IFERROR(__xludf.DUMMYFUNCTION("GOOGLETRANSLATE(B17479,""en"",""de"")"),"Ein Mann fängt an, ein Dirt -Fahrrad zu fahren und stürzt sofort hinter sich in den Boden.")</f>
        <v>Ein Mann fängt an, ein Dirt -Fahrrad zu fahren und stürzt sofort hinter sich in den Boden.</v>
      </c>
    </row>
    <row r="17480">
      <c r="A17480" s="4" t="s">
        <v>22001</v>
      </c>
      <c r="B17480" s="4" t="s">
        <v>22003</v>
      </c>
      <c r="C17480" s="5" t="str">
        <f>IFERROR(__xludf.DUMMYFUNCTION("GOOGLETRANSLATE(B17480,""en"",""de"")"),"Das Video folgt mehreren weiteren Personen, die versuchen, ein Dirt -Fahrrad zu fahren und sofort auf dem Weg vor ihnen zu stürzen.")</f>
        <v>Das Video folgt mehreren weiteren Personen, die versuchen, ein Dirt -Fahrrad zu fahren und sofort auf dem Weg vor ihnen zu stürzen.</v>
      </c>
    </row>
    <row r="17481">
      <c r="A17481" s="4" t="s">
        <v>22004</v>
      </c>
      <c r="B17481" s="4" t="s">
        <v>22005</v>
      </c>
      <c r="C17481" s="5" t="str">
        <f>IFERROR(__xludf.DUMMYFUNCTION("GOOGLETRANSLATE(B17481,""en"",""de"")"),"Ein Junge und ein Mädchen sitzen in seinem Wohnzimmer mit bunten Garn und demonstrieren, wie man strickt.")</f>
        <v>Ein Junge und ein Mädchen sitzen in seinem Wohnzimmer mit bunten Garn und demonstrieren, wie man strickt.</v>
      </c>
    </row>
    <row r="17482">
      <c r="A17482" s="4" t="s">
        <v>22004</v>
      </c>
      <c r="B17482" s="4" t="s">
        <v>22006</v>
      </c>
      <c r="C17482" s="5" t="str">
        <f>IFERROR(__xludf.DUMMYFUNCTION("GOOGLETRANSLATE(B17482,""en"",""de"")"),"Der Junge trägt einen blauen Hoodie und das Mädchen trägt einen weißen Pullover mit blauen horizontalen Streifen.")</f>
        <v>Der Junge trägt einen blauen Hoodie und das Mädchen trägt einen weißen Pullover mit blauen horizontalen Streifen.</v>
      </c>
    </row>
    <row r="17483">
      <c r="A17483" s="4" t="s">
        <v>22004</v>
      </c>
      <c r="B17483" s="4" t="s">
        <v>22007</v>
      </c>
      <c r="C17483" s="5" t="str">
        <f>IFERROR(__xludf.DUMMYFUNCTION("GOOGLETRANSLATE(B17483,""en"",""de"")"),"Die Mutter, die im Video nicht abgebildet ist, zeigt sie.")</f>
        <v>Die Mutter, die im Video nicht abgebildet ist, zeigt sie.</v>
      </c>
    </row>
    <row r="17484">
      <c r="A17484" s="4" t="s">
        <v>22004</v>
      </c>
      <c r="B17484" s="4" t="s">
        <v>22008</v>
      </c>
      <c r="C17484" s="5" t="str">
        <f>IFERROR(__xludf.DUMMYFUNCTION("GOOGLETRANSLATE(B17484,""en"",""de"")"),"Der Junge hält die Nadeln hoch und zeigt, wie er das Garn zum Stricken nutzt.")</f>
        <v>Der Junge hält die Nadeln hoch und zeigt, wie er das Garn zum Stricken nutzt.</v>
      </c>
    </row>
    <row r="17485">
      <c r="A17485" s="4" t="s">
        <v>22009</v>
      </c>
      <c r="B17485" s="4" t="s">
        <v>22010</v>
      </c>
      <c r="C17485" s="5" t="str">
        <f>IFERROR(__xludf.DUMMYFUNCTION("GOOGLETRANSLATE(B17485,""en"",""de"")"),"Eine Gruppe maskierter Leute, die nur Schwarz tragen, spielen in einem Kriegsfeld ein animiertes grafisches Paintballspiel.")</f>
        <v>Eine Gruppe maskierter Leute, die nur Schwarz tragen, spielen in einem Kriegsfeld ein animiertes grafisches Paintballspiel.</v>
      </c>
    </row>
    <row r="17486">
      <c r="A17486" s="4" t="s">
        <v>22009</v>
      </c>
      <c r="B17486" s="4" t="s">
        <v>22011</v>
      </c>
      <c r="C17486" s="5" t="str">
        <f>IFERROR(__xludf.DUMMYFUNCTION("GOOGLETRANSLATE(B17486,""en"",""de"")"),"Eine animierte Person führt durch ein Feld schwarzer maskierter Soldaten mit einer Lackpistole und beginnt, Menschen zu schießen. Mehrere Menschen sind unter einem Kriegsfeld verwundet, das mit leeren Steinhütten und verlassenen Autos übersät ist.")</f>
        <v>Eine animierte Person führt durch ein Feld schwarzer maskierter Soldaten mit einer Lackpistole und beginnt, Menschen zu schießen. Mehrere Menschen sind unter einem Kriegsfeld verwundet, das mit leeren Steinhütten und verlassenen Autos übersät ist.</v>
      </c>
    </row>
    <row r="17487">
      <c r="A17487" s="4" t="s">
        <v>22009</v>
      </c>
      <c r="B17487" s="4" t="s">
        <v>22012</v>
      </c>
      <c r="C17487" s="5" t="str">
        <f>IFERROR(__xludf.DUMMYFUNCTION("GOOGLETRANSLATE(B17487,""en"",""de"")"),"Die kämpfenden Soldaten passieren einen animierten Hund an der Leine mit einer Person in einer schwarzen und weißen Schiedsrichteruniform, die die Leine hält.")</f>
        <v>Die kämpfenden Soldaten passieren einen animierten Hund an der Leine mit einer Person in einer schwarzen und weißen Schiedsrichteruniform, die die Leine hält.</v>
      </c>
    </row>
    <row r="17488">
      <c r="A17488" s="4" t="s">
        <v>22009</v>
      </c>
      <c r="B17488" s="4" t="s">
        <v>22013</v>
      </c>
      <c r="C17488" s="5" t="str">
        <f>IFERROR(__xludf.DUMMYFUNCTION("GOOGLETRANSLATE(B17488,""en"",""de"")"),"Die Schießerei wird unter den maskierten Soldaten fortgesetzt, bis ein ""Roter Team gewinnt"" Briefbox erscheint und die Soldaten nach rechts und in Zahlen dünn sind.")</f>
        <v>Die Schießerei wird unter den maskierten Soldaten fortgesetzt, bis ein "Roter Team gewinnt" Briefbox erscheint und die Soldaten nach rechts und in Zahlen dünn sind.</v>
      </c>
    </row>
    <row r="17489">
      <c r="A17489" s="4" t="s">
        <v>22014</v>
      </c>
      <c r="B17489" s="4" t="s">
        <v>22015</v>
      </c>
      <c r="C17489" s="5" t="str">
        <f>IFERROR(__xludf.DUMMYFUNCTION("GOOGLETRANSLATE(B17489,""en"",""de"")"),"Ein Mann wird gesehen, wie er sich beugt, während er einen Häkelschläger hält und einen Ball durch ein Loch schlägt.")</f>
        <v>Ein Mann wird gesehen, wie er sich beugt, während er einen Häkelschläger hält und einen Ball durch ein Loch schlägt.</v>
      </c>
    </row>
    <row r="17490">
      <c r="A17490" s="4" t="s">
        <v>22014</v>
      </c>
      <c r="B17490" s="4" t="s">
        <v>22016</v>
      </c>
      <c r="C17490" s="5" t="str">
        <f>IFERROR(__xludf.DUMMYFUNCTION("GOOGLETRANSLATE(B17490,""en"",""de"")"),"Der Mann hält dann seine Hände hoch und blickt zurück zur Kamera und lächelt.")</f>
        <v>Der Mann hält dann seine Hände hoch und blickt zurück zur Kamera und lächelt.</v>
      </c>
    </row>
    <row r="17491">
      <c r="A17491" s="4" t="s">
        <v>22017</v>
      </c>
      <c r="B17491" s="4" t="s">
        <v>22018</v>
      </c>
      <c r="C17491" s="5" t="str">
        <f>IFERROR(__xludf.DUMMYFUNCTION("GOOGLETRANSLATE(B17491,""en"",""de"")"),"Taucher wechseln abwechselnd von hohen Tauchplattformen in einen Schwimmbad ab.")</f>
        <v>Taucher wechseln abwechselnd von hohen Tauchplattformen in einen Schwimmbad ab.</v>
      </c>
    </row>
    <row r="17492">
      <c r="A17492" s="4" t="s">
        <v>22017</v>
      </c>
      <c r="B17492" s="4" t="s">
        <v>22019</v>
      </c>
      <c r="C17492" s="5" t="str">
        <f>IFERROR(__xludf.DUMMYFUNCTION("GOOGLETRANSLATE(B17492,""en"",""de"")"),"Die Menge klatscht und beobachtet die unterschiedliche Leistung.")</f>
        <v>Die Menge klatscht und beobachtet die unterschiedliche Leistung.</v>
      </c>
    </row>
    <row r="17493">
      <c r="A17493" s="4" t="s">
        <v>22017</v>
      </c>
      <c r="B17493" s="4" t="s">
        <v>22020</v>
      </c>
      <c r="C17493" s="5" t="str">
        <f>IFERROR(__xludf.DUMMYFUNCTION("GOOGLETRANSLATE(B17493,""en"",""de"")"),"Ein Taucher macht einen Handstand von der höchsten Plattform in den Schwimmbad.")</f>
        <v>Ein Taucher macht einen Handstand von der höchsten Plattform in den Schwimmbad.</v>
      </c>
    </row>
    <row r="17494">
      <c r="A17494" s="4" t="s">
        <v>22021</v>
      </c>
      <c r="B17494" s="4" t="s">
        <v>22022</v>
      </c>
      <c r="C17494" s="5" t="str">
        <f>IFERROR(__xludf.DUMMYFUNCTION("GOOGLETRANSLATE(B17494,""en"",""de"")"),"Eine Frau tanzt auf einer Bühne.")</f>
        <v>Eine Frau tanzt auf einer Bühne.</v>
      </c>
    </row>
    <row r="17495">
      <c r="A17495" s="4" t="s">
        <v>22021</v>
      </c>
      <c r="B17495" s="4" t="s">
        <v>22023</v>
      </c>
      <c r="C17495" s="5" t="str">
        <f>IFERROR(__xludf.DUMMYFUNCTION("GOOGLETRANSLATE(B17495,""en"",""de"")"),"Es gibt eine Nahaufnahme ihres Bauches.")</f>
        <v>Es gibt eine Nahaufnahme ihres Bauches.</v>
      </c>
    </row>
    <row r="17496">
      <c r="A17496" s="4" t="s">
        <v>22021</v>
      </c>
      <c r="B17496" s="4" t="s">
        <v>22024</v>
      </c>
      <c r="C17496" s="5" t="str">
        <f>IFERROR(__xludf.DUMMYFUNCTION("GOOGLETRANSLATE(B17496,""en"",""de"")"),"Sie verlangsamt ihren Tanz und dreht Kreise.")</f>
        <v>Sie verlangsamt ihren Tanz und dreht Kreise.</v>
      </c>
    </row>
    <row r="17497">
      <c r="A17497" s="4" t="s">
        <v>22025</v>
      </c>
      <c r="B17497" s="4" t="s">
        <v>22026</v>
      </c>
      <c r="C17497" s="5" t="str">
        <f>IFERROR(__xludf.DUMMYFUNCTION("GOOGLETRANSLATE(B17497,""en"",""de"")"),"Ein großer Wasserfall wird außerhalb einer felsigen Wasserspur gezeigt.")</f>
        <v>Ein großer Wasserfall wird außerhalb einer felsigen Wasserspur gezeigt.</v>
      </c>
    </row>
    <row r="17498">
      <c r="A17498" s="4" t="s">
        <v>22025</v>
      </c>
      <c r="B17498" s="4" t="s">
        <v>22027</v>
      </c>
      <c r="C17498" s="5" t="str">
        <f>IFERROR(__xludf.DUMMYFUNCTION("GOOGLETRANSLATE(B17498,""en"",""de"")"),"Plötzlich kommt eine Person auf einem langen Floß das Wasser hinunter und geht mit Leichtigkeit über den Herbst.")</f>
        <v>Plötzlich kommt eine Person auf einem langen Floß das Wasser hinunter und geht mit Leichtigkeit über den Herbst.</v>
      </c>
    </row>
    <row r="17499">
      <c r="A17499" s="4" t="s">
        <v>22025</v>
      </c>
      <c r="B17499" s="4" t="s">
        <v>22028</v>
      </c>
      <c r="C17499" s="5" t="str">
        <f>IFERROR(__xludf.DUMMYFUNCTION("GOOGLETRANSLATE(B17499,""en"",""de"")"),"Sobald sie vorbei paddeln und durch das Wasser segeln, als die Menschen an der Seite zu sehen sind.")</f>
        <v>Sobald sie vorbei paddeln und durch das Wasser segeln, als die Menschen an der Seite zu sehen sind.</v>
      </c>
    </row>
    <row r="17500">
      <c r="A17500" s="4" t="s">
        <v>22029</v>
      </c>
      <c r="B17500" s="4" t="s">
        <v>22030</v>
      </c>
      <c r="C17500" s="5" t="str">
        <f>IFERROR(__xludf.DUMMYFUNCTION("GOOGLETRANSLATE(B17500,""en"",""de"")"),"Zuerst zeigt die Kamera die drei Personen, die den Schneeschlauch in der rutschigen schneebedeckten Rutsche hinunter sind.")</f>
        <v>Zuerst zeigt die Kamera die drei Personen, die den Schneeschlauch in der rutschigen schneebedeckten Rutsche hinunter sind.</v>
      </c>
    </row>
    <row r="17501">
      <c r="A17501" s="4" t="s">
        <v>22029</v>
      </c>
      <c r="B17501" s="4" t="s">
        <v>22031</v>
      </c>
      <c r="C17501" s="5" t="str">
        <f>IFERROR(__xludf.DUMMYFUNCTION("GOOGLETRANSLATE(B17501,""en"",""de"")"),"Dann wird eine Person gezeigt, die Gläser und andere Schneegrenzen in den Schneerohren trägt.")</f>
        <v>Dann wird eine Person gezeigt, die Gläser und andere Schneegrenzen in den Schneerohren trägt.</v>
      </c>
    </row>
    <row r="17502">
      <c r="A17502" s="4" t="s">
        <v>22029</v>
      </c>
      <c r="B17502" s="4" t="s">
        <v>22032</v>
      </c>
      <c r="C17502" s="5" t="str">
        <f>IFERROR(__xludf.DUMMYFUNCTION("GOOGLETRANSLATE(B17502,""en"",""de"")"),"Dann wird eine große Anzahl anderer Menschen nebeneinander Schneeschlauch gezeigt.")</f>
        <v>Dann wird eine große Anzahl anderer Menschen nebeneinander Schneeschlauch gezeigt.</v>
      </c>
    </row>
    <row r="17503">
      <c r="A17503" s="4" t="s">
        <v>22033</v>
      </c>
      <c r="B17503" s="4" t="s">
        <v>22034</v>
      </c>
      <c r="C17503" s="5" t="str">
        <f>IFERROR(__xludf.DUMMYFUNCTION("GOOGLETRANSLATE(B17503,""en"",""de"")"),"Eine Person hat gesehen, wie eine Wand malt, während die Kamera ihn schnell bewegt und andere in und aus dem Rahmen gehen.")</f>
        <v>Eine Person hat gesehen, wie eine Wand malt, während die Kamera ihn schnell bewegt und andere in und aus dem Rahmen gehen.</v>
      </c>
    </row>
    <row r="17504">
      <c r="A17504" s="4" t="s">
        <v>22033</v>
      </c>
      <c r="B17504" s="4" t="s">
        <v>22035</v>
      </c>
      <c r="C17504" s="5" t="str">
        <f>IFERROR(__xludf.DUMMYFUNCTION("GOOGLETRANSLATE(B17504,""en"",""de"")"),"Die Person malt weiter an der Wand, wobei andere Menschen herumstehen und helfen.")</f>
        <v>Die Person malt weiter an der Wand, wobei andere Menschen herumstehen und helfen.</v>
      </c>
    </row>
    <row r="17505">
      <c r="A17505" s="4" t="s">
        <v>22036</v>
      </c>
      <c r="B17505" s="4" t="s">
        <v>22037</v>
      </c>
      <c r="C17505" s="5" t="str">
        <f>IFERROR(__xludf.DUMMYFUNCTION("GOOGLETRANSLATE(B17505,""en"",""de"")"),"Ein Mann snowboarnt schnell einen sehr steilen Hügel hinunter.")</f>
        <v>Ein Mann snowboarnt schnell einen sehr steilen Hügel hinunter.</v>
      </c>
    </row>
    <row r="17506">
      <c r="A17506" s="4" t="s">
        <v>22036</v>
      </c>
      <c r="B17506" s="4" t="s">
        <v>22038</v>
      </c>
      <c r="C17506" s="5" t="str">
        <f>IFERROR(__xludf.DUMMYFUNCTION("GOOGLETRANSLATE(B17506,""en"",""de"")"),"Das Video mischt sich mit verschiedenen Winkeln ein, die diese Reise auf aufregende Weise den Berg hinunter zeigen.")</f>
        <v>Das Video mischt sich mit verschiedenen Winkeln ein, die diese Reise auf aufregende Weise den Berg hinunter zeigen.</v>
      </c>
    </row>
    <row r="17507">
      <c r="A17507" s="4" t="s">
        <v>22036</v>
      </c>
      <c r="B17507" s="4" t="s">
        <v>22039</v>
      </c>
      <c r="C17507" s="5" t="str">
        <f>IFERROR(__xludf.DUMMYFUNCTION("GOOGLETRANSLATE(B17507,""en"",""de"")"),"Das Kind springt von einem für diesen Zweck beabsichtigten Baumstamm und fährt den Hügel hinunter.")</f>
        <v>Das Kind springt von einem für diesen Zweck beabsichtigten Baumstamm und fährt den Hügel hinunter.</v>
      </c>
    </row>
    <row r="17508">
      <c r="A17508" s="4" t="s">
        <v>22036</v>
      </c>
      <c r="B17508" s="4" t="s">
        <v>22040</v>
      </c>
      <c r="C17508" s="5" t="str">
        <f>IFERROR(__xludf.DUMMYFUNCTION("GOOGLETRANSLATE(B17508,""en"",""de"")"),"Ein anderer Mann in Yellow macht eine kleine Schneerampe zurück, während sie den Berg hinuntergehen.")</f>
        <v>Ein anderer Mann in Yellow macht eine kleine Schneerampe zurück, während sie den Berg hinuntergehen.</v>
      </c>
    </row>
    <row r="17509">
      <c r="A17509" s="4" t="s">
        <v>22036</v>
      </c>
      <c r="B17509" s="4" t="s">
        <v>22041</v>
      </c>
      <c r="C17509" s="5" t="str">
        <f>IFERROR(__xludf.DUMMYFUNCTION("GOOGLETRANSLATE(B17509,""en"",""de"")"),"Ein anderer Mann in Blau macht dasselbe und es gibt verschiedene Schnitte zwischen den dreien hin und her.")</f>
        <v>Ein anderer Mann in Blau macht dasselbe und es gibt verschiedene Schnitte zwischen den dreien hin und her.</v>
      </c>
    </row>
    <row r="17510">
      <c r="A17510" s="4" t="s">
        <v>22036</v>
      </c>
      <c r="B17510" s="4" t="s">
        <v>22042</v>
      </c>
      <c r="C17510" s="5" t="str">
        <f>IFERROR(__xludf.DUMMYFUNCTION("GOOGLETRANSLATE(B17510,""en"",""de"")"),"Sie sind hochqualifiziert und gehen jedes Hindernis ab, das sie finden können.")</f>
        <v>Sie sind hochqualifiziert und gehen jedes Hindernis ab, das sie finden können.</v>
      </c>
    </row>
    <row r="17511">
      <c r="A17511" s="4" t="s">
        <v>22036</v>
      </c>
      <c r="B17511" s="4" t="s">
        <v>22043</v>
      </c>
      <c r="C17511" s="5" t="str">
        <f>IFERROR(__xludf.DUMMYFUNCTION("GOOGLETRANSLATE(B17511,""en"",""de"")"),"Das Video zeigt dann mehrere Personen, die einen sehr felsigen Berg aufwandern, wenn sie mit der Kamera sprechen.")</f>
        <v>Das Video zeigt dann mehrere Personen, die einen sehr felsigen Berg aufwandern, wenn sie mit der Kamera sprechen.</v>
      </c>
    </row>
    <row r="17512">
      <c r="A17512" s="4" t="s">
        <v>22036</v>
      </c>
      <c r="B17512" s="4" t="s">
        <v>22044</v>
      </c>
      <c r="C17512" s="5" t="str">
        <f>IFERROR(__xludf.DUMMYFUNCTION("GOOGLETRANSLATE(B17512,""en"",""de"")"),"Die Leute, die geklettert sind, sind dann Snowboard in einem wagdlichen Stunt hinunter.")</f>
        <v>Die Leute, die geklettert sind, sind dann Snowboard in einem wagdlichen Stunt hinunter.</v>
      </c>
    </row>
    <row r="17513">
      <c r="A17513" s="4" t="s">
        <v>22045</v>
      </c>
      <c r="B17513" s="4" t="s">
        <v>22046</v>
      </c>
      <c r="C17513" s="5" t="str">
        <f>IFERROR(__xludf.DUMMYFUNCTION("GOOGLETRANSLATE(B17513,""en"",""de"")"),"Ein junges Mädchen benutzt eine Kelle an einer Wand und sitzt auf dem Boden.")</f>
        <v>Ein junges Mädchen benutzt eine Kelle an einer Wand und sitzt auf dem Boden.</v>
      </c>
    </row>
    <row r="17514">
      <c r="A17514" s="4" t="s">
        <v>22045</v>
      </c>
      <c r="B17514" s="4" t="s">
        <v>22047</v>
      </c>
      <c r="C17514" s="5" t="str">
        <f>IFERROR(__xludf.DUMMYFUNCTION("GOOGLETRANSLATE(B17514,""en"",""de"")"),"Sie steht und wischt sich ihre Kelle mit einem Pinsel ab.")</f>
        <v>Sie steht und wischt sich ihre Kelle mit einem Pinsel ab.</v>
      </c>
    </row>
    <row r="17515">
      <c r="A17515" s="4" t="s">
        <v>22045</v>
      </c>
      <c r="B17515" s="4" t="s">
        <v>22048</v>
      </c>
      <c r="C17515" s="5" t="str">
        <f>IFERROR(__xludf.DUMMYFUNCTION("GOOGLETRANSLATE(B17515,""en"",""de"")"),"Sie kehrt zur Wandarbeit zurück.")</f>
        <v>Sie kehrt zur Wandarbeit zurück.</v>
      </c>
    </row>
    <row r="17516">
      <c r="A17516" s="4" t="s">
        <v>22045</v>
      </c>
      <c r="B17516" s="4" t="s">
        <v>22049</v>
      </c>
      <c r="C17516" s="5" t="str">
        <f>IFERROR(__xludf.DUMMYFUNCTION("GOOGLETRANSLATE(B17516,""en"",""de"")"),"Sie steht und Punkte und die Wand.")</f>
        <v>Sie steht und Punkte und die Wand.</v>
      </c>
    </row>
    <row r="17517">
      <c r="A17517" s="4" t="s">
        <v>22045</v>
      </c>
      <c r="B17517" s="4" t="s">
        <v>22050</v>
      </c>
      <c r="C17517" s="5" t="str">
        <f>IFERROR(__xludf.DUMMYFUNCTION("GOOGLETRANSLATE(B17517,""en"",""de"")"),"Sie wischt sich die Pinsel wieder auf der Kelle.")</f>
        <v>Sie wischt sich die Pinsel wieder auf der Kelle.</v>
      </c>
    </row>
    <row r="17518">
      <c r="A17518" s="4" t="s">
        <v>22045</v>
      </c>
      <c r="B17518" s="4" t="s">
        <v>22051</v>
      </c>
      <c r="C17518" s="5" t="str">
        <f>IFERROR(__xludf.DUMMYFUNCTION("GOOGLETRANSLATE(B17518,""en"",""de"")"),"Sie glättet die Wand wieder.")</f>
        <v>Sie glättet die Wand wieder.</v>
      </c>
    </row>
    <row r="17519">
      <c r="A17519" s="4" t="s">
        <v>22045</v>
      </c>
      <c r="B17519" s="4" t="s">
        <v>22052</v>
      </c>
      <c r="C17519" s="5" t="str">
        <f>IFERROR(__xludf.DUMMYFUNCTION("GOOGLETRANSLATE(B17519,""en"",""de"")"),"Die Mädchen benutzen eine Pinsel, um ihr Werkzeug zu reinigen.")</f>
        <v>Die Mädchen benutzen eine Pinsel, um ihr Werkzeug zu reinigen.</v>
      </c>
    </row>
    <row r="17520">
      <c r="A17520" s="4" t="s">
        <v>22045</v>
      </c>
      <c r="B17520" s="4" t="s">
        <v>22053</v>
      </c>
      <c r="C17520" s="5" t="str">
        <f>IFERROR(__xludf.DUMMYFUNCTION("GOOGLETRANSLATE(B17520,""en"",""de"")"),"Sie wischt sich die Wand erneut ab und reinigt dann zweimal ihre Bürste.")</f>
        <v>Sie wischt sich die Wand erneut ab und reinigt dann zweimal ihre Bürste.</v>
      </c>
    </row>
    <row r="17521">
      <c r="A17521" s="4" t="s">
        <v>22045</v>
      </c>
      <c r="B17521" s="4" t="s">
        <v>22054</v>
      </c>
      <c r="C17521" s="5" t="str">
        <f>IFERROR(__xludf.DUMMYFUNCTION("GOOGLETRANSLATE(B17521,""en"",""de"")"),"Wir zeigen die Oberseite der Wand und das Mädchen, während sie arbeitet.")</f>
        <v>Wir zeigen die Oberseite der Wand und das Mädchen, während sie arbeitet.</v>
      </c>
    </row>
    <row r="17522">
      <c r="A17522" s="4" t="s">
        <v>22055</v>
      </c>
      <c r="B17522" s="4" t="s">
        <v>22056</v>
      </c>
      <c r="C17522" s="5" t="str">
        <f>IFERROR(__xludf.DUMMYFUNCTION("GOOGLETRANSLATE(B17522,""en"",""de"")"),"Ein Intro -Bildschirm wird mit Logos, Firmennamen und Website angezeigt.")</f>
        <v>Ein Intro -Bildschirm wird mit Logos, Firmennamen und Website angezeigt.</v>
      </c>
    </row>
    <row r="17523">
      <c r="A17523" s="4" t="s">
        <v>22055</v>
      </c>
      <c r="B17523" s="4" t="s">
        <v>22057</v>
      </c>
      <c r="C17523" s="5" t="str">
        <f>IFERROR(__xludf.DUMMYFUNCTION("GOOGLETRANSLATE(B17523,""en"",""de"")"),"Eine Frau biegt vor 3 Kisten und beginnt, geflieste Teppichstücke aus der Oberkiste herauszuziehen.")</f>
        <v>Eine Frau biegt vor 3 Kisten und beginnt, geflieste Teppichstücke aus der Oberkiste herauszuziehen.</v>
      </c>
    </row>
    <row r="17524">
      <c r="A17524" s="4" t="s">
        <v>22055</v>
      </c>
      <c r="B17524" s="4" t="s">
        <v>22058</v>
      </c>
      <c r="C17524" s="5" t="str">
        <f>IFERROR(__xludf.DUMMYFUNCTION("GOOGLETRANSLATE(B17524,""en"",""de"")"),"Eine Reihe von Werkzeugen erscheinen auf einem gefliesten Boden und enthalten: Teppichklebeband, Messer, klebrige Laschen und ein T-Quadrat.")</f>
        <v>Eine Reihe von Werkzeugen erscheinen auf einem gefliesten Boden und enthalten: Teppichklebeband, Messer, klebrige Laschen und ein T-Quadrat.</v>
      </c>
    </row>
    <row r="17525">
      <c r="A17525" s="4" t="s">
        <v>22055</v>
      </c>
      <c r="B17525" s="4" t="s">
        <v>22059</v>
      </c>
      <c r="C17525" s="5" t="str">
        <f>IFERROR(__xludf.DUMMYFUNCTION("GOOGLETRANSLATE(B17525,""en"",""de"")"),"Die Frau ist auf einem gefliesten Boden mit einem Haufen gefliester Teppiche vor sich und sie beginnt, die überschüssigen Teppichstücke von der Vorder- und Rückseite der Stücke abzuwischen.")</f>
        <v>Die Frau ist auf einem gefliesten Boden mit einem Haufen gefliester Teppiche vor sich und sie beginnt, die überschüssigen Teppichstücke von der Vorder- und Rückseite der Stücke abzuwischen.</v>
      </c>
    </row>
    <row r="17526">
      <c r="A17526" s="4" t="s">
        <v>22055</v>
      </c>
      <c r="B17526" s="4" t="s">
        <v>22060</v>
      </c>
      <c r="C17526" s="5" t="str">
        <f>IFERROR(__xludf.DUMMYFUNCTION("GOOGLETRANSLATE(B17526,""en"",""de"")"),"Ein Bildschirm erscheint mit den Wörtern ""Installationsmethoden"" und enthält 3 verschiedene Layoutsdiagramme. Anschließend werden in jedem Layout verschiedene geflieste Teppiche angezeigt.")</f>
        <v>Ein Bildschirm erscheint mit den Wörtern "Installationsmethoden" und enthält 3 verschiedene Layoutsdiagramme. Anschließend werden in jedem Layout verschiedene geflieste Teppiche angezeigt.</v>
      </c>
    </row>
    <row r="17527">
      <c r="A17527" s="4" t="s">
        <v>22055</v>
      </c>
      <c r="B17527" s="4" t="s">
        <v>22061</v>
      </c>
      <c r="C17527" s="5" t="str">
        <f>IFERROR(__xludf.DUMMYFUNCTION("GOOGLETRANSLATE(B17527,""en"",""de"")"),"Eine Frau kniet jetzt auf einem gefliesten Stück Teppich und sie zieht doppelseitige Klebebänder von einem Blatt und legt sie auf die gefliesten Teppiche und steckt sie auf den Boden.")</f>
        <v>Eine Frau kniet jetzt auf einem gefliesten Stück Teppich und sie zieht doppelseitige Klebebänder von einem Blatt und legt sie auf die gefliesten Teppiche und steckt sie auf den Boden.</v>
      </c>
    </row>
    <row r="17528">
      <c r="A17528" s="4" t="s">
        <v>22055</v>
      </c>
      <c r="B17528" s="4" t="s">
        <v>22062</v>
      </c>
      <c r="C17528" s="5" t="str">
        <f>IFERROR(__xludf.DUMMYFUNCTION("GOOGLETRANSLATE(B17528,""en"",""de"")"),"Eine andere Frau erscheint in der Nähe einer Wand und sie zeigt, wie man Fliesen schneidet, sobald eine Wand erreicht ist, und benutzt einen langen Lineal, um die Teppichfliesen zu messen, zu schneiden und zu zerbrechen und sie wieder auf den Boden zu leg"&amp;"en.")</f>
        <v>Eine andere Frau erscheint in der Nähe einer Wand und sie zeigt, wie man Fliesen schneidet, sobald eine Wand erreicht ist, und benutzt einen langen Lineal, um die Teppichfliesen zu messen, zu schneiden und zu zerbrechen und sie wieder auf den Boden zu legen.</v>
      </c>
    </row>
    <row r="17529">
      <c r="A17529" s="4" t="s">
        <v>22055</v>
      </c>
      <c r="B17529" s="4" t="s">
        <v>22063</v>
      </c>
      <c r="C17529" s="5" t="str">
        <f>IFERROR(__xludf.DUMMYFUNCTION("GOOGLETRANSLATE(B17529,""en"",""de"")"),"Das Outro ist ein weißer Bildschirm mit Logos, Firmennamen und Website.")</f>
        <v>Das Outro ist ein weißer Bildschirm mit Logos, Firmennamen und Website.</v>
      </c>
    </row>
    <row r="17530">
      <c r="A17530" s="4" t="s">
        <v>22064</v>
      </c>
      <c r="B17530" s="4" t="s">
        <v>22065</v>
      </c>
      <c r="C17530" s="5" t="str">
        <f>IFERROR(__xludf.DUMMYFUNCTION("GOOGLETRANSLATE(B17530,""en"",""de"")"),"Ein Mann geht vorwärts und spricht mit der Kamera, während zwei Leute ein Objekt hinter sich ziehen.")</f>
        <v>Ein Mann geht vorwärts und spricht mit der Kamera, während zwei Leute ein Objekt hinter sich ziehen.</v>
      </c>
    </row>
    <row r="17531">
      <c r="A17531" s="4" t="s">
        <v>22064</v>
      </c>
      <c r="B17531" s="4" t="s">
        <v>22066</v>
      </c>
      <c r="C17531" s="5" t="str">
        <f>IFERROR(__xludf.DUMMYFUNCTION("GOOGLETRANSLATE(B17531,""en"",""de"")"),"Der Mann spricht dann, während eine Frau neben ihm trainiert.")</f>
        <v>Der Mann spricht dann, während eine Frau neben ihm trainiert.</v>
      </c>
    </row>
    <row r="17532">
      <c r="A17532" s="4" t="s">
        <v>22064</v>
      </c>
      <c r="B17532" s="4" t="s">
        <v>22067</v>
      </c>
      <c r="C17532" s="5" t="str">
        <f>IFERROR(__xludf.DUMMYFUNCTION("GOOGLETRANSLATE(B17532,""en"",""de"")"),"Der Mann spricht weiter und Text wird auf dem Bildschirm angezeigt.")</f>
        <v>Der Mann spricht weiter und Text wird auf dem Bildschirm angezeigt.</v>
      </c>
    </row>
    <row r="17533">
      <c r="A17533" s="4" t="s">
        <v>22068</v>
      </c>
      <c r="B17533" s="4" t="s">
        <v>22069</v>
      </c>
      <c r="C17533" s="5" t="str">
        <f>IFERROR(__xludf.DUMMYFUNCTION("GOOGLETRANSLATE(B17533,""en"",""de"")"),"Die Leute stehen in einem Raum herum.")</f>
        <v>Die Leute stehen in einem Raum herum.</v>
      </c>
    </row>
    <row r="17534">
      <c r="A17534" s="4" t="s">
        <v>22068</v>
      </c>
      <c r="B17534" s="4" t="s">
        <v>22070</v>
      </c>
      <c r="C17534" s="5" t="str">
        <f>IFERROR(__xludf.DUMMYFUNCTION("GOOGLETRANSLATE(B17534,""en"",""de"")"),"Die Leute machen Karate, während einige Schlagzeug spielen.")</f>
        <v>Die Leute machen Karate, während einige Schlagzeug spielen.</v>
      </c>
    </row>
    <row r="17535">
      <c r="A17535" s="4" t="s">
        <v>22068</v>
      </c>
      <c r="B17535" s="4" t="s">
        <v>22071</v>
      </c>
      <c r="C17535" s="5" t="str">
        <f>IFERROR(__xludf.DUMMYFUNCTION("GOOGLETRANSLATE(B17535,""en"",""de"")"),"Die Karate -Gegner schütteln die Hände und umarmen sich.")</f>
        <v>Die Karate -Gegner schütteln die Hände und umarmen sich.</v>
      </c>
    </row>
    <row r="17536">
      <c r="A17536" s="4" t="s">
        <v>22072</v>
      </c>
      <c r="B17536" s="4" t="s">
        <v>22073</v>
      </c>
      <c r="C17536" s="5" t="str">
        <f>IFERROR(__xludf.DUMMYFUNCTION("GOOGLETRANSLATE(B17536,""en"",""de"")"),"Ein kleines Mädchen/Kleinkind steht draußen, auf einem grasgedeckten Feld und schlägt wiederholt ein rosa Pinata, das an einem Baum hängt.")</f>
        <v>Ein kleines Mädchen/Kleinkind steht draußen, auf einem grasgedeckten Feld und schlägt wiederholt ein rosa Pinata, das an einem Baum hängt.</v>
      </c>
    </row>
    <row r="17537">
      <c r="A17537" s="4" t="s">
        <v>22072</v>
      </c>
      <c r="B17537" s="4" t="s">
        <v>22074</v>
      </c>
      <c r="C17537" s="5" t="str">
        <f>IFERROR(__xludf.DUMMYFUNCTION("GOOGLETRANSLATE(B17537,""en"",""de"")"),"Ein kleines Mädchen/ein Kleinkind in einem lindgrünen Haarbogen und Tutu steht draußen unter einem Baum und trifft eine Pinata mit einem Stock.")</f>
        <v>Ein kleines Mädchen/ein Kleinkind in einem lindgrünen Haarbogen und Tutu steht draußen unter einem Baum und trifft eine Pinata mit einem Stock.</v>
      </c>
    </row>
    <row r="17538">
      <c r="A17538" s="4" t="s">
        <v>22072</v>
      </c>
      <c r="B17538" s="4" t="s">
        <v>22075</v>
      </c>
      <c r="C17538" s="5" t="str">
        <f>IFERROR(__xludf.DUMMYFUNCTION("GOOGLETRANSLATE(B17538,""en"",""de"")"),"Die Pinata flügelt herum und das Mädchen trifft wieder die Pinata.")</f>
        <v>Die Pinata flügelt herum und das Mädchen trifft wieder die Pinata.</v>
      </c>
    </row>
    <row r="17539">
      <c r="A17539" s="4" t="s">
        <v>22072</v>
      </c>
      <c r="B17539" s="4" t="s">
        <v>22076</v>
      </c>
      <c r="C17539" s="5" t="str">
        <f>IFERROR(__xludf.DUMMYFUNCTION("GOOGLETRANSLATE(B17539,""en"",""de"")"),"Das kleine Mädchen dreht sich um, um die Kamera zwischen dem Pinata zu betrachten.")</f>
        <v>Das kleine Mädchen dreht sich um, um die Kamera zwischen dem Pinata zu betrachten.</v>
      </c>
    </row>
    <row r="17540">
      <c r="A17540" s="4" t="s">
        <v>22077</v>
      </c>
      <c r="B17540" s="4" t="s">
        <v>22078</v>
      </c>
      <c r="C17540" s="5" t="str">
        <f>IFERROR(__xludf.DUMMYFUNCTION("GOOGLETRANSLATE(B17540,""en"",""de"")"),"Ein stehender Mann spricht mit zwei Frauen neben ihm mit der Kamera.")</f>
        <v>Ein stehender Mann spricht mit zwei Frauen neben ihm mit der Kamera.</v>
      </c>
    </row>
    <row r="17541">
      <c r="A17541" s="4" t="s">
        <v>22077</v>
      </c>
      <c r="B17541" s="4" t="s">
        <v>22079</v>
      </c>
      <c r="C17541" s="5" t="str">
        <f>IFERROR(__xludf.DUMMYFUNCTION("GOOGLETRANSLATE(B17541,""en"",""de"")"),"Die Kamera schwenkt, sich auf die beiden Frauen zu konzentrieren.")</f>
        <v>Die Kamera schwenkt, sich auf die beiden Frauen zu konzentrieren.</v>
      </c>
    </row>
    <row r="17542">
      <c r="A17542" s="4" t="s">
        <v>22080</v>
      </c>
      <c r="B17542" s="4" t="s">
        <v>22081</v>
      </c>
      <c r="C17542" s="5" t="str">
        <f>IFERROR(__xludf.DUMMYFUNCTION("GOOGLETRANSLATE(B17542,""en"",""de"")"),"Eine Person schneidet die Nägel der Vorderbeine einer Katze.")</f>
        <v>Eine Person schneidet die Nägel der Vorderbeine einer Katze.</v>
      </c>
    </row>
    <row r="17543">
      <c r="A17543" s="4" t="s">
        <v>22080</v>
      </c>
      <c r="B17543" s="4" t="s">
        <v>22082</v>
      </c>
      <c r="C17543" s="5" t="str">
        <f>IFERROR(__xludf.DUMMYFUNCTION("GOOGLETRANSLATE(B17543,""en"",""de"")"),"Dann schneidet die Person die Nägel der hinteren Beine eines Autos.")</f>
        <v>Dann schneidet die Person die Nägel der hinteren Beine eines Autos.</v>
      </c>
    </row>
    <row r="17544">
      <c r="A17544" s="4" t="s">
        <v>22083</v>
      </c>
      <c r="B17544" s="4" t="s">
        <v>22084</v>
      </c>
      <c r="C17544" s="5" t="str">
        <f>IFERROR(__xludf.DUMMYFUNCTION("GOOGLETRANSLATE(B17544,""en"",""de"")"),"Ein Mann versucht, über ein Seil zu gehen, das zwischen zwei hausgemachten Holzstücken verbreitet ist.")</f>
        <v>Ein Mann versucht, über ein Seil zu gehen, das zwischen zwei hausgemachten Holzstücken verbreitet ist.</v>
      </c>
    </row>
    <row r="17545">
      <c r="A17545" s="4" t="s">
        <v>22083</v>
      </c>
      <c r="B17545" s="4" t="s">
        <v>22085</v>
      </c>
      <c r="C17545" s="5" t="str">
        <f>IFERROR(__xludf.DUMMYFUNCTION("GOOGLETRANSLATE(B17545,""en"",""de"")"),"Er basiert auf dem Seil und schwingt hin und her.")</f>
        <v>Er basiert auf dem Seil und schwingt hin und her.</v>
      </c>
    </row>
    <row r="17546">
      <c r="A17546" s="4" t="s">
        <v>22083</v>
      </c>
      <c r="B17546" s="4" t="s">
        <v>22086</v>
      </c>
      <c r="C17546" s="5" t="str">
        <f>IFERROR(__xludf.DUMMYFUNCTION("GOOGLETRANSLATE(B17546,""en"",""de"")"),"Er verliert das Gleichgewicht und springt vom Seil.")</f>
        <v>Er verliert das Gleichgewicht und springt vom Seil.</v>
      </c>
    </row>
    <row r="17547">
      <c r="A17547" s="4" t="s">
        <v>22087</v>
      </c>
      <c r="B17547" s="4" t="s">
        <v>22088</v>
      </c>
      <c r="C17547" s="5" t="str">
        <f>IFERROR(__xludf.DUMMYFUNCTION("GOOGLETRANSLATE(B17547,""en"",""de"")"),"Es gibt zwei Autos in der Autowäsche und eines, die an einer Stelle geparkt sind.")</f>
        <v>Es gibt zwei Autos in der Autowäsche und eines, die an einer Stelle geparkt sind.</v>
      </c>
    </row>
    <row r="17548">
      <c r="A17548" s="4" t="s">
        <v>22087</v>
      </c>
      <c r="B17548" s="4" t="s">
        <v>22089</v>
      </c>
      <c r="C17548" s="5" t="str">
        <f>IFERROR(__xludf.DUMMYFUNCTION("GOOGLETRANSLATE(B17548,""en"",""de"")"),"Die Besitzer der Autos seifen sie herunter und reinigen die Reifen sehr gut.")</f>
        <v>Die Besitzer der Autos seifen sie herunter und reinigen die Reifen sehr gut.</v>
      </c>
    </row>
    <row r="17549">
      <c r="A17549" s="4" t="s">
        <v>22087</v>
      </c>
      <c r="B17549" s="4" t="s">
        <v>22090</v>
      </c>
      <c r="C17549" s="5" t="str">
        <f>IFERROR(__xludf.DUMMYFUNCTION("GOOGLETRANSLATE(B17549,""en"",""de"")"),"Innerhalb des Autos waschen Sie es völlig leer, niemand befindet sich darin.")</f>
        <v>Innerhalb des Autos waschen Sie es völlig leer, niemand befindet sich darin.</v>
      </c>
    </row>
    <row r="17550">
      <c r="A17550" s="4" t="s">
        <v>22087</v>
      </c>
      <c r="B17550" s="4" t="s">
        <v>22091</v>
      </c>
      <c r="C17550" s="5" t="str">
        <f>IFERROR(__xludf.DUMMYFUNCTION("GOOGLETRANSLATE(B17550,""en"",""de"")"),"Einer der anderen Autobesitzer spült sein Auto ab.")</f>
        <v>Einer der anderen Autobesitzer spült sein Auto ab.</v>
      </c>
    </row>
    <row r="17551">
      <c r="A17551" s="4" t="s">
        <v>22092</v>
      </c>
      <c r="B17551" s="4" t="s">
        <v>22093</v>
      </c>
      <c r="C17551" s="5" t="str">
        <f>IFERROR(__xludf.DUMMYFUNCTION("GOOGLETRANSLATE(B17551,""en"",""de"")"),"Ein Mann spricht mit der Kamera, gefolgt von mehreren Aufnahmen einer Berühmtheit und einem Dummy.")</f>
        <v>Ein Mann spricht mit der Kamera, gefolgt von mehreren Aufnahmen einer Berühmtheit und einem Dummy.</v>
      </c>
    </row>
    <row r="17552">
      <c r="A17552" s="4" t="s">
        <v>22092</v>
      </c>
      <c r="B17552" s="4" t="s">
        <v>22094</v>
      </c>
      <c r="C17552" s="5" t="str">
        <f>IFERROR(__xludf.DUMMYFUNCTION("GOOGLETRANSLATE(B17552,""en"",""de"")"),"Der Mann kommt dann in die Haare des Dummys und benutzt eine Schere entlang der Seite.")</f>
        <v>Der Mann kommt dann in die Haare des Dummys und benutzt eine Schere entlang der Seite.</v>
      </c>
    </row>
    <row r="17553">
      <c r="A17553" s="4" t="s">
        <v>22092</v>
      </c>
      <c r="B17553" s="4" t="s">
        <v>22095</v>
      </c>
      <c r="C17553" s="5" t="str">
        <f>IFERROR(__xludf.DUMMYFUNCTION("GOOGLETRANSLATE(B17553,""en"",""de"")"),"Er schneidet weiterhin das Haar des Dummys und benutzt am Ende Haargel, um sie zu streichen.")</f>
        <v>Er schneidet weiterhin das Haar des Dummys und benutzt am Ende Haargel, um sie zu streichen.</v>
      </c>
    </row>
    <row r="17554">
      <c r="A17554" s="4" t="s">
        <v>22096</v>
      </c>
      <c r="B17554" s="4" t="s">
        <v>22097</v>
      </c>
      <c r="C17554" s="5" t="str">
        <f>IFERROR(__xludf.DUMMYFUNCTION("GOOGLETRANSLATE(B17554,""en"",""de"")"),"Es wird ein Video zum Erstellen eines Drachens angezeigt.")</f>
        <v>Es wird ein Video zum Erstellen eines Drachens angezeigt.</v>
      </c>
    </row>
    <row r="17555">
      <c r="A17555" s="4" t="s">
        <v>22096</v>
      </c>
      <c r="B17555" s="4" t="s">
        <v>22098</v>
      </c>
      <c r="C17555" s="5" t="str">
        <f>IFERROR(__xludf.DUMMYFUNCTION("GOOGLETRANSLATE(B17555,""en"",""de"")"),"Materialien werden gesammelt und dann wird der Drachen zusammengestellt.")</f>
        <v>Materialien werden gesammelt und dann wird der Drachen zusammengestellt.</v>
      </c>
    </row>
    <row r="17556">
      <c r="A17556" s="4" t="s">
        <v>22099</v>
      </c>
      <c r="B17556" s="4" t="s">
        <v>22100</v>
      </c>
      <c r="C17556" s="5" t="str">
        <f>IFERROR(__xludf.DUMMYFUNCTION("GOOGLETRANSLATE(B17556,""en"",""de"")"),"Ein paar Menschen stehen in einer großen Grube mit einem Stier im Inneren und vielen an den Seiten.")</f>
        <v>Ein paar Menschen stehen in einer großen Grube mit einem Stier im Inneren und vielen an den Seiten.</v>
      </c>
    </row>
    <row r="17557">
      <c r="A17557" s="4" t="s">
        <v>22099</v>
      </c>
      <c r="B17557" s="4" t="s">
        <v>22101</v>
      </c>
      <c r="C17557" s="5" t="str">
        <f>IFERROR(__xludf.DUMMYFUNCTION("GOOGLETRANSLATE(B17557,""en"",""de"")"),"Der Mann kommt näher an den Bullen und der Bulle greift mehrere Menschen an, während sie auch versuchen, ihn an Kopf und Schwanz herunterzuziehen.")</f>
        <v>Der Mann kommt näher an den Bullen und der Bulle greift mehrere Menschen an, während sie auch versuchen, ihn an Kopf und Schwanz herunterzuziehen.</v>
      </c>
    </row>
    <row r="17558">
      <c r="A17558" s="4" t="s">
        <v>22099</v>
      </c>
      <c r="B17558" s="4" t="s">
        <v>22102</v>
      </c>
      <c r="C17558" s="5" t="str">
        <f>IFERROR(__xludf.DUMMYFUNCTION("GOOGLETRANSLATE(B17558,""en"",""de"")"),"Sie brechen endlich alle auf einmal auf.")</f>
        <v>Sie brechen endlich alle auf einmal auf.</v>
      </c>
    </row>
    <row r="17559">
      <c r="A17559" s="4" t="s">
        <v>22103</v>
      </c>
      <c r="B17559" s="4" t="s">
        <v>22104</v>
      </c>
      <c r="C17559" s="5" t="str">
        <f>IFERROR(__xludf.DUMMYFUNCTION("GOOGLETRANSLATE(B17559,""en"",""de"")"),"Ein Mann sitzt in einem Fitnessstudio mit Freunden, die in der Kamera dumme Zeichen machen.")</f>
        <v>Ein Mann sitzt in einem Fitnessstudio mit Freunden, die in der Kamera dumme Zeichen machen.</v>
      </c>
    </row>
    <row r="17560">
      <c r="A17560" s="4" t="s">
        <v>22103</v>
      </c>
      <c r="B17560" s="4" t="s">
        <v>22105</v>
      </c>
      <c r="C17560" s="5" t="str">
        <f>IFERROR(__xludf.DUMMYFUNCTION("GOOGLETRANSLATE(B17560,""en"",""de"")"),"Dann wird etwas Völkerball gespielt.")</f>
        <v>Dann wird etwas Völkerball gespielt.</v>
      </c>
    </row>
    <row r="17561">
      <c r="A17561" s="4" t="s">
        <v>22106</v>
      </c>
      <c r="B17561" s="4" t="s">
        <v>22107</v>
      </c>
      <c r="C17561" s="5" t="str">
        <f>IFERROR(__xludf.DUMMYFUNCTION("GOOGLETRANSLATE(B17561,""en"",""de"")"),"Eine Grafik mit einigen Schlüsselwörtern, die die Nummer '2' bilden, wird angezeigt.")</f>
        <v>Eine Grafik mit einigen Schlüsselwörtern, die die Nummer '2' bilden, wird angezeigt.</v>
      </c>
    </row>
    <row r="17562">
      <c r="A17562" s="4" t="s">
        <v>22106</v>
      </c>
      <c r="B17562" s="4" t="s">
        <v>22108</v>
      </c>
      <c r="C17562" s="5" t="str">
        <f>IFERROR(__xludf.DUMMYFUNCTION("GOOGLETRANSLATE(B17562,""en"",""de"")"),"Die Szene wechselt zu einem schwarzen Bildschirm mit einem Text über einen bevorstehenden Marathon.")</f>
        <v>Die Szene wechselt zu einem schwarzen Bildschirm mit einem Text über einen bevorstehenden Marathon.</v>
      </c>
    </row>
    <row r="17563">
      <c r="A17563" s="4" t="s">
        <v>22106</v>
      </c>
      <c r="B17563" s="4" t="s">
        <v>22109</v>
      </c>
      <c r="C17563" s="5" t="str">
        <f>IFERROR(__xludf.DUMMYFUNCTION("GOOGLETRANSLATE(B17563,""en"",""de"")"),"Ein Mann wird gezeigt, der auf einigen Bürgersteige, einer Brücke, einigen Wegen in einem Park usw. durch eine Stadt joggt, wobei eine Theke auf der Seite seine Fortschritte in Kilometern zeigt, wie er geht.")</f>
        <v>Ein Mann wird gezeigt, der auf einigen Bürgersteige, einer Brücke, einigen Wegen in einem Park usw. durch eine Stadt joggt, wobei eine Theke auf der Seite seine Fortschritte in Kilometern zeigt, wie er geht.</v>
      </c>
    </row>
    <row r="17564">
      <c r="A17564" s="4" t="s">
        <v>22110</v>
      </c>
      <c r="B17564" s="4" t="s">
        <v>22111</v>
      </c>
      <c r="C17564" s="5" t="str">
        <f>IFERROR(__xludf.DUMMYFUNCTION("GOOGLETRANSLATE(B17564,""en"",""de"")"),"Eine Person bedeckt ihre Beine mit Seife, während sie auf der Badewanne steht.")</f>
        <v>Eine Person bedeckt ihre Beine mit Seife, während sie auf der Badewanne steht.</v>
      </c>
    </row>
    <row r="17565">
      <c r="A17565" s="4" t="s">
        <v>22110</v>
      </c>
      <c r="B17565" s="4" t="s">
        <v>22112</v>
      </c>
      <c r="C17565" s="5" t="str">
        <f>IFERROR(__xludf.DUMMYFUNCTION("GOOGLETRANSLATE(B17565,""en"",""de"")"),"Dann nimmt die Person eine Klinge, um ihre Beine zu rasieren, während sie die Klinge unter dem Wasserhahn waschen.")</f>
        <v>Dann nimmt die Person eine Klinge, um ihre Beine zu rasieren, während sie die Klinge unter dem Wasserhahn waschen.</v>
      </c>
    </row>
    <row r="17566">
      <c r="A17566" s="4" t="s">
        <v>22110</v>
      </c>
      <c r="B17566" s="4" t="s">
        <v>22113</v>
      </c>
      <c r="C17566" s="5" t="str">
        <f>IFERROR(__xludf.DUMMYFUNCTION("GOOGLETRANSLATE(B17566,""en"",""de"")"),"Danach nimmt die Person die Unterwäsche ab und legt sie auf die Badewanne.")</f>
        <v>Danach nimmt die Person die Unterwäsche ab und legt sie auf die Badewanne.</v>
      </c>
    </row>
    <row r="17567">
      <c r="A17567" s="4" t="s">
        <v>22114</v>
      </c>
      <c r="B17567" s="4" t="s">
        <v>22115</v>
      </c>
      <c r="C17567" s="5" t="str">
        <f>IFERROR(__xludf.DUMMYFUNCTION("GOOGLETRANSLATE(B17567,""en"",""de"")"),"Es gibt ein schnelles Motion -Video, das eine Familie zeigt, die vier Kürbisse geschnitzt hat, um Jack O -Laternen in ihrer Küche zu machen.")</f>
        <v>Es gibt ein schnelles Motion -Video, das eine Familie zeigt, die vier Kürbisse geschnitzt hat, um Jack O -Laternen in ihrer Küche zu machen.</v>
      </c>
    </row>
    <row r="17568">
      <c r="A17568" s="4" t="s">
        <v>22114</v>
      </c>
      <c r="B17568" s="4" t="s">
        <v>22116</v>
      </c>
      <c r="C17568" s="5" t="str">
        <f>IFERROR(__xludf.DUMMYFUNCTION("GOOGLETRANSLATE(B17568,""en"",""de"")"),"Auf dem Esstisch sitzt ein kleines Baby und beobachtet, wie die anderen die Kürbisse schnitzen.")</f>
        <v>Auf dem Esstisch sitzt ein kleines Baby und beobachtet, wie die anderen die Kürbisse schnitzen.</v>
      </c>
    </row>
    <row r="17569">
      <c r="A17569" s="4" t="s">
        <v>22114</v>
      </c>
      <c r="B17569" s="4" t="s">
        <v>22117</v>
      </c>
      <c r="C17569" s="5" t="str">
        <f>IFERROR(__xludf.DUMMYFUNCTION("GOOGLETRANSLATE(B17569,""en"",""de"")"),"Die beiden anderen Mädchen helfen ihren Eltern, die Kürbisse zu schnitzen und die Samen und das Fruchtfleisch aus dem Kürbis zu entfernen.")</f>
        <v>Die beiden anderen Mädchen helfen ihren Eltern, die Kürbisse zu schnitzen und die Samen und das Fruchtfleisch aus dem Kürbis zu entfernen.</v>
      </c>
    </row>
    <row r="17570">
      <c r="A17570" s="4" t="s">
        <v>22118</v>
      </c>
      <c r="B17570" s="4" t="s">
        <v>22119</v>
      </c>
      <c r="C17570" s="5" t="str">
        <f>IFERROR(__xludf.DUMMYFUNCTION("GOOGLETRANSLATE(B17570,""en"",""de"")"),"Ein Mann, der vor einem Tennis -Netz sitzt, dreht sich um und sieht sich seinem Gegner gegenüber, wobei ein Trainer und Kamera -Mann zu sehen sind.")</f>
        <v>Ein Mann, der vor einem Tennis -Netz sitzt, dreht sich um und sieht sich seinem Gegner gegenüber, wobei ein Trainer und Kamera -Mann zu sehen sind.</v>
      </c>
    </row>
    <row r="17571">
      <c r="A17571" s="4" t="s">
        <v>22118</v>
      </c>
      <c r="B17571" s="4" t="s">
        <v>22120</v>
      </c>
      <c r="C17571" s="5" t="str">
        <f>IFERROR(__xludf.DUMMYFUNCTION("GOOGLETRANSLATE(B17571,""en"",""de"")"),"Als beide steigen wir, sehen wir, dass sie tatsächlich zu einem Tischtennisspiel gehen, dem Tisch auf einem tatsächlichen Tennisplatz.")</f>
        <v>Als beide steigen wir, sehen wir, dass sie tatsächlich zu einem Tischtennisspiel gehen, dem Tisch auf einem tatsächlichen Tennisplatz.</v>
      </c>
    </row>
    <row r="17572">
      <c r="A17572" s="4" t="s">
        <v>22118</v>
      </c>
      <c r="B17572" s="4" t="s">
        <v>22121</v>
      </c>
      <c r="C17572" s="5" t="str">
        <f>IFERROR(__xludf.DUMMYFUNCTION("GOOGLETRANSLATE(B17572,""en"",""de"")"),"Sie sind ihr Match, einer in einem weißen Tanktop und grünen Shorts, das andere in einem orangefarbenen Hemd und weißen Shorts.")</f>
        <v>Sie sind ihr Match, einer in einem weißen Tanktop und grünen Shorts, das andere in einem orangefarbenen Hemd und weißen Shorts.</v>
      </c>
    </row>
    <row r="17573">
      <c r="A17573" s="4" t="s">
        <v>22118</v>
      </c>
      <c r="B17573" s="4" t="s">
        <v>22122</v>
      </c>
      <c r="C17573" s="5" t="str">
        <f>IFERROR(__xludf.DUMMYFUNCTION("GOOGLETRANSLATE(B17573,""en"",""de"")"),"Sie schlugen einige Zeit hin und her, der Genuss des Spiels schien das Gewinnen wichtiger zu sein, und sie schlagen die Hände zum Schluss.")</f>
        <v>Sie schlugen einige Zeit hin und her, der Genuss des Spiels schien das Gewinnen wichtiger zu sein, und sie schlagen die Hände zum Schluss.</v>
      </c>
    </row>
    <row r="17574">
      <c r="A17574" s="4" t="s">
        <v>22123</v>
      </c>
      <c r="B17574" s="4" t="s">
        <v>22124</v>
      </c>
      <c r="C17574" s="5" t="str">
        <f>IFERROR(__xludf.DUMMYFUNCTION("GOOGLETRANSLATE(B17574,""en"",""de"")"),"Zwei Männer sprechen vor der Kamera miteinander, während sie ihre Hände auf ihre Stimmen bewegen.")</f>
        <v>Zwei Männer sprechen vor der Kamera miteinander, während sie ihre Hände auf ihre Stimmen bewegen.</v>
      </c>
    </row>
    <row r="17575">
      <c r="A17575" s="4" t="s">
        <v>22123</v>
      </c>
      <c r="B17575" s="4" t="s">
        <v>22125</v>
      </c>
      <c r="C17575" s="5" t="str">
        <f>IFERROR(__xludf.DUMMYFUNCTION("GOOGLETRANSLATE(B17575,""en"",""de"")"),"Die Männer sprechen weiterhin miteinander, während sie sich auf der Couch verrückt verhalten und auf einander zeigen.")</f>
        <v>Die Männer sprechen weiterhin miteinander, während sie sich auf der Couch verrückt verhalten und auf einander zeigen.</v>
      </c>
    </row>
    <row r="17576">
      <c r="A17576" s="4" t="s">
        <v>22126</v>
      </c>
      <c r="B17576" s="4" t="s">
        <v>22127</v>
      </c>
      <c r="C17576" s="5" t="str">
        <f>IFERROR(__xludf.DUMMYFUNCTION("GOOGLETRANSLATE(B17576,""en"",""de"")"),"Ein Mann wird vor einer Strecke knien sehen, während andere an den Seiten zuschauen.")</f>
        <v>Ein Mann wird vor einer Strecke knien sehen, während andere an den Seiten zuschauen.</v>
      </c>
    </row>
    <row r="17577">
      <c r="A17577" s="4" t="s">
        <v>22126</v>
      </c>
      <c r="B17577" s="4" t="s">
        <v>22128</v>
      </c>
      <c r="C17577" s="5" t="str">
        <f>IFERROR(__xludf.DUMMYFUNCTION("GOOGLETRANSLATE(B17577,""en"",""de"")"),"Eine Person rennt nebenbei herein und springt in eine Grube.")</f>
        <v>Eine Person rennt nebenbei herein und springt in eine Grube.</v>
      </c>
    </row>
    <row r="17578">
      <c r="A17578" s="4" t="s">
        <v>22126</v>
      </c>
      <c r="B17578" s="4" t="s">
        <v>22129</v>
      </c>
      <c r="C17578" s="5" t="str">
        <f>IFERROR(__xludf.DUMMYFUNCTION("GOOGLETRANSLATE(B17578,""en"",""de"")"),"Der Mann, der sitzt, verfolgt seine Punktzahl und einige weitere Leute sind gesehen, die hereinlaufen.")</f>
        <v>Der Mann, der sitzt, verfolgt seine Punktzahl und einige weitere Leute sind gesehen, die hereinlaufen.</v>
      </c>
    </row>
    <row r="17579">
      <c r="A17579" s="4" t="s">
        <v>22130</v>
      </c>
      <c r="B17579" s="4" t="s">
        <v>22131</v>
      </c>
      <c r="C17579" s="5" t="str">
        <f>IFERROR(__xludf.DUMMYFUNCTION("GOOGLETRANSLATE(B17579,""en"",""de"")"),"Ein junger Mann löst in einer digital zeitgesteuerten Sitzung schnell einen Rubix -Würfel.")</f>
        <v>Ein junger Mann löst in einer digital zeitgesteuerten Sitzung schnell einen Rubix -Würfel.</v>
      </c>
    </row>
    <row r="17580">
      <c r="A17580" s="4" t="s">
        <v>22130</v>
      </c>
      <c r="B17580" s="4" t="s">
        <v>22132</v>
      </c>
      <c r="C17580" s="5" t="str">
        <f>IFERROR(__xludf.DUMMYFUNCTION("GOOGLETRANSLATE(B17580,""en"",""de"")"),"Ein Mann in einem gelben Hemd mit einer Grafik des Gesichts eines Mannes spricht mit der Kamera und hält einen ungelösten Rubix -Würfel.")</f>
        <v>Ein Mann in einem gelben Hemd mit einer Grafik des Gesichts eines Mannes spricht mit der Kamera und hält einen ungelösten Rubix -Würfel.</v>
      </c>
    </row>
    <row r="17581">
      <c r="A17581" s="4" t="s">
        <v>22130</v>
      </c>
      <c r="B17581" s="4" t="s">
        <v>22133</v>
      </c>
      <c r="C17581" s="5" t="str">
        <f>IFERROR(__xludf.DUMMYFUNCTION("GOOGLETRANSLATE(B17581,""en"",""de"")"),"Ein schwarzer digitaler Timer wird in der unteren rechten Ecke auf dem Bildschirm angezeigt und beginnt Zeit zu fahren.")</f>
        <v>Ein schwarzer digitaler Timer wird in der unteren rechten Ecke auf dem Bildschirm angezeigt und beginnt Zeit zu fahren.</v>
      </c>
    </row>
    <row r="17582">
      <c r="A17582" s="4" t="s">
        <v>22130</v>
      </c>
      <c r="B17582" s="4" t="s">
        <v>22134</v>
      </c>
      <c r="C17582" s="5" t="str">
        <f>IFERROR(__xludf.DUMMYFUNCTION("GOOGLETRANSLATE(B17582,""en"",""de"")"),"Der Mann beginnt, den Rubix -Würfel zu lösen, wenn der Timer startet, und löst dann den Rubix -Würfel mit 00:34:08. An diesem Punkt hält er den gelösten Rubix -Würfel in der Luft als Demonstration.")</f>
        <v>Der Mann beginnt, den Rubix -Würfel zu lösen, wenn der Timer startet, und löst dann den Rubix -Würfel mit 00:34:08. An diesem Punkt hält er den gelösten Rubix -Würfel in der Luft als Demonstration.</v>
      </c>
    </row>
    <row r="17583">
      <c r="A17583" s="4" t="s">
        <v>22135</v>
      </c>
      <c r="B17583" s="4" t="s">
        <v>22136</v>
      </c>
      <c r="C17583" s="5" t="str">
        <f>IFERROR(__xludf.DUMMYFUNCTION("GOOGLETRANSLATE(B17583,""en"",""de"")"),"Zwei Männer sprechen mit der Kamera, während sie jeweils einen Bogen und Pfeil halten.")</f>
        <v>Zwei Männer sprechen mit der Kamera, während sie jeweils einen Bogen und Pfeil halten.</v>
      </c>
    </row>
    <row r="17584">
      <c r="A17584" s="4" t="s">
        <v>22135</v>
      </c>
      <c r="B17584" s="4" t="s">
        <v>22137</v>
      </c>
      <c r="C17584" s="5" t="str">
        <f>IFERROR(__xludf.DUMMYFUNCTION("GOOGLETRANSLATE(B17584,""en"",""de"")"),"Ein Mann zeigt seine, während Clips von Menschen gezeigt werden, die den Bogen schießen und dazwischen gezeigt werden.")</f>
        <v>Ein Mann zeigt seine, während Clips von Menschen gezeigt werden, die den Bogen schießen und dazwischen gezeigt werden.</v>
      </c>
    </row>
    <row r="17585">
      <c r="A17585" s="4" t="s">
        <v>22135</v>
      </c>
      <c r="B17585" s="4" t="s">
        <v>22138</v>
      </c>
      <c r="C17585" s="5" t="str">
        <f>IFERROR(__xludf.DUMMYFUNCTION("GOOGLETRANSLATE(B17585,""en"",""de"")"),"Der andere Mann zeigt seinen Bogen, während er seine Spezifikationen zeigt.")</f>
        <v>Der andere Mann zeigt seinen Bogen, während er seine Spezifikationen zeigt.</v>
      </c>
    </row>
    <row r="17586">
      <c r="A17586" s="4" t="s">
        <v>22139</v>
      </c>
      <c r="B17586" s="4" t="s">
        <v>22140</v>
      </c>
      <c r="C17586" s="5" t="str">
        <f>IFERROR(__xludf.DUMMYFUNCTION("GOOGLETRANSLATE(B17586,""en"",""de"")"),"Eine Person wird in einer Straße Roller -Glatze gesehen, während viele Menschen gesehen werden, wie sie um ihn herum laufen.")</f>
        <v>Eine Person wird in einer Straße Roller -Glatze gesehen, während viele Menschen gesehen werden, wie sie um ihn herum laufen.</v>
      </c>
    </row>
    <row r="17587">
      <c r="A17587" s="4" t="s">
        <v>22139</v>
      </c>
      <c r="B17587" s="4" t="s">
        <v>22141</v>
      </c>
      <c r="C17587" s="5" t="str">
        <f>IFERROR(__xludf.DUMMYFUNCTION("GOOGLETRANSLATE(B17587,""en"",""de"")"),"Ein Mann wird dann von Reportern interviewt und endet damit, dass die Kamera wegschwenkt.")</f>
        <v>Ein Mann wird dann von Reportern interviewt und endet damit, dass die Kamera wegschwenkt.</v>
      </c>
    </row>
    <row r="17588">
      <c r="A17588" s="4" t="s">
        <v>22142</v>
      </c>
      <c r="B17588" s="4" t="s">
        <v>22143</v>
      </c>
      <c r="C17588" s="5" t="str">
        <f>IFERROR(__xludf.DUMMYFUNCTION("GOOGLETRANSLATE(B17588,""en"",""de"")"),"Eine Person legt ein Stück Handlungenpapier an und legt sie mit den anderen Teilen aus.")</f>
        <v>Eine Person legt ein Stück Handlungenpapier an und legt sie mit den anderen Teilen aus.</v>
      </c>
    </row>
    <row r="17589">
      <c r="A17589" s="4" t="s">
        <v>22142</v>
      </c>
      <c r="B17589" s="4" t="s">
        <v>22144</v>
      </c>
      <c r="C17589" s="5" t="str">
        <f>IFERROR(__xludf.DUMMYFUNCTION("GOOGLETRANSLATE(B17589,""en"",""de"")"),"Das Handlungspapier wird mit Bier der richtigen Größe geschnitten.")</f>
        <v>Das Handlungspapier wird mit Bier der richtigen Größe geschnitten.</v>
      </c>
    </row>
    <row r="17590">
      <c r="A17590" s="4" t="s">
        <v>22142</v>
      </c>
      <c r="B17590" s="4" t="s">
        <v>22145</v>
      </c>
      <c r="C17590" s="5" t="str">
        <f>IFERROR(__xludf.DUMMYFUNCTION("GOOGLETRANSLATE(B17590,""en"",""de"")"),"Der Mann überprüft das Handlungspapier und schält dann einen Klebstreifen auf der Rückseite ab.")</f>
        <v>Der Mann überprüft das Handlungspapier und schält dann einen Klebstreifen auf der Rückseite ab.</v>
      </c>
    </row>
    <row r="17591">
      <c r="A17591" s="4" t="s">
        <v>22142</v>
      </c>
      <c r="B17591" s="4" t="s">
        <v>22146</v>
      </c>
      <c r="C17591" s="5" t="str">
        <f>IFERROR(__xludf.DUMMYFUNCTION("GOOGLETRANSLATE(B17591,""en"",""de"")"),"Das Handlittpapier ist an der Wand befestigt und von Hand geglättet.")</f>
        <v>Das Handlittpapier ist an der Wand befestigt und von Hand geglättet.</v>
      </c>
    </row>
    <row r="17592">
      <c r="A17592" s="4" t="s">
        <v>22142</v>
      </c>
      <c r="B17592" s="4" t="s">
        <v>22147</v>
      </c>
      <c r="C17592" s="5" t="str">
        <f>IFERROR(__xludf.DUMMYFUNCTION("GOOGLETRANSLATE(B17592,""en"",""de"")"),"Die Person benutzt ein Handtuch, um das Handlungspapier abzuflachen.")</f>
        <v>Die Person benutzt ein Handtuch, um das Handlungspapier abzuflachen.</v>
      </c>
    </row>
    <row r="17593">
      <c r="A17593" s="4" t="s">
        <v>22142</v>
      </c>
      <c r="B17593" s="4" t="s">
        <v>22148</v>
      </c>
      <c r="C17593" s="5" t="str">
        <f>IFERROR(__xludf.DUMMYFUNCTION("GOOGLETRANSLATE(B17593,""en"",""de"")"),"Die Tapete wird unten geschnitten und gegen das Dleitbrett gerissen.")</f>
        <v>Die Tapete wird unten geschnitten und gegen das Dleitbrett gerissen.</v>
      </c>
    </row>
    <row r="17594">
      <c r="A17594" s="4" t="s">
        <v>22142</v>
      </c>
      <c r="B17594" s="4" t="s">
        <v>22149</v>
      </c>
      <c r="C17594" s="5" t="str">
        <f>IFERROR(__xludf.DUMMYFUNCTION("GOOGLETRANSLATE(B17594,""en"",""de"")"),"Das Handlittpapier wird geschnitten und entlang der Decke geschnitten.")</f>
        <v>Das Handlittpapier wird geschnitten und entlang der Decke geschnitten.</v>
      </c>
    </row>
    <row r="17595">
      <c r="A17595" s="4" t="s">
        <v>22150</v>
      </c>
      <c r="B17595" s="4" t="s">
        <v>22151</v>
      </c>
      <c r="C17595" s="5" t="str">
        <f>IFERROR(__xludf.DUMMYFUNCTION("GOOGLETRANSLATE(B17595,""en"",""de"")"),"Eine Gruppe von Menschen wird auf einem Festival gezeigt, das Essen serviert und mit ihrer Menge interagiert.")</f>
        <v>Eine Gruppe von Menschen wird auf einem Festival gezeigt, das Essen serviert und mit ihrer Menge interagiert.</v>
      </c>
    </row>
    <row r="17596">
      <c r="A17596" s="4" t="s">
        <v>22150</v>
      </c>
      <c r="B17596" s="4" t="s">
        <v>22152</v>
      </c>
      <c r="C17596" s="5" t="str">
        <f>IFERROR(__xludf.DUMMYFUNCTION("GOOGLETRANSLATE(B17596,""en"",""de"")"),"Der Mann fährt fort, mit der Menge zu spielen und sie für seinen Eiskegel arbeiten zu lassen.")</f>
        <v>Der Mann fährt fort, mit der Menge zu spielen und sie für seinen Eiskegel arbeiten zu lassen.</v>
      </c>
    </row>
    <row r="17597">
      <c r="A17597" s="4" t="s">
        <v>22150</v>
      </c>
      <c r="B17597" s="4" t="s">
        <v>22153</v>
      </c>
      <c r="C17597" s="5" t="str">
        <f>IFERROR(__xludf.DUMMYFUNCTION("GOOGLETRANSLATE(B17597,""en"",""de"")"),"Schließlich endet das Video, der Mann lächelt und die Credits beginnen zu rollen.")</f>
        <v>Schließlich endet das Video, der Mann lächelt und die Credits beginnen zu rollen.</v>
      </c>
    </row>
    <row r="17598">
      <c r="A17598" s="4" t="s">
        <v>22154</v>
      </c>
      <c r="B17598" s="4" t="s">
        <v>22155</v>
      </c>
      <c r="C17598" s="5" t="str">
        <f>IFERROR(__xludf.DUMMYFUNCTION("GOOGLETRANSLATE(B17598,""en"",""de"")"),"Die Leute nehmen Grashaufen auf einem Vorgarten auf.")</f>
        <v>Die Leute nehmen Grashaufen auf einem Vorgarten auf.</v>
      </c>
    </row>
    <row r="17599">
      <c r="A17599" s="4" t="s">
        <v>22154</v>
      </c>
      <c r="B17599" s="4" t="s">
        <v>22156</v>
      </c>
      <c r="C17599" s="5" t="str">
        <f>IFERROR(__xludf.DUMMYFUNCTION("GOOGLETRANSLATE(B17599,""en"",""de"")"),"Ein Hund geht in den Hof, wo Menschen Gras stapeln.")</f>
        <v>Ein Hund geht in den Hof, wo Menschen Gras stapeln.</v>
      </c>
    </row>
    <row r="17600">
      <c r="A17600" s="4" t="s">
        <v>22154</v>
      </c>
      <c r="B17600" s="4" t="s">
        <v>22157</v>
      </c>
      <c r="C17600" s="5" t="str">
        <f>IFERROR(__xludf.DUMMYFUNCTION("GOOGLETRANSLATE(B17600,""en"",""de"")"),"Ein Mann schnitt das Gras mit einem Handschneider.")</f>
        <v>Ein Mann schnitt das Gras mit einem Handschneider.</v>
      </c>
    </row>
    <row r="17601">
      <c r="A17601" s="4" t="s">
        <v>22154</v>
      </c>
      <c r="B17601" s="4" t="s">
        <v>22158</v>
      </c>
      <c r="C17601" s="5" t="str">
        <f>IFERROR(__xludf.DUMMYFUNCTION("GOOGLETRANSLATE(B17601,""en"",""de"")"),"Die Hunde riechen auf dem Boden.")</f>
        <v>Die Hunde riechen auf dem Boden.</v>
      </c>
    </row>
    <row r="17602">
      <c r="A17602" s="4" t="s">
        <v>22159</v>
      </c>
      <c r="B17602" s="4" t="s">
        <v>22160</v>
      </c>
      <c r="C17602" s="5" t="str">
        <f>IFERROR(__xludf.DUMMYFUNCTION("GOOGLETRANSLATE(B17602,""en"",""de"")"),"Ein Paar Hände spielen Klavier.")</f>
        <v>Ein Paar Hände spielen Klavier.</v>
      </c>
    </row>
    <row r="17603">
      <c r="A17603" s="4" t="s">
        <v>22159</v>
      </c>
      <c r="B17603" s="4" t="s">
        <v>22161</v>
      </c>
      <c r="C17603" s="5" t="str">
        <f>IFERROR(__xludf.DUMMYFUNCTION("GOOGLETRANSLATE(B17603,""en"",""de"")"),"Der Klavierspieler spielt mit einer anderen Person, die neben ihm sitzt.")</f>
        <v>Der Klavierspieler spielt mit einer anderen Person, die neben ihm sitzt.</v>
      </c>
    </row>
    <row r="17604">
      <c r="A17604" s="4" t="s">
        <v>22159</v>
      </c>
      <c r="B17604" s="4" t="s">
        <v>22162</v>
      </c>
      <c r="C17604" s="5" t="str">
        <f>IFERROR(__xludf.DUMMYFUNCTION("GOOGLETRANSLATE(B17604,""en"",""de"")"),"Das Spiel ist wieder von einer Handnäher zu sehen.")</f>
        <v>Das Spiel ist wieder von einer Handnäher zu sehen.</v>
      </c>
    </row>
    <row r="17605">
      <c r="A17605" s="4" t="s">
        <v>22159</v>
      </c>
      <c r="B17605" s="4" t="s">
        <v>22163</v>
      </c>
      <c r="C17605" s="5" t="str">
        <f>IFERROR(__xludf.DUMMYFUNCTION("GOOGLETRANSLATE(B17605,""en"",""de"")"),"Der zweite Mann ahmt den ersten Mann nach.")</f>
        <v>Der zweite Mann ahmt den ersten Mann nach.</v>
      </c>
    </row>
    <row r="17606">
      <c r="A17606" s="4" t="s">
        <v>22159</v>
      </c>
      <c r="B17606" s="4" t="s">
        <v>22164</v>
      </c>
      <c r="C17606" s="5" t="str">
        <f>IFERROR(__xludf.DUMMYFUNCTION("GOOGLETRANSLATE(B17606,""en"",""de"")"),"Der erste Mann klatscht auf die Nachahmung des zweiten Mannes.")</f>
        <v>Der erste Mann klatscht auf die Nachahmung des zweiten Mannes.</v>
      </c>
    </row>
    <row r="17607">
      <c r="A17607" s="4" t="s">
        <v>22165</v>
      </c>
      <c r="B17607" s="4" t="s">
        <v>22166</v>
      </c>
      <c r="C17607" s="5" t="str">
        <f>IFERROR(__xludf.DUMMYFUNCTION("GOOGLETRANSLATE(B17607,""en"",""de"")"),"Ein Mann steht vor der Kamera und nimmt dann eine Zigarette.")</f>
        <v>Ein Mann steht vor der Kamera und nimmt dann eine Zigarette.</v>
      </c>
    </row>
    <row r="17608">
      <c r="A17608" s="4" t="s">
        <v>22165</v>
      </c>
      <c r="B17608" s="4" t="s">
        <v>22167</v>
      </c>
      <c r="C17608" s="5" t="str">
        <f>IFERROR(__xludf.DUMMYFUNCTION("GOOGLETRANSLATE(B17608,""en"",""de"")"),"Danach erscheint er mit Rollerblättern an und beginnt auf verschiedene Blöcke und Felsbrocken in der Stadt zu springen.")</f>
        <v>Danach erscheint er mit Rollerblättern an und beginnt auf verschiedene Blöcke und Felsbrocken in der Stadt zu springen.</v>
      </c>
    </row>
    <row r="17609">
      <c r="A17609" s="4" t="s">
        <v>22165</v>
      </c>
      <c r="B17609" s="4" t="s">
        <v>22168</v>
      </c>
      <c r="C17609" s="5" t="str">
        <f>IFERROR(__xludf.DUMMYFUNCTION("GOOGLETRANSLATE(B17609,""en"",""de"")"),"Der Mann geht weiter durch die Stadt, fährt Autos und springt über Steine.")</f>
        <v>Der Mann geht weiter durch die Stadt, fährt Autos und springt über Steine.</v>
      </c>
    </row>
    <row r="17610">
      <c r="A17610" s="4" t="s">
        <v>22169</v>
      </c>
      <c r="B17610" s="4" t="s">
        <v>22170</v>
      </c>
      <c r="C17610" s="5" t="str">
        <f>IFERROR(__xludf.DUMMYFUNCTION("GOOGLETRANSLATE(B17610,""en"",""de"")"),"Eine Frau und ein Mann Gruß, und dann demonstrieren sie Karatebewegungen in einem Fitnessstudio.")</f>
        <v>Eine Frau und ein Mann Gruß, und dann demonstrieren sie Karatebewegungen in einem Fitnessstudio.</v>
      </c>
    </row>
    <row r="17611">
      <c r="A17611" s="4" t="s">
        <v>22169</v>
      </c>
      <c r="B17611" s="4" t="s">
        <v>22171</v>
      </c>
      <c r="C17611" s="5" t="str">
        <f>IFERROR(__xludf.DUMMYFUNCTION("GOOGLETRANSLATE(B17611,""en"",""de"")"),"Danach stehen die Frau und der Mann.")</f>
        <v>Danach stehen die Frau und der Mann.</v>
      </c>
    </row>
    <row r="17612">
      <c r="A17612" s="4" t="s">
        <v>22172</v>
      </c>
      <c r="B17612" s="4" t="s">
        <v>22173</v>
      </c>
      <c r="C17612" s="5" t="str">
        <f>IFERROR(__xludf.DUMMYFUNCTION("GOOGLETRANSLATE(B17612,""en"",""de"")"),"Eine Grafik ist mit Zeichnungen von Pilzen und Pflanzen zu sehen.")</f>
        <v>Eine Grafik ist mit Zeichnungen von Pilzen und Pflanzen zu sehen.</v>
      </c>
    </row>
    <row r="17613">
      <c r="A17613" s="4" t="s">
        <v>22172</v>
      </c>
      <c r="B17613" s="4" t="s">
        <v>22174</v>
      </c>
      <c r="C17613" s="5" t="str">
        <f>IFERROR(__xludf.DUMMYFUNCTION("GOOGLETRANSLATE(B17613,""en"",""de"")"),"Ein hoher Kiefernbaum ist zu sehen.")</f>
        <v>Ein hoher Kiefernbaum ist zu sehen.</v>
      </c>
    </row>
    <row r="17614">
      <c r="A17614" s="4" t="s">
        <v>22172</v>
      </c>
      <c r="B17614" s="4" t="s">
        <v>22175</v>
      </c>
      <c r="C17614" s="5" t="str">
        <f>IFERROR(__xludf.DUMMYFUNCTION("GOOGLETRANSLATE(B17614,""en"",""de"")"),"Ein Match ist beleuchtet und ein junger Mann hält ein weiteres beleuchtetes Match zusammen mit Stöcken und bläst es dann aus.")</f>
        <v>Ein Match ist beleuchtet und ein junger Mann hält ein weiteres beleuchtetes Match zusammen mit Stöcken und bläst es dann aus.</v>
      </c>
    </row>
    <row r="17615">
      <c r="A17615" s="4" t="s">
        <v>22172</v>
      </c>
      <c r="B17615" s="4" t="s">
        <v>22176</v>
      </c>
      <c r="C17615" s="5" t="str">
        <f>IFERROR(__xludf.DUMMYFUNCTION("GOOGLETRANSLATE(B17615,""en"",""de"")"),"Der junge Mann baut einen Ring aus Steinen in der Nähe eines Zeltes.")</f>
        <v>Der junge Mann baut einen Ring aus Steinen in der Nähe eines Zeltes.</v>
      </c>
    </row>
    <row r="17616">
      <c r="A17616" s="4" t="s">
        <v>22172</v>
      </c>
      <c r="B17616" s="4" t="s">
        <v>22177</v>
      </c>
      <c r="C17616" s="5" t="str">
        <f>IFERROR(__xludf.DUMMYFUNCTION("GOOGLETRANSLATE(B17616,""en"",""de"")"),"Der Wohnmobil zeigt dann verschiedene Stöcke in seinen Händen und anderen, die er in zwei Teile bricht.")</f>
        <v>Der Wohnmobil zeigt dann verschiedene Stöcke in seinen Händen und anderen, die er in zwei Teile bricht.</v>
      </c>
    </row>
    <row r="17617">
      <c r="A17617" s="4" t="s">
        <v>22172</v>
      </c>
      <c r="B17617" s="4" t="s">
        <v>22178</v>
      </c>
      <c r="C17617" s="5" t="str">
        <f>IFERROR(__xludf.DUMMYFUNCTION("GOOGLETRANSLATE(B17617,""en"",""de"")"),"Der junge Mann bricht Sticks mit seinem Fuß und trägt sie zum Campingplatz.")</f>
        <v>Der junge Mann bricht Sticks mit seinem Fuß und trägt sie zum Campingplatz.</v>
      </c>
    </row>
    <row r="17618">
      <c r="A17618" s="4" t="s">
        <v>22172</v>
      </c>
      <c r="B17618" s="4" t="s">
        <v>22179</v>
      </c>
      <c r="C17618" s="5" t="str">
        <f>IFERROR(__xludf.DUMMYFUNCTION("GOOGLETRANSLATE(B17618,""en"",""de"")"),"Der junge Mann baut ein Feuer mit den unterschiedlichen Stöcken im Feuerring und zündet es an.")</f>
        <v>Der junge Mann baut ein Feuer mit den unterschiedlichen Stöcken im Feuerring und zündet es an.</v>
      </c>
    </row>
    <row r="17619">
      <c r="A17619" s="4" t="s">
        <v>22172</v>
      </c>
      <c r="B17619" s="4" t="s">
        <v>22180</v>
      </c>
      <c r="C17619" s="5" t="str">
        <f>IFERROR(__xludf.DUMMYFUNCTION("GOOGLETRANSLATE(B17619,""en"",""de"")"),"Das Feuer brennt in die Nacht.")</f>
        <v>Das Feuer brennt in die Nacht.</v>
      </c>
    </row>
    <row r="17620">
      <c r="A17620" s="4" t="s">
        <v>22181</v>
      </c>
      <c r="B17620" s="4" t="s">
        <v>22182</v>
      </c>
      <c r="C17620" s="5" t="str">
        <f>IFERROR(__xludf.DUMMYFUNCTION("GOOGLETRANSLATE(B17620,""en"",""de"")"),"Ein Mann in Smoking und Frau im Partykleid tanzt den Tango in einem Ballsaal, der während der Aufführung von Publikum in Stühlen umgeben ist.")</f>
        <v>Ein Mann in Smoking und Frau im Partykleid tanzt den Tango in einem Ballsaal, der während der Aufführung von Publikum in Stühlen umgeben ist.</v>
      </c>
    </row>
    <row r="17621">
      <c r="A17621" s="4" t="s">
        <v>22181</v>
      </c>
      <c r="B17621" s="4" t="s">
        <v>22183</v>
      </c>
      <c r="C17621" s="5" t="str">
        <f>IFERROR(__xludf.DUMMYFUNCTION("GOOGLETRANSLATE(B17621,""en"",""de"")"),"Die Menge jubelt am Ende und klatscht die Hände.")</f>
        <v>Die Menge jubelt am Ende und klatscht die Hände.</v>
      </c>
    </row>
    <row r="17622">
      <c r="A17622" s="4" t="s">
        <v>22184</v>
      </c>
      <c r="B17622" s="4" t="s">
        <v>22185</v>
      </c>
      <c r="C17622" s="5" t="str">
        <f>IFERROR(__xludf.DUMMYFUNCTION("GOOGLETRANSLATE(B17622,""en"",""de"")"),"Eine Frau steht vor einer Waschmaschine und einem Trockner in einem Waschraum.")</f>
        <v>Eine Frau steht vor einer Waschmaschine und einem Trockner in einem Waschraum.</v>
      </c>
    </row>
    <row r="17623">
      <c r="A17623" s="4" t="s">
        <v>22184</v>
      </c>
      <c r="B17623" s="4" t="s">
        <v>22186</v>
      </c>
      <c r="C17623" s="5" t="str">
        <f>IFERROR(__xludf.DUMMYFUNCTION("GOOGLETRANSLATE(B17623,""en"",""de"")"),"Schritt für Schritt werden Anweisungen zum Bügeln von Kleidung gegeben.")</f>
        <v>Schritt für Schritt werden Anweisungen zum Bügeln von Kleidung gegeben.</v>
      </c>
    </row>
    <row r="17624">
      <c r="A17624" s="4" t="s">
        <v>22184</v>
      </c>
      <c r="B17624" s="4" t="s">
        <v>22187</v>
      </c>
      <c r="C17624" s="5" t="str">
        <f>IFERROR(__xludf.DUMMYFUNCTION("GOOGLETRANSLATE(B17624,""en"",""de"")"),"Sie zeigt, wie man Kleidung mit einem Lappen und Dampf vorbereitet und bügelt.")</f>
        <v>Sie zeigt, wie man Kleidung mit einem Lappen und Dampf vorbereitet und bügelt.</v>
      </c>
    </row>
    <row r="17625">
      <c r="A17625" s="4" t="s">
        <v>22188</v>
      </c>
      <c r="B17625" s="4" t="s">
        <v>22189</v>
      </c>
      <c r="C17625" s="5" t="str">
        <f>IFERROR(__xludf.DUMMYFUNCTION("GOOGLETRANSLATE(B17625,""en"",""de"")"),"Eine Frau sitzt neben einem Baby auf einem Hochstuhl.")</f>
        <v>Eine Frau sitzt neben einem Baby auf einem Hochstuhl.</v>
      </c>
    </row>
    <row r="17626">
      <c r="A17626" s="4" t="s">
        <v>22188</v>
      </c>
      <c r="B17626" s="4" t="s">
        <v>22190</v>
      </c>
      <c r="C17626" s="5" t="str">
        <f>IFERROR(__xludf.DUMMYFUNCTION("GOOGLETRANSLATE(B17626,""en"",""de"")"),"Sie spielt einen Akkordeianer für das Baby.")</f>
        <v>Sie spielt einen Akkordeianer für das Baby.</v>
      </c>
    </row>
    <row r="17627">
      <c r="A17627" s="4" t="s">
        <v>22188</v>
      </c>
      <c r="B17627" s="4" t="s">
        <v>22191</v>
      </c>
      <c r="C17627" s="5" t="str">
        <f>IFERROR(__xludf.DUMMYFUNCTION("GOOGLETRANSLATE(B17627,""en"",""de"")"),"Das Baby rockt hin und her und tanzt zur Musik.")</f>
        <v>Das Baby rockt hin und her und tanzt zur Musik.</v>
      </c>
    </row>
    <row r="17628">
      <c r="A17628" s="4" t="s">
        <v>22192</v>
      </c>
      <c r="B17628" s="4" t="s">
        <v>22193</v>
      </c>
      <c r="C17628" s="5" t="str">
        <f>IFERROR(__xludf.DUMMYFUNCTION("GOOGLETRANSLATE(B17628,""en"",""de"")"),"Eine Frau gibt Anweisungen, wie sie ihre Limonade machen kann.")</f>
        <v>Eine Frau gibt Anweisungen, wie sie ihre Limonade machen kann.</v>
      </c>
    </row>
    <row r="17629">
      <c r="A17629" s="4" t="s">
        <v>22192</v>
      </c>
      <c r="B17629" s="4" t="s">
        <v>22194</v>
      </c>
      <c r="C17629" s="5" t="str">
        <f>IFERROR(__xludf.DUMMYFUNCTION("GOOGLETRANSLATE(B17629,""en"",""de"")"),"Sie zeigt alle Zutaten, die sie verwendet, und beginnt sie zu kochen und mischen sie auf einem Topf auf dem Herd.")</f>
        <v>Sie zeigt alle Zutaten, die sie verwendet, und beginnt sie zu kochen und mischen sie auf einem Topf auf dem Herd.</v>
      </c>
    </row>
    <row r="17630">
      <c r="A17630" s="4" t="s">
        <v>22192</v>
      </c>
      <c r="B17630" s="4" t="s">
        <v>22195</v>
      </c>
      <c r="C17630" s="5" t="str">
        <f>IFERROR(__xludf.DUMMYFUNCTION("GOOGLETRANSLATE(B17630,""en"",""de"")"),"In einem Mixer mischt sie einige Erdbeeren und Zitronensaft.")</f>
        <v>In einem Mixer mischt sie einige Erdbeeren und Zitronensaft.</v>
      </c>
    </row>
    <row r="17631">
      <c r="A17631" s="4" t="s">
        <v>22192</v>
      </c>
      <c r="B17631" s="4" t="s">
        <v>22196</v>
      </c>
      <c r="C17631" s="5" t="str">
        <f>IFERROR(__xludf.DUMMYFUNCTION("GOOGLETRANSLATE(B17631,""en"",""de"")"),"Sie beginnt dann mehr oder weniger all diese Schritte für alle anderen Arten anderer Limonaden, die sie macht, wieder zu tun.")</f>
        <v>Sie beginnt dann mehr oder weniger all diese Schritte für alle anderen Arten anderer Limonaden, die sie macht, wieder zu tun.</v>
      </c>
    </row>
    <row r="17632">
      <c r="A17632" s="4" t="s">
        <v>22197</v>
      </c>
      <c r="B17632" s="4" t="s">
        <v>22198</v>
      </c>
      <c r="C17632" s="5" t="str">
        <f>IFERROR(__xludf.DUMMYFUNCTION("GOOGLETRANSLATE(B17632,""en"",""de"")"),"Eine Nahaufnahme einer Person, die auf einem Seil geht, wird gezeigt und ein alter Mann, der mit der Kamera spricht und mehr Aufnahmen der Person, die geht.")</f>
        <v>Eine Nahaufnahme einer Person, die auf einem Seil geht, wird gezeigt und ein alter Mann, der mit der Kamera spricht und mehr Aufnahmen der Person, die geht.</v>
      </c>
    </row>
    <row r="17633">
      <c r="A17633" s="4" t="s">
        <v>22197</v>
      </c>
      <c r="B17633" s="4" t="s">
        <v>22199</v>
      </c>
      <c r="C17633" s="5" t="str">
        <f>IFERROR(__xludf.DUMMYFUNCTION("GOOGLETRANSLATE(B17633,""en"",""de"")"),"Weitere Menschen werden interviewt, während Menschen hinter ihnen gehen und mehrere weitere Schüsse von Menschen zeigen, die über ein Seil laufen.")</f>
        <v>Weitere Menschen werden interviewt, während Menschen hinter ihnen gehen und mehrere weitere Schüsse von Menschen zeigen, die über ein Seil laufen.</v>
      </c>
    </row>
    <row r="17634">
      <c r="A17634" s="4" t="s">
        <v>22200</v>
      </c>
      <c r="B17634" s="4" t="s">
        <v>22201</v>
      </c>
      <c r="C17634" s="5" t="str">
        <f>IFERROR(__xludf.DUMMYFUNCTION("GOOGLETRANSLATE(B17634,""en"",""de"")"),"Eine kleine Gruppe von Menschen steht in einem Innenräumen, in dem ein Spieler den Ball tritt und ein Tor erzielte.")</f>
        <v>Eine kleine Gruppe von Menschen steht in einem Innenräumen, in dem ein Spieler den Ball tritt und ein Tor erzielte.</v>
      </c>
    </row>
    <row r="17635">
      <c r="A17635" s="4" t="s">
        <v>22200</v>
      </c>
      <c r="B17635" s="4" t="s">
        <v>22202</v>
      </c>
      <c r="C17635" s="5" t="str">
        <f>IFERROR(__xludf.DUMMYFUNCTION("GOOGLETRANSLATE(B17635,""en"",""de"")"),"Das Publikum jubelt und der gleiche Schuss wird mehrmals wieder gezeigt und der Spieler geht weg.")</f>
        <v>Das Publikum jubelt und der gleiche Schuss wird mehrmals wieder gezeigt und der Spieler geht weg.</v>
      </c>
    </row>
    <row r="17636">
      <c r="A17636" s="4" t="s">
        <v>22200</v>
      </c>
      <c r="B17636" s="4" t="s">
        <v>22203</v>
      </c>
      <c r="C17636" s="5" t="str">
        <f>IFERROR(__xludf.DUMMYFUNCTION("GOOGLETRANSLATE(B17636,""en"",""de"")"),"Während des Spiels werden viel mehr Tore gezeigt, gefolgt von dem gleichen Schuss, der in Zeitlupe erneut gezeigt wurde.")</f>
        <v>Während des Spiels werden viel mehr Tore gezeigt, gefolgt von dem gleichen Schuss, der in Zeitlupe erneut gezeigt wurde.</v>
      </c>
    </row>
    <row r="17637">
      <c r="A17637" s="4" t="s">
        <v>22204</v>
      </c>
      <c r="B17637" s="4" t="s">
        <v>22205</v>
      </c>
      <c r="C17637" s="5" t="str">
        <f>IFERROR(__xludf.DUMMYFUNCTION("GOOGLETRANSLATE(B17637,""en"",""de"")"),"Wir sehen, dass der Mann einen Stier mit einer Flagge neckt.")</f>
        <v>Wir sehen, dass der Mann einen Stier mit einer Flagge neckt.</v>
      </c>
    </row>
    <row r="17638">
      <c r="A17638" s="4" t="s">
        <v>22204</v>
      </c>
      <c r="B17638" s="4" t="s">
        <v>22206</v>
      </c>
      <c r="C17638" s="5" t="str">
        <f>IFERROR(__xludf.DUMMYFUNCTION("GOOGLETRANSLATE(B17638,""en"",""de"")"),"Der Bullen berechnet an der Flagge.")</f>
        <v>Der Bullen berechnet an der Flagge.</v>
      </c>
    </row>
    <row r="17639">
      <c r="A17639" s="4" t="s">
        <v>22204</v>
      </c>
      <c r="B17639" s="4" t="s">
        <v>22207</v>
      </c>
      <c r="C17639" s="5" t="str">
        <f>IFERROR(__xludf.DUMMYFUNCTION("GOOGLETRANSLATE(B17639,""en"",""de"")"),"Der Stier berechnet und geht nach der Flagge.")</f>
        <v>Der Stier berechnet und geht nach der Flagge.</v>
      </c>
    </row>
    <row r="17640">
      <c r="A17640" s="4" t="s">
        <v>22204</v>
      </c>
      <c r="B17640" s="4" t="s">
        <v>22208</v>
      </c>
      <c r="C17640" s="5" t="str">
        <f>IFERROR(__xludf.DUMMYFUNCTION("GOOGLETRANSLATE(B17640,""en"",""de"")"),"Der Stierkämpfer bewegt sich nach links und der Stier folgt ihm.")</f>
        <v>Der Stierkämpfer bewegt sich nach links und der Stier folgt ihm.</v>
      </c>
    </row>
    <row r="17641">
      <c r="A17641" s="4" t="s">
        <v>22209</v>
      </c>
      <c r="B17641" s="4" t="s">
        <v>22210</v>
      </c>
      <c r="C17641" s="5" t="str">
        <f>IFERROR(__xludf.DUMMYFUNCTION("GOOGLETRANSLATE(B17641,""en"",""de"")"),"Zwei Männer gehen, die sich vor ihnen befinden.")</f>
        <v>Zwei Männer gehen, die sich vor ihnen befinden.</v>
      </c>
    </row>
    <row r="17642">
      <c r="A17642" s="4" t="s">
        <v>22209</v>
      </c>
      <c r="B17642" s="4" t="s">
        <v>22211</v>
      </c>
      <c r="C17642" s="5" t="str">
        <f>IFERROR(__xludf.DUMMYFUNCTION("GOOGLETRANSLATE(B17642,""en"",""de"")"),"Sie ordnen Discs auf einige Zahlen an.")</f>
        <v>Sie ordnen Discs auf einige Zahlen an.</v>
      </c>
    </row>
    <row r="17643">
      <c r="A17643" s="4" t="s">
        <v>22209</v>
      </c>
      <c r="B17643" s="4" t="s">
        <v>22212</v>
      </c>
      <c r="C17643" s="5" t="str">
        <f>IFERROR(__xludf.DUMMYFUNCTION("GOOGLETRANSLATE(B17643,""en"",""de"")"),"Einer der Männer wirft eine Scheibe mit seinem Stock.")</f>
        <v>Einer der Männer wirft eine Scheibe mit seinem Stock.</v>
      </c>
    </row>
    <row r="17644">
      <c r="A17644" s="4" t="s">
        <v>22209</v>
      </c>
      <c r="B17644" s="4" t="s">
        <v>22213</v>
      </c>
      <c r="C17644" s="5" t="str">
        <f>IFERROR(__xludf.DUMMYFUNCTION("GOOGLETRANSLATE(B17644,""en"",""de"")"),"Der Mann in Red wirft seine Scheibe.")</f>
        <v>Der Mann in Red wirft seine Scheibe.</v>
      </c>
    </row>
    <row r="17645">
      <c r="A17645" s="4" t="s">
        <v>22209</v>
      </c>
      <c r="B17645" s="4" t="s">
        <v>22214</v>
      </c>
      <c r="C17645" s="5" t="str">
        <f>IFERROR(__xludf.DUMMYFUNCTION("GOOGLETRANSLATE(B17645,""en"",""de"")"),"Der erste Mann wirft eine andere Scheibe.")</f>
        <v>Der erste Mann wirft eine andere Scheibe.</v>
      </c>
    </row>
    <row r="17646">
      <c r="A17646" s="4" t="s">
        <v>22209</v>
      </c>
      <c r="B17646" s="4" t="s">
        <v>22215</v>
      </c>
      <c r="C17646" s="5" t="str">
        <f>IFERROR(__xludf.DUMMYFUNCTION("GOOGLETRANSLATE(B17646,""en"",""de"")"),"Der Mann im roten Hemd folgt.")</f>
        <v>Der Mann im roten Hemd folgt.</v>
      </c>
    </row>
    <row r="17647">
      <c r="A17647" s="4" t="s">
        <v>22209</v>
      </c>
      <c r="B17647" s="4" t="s">
        <v>22216</v>
      </c>
      <c r="C17647" s="5" t="str">
        <f>IFERROR(__xludf.DUMMYFUNCTION("GOOGLETRANSLATE(B17647,""en"",""de"")"),"Der erste Mann wirft eine andere Scheibe und der Mann in das rote Hemd folgt.")</f>
        <v>Der erste Mann wirft eine andere Scheibe und der Mann in das rote Hemd folgt.</v>
      </c>
    </row>
    <row r="17648">
      <c r="A17648" s="4" t="s">
        <v>22209</v>
      </c>
      <c r="B17648" s="4" t="s">
        <v>22217</v>
      </c>
      <c r="C17648" s="5" t="str">
        <f>IFERROR(__xludf.DUMMYFUNCTION("GOOGLETRANSLATE(B17648,""en"",""de"")"),"Sie hohen fünf gegenseitig.")</f>
        <v>Sie hohen fünf gegenseitig.</v>
      </c>
    </row>
    <row r="17649">
      <c r="A17649" s="4" t="s">
        <v>22218</v>
      </c>
      <c r="B17649" s="4" t="s">
        <v>22219</v>
      </c>
      <c r="C17649" s="5" t="str">
        <f>IFERROR(__xludf.DUMMYFUNCTION("GOOGLETRANSLATE(B17649,""en"",""de"")"),"Ein Mann in Militäruniform steht vor einer Gruppe von Soldaten.")</f>
        <v>Ein Mann in Militäruniform steht vor einer Gruppe von Soldaten.</v>
      </c>
    </row>
    <row r="17650">
      <c r="A17650" s="4" t="s">
        <v>22218</v>
      </c>
      <c r="B17650" s="4" t="s">
        <v>22220</v>
      </c>
      <c r="C17650" s="5" t="str">
        <f>IFERROR(__xludf.DUMMYFUNCTION("GOOGLETRANSLATE(B17650,""en"",""de"")"),"Er spielt die Dudelsack, während die anderen Soldaten stehen und ihn beobachten.")</f>
        <v>Er spielt die Dudelsack, während die anderen Soldaten stehen und ihn beobachten.</v>
      </c>
    </row>
    <row r="17651">
      <c r="A17651" s="4" t="s">
        <v>22218</v>
      </c>
      <c r="B17651" s="4" t="s">
        <v>22221</v>
      </c>
      <c r="C17651" s="5" t="str">
        <f>IFERROR(__xludf.DUMMYFUNCTION("GOOGLETRANSLATE(B17651,""en"",""de"")"),"Es kann eine Parade sein, für die sie üben, weil sie stehen und ihn auf dem Trailer beobachten.")</f>
        <v>Es kann eine Parade sein, für die sie üben, weil sie stehen und ihn auf dem Trailer beobachten.</v>
      </c>
    </row>
    <row r="17652">
      <c r="A17652" s="4" t="s">
        <v>22218</v>
      </c>
      <c r="B17652" s="4" t="s">
        <v>22222</v>
      </c>
      <c r="C17652" s="5" t="str">
        <f>IFERROR(__xludf.DUMMYFUNCTION("GOOGLETRANSLATE(B17652,""en"",""de"")"),"Sobald der Soldat mit seinem Lied auf dem Dudelsack fertig ist, klatschen und jubeln Sie ihn an.")</f>
        <v>Sobald der Soldat mit seinem Lied auf dem Dudelsack fertig ist, klatschen und jubeln Sie ihn an.</v>
      </c>
    </row>
    <row r="17653">
      <c r="A17653" s="4" t="s">
        <v>22223</v>
      </c>
      <c r="B17653" s="4" t="s">
        <v>22224</v>
      </c>
      <c r="C17653" s="5" t="str">
        <f>IFERROR(__xludf.DUMMYFUNCTION("GOOGLETRANSLATE(B17653,""en"",""de"")"),"Es wird ein altes Video von Menschen surfen.")</f>
        <v>Es wird ein altes Video von Menschen surfen.</v>
      </c>
    </row>
    <row r="17654">
      <c r="A17654" s="4" t="s">
        <v>22223</v>
      </c>
      <c r="B17654" s="4" t="s">
        <v>22225</v>
      </c>
      <c r="C17654" s="5" t="str">
        <f>IFERROR(__xludf.DUMMYFUNCTION("GOOGLETRANSLATE(B17654,""en"",""de"")"),"Die Leute fangen Wellen und der dicke Kerl macht einen ziemlich guten Job.")</f>
        <v>Die Leute fangen Wellen und der dicke Kerl macht einen ziemlich guten Job.</v>
      </c>
    </row>
    <row r="17655">
      <c r="A17655" s="4" t="s">
        <v>22226</v>
      </c>
      <c r="B17655" s="4" t="s">
        <v>22227</v>
      </c>
      <c r="C17655" s="5" t="str">
        <f>IFERROR(__xludf.DUMMYFUNCTION("GOOGLETRANSLATE(B17655,""en"",""de"")"),"Ein großer schwarzer Mann und John Cena befinden sich in einem Wrestling -Ringarm.")</f>
        <v>Ein großer schwarzer Mann und John Cena befinden sich in einem Wrestling -Ringarm.</v>
      </c>
    </row>
    <row r="17656">
      <c r="A17656" s="4" t="s">
        <v>22226</v>
      </c>
      <c r="B17656" s="4" t="s">
        <v>22228</v>
      </c>
      <c r="C17656" s="5" t="str">
        <f>IFERROR(__xludf.DUMMYFUNCTION("GOOGLETRANSLATE(B17656,""en"",""de"")"),"Der schwarze Mann beginnt zu gewinnen, aber John Cena benutzt alle seine Macht, um nicht nachzugeben, und gewinnt genug Kraft, um die Hand in die andere Richtung zurückzudrängen.")</f>
        <v>Der schwarze Mann beginnt zu gewinnen, aber John Cena benutzt alle seine Macht, um nicht nachzugeben, und gewinnt genug Kraft, um die Hand in die andere Richtung zurückzudrängen.</v>
      </c>
    </row>
    <row r="17657">
      <c r="A17657" s="4" t="s">
        <v>22226</v>
      </c>
      <c r="B17657" s="4" t="s">
        <v>22229</v>
      </c>
      <c r="C17657" s="5" t="str">
        <f>IFERROR(__xludf.DUMMYFUNCTION("GOOGLETRANSLATE(B17657,""en"",""de"")"),"Nach einer gewissen Zeit gewinnt John Cena und jemand springt auf den Rücken und beginnt ihn zu ringen und den Schwarzen auf und lässt ihn fallen.")</f>
        <v>Nach einer gewissen Zeit gewinnt John Cena und jemand springt auf den Rücken und beginnt ihn zu ringen und den Schwarzen auf und lässt ihn fallen.</v>
      </c>
    </row>
    <row r="17658">
      <c r="A17658" s="4" t="s">
        <v>22226</v>
      </c>
      <c r="B17658" s="4" t="s">
        <v>22230</v>
      </c>
      <c r="C17658" s="5" t="str">
        <f>IFERROR(__xludf.DUMMYFUNCTION("GOOGLETRANSLATE(B17658,""en"",""de"")"),"Als John Cena weiter feiert, beginnt der andere Mann zu reden, und John Cena sieht ihn an und spricht dann mit der Menge zurück.")</f>
        <v>Als John Cena weiter feiert, beginnt der andere Mann zu reden, und John Cena sieht ihn an und spricht dann mit der Menge zurück.</v>
      </c>
    </row>
    <row r="17659">
      <c r="A17659" s="4" t="s">
        <v>22231</v>
      </c>
      <c r="B17659" s="4" t="s">
        <v>22232</v>
      </c>
      <c r="C17659" s="5" t="str">
        <f>IFERROR(__xludf.DUMMYFUNCTION("GOOGLETRANSLATE(B17659,""en"",""de"")"),"Eine Blaskapelle spielt in einem Fitnessstudio und die Leute sehen zu.")</f>
        <v>Eine Blaskapelle spielt in einem Fitnessstudio und die Leute sehen zu.</v>
      </c>
    </row>
    <row r="17660">
      <c r="A17660" s="4" t="s">
        <v>22231</v>
      </c>
      <c r="B17660" s="4" t="s">
        <v>22233</v>
      </c>
      <c r="C17660" s="5" t="str">
        <f>IFERROR(__xludf.DUMMYFUNCTION("GOOGLETRANSLATE(B17660,""en"",""de"")"),"Dann hört die Blaskapelle ein, ein bisschen zu spielen, dann wird sie fortgesetzt.")</f>
        <v>Dann hört die Blaskapelle ein, ein bisschen zu spielen, dann wird sie fortgesetzt.</v>
      </c>
    </row>
    <row r="17661">
      <c r="A17661" s="4" t="s">
        <v>22231</v>
      </c>
      <c r="B17661" s="4" t="s">
        <v>22234</v>
      </c>
      <c r="C17661" s="5" t="str">
        <f>IFERROR(__xludf.DUMMYFUNCTION("GOOGLETRANSLATE(B17661,""en"",""de"")"),"Eine Frau passt auf der Seite der Blaskapelle.")</f>
        <v>Eine Frau passt auf der Seite der Blaskapelle.</v>
      </c>
    </row>
    <row r="17662">
      <c r="A17662" s="4" t="s">
        <v>22231</v>
      </c>
      <c r="B17662" s="4" t="s">
        <v>22235</v>
      </c>
      <c r="C17662" s="5" t="str">
        <f>IFERROR(__xludf.DUMMYFUNCTION("GOOGLETRANSLATE(B17662,""en"",""de"")"),"Ein junger Mann trinkt aus einer Dose.")</f>
        <v>Ein junger Mann trinkt aus einer Dose.</v>
      </c>
    </row>
    <row r="17663">
      <c r="A17663" s="4" t="s">
        <v>22231</v>
      </c>
      <c r="B17663" s="4" t="s">
        <v>22236</v>
      </c>
      <c r="C17663" s="5" t="str">
        <f>IFERROR(__xludf.DUMMYFUNCTION("GOOGLETRANSLATE(B17663,""en"",""de"")"),"Danach passieren ein Kind vor der Marschband.")</f>
        <v>Danach passieren ein Kind vor der Marschband.</v>
      </c>
    </row>
    <row r="17664">
      <c r="A17664" s="4" t="s">
        <v>22237</v>
      </c>
      <c r="B17664" s="4" t="s">
        <v>22238</v>
      </c>
      <c r="C17664" s="5" t="str">
        <f>IFERROR(__xludf.DUMMYFUNCTION("GOOGLETRANSLATE(B17664,""en"",""de"")"),"Die Leute in einem Haus machen sich bereit, auf der Straße mit Schnee zu schläfen.")</f>
        <v>Die Leute in einem Haus machen sich bereit, auf der Straße mit Schnee zu schläfen.</v>
      </c>
    </row>
    <row r="17665">
      <c r="A17665" s="4" t="s">
        <v>22237</v>
      </c>
      <c r="B17665" s="4" t="s">
        <v>22239</v>
      </c>
      <c r="C17665" s="5" t="str">
        <f>IFERROR(__xludf.DUMMYFUNCTION("GOOGLETRANSLATE(B17665,""en"",""de"")"),"Zwei junge Männer, die auf der Straße mit einem Auto gezogen wurden.")</f>
        <v>Zwei junge Männer, die auf der Straße mit einem Auto gezogen wurden.</v>
      </c>
    </row>
    <row r="17666">
      <c r="A17666" s="4" t="s">
        <v>22237</v>
      </c>
      <c r="B17666" s="4" t="s">
        <v>22240</v>
      </c>
      <c r="C17666" s="5" t="str">
        <f>IFERROR(__xludf.DUMMYFUNCTION("GOOGLETRANSLATE(B17666,""en"",""de"")"),"Schneespritzer fällt auf die jungen Männer, die mit Schnee bedeckt sind.")</f>
        <v>Schneespritzer fällt auf die jungen Männer, die mit Schnee bedeckt sind.</v>
      </c>
    </row>
    <row r="17667">
      <c r="A17667" s="4" t="s">
        <v>22237</v>
      </c>
      <c r="B17667" s="4" t="s">
        <v>22241</v>
      </c>
      <c r="C17667" s="5" t="str">
        <f>IFERROR(__xludf.DUMMYFUNCTION("GOOGLETRANSLATE(B17667,""en"",""de"")"),"Ein junger Mann steht vom Schlitten und betritt das Auto und eine andere Person nimmt seinen Platz auf dem Schlitten ein.")</f>
        <v>Ein junger Mann steht vom Schlitten und betritt das Auto und eine andere Person nimmt seinen Platz auf dem Schlitten ein.</v>
      </c>
    </row>
    <row r="17668">
      <c r="A17668" s="4" t="s">
        <v>22237</v>
      </c>
      <c r="B17668" s="4" t="s">
        <v>22242</v>
      </c>
      <c r="C17668" s="5" t="str">
        <f>IFERROR(__xludf.DUMMYFUNCTION("GOOGLETRANSLATE(B17668,""en"",""de"")"),"Ein junger Männer geht die Straße hinunter, während Schnee auf sie spreizte.")</f>
        <v>Ein junger Männer geht die Straße hinunter, während Schnee auf sie spreizte.</v>
      </c>
    </row>
    <row r="17669">
      <c r="A17669" s="4" t="s">
        <v>22237</v>
      </c>
      <c r="B17669" s="4" t="s">
        <v>22243</v>
      </c>
      <c r="C17669" s="5" t="str">
        <f>IFERROR(__xludf.DUMMYFUNCTION("GOOGLETRANSLATE(B17669,""en"",""de"")"),"Ein junger Snowboards mit einem Seil, das an einem Auto angebracht ist, fällt er am Ende.")</f>
        <v>Ein junger Snowboards mit einem Seil, das an einem Auto angebracht ist, fällt er am Ende.</v>
      </c>
    </row>
    <row r="17670">
      <c r="A17670" s="4" t="s">
        <v>22244</v>
      </c>
      <c r="B17670" s="4" t="s">
        <v>22245</v>
      </c>
      <c r="C17670" s="5" t="str">
        <f>IFERROR(__xludf.DUMMYFUNCTION("GOOGLETRANSLATE(B17670,""en"",""de"")"),"Ein Jungen -Skateboard auf einer Straße, die das Skateboard auf der Straße springt und umdreht.")</f>
        <v>Ein Jungen -Skateboard auf einer Straße, die das Skateboard auf der Straße springt und umdreht.</v>
      </c>
    </row>
    <row r="17671">
      <c r="A17671" s="4" t="s">
        <v>22244</v>
      </c>
      <c r="B17671" s="4" t="s">
        <v>22246</v>
      </c>
      <c r="C17671" s="5" t="str">
        <f>IFERROR(__xludf.DUMMYFUNCTION("GOOGLETRANSLATE(B17671,""en"",""de"")"),"Ein Skateboard lehnt sich auf einen Baum.")</f>
        <v>Ein Skateboard lehnt sich auf einen Baum.</v>
      </c>
    </row>
    <row r="17672">
      <c r="A17672" s="4" t="s">
        <v>22244</v>
      </c>
      <c r="B17672" s="4" t="s">
        <v>22247</v>
      </c>
      <c r="C17672" s="5" t="str">
        <f>IFERROR(__xludf.DUMMYFUNCTION("GOOGLETRANSLATE(B17672,""en"",""de"")"),"Dann wird das Jungen Skateboard auf kleinen Rampen und dann skateboarden auf der Straße fort.")</f>
        <v>Dann wird das Jungen Skateboard auf kleinen Rampen und dann skateboarden auf der Straße fort.</v>
      </c>
    </row>
    <row r="17673">
      <c r="A17673" s="4" t="s">
        <v>22248</v>
      </c>
      <c r="B17673" s="4" t="s">
        <v>22249</v>
      </c>
      <c r="C17673" s="5" t="str">
        <f>IFERROR(__xludf.DUMMYFUNCTION("GOOGLETRANSLATE(B17673,""en"",""de"")"),"Ein Mann setzt Rasiercreme in sein Gesicht.")</f>
        <v>Ein Mann setzt Rasiercreme in sein Gesicht.</v>
      </c>
    </row>
    <row r="17674">
      <c r="A17674" s="4" t="s">
        <v>22248</v>
      </c>
      <c r="B17674" s="4" t="s">
        <v>22250</v>
      </c>
      <c r="C17674" s="5" t="str">
        <f>IFERROR(__xludf.DUMMYFUNCTION("GOOGLETRANSLATE(B17674,""en"",""de"")"),"Ein Mann spuckt etwas Flüssigkeit aus seinem Mund.")</f>
        <v>Ein Mann spuckt etwas Flüssigkeit aus seinem Mund.</v>
      </c>
    </row>
    <row r="17675">
      <c r="A17675" s="4" t="s">
        <v>22248</v>
      </c>
      <c r="B17675" s="4" t="s">
        <v>22251</v>
      </c>
      <c r="C17675" s="5" t="str">
        <f>IFERROR(__xludf.DUMMYFUNCTION("GOOGLETRANSLATE(B17675,""en"",""de"")"),"Ein Mann schärft seine Rasierklinge.")</f>
        <v>Ein Mann schärft seine Rasierklinge.</v>
      </c>
    </row>
    <row r="17676">
      <c r="A17676" s="4" t="s">
        <v>22248</v>
      </c>
      <c r="B17676" s="4" t="s">
        <v>22252</v>
      </c>
      <c r="C17676" s="5" t="str">
        <f>IFERROR(__xludf.DUMMYFUNCTION("GOOGLETRANSLATE(B17676,""en"",""de"")"),"Der Mann rasiert sein Gesicht mit dem Rasierer.")</f>
        <v>Der Mann rasiert sein Gesicht mit dem Rasierer.</v>
      </c>
    </row>
    <row r="17677">
      <c r="A17677" s="4" t="s">
        <v>22248</v>
      </c>
      <c r="B17677" s="4" t="s">
        <v>22253</v>
      </c>
      <c r="C17677" s="5" t="str">
        <f>IFERROR(__xludf.DUMMYFUNCTION("GOOGLETRANSLATE(B17677,""en"",""de"")"),"Der Mann legt mehr Rasiercreme in sein Gesicht.")</f>
        <v>Der Mann legt mehr Rasiercreme in sein Gesicht.</v>
      </c>
    </row>
    <row r="17678">
      <c r="A17678" s="4" t="s">
        <v>22254</v>
      </c>
      <c r="B17678" s="4" t="s">
        <v>22255</v>
      </c>
      <c r="C17678" s="5" t="str">
        <f>IFERROR(__xludf.DUMMYFUNCTION("GOOGLETRANSLATE(B17678,""en"",""de"")"),"Ein Intro erscheint und es hat ein Logo und die Wörter ""Outdoor Interlaken +"", und dann erscheinen gelbe Wörter und römische Ziffern.")</f>
        <v>Ein Intro erscheint und es hat ein Logo und die Wörter "Outdoor Interlaken +", und dann erscheinen gelbe Wörter und römische Ziffern.</v>
      </c>
    </row>
    <row r="17679">
      <c r="A17679" s="4" t="s">
        <v>22254</v>
      </c>
      <c r="B17679" s="4" t="s">
        <v>22256</v>
      </c>
      <c r="C17679" s="5" t="str">
        <f>IFERROR(__xludf.DUMMYFUNCTION("GOOGLETRANSLATE(B17679,""en"",""de"")"),"Der Outdoor -Laden erscheint und ändert sich schnell in das Innere des Ladens, in dem sich alle Menschen versammelt haben, um Anweisungen zu erhalten, sich in Helmen und Sicherheitsausrüstung anzuziehen und sich auf das Rafting von Weißwasser vorzubereite"&amp;"n.")</f>
        <v>Der Outdoor -Laden erscheint und ändert sich schnell in das Innere des Ladens, in dem sich alle Menschen versammelt haben, um Anweisungen zu erhalten, sich in Helmen und Sicherheitsausrüstung anzuziehen und sich auf das Rafting von Weißwasser vorzubereiten.</v>
      </c>
    </row>
    <row r="17680">
      <c r="A17680" s="4" t="s">
        <v>22254</v>
      </c>
      <c r="B17680" s="4" t="s">
        <v>22257</v>
      </c>
      <c r="C17680" s="5" t="str">
        <f>IFERROR(__xludf.DUMMYFUNCTION("GOOGLETRANSLATE(B17680,""en"",""de"")"),"Die Leute gehen dann im Freien, wo sie an Land praktizieren, wie man im Floß, Paddel usw. sitzt")</f>
        <v>Die Leute gehen dann im Freien, wo sie an Land praktizieren, wie man im Floß, Paddel usw. sitzt</v>
      </c>
    </row>
    <row r="17681">
      <c r="A17681" s="4" t="s">
        <v>22254</v>
      </c>
      <c r="B17681" s="4" t="s">
        <v>22258</v>
      </c>
      <c r="C17681" s="5" t="str">
        <f>IFERROR(__xludf.DUMMYFUNCTION("GOOGLETRANSLATE(B17681,""en"",""de"")"),"Wenn sie mit ihren Flößen zum Wasser geübt werden, sind sie alle in den sehr rauen Gewässern zu sehen, die runter und paddeln und in ihren Flößen, wo sie in ruhigem Wasser landen und aus ihren Floßen springen, um ihren Erfolg zu feiern.")</f>
        <v>Wenn sie mit ihren Flößen zum Wasser geübt werden, sind sie alle in den sehr rauen Gewässern zu sehen, die runter und paddeln und in ihren Flößen, wo sie in ruhigem Wasser landen und aus ihren Floßen springen, um ihren Erfolg zu feiern.</v>
      </c>
    </row>
    <row r="17682">
      <c r="A17682" s="4" t="s">
        <v>22254</v>
      </c>
      <c r="B17682" s="4" t="s">
        <v>22259</v>
      </c>
      <c r="C17682" s="5" t="str">
        <f>IFERROR(__xludf.DUMMYFUNCTION("GOOGLETRANSLATE(B17682,""en"",""de"")"),"Wenn sie fertig sind und die Menschen feiern, gehen das Wasser aus dem Wasser und landen in einem Fahrzeug, in dem sie lächeln und glücklich sind.")</f>
        <v>Wenn sie fertig sind und die Menschen feiern, gehen das Wasser aus dem Wasser und landen in einem Fahrzeug, in dem sie lächeln und glücklich sind.</v>
      </c>
    </row>
    <row r="17683">
      <c r="A17683" s="4" t="s">
        <v>22254</v>
      </c>
      <c r="B17683" s="4" t="s">
        <v>22260</v>
      </c>
      <c r="C17683" s="5" t="str">
        <f>IFERROR(__xludf.DUMMYFUNCTION("GOOGLETRANSLATE(B17683,""en"",""de"")"),"Das Outro wird mit Kontaktinformationen, Website, Logos und Credits angezeigt.")</f>
        <v>Das Outro wird mit Kontaktinformationen, Website, Logos und Credits angezeigt.</v>
      </c>
    </row>
    <row r="17684">
      <c r="A17684" s="4" t="s">
        <v>22261</v>
      </c>
      <c r="B17684" s="4" t="s">
        <v>22262</v>
      </c>
      <c r="C17684" s="5" t="str">
        <f>IFERROR(__xludf.DUMMYFUNCTION("GOOGLETRANSLATE(B17684,""en"",""de"")"),"Zwei Menschen sitzen am Ufer, während sie in Kajaks sitzen.")</f>
        <v>Zwei Menschen sitzen am Ufer, während sie in Kajaks sitzen.</v>
      </c>
    </row>
    <row r="17685">
      <c r="A17685" s="4" t="s">
        <v>22261</v>
      </c>
      <c r="B17685" s="4" t="s">
        <v>22263</v>
      </c>
      <c r="C17685" s="5" t="str">
        <f>IFERROR(__xludf.DUMMYFUNCTION("GOOGLETRANSLATE(B17685,""en"",""de"")"),"Eine Person nähert sich näher am Wasser und reitet den Fluss entlang.")</f>
        <v>Eine Person nähert sich näher am Wasser und reitet den Fluss entlang.</v>
      </c>
    </row>
    <row r="17686">
      <c r="A17686" s="4" t="s">
        <v>22264</v>
      </c>
      <c r="B17686" s="4" t="s">
        <v>22265</v>
      </c>
      <c r="C17686" s="5" t="str">
        <f>IFERROR(__xludf.DUMMYFUNCTION("GOOGLETRANSLATE(B17686,""en"",""de"")"),"Junge Männer reiten Skateboards und schleudern Wendungen auf einem Stadtplatz.")</f>
        <v>Junge Männer reiten Skateboards und schleudern Wendungen auf einem Stadtplatz.</v>
      </c>
    </row>
    <row r="17687">
      <c r="A17687" s="4" t="s">
        <v>22264</v>
      </c>
      <c r="B17687" s="4" t="s">
        <v>22266</v>
      </c>
      <c r="C17687" s="5" t="str">
        <f>IFERROR(__xludf.DUMMYFUNCTION("GOOGLETRANSLATE(B17687,""en"",""de"")"),"Der Skateboarder macht eine Wheelie.")</f>
        <v>Der Skateboarder macht eine Wheelie.</v>
      </c>
    </row>
    <row r="17688">
      <c r="A17688" s="4" t="s">
        <v>22264</v>
      </c>
      <c r="B17688" s="4" t="s">
        <v>22267</v>
      </c>
      <c r="C17688" s="5" t="str">
        <f>IFERROR(__xludf.DUMMYFUNCTION("GOOGLETRANSLATE(B17688,""en"",""de"")"),"Die Skateboarder reiten einen Bürgersteig entlang, der irgendwohin geht.")</f>
        <v>Die Skateboarder reiten einen Bürgersteig entlang, der irgendwohin geht.</v>
      </c>
    </row>
    <row r="17689">
      <c r="A17689" s="4" t="s">
        <v>22264</v>
      </c>
      <c r="B17689" s="4" t="s">
        <v>22268</v>
      </c>
      <c r="C17689" s="5" t="str">
        <f>IFERROR(__xludf.DUMMYFUNCTION("GOOGLETRANSLATE(B17689,""en"",""de"")"),"Die Jungs gehen herum und gehen in eine Transportstation.")</f>
        <v>Die Jungs gehen herum und gehen in eine Transportstation.</v>
      </c>
    </row>
    <row r="17690">
      <c r="A17690" s="4" t="s">
        <v>22269</v>
      </c>
      <c r="B17690" s="4" t="s">
        <v>22270</v>
      </c>
      <c r="C17690" s="5" t="str">
        <f>IFERROR(__xludf.DUMMYFUNCTION("GOOGLETRANSLATE(B17690,""en"",""de"")"),"Ein Mann in rotem Außenbereich in seinen Rotoren und legt seinen Reifen wieder auf seinen Lastwagen.")</f>
        <v>Ein Mann in rotem Außenbereich in seinen Rotoren und legt seinen Reifen wieder auf seinen Lastwagen.</v>
      </c>
    </row>
    <row r="17691">
      <c r="A17691" s="4" t="s">
        <v>22269</v>
      </c>
      <c r="B17691" s="4" t="s">
        <v>22271</v>
      </c>
      <c r="C17691" s="5" t="str">
        <f>IFERROR(__xludf.DUMMYFUNCTION("GOOGLETRANSLATE(B17691,""en"",""de"")"),"Er schnappt sich Stücke, um es festzuziehen, und beginnt sicherzustellen, dass sie super eng sind.")</f>
        <v>Er schnappt sich Stücke, um es festzuziehen, und beginnt sicherzustellen, dass sie super eng sind.</v>
      </c>
    </row>
    <row r="17692">
      <c r="A17692" s="4" t="s">
        <v>22269</v>
      </c>
      <c r="B17692" s="4" t="s">
        <v>22272</v>
      </c>
      <c r="C17692" s="5" t="str">
        <f>IFERROR(__xludf.DUMMYFUNCTION("GOOGLETRANSLATE(B17692,""en"",""de"")"),"Er tut es wiederholt, um sicherzustellen, dass sie alle gut bleiben.")</f>
        <v>Er tut es wiederholt, um sicherzustellen, dass sie alle gut bleiben.</v>
      </c>
    </row>
    <row r="17693">
      <c r="A17693" s="4" t="s">
        <v>22269</v>
      </c>
      <c r="B17693" s="4" t="s">
        <v>22273</v>
      </c>
      <c r="C17693" s="5" t="str">
        <f>IFERROR(__xludf.DUMMYFUNCTION("GOOGLETRANSLATE(B17693,""en"",""de"")"),"Andernfalls wäre es gefährlich, weiterzumachen, wenn sie locker sind.")</f>
        <v>Andernfalls wäre es gefährlich, weiterzumachen, wenn sie locker sind.</v>
      </c>
    </row>
    <row r="17694">
      <c r="A17694" s="4" t="s">
        <v>22274</v>
      </c>
      <c r="B17694" s="4" t="s">
        <v>22275</v>
      </c>
      <c r="C17694" s="5" t="str">
        <f>IFERROR(__xludf.DUMMYFUNCTION("GOOGLETRANSLATE(B17694,""en"",""de"")"),"Wir sehen einen Jungen in einer Mütze in einem Raum, das lacht und sitzt.")</f>
        <v>Wir sehen einen Jungen in einer Mütze in einem Raum, das lacht und sitzt.</v>
      </c>
    </row>
    <row r="17695">
      <c r="A17695" s="4" t="s">
        <v>22274</v>
      </c>
      <c r="B17695" s="4" t="s">
        <v>22276</v>
      </c>
      <c r="C17695" s="5" t="str">
        <f>IFERROR(__xludf.DUMMYFUNCTION("GOOGLETRANSLATE(B17695,""en"",""de"")"),"Wir sehen den Jungen hinter der Bühne mit zwei Männern sprechen.")</f>
        <v>Wir sehen den Jungen hinter der Bühne mit zwei Männern sprechen.</v>
      </c>
    </row>
    <row r="17696">
      <c r="A17696" s="4" t="s">
        <v>22274</v>
      </c>
      <c r="B17696" s="4" t="s">
        <v>22277</v>
      </c>
      <c r="C17696" s="5" t="str">
        <f>IFERROR(__xludf.DUMMYFUNCTION("GOOGLETRANSLATE(B17696,""en"",""de"")"),"Der Junge geht auf der Bühne und spricht mit den Richtern.")</f>
        <v>Der Junge geht auf der Bühne und spricht mit den Richtern.</v>
      </c>
    </row>
    <row r="17697">
      <c r="A17697" s="4" t="s">
        <v>22274</v>
      </c>
      <c r="B17697" s="4" t="s">
        <v>22278</v>
      </c>
      <c r="C17697" s="5" t="str">
        <f>IFERROR(__xludf.DUMMYFUNCTION("GOOGLETRANSLATE(B17697,""en"",""de"")"),"Der Junge spielt einen Break -Tanz.")</f>
        <v>Der Junge spielt einen Break -Tanz.</v>
      </c>
    </row>
    <row r="17698">
      <c r="A17698" s="4" t="s">
        <v>22274</v>
      </c>
      <c r="B17698" s="4" t="s">
        <v>22279</v>
      </c>
      <c r="C17698" s="5" t="str">
        <f>IFERROR(__xludf.DUMMYFUNCTION("GOOGLETRANSLATE(B17698,""en"",""de"")"),"Ein Richter Mund hängt auf.")</f>
        <v>Ein Richter Mund hängt auf.</v>
      </c>
    </row>
    <row r="17699">
      <c r="A17699" s="4" t="s">
        <v>22274</v>
      </c>
      <c r="B17699" s="4" t="s">
        <v>22280</v>
      </c>
      <c r="C17699" s="5" t="str">
        <f>IFERROR(__xludf.DUMMYFUNCTION("GOOGLETRANSLATE(B17699,""en"",""de"")"),"Die Jungenfinis tanzen und die Richter geben ihr Feedback.")</f>
        <v>Die Jungenfinis tanzen und die Richter geben ihr Feedback.</v>
      </c>
    </row>
    <row r="17700">
      <c r="A17700" s="4" t="s">
        <v>22274</v>
      </c>
      <c r="B17700" s="4" t="s">
        <v>22281</v>
      </c>
      <c r="C17700" s="5" t="str">
        <f>IFERROR(__xludf.DUMMYFUNCTION("GOOGLETRANSLATE(B17700,""en"",""de"")"),"Die Menge hebt ihre Arme in der Luft.")</f>
        <v>Die Menge hebt ihre Arme in der Luft.</v>
      </c>
    </row>
    <row r="17701">
      <c r="A17701" s="4" t="s">
        <v>22274</v>
      </c>
      <c r="B17701" s="4" t="s">
        <v>22282</v>
      </c>
      <c r="C17701" s="5" t="str">
        <f>IFERROR(__xludf.DUMMYFUNCTION("GOOGLETRANSLATE(B17701,""en"",""de"")"),"Der Junge geht von der Bühne und wird interviewt.")</f>
        <v>Der Junge geht von der Bühne und wird interviewt.</v>
      </c>
    </row>
    <row r="17702">
      <c r="A17702" s="4" t="s">
        <v>22274</v>
      </c>
      <c r="B17702" s="4" t="s">
        <v>22283</v>
      </c>
      <c r="C17702" s="5" t="str">
        <f>IFERROR(__xludf.DUMMYFUNCTION("GOOGLETRANSLATE(B17702,""en"",""de"")"),"Der Junge geht von den Männern weg.")</f>
        <v>Der Junge geht von den Männern weg.</v>
      </c>
    </row>
    <row r="17703">
      <c r="A17703" s="4" t="s">
        <v>22284</v>
      </c>
      <c r="B17703" s="4" t="s">
        <v>22285</v>
      </c>
      <c r="C17703" s="5" t="str">
        <f>IFERROR(__xludf.DUMMYFUNCTION("GOOGLETRANSLATE(B17703,""en"",""de"")"),"Ein Mann läuft einen Speer.")</f>
        <v>Ein Mann läuft einen Speer.</v>
      </c>
    </row>
    <row r="17704">
      <c r="A17704" s="4" t="s">
        <v>22284</v>
      </c>
      <c r="B17704" s="4" t="s">
        <v>22286</v>
      </c>
      <c r="C17704" s="5" t="str">
        <f>IFERROR(__xludf.DUMMYFUNCTION("GOOGLETRANSLATE(B17704,""en"",""de"")"),"Er legt seine Hände in die Luft und winkt auf die Menge.")</f>
        <v>Er legt seine Hände in die Luft und winkt auf die Menge.</v>
      </c>
    </row>
    <row r="17705">
      <c r="A17705" s="4" t="s">
        <v>22284</v>
      </c>
      <c r="B17705" s="4" t="s">
        <v>22287</v>
      </c>
      <c r="C17705" s="5" t="str">
        <f>IFERROR(__xludf.DUMMYFUNCTION("GOOGLETRANSLATE(B17705,""en"",""de"")"),"Er schnappt sich ein Handtuch und legt seine Hände in die Luft.")</f>
        <v>Er schnappt sich ein Handtuch und legt seine Hände in die Luft.</v>
      </c>
    </row>
    <row r="17706">
      <c r="A17706" s="4" t="s">
        <v>22288</v>
      </c>
      <c r="B17706" s="4" t="s">
        <v>22289</v>
      </c>
      <c r="C17706" s="5" t="str">
        <f>IFERROR(__xludf.DUMMYFUNCTION("GOOGLETRANSLATE(B17706,""en"",""de"")"),"Ein Mann steht an einer Bar und er beginnt Eis in eine hohe Tasse zusammen mit blauer Flüssigkeit, dunkler Flüssigkeit und einer roten Flüssigkeit zu gießen.")</f>
        <v>Ein Mann steht an einer Bar und er beginnt Eis in eine hohe Tasse zusammen mit blauer Flüssigkeit, dunkler Flüssigkeit und einer roten Flüssigkeit zu gießen.</v>
      </c>
    </row>
    <row r="17707">
      <c r="A17707" s="4" t="s">
        <v>22288</v>
      </c>
      <c r="B17707" s="4" t="s">
        <v>22290</v>
      </c>
      <c r="C17707" s="5" t="str">
        <f>IFERROR(__xludf.DUMMYFUNCTION("GOOGLETRANSLATE(B17707,""en"",""de"")"),"Der Mann gießt es dann in einen Shaker und schüttelt es, bis es gründlich gemischt ist.")</f>
        <v>Der Mann gießt es dann in einen Shaker und schüttelt es, bis es gründlich gemischt ist.</v>
      </c>
    </row>
    <row r="17708">
      <c r="A17708" s="4" t="s">
        <v>22288</v>
      </c>
      <c r="B17708" s="4" t="s">
        <v>22291</v>
      </c>
      <c r="C17708" s="5" t="str">
        <f>IFERROR(__xludf.DUMMYFUNCTION("GOOGLETRANSLATE(B17708,""en"",""de"")"),"Wenn der Mann das Getränk schüttelt, entfernt er die Tasse aus dem Shaker, gießt die Flüssigkeiten in eine kleinere Tasse und steckt einen weißen Strohhalm hinein.")</f>
        <v>Wenn der Mann das Getränk schüttelt, entfernt er die Tasse aus dem Shaker, gießt die Flüssigkeiten in eine kleinere Tasse und steckt einen weißen Strohhalm hinein.</v>
      </c>
    </row>
    <row r="17709">
      <c r="A17709" s="4" t="s">
        <v>22288</v>
      </c>
      <c r="B17709" s="4" t="s">
        <v>22292</v>
      </c>
      <c r="C17709" s="5" t="str">
        <f>IFERROR(__xludf.DUMMYFUNCTION("GOOGLETRANSLATE(B17709,""en"",""de"")"),"Während des Redens des Mannes nimmt er die Tasse auf, riecht sie, lächelt und hält das Getränk hoch.")</f>
        <v>Während des Redens des Mannes nimmt er die Tasse auf, riecht sie, lächelt und hält das Getränk hoch.</v>
      </c>
    </row>
    <row r="17710">
      <c r="A17710" s="4" t="s">
        <v>22293</v>
      </c>
      <c r="B17710" s="4" t="s">
        <v>22294</v>
      </c>
      <c r="C17710" s="5" t="str">
        <f>IFERROR(__xludf.DUMMYFUNCTION("GOOGLETRANSLATE(B17710,""en"",""de"")"),"Eine Kamera schwenkt um eine Person um ein Pferd herum.")</f>
        <v>Eine Kamera schwenkt um eine Person um ein Pferd herum.</v>
      </c>
    </row>
    <row r="17711">
      <c r="A17711" s="4" t="s">
        <v>22293</v>
      </c>
      <c r="B17711" s="4" t="s">
        <v>22295</v>
      </c>
      <c r="C17711" s="5" t="str">
        <f>IFERROR(__xludf.DUMMYFUNCTION("GOOGLETRANSLATE(B17711,""en"",""de"")"),"Die Person reitet weiter in der Gegend und macht eine Pause, um mit der Frau zu sprechen, während sie lacht und mit der Kamera spricht.")</f>
        <v>Die Person reitet weiter in der Gegend und macht eine Pause, um mit der Frau zu sprechen, während sie lacht und mit der Kamera spricht.</v>
      </c>
    </row>
    <row r="17712">
      <c r="A17712" s="4" t="s">
        <v>22296</v>
      </c>
      <c r="B17712" s="4" t="s">
        <v>22297</v>
      </c>
      <c r="C17712" s="5" t="str">
        <f>IFERROR(__xludf.DUMMYFUNCTION("GOOGLETRANSLATE(B17712,""en"",""de"")"),"Eine Gruppe von Cheerleadern versammelt sich auf einem Fußballfeld.")</f>
        <v>Eine Gruppe von Cheerleadern versammelt sich auf einem Fußballfeld.</v>
      </c>
    </row>
    <row r="17713">
      <c r="A17713" s="4" t="s">
        <v>22296</v>
      </c>
      <c r="B17713" s="4" t="s">
        <v>22298</v>
      </c>
      <c r="C17713" s="5" t="str">
        <f>IFERROR(__xludf.DUMMYFUNCTION("GOOGLETRANSLATE(B17713,""en"",""de"")"),"Sie jubeln und flip, während sie über das Feld joggen.")</f>
        <v>Sie jubeln und flip, während sie über das Feld joggen.</v>
      </c>
    </row>
    <row r="17714">
      <c r="A17714" s="4" t="s">
        <v>22296</v>
      </c>
      <c r="B17714" s="4" t="s">
        <v>22299</v>
      </c>
      <c r="C17714" s="5" t="str">
        <f>IFERROR(__xludf.DUMMYFUNCTION("GOOGLETRANSLATE(B17714,""en"",""de"")"),"Dann legten sie eine Leistung an, drehen und springen.")</f>
        <v>Dann legten sie eine Leistung an, drehen und springen.</v>
      </c>
    </row>
    <row r="17715">
      <c r="A17715" s="4" t="s">
        <v>22300</v>
      </c>
      <c r="B17715" s="4" t="s">
        <v>22301</v>
      </c>
      <c r="C17715" s="5" t="str">
        <f>IFERROR(__xludf.DUMMYFUNCTION("GOOGLETRANSLATE(B17715,""en"",""de"")"),"Ein Intro führt in mehrere Schüsse eines bewaldeten Gebiets und mehrere Menschen, die von einer Brücke springen.")</f>
        <v>Ein Intro führt in mehrere Schüsse eines bewaldeten Gebiets und mehrere Menschen, die von einer Brücke springen.</v>
      </c>
    </row>
    <row r="17716">
      <c r="A17716" s="4" t="s">
        <v>22300</v>
      </c>
      <c r="B17716" s="4" t="s">
        <v>22302</v>
      </c>
      <c r="C17716" s="5" t="str">
        <f>IFERROR(__xludf.DUMMYFUNCTION("GOOGLETRANSLATE(B17716,""en"",""de"")"),"Mehrere Schüsse von Menschen springen von der Seite und zeigten sich und viele standen auf der Seite und die Nahaufnahmen der Springer.")</f>
        <v>Mehrere Schüsse von Menschen springen von der Seite und zeigten sich und viele standen auf der Seite und die Nahaufnahmen der Springer.</v>
      </c>
    </row>
    <row r="17717">
      <c r="A17717" s="4" t="s">
        <v>22303</v>
      </c>
      <c r="B17717" s="4" t="s">
        <v>22304</v>
      </c>
      <c r="C17717" s="5" t="str">
        <f>IFERROR(__xludf.DUMMYFUNCTION("GOOGLETRANSLATE(B17717,""en"",""de"")"),"Die Leute auf der Tribüne beobachten, wie zwei Bullen in einem Stierkampfring herumlaufen, andere Leute im Ring herumlaufen und Fotos machen.")</f>
        <v>Die Leute auf der Tribüne beobachten, wie zwei Bullen in einem Stierkampfring herumlaufen, andere Leute im Ring herumlaufen und Fotos machen.</v>
      </c>
    </row>
    <row r="17718">
      <c r="A17718" s="4" t="s">
        <v>22303</v>
      </c>
      <c r="B17718" s="4" t="s">
        <v>22305</v>
      </c>
      <c r="C17718" s="5" t="str">
        <f>IFERROR(__xludf.DUMMYFUNCTION("GOOGLETRANSLATE(B17718,""en"",""de"")"),"Die Bullen verschließen Hörner und sind gegenseitig aggressiv.")</f>
        <v>Die Bullen verschließen Hörner und sind gegenseitig aggressiv.</v>
      </c>
    </row>
    <row r="17719">
      <c r="A17719" s="4" t="s">
        <v>22303</v>
      </c>
      <c r="B17719" s="4" t="s">
        <v>22306</v>
      </c>
      <c r="C17719" s="5" t="str">
        <f>IFERROR(__xludf.DUMMYFUNCTION("GOOGLETRANSLATE(B17719,""en"",""de"")"),"Ein Stier geht von der anderen weg und dreht sich dann schnell in den Kampf um.")</f>
        <v>Ein Stier geht von der anderen weg und dreht sich dann schnell in den Kampf um.</v>
      </c>
    </row>
    <row r="17720">
      <c r="A17720" s="4" t="s">
        <v>22303</v>
      </c>
      <c r="B17720" s="4" t="s">
        <v>22307</v>
      </c>
      <c r="C17720" s="5" t="str">
        <f>IFERROR(__xludf.DUMMYFUNCTION("GOOGLETRANSLATE(B17720,""en"",""de"")"),"Die Bullen kreisen gegenseitig.")</f>
        <v>Die Bullen kreisen gegenseitig.</v>
      </c>
    </row>
    <row r="17721">
      <c r="A17721" s="4" t="s">
        <v>22303</v>
      </c>
      <c r="B17721" s="4" t="s">
        <v>22308</v>
      </c>
      <c r="C17721" s="5" t="str">
        <f>IFERROR(__xludf.DUMMYFUNCTION("GOOGLETRANSLATE(B17721,""en"",""de"")"),"Die Bullen beginnen zu kämpfen.")</f>
        <v>Die Bullen beginnen zu kämpfen.</v>
      </c>
    </row>
    <row r="17722">
      <c r="A17722" s="4" t="s">
        <v>22309</v>
      </c>
      <c r="B17722" s="4" t="s">
        <v>22310</v>
      </c>
      <c r="C17722" s="5" t="str">
        <f>IFERROR(__xludf.DUMMYFUNCTION("GOOGLETRANSLATE(B17722,""en"",""de"")"),"Der Mensch steht in einem Workshop vor einem Fahrrad, das mit der Kamera spricht.")</f>
        <v>Der Mensch steht in einem Workshop vor einem Fahrrad, das mit der Kamera spricht.</v>
      </c>
    </row>
    <row r="17723">
      <c r="A17723" s="4" t="s">
        <v>22309</v>
      </c>
      <c r="B17723" s="4" t="s">
        <v>22311</v>
      </c>
      <c r="C17723" s="5" t="str">
        <f>IFERROR(__xludf.DUMMYFUNCTION("GOOGLETRANSLATE(B17723,""en"",""de"")"),"Die Liste der Materialien wird im Bildschirm angezeigt.")</f>
        <v>Die Liste der Materialien wird im Bildschirm angezeigt.</v>
      </c>
    </row>
    <row r="17724">
      <c r="A17724" s="4" t="s">
        <v>22309</v>
      </c>
      <c r="B17724" s="4" t="s">
        <v>22312</v>
      </c>
      <c r="C17724" s="5" t="str">
        <f>IFERROR(__xludf.DUMMYFUNCTION("GOOGLETRANSLATE(B17724,""en"",""de"")"),"Der Mann legt Bürokratie auf Fahrradstangen.")</f>
        <v>Der Mann legt Bürokratie auf Fahrradstangen.</v>
      </c>
    </row>
    <row r="17725">
      <c r="A17725" s="4" t="s">
        <v>22309</v>
      </c>
      <c r="B17725" s="4" t="s">
        <v>22313</v>
      </c>
      <c r="C17725" s="5" t="str">
        <f>IFERROR(__xludf.DUMMYFUNCTION("GOOGLETRANSLATE(B17725,""en"",""de"")"),"Der Mann wickelt die gesamte Stange in die Bürokratie.")</f>
        <v>Der Mann wickelt die gesamte Stange in die Bürokratie.</v>
      </c>
    </row>
    <row r="17726">
      <c r="A17726" s="4" t="s">
        <v>22314</v>
      </c>
      <c r="B17726" s="4" t="s">
        <v>22315</v>
      </c>
      <c r="C17726" s="5" t="str">
        <f>IFERROR(__xludf.DUMMYFUNCTION("GOOGLETRANSLATE(B17726,""en"",""de"")"),"Ein Mann wirft eine Frisbee auf ein Feld.")</f>
        <v>Ein Mann wirft eine Frisbee auf ein Feld.</v>
      </c>
    </row>
    <row r="17727">
      <c r="A17727" s="4" t="s">
        <v>22314</v>
      </c>
      <c r="B17727" s="4" t="s">
        <v>22316</v>
      </c>
      <c r="C17727" s="5" t="str">
        <f>IFERROR(__xludf.DUMMYFUNCTION("GOOGLETRANSLATE(B17727,""en"",""de"")"),"Ein Hund springt und greift nach dem Frisbee in der Luft.")</f>
        <v>Ein Hund springt und greift nach dem Frisbee in der Luft.</v>
      </c>
    </row>
    <row r="17728">
      <c r="A17728" s="4" t="s">
        <v>22314</v>
      </c>
      <c r="B17728" s="4" t="s">
        <v>22317</v>
      </c>
      <c r="C17728" s="5" t="str">
        <f>IFERROR(__xludf.DUMMYFUNCTION("GOOGLETRANSLATE(B17728,""en"",""de"")"),"Der Mann liegt auf dem Rücken und der Hund steht auf seinen Füßen.")</f>
        <v>Der Mann liegt auf dem Rücken und der Hund steht auf seinen Füßen.</v>
      </c>
    </row>
    <row r="17729">
      <c r="A17729" s="4" t="s">
        <v>22314</v>
      </c>
      <c r="B17729" s="4" t="s">
        <v>22318</v>
      </c>
      <c r="C17729" s="5" t="str">
        <f>IFERROR(__xludf.DUMMYFUNCTION("GOOGLETRANSLATE(B17729,""en"",""de"")"),"Der Mann beugt sich und der Hund springt auf den Rücken.")</f>
        <v>Der Mann beugt sich und der Hund springt auf den Rücken.</v>
      </c>
    </row>
    <row r="17730">
      <c r="A17730" s="4" t="s">
        <v>22314</v>
      </c>
      <c r="B17730" s="4" t="s">
        <v>22319</v>
      </c>
      <c r="C17730" s="5" t="str">
        <f>IFERROR(__xludf.DUMMYFUNCTION("GOOGLETRANSLATE(B17730,""en"",""de"")"),"Der Hund rennt und springt in die Arme der Mannes und der Mann trägt ihn.")</f>
        <v>Der Hund rennt und springt in die Arme der Mannes und der Mann trägt ihn.</v>
      </c>
    </row>
    <row r="17731">
      <c r="A17731" s="4" t="s">
        <v>22320</v>
      </c>
      <c r="B17731" s="4" t="s">
        <v>22321</v>
      </c>
      <c r="C17731" s="5" t="str">
        <f>IFERROR(__xludf.DUMMYFUNCTION("GOOGLETRANSLATE(B17731,""en"",""de"")"),"Eine Frau spricht mit der Kamera.")</f>
        <v>Eine Frau spricht mit der Kamera.</v>
      </c>
    </row>
    <row r="17732">
      <c r="A17732" s="4" t="s">
        <v>22320</v>
      </c>
      <c r="B17732" s="4" t="s">
        <v>22322</v>
      </c>
      <c r="C17732" s="5" t="str">
        <f>IFERROR(__xludf.DUMMYFUNCTION("GOOGLETRANSLATE(B17732,""en"",""de"")"),"Viele Zitronen fallen auf eine Theke.")</f>
        <v>Viele Zitronen fallen auf eine Theke.</v>
      </c>
    </row>
    <row r="17733">
      <c r="A17733" s="4" t="s">
        <v>22320</v>
      </c>
      <c r="B17733" s="4" t="s">
        <v>22323</v>
      </c>
      <c r="C17733" s="5" t="str">
        <f>IFERROR(__xludf.DUMMYFUNCTION("GOOGLETRANSLATE(B17733,""en"",""de"")"),"Die Frau schnappt sich eine Holzschale und gießt braunen Zucker hinein.")</f>
        <v>Die Frau schnappt sich eine Holzschale und gießt braunen Zucker hinein.</v>
      </c>
    </row>
    <row r="17734">
      <c r="A17734" s="4" t="s">
        <v>22320</v>
      </c>
      <c r="B17734" s="4" t="s">
        <v>22324</v>
      </c>
      <c r="C17734" s="5" t="str">
        <f>IFERROR(__xludf.DUMMYFUNCTION("GOOGLETRANSLATE(B17734,""en"",""de"")"),"Sie schnappt sich eine Zitrone und reibt braunen Zucker über die Zitrone.")</f>
        <v>Sie schnappt sich eine Zitrone und reibt braunen Zucker über die Zitrone.</v>
      </c>
    </row>
    <row r="17735">
      <c r="A17735" s="4" t="s">
        <v>22320</v>
      </c>
      <c r="B17735" s="4" t="s">
        <v>22325</v>
      </c>
      <c r="C17735" s="5" t="str">
        <f>IFERROR(__xludf.DUMMYFUNCTION("GOOGLETRANSLATE(B17735,""en"",""de"")"),"Sie fährt fort, zwei Zitronen an die Theke zu reiben.")</f>
        <v>Sie fährt fort, zwei Zitronen an die Theke zu reiben.</v>
      </c>
    </row>
    <row r="17736">
      <c r="A17736" s="4" t="s">
        <v>22320</v>
      </c>
      <c r="B17736" s="4" t="s">
        <v>22326</v>
      </c>
      <c r="C17736" s="5" t="str">
        <f>IFERROR(__xludf.DUMMYFUNCTION("GOOGLETRANSLATE(B17736,""en"",""de"")"),"Mit einem Messer schneidet sie eine Zitrone in zwei Hälften.")</f>
        <v>Mit einem Messer schneidet sie eine Zitrone in zwei Hälften.</v>
      </c>
    </row>
    <row r="17737">
      <c r="A17737" s="4" t="s">
        <v>22320</v>
      </c>
      <c r="B17737" s="4" t="s">
        <v>22327</v>
      </c>
      <c r="C17737" s="5" t="str">
        <f>IFERROR(__xludf.DUMMYFUNCTION("GOOGLETRANSLATE(B17737,""en"",""de"")"),"Sie drückt Zitronensaft in eine Schüssel.")</f>
        <v>Sie drückt Zitronensaft in eine Schüssel.</v>
      </c>
    </row>
    <row r="17738">
      <c r="A17738" s="4" t="s">
        <v>22320</v>
      </c>
      <c r="B17738" s="4" t="s">
        <v>22328</v>
      </c>
      <c r="C17738" s="5" t="str">
        <f>IFERROR(__xludf.DUMMYFUNCTION("GOOGLETRANSLATE(B17738,""en"",""de"")"),"Sie gießt den gepressten Zitronensaft in einen Krug.")</f>
        <v>Sie gießt den gepressten Zitronensaft in einen Krug.</v>
      </c>
    </row>
    <row r="17739">
      <c r="A17739" s="4" t="s">
        <v>22320</v>
      </c>
      <c r="B17739" s="4" t="s">
        <v>22329</v>
      </c>
      <c r="C17739" s="5" t="str">
        <f>IFERROR(__xludf.DUMMYFUNCTION("GOOGLETRANSLATE(B17739,""en"",""de"")"),"Sie gießt kochendes Wasser mit braunem Zucker in die Schüssel.")</f>
        <v>Sie gießt kochendes Wasser mit braunem Zucker in die Schüssel.</v>
      </c>
    </row>
    <row r="17740">
      <c r="A17740" s="4" t="s">
        <v>22320</v>
      </c>
      <c r="B17740" s="4" t="s">
        <v>22330</v>
      </c>
      <c r="C17740" s="5" t="str">
        <f>IFERROR(__xludf.DUMMYFUNCTION("GOOGLETRANSLATE(B17740,""en"",""de"")"),"Sie gießt den bewässerten braunen Zucker in den Krug und rührt sich.")</f>
        <v>Sie gießt den bewässerten braunen Zucker in den Krug und rührt sich.</v>
      </c>
    </row>
    <row r="17741">
      <c r="A17741" s="4" t="s">
        <v>22320</v>
      </c>
      <c r="B17741" s="4" t="s">
        <v>22331</v>
      </c>
      <c r="C17741" s="5" t="str">
        <f>IFERROR(__xludf.DUMMYFUNCTION("GOOGLETRANSLATE(B17741,""en"",""de"")"),"Sie bricht Eiswürfel, indem sie sie mit einem Löffel schlägt.")</f>
        <v>Sie bricht Eiswürfel, indem sie sie mit einem Löffel schlägt.</v>
      </c>
    </row>
    <row r="17742">
      <c r="A17742" s="4" t="s">
        <v>22320</v>
      </c>
      <c r="B17742" s="4" t="s">
        <v>22332</v>
      </c>
      <c r="C17742" s="5" t="str">
        <f>IFERROR(__xludf.DUMMYFUNCTION("GOOGLETRANSLATE(B17742,""en"",""de"")"),"Sie legt das Eis in ein Glas und fügt die Limonade hinzu.")</f>
        <v>Sie legt das Eis in ein Glas und fügt die Limonade hinzu.</v>
      </c>
    </row>
    <row r="17743">
      <c r="A17743" s="4" t="s">
        <v>22320</v>
      </c>
      <c r="B17743" s="4" t="s">
        <v>22333</v>
      </c>
      <c r="C17743" s="5" t="str">
        <f>IFERROR(__xludf.DUMMYFUNCTION("GOOGLETRANSLATE(B17743,""en"",""de"")"),"Zuletzt nimmt sie einen Schluck der Limonade, die sie gerade gemacht hat.")</f>
        <v>Zuletzt nimmt sie einen Schluck der Limonade, die sie gerade gemacht hat.</v>
      </c>
    </row>
    <row r="17744">
      <c r="A17744" s="4" t="s">
        <v>22334</v>
      </c>
      <c r="B17744" s="4" t="s">
        <v>22335</v>
      </c>
      <c r="C17744" s="5" t="str">
        <f>IFERROR(__xludf.DUMMYFUNCTION("GOOGLETRANSLATE(B17744,""en"",""de"")"),"Ein Cowboy reitet ein Pferd aus einem Korral und tritt in einen eingezäunten Bereich ein.")</f>
        <v>Ein Cowboy reitet ein Pferd aus einem Korral und tritt in einen eingezäunten Bereich ein.</v>
      </c>
    </row>
    <row r="17745">
      <c r="A17745" s="4" t="s">
        <v>22334</v>
      </c>
      <c r="B17745" s="4" t="s">
        <v>22336</v>
      </c>
      <c r="C17745" s="5" t="str">
        <f>IFERROR(__xludf.DUMMYFUNCTION("GOOGLETRANSLATE(B17745,""en"",""de"")"),"Der Mann reitet sein Pferd aus den eingezäunten Arten und wirft ein Seil um ein Vieh.")</f>
        <v>Der Mann reitet sein Pferd aus den eingezäunten Arten und wirft ein Seil um ein Vieh.</v>
      </c>
    </row>
    <row r="17746">
      <c r="A17746" s="4" t="s">
        <v>22334</v>
      </c>
      <c r="B17746" s="4" t="s">
        <v>22337</v>
      </c>
      <c r="C17746" s="5" t="str">
        <f>IFERROR(__xludf.DUMMYFUNCTION("GOOGLETRANSLATE(B17746,""en"",""de"")"),"Der Mann wird von anderen Cowboys unterstützt, während er das Vieh zusammenbindet.")</f>
        <v>Der Mann wird von anderen Cowboys unterstützt, während er das Vieh zusammenbindet.</v>
      </c>
    </row>
    <row r="17747">
      <c r="A17747" s="4" t="s">
        <v>22338</v>
      </c>
      <c r="B17747" s="4" t="s">
        <v>22339</v>
      </c>
      <c r="C17747" s="5" t="str">
        <f>IFERROR(__xludf.DUMMYFUNCTION("GOOGLETRANSLATE(B17747,""en"",""de"")"),"Ein Mädchen in einem funkelnden Outfit marschiert auf den Platz, gefolgt von anderen Mädchen.")</f>
        <v>Ein Mädchen in einem funkelnden Outfit marschiert auf den Platz, gefolgt von anderen Mädchen.</v>
      </c>
    </row>
    <row r="17748">
      <c r="A17748" s="4" t="s">
        <v>22338</v>
      </c>
      <c r="B17748" s="4" t="s">
        <v>22340</v>
      </c>
      <c r="C17748" s="5" t="str">
        <f>IFERROR(__xludf.DUMMYFUNCTION("GOOGLETRANSLATE(B17748,""en"",""de"")"),"Sie halten Schlagstöcke, während sie marschieren.")</f>
        <v>Sie halten Schlagstöcke, während sie marschieren.</v>
      </c>
    </row>
    <row r="17749">
      <c r="A17749" s="4" t="s">
        <v>22338</v>
      </c>
      <c r="B17749" s="4" t="s">
        <v>22341</v>
      </c>
      <c r="C17749" s="5" t="str">
        <f>IFERROR(__xludf.DUMMYFUNCTION("GOOGLETRANSLATE(B17749,""en"",""de"")"),"Sie gehen dann weg vom Platz.")</f>
        <v>Sie gehen dann weg vom Platz.</v>
      </c>
    </row>
    <row r="17750">
      <c r="A17750" s="4" t="s">
        <v>22342</v>
      </c>
      <c r="B17750" s="4" t="s">
        <v>22343</v>
      </c>
      <c r="C17750" s="5" t="str">
        <f>IFERROR(__xludf.DUMMYFUNCTION("GOOGLETRANSLATE(B17750,""en"",""de"")"),"Eine Innenspur wird gezeigt, als ein Mann mit einem Stabhochsprung läuft, aber er ist in seinem Sprung nicht erfolgreich.")</f>
        <v>Eine Innenspur wird gezeigt, als ein Mann mit einem Stabhochsprung läuft, aber er ist in seinem Sprung nicht erfolgreich.</v>
      </c>
    </row>
    <row r="17751">
      <c r="A17751" s="4" t="s">
        <v>22342</v>
      </c>
      <c r="B17751" s="4" t="s">
        <v>22344</v>
      </c>
      <c r="C17751" s="5" t="str">
        <f>IFERROR(__xludf.DUMMYFUNCTION("GOOGLETRANSLATE(B17751,""en"",""de"")"),"Eine andere Person kommt dann hinter die Kamera und beginnt zu reden.")</f>
        <v>Eine andere Person kommt dann hinter die Kamera und beginnt zu reden.</v>
      </c>
    </row>
    <row r="17752">
      <c r="A17752" s="4" t="s">
        <v>22342</v>
      </c>
      <c r="B17752" s="4" t="s">
        <v>22345</v>
      </c>
      <c r="C17752" s="5" t="str">
        <f>IFERROR(__xludf.DUMMYFUNCTION("GOOGLETRANSLATE(B17752,""en"",""de"")"),"Der Athlet macht dann noch mehrmals seinen Sprung, aber er ist nicht erfolgreich.")</f>
        <v>Der Athlet macht dann noch mehrmals seinen Sprung, aber er ist nicht erfolgreich.</v>
      </c>
    </row>
    <row r="17753">
      <c r="A17753" s="4" t="s">
        <v>22346</v>
      </c>
      <c r="B17753" s="4" t="s">
        <v>22347</v>
      </c>
      <c r="C17753" s="5" t="str">
        <f>IFERROR(__xludf.DUMMYFUNCTION("GOOGLETRANSLATE(B17753,""en"",""de"")"),"Ältere Menschen spielen Krocket in der Nähe des Ozeans.")</f>
        <v>Ältere Menschen spielen Krocket in der Nähe des Ozeans.</v>
      </c>
    </row>
    <row r="17754">
      <c r="A17754" s="4" t="s">
        <v>22346</v>
      </c>
      <c r="B17754" s="4" t="s">
        <v>22348</v>
      </c>
      <c r="C17754" s="5" t="str">
        <f>IFERROR(__xludf.DUMMYFUNCTION("GOOGLETRANSLATE(B17754,""en"",""de"")"),"Eine Gruppe von Menschen kommt und geht im Hintergrund vorbei.")</f>
        <v>Eine Gruppe von Menschen kommt und geht im Hintergrund vorbei.</v>
      </c>
    </row>
    <row r="17755">
      <c r="A17755" s="4" t="s">
        <v>22346</v>
      </c>
      <c r="B17755" s="4" t="s">
        <v>22349</v>
      </c>
      <c r="C17755" s="5" t="str">
        <f>IFERROR(__xludf.DUMMYFUNCTION("GOOGLETRANSLATE(B17755,""en"",""de"")"),"Die beiden Gruppen spielen und interagieren miteinander.")</f>
        <v>Die beiden Gruppen spielen und interagieren miteinander.</v>
      </c>
    </row>
    <row r="17756">
      <c r="A17756" s="4" t="s">
        <v>22350</v>
      </c>
      <c r="B17756" s="4" t="s">
        <v>22351</v>
      </c>
      <c r="C17756" s="5" t="str">
        <f>IFERROR(__xludf.DUMMYFUNCTION("GOOGLETRANSLATE(B17756,""en"",""de"")"),"Ein Mann, der tot ist, hebt in einem Fitnessstudio eine Gewichtsbar vom Boden über seinem Kopf.")</f>
        <v>Ein Mann, der tot ist, hebt in einem Fitnessstudio eine Gewichtsbar vom Boden über seinem Kopf.</v>
      </c>
    </row>
    <row r="17757">
      <c r="A17757" s="4" t="s">
        <v>22350</v>
      </c>
      <c r="B17757" s="4" t="s">
        <v>22352</v>
      </c>
      <c r="C17757" s="5" t="str">
        <f>IFERROR(__xludf.DUMMYFUNCTION("GOOGLETRANSLATE(B17757,""en"",""de"")"),"Der Mann gibt Wiederholungen, die eine Gewichtsleiste vom Boden bis zum Taillenniveau anheben.")</f>
        <v>Der Mann gibt Wiederholungen, die eine Gewichtsleiste vom Boden bis zum Taillenniveau anheben.</v>
      </c>
    </row>
    <row r="17758">
      <c r="A17758" s="4" t="s">
        <v>22353</v>
      </c>
      <c r="B17758" s="4" t="s">
        <v>22354</v>
      </c>
      <c r="C17758" s="5" t="str">
        <f>IFERROR(__xludf.DUMMYFUNCTION("GOOGLETRANSLATE(B17758,""en"",""de"")"),"Es gibt zwei Männer, die Verteidigungstechniken als eine Art von Tanzbewegungen verwenden.")</f>
        <v>Es gibt zwei Männer, die Verteidigungstechniken als eine Art von Tanzbewegungen verwenden.</v>
      </c>
    </row>
    <row r="17759">
      <c r="A17759" s="4" t="s">
        <v>22353</v>
      </c>
      <c r="B17759" s="4" t="s">
        <v>22355</v>
      </c>
      <c r="C17759" s="5" t="str">
        <f>IFERROR(__xludf.DUMMYFUNCTION("GOOGLETRANSLATE(B17759,""en"",""de"")"),"Sie befinden sich mitten in einem Kreis von Menschen, die klatschen.")</f>
        <v>Sie befinden sich mitten in einem Kreis von Menschen, die klatschen.</v>
      </c>
    </row>
    <row r="17760">
      <c r="A17760" s="4" t="s">
        <v>22353</v>
      </c>
      <c r="B17760" s="4" t="s">
        <v>22356</v>
      </c>
      <c r="C17760" s="5" t="str">
        <f>IFERROR(__xludf.DUMMYFUNCTION("GOOGLETRANSLATE(B17760,""en"",""de"")"),"Zwei andere Männer kommen aus der Menge, um zu tanzen, aber das Video endet.")</f>
        <v>Zwei andere Männer kommen aus der Menge, um zu tanzen, aber das Video endet.</v>
      </c>
    </row>
    <row r="17761">
      <c r="A17761" s="4" t="s">
        <v>22357</v>
      </c>
      <c r="B17761" s="4" t="s">
        <v>22358</v>
      </c>
      <c r="C17761" s="5" t="str">
        <f>IFERROR(__xludf.DUMMYFUNCTION("GOOGLETRANSLATE(B17761,""en"",""de"")"),"Ein Mann trägt eine Sonnenbrille und spricht mit der Kamera, während er einen Lacrosse -Stick hält.")</f>
        <v>Ein Mann trägt eine Sonnenbrille und spricht mit der Kamera, während er einen Lacrosse -Stick hält.</v>
      </c>
    </row>
    <row r="17762">
      <c r="A17762" s="4" t="s">
        <v>22357</v>
      </c>
      <c r="B17762" s="4" t="s">
        <v>22359</v>
      </c>
      <c r="C17762" s="5" t="str">
        <f>IFERROR(__xludf.DUMMYFUNCTION("GOOGLETRANSLATE(B17762,""en"",""de"")"),"Der Mann spricht weiterhin mit der Kamera, während er den Stock rundum bewegt.")</f>
        <v>Der Mann spricht weiterhin mit der Kamera, während er den Stock rundum bewegt.</v>
      </c>
    </row>
    <row r="17763">
      <c r="A17763" s="4" t="s">
        <v>22357</v>
      </c>
      <c r="B17763" s="4" t="s">
        <v>22360</v>
      </c>
      <c r="C17763" s="5" t="str">
        <f>IFERROR(__xludf.DUMMYFUNCTION("GOOGLETRANSLATE(B17763,""en"",""de"")"),"Am Ende wird immer noch sprechen, während er seine Beine bewegt und zeigt, wie man den Ball richtig wirft.")</f>
        <v>Am Ende wird immer noch sprechen, während er seine Beine bewegt und zeigt, wie man den Ball richtig wirft.</v>
      </c>
    </row>
    <row r="17764">
      <c r="A17764" s="4" t="s">
        <v>22361</v>
      </c>
      <c r="B17764" s="4" t="s">
        <v>22362</v>
      </c>
      <c r="C17764" s="5" t="str">
        <f>IFERROR(__xludf.DUMMYFUNCTION("GOOGLETRANSLATE(B17764,""en"",""de"")"),"Ein Mann spricht mit der Kamera und führt in Clips von ihm, der mit einem Stock einen Ball herumschlägt.")</f>
        <v>Ein Mann spricht mit der Kamera und führt in Clips von ihm, der mit einem Stock einen Ball herumschlägt.</v>
      </c>
    </row>
    <row r="17765">
      <c r="A17765" s="4" t="s">
        <v>22361</v>
      </c>
      <c r="B17765" s="4" t="s">
        <v>22363</v>
      </c>
      <c r="C17765" s="5" t="str">
        <f>IFERROR(__xludf.DUMMYFUNCTION("GOOGLETRANSLATE(B17765,""en"",""de"")"),"Der Mann spricht weiterhin an mehreren Stellen und schlägt den Ball um einen Innenbereich.")</f>
        <v>Der Mann spricht weiterhin an mehreren Stellen und schlägt den Ball um einen Innenbereich.</v>
      </c>
    </row>
    <row r="17766">
      <c r="A17766" s="4" t="s">
        <v>22364</v>
      </c>
      <c r="B17766" s="4" t="s">
        <v>22365</v>
      </c>
      <c r="C17766" s="5" t="str">
        <f>IFERROR(__xludf.DUMMYFUNCTION("GOOGLETRANSLATE(B17766,""en"",""de"")"),"Eine Einführung kommt auf den Bildschirm, um ein Video zum Skifahren zu erhalten.")</f>
        <v>Eine Einführung kommt auf den Bildschirm, um ein Video zum Skifahren zu erhalten.</v>
      </c>
    </row>
    <row r="17767">
      <c r="A17767" s="4" t="s">
        <v>22364</v>
      </c>
      <c r="B17767" s="4" t="s">
        <v>22366</v>
      </c>
      <c r="C17767" s="5" t="str">
        <f>IFERROR(__xludf.DUMMYFUNCTION("GOOGLETRANSLATE(B17767,""en"",""de"")"),"Ein Mann beginnt über einige wichtige Komponenten des Skifahrens und wie man das Skifahren lernt.")</f>
        <v>Ein Mann beginnt über einige wichtige Komponenten des Skifahrens und wie man das Skifahren lernt.</v>
      </c>
    </row>
    <row r="17768">
      <c r="A17768" s="4" t="s">
        <v>22364</v>
      </c>
      <c r="B17768" s="4" t="s">
        <v>22367</v>
      </c>
      <c r="C17768" s="5" t="str">
        <f>IFERROR(__xludf.DUMMYFUNCTION("GOOGLETRANSLATE(B17768,""en"",""de"")"),"Das Video geht dann zum Video von Menschen, die einen Hang hinunterfahren, während sie sich von einer Seite zur anderen drehen.")</f>
        <v>Das Video geht dann zum Video von Menschen, die einen Hang hinunterfahren, während sie sich von einer Seite zur anderen drehen.</v>
      </c>
    </row>
    <row r="17769">
      <c r="A17769" s="4" t="s">
        <v>22364</v>
      </c>
      <c r="B17769" s="4" t="s">
        <v>22368</v>
      </c>
      <c r="C17769" s="5" t="str">
        <f>IFERROR(__xludf.DUMMYFUNCTION("GOOGLETRANSLATE(B17769,""en"",""de"")"),"Eine Szene wird aus drei Männern gezeigt, die unterhalten, während sie mit dem Skiaufzug reiten.")</f>
        <v>Eine Szene wird aus drei Männern gezeigt, die unterhalten, während sie mit dem Skiaufzug reiten.</v>
      </c>
    </row>
    <row r="17770">
      <c r="A17770" s="4" t="s">
        <v>22364</v>
      </c>
      <c r="B17770" s="4" t="s">
        <v>22369</v>
      </c>
      <c r="C17770" s="5" t="str">
        <f>IFERROR(__xludf.DUMMYFUNCTION("GOOGLETRANSLATE(B17770,""en"",""de"")"),"Die Schlusskredite und Grafiken werden am Ende angezeigt.")</f>
        <v>Die Schlusskredite und Grafiken werden am Ende angezeigt.</v>
      </c>
    </row>
    <row r="17771">
      <c r="A17771" s="4" t="s">
        <v>22370</v>
      </c>
      <c r="B17771" s="4" t="s">
        <v>22371</v>
      </c>
      <c r="C17771" s="5" t="str">
        <f>IFERROR(__xludf.DUMMYFUNCTION("GOOGLETRANSLATE(B17771,""en"",""de"")"),"Ein U -Bahn -Mitarbeiter steht in der Küche und bereitet Sub vor.")</f>
        <v>Ein U -Bahn -Mitarbeiter steht in der Küche und bereitet Sub vor.</v>
      </c>
    </row>
    <row r="17772">
      <c r="A17772" s="4" t="s">
        <v>22370</v>
      </c>
      <c r="B17772" s="4" t="s">
        <v>22372</v>
      </c>
      <c r="C17772" s="5" t="str">
        <f>IFERROR(__xludf.DUMMYFUNCTION("GOOGLETRANSLATE(B17772,""en"",""de"")"),"Auf einem weißen Stück von Papier befindet sich ein Fußbrot und eine Reihe Schinken, Peperoni, Salami, dann werden Käse auf dem U -Boot hinzugefügt.")</f>
        <v>Auf einem weißen Stück von Papier befindet sich ein Fußbrot und eine Reihe Schinken, Peperoni, Salami, dann werden Käse auf dem U -Boot hinzugefügt.</v>
      </c>
    </row>
    <row r="17773">
      <c r="A17773" s="4" t="s">
        <v>22370</v>
      </c>
      <c r="B17773" s="4" t="s">
        <v>22373</v>
      </c>
      <c r="C17773" s="5" t="str">
        <f>IFERROR(__xludf.DUMMYFUNCTION("GOOGLETRANSLATE(B17773,""en"",""de"")"),"Als nächstes legt der Mann das U -Bahn in den Ofen, um geröstet zu werden, und bewegt ein Tablett mit Keksen auf die andere Seite der Theke.")</f>
        <v>Als nächstes legt der Mann das U -Bahn in den Ofen, um geröstet zu werden, und bewegt ein Tablett mit Keksen auf die andere Seite der Theke.</v>
      </c>
    </row>
    <row r="17774">
      <c r="A17774" s="4" t="s">
        <v>22370</v>
      </c>
      <c r="B17774" s="4" t="s">
        <v>22374</v>
      </c>
      <c r="C17774" s="5" t="str">
        <f>IFERROR(__xludf.DUMMYFUNCTION("GOOGLETRANSLATE(B17774,""en"",""de"")"),"Während er wartet, beginnt er mit seinem Freund zu sprechen und die Kekse zu überprüfen.")</f>
        <v>Während er wartet, beginnt er mit seinem Freund zu sprechen und die Kekse zu überprüfen.</v>
      </c>
    </row>
    <row r="17775">
      <c r="A17775" s="4" t="s">
        <v>22370</v>
      </c>
      <c r="B17775" s="4" t="s">
        <v>22375</v>
      </c>
      <c r="C17775" s="5" t="str">
        <f>IFERROR(__xludf.DUMMYFUNCTION("GOOGLETRANSLATE(B17775,""en"",""de"")"),"Jetzt wird das U -Bahn geröstet und Tomaten werden zusammen mit Gurken, Sardellen, Öl, Essig und Mayo hinzugefügt.")</f>
        <v>Jetzt wird das U -Bahn geröstet und Tomaten werden zusammen mit Gurken, Sardellen, Öl, Essig und Mayo hinzugefügt.</v>
      </c>
    </row>
    <row r="17776">
      <c r="A17776" s="4" t="s">
        <v>22370</v>
      </c>
      <c r="B17776" s="4" t="s">
        <v>22376</v>
      </c>
      <c r="C17776" s="5" t="str">
        <f>IFERROR(__xludf.DUMMYFUNCTION("GOOGLETRANSLATE(B17776,""en"",""de"")"),"Das U -Boot wird endlich in zwei Hälften abgeschlossen, in Papier gerollt und dann insgesamt im Register ausgezeichnet.")</f>
        <v>Das U -Boot wird endlich in zwei Hälften abgeschlossen, in Papier gerollt und dann insgesamt im Register ausgezeichnet.</v>
      </c>
    </row>
    <row r="17777">
      <c r="A17777" s="4" t="s">
        <v>22377</v>
      </c>
      <c r="B17777" s="4" t="s">
        <v>22378</v>
      </c>
      <c r="C17777" s="5" t="str">
        <f>IFERROR(__xludf.DUMMYFUNCTION("GOOGLETRANSLATE(B17777,""en"",""de"")"),"Mehrere Jungen interagieren in einer Eisbahn.")</f>
        <v>Mehrere Jungen interagieren in einer Eisbahn.</v>
      </c>
    </row>
    <row r="17778">
      <c r="A17778" s="4" t="s">
        <v>22377</v>
      </c>
      <c r="B17778" s="4" t="s">
        <v>22379</v>
      </c>
      <c r="C17778" s="5" t="str">
        <f>IFERROR(__xludf.DUMMYFUNCTION("GOOGLETRANSLATE(B17778,""en"",""de"")"),"Zwei Jungen, die auf die Knie aufeinander rutschen, kollidieren und fallen zurück.")</f>
        <v>Zwei Jungen, die auf die Knie aufeinander rutschen, kollidieren und fallen zurück.</v>
      </c>
    </row>
    <row r="17779">
      <c r="A17779" s="4" t="s">
        <v>22377</v>
      </c>
      <c r="B17779" s="4" t="s">
        <v>22380</v>
      </c>
      <c r="C17779" s="5" t="str">
        <f>IFERROR(__xludf.DUMMYFUNCTION("GOOGLETRANSLATE(B17779,""en"",""de"")"),"Ein Junge veröffentlicht einen Lockenstein.")</f>
        <v>Ein Junge veröffentlicht einen Lockenstein.</v>
      </c>
    </row>
    <row r="17780">
      <c r="A17780" s="4" t="s">
        <v>22377</v>
      </c>
      <c r="B17780" s="4" t="s">
        <v>22381</v>
      </c>
      <c r="C17780" s="5" t="str">
        <f>IFERROR(__xludf.DUMMYFUNCTION("GOOGLETRANSLATE(B17780,""en"",""de"")"),"Drei Jungen gehen zusammen auf dem Eis.")</f>
        <v>Drei Jungen gehen zusammen auf dem Eis.</v>
      </c>
    </row>
    <row r="17781">
      <c r="A17781" s="4" t="s">
        <v>22382</v>
      </c>
      <c r="B17781" s="4" t="s">
        <v>22383</v>
      </c>
      <c r="C17781" s="5" t="str">
        <f>IFERROR(__xludf.DUMMYFUNCTION("GOOGLETRANSLATE(B17781,""en"",""de"")"),"Titelkarten blinken über den Bildschirm.")</f>
        <v>Titelkarten blinken über den Bildschirm.</v>
      </c>
    </row>
    <row r="17782">
      <c r="A17782" s="4" t="s">
        <v>22382</v>
      </c>
      <c r="B17782" s="4" t="s">
        <v>22384</v>
      </c>
      <c r="C17782" s="5" t="str">
        <f>IFERROR(__xludf.DUMMYFUNCTION("GOOGLETRANSLATE(B17782,""en"",""de"")"),"Bilder von Flößen werden angezeigt.")</f>
        <v>Bilder von Flößen werden angezeigt.</v>
      </c>
    </row>
    <row r="17783">
      <c r="A17783" s="4" t="s">
        <v>22382</v>
      </c>
      <c r="B17783" s="4" t="s">
        <v>22385</v>
      </c>
      <c r="C17783" s="5" t="str">
        <f>IFERROR(__xludf.DUMMYFUNCTION("GOOGLETRANSLATE(B17783,""en"",""de"")"),"Wir sehen Leute, die in ihrem Floß sitzen und dann anfangen zu rudern.")</f>
        <v>Wir sehen Leute, die in ihrem Floß sitzen und dann anfangen zu rudern.</v>
      </c>
    </row>
    <row r="17784">
      <c r="A17784" s="4" t="s">
        <v>22382</v>
      </c>
      <c r="B17784" s="4" t="s">
        <v>22386</v>
      </c>
      <c r="C17784" s="5" t="str">
        <f>IFERROR(__xludf.DUMMYFUNCTION("GOOGLETRANSLATE(B17784,""en"",""de"")"),"Ein Wasserfall fällt in das Floß.")</f>
        <v>Ein Wasserfall fällt in das Floß.</v>
      </c>
    </row>
    <row r="17785">
      <c r="A17785" s="4" t="s">
        <v>22382</v>
      </c>
      <c r="B17785" s="4" t="s">
        <v>22387</v>
      </c>
      <c r="C17785" s="5" t="str">
        <f>IFERROR(__xludf.DUMMYFUNCTION("GOOGLETRANSLATE(B17785,""en"",""de"")"),"Zwei Boote Sparren rufen einen Fluss hinunter.")</f>
        <v>Zwei Boote Sparren rufen einen Fluss hinunter.</v>
      </c>
    </row>
    <row r="17786">
      <c r="A17786" s="4" t="s">
        <v>22382</v>
      </c>
      <c r="B17786" s="4" t="s">
        <v>22388</v>
      </c>
      <c r="C17786" s="5" t="str">
        <f>IFERROR(__xludf.DUMMYFUNCTION("GOOGLETRANSLATE(B17786,""en"",""de"")"),"Das erste Boot spritzt das hintere Boot.")</f>
        <v>Das erste Boot spritzt das hintere Boot.</v>
      </c>
    </row>
    <row r="17787">
      <c r="A17787" s="4" t="s">
        <v>22382</v>
      </c>
      <c r="B17787" s="4" t="s">
        <v>22389</v>
      </c>
      <c r="C17787" s="5" t="str">
        <f>IFERROR(__xludf.DUMMYFUNCTION("GOOGLETRANSLATE(B17787,""en"",""de"")"),"Die Sparren spritzen sich gegenseitig.")</f>
        <v>Die Sparren spritzen sich gegenseitig.</v>
      </c>
    </row>
    <row r="17788">
      <c r="A17788" s="4" t="s">
        <v>22382</v>
      </c>
      <c r="B17788" s="4" t="s">
        <v>22390</v>
      </c>
      <c r="C17788" s="5" t="str">
        <f>IFERROR(__xludf.DUMMYFUNCTION("GOOGLETRANSLATE(B17788,""en"",""de"")"),"Ein Floß dreht sich im Wasser um und Sparren schweben zum Flussufer.")</f>
        <v>Ein Floß dreht sich im Wasser um und Sparren schweben zum Flussufer.</v>
      </c>
    </row>
    <row r="17789">
      <c r="A17789" s="4" t="s">
        <v>22382</v>
      </c>
      <c r="B17789" s="4" t="s">
        <v>22391</v>
      </c>
      <c r="C17789" s="5" t="str">
        <f>IFERROR(__xludf.DUMMYFUNCTION("GOOGLETRANSLATE(B17789,""en"",""de"")"),"Ein Van fährt dann die Straße hinunter.")</f>
        <v>Ein Van fährt dann die Straße hinunter.</v>
      </c>
    </row>
    <row r="17790">
      <c r="A17790" s="4" t="s">
        <v>22382</v>
      </c>
      <c r="B17790" s="4" t="s">
        <v>22392</v>
      </c>
      <c r="C17790" s="5" t="str">
        <f>IFERROR(__xludf.DUMMYFUNCTION("GOOGLETRANSLATE(B17790,""en"",""de"")"),"Die Endtitelkarte wird auf dem Bildschirm angezeigt.")</f>
        <v>Die Endtitelkarte wird auf dem Bildschirm angezeigt.</v>
      </c>
    </row>
    <row r="17791">
      <c r="A17791" s="4" t="s">
        <v>22393</v>
      </c>
      <c r="B17791" s="4" t="s">
        <v>22394</v>
      </c>
      <c r="C17791" s="5" t="str">
        <f>IFERROR(__xludf.DUMMYFUNCTION("GOOGLETRANSLATE(B17791,""en"",""de"")"),"Ein Mann ist im Meereswasser und hält ein Seil.")</f>
        <v>Ein Mann ist im Meereswasser und hält ein Seil.</v>
      </c>
    </row>
    <row r="17792">
      <c r="A17792" s="4" t="s">
        <v>22393</v>
      </c>
      <c r="B17792" s="4" t="s">
        <v>22395</v>
      </c>
      <c r="C17792" s="5" t="str">
        <f>IFERROR(__xludf.DUMMYFUNCTION("GOOGLETRANSLATE(B17792,""en"",""de"")"),"Er ist an einem Boot befestigt, während er auf Wasser Skier ist.")</f>
        <v>Er ist an einem Boot befestigt, während er auf Wasser Skier ist.</v>
      </c>
    </row>
    <row r="17793">
      <c r="A17793" s="4" t="s">
        <v>22393</v>
      </c>
      <c r="B17793" s="4" t="s">
        <v>22396</v>
      </c>
      <c r="C17793" s="5" t="str">
        <f>IFERROR(__xludf.DUMMYFUNCTION("GOOGLETRANSLATE(B17793,""en"",""de"")"),"Er hebt sich auf und Skifahren in den Wellen.")</f>
        <v>Er hebt sich auf und Skifahren in den Wellen.</v>
      </c>
    </row>
    <row r="17794">
      <c r="A17794" s="4" t="s">
        <v>22397</v>
      </c>
      <c r="B17794" s="4" t="s">
        <v>22398</v>
      </c>
      <c r="C17794" s="5" t="str">
        <f>IFERROR(__xludf.DUMMYFUNCTION("GOOGLETRANSLATE(B17794,""en"",""de"")"),"Ein Mann steht draußen und trinkt Bier.")</f>
        <v>Ein Mann steht draußen und trinkt Bier.</v>
      </c>
    </row>
    <row r="17795">
      <c r="A17795" s="4" t="s">
        <v>22397</v>
      </c>
      <c r="B17795" s="4" t="s">
        <v>22399</v>
      </c>
      <c r="C17795" s="5" t="str">
        <f>IFERROR(__xludf.DUMMYFUNCTION("GOOGLETRANSLATE(B17795,""en"",""de"")"),"Die Leute stehen herum und beobachten ihn.")</f>
        <v>Die Leute stehen herum und beobachten ihn.</v>
      </c>
    </row>
    <row r="17796">
      <c r="A17796" s="4" t="s">
        <v>22397</v>
      </c>
      <c r="B17796" s="4" t="s">
        <v>22400</v>
      </c>
      <c r="C17796" s="5" t="str">
        <f>IFERROR(__xludf.DUMMYFUNCTION("GOOGLETRANSLATE(B17796,""en"",""de"")"),"Er legt das Bierglas auf einen Tisch.")</f>
        <v>Er legt das Bierglas auf einen Tisch.</v>
      </c>
    </row>
    <row r="17797">
      <c r="A17797" s="4" t="s">
        <v>22401</v>
      </c>
      <c r="B17797" s="4" t="s">
        <v>22402</v>
      </c>
      <c r="C17797" s="5" t="str">
        <f>IFERROR(__xludf.DUMMYFUNCTION("GOOGLETRANSLATE(B17797,""en"",""de"")"),"Eine Frau hält zwei große Handschuhe, in denen zwei kleine Mädchen mit beiden Händen klopfen.")</f>
        <v>Eine Frau hält zwei große Handschuhe, in denen zwei kleine Mädchen mit beiden Händen klopfen.</v>
      </c>
    </row>
    <row r="17798">
      <c r="A17798" s="4" t="s">
        <v>22401</v>
      </c>
      <c r="B17798" s="4" t="s">
        <v>22403</v>
      </c>
      <c r="C17798" s="5" t="str">
        <f>IFERROR(__xludf.DUMMYFUNCTION("GOOGLETRANSLATE(B17798,""en"",""de"")"),"Dann legt die Frau die Globen auf die Brust.")</f>
        <v>Dann legt die Frau die Globen auf die Brust.</v>
      </c>
    </row>
    <row r="17799">
      <c r="A17799" s="4" t="s">
        <v>22401</v>
      </c>
      <c r="B17799" s="4" t="s">
        <v>22404</v>
      </c>
      <c r="C17799" s="5" t="str">
        <f>IFERROR(__xludf.DUMMYFUNCTION("GOOGLETRANSLATE(B17799,""en"",""de"")"),"Die Leute üben Karate in einem Raum.")</f>
        <v>Die Leute üben Karate in einem Raum.</v>
      </c>
    </row>
    <row r="17800">
      <c r="A17800" s="4" t="s">
        <v>22405</v>
      </c>
      <c r="B17800" s="4" t="s">
        <v>22406</v>
      </c>
      <c r="C17800" s="5" t="str">
        <f>IFERROR(__xludf.DUMMYFUNCTION("GOOGLETRANSLATE(B17800,""en"",""de"")"),"Eine Person hält einen Jungen, der sich auf einer Schwungstange befindet, und drückt dann die Stange.")</f>
        <v>Eine Person hält einen Jungen, der sich auf einer Schwungstange befindet, und drückt dann die Stange.</v>
      </c>
    </row>
    <row r="17801">
      <c r="A17801" s="4" t="s">
        <v>22405</v>
      </c>
      <c r="B17801" s="4" t="s">
        <v>22407</v>
      </c>
      <c r="C17801" s="5" t="str">
        <f>IFERROR(__xludf.DUMMYFUNCTION("GOOGLETRANSLATE(B17801,""en"",""de"")"),"Dann schwingt der Junge auf die Stange, um seinen Körper zu impulsen, um in Kreisen zu schwingen, bis die Stangenverlustkraft kraftet.")</f>
        <v>Dann schwingt der Junge auf die Stange, um seinen Körper zu impulsen, um in Kreisen zu schwingen, bis die Stangenverlustkraft kraftet.</v>
      </c>
    </row>
    <row r="17802">
      <c r="A17802" s="4" t="s">
        <v>22405</v>
      </c>
      <c r="B17802" s="4" t="s">
        <v>22408</v>
      </c>
      <c r="C17802" s="5" t="str">
        <f>IFERROR(__xludf.DUMMYFUNCTION("GOOGLETRANSLATE(B17802,""en"",""de"")"),"Danach hilft ein Mann dabei, die Schwungstange zu stoppen, während andere Menschen etwas reparieren.")</f>
        <v>Danach hilft ein Mann dabei, die Schwungstange zu stoppen, während andere Menschen etwas reparieren.</v>
      </c>
    </row>
    <row r="17803">
      <c r="A17803" s="4" t="s">
        <v>22405</v>
      </c>
      <c r="B17803" s="4" t="s">
        <v>22409</v>
      </c>
      <c r="C17803" s="5" t="str">
        <f>IFERROR(__xludf.DUMMYFUNCTION("GOOGLETRANSLATE(B17803,""en"",""de"")"),"Ein junger Mann, der gelbes T-Shirt trägt, bewegt seine Arme.")</f>
        <v>Ein junger Mann, der gelbes T-Shirt trägt, bewegt seine Arme.</v>
      </c>
    </row>
    <row r="17804">
      <c r="A17804" s="4" t="s">
        <v>22410</v>
      </c>
      <c r="B17804" s="4" t="s">
        <v>22411</v>
      </c>
      <c r="C17804" s="5" t="str">
        <f>IFERROR(__xludf.DUMMYFUNCTION("GOOGLETRANSLATE(B17804,""en"",""de"")"),"Ein Feldhockeyspiel wird gespielt.")</f>
        <v>Ein Feldhockeyspiel wird gespielt.</v>
      </c>
    </row>
    <row r="17805">
      <c r="A17805" s="4" t="s">
        <v>22410</v>
      </c>
      <c r="B17805" s="4" t="s">
        <v>22412</v>
      </c>
      <c r="C17805" s="5" t="str">
        <f>IFERROR(__xludf.DUMMYFUNCTION("GOOGLETRANSLATE(B17805,""en"",""de"")"),"Als Team versucht ein Spieler in einem weißen Hemd, während der Puck über ihren Kopf fliegt.")</f>
        <v>Als Team versucht ein Spieler in einem weißen Hemd, während der Puck über ihren Kopf fliegt.</v>
      </c>
    </row>
    <row r="17806">
      <c r="A17806" s="4" t="s">
        <v>22410</v>
      </c>
      <c r="B17806" s="4" t="s">
        <v>22413</v>
      </c>
      <c r="C17806" s="5" t="str">
        <f>IFERROR(__xludf.DUMMYFUNCTION("GOOGLETRANSLATE(B17806,""en"",""de"")"),"Nachdem der Puck den Torwart durchläuft, lächelt die junge Dame, als sie zur Seitenlinie übergeht und eine hohe fünf von ihrem Trainer erhält.")</f>
        <v>Nachdem der Puck den Torwart durchläuft, lächelt die junge Dame, als sie zur Seitenlinie übergeht und eine hohe fünf von ihrem Trainer erhält.</v>
      </c>
    </row>
    <row r="17807">
      <c r="A17807" s="4" t="s">
        <v>22414</v>
      </c>
      <c r="B17807" s="4" t="s">
        <v>1487</v>
      </c>
      <c r="C17807" s="5" t="str">
        <f>IFERROR(__xludf.DUMMYFUNCTION("GOOGLETRANSLATE(B17807,""en"",""de"")"),"Wir sehen einen Öffnungsbildschirm.")</f>
        <v>Wir sehen einen Öffnungsbildschirm.</v>
      </c>
    </row>
    <row r="17808">
      <c r="A17808" s="4" t="s">
        <v>22414</v>
      </c>
      <c r="B17808" s="4" t="s">
        <v>22415</v>
      </c>
      <c r="C17808" s="5" t="str">
        <f>IFERROR(__xludf.DUMMYFUNCTION("GOOGLETRANSLATE(B17808,""en"",""de"")"),"Zwei Menschen tragen Kite -Surfbretter zum Wasser und wir sehen, dass Menschen sie im Wasser reiten.")</f>
        <v>Zwei Menschen tragen Kite -Surfbretter zum Wasser und wir sehen, dass Menschen sie im Wasser reiten.</v>
      </c>
    </row>
    <row r="17809">
      <c r="A17809" s="4" t="s">
        <v>22414</v>
      </c>
      <c r="B17809" s="4" t="s">
        <v>22416</v>
      </c>
      <c r="C17809" s="5" t="str">
        <f>IFERROR(__xludf.DUMMYFUNCTION("GOOGLETRANSLATE(B17809,""en"",""de"")"),"Wir sehen das Board aus der Nähe.")</f>
        <v>Wir sehen das Board aus der Nähe.</v>
      </c>
    </row>
    <row r="17810">
      <c r="A17810" s="4" t="s">
        <v>22414</v>
      </c>
      <c r="B17810" s="4" t="s">
        <v>22417</v>
      </c>
      <c r="C17810" s="5" t="str">
        <f>IFERROR(__xludf.DUMMYFUNCTION("GOOGLETRANSLATE(B17810,""en"",""de"")"),"Wir sehen einen Mann reiten und kommen zum Stillstand.")</f>
        <v>Wir sehen einen Mann reiten und kommen zum Stillstand.</v>
      </c>
    </row>
    <row r="17811">
      <c r="A17811" s="4" t="s">
        <v>22414</v>
      </c>
      <c r="B17811" s="4" t="s">
        <v>22418</v>
      </c>
      <c r="C17811" s="5" t="str">
        <f>IFERROR(__xludf.DUMMYFUNCTION("GOOGLETRANSLATE(B17811,""en"",""de"")"),"Wir sehen das Board wieder aus der Nähe.")</f>
        <v>Wir sehen das Board wieder aus der Nähe.</v>
      </c>
    </row>
    <row r="17812">
      <c r="A17812" s="4" t="s">
        <v>22414</v>
      </c>
      <c r="B17812" s="4" t="s">
        <v>22419</v>
      </c>
      <c r="C17812" s="5" t="str">
        <f>IFERROR(__xludf.DUMMYFUNCTION("GOOGLETRANSLATE(B17812,""en"",""de"")"),"Wir sehen den Mann wieder im Wasser reiten.")</f>
        <v>Wir sehen den Mann wieder im Wasser reiten.</v>
      </c>
    </row>
    <row r="17813">
      <c r="A17813" s="4" t="s">
        <v>22414</v>
      </c>
      <c r="B17813" s="4" t="s">
        <v>777</v>
      </c>
      <c r="C17813" s="5" t="str">
        <f>IFERROR(__xludf.DUMMYFUNCTION("GOOGLETRANSLATE(B17813,""en"",""de"")"),"Wir sehen den End -Titelbildschirm.")</f>
        <v>Wir sehen den End -Titelbildschirm.</v>
      </c>
    </row>
    <row r="17814">
      <c r="A17814" s="4" t="s">
        <v>22420</v>
      </c>
      <c r="B17814" s="4" t="s">
        <v>22421</v>
      </c>
      <c r="C17814" s="5" t="str">
        <f>IFERROR(__xludf.DUMMYFUNCTION("GOOGLETRANSLATE(B17814,""en"",""de"")"),"Ein Mann, der ein weißes Hemd trägt, spielt Billard in einem Erholungsraum.")</f>
        <v>Ein Mann, der ein weißes Hemd trägt, spielt Billard in einem Erholungsraum.</v>
      </c>
    </row>
    <row r="17815">
      <c r="A17815" s="4" t="s">
        <v>22420</v>
      </c>
      <c r="B17815" s="4" t="s">
        <v>22422</v>
      </c>
      <c r="C17815" s="5" t="str">
        <f>IFERROR(__xludf.DUMMYFUNCTION("GOOGLETRANSLATE(B17815,""en"",""de"")"),"Neben dem Billardtisch stehen einige andere Spieler.")</f>
        <v>Neben dem Billardtisch stehen einige andere Spieler.</v>
      </c>
    </row>
    <row r="17816">
      <c r="A17816" s="4" t="s">
        <v>22420</v>
      </c>
      <c r="B17816" s="4" t="s">
        <v>22423</v>
      </c>
      <c r="C17816" s="5" t="str">
        <f>IFERROR(__xludf.DUMMYFUNCTION("GOOGLETRANSLATE(B17816,""en"",""de"")"),"Der Mann, der Pool spielt, trifft die Bälle, als er weiter das Spiel spielt.")</f>
        <v>Der Mann, der Pool spielt, trifft die Bälle, als er weiter das Spiel spielt.</v>
      </c>
    </row>
    <row r="17817">
      <c r="A17817" s="4" t="s">
        <v>22424</v>
      </c>
      <c r="B17817" s="4" t="s">
        <v>22425</v>
      </c>
      <c r="C17817" s="5" t="str">
        <f>IFERROR(__xludf.DUMMYFUNCTION("GOOGLETRANSLATE(B17817,""en"",""de"")"),"Ein Baum- und Mulchenmaterial werden gezeigt, dann bereitet ein Mann den Bereich um den Baum vor.")</f>
        <v>Ein Baum- und Mulchenmaterial werden gezeigt, dann bereitet ein Mann den Bereich um den Baum vor.</v>
      </c>
    </row>
    <row r="17818">
      <c r="A17818" s="4" t="s">
        <v>22424</v>
      </c>
      <c r="B17818" s="4" t="s">
        <v>22426</v>
      </c>
      <c r="C17818" s="5" t="str">
        <f>IFERROR(__xludf.DUMMYFUNCTION("GOOGLETRANSLATE(B17818,""en"",""de"")"),"Dann legte der Mann Mulch um den Baum und gibt Form mit einem Rack.")</f>
        <v>Dann legte der Mann Mulch um den Baum und gibt Form mit einem Rack.</v>
      </c>
    </row>
    <row r="17819">
      <c r="A17819" s="4" t="s">
        <v>22427</v>
      </c>
      <c r="B17819" s="4" t="s">
        <v>22428</v>
      </c>
      <c r="C17819" s="5" t="str">
        <f>IFERROR(__xludf.DUMMYFUNCTION("GOOGLETRANSLATE(B17819,""en"",""de"")"),"Eine Frau wirft einen Pfeil auf das Brett und schaut zurück, während ein weiterer von weitem zusieht.")</f>
        <v>Eine Frau wirft einen Pfeil auf das Brett und schaut zurück, während ein weiterer von weitem zusieht.</v>
      </c>
    </row>
    <row r="17820">
      <c r="A17820" s="4" t="s">
        <v>22427</v>
      </c>
      <c r="B17820" s="4" t="s">
        <v>22429</v>
      </c>
      <c r="C17820" s="5" t="str">
        <f>IFERROR(__xludf.DUMMYFUNCTION("GOOGLETRANSLATE(B17820,""en"",""de"")"),"Sie wirft mehr Darts auf das Brett, während sie anhält, um sie zu schnappen, und einen Mann, der sich neben sie biegt.")</f>
        <v>Sie wirft mehr Darts auf das Brett, während sie anhält, um sie zu schnappen, und einen Mann, der sich neben sie biegt.</v>
      </c>
    </row>
    <row r="17821">
      <c r="A17821" s="4" t="s">
        <v>22430</v>
      </c>
      <c r="B17821" s="4" t="s">
        <v>22431</v>
      </c>
      <c r="C17821" s="5" t="str">
        <f>IFERROR(__xludf.DUMMYFUNCTION("GOOGLETRANSLATE(B17821,""en"",""de"")"),"Ein Mann befindet sich in einem Racquetballplatz in Indoor und redet, als er einen Ball und einen Schläger hält.")</f>
        <v>Ein Mann befindet sich in einem Racquetballplatz in Indoor und redet, als er einen Ball und einen Schläger hält.</v>
      </c>
    </row>
    <row r="17822">
      <c r="A17822" s="4" t="s">
        <v>22430</v>
      </c>
      <c r="B17822" s="4" t="s">
        <v>22432</v>
      </c>
      <c r="C17822" s="5" t="str">
        <f>IFERROR(__xludf.DUMMYFUNCTION("GOOGLETRANSLATE(B17822,""en"",""de"")"),"Er schob sich den Ball gegen die Wand und durchsetzt mit dem Sprechen über das Spiel.")</f>
        <v>Er schob sich den Ball gegen die Wand und durchsetzt mit dem Sprechen über das Spiel.</v>
      </c>
    </row>
    <row r="17823">
      <c r="A17823" s="4" t="s">
        <v>22430</v>
      </c>
      <c r="B17823" s="4" t="s">
        <v>22433</v>
      </c>
      <c r="C17823" s="5" t="str">
        <f>IFERROR(__xludf.DUMMYFUNCTION("GOOGLETRANSLATE(B17823,""en"",""de"")"),"Er spricht eine Weile länger, bevor das Video endet.")</f>
        <v>Er spricht eine Weile länger, bevor das Video endet.</v>
      </c>
    </row>
    <row r="17824">
      <c r="A17824" s="4" t="s">
        <v>22434</v>
      </c>
      <c r="B17824" s="4" t="s">
        <v>22435</v>
      </c>
      <c r="C17824" s="5" t="str">
        <f>IFERROR(__xludf.DUMMYFUNCTION("GOOGLETRANSLATE(B17824,""en"",""de"")"),"Zwei Männer stehen in einem Indoor -Fitnessstudio und synchronisieren sich beide auf ihre Metallhüßstiche und beide machen einen Backflip.")</f>
        <v>Zwei Männer stehen in einem Indoor -Fitnessstudio und synchronisieren sich beide auf ihre Metallhüßstiche und beide machen einen Backflip.</v>
      </c>
    </row>
    <row r="17825">
      <c r="A17825" s="4" t="s">
        <v>22434</v>
      </c>
      <c r="B17825" s="4" t="s">
        <v>22436</v>
      </c>
      <c r="C17825" s="5" t="str">
        <f>IFERROR(__xludf.DUMMYFUNCTION("GOOGLETRANSLATE(B17825,""en"",""de"")"),"Verschiedene Clips verschiedener Leute, die auch das Stelzenspiel für Hüpfbetümer tragen, und sie rennen alle, drehen und machen verschiedene Tricks, während sie in einem Indoor -Fitnessstudio auf blauen Matten landen.")</f>
        <v>Verschiedene Clips verschiedener Leute, die auch das Stelzenspiel für Hüpfbetümer tragen, und sie rennen alle, drehen und machen verschiedene Tricks, während sie in einem Indoor -Fitnessstudio auf blauen Matten landen.</v>
      </c>
    </row>
    <row r="17826">
      <c r="A17826" s="4" t="s">
        <v>22434</v>
      </c>
      <c r="B17826" s="4" t="s">
        <v>22437</v>
      </c>
      <c r="C17826" s="5" t="str">
        <f>IFERROR(__xludf.DUMMYFUNCTION("GOOGLETRANSLATE(B17826,""en"",""de"")"),"Jetzt gibt es viele Menschen im Freien, sowohl Männer als auch Frauen, und sie rennen, hüpfen, springen und machen draußen Flips.")</f>
        <v>Jetzt gibt es viele Menschen im Freien, sowohl Männer als auch Frauen, und sie rennen, hüpfen, springen und machen draußen Flips.</v>
      </c>
    </row>
    <row r="17827">
      <c r="A17827" s="4" t="s">
        <v>22434</v>
      </c>
      <c r="B17827" s="4" t="s">
        <v>22438</v>
      </c>
      <c r="C17827" s="5" t="str">
        <f>IFERROR(__xludf.DUMMYFUNCTION("GOOGLETRANSLATE(B17827,""en"",""de"")"),"Eine große Gruppe von allen stellt sich auf und eine Ansicht von oben zeigt, dass sie die Zahl 7 gebildet haben.")</f>
        <v>Eine große Gruppe von allen stellt sich auf und eine Ansicht von oben zeigt, dass sie die Zahl 7 gebildet haben.</v>
      </c>
    </row>
    <row r="17828">
      <c r="A17828" s="4" t="s">
        <v>22434</v>
      </c>
      <c r="B17828" s="4" t="s">
        <v>22439</v>
      </c>
      <c r="C17828" s="5" t="str">
        <f>IFERROR(__xludf.DUMMYFUNCTION("GOOGLETRANSLATE(B17828,""en"",""de"")"),"Verschiedene noch gedrehte Bilder zeigen und Clips von mehr Menschen im Freien in einem anderen Gebietsspiel, und sie alle springen über Stangen, machen Flips, Sprünge, Laufen und etcetera.")</f>
        <v>Verschiedene noch gedrehte Bilder zeigen und Clips von mehr Menschen im Freien in einem anderen Gebietsspiel, und sie alle springen über Stangen, machen Flips, Sprünge, Laufen und etcetera.</v>
      </c>
    </row>
    <row r="17829">
      <c r="A17829" s="4" t="s">
        <v>22434</v>
      </c>
      <c r="B17829" s="4" t="s">
        <v>22440</v>
      </c>
      <c r="C17829" s="5" t="str">
        <f>IFERROR(__xludf.DUMMYFUNCTION("GOOGLETRANSLATE(B17829,""en"",""de"")"),"Jetzt springen Leute mit ihren Hüpfstilzen ins Wasser, dann wieder in einem großen Grasbereich, bis ein schwarzer Bildschirm erscheint und viele weiße Wörter und Websites schnell von unten nach oben scrollen.")</f>
        <v>Jetzt springen Leute mit ihren Hüpfstilzen ins Wasser, dann wieder in einem großen Grasbereich, bis ein schwarzer Bildschirm erscheint und viele weiße Wörter und Websites schnell von unten nach oben scrollen.</v>
      </c>
    </row>
    <row r="17830">
      <c r="A17830" s="4" t="s">
        <v>22441</v>
      </c>
      <c r="B17830" s="4" t="s">
        <v>22442</v>
      </c>
      <c r="C17830" s="5" t="str">
        <f>IFERROR(__xludf.DUMMYFUNCTION("GOOGLETRANSLATE(B17830,""en"",""de"")"),"Die Menschen kanuieren einen Fluss Wasser hinunter.")</f>
        <v>Die Menschen kanuieren einen Fluss Wasser hinunter.</v>
      </c>
    </row>
    <row r="17831">
      <c r="A17831" s="4" t="s">
        <v>22441</v>
      </c>
      <c r="B17831" s="4" t="s">
        <v>22443</v>
      </c>
      <c r="C17831" s="5" t="str">
        <f>IFERROR(__xludf.DUMMYFUNCTION("GOOGLETRANSLATE(B17831,""en"",""de"")"),"Sie gehen um Stangen im Wasser.")</f>
        <v>Sie gehen um Stangen im Wasser.</v>
      </c>
    </row>
    <row r="17832">
      <c r="A17832" s="4" t="s">
        <v>22441</v>
      </c>
      <c r="B17832" s="4" t="s">
        <v>22444</v>
      </c>
      <c r="C17832" s="5" t="str">
        <f>IFERROR(__xludf.DUMMYFUNCTION("GOOGLETRANSLATE(B17832,""en"",""de"")"),"Sie gehen unter eine Brücke.")</f>
        <v>Sie gehen unter eine Brücke.</v>
      </c>
    </row>
    <row r="17833">
      <c r="A17833" s="4" t="s">
        <v>22445</v>
      </c>
      <c r="B17833" s="4" t="s">
        <v>22446</v>
      </c>
      <c r="C17833" s="5" t="str">
        <f>IFERROR(__xludf.DUMMYFUNCTION("GOOGLETRANSLATE(B17833,""en"",""de"")"),"Ein kleines Mädchen in grauem und bedrucktem Mantel steht in der Mitte trockener Blätter. Sie ging vom Blätterhaufen weg, greift Handvoll und legte es auf eine Seite.")</f>
        <v>Ein kleines Mädchen in grauem und bedrucktem Mantel steht in der Mitte trockener Blätter. Sie ging vom Blätterhaufen weg, greift Handvoll und legte es auf eine Seite.</v>
      </c>
    </row>
    <row r="17834">
      <c r="A17834" s="4" t="s">
        <v>22445</v>
      </c>
      <c r="B17834" s="4" t="s">
        <v>22447</v>
      </c>
      <c r="C17834" s="5" t="str">
        <f>IFERROR(__xludf.DUMMYFUNCTION("GOOGLETRANSLATE(B17834,""en"",""de"")"),"Eine Frau in grauem Pullover und blaue Hosen wandert vom Mädchen hinten und dann zu ihr, die Dame trägt einen Rechen.")</f>
        <v>Eine Frau in grauem Pullover und blaue Hosen wandert vom Mädchen hinten und dann zu ihr, die Dame trägt einen Rechen.</v>
      </c>
    </row>
    <row r="17835">
      <c r="A17835" s="4" t="s">
        <v>22445</v>
      </c>
      <c r="B17835" s="4" t="s">
        <v>22448</v>
      </c>
      <c r="C17835" s="5" t="str">
        <f>IFERROR(__xludf.DUMMYFUNCTION("GOOGLETRANSLATE(B17835,""en"",""de"")"),"Das kleine Mädchen kam zu ihr und versuchte nach dem Rechen zu greifen.")</f>
        <v>Das kleine Mädchen kam zu ihr und versuchte nach dem Rechen zu greifen.</v>
      </c>
    </row>
    <row r="17836">
      <c r="A17836" s="4" t="s">
        <v>22445</v>
      </c>
      <c r="B17836" s="4" t="s">
        <v>22449</v>
      </c>
      <c r="C17836" s="5" t="str">
        <f>IFERROR(__xludf.DUMMYFUNCTION("GOOGLETRANSLATE(B17836,""en"",""de"")"),"Die Frau stellte den Griff des Rechens ein, um ihn kürzer zu machen und dem Mädchen übergeben.")</f>
        <v>Die Frau stellte den Griff des Rechens ein, um ihn kürzer zu machen und dem Mädchen übergeben.</v>
      </c>
    </row>
    <row r="17837">
      <c r="A17837" s="4" t="s">
        <v>22445</v>
      </c>
      <c r="B17837" s="4" t="s">
        <v>22450</v>
      </c>
      <c r="C17837" s="5" t="str">
        <f>IFERROR(__xludf.DUMMYFUNCTION("GOOGLETRANSLATE(B17837,""en"",""de"")"),"Das kleine Mädchen versuchte zu harken, aber es würde sich nicht bewegen, also saß die Frau neben dem Mädchen und nutzte ihr den Rake, während das kleine Mädchen von den Kindern abgelenkt wurde, die die Straße entlang rannten.")</f>
        <v>Das kleine Mädchen versuchte zu harken, aber es würde sich nicht bewegen, also saß die Frau neben dem Mädchen und nutzte ihr den Rake, während das kleine Mädchen von den Kindern abgelenkt wurde, die die Straße entlang rannten.</v>
      </c>
    </row>
    <row r="17838">
      <c r="A17838" s="4" t="s">
        <v>22445</v>
      </c>
      <c r="B17838" s="4" t="s">
        <v>22451</v>
      </c>
      <c r="C17838" s="5" t="str">
        <f>IFERROR(__xludf.DUMMYFUNCTION("GOOGLETRANSLATE(B17838,""en"",""de"")"),"Das kleine Mädchen harkte weiter, während die Dame einen größeren Rechen nimmt und anfing, die Blätter zu harken.")</f>
        <v>Das kleine Mädchen harkte weiter, während die Dame einen größeren Rechen nimmt und anfing, die Blätter zu harken.</v>
      </c>
    </row>
    <row r="17839">
      <c r="A17839" s="4" t="s">
        <v>22452</v>
      </c>
      <c r="B17839" s="4" t="s">
        <v>22453</v>
      </c>
      <c r="C17839" s="5" t="str">
        <f>IFERROR(__xludf.DUMMYFUNCTION("GOOGLETRANSLATE(B17839,""en"",""de"")"),"Eine Person geht die Straße entlang, die Kreide hat.")</f>
        <v>Eine Person geht die Straße entlang, die Kreide hat.</v>
      </c>
    </row>
    <row r="17840">
      <c r="A17840" s="4" t="s">
        <v>22452</v>
      </c>
      <c r="B17840" s="4" t="s">
        <v>22454</v>
      </c>
      <c r="C17840" s="5" t="str">
        <f>IFERROR(__xludf.DUMMYFUNCTION("GOOGLETRANSLATE(B17840,""en"",""de"")"),"Eine Person in einem roten Hemd hüpft mit der Kreide auf der Straße.")</f>
        <v>Eine Person in einem roten Hemd hüpft mit der Kreide auf der Straße.</v>
      </c>
    </row>
    <row r="17841">
      <c r="A17841" s="4" t="s">
        <v>22452</v>
      </c>
      <c r="B17841" s="4" t="s">
        <v>22455</v>
      </c>
      <c r="C17841" s="5" t="str">
        <f>IFERROR(__xludf.DUMMYFUNCTION("GOOGLETRANSLATE(B17841,""en"",""de"")"),"Sie beenden und lächeln in die Kamera.")</f>
        <v>Sie beenden und lächeln in die Kamera.</v>
      </c>
    </row>
    <row r="17842">
      <c r="A17842" s="4" t="s">
        <v>22456</v>
      </c>
      <c r="B17842" s="4" t="s">
        <v>22457</v>
      </c>
      <c r="C17842" s="5" t="str">
        <f>IFERROR(__xludf.DUMMYFUNCTION("GOOGLETRANSLATE(B17842,""en"",""de"")"),"Dies ist ein Rezept für die Herstellung von Schokoladenkeksen.")</f>
        <v>Dies ist ein Rezept für die Herstellung von Schokoladenkeksen.</v>
      </c>
    </row>
    <row r="17843">
      <c r="A17843" s="4" t="s">
        <v>22456</v>
      </c>
      <c r="B17843" s="4" t="s">
        <v>22458</v>
      </c>
      <c r="C17843" s="5" t="str">
        <f>IFERROR(__xludf.DUMMYFUNCTION("GOOGLETRANSLATE(B17843,""en"",""de"")"),"Schokoladestangen werden mit einem Messer geschnitten.")</f>
        <v>Schokoladestangen werden mit einem Messer geschnitten.</v>
      </c>
    </row>
    <row r="17844">
      <c r="A17844" s="4" t="s">
        <v>22456</v>
      </c>
      <c r="B17844" s="4" t="s">
        <v>22459</v>
      </c>
      <c r="C17844" s="5" t="str">
        <f>IFERROR(__xludf.DUMMYFUNCTION("GOOGLETRANSLATE(B17844,""en"",""de"")"),"Butter wird mikrowketten und mit Zucker und anderen Zutaten zubereitet.")</f>
        <v>Butter wird mikrowketten und mit Zucker und anderen Zutaten zubereitet.</v>
      </c>
    </row>
    <row r="17845">
      <c r="A17845" s="4" t="s">
        <v>22456</v>
      </c>
      <c r="B17845" s="4" t="s">
        <v>22460</v>
      </c>
      <c r="C17845" s="5" t="str">
        <f>IFERROR(__xludf.DUMMYFUNCTION("GOOGLETRANSLATE(B17845,""en"",""de"")"),"Alles wird gerührt und die Schokolade wird eingefügt.")</f>
        <v>Alles wird gerührt und die Schokolade wird eingefügt.</v>
      </c>
    </row>
    <row r="17846">
      <c r="A17846" s="4" t="s">
        <v>22456</v>
      </c>
      <c r="B17846" s="4" t="s">
        <v>22461</v>
      </c>
      <c r="C17846" s="5" t="str">
        <f>IFERROR(__xludf.DUMMYFUNCTION("GOOGLETRANSLATE(B17846,""en"",""de"")"),"Die Kekse sind geformt und in einen Ofen gesteckt.")</f>
        <v>Die Kekse sind geformt und in einen Ofen gesteckt.</v>
      </c>
    </row>
    <row r="17847">
      <c r="A17847" s="4" t="s">
        <v>22462</v>
      </c>
      <c r="B17847" s="4" t="s">
        <v>22463</v>
      </c>
      <c r="C17847" s="5" t="str">
        <f>IFERROR(__xludf.DUMMYFUNCTION("GOOGLETRANSLATE(B17847,""en"",""de"")"),"Der Mann sitzt auf dem Fahrersitz.")</f>
        <v>Der Mann sitzt auf dem Fahrersitz.</v>
      </c>
    </row>
    <row r="17848">
      <c r="A17848" s="4" t="s">
        <v>22462</v>
      </c>
      <c r="B17848" s="4" t="s">
        <v>22464</v>
      </c>
      <c r="C17848" s="5" t="str">
        <f>IFERROR(__xludf.DUMMYFUNCTION("GOOGLETRANSLATE(B17848,""en"",""de"")"),"Die Menschen sind im schneebedeckten Berg -Snowboarden.")</f>
        <v>Die Menschen sind im schneebedeckten Berg -Snowboarden.</v>
      </c>
    </row>
    <row r="17849">
      <c r="A17849" s="4" t="s">
        <v>22465</v>
      </c>
      <c r="B17849" s="4" t="s">
        <v>22466</v>
      </c>
      <c r="C17849" s="5" t="str">
        <f>IFERROR(__xludf.DUMMYFUNCTION("GOOGLETRANSLATE(B17849,""en"",""de"")"),"Jemand schnappt sich einen Rubix -Würfel von seinem Schreibtisch und fängt an, ihn zu lösen.")</f>
        <v>Jemand schnappt sich einen Rubix -Würfel von seinem Schreibtisch und fängt an, ihn zu lösen.</v>
      </c>
    </row>
    <row r="17850">
      <c r="A17850" s="4" t="s">
        <v>22465</v>
      </c>
      <c r="B17850" s="4" t="s">
        <v>22467</v>
      </c>
      <c r="C17850" s="5" t="str">
        <f>IFERROR(__xludf.DUMMYFUNCTION("GOOGLETRANSLATE(B17850,""en"",""de"")"),"Sie bewegen sich so schnell, dass sie es für einen Bruchteil einer Sekunde hinlegen.")</f>
        <v>Sie bewegen sich so schnell, dass sie es für einen Bruchteil einer Sekunde hinlegen.</v>
      </c>
    </row>
    <row r="17851">
      <c r="A17851" s="4" t="s">
        <v>22465</v>
      </c>
      <c r="B17851" s="4" t="s">
        <v>22468</v>
      </c>
      <c r="C17851" s="5" t="str">
        <f>IFERROR(__xludf.DUMMYFUNCTION("GOOGLETRANSLATE(B17851,""en"",""de"")"),"Sie nehmen es schnell wieder auf und kehren zurück und bewegen sich so schnell.")</f>
        <v>Sie nehmen es schnell wieder auf und kehren zurück und bewegen sich so schnell.</v>
      </c>
    </row>
    <row r="17852">
      <c r="A17852" s="4" t="s">
        <v>22465</v>
      </c>
      <c r="B17852" s="4" t="s">
        <v>22469</v>
      </c>
      <c r="C17852" s="5" t="str">
        <f>IFERROR(__xludf.DUMMYFUNCTION("GOOGLETRANSLATE(B17852,""en"",""de"")"),"Als sie schließlich den Würfel lösen, zeigen sie ihre Zeit, brauchten sie nur 33.91, um den Würfel zu lösen.")</f>
        <v>Als sie schließlich den Würfel lösen, zeigen sie ihre Zeit, brauchten sie nur 33.91, um den Würfel zu lösen.</v>
      </c>
    </row>
    <row r="17853">
      <c r="A17853" s="4" t="s">
        <v>22470</v>
      </c>
      <c r="B17853" s="4" t="s">
        <v>22471</v>
      </c>
      <c r="C17853" s="5" t="str">
        <f>IFERROR(__xludf.DUMMYFUNCTION("GOOGLETRANSLATE(B17853,""en"",""de"")"),"Der Mann im schwarzen Hemd geht und erhöht dann den Ball hoch.")</f>
        <v>Der Mann im schwarzen Hemd geht und erhöht dann den Ball hoch.</v>
      </c>
    </row>
    <row r="17854">
      <c r="A17854" s="4" t="s">
        <v>22470</v>
      </c>
      <c r="B17854" s="4" t="s">
        <v>22472</v>
      </c>
      <c r="C17854" s="5" t="str">
        <f>IFERROR(__xludf.DUMMYFUNCTION("GOOGLETRANSLATE(B17854,""en"",""de"")"),"Der Mann legte den Ball auf seinen Hals und begann sich umzudrehen und warf den Ball.")</f>
        <v>Der Mann legte den Ball auf seinen Hals und begann sich umzudrehen und warf den Ball.</v>
      </c>
    </row>
    <row r="17855">
      <c r="A17855" s="4" t="s">
        <v>22470</v>
      </c>
      <c r="B17855" s="4" t="s">
        <v>22473</v>
      </c>
      <c r="C17855" s="5" t="str">
        <f>IFERROR(__xludf.DUMMYFUNCTION("GOOGLETRANSLATE(B17855,""en"",""de"")"),"Der Mann jubelte und gab anderen Mann eine hohe fünf, dann ist er so froh, dass er auf dem Bauch zu Boden gegangen ist und weiterhin jubelt.")</f>
        <v>Der Mann jubelte und gab anderen Mann eine hohe fünf, dann ist er so froh, dass er auf dem Bauch zu Boden gegangen ist und weiterhin jubelt.</v>
      </c>
    </row>
    <row r="17856">
      <c r="A17856" s="4" t="s">
        <v>22474</v>
      </c>
      <c r="B17856" s="4" t="s">
        <v>22475</v>
      </c>
      <c r="C17856" s="5" t="str">
        <f>IFERROR(__xludf.DUMMYFUNCTION("GOOGLETRANSLATE(B17856,""en"",""de"")"),"Es gibt eine Frau in einem rosa Kleid mit einem Mann in einem grauen Hemd.")</f>
        <v>Es gibt eine Frau in einem rosa Kleid mit einem Mann in einem grauen Hemd.</v>
      </c>
    </row>
    <row r="17857">
      <c r="A17857" s="4" t="s">
        <v>22474</v>
      </c>
      <c r="B17857" s="4" t="s">
        <v>22476</v>
      </c>
      <c r="C17857" s="5" t="str">
        <f>IFERROR(__xludf.DUMMYFUNCTION("GOOGLETRANSLATE(B17857,""en"",""de"")"),"Sie sprechen davon, Zähne in Unterwäsche zu putzen und wie sie von Metacafe verboten werden.")</f>
        <v>Sie sprechen davon, Zähne in Unterwäsche zu putzen und wie sie von Metacafe verboten werden.</v>
      </c>
    </row>
    <row r="17858">
      <c r="A17858" s="4" t="s">
        <v>22474</v>
      </c>
      <c r="B17858" s="4" t="s">
        <v>22477</v>
      </c>
      <c r="C17858" s="5" t="str">
        <f>IFERROR(__xludf.DUMMYFUNCTION("GOOGLETRANSLATE(B17858,""en"",""de"")"),"Der Mann hat ein Drehbuch in der Hand, das er liest.")</f>
        <v>Der Mann hat ein Drehbuch in der Hand, das er liest.</v>
      </c>
    </row>
    <row r="17859">
      <c r="A17859" s="4" t="s">
        <v>22474</v>
      </c>
      <c r="B17859" s="4" t="s">
        <v>22478</v>
      </c>
      <c r="C17859" s="5" t="str">
        <f>IFERROR(__xludf.DUMMYFUNCTION("GOOGLETRANSLATE(B17859,""en"",""de"")"),"Ein Mann in gefalteten Hosen läuft am Strand.")</f>
        <v>Ein Mann in gefalteten Hosen läuft am Strand.</v>
      </c>
    </row>
    <row r="17860">
      <c r="A17860" s="4" t="s">
        <v>22474</v>
      </c>
      <c r="B17860" s="4" t="s">
        <v>22479</v>
      </c>
      <c r="C17860" s="5" t="str">
        <f>IFERROR(__xludf.DUMMYFUNCTION("GOOGLETRANSLATE(B17860,""en"",""de"")"),"Er nimmt eine Zahnbürste aus dem Sand und beginnt seine Zähne zu putzen.")</f>
        <v>Er nimmt eine Zahnbürste aus dem Sand und beginnt seine Zähne zu putzen.</v>
      </c>
    </row>
    <row r="17861">
      <c r="A17861" s="4" t="s">
        <v>22474</v>
      </c>
      <c r="B17861" s="4" t="s">
        <v>22480</v>
      </c>
      <c r="C17861" s="5" t="str">
        <f>IFERROR(__xludf.DUMMYFUNCTION("GOOGLETRANSLATE(B17861,""en"",""de"")"),"Die Frau im Badezimmer putzt die Zähne und wird von einem Mann mit einem Messer angegriffen.")</f>
        <v>Die Frau im Badezimmer putzt die Zähne und wird von einem Mann mit einem Messer angegriffen.</v>
      </c>
    </row>
    <row r="17862">
      <c r="A17862" s="4" t="s">
        <v>22474</v>
      </c>
      <c r="B17862" s="4" t="s">
        <v>22481</v>
      </c>
      <c r="C17862" s="5" t="str">
        <f>IFERROR(__xludf.DUMMYFUNCTION("GOOGLETRANSLATE(B17862,""en"",""de"")"),"Überall im Badezimmer ist Blut gespritzt.")</f>
        <v>Überall im Badezimmer ist Blut gespritzt.</v>
      </c>
    </row>
    <row r="17863">
      <c r="A17863" s="4" t="s">
        <v>22474</v>
      </c>
      <c r="B17863" s="4" t="s">
        <v>22482</v>
      </c>
      <c r="C17863" s="5" t="str">
        <f>IFERROR(__xludf.DUMMYFUNCTION("GOOGLETRANSLATE(B17863,""en"",""de"")"),"Die verletzte Frau steht auf und schaut in den Spiegel, nur heraus, dass sie das Gesicht des Mannes vom Strand hat.")</f>
        <v>Die verletzte Frau steht auf und schaut in den Spiegel, nur heraus, dass sie das Gesicht des Mannes vom Strand hat.</v>
      </c>
    </row>
    <row r="17864">
      <c r="A17864" s="4" t="s">
        <v>22474</v>
      </c>
      <c r="B17864" s="4" t="s">
        <v>22483</v>
      </c>
      <c r="C17864" s="5" t="str">
        <f>IFERROR(__xludf.DUMMYFUNCTION("GOOGLETRANSLATE(B17864,""en"",""de"")"),"Der gleiche Mann ist jetzt wieder am Strand und geht am Ufer entlang.")</f>
        <v>Der gleiche Mann ist jetzt wieder am Strand und geht am Ufer entlang.</v>
      </c>
    </row>
    <row r="17865">
      <c r="A17865" s="4" t="s">
        <v>22484</v>
      </c>
      <c r="B17865" s="4" t="s">
        <v>22485</v>
      </c>
      <c r="C17865" s="5" t="str">
        <f>IFERROR(__xludf.DUMMYFUNCTION("GOOGLETRANSLATE(B17865,""en"",""de"")"),"Verschiedene Landschaften werden gezeigt, gefolgt von einer Frau, die zur Kamera spricht, sich auf ein Fahrzeug vorbereitet und fährt.")</f>
        <v>Verschiedene Landschaften werden gezeigt, gefolgt von einer Frau, die zur Kamera spricht, sich auf ein Fahrzeug vorbereitet und fährt.</v>
      </c>
    </row>
    <row r="17866">
      <c r="A17866" s="4" t="s">
        <v>22484</v>
      </c>
      <c r="B17866" s="4" t="s">
        <v>22486</v>
      </c>
      <c r="C17866" s="5" t="str">
        <f>IFERROR(__xludf.DUMMYFUNCTION("GOOGLETRANSLATE(B17866,""en"",""de"")"),"Die Person geht herum und interagiert mit dem Fahrer und führt in mehr Clips der Person, die ein Brett hinter einem Auto fährt.")</f>
        <v>Die Person geht herum und interagiert mit dem Fahrer und führt in mehr Clips der Person, die ein Brett hinter einem Auto fährt.</v>
      </c>
    </row>
    <row r="17867">
      <c r="A17867" s="4" t="s">
        <v>22484</v>
      </c>
      <c r="B17867" s="4" t="s">
        <v>22487</v>
      </c>
      <c r="C17867" s="5" t="str">
        <f>IFERROR(__xludf.DUMMYFUNCTION("GOOGLETRANSLATE(B17867,""en"",""de"")"),"Ein Mann spricht in ein Walkie -Talkie und zeigt sowohl die Geschwindigkeit des Autos als auch die Menschen, die feiern, und der Mann, der eine Plakette erhält.")</f>
        <v>Ein Mann spricht in ein Walkie -Talkie und zeigt sowohl die Geschwindigkeit des Autos als auch die Menschen, die feiern, und der Mann, der eine Plakette erhält.</v>
      </c>
    </row>
    <row r="17868">
      <c r="A17868" s="4" t="s">
        <v>22488</v>
      </c>
      <c r="B17868" s="4" t="s">
        <v>22489</v>
      </c>
      <c r="C17868" s="5" t="str">
        <f>IFERROR(__xludf.DUMMYFUNCTION("GOOGLETRANSLATE(B17868,""en"",""de"")"),"Eine Gruppe von Männern befindet sich in einem Raum, der verschiedene Handbewegungen ausübt und ihre Füße bewegt.")</f>
        <v>Eine Gruppe von Männern befindet sich in einem Raum, der verschiedene Handbewegungen ausübt und ihre Füße bewegt.</v>
      </c>
    </row>
    <row r="17869">
      <c r="A17869" s="4" t="s">
        <v>22488</v>
      </c>
      <c r="B17869" s="4" t="s">
        <v>22490</v>
      </c>
      <c r="C17869" s="5" t="str">
        <f>IFERROR(__xludf.DUMMYFUNCTION("GOOGLETRANSLATE(B17869,""en"",""de"")"),"Während sie weitergehen, fällt der Mann im Hintergrund auf den Boden, steht auf und bewegt sich weiter in den hinteren Teil des Raumes.")</f>
        <v>Während sie weitergehen, fällt der Mann im Hintergrund auf den Boden, steht auf und bewegt sich weiter in den hinteren Teil des Raumes.</v>
      </c>
    </row>
    <row r="17870">
      <c r="A17870" s="4" t="s">
        <v>22488</v>
      </c>
      <c r="B17870" s="4" t="s">
        <v>22491</v>
      </c>
      <c r="C17870" s="5" t="str">
        <f>IFERROR(__xludf.DUMMYFUNCTION("GOOGLETRANSLATE(B17870,""en"",""de"")"),"Sie beenden, stehen still und fangen an, sich gegenseitig zu klatschen und hoch zu fähren.")</f>
        <v>Sie beenden, stehen still und fangen an, sich gegenseitig zu klatschen und hoch zu fähren.</v>
      </c>
    </row>
    <row r="17871">
      <c r="A17871" s="4" t="s">
        <v>22492</v>
      </c>
      <c r="B17871" s="4" t="s">
        <v>22493</v>
      </c>
      <c r="C17871" s="5" t="str">
        <f>IFERROR(__xludf.DUMMYFUNCTION("GOOGLETRANSLATE(B17871,""en"",""de"")"),"Blonde Frau remt trockene Blätter in einem Garten und der Hund spielt mit ihnen rennen.")</f>
        <v>Blonde Frau remt trockene Blätter in einem Garten und der Hund spielt mit ihnen rennen.</v>
      </c>
    </row>
    <row r="17872">
      <c r="A17872" s="4" t="s">
        <v>22492</v>
      </c>
      <c r="B17872" s="4" t="s">
        <v>22494</v>
      </c>
      <c r="C17872" s="5" t="str">
        <f>IFERROR(__xludf.DUMMYFUNCTION("GOOGLETRANSLATE(B17872,""en"",""de"")"),"Der Hund ist im Hinterhof eine Unning und trinkt Wasser aus einem Smal Fountain und rennt immer wieder durch das Feld und spielt mit den Blättern, während die Frau weiter remt.")</f>
        <v>Der Hund ist im Hinterhof eine Unning und trinkt Wasser aus einem Smal Fountain und rennt immer wieder durch das Feld und spielt mit den Blättern, während die Frau weiter remt.</v>
      </c>
    </row>
    <row r="17873">
      <c r="A17873" s="4" t="s">
        <v>22495</v>
      </c>
      <c r="B17873" s="4" t="s">
        <v>22496</v>
      </c>
      <c r="C17873" s="5" t="str">
        <f>IFERROR(__xludf.DUMMYFUNCTION("GOOGLETRANSLATE(B17873,""en"",""de"")"),"Zwei Menschen stehen hinter einer Theke.")</f>
        <v>Zwei Menschen stehen hinter einer Theke.</v>
      </c>
    </row>
    <row r="17874">
      <c r="A17874" s="4" t="s">
        <v>22495</v>
      </c>
      <c r="B17874" s="4" t="s">
        <v>22497</v>
      </c>
      <c r="C17874" s="5" t="str">
        <f>IFERROR(__xludf.DUMMYFUNCTION("GOOGLETRANSLATE(B17874,""en"",""de"")"),"Eine Person fügt einem Salat Paprika hinzu.")</f>
        <v>Eine Person fügt einem Salat Paprika hinzu.</v>
      </c>
    </row>
    <row r="17875">
      <c r="A17875" s="4" t="s">
        <v>22495</v>
      </c>
      <c r="B17875" s="4" t="s">
        <v>22498</v>
      </c>
      <c r="C17875" s="5" t="str">
        <f>IFERROR(__xludf.DUMMYFUNCTION("GOOGLETRANSLATE(B17875,""en"",""de"")"),"Eine andere Person hackt den Pfeffer auf einem Brett.")</f>
        <v>Eine andere Person hackt den Pfeffer auf einem Brett.</v>
      </c>
    </row>
    <row r="17876">
      <c r="A17876" s="4" t="s">
        <v>22499</v>
      </c>
      <c r="B17876" s="4" t="s">
        <v>22500</v>
      </c>
      <c r="C17876" s="5" t="str">
        <f>IFERROR(__xludf.DUMMYFUNCTION("GOOGLETRANSLATE(B17876,""en"",""de"")"),"Der Eröffnungskredite für einen Film erscheint auf dem Bildschirm.")</f>
        <v>Der Eröffnungskredite für einen Film erscheint auf dem Bildschirm.</v>
      </c>
    </row>
    <row r="17877">
      <c r="A17877" s="4" t="s">
        <v>22499</v>
      </c>
      <c r="B17877" s="4" t="s">
        <v>22501</v>
      </c>
      <c r="C17877" s="5" t="str">
        <f>IFERROR(__xludf.DUMMYFUNCTION("GOOGLETRANSLATE(B17877,""en"",""de"")"),"Mehrere junge Männer werden gezeigt, die verschiedene Stunts auf Skateboards durchführen.")</f>
        <v>Mehrere junge Männer werden gezeigt, die verschiedene Stunts auf Skateboards durchführen.</v>
      </c>
    </row>
    <row r="17878">
      <c r="A17878" s="4" t="s">
        <v>22499</v>
      </c>
      <c r="B17878" s="4" t="s">
        <v>22502</v>
      </c>
      <c r="C17878" s="5" t="str">
        <f>IFERROR(__xludf.DUMMYFUNCTION("GOOGLETRANSLATE(B17878,""en"",""de"")"),"Sie springen auf Tische, über Brunnen und Treppe hinunter.")</f>
        <v>Sie springen auf Tische, über Brunnen und Treppe hinunter.</v>
      </c>
    </row>
    <row r="17879">
      <c r="A17879" s="4" t="s">
        <v>22503</v>
      </c>
      <c r="B17879" s="4" t="s">
        <v>22504</v>
      </c>
      <c r="C17879" s="5" t="str">
        <f>IFERROR(__xludf.DUMMYFUNCTION("GOOGLETRANSLATE(B17879,""en"",""de"")"),"Ein Mann rührt etwas in einem Topf.")</f>
        <v>Ein Mann rührt etwas in einem Topf.</v>
      </c>
    </row>
    <row r="17880">
      <c r="A17880" s="4" t="s">
        <v>22503</v>
      </c>
      <c r="B17880" s="4" t="s">
        <v>22505</v>
      </c>
      <c r="C17880" s="5" t="str">
        <f>IFERROR(__xludf.DUMMYFUNCTION("GOOGLETRANSLATE(B17880,""en"",""de"")"),"Der erste Mann verlässt die Szene, wenn ein zweiter Mann eintritt und etwas in einer Schüssel umrüstet.")</f>
        <v>Der erste Mann verlässt die Szene, wenn ein zweiter Mann eintritt und etwas in einer Schüssel umrüstet.</v>
      </c>
    </row>
    <row r="17881">
      <c r="A17881" s="4" t="s">
        <v>22503</v>
      </c>
      <c r="B17881" s="4" t="s">
        <v>22506</v>
      </c>
      <c r="C17881" s="5" t="str">
        <f>IFERROR(__xludf.DUMMYFUNCTION("GOOGLETRANSLATE(B17881,""en"",""de"")"),"Der erste Mann geht in und aus dem Rahmen.")</f>
        <v>Der erste Mann geht in und aus dem Rahmen.</v>
      </c>
    </row>
    <row r="17882">
      <c r="A17882" s="4" t="s">
        <v>22503</v>
      </c>
      <c r="B17882" s="4" t="s">
        <v>22507</v>
      </c>
      <c r="C17882" s="5" t="str">
        <f>IFERROR(__xludf.DUMMYFUNCTION("GOOGLETRANSLATE(B17882,""en"",""de"")"),"Die Kamerapfannen ließen den ersten Mann an, der in einem Ofen arbeitete.")</f>
        <v>Die Kamerapfannen ließen den ersten Mann an, der in einem Ofen arbeitete.</v>
      </c>
    </row>
    <row r="17883">
      <c r="A17883" s="4" t="s">
        <v>22508</v>
      </c>
      <c r="B17883" s="4" t="s">
        <v>22509</v>
      </c>
      <c r="C17883" s="5" t="str">
        <f>IFERROR(__xludf.DUMMYFUNCTION("GOOGLETRANSLATE(B17883,""en"",""de"")"),"Menschen in Uniformen verschiedener Charaktere werden gezeigt, die um ein grünes Feld herumlaufen.")</f>
        <v>Menschen in Uniformen verschiedener Charaktere werden gezeigt, die um ein grünes Feld herumlaufen.</v>
      </c>
    </row>
    <row r="17884">
      <c r="A17884" s="4" t="s">
        <v>22508</v>
      </c>
      <c r="B17884" s="4" t="s">
        <v>22510</v>
      </c>
      <c r="C17884" s="5" t="str">
        <f>IFERROR(__xludf.DUMMYFUNCTION("GOOGLETRANSLATE(B17884,""en"",""de"")"),"Dann beginnt ein Lacrosse -Spiel und sie treten gegeneinander an.")</f>
        <v>Dann beginnt ein Lacrosse -Spiel und sie treten gegeneinander an.</v>
      </c>
    </row>
    <row r="17885">
      <c r="A17885" s="4" t="s">
        <v>22508</v>
      </c>
      <c r="B17885" s="4" t="s">
        <v>22511</v>
      </c>
      <c r="C17885" s="5" t="str">
        <f>IFERROR(__xludf.DUMMYFUNCTION("GOOGLETRANSLATE(B17885,""en"",""de"")"),"Der große gelbe Charakter versucht, ein Ziel zu erreichen, ist aber nicht erfolgreich und er fällt ihm enttäuscht auf das Knie.")</f>
        <v>Der große gelbe Charakter versucht, ein Ziel zu erreichen, ist aber nicht erfolgreich und er fällt ihm enttäuscht auf das Knie.</v>
      </c>
    </row>
    <row r="17886">
      <c r="A17886" s="4" t="s">
        <v>22512</v>
      </c>
      <c r="B17886" s="4" t="s">
        <v>22513</v>
      </c>
      <c r="C17886" s="5" t="str">
        <f>IFERROR(__xludf.DUMMYFUNCTION("GOOGLETRANSLATE(B17886,""en"",""de"")"),"Ein Mann in einem Jeanshemd und einer schwarzen Baseballmütze spielt die Mundharmonika am Strand vor einem sandigen Ufer, Meerwasser und einem Gras und blumenbedeckten HNOLL.")</f>
        <v>Ein Mann in einem Jeanshemd und einer schwarzen Baseballmütze spielt die Mundharmonika am Strand vor einem sandigen Ufer, Meerwasser und einem Gras und blumenbedeckten HNOLL.</v>
      </c>
    </row>
    <row r="17887">
      <c r="A17887" s="4" t="s">
        <v>22512</v>
      </c>
      <c r="B17887" s="4" t="s">
        <v>22514</v>
      </c>
      <c r="C17887" s="5" t="str">
        <f>IFERROR(__xludf.DUMMYFUNCTION("GOOGLETRANSLATE(B17887,""en"",""de"")"),"Der Mann steht oben auf einer kurzen Holztreppe und lehnt sich gegen das Geländer, der Mann spielt die Mundharmonika, die das gesamte Instrument mit beiden Händen bedeckt, während er spielt.")</f>
        <v>Der Mann steht oben auf einer kurzen Holztreppe und lehnt sich gegen das Geländer, der Mann spielt die Mundharmonika, die das gesamte Instrument mit beiden Händen bedeckt, während er spielt.</v>
      </c>
    </row>
    <row r="17888">
      <c r="A17888" s="4" t="s">
        <v>22512</v>
      </c>
      <c r="B17888" s="4" t="s">
        <v>22515</v>
      </c>
      <c r="C17888" s="5" t="str">
        <f>IFERROR(__xludf.DUMMYFUNCTION("GOOGLETRANSLATE(B17888,""en"",""de"")"),"Ein Strandbesuch in Shorts geht in der Ferne am nassen Sand des Strandes an ihm vorbei.")</f>
        <v>Ein Strandbesuch in Shorts geht in der Ferne am nassen Sand des Strandes an ihm vorbei.</v>
      </c>
    </row>
    <row r="17889">
      <c r="A17889" s="4" t="s">
        <v>22512</v>
      </c>
      <c r="B17889" s="4" t="s">
        <v>22516</v>
      </c>
      <c r="C17889" s="5" t="str">
        <f>IFERROR(__xludf.DUMMYFUNCTION("GOOGLETRANSLATE(B17889,""en"",""de"")"),"Der Mann spielt weiterhin die Mundharmonika, indem er die Mundharmonika vom Mund wegzieht und dramatisch einen großen, geschwollenen Schnurrbart zappelt.")</f>
        <v>Der Mann spielt weiterhin die Mundharmonika, indem er die Mundharmonika vom Mund wegzieht und dramatisch einen großen, geschwollenen Schnurrbart zappelt.</v>
      </c>
    </row>
    <row r="17890">
      <c r="A17890" s="4" t="s">
        <v>22517</v>
      </c>
      <c r="B17890" s="4" t="s">
        <v>22518</v>
      </c>
      <c r="C17890" s="5" t="str">
        <f>IFERROR(__xludf.DUMMYFUNCTION("GOOGLETRANSLATE(B17890,""en"",""de"")"),"Ein Mann und ein Hund stehen auf einem Feld mit dem Hund, der zum Besitzer schaut.")</f>
        <v>Ein Mann und ein Hund stehen auf einem Feld mit dem Hund, der zum Besitzer schaut.</v>
      </c>
    </row>
    <row r="17891">
      <c r="A17891" s="4" t="s">
        <v>22517</v>
      </c>
      <c r="B17891" s="4" t="s">
        <v>22519</v>
      </c>
      <c r="C17891" s="5" t="str">
        <f>IFERROR(__xludf.DUMMYFUNCTION("GOOGLETRANSLATE(B17891,""en"",""de"")"),"Der Mann wirft eine Frisbee in die Ferne und der Hund jagt danach.")</f>
        <v>Der Mann wirft eine Frisbee in die Ferne und der Hund jagt danach.</v>
      </c>
    </row>
    <row r="17892">
      <c r="A17892" s="4" t="s">
        <v>22517</v>
      </c>
      <c r="B17892" s="4" t="s">
        <v>22520</v>
      </c>
      <c r="C17892" s="5" t="str">
        <f>IFERROR(__xludf.DUMMYFUNCTION("GOOGLETRANSLATE(B17892,""en"",""de"")"),"Der Hund greift nach dem Frisbee und rennt zum Mann zurück.")</f>
        <v>Der Hund greift nach dem Frisbee und rennt zum Mann zurück.</v>
      </c>
    </row>
    <row r="17893">
      <c r="A17893" s="4" t="s">
        <v>22521</v>
      </c>
      <c r="B17893" s="4" t="s">
        <v>22522</v>
      </c>
      <c r="C17893" s="5" t="str">
        <f>IFERROR(__xludf.DUMMYFUNCTION("GOOGLETRANSLATE(B17893,""en"",""de"")"),"Eine junge Frau ist in einem Fitnessstudio.")</f>
        <v>Eine junge Frau ist in einem Fitnessstudio.</v>
      </c>
    </row>
    <row r="17894">
      <c r="A17894" s="4" t="s">
        <v>22521</v>
      </c>
      <c r="B17894" s="4" t="s">
        <v>22523</v>
      </c>
      <c r="C17894" s="5" t="str">
        <f>IFERROR(__xludf.DUMMYFUNCTION("GOOGLETRANSLATE(B17894,""en"",""de"")"),"Sie sitzt auf einer Übungsmaschine, während sie mit der Kamera spricht.")</f>
        <v>Sie sitzt auf einer Übungsmaschine, während sie mit der Kamera spricht.</v>
      </c>
    </row>
    <row r="17895">
      <c r="A17895" s="4" t="s">
        <v>22521</v>
      </c>
      <c r="B17895" s="4" t="s">
        <v>22524</v>
      </c>
      <c r="C17895" s="5" t="str">
        <f>IFERROR(__xludf.DUMMYFUNCTION("GOOGLETRANSLATE(B17895,""en"",""de"")"),"Drei weitere Menschen sind in ihrer Nähe, ebenfalls auf Trainingsmaschinen.")</f>
        <v>Drei weitere Menschen sind in ihrer Nähe, ebenfalls auf Trainingsmaschinen.</v>
      </c>
    </row>
    <row r="17896">
      <c r="A17896" s="4" t="s">
        <v>22521</v>
      </c>
      <c r="B17896" s="4" t="s">
        <v>22525</v>
      </c>
      <c r="C17896" s="5" t="str">
        <f>IFERROR(__xludf.DUMMYFUNCTION("GOOGLETRANSLATE(B17896,""en"",""de"")"),"Die Frau beginnt dann die Trainingsmaschine zu benutzen.")</f>
        <v>Die Frau beginnt dann die Trainingsmaschine zu benutzen.</v>
      </c>
    </row>
    <row r="17897">
      <c r="A17897" s="4" t="s">
        <v>22521</v>
      </c>
      <c r="B17897" s="4" t="s">
        <v>22526</v>
      </c>
      <c r="C17897" s="5" t="str">
        <f>IFERROR(__xludf.DUMMYFUNCTION("GOOGLETRANSLATE(B17897,""en"",""de"")"),"Das Video endet damit, dass die Frau die Maschine anhält und in die Kamera lächelt.")</f>
        <v>Das Video endet damit, dass die Frau die Maschine anhält und in die Kamera lächelt.</v>
      </c>
    </row>
    <row r="17898">
      <c r="A17898" s="4" t="s">
        <v>22527</v>
      </c>
      <c r="B17898" s="4" t="s">
        <v>22528</v>
      </c>
      <c r="C17898" s="5" t="str">
        <f>IFERROR(__xludf.DUMMYFUNCTION("GOOGLETRANSLATE(B17898,""en"",""de"")"),"Ein Mann und eine Frau werden miteinander eine Tanzroutine auf einem Boden durchführen.")</f>
        <v>Ein Mann und eine Frau werden miteinander eine Tanzroutine auf einem Boden durchführen.</v>
      </c>
    </row>
    <row r="17899">
      <c r="A17899" s="4" t="s">
        <v>22527</v>
      </c>
      <c r="B17899" s="4" t="s">
        <v>22529</v>
      </c>
      <c r="C17899" s="5" t="str">
        <f>IFERROR(__xludf.DUMMYFUNCTION("GOOGLETRANSLATE(B17899,""en"",""de"")"),"Der Mann und die Frau sind auch in Schüssen zu sehen, die alleine tanzen und führt wieder zusammen in sie tanzen.")</f>
        <v>Der Mann und die Frau sind auch in Schüssen zu sehen, die alleine tanzen und führt wieder zusammen in sie tanzen.</v>
      </c>
    </row>
    <row r="17900">
      <c r="A17900" s="4" t="s">
        <v>22530</v>
      </c>
      <c r="B17900" s="4" t="s">
        <v>22531</v>
      </c>
      <c r="C17900" s="5" t="str">
        <f>IFERROR(__xludf.DUMMYFUNCTION("GOOGLETRANSLATE(B17900,""en"",""de"")"),"Ein Mädchen steht in einem Badezimmer und spricht mit der Kamera, während ein Mann sie filmt.")</f>
        <v>Ein Mädchen steht in einem Badezimmer und spricht mit der Kamera, während ein Mann sie filmt.</v>
      </c>
    </row>
    <row r="17901">
      <c r="A17901" s="4" t="s">
        <v>22530</v>
      </c>
      <c r="B17901" s="4" t="s">
        <v>22532</v>
      </c>
      <c r="C17901" s="5" t="str">
        <f>IFERROR(__xludf.DUMMYFUNCTION("GOOGLETRANSLATE(B17901,""en"",""de"")"),"Die Dame wischt sich ihr Augen -Make -up ab und wäscht ihr Gesicht.")</f>
        <v>Die Dame wischt sich ihr Augen -Make -up ab und wäscht ihr Gesicht.</v>
      </c>
    </row>
    <row r="17902">
      <c r="A17902" s="4" t="s">
        <v>22530</v>
      </c>
      <c r="B17902" s="4" t="s">
        <v>22533</v>
      </c>
      <c r="C17902" s="5" t="str">
        <f>IFERROR(__xludf.DUMMYFUNCTION("GOOGLETRANSLATE(B17902,""en"",""de"")"),"Die Dame spült die Seife von ihrem Gesicht.")</f>
        <v>Die Dame spült die Seife von ihrem Gesicht.</v>
      </c>
    </row>
    <row r="17903">
      <c r="A17903" s="4" t="s">
        <v>22530</v>
      </c>
      <c r="B17903" s="4" t="s">
        <v>22534</v>
      </c>
      <c r="C17903" s="5" t="str">
        <f>IFERROR(__xludf.DUMMYFUNCTION("GOOGLETRANSLATE(B17903,""en"",""de"")"),"Die Dame steht aufrecht und wischt ihr Gesicht mit ihren Händen, während sie lächelt.")</f>
        <v>Die Dame steht aufrecht und wischt ihr Gesicht mit ihren Händen, während sie lächelt.</v>
      </c>
    </row>
    <row r="17904">
      <c r="A17904" s="4" t="s">
        <v>22535</v>
      </c>
      <c r="B17904" s="4" t="s">
        <v>22536</v>
      </c>
      <c r="C17904" s="5" t="str">
        <f>IFERROR(__xludf.DUMMYFUNCTION("GOOGLETRANSLATE(B17904,""en"",""de"")"),"Ein Mann, der auf Metal -Stelzen spaziert, hüpft mit seiner rechten Hand einen Basketball, als ein Mann ihn auf Rollerblades in die entgegengesetzte Richtung gibt.")</f>
        <v>Ein Mann, der auf Metal -Stelzen spaziert, hüpft mit seiner rechten Hand einen Basketball, als ein Mann ihn auf Rollerblades in die entgegengesetzte Richtung gibt.</v>
      </c>
    </row>
    <row r="17905">
      <c r="A17905" s="4" t="s">
        <v>22535</v>
      </c>
      <c r="B17905" s="4" t="s">
        <v>22537</v>
      </c>
      <c r="C17905" s="5" t="str">
        <f>IFERROR(__xludf.DUMMYFUNCTION("GOOGLETRANSLATE(B17905,""en"",""de"")"),"Der Mann bei Stelzen dreht sich um, während er den Ball immer noch hüpft, verliert für ein wenig die Kontrolle, tritt aber auf und springt wieder.")</f>
        <v>Der Mann bei Stelzen dreht sich um, während er den Ball immer noch hüpft, verliert für ein wenig die Kontrolle, tritt aber auf und springt wieder.</v>
      </c>
    </row>
    <row r="17906">
      <c r="A17906" s="4" t="s">
        <v>22535</v>
      </c>
      <c r="B17906" s="4" t="s">
        <v>22538</v>
      </c>
      <c r="C17906" s="5" t="str">
        <f>IFERROR(__xludf.DUMMYFUNCTION("GOOGLETRANSLATE(B17906,""en"",""de"")"),"Der Mann packt dann den Basketball mit zwei Händen und tut vor, dass er ihn in Richtung Kamera werfen wird.")</f>
        <v>Der Mann packt dann den Basketball mit zwei Händen und tut vor, dass er ihn in Richtung Kamera werfen wird.</v>
      </c>
    </row>
    <row r="17907">
      <c r="A17907" s="4" t="s">
        <v>22539</v>
      </c>
      <c r="B17907" s="4" t="s">
        <v>22540</v>
      </c>
      <c r="C17907" s="5" t="str">
        <f>IFERROR(__xludf.DUMMYFUNCTION("GOOGLETRANSLATE(B17907,""en"",""de"")"),"Ein Schwimmbad wird in einem Raum gezeigt.")</f>
        <v>Ein Schwimmbad wird in einem Raum gezeigt.</v>
      </c>
    </row>
    <row r="17908">
      <c r="A17908" s="4" t="s">
        <v>22539</v>
      </c>
      <c r="B17908" s="4" t="s">
        <v>22541</v>
      </c>
      <c r="C17908" s="5" t="str">
        <f>IFERROR(__xludf.DUMMYFUNCTION("GOOGLETRANSLATE(B17908,""en"",""de"")"),"Männer werden gezeigt, die in den Pool springen und Runden schwimmen.")</f>
        <v>Männer werden gezeigt, die in den Pool springen und Runden schwimmen.</v>
      </c>
    </row>
    <row r="17909">
      <c r="A17909" s="4" t="s">
        <v>22542</v>
      </c>
      <c r="B17909" s="4" t="s">
        <v>1251</v>
      </c>
      <c r="C17909" s="5" t="str">
        <f>IFERROR(__xludf.DUMMYFUNCTION("GOOGLETRANSLATE(B17909,""en"",""de"")"),"Die Credits des Clips werden angezeigt.")</f>
        <v>Die Credits des Clips werden angezeigt.</v>
      </c>
    </row>
    <row r="17910">
      <c r="A17910" s="4" t="s">
        <v>22542</v>
      </c>
      <c r="B17910" s="4" t="s">
        <v>22543</v>
      </c>
      <c r="C17910" s="5" t="str">
        <f>IFERROR(__xludf.DUMMYFUNCTION("GOOGLETRANSLATE(B17910,""en"",""de"")"),"Autos bewegen sich auf einer Straße neben einem Haus.")</f>
        <v>Autos bewegen sich auf einer Straße neben einem Haus.</v>
      </c>
    </row>
    <row r="17911">
      <c r="A17911" s="4" t="s">
        <v>22542</v>
      </c>
      <c r="B17911" s="4" t="s">
        <v>22544</v>
      </c>
      <c r="C17911" s="5" t="str">
        <f>IFERROR(__xludf.DUMMYFUNCTION("GOOGLETRANSLATE(B17911,""en"",""de"")"),"Eine Person ist Machtwäsche.")</f>
        <v>Eine Person ist Machtwäsche.</v>
      </c>
    </row>
    <row r="17912">
      <c r="A17912" s="4" t="s">
        <v>22542</v>
      </c>
      <c r="B17912" s="4" t="s">
        <v>22545</v>
      </c>
      <c r="C17912" s="5" t="str">
        <f>IFERROR(__xludf.DUMMYFUNCTION("GOOGLETRANSLATE(B17912,""en"",""de"")"),"Die Person nimmt Wasser und Trümmer mit einem Vakuum auf.")</f>
        <v>Die Person nimmt Wasser und Trümmer mit einem Vakuum auf.</v>
      </c>
    </row>
    <row r="17913">
      <c r="A17913" s="4" t="s">
        <v>22542</v>
      </c>
      <c r="B17913" s="4" t="s">
        <v>22546</v>
      </c>
      <c r="C17913" s="5" t="str">
        <f>IFERROR(__xludf.DUMMYFUNCTION("GOOGLETRANSLATE(B17913,""en"",""de"")"),"Ein Mann malt die Wand, hellblau.")</f>
        <v>Ein Mann malt die Wand, hellblau.</v>
      </c>
    </row>
    <row r="17914">
      <c r="A17914" s="4" t="s">
        <v>22542</v>
      </c>
      <c r="B17914" s="4" t="s">
        <v>22547</v>
      </c>
      <c r="C17914" s="5" t="str">
        <f>IFERROR(__xludf.DUMMYFUNCTION("GOOGLETRANSLATE(B17914,""en"",""de"")"),"Der Mann malt die Wand und den Boden eines Daches, schwarz.")</f>
        <v>Der Mann malt die Wand und den Boden eines Daches, schwarz.</v>
      </c>
    </row>
    <row r="17915">
      <c r="A17915" s="4" t="s">
        <v>22542</v>
      </c>
      <c r="B17915" s="4" t="s">
        <v>573</v>
      </c>
      <c r="C17915" s="5" t="str">
        <f>IFERROR(__xludf.DUMMYFUNCTION("GOOGLETRANSLATE(B17915,""en"",""de"")"),"Die Credits des Videos werden angezeigt.")</f>
        <v>Die Credits des Videos werden angezeigt.</v>
      </c>
    </row>
    <row r="17916">
      <c r="A17916" s="4" t="s">
        <v>22548</v>
      </c>
      <c r="B17916" s="4" t="s">
        <v>1487</v>
      </c>
      <c r="C17916" s="5" t="str">
        <f>IFERROR(__xludf.DUMMYFUNCTION("GOOGLETRANSLATE(B17916,""en"",""de"")"),"Wir sehen einen Öffnungsbildschirm.")</f>
        <v>Wir sehen einen Öffnungsbildschirm.</v>
      </c>
    </row>
    <row r="17917">
      <c r="A17917" s="4" t="s">
        <v>22548</v>
      </c>
      <c r="B17917" s="4" t="s">
        <v>22549</v>
      </c>
      <c r="C17917" s="5" t="str">
        <f>IFERROR(__xludf.DUMMYFUNCTION("GOOGLETRANSLATE(B17917,""en"",""de"")"),"Ein Mann spielt Schlagzeug, während er Ohrhörer trägt.")</f>
        <v>Ein Mann spielt Schlagzeug, während er Ohrhörer trägt.</v>
      </c>
    </row>
    <row r="17918">
      <c r="A17918" s="4" t="s">
        <v>22548</v>
      </c>
      <c r="B17918" s="4" t="s">
        <v>22550</v>
      </c>
      <c r="C17918" s="5" t="str">
        <f>IFERROR(__xludf.DUMMYFUNCTION("GOOGLETRANSLATE(B17918,""en"",""de"")"),"Wir sehen die Füße des Mannes in der oberen Ecke.")</f>
        <v>Wir sehen die Füße des Mannes in der oberen Ecke.</v>
      </c>
    </row>
    <row r="17919">
      <c r="A17919" s="4" t="s">
        <v>22548</v>
      </c>
      <c r="B17919" s="4" t="s">
        <v>22551</v>
      </c>
      <c r="C17919" s="5" t="str">
        <f>IFERROR(__xludf.DUMMYFUNCTION("GOOGLETRANSLATE(B17919,""en"",""de"")"),"Die Füße der Mannes kehren in der Ecke zurück.")</f>
        <v>Die Füße der Mannes kehren in der Ecke zurück.</v>
      </c>
    </row>
    <row r="17920">
      <c r="A17920" s="4" t="s">
        <v>22548</v>
      </c>
      <c r="B17920" s="4" t="s">
        <v>22552</v>
      </c>
      <c r="C17920" s="5" t="str">
        <f>IFERROR(__xludf.DUMMYFUNCTION("GOOGLETRANSLATE(B17920,""en"",""de"")"),"Wir sehen, dass ein Spiel gespielt wird, bevor wir zum Schlagzeuger zurückkehren.")</f>
        <v>Wir sehen, dass ein Spiel gespielt wird, bevor wir zum Schlagzeuger zurückkehren.</v>
      </c>
    </row>
    <row r="17921">
      <c r="A17921" s="4" t="s">
        <v>22548</v>
      </c>
      <c r="B17921" s="4" t="s">
        <v>22553</v>
      </c>
      <c r="C17921" s="5" t="str">
        <f>IFERROR(__xludf.DUMMYFUNCTION("GOOGLETRANSLATE(B17921,""en"",""de"")"),"Wir sehen eine andere Szene aus dem Spiel.")</f>
        <v>Wir sehen eine andere Szene aus dem Spiel.</v>
      </c>
    </row>
    <row r="17922">
      <c r="A17922" s="4" t="s">
        <v>22548</v>
      </c>
      <c r="B17922" s="4" t="s">
        <v>22554</v>
      </c>
      <c r="C17922" s="5" t="str">
        <f>IFERROR(__xludf.DUMMYFUNCTION("GOOGLETRANSLATE(B17922,""en"",""de"")"),"Der Mann wirft und fängt einen seiner Drumsticks.")</f>
        <v>Der Mann wirft und fängt einen seiner Drumsticks.</v>
      </c>
    </row>
    <row r="17923">
      <c r="A17923" s="4" t="s">
        <v>22548</v>
      </c>
      <c r="B17923" s="4" t="s">
        <v>22555</v>
      </c>
      <c r="C17923" s="5" t="str">
        <f>IFERROR(__xludf.DUMMYFUNCTION("GOOGLETRANSLATE(B17923,""en"",""de"")"),"Wir sehen einen Abschlussbildschirm mit einer Website.")</f>
        <v>Wir sehen einen Abschlussbildschirm mit einer Website.</v>
      </c>
    </row>
    <row r="17924">
      <c r="A17924" s="4" t="s">
        <v>22556</v>
      </c>
      <c r="B17924" s="4" t="s">
        <v>22557</v>
      </c>
      <c r="C17924" s="5" t="str">
        <f>IFERROR(__xludf.DUMMYFUNCTION("GOOGLETRANSLATE(B17924,""en"",""de"")"),"Es ist ein Schuss von zwei Männern, die gemeinsam ein Arm -Wrestling -Match ausführen, während das Publikum jubelt.")</f>
        <v>Es ist ein Schuss von zwei Männern, die gemeinsam ein Arm -Wrestling -Match ausführen, während das Publikum jubelt.</v>
      </c>
    </row>
    <row r="17925">
      <c r="A17925" s="4" t="s">
        <v>22556</v>
      </c>
      <c r="B17925" s="4" t="s">
        <v>22558</v>
      </c>
      <c r="C17925" s="5" t="str">
        <f>IFERROR(__xludf.DUMMYFUNCTION("GOOGLETRANSLATE(B17925,""en"",""de"")"),"Ein Mann schlägt den anderen und die beiden halten ihre Arme hoch, um zu jubeln, und alle feiern.")</f>
        <v>Ein Mann schlägt den anderen und die beiden halten ihre Arme hoch, um zu jubeln, und alle feiern.</v>
      </c>
    </row>
    <row r="17926">
      <c r="A17926" s="4" t="s">
        <v>22556</v>
      </c>
      <c r="B17926" s="4" t="s">
        <v>22559</v>
      </c>
      <c r="C17926" s="5" t="str">
        <f>IFERROR(__xludf.DUMMYFUNCTION("GOOGLETRANSLATE(B17926,""en"",""de"")"),"Ein Mann im Publikum sieht enttäuschend aus und der Gewinner hält einen Jungen auf.")</f>
        <v>Ein Mann im Publikum sieht enttäuschend aus und der Gewinner hält einen Jungen auf.</v>
      </c>
    </row>
    <row r="17927">
      <c r="A17927" s="4" t="s">
        <v>22560</v>
      </c>
      <c r="B17927" s="4" t="s">
        <v>22561</v>
      </c>
      <c r="C17927" s="5" t="str">
        <f>IFERROR(__xludf.DUMMYFUNCTION("GOOGLETRANSLATE(B17927,""en"",""de"")"),"Ein Mann schaufelt die Innenseite einer Wassermelone.")</f>
        <v>Ein Mann schaufelt die Innenseite einer Wassermelone.</v>
      </c>
    </row>
    <row r="17928">
      <c r="A17928" s="4" t="s">
        <v>22560</v>
      </c>
      <c r="B17928" s="4" t="s">
        <v>22562</v>
      </c>
      <c r="C17928" s="5" t="str">
        <f>IFERROR(__xludf.DUMMYFUNCTION("GOOGLETRANSLATE(B17928,""en"",""de"")"),"Er isst ein Stück Wassermelone.")</f>
        <v>Er isst ein Stück Wassermelone.</v>
      </c>
    </row>
    <row r="17929">
      <c r="A17929" s="4" t="s">
        <v>22560</v>
      </c>
      <c r="B17929" s="4" t="s">
        <v>22563</v>
      </c>
      <c r="C17929" s="5" t="str">
        <f>IFERROR(__xludf.DUMMYFUNCTION("GOOGLETRANSLATE(B17929,""en"",""de"")"),"Er zieht auf die Seite der Wassermelone.")</f>
        <v>Er zieht auf die Seite der Wassermelone.</v>
      </c>
    </row>
    <row r="17930">
      <c r="A17930" s="4" t="s">
        <v>22560</v>
      </c>
      <c r="B17930" s="4" t="s">
        <v>22564</v>
      </c>
      <c r="C17930" s="5" t="str">
        <f>IFERROR(__xludf.DUMMYFUNCTION("GOOGLETRANSLATE(B17930,""en"",""de"")"),"Er beginnt Teile der Wassermelone auszuschneiden, um ihn zu schnitzen.")</f>
        <v>Er beginnt Teile der Wassermelone auszuschneiden, um ihn zu schnitzen.</v>
      </c>
    </row>
    <row r="17931">
      <c r="A17931" s="4" t="s">
        <v>22560</v>
      </c>
      <c r="B17931" s="4" t="s">
        <v>22565</v>
      </c>
      <c r="C17931" s="5" t="str">
        <f>IFERROR(__xludf.DUMMYFUNCTION("GOOGLETRANSLATE(B17931,""en"",""de"")"),"Er zieht ein Stück Wassermelonenhaut heraus.")</f>
        <v>Er zieht ein Stück Wassermelonenhaut heraus.</v>
      </c>
    </row>
    <row r="17932">
      <c r="A17932" s="4" t="s">
        <v>22560</v>
      </c>
      <c r="B17932" s="4" t="s">
        <v>22566</v>
      </c>
      <c r="C17932" s="5" t="str">
        <f>IFERROR(__xludf.DUMMYFUNCTION("GOOGLETRANSLATE(B17932,""en"",""de"")"),"Er zeichnet und schneidet die Wassermelone weiter.")</f>
        <v>Er zeichnet und schneidet die Wassermelone weiter.</v>
      </c>
    </row>
    <row r="17933">
      <c r="A17933" s="4" t="s">
        <v>22560</v>
      </c>
      <c r="B17933" s="4" t="s">
        <v>22567</v>
      </c>
      <c r="C17933" s="5" t="str">
        <f>IFERROR(__xludf.DUMMYFUNCTION("GOOGLETRANSLATE(B17933,""en"",""de"")"),"Er zeigt die geschnitzte Wassermelone.")</f>
        <v>Er zeigt die geschnitzte Wassermelone.</v>
      </c>
    </row>
    <row r="17934">
      <c r="A17934" s="4" t="s">
        <v>22560</v>
      </c>
      <c r="B17934" s="4" t="s">
        <v>22568</v>
      </c>
      <c r="C17934" s="5" t="str">
        <f>IFERROR(__xludf.DUMMYFUNCTION("GOOGLETRANSLATE(B17934,""en"",""de"")"),"Die Lichter schalten sich aus und er zeigt die geschnitzte Wassermelone.")</f>
        <v>Die Lichter schalten sich aus und er zeigt die geschnitzte Wassermelone.</v>
      </c>
    </row>
    <row r="17935">
      <c r="A17935" s="4" t="s">
        <v>22569</v>
      </c>
      <c r="B17935" s="4" t="s">
        <v>22570</v>
      </c>
      <c r="C17935" s="5" t="str">
        <f>IFERROR(__xludf.DUMMYFUNCTION("GOOGLETRANSLATE(B17935,""en"",""de"")"),"Zwei Mädchen drehen doppelte Sprungseile, während ein Mädchen in einem schwarzen Rock springt und eine Menge von Zuschauern weitergeht.")</f>
        <v>Zwei Mädchen drehen doppelte Sprungseile, während ein Mädchen in einem schwarzen Rock springt und eine Menge von Zuschauern weitergeht.</v>
      </c>
    </row>
    <row r="17936">
      <c r="A17936" s="4" t="s">
        <v>22569</v>
      </c>
      <c r="B17936" s="4" t="s">
        <v>22571</v>
      </c>
      <c r="C17936" s="5" t="str">
        <f>IFERROR(__xludf.DUMMYFUNCTION("GOOGLETRANSLATE(B17936,""en"",""de"")"),"Ein Mädchen in Jeans betritt die Seile und führt unterschiedliche Sprungbewegungen durch.")</f>
        <v>Ein Mädchen in Jeans betritt die Seile und führt unterschiedliche Sprungbewegungen durch.</v>
      </c>
    </row>
    <row r="17937">
      <c r="A17937" s="4" t="s">
        <v>22569</v>
      </c>
      <c r="B17937" s="4" t="s">
        <v>22572</v>
      </c>
      <c r="C17937" s="5" t="str">
        <f>IFERROR(__xludf.DUMMYFUNCTION("GOOGLETRANSLATE(B17937,""en"",""de"")"),"Ein Mädchen in einem blauen Hemd betritt die Sprungseile und führt beim Springen unterschiedliche Bewegungen durch.")</f>
        <v>Ein Mädchen in einem blauen Hemd betritt die Sprungseile und führt beim Springen unterschiedliche Bewegungen durch.</v>
      </c>
    </row>
    <row r="17938">
      <c r="A17938" s="4" t="s">
        <v>22569</v>
      </c>
      <c r="B17938" s="4" t="s">
        <v>22573</v>
      </c>
      <c r="C17938" s="5" t="str">
        <f>IFERROR(__xludf.DUMMYFUNCTION("GOOGLETRANSLATE(B17938,""en"",""de"")"),"Ein Mädchen betritt die Sprungseile besonders schnell und führt schnelle Sprünge durch.")</f>
        <v>Ein Mädchen betritt die Sprungseile besonders schnell und führt schnelle Sprünge durch.</v>
      </c>
    </row>
    <row r="17939">
      <c r="A17939" s="4" t="s">
        <v>22574</v>
      </c>
      <c r="B17939" s="4" t="s">
        <v>22575</v>
      </c>
      <c r="C17939" s="5" t="str">
        <f>IFERROR(__xludf.DUMMYFUNCTION("GOOGLETRANSLATE(B17939,""en"",""de"")"),"Ein Mann in einem Gorilla -Anzug spielt mitten in einem Geschäft ein Saxophon.")</f>
        <v>Ein Mann in einem Gorilla -Anzug spielt mitten in einem Geschäft ein Saxophon.</v>
      </c>
    </row>
    <row r="17940">
      <c r="A17940" s="4" t="s">
        <v>22574</v>
      </c>
      <c r="B17940" s="4" t="s">
        <v>22576</v>
      </c>
      <c r="C17940" s="5" t="str">
        <f>IFERROR(__xludf.DUMMYFUNCTION("GOOGLETRANSLATE(B17940,""en"",""de"")"),"Die Mitarbeiter schauen zu und lachen über die Person, die spielt und ihre Telefone nutzt, um Fotos zu machen.")</f>
        <v>Die Mitarbeiter schauen zu und lachen über die Person, die spielt und ihre Telefone nutzt, um Fotos zu machen.</v>
      </c>
    </row>
    <row r="17941">
      <c r="A17941" s="4" t="s">
        <v>22574</v>
      </c>
      <c r="B17941" s="4" t="s">
        <v>22577</v>
      </c>
      <c r="C17941" s="5" t="str">
        <f>IFERROR(__xludf.DUMMYFUNCTION("GOOGLETRANSLATE(B17941,""en"",""de"")"),"Die Gorillas greifen nach einem der Angestellten und dem Mann schämen sich sehr.")</f>
        <v>Die Gorillas greifen nach einem der Angestellten und dem Mann schämen sich sehr.</v>
      </c>
    </row>
    <row r="17942">
      <c r="A17942" s="4" t="s">
        <v>22574</v>
      </c>
      <c r="B17942" s="4" t="s">
        <v>22578</v>
      </c>
      <c r="C17942" s="5" t="str">
        <f>IFERROR(__xludf.DUMMYFUNCTION("GOOGLETRANSLATE(B17942,""en"",""de"")"),"Sie sprechen ein bisschen miteinander und die anderen Mitarbeiter beginnen aufgeregt zu klatschen.")</f>
        <v>Sie sprechen ein bisschen miteinander und die anderen Mitarbeiter beginnen aufgeregt zu klatschen.</v>
      </c>
    </row>
    <row r="17943">
      <c r="A17943" s="4" t="s">
        <v>22574</v>
      </c>
      <c r="B17943" s="4" t="s">
        <v>22579</v>
      </c>
      <c r="C17943" s="5" t="str">
        <f>IFERROR(__xludf.DUMMYFUNCTION("GOOGLETRANSLATE(B17943,""en"",""de"")"),"Der Mann des Gorilla -Anzugs spielt den Saxophon noch mehr, da jeder noch lacht.")</f>
        <v>Der Mann des Gorilla -Anzugs spielt den Saxophon noch mehr, da jeder noch lacht.</v>
      </c>
    </row>
    <row r="17944">
      <c r="A17944" s="4" t="s">
        <v>22574</v>
      </c>
      <c r="B17944" s="4" t="s">
        <v>22580</v>
      </c>
      <c r="C17944" s="5" t="str">
        <f>IFERROR(__xludf.DUMMYFUNCTION("GOOGLETRANSLATE(B17944,""en"",""de"")"),"Er spielt und spielt in die Kamera, wenn das Video zu Ende geht.")</f>
        <v>Er spielt und spielt in die Kamera, wenn das Video zu Ende geht.</v>
      </c>
    </row>
    <row r="17945">
      <c r="A17945" s="4" t="s">
        <v>22581</v>
      </c>
      <c r="B17945" s="4" t="s">
        <v>22582</v>
      </c>
      <c r="C17945" s="5" t="str">
        <f>IFERROR(__xludf.DUMMYFUNCTION("GOOGLETRANSLATE(B17945,""en"",""de"")"),"Die Leute ringen auf einer Matte.")</f>
        <v>Die Leute ringen auf einer Matte.</v>
      </c>
    </row>
    <row r="17946">
      <c r="A17946" s="4" t="s">
        <v>22581</v>
      </c>
      <c r="B17946" s="4" t="s">
        <v>22583</v>
      </c>
      <c r="C17946" s="5" t="str">
        <f>IFERROR(__xludf.DUMMYFUNCTION("GOOGLETRANSLATE(B17946,""en"",""de"")"),"Die Leute spielen Schlagzeug.")</f>
        <v>Die Leute spielen Schlagzeug.</v>
      </c>
    </row>
    <row r="17947">
      <c r="A17947" s="4" t="s">
        <v>22581</v>
      </c>
      <c r="B17947" s="4" t="s">
        <v>22584</v>
      </c>
      <c r="C17947" s="5" t="str">
        <f>IFERROR(__xludf.DUMMYFUNCTION("GOOGLETRANSLATE(B17947,""en"",""de"")"),"Sumo -Wrestler sprechen mit der Kamera.")</f>
        <v>Sumo -Wrestler sprechen mit der Kamera.</v>
      </c>
    </row>
    <row r="17948">
      <c r="A17948" s="4" t="s">
        <v>22585</v>
      </c>
      <c r="B17948" s="4" t="s">
        <v>22586</v>
      </c>
      <c r="C17948" s="5" t="str">
        <f>IFERROR(__xludf.DUMMYFUNCTION("GOOGLETRANSLATE(B17948,""en"",""de"")"),"Eine kleine Gruppe von Menschen wird gesehen, wie sie um Stoßstangenautos fahren und gegenseitig gegeneinander kracht.")</f>
        <v>Eine kleine Gruppe von Menschen wird gesehen, wie sie um Stoßstangenautos fahren und gegenseitig gegeneinander kracht.</v>
      </c>
    </row>
    <row r="17949">
      <c r="A17949" s="4" t="s">
        <v>22585</v>
      </c>
      <c r="B17949" s="4" t="s">
        <v>22587</v>
      </c>
      <c r="C17949" s="5" t="str">
        <f>IFERROR(__xludf.DUMMYFUNCTION("GOOGLETRANSLATE(B17949,""en"",""de"")"),"Die Gruppe fährt weiter herum und geht gegenseitig vorbei.")</f>
        <v>Die Gruppe fährt weiter herum und geht gegenseitig vorbei.</v>
      </c>
    </row>
    <row r="17950">
      <c r="A17950" s="4" t="s">
        <v>22585</v>
      </c>
      <c r="B17950" s="4" t="s">
        <v>22588</v>
      </c>
      <c r="C17950" s="5" t="str">
        <f>IFERROR(__xludf.DUMMYFUNCTION("GOOGLETRANSLATE(B17950,""en"",""de"")"),"Die Leute fahren weiterhin die Autos und passieren sich gegenseitig.")</f>
        <v>Die Leute fahren weiterhin die Autos und passieren sich gegenseitig.</v>
      </c>
    </row>
    <row r="17951">
      <c r="A17951" s="4" t="s">
        <v>22589</v>
      </c>
      <c r="B17951" s="4" t="s">
        <v>22590</v>
      </c>
      <c r="C17951" s="5" t="str">
        <f>IFERROR(__xludf.DUMMYFUNCTION("GOOGLETRANSLATE(B17951,""en"",""de"")"),"Ein Teenager und seine Mutter sitzen sehr entspannt im Bett und sprechen darüber, wie man Geschenke einpackt.")</f>
        <v>Ein Teenager und seine Mutter sitzen sehr entspannt im Bett und sprechen darüber, wie man Geschenke einpackt.</v>
      </c>
    </row>
    <row r="17952">
      <c r="A17952" s="4" t="s">
        <v>22589</v>
      </c>
      <c r="B17952" s="4" t="s">
        <v>22591</v>
      </c>
      <c r="C17952" s="5" t="str">
        <f>IFERROR(__xludf.DUMMYFUNCTION("GOOGLETRANSLATE(B17952,""en"",""de"")"),"Er wird auf seinem Handy auf der Seite verfolgt und kehrt dann wieder zum Geschäft. Sie fangen an, das Verpackungspapier zu schneiden.")</f>
        <v>Er wird auf seinem Handy auf der Seite verfolgt und kehrt dann wieder zum Geschäft. Sie fangen an, das Verpackungspapier zu schneiden.</v>
      </c>
    </row>
    <row r="17953">
      <c r="A17953" s="4" t="s">
        <v>22589</v>
      </c>
      <c r="B17953" s="4" t="s">
        <v>22592</v>
      </c>
      <c r="C17953" s="5" t="str">
        <f>IFERROR(__xludf.DUMMYFUNCTION("GOOGLETRANSLATE(B17953,""en"",""de"")"),"Sie setzen die Geschenke in die Mitte des Papiers und versuchen, mit dem Wickeln zu beginnen.")</f>
        <v>Sie setzen die Geschenke in die Mitte des Papiers und versuchen, mit dem Wickeln zu beginnen.</v>
      </c>
    </row>
    <row r="17954">
      <c r="A17954" s="4" t="s">
        <v>22589</v>
      </c>
      <c r="B17954" s="4" t="s">
        <v>22593</v>
      </c>
      <c r="C17954" s="5" t="str">
        <f>IFERROR(__xludf.DUMMYFUNCTION("GOOGLETRANSLATE(B17954,""en"",""de"")"),"Sie scheinen unterschiedliche Techniken zu haben, da der Sohn viel schneller fertig ist und Mamas ein bisschen besser aussieht.")</f>
        <v>Sie scheinen unterschiedliche Techniken zu haben, da der Sohn viel schneller fertig ist und Mamas ein bisschen besser aussieht.</v>
      </c>
    </row>
    <row r="17955">
      <c r="A17955" s="4" t="s">
        <v>22594</v>
      </c>
      <c r="B17955" s="4" t="s">
        <v>22595</v>
      </c>
      <c r="C17955" s="5" t="str">
        <f>IFERROR(__xludf.DUMMYFUNCTION("GOOGLETRANSLATE(B17955,""en"",""de"")"),"Eine Frau ist in einem Stall mit einem weißen Pferd.")</f>
        <v>Eine Frau ist in einem Stall mit einem weißen Pferd.</v>
      </c>
    </row>
    <row r="17956">
      <c r="A17956" s="4" t="s">
        <v>22594</v>
      </c>
      <c r="B17956" s="4" t="s">
        <v>22596</v>
      </c>
      <c r="C17956" s="5" t="str">
        <f>IFERROR(__xludf.DUMMYFUNCTION("GOOGLETRANSLATE(B17956,""en"",""de"")"),"Sie zeigt eine Sammlung von Pinsel und Pflegevorräten.")</f>
        <v>Sie zeigt eine Sammlung von Pinsel und Pflegevorräten.</v>
      </c>
    </row>
    <row r="17957">
      <c r="A17957" s="4" t="s">
        <v>22594</v>
      </c>
      <c r="B17957" s="4" t="s">
        <v>22597</v>
      </c>
      <c r="C17957" s="5" t="str">
        <f>IFERROR(__xludf.DUMMYFUNCTION("GOOGLETRANSLATE(B17957,""en"",""de"")"),"Sie streichelt das Pferd, während sie spricht, und versucht, ihn ruhig zu halten.")</f>
        <v>Sie streichelt das Pferd, während sie spricht, und versucht, ihn ruhig zu halten.</v>
      </c>
    </row>
    <row r="17958">
      <c r="A17958" s="4" t="s">
        <v>22594</v>
      </c>
      <c r="B17958" s="4" t="s">
        <v>22598</v>
      </c>
      <c r="C17958" s="5" t="str">
        <f>IFERROR(__xludf.DUMMYFUNCTION("GOOGLETRANSLATE(B17958,""en"",""de"")"),"Sie benutzt die Pinsel, um ihn gründlich zu pflegen, und reinigt dann seine Hufe.")</f>
        <v>Sie benutzt die Pinsel, um ihn gründlich zu pflegen, und reinigt dann seine Hufe.</v>
      </c>
    </row>
    <row r="17959">
      <c r="A17959" s="4" t="s">
        <v>22599</v>
      </c>
      <c r="B17959" s="4" t="s">
        <v>22600</v>
      </c>
      <c r="C17959" s="5" t="str">
        <f>IFERROR(__xludf.DUMMYFUNCTION("GOOGLETRANSLATE(B17959,""en"",""de"")"),"Eine kleine Gruppe von Menschen sitzt an einem Pokertisch mit einer Frau, die Karten vor Ort handelt.")</f>
        <v>Eine kleine Gruppe von Menschen sitzt an einem Pokertisch mit einer Frau, die Karten vor Ort handelt.</v>
      </c>
    </row>
    <row r="17960">
      <c r="A17960" s="4" t="s">
        <v>22599</v>
      </c>
      <c r="B17960" s="4" t="s">
        <v>22601</v>
      </c>
      <c r="C17960" s="5" t="str">
        <f>IFERROR(__xludf.DUMMYFUNCTION("GOOGLETRANSLATE(B17960,""en"",""de"")"),"Die Frau befasst sich mit Karten mit den Menschen, während sie ihre Karten und Chips in die Mitte stecken.")</f>
        <v>Die Frau befasst sich mit Karten mit den Menschen, während sie ihre Karten und Chips in die Mitte stecken.</v>
      </c>
    </row>
    <row r="17961">
      <c r="A17961" s="4" t="s">
        <v>22599</v>
      </c>
      <c r="B17961" s="4" t="s">
        <v>22602</v>
      </c>
      <c r="C17961" s="5" t="str">
        <f>IFERROR(__xludf.DUMMYFUNCTION("GOOGLETRANSLATE(B17961,""en"",""de"")"),"Der Händler spielt weiter mit den Menschen und schaut in die Ferne.")</f>
        <v>Der Händler spielt weiter mit den Menschen und schaut in die Ferne.</v>
      </c>
    </row>
    <row r="17962">
      <c r="A17962" s="4" t="s">
        <v>22603</v>
      </c>
      <c r="B17962" s="4" t="s">
        <v>22604</v>
      </c>
      <c r="C17962" s="5" t="str">
        <f>IFERROR(__xludf.DUMMYFUNCTION("GOOGLETRANSLATE(B17962,""en"",""de"")"),"Wir sehen eine animierte Eröffnungsszene.")</f>
        <v>Wir sehen eine animierte Eröffnungsszene.</v>
      </c>
    </row>
    <row r="17963">
      <c r="A17963" s="4" t="s">
        <v>22603</v>
      </c>
      <c r="B17963" s="4" t="s">
        <v>22605</v>
      </c>
      <c r="C17963" s="5" t="str">
        <f>IFERROR(__xludf.DUMMYFUNCTION("GOOGLETRANSLATE(B17963,""en"",""de"")"),"Wir sehen, wie man Man mit einer Stange rennt und einen Hochsprung ausführt.")</f>
        <v>Wir sehen, wie man Man mit einer Stange rennt und einen Hochsprung ausführt.</v>
      </c>
    </row>
    <row r="17964">
      <c r="A17964" s="4" t="s">
        <v>22603</v>
      </c>
      <c r="B17964" s="4" t="s">
        <v>22606</v>
      </c>
      <c r="C17964" s="5" t="str">
        <f>IFERROR(__xludf.DUMMYFUNCTION("GOOGLETRANSLATE(B17964,""en"",""de"")"),"Der Mann schlägt die Stange nieder und legt sich enttäuscht.")</f>
        <v>Der Mann schlägt die Stange nieder und legt sich enttäuscht.</v>
      </c>
    </row>
    <row r="17965">
      <c r="A17965" s="4" t="s">
        <v>22603</v>
      </c>
      <c r="B17965" s="4" t="s">
        <v>22607</v>
      </c>
      <c r="C17965" s="5" t="str">
        <f>IFERROR(__xludf.DUMMYFUNCTION("GOOGLETRANSLATE(B17965,""en"",""de"")"),"Wir sehen den Mann, der seine Stange hält und seinen zweiten Versuch über die Stange klopft.")</f>
        <v>Wir sehen den Mann, der seine Stange hält und seinen zweiten Versuch über die Stange klopft.</v>
      </c>
    </row>
    <row r="17966">
      <c r="A17966" s="4" t="s">
        <v>22603</v>
      </c>
      <c r="B17966" s="4" t="s">
        <v>22608</v>
      </c>
      <c r="C17966" s="5" t="str">
        <f>IFERROR(__xludf.DUMMYFUNCTION("GOOGLETRANSLATE(B17966,""en"",""de"")"),"Der Mann versucht ein drittes Mal und die Stangen bleiben auf.")</f>
        <v>Der Mann versucht ein drittes Mal und die Stangen bleiben auf.</v>
      </c>
    </row>
    <row r="17967">
      <c r="A17967" s="4" t="s">
        <v>22603</v>
      </c>
      <c r="B17967" s="4" t="s">
        <v>22609</v>
      </c>
      <c r="C17967" s="5" t="str">
        <f>IFERROR(__xludf.DUMMYFUNCTION("GOOGLETRANSLATE(B17967,""en"",""de"")"),"Der Mann hebt seine Arme in der Luft.")</f>
        <v>Der Mann hebt seine Arme in der Luft.</v>
      </c>
    </row>
    <row r="17968">
      <c r="A17968" s="4" t="s">
        <v>22603</v>
      </c>
      <c r="B17968" s="4" t="s">
        <v>22610</v>
      </c>
      <c r="C17968" s="5" t="str">
        <f>IFERROR(__xludf.DUMMYFUNCTION("GOOGLETRANSLATE(B17968,""en"",""de"")"),"Wir sehen dann wieder Versuch 1,2 und 3.")</f>
        <v>Wir sehen dann wieder Versuch 1,2 und 3.</v>
      </c>
    </row>
    <row r="17969">
      <c r="A17969" s="4" t="s">
        <v>22603</v>
      </c>
      <c r="B17969" s="4" t="s">
        <v>22611</v>
      </c>
      <c r="C17969" s="5" t="str">
        <f>IFERROR(__xludf.DUMMYFUNCTION("GOOGLETRANSLATE(B17969,""en"",""de"")"),"Der Mann hebt seine Arme in der Luft für die Menge.")</f>
        <v>Der Mann hebt seine Arme in der Luft für die Menge.</v>
      </c>
    </row>
    <row r="17970">
      <c r="A17970" s="4" t="s">
        <v>22603</v>
      </c>
      <c r="B17970" s="4" t="s">
        <v>22612</v>
      </c>
      <c r="C17970" s="5" t="str">
        <f>IFERROR(__xludf.DUMMYFUNCTION("GOOGLETRANSLATE(B17970,""en"",""de"")"),"Der Mann wirft seine Arme in die Luft und fällt zu Boden.")</f>
        <v>Der Mann wirft seine Arme in die Luft und fällt zu Boden.</v>
      </c>
    </row>
    <row r="17971">
      <c r="A17971" s="4" t="s">
        <v>22613</v>
      </c>
      <c r="B17971" s="4" t="s">
        <v>22614</v>
      </c>
      <c r="C17971" s="5" t="str">
        <f>IFERROR(__xludf.DUMMYFUNCTION("GOOGLETRANSLATE(B17971,""en"",""de"")"),"Ein Mann in einem schwarzen Hemd sitzt ein Drum -Set.")</f>
        <v>Ein Mann in einem schwarzen Hemd sitzt ein Drum -Set.</v>
      </c>
    </row>
    <row r="17972">
      <c r="A17972" s="4" t="s">
        <v>22613</v>
      </c>
      <c r="B17972" s="4" t="s">
        <v>22615</v>
      </c>
      <c r="C17972" s="5" t="str">
        <f>IFERROR(__xludf.DUMMYFUNCTION("GOOGLETRANSLATE(B17972,""en"",""de"")"),"Er hört auf zu spielen und beginnt in ein Mikrofon zu sprechen.")</f>
        <v>Er hört auf zu spielen und beginnt in ein Mikrofon zu sprechen.</v>
      </c>
    </row>
    <row r="17973">
      <c r="A17973" s="4" t="s">
        <v>22616</v>
      </c>
      <c r="B17973" s="4" t="s">
        <v>22617</v>
      </c>
      <c r="C17973" s="5" t="str">
        <f>IFERROR(__xludf.DUMMYFUNCTION("GOOGLETRANSLATE(B17973,""en"",""de"")"),"Ein Mann schaufelt Schnee von seiner Einfahrt in einem schweren Schneesturm.")</f>
        <v>Ein Mann schaufelt Schnee von seiner Einfahrt in einem schweren Schneesturm.</v>
      </c>
    </row>
    <row r="17974">
      <c r="A17974" s="4" t="s">
        <v>22616</v>
      </c>
      <c r="B17974" s="4" t="s">
        <v>22618</v>
      </c>
      <c r="C17974" s="5" t="str">
        <f>IFERROR(__xludf.DUMMYFUNCTION("GOOGLETRANSLATE(B17974,""en"",""de"")"),"Er trägt Winterkleidung und seine voll bedeckte.")</f>
        <v>Er trägt Winterkleidung und seine voll bedeckte.</v>
      </c>
    </row>
    <row r="17975">
      <c r="A17975" s="4" t="s">
        <v>22616</v>
      </c>
      <c r="B17975" s="4" t="s">
        <v>22619</v>
      </c>
      <c r="C17975" s="5" t="str">
        <f>IFERROR(__xludf.DUMMYFUNCTION("GOOGLETRANSLATE(B17975,""en"",""de"")"),"Ein anderer Mann schaufelt auch Schnee aus dem Fußweg des Hauses trägt keine Winterausrüstung.")</f>
        <v>Ein anderer Mann schaufelt auch Schnee aus dem Fußweg des Hauses trägt keine Winterausrüstung.</v>
      </c>
    </row>
    <row r="17976">
      <c r="A17976" s="4" t="s">
        <v>22616</v>
      </c>
      <c r="B17976" s="4" t="s">
        <v>22620</v>
      </c>
      <c r="C17976" s="5" t="str">
        <f>IFERROR(__xludf.DUMMYFUNCTION("GOOGLETRANSLATE(B17976,""en"",""de"")"),"Beide schaufeln und reinigen den Schnee im schweren Schneesturm.")</f>
        <v>Beide schaufeln und reinigen den Schnee im schweren Schneesturm.</v>
      </c>
    </row>
    <row r="17977">
      <c r="A17977" s="4" t="s">
        <v>22621</v>
      </c>
      <c r="B17977" s="4" t="s">
        <v>22622</v>
      </c>
      <c r="C17977" s="5" t="str">
        <f>IFERROR(__xludf.DUMMYFUNCTION("GOOGLETRANSLATE(B17977,""en"",""de"")"),"Eine Frau sitzt vor einem Tisch, der mit Verpackungsbedarf bedeckt ist.")</f>
        <v>Eine Frau sitzt vor einem Tisch, der mit Verpackungsbedarf bedeckt ist.</v>
      </c>
    </row>
    <row r="17978">
      <c r="A17978" s="4" t="s">
        <v>22621</v>
      </c>
      <c r="B17978" s="4" t="s">
        <v>22623</v>
      </c>
      <c r="C17978" s="5" t="str">
        <f>IFERROR(__xludf.DUMMYFUNCTION("GOOGLETRANSLATE(B17978,""en"",""de"")"),"Sie zeigt einen Becher voller Geschenke.")</f>
        <v>Sie zeigt einen Becher voller Geschenke.</v>
      </c>
    </row>
    <row r="17979">
      <c r="A17979" s="4" t="s">
        <v>22621</v>
      </c>
      <c r="B17979" s="4" t="s">
        <v>22624</v>
      </c>
      <c r="C17979" s="5" t="str">
        <f>IFERROR(__xludf.DUMMYFUNCTION("GOOGLETRANSLATE(B17979,""en"",""de"")"),"Sie platziert es in geschnittenes Cellophan, die es um die Gegenwart wickelt.")</f>
        <v>Sie platziert es in geschnittenes Cellophan, die es um die Gegenwart wickelt.</v>
      </c>
    </row>
    <row r="17980">
      <c r="A17980" s="4" t="s">
        <v>22621</v>
      </c>
      <c r="B17980" s="4" t="s">
        <v>22625</v>
      </c>
      <c r="C17980" s="5" t="str">
        <f>IFERROR(__xludf.DUMMYFUNCTION("GOOGLETRANSLATE(B17980,""en"",""de"")"),"Sie bindet es dann mit farbenfrohen Bändern.")</f>
        <v>Sie bindet es dann mit farbenfrohen Bändern.</v>
      </c>
    </row>
    <row r="17981">
      <c r="A17981" s="4" t="s">
        <v>22626</v>
      </c>
      <c r="B17981" s="4" t="s">
        <v>22627</v>
      </c>
      <c r="C17981" s="5" t="str">
        <f>IFERROR(__xludf.DUMMYFUNCTION("GOOGLETRANSLATE(B17981,""en"",""de"")"),"Ein männlicher Athlet wird gezeigt und er dreht sich herum und wirft den Diskus.")</f>
        <v>Ein männlicher Athlet wird gezeigt und er dreht sich herum und wirft den Diskus.</v>
      </c>
    </row>
    <row r="17982">
      <c r="A17982" s="4" t="s">
        <v>22626</v>
      </c>
      <c r="B17982" s="4" t="s">
        <v>22628</v>
      </c>
      <c r="C17982" s="5" t="str">
        <f>IFERROR(__xludf.DUMMYFUNCTION("GOOGLETRANSLATE(B17982,""en"",""de"")"),"Sobald zwei Personen abgeschlossen sind, eilen sie heraus, um die Entfernung zu messen.")</f>
        <v>Sobald zwei Personen abgeschlossen sind, eilen sie heraus, um die Entfernung zu messen.</v>
      </c>
    </row>
    <row r="17983">
      <c r="A17983" s="4" t="s">
        <v>22626</v>
      </c>
      <c r="B17983" s="4" t="s">
        <v>22629</v>
      </c>
      <c r="C17983" s="5" t="str">
        <f>IFERROR(__xludf.DUMMYFUNCTION("GOOGLETRANSLATE(B17983,""en"",""de"")"),"Die Sequenz wird dann fortgesetzt und andere Männer werden gezeigt, wie sie den Diskus werfen.")</f>
        <v>Die Sequenz wird dann fortgesetzt und andere Männer werden gezeigt, wie sie den Diskus werfen.</v>
      </c>
    </row>
    <row r="17984">
      <c r="A17984" s="4" t="s">
        <v>22630</v>
      </c>
      <c r="B17984" s="4" t="s">
        <v>22631</v>
      </c>
      <c r="C17984" s="5" t="str">
        <f>IFERROR(__xludf.DUMMYFUNCTION("GOOGLETRANSLATE(B17984,""en"",""de"")"),"Eine Person wird gesehen, die einen Rasenmäher rund um einen Hof drückt, während sie sich schnell bewegt.")</f>
        <v>Eine Person wird gesehen, die einen Rasenmäher rund um einen Hof drückt, während sie sich schnell bewegt.</v>
      </c>
    </row>
    <row r="17985">
      <c r="A17985" s="4" t="s">
        <v>22630</v>
      </c>
      <c r="B17985" s="4" t="s">
        <v>22632</v>
      </c>
      <c r="C17985" s="5" t="str">
        <f>IFERROR(__xludf.DUMMYFUNCTION("GOOGLETRANSLATE(B17985,""en"",""de"")"),"Die Person bewegt sich weiter, um das Gras zu schneiden, und die Kamera fängt seine Bewegungen ein.")</f>
        <v>Die Person bewegt sich weiter, um das Gras zu schneiden, und die Kamera fängt seine Bewegungen ein.</v>
      </c>
    </row>
    <row r="17986">
      <c r="A17986" s="4" t="s">
        <v>22633</v>
      </c>
      <c r="B17986" s="4" t="s">
        <v>22634</v>
      </c>
      <c r="C17986" s="5" t="str">
        <f>IFERROR(__xludf.DUMMYFUNCTION("GOOGLETRANSLATE(B17986,""en"",""de"")"),"Eine Person wird gesehen, wie er sich einen Bowlingkugel schnappt und seinen Arm gewohnt hat, während andere Leute um ihn herum rollen.")</f>
        <v>Eine Person wird gesehen, wie er sich einen Bowlingkugel schnappt und seinen Arm gewohnt hat, während andere Leute um ihn herum rollen.</v>
      </c>
    </row>
    <row r="17987">
      <c r="A17987" s="4" t="s">
        <v>22633</v>
      </c>
      <c r="B17987" s="4" t="s">
        <v>22635</v>
      </c>
      <c r="C17987" s="5" t="str">
        <f>IFERROR(__xludf.DUMMYFUNCTION("GOOGLETRANSLATE(B17987,""en"",""de"")"),"Der Mann wirft den Ball und trifft mehrere Stifte, während er zurückläuft und der Kamera anfeuert.")</f>
        <v>Der Mann wirft den Ball und trifft mehrere Stifte, während er zurückläuft und der Kamera anfeuert.</v>
      </c>
    </row>
    <row r="17988">
      <c r="A17988" s="4" t="s">
        <v>22636</v>
      </c>
      <c r="B17988" s="4" t="s">
        <v>22637</v>
      </c>
      <c r="C17988" s="5" t="str">
        <f>IFERROR(__xludf.DUMMYFUNCTION("GOOGLETRANSLATE(B17988,""en"",""de"")"),"Ein junger Mann sitzt auf einer Cardio -Maschine.")</f>
        <v>Ein junger Mann sitzt auf einer Cardio -Maschine.</v>
      </c>
    </row>
    <row r="17989">
      <c r="A17989" s="4" t="s">
        <v>22636</v>
      </c>
      <c r="B17989" s="4" t="s">
        <v>22638</v>
      </c>
      <c r="C17989" s="5" t="str">
        <f>IFERROR(__xludf.DUMMYFUNCTION("GOOGLETRANSLATE(B17989,""en"",""de"")"),"Dann graniert der Mann den Griff der Maschine.")</f>
        <v>Dann graniert der Mann den Griff der Maschine.</v>
      </c>
    </row>
    <row r="17990">
      <c r="A17990" s="4" t="s">
        <v>22636</v>
      </c>
      <c r="B17990" s="4" t="s">
        <v>22639</v>
      </c>
      <c r="C17990" s="5" t="str">
        <f>IFERROR(__xludf.DUMMYFUNCTION("GOOGLETRANSLATE(B17990,""en"",""de"")"),"Danach zieht der Mann den Griff der LA -Maschine, um Bauch zu machen.")</f>
        <v>Danach zieht der Mann den Griff der LA -Maschine, um Bauch zu machen.</v>
      </c>
    </row>
    <row r="17991">
      <c r="A17991" s="4" t="s">
        <v>22640</v>
      </c>
      <c r="B17991" s="4" t="s">
        <v>22641</v>
      </c>
      <c r="C17991" s="5" t="str">
        <f>IFERROR(__xludf.DUMMYFUNCTION("GOOGLETRANSLATE(B17991,""en"",""de"")"),"Ein Nachrichtenmann spricht vor einem Bild eines Bulldoggepulvers.")</f>
        <v>Ein Nachrichtenmann spricht vor einem Bild eines Bulldoggepulvers.</v>
      </c>
    </row>
    <row r="17992">
      <c r="A17992" s="4" t="s">
        <v>22640</v>
      </c>
      <c r="B17992" s="4" t="s">
        <v>22642</v>
      </c>
      <c r="C17992" s="5" t="str">
        <f>IFERROR(__xludf.DUMMYFUNCTION("GOOGLETRANSLATE(B17992,""en"",""de"")"),"Türen öffnen sich für ein Geschäft mit verschiedenen Bildern von Personen, die an verschiedenen Projekten arbeiten.")</f>
        <v>Türen öffnen sich für ein Geschäft mit verschiedenen Bildern von Personen, die an verschiedenen Projekten arbeiten.</v>
      </c>
    </row>
    <row r="17993">
      <c r="A17993" s="4" t="s">
        <v>22640</v>
      </c>
      <c r="B17993" s="4" t="s">
        <v>22643</v>
      </c>
      <c r="C17993" s="5" t="str">
        <f>IFERROR(__xludf.DUMMYFUNCTION("GOOGLETRANSLATE(B17993,""en"",""de"")"),"Ein Mann zeigt, wie er prostetische Beine für den Hund erhielt.")</f>
        <v>Ein Mann zeigt, wie er prostetische Beine für den Hund erhielt.</v>
      </c>
    </row>
    <row r="17994">
      <c r="A17994" s="4" t="s">
        <v>22640</v>
      </c>
      <c r="B17994" s="4" t="s">
        <v>22644</v>
      </c>
      <c r="C17994" s="5" t="str">
        <f>IFERROR(__xludf.DUMMYFUNCTION("GOOGLETRANSLATE(B17994,""en"",""de"")"),"Der Hund wird mit seinen neuen Beinen gezeigt, während sie heilen.")</f>
        <v>Der Hund wird mit seinen neuen Beinen gezeigt, während sie heilen.</v>
      </c>
    </row>
    <row r="17995">
      <c r="A17995" s="4" t="s">
        <v>22640</v>
      </c>
      <c r="B17995" s="4" t="s">
        <v>22645</v>
      </c>
      <c r="C17995" s="5" t="str">
        <f>IFERROR(__xludf.DUMMYFUNCTION("GOOGLETRANSLATE(B17995,""en"",""de"")"),"In der letzten Szene geht der Hund mit einem Haustierschwein zusammen.")</f>
        <v>In der letzten Szene geht der Hund mit einem Haustierschwein zusammen.</v>
      </c>
    </row>
    <row r="17996">
      <c r="A17996" s="4" t="s">
        <v>22646</v>
      </c>
      <c r="B17996" s="4" t="s">
        <v>22647</v>
      </c>
      <c r="C17996" s="5" t="str">
        <f>IFERROR(__xludf.DUMMYFUNCTION("GOOGLETRANSLATE(B17996,""en"",""de"")"),"Ein Titelbildschirm wird angezeigt und dann beginnt sich mehrere Absätze über den Bildschirm zu rollen.")</f>
        <v>Ein Titelbildschirm wird angezeigt und dann beginnt sich mehrere Absätze über den Bildschirm zu rollen.</v>
      </c>
    </row>
    <row r="17997">
      <c r="A17997" s="4" t="s">
        <v>22646</v>
      </c>
      <c r="B17997" s="4" t="s">
        <v>22648</v>
      </c>
      <c r="C17997" s="5" t="str">
        <f>IFERROR(__xludf.DUMMYFUNCTION("GOOGLETRANSLATE(B17997,""en"",""de"")"),"Als nächstes beginnt ein Mann mit durchschnittlich großem, lockigem schwarzem Haar in einem Anzug zu reden.")</f>
        <v>Als nächstes beginnt ein Mann mit durchschnittlich großem, lockigem schwarzem Haar in einem Anzug zu reden.</v>
      </c>
    </row>
    <row r="17998">
      <c r="A17998" s="4" t="s">
        <v>22646</v>
      </c>
      <c r="B17998" s="4" t="s">
        <v>22649</v>
      </c>
      <c r="C17998" s="5" t="str">
        <f>IFERROR(__xludf.DUMMYFUNCTION("GOOGLETRANSLATE(B17998,""en"",""de"")"),"Wenn er fertig ist, wird ein Mann gezeigt, der das Saxophon in einer Nachtfernsehshow spielt, und dann kommt der Mann zurück, um das Reden zu beenden.")</f>
        <v>Wenn er fertig ist, wird ein Mann gezeigt, der das Saxophon in einer Nachtfernsehshow spielt, und dann kommt der Mann zurück, um das Reden zu beenden.</v>
      </c>
    </row>
    <row r="17999">
      <c r="A17999" s="4" t="s">
        <v>22650</v>
      </c>
      <c r="B17999" s="4" t="s">
        <v>22651</v>
      </c>
      <c r="C17999" s="5" t="str">
        <f>IFERROR(__xludf.DUMMYFUNCTION("GOOGLETRANSLATE(B17999,""en"",""de"")"),"Der Mann ist auf den Füßen, der zur Kamera hüpft, während er auf einem engen flachen Band steht, das mit zwei sehr hohen Felswänden verbunden ist.")</f>
        <v>Der Mann ist auf den Füßen, der zur Kamera hüpft, während er auf einem engen flachen Band steht, das mit zwei sehr hohen Felswänden verbunden ist.</v>
      </c>
    </row>
    <row r="18000">
      <c r="A18000" s="4" t="s">
        <v>22650</v>
      </c>
      <c r="B18000" s="4" t="s">
        <v>22652</v>
      </c>
      <c r="C18000" s="5" t="str">
        <f>IFERROR(__xludf.DUMMYFUNCTION("GOOGLETRANSLATE(B18000,""en"",""de"")"),"Der Mann dreht sich dann um und fängt an, auf seinem Hintern und dann hinten auf seine Füße und zurück zu springen, während er das Band hält und losließ.")</f>
        <v>Der Mann dreht sich dann um und fängt an, auf seinem Hintern und dann hinten auf seine Füße und zurück zu springen, während er das Band hält und losließ.</v>
      </c>
    </row>
    <row r="18001">
      <c r="A18001" s="4" t="s">
        <v>22650</v>
      </c>
      <c r="B18001" s="4" t="s">
        <v>22653</v>
      </c>
      <c r="C18001" s="5" t="str">
        <f>IFERROR(__xludf.DUMMYFUNCTION("GOOGLETRANSLATE(B18001,""en"",""de"")"),"Der Mann macht weiterhin Tricks auf dem engen Band, bis er vom Band steigt und lächelnd weggeht.")</f>
        <v>Der Mann macht weiterhin Tricks auf dem engen Band, bis er vom Band steigt und lächelnd weggeht.</v>
      </c>
    </row>
    <row r="18002">
      <c r="A18002" s="4" t="s">
        <v>22654</v>
      </c>
      <c r="B18002" s="4" t="s">
        <v>22655</v>
      </c>
      <c r="C18002" s="5" t="str">
        <f>IFERROR(__xludf.DUMMYFUNCTION("GOOGLETRANSLATE(B18002,""en"",""de"")"),"Eine Einführung kommt auf den Bildschirm für ein Video über einen Sportwettbewerb.")</f>
        <v>Eine Einführung kommt auf den Bildschirm für ein Video über einen Sportwettbewerb.</v>
      </c>
    </row>
    <row r="18003">
      <c r="A18003" s="4" t="s">
        <v>22654</v>
      </c>
      <c r="B18003" s="4" t="s">
        <v>22656</v>
      </c>
      <c r="C18003" s="5" t="str">
        <f>IFERROR(__xludf.DUMMYFUNCTION("GOOGLETRANSLATE(B18003,""en"",""de"")"),"Eine Frau interviewt eine andere Frau über den Wettbewerb und alle Ereignisse.")</f>
        <v>Eine Frau interviewt eine andere Frau über den Wettbewerb und alle Ereignisse.</v>
      </c>
    </row>
    <row r="18004">
      <c r="A18004" s="4" t="s">
        <v>22654</v>
      </c>
      <c r="B18004" s="4" t="s">
        <v>22657</v>
      </c>
      <c r="C18004" s="5" t="str">
        <f>IFERROR(__xludf.DUMMYFUNCTION("GOOGLETRANSLATE(B18004,""en"",""de"")"),"Es werden mehrere Clips gezeigt, von denen Menschen unterschiedliche Sportarten und Aktivitäten genießen.")</f>
        <v>Es werden mehrere Clips gezeigt, von denen Menschen unterschiedliche Sportarten und Aktivitäten genießen.</v>
      </c>
    </row>
    <row r="18005">
      <c r="A18005" s="4" t="s">
        <v>22654</v>
      </c>
      <c r="B18005" s="4" t="s">
        <v>22658</v>
      </c>
      <c r="C18005" s="5" t="str">
        <f>IFERROR(__xludf.DUMMYFUNCTION("GOOGLETRANSLATE(B18005,""en"",""de"")"),"Nach dem Ende des Interviews werden die Schlusskredite mit Grafiken angezeigt.")</f>
        <v>Nach dem Ende des Interviews werden die Schlusskredite mit Grafiken angezeigt.</v>
      </c>
    </row>
    <row r="18006">
      <c r="A18006" s="4" t="s">
        <v>22659</v>
      </c>
      <c r="B18006" s="4" t="s">
        <v>22660</v>
      </c>
      <c r="C18006" s="5" t="str">
        <f>IFERROR(__xludf.DUMMYFUNCTION("GOOGLETRANSLATE(B18006,""en"",""de"")"),"Ein Cowboy, der mit einem Pferd fährt, verlässt ein Tor.")</f>
        <v>Ein Cowboy, der mit einem Pferd fährt, verlässt ein Tor.</v>
      </c>
    </row>
    <row r="18007">
      <c r="A18007" s="4" t="s">
        <v>22659</v>
      </c>
      <c r="B18007" s="4" t="s">
        <v>22661</v>
      </c>
      <c r="C18007" s="5" t="str">
        <f>IFERROR(__xludf.DUMMYFUNCTION("GOOGLETRANSLATE(B18007,""en"",""de"")"),"Er sucht ein kleines Kalb mit einem Lasso.")</f>
        <v>Er sucht ein kleines Kalb mit einem Lasso.</v>
      </c>
    </row>
    <row r="18008">
      <c r="A18008" s="4" t="s">
        <v>22659</v>
      </c>
      <c r="B18008" s="4" t="s">
        <v>22662</v>
      </c>
      <c r="C18008" s="5" t="str">
        <f>IFERROR(__xludf.DUMMYFUNCTION("GOOGLETRANSLATE(B18008,""en"",""de"")"),"Er springt runter und bindet das Kalb hoch.")</f>
        <v>Er springt runter und bindet das Kalb hoch.</v>
      </c>
    </row>
    <row r="18009">
      <c r="A18009" s="4" t="s">
        <v>22663</v>
      </c>
      <c r="B18009" s="4" t="s">
        <v>22664</v>
      </c>
      <c r="C18009" s="5" t="str">
        <f>IFERROR(__xludf.DUMMYFUNCTION("GOOGLETRANSLATE(B18009,""en"",""de"")"),"Ein Cue -Ball rollt langsam von der Tasche auf einem Tisch.")</f>
        <v>Ein Cue -Ball rollt langsam von der Tasche auf einem Tisch.</v>
      </c>
    </row>
    <row r="18010">
      <c r="A18010" s="4" t="s">
        <v>22663</v>
      </c>
      <c r="B18010" s="4" t="s">
        <v>22665</v>
      </c>
      <c r="C18010" s="5" t="str">
        <f>IFERROR(__xludf.DUMMYFUNCTION("GOOGLETRANSLATE(B18010,""en"",""de"")"),"Ein Mann hält einen Touchscreen und diskutiert.")</f>
        <v>Ein Mann hält einen Touchscreen und diskutiert.</v>
      </c>
    </row>
    <row r="18011">
      <c r="A18011" s="4" t="s">
        <v>22663</v>
      </c>
      <c r="B18011" s="4" t="s">
        <v>22666</v>
      </c>
      <c r="C18011" s="5" t="str">
        <f>IFERROR(__xludf.DUMMYFUNCTION("GOOGLETRANSLATE(B18011,""en"",""de"")"),"Männer treten an und spielen Billardspiele.")</f>
        <v>Männer treten an und spielen Billardspiele.</v>
      </c>
    </row>
    <row r="18012">
      <c r="A18012" s="4" t="s">
        <v>22667</v>
      </c>
      <c r="B18012" s="4" t="s">
        <v>22668</v>
      </c>
      <c r="C18012" s="5" t="str">
        <f>IFERROR(__xludf.DUMMYFUNCTION("GOOGLETRANSLATE(B18012,""en"",""de"")"),"Es wird ein Bein, das eine blaue Hose mit roten und weißen Linien trägt, gezeigt, es bewegt sich auf dem Schnee, die Beine wurden gekreuzt, als sich das Rettungsbuoy auf den Schnee bewegt.")</f>
        <v>Es wird ein Bein, das eine blaue Hose mit roten und weißen Linien trägt, gezeigt, es bewegt sich auf dem Schnee, die Beine wurden gekreuzt, als sich das Rettungsbuoy auf den Schnee bewegt.</v>
      </c>
    </row>
    <row r="18013">
      <c r="A18013" s="4" t="s">
        <v>22667</v>
      </c>
      <c r="B18013" s="4" t="s">
        <v>22669</v>
      </c>
      <c r="C18013" s="5" t="str">
        <f>IFERROR(__xludf.DUMMYFUNCTION("GOOGLETRANSLATE(B18013,""en"",""de"")"),"Eine Person aus der Ferne befindet sich auf einem Rettungsbauer auf den Schnee.")</f>
        <v>Eine Person aus der Ferne befindet sich auf einem Rettungsbauer auf den Schnee.</v>
      </c>
    </row>
    <row r="18014">
      <c r="A18014" s="4" t="s">
        <v>22670</v>
      </c>
      <c r="B18014" s="4" t="s">
        <v>22671</v>
      </c>
      <c r="C18014" s="5" t="str">
        <f>IFERROR(__xludf.DUMMYFUNCTION("GOOGLETRANSLATE(B18014,""en"",""de"")"),"Ein kleines Mädchen schwingt auf einem Spielplatz über die Affenbars.")</f>
        <v>Ein kleines Mädchen schwingt auf einem Spielplatz über die Affenbars.</v>
      </c>
    </row>
    <row r="18015">
      <c r="A18015" s="4" t="s">
        <v>22670</v>
      </c>
      <c r="B18015" s="4" t="s">
        <v>22672</v>
      </c>
      <c r="C18015" s="5" t="str">
        <f>IFERROR(__xludf.DUMMYFUNCTION("GOOGLETRANSLATE(B18015,""en"",""de"")"),"Ihre Mutter spricht, als sie zu Boden schaut und von vorne anfängt.")</f>
        <v>Ihre Mutter spricht, als sie zu Boden schaut und von vorne anfängt.</v>
      </c>
    </row>
    <row r="18016">
      <c r="A18016" s="4" t="s">
        <v>22673</v>
      </c>
      <c r="B18016" s="4" t="s">
        <v>22674</v>
      </c>
      <c r="C18016" s="5" t="str">
        <f>IFERROR(__xludf.DUMMYFUNCTION("GOOGLETRANSLATE(B18016,""en"",""de"")"),"Eine Nahaufnahme eines Pferdes wird gezeigt, gefolgt von einer Frau, die in den Rahmen geht und das Pferd bürstet.")</f>
        <v>Eine Nahaufnahme eines Pferdes wird gezeigt, gefolgt von einer Frau, die in den Rahmen geht und das Pferd bürstet.</v>
      </c>
    </row>
    <row r="18017">
      <c r="A18017" s="4" t="s">
        <v>22673</v>
      </c>
      <c r="B18017" s="4" t="s">
        <v>22675</v>
      </c>
      <c r="C18017" s="5" t="str">
        <f>IFERROR(__xludf.DUMMYFUNCTION("GOOGLETRANSLATE(B18017,""en"",""de"")"),"Sie streift das Pferd weiter an verschiedenen Stellen und endet damit, dass sie das Pferd füttert.")</f>
        <v>Sie streift das Pferd weiter an verschiedenen Stellen und endet damit, dass sie das Pferd füttert.</v>
      </c>
    </row>
    <row r="18018">
      <c r="A18018" s="4" t="s">
        <v>22676</v>
      </c>
      <c r="B18018" s="4" t="s">
        <v>9910</v>
      </c>
      <c r="C18018" s="5" t="str">
        <f>IFERROR(__xludf.DUMMYFUNCTION("GOOGLETRANSLATE(B18018,""en"",""de"")"),"Ein Mann springt auf einen Balancestrahl.")</f>
        <v>Ein Mann springt auf einen Balancestrahl.</v>
      </c>
    </row>
    <row r="18019">
      <c r="A18019" s="4" t="s">
        <v>22676</v>
      </c>
      <c r="B18019" s="4" t="s">
        <v>22677</v>
      </c>
      <c r="C18019" s="5" t="str">
        <f>IFERROR(__xludf.DUMMYFUNCTION("GOOGLETRANSLATE(B18019,""en"",""de"")"),"Er macht eine Gymnastikroutine auf dem Balancestrahl.")</f>
        <v>Er macht eine Gymnastikroutine auf dem Balancestrahl.</v>
      </c>
    </row>
    <row r="18020">
      <c r="A18020" s="4" t="s">
        <v>22676</v>
      </c>
      <c r="B18020" s="4" t="s">
        <v>22678</v>
      </c>
      <c r="C18020" s="5" t="str">
        <f>IFERROR(__xludf.DUMMYFUNCTION("GOOGLETRANSLATE(B18020,""en"",""de"")"),"Er steigt und landet auf einer blauen Matte.")</f>
        <v>Er steigt und landet auf einer blauen Matte.</v>
      </c>
    </row>
    <row r="18021">
      <c r="A18021" s="4" t="s">
        <v>22676</v>
      </c>
      <c r="B18021" s="4" t="s">
        <v>22679</v>
      </c>
      <c r="C18021" s="5" t="str">
        <f>IFERROR(__xludf.DUMMYFUNCTION("GOOGLETRANSLATE(B18021,""en"",""de"")"),"Er winkt auf die Menge und geht weg.")</f>
        <v>Er winkt auf die Menge und geht weg.</v>
      </c>
    </row>
    <row r="18022">
      <c r="A18022" s="4" t="s">
        <v>22680</v>
      </c>
      <c r="B18022" s="4" t="s">
        <v>22681</v>
      </c>
      <c r="C18022" s="5" t="str">
        <f>IFERROR(__xludf.DUMMYFUNCTION("GOOGLETRANSLATE(B18022,""en"",""de"")"),"Die Kamera schwenkt um eine große Gruppe von Menschen, die Bögen und Pfeile halten, gefolgt von mehreren Schüssen, von denen sie die Pfeile schießen.")</f>
        <v>Die Kamera schwenkt um eine große Gruppe von Menschen, die Bögen und Pfeile halten, gefolgt von mehreren Schüssen, von denen sie die Pfeile schießen.</v>
      </c>
    </row>
    <row r="18023">
      <c r="A18023" s="4" t="s">
        <v>22680</v>
      </c>
      <c r="B18023" s="4" t="s">
        <v>22682</v>
      </c>
      <c r="C18023" s="5" t="str">
        <f>IFERROR(__xludf.DUMMYFUNCTION("GOOGLETRANSLATE(B18023,""en"",""de"")"),"Mehrere Mann rennen über das Feld, als sie Pfeile auf sie schießen, die in Schwertkämpfe und Menschen verletzt werden.")</f>
        <v>Mehrere Mann rennen über das Feld, als sie Pfeile auf sie schießen, die in Schwertkämpfe und Menschen verletzt werden.</v>
      </c>
    </row>
    <row r="18024">
      <c r="A18024" s="4" t="s">
        <v>22680</v>
      </c>
      <c r="B18024" s="4" t="s">
        <v>22683</v>
      </c>
      <c r="C18024" s="5" t="str">
        <f>IFERROR(__xludf.DUMMYFUNCTION("GOOGLETRANSLATE(B18024,""en"",""de"")"),"Menschen werfen Schwämme auf einen Mann, einen Faustkampf und schießen mehr Pfeile auf andere.")</f>
        <v>Menschen werfen Schwämme auf einen Mann, einen Faustkampf und schießen mehr Pfeile auf andere.</v>
      </c>
    </row>
    <row r="18025">
      <c r="A18025" s="4" t="s">
        <v>22684</v>
      </c>
      <c r="B18025" s="4" t="s">
        <v>22685</v>
      </c>
      <c r="C18025" s="5" t="str">
        <f>IFERROR(__xludf.DUMMYFUNCTION("GOOGLETRANSLATE(B18025,""en"",""de"")"),"Eine Frau steht und geht in einem Geschäft.")</f>
        <v>Eine Frau steht und geht in einem Geschäft.</v>
      </c>
    </row>
    <row r="18026">
      <c r="A18026" s="4" t="s">
        <v>22684</v>
      </c>
      <c r="B18026" s="4" t="s">
        <v>22686</v>
      </c>
      <c r="C18026" s="5" t="str">
        <f>IFERROR(__xludf.DUMMYFUNCTION("GOOGLETRANSLATE(B18026,""en"",""de"")"),"Sie geht zu einem Mann und schüttelt seine Hand.")</f>
        <v>Sie geht zu einem Mann und schüttelt seine Hand.</v>
      </c>
    </row>
    <row r="18027">
      <c r="A18027" s="4" t="s">
        <v>22684</v>
      </c>
      <c r="B18027" s="4" t="s">
        <v>22687</v>
      </c>
      <c r="C18027" s="5" t="str">
        <f>IFERROR(__xludf.DUMMYFUNCTION("GOOGLETRANSLATE(B18027,""en"",""de"")"),"Sie geht weg, sorgt in den Regalen, bevor sie sich an die Theke lehnt und ihren Bizeps bewegt.")</f>
        <v>Sie geht weg, sorgt in den Regalen, bevor sie sich an die Theke lehnt und ihren Bizeps bewegt.</v>
      </c>
    </row>
    <row r="18028">
      <c r="A18028" s="4" t="s">
        <v>22684</v>
      </c>
      <c r="B18028" s="4" t="s">
        <v>22688</v>
      </c>
      <c r="C18028" s="5" t="str">
        <f>IFERROR(__xludf.DUMMYFUNCTION("GOOGLETRANSLATE(B18028,""en"",""de"")"),"Die Frau zeigt den Mann ihren Bizeps, bevor er mit ihm in Arm ringt.")</f>
        <v>Die Frau zeigt den Mann ihren Bizeps, bevor er mit ihm in Arm ringt.</v>
      </c>
    </row>
    <row r="18029">
      <c r="A18029" s="4" t="s">
        <v>22684</v>
      </c>
      <c r="B18029" s="4" t="s">
        <v>22689</v>
      </c>
      <c r="C18029" s="5" t="str">
        <f>IFERROR(__xludf.DUMMYFUNCTION("GOOGLETRANSLATE(B18029,""en"",""de"")"),"Sie sitzt neben der Theke und spricht eine Weile weiter mit ihm.")</f>
        <v>Sie sitzt neben der Theke und spricht eine Weile weiter mit ihm.</v>
      </c>
    </row>
    <row r="18030">
      <c r="A18030" s="4" t="s">
        <v>22690</v>
      </c>
      <c r="B18030" s="4" t="s">
        <v>22691</v>
      </c>
      <c r="C18030" s="5" t="str">
        <f>IFERROR(__xludf.DUMMYFUNCTION("GOOGLETRANSLATE(B18030,""en"",""de"")"),"Der Mann rennt Stelzen in einem grünen Grasfeld.")</f>
        <v>Der Mann rennt Stelzen in einem grünen Grasfeld.</v>
      </c>
    </row>
    <row r="18031">
      <c r="A18031" s="4" t="s">
        <v>22690</v>
      </c>
      <c r="B18031" s="4" t="s">
        <v>22692</v>
      </c>
      <c r="C18031" s="5" t="str">
        <f>IFERROR(__xludf.DUMMYFUNCTION("GOOGLETRANSLATE(B18031,""en"",""de"")"),"Autos sind im Hintergrund am Straßenrand geparkt.")</f>
        <v>Autos sind im Hintergrund am Straßenrand geparkt.</v>
      </c>
    </row>
    <row r="18032">
      <c r="A18032" s="4" t="s">
        <v>22690</v>
      </c>
      <c r="B18032" s="4" t="s">
        <v>22693</v>
      </c>
      <c r="C18032" s="5" t="str">
        <f>IFERROR(__xludf.DUMMYFUNCTION("GOOGLETRANSLATE(B18032,""en"",""de"")"),"Der Mensch bekommt OUS ins Gras und rennt in eine Straße.")</f>
        <v>Der Mensch bekommt OUS ins Gras und rennt in eine Straße.</v>
      </c>
    </row>
    <row r="18033">
      <c r="A18033" s="4" t="s">
        <v>22694</v>
      </c>
      <c r="B18033" s="4" t="s">
        <v>22695</v>
      </c>
      <c r="C18033" s="5" t="str">
        <f>IFERROR(__xludf.DUMMYFUNCTION("GOOGLETRANSLATE(B18033,""en"",""de"")"),"Die Leute stehen in einer Turnhalle und reden.")</f>
        <v>Die Leute stehen in einer Turnhalle und reden.</v>
      </c>
    </row>
    <row r="18034">
      <c r="A18034" s="4" t="s">
        <v>22694</v>
      </c>
      <c r="B18034" s="4" t="s">
        <v>22696</v>
      </c>
      <c r="C18034" s="5" t="str">
        <f>IFERROR(__xludf.DUMMYFUNCTION("GOOGLETRANSLATE(B18034,""en"",""de"")"),"Sie fangen an zu rennen und Bälle aufeinander zu werfen.")</f>
        <v>Sie fangen an zu rennen und Bälle aufeinander zu werfen.</v>
      </c>
    </row>
    <row r="18035">
      <c r="A18035" s="4" t="s">
        <v>22697</v>
      </c>
      <c r="B18035" s="4" t="s">
        <v>22698</v>
      </c>
      <c r="C18035" s="5" t="str">
        <f>IFERROR(__xludf.DUMMYFUNCTION("GOOGLETRANSLATE(B18035,""en"",""de"")"),"Ein Mann steht am Ende eines Docks und schaut auf Menschen, die feiern, zurück.")</f>
        <v>Ein Mann steht am Ende eines Docks und schaut auf Menschen, die feiern, zurück.</v>
      </c>
    </row>
    <row r="18036">
      <c r="A18036" s="4" t="s">
        <v>22697</v>
      </c>
      <c r="B18036" s="4" t="s">
        <v>22699</v>
      </c>
      <c r="C18036" s="5" t="str">
        <f>IFERROR(__xludf.DUMMYFUNCTION("GOOGLETRANSLATE(B18036,""en"",""de"")"),"Der Mann geht auf und sieht zwei Personen, die mitten in einem Kreis Kampfkünste spielen.")</f>
        <v>Der Mann geht auf und sieht zwei Personen, die mitten in einem Kreis Kampfkünste spielen.</v>
      </c>
    </row>
    <row r="18037">
      <c r="A18037" s="4" t="s">
        <v>22697</v>
      </c>
      <c r="B18037" s="4" t="s">
        <v>22700</v>
      </c>
      <c r="C18037" s="5" t="str">
        <f>IFERROR(__xludf.DUMMYFUNCTION("GOOGLETRANSLATE(B18037,""en"",""de"")"),"Die Leute bewegten sich weiter, während andere nebenbei zuschauen und der Soldat auch mitbetonte.")</f>
        <v>Die Leute bewegten sich weiter, während andere nebenbei zuschauen und der Soldat auch mitbetonte.</v>
      </c>
    </row>
    <row r="18038">
      <c r="A18038" s="4" t="s">
        <v>22701</v>
      </c>
      <c r="B18038" s="4" t="s">
        <v>22702</v>
      </c>
      <c r="C18038" s="5" t="str">
        <f>IFERROR(__xludf.DUMMYFUNCTION("GOOGLETRANSLATE(B18038,""en"",""de"")"),"Es gibt eine junge Frau, die sich in einer Lockenbahn zusammenrollt.")</f>
        <v>Es gibt eine junge Frau, die sich in einer Lockenbahn zusammenrollt.</v>
      </c>
    </row>
    <row r="18039">
      <c r="A18039" s="4" t="s">
        <v>22701</v>
      </c>
      <c r="B18039" s="4" t="s">
        <v>22703</v>
      </c>
      <c r="C18039" s="5" t="str">
        <f>IFERROR(__xludf.DUMMYFUNCTION("GOOGLETRANSLATE(B18039,""en"",""de"")"),"Es gibt mehrere andere Spieler, die ebenfalls zusammenrollen.")</f>
        <v>Es gibt mehrere andere Spieler, die ebenfalls zusammenrollen.</v>
      </c>
    </row>
    <row r="18040">
      <c r="A18040" s="4" t="s">
        <v>22701</v>
      </c>
      <c r="B18040" s="4" t="s">
        <v>22704</v>
      </c>
      <c r="C18040" s="5" t="str">
        <f>IFERROR(__xludf.DUMMYFUNCTION("GOOGLETRANSLATE(B18040,""en"",""de"")"),"Verschiedene Bilder derselben Frau werden gezeigt, die für eine Art Fotoshooting posieren.")</f>
        <v>Verschiedene Bilder derselben Frau werden gezeigt, die für eine Art Fotoshooting posieren.</v>
      </c>
    </row>
    <row r="18041">
      <c r="A18041" s="4" t="s">
        <v>22701</v>
      </c>
      <c r="B18041" s="4" t="s">
        <v>22705</v>
      </c>
      <c r="C18041" s="5" t="str">
        <f>IFERROR(__xludf.DUMMYFUNCTION("GOOGLETRANSLATE(B18041,""en"",""de"")"),"Die Frau scheint ein bisschen verzweifelt über das Spiel zu sein.")</f>
        <v>Die Frau scheint ein bisschen verzweifelt über das Spiel zu sein.</v>
      </c>
    </row>
    <row r="18042">
      <c r="A18042" s="4" t="s">
        <v>22701</v>
      </c>
      <c r="B18042" s="4" t="s">
        <v>22706</v>
      </c>
      <c r="C18042" s="5" t="str">
        <f>IFERROR(__xludf.DUMMYFUNCTION("GOOGLETRANSLATE(B18042,""en"",""de"")"),"Sie posiert für ein Fotoshooting mit einem Lockenfelsen.")</f>
        <v>Sie posiert für ein Fotoshooting mit einem Lockenfelsen.</v>
      </c>
    </row>
    <row r="18043">
      <c r="A18043" s="4" t="s">
        <v>22707</v>
      </c>
      <c r="B18043" s="4" t="s">
        <v>22708</v>
      </c>
      <c r="C18043" s="5" t="str">
        <f>IFERROR(__xludf.DUMMYFUNCTION("GOOGLETRANSLATE(B18043,""en"",""de"")"),"Ein Mann benutzt einen Unkrautwascher, um Büsche zu schneiden.")</f>
        <v>Ein Mann benutzt einen Unkrautwascher, um Büsche zu schneiden.</v>
      </c>
    </row>
    <row r="18044">
      <c r="A18044" s="4" t="s">
        <v>22707</v>
      </c>
      <c r="B18044" s="4" t="s">
        <v>22709</v>
      </c>
      <c r="C18044" s="5" t="str">
        <f>IFERROR(__xludf.DUMMYFUNCTION("GOOGLETRANSLATE(B18044,""en"",""de"")"),"Er wendet sich von den Büschen ab und schneidet Unkraut auf den Boden.")</f>
        <v>Er wendet sich von den Büschen ab und schneidet Unkraut auf den Boden.</v>
      </c>
    </row>
    <row r="18045">
      <c r="A18045" s="4" t="s">
        <v>22710</v>
      </c>
      <c r="B18045" s="4" t="s">
        <v>22711</v>
      </c>
      <c r="C18045" s="5" t="str">
        <f>IFERROR(__xludf.DUMMYFUNCTION("GOOGLETRANSLATE(B18045,""en"",""de"")"),"Es werden verschiedene Clips gezeigt, die eine Frau angezeigt und auf einen Strand hinweisen, der in sie ein Brett entlang geführt und auf dem Wasser eingestellt wird.")</f>
        <v>Es werden verschiedene Clips gezeigt, die eine Frau angezeigt und auf einen Strand hinweisen, der in sie ein Brett entlang geführt und auf dem Wasser eingestellt wird.</v>
      </c>
    </row>
    <row r="18046">
      <c r="A18046" s="4" t="s">
        <v>22710</v>
      </c>
      <c r="B18046" s="4" t="s">
        <v>22712</v>
      </c>
      <c r="C18046" s="5" t="str">
        <f>IFERROR(__xludf.DUMMYFUNCTION("GOOGLETRANSLATE(B18046,""en"",""de"")"),"Die Frau greift dann auf das Brett und bewegt sich um das Wasser, während sie die richtigen Bewegungen demonstriert, und die Kamera bewegt sich rund um andere.")</f>
        <v>Die Frau greift dann auf das Brett und bewegt sich um das Wasser, während sie die richtigen Bewegungen demonstriert, und die Kamera bewegt sich rund um andere.</v>
      </c>
    </row>
    <row r="18047">
      <c r="A18047" s="4" t="s">
        <v>22713</v>
      </c>
      <c r="B18047" s="4" t="s">
        <v>22714</v>
      </c>
      <c r="C18047" s="5" t="str">
        <f>IFERROR(__xludf.DUMMYFUNCTION("GOOGLETRANSLATE(B18047,""en"",""de"")"),"Ein Junge sitzt mit drei Gitarren im Zimmer und spielt alle drei mit einem Geigenbogen.")</f>
        <v>Ein Junge sitzt mit drei Gitarren im Zimmer und spielt alle drei mit einem Geigenbogen.</v>
      </c>
    </row>
    <row r="18048">
      <c r="A18048" s="4" t="s">
        <v>22713</v>
      </c>
      <c r="B18048" s="4" t="s">
        <v>22715</v>
      </c>
      <c r="C18048" s="5" t="str">
        <f>IFERROR(__xludf.DUMMYFUNCTION("GOOGLETRANSLATE(B18048,""en"",""de"")"),"Der Mann beginnt dann die eine Gitarre zu spielen, die mit seinen Fingern auf seinem Schoß ist und den Song beendet.")</f>
        <v>Der Mann beginnt dann die eine Gitarre zu spielen, die mit seinen Fingern auf seinem Schoß ist und den Song beendet.</v>
      </c>
    </row>
    <row r="18049">
      <c r="A18049" s="4" t="s">
        <v>22716</v>
      </c>
      <c r="B18049" s="4" t="s">
        <v>22717</v>
      </c>
      <c r="C18049" s="5" t="str">
        <f>IFERROR(__xludf.DUMMYFUNCTION("GOOGLETRANSLATE(B18049,""en"",""de"")"),"Eine Person macht eine Routine an parallelen Balken.")</f>
        <v>Eine Person macht eine Routine an parallelen Balken.</v>
      </c>
    </row>
    <row r="18050">
      <c r="A18050" s="4" t="s">
        <v>22716</v>
      </c>
      <c r="B18050" s="4" t="s">
        <v>22718</v>
      </c>
      <c r="C18050" s="5" t="str">
        <f>IFERROR(__xludf.DUMMYFUNCTION("GOOGLETRANSLATE(B18050,""en"",""de"")"),"Er macht seine Routine und steigt dann ab.")</f>
        <v>Er macht seine Routine und steigt dann ab.</v>
      </c>
    </row>
    <row r="18051">
      <c r="A18051" s="4" t="s">
        <v>22719</v>
      </c>
      <c r="B18051" s="4" t="s">
        <v>22720</v>
      </c>
      <c r="C18051" s="5" t="str">
        <f>IFERROR(__xludf.DUMMYFUNCTION("GOOGLETRANSLATE(B18051,""en"",""de"")"),"Hundebesitzer stehen mit und halten ihre Hunde.")</f>
        <v>Hundebesitzer stehen mit und halten ihre Hunde.</v>
      </c>
    </row>
    <row r="18052">
      <c r="A18052" s="4" t="s">
        <v>22719</v>
      </c>
      <c r="B18052" s="4" t="s">
        <v>22721</v>
      </c>
      <c r="C18052" s="5" t="str">
        <f>IFERROR(__xludf.DUMMYFUNCTION("GOOGLETRANSLATE(B18052,""en"",""de"")"),"Die Leute spielen mit ihren Hunden in einem Park mit Hindernissen.")</f>
        <v>Die Leute spielen mit ihren Hunden in einem Park mit Hindernissen.</v>
      </c>
    </row>
    <row r="18053">
      <c r="A18053" s="4" t="s">
        <v>22719</v>
      </c>
      <c r="B18053" s="4" t="s">
        <v>22722</v>
      </c>
      <c r="C18053" s="5" t="str">
        <f>IFERROR(__xludf.DUMMYFUNCTION("GOOGLETRANSLATE(B18053,""en"",""de"")"),"Eine Gruppe hält Schilder mit einem Hund auf einem Bürgersteig in der Stadt.")</f>
        <v>Eine Gruppe hält Schilder mit einem Hund auf einem Bürgersteig in der Stadt.</v>
      </c>
    </row>
    <row r="18054">
      <c r="A18054" s="4" t="s">
        <v>22723</v>
      </c>
      <c r="B18054" s="4" t="s">
        <v>22724</v>
      </c>
      <c r="C18054" s="5" t="str">
        <f>IFERROR(__xludf.DUMMYFUNCTION("GOOGLETRANSLATE(B18054,""en"",""de"")"),"Ein Mann und eine Frau stehen auf einer Bühne mit einem Scheinwerferlicht, das auf ihnen gezeigt wird.")</f>
        <v>Ein Mann und eine Frau stehen auf einer Bühne mit einem Scheinwerferlicht, das auf ihnen gezeigt wird.</v>
      </c>
    </row>
    <row r="18055">
      <c r="A18055" s="4" t="s">
        <v>22723</v>
      </c>
      <c r="B18055" s="4" t="s">
        <v>22725</v>
      </c>
      <c r="C18055" s="5" t="str">
        <f>IFERROR(__xludf.DUMMYFUNCTION("GOOGLETRANSLATE(B18055,""en"",""de"")"),"Das Duo beginnt gemeinsam Instrumente zu spielen, während sie sich sowohl als Kamera ansehen.")</f>
        <v>Das Duo beginnt gemeinsam Instrumente zu spielen, während sie sich sowohl als Kamera ansehen.</v>
      </c>
    </row>
    <row r="18056">
      <c r="A18056" s="4" t="s">
        <v>22723</v>
      </c>
      <c r="B18056" s="4" t="s">
        <v>22726</v>
      </c>
      <c r="C18056" s="5" t="str">
        <f>IFERROR(__xludf.DUMMYFUNCTION("GOOGLETRANSLATE(B18056,""en"",""de"")"),"Die beiden spielen weiter miteinander und pausieren innehalten, um die Kamera zu betrachten.")</f>
        <v>Die beiden spielen weiter miteinander und pausieren innehalten, um die Kamera zu betrachten.</v>
      </c>
    </row>
    <row r="18057">
      <c r="A18057" s="4" t="s">
        <v>22727</v>
      </c>
      <c r="B18057" s="4" t="s">
        <v>22728</v>
      </c>
      <c r="C18057" s="5" t="str">
        <f>IFERROR(__xludf.DUMMYFUNCTION("GOOGLETRANSLATE(B18057,""en"",""de"")"),"Eine Person wird gesehen, wie sie eine Tomate zerschneidet und zeigt, wie das Messer auf einem Stück Papier funktioniert.")</f>
        <v>Eine Person wird gesehen, wie sie eine Tomate zerschneidet und zeigt, wie das Messer auf einem Stück Papier funktioniert.</v>
      </c>
    </row>
    <row r="18058">
      <c r="A18058" s="4" t="s">
        <v>22727</v>
      </c>
      <c r="B18058" s="4" t="s">
        <v>22729</v>
      </c>
      <c r="C18058" s="5" t="str">
        <f>IFERROR(__xludf.DUMMYFUNCTION("GOOGLETRANSLATE(B18058,""en"",""de"")"),"Die Person schärft dann die Klinge auf einer Kaffeetasse und schneidet das Papier durch.")</f>
        <v>Die Person schärft dann die Klinge auf einer Kaffeetasse und schneidet das Papier durch.</v>
      </c>
    </row>
    <row r="18059">
      <c r="A18059" s="4" t="s">
        <v>22730</v>
      </c>
      <c r="B18059" s="4" t="s">
        <v>22731</v>
      </c>
      <c r="C18059" s="5" t="str">
        <f>IFERROR(__xludf.DUMMYFUNCTION("GOOGLETRANSLATE(B18059,""en"",""de"")"),"Die Wörter ""abstrakte Vögel/Ölmalerei Katy Jade Dobson"" erscheinen auf dem Bildschirm.")</f>
        <v>Die Wörter "abstrakte Vögel/Ölmalerei Katy Jade Dobson" erscheinen auf dem Bildschirm.</v>
      </c>
    </row>
    <row r="18060">
      <c r="A18060" s="4" t="s">
        <v>22730</v>
      </c>
      <c r="B18060" s="4" t="s">
        <v>22732</v>
      </c>
      <c r="C18060" s="5" t="str">
        <f>IFERROR(__xludf.DUMMYFUNCTION("GOOGLETRANSLATE(B18060,""en"",""de"")"),"Dobson skizziert ein Design auf weißer Leinwand und startet es.")</f>
        <v>Dobson skizziert ein Design auf weißer Leinwand und startet es.</v>
      </c>
    </row>
    <row r="18061">
      <c r="A18061" s="4" t="s">
        <v>22730</v>
      </c>
      <c r="B18061" s="4" t="s">
        <v>22733</v>
      </c>
      <c r="C18061" s="5" t="str">
        <f>IFERROR(__xludf.DUMMYFUNCTION("GOOGLETRANSLATE(B18061,""en"",""de"")"),"Sie steht zu ihrer fertigen Arbeit, als Farbe in die Leinwand in die Linien tropft.")</f>
        <v>Sie steht zu ihrer fertigen Arbeit, als Farbe in die Leinwand in die Linien tropft.</v>
      </c>
    </row>
    <row r="18062">
      <c r="A18062" s="4" t="s">
        <v>22734</v>
      </c>
      <c r="B18062" s="4" t="s">
        <v>22735</v>
      </c>
      <c r="C18062" s="5" t="str">
        <f>IFERROR(__xludf.DUMMYFUNCTION("GOOGLETRANSLATE(B18062,""en"",""de"")"),"Ein Mann steht hinter einer Bar.")</f>
        <v>Ein Mann steht hinter einer Bar.</v>
      </c>
    </row>
    <row r="18063">
      <c r="A18063" s="4" t="s">
        <v>22734</v>
      </c>
      <c r="B18063" s="4" t="s">
        <v>22736</v>
      </c>
      <c r="C18063" s="5" t="str">
        <f>IFERROR(__xludf.DUMMYFUNCTION("GOOGLETRANSLATE(B18063,""en"",""de"")"),"Er steckt Eis in das Glas und gießt Getränke hinein.")</f>
        <v>Er steckt Eis in das Glas und gießt Getränke hinein.</v>
      </c>
    </row>
    <row r="18064">
      <c r="A18064" s="4" t="s">
        <v>22734</v>
      </c>
      <c r="B18064" s="4" t="s">
        <v>22737</v>
      </c>
      <c r="C18064" s="5" t="str">
        <f>IFERROR(__xludf.DUMMYFUNCTION("GOOGLETRANSLATE(B18064,""en"",""de"")"),"Er rührt es mit einem Strohhalm.")</f>
        <v>Er rührt es mit einem Strohhalm.</v>
      </c>
    </row>
    <row r="18065">
      <c r="A18065" s="4" t="s">
        <v>22738</v>
      </c>
      <c r="B18065" s="4" t="s">
        <v>22739</v>
      </c>
      <c r="C18065" s="5" t="str">
        <f>IFERROR(__xludf.DUMMYFUNCTION("GOOGLETRANSLATE(B18065,""en"",""de"")"),"Die Szene beginnt mit einer Karwasch und einer Werbung.")</f>
        <v>Die Szene beginnt mit einer Karwasch und einer Werbung.</v>
      </c>
    </row>
    <row r="18066">
      <c r="A18066" s="4" t="s">
        <v>22738</v>
      </c>
      <c r="B18066" s="4" t="s">
        <v>22740</v>
      </c>
      <c r="C18066" s="5" t="str">
        <f>IFERROR(__xludf.DUMMYFUNCTION("GOOGLETRANSLATE(B18066,""en"",""de"")"),"Zwei Männer reden, während einer in seinem Auto sitzt.")</f>
        <v>Zwei Männer reden, während einer in seinem Auto sitzt.</v>
      </c>
    </row>
    <row r="18067">
      <c r="A18067" s="4" t="s">
        <v>22738</v>
      </c>
      <c r="B18067" s="4" t="s">
        <v>22741</v>
      </c>
      <c r="C18067" s="5" t="str">
        <f>IFERROR(__xludf.DUMMYFUNCTION("GOOGLETRANSLATE(B18067,""en"",""de"")"),"Ein Mann reinigt ein Auto und spricht mit der Kamera.")</f>
        <v>Ein Mann reinigt ein Auto und spricht mit der Kamera.</v>
      </c>
    </row>
    <row r="18068">
      <c r="A18068" s="4" t="s">
        <v>22738</v>
      </c>
      <c r="B18068" s="4" t="s">
        <v>22742</v>
      </c>
      <c r="C18068" s="5" t="str">
        <f>IFERROR(__xludf.DUMMYFUNCTION("GOOGLETRANSLATE(B18068,""en"",""de"")"),"Das Auto wird getrocknet und viertelt, dann zum nächsten Auto.")</f>
        <v>Das Auto wird getrocknet und viertelt, dann zum nächsten Auto.</v>
      </c>
    </row>
    <row r="18069">
      <c r="A18069" s="4" t="s">
        <v>22738</v>
      </c>
      <c r="B18069" s="4" t="s">
        <v>22743</v>
      </c>
      <c r="C18069" s="5" t="str">
        <f>IFERROR(__xludf.DUMMYFUNCTION("GOOGLETRANSLATE(B18069,""en"",""de"")"),"Dem Kunde erhält seine Schlüssel und er ist mit einem sauberen Auto auf dem Weg.")</f>
        <v>Dem Kunde erhält seine Schlüssel und er ist mit einem sauberen Auto auf dem Weg.</v>
      </c>
    </row>
    <row r="18070">
      <c r="A18070" s="4" t="s">
        <v>22738</v>
      </c>
      <c r="B18070" s="4" t="s">
        <v>22744</v>
      </c>
      <c r="C18070" s="5" t="str">
        <f>IFERROR(__xludf.DUMMYFUNCTION("GOOGLETRANSLATE(B18070,""en"",""de"")"),"Zwei Männer machen sich beim Reinigen des Autos herum.")</f>
        <v>Zwei Männer machen sich beim Reinigen des Autos herum.</v>
      </c>
    </row>
    <row r="18071">
      <c r="A18071" s="4" t="s">
        <v>22738</v>
      </c>
      <c r="B18071" s="4" t="s">
        <v>22745</v>
      </c>
      <c r="C18071" s="5" t="str">
        <f>IFERROR(__xludf.DUMMYFUNCTION("GOOGLETRANSLATE(B18071,""en"",""de"")"),"Ein Schild zeigt die Dienstleistungen, die sie anbieten.")</f>
        <v>Ein Schild zeigt die Dienstleistungen, die sie anbieten.</v>
      </c>
    </row>
    <row r="18072">
      <c r="A18072" s="4" t="s">
        <v>22746</v>
      </c>
      <c r="B18072" s="4" t="s">
        <v>22747</v>
      </c>
      <c r="C18072" s="5" t="str">
        <f>IFERROR(__xludf.DUMMYFUNCTION("GOOGLETRANSLATE(B18072,""en"",""de"")"),"Ein junges Mädchen steht in ihrem Wohnzimmer und hält einen Horizontal an ihrem Hals, während sich eine Katze auf dem Boden bewegt.")</f>
        <v>Ein junges Mädchen steht in ihrem Wohnzimmer und hält einen Horizontal an ihrem Hals, während sich eine Katze auf dem Boden bewegt.</v>
      </c>
    </row>
    <row r="18073">
      <c r="A18073" s="4" t="s">
        <v>22746</v>
      </c>
      <c r="B18073" s="4" t="s">
        <v>22748</v>
      </c>
      <c r="C18073" s="5" t="str">
        <f>IFERROR(__xludf.DUMMYFUNCTION("GOOGLETRANSLATE(B18073,""en"",""de"")"),"Das Mädchen entfärbt dann ihren Arm, lässt den Staffelstab in die Hände rollen und beginnt dann eine Reihe von The Baton zu machen.")</f>
        <v>Das Mädchen entfärbt dann ihren Arm, lässt den Staffelstab in die Hände rollen und beginnt dann eine Reihe von The Baton zu machen.</v>
      </c>
    </row>
    <row r="18074">
      <c r="A18074" s="4" t="s">
        <v>22746</v>
      </c>
      <c r="B18074" s="4" t="s">
        <v>22749</v>
      </c>
      <c r="C18074" s="5" t="str">
        <f>IFERROR(__xludf.DUMMYFUNCTION("GOOGLETRANSLATE(B18074,""en"",""de"")"),"Die Katze unten geht in und aus dem Bildschirm, während sie den Staffelstab wirkt und ihn sogar in die Luft wirft, sie fängt sie weiter.")</f>
        <v>Die Katze unten geht in und aus dem Bildschirm, während sie den Staffelstab wirkt und ihn sogar in die Luft wirft, sie fängt sie weiter.</v>
      </c>
    </row>
    <row r="18075">
      <c r="A18075" s="4" t="s">
        <v>22750</v>
      </c>
      <c r="B18075" s="4" t="s">
        <v>22751</v>
      </c>
      <c r="C18075" s="5" t="str">
        <f>IFERROR(__xludf.DUMMYFUNCTION("GOOGLETRANSLATE(B18075,""en"",""de"")"),"Ein Mann biegt vor einer Hecke mit einem elektrischen Schneider.")</f>
        <v>Ein Mann biegt vor einer Hecke mit einem elektrischen Schneider.</v>
      </c>
    </row>
    <row r="18076">
      <c r="A18076" s="4" t="s">
        <v>22750</v>
      </c>
      <c r="B18076" s="4" t="s">
        <v>22752</v>
      </c>
      <c r="C18076" s="5" t="str">
        <f>IFERROR(__xludf.DUMMYFUNCTION("GOOGLETRANSLATE(B18076,""en"",""de"")"),"Der Mann schneidet eine lange Hecke eines Gartens mit einem Elektroschneider.")</f>
        <v>Der Mann schneidet eine lange Hecke eines Gartens mit einem Elektroschneider.</v>
      </c>
    </row>
    <row r="18077">
      <c r="A18077" s="4" t="s">
        <v>22750</v>
      </c>
      <c r="B18077" s="4" t="s">
        <v>22753</v>
      </c>
      <c r="C18077" s="5" t="str">
        <f>IFERROR(__xludf.DUMMYFUNCTION("GOOGLETRANSLATE(B18077,""en"",""de"")"),"Dann entfernt der Mann Blätter über die Hecke mit seiner Hand.")</f>
        <v>Dann entfernt der Mann Blätter über die Hecke mit seiner Hand.</v>
      </c>
    </row>
    <row r="18078">
      <c r="A18078" s="4" t="s">
        <v>22754</v>
      </c>
      <c r="B18078" s="4" t="s">
        <v>22755</v>
      </c>
      <c r="C18078" s="5" t="str">
        <f>IFERROR(__xludf.DUMMYFUNCTION("GOOGLETRANSLATE(B18078,""en"",""de"")"),"Der Mann sitzt in einem Raum, der Congas spielt.")</f>
        <v>Der Mann sitzt in einem Raum, der Congas spielt.</v>
      </c>
    </row>
    <row r="18079">
      <c r="A18079" s="4" t="s">
        <v>22754</v>
      </c>
      <c r="B18079" s="4" t="s">
        <v>22756</v>
      </c>
      <c r="C18079" s="5" t="str">
        <f>IFERROR(__xludf.DUMMYFUNCTION("GOOGLETRANSLATE(B18079,""en"",""de"")"),"Tastatur steht hinter dem Mann, der Congsa in einem Raum spielt.")</f>
        <v>Tastatur steht hinter dem Mann, der Congsa in einem Raum spielt.</v>
      </c>
    </row>
    <row r="18080">
      <c r="A18080" s="4" t="s">
        <v>22754</v>
      </c>
      <c r="B18080" s="4" t="s">
        <v>22757</v>
      </c>
      <c r="C18080" s="5" t="str">
        <f>IFERROR(__xludf.DUMMYFUNCTION("GOOGLETRANSLATE(B18080,""en"",""de"")"),"Der Mann spielt in Congas in einem Musikraum Salsa.")</f>
        <v>Der Mann spielt in Congas in einem Musikraum Salsa.</v>
      </c>
    </row>
    <row r="18081">
      <c r="A18081" s="4" t="s">
        <v>22758</v>
      </c>
      <c r="B18081" s="4" t="s">
        <v>22759</v>
      </c>
      <c r="C18081" s="5" t="str">
        <f>IFERROR(__xludf.DUMMYFUNCTION("GOOGLETRANSLATE(B18081,""en"",""de"")"),"Ein Mädchen fährt auf einem gelben Rasenmäher auf einem sehr großen Hof mit grünem Gras.")</f>
        <v>Ein Mädchen fährt auf einem gelben Rasenmäher auf einem sehr großen Hof mit grünem Gras.</v>
      </c>
    </row>
    <row r="18082">
      <c r="A18082" s="4" t="s">
        <v>22758</v>
      </c>
      <c r="B18082" s="4" t="s">
        <v>22760</v>
      </c>
      <c r="C18082" s="5" t="str">
        <f>IFERROR(__xludf.DUMMYFUNCTION("GOOGLETRANSLATE(B18082,""en"",""de"")"),"Als das Mädchen das Ende des Hofes erreicht, dreht sie eine Kurve und fährt in die gleiche Richtung, aus der sie gerade gekommen ist.")</f>
        <v>Als das Mädchen das Ende des Hofes erreicht, dreht sie eine Kurve und fährt in die gleiche Richtung, aus der sie gerade gekommen ist.</v>
      </c>
    </row>
    <row r="18083">
      <c r="A18083" s="4" t="s">
        <v>22758</v>
      </c>
      <c r="B18083" s="4" t="s">
        <v>22761</v>
      </c>
      <c r="C18083" s="5" t="str">
        <f>IFERROR(__xludf.DUMMYFUNCTION("GOOGLETRANSLATE(B18083,""en"",""de"")"),"Wenn sie dieses Ende erreicht, dreht sie eine Kurve, aber es ist zu eng und sie kehrt ein wenig um.")</f>
        <v>Wenn sie dieses Ende erreicht, dreht sie eine Kurve, aber es ist zu eng und sie kehrt ein wenig um.</v>
      </c>
    </row>
    <row r="18084">
      <c r="A18084" s="4" t="s">
        <v>22758</v>
      </c>
      <c r="B18084" s="4" t="s">
        <v>22762</v>
      </c>
      <c r="C18084" s="5" t="str">
        <f>IFERROR(__xludf.DUMMYFUNCTION("GOOGLETRANSLATE(B18084,""en"",""de"")"),"Das Mädchen lässt sie dann wieder in die entgegengesetzte Richtung drehen und als sie auf halbem Weg den Hof entlang greift, dreht sie sich erneut um und geht die Richtung hinauf, aus der sie gerade gekommen ist.")</f>
        <v>Das Mädchen lässt sie dann wieder in die entgegengesetzte Richtung drehen und als sie auf halbem Weg den Hof entlang greift, dreht sie sich erneut um und geht die Richtung hinauf, aus der sie gerade gekommen ist.</v>
      </c>
    </row>
    <row r="18085">
      <c r="A18085" s="4" t="s">
        <v>22763</v>
      </c>
      <c r="B18085" s="4" t="s">
        <v>22764</v>
      </c>
      <c r="C18085" s="5" t="str">
        <f>IFERROR(__xludf.DUMMYFUNCTION("GOOGLETRANSLATE(B18085,""en"",""de"")"),"Ein Mann in Skijacke auf einem Snowboard hält an einem Seil, das an einem Lastwagen angebracht ist.")</f>
        <v>Ein Mann in Skijacke auf einem Snowboard hält an einem Seil, das an einem Lastwagen angebracht ist.</v>
      </c>
    </row>
    <row r="18086">
      <c r="A18086" s="4" t="s">
        <v>22763</v>
      </c>
      <c r="B18086" s="4" t="s">
        <v>22765</v>
      </c>
      <c r="C18086" s="5" t="str">
        <f>IFERROR(__xludf.DUMMYFUNCTION("GOOGLETRANSLATE(B18086,""en"",""de"")"),"Der LKW fährt mit dem Fahren und der Mann wird am Schleppseil zurückgezogen.")</f>
        <v>Der LKW fährt mit dem Fahren und der Mann wird am Schleppseil zurückgezogen.</v>
      </c>
    </row>
    <row r="18087">
      <c r="A18087" s="4" t="s">
        <v>22763</v>
      </c>
      <c r="B18087" s="4" t="s">
        <v>22766</v>
      </c>
      <c r="C18087" s="5" t="str">
        <f>IFERROR(__xludf.DUMMYFUNCTION("GOOGLETRANSLATE(B18087,""en"",""de"")"),"Der Mann manövriert parallel zum Lastwagen und wechselt hinter dem Lastwagen hin und her.")</f>
        <v>Der Mann manövriert parallel zum Lastwagen und wechselt hinter dem Lastwagen hin und her.</v>
      </c>
    </row>
    <row r="18088">
      <c r="A18088" s="4" t="s">
        <v>22763</v>
      </c>
      <c r="B18088" s="4" t="s">
        <v>22767</v>
      </c>
      <c r="C18088" s="5" t="str">
        <f>IFERROR(__xludf.DUMMYFUNCTION("GOOGLETRANSLATE(B18088,""en"",""de"")"),"Der Mann verlangsamt sich, bevor er das Schleppseil loslassen und zum Stillstand kommen.")</f>
        <v>Der Mann verlangsamt sich, bevor er das Schleppseil loslassen und zum Stillstand kommen.</v>
      </c>
    </row>
    <row r="18089">
      <c r="A18089" s="4" t="s">
        <v>22768</v>
      </c>
      <c r="B18089" s="4" t="s">
        <v>22769</v>
      </c>
      <c r="C18089" s="5" t="str">
        <f>IFERROR(__xludf.DUMMYFUNCTION("GOOGLETRANSLATE(B18089,""en"",""de"")"),"Ein Mann ist auf einem Pferd mit einem weißen langen Seil, das am Ende einen großen Kreis gebunden ist und darauf wartet, dass sich einige blaue Tore öffnen.")</f>
        <v>Ein Mann ist auf einem Pferd mit einem weißen langen Seil, das am Ende einen großen Kreis gebunden ist und darauf wartet, dass sich einige blaue Tore öffnen.</v>
      </c>
    </row>
    <row r="18090">
      <c r="A18090" s="4" t="s">
        <v>22768</v>
      </c>
      <c r="B18090" s="4" t="s">
        <v>22770</v>
      </c>
      <c r="C18090" s="5" t="str">
        <f>IFERROR(__xludf.DUMMYFUNCTION("GOOGLETRANSLATE(B18090,""en"",""de"")"),"Die blauen Tore öffnen sich und ein kleiner Bulle rennt aus und der Typ auf dem Pferd jagt es nieder.")</f>
        <v>Die blauen Tore öffnen sich und ein kleiner Bulle rennt aus und der Typ auf dem Pferd jagt es nieder.</v>
      </c>
    </row>
    <row r="18091">
      <c r="A18091" s="4" t="s">
        <v>22768</v>
      </c>
      <c r="B18091" s="4" t="s">
        <v>22771</v>
      </c>
      <c r="C18091" s="5" t="str">
        <f>IFERROR(__xludf.DUMMYFUNCTION("GOOGLETRANSLATE(B18091,""en"",""de"")"),"Der Typ, der das Seil wirft und den Stier um den Hals fängt, während das oder Ende des Seils an das Pferd gebunden ist.")</f>
        <v>Der Typ, der das Seil wirft und den Stier um den Hals fängt, während das oder Ende des Seils an das Pferd gebunden ist.</v>
      </c>
    </row>
    <row r="18092">
      <c r="A18092" s="4" t="s">
        <v>22768</v>
      </c>
      <c r="B18092" s="4" t="s">
        <v>22772</v>
      </c>
      <c r="C18092" s="5" t="str">
        <f>IFERROR(__xludf.DUMMYFUNCTION("GOOGLETRANSLATE(B18092,""en"",""de"")"),"Der Typ springt dann vom Pferd, rennt zum Stier und dreht ihn auf seinem Rücken und binden die Bullenbeine zusammen.")</f>
        <v>Der Typ springt dann vom Pferd, rennt zum Stier und dreht ihn auf seinem Rücken und binden die Bullenbeine zusammen.</v>
      </c>
    </row>
    <row r="18093">
      <c r="A18093" s="4" t="s">
        <v>22768</v>
      </c>
      <c r="B18093" s="4" t="s">
        <v>22773</v>
      </c>
      <c r="C18093" s="5" t="str">
        <f>IFERROR(__xludf.DUMMYFUNCTION("GOOGLETRANSLATE(B18093,""en"",""de"")"),"Der Typ kommt dann wieder auf sein Pferd, während zwei andere Jungs den Stier aus der Seilkrawatte befreien und es wegnehmen.")</f>
        <v>Der Typ kommt dann wieder auf sein Pferd, während zwei andere Jungs den Stier aus der Seilkrawatte befreien und es wegnehmen.</v>
      </c>
    </row>
    <row r="18094">
      <c r="A18094" s="4" t="s">
        <v>22774</v>
      </c>
      <c r="B18094" s="4" t="s">
        <v>22775</v>
      </c>
      <c r="C18094" s="5" t="str">
        <f>IFERROR(__xludf.DUMMYFUNCTION("GOOGLETRANSLATE(B18094,""en"",""de"")"),"Der Mann ist auf den Boden gekniet, aber er steht auf, um seinen Arm zu heben und auf die Bars zu steigen, um seine Tat auszuführen.")</f>
        <v>Der Mann ist auf den Boden gekniet, aber er steht auf, um seinen Arm zu heben und auf die Bars zu steigen, um seine Tat auszuführen.</v>
      </c>
    </row>
    <row r="18095">
      <c r="A18095" s="4" t="s">
        <v>22774</v>
      </c>
      <c r="B18095" s="4" t="s">
        <v>22776</v>
      </c>
      <c r="C18095" s="5" t="str">
        <f>IFERROR(__xludf.DUMMYFUNCTION("GOOGLETRANSLATE(B18095,""en"",""de"")"),"Wenn er fertig ist, flippt er ab und schleift, als nächstes wird ein Mädchen gezeigt, das auf dem Stuhl sitzt, und dann wird er wieder gezeigt, dass er aber in Zeitlupe auftritt.")</f>
        <v>Wenn er fertig ist, flippt er ab und schleift, als nächstes wird ein Mädchen gezeigt, das auf dem Stuhl sitzt, und dann wird er wieder gezeigt, dass er aber in Zeitlupe auftritt.</v>
      </c>
    </row>
    <row r="18096">
      <c r="A18096" s="4" t="s">
        <v>22774</v>
      </c>
      <c r="B18096" s="4" t="s">
        <v>22777</v>
      </c>
      <c r="C18096" s="5" t="str">
        <f>IFERROR(__xludf.DUMMYFUNCTION("GOOGLETRANSLATE(B18096,""en"",""de"")"),"Als nächstes wird ein Mädchen gezeigt, das auf den ungleichmäßigen Bars schwingt, und wenn sie fertig ist, setzt sie sich, um sich zu setzen und darüber zu sprechen, was sie tut.")</f>
        <v>Als nächstes wird ein Mädchen gezeigt, das auf den ungleichmäßigen Bars schwingt, und wenn sie fertig ist, setzt sie sich, um sich zu setzen und darüber zu sprechen, was sie tut.</v>
      </c>
    </row>
    <row r="18097">
      <c r="A18097" s="4" t="s">
        <v>22778</v>
      </c>
      <c r="B18097" s="4" t="s">
        <v>22779</v>
      </c>
      <c r="C18097" s="5" t="str">
        <f>IFERROR(__xludf.DUMMYFUNCTION("GOOGLETRANSLATE(B18097,""en"",""de"")"),"Eine Dame geht über einen Rasen.")</f>
        <v>Eine Dame geht über einen Rasen.</v>
      </c>
    </row>
    <row r="18098">
      <c r="A18098" s="4" t="s">
        <v>22778</v>
      </c>
      <c r="B18098" s="4" t="s">
        <v>22780</v>
      </c>
      <c r="C18098" s="5" t="str">
        <f>IFERROR(__xludf.DUMMYFUNCTION("GOOGLETRANSLATE(B18098,""en"",""de"")"),"Ein Mann rennt und stoppt auf dem Rasen.")</f>
        <v>Ein Mann rennt und stoppt auf dem Rasen.</v>
      </c>
    </row>
    <row r="18099">
      <c r="A18099" s="4" t="s">
        <v>22778</v>
      </c>
      <c r="B18099" s="4" t="s">
        <v>22781</v>
      </c>
      <c r="C18099" s="5" t="str">
        <f>IFERROR(__xludf.DUMMYFUNCTION("GOOGLETRANSLATE(B18099,""en"",""de"")"),"Ein Mann steht auf einer Strecke.")</f>
        <v>Ein Mann steht auf einer Strecke.</v>
      </c>
    </row>
    <row r="18100">
      <c r="A18100" s="4" t="s">
        <v>22778</v>
      </c>
      <c r="B18100" s="4" t="s">
        <v>22782</v>
      </c>
      <c r="C18100" s="5" t="str">
        <f>IFERROR(__xludf.DUMMYFUNCTION("GOOGLETRANSLATE(B18100,""en"",""de"")"),"Der Mann rennt auf der Strecke, springt und landet in einer Sandkiste.")</f>
        <v>Der Mann rennt auf der Strecke, springt und landet in einer Sandkiste.</v>
      </c>
    </row>
    <row r="18101">
      <c r="A18101" s="4" t="s">
        <v>22778</v>
      </c>
      <c r="B18101" s="4" t="s">
        <v>22783</v>
      </c>
      <c r="C18101" s="5" t="str">
        <f>IFERROR(__xludf.DUMMYFUNCTION("GOOGLETRANSLATE(B18101,""en"",""de"")"),"Der Mann steht auf, fällt zu Boden und liegt dort.")</f>
        <v>Der Mann steht auf, fällt zu Boden und liegt dort.</v>
      </c>
    </row>
    <row r="18102">
      <c r="A18102" s="4" t="s">
        <v>22784</v>
      </c>
      <c r="B18102" s="4" t="s">
        <v>22785</v>
      </c>
      <c r="C18102" s="5" t="str">
        <f>IFERROR(__xludf.DUMMYFUNCTION("GOOGLETRANSLATE(B18102,""en"",""de"")"),"Mädchen, das uns an einer Stange in einem überdachten Fitnessstudio hängt und einen Sprung zum Landpool machen.")</f>
        <v>Mädchen, das uns an einer Stange in einem überdachten Fitnessstudio hängt und einen Sprung zum Landpool machen.</v>
      </c>
    </row>
    <row r="18103">
      <c r="A18103" s="4" t="s">
        <v>22784</v>
      </c>
      <c r="B18103" s="4" t="s">
        <v>22786</v>
      </c>
      <c r="C18103" s="5" t="str">
        <f>IFERROR(__xludf.DUMMYFUNCTION("GOOGLETRANSLATE(B18103,""en"",""de"")"),"Frau mit einem roten Hemd steht vor der Stange.")</f>
        <v>Frau mit einem roten Hemd steht vor der Stange.</v>
      </c>
    </row>
    <row r="18104">
      <c r="A18104" s="4" t="s">
        <v>22784</v>
      </c>
      <c r="B18104" s="4" t="s">
        <v>22787</v>
      </c>
      <c r="C18104" s="5" t="str">
        <f>IFERROR(__xludf.DUMMYFUNCTION("GOOGLETRANSLATE(B18104,""en"",""de"")"),"Das kleine Mädchen geht vor dem Mädchen, das Gymnastik macht.")</f>
        <v>Das kleine Mädchen geht vor dem Mädchen, das Gymnastik macht.</v>
      </c>
    </row>
    <row r="18105">
      <c r="A18105" s="4" t="s">
        <v>22788</v>
      </c>
      <c r="B18105" s="4" t="s">
        <v>22789</v>
      </c>
      <c r="C18105" s="5" t="str">
        <f>IFERROR(__xludf.DUMMYFUNCTION("GOOGLETRANSLATE(B18105,""en"",""de"")"),"Ein Mann steht vor der Kamera, bevor er gezeigt wird, wie er ein Basketballspiel spielt, während er einen Mann mit einem Paar Boxhandschuhe schlägt.")</f>
        <v>Ein Mann steht vor der Kamera, bevor er gezeigt wird, wie er ein Basketballspiel spielt, während er einen Mann mit einem Paar Boxhandschuhe schlägt.</v>
      </c>
    </row>
    <row r="18106">
      <c r="A18106" s="4" t="s">
        <v>22788</v>
      </c>
      <c r="B18106" s="4" t="s">
        <v>22790</v>
      </c>
      <c r="C18106" s="5" t="str">
        <f>IFERROR(__xludf.DUMMYFUNCTION("GOOGLETRANSLATE(B18106,""en"",""de"")"),"Die beiden Männer schütteln die Hand.")</f>
        <v>Die beiden Männer schütteln die Hand.</v>
      </c>
    </row>
    <row r="18107">
      <c r="A18107" s="4" t="s">
        <v>22791</v>
      </c>
      <c r="B18107" s="4" t="s">
        <v>22792</v>
      </c>
      <c r="C18107" s="5" t="str">
        <f>IFERROR(__xludf.DUMMYFUNCTION("GOOGLETRANSLATE(B18107,""en"",""de"")"),"Ein Mann sitzt auf einer Bank, die eine Gitarre hält und mit der Kamera spricht.")</f>
        <v>Ein Mann sitzt auf einer Bank, die eine Gitarre hält und mit der Kamera spricht.</v>
      </c>
    </row>
    <row r="18108">
      <c r="A18108" s="4" t="s">
        <v>22791</v>
      </c>
      <c r="B18108" s="4" t="s">
        <v>22793</v>
      </c>
      <c r="C18108" s="5" t="str">
        <f>IFERROR(__xludf.DUMMYFUNCTION("GOOGLETRANSLATE(B18108,""en"",""de"")"),"Er zeigt auf Mikrofone vor ihm und beginnt die Gitarre zu schlagen.")</f>
        <v>Er zeigt auf Mikrofone vor ihm und beginnt die Gitarre zu schlagen.</v>
      </c>
    </row>
    <row r="18109">
      <c r="A18109" s="4" t="s">
        <v>22791</v>
      </c>
      <c r="B18109" s="4" t="s">
        <v>22794</v>
      </c>
      <c r="C18109" s="5" t="str">
        <f>IFERROR(__xludf.DUMMYFUNCTION("GOOGLETRANSLATE(B18109,""en"",""de"")"),"Der Mann spielt weiterhin, während er seine Hände rundum bewegt und anhält, um in die Kamera zu schauen.")</f>
        <v>Der Mann spielt weiterhin, während er seine Hände rundum bewegt und anhält, um in die Kamera zu schauen.</v>
      </c>
    </row>
    <row r="18110">
      <c r="A18110" s="4" t="s">
        <v>22795</v>
      </c>
      <c r="B18110" s="4" t="s">
        <v>22796</v>
      </c>
      <c r="C18110" s="5" t="str">
        <f>IFERROR(__xludf.DUMMYFUNCTION("GOOGLETRANSLATE(B18110,""en"",""de"")"),"Wir sehen Menschen in einer Aerobic -Klasse.")</f>
        <v>Wir sehen Menschen in einer Aerobic -Klasse.</v>
      </c>
    </row>
    <row r="18111">
      <c r="A18111" s="4" t="s">
        <v>22795</v>
      </c>
      <c r="B18111" s="4" t="s">
        <v>22797</v>
      </c>
      <c r="C18111" s="5" t="str">
        <f>IFERROR(__xludf.DUMMYFUNCTION("GOOGLETRANSLATE(B18111,""en"",""de"")"),"Der Lehrer beginnt und die Klasse folgt.")</f>
        <v>Der Lehrer beginnt und die Klasse folgt.</v>
      </c>
    </row>
    <row r="18112">
      <c r="A18112" s="4" t="s">
        <v>22795</v>
      </c>
      <c r="B18112" s="4" t="s">
        <v>22798</v>
      </c>
      <c r="C18112" s="5" t="str">
        <f>IFERROR(__xludf.DUMMYFUNCTION("GOOGLETRANSLATE(B18112,""en"",""de"")"),"Während des Stehens auf dem Schritt schwingen die Menschen ihre Hände.")</f>
        <v>Während des Stehens auf dem Schritt schwingen die Menschen ihre Hände.</v>
      </c>
    </row>
    <row r="18113">
      <c r="A18113" s="4" t="s">
        <v>22795</v>
      </c>
      <c r="B18113" s="4" t="s">
        <v>22799</v>
      </c>
      <c r="C18113" s="5" t="str">
        <f>IFERROR(__xludf.DUMMYFUNCTION("GOOGLETRANSLATE(B18113,""en"",""de"")"),"Die Klasse schwingt wieder mit den Armen.")</f>
        <v>Die Klasse schwingt wieder mit den Armen.</v>
      </c>
    </row>
    <row r="18114">
      <c r="A18114" s="4" t="s">
        <v>22795</v>
      </c>
      <c r="B18114" s="4" t="s">
        <v>22800</v>
      </c>
      <c r="C18114" s="5" t="str">
        <f>IFERROR(__xludf.DUMMYFUNCTION("GOOGLETRANSLATE(B18114,""en"",""de"")"),"Der Mann in Red geht nach links ab.")</f>
        <v>Der Mann in Red geht nach links ab.</v>
      </c>
    </row>
    <row r="18115">
      <c r="A18115" s="4" t="s">
        <v>22795</v>
      </c>
      <c r="B18115" s="4" t="s">
        <v>22801</v>
      </c>
      <c r="C18115" s="5" t="str">
        <f>IFERROR(__xludf.DUMMYFUNCTION("GOOGLETRANSLATE(B18115,""en"",""de"")"),"Die Klasse endet und hört auf zu tanzen.")</f>
        <v>Die Klasse endet und hört auf zu tanzen.</v>
      </c>
    </row>
    <row r="18116">
      <c r="A18116" s="4" t="s">
        <v>22795</v>
      </c>
      <c r="B18116" s="4" t="s">
        <v>22802</v>
      </c>
      <c r="C18116" s="5" t="str">
        <f>IFERROR(__xludf.DUMMYFUNCTION("GOOGLETRANSLATE(B18116,""en"",""de"")"),"Der Lehrer geht, um die Kamera auszuschalten.")</f>
        <v>Der Lehrer geht, um die Kamera auszuschalten.</v>
      </c>
    </row>
    <row r="18117">
      <c r="A18117" s="4" t="s">
        <v>22803</v>
      </c>
      <c r="B18117" s="4" t="s">
        <v>22804</v>
      </c>
      <c r="C18117" s="5" t="str">
        <f>IFERROR(__xludf.DUMMYFUNCTION("GOOGLETRANSLATE(B18117,""en"",""de"")"),"Eine weibliche Schwimmerin steht auf einem Tauchbrett in einem schwarzen Schwimmanzug und springt davon, mehrere Flips zu machen.")</f>
        <v>Eine weibliche Schwimmerin steht auf einem Tauchbrett in einem schwarzen Schwimmanzug und springt davon, mehrere Flips zu machen.</v>
      </c>
    </row>
    <row r="18118">
      <c r="A18118" s="4" t="s">
        <v>22803</v>
      </c>
      <c r="B18118" s="4" t="s">
        <v>22805</v>
      </c>
      <c r="C18118" s="5" t="str">
        <f>IFERROR(__xludf.DUMMYFUNCTION("GOOGLETRANSLATE(B18118,""en"",""de"")"),"Sie wird dann auf dem Boden gezeigt und sich mit einem Handtuch über ihr Gesicht wischt.")</f>
        <v>Sie wird dann auf dem Boden gezeigt und sich mit einem Handtuch über ihr Gesicht wischt.</v>
      </c>
    </row>
    <row r="18119">
      <c r="A18119" s="4" t="s">
        <v>22803</v>
      </c>
      <c r="B18119" s="4" t="s">
        <v>22806</v>
      </c>
      <c r="C18119" s="5" t="str">
        <f>IFERROR(__xludf.DUMMYFUNCTION("GOOGLETRANSLATE(B18119,""en"",""de"")"),"Plötzlich kehrt sie zurück zum Tauchbrett und macht einen verrückten Flip, in dem ihre Knie versteckt sind, und sie macht mehrere Flips und dann applaudiert sie sie und es gibt eine sofortige Wiederholung.")</f>
        <v>Plötzlich kehrt sie zurück zum Tauchbrett und macht einen verrückten Flip, in dem ihre Knie versteckt sind, und sie macht mehrere Flips und dann applaudiert sie sie und es gibt eine sofortige Wiederholung.</v>
      </c>
    </row>
    <row r="18120">
      <c r="A18120" s="4" t="s">
        <v>22803</v>
      </c>
      <c r="B18120" s="4" t="s">
        <v>22807</v>
      </c>
      <c r="C18120" s="5" t="str">
        <f>IFERROR(__xludf.DUMMYFUNCTION("GOOGLETRANSLATE(B18120,""en"",""de"")"),"Die Routine geht weiter und das Mädchen versucht, mehr Flips zu machen, und die Menschen reagieren genauso und sie legt ihre Hand mit Ehrfurcht an ihren Mund.")</f>
        <v>Die Routine geht weiter und das Mädchen versucht, mehr Flips zu machen, und die Menschen reagieren genauso und sie legt ihre Hand mit Ehrfurcht an ihren Mund.</v>
      </c>
    </row>
    <row r="18121">
      <c r="A18121" s="4" t="s">
        <v>22808</v>
      </c>
      <c r="B18121" s="4" t="s">
        <v>22809</v>
      </c>
      <c r="C18121" s="5" t="str">
        <f>IFERROR(__xludf.DUMMYFUNCTION("GOOGLETRANSLATE(B18121,""en"",""de"")"),"Verschiedene Texte führen zu Bildern eines Mädchens und malen Nahaufnahmen.")</f>
        <v>Verschiedene Texte führen zu Bildern eines Mädchens und malen Nahaufnahmen.</v>
      </c>
    </row>
    <row r="18122">
      <c r="A18122" s="4" t="s">
        <v>22808</v>
      </c>
      <c r="B18122" s="4" t="s">
        <v>22810</v>
      </c>
      <c r="C18122" s="5" t="str">
        <f>IFERROR(__xludf.DUMMYFUNCTION("GOOGLETRANSLATE(B18122,""en"",""de"")"),"Eine Person wird dann auf einem Blatt Papier mit unterschiedlichen Farben gesehen.")</f>
        <v>Eine Person wird dann auf einem Blatt Papier mit unterschiedlichen Farben gesehen.</v>
      </c>
    </row>
    <row r="18123">
      <c r="A18123" s="4" t="s">
        <v>22808</v>
      </c>
      <c r="B18123" s="4" t="s">
        <v>22811</v>
      </c>
      <c r="C18123" s="5" t="str">
        <f>IFERROR(__xludf.DUMMYFUNCTION("GOOGLETRANSLATE(B18123,""en"",""de"")"),"Die Person malt weiter mit dem gezeigten Text und mischt sich in die Farbe.")</f>
        <v>Die Person malt weiter mit dem gezeigten Text und mischt sich in die Farbe.</v>
      </c>
    </row>
    <row r="18124">
      <c r="A18124" s="4" t="s">
        <v>22812</v>
      </c>
      <c r="B18124" s="4" t="s">
        <v>22813</v>
      </c>
      <c r="C18124" s="5" t="str">
        <f>IFERROR(__xludf.DUMMYFUNCTION("GOOGLETRANSLATE(B18124,""en"",""de"")"),"Im Video handelt es sich um den Bristol BMX Club, der ein Radfahren veranstaltet.")</f>
        <v>Im Video handelt es sich um den Bristol BMX Club, der ein Radfahren veranstaltet.</v>
      </c>
    </row>
    <row r="18125">
      <c r="A18125" s="4" t="s">
        <v>22812</v>
      </c>
      <c r="B18125" s="4" t="s">
        <v>22814</v>
      </c>
      <c r="C18125" s="5" t="str">
        <f>IFERROR(__xludf.DUMMYFUNCTION("GOOGLETRANSLATE(B18125,""en"",""de"")"),"Es gibt einen Mann, der eine weiße Startlinie auf dem Boden für das Rennen zieht.")</f>
        <v>Es gibt einen Mann, der eine weiße Startlinie auf dem Boden für das Rennen zieht.</v>
      </c>
    </row>
    <row r="18126">
      <c r="A18126" s="4" t="s">
        <v>22812</v>
      </c>
      <c r="B18126" s="4" t="s">
        <v>22815</v>
      </c>
      <c r="C18126" s="5" t="str">
        <f>IFERROR(__xludf.DUMMYFUNCTION("GOOGLETRANSLATE(B18126,""en"",""de"")"),"Die Biker machen sich bereit, ihr Rennen zu beginnen.")</f>
        <v>Die Biker machen sich bereit, ihr Rennen zu beginnen.</v>
      </c>
    </row>
    <row r="18127">
      <c r="A18127" s="4" t="s">
        <v>22812</v>
      </c>
      <c r="B18127" s="4" t="s">
        <v>22816</v>
      </c>
      <c r="C18127" s="5" t="str">
        <f>IFERROR(__xludf.DUMMYFUNCTION("GOOGLETRANSLATE(B18127,""en"",""de"")"),"Sie beginnen das Rennen und gehen durch Rampen und Beulen.")</f>
        <v>Sie beginnen das Rennen und gehen durch Rampen und Beulen.</v>
      </c>
    </row>
    <row r="18128">
      <c r="A18128" s="4" t="s">
        <v>22812</v>
      </c>
      <c r="B18128" s="4" t="s">
        <v>22817</v>
      </c>
      <c r="C18128" s="5" t="str">
        <f>IFERROR(__xludf.DUMMYFUNCTION("GOOGLETRANSLATE(B18128,""en"",""de"")"),"Die Biker stammen aus verschiedenen Altersgruppen, die von Teenagern bis hin zu Erwachsenen reichen.")</f>
        <v>Die Biker stammen aus verschiedenen Altersgruppen, die von Teenagern bis hin zu Erwachsenen reichen.</v>
      </c>
    </row>
    <row r="18129">
      <c r="A18129" s="4" t="s">
        <v>22812</v>
      </c>
      <c r="B18129" s="4" t="s">
        <v>22818</v>
      </c>
      <c r="C18129" s="5" t="str">
        <f>IFERROR(__xludf.DUMMYFUNCTION("GOOGLETRANSLATE(B18129,""en"",""de"")"),"Die Rennen gehen weiter, als die Biker den Hindernisparcours der Überwachung von Rampen und Beulen durchlaufen.")</f>
        <v>Die Rennen gehen weiter, als die Biker den Hindernisparcours der Überwachung von Rampen und Beulen durchlaufen.</v>
      </c>
    </row>
    <row r="18130">
      <c r="A18130" s="4" t="s">
        <v>22819</v>
      </c>
      <c r="B18130" s="4" t="s">
        <v>22820</v>
      </c>
      <c r="C18130" s="5" t="str">
        <f>IFERROR(__xludf.DUMMYFUNCTION("GOOGLETRANSLATE(B18130,""en"",""de"")"),"Ein paar Sumo -Wrestler sind auf einer Bühne.")</f>
        <v>Ein paar Sumo -Wrestler sind auf einer Bühne.</v>
      </c>
    </row>
    <row r="18131">
      <c r="A18131" s="4" t="s">
        <v>22819</v>
      </c>
      <c r="B18131" s="4" t="s">
        <v>22821</v>
      </c>
      <c r="C18131" s="5" t="str">
        <f>IFERROR(__xludf.DUMMYFUNCTION("GOOGLETRANSLATE(B18131,""en"",""de"")"),"Sie betreiben gemeinsam ein Wrestling -Match.")</f>
        <v>Sie betreiben gemeinsam ein Wrestling -Match.</v>
      </c>
    </row>
    <row r="18132">
      <c r="A18132" s="4" t="s">
        <v>22819</v>
      </c>
      <c r="B18132" s="4" t="s">
        <v>22822</v>
      </c>
      <c r="C18132" s="5" t="str">
        <f>IFERROR(__xludf.DUMMYFUNCTION("GOOGLETRANSLATE(B18132,""en"",""de"")"),"Ein bitte ein Zeichen für das Zeichen erscheint, wenn technische Probleme auftreten.")</f>
        <v>Ein bitte ein Zeichen für das Zeichen erscheint, wenn technische Probleme auftreten.</v>
      </c>
    </row>
    <row r="18133">
      <c r="A18133" s="4" t="s">
        <v>22823</v>
      </c>
      <c r="B18133" s="4" t="s">
        <v>22824</v>
      </c>
      <c r="C18133" s="5" t="str">
        <f>IFERROR(__xludf.DUMMYFUNCTION("GOOGLETRANSLATE(B18133,""en"",""de"")"),"Ein weißer Bildschirm wird angezeigt und auf dem Bildschirm werden verschiedene Logos angezeigt, wenn er zu einem schwarzen Bildschirm geht.")</f>
        <v>Ein weißer Bildschirm wird angezeigt und auf dem Bildschirm werden verschiedene Logos angezeigt, wenn er zu einem schwarzen Bildschirm geht.</v>
      </c>
    </row>
    <row r="18134">
      <c r="A18134" s="4" t="s">
        <v>22823</v>
      </c>
      <c r="B18134" s="4" t="s">
        <v>22825</v>
      </c>
      <c r="C18134" s="5" t="str">
        <f>IFERROR(__xludf.DUMMYFUNCTION("GOOGLETRANSLATE(B18134,""en"",""de"")"),"Eine Sonne steigt und Männer gehen einen Hügel hinauf, ziehen ein Seil und lesen ein Buch.")</f>
        <v>Eine Sonne steigt und Männer gehen einen Hügel hinauf, ziehen ein Seil und lesen ein Buch.</v>
      </c>
    </row>
    <row r="18135">
      <c r="A18135" s="4" t="s">
        <v>22823</v>
      </c>
      <c r="B18135" s="4" t="s">
        <v>22826</v>
      </c>
      <c r="C18135" s="5" t="str">
        <f>IFERROR(__xludf.DUMMYFUNCTION("GOOGLETRANSLATE(B18135,""en"",""de"")"),"Sie machen weiterhin verschiedene Hobbys in den Bergen und ein Mann kommt zurück und beginnt zu reden, wenn die Credits rollen.")</f>
        <v>Sie machen weiterhin verschiedene Hobbys in den Bergen und ein Mann kommt zurück und beginnt zu reden, wenn die Credits rollen.</v>
      </c>
    </row>
    <row r="18136">
      <c r="A18136" s="4" t="s">
        <v>22827</v>
      </c>
      <c r="B18136" s="4" t="s">
        <v>22828</v>
      </c>
      <c r="C18136" s="5" t="str">
        <f>IFERROR(__xludf.DUMMYFUNCTION("GOOGLETRANSLATE(B18136,""en"",""de"")"),"Ein junges Mädchen ist draußen im Park und spricht mit ihrem älteren Bruder.")</f>
        <v>Ein junges Mädchen ist draußen im Park und spricht mit ihrem älteren Bruder.</v>
      </c>
    </row>
    <row r="18137">
      <c r="A18137" s="4" t="s">
        <v>22827</v>
      </c>
      <c r="B18137" s="4" t="s">
        <v>22829</v>
      </c>
      <c r="C18137" s="5" t="str">
        <f>IFERROR(__xludf.DUMMYFUNCTION("GOOGLETRANSLATE(B18137,""en"",""de"")"),"Die beiden beginnen ein Gesicht und fallen auf den Bürgersteig, der ein langes Hopscotch -Spiel zeichnet.")</f>
        <v>Die beiden beginnen ein Gesicht und fallen auf den Bürgersteig, der ein langes Hopscotch -Spiel zeichnet.</v>
      </c>
    </row>
    <row r="18138">
      <c r="A18138" s="4" t="s">
        <v>22827</v>
      </c>
      <c r="B18138" s="4" t="s">
        <v>22830</v>
      </c>
      <c r="C18138" s="5" t="str">
        <f>IFERROR(__xludf.DUMMYFUNCTION("GOOGLETRANSLATE(B18138,""en"",""de"")"),"Sobald sie abgeschlossen sind, stehen sie auf, werfen ihre Kreide und das Mädchen bewegt sich rechts vom Spiel.")</f>
        <v>Sobald sie abgeschlossen sind, stehen sie auf, werfen ihre Kreide und das Mädchen bewegt sich rechts vom Spiel.</v>
      </c>
    </row>
    <row r="18139">
      <c r="A18139" s="4" t="s">
        <v>22827</v>
      </c>
      <c r="B18139" s="4" t="s">
        <v>22831</v>
      </c>
      <c r="C18139" s="5" t="str">
        <f>IFERROR(__xludf.DUMMYFUNCTION("GOOGLETRANSLATE(B18139,""en"",""de"")"),"Der Junge beginnt das Spiel und das Mädchen beginnt, dass sie sich dreht und das Spiel rückwärts bewegt.")</f>
        <v>Der Junge beginnt das Spiel und das Mädchen beginnt, dass sie sich dreht und das Spiel rückwärts bewegt.</v>
      </c>
    </row>
    <row r="18140">
      <c r="A18140" s="4" t="s">
        <v>22827</v>
      </c>
      <c r="B18140" s="4" t="s">
        <v>22832</v>
      </c>
      <c r="C18140" s="5" t="str">
        <f>IFERROR(__xludf.DUMMYFUNCTION("GOOGLETRANSLATE(B18140,""en"",""de"")"),"Um sie zu zeigen, beginnt der Junge über den Bürgersteig zu tanzen und das Mädchen erwidern es, indem er das Spiel niederschlägt.")</f>
        <v>Um sie zu zeigen, beginnt der Junge über den Bürgersteig zu tanzen und das Mädchen erwidern es, indem er das Spiel niederschlägt.</v>
      </c>
    </row>
    <row r="18141">
      <c r="A18141" s="4" t="s">
        <v>22827</v>
      </c>
      <c r="B18141" s="4" t="s">
        <v>22833</v>
      </c>
      <c r="C18141" s="5" t="str">
        <f>IFERROR(__xludf.DUMMYFUNCTION("GOOGLETRANSLATE(B18141,""en"",""de"")"),"Jetzt ist es der Jungen und er versucht zu drehen, fällt aber am Ende und das Mädchen beginnt ihn zu lachen.")</f>
        <v>Jetzt ist es der Jungen und er versucht zu drehen, fällt aber am Ende und das Mädchen beginnt ihn zu lachen.</v>
      </c>
    </row>
    <row r="18142">
      <c r="A18142" s="4" t="s">
        <v>22827</v>
      </c>
      <c r="B18142" s="4" t="s">
        <v>22834</v>
      </c>
      <c r="C18142" s="5" t="str">
        <f>IFERROR(__xludf.DUMMYFUNCTION("GOOGLETRANSLATE(B18142,""en"",""de"")"),"Das junge Mädchen gewinnt und der Junge gibt ihr infolgedessen seine Xbox.")</f>
        <v>Das junge Mädchen gewinnt und der Junge gibt ihr infolgedessen seine Xbox.</v>
      </c>
    </row>
    <row r="18143">
      <c r="A18143" s="4" t="s">
        <v>22835</v>
      </c>
      <c r="B18143" s="4" t="s">
        <v>22836</v>
      </c>
      <c r="C18143" s="5" t="str">
        <f>IFERROR(__xludf.DUMMYFUNCTION("GOOGLETRANSLATE(B18143,""en"",""de"")"),"Ein Mann in Schwarz spielt ein Saxophon auf einer Pool -Terrasse.")</f>
        <v>Ein Mann in Schwarz spielt ein Saxophon auf einer Pool -Terrasse.</v>
      </c>
    </row>
    <row r="18144">
      <c r="A18144" s="4" t="s">
        <v>22835</v>
      </c>
      <c r="B18144" s="4" t="s">
        <v>22837</v>
      </c>
      <c r="C18144" s="5" t="str">
        <f>IFERROR(__xludf.DUMMYFUNCTION("GOOGLETRANSLATE(B18144,""en"",""de"")"),"Der Saxophonspieler schaut zu seinem Tastaturspieler hinüber.")</f>
        <v>Der Saxophonspieler schaut zu seinem Tastaturspieler hinüber.</v>
      </c>
    </row>
    <row r="18145">
      <c r="A18145" s="4" t="s">
        <v>22835</v>
      </c>
      <c r="B18145" s="4" t="s">
        <v>22838</v>
      </c>
      <c r="C18145" s="5" t="str">
        <f>IFERROR(__xludf.DUMMYFUNCTION("GOOGLETRANSLATE(B18145,""en"",""de"")"),"Die Kamera schwenkt zum Keyboard -Player, der ein Korg Electric Piano spielt.")</f>
        <v>Die Kamera schwenkt zum Keyboard -Player, der ein Korg Electric Piano spielt.</v>
      </c>
    </row>
    <row r="18146">
      <c r="A18146" s="4" t="s">
        <v>22839</v>
      </c>
      <c r="B18146" s="4" t="s">
        <v>22840</v>
      </c>
      <c r="C18146" s="5" t="str">
        <f>IFERROR(__xludf.DUMMYFUNCTION("GOOGLETRANSLATE(B18146,""en"",""de"")"),"Die Dame spricht mit der Kamera.")</f>
        <v>Die Dame spricht mit der Kamera.</v>
      </c>
    </row>
    <row r="18147">
      <c r="A18147" s="4" t="s">
        <v>22839</v>
      </c>
      <c r="B18147" s="4" t="s">
        <v>22841</v>
      </c>
      <c r="C18147" s="5" t="str">
        <f>IFERROR(__xludf.DUMMYFUNCTION("GOOGLETRANSLATE(B18147,""en"",""de"")"),"Wir sehen dann einen Topf.")</f>
        <v>Wir sehen dann einen Topf.</v>
      </c>
    </row>
    <row r="18148">
      <c r="A18148" s="4" t="s">
        <v>22839</v>
      </c>
      <c r="B18148" s="4" t="s">
        <v>22842</v>
      </c>
      <c r="C18148" s="5" t="str">
        <f>IFERROR(__xludf.DUMMYFUNCTION("GOOGLETRANSLATE(B18148,""en"",""de"")"),"Wir sehen Spaghetti in einer Schachtel.")</f>
        <v>Wir sehen Spaghetti in einer Schachtel.</v>
      </c>
    </row>
    <row r="18149">
      <c r="A18149" s="4" t="s">
        <v>22839</v>
      </c>
      <c r="B18149" s="4" t="s">
        <v>22843</v>
      </c>
      <c r="C18149" s="5" t="str">
        <f>IFERROR(__xludf.DUMMYFUNCTION("GOOGLETRANSLATE(B18149,""en"",""de"")"),"Wir sehen Salz in einer Tasse.")</f>
        <v>Wir sehen Salz in einer Tasse.</v>
      </c>
    </row>
    <row r="18150">
      <c r="A18150" s="4" t="s">
        <v>22839</v>
      </c>
      <c r="B18150" s="4" t="s">
        <v>22844</v>
      </c>
      <c r="C18150" s="5" t="str">
        <f>IFERROR(__xludf.DUMMYFUNCTION("GOOGLETRANSLATE(B18150,""en"",""de"")"),"Das Wasser kocht im Bot.")</f>
        <v>Das Wasser kocht im Bot.</v>
      </c>
    </row>
    <row r="18151">
      <c r="A18151" s="4" t="s">
        <v>22839</v>
      </c>
      <c r="B18151" s="4" t="s">
        <v>22845</v>
      </c>
      <c r="C18151" s="5" t="str">
        <f>IFERROR(__xludf.DUMMYFUNCTION("GOOGLETRANSLATE(B18151,""en"",""de"")"),"Sie fügt dem Topf Salz hinzu.")</f>
        <v>Sie fügt dem Topf Salz hinzu.</v>
      </c>
    </row>
    <row r="18152">
      <c r="A18152" s="4" t="s">
        <v>22839</v>
      </c>
      <c r="B18152" s="4" t="s">
        <v>22846</v>
      </c>
      <c r="C18152" s="5" t="str">
        <f>IFERROR(__xludf.DUMMYFUNCTION("GOOGLETRANSLATE(B18152,""en"",""de"")"),"Sie fügt dem Wasser Pasta hinzu.")</f>
        <v>Sie fügt dem Wasser Pasta hinzu.</v>
      </c>
    </row>
    <row r="18153">
      <c r="A18153" s="4" t="s">
        <v>22839</v>
      </c>
      <c r="B18153" s="4" t="s">
        <v>22847</v>
      </c>
      <c r="C18153" s="5" t="str">
        <f>IFERROR(__xludf.DUMMYFUNCTION("GOOGLETRANSLATE(B18153,""en"",""de"")"),"Wir sehen die Pasta -Box aus der Nähe.")</f>
        <v>Wir sehen die Pasta -Box aus der Nähe.</v>
      </c>
    </row>
    <row r="18154">
      <c r="A18154" s="4" t="s">
        <v>22839</v>
      </c>
      <c r="B18154" s="4" t="s">
        <v>22848</v>
      </c>
      <c r="C18154" s="5" t="str">
        <f>IFERROR(__xludf.DUMMYFUNCTION("GOOGLETRANSLATE(B18154,""en"",""de"")"),"Wir sehen, wie die Dame den Timer setzt.")</f>
        <v>Wir sehen, wie die Dame den Timer setzt.</v>
      </c>
    </row>
    <row r="18155">
      <c r="A18155" s="4" t="s">
        <v>22839</v>
      </c>
      <c r="B18155" s="4" t="s">
        <v>22849</v>
      </c>
      <c r="C18155" s="5" t="str">
        <f>IFERROR(__xludf.DUMMYFUNCTION("GOOGLETRANSLATE(B18155,""en"",""de"")"),"Sie nimmt die Nudeln aus dem Topf.")</f>
        <v>Sie nimmt die Nudeln aus dem Topf.</v>
      </c>
    </row>
    <row r="18156">
      <c r="A18156" s="4" t="s">
        <v>22839</v>
      </c>
      <c r="B18156" s="4" t="s">
        <v>22850</v>
      </c>
      <c r="C18156" s="5" t="str">
        <f>IFERROR(__xludf.DUMMYFUNCTION("GOOGLETRANSLATE(B18156,""en"",""de"")"),"Sie spricht und winkt nach der Kamera.")</f>
        <v>Sie spricht und winkt nach der Kamera.</v>
      </c>
    </row>
    <row r="18157">
      <c r="A18157" s="4" t="s">
        <v>22851</v>
      </c>
      <c r="B18157" s="4" t="s">
        <v>22852</v>
      </c>
      <c r="C18157" s="5" t="str">
        <f>IFERROR(__xludf.DUMMYFUNCTION("GOOGLETRANSLATE(B18157,""en"",""de"")"),"Ein Mann und eine Frau stehen in der Mitte eines Bodens mit einer Frau, die zur Kamera spricht und mit dem Mann in ihr Tanzen führt.")</f>
        <v>Ein Mann und eine Frau stehen in der Mitte eines Bodens mit einer Frau, die zur Kamera spricht und mit dem Mann in ihr Tanzen führt.</v>
      </c>
    </row>
    <row r="18158">
      <c r="A18158" s="4" t="s">
        <v>22851</v>
      </c>
      <c r="B18158" s="4" t="s">
        <v>22853</v>
      </c>
      <c r="C18158" s="5" t="str">
        <f>IFERROR(__xludf.DUMMYFUNCTION("GOOGLETRANSLATE(B18158,""en"",""de"")"),"Die beiden drehen sich und tanzen umeinander und endet, indem sie voneinander weggehen.")</f>
        <v>Die beiden drehen sich und tanzen umeinander und endet, indem sie voneinander weggehen.</v>
      </c>
    </row>
    <row r="18159">
      <c r="A18159" s="4" t="s">
        <v>22854</v>
      </c>
      <c r="B18159" s="4" t="s">
        <v>22855</v>
      </c>
      <c r="C18159" s="5" t="str">
        <f>IFERROR(__xludf.DUMMYFUNCTION("GOOGLETRANSLATE(B18159,""en"",""de"")"),"Ein Mann spricht mit der Kamera, während er mit einem offenen Koffer neben einem Auto steht.")</f>
        <v>Ein Mann spricht mit der Kamera, während er mit einem offenen Koffer neben einem Auto steht.</v>
      </c>
    </row>
    <row r="18160">
      <c r="A18160" s="4" t="s">
        <v>22854</v>
      </c>
      <c r="B18160" s="4" t="s">
        <v>22856</v>
      </c>
      <c r="C18160" s="5" t="str">
        <f>IFERROR(__xludf.DUMMYFUNCTION("GOOGLETRANSLATE(B18160,""en"",""de"")"),"Der Mann schraubt dann einen Reifen und hebt das Auto mit einer Buchse.")</f>
        <v>Der Mann schraubt dann einen Reifen und hebt das Auto mit einer Buchse.</v>
      </c>
    </row>
    <row r="18161">
      <c r="A18161" s="4" t="s">
        <v>22854</v>
      </c>
      <c r="B18161" s="4" t="s">
        <v>22857</v>
      </c>
      <c r="C18161" s="5" t="str">
        <f>IFERROR(__xludf.DUMMYFUNCTION("GOOGLETRANSLATE(B18161,""en"",""de"")"),"Der Mann nimmt den Reifen aus und legt einen neuen an, um es zu beenden.")</f>
        <v>Der Mann nimmt den Reifen aus und legt einen neuen an, um es zu beenden.</v>
      </c>
    </row>
    <row r="18162">
      <c r="A18162" s="4" t="s">
        <v>22854</v>
      </c>
      <c r="B18162" s="4" t="s">
        <v>22858</v>
      </c>
      <c r="C18162" s="5" t="str">
        <f>IFERROR(__xludf.DUMMYFUNCTION("GOOGLETRANSLATE(B18162,""en"",""de"")"),"Er nimmt den Jack ab und endet mit der Kamera.")</f>
        <v>Er nimmt den Jack ab und endet mit der Kamera.</v>
      </c>
    </row>
    <row r="18163">
      <c r="A18163" s="4" t="s">
        <v>22859</v>
      </c>
      <c r="B18163" s="4" t="s">
        <v>22860</v>
      </c>
      <c r="C18163" s="5" t="str">
        <f>IFERROR(__xludf.DUMMYFUNCTION("GOOGLETRANSLATE(B18163,""en"",""de"")"),"Ein Fahrrad wird in einem dunklen Raum gezeigt.")</f>
        <v>Ein Fahrrad wird in einem dunklen Raum gezeigt.</v>
      </c>
    </row>
    <row r="18164">
      <c r="A18164" s="4" t="s">
        <v>22859</v>
      </c>
      <c r="B18164" s="4" t="s">
        <v>22861</v>
      </c>
      <c r="C18164" s="5" t="str">
        <f>IFERROR(__xludf.DUMMYFUNCTION("GOOGLETRANSLATE(B18164,""en"",""de"")"),"Der Mann trägt Motobike -Kleidung und fährt ein Motorrad auf einem Feld.")</f>
        <v>Der Mann trägt Motobike -Kleidung und fährt ein Motorrad auf einem Feld.</v>
      </c>
    </row>
    <row r="18165">
      <c r="A18165" s="4" t="s">
        <v>22859</v>
      </c>
      <c r="B18165" s="4" t="s">
        <v>22862</v>
      </c>
      <c r="C18165" s="5" t="str">
        <f>IFERROR(__xludf.DUMMYFUNCTION("GOOGLETRANSLATE(B18165,""en"",""de"")"),"Der Mensch macht auf dem Motorrad Practicig Motocross in einem staubigen Feld hohe Sprünge.")</f>
        <v>Der Mensch macht auf dem Motorrad Practicig Motocross in einem staubigen Feld hohe Sprünge.</v>
      </c>
    </row>
    <row r="18166">
      <c r="A18166" s="4" t="s">
        <v>22863</v>
      </c>
      <c r="B18166" s="4" t="s">
        <v>22864</v>
      </c>
      <c r="C18166" s="5" t="str">
        <f>IFERROR(__xludf.DUMMYFUNCTION("GOOGLETRANSLATE(B18166,""en"",""de"")"),"Eine große Gruppe von Flaggen wird angezeigt.")</f>
        <v>Eine große Gruppe von Flaggen wird angezeigt.</v>
      </c>
    </row>
    <row r="18167">
      <c r="A18167" s="4" t="s">
        <v>22863</v>
      </c>
      <c r="B18167" s="4" t="s">
        <v>22865</v>
      </c>
      <c r="C18167" s="5" t="str">
        <f>IFERROR(__xludf.DUMMYFUNCTION("GOOGLETRANSLATE(B18167,""en"",""de"")"),"Mehrere Schwimmer schwimmen im Pool.")</f>
        <v>Mehrere Schwimmer schwimmen im Pool.</v>
      </c>
    </row>
    <row r="18168">
      <c r="A18168" s="4" t="s">
        <v>22863</v>
      </c>
      <c r="B18168" s="4" t="s">
        <v>22866</v>
      </c>
      <c r="C18168" s="5" t="str">
        <f>IFERROR(__xludf.DUMMYFUNCTION("GOOGLETRANSLATE(B18168,""en"",""de"")"),"Sie schwimmen wettbewerbsfähig, darunter darunter gezeigt.")</f>
        <v>Sie schwimmen wettbewerbsfähig, darunter darunter gezeigt.</v>
      </c>
    </row>
    <row r="18169">
      <c r="A18169" s="4" t="s">
        <v>22867</v>
      </c>
      <c r="B18169" s="4" t="s">
        <v>22868</v>
      </c>
      <c r="C18169" s="5" t="str">
        <f>IFERROR(__xludf.DUMMYFUNCTION("GOOGLETRANSLATE(B18169,""en"",""de"")"),"Ein Mann wird schnell in seinem Vorgarten Blätter rechnen.")</f>
        <v>Ein Mann wird schnell in seinem Vorgarten Blätter rechnen.</v>
      </c>
    </row>
    <row r="18170">
      <c r="A18170" s="4" t="s">
        <v>22867</v>
      </c>
      <c r="B18170" s="4" t="s">
        <v>22869</v>
      </c>
      <c r="C18170" s="5" t="str">
        <f>IFERROR(__xludf.DUMMYFUNCTION("GOOGLETRANSLATE(B18170,""en"",""de"")"),"Mehrere Autos gehen vorbei, während er weiter remt.")</f>
        <v>Mehrere Autos gehen vorbei, während er weiter remt.</v>
      </c>
    </row>
    <row r="18171">
      <c r="A18171" s="4" t="s">
        <v>22867</v>
      </c>
      <c r="B18171" s="4" t="s">
        <v>22870</v>
      </c>
      <c r="C18171" s="5" t="str">
        <f>IFERROR(__xludf.DUMMYFUNCTION("GOOGLETRANSLATE(B18171,""en"",""de"")"),"Er remt sich um die Büsche und den Baum in seinem Garten.")</f>
        <v>Er remt sich um die Büsche und den Baum in seinem Garten.</v>
      </c>
    </row>
    <row r="18172">
      <c r="A18172" s="4" t="s">
        <v>22867</v>
      </c>
      <c r="B18172" s="4" t="s">
        <v>22871</v>
      </c>
      <c r="C18172" s="5" t="str">
        <f>IFERROR(__xludf.DUMMYFUNCTION("GOOGLETRANSLATE(B18172,""en"",""de"")"),"Eine Frau erscheint und hilft ihm, die Blätter zu schärfen und zu packen.")</f>
        <v>Eine Frau erscheint und hilft ihm, die Blätter zu schärfen und zu packen.</v>
      </c>
    </row>
    <row r="18173">
      <c r="A18173" s="4" t="s">
        <v>22867</v>
      </c>
      <c r="B18173" s="4" t="s">
        <v>22872</v>
      </c>
      <c r="C18173" s="5" t="str">
        <f>IFERROR(__xludf.DUMMYFUNCTION("GOOGLETRANSLATE(B18173,""en"",""de"")"),"Sie nehmen die Taschen weg, wenn sie fertig sind.")</f>
        <v>Sie nehmen die Taschen weg, wenn sie fertig sind.</v>
      </c>
    </row>
    <row r="18174">
      <c r="A18174" s="4" t="s">
        <v>22867</v>
      </c>
      <c r="B18174" s="4" t="s">
        <v>22873</v>
      </c>
      <c r="C18174" s="5" t="str">
        <f>IFERROR(__xludf.DUMMYFUNCTION("GOOGLETRANSLATE(B18174,""en"",""de"")"),"Sie stehen vor der Kamera und posieren mit dem Rechen.")</f>
        <v>Sie stehen vor der Kamera und posieren mit dem Rechen.</v>
      </c>
    </row>
    <row r="18175">
      <c r="A18175" s="4" t="s">
        <v>22874</v>
      </c>
      <c r="B18175" s="4" t="s">
        <v>22875</v>
      </c>
      <c r="C18175" s="5" t="str">
        <f>IFERROR(__xludf.DUMMYFUNCTION("GOOGLETRANSLATE(B18175,""en"",""de"")"),"Eine Person läuft in einem Hof, während er sie mit einer Kamera aufnimmt.")</f>
        <v>Eine Person läuft in einem Hof, während er sie mit einer Kamera aufnimmt.</v>
      </c>
    </row>
    <row r="18176">
      <c r="A18176" s="4" t="s">
        <v>22874</v>
      </c>
      <c r="B18176" s="4" t="s">
        <v>22876</v>
      </c>
      <c r="C18176" s="5" t="str">
        <f>IFERROR(__xludf.DUMMYFUNCTION("GOOGLETRANSLATE(B18176,""en"",""de"")"),"Die Person bekommt ein Tablett weißer Farbe und malt einen Zaun.")</f>
        <v>Die Person bekommt ein Tablett weißer Farbe und malt einen Zaun.</v>
      </c>
    </row>
    <row r="18177">
      <c r="A18177" s="4" t="s">
        <v>22877</v>
      </c>
      <c r="B18177" s="4" t="s">
        <v>22878</v>
      </c>
      <c r="C18177" s="5" t="str">
        <f>IFERROR(__xludf.DUMMYFUNCTION("GOOGLETRANSLATE(B18177,""en"",""de"")"),"Ein Mann spricht mit der Kamera aus einer Küche.")</f>
        <v>Ein Mann spricht mit der Kamera aus einer Küche.</v>
      </c>
    </row>
    <row r="18178">
      <c r="A18178" s="4" t="s">
        <v>22877</v>
      </c>
      <c r="B18178" s="4" t="s">
        <v>22879</v>
      </c>
      <c r="C18178" s="5" t="str">
        <f>IFERROR(__xludf.DUMMYFUNCTION("GOOGLETRANSLATE(B18178,""en"",""de"")"),"Der Mann demonstriert das Schärfen eines Messers mit mehreren Schärfwerkzeugen.")</f>
        <v>Der Mann demonstriert das Schärfen eines Messers mit mehreren Schärfwerkzeugen.</v>
      </c>
    </row>
    <row r="18179">
      <c r="A18179" s="4" t="s">
        <v>22877</v>
      </c>
      <c r="B18179" s="4" t="s">
        <v>22880</v>
      </c>
      <c r="C18179" s="5" t="str">
        <f>IFERROR(__xludf.DUMMYFUNCTION("GOOGLETRANSLATE(B18179,""en"",""de"")"),"Der Mann spricht wieder mit der Kamera.")</f>
        <v>Der Mann spricht wieder mit der Kamera.</v>
      </c>
    </row>
    <row r="18180">
      <c r="A18180" s="4" t="s">
        <v>22877</v>
      </c>
      <c r="B18180" s="4" t="s">
        <v>22881</v>
      </c>
      <c r="C18180" s="5" t="str">
        <f>IFERROR(__xludf.DUMMYFUNCTION("GOOGLETRANSLATE(B18180,""en"",""de"")"),"Der Mann schärft und hält dann ein Messer hoch.")</f>
        <v>Der Mann schärft und hält dann ein Messer hoch.</v>
      </c>
    </row>
    <row r="18181">
      <c r="A18181" s="4" t="s">
        <v>22877</v>
      </c>
      <c r="B18181" s="4" t="s">
        <v>22882</v>
      </c>
      <c r="C18181" s="5" t="str">
        <f>IFERROR(__xludf.DUMMYFUNCTION("GOOGLETRANSLATE(B18181,""en"",""de"")"),"Es werden verschiedene Arten von Messerspeicheroptionen angezeigt.")</f>
        <v>Es werden verschiedene Arten von Messerspeicheroptionen angezeigt.</v>
      </c>
    </row>
    <row r="18182">
      <c r="A18182" s="4" t="s">
        <v>22877</v>
      </c>
      <c r="B18182" s="4" t="s">
        <v>22883</v>
      </c>
      <c r="C18182" s="5" t="str">
        <f>IFERROR(__xludf.DUMMYFUNCTION("GOOGLETRANSLATE(B18182,""en"",""de"")"),"Der Mann spricht noch mehr mit der Kamera.")</f>
        <v>Der Mann spricht noch mehr mit der Kamera.</v>
      </c>
    </row>
    <row r="18183">
      <c r="A18183" s="4" t="s">
        <v>22884</v>
      </c>
      <c r="B18183" s="4" t="s">
        <v>22885</v>
      </c>
      <c r="C18183" s="5" t="str">
        <f>IFERROR(__xludf.DUMMYFUNCTION("GOOGLETRANSLATE(B18183,""en"",""de"")"),"Wir sehen einen Öffnungsbildschirm mit einem Hund.")</f>
        <v>Wir sehen einen Öffnungsbildschirm mit einem Hund.</v>
      </c>
    </row>
    <row r="18184">
      <c r="A18184" s="4" t="s">
        <v>22884</v>
      </c>
      <c r="B18184" s="4" t="s">
        <v>22886</v>
      </c>
      <c r="C18184" s="5" t="str">
        <f>IFERROR(__xludf.DUMMYFUNCTION("GOOGLETRANSLATE(B18184,""en"",""de"")"),"Wir sehen eine Frau in einem Krankenschwesterhemd und zwei Hunde in einer Küche.")</f>
        <v>Wir sehen eine Frau in einem Krankenschwesterhemd und zwei Hunde in einer Küche.</v>
      </c>
    </row>
    <row r="18185">
      <c r="A18185" s="4" t="s">
        <v>22884</v>
      </c>
      <c r="B18185" s="4" t="s">
        <v>22887</v>
      </c>
      <c r="C18185" s="5" t="str">
        <f>IFERROR(__xludf.DUMMYFUNCTION("GOOGLETRANSLATE(B18185,""en"",""de"")"),"Die Dame hat einen kleinen nassen Hund, den sie am Tisch staubsaugt und den Hund bürstet.")</f>
        <v>Die Dame hat einen kleinen nassen Hund, den sie am Tisch staubsaugt und den Hund bürstet.</v>
      </c>
    </row>
    <row r="18186">
      <c r="A18186" s="4" t="s">
        <v>22884</v>
      </c>
      <c r="B18186" s="4" t="s">
        <v>22888</v>
      </c>
      <c r="C18186" s="5" t="str">
        <f>IFERROR(__xludf.DUMMYFUNCTION("GOOGLETRANSLATE(B18186,""en"",""de"")"),"Wir sehen die Hunde auf dem Küchenboden herumlaufen.")</f>
        <v>Wir sehen die Hunde auf dem Küchenboden herumlaufen.</v>
      </c>
    </row>
    <row r="18187">
      <c r="A18187" s="4" t="s">
        <v>22884</v>
      </c>
      <c r="B18187" s="4" t="s">
        <v>22889</v>
      </c>
      <c r="C18187" s="5" t="str">
        <f>IFERROR(__xludf.DUMMYFUNCTION("GOOGLETRANSLATE(B18187,""en"",""de"")"),"Wir sehen, wie die Dame ein Hundefell rasiert und den Hund streift.")</f>
        <v>Wir sehen, wie die Dame ein Hundefell rasiert und den Hund streift.</v>
      </c>
    </row>
    <row r="18188">
      <c r="A18188" s="4" t="s">
        <v>22884</v>
      </c>
      <c r="B18188" s="4" t="s">
        <v>22890</v>
      </c>
      <c r="C18188" s="5" t="str">
        <f>IFERROR(__xludf.DUMMYFUNCTION("GOOGLETRANSLATE(B18188,""en"",""de"")"),"Wir sehen dann die Hunde wieder auf dem Boden.")</f>
        <v>Wir sehen dann die Hunde wieder auf dem Boden.</v>
      </c>
    </row>
    <row r="18189">
      <c r="A18189" s="4" t="s">
        <v>22884</v>
      </c>
      <c r="B18189" s="4" t="s">
        <v>22891</v>
      </c>
      <c r="C18189" s="5" t="str">
        <f>IFERROR(__xludf.DUMMYFUNCTION("GOOGLETRANSLATE(B18189,""en"",""de"")"),"Wir sehen die Dame und ihre Kontaktinformationen über ihrem Gesicht.")</f>
        <v>Wir sehen die Dame und ihre Kontaktinformationen über ihrem Gesicht.</v>
      </c>
    </row>
    <row r="18190">
      <c r="A18190" s="4" t="s">
        <v>22892</v>
      </c>
      <c r="B18190" s="4" t="s">
        <v>22893</v>
      </c>
      <c r="C18190" s="5" t="str">
        <f>IFERROR(__xludf.DUMMYFUNCTION("GOOGLETRANSLATE(B18190,""en"",""de"")"),"Eine Anzeige für Fußball erscheint auf dem Bildschirm.")</f>
        <v>Eine Anzeige für Fußball erscheint auf dem Bildschirm.</v>
      </c>
    </row>
    <row r="18191">
      <c r="A18191" s="4" t="s">
        <v>22892</v>
      </c>
      <c r="B18191" s="4" t="s">
        <v>22894</v>
      </c>
      <c r="C18191" s="5" t="str">
        <f>IFERROR(__xludf.DUMMYFUNCTION("GOOGLETRANSLATE(B18191,""en"",""de"")"),"Mehrere Männer spielen drinnen Fußball.")</f>
        <v>Mehrere Männer spielen drinnen Fußball.</v>
      </c>
    </row>
    <row r="18192">
      <c r="A18192" s="4" t="s">
        <v>22892</v>
      </c>
      <c r="B18192" s="4" t="s">
        <v>22895</v>
      </c>
      <c r="C18192" s="5" t="str">
        <f>IFERROR(__xludf.DUMMYFUNCTION("GOOGLETRANSLATE(B18192,""en"",""de"")"),"Sie treten den Ball hin und her, während einige Leute am Rande zuschauen.")</f>
        <v>Sie treten den Ball hin und her, während einige Leute am Rande zuschauen.</v>
      </c>
    </row>
    <row r="18193">
      <c r="A18193" s="4" t="s">
        <v>22896</v>
      </c>
      <c r="B18193" s="4" t="s">
        <v>22897</v>
      </c>
      <c r="C18193" s="5" t="str">
        <f>IFERROR(__xludf.DUMMYFUNCTION("GOOGLETRANSLATE(B18193,""en"",""de"")"),"Ein Baseballspieler schlägt einen Lauf auf einem Sportfeld und leitet die Basen und macht einen Homerun.")</f>
        <v>Ein Baseballspieler schlägt einen Lauf auf einem Sportfeld und leitet die Basen und macht einen Homerun.</v>
      </c>
    </row>
    <row r="18194">
      <c r="A18194" s="4" t="s">
        <v>22896</v>
      </c>
      <c r="B18194" s="4" t="s">
        <v>22898</v>
      </c>
      <c r="C18194" s="5" t="str">
        <f>IFERROR(__xludf.DUMMYFUNCTION("GOOGLETRANSLATE(B18194,""en"",""de"")"),"Die Spieler treten einen Ball und führen die Basen auf einem Baseballfeld.")</f>
        <v>Die Spieler treten einen Ball und führen die Basen auf einem Baseballfeld.</v>
      </c>
    </row>
    <row r="18195">
      <c r="A18195" s="4" t="s">
        <v>22896</v>
      </c>
      <c r="B18195" s="4" t="s">
        <v>22899</v>
      </c>
      <c r="C18195" s="5" t="str">
        <f>IFERROR(__xludf.DUMMYFUNCTION("GOOGLETRANSLATE(B18195,""en"",""de"")"),"Der Fänger hat Spaß beim Tanzen.")</f>
        <v>Der Fänger hat Spaß beim Tanzen.</v>
      </c>
    </row>
    <row r="18196">
      <c r="A18196" s="4" t="s">
        <v>22896</v>
      </c>
      <c r="B18196" s="4" t="s">
        <v>22900</v>
      </c>
      <c r="C18196" s="5" t="str">
        <f>IFERROR(__xludf.DUMMYFUNCTION("GOOGLETRANSLATE(B18196,""en"",""de"")"),"Der Baseman wird mitten in der Luft erwischt und der Spieler ist raus.")</f>
        <v>Der Baseman wird mitten in der Luft erwischt und der Spieler ist raus.</v>
      </c>
    </row>
    <row r="18197">
      <c r="A18197" s="4" t="s">
        <v>22901</v>
      </c>
      <c r="B18197" s="4" t="s">
        <v>22902</v>
      </c>
      <c r="C18197" s="5" t="str">
        <f>IFERROR(__xludf.DUMMYFUNCTION("GOOGLETRANSLATE(B18197,""en"",""de"")"),"Eine Person fährt mit einem Regenschirm durch den Regen einen Rasenmäher.")</f>
        <v>Eine Person fährt mit einem Regenschirm durch den Regen einen Rasenmäher.</v>
      </c>
    </row>
    <row r="18198">
      <c r="A18198" s="4" t="s">
        <v>22901</v>
      </c>
      <c r="B18198" s="4" t="s">
        <v>22903</v>
      </c>
      <c r="C18198" s="5" t="str">
        <f>IFERROR(__xludf.DUMMYFUNCTION("GOOGLETRANSLATE(B18198,""en"",""de"")"),"Eine helle Limousine geht auf der Straße.")</f>
        <v>Eine helle Limousine geht auf der Straße.</v>
      </c>
    </row>
    <row r="18199">
      <c r="A18199" s="4" t="s">
        <v>22901</v>
      </c>
      <c r="B18199" s="4" t="s">
        <v>22904</v>
      </c>
      <c r="C18199" s="5" t="str">
        <f>IFERROR(__xludf.DUMMYFUNCTION("GOOGLETRANSLATE(B18199,""en"",""de"")"),"Die Person auf dem Mäher fährt zur Straße.")</f>
        <v>Die Person auf dem Mäher fährt zur Straße.</v>
      </c>
    </row>
    <row r="18200">
      <c r="A18200" s="4" t="s">
        <v>22905</v>
      </c>
      <c r="B18200" s="4" t="s">
        <v>22906</v>
      </c>
      <c r="C18200" s="5" t="str">
        <f>IFERROR(__xludf.DUMMYFUNCTION("GOOGLETRANSLATE(B18200,""en"",""de"")"),"Ein kleines Kind sitzt in einer Schaukel.")</f>
        <v>Ein kleines Kind sitzt in einer Schaukel.</v>
      </c>
    </row>
    <row r="18201">
      <c r="A18201" s="4" t="s">
        <v>22905</v>
      </c>
      <c r="B18201" s="4" t="s">
        <v>22907</v>
      </c>
      <c r="C18201" s="5" t="str">
        <f>IFERROR(__xludf.DUMMYFUNCTION("GOOGLETRANSLATE(B18201,""en"",""de"")"),"Das Kind bewegt sich zurück und viertens auf der Schaukel, während er lacht.")</f>
        <v>Das Kind bewegt sich zurück und viertens auf der Schaukel, während er lacht.</v>
      </c>
    </row>
    <row r="18202">
      <c r="A18202" s="4" t="s">
        <v>22905</v>
      </c>
      <c r="B18202" s="4" t="s">
        <v>22908</v>
      </c>
      <c r="C18202" s="5" t="str">
        <f>IFERROR(__xludf.DUMMYFUNCTION("GOOGLETRANSLATE(B18202,""en"",""de"")"),"Die Hand einer Person ist zu sehen, wie sie das Kind drückt, als sie sich zurückzieht und den vierten Platz.")</f>
        <v>Die Hand einer Person ist zu sehen, wie sie das Kind drückt, als sie sich zurückzieht und den vierten Platz.</v>
      </c>
    </row>
    <row r="18203">
      <c r="A18203" s="4" t="s">
        <v>22909</v>
      </c>
      <c r="B18203" s="4" t="s">
        <v>22910</v>
      </c>
      <c r="C18203" s="5" t="str">
        <f>IFERROR(__xludf.DUMMYFUNCTION("GOOGLETRANSLATE(B18203,""en"",""de"")"),"Eine Dame wischt ihr Gesicht ab.")</f>
        <v>Eine Dame wischt ihr Gesicht ab.</v>
      </c>
    </row>
    <row r="18204">
      <c r="A18204" s="4" t="s">
        <v>22909</v>
      </c>
      <c r="B18204" s="4" t="s">
        <v>22911</v>
      </c>
      <c r="C18204" s="5" t="str">
        <f>IFERROR(__xludf.DUMMYFUNCTION("GOOGLETRANSLATE(B18204,""en"",""de"")"),"Ein kleines Mädchen wendet Make -up auf ihr Gesicht an.")</f>
        <v>Ein kleines Mädchen wendet Make -up auf ihr Gesicht an.</v>
      </c>
    </row>
    <row r="18205">
      <c r="A18205" s="4" t="s">
        <v>22909</v>
      </c>
      <c r="B18205" s="4" t="s">
        <v>22912</v>
      </c>
      <c r="C18205" s="5" t="str">
        <f>IFERROR(__xludf.DUMMYFUNCTION("GOOGLETRANSLATE(B18205,""en"",""de"")"),"Die Mutter macht den Mädchen Make -up.")</f>
        <v>Die Mutter macht den Mädchen Make -up.</v>
      </c>
    </row>
    <row r="18206">
      <c r="A18206" s="4" t="s">
        <v>22909</v>
      </c>
      <c r="B18206" s="4" t="s">
        <v>22913</v>
      </c>
      <c r="C18206" s="5" t="str">
        <f>IFERROR(__xludf.DUMMYFUNCTION("GOOGLETRANSLATE(B18206,""en"",""de"")"),"Die Mädchen bewundern ihr Spiegelbild.")</f>
        <v>Die Mädchen bewundern ihr Spiegelbild.</v>
      </c>
    </row>
    <row r="18207">
      <c r="A18207" s="4" t="s">
        <v>22909</v>
      </c>
      <c r="B18207" s="4" t="s">
        <v>22914</v>
      </c>
      <c r="C18207" s="5" t="str">
        <f>IFERROR(__xludf.DUMMYFUNCTION("GOOGLETRANSLATE(B18207,""en"",""de"")"),"Das Mädchen greift nach ihrer Zahnbürste.")</f>
        <v>Das Mädchen greift nach ihrer Zahnbürste.</v>
      </c>
    </row>
    <row r="18208">
      <c r="A18208" s="4" t="s">
        <v>22915</v>
      </c>
      <c r="B18208" s="4" t="s">
        <v>22916</v>
      </c>
      <c r="C18208" s="5" t="str">
        <f>IFERROR(__xludf.DUMMYFUNCTION("GOOGLETRANSLATE(B18208,""en"",""de"")"),"Ein Mann, der Skibrillen trägt, passt die Kamera an.")</f>
        <v>Ein Mann, der Skibrillen trägt, passt die Kamera an.</v>
      </c>
    </row>
    <row r="18209">
      <c r="A18209" s="4" t="s">
        <v>22915</v>
      </c>
      <c r="B18209" s="4" t="s">
        <v>22917</v>
      </c>
      <c r="C18209" s="5" t="str">
        <f>IFERROR(__xludf.DUMMYFUNCTION("GOOGLETRANSLATE(B18209,""en"",""de"")"),"Mehrere Menschen werden gesehen, wie sie einen steilen Hang hinunterfahren.")</f>
        <v>Mehrere Menschen werden gesehen, wie sie einen steilen Hang hinunterfahren.</v>
      </c>
    </row>
    <row r="18210">
      <c r="A18210" s="4" t="s">
        <v>22915</v>
      </c>
      <c r="B18210" s="4" t="s">
        <v>22918</v>
      </c>
      <c r="C18210" s="5" t="str">
        <f>IFERROR(__xludf.DUMMYFUNCTION("GOOGLETRANSLATE(B18210,""en"",""de"")"),"Sie fahren weiterhin schneller und schneller, wenn sie bergab gehen.")</f>
        <v>Sie fahren weiterhin schneller und schneller, wenn sie bergab gehen.</v>
      </c>
    </row>
    <row r="18211">
      <c r="A18211" s="4" t="s">
        <v>22919</v>
      </c>
      <c r="B18211" s="4" t="s">
        <v>22920</v>
      </c>
      <c r="C18211" s="5" t="str">
        <f>IFERROR(__xludf.DUMMYFUNCTION("GOOGLETRANSLATE(B18211,""en"",""de"")"),"Die Frau ist positioniert, um die Rennstrecke abzunehmen, und der Mann bewegt sich aus dem Weg, damit sie gehen kann.")</f>
        <v>Die Frau ist positioniert, um die Rennstrecke abzunehmen, und der Mann bewegt sich aus dem Weg, damit sie gehen kann.</v>
      </c>
    </row>
    <row r="18212">
      <c r="A18212" s="4" t="s">
        <v>22919</v>
      </c>
      <c r="B18212" s="4" t="s">
        <v>22921</v>
      </c>
      <c r="C18212" s="5" t="str">
        <f>IFERROR(__xludf.DUMMYFUNCTION("GOOGLETRANSLATE(B18212,""en"",""de"")"),"Dann beschleunigt sie und springt in den Sand und macht ihn bis zum Ende des 16 -Zoll -Herrschers.")</f>
        <v>Dann beschleunigt sie und springt in den Sand und macht ihn bis zum Ende des 16 -Zoll -Herrschers.</v>
      </c>
    </row>
    <row r="18213">
      <c r="A18213" s="4" t="s">
        <v>22919</v>
      </c>
      <c r="B18213" s="4" t="s">
        <v>22922</v>
      </c>
      <c r="C18213" s="5" t="str">
        <f>IFERROR(__xludf.DUMMYFUNCTION("GOOGLETRANSLATE(B18213,""en"",""de"")"),"Als nächstes wird sie gezeigt, wie sie von der Strecke lächelte, die mit ihren Armen in der mit Freude gefüllten Luft lächelt.")</f>
        <v>Als nächstes wird sie gezeigt, wie sie von der Strecke lächelte, die mit ihren Armen in der mit Freude gefüllten Luft lächelt.</v>
      </c>
    </row>
    <row r="18214">
      <c r="A18214" s="4" t="s">
        <v>22923</v>
      </c>
      <c r="B18214" s="4" t="s">
        <v>22924</v>
      </c>
      <c r="C18214" s="5" t="str">
        <f>IFERROR(__xludf.DUMMYFUNCTION("GOOGLETRANSLATE(B18214,""en"",""de"")"),"Menschen Skifahren in Türen untereinander.")</f>
        <v>Menschen Skifahren in Türen untereinander.</v>
      </c>
    </row>
    <row r="18215">
      <c r="A18215" s="4" t="s">
        <v>22923</v>
      </c>
      <c r="B18215" s="4" t="s">
        <v>22925</v>
      </c>
      <c r="C18215" s="5" t="str">
        <f>IFERROR(__xludf.DUMMYFUNCTION("GOOGLETRANSLATE(B18215,""en"",""de"")"),"Ein Knopf wird auf einer Maschine gedrückt.")</f>
        <v>Ein Knopf wird auf einer Maschine gedrückt.</v>
      </c>
    </row>
    <row r="18216">
      <c r="A18216" s="4" t="s">
        <v>22923</v>
      </c>
      <c r="B18216" s="4" t="s">
        <v>22926</v>
      </c>
      <c r="C18216" s="5" t="str">
        <f>IFERROR(__xludf.DUMMYFUNCTION("GOOGLETRANSLATE(B18216,""en"",""de"")"),"Die Leute gehen in eine Kabine.")</f>
        <v>Die Leute gehen in eine Kabine.</v>
      </c>
    </row>
    <row r="18217">
      <c r="A18217" s="4" t="s">
        <v>22923</v>
      </c>
      <c r="B18217" s="4" t="s">
        <v>22927</v>
      </c>
      <c r="C18217" s="5" t="str">
        <f>IFERROR(__xludf.DUMMYFUNCTION("GOOGLETRANSLATE(B18217,""en"",""de"")"),"Eine Person probiert Skier an.")</f>
        <v>Eine Person probiert Skier an.</v>
      </c>
    </row>
    <row r="18218">
      <c r="A18218" s="4" t="s">
        <v>22923</v>
      </c>
      <c r="B18218" s="4" t="s">
        <v>22928</v>
      </c>
      <c r="C18218" s="5" t="str">
        <f>IFERROR(__xludf.DUMMYFUNCTION("GOOGLETRANSLATE(B18218,""en"",""de"")"),"Andere Leute üben Skifahren auf einem Motorgürtel.")</f>
        <v>Andere Leute üben Skifahren auf einem Motorgürtel.</v>
      </c>
    </row>
    <row r="18219">
      <c r="A18219" s="4" t="s">
        <v>22929</v>
      </c>
      <c r="B18219" s="4" t="s">
        <v>22930</v>
      </c>
      <c r="C18219" s="5" t="str">
        <f>IFERROR(__xludf.DUMMYFUNCTION("GOOGLETRANSLATE(B18219,""en"",""de"")"),"Männer stehen auf einer Stahlplattform hoch in der Region und ein Ausbilder spricht.")</f>
        <v>Männer stehen auf einer Stahlplattform hoch in der Region und ein Ausbilder spricht.</v>
      </c>
    </row>
    <row r="18220">
      <c r="A18220" s="4" t="s">
        <v>22929</v>
      </c>
      <c r="B18220" s="4" t="s">
        <v>22931</v>
      </c>
      <c r="C18220" s="5" t="str">
        <f>IFERROR(__xludf.DUMMYFUNCTION("GOOGLETRANSLATE(B18220,""en"",""de"")"),"Ein Mann sitzt am Rand der Plattform und hält sich an großen Seilen fest.")</f>
        <v>Ein Mann sitzt am Rand der Plattform und hält sich an großen Seilen fest.</v>
      </c>
    </row>
    <row r="18221">
      <c r="A18221" s="4" t="s">
        <v>22929</v>
      </c>
      <c r="B18221" s="4" t="s">
        <v>22932</v>
      </c>
      <c r="C18221" s="5" t="str">
        <f>IFERROR(__xludf.DUMMYFUNCTION("GOOGLETRANSLATE(B18221,""en"",""de"")"),"Ein Schutzpatron rennt und springt von der Plattform mit einer Wellensittin und er springt darauf, als er den Boden erreicht.")</f>
        <v>Ein Schutzpatron rennt und springt von der Plattform mit einer Wellensittin und er springt darauf, als er den Boden erreicht.</v>
      </c>
    </row>
    <row r="18222">
      <c r="A18222" s="4" t="s">
        <v>22933</v>
      </c>
      <c r="B18222" s="4" t="s">
        <v>22934</v>
      </c>
      <c r="C18222" s="5" t="str">
        <f>IFERROR(__xludf.DUMMYFUNCTION("GOOGLETRANSLATE(B18222,""en"",""de"")"),"Wir sehen ein Boot, das aus dem Dock zieht.")</f>
        <v>Wir sehen ein Boot, das aus dem Dock zieht.</v>
      </c>
    </row>
    <row r="18223">
      <c r="A18223" s="4" t="s">
        <v>22933</v>
      </c>
      <c r="B18223" s="4" t="s">
        <v>22935</v>
      </c>
      <c r="C18223" s="5" t="str">
        <f>IFERROR(__xludf.DUMMYFUNCTION("GOOGLETRANSLATE(B18223,""en"",""de"")"),"Wir sehen, wie das Boot als Person als Person dahinter fährt.")</f>
        <v>Wir sehen, wie das Boot als Person als Person dahinter fährt.</v>
      </c>
    </row>
    <row r="18224">
      <c r="A18224" s="4" t="s">
        <v>22933</v>
      </c>
      <c r="B18224" s="4" t="s">
        <v>22936</v>
      </c>
      <c r="C18224" s="5" t="str">
        <f>IFERROR(__xludf.DUMMYFUNCTION("GOOGLETRANSLATE(B18224,""en"",""de"")"),"Wir sehen den Skifahrer ohne das Boot.")</f>
        <v>Wir sehen den Skifahrer ohne das Boot.</v>
      </c>
    </row>
    <row r="18225">
      <c r="A18225" s="4" t="s">
        <v>22933</v>
      </c>
      <c r="B18225" s="4" t="s">
        <v>22937</v>
      </c>
      <c r="C18225" s="5" t="str">
        <f>IFERROR(__xludf.DUMMYFUNCTION("GOOGLETRANSLATE(B18225,""en"",""de"")"),"Wir sehen das Boot wieder von oben.")</f>
        <v>Wir sehen das Boot wieder von oben.</v>
      </c>
    </row>
    <row r="18226">
      <c r="A18226" s="4" t="s">
        <v>22933</v>
      </c>
      <c r="B18226" s="4" t="s">
        <v>22938</v>
      </c>
      <c r="C18226" s="5" t="str">
        <f>IFERROR(__xludf.DUMMYFUNCTION("GOOGLETRANSLATE(B18226,""en"",""de"")"),"Der Skifahrer fällt ins Wasser.")</f>
        <v>Der Skifahrer fällt ins Wasser.</v>
      </c>
    </row>
    <row r="18227">
      <c r="A18227" s="4" t="s">
        <v>22933</v>
      </c>
      <c r="B18227" s="4" t="s">
        <v>22939</v>
      </c>
      <c r="C18227" s="5" t="str">
        <f>IFERROR(__xludf.DUMMYFUNCTION("GOOGLETRANSLATE(B18227,""en"",""de"")"),"Wir sehen den Ski -Ski und führen 4 Flips durch.")</f>
        <v>Wir sehen den Ski -Ski und führen 4 Flips durch.</v>
      </c>
    </row>
    <row r="18228">
      <c r="A18228" s="4" t="s">
        <v>22933</v>
      </c>
      <c r="B18228" s="4" t="s">
        <v>22940</v>
      </c>
      <c r="C18228" s="5" t="str">
        <f>IFERROR(__xludf.DUMMYFUNCTION("GOOGLETRANSLATE(B18228,""en"",""de"")"),"Wir sehen den Ski -Ski.")</f>
        <v>Wir sehen den Ski -Ski.</v>
      </c>
    </row>
    <row r="18229">
      <c r="A18229" s="4" t="s">
        <v>22933</v>
      </c>
      <c r="B18229" s="4" t="s">
        <v>22941</v>
      </c>
      <c r="C18229" s="5" t="str">
        <f>IFERROR(__xludf.DUMMYFUNCTION("GOOGLETRANSLATE(B18229,""en"",""de"")"),"Wir sehen den Skifahrer zum Boot schwimmen.")</f>
        <v>Wir sehen den Skifahrer zum Boot schwimmen.</v>
      </c>
    </row>
    <row r="18230">
      <c r="A18230" s="4" t="s">
        <v>22933</v>
      </c>
      <c r="B18230" s="4" t="s">
        <v>22942</v>
      </c>
      <c r="C18230" s="5" t="str">
        <f>IFERROR(__xludf.DUMMYFUNCTION("GOOGLETRANSLATE(B18230,""en"",""de"")"),"Eine Person im Boot hebt ihre Hände in der Luft.")</f>
        <v>Eine Person im Boot hebt ihre Hände in der Luft.</v>
      </c>
    </row>
    <row r="18231">
      <c r="A18231" s="4" t="s">
        <v>22943</v>
      </c>
      <c r="B18231" s="4" t="s">
        <v>22944</v>
      </c>
      <c r="C18231" s="5" t="str">
        <f>IFERROR(__xludf.DUMMYFUNCTION("GOOGLETRANSLATE(B18231,""en"",""de"")"),"Der Mann im schwarzen Hemd spielt im Studio Gitarre.")</f>
        <v>Der Mann im schwarzen Hemd spielt im Studio Gitarre.</v>
      </c>
    </row>
    <row r="18232">
      <c r="A18232" s="4" t="s">
        <v>22943</v>
      </c>
      <c r="B18232" s="4" t="s">
        <v>22945</v>
      </c>
      <c r="C18232" s="5" t="str">
        <f>IFERROR(__xludf.DUMMYFUNCTION("GOOGLETRANSLATE(B18232,""en"",""de"")"),"Der Mann schlägt die Gitarre.")</f>
        <v>Der Mann schlägt die Gitarre.</v>
      </c>
    </row>
    <row r="18233">
      <c r="A18233" s="4" t="s">
        <v>22943</v>
      </c>
      <c r="B18233" s="4" t="s">
        <v>22946</v>
      </c>
      <c r="C18233" s="5" t="str">
        <f>IFERROR(__xludf.DUMMYFUNCTION("GOOGLETRANSLATE(B18233,""en"",""de"")"),"Der Mann drückt den Faden auf die Gitarrenschlüssel, während er die Gitarre treibt.")</f>
        <v>Der Mann drückt den Faden auf die Gitarrenschlüssel, während er die Gitarre treibt.</v>
      </c>
    </row>
    <row r="18234">
      <c r="A18234" s="4" t="s">
        <v>22947</v>
      </c>
      <c r="B18234" s="4" t="s">
        <v>22948</v>
      </c>
      <c r="C18234" s="5" t="str">
        <f>IFERROR(__xludf.DUMMYFUNCTION("GOOGLETRANSLATE(B18234,""en"",""de"")"),"Eine Person kocht auf einem Holzkocher, dann rührt eine Person in einem Fluss.")</f>
        <v>Eine Person kocht auf einem Holzkocher, dann rührt eine Person in einem Fluss.</v>
      </c>
    </row>
    <row r="18235">
      <c r="A18235" s="4" t="s">
        <v>22947</v>
      </c>
      <c r="B18235" s="4" t="s">
        <v>22949</v>
      </c>
      <c r="C18235" s="5" t="str">
        <f>IFERROR(__xludf.DUMMYFUNCTION("GOOGLETRANSLATE(B18235,""en"",""de"")"),"Junge Männer packen ein Auto aus und tragen dann Floßboote im Dschungel und passieren eine Seilbrücke.")</f>
        <v>Junge Männer packen ein Auto aus und tragen dann Floßboote im Dschungel und passieren eine Seilbrücke.</v>
      </c>
    </row>
    <row r="18236">
      <c r="A18236" s="4" t="s">
        <v>22947</v>
      </c>
      <c r="B18236" s="4" t="s">
        <v>22950</v>
      </c>
      <c r="C18236" s="5" t="str">
        <f>IFERROR(__xludf.DUMMYFUNCTION("GOOGLETRANSLATE(B18236,""en"",""de"")"),"Junge Männer flohen in einem schmalen, abgehackten Fluss auf einzelnen Booten.")</f>
        <v>Junge Männer flohen in einem schmalen, abgehackten Fluss auf einzelnen Booten.</v>
      </c>
    </row>
    <row r="18237">
      <c r="A18237" s="4" t="s">
        <v>22947</v>
      </c>
      <c r="B18237" s="4" t="s">
        <v>22951</v>
      </c>
      <c r="C18237" s="5" t="str">
        <f>IFERROR(__xludf.DUMMYFUNCTION("GOOGLETRANSLATE(B18237,""en"",""de"")"),"Die jungen Männer fallen aus kleinen Kaskaden im felsigen Fluss.")</f>
        <v>Die jungen Männer fallen aus kleinen Kaskaden im felsigen Fluss.</v>
      </c>
    </row>
    <row r="18238">
      <c r="A18238" s="4" t="s">
        <v>22952</v>
      </c>
      <c r="B18238" s="4" t="s">
        <v>22953</v>
      </c>
      <c r="C18238" s="5" t="str">
        <f>IFERROR(__xludf.DUMMYFUNCTION("GOOGLETRANSLATE(B18238,""en"",""de"")"),"Eine Frau beugt sich in einer Ballettpose.")</f>
        <v>Eine Frau beugt sich in einer Ballettpose.</v>
      </c>
    </row>
    <row r="18239">
      <c r="A18239" s="4" t="s">
        <v>22952</v>
      </c>
      <c r="B18239" s="4" t="s">
        <v>22954</v>
      </c>
      <c r="C18239" s="5" t="str">
        <f>IFERROR(__xludf.DUMMYFUNCTION("GOOGLETRANSLATE(B18239,""en"",""de"")"),"Sie steht dann der Kamera gegenüber und redet.")</f>
        <v>Sie steht dann der Kamera gegenüber und redet.</v>
      </c>
    </row>
    <row r="18240">
      <c r="A18240" s="4" t="s">
        <v>22952</v>
      </c>
      <c r="B18240" s="4" t="s">
        <v>22955</v>
      </c>
      <c r="C18240" s="5" t="str">
        <f>IFERROR(__xludf.DUMMYFUNCTION("GOOGLETRANSLATE(B18240,""en"",""de"")"),"Sie zeigt mehr Ballettbewegungen.")</f>
        <v>Sie zeigt mehr Ballettbewegungen.</v>
      </c>
    </row>
    <row r="18241">
      <c r="A18241" s="4" t="s">
        <v>22952</v>
      </c>
      <c r="B18241" s="4" t="s">
        <v>22956</v>
      </c>
      <c r="C18241" s="5" t="str">
        <f>IFERROR(__xludf.DUMMYFUNCTION("GOOGLETRANSLATE(B18241,""en"",""de"")"),"Sie endet mit der niedrigen fünften Position.")</f>
        <v>Sie endet mit der niedrigen fünften Position.</v>
      </c>
    </row>
    <row r="18242">
      <c r="A18242" s="4" t="s">
        <v>22957</v>
      </c>
      <c r="B18242" s="4" t="s">
        <v>22958</v>
      </c>
      <c r="C18242" s="5" t="str">
        <f>IFERROR(__xludf.DUMMYFUNCTION("GOOGLETRANSLATE(B18242,""en"",""de"")"),"Es werden mehrere Paar Schuhe sowie eine große Gruppe von Menschen gezeigt, die sich sozialisieren und Alkohol in eine Brille gießen.")</f>
        <v>Es werden mehrere Paar Schuhe sowie eine große Gruppe von Menschen gezeigt, die sich sozialisieren und Alkohol in eine Brille gießen.</v>
      </c>
    </row>
    <row r="18243">
      <c r="A18243" s="4" t="s">
        <v>22957</v>
      </c>
      <c r="B18243" s="4" t="s">
        <v>22959</v>
      </c>
      <c r="C18243" s="5" t="str">
        <f>IFERROR(__xludf.DUMMYFUNCTION("GOOGLETRANSLATE(B18243,""en"",""de"")"),"Die Brille befinden sich auf einem Tisch und es werden mehrere Schüsse von Menschen gezeigt, die Bierpong spielen.")</f>
        <v>Die Brille befinden sich auf einem Tisch und es werden mehrere Schüsse von Menschen gezeigt, die Bierpong spielen.</v>
      </c>
    </row>
    <row r="18244">
      <c r="A18244" s="4" t="s">
        <v>22957</v>
      </c>
      <c r="B18244" s="4" t="s">
        <v>22960</v>
      </c>
      <c r="C18244" s="5" t="str">
        <f>IFERROR(__xludf.DUMMYFUNCTION("GOOGLETRANSLATE(B18244,""en"",""de"")"),"Weitere Aufnahmen von Menschen, die miteinander sprechen und an mehreren Orten Bierpong spielen und miteinander feiern.")</f>
        <v>Weitere Aufnahmen von Menschen, die miteinander sprechen und an mehreren Orten Bierpong spielen und miteinander feiern.</v>
      </c>
    </row>
    <row r="18245">
      <c r="A18245" s="4" t="s">
        <v>22957</v>
      </c>
      <c r="B18245" s="4" t="s">
        <v>22961</v>
      </c>
      <c r="C18245" s="5" t="str">
        <f>IFERROR(__xludf.DUMMYFUNCTION("GOOGLETRANSLATE(B18245,""en"",""de"")"),"Am Ende werden Medaillen verteilt und die Leute tragen sie, während sie an verschiedenen Stellen feiern.")</f>
        <v>Am Ende werden Medaillen verteilt und die Leute tragen sie, während sie an verschiedenen Stellen feiern.</v>
      </c>
    </row>
    <row r="18246">
      <c r="A18246" s="4" t="s">
        <v>22962</v>
      </c>
      <c r="B18246" s="4" t="s">
        <v>22963</v>
      </c>
      <c r="C18246" s="5" t="str">
        <f>IFERROR(__xludf.DUMMYFUNCTION("GOOGLETRANSLATE(B18246,""en"",""de"")"),"Auf dem höchsten Tauchbrett eines Schwimmbades stehen mehrere Schwimmer.")</f>
        <v>Auf dem höchsten Tauchbrett eines Schwimmbades stehen mehrere Schwimmer.</v>
      </c>
    </row>
    <row r="18247">
      <c r="A18247" s="4" t="s">
        <v>22962</v>
      </c>
      <c r="B18247" s="4" t="s">
        <v>22964</v>
      </c>
      <c r="C18247" s="5" t="str">
        <f>IFERROR(__xludf.DUMMYFUNCTION("GOOGLETRANSLATE(B18247,""en"",""de"")"),"Die Taucher bereiten sich darauf vor, in den Pool einzutauchen.")</f>
        <v>Die Taucher bereiten sich darauf vor, in den Pool einzutauchen.</v>
      </c>
    </row>
    <row r="18248">
      <c r="A18248" s="4" t="s">
        <v>22962</v>
      </c>
      <c r="B18248" s="4" t="s">
        <v>22965</v>
      </c>
      <c r="C18248" s="5" t="str">
        <f>IFERROR(__xludf.DUMMYFUNCTION("GOOGLETRANSLATE(B18248,""en"",""de"")"),"Einer der Taucher taucht aus und springt aus großer Höhe in den Pool.")</f>
        <v>Einer der Taucher taucht aus und springt aus großer Höhe in den Pool.</v>
      </c>
    </row>
    <row r="18249">
      <c r="A18249" s="4" t="s">
        <v>22966</v>
      </c>
      <c r="B18249" s="4" t="s">
        <v>22967</v>
      </c>
      <c r="C18249" s="5" t="str">
        <f>IFERROR(__xludf.DUMMYFUNCTION("GOOGLETRANSLATE(B18249,""en"",""de"")"),"Ein Mann in einer roten Schürze spricht.")</f>
        <v>Ein Mann in einer roten Schürze spricht.</v>
      </c>
    </row>
    <row r="18250">
      <c r="A18250" s="4" t="s">
        <v>22966</v>
      </c>
      <c r="B18250" s="4" t="s">
        <v>22968</v>
      </c>
      <c r="C18250" s="5" t="str">
        <f>IFERROR(__xludf.DUMMYFUNCTION("GOOGLETRANSLATE(B18250,""en"",""de"")"),"Er rieb etwas an einem Brett und bügelt es.")</f>
        <v>Er rieb etwas an einem Brett und bügelt es.</v>
      </c>
    </row>
    <row r="18251">
      <c r="A18251" s="4" t="s">
        <v>22966</v>
      </c>
      <c r="B18251" s="4" t="s">
        <v>22969</v>
      </c>
      <c r="C18251" s="5" t="str">
        <f>IFERROR(__xludf.DUMMYFUNCTION("GOOGLETRANSLATE(B18251,""en"",""de"")"),"Er kratzt die Spitze des Bretts, die er gebügelt hat.")</f>
        <v>Er kratzt die Spitze des Bretts, die er gebügelt hat.</v>
      </c>
    </row>
    <row r="18252">
      <c r="A18252" s="4" t="s">
        <v>22970</v>
      </c>
      <c r="B18252" s="4" t="s">
        <v>22971</v>
      </c>
      <c r="C18252" s="5" t="str">
        <f>IFERROR(__xludf.DUMMYFUNCTION("GOOGLETRANSLATE(B18252,""en"",""de"")"),"Eine Frau fährt auf einem Kamel hinter einem anderen Mann auf einem Kamel.")</f>
        <v>Eine Frau fährt auf einem Kamel hinter einem anderen Mann auf einem Kamel.</v>
      </c>
    </row>
    <row r="18253">
      <c r="A18253" s="4" t="s">
        <v>22970</v>
      </c>
      <c r="B18253" s="4" t="s">
        <v>22972</v>
      </c>
      <c r="C18253" s="5" t="str">
        <f>IFERROR(__xludf.DUMMYFUNCTION("GOOGLETRANSLATE(B18253,""en"",""de"")"),"Sie schaut zurück und lächelt zur Kamera, während sie durch die Gegend schwenkt.")</f>
        <v>Sie schaut zurück und lächelt zur Kamera, während sie durch die Gegend schwenkt.</v>
      </c>
    </row>
    <row r="18254">
      <c r="A18254" s="4" t="s">
        <v>22970</v>
      </c>
      <c r="B18254" s="4" t="s">
        <v>22973</v>
      </c>
      <c r="C18254" s="5" t="str">
        <f>IFERROR(__xludf.DUMMYFUNCTION("GOOGLETRANSLATE(B18254,""en"",""de"")"),"Eine andere Person fährt von hinten, während die Leute an den Kamele festhalten.")</f>
        <v>Eine andere Person fährt von hinten, während die Leute an den Kamele festhalten.</v>
      </c>
    </row>
    <row r="18255">
      <c r="A18255" s="4" t="s">
        <v>22974</v>
      </c>
      <c r="B18255" s="4" t="s">
        <v>22975</v>
      </c>
      <c r="C18255" s="5" t="str">
        <f>IFERROR(__xludf.DUMMYFUNCTION("GOOGLETRANSLATE(B18255,""en"",""de"")"),"Zwei Frauen in einem Kind werden in einem Kanu gezeigt, während ein Mann das Kanu im Wasser zieht und andere Personen im Hintergrund sichtbar sind.")</f>
        <v>Zwei Frauen in einem Kind werden in einem Kanu gezeigt, während ein Mann das Kanu im Wasser zieht und andere Personen im Hintergrund sichtbar sind.</v>
      </c>
    </row>
    <row r="18256">
      <c r="A18256" s="4" t="s">
        <v>22974</v>
      </c>
      <c r="B18256" s="4" t="s">
        <v>22976</v>
      </c>
      <c r="C18256" s="5" t="str">
        <f>IFERROR(__xludf.DUMMYFUNCTION("GOOGLETRANSLATE(B18256,""en"",""de"")"),"Das Kind und ein anderer Mann sitzen in einem Kanu, während der Mann paddelt.")</f>
        <v>Das Kind und ein anderer Mann sitzen in einem Kanu, während der Mann paddelt.</v>
      </c>
    </row>
    <row r="18257">
      <c r="A18257" s="4" t="s">
        <v>22974</v>
      </c>
      <c r="B18257" s="4" t="s">
        <v>22977</v>
      </c>
      <c r="C18257" s="5" t="str">
        <f>IFERROR(__xludf.DUMMYFUNCTION("GOOGLETRANSLATE(B18257,""en"",""de"")"),"Die Kamera schwenkt den ersten Mann im Vordergrund.")</f>
        <v>Die Kamera schwenkt den ersten Mann im Vordergrund.</v>
      </c>
    </row>
    <row r="18258">
      <c r="A18258" s="4" t="s">
        <v>22974</v>
      </c>
      <c r="B18258" s="4" t="s">
        <v>22978</v>
      </c>
      <c r="C18258" s="5" t="str">
        <f>IFERROR(__xludf.DUMMYFUNCTION("GOOGLETRANSLATE(B18258,""en"",""de"")"),"Das Kind und der erste Mann sind in einem Kanu, während der erste Mann paddelt.")</f>
        <v>Das Kind und der erste Mann sind in einem Kanu, während der erste Mann paddelt.</v>
      </c>
    </row>
    <row r="18259">
      <c r="A18259" s="4" t="s">
        <v>22974</v>
      </c>
      <c r="B18259" s="4" t="s">
        <v>22979</v>
      </c>
      <c r="C18259" s="5" t="str">
        <f>IFERROR(__xludf.DUMMYFUNCTION("GOOGLETRANSLATE(B18259,""en"",""de"")"),"Eine Reihe von Standbildern der verschiedenen Personen, die während des Videos gezeigt wurden, werden gezeigt.")</f>
        <v>Eine Reihe von Standbildern der verschiedenen Personen, die während des Videos gezeigt wurden, werden gezeigt.</v>
      </c>
    </row>
    <row r="18260">
      <c r="A18260" s="4" t="s">
        <v>22980</v>
      </c>
      <c r="B18260" s="4" t="s">
        <v>22981</v>
      </c>
      <c r="C18260" s="5" t="str">
        <f>IFERROR(__xludf.DUMMYFUNCTION("GOOGLETRANSLATE(B18260,""en"",""de"")"),"Eine Person rollt nach einem Herbst im Gras und steht auf, um sich einem Lacrosse -Spiel anzuschließen.")</f>
        <v>Eine Person rollt nach einem Herbst im Gras und steht auf, um sich einem Lacrosse -Spiel anzuschließen.</v>
      </c>
    </row>
    <row r="18261">
      <c r="A18261" s="4" t="s">
        <v>22980</v>
      </c>
      <c r="B18261" s="4" t="s">
        <v>22982</v>
      </c>
      <c r="C18261" s="5" t="str">
        <f>IFERROR(__xludf.DUMMYFUNCTION("GOOGLETRANSLATE(B18261,""en"",""de"")"),"Wir sehen Ausrüstung im Gras und einen Mann, der mit der Kamera spricht.")</f>
        <v>Wir sehen Ausrüstung im Gras und einen Mann, der mit der Kamera spricht.</v>
      </c>
    </row>
    <row r="18262">
      <c r="A18262" s="4" t="s">
        <v>22980</v>
      </c>
      <c r="B18262" s="4" t="s">
        <v>22983</v>
      </c>
      <c r="C18262" s="5" t="str">
        <f>IFERROR(__xludf.DUMMYFUNCTION("GOOGLETRANSLATE(B18262,""en"",""de"")"),"Männer spielen Lacrosse und Damen jubeln der Seite.")</f>
        <v>Männer spielen Lacrosse und Damen jubeln der Seite.</v>
      </c>
    </row>
    <row r="18263">
      <c r="A18263" s="4" t="s">
        <v>22980</v>
      </c>
      <c r="B18263" s="4" t="s">
        <v>22984</v>
      </c>
      <c r="C18263" s="5" t="str">
        <f>IFERROR(__xludf.DUMMYFUNCTION("GOOGLETRANSLATE(B18263,""en"",""de"")"),"Wir sehen, dass ein Mann interviewt und ein Team drückte und Männer spielen sehen.")</f>
        <v>Wir sehen, dass ein Mann interviewt und ein Team drückte und Männer spielen sehen.</v>
      </c>
    </row>
    <row r="18264">
      <c r="A18264" s="4" t="s">
        <v>22980</v>
      </c>
      <c r="B18264" s="4" t="s">
        <v>22985</v>
      </c>
      <c r="C18264" s="5" t="str">
        <f>IFERROR(__xludf.DUMMYFUNCTION("GOOGLETRANSLATE(B18264,""en"",""de"")"),"Ein Mann im Interview und wir sehen die Männer Lacrosse spielen.")</f>
        <v>Ein Mann im Interview und wir sehen die Männer Lacrosse spielen.</v>
      </c>
    </row>
    <row r="18265">
      <c r="A18265" s="4" t="s">
        <v>22980</v>
      </c>
      <c r="B18265" s="4" t="s">
        <v>22986</v>
      </c>
      <c r="C18265" s="5" t="str">
        <f>IFERROR(__xludf.DUMMYFUNCTION("GOOGLETRANSLATE(B18265,""en"",""de"")"),"Ein Mann in Red wird interviewt und die Teams geben die Hand, halten ihre Trophäe hoch und posieren für Fotos.")</f>
        <v>Ein Mann in Red wird interviewt und die Teams geben die Hand, halten ihre Trophäe hoch und posieren für Fotos.</v>
      </c>
    </row>
    <row r="18266">
      <c r="A18266" s="4" t="s">
        <v>22987</v>
      </c>
      <c r="B18266" s="4" t="s">
        <v>22988</v>
      </c>
      <c r="C18266" s="5" t="str">
        <f>IFERROR(__xludf.DUMMYFUNCTION("GOOGLETRANSLATE(B18266,""en"",""de"")"),"Ein junger Turnerinnen, der Red trägt, bereitet sich in den Olympischen Spielen auf ihre Balance -Strahlroutine vor.")</f>
        <v>Ein junger Turnerinnen, der Red trägt, bereitet sich in den Olympischen Spielen auf ihre Balance -Strahlroutine vor.</v>
      </c>
    </row>
    <row r="18267">
      <c r="A18267" s="4" t="s">
        <v>22987</v>
      </c>
      <c r="B18267" s="4" t="s">
        <v>22989</v>
      </c>
      <c r="C18267" s="5" t="str">
        <f>IFERROR(__xludf.DUMMYFUNCTION("GOOGLETRANSLATE(B18267,""en"",""de"")"),"Das weibliche Turner verläuft zum Sprungbrett und springt vom Balancestrahl.")</f>
        <v>Das weibliche Turner verläuft zum Sprungbrett und springt vom Balancestrahl.</v>
      </c>
    </row>
    <row r="18268">
      <c r="A18268" s="4" t="s">
        <v>22987</v>
      </c>
      <c r="B18268" s="4" t="s">
        <v>22990</v>
      </c>
      <c r="C18268" s="5" t="str">
        <f>IFERROR(__xludf.DUMMYFUNCTION("GOOGLETRANSLATE(B18268,""en"",""de"")"),"Die weibliche Turnerin macht dann ihre taumelnde Routine auf dem Balancestrahl, während die Kommentatoren erklären, was sie tut und wie schwierig es ist.")</f>
        <v>Die weibliche Turnerin macht dann ihre taumelnde Routine auf dem Balancestrahl, während die Kommentatoren erklären, was sie tut und wie schwierig es ist.</v>
      </c>
    </row>
    <row r="18269">
      <c r="A18269" s="4" t="s">
        <v>22987</v>
      </c>
      <c r="B18269" s="4" t="s">
        <v>22991</v>
      </c>
      <c r="C18269" s="5" t="str">
        <f>IFERROR(__xludf.DUMMYFUNCTION("GOOGLETRANSLATE(B18269,""en"",""de"")"),"Eine riesige Menge schaut und jubelt den Turner an.")</f>
        <v>Eine riesige Menge schaut und jubelt den Turner an.</v>
      </c>
    </row>
    <row r="18270">
      <c r="A18270" s="4" t="s">
        <v>22987</v>
      </c>
      <c r="B18270" s="4" t="s">
        <v>22992</v>
      </c>
      <c r="C18270" s="5" t="str">
        <f>IFERROR(__xludf.DUMMYFUNCTION("GOOGLETRANSLATE(B18270,""en"",""de"")"),"Ein asiatischer Mann geht zum Balancestrahl und zieht das Sprungbrett vom Strahl weg.")</f>
        <v>Ein asiatischer Mann geht zum Balancestrahl und zieht das Sprungbrett vom Strahl weg.</v>
      </c>
    </row>
    <row r="18271">
      <c r="A18271" s="4" t="s">
        <v>22987</v>
      </c>
      <c r="B18271" s="4" t="s">
        <v>22993</v>
      </c>
      <c r="C18271" s="5" t="str">
        <f>IFERROR(__xludf.DUMMYFUNCTION("GOOGLETRANSLATE(B18271,""en"",""de"")"),"Der Turner führt eine schwierige Taumelfolge durch und die Menge jubelt lauter als zuvor.")</f>
        <v>Der Turner führt eine schwierige Taumelfolge durch und die Menge jubelt lauter als zuvor.</v>
      </c>
    </row>
    <row r="18272">
      <c r="A18272" s="4" t="s">
        <v>22987</v>
      </c>
      <c r="B18272" s="4" t="s">
        <v>22994</v>
      </c>
      <c r="C18272" s="5" t="str">
        <f>IFERROR(__xludf.DUMMYFUNCTION("GOOGLETRANSLATE(B18272,""en"",""de"")"),"Menschen in der Menge, die den Turner im Fitnessstudio betreten und Sitze finden, während andere aufstehen und das Fitnessstudio verlassen.")</f>
        <v>Menschen in der Menge, die den Turner im Fitnessstudio betreten und Sitze finden, während andere aufstehen und das Fitnessstudio verlassen.</v>
      </c>
    </row>
    <row r="18273">
      <c r="A18273" s="4" t="s">
        <v>22987</v>
      </c>
      <c r="B18273" s="4" t="s">
        <v>22995</v>
      </c>
      <c r="C18273" s="5" t="str">
        <f>IFERROR(__xludf.DUMMYFUNCTION("GOOGLETRANSLATE(B18273,""en"",""de"")"),"Ein weiterer Turnerinnen geht im Hintergrund am Balancestrahl vorbei.")</f>
        <v>Ein weiterer Turnerinnen geht im Hintergrund am Balancestrahl vorbei.</v>
      </c>
    </row>
    <row r="18274">
      <c r="A18274" s="4" t="s">
        <v>22987</v>
      </c>
      <c r="B18274" s="4" t="s">
        <v>22996</v>
      </c>
      <c r="C18274" s="5" t="str">
        <f>IFERROR(__xludf.DUMMYFUNCTION("GOOGLETRANSLATE(B18274,""en"",""de"")"),"Die weibliche Turner bereitet sich auf ihre Ablagerung vor.")</f>
        <v>Die weibliche Turner bereitet sich auf ihre Ablagerung vor.</v>
      </c>
    </row>
    <row r="18275">
      <c r="A18275" s="4" t="s">
        <v>22987</v>
      </c>
      <c r="B18275" s="4" t="s">
        <v>22997</v>
      </c>
      <c r="C18275" s="5" t="str">
        <f>IFERROR(__xludf.DUMMYFUNCTION("GOOGLETRANSLATE(B18275,""en"",""de"")"),"Die weibliche Turner läuft und vervollständigt eine Taumelfolge, um den Balancestrahl zu verlassen.")</f>
        <v>Die weibliche Turner läuft und vervollständigt eine Taumelfolge, um den Balancestrahl zu verlassen.</v>
      </c>
    </row>
    <row r="18276">
      <c r="A18276" s="4" t="s">
        <v>22987</v>
      </c>
      <c r="B18276" s="4" t="s">
        <v>22998</v>
      </c>
      <c r="C18276" s="5" t="str">
        <f>IFERROR(__xludf.DUMMYFUNCTION("GOOGLETRANSLATE(B18276,""en"",""de"")"),"Die weibliche Turner landet perfekt und wirft ihre Arme mit einem riesigen Lächeln im Gesicht in der Hintergrundbeobachtung und Klatschen.")</f>
        <v>Die weibliche Turner landet perfekt und wirft ihre Arme mit einem riesigen Lächeln im Gesicht in der Hintergrundbeobachtung und Klatschen.</v>
      </c>
    </row>
    <row r="18277">
      <c r="A18277" s="4" t="s">
        <v>22987</v>
      </c>
      <c r="B18277" s="4" t="s">
        <v>22999</v>
      </c>
      <c r="C18277" s="5" t="str">
        <f>IFERROR(__xludf.DUMMYFUNCTION("GOOGLETRANSLATE(B18277,""en"",""de"")"),"Eine große Gruppe von Fotografen beobachtet und fotografiert den Turner.")</f>
        <v>Eine große Gruppe von Fotografen beobachtet und fotografiert den Turner.</v>
      </c>
    </row>
    <row r="18278">
      <c r="A18278" s="4" t="s">
        <v>22987</v>
      </c>
      <c r="B18278" s="4" t="s">
        <v>23000</v>
      </c>
      <c r="C18278" s="5" t="str">
        <f>IFERROR(__xludf.DUMMYFUNCTION("GOOGLETRANSLATE(B18278,""en"",""de"")"),"Der Turner winkt sich im Kreis und verläuft dann zur Seite des Fitnessstudio -Bodens.")</f>
        <v>Der Turner winkt sich im Kreis und verläuft dann zur Seite des Fitnessstudio -Bodens.</v>
      </c>
    </row>
    <row r="18279">
      <c r="A18279" s="4" t="s">
        <v>22987</v>
      </c>
      <c r="B18279" s="4" t="s">
        <v>23001</v>
      </c>
      <c r="C18279" s="5" t="str">
        <f>IFERROR(__xludf.DUMMYFUNCTION("GOOGLETRANSLATE(B18279,""en"",""de"")"),"Drei asiatische Turner in gelb Uhr und klatschen, ohne zu lächeln.")</f>
        <v>Drei asiatische Turner in gelb Uhr und klatschen, ohne zu lächeln.</v>
      </c>
    </row>
    <row r="18280">
      <c r="A18280" s="4" t="s">
        <v>22987</v>
      </c>
      <c r="B18280" s="4" t="s">
        <v>23002</v>
      </c>
      <c r="C18280" s="5" t="str">
        <f>IFERROR(__xludf.DUMMYFUNCTION("GOOGLETRANSLATE(B18280,""en"",""de"")"),"Der Turner in roten Umarmungen und Gesprächen mit ihren anderen Teamkollegen und ihrem Trainer, während mehrere Fotografen Fotos von ihr machen.")</f>
        <v>Der Turner in roten Umarmungen und Gesprächen mit ihren anderen Teamkollegen und ihrem Trainer, während mehrere Fotografen Fotos von ihr machen.</v>
      </c>
    </row>
    <row r="18281">
      <c r="A18281" s="4" t="s">
        <v>22987</v>
      </c>
      <c r="B18281" s="4" t="s">
        <v>23003</v>
      </c>
      <c r="C18281" s="5" t="str">
        <f>IFERROR(__xludf.DUMMYFUNCTION("GOOGLETRANSLATE(B18281,""en"",""de"")"),"Die Kommentatoren machen einige der Turnerinnen wieder nach, um schwierigere Tumbling -Sequenzen und ihre Ablupe in Zeitlupe zu erklären und zu erklären, was sie tut.")</f>
        <v>Die Kommentatoren machen einige der Turnerinnen wieder nach, um schwierigere Tumbling -Sequenzen und ihre Ablupe in Zeitlupe zu erklären und zu erklären, was sie tut.</v>
      </c>
    </row>
    <row r="18282">
      <c r="A18282" s="4" t="s">
        <v>22987</v>
      </c>
      <c r="B18282" s="4" t="s">
        <v>23004</v>
      </c>
      <c r="C18282" s="5" t="str">
        <f>IFERROR(__xludf.DUMMYFUNCTION("GOOGLETRANSLATE(B18282,""en"",""de"")"),"Die weibliche Turnerin umarmt einen anderen Trainer und einen anderen ihrer Teamkollegen, während ein Mann sie mit einer großen Kamera filmt.")</f>
        <v>Die weibliche Turnerin umarmt einen anderen Trainer und einen anderen ihrer Teamkollegen, während ein Mann sie mit einer großen Kamera filmt.</v>
      </c>
    </row>
    <row r="18283">
      <c r="A18283" s="4" t="s">
        <v>22987</v>
      </c>
      <c r="B18283" s="4" t="s">
        <v>23005</v>
      </c>
      <c r="C18283" s="5" t="str">
        <f>IFERROR(__xludf.DUMMYFUNCTION("GOOGLETRANSLATE(B18283,""en"",""de"")"),"Alle Turner im US -amerikanischen Team und ihre Trainer gehen durch das Fitnessstudio, während die Menge sehr laut jubelt.")</f>
        <v>Alle Turner im US -amerikanischen Team und ihre Trainer gehen durch das Fitnessstudio, während die Menge sehr laut jubelt.</v>
      </c>
    </row>
    <row r="18284">
      <c r="A18284" s="4" t="s">
        <v>22987</v>
      </c>
      <c r="B18284" s="4" t="s">
        <v>23006</v>
      </c>
      <c r="C18284" s="5" t="str">
        <f>IFERROR(__xludf.DUMMYFUNCTION("GOOGLETRANSLATE(B18284,""en"",""de"")"),"Auch mehrere Turner aus anderen Teams gehen vorbei.")</f>
        <v>Auch mehrere Turner aus anderen Teams gehen vorbei.</v>
      </c>
    </row>
    <row r="18285">
      <c r="A18285" s="4" t="s">
        <v>22987</v>
      </c>
      <c r="B18285" s="4" t="s">
        <v>23007</v>
      </c>
      <c r="C18285" s="5" t="str">
        <f>IFERROR(__xludf.DUMMYFUNCTION("GOOGLETRANSLATE(B18285,""en"",""de"")"),"Die weibliche Turnerin spricht mit ihrem Team, während sie darauf wartet, dass ihre Punktzahl ausgestellt wird.")</f>
        <v>Die weibliche Turnerin spricht mit ihrem Team, während sie darauf wartet, dass ihre Punktzahl ausgestellt wird.</v>
      </c>
    </row>
    <row r="18286">
      <c r="A18286" s="4" t="s">
        <v>23008</v>
      </c>
      <c r="B18286" s="4" t="s">
        <v>23009</v>
      </c>
      <c r="C18286" s="5" t="str">
        <f>IFERROR(__xludf.DUMMYFUNCTION("GOOGLETRANSLATE(B18286,""en"",""de"")"),"Ein kleines Mädchen zeigt, wie man Make -up mit einem Mini -Make -up -Kit als Make -up -Quelle anwendet, während man mit der Kamera spricht.")</f>
        <v>Ein kleines Mädchen zeigt, wie man Make -up mit einem Mini -Make -up -Kit als Make -up -Quelle anwendet, während man mit der Kamera spricht.</v>
      </c>
    </row>
    <row r="18287">
      <c r="A18287" s="4" t="s">
        <v>23008</v>
      </c>
      <c r="B18287" s="4" t="s">
        <v>23010</v>
      </c>
      <c r="C18287" s="5" t="str">
        <f>IFERROR(__xludf.DUMMYFUNCTION("GOOGLETRANSLATE(B18287,""en"",""de"")"),"Ein kleines Mädchen spricht mit der Kamera und lehnt sich dann in der Nahaufnahme in die Kamera.")</f>
        <v>Ein kleines Mädchen spricht mit der Kamera und lehnt sich dann in der Nahaufnahme in die Kamera.</v>
      </c>
    </row>
    <row r="18288">
      <c r="A18288" s="4" t="s">
        <v>23008</v>
      </c>
      <c r="B18288" s="4" t="s">
        <v>23011</v>
      </c>
      <c r="C18288" s="5" t="str">
        <f>IFERROR(__xludf.DUMMYFUNCTION("GOOGLETRANSLATE(B18288,""en"",""de"")"),"Das kleine Mädchen zieht eine farbenfrohe Make -up -Palette heraus und zeigt der Kamera die Innenseite der Palette, bevor sie anfängt, einige der Make -up auf ihre Augen aufzutragen.")</f>
        <v>Das kleine Mädchen zieht eine farbenfrohe Make -up -Palette heraus und zeigt der Kamera die Innenseite der Palette, bevor sie anfängt, einige der Make -up auf ihre Augen aufzutragen.</v>
      </c>
    </row>
    <row r="18289">
      <c r="A18289" s="4" t="s">
        <v>23008</v>
      </c>
      <c r="B18289" s="4" t="s">
        <v>23012</v>
      </c>
      <c r="C18289" s="5" t="str">
        <f>IFERROR(__xludf.DUMMYFUNCTION("GOOGLETRANSLATE(B18289,""en"",""de"")"),"Das Mädchen wendet dann schwarze Wimperntusche auf ihre Wimpern auf und etwas Lidschatten und Lipgloss machen Pausen nach den Anwendungen, um mit der Kamera zu sprechen.")</f>
        <v>Das Mädchen wendet dann schwarze Wimperntusche auf ihre Wimpern auf und etwas Lidschatten und Lipgloss machen Pausen nach den Anwendungen, um mit der Kamera zu sprechen.</v>
      </c>
    </row>
    <row r="18290">
      <c r="A18290" s="4" t="s">
        <v>23008</v>
      </c>
      <c r="B18290" s="4" t="s">
        <v>23013</v>
      </c>
      <c r="C18290" s="5" t="str">
        <f>IFERROR(__xludf.DUMMYFUNCTION("GOOGLETRANSLATE(B18290,""en"",""de"")"),"Das kleine Mädchen gibt einen letzten Daumen hoch und bläst Küsse in die Kamera, bevor sie mehr redet und lächelt, während die Szene aussieht.")</f>
        <v>Das kleine Mädchen gibt einen letzten Daumen hoch und bläst Küsse in die Kamera, bevor sie mehr redet und lächelt, während die Szene aussieht.</v>
      </c>
    </row>
    <row r="18291">
      <c r="A18291" s="4" t="s">
        <v>23014</v>
      </c>
      <c r="B18291" s="4" t="s">
        <v>23015</v>
      </c>
      <c r="C18291" s="5" t="str">
        <f>IFERROR(__xludf.DUMMYFUNCTION("GOOGLETRANSLATE(B18291,""en"",""de"")"),"Ein Mann sitzt auf einer Rudermaschine in einem Fitnessstudio und spricht mit der Kamera und zeigt, wie man eine Ruderübungsmaschine benutzt.")</f>
        <v>Ein Mann sitzt auf einer Rudermaschine in einem Fitnessstudio und spricht mit der Kamera und zeigt, wie man eine Ruderübungsmaschine benutzt.</v>
      </c>
    </row>
    <row r="18292">
      <c r="A18292" s="4" t="s">
        <v>23014</v>
      </c>
      <c r="B18292" s="4" t="s">
        <v>23016</v>
      </c>
      <c r="C18292" s="5" t="str">
        <f>IFERROR(__xludf.DUMMYFUNCTION("GOOGLETRANSLATE(B18292,""en"",""de"")"),"Der Mann beginnt langsam auf der Maschine zu trainieren, während er mit der Kamera spricht und sich schließlich zu einem schnelleren Training auf derselben Maschine aufbaut.")</f>
        <v>Der Mann beginnt langsam auf der Maschine zu trainieren, während er mit der Kamera spricht und sich schließlich zu einem schnelleren Training auf derselben Maschine aufbaut.</v>
      </c>
    </row>
    <row r="18293">
      <c r="A18293" s="4" t="s">
        <v>23014</v>
      </c>
      <c r="B18293" s="4" t="s">
        <v>23017</v>
      </c>
      <c r="C18293" s="5" t="str">
        <f>IFERROR(__xludf.DUMMYFUNCTION("GOOGLETRANSLATE(B18293,""en"",""de"")"),"Der Mann beginnt zu demonstrieren, wie das digitale Panel auf der Trainingsmaschine verwendet wird, indem er darauf zeigt und mit der Kamera spricht.")</f>
        <v>Der Mann beginnt zu demonstrieren, wie das digitale Panel auf der Trainingsmaschine verwendet wird, indem er darauf zeigt und mit der Kamera spricht.</v>
      </c>
    </row>
    <row r="18294">
      <c r="A18294" s="4" t="s">
        <v>23018</v>
      </c>
      <c r="B18294" s="4" t="s">
        <v>23019</v>
      </c>
      <c r="C18294" s="5" t="str">
        <f>IFERROR(__xludf.DUMMYFUNCTION("GOOGLETRANSLATE(B18294,""en"",""de"")"),"Ein Drachen wird hoch in der Luft gezeigt.")</f>
        <v>Ein Drachen wird hoch in der Luft gezeigt.</v>
      </c>
    </row>
    <row r="18295">
      <c r="A18295" s="4" t="s">
        <v>23018</v>
      </c>
      <c r="B18295" s="4" t="s">
        <v>23020</v>
      </c>
      <c r="C18295" s="5" t="str">
        <f>IFERROR(__xludf.DUMMYFUNCTION("GOOGLETRANSLATE(B18295,""en"",""de"")"),"Ein Mann hält den Drachen, bevor er ihn loslassen.")</f>
        <v>Ein Mann hält den Drachen, bevor er ihn loslassen.</v>
      </c>
    </row>
    <row r="18296">
      <c r="A18296" s="4" t="s">
        <v>23018</v>
      </c>
      <c r="B18296" s="4" t="s">
        <v>23021</v>
      </c>
      <c r="C18296" s="5" t="str">
        <f>IFERROR(__xludf.DUMMYFUNCTION("GOOGLETRANSLATE(B18296,""en"",""de"")"),"Es dreht sich hoch in die Luft und dreht sich in Kreisen und Winkeln und hüpft vom Boden ab.")</f>
        <v>Es dreht sich hoch in die Luft und dreht sich in Kreisen und Winkeln und hüpft vom Boden ab.</v>
      </c>
    </row>
    <row r="18297">
      <c r="A18297" s="4" t="s">
        <v>23022</v>
      </c>
      <c r="B18297" s="4" t="s">
        <v>23023</v>
      </c>
      <c r="C18297" s="5" t="str">
        <f>IFERROR(__xludf.DUMMYFUNCTION("GOOGLETRANSLATE(B18297,""en"",""de"")"),"Ein Mann steht in einem Fitnessstudio und hält ein großes Fahrradrad hoch, bewegt seine Hände entlang des Röhrchens im Gummi.")</f>
        <v>Ein Mann steht in einem Fitnessstudio und hält ein großes Fahrradrad hoch, bewegt seine Hände entlang des Röhrchens im Gummi.</v>
      </c>
    </row>
    <row r="18298">
      <c r="A18298" s="4" t="s">
        <v>23022</v>
      </c>
      <c r="B18298" s="4" t="s">
        <v>23024</v>
      </c>
      <c r="C18298" s="5" t="str">
        <f>IFERROR(__xludf.DUMMYFUNCTION("GOOGLETRANSLATE(B18298,""en"",""de"")"),"Der Mann führt die Aktion kontinuierlich aus, als er den Kreis auf seinem Knie herum bewegt.")</f>
        <v>Der Mann führt die Aktion kontinuierlich aus, als er den Kreis auf seinem Knie herum bewegt.</v>
      </c>
    </row>
    <row r="18299">
      <c r="A18299" s="4" t="s">
        <v>23022</v>
      </c>
      <c r="B18299" s="4" t="s">
        <v>23025</v>
      </c>
      <c r="C18299" s="5" t="str">
        <f>IFERROR(__xludf.DUMMYFUNCTION("GOOGLETRANSLATE(B18299,""en"",""de"")"),"Danach nimmt der Mann ein gelbes Objekt auf und beginnt, die Speichen am Rad festzuziehen und das Heben des Gummi nach oben zu versiegeln.")</f>
        <v>Danach nimmt der Mann ein gelbes Objekt auf und beginnt, die Speichen am Rad festzuziehen und das Heben des Gummi nach oben zu versiegeln.</v>
      </c>
    </row>
    <row r="18300">
      <c r="A18300" s="4" t="s">
        <v>23026</v>
      </c>
      <c r="B18300" s="4" t="s">
        <v>23027</v>
      </c>
      <c r="C18300" s="5" t="str">
        <f>IFERROR(__xludf.DUMMYFUNCTION("GOOGLETRANSLATE(B18300,""en"",""de"")"),"Ein Mann benutzt einen Trimmer, um die Blätter auf einem Baum in einem Garten zu schneiden, beginnend in der Mitte.")</f>
        <v>Ein Mann benutzt einen Trimmer, um die Blätter auf einem Baum in einem Garten zu schneiden, beginnend in der Mitte.</v>
      </c>
    </row>
    <row r="18301">
      <c r="A18301" s="4" t="s">
        <v>23026</v>
      </c>
      <c r="B18301" s="4" t="s">
        <v>23028</v>
      </c>
      <c r="C18301" s="5" t="str">
        <f>IFERROR(__xludf.DUMMYFUNCTION("GOOGLETRANSLATE(B18301,""en"",""de"")"),"Er bewegt sich nach links, um den Baum weiter zu schneiden.")</f>
        <v>Er bewegt sich nach links, um den Baum weiter zu schneiden.</v>
      </c>
    </row>
    <row r="18302">
      <c r="A18302" s="4" t="s">
        <v>23029</v>
      </c>
      <c r="B18302" s="4" t="s">
        <v>23030</v>
      </c>
      <c r="C18302" s="5" t="str">
        <f>IFERROR(__xludf.DUMMYFUNCTION("GOOGLETRANSLATE(B18302,""en"",""de"")"),"Zwei Frauen stehen in einem Haus.")</f>
        <v>Zwei Frauen stehen in einem Haus.</v>
      </c>
    </row>
    <row r="18303">
      <c r="A18303" s="4" t="s">
        <v>23029</v>
      </c>
      <c r="B18303" s="4" t="s">
        <v>23031</v>
      </c>
      <c r="C18303" s="5" t="str">
        <f>IFERROR(__xludf.DUMMYFUNCTION("GOOGLETRANSLATE(B18303,""en"",""de"")"),"Sie zeigen eine Leinwandfliese.")</f>
        <v>Sie zeigen eine Leinwandfliese.</v>
      </c>
    </row>
    <row r="18304">
      <c r="A18304" s="4" t="s">
        <v>23029</v>
      </c>
      <c r="B18304" s="4" t="s">
        <v>23032</v>
      </c>
      <c r="C18304" s="5" t="str">
        <f>IFERROR(__xludf.DUMMYFUNCTION("GOOGLETRANSLATE(B18304,""en"",""de"")"),"Sie zeigen dann, wie sie die Fliese gemacht und auf den Boden legten und sie wie ein Puzzle zusammensetzen.")</f>
        <v>Sie zeigen dann, wie sie die Fliese gemacht und auf den Boden legten und sie wie ein Puzzle zusammensetzen.</v>
      </c>
    </row>
    <row r="18305">
      <c r="A18305" s="4" t="s">
        <v>23029</v>
      </c>
      <c r="B18305" s="4" t="s">
        <v>23033</v>
      </c>
      <c r="C18305" s="5" t="str">
        <f>IFERROR(__xludf.DUMMYFUNCTION("GOOGLETRANSLATE(B18305,""en"",""de"")"),"Sie sitzen darüber und sprechen darüber, bevor sie die Möbel wieder an Ort und Stelle bewegen.")</f>
        <v>Sie sitzen darüber und sprechen darüber, bevor sie die Möbel wieder an Ort und Stelle bewegen.</v>
      </c>
    </row>
    <row r="18306">
      <c r="A18306" s="4" t="s">
        <v>23034</v>
      </c>
      <c r="B18306" s="4" t="s">
        <v>23035</v>
      </c>
      <c r="C18306" s="5" t="str">
        <f>IFERROR(__xludf.DUMMYFUNCTION("GOOGLETRANSLATE(B18306,""en"",""de"")"),"Ein flauschiger Hund steht auf einem Bürgersteig mit einem Kind dahinter.")</f>
        <v>Ein flauschiger Hund steht auf einem Bürgersteig mit einem Kind dahinter.</v>
      </c>
    </row>
    <row r="18307">
      <c r="A18307" s="4" t="s">
        <v>23034</v>
      </c>
      <c r="B18307" s="4" t="s">
        <v>23036</v>
      </c>
      <c r="C18307" s="5" t="str">
        <f>IFERROR(__xludf.DUMMYFUNCTION("GOOGLETRANSLATE(B18307,""en"",""de"")"),"Der Hund beginnt auf dem Bürgersteig und eng hinter ihm fährt ein Kind auf einem Roller, während der Hund spaziert.")</f>
        <v>Der Hund beginnt auf dem Bürgersteig und eng hinter ihm fährt ein Kind auf einem Roller, während der Hund spaziert.</v>
      </c>
    </row>
    <row r="18308">
      <c r="A18308" s="4" t="s">
        <v>23037</v>
      </c>
      <c r="B18308" s="4" t="s">
        <v>23038</v>
      </c>
      <c r="C18308" s="5" t="str">
        <f>IFERROR(__xludf.DUMMYFUNCTION("GOOGLETRANSLATE(B18308,""en"",""de"")"),"Eine Spüle wird voller schmutziger Gerichte gezeigt und führt zu verschiedenen ausgewiesenen Produkten.")</f>
        <v>Eine Spüle wird voller schmutziger Gerichte gezeigt und führt zu verschiedenen ausgewiesenen Produkten.</v>
      </c>
    </row>
    <row r="18309">
      <c r="A18309" s="4" t="s">
        <v>23037</v>
      </c>
      <c r="B18309" s="4" t="s">
        <v>23039</v>
      </c>
      <c r="C18309" s="5" t="str">
        <f>IFERROR(__xludf.DUMMYFUNCTION("GOOGLETRANSLATE(B18309,""en"",""de"")"),"Eine Person schrubbt dann das Geschirr und steckt einige davon in einen Eimer.")</f>
        <v>Eine Person schrubbt dann das Geschirr und steckt einige davon in einen Eimer.</v>
      </c>
    </row>
    <row r="18310">
      <c r="A18310" s="4" t="s">
        <v>23037</v>
      </c>
      <c r="B18310" s="4" t="s">
        <v>23040</v>
      </c>
      <c r="C18310" s="5" t="str">
        <f>IFERROR(__xludf.DUMMYFUNCTION("GOOGLETRANSLATE(B18310,""en"",""de"")"),"Sie waschen das Geschirr kontinuierlich, während sie sie in einem Rack zur Seite stapeln.")</f>
        <v>Sie waschen das Geschirr kontinuierlich, während sie sie in einem Rack zur Seite stapeln.</v>
      </c>
    </row>
    <row r="18311">
      <c r="A18311" s="4" t="s">
        <v>23041</v>
      </c>
      <c r="B18311" s="4" t="s">
        <v>23042</v>
      </c>
      <c r="C18311" s="5" t="str">
        <f>IFERROR(__xludf.DUMMYFUNCTION("GOOGLETRANSLATE(B18311,""en"",""de"")"),"Ein Phillips Three-Head-Rasiermesser wird angezeigt und dann auf einem roten Tisch entbunden.")</f>
        <v>Ein Phillips Three-Head-Rasiermesser wird angezeigt und dann auf einem roten Tisch entbunden.</v>
      </c>
    </row>
    <row r="18312">
      <c r="A18312" s="4" t="s">
        <v>23041</v>
      </c>
      <c r="B18312" s="4" t="s">
        <v>23043</v>
      </c>
      <c r="C18312" s="5" t="str">
        <f>IFERROR(__xludf.DUMMYFUNCTION("GOOGLETRANSLATE(B18312,""en"",""de"")"),"Als nächstes wird der Rasiermesser zusammengesetzt und auf die Gebühr aufgeladen, sobald er eingesteckt ist.")</f>
        <v>Als nächstes wird der Rasiermesser zusammengesetzt und auf die Gebühr aufgeladen, sobald er eingesteckt ist.</v>
      </c>
    </row>
    <row r="18313">
      <c r="A18313" s="4" t="s">
        <v>23041</v>
      </c>
      <c r="B18313" s="4" t="s">
        <v>23044</v>
      </c>
      <c r="C18313" s="5" t="str">
        <f>IFERROR(__xludf.DUMMYFUNCTION("GOOGLETRANSLATE(B18313,""en"",""de"")"),"Sobald der Mann voll aufgeladen ist, spügt er die Rasierer, die Rasiercreme auf diesen Bartbereich aufträgt und beginnt sich zu rasieren.")</f>
        <v>Sobald der Mann voll aufgeladen ist, spügt er die Rasierer, die Rasiercreme auf diesen Bartbereich aufträgt und beginnt sich zu rasieren.</v>
      </c>
    </row>
    <row r="18314">
      <c r="A18314" s="4" t="s">
        <v>23041</v>
      </c>
      <c r="B18314" s="4" t="s">
        <v>23045</v>
      </c>
      <c r="C18314" s="5" t="str">
        <f>IFERROR(__xludf.DUMMYFUNCTION("GOOGLETRANSLATE(B18314,""en"",""de"")"),"Während er rasiert, redet der Mann weiter und sein Gesicht beginnt sich zu einem kleinen großen Rasiermesser zu drehen und der Rasierer wird dann wieder auf das Ladegerät gelegt.")</f>
        <v>Während er rasiert, redet der Mann weiter und sein Gesicht beginnt sich zu einem kleinen großen Rasiermesser zu drehen und der Rasierer wird dann wieder auf das Ladegerät gelegt.</v>
      </c>
    </row>
    <row r="18315">
      <c r="A18315" s="4" t="s">
        <v>23046</v>
      </c>
      <c r="B18315" s="4" t="s">
        <v>23047</v>
      </c>
      <c r="C18315" s="5" t="str">
        <f>IFERROR(__xludf.DUMMYFUNCTION("GOOGLETRANSLATE(B18315,""en"",""de"")"),"Ein Mann steht auf einer Bühne vor einer amerikanischen Flagge, während er aus einem Stück Papier in ein Mikrofon liest.")</f>
        <v>Ein Mann steht auf einer Bühne vor einer amerikanischen Flagge, während er aus einem Stück Papier in ein Mikrofon liest.</v>
      </c>
    </row>
    <row r="18316">
      <c r="A18316" s="4" t="s">
        <v>23046</v>
      </c>
      <c r="B18316" s="4" t="s">
        <v>23048</v>
      </c>
      <c r="C18316" s="5" t="str">
        <f>IFERROR(__xludf.DUMMYFUNCTION("GOOGLETRANSLATE(B18316,""en"",""de"")"),"Dann wird er vor einer Menge gezeigt, als sie hinter ihm schreien.")</f>
        <v>Dann wird er vor einer Menge gezeigt, als sie hinter ihm schreien.</v>
      </c>
    </row>
    <row r="18317">
      <c r="A18317" s="4" t="s">
        <v>23046</v>
      </c>
      <c r="B18317" s="4" t="s">
        <v>23049</v>
      </c>
      <c r="C18317" s="5" t="str">
        <f>IFERROR(__xludf.DUMMYFUNCTION("GOOGLETRANSLATE(B18317,""en"",""de"")"),"Die Männer gehen raus und beginnen mit einer Dart -Wurf -Herausforderung zu konkurrieren.")</f>
        <v>Die Männer gehen raus und beginnen mit einer Dart -Wurf -Herausforderung zu konkurrieren.</v>
      </c>
    </row>
    <row r="18318">
      <c r="A18318" s="4" t="s">
        <v>23046</v>
      </c>
      <c r="B18318" s="4" t="s">
        <v>23050</v>
      </c>
      <c r="C18318" s="5" t="str">
        <f>IFERROR(__xludf.DUMMYFUNCTION("GOOGLETRANSLATE(B18318,""en"",""de"")"),"Der Gewinner wird danach interviewt.")</f>
        <v>Der Gewinner wird danach interviewt.</v>
      </c>
    </row>
    <row r="18319">
      <c r="A18319" s="4" t="s">
        <v>23051</v>
      </c>
      <c r="B18319" s="4" t="s">
        <v>23052</v>
      </c>
      <c r="C18319" s="5" t="str">
        <f>IFERROR(__xludf.DUMMYFUNCTION("GOOGLETRANSLATE(B18319,""en"",""de"")"),"Die Information von Bali River Rubing wird auf dem Bildschirm angezeigt.")</f>
        <v>Die Information von Bali River Rubing wird auf dem Bildschirm angezeigt.</v>
      </c>
    </row>
    <row r="18320">
      <c r="A18320" s="4" t="s">
        <v>23051</v>
      </c>
      <c r="B18320" s="4" t="s">
        <v>23053</v>
      </c>
      <c r="C18320" s="5" t="str">
        <f>IFERROR(__xludf.DUMMYFUNCTION("GOOGLETRANSLATE(B18320,""en"",""de"")"),"Es wird ein gelbes und rotes Rohr mit dem Namen Bali River gezeigt, der darauf gedruckt ist.")</f>
        <v>Es wird ein gelbes und rotes Rohr mit dem Namen Bali River gezeigt, der darauf gedruckt ist.</v>
      </c>
    </row>
    <row r="18321">
      <c r="A18321" s="4" t="s">
        <v>23051</v>
      </c>
      <c r="B18321" s="4" t="s">
        <v>23054</v>
      </c>
      <c r="C18321" s="5" t="str">
        <f>IFERROR(__xludf.DUMMYFUNCTION("GOOGLETRANSLATE(B18321,""en"",""de"")"),"Es gibt mehrere Menschen, die im Fluss Schutzhelme tragen.")</f>
        <v>Es gibt mehrere Menschen, die im Fluss Schutzhelme tragen.</v>
      </c>
    </row>
    <row r="18322">
      <c r="A18322" s="4" t="s">
        <v>23051</v>
      </c>
      <c r="B18322" s="4" t="s">
        <v>23055</v>
      </c>
      <c r="C18322" s="5" t="str">
        <f>IFERROR(__xludf.DUMMYFUNCTION("GOOGLETRANSLATE(B18322,""en"",""de"")"),"Es steht ein Mann unter einem Rohr mit schnell fließendem Wasser.")</f>
        <v>Es steht ein Mann unter einem Rohr mit schnell fließendem Wasser.</v>
      </c>
    </row>
    <row r="18323">
      <c r="A18323" s="4" t="s">
        <v>23051</v>
      </c>
      <c r="B18323" s="4" t="s">
        <v>23056</v>
      </c>
      <c r="C18323" s="5" t="str">
        <f>IFERROR(__xludf.DUMMYFUNCTION("GOOGLETRANSLATE(B18323,""en"",""de"")"),"Es gibt einige Knollen, die mit den Händen durch das Wasser paddeln.")</f>
        <v>Es gibt einige Knollen, die mit den Händen durch das Wasser paddeln.</v>
      </c>
    </row>
    <row r="18324">
      <c r="A18324" s="4" t="s">
        <v>23051</v>
      </c>
      <c r="B18324" s="4" t="s">
        <v>23057</v>
      </c>
      <c r="C18324" s="5" t="str">
        <f>IFERROR(__xludf.DUMMYFUNCTION("GOOGLETRANSLATE(B18324,""en"",""de"")"),"Es gibt einen Mann, der sich in seiner Röhre entspannt und einen Daumen hoch gibt.")</f>
        <v>Es gibt einen Mann, der sich in seiner Röhre entspannt und einen Daumen hoch gibt.</v>
      </c>
    </row>
    <row r="18325">
      <c r="A18325" s="4" t="s">
        <v>23051</v>
      </c>
      <c r="B18325" s="4" t="s">
        <v>23058</v>
      </c>
      <c r="C18325" s="5" t="str">
        <f>IFERROR(__xludf.DUMMYFUNCTION("GOOGLETRANSLATE(B18325,""en"",""de"")"),"Die Knollen setzen weiter durch den Fluss.")</f>
        <v>Die Knollen setzen weiter durch den Fluss.</v>
      </c>
    </row>
    <row r="18326">
      <c r="A18326" s="4" t="s">
        <v>23059</v>
      </c>
      <c r="B18326" s="4" t="s">
        <v>23060</v>
      </c>
      <c r="C18326" s="5" t="str">
        <f>IFERROR(__xludf.DUMMYFUNCTION("GOOGLETRANSLATE(B18326,""en"",""de"")"),"Ein Mann trägt eine Maske und schiebt ein Objekt entlang einer Wand.")</f>
        <v>Ein Mann trägt eine Maske und schiebt ein Objekt entlang einer Wand.</v>
      </c>
    </row>
    <row r="18327">
      <c r="A18327" s="4" t="s">
        <v>23059</v>
      </c>
      <c r="B18327" s="4" t="s">
        <v>23061</v>
      </c>
      <c r="C18327" s="5" t="str">
        <f>IFERROR(__xludf.DUMMYFUNCTION("GOOGLETRANSLATE(B18327,""en"",""de"")"),"Der Mann wird dann gesehen, wie er Papier über einen Tisch legt.")</f>
        <v>Der Mann wird dann gesehen, wie er Papier über einen Tisch legt.</v>
      </c>
    </row>
    <row r="18328">
      <c r="A18328" s="4" t="s">
        <v>23059</v>
      </c>
      <c r="B18328" s="4" t="s">
        <v>23062</v>
      </c>
      <c r="C18328" s="5" t="str">
        <f>IFERROR(__xludf.DUMMYFUNCTION("GOOGLETRANSLATE(B18328,""en"",""de"")"),"Kurz danach legt er Tapete an die Wand.")</f>
        <v>Kurz danach legt er Tapete an die Wand.</v>
      </c>
    </row>
    <row r="18329">
      <c r="A18329" s="4" t="s">
        <v>23063</v>
      </c>
      <c r="B18329" s="4" t="s">
        <v>23064</v>
      </c>
      <c r="C18329" s="5" t="str">
        <f>IFERROR(__xludf.DUMMYFUNCTION("GOOGLETRANSLATE(B18329,""en"",""de"")"),"Eine Frau auf Rollschaufeln bewegt sich rückwärts, fällt auf das Gras und lacht.")</f>
        <v>Eine Frau auf Rollschaufeln bewegt sich rückwärts, fällt auf das Gras und lacht.</v>
      </c>
    </row>
    <row r="18330">
      <c r="A18330" s="4" t="s">
        <v>23063</v>
      </c>
      <c r="B18330" s="4" t="s">
        <v>23065</v>
      </c>
      <c r="C18330" s="5" t="str">
        <f>IFERROR(__xludf.DUMMYFUNCTION("GOOGLETRANSLATE(B18330,""en"",""de"")"),"Eine Freundin spricht mit der gefallenen Frau, als sie versucht, aufzustehen.")</f>
        <v>Eine Freundin spricht mit der gefallenen Frau, als sie versucht, aufzustehen.</v>
      </c>
    </row>
    <row r="18331">
      <c r="A18331" s="4" t="s">
        <v>23063</v>
      </c>
      <c r="B18331" s="4" t="s">
        <v>23066</v>
      </c>
      <c r="C18331" s="5" t="str">
        <f>IFERROR(__xludf.DUMMYFUNCTION("GOOGLETRANSLATE(B18331,""en"",""de"")"),"Ein Freund spricht mit ihr, während sie die Kamera hält, und bietet ihr eine Hand, um aufzustehen.")</f>
        <v>Ein Freund spricht mit ihr, während sie die Kamera hält, und bietet ihr eine Hand, um aufzustehen.</v>
      </c>
    </row>
    <row r="18332">
      <c r="A18332" s="4" t="s">
        <v>23063</v>
      </c>
      <c r="B18332" s="4" t="s">
        <v>23067</v>
      </c>
      <c r="C18332" s="5" t="str">
        <f>IFERROR(__xludf.DUMMYFUNCTION("GOOGLETRANSLATE(B18332,""en"",""de"")"),"Zwei Frauen halten Hand und beginnen mit Rollerblading, während das Mädchen im roten Hemd erfährt, wie.")</f>
        <v>Zwei Frauen halten Hand und beginnen mit Rollerblading, während das Mädchen im roten Hemd erfährt, wie.</v>
      </c>
    </row>
    <row r="18333">
      <c r="A18333" s="4" t="s">
        <v>23063</v>
      </c>
      <c r="B18333" s="4" t="s">
        <v>23068</v>
      </c>
      <c r="C18333" s="5" t="str">
        <f>IFERROR(__xludf.DUMMYFUNCTION("GOOGLETRANSLATE(B18333,""en"",""de"")"),"Das Mädchen im roten Hemd fällt und alle lachen.")</f>
        <v>Das Mädchen im roten Hemd fällt und alle lachen.</v>
      </c>
    </row>
    <row r="18334">
      <c r="A18334" s="4" t="s">
        <v>23069</v>
      </c>
      <c r="B18334" s="4" t="s">
        <v>23070</v>
      </c>
      <c r="C18334" s="5" t="str">
        <f>IFERROR(__xludf.DUMMYFUNCTION("GOOGLETRANSLATE(B18334,""en"",""de"")"),"Es wird gezeigt, dass ein Blattgebläse einen großen Haufen Blätter über einen grünen Rasen vor Wohnhäusern bläst.")</f>
        <v>Es wird gezeigt, dass ein Blattgebläse einen großen Haufen Blätter über einen grünen Rasen vor Wohnhäusern bläst.</v>
      </c>
    </row>
    <row r="18335">
      <c r="A18335" s="4" t="s">
        <v>23069</v>
      </c>
      <c r="B18335" s="4" t="s">
        <v>23071</v>
      </c>
      <c r="C18335" s="5" t="str">
        <f>IFERROR(__xludf.DUMMYFUNCTION("GOOGLETRANSLATE(B18335,""en"",""de"")"),"Die Blätter fliegen in die Luft hoch, hängen aber weitgehend zusammen, wenn das Blattgebläse den Boden sauber aus braunen Blättern wischt und auf dem Rasen Stapel bildet.")</f>
        <v>Die Blätter fliegen in die Luft hoch, hängen aber weitgehend zusammen, wenn das Blattgebläse den Boden sauber aus braunen Blättern wischt und auf dem Rasen Stapel bildet.</v>
      </c>
    </row>
    <row r="18336">
      <c r="A18336" s="4" t="s">
        <v>23069</v>
      </c>
      <c r="B18336" s="4" t="s">
        <v>23072</v>
      </c>
      <c r="C18336" s="5" t="str">
        <f>IFERROR(__xludf.DUMMYFUNCTION("GOOGLETRANSLATE(B18336,""en"",""de"")"),"Die Kamera legt sich gelegentlich auf und setzt sich schließlich auf einem gelben Rasenmäher ein, der im Hof ​​hinter den Blättern liegt.")</f>
        <v>Die Kamera legt sich gelegentlich auf und setzt sich schließlich auf einem gelben Rasenmäher ein, der im Hof ​​hinter den Blättern liegt.</v>
      </c>
    </row>
    <row r="18337">
      <c r="A18337" s="4" t="s">
        <v>23073</v>
      </c>
      <c r="B18337" s="4" t="s">
        <v>23074</v>
      </c>
      <c r="C18337" s="5" t="str">
        <f>IFERROR(__xludf.DUMMYFUNCTION("GOOGLETRANSLATE(B18337,""en"",""de"")"),"Wir sehen ein Mädchen mit lila Haaren, die mit der Kamera sprechen.")</f>
        <v>Wir sehen ein Mädchen mit lila Haaren, die mit der Kamera sprechen.</v>
      </c>
    </row>
    <row r="18338">
      <c r="A18338" s="4" t="s">
        <v>23073</v>
      </c>
      <c r="B18338" s="4" t="s">
        <v>23075</v>
      </c>
      <c r="C18338" s="5" t="str">
        <f>IFERROR(__xludf.DUMMYFUNCTION("GOOGLETRANSLATE(B18338,""en"",""de"")"),"Wir sehen das Mädchen in die Kamera hinunter.")</f>
        <v>Wir sehen das Mädchen in die Kamera hinunter.</v>
      </c>
    </row>
    <row r="18339">
      <c r="A18339" s="4" t="s">
        <v>23073</v>
      </c>
      <c r="B18339" s="4" t="s">
        <v>23076</v>
      </c>
      <c r="C18339" s="5" t="str">
        <f>IFERROR(__xludf.DUMMYFUNCTION("GOOGLETRANSLATE(B18339,""en"",""de"")"),"Wir sehen das Mädchen vorgeben, ihre Haare zu bürsten und zu sprühen.")</f>
        <v>Wir sehen das Mädchen vorgeben, ihre Haare zu bürsten und zu sprühen.</v>
      </c>
    </row>
    <row r="18340">
      <c r="A18340" s="4" t="s">
        <v>23073</v>
      </c>
      <c r="B18340" s="4" t="s">
        <v>23077</v>
      </c>
      <c r="C18340" s="5" t="str">
        <f>IFERROR(__xludf.DUMMYFUNCTION("GOOGLETRANSLATE(B18340,""en"",""de"")"),"Sie hält 2 Flaschen an der Kamera.")</f>
        <v>Sie hält 2 Flaschen an der Kamera.</v>
      </c>
    </row>
    <row r="18341">
      <c r="A18341" s="4" t="s">
        <v>23073</v>
      </c>
      <c r="B18341" s="4" t="s">
        <v>23078</v>
      </c>
      <c r="C18341" s="5" t="str">
        <f>IFERROR(__xludf.DUMMYFUNCTION("GOOGLETRANSLATE(B18341,""en"",""de"")"),"Das Mädchen streift ihre Haare und steckt es in einen Pferdeschwanz.")</f>
        <v>Das Mädchen streift ihre Haare und steckt es in einen Pferdeschwanz.</v>
      </c>
    </row>
    <row r="18342">
      <c r="A18342" s="4" t="s">
        <v>23073</v>
      </c>
      <c r="B18342" s="4" t="s">
        <v>23079</v>
      </c>
      <c r="C18342" s="5" t="str">
        <f>IFERROR(__xludf.DUMMYFUNCTION("GOOGLETRANSLATE(B18342,""en"",""de"")"),"Das Mädchen fügt ihren Haaren Produkte hinzu.")</f>
        <v>Das Mädchen fügt ihren Haaren Produkte hinzu.</v>
      </c>
    </row>
    <row r="18343">
      <c r="A18343" s="4" t="s">
        <v>23073</v>
      </c>
      <c r="B18343" s="4" t="s">
        <v>23080</v>
      </c>
      <c r="C18343" s="5" t="str">
        <f>IFERROR(__xludf.DUMMYFUNCTION("GOOGLETRANSLATE(B18343,""en"",""de"")"),"Das Mädchen zeigt auf die Kamera.")</f>
        <v>Das Mädchen zeigt auf die Kamera.</v>
      </c>
    </row>
    <row r="18344">
      <c r="A18344" s="4" t="s">
        <v>23073</v>
      </c>
      <c r="B18344" s="4" t="s">
        <v>23081</v>
      </c>
      <c r="C18344" s="5" t="str">
        <f>IFERROR(__xludf.DUMMYFUNCTION("GOOGLETRANSLATE(B18344,""en"",""de"")"),"Das Mädchen gibt der Kamera einen Daumen hoch.")</f>
        <v>Das Mädchen gibt der Kamera einen Daumen hoch.</v>
      </c>
    </row>
    <row r="18345">
      <c r="A18345" s="4" t="s">
        <v>23082</v>
      </c>
      <c r="B18345" s="4" t="s">
        <v>23083</v>
      </c>
      <c r="C18345" s="5" t="str">
        <f>IFERROR(__xludf.DUMMYFUNCTION("GOOGLETRANSLATE(B18345,""en"",""de"")"),"Der Mann steht in einem Raum, der Dart spielt.")</f>
        <v>Der Mann steht in einem Raum, der Dart spielt.</v>
      </c>
    </row>
    <row r="18346">
      <c r="A18346" s="4" t="s">
        <v>23082</v>
      </c>
      <c r="B18346" s="4" t="s">
        <v>23084</v>
      </c>
      <c r="C18346" s="5" t="str">
        <f>IFERROR(__xludf.DUMMYFUNCTION("GOOGLETRANSLATE(B18346,""en"",""de"")"),"Der Mensch wirft Darts in ein Dartboard.")</f>
        <v>Der Mensch wirft Darts in ein Dartboard.</v>
      </c>
    </row>
    <row r="18347">
      <c r="A18347" s="4" t="s">
        <v>23082</v>
      </c>
      <c r="B18347" s="4" t="s">
        <v>23085</v>
      </c>
      <c r="C18347" s="5" t="str">
        <f>IFERROR(__xludf.DUMMYFUNCTION("GOOGLETRANSLATE(B18347,""en"",""de"")"),"Der Mann packt die Pfeile vom Brett und spricht mit der Kamera.")</f>
        <v>Der Mann packt die Pfeile vom Brett und spricht mit der Kamera.</v>
      </c>
    </row>
    <row r="18348">
      <c r="A18348" s="4" t="s">
        <v>23086</v>
      </c>
      <c r="B18348" s="4" t="s">
        <v>23087</v>
      </c>
      <c r="C18348" s="5" t="str">
        <f>IFERROR(__xludf.DUMMYFUNCTION("GOOGLETRANSLATE(B18348,""en"",""de"")"),"Es gibt Leute, die in einem Getränkebecher, Zittern, Tassen, Tassen oder einfach herumlaufen.")</f>
        <v>Es gibt Leute, die in einem Getränkebecher, Zittern, Tassen, Tassen oder einfach herumlaufen.</v>
      </c>
    </row>
    <row r="18349">
      <c r="A18349" s="4" t="s">
        <v>23086</v>
      </c>
      <c r="B18349" s="4" t="s">
        <v>23088</v>
      </c>
      <c r="C18349" s="5" t="str">
        <f>IFERROR(__xludf.DUMMYFUNCTION("GOOGLETRANSLATE(B18349,""en"",""de"")"),"Ein junger Mann füllt eine klare Tasse mit Flüssigkeit, setzt sie auf die Theke, bedeckt sie mit einem Pappbecher, schüttelt sie kräftig und wenn er fertig ist Es und gibt es der Person, die wartet.")</f>
        <v>Ein junger Mann füllt eine klare Tasse mit Flüssigkeit, setzt sie auf die Theke, bedeckt sie mit einem Pappbecher, schüttelt sie kräftig und wenn er fertig ist Es und gibt es der Person, die wartet.</v>
      </c>
    </row>
    <row r="18350">
      <c r="A18350" s="4" t="s">
        <v>23086</v>
      </c>
      <c r="B18350" s="4" t="s">
        <v>23089</v>
      </c>
      <c r="C18350" s="5" t="str">
        <f>IFERROR(__xludf.DUMMYFUNCTION("GOOGLETRANSLATE(B18350,""en"",""de"")"),"Neben ihm schüttelte auch ein anderer Junge eine Tasse und bereitete sich dann darauf vor, den Inhalt auf einen Pappbecher zu übertragen.")</f>
        <v>Neben ihm schüttelte auch ein anderer Junge eine Tasse und bereitete sich dann darauf vor, den Inhalt auf einen Pappbecher zu übertragen.</v>
      </c>
    </row>
    <row r="18351">
      <c r="A18351" s="4" t="s">
        <v>23090</v>
      </c>
      <c r="B18351" s="4" t="s">
        <v>23091</v>
      </c>
      <c r="C18351" s="5" t="str">
        <f>IFERROR(__xludf.DUMMYFUNCTION("GOOGLETRANSLATE(B18351,""en"",""de"")"),"Ein Mann in einem blauen Hemd spricht neben einem Air Hockey -Tischspiel in einem Showcase -Raum, das mit einem Video von vier Männern durchsetzt ist, die ein Spiel mit Air -Tischhockey demonstrieren.")</f>
        <v>Ein Mann in einem blauen Hemd spricht neben einem Air Hockey -Tischspiel in einem Showcase -Raum, das mit einem Video von vier Männern durchsetzt ist, die ein Spiel mit Air -Tischhockey demonstrieren.</v>
      </c>
    </row>
    <row r="18352">
      <c r="A18352" s="4" t="s">
        <v>23090</v>
      </c>
      <c r="B18352" s="4" t="s">
        <v>23092</v>
      </c>
      <c r="C18352" s="5" t="str">
        <f>IFERROR(__xludf.DUMMYFUNCTION("GOOGLETRANSLATE(B18352,""en"",""de"")"),"Ein Mann beginnt aus einem Ausstellungsraum zu sprechen, während er vor einem Air Hockey -Tischspiel steht.")</f>
        <v>Ein Mann beginnt aus einem Ausstellungsraum zu sprechen, während er vor einem Air Hockey -Tischspiel steht.</v>
      </c>
    </row>
    <row r="18353">
      <c r="A18353" s="4" t="s">
        <v>23090</v>
      </c>
      <c r="B18353" s="4" t="s">
        <v>23093</v>
      </c>
      <c r="C18353" s="5" t="str">
        <f>IFERROR(__xludf.DUMMYFUNCTION("GOOGLETRANSLATE(B18353,""en"",""de"")"),"Die Kamera schneidet ab und zeigt, dass vier Männer mit dem Tischspiel ein Air Hockey -Spiel spielen.")</f>
        <v>Die Kamera schneidet ab und zeigt, dass vier Männer mit dem Tischspiel ein Air Hockey -Spiel spielen.</v>
      </c>
    </row>
    <row r="18354">
      <c r="A18354" s="4" t="s">
        <v>23090</v>
      </c>
      <c r="B18354" s="4" t="s">
        <v>23094</v>
      </c>
      <c r="C18354" s="5" t="str">
        <f>IFERROR(__xludf.DUMMYFUNCTION("GOOGLETRANSLATE(B18354,""en"",""de"")"),"Der Mann spricht erneut neben dem Tischspiel, bis die Kamera wieder zu den Männern schwenkt, die Air Hockey spielen, bis die Szene zu einer ausführlichen Goldstandard -Marketing -Grafik verblasst.")</f>
        <v>Der Mann spricht erneut neben dem Tischspiel, bis die Kamera wieder zu den Männern schwenkt, die Air Hockey spielen, bis die Szene zu einer ausführlichen Goldstandard -Marketing -Grafik verblasst.</v>
      </c>
    </row>
    <row r="18355">
      <c r="A18355" s="4" t="s">
        <v>23095</v>
      </c>
      <c r="B18355" s="4" t="s">
        <v>23096</v>
      </c>
      <c r="C18355" s="5" t="str">
        <f>IFERROR(__xludf.DUMMYFUNCTION("GOOGLETRANSLATE(B18355,""en"",""de"")"),"Ein Mann steht zu einem Stabhochsprung -Rig, während eine Reihe von Gewährleisten gezeigt wird, die das Tresor mit unterschiedlichem Erfolg versucht.")</f>
        <v>Ein Mann steht zu einem Stabhochsprung -Rig, während eine Reihe von Gewährleisten gezeigt wird, die das Tresor mit unterschiedlichem Erfolg versucht.</v>
      </c>
    </row>
    <row r="18356">
      <c r="A18356" s="4" t="s">
        <v>23095</v>
      </c>
      <c r="B18356" s="4" t="s">
        <v>23097</v>
      </c>
      <c r="C18356" s="5" t="str">
        <f>IFERROR(__xludf.DUMMYFUNCTION("GOOGLETRANSLATE(B18356,""en"",""de"")"),"Eine Gruppe von Menschen, die weiße Uniformen tragen, gehen im Hintergrund vorbei.")</f>
        <v>Eine Gruppe von Menschen, die weiße Uniformen tragen, gehen im Hintergrund vorbei.</v>
      </c>
    </row>
    <row r="18357">
      <c r="A18357" s="4" t="s">
        <v>23095</v>
      </c>
      <c r="B18357" s="4" t="s">
        <v>23098</v>
      </c>
      <c r="C18357" s="5" t="str">
        <f>IFERROR(__xludf.DUMMYFUNCTION("GOOGLETRANSLATE(B18357,""en"",""de"")"),"Zwei Menschen gehen im Hintergrund vorbei.")</f>
        <v>Zwei Menschen gehen im Hintergrund vorbei.</v>
      </c>
    </row>
    <row r="18358">
      <c r="A18358" s="4" t="s">
        <v>23099</v>
      </c>
      <c r="B18358" s="4" t="s">
        <v>23100</v>
      </c>
      <c r="C18358" s="5" t="str">
        <f>IFERROR(__xludf.DUMMYFUNCTION("GOOGLETRANSLATE(B18358,""en"",""de"")"),"Eine Frau schließt die Augen auf einem Tauchbrett.")</f>
        <v>Eine Frau schließt die Augen auf einem Tauchbrett.</v>
      </c>
    </row>
    <row r="18359">
      <c r="A18359" s="4" t="s">
        <v>23099</v>
      </c>
      <c r="B18359" s="4" t="s">
        <v>23101</v>
      </c>
      <c r="C18359" s="5" t="str">
        <f>IFERROR(__xludf.DUMMYFUNCTION("GOOGLETRANSLATE(B18359,""en"",""de"")"),"Sie macht einen Flip und taucht ins Wasser ein.")</f>
        <v>Sie macht einen Flip und taucht ins Wasser ein.</v>
      </c>
    </row>
    <row r="18360">
      <c r="A18360" s="4" t="s">
        <v>23099</v>
      </c>
      <c r="B18360" s="4" t="s">
        <v>23102</v>
      </c>
      <c r="C18360" s="5" t="str">
        <f>IFERROR(__xludf.DUMMYFUNCTION("GOOGLETRANSLATE(B18360,""en"",""de"")"),"Sie schwimmt an die Oberfläche.")</f>
        <v>Sie schwimmt an die Oberfläche.</v>
      </c>
    </row>
    <row r="18361">
      <c r="A18361" s="4" t="s">
        <v>23103</v>
      </c>
      <c r="B18361" s="4" t="s">
        <v>23104</v>
      </c>
      <c r="C18361" s="5" t="str">
        <f>IFERROR(__xludf.DUMMYFUNCTION("GOOGLETRANSLATE(B18361,""en"",""de"")"),"Eine Band spielt auf einer Bühne.")</f>
        <v>Eine Band spielt auf einer Bühne.</v>
      </c>
    </row>
    <row r="18362">
      <c r="A18362" s="4" t="s">
        <v>23103</v>
      </c>
      <c r="B18362" s="4" t="s">
        <v>23105</v>
      </c>
      <c r="C18362" s="5" t="str">
        <f>IFERROR(__xludf.DUMMYFUNCTION("GOOGLETRANSLATE(B18362,""en"",""de"")"),"Ein Mann und eine Frau küssen sich.")</f>
        <v>Ein Mann und eine Frau küssen sich.</v>
      </c>
    </row>
    <row r="18363">
      <c r="A18363" s="4" t="s">
        <v>23103</v>
      </c>
      <c r="B18363" s="4" t="s">
        <v>23106</v>
      </c>
      <c r="C18363" s="5" t="str">
        <f>IFERROR(__xludf.DUMMYFUNCTION("GOOGLETRANSLATE(B18363,""en"",""de"")"),"Ein Mann in einem gelben Hemd spielt das Saxophon.")</f>
        <v>Ein Mann in einem gelben Hemd spielt das Saxophon.</v>
      </c>
    </row>
    <row r="18364">
      <c r="A18364" s="4" t="s">
        <v>23107</v>
      </c>
      <c r="B18364" s="4" t="s">
        <v>23108</v>
      </c>
      <c r="C18364" s="5" t="str">
        <f>IFERROR(__xludf.DUMMYFUNCTION("GOOGLETRANSLATE(B18364,""en"",""de"")"),"Ein junger Mann setzt sich hin und zieht eine Trommel nahe bei ihm.")</f>
        <v>Ein junger Mann setzt sich hin und zieht eine Trommel nahe bei ihm.</v>
      </c>
    </row>
    <row r="18365">
      <c r="A18365" s="4" t="s">
        <v>23107</v>
      </c>
      <c r="B18365" s="4" t="s">
        <v>23109</v>
      </c>
      <c r="C18365" s="5" t="str">
        <f>IFERROR(__xludf.DUMMYFUNCTION("GOOGLETRANSLATE(B18365,""en"",""de"")"),"Er nimmt seine Stöcke auf und schlägt sie zusammen.")</f>
        <v>Er nimmt seine Stöcke auf und schlägt sie zusammen.</v>
      </c>
    </row>
    <row r="18366">
      <c r="A18366" s="4" t="s">
        <v>23107</v>
      </c>
      <c r="B18366" s="4" t="s">
        <v>23110</v>
      </c>
      <c r="C18366" s="5" t="str">
        <f>IFERROR(__xludf.DUMMYFUNCTION("GOOGLETRANSLATE(B18366,""en"",""de"")"),"Er beginnt zu zählen und zu trommeln.")</f>
        <v>Er beginnt zu zählen und zu trommeln.</v>
      </c>
    </row>
    <row r="18367">
      <c r="A18367" s="4" t="s">
        <v>23107</v>
      </c>
      <c r="B18367" s="4" t="s">
        <v>23111</v>
      </c>
      <c r="C18367" s="5" t="str">
        <f>IFERROR(__xludf.DUMMYFUNCTION("GOOGLETRANSLATE(B18367,""en"",""de"")"),"Er trommelt schneller, als er wegschaut und dann anhält, um ein paar Trommeln anzupassen.")</f>
        <v>Er trommelt schneller, als er wegschaut und dann anhält, um ein paar Trommeln anzupassen.</v>
      </c>
    </row>
    <row r="18368">
      <c r="A18368" s="4" t="s">
        <v>23107</v>
      </c>
      <c r="B18368" s="4" t="s">
        <v>23112</v>
      </c>
      <c r="C18368" s="5" t="str">
        <f>IFERROR(__xludf.DUMMYFUNCTION("GOOGLETRANSLATE(B18368,""en"",""de"")"),"Er steht auf und bewegt die Kamera, um einen Hebel zu zeigen, den er bewegt, und tippt dann immer wieder auf eine Trommel.")</f>
        <v>Er steht auf und bewegt die Kamera, um einen Hebel zu zeigen, den er bewegt, und tippt dann immer wieder auf eine Trommel.</v>
      </c>
    </row>
    <row r="18369">
      <c r="A18369" s="4" t="s">
        <v>23107</v>
      </c>
      <c r="B18369" s="4" t="s">
        <v>23113</v>
      </c>
      <c r="C18369" s="5" t="str">
        <f>IFERROR(__xludf.DUMMYFUNCTION("GOOGLETRANSLATE(B18369,""en"",""de"")"),"Er gibt ein Daumen hoch und ein Friedenszeichen.")</f>
        <v>Er gibt ein Daumen hoch und ein Friedenszeichen.</v>
      </c>
    </row>
    <row r="18370">
      <c r="A18370" s="4" t="s">
        <v>23114</v>
      </c>
      <c r="B18370" s="4" t="s">
        <v>23115</v>
      </c>
      <c r="C18370" s="5" t="str">
        <f>IFERROR(__xludf.DUMMYFUNCTION("GOOGLETRANSLATE(B18370,""en"",""de"")"),"Ein Mann sitzt am Klavier und spielt und singt in ein Mikrofon.")</f>
        <v>Ein Mann sitzt am Klavier und spielt und singt in ein Mikrofon.</v>
      </c>
    </row>
    <row r="18371">
      <c r="A18371" s="4" t="s">
        <v>23114</v>
      </c>
      <c r="B18371" s="4" t="s">
        <v>23116</v>
      </c>
      <c r="C18371" s="5" t="str">
        <f>IFERROR(__xludf.DUMMYFUNCTION("GOOGLETRANSLATE(B18371,""en"",""de"")"),"Wenn er fertig ist, schaut er auf und lächelt.")</f>
        <v>Wenn er fertig ist, schaut er auf und lächelt.</v>
      </c>
    </row>
    <row r="18372">
      <c r="A18372" s="4" t="s">
        <v>23117</v>
      </c>
      <c r="B18372" s="4" t="s">
        <v>23118</v>
      </c>
      <c r="C18372" s="5" t="str">
        <f>IFERROR(__xludf.DUMMYFUNCTION("GOOGLETRANSLATE(B18372,""en"",""de"")"),"Eine Sportlerin läuft schnell eine Strecke hinunter.")</f>
        <v>Eine Sportlerin läuft schnell eine Strecke hinunter.</v>
      </c>
    </row>
    <row r="18373">
      <c r="A18373" s="4" t="s">
        <v>23117</v>
      </c>
      <c r="B18373" s="4" t="s">
        <v>23119</v>
      </c>
      <c r="C18373" s="5" t="str">
        <f>IFERROR(__xludf.DUMMYFUNCTION("GOOGLETRANSLATE(B18373,""en"",""de"")"),"Sie pflückt in den Sand, bevor sie aufsteht und weggeht.")</f>
        <v>Sie pflückt in den Sand, bevor sie aufsteht und weggeht.</v>
      </c>
    </row>
    <row r="18374">
      <c r="A18374" s="4" t="s">
        <v>23117</v>
      </c>
      <c r="B18374" s="4" t="s">
        <v>23120</v>
      </c>
      <c r="C18374" s="5" t="str">
        <f>IFERROR(__xludf.DUMMYFUNCTION("GOOGLETRANSLATE(B18374,""en"",""de"")"),"Die Szene wird dreimal wiederholt, bevor sie mit ihrem Jubel und Klatschen endet.")</f>
        <v>Die Szene wird dreimal wiederholt, bevor sie mit ihrem Jubel und Klatschen endet.</v>
      </c>
    </row>
    <row r="18375">
      <c r="A18375" s="4" t="s">
        <v>23121</v>
      </c>
      <c r="B18375" s="4" t="s">
        <v>23122</v>
      </c>
      <c r="C18375" s="5" t="str">
        <f>IFERROR(__xludf.DUMMYFUNCTION("GOOGLETRANSLATE(B18375,""en"",""de"")"),"Eine Person hängt an der Seite eines Strahls hinunter, während ein anderer Mann ihn festhält.")</f>
        <v>Eine Person hängt an der Seite eines Strahls hinunter, während ein anderer Mann ihn festhält.</v>
      </c>
    </row>
    <row r="18376">
      <c r="A18376" s="4" t="s">
        <v>23121</v>
      </c>
      <c r="B18376" s="4" t="s">
        <v>23123</v>
      </c>
      <c r="C18376" s="5" t="str">
        <f>IFERROR(__xludf.DUMMYFUNCTION("GOOGLETRANSLATE(B18376,""en"",""de"")"),"Dann zieht er den anderen Mann hoch und beobachtet, wie er auf einer Bungee -Schnur auf die Seite springt.")</f>
        <v>Dann zieht er den anderen Mann hoch und beobachtet, wie er auf einer Bungee -Schnur auf die Seite springt.</v>
      </c>
    </row>
    <row r="18377">
      <c r="A18377" s="4" t="s">
        <v>23124</v>
      </c>
      <c r="B18377" s="4" t="s">
        <v>23125</v>
      </c>
      <c r="C18377" s="5" t="str">
        <f>IFERROR(__xludf.DUMMYFUNCTION("GOOGLETRANSLATE(B18377,""en"",""de"")"),"Ein Mann ist in einer Anbetung und redet vor einem Stück Holz.")</f>
        <v>Ein Mann ist in einer Anbetung und redet vor einem Stück Holz.</v>
      </c>
    </row>
    <row r="18378">
      <c r="A18378" s="4" t="s">
        <v>23124</v>
      </c>
      <c r="B18378" s="4" t="s">
        <v>23126</v>
      </c>
      <c r="C18378" s="5" t="str">
        <f>IFERROR(__xludf.DUMMYFUNCTION("GOOGLETRANSLATE(B18378,""en"",""de"")"),"Er schleift das Stück Holz nach unten, wischt sich dann versiegelt oder färbt sich auf das Holz.")</f>
        <v>Er schleift das Stück Holz nach unten, wischt sich dann versiegelt oder färbt sich auf das Holz.</v>
      </c>
    </row>
    <row r="18379">
      <c r="A18379" s="4" t="s">
        <v>23127</v>
      </c>
      <c r="B18379" s="4" t="s">
        <v>23128</v>
      </c>
      <c r="C18379" s="5" t="str">
        <f>IFERROR(__xludf.DUMMYFUNCTION("GOOGLETRANSLATE(B18379,""en"",""de"")"),"Ein Mann hockt im Wald neben einem Stapel Steine.")</f>
        <v>Ein Mann hockt im Wald neben einem Stapel Steine.</v>
      </c>
    </row>
    <row r="18380">
      <c r="A18380" s="4" t="s">
        <v>23127</v>
      </c>
      <c r="B18380" s="4" t="s">
        <v>23129</v>
      </c>
      <c r="C18380" s="5" t="str">
        <f>IFERROR(__xludf.DUMMYFUNCTION("GOOGLETRANSLATE(B18380,""en"",""de"")"),"Er erklärt das Gebäude eines Feuers.")</f>
        <v>Er erklärt das Gebäude eines Feuers.</v>
      </c>
    </row>
    <row r="18381">
      <c r="A18381" s="4" t="s">
        <v>23127</v>
      </c>
      <c r="B18381" s="4" t="s">
        <v>23130</v>
      </c>
      <c r="C18381" s="5" t="str">
        <f>IFERROR(__xludf.DUMMYFUNCTION("GOOGLETRANSLATE(B18381,""en"",""de"")"),"Er zündet das Holz an und schafft ein Feuer.")</f>
        <v>Er zündet das Holz an und schafft ein Feuer.</v>
      </c>
    </row>
    <row r="18382">
      <c r="A18382" s="4" t="s">
        <v>23131</v>
      </c>
      <c r="B18382" s="4" t="s">
        <v>23132</v>
      </c>
      <c r="C18382" s="5" t="str">
        <f>IFERROR(__xludf.DUMMYFUNCTION("GOOGLETRANSLATE(B18382,""en"",""de"")"),"Die Leute spielen Hockey auf einer Eisbahn.")</f>
        <v>Die Leute spielen Hockey auf einer Eisbahn.</v>
      </c>
    </row>
    <row r="18383">
      <c r="A18383" s="4" t="s">
        <v>23131</v>
      </c>
      <c r="B18383" s="4" t="s">
        <v>23133</v>
      </c>
      <c r="C18383" s="5" t="str">
        <f>IFERROR(__xludf.DUMMYFUNCTION("GOOGLETRANSLATE(B18383,""en"",""de"")"),"Eine Person fällt auf das Eis.")</f>
        <v>Eine Person fällt auf das Eis.</v>
      </c>
    </row>
    <row r="18384">
      <c r="A18384" s="4" t="s">
        <v>23131</v>
      </c>
      <c r="B18384" s="4" t="s">
        <v>23134</v>
      </c>
      <c r="C18384" s="5" t="str">
        <f>IFERROR(__xludf.DUMMYFUNCTION("GOOGLETRANSLATE(B18384,""en"",""de"")"),"Eine Person rennt nach einem Puck und fällt erneut um.")</f>
        <v>Eine Person rennt nach einem Puck und fällt erneut um.</v>
      </c>
    </row>
    <row r="18385">
      <c r="A18385" s="4" t="s">
        <v>23131</v>
      </c>
      <c r="B18385" s="4" t="s">
        <v>23135</v>
      </c>
      <c r="C18385" s="5" t="str">
        <f>IFERROR(__xludf.DUMMYFUNCTION("GOOGLETRANSLATE(B18385,""en"",""de"")"),"Er schlägt den Puck und fällt wieder.")</f>
        <v>Er schlägt den Puck und fällt wieder.</v>
      </c>
    </row>
    <row r="18386">
      <c r="A18386" s="4" t="s">
        <v>23136</v>
      </c>
      <c r="B18386" s="4" t="s">
        <v>1487</v>
      </c>
      <c r="C18386" s="5" t="str">
        <f>IFERROR(__xludf.DUMMYFUNCTION("GOOGLETRANSLATE(B18386,""en"",""de"")"),"Wir sehen einen Öffnungsbildschirm.")</f>
        <v>Wir sehen einen Öffnungsbildschirm.</v>
      </c>
    </row>
    <row r="18387">
      <c r="A18387" s="4" t="s">
        <v>23136</v>
      </c>
      <c r="B18387" s="4" t="s">
        <v>23137</v>
      </c>
      <c r="C18387" s="5" t="str">
        <f>IFERROR(__xludf.DUMMYFUNCTION("GOOGLETRANSLATE(B18387,""en"",""de"")"),"Wir sehen einen Mann in einem Geschäft mit einem Ski.")</f>
        <v>Wir sehen einen Mann in einem Geschäft mit einem Ski.</v>
      </c>
    </row>
    <row r="18388">
      <c r="A18388" s="4" t="s">
        <v>23136</v>
      </c>
      <c r="B18388" s="4" t="s">
        <v>23138</v>
      </c>
      <c r="C18388" s="5" t="str">
        <f>IFERROR(__xludf.DUMMYFUNCTION("GOOGLETRANSLATE(B18388,""en"",""de"")"),"Der Mann zeigt uns eine Dose Produkt, die er aufsprüht und einen Ski entlangt.")</f>
        <v>Der Mann zeigt uns eine Dose Produkt, die er aufsprüht und einen Ski entlangt.</v>
      </c>
    </row>
    <row r="18389">
      <c r="A18389" s="4" t="s">
        <v>23136</v>
      </c>
      <c r="B18389" s="4" t="s">
        <v>23139</v>
      </c>
      <c r="C18389" s="5" t="str">
        <f>IFERROR(__xludf.DUMMYFUNCTION("GOOGLETRANSLATE(B18389,""en"",""de"")"),"Der Mann hält dann den Ski, damit wir sehen können.")</f>
        <v>Der Mann hält dann den Ski, damit wir sehen können.</v>
      </c>
    </row>
    <row r="18390">
      <c r="A18390" s="4" t="s">
        <v>23136</v>
      </c>
      <c r="B18390" s="4" t="s">
        <v>23140</v>
      </c>
      <c r="C18390" s="5" t="str">
        <f>IFERROR(__xludf.DUMMYFUNCTION("GOOGLETRANSLATE(B18390,""en"",""de"")"),"Wir sehen zwei Skiprodukte und einen Endbildschirm.")</f>
        <v>Wir sehen zwei Skiprodukte und einen Endbildschirm.</v>
      </c>
    </row>
    <row r="18391">
      <c r="A18391" s="4" t="s">
        <v>23141</v>
      </c>
      <c r="B18391" s="4" t="s">
        <v>23142</v>
      </c>
      <c r="C18391" s="5" t="str">
        <f>IFERROR(__xludf.DUMMYFUNCTION("GOOGLETRANSLATE(B18391,""en"",""de"")"),"Zwei Kinder mit extrem langen Haaren befinden sich draußen in der Nähe einer Gruppe von Schuppen.")</f>
        <v>Zwei Kinder mit extrem langen Haaren befinden sich draußen in der Nähe einer Gruppe von Schuppen.</v>
      </c>
    </row>
    <row r="18392">
      <c r="A18392" s="4" t="s">
        <v>23141</v>
      </c>
      <c r="B18392" s="4" t="s">
        <v>23143</v>
      </c>
      <c r="C18392" s="5" t="str">
        <f>IFERROR(__xludf.DUMMYFUNCTION("GOOGLETRANSLATE(B18392,""en"",""de"")"),"Der kürzere Junge beginnt die Haare der anderen Jungs zu ziehen und ihn daran zu ziehen.")</f>
        <v>Der kürzere Junge beginnt die Haare der anderen Jungs zu ziehen und ihn daran zu ziehen.</v>
      </c>
    </row>
    <row r="18393">
      <c r="A18393" s="4" t="s">
        <v>23141</v>
      </c>
      <c r="B18393" s="4" t="s">
        <v>23144</v>
      </c>
      <c r="C18393" s="5" t="str">
        <f>IFERROR(__xludf.DUMMYFUNCTION("GOOGLETRANSLATE(B18393,""en"",""de"")"),"Der Junge lässt jedoch die Haare der Jungs gehen und der Kerl beginnt ihn in der privaten Gegend zu knie, holen ihn über seinen Kopf und lassen ihn auf ein Stück Holz fallen.")</f>
        <v>Der Junge lässt jedoch die Haare der Jungs gehen und der Kerl beginnt ihn in der privaten Gegend zu knie, holen ihn über seinen Kopf und lassen ihn auf ein Stück Holz fallen.</v>
      </c>
    </row>
    <row r="18394">
      <c r="A18394" s="4" t="s">
        <v>23145</v>
      </c>
      <c r="B18394" s="4" t="s">
        <v>23146</v>
      </c>
      <c r="C18394" s="5" t="str">
        <f>IFERROR(__xludf.DUMMYFUNCTION("GOOGLETRANSLATE(B18394,""en"",""de"")"),"Es gibt viele gekleidete Leute, die in einem großen Essbereich an einer Rezeption sitzen.")</f>
        <v>Es gibt viele gekleidete Leute, die in einem großen Essbereich an einer Rezeption sitzen.</v>
      </c>
    </row>
    <row r="18395">
      <c r="A18395" s="4" t="s">
        <v>23145</v>
      </c>
      <c r="B18395" s="4" t="s">
        <v>23147</v>
      </c>
      <c r="C18395" s="5" t="str">
        <f>IFERROR(__xludf.DUMMYFUNCTION("GOOGLETRANSLATE(B18395,""en"",""de"")"),"Eine brünette Frau nutzt eine blonde Frau auf den Rücken, zeigt auf etwas auf dem Boden, und die Frauen lächeln mit der blonden Frau vor und nimmt ihren Pullover auf, der auf dem Boden war.")</f>
        <v>Eine brünette Frau nutzt eine blonde Frau auf den Rücken, zeigt auf etwas auf dem Boden, und die Frauen lächeln mit der blonden Frau vor und nimmt ihren Pullover auf, der auf dem Boden war.</v>
      </c>
    </row>
    <row r="18396">
      <c r="A18396" s="4" t="s">
        <v>23145</v>
      </c>
      <c r="B18396" s="4" t="s">
        <v>23148</v>
      </c>
      <c r="C18396" s="5" t="str">
        <f>IFERROR(__xludf.DUMMYFUNCTION("GOOGLETRANSLATE(B18396,""en"",""de"")"),"Eine Frau, die in ein blau fließendes Kleid mit einem blauen Bodysuit darunter steht, steht auf und sie beginnt, eine Ballett -Tanzroutine in der Mitte des großen Tanzbodens durchzuführen, während die Menschen in der Rezeption ihr jede Bewegung beobachten"&amp;", Bild machen und fotografieren und Sie Video Video.")</f>
        <v>Eine Frau, die in ein blau fließendes Kleid mit einem blauen Bodysuit darunter steht, steht auf und sie beginnt, eine Ballett -Tanzroutine in der Mitte des großen Tanzbodens durchzuführen, während die Menschen in der Rezeption ihr jede Bewegung beobachten, Bild machen und fotografieren und Sie Video Video.</v>
      </c>
    </row>
    <row r="18397">
      <c r="A18397" s="4" t="s">
        <v>23145</v>
      </c>
      <c r="B18397" s="4" t="s">
        <v>23149</v>
      </c>
      <c r="C18397" s="5" t="str">
        <f>IFERROR(__xludf.DUMMYFUNCTION("GOOGLETRANSLATE(B18397,""en"",""de"")"),"Als die Frau mit dem Tanzen fertig ist, steht sie dort mit ihren Armen auf der Brust und die Menge applaudiert und gibt ihr stehende Ovationen, während sie ein paar Bögen nimmt.")</f>
        <v>Als die Frau mit dem Tanzen fertig ist, steht sie dort mit ihren Armen auf der Brust und die Menge applaudiert und gibt ihr stehende Ovationen, während sie ein paar Bögen nimmt.</v>
      </c>
    </row>
    <row r="18398">
      <c r="A18398" s="4" t="s">
        <v>23150</v>
      </c>
      <c r="B18398" s="4" t="s">
        <v>23151</v>
      </c>
      <c r="C18398" s="5" t="str">
        <f>IFERROR(__xludf.DUMMYFUNCTION("GOOGLETRANSLATE(B18398,""en"",""de"")"),"Frau steht vor einem Poker -Token und Karten.")</f>
        <v>Frau steht vor einem Poker -Token und Karten.</v>
      </c>
    </row>
    <row r="18399">
      <c r="A18399" s="4" t="s">
        <v>23150</v>
      </c>
      <c r="B18399" s="4" t="s">
        <v>23152</v>
      </c>
      <c r="C18399" s="5" t="str">
        <f>IFERROR(__xludf.DUMMYFUNCTION("GOOGLETRANSLATE(B18399,""en"",""de"")"),"Sie dreht die Karten um und mischt sie.")</f>
        <v>Sie dreht die Karten um und mischt sie.</v>
      </c>
    </row>
    <row r="18400">
      <c r="A18400" s="4" t="s">
        <v>23150</v>
      </c>
      <c r="B18400" s="4" t="s">
        <v>23153</v>
      </c>
      <c r="C18400" s="5" t="str">
        <f>IFERROR(__xludf.DUMMYFUNCTION("GOOGLETRANSLATE(B18400,""en"",""de"")"),"Karten sind in einem Stapel und teilen sie in 4 und mischen sie.")</f>
        <v>Karten sind in einem Stapel und teilen sie in 4 und mischen sie.</v>
      </c>
    </row>
    <row r="18401">
      <c r="A18401" s="4" t="s">
        <v>23150</v>
      </c>
      <c r="B18401" s="4" t="s">
        <v>23154</v>
      </c>
      <c r="C18401" s="5" t="str">
        <f>IFERROR(__xludf.DUMMYFUNCTION("GOOGLETRANSLATE(B18401,""en"",""de"")"),"Karten befinden sich in einem Stapel und eine andere Person teilen es in zwei Teile und legen sie in eine transparente Box.")</f>
        <v>Karten befinden sich in einem Stapel und eine andere Person teilen es in zwei Teile und legen sie in eine transparente Box.</v>
      </c>
    </row>
    <row r="18402">
      <c r="A18402" s="4" t="s">
        <v>23155</v>
      </c>
      <c r="B18402" s="4" t="s">
        <v>23156</v>
      </c>
      <c r="C18402" s="5" t="str">
        <f>IFERROR(__xludf.DUMMYFUNCTION("GOOGLETRANSLATE(B18402,""en"",""de"")"),"Ein Mädchen zeigt, wie man Kekse von Grund auf backen.")</f>
        <v>Ein Mädchen zeigt, wie man Kekse von Grund auf backen.</v>
      </c>
    </row>
    <row r="18403">
      <c r="A18403" s="4" t="s">
        <v>23155</v>
      </c>
      <c r="B18403" s="4" t="s">
        <v>23157</v>
      </c>
      <c r="C18403" s="5" t="str">
        <f>IFERROR(__xludf.DUMMYFUNCTION("GOOGLETRANSLATE(B18403,""en"",""de"")"),"Zutaten werden zugegeben, gerührt und dann wird die Mischung in den Ofen gesteckt.")</f>
        <v>Zutaten werden zugegeben, gerührt und dann wird die Mischung in den Ofen gesteckt.</v>
      </c>
    </row>
    <row r="18404">
      <c r="A18404" s="4" t="s">
        <v>23158</v>
      </c>
      <c r="B18404" s="4" t="s">
        <v>23159</v>
      </c>
      <c r="C18404" s="5" t="str">
        <f>IFERROR(__xludf.DUMMYFUNCTION("GOOGLETRANSLATE(B18404,""en"",""de"")"),"Es gibt eine Frau in einem schwarzen Regenmantel neben einem Holzzaun.")</f>
        <v>Es gibt eine Frau in einem schwarzen Regenmantel neben einem Holzzaun.</v>
      </c>
    </row>
    <row r="18405">
      <c r="A18405" s="4" t="s">
        <v>23158</v>
      </c>
      <c r="B18405" s="4" t="s">
        <v>23160</v>
      </c>
      <c r="C18405" s="5" t="str">
        <f>IFERROR(__xludf.DUMMYFUNCTION("GOOGLETRANSLATE(B18405,""en"",""de"")"),"Sie wird von einem kleinen Mädchen begleitet, das eine gepunktete Jacke mit Tupfen trägt, die ihr etwas grüne Farbe bringt.")</f>
        <v>Sie wird von einem kleinen Mädchen begleitet, das eine gepunktete Jacke mit Tupfen trägt, die ihr etwas grüne Farbe bringt.</v>
      </c>
    </row>
    <row r="18406">
      <c r="A18406" s="4" t="s">
        <v>23158</v>
      </c>
      <c r="B18406" s="4" t="s">
        <v>23161</v>
      </c>
      <c r="C18406" s="5" t="str">
        <f>IFERROR(__xludf.DUMMYFUNCTION("GOOGLETRANSLATE(B18406,""en"",""de"")"),"Die Frau beginnt den Zaun mit einem Busch zu malen.")</f>
        <v>Die Frau beginnt den Zaun mit einem Busch zu malen.</v>
      </c>
    </row>
    <row r="18407">
      <c r="A18407" s="4" t="s">
        <v>23158</v>
      </c>
      <c r="B18407" s="4" t="s">
        <v>23162</v>
      </c>
      <c r="C18407" s="5" t="str">
        <f>IFERROR(__xludf.DUMMYFUNCTION("GOOGLETRANSLATE(B18407,""en"",""de"")"),"Es gibt mehrere andere Menschen in der Nachbarschaft, die sich freiwillig melden, um den Zaun mit grüner Farbe zu malen.")</f>
        <v>Es gibt mehrere andere Menschen in der Nachbarschaft, die sich freiwillig melden, um den Zaun mit grüner Farbe zu malen.</v>
      </c>
    </row>
    <row r="18408">
      <c r="A18408" s="4" t="s">
        <v>23158</v>
      </c>
      <c r="B18408" s="4" t="s">
        <v>23163</v>
      </c>
      <c r="C18408" s="5" t="str">
        <f>IFERROR(__xludf.DUMMYFUNCTION("GOOGLETRANSLATE(B18408,""en"",""de"")"),"Die Freiwilligen werden interviewt.")</f>
        <v>Die Freiwilligen werden interviewt.</v>
      </c>
    </row>
    <row r="18409">
      <c r="A18409" s="4" t="s">
        <v>23158</v>
      </c>
      <c r="B18409" s="4" t="s">
        <v>23164</v>
      </c>
      <c r="C18409" s="5" t="str">
        <f>IFERROR(__xludf.DUMMYFUNCTION("GOOGLETRANSLATE(B18409,""en"",""de"")"),"Dort stehen zwei Jungen in Batman -Kostümen.")</f>
        <v>Dort stehen zwei Jungen in Batman -Kostümen.</v>
      </c>
    </row>
    <row r="18410">
      <c r="A18410" s="4" t="s">
        <v>23158</v>
      </c>
      <c r="B18410" s="4" t="s">
        <v>23165</v>
      </c>
      <c r="C18410" s="5" t="str">
        <f>IFERROR(__xludf.DUMMYFUNCTION("GOOGLETRANSLATE(B18410,""en"",""de"")"),"Die Freiwilligen malen weiterhin den Zaun.")</f>
        <v>Die Freiwilligen malen weiterhin den Zaun.</v>
      </c>
    </row>
    <row r="18411">
      <c r="A18411" s="4" t="s">
        <v>23158</v>
      </c>
      <c r="B18411" s="4" t="s">
        <v>23166</v>
      </c>
      <c r="C18411" s="5" t="str">
        <f>IFERROR(__xludf.DUMMYFUNCTION("GOOGLETRANSLATE(B18411,""en"",""de"")"),"Einige Leute aus der Gemeinde versammeln sich um den Parkplatz.")</f>
        <v>Einige Leute aus der Gemeinde versammeln sich um den Parkplatz.</v>
      </c>
    </row>
    <row r="18412">
      <c r="A18412" s="4" t="s">
        <v>23158</v>
      </c>
      <c r="B18412" s="4" t="s">
        <v>23167</v>
      </c>
      <c r="C18412" s="5" t="str">
        <f>IFERROR(__xludf.DUMMYFUNCTION("GOOGLETRANSLATE(B18412,""en"",""de"")"),"Die Leute malen den Zaun weiter.")</f>
        <v>Die Leute malen den Zaun weiter.</v>
      </c>
    </row>
    <row r="18413">
      <c r="A18413" s="4" t="s">
        <v>23168</v>
      </c>
      <c r="B18413" s="4" t="s">
        <v>23169</v>
      </c>
      <c r="C18413" s="5" t="str">
        <f>IFERROR(__xludf.DUMMYFUNCTION("GOOGLETRANSLATE(B18413,""en"",""de"")"),"Verschiedene Bergkulationen werden aus verschiedenen Winkeln gezeigt.")</f>
        <v>Verschiedene Bergkulationen werden aus verschiedenen Winkeln gezeigt.</v>
      </c>
    </row>
    <row r="18414">
      <c r="A18414" s="4" t="s">
        <v>23168</v>
      </c>
      <c r="B18414" s="4" t="s">
        <v>23170</v>
      </c>
      <c r="C18414" s="5" t="str">
        <f>IFERROR(__xludf.DUMMYFUNCTION("GOOGLETRANSLATE(B18414,""en"",""de"")"),"Ein Soldat spielt in einer Bergszene einen Dudelsack.")</f>
        <v>Ein Soldat spielt in einer Bergszene einen Dudelsack.</v>
      </c>
    </row>
    <row r="18415">
      <c r="A18415" s="4" t="s">
        <v>23171</v>
      </c>
      <c r="B18415" s="4" t="s">
        <v>23172</v>
      </c>
      <c r="C18415" s="5" t="str">
        <f>IFERROR(__xludf.DUMMYFUNCTION("GOOGLETRANSLATE(B18415,""en"",""de"")"),"Verschiedene Clips werden aus Landschaften sowie von Menschen gezeigt, die auf Booten und einem Mann mit der Kamera reiten.")</f>
        <v>Verschiedene Clips werden aus Landschaften sowie von Menschen gezeigt, die auf Booten und einem Mann mit der Kamera reiten.</v>
      </c>
    </row>
    <row r="18416">
      <c r="A18416" s="4" t="s">
        <v>23171</v>
      </c>
      <c r="B18416" s="4" t="s">
        <v>23173</v>
      </c>
      <c r="C18416" s="5" t="str">
        <f>IFERROR(__xludf.DUMMYFUNCTION("GOOGLETRANSLATE(B18416,""en"",""de"")"),"Der Mann taucht ins Wasser ein und wird in mehreren Clips gezeigt, die herumschwimmen und sich ebenfalls entlang bewegt.")</f>
        <v>Der Mann taucht ins Wasser ein und wird in mehreren Clips gezeigt, die herumschwimmen und sich ebenfalls entlang bewegt.</v>
      </c>
    </row>
    <row r="18417">
      <c r="A18417" s="4" t="s">
        <v>23171</v>
      </c>
      <c r="B18417" s="4" t="s">
        <v>23174</v>
      </c>
      <c r="C18417" s="5" t="str">
        <f>IFERROR(__xludf.DUMMYFUNCTION("GOOGLETRANSLATE(B18417,""en"",""de"")"),"Der Mann gibt der Kamera Handgesten und schwimmt an die Oberfläche, wenn ein anderer Mann seine Ausrüstung packt und er mit der Kamera spricht.")</f>
        <v>Der Mann gibt der Kamera Handgesten und schwimmt an die Oberfläche, wenn ein anderer Mann seine Ausrüstung packt und er mit der Kamera spricht.</v>
      </c>
    </row>
    <row r="18418">
      <c r="A18418" s="4" t="s">
        <v>23171</v>
      </c>
      <c r="B18418" s="4" t="s">
        <v>23175</v>
      </c>
      <c r="C18418" s="5" t="str">
        <f>IFERROR(__xludf.DUMMYFUNCTION("GOOGLETRANSLATE(B18418,""en"",""de"")"),"Mehr Männer sprechen mit der Kamera, während er hineinspringt.")</f>
        <v>Mehr Männer sprechen mit der Kamera, während er hineinspringt.</v>
      </c>
    </row>
    <row r="18419">
      <c r="A18419" s="4" t="s">
        <v>23176</v>
      </c>
      <c r="B18419" s="4" t="s">
        <v>23177</v>
      </c>
      <c r="C18419" s="5" t="str">
        <f>IFERROR(__xludf.DUMMYFUNCTION("GOOGLETRANSLATE(B18419,""en"",""de"")"),"Ein Intro führt zu zwei Männern auf einem Feld.")</f>
        <v>Ein Intro führt zu zwei Männern auf einem Feld.</v>
      </c>
    </row>
    <row r="18420">
      <c r="A18420" s="4" t="s">
        <v>23176</v>
      </c>
      <c r="B18420" s="4" t="s">
        <v>23178</v>
      </c>
      <c r="C18420" s="5" t="str">
        <f>IFERROR(__xludf.DUMMYFUNCTION("GOOGLETRANSLATE(B18420,""en"",""de"")"),"Es werden mehrere Schüsse von den Männern gezeigt, die Schwerter aneinander und die anderen blockieren.")</f>
        <v>Es werden mehrere Schüsse von den Männern gezeigt, die Schwerter aneinander und die anderen blockieren.</v>
      </c>
    </row>
    <row r="18421">
      <c r="A18421" s="4" t="s">
        <v>23176</v>
      </c>
      <c r="B18421" s="4" t="s">
        <v>23179</v>
      </c>
      <c r="C18421" s="5" t="str">
        <f>IFERROR(__xludf.DUMMYFUNCTION("GOOGLETRANSLATE(B18421,""en"",""de"")"),"Zwischen Clips werden das Boxen des Männer angezeigt.")</f>
        <v>Zwischen Clips werden das Boxen des Männer angezeigt.</v>
      </c>
    </row>
    <row r="18422">
      <c r="A18422" s="4" t="s">
        <v>23180</v>
      </c>
      <c r="B18422" s="4" t="s">
        <v>23181</v>
      </c>
      <c r="C18422" s="5" t="str">
        <f>IFERROR(__xludf.DUMMYFUNCTION("GOOGLETRANSLATE(B18422,""en"",""de"")"),"Gehen Sie durch den Flughafen, fliegen mit einem Flugzeug und fahren Sie die Autobahn hinunter, wo sie dorthin gelangen.")</f>
        <v>Gehen Sie durch den Flughafen, fliegen mit einem Flugzeug und fahren Sie die Autobahn hinunter, wo sie dorthin gelangen.</v>
      </c>
    </row>
    <row r="18423">
      <c r="A18423" s="4" t="s">
        <v>23180</v>
      </c>
      <c r="B18423" s="4" t="s">
        <v>23182</v>
      </c>
      <c r="C18423" s="5" t="str">
        <f>IFERROR(__xludf.DUMMYFUNCTION("GOOGLETRANSLATE(B18423,""en"",""de"")"),"Ein Mann in einer weißen Maske bereitet sich bereit, Bungee von einer sehr hohen Klippe zu springen. Er steht mit den Armen heraus, als wären sie Flügel am Rand.")</f>
        <v>Ein Mann in einer weißen Maske bereitet sich bereit, Bungee von einer sehr hohen Klippe zu springen. Er steht mit den Armen heraus, als wären sie Flügel am Rand.</v>
      </c>
    </row>
    <row r="18424">
      <c r="A18424" s="4" t="s">
        <v>23180</v>
      </c>
      <c r="B18424" s="4" t="s">
        <v>23183</v>
      </c>
      <c r="C18424" s="5" t="str">
        <f>IFERROR(__xludf.DUMMYFUNCTION("GOOGLETRANSLATE(B18424,""en"",""de"")"),"Dann springt er runter und fällt von einer sehr hohen Höhe, einem anderen Mann folgt ihm hinter sich, und dann nimmt der Kameramann selbst den ganzen Fall auf, den ganzen Fall aufzunehmen.")</f>
        <v>Dann springt er runter und fällt von einer sehr hohen Höhe, einem anderen Mann folgt ihm hinter sich, und dann nimmt der Kameramann selbst den ganzen Fall auf, den ganzen Fall aufzunehmen.</v>
      </c>
    </row>
    <row r="18425">
      <c r="A18425" s="4" t="s">
        <v>23180</v>
      </c>
      <c r="B18425" s="4" t="s">
        <v>23184</v>
      </c>
      <c r="C18425" s="5" t="str">
        <f>IFERROR(__xludf.DUMMYFUNCTION("GOOGLETRANSLATE(B18425,""en"",""de"")"),"Sie alle springen abwechselnd, einer von ihnen geht sogar rückwärts unter.")</f>
        <v>Sie alle springen abwechselnd, einer von ihnen geht sogar rückwärts unter.</v>
      </c>
    </row>
    <row r="18426">
      <c r="A18426" s="4" t="s">
        <v>23185</v>
      </c>
      <c r="B18426" s="4" t="s">
        <v>23186</v>
      </c>
      <c r="C18426" s="5" t="str">
        <f>IFERROR(__xludf.DUMMYFUNCTION("GOOGLETRANSLATE(B18426,""en"",""de"")"),"Eine Kamera schwenkt in einem schneebedeckten Bereich und führt in einen Mann, der ein Akkordeon hat und beginnt zu spielen.")</f>
        <v>Eine Kamera schwenkt in einem schneebedeckten Bereich und führt in einen Mann, der ein Akkordeon hat und beginnt zu spielen.</v>
      </c>
    </row>
    <row r="18427">
      <c r="A18427" s="4" t="s">
        <v>23185</v>
      </c>
      <c r="B18427" s="4" t="s">
        <v>23187</v>
      </c>
      <c r="C18427" s="5" t="str">
        <f>IFERROR(__xludf.DUMMYFUNCTION("GOOGLETRANSLATE(B18427,""en"",""de"")"),"Der Mann spielt weiterhin das Instrument, während die Kamera mehr Landschaft von schneebedeckten Bereichen und der Mann, der weiter spielt, zeigt.")</f>
        <v>Der Mann spielt weiterhin das Instrument, während die Kamera mehr Landschaft von schneebedeckten Bereichen und der Mann, der weiter spielt, zeigt.</v>
      </c>
    </row>
    <row r="18428">
      <c r="A18428" s="4" t="s">
        <v>23188</v>
      </c>
      <c r="B18428" s="4" t="s">
        <v>23189</v>
      </c>
      <c r="C18428" s="5" t="str">
        <f>IFERROR(__xludf.DUMMYFUNCTION("GOOGLETRANSLATE(B18428,""en"",""de"")"),"Eine Capri -Sonnenhülle in einem Stapel von Steinen auf dem Boden mit einem Haufen Sägemehl.")</f>
        <v>Eine Capri -Sonnenhülle in einem Stapel von Steinen auf dem Boden mit einem Haufen Sägemehl.</v>
      </c>
    </row>
    <row r="18429">
      <c r="A18429" s="4" t="s">
        <v>23188</v>
      </c>
      <c r="B18429" s="4" t="s">
        <v>23190</v>
      </c>
      <c r="C18429" s="5" t="str">
        <f>IFERROR(__xludf.DUMMYFUNCTION("GOOGLETRANSLATE(B18429,""en"",""de"")"),"Wir sehen links einen Haufen Stöcke und sehen einen Feuerstein.")</f>
        <v>Wir sehen links einen Haufen Stöcke und sehen einen Feuerstein.</v>
      </c>
    </row>
    <row r="18430">
      <c r="A18430" s="4" t="s">
        <v>23188</v>
      </c>
      <c r="B18430" s="4" t="s">
        <v>23191</v>
      </c>
      <c r="C18430" s="5" t="str">
        <f>IFERROR(__xludf.DUMMYFUNCTION("GOOGLETRANSLATE(B18430,""en"",""de"")"),"Die Person schlägt den Feuerstein und eine Flamme sitzt auf dem Sägemehl.")</f>
        <v>Die Person schlägt den Feuerstein und eine Flamme sitzt auf dem Sägemehl.</v>
      </c>
    </row>
    <row r="18431">
      <c r="A18431" s="4" t="s">
        <v>23188</v>
      </c>
      <c r="B18431" s="4" t="s">
        <v>23192</v>
      </c>
      <c r="C18431" s="5" t="str">
        <f>IFERROR(__xludf.DUMMYFUNCTION("GOOGLETRANSLATE(B18431,""en"",""de"")"),"Die Person legt dann eine Handvoll Zweige ins Feuer.")</f>
        <v>Die Person legt dann eine Handvoll Zweige ins Feuer.</v>
      </c>
    </row>
    <row r="18432">
      <c r="A18432" s="4" t="s">
        <v>23188</v>
      </c>
      <c r="B18432" s="4" t="s">
        <v>23193</v>
      </c>
      <c r="C18432" s="5" t="str">
        <f>IFERROR(__xludf.DUMMYFUNCTION("GOOGLETRANSLATE(B18432,""en"",""de"")"),"Das Feuer wächst und der Kameramann zeigt sich, um die Felsen um das Feuer zu zeigen.")</f>
        <v>Das Feuer wächst und der Kameramann zeigt sich, um die Felsen um das Feuer zu zeigen.</v>
      </c>
    </row>
    <row r="18433">
      <c r="A18433" s="4" t="s">
        <v>23194</v>
      </c>
      <c r="B18433" s="4" t="s">
        <v>23195</v>
      </c>
      <c r="C18433" s="5" t="str">
        <f>IFERROR(__xludf.DUMMYFUNCTION("GOOGLETRANSLATE(B18433,""en"",""de"")"),"Zwei Männer sitzen in einem Raum mit vier Kongos vor sich.")</f>
        <v>Zwei Männer sitzen in einem Raum mit vier Kongos vor sich.</v>
      </c>
    </row>
    <row r="18434">
      <c r="A18434" s="4" t="s">
        <v>23194</v>
      </c>
      <c r="B18434" s="4" t="s">
        <v>23196</v>
      </c>
      <c r="C18434" s="5" t="str">
        <f>IFERROR(__xludf.DUMMYFUNCTION("GOOGLETRANSLATE(B18434,""en"",""de"")"),"Sie sind beide im Einklang und verwenden ihre Körperteile als Teil ihrer Routine, um unterschiedliche Geräusche zu machen.")</f>
        <v>Sie sind beide im Einklang und verwenden ihre Körperteile als Teil ihrer Routine, um unterschiedliche Geräusche zu machen.</v>
      </c>
    </row>
    <row r="18435">
      <c r="A18435" s="4" t="s">
        <v>23194</v>
      </c>
      <c r="B18435" s="4" t="s">
        <v>23197</v>
      </c>
      <c r="C18435" s="5" t="str">
        <f>IFERROR(__xludf.DUMMYFUNCTION("GOOGLETRANSLATE(B18435,""en"",""de"")"),"Die Männer machen eine äußerst kurze Pause, bevor sie schnell den Kongo treffen und enden, indem sie mit dem Finger aufeinander zeigen.")</f>
        <v>Die Männer machen eine äußerst kurze Pause, bevor sie schnell den Kongo treffen und enden, indem sie mit dem Finger aufeinander zeigen.</v>
      </c>
    </row>
    <row r="18436">
      <c r="A18436" s="4" t="s">
        <v>23198</v>
      </c>
      <c r="B18436" s="4" t="s">
        <v>23199</v>
      </c>
      <c r="C18436" s="5" t="str">
        <f>IFERROR(__xludf.DUMMYFUNCTION("GOOGLETRANSLATE(B18436,""en"",""de"")"),"Zwei Personen sitzen auf Dreckräsen und sprechen mit einem Schaufeln von Schmutz und dem anderen mit der Kamera.")</f>
        <v>Zwei Personen sitzen auf Dreckräsen und sprechen mit einem Schaufeln von Schmutz und dem anderen mit der Kamera.</v>
      </c>
    </row>
    <row r="18437">
      <c r="A18437" s="4" t="s">
        <v>23198</v>
      </c>
      <c r="B18437" s="4" t="s">
        <v>23200</v>
      </c>
      <c r="C18437" s="5" t="str">
        <f>IFERROR(__xludf.DUMMYFUNCTION("GOOGLETRANSLATE(B18437,""en"",""de"")"),"Anschließend werden mehrere Schüsse von den beiden Reit -Schmutzrädern entlang einer Spur gezeigt, während sie ab und zu angehalten werden, um zur Kamera zu gestikulieren.")</f>
        <v>Anschließend werden mehrere Schüsse von den beiden Reit -Schmutzrädern entlang einer Spur gezeigt, während sie ab und zu angehalten werden, um zur Kamera zu gestikulieren.</v>
      </c>
    </row>
    <row r="18438">
      <c r="A18438" s="4" t="s">
        <v>23201</v>
      </c>
      <c r="B18438" s="4" t="s">
        <v>23202</v>
      </c>
      <c r="C18438" s="5" t="str">
        <f>IFERROR(__xludf.DUMMYFUNCTION("GOOGLETRANSLATE(B18438,""en"",""de"")"),"Eine Frau am Strand beginnt eine Sandburg zu bauen.")</f>
        <v>Eine Frau am Strand beginnt eine Sandburg zu bauen.</v>
      </c>
    </row>
    <row r="18439">
      <c r="A18439" s="4" t="s">
        <v>23201</v>
      </c>
      <c r="B18439" s="4" t="s">
        <v>23203</v>
      </c>
      <c r="C18439" s="5" t="str">
        <f>IFERROR(__xludf.DUMMYFUNCTION("GOOGLETRANSLATE(B18439,""en"",""de"")"),"Ein Mann kommt herüber und beginnt, das Sandburg mit ihr zu bauen.")</f>
        <v>Ein Mann kommt herüber und beginnt, das Sandburg mit ihr zu bauen.</v>
      </c>
    </row>
    <row r="18440">
      <c r="A18440" s="4" t="s">
        <v>23201</v>
      </c>
      <c r="B18440" s="4" t="s">
        <v>23204</v>
      </c>
      <c r="C18440" s="5" t="str">
        <f>IFERROR(__xludf.DUMMYFUNCTION("GOOGLETRANSLATE(B18440,""en"",""de"")"),"Mehrere Menschen gehen vorbei, während sie weiterhin das Schloss bauen.")</f>
        <v>Mehrere Menschen gehen vorbei, während sie weiterhin das Schloss bauen.</v>
      </c>
    </row>
    <row r="18441">
      <c r="A18441" s="4" t="s">
        <v>23205</v>
      </c>
      <c r="B18441" s="4" t="s">
        <v>23206</v>
      </c>
      <c r="C18441" s="5" t="str">
        <f>IFERROR(__xludf.DUMMYFUNCTION("GOOGLETRANSLATE(B18441,""en"",""de"")"),"Eine Frau in einer Jacke wäscht Kleidung in einem Waschbecken.")</f>
        <v>Eine Frau in einer Jacke wäscht Kleidung in einem Waschbecken.</v>
      </c>
    </row>
    <row r="18442">
      <c r="A18442" s="4" t="s">
        <v>23205</v>
      </c>
      <c r="B18442" s="4" t="s">
        <v>23207</v>
      </c>
      <c r="C18442" s="5" t="str">
        <f>IFERROR(__xludf.DUMMYFUNCTION("GOOGLETRANSLATE(B18442,""en"",""de"")"),"Sie gießt Wasser in eine blaue Schüssel.")</f>
        <v>Sie gießt Wasser in eine blaue Schüssel.</v>
      </c>
    </row>
    <row r="18443">
      <c r="A18443" s="4" t="s">
        <v>23205</v>
      </c>
      <c r="B18443" s="4" t="s">
        <v>23208</v>
      </c>
      <c r="C18443" s="5" t="str">
        <f>IFERROR(__xludf.DUMMYFUNCTION("GOOGLETRANSLATE(B18443,""en"",""de"")"),"Sie steckt Kleidung in die Eimer des Wassers, die sich im Waschbecken befinden.")</f>
        <v>Sie steckt Kleidung in die Eimer des Wassers, die sich im Waschbecken befinden.</v>
      </c>
    </row>
    <row r="18444">
      <c r="A18444" s="4" t="s">
        <v>23205</v>
      </c>
      <c r="B18444" s="4" t="s">
        <v>23209</v>
      </c>
      <c r="C18444" s="5" t="str">
        <f>IFERROR(__xludf.DUMMYFUNCTION("GOOGLETRANSLATE(B18444,""en"",""de"")"),"Es wird eine weiße Waschmaschine gezeigt.")</f>
        <v>Es wird eine weiße Waschmaschine gezeigt.</v>
      </c>
    </row>
    <row r="18445">
      <c r="A18445" s="4" t="s">
        <v>23205</v>
      </c>
      <c r="B18445" s="4" t="s">
        <v>23210</v>
      </c>
      <c r="C18445" s="5" t="str">
        <f>IFERROR(__xludf.DUMMYFUNCTION("GOOGLETRANSLATE(B18445,""en"",""de"")"),"Die Frau wäscht die Kleidung weiter im Waschbecken.")</f>
        <v>Die Frau wäscht die Kleidung weiter im Waschbecken.</v>
      </c>
    </row>
    <row r="18446">
      <c r="A18446" s="4" t="s">
        <v>23205</v>
      </c>
      <c r="B18446" s="4" t="s">
        <v>23211</v>
      </c>
      <c r="C18446" s="5" t="str">
        <f>IFERROR(__xludf.DUMMYFUNCTION("GOOGLETRANSLATE(B18446,""en"",""de"")"),"Sie geht hinüber und nimmt den Deckel von einem großen Eimer Wasser auf den Boden.")</f>
        <v>Sie geht hinüber und nimmt den Deckel von einem großen Eimer Wasser auf den Boden.</v>
      </c>
    </row>
    <row r="18447">
      <c r="A18447" s="4" t="s">
        <v>23205</v>
      </c>
      <c r="B18447" s="4" t="s">
        <v>23212</v>
      </c>
      <c r="C18447" s="5" t="str">
        <f>IFERROR(__xludf.DUMMYFUNCTION("GOOGLETRANSLATE(B18447,""en"",""de"")"),"Sie taucht einen Topf in den Eimer und lässt das Wasser in die Spüle.")</f>
        <v>Sie taucht einen Topf in den Eimer und lässt das Wasser in die Spüle.</v>
      </c>
    </row>
    <row r="18448">
      <c r="A18448" s="4" t="s">
        <v>23213</v>
      </c>
      <c r="B18448" s="4" t="s">
        <v>23214</v>
      </c>
      <c r="C18448" s="5" t="str">
        <f>IFERROR(__xludf.DUMMYFUNCTION("GOOGLETRANSLATE(B18448,""en"",""de"")"),"Ein Stier läuft um einen Stift herum und versucht mit ihren Hörnern den Clown zu schlagen.")</f>
        <v>Ein Stier läuft um einen Stift herum und versucht mit ihren Hörnern den Clown zu schlagen.</v>
      </c>
    </row>
    <row r="18449">
      <c r="A18449" s="4" t="s">
        <v>23213</v>
      </c>
      <c r="B18449" s="4" t="s">
        <v>23215</v>
      </c>
      <c r="C18449" s="5" t="str">
        <f>IFERROR(__xludf.DUMMYFUNCTION("GOOGLETRANSLATE(B18449,""en"",""de"")"),"Ein Mann springt über einen Zaun, um vom Stier wegzukommen.")</f>
        <v>Ein Mann springt über einen Zaun, um vom Stier wegzukommen.</v>
      </c>
    </row>
    <row r="18450">
      <c r="A18450" s="4" t="s">
        <v>23213</v>
      </c>
      <c r="B18450" s="4" t="s">
        <v>23216</v>
      </c>
      <c r="C18450" s="5" t="str">
        <f>IFERROR(__xludf.DUMMYFUNCTION("GOOGLETRANSLATE(B18450,""en"",""de"")"),"Ein Clown versteckt sich hinter einem roten Fass.")</f>
        <v>Ein Clown versteckt sich hinter einem roten Fass.</v>
      </c>
    </row>
    <row r="18451">
      <c r="A18451" s="4" t="s">
        <v>23213</v>
      </c>
      <c r="B18451" s="4" t="s">
        <v>23217</v>
      </c>
      <c r="C18451" s="5" t="str">
        <f>IFERROR(__xludf.DUMMYFUNCTION("GOOGLETRANSLATE(B18451,""en"",""de"")"),"Der Mann fällt auf den Boden, der vom Stier verfolgt wird.")</f>
        <v>Der Mann fällt auf den Boden, der vom Stier verfolgt wird.</v>
      </c>
    </row>
    <row r="18452">
      <c r="A18452" s="4" t="s">
        <v>23218</v>
      </c>
      <c r="B18452" s="4" t="s">
        <v>23219</v>
      </c>
      <c r="C18452" s="5" t="str">
        <f>IFERROR(__xludf.DUMMYFUNCTION("GOOGLETRANSLATE(B18452,""en"",""de"")"),"Eine Turner -Übung in den parallelen Bars, während der Trainer Anweisungen gibt und eine Matte repariert.")</f>
        <v>Eine Turner -Übung in den parallelen Bars, während der Trainer Anweisungen gibt und eine Matte repariert.</v>
      </c>
    </row>
    <row r="18453">
      <c r="A18453" s="4" t="s">
        <v>23218</v>
      </c>
      <c r="B18453" s="4" t="s">
        <v>23220</v>
      </c>
      <c r="C18453" s="5" t="str">
        <f>IFERROR(__xludf.DUMMYFUNCTION("GOOGLETRANSLATE(B18453,""en"",""de"")"),"Dann dreht sich der Gymnast auf der Hochstange und dreht sich dann um und stand auf der Matte.")</f>
        <v>Dann dreht sich der Gymnast auf der Hochstange und dreht sich dann um und stand auf der Matte.</v>
      </c>
    </row>
    <row r="18454">
      <c r="A18454" s="4" t="s">
        <v>23221</v>
      </c>
      <c r="B18454" s="4" t="s">
        <v>23222</v>
      </c>
      <c r="C18454" s="5" t="str">
        <f>IFERROR(__xludf.DUMMYFUNCTION("GOOGLETRANSLATE(B18454,""en"",""de"")"),"Wir sehen einen Titel auf einem dunkelgrauen Bildschirm, wir sehen ein Boot auf einem See aus verschiedenen Winkeln.")</f>
        <v>Wir sehen einen Titel auf einem dunkelgrauen Bildschirm, wir sehen ein Boot auf einem See aus verschiedenen Winkeln.</v>
      </c>
    </row>
    <row r="18455">
      <c r="A18455" s="4" t="s">
        <v>23221</v>
      </c>
      <c r="B18455" s="4" t="s">
        <v>23223</v>
      </c>
      <c r="C18455" s="5" t="str">
        <f>IFERROR(__xludf.DUMMYFUNCTION("GOOGLETRANSLATE(B18455,""en"",""de"")"),"Eine Person, die ein Surfbrett hinter dem Boot fährt, macht einen Flip.")</f>
        <v>Eine Person, die ein Surfbrett hinter dem Boot fährt, macht einen Flip.</v>
      </c>
    </row>
    <row r="18456">
      <c r="A18456" s="4" t="s">
        <v>23221</v>
      </c>
      <c r="B18456" s="4" t="s">
        <v>23224</v>
      </c>
      <c r="C18456" s="5" t="str">
        <f>IFERROR(__xludf.DUMMYFUNCTION("GOOGLETRANSLATE(B18456,""en"",""de"")"),"Wir werden das Innere des Bootes gezeigt.")</f>
        <v>Wir werden das Innere des Bootes gezeigt.</v>
      </c>
    </row>
    <row r="18457">
      <c r="A18457" s="4" t="s">
        <v>23221</v>
      </c>
      <c r="B18457" s="4" t="s">
        <v>23225</v>
      </c>
      <c r="C18457" s="5" t="str">
        <f>IFERROR(__xludf.DUMMYFUNCTION("GOOGLETRANSLATE(B18457,""en"",""de"")"),"Wir sehen den Innenraum dann die Außenseite des Bootes zeitweise.")</f>
        <v>Wir sehen den Innenraum dann die Außenseite des Bootes zeitweise.</v>
      </c>
    </row>
    <row r="18458">
      <c r="A18458" s="4" t="s">
        <v>23221</v>
      </c>
      <c r="B18458" s="4" t="s">
        <v>23226</v>
      </c>
      <c r="C18458" s="5" t="str">
        <f>IFERROR(__xludf.DUMMYFUNCTION("GOOGLETRANSLATE(B18458,""en"",""de"")"),"Wir sehen Leute auf einem Floß, das vom Boot gezogen wird.")</f>
        <v>Wir sehen Leute auf einem Floß, das vom Boot gezogen wird.</v>
      </c>
    </row>
    <row r="18459">
      <c r="A18459" s="4" t="s">
        <v>23221</v>
      </c>
      <c r="B18459" s="4" t="s">
        <v>23227</v>
      </c>
      <c r="C18459" s="5" t="str">
        <f>IFERROR(__xludf.DUMMYFUNCTION("GOOGLETRANSLATE(B18459,""en"",""de"")"),"Ein Mädchen schnappt sich etwas aus einem Schrank und springt dann ins Wasser.")</f>
        <v>Ein Mädchen schnappt sich etwas aus einem Schrank und springt dann ins Wasser.</v>
      </c>
    </row>
    <row r="18460">
      <c r="A18460" s="4" t="s">
        <v>23221</v>
      </c>
      <c r="B18460" s="4" t="s">
        <v>23228</v>
      </c>
      <c r="C18460" s="5" t="str">
        <f>IFERROR(__xludf.DUMMYFUNCTION("GOOGLETRANSLATE(B18460,""en"",""de"")"),"Wir sehen die Endkreditszenen.")</f>
        <v>Wir sehen die Endkreditszenen.</v>
      </c>
    </row>
    <row r="18461">
      <c r="A18461" s="4" t="s">
        <v>23229</v>
      </c>
      <c r="B18461" s="4" t="s">
        <v>23230</v>
      </c>
      <c r="C18461" s="5" t="str">
        <f>IFERROR(__xludf.DUMMYFUNCTION("GOOGLETRANSLATE(B18461,""en"",""de"")"),"Es wird gezeigt, dass Wodka in ein Martini -Glas gegossen wird.")</f>
        <v>Es wird gezeigt, dass Wodka in ein Martini -Glas gegossen wird.</v>
      </c>
    </row>
    <row r="18462">
      <c r="A18462" s="4" t="s">
        <v>23229</v>
      </c>
      <c r="B18462" s="4" t="s">
        <v>23231</v>
      </c>
      <c r="C18462" s="5" t="str">
        <f>IFERROR(__xludf.DUMMYFUNCTION("GOOGLETRANSLATE(B18462,""en"",""de"")"),"Eine Frau ist hinter einer Bar und zeigt Flaschen Alkohol.")</f>
        <v>Eine Frau ist hinter einer Bar und zeigt Flaschen Alkohol.</v>
      </c>
    </row>
    <row r="18463">
      <c r="A18463" s="4" t="s">
        <v>23229</v>
      </c>
      <c r="B18463" s="4" t="s">
        <v>23232</v>
      </c>
      <c r="C18463" s="5" t="str">
        <f>IFERROR(__xludf.DUMMYFUNCTION("GOOGLETRANSLATE(B18463,""en"",""de"")"),"Sie mischt die Zutaten zusammen und schüttelt sie dann auf, bevor sie in ein mit Eis gefüllter Glas fließt.")</f>
        <v>Sie mischt die Zutaten zusammen und schüttelt sie dann auf, bevor sie in ein mit Eis gefüllter Glas fließt.</v>
      </c>
    </row>
    <row r="18464">
      <c r="A18464" s="4" t="s">
        <v>23233</v>
      </c>
      <c r="B18464" s="4" t="s">
        <v>23234</v>
      </c>
      <c r="C18464" s="5" t="str">
        <f>IFERROR(__xludf.DUMMYFUNCTION("GOOGLETRANSLATE(B18464,""en"",""de"")"),"Drei Männer sitzen zusammen auf einer Couch.")</f>
        <v>Drei Männer sitzen zusammen auf einer Couch.</v>
      </c>
    </row>
    <row r="18465">
      <c r="A18465" s="4" t="s">
        <v>23233</v>
      </c>
      <c r="B18465" s="4" t="s">
        <v>23235</v>
      </c>
      <c r="C18465" s="5" t="str">
        <f>IFERROR(__xludf.DUMMYFUNCTION("GOOGLETRANSLATE(B18465,""en"",""de"")"),"Ein Mann steht auf und geht in einen Friseurladen.")</f>
        <v>Ein Mann steht auf und geht in einen Friseurladen.</v>
      </c>
    </row>
    <row r="18466">
      <c r="A18466" s="4" t="s">
        <v>23233</v>
      </c>
      <c r="B18466" s="4" t="s">
        <v>23236</v>
      </c>
      <c r="C18466" s="5" t="str">
        <f>IFERROR(__xludf.DUMMYFUNCTION("GOOGLETRANSLATE(B18466,""en"",""de"")"),"Er setzt sich hin und bekommt seine Haare schneiden.")</f>
        <v>Er setzt sich hin und bekommt seine Haare schneiden.</v>
      </c>
    </row>
    <row r="18467">
      <c r="A18467" s="4" t="s">
        <v>23233</v>
      </c>
      <c r="B18467" s="4" t="s">
        <v>23237</v>
      </c>
      <c r="C18467" s="5" t="str">
        <f>IFERROR(__xludf.DUMMYFUNCTION("GOOGLETRANSLATE(B18467,""en"",""de"")"),"Er schläft auf dem Stuhl.")</f>
        <v>Er schläft auf dem Stuhl.</v>
      </c>
    </row>
    <row r="18468">
      <c r="A18468" s="4" t="s">
        <v>23233</v>
      </c>
      <c r="B18468" s="4" t="s">
        <v>23238</v>
      </c>
      <c r="C18468" s="5" t="str">
        <f>IFERROR(__xludf.DUMMYFUNCTION("GOOGLETRANSLATE(B18468,""en"",""de"")"),"Er wacht auf und schaut in einen Spiegel.")</f>
        <v>Er wacht auf und schaut in einen Spiegel.</v>
      </c>
    </row>
    <row r="18469">
      <c r="A18469" s="4" t="s">
        <v>23233</v>
      </c>
      <c r="B18469" s="4" t="s">
        <v>23239</v>
      </c>
      <c r="C18469" s="5" t="str">
        <f>IFERROR(__xludf.DUMMYFUNCTION("GOOGLETRANSLATE(B18469,""en"",""de"")"),"Er und der Mann fangen an zu kämpfen.")</f>
        <v>Er und der Mann fangen an zu kämpfen.</v>
      </c>
    </row>
    <row r="18470">
      <c r="A18470" s="4" t="s">
        <v>23233</v>
      </c>
      <c r="B18470" s="4" t="s">
        <v>23240</v>
      </c>
      <c r="C18470" s="5" t="str">
        <f>IFERROR(__xludf.DUMMYFUNCTION("GOOGLETRANSLATE(B18470,""en"",""de"")"),"Der Mann zieht eine Waffe und zeigt sie auf den anderen Mann.")</f>
        <v>Der Mann zieht eine Waffe und zeigt sie auf den anderen Mann.</v>
      </c>
    </row>
    <row r="18471">
      <c r="A18471" s="4" t="s">
        <v>23233</v>
      </c>
      <c r="B18471" s="4" t="s">
        <v>23241</v>
      </c>
      <c r="C18471" s="5" t="str">
        <f>IFERROR(__xludf.DUMMYFUNCTION("GOOGLETRANSLATE(B18471,""en"",""de"")"),"Er rennt in die Arme eines anderen Mannes und sie gehen aus der Tür.")</f>
        <v>Er rennt in die Arme eines anderen Mannes und sie gehen aus der Tür.</v>
      </c>
    </row>
    <row r="18472">
      <c r="A18472" s="4" t="s">
        <v>23242</v>
      </c>
      <c r="B18472" s="4" t="s">
        <v>23243</v>
      </c>
      <c r="C18472" s="5" t="str">
        <f>IFERROR(__xludf.DUMMYFUNCTION("GOOGLETRANSLATE(B18472,""en"",""de"")"),"Das Video zeigt, wie Sie Rabatte bei Amazon für eine Kategorie von Hundevorräten erhalten.")</f>
        <v>Das Video zeigt, wie Sie Rabatte bei Amazon für eine Kategorie von Hundevorräten erhalten.</v>
      </c>
    </row>
    <row r="18473">
      <c r="A18473" s="4" t="s">
        <v>23242</v>
      </c>
      <c r="B18473" s="4" t="s">
        <v>23244</v>
      </c>
      <c r="C18473" s="5" t="str">
        <f>IFERROR(__xludf.DUMMYFUNCTION("GOOGLETRANSLATE(B18473,""en"",""de"")"),"Dann zeigt es eine Frau, die einen Hund rasiert.")</f>
        <v>Dann zeigt es eine Frau, die einen Hund rasiert.</v>
      </c>
    </row>
    <row r="18474">
      <c r="A18474" s="4" t="s">
        <v>23245</v>
      </c>
      <c r="B18474" s="4" t="s">
        <v>23246</v>
      </c>
      <c r="C18474" s="5" t="str">
        <f>IFERROR(__xludf.DUMMYFUNCTION("GOOGLETRANSLATE(B18474,""en"",""de"")"),"Eine Dame hält eine Zahnbürste, während ein Kind auf einer Theke sitzt.")</f>
        <v>Eine Dame hält eine Zahnbürste, während ein Kind auf einer Theke sitzt.</v>
      </c>
    </row>
    <row r="18475">
      <c r="A18475" s="4" t="s">
        <v>23245</v>
      </c>
      <c r="B18475" s="4" t="s">
        <v>23247</v>
      </c>
      <c r="C18475" s="5" t="str">
        <f>IFERROR(__xludf.DUMMYFUNCTION("GOOGLETRANSLATE(B18475,""en"",""de"")"),"Die Dame putzt die Jungenzähne.")</f>
        <v>Die Dame putzt die Jungenzähne.</v>
      </c>
    </row>
    <row r="18476">
      <c r="A18476" s="4" t="s">
        <v>23245</v>
      </c>
      <c r="B18476" s="4" t="s">
        <v>23248</v>
      </c>
      <c r="C18476" s="5" t="str">
        <f>IFERROR(__xludf.DUMMYFUNCTION("GOOGLETRANSLATE(B18476,""en"",""de"")"),"Sie endet und der kleine Junge lächelt.")</f>
        <v>Sie endet und der kleine Junge lächelt.</v>
      </c>
    </row>
    <row r="18477">
      <c r="A18477" s="4" t="s">
        <v>23245</v>
      </c>
      <c r="B18477" s="4" t="s">
        <v>23249</v>
      </c>
      <c r="C18477" s="5" t="str">
        <f>IFERROR(__xludf.DUMMYFUNCTION("GOOGLETRANSLATE(B18477,""en"",""de"")"),"Die Dame kehrt zurück und das Kind steckt einen Schnuller in den Mund.")</f>
        <v>Die Dame kehrt zurück und das Kind steckt einen Schnuller in den Mund.</v>
      </c>
    </row>
    <row r="18478">
      <c r="A18478" s="4" t="s">
        <v>23250</v>
      </c>
      <c r="B18478" s="4" t="s">
        <v>23251</v>
      </c>
      <c r="C18478" s="5" t="str">
        <f>IFERROR(__xludf.DUMMYFUNCTION("GOOGLETRANSLATE(B18478,""en"",""de"")"),"Ein Mann sitzt in einem Raum und lacht.")</f>
        <v>Ein Mann sitzt in einem Raum und lacht.</v>
      </c>
    </row>
    <row r="18479">
      <c r="A18479" s="4" t="s">
        <v>23250</v>
      </c>
      <c r="B18479" s="4" t="s">
        <v>23252</v>
      </c>
      <c r="C18479" s="5" t="str">
        <f>IFERROR(__xludf.DUMMYFUNCTION("GOOGLETRANSLATE(B18479,""en"",""de"")"),"Der Mann schließt sich einer Frau und einem Mann an einem Tisch an.")</f>
        <v>Der Mann schließt sich einer Frau und einem Mann an einem Tisch an.</v>
      </c>
    </row>
    <row r="18480">
      <c r="A18480" s="4" t="s">
        <v>23250</v>
      </c>
      <c r="B18480" s="4" t="s">
        <v>23253</v>
      </c>
      <c r="C18480" s="5" t="str">
        <f>IFERROR(__xludf.DUMMYFUNCTION("GOOGLETRANSLATE(B18480,""en"",""de"")"),"Der Mann sieht eine Bobble -Puppe und schiebt sie.")</f>
        <v>Der Mann sieht eine Bobble -Puppe und schiebt sie.</v>
      </c>
    </row>
    <row r="18481">
      <c r="A18481" s="4" t="s">
        <v>23250</v>
      </c>
      <c r="B18481" s="4" t="s">
        <v>23254</v>
      </c>
      <c r="C18481" s="5" t="str">
        <f>IFERROR(__xludf.DUMMYFUNCTION("GOOGLETRANSLATE(B18481,""en"",""de"")"),"Der Mann trifft die Puppe und prallt einen Ball durch den Raum, der das ganze Essen vom Tisch klopft und ein Chaos macht.")</f>
        <v>Der Mann trifft die Puppe und prallt einen Ball durch den Raum, der das ganze Essen vom Tisch klopft und ein Chaos macht.</v>
      </c>
    </row>
    <row r="18482">
      <c r="A18482" s="4" t="s">
        <v>23250</v>
      </c>
      <c r="B18482" s="4" t="s">
        <v>23255</v>
      </c>
      <c r="C18482" s="5" t="str">
        <f>IFERROR(__xludf.DUMMYFUNCTION("GOOGLETRANSLATE(B18482,""en"",""de"")"),"Die Leute lachen und der Mann räumt auf und kreiert einen Whirlpool im Brunnen, der bricht, und er schlägt die Wände.")</f>
        <v>Die Leute lachen und der Mann räumt auf und kreiert einen Whirlpool im Brunnen, der bricht, und er schlägt die Wände.</v>
      </c>
    </row>
    <row r="18483">
      <c r="A18483" s="4" t="s">
        <v>23250</v>
      </c>
      <c r="B18483" s="4" t="s">
        <v>23256</v>
      </c>
      <c r="C18483" s="5" t="str">
        <f>IFERROR(__xludf.DUMMYFUNCTION("GOOGLETRANSLATE(B18483,""en"",""de"")"),"Der Mann arbeitet in einem Feld.")</f>
        <v>Der Mann arbeitet in einem Feld.</v>
      </c>
    </row>
    <row r="18484">
      <c r="A18484" s="4" t="s">
        <v>23250</v>
      </c>
      <c r="B18484" s="4" t="s">
        <v>23257</v>
      </c>
      <c r="C18484" s="5" t="str">
        <f>IFERROR(__xludf.DUMMYFUNCTION("GOOGLETRANSLATE(B18484,""en"",""de"")"),"Staub steigt vom Mann und Blatt fliegen durch den Himmel.")</f>
        <v>Staub steigt vom Mann und Blatt fliegen durch den Himmel.</v>
      </c>
    </row>
    <row r="18485">
      <c r="A18485" s="4" t="s">
        <v>23258</v>
      </c>
      <c r="B18485" s="4" t="s">
        <v>12542</v>
      </c>
      <c r="C18485" s="5" t="str">
        <f>IFERROR(__xludf.DUMMYFUNCTION("GOOGLETRANSLATE(B18485,""en"",""de"")"),"Eine Frau spricht mit der Kamera.")</f>
        <v>Eine Frau spricht mit der Kamera.</v>
      </c>
    </row>
    <row r="18486">
      <c r="A18486" s="4" t="s">
        <v>23258</v>
      </c>
      <c r="B18486" s="4" t="s">
        <v>23259</v>
      </c>
      <c r="C18486" s="5" t="str">
        <f>IFERROR(__xludf.DUMMYFUNCTION("GOOGLETRANSLATE(B18486,""en"",""de"")"),"Sie zeigt, wie man einen Rand an einer Wand in einem Wohnzimmer hängt.")</f>
        <v>Sie zeigt, wie man einen Rand an einer Wand in einem Wohnzimmer hängt.</v>
      </c>
    </row>
    <row r="18487">
      <c r="A18487" s="4" t="s">
        <v>23258</v>
      </c>
      <c r="B18487" s="4" t="s">
        <v>23260</v>
      </c>
      <c r="C18487" s="5" t="str">
        <f>IFERROR(__xludf.DUMMYFUNCTION("GOOGLETRANSLATE(B18487,""en"",""de"")"),"Sie kehrt dann zurück mit der Kamera.")</f>
        <v>Sie kehrt dann zurück mit der Kamera.</v>
      </c>
    </row>
    <row r="18488">
      <c r="A18488" s="4" t="s">
        <v>23261</v>
      </c>
      <c r="B18488" s="4" t="s">
        <v>23262</v>
      </c>
      <c r="C18488" s="5" t="str">
        <f>IFERROR(__xludf.DUMMYFUNCTION("GOOGLETRANSLATE(B18488,""en"",""de"")"),"Eine Gruppe spielt Volleyball in einem Schwimmbad.")</f>
        <v>Eine Gruppe spielt Volleyball in einem Schwimmbad.</v>
      </c>
    </row>
    <row r="18489">
      <c r="A18489" s="4" t="s">
        <v>23261</v>
      </c>
      <c r="B18489" s="4" t="s">
        <v>23263</v>
      </c>
      <c r="C18489" s="5" t="str">
        <f>IFERROR(__xludf.DUMMYFUNCTION("GOOGLETRANSLATE(B18489,""en"",""de"")"),"Sie springen den Ball über das Netz hin und her, während ein goldener Retriever sich ihm anschließt und den Ball mit seiner Nase schlägt.")</f>
        <v>Sie springen den Ball über das Netz hin und her, während ein goldener Retriever sich ihm anschließt und den Ball mit seiner Nase schlägt.</v>
      </c>
    </row>
    <row r="18490">
      <c r="A18490" s="4" t="s">
        <v>23264</v>
      </c>
      <c r="B18490" s="4" t="s">
        <v>23265</v>
      </c>
      <c r="C18490" s="5" t="str">
        <f>IFERROR(__xludf.DUMMYFUNCTION("GOOGLETRANSLATE(B18490,""en"",""de"")"),"Ein Junge spielt Schlagzeug auf den Frontleuten.")</f>
        <v>Ein Junge spielt Schlagzeug auf den Frontleuten.</v>
      </c>
    </row>
    <row r="18491">
      <c r="A18491" s="4" t="s">
        <v>23264</v>
      </c>
      <c r="B18491" s="4" t="s">
        <v>23266</v>
      </c>
      <c r="C18491" s="5" t="str">
        <f>IFERROR(__xludf.DUMMYFUNCTION("GOOGLETRANSLATE(B18491,""en"",""de"")"),"Ein Mann singt ein Mikrofon neben dem Schlagzeuger.")</f>
        <v>Ein Mann singt ein Mikrofon neben dem Schlagzeuger.</v>
      </c>
    </row>
    <row r="18492">
      <c r="A18492" s="4" t="s">
        <v>23264</v>
      </c>
      <c r="B18492" s="4" t="s">
        <v>23267</v>
      </c>
      <c r="C18492" s="5" t="str">
        <f>IFERROR(__xludf.DUMMYFUNCTION("GOOGLETRANSLATE(B18492,""en"",""de"")"),"Eine Person gibt den Jungen vorne.")</f>
        <v>Eine Person gibt den Jungen vorne.</v>
      </c>
    </row>
    <row r="18493">
      <c r="A18493" s="4" t="s">
        <v>23268</v>
      </c>
      <c r="B18493" s="4" t="s">
        <v>23269</v>
      </c>
      <c r="C18493" s="5" t="str">
        <f>IFERROR(__xludf.DUMMYFUNCTION("GOOGLETRANSLATE(B18493,""en"",""de"")"),"Eine kleine Gruppe von Menschen reitet in einem Floß einen rauen Fluss hinunter.")</f>
        <v>Eine kleine Gruppe von Menschen reitet in einem Floß einen rauen Fluss hinunter.</v>
      </c>
    </row>
    <row r="18494">
      <c r="A18494" s="4" t="s">
        <v>23268</v>
      </c>
      <c r="B18494" s="4" t="s">
        <v>23270</v>
      </c>
      <c r="C18494" s="5" t="str">
        <f>IFERROR(__xludf.DUMMYFUNCTION("GOOGLETRANSLATE(B18494,""en"",""de"")"),"Die Menschen verwenden Paddel, um sich entlang des Wassers und unter Tunneln zu bewegen.")</f>
        <v>Die Menschen verwenden Paddel, um sich entlang des Wassers und unter Tunneln zu bewegen.</v>
      </c>
    </row>
    <row r="18495">
      <c r="A18495" s="4" t="s">
        <v>23268</v>
      </c>
      <c r="B18495" s="4" t="s">
        <v>23271</v>
      </c>
      <c r="C18495" s="5" t="str">
        <f>IFERROR(__xludf.DUMMYFUNCTION("GOOGLETRANSLATE(B18495,""en"",""de"")"),"Die Gruppe reitet weiter den Fluss hinunter und endet mit Text über den Bildschirm.")</f>
        <v>Die Gruppe reitet weiter den Fluss hinunter und endet mit Text über den Bildschirm.</v>
      </c>
    </row>
    <row r="18496">
      <c r="A18496" s="4" t="s">
        <v>23272</v>
      </c>
      <c r="B18496" s="4" t="s">
        <v>23273</v>
      </c>
      <c r="C18496" s="5" t="str">
        <f>IFERROR(__xludf.DUMMYFUNCTION("GOOGLETRANSLATE(B18496,""en"",""de"")"),"Eine Frau lässt ihre Haare von einer Frau mit einer Schere in einer Küche sehr kurz geschnitten.")</f>
        <v>Eine Frau lässt ihre Haare von einer Frau mit einer Schere in einer Küche sehr kurz geschnitten.</v>
      </c>
    </row>
    <row r="18497">
      <c r="A18497" s="4" t="s">
        <v>23272</v>
      </c>
      <c r="B18497" s="4" t="s">
        <v>23274</v>
      </c>
      <c r="C18497" s="5" t="str">
        <f>IFERROR(__xludf.DUMMYFUNCTION("GOOGLETRANSLATE(B18497,""en"",""de"")"),"Ein Mann, der eine Brille trägt, spricht in der Kamera in einem Nahaufschuss, bevor die Kamera eine Frau in einem weichen Stuhl sitzt und sich auf ihren Oberarm konzentriert.")</f>
        <v>Ein Mann, der eine Brille trägt, spricht in der Kamera in einem Nahaufschuss, bevor die Kamera eine Frau in einem weichen Stuhl sitzt und sich auf ihren Oberarm konzentriert.</v>
      </c>
    </row>
    <row r="18498">
      <c r="A18498" s="4" t="s">
        <v>23272</v>
      </c>
      <c r="B18498" s="4" t="s">
        <v>23275</v>
      </c>
      <c r="C18498" s="5" t="str">
        <f>IFERROR(__xludf.DUMMYFUNCTION("GOOGLETRANSLATE(B18498,""en"",""de"")"),"Die Kamera schwenkt in einen Küchenbereich und eine sitzende Frau, die ein eigenes Haarschloss hochhält, während eine andere Frau hinter ihr (die Frau, die früher saß), beginnt, ihr Haar mit einer Schere zu schneiden.")</f>
        <v>Die Kamera schwenkt in einen Küchenbereich und eine sitzende Frau, die ein eigenes Haarschloss hochhält, während eine andere Frau hinter ihr (die Frau, die früher saß), beginnt, ihr Haar mit einer Schere zu schneiden.</v>
      </c>
    </row>
    <row r="18499">
      <c r="A18499" s="4" t="s">
        <v>23272</v>
      </c>
      <c r="B18499" s="4" t="s">
        <v>23276</v>
      </c>
      <c r="C18499" s="5" t="str">
        <f>IFERROR(__xludf.DUMMYFUNCTION("GOOGLETRANSLATE(B18499,""en"",""de"")"),"Die Kamera schwenkt zu einer Nahaufnahme der Frau auf dem Küchenstuhl, der den größten Teil ihrer Haare abgeschnitten hat, und jetzt wie ein sehr kurzer Haarschnitt.")</f>
        <v>Die Kamera schwenkt zu einer Nahaufnahme der Frau auf dem Küchenstuhl, der den größten Teil ihrer Haare abgeschnitten hat, und jetzt wie ein sehr kurzer Haarschnitt.</v>
      </c>
    </row>
    <row r="18500">
      <c r="A18500" s="4" t="s">
        <v>23272</v>
      </c>
      <c r="B18500" s="4" t="s">
        <v>23277</v>
      </c>
      <c r="C18500" s="5" t="str">
        <f>IFERROR(__xludf.DUMMYFUNCTION("GOOGLETRANSLATE(B18500,""en"",""de"")"),"Die Kamera schneidet erneut an den Mann, der zum ersten Mal im Film erscheint, und eine Aufnahme einer digitalen Uhr, die die Zeit zeigt.")</f>
        <v>Die Kamera schneidet erneut an den Mann, der zum ersten Mal im Film erscheint, und eine Aufnahme einer digitalen Uhr, die die Zeit zeigt.</v>
      </c>
    </row>
    <row r="18501">
      <c r="A18501" s="4" t="s">
        <v>23278</v>
      </c>
      <c r="B18501" s="4" t="s">
        <v>23279</v>
      </c>
      <c r="C18501" s="5" t="str">
        <f>IFERROR(__xludf.DUMMYFUNCTION("GOOGLETRANSLATE(B18501,""en"",""de"")"),"Eine junge Frau kniet in einer Wanne mit Kleidern um sie herum.")</f>
        <v>Eine junge Frau kniet in einer Wanne mit Kleidern um sie herum.</v>
      </c>
    </row>
    <row r="18502">
      <c r="A18502" s="4" t="s">
        <v>23278</v>
      </c>
      <c r="B18502" s="4" t="s">
        <v>23280</v>
      </c>
      <c r="C18502" s="5" t="str">
        <f>IFERROR(__xludf.DUMMYFUNCTION("GOOGLETRANSLATE(B18502,""en"",""de"")"),"Sie tritt auf die Kleidung und biegt sich erneut, um sie zu schrubben, während die Kamera um sie herum schwenkt.")</f>
        <v>Sie tritt auf die Kleidung und biegt sich erneut, um sie zu schrubben, während die Kamera um sie herum schwenkt.</v>
      </c>
    </row>
    <row r="18503">
      <c r="A18503" s="4" t="s">
        <v>23278</v>
      </c>
      <c r="B18503" s="4" t="s">
        <v>23281</v>
      </c>
      <c r="C18503" s="5" t="str">
        <f>IFERROR(__xludf.DUMMYFUNCTION("GOOGLETRANSLATE(B18503,""en"",""de"")"),"Sie hält die Kleidung hoch und wäscht sie weiter und ein Mann, der in den Rahmen tritt, um zu helfen.")</f>
        <v>Sie hält die Kleidung hoch und wäscht sie weiter und ein Mann, der in den Rahmen tritt, um zu helfen.</v>
      </c>
    </row>
    <row r="18504">
      <c r="A18504" s="4" t="s">
        <v>23282</v>
      </c>
      <c r="B18504" s="4" t="s">
        <v>23283</v>
      </c>
      <c r="C18504" s="5" t="str">
        <f>IFERROR(__xludf.DUMMYFUNCTION("GOOGLETRANSLATE(B18504,""en"",""de"")"),"Eine Frau Ballerina in einem rosa Rock und einer weißen Bluse steht in Pose mit gebeugtem Rücken nach vorne und die Hände auf ihren Seiten auf einer Bühne.")</f>
        <v>Eine Frau Ballerina in einem rosa Rock und einer weißen Bluse steht in Pose mit gebeugtem Rücken nach vorne und die Hände auf ihren Seiten auf einer Bühne.</v>
      </c>
    </row>
    <row r="18505">
      <c r="A18505" s="4" t="s">
        <v>23282</v>
      </c>
      <c r="B18505" s="4" t="s">
        <v>23284</v>
      </c>
      <c r="C18505" s="5" t="str">
        <f>IFERROR(__xludf.DUMMYFUNCTION("GOOGLETRANSLATE(B18505,""en"",""de"")"),"Ein Mann in blauen Jeans und ein weißes Hemd betritt sie und streichelt sie mit einem gelben Tuch.")</f>
        <v>Ein Mann in blauen Jeans und ein weißes Hemd betritt sie und streichelt sie mit einem gelben Tuch.</v>
      </c>
    </row>
    <row r="18506">
      <c r="A18506" s="4" t="s">
        <v>23282</v>
      </c>
      <c r="B18506" s="4" t="s">
        <v>23285</v>
      </c>
      <c r="C18506" s="5" t="str">
        <f>IFERROR(__xludf.DUMMYFUNCTION("GOOGLETRANSLATE(B18506,""en"",""de"")"),"Dann kommt ein kleines Mädchen Ballerina und stößt in die Frau.")</f>
        <v>Dann kommt ein kleines Mädchen Ballerina und stößt in die Frau.</v>
      </c>
    </row>
    <row r="18507">
      <c r="A18507" s="4" t="s">
        <v>23282</v>
      </c>
      <c r="B18507" s="4" t="s">
        <v>23286</v>
      </c>
      <c r="C18507" s="5" t="str">
        <f>IFERROR(__xludf.DUMMYFUNCTION("GOOGLETRANSLATE(B18507,""en"",""de"")"),"Die Frau bricht jedes Mal, wenn das kleine Mädchen Ballerina sie tanzt.")</f>
        <v>Die Frau bricht jedes Mal, wenn das kleine Mädchen Ballerina sie tanzt.</v>
      </c>
    </row>
    <row r="18508">
      <c r="A18508" s="4" t="s">
        <v>23282</v>
      </c>
      <c r="B18508" s="4" t="s">
        <v>23287</v>
      </c>
      <c r="C18508" s="5" t="str">
        <f>IFERROR(__xludf.DUMMYFUNCTION("GOOGLETRANSLATE(B18508,""en"",""de"")"),"Das kleine Mädchen nimmt ein Paar Flügel auf und versucht es auf den Rücken zu legen.")</f>
        <v>Das kleine Mädchen nimmt ein Paar Flügel auf und versucht es auf den Rücken zu legen.</v>
      </c>
    </row>
    <row r="18509">
      <c r="A18509" s="4" t="s">
        <v>23282</v>
      </c>
      <c r="B18509" s="4" t="s">
        <v>23288</v>
      </c>
      <c r="C18509" s="5" t="str">
        <f>IFERROR(__xludf.DUMMYFUNCTION("GOOGLETRANSLATE(B18509,""en"",""de"")"),"Die Frau beginnt ein paar Ballettbewegungen.")</f>
        <v>Die Frau beginnt ein paar Ballettbewegungen.</v>
      </c>
    </row>
    <row r="18510">
      <c r="A18510" s="4" t="s">
        <v>23282</v>
      </c>
      <c r="B18510" s="4" t="s">
        <v>23289</v>
      </c>
      <c r="C18510" s="5" t="str">
        <f>IFERROR(__xludf.DUMMYFUNCTION("GOOGLETRANSLATE(B18510,""en"",""de"")"),"Sie tanzt weiter zu Ballettbewegungen, als das kleine Mädchen weggeht.")</f>
        <v>Sie tanzt weiter zu Ballettbewegungen, als das kleine Mädchen weggeht.</v>
      </c>
    </row>
    <row r="18511">
      <c r="A18511" s="4" t="s">
        <v>23282</v>
      </c>
      <c r="B18511" s="4" t="s">
        <v>23290</v>
      </c>
      <c r="C18511" s="5" t="str">
        <f>IFERROR(__xludf.DUMMYFUNCTION("GOOGLETRANSLATE(B18511,""en"",""de"")"),"Die Frau Ballerina dreht und wirbelt auf ihren Zehen, als sie zur Musik tanzt.")</f>
        <v>Die Frau Ballerina dreht und wirbelt auf ihren Zehen, als sie zur Musik tanzt.</v>
      </c>
    </row>
    <row r="18512">
      <c r="A18512" s="4" t="s">
        <v>23282</v>
      </c>
      <c r="B18512" s="4" t="s">
        <v>23291</v>
      </c>
      <c r="C18512" s="5" t="str">
        <f>IFERROR(__xludf.DUMMYFUNCTION("GOOGLETRANSLATE(B18512,""en"",""de"")"),"Die Menge applaudiert und der Mann im weißen Hemd und in der blauen Jeans hebt sie hoch und geht von der Bühne.")</f>
        <v>Die Menge applaudiert und der Mann im weißen Hemd und in der blauen Jeans hebt sie hoch und geht von der Bühne.</v>
      </c>
    </row>
    <row r="18513">
      <c r="A18513" s="4" t="s">
        <v>23292</v>
      </c>
      <c r="B18513" s="4" t="s">
        <v>23293</v>
      </c>
      <c r="C18513" s="5" t="str">
        <f>IFERROR(__xludf.DUMMYFUNCTION("GOOGLETRANSLATE(B18513,""en"",""de"")"),"Eine Kamera schwenkt in einem Raum mit einer frisch gestrichenen Wand und einem Mann, der die Wand auf einem Hocker malt wird.")</f>
        <v>Eine Kamera schwenkt in einem Raum mit einer frisch gestrichenen Wand und einem Mann, der die Wand auf einem Hocker malt wird.</v>
      </c>
    </row>
    <row r="18514">
      <c r="A18514" s="4" t="s">
        <v>23292</v>
      </c>
      <c r="B18514" s="4" t="s">
        <v>23294</v>
      </c>
      <c r="C18514" s="5" t="str">
        <f>IFERROR(__xludf.DUMMYFUNCTION("GOOGLETRANSLATE(B18514,""en"",""de"")"),"Die Kamera schwenkt über das Oberlicht und endet, indem sie hinter die Gegend schaut.")</f>
        <v>Die Kamera schwenkt über das Oberlicht und endet, indem sie hinter die Gegend schaut.</v>
      </c>
    </row>
    <row r="18515">
      <c r="A18515" s="4" t="s">
        <v>23295</v>
      </c>
      <c r="B18515" s="4" t="s">
        <v>23296</v>
      </c>
      <c r="C18515" s="5" t="str">
        <f>IFERROR(__xludf.DUMMYFUNCTION("GOOGLETRANSLATE(B18515,""en"",""de"")"),"Wir sehen eine Person in einer Küche auf dem Herd.")</f>
        <v>Wir sehen eine Person in einer Küche auf dem Herd.</v>
      </c>
    </row>
    <row r="18516">
      <c r="A18516" s="4" t="s">
        <v>23295</v>
      </c>
      <c r="B18516" s="4" t="s">
        <v>23297</v>
      </c>
      <c r="C18516" s="5" t="str">
        <f>IFERROR(__xludf.DUMMYFUNCTION("GOOGLETRANSLATE(B18516,""en"",""de"")"),"Die Person hat Pfanne mit Butter, zu Eier fügen sie hinzu.")</f>
        <v>Die Person hat Pfanne mit Butter, zu Eier fügen sie hinzu.</v>
      </c>
    </row>
    <row r="18517">
      <c r="A18517" s="4" t="s">
        <v>23295</v>
      </c>
      <c r="B18517" s="4" t="s">
        <v>23298</v>
      </c>
      <c r="C18517" s="5" t="str">
        <f>IFERROR(__xludf.DUMMYFUNCTION("GOOGLETRANSLATE(B18517,""en"",""de"")"),"Die Person dreht die Eier.")</f>
        <v>Die Person dreht die Eier.</v>
      </c>
    </row>
    <row r="18518">
      <c r="A18518" s="4" t="s">
        <v>23295</v>
      </c>
      <c r="B18518" s="4" t="s">
        <v>23299</v>
      </c>
      <c r="C18518" s="5" t="str">
        <f>IFERROR(__xludf.DUMMYFUNCTION("GOOGLETRANSLATE(B18518,""en"",""de"")"),"Ein Feuer beginnt mit dem Auge die Person, die es ausblasen.")</f>
        <v>Ein Feuer beginnt mit dem Auge die Person, die es ausblasen.</v>
      </c>
    </row>
    <row r="18519">
      <c r="A18519" s="4" t="s">
        <v>23295</v>
      </c>
      <c r="B18519" s="4" t="s">
        <v>23300</v>
      </c>
      <c r="C18519" s="5" t="str">
        <f>IFERROR(__xludf.DUMMYFUNCTION("GOOGLETRANSLATE(B18519,""en"",""de"")"),"Die Person dreht die Eier mit einem Spatel.")</f>
        <v>Die Person dreht die Eier mit einem Spatel.</v>
      </c>
    </row>
    <row r="18520">
      <c r="A18520" s="4" t="s">
        <v>23295</v>
      </c>
      <c r="B18520" s="4" t="s">
        <v>23301</v>
      </c>
      <c r="C18520" s="5" t="str">
        <f>IFERROR(__xludf.DUMMYFUNCTION("GOOGLETRANSLATE(B18520,""en"",""de"")"),"Die Eier werden in einen Teller gegossen und Salz und Pfeffer werden zugegeben.")</f>
        <v>Die Eier werden in einen Teller gegossen und Salz und Pfeffer werden zugegeben.</v>
      </c>
    </row>
    <row r="18521">
      <c r="A18521" s="4" t="s">
        <v>23295</v>
      </c>
      <c r="B18521" s="4" t="s">
        <v>23302</v>
      </c>
      <c r="C18521" s="5" t="str">
        <f>IFERROR(__xludf.DUMMYFUNCTION("GOOGLETRANSLATE(B18521,""en"",""de"")"),"Die Person geht vom Herd weg.")</f>
        <v>Die Person geht vom Herd weg.</v>
      </c>
    </row>
    <row r="18522">
      <c r="A18522" s="4" t="s">
        <v>23303</v>
      </c>
      <c r="B18522" s="4" t="s">
        <v>23304</v>
      </c>
      <c r="C18522" s="5" t="str">
        <f>IFERROR(__xludf.DUMMYFUNCTION("GOOGLETRANSLATE(B18522,""en"",""de"")"),"Ein Hund uriniert konsequent, ohne anzuhalten, und wenn er nur auf den Vorderladern geht, runter und um einen asphaltierten Bürgersteig, während eine Person sie an einer gelben Leine spaziert.")</f>
        <v>Ein Hund uriniert konsequent, ohne anzuhalten, und wenn er nur auf den Vorderladern geht, runter und um einen asphaltierten Bürgersteig, während eine Person sie an einer gelben Leine spaziert.</v>
      </c>
    </row>
    <row r="18523">
      <c r="A18523" s="4" t="s">
        <v>23303</v>
      </c>
      <c r="B18523" s="4" t="s">
        <v>23305</v>
      </c>
      <c r="C18523" s="5" t="str">
        <f>IFERROR(__xludf.DUMMYFUNCTION("GOOGLETRANSLATE(B18523,""en"",""de"")"),"Der Mopshund anfängt an, an einer Steinrandplatte entlang einer niedrigen Steinmauer zu urinieren, landet auf allen vier Beinen, um sich umzudrehen, und fährt dann nur mit seinen beiden Vorderbeinen an.")</f>
        <v>Der Mopshund anfängt an, an einer Steinrandplatte entlang einer niedrigen Steinmauer zu urinieren, landet auf allen vier Beinen, um sich umzudrehen, und fährt dann nur mit seinen beiden Vorderbeinen an.</v>
      </c>
    </row>
    <row r="18524">
      <c r="A18524" s="4" t="s">
        <v>23303</v>
      </c>
      <c r="B18524" s="4" t="s">
        <v>23306</v>
      </c>
      <c r="C18524" s="5" t="str">
        <f>IFERROR(__xludf.DUMMYFUNCTION("GOOGLETRANSLATE(B18524,""en"",""de"")"),"Der Hund beginnt zu urinieren, während er nur mit der gelben Leine, die als unsichtbare Person folgt, auf seinen Vorderleine spaziert, um den Hund aus dem Hintergrund zu führen.")</f>
        <v>Der Hund beginnt zu urinieren, während er nur mit der gelben Leine, die als unsichtbare Person folgt, auf seinen Vorderleine spaziert, um den Hund aus dem Hintergrund zu führen.</v>
      </c>
    </row>
    <row r="18525">
      <c r="A18525" s="4" t="s">
        <v>23303</v>
      </c>
      <c r="B18525" s="4" t="s">
        <v>23307</v>
      </c>
      <c r="C18525" s="5" t="str">
        <f>IFERROR(__xludf.DUMMYFUNCTION("GOOGLETRANSLATE(B18525,""en"",""de"")"),"Der Hund uriniert weiterhin auf diese Weise, vorbei an mehr Bürgersteig und Gras vorbei und beginnt schließlich drei Beine zu benutzen, stoppt und uriniert mehr, während er auf drei Beinen stationär ist.")</f>
        <v>Der Hund uriniert weiterhin auf diese Weise, vorbei an mehr Bürgersteig und Gras vorbei und beginnt schließlich drei Beine zu benutzen, stoppt und uriniert mehr, während er auf drei Beinen stationär ist.</v>
      </c>
    </row>
    <row r="18526">
      <c r="A18526" s="4" t="s">
        <v>23308</v>
      </c>
      <c r="B18526" s="4" t="s">
        <v>23309</v>
      </c>
      <c r="C18526" s="5" t="str">
        <f>IFERROR(__xludf.DUMMYFUNCTION("GOOGLETRANSLATE(B18526,""en"",""de"")"),"Ein Mann sichert eine sitzende Frau in einem Bungee -Gurt, während andere bereit sind.")</f>
        <v>Ein Mann sichert eine sitzende Frau in einem Bungee -Gurt, während andere bereit sind.</v>
      </c>
    </row>
    <row r="18527">
      <c r="A18527" s="4" t="s">
        <v>23308</v>
      </c>
      <c r="B18527" s="4" t="s">
        <v>23310</v>
      </c>
      <c r="C18527" s="5" t="str">
        <f>IFERROR(__xludf.DUMMYFUNCTION("GOOGLETRANSLATE(B18527,""en"",""de"")"),"Die Frau spricht in der Nähe mit der Kamera.")</f>
        <v>Die Frau spricht in der Nähe mit der Kamera.</v>
      </c>
    </row>
    <row r="18528">
      <c r="A18528" s="4" t="s">
        <v>23308</v>
      </c>
      <c r="B18528" s="4" t="s">
        <v>23311</v>
      </c>
      <c r="C18528" s="5" t="str">
        <f>IFERROR(__xludf.DUMMYFUNCTION("GOOGLETRANSLATE(B18528,""en"",""de"")"),"Mehrere Aufnahmen der Landschaft werden mit der Wartezeit der Frau durchsetzt.")</f>
        <v>Mehrere Aufnahmen der Landschaft werden mit der Wartezeit der Frau durchsetzt.</v>
      </c>
    </row>
    <row r="18529">
      <c r="A18529" s="4" t="s">
        <v>23308</v>
      </c>
      <c r="B18529" s="4" t="s">
        <v>23312</v>
      </c>
      <c r="C18529" s="5" t="str">
        <f>IFERROR(__xludf.DUMMYFUNCTION("GOOGLETRANSLATE(B18529,""en"",""de"")"),"Der Mann endet mit der Ausrüstung.")</f>
        <v>Der Mann endet mit der Ausrüstung.</v>
      </c>
    </row>
    <row r="18530">
      <c r="A18530" s="4" t="s">
        <v>23308</v>
      </c>
      <c r="B18530" s="4" t="s">
        <v>23313</v>
      </c>
      <c r="C18530" s="5" t="str">
        <f>IFERROR(__xludf.DUMMYFUNCTION("GOOGLETRANSLATE(B18530,""en"",""de"")"),"Die Frau geht sorgfältig auf die Sprungplattform, während einer der Männer hinter ihr steht und ein Publikum sieht.")</f>
        <v>Die Frau geht sorgfältig auf die Sprungplattform, während einer der Männer hinter ihr steht und ein Publikum sieht.</v>
      </c>
    </row>
    <row r="18531">
      <c r="A18531" s="4" t="s">
        <v>23308</v>
      </c>
      <c r="B18531" s="4" t="s">
        <v>23314</v>
      </c>
      <c r="C18531" s="5" t="str">
        <f>IFERROR(__xludf.DUMMYFUNCTION("GOOGLETRANSLATE(B18531,""en"",""de"")"),"Die Frau bündelt von der Plattform.")</f>
        <v>Die Frau bündelt von der Plattform.</v>
      </c>
    </row>
    <row r="18532">
      <c r="A18532" s="4" t="s">
        <v>23308</v>
      </c>
      <c r="B18532" s="4" t="s">
        <v>23315</v>
      </c>
      <c r="C18532" s="5" t="str">
        <f>IFERROR(__xludf.DUMMYFUNCTION("GOOGLETRANSLATE(B18532,""en"",""de"")"),"Eine Wiederholung der Frau, die von der Plattform bündelt, wird gezeigt.")</f>
        <v>Eine Wiederholung der Frau, die von der Plattform bündelt, wird gezeigt.</v>
      </c>
    </row>
    <row r="18533">
      <c r="A18533" s="4" t="s">
        <v>23316</v>
      </c>
      <c r="B18533" s="4" t="s">
        <v>23317</v>
      </c>
      <c r="C18533" s="5" t="str">
        <f>IFERROR(__xludf.DUMMYFUNCTION("GOOGLETRANSLATE(B18533,""en"",""de"")"),"Wir sehen einen mit Papieren bedeckten Tisch und einen Laptop, während ein Mann arbeitet.")</f>
        <v>Wir sehen einen mit Papieren bedeckten Tisch und einen Laptop, während ein Mann arbeitet.</v>
      </c>
    </row>
    <row r="18534">
      <c r="A18534" s="4" t="s">
        <v>23316</v>
      </c>
      <c r="B18534" s="4" t="s">
        <v>23318</v>
      </c>
      <c r="C18534" s="5" t="str">
        <f>IFERROR(__xludf.DUMMYFUNCTION("GOOGLETRANSLATE(B18534,""en"",""de"")"),"Der Mann geht und geht in eine mit Graffiti bedeckte Garage und schaltet eine Boombox ein.")</f>
        <v>Der Mann geht und geht in eine mit Graffiti bedeckte Garage und schaltet eine Boombox ein.</v>
      </c>
    </row>
    <row r="18535">
      <c r="A18535" s="4" t="s">
        <v>23316</v>
      </c>
      <c r="B18535" s="4" t="s">
        <v>23319</v>
      </c>
      <c r="C18535" s="5" t="str">
        <f>IFERROR(__xludf.DUMMYFUNCTION("GOOGLETRANSLATE(B18535,""en"",""de"")"),"Der Mann Break -Tänze sieht dann einen Mann im Raum.")</f>
        <v>Der Mann Break -Tänze sieht dann einen Mann im Raum.</v>
      </c>
    </row>
    <row r="18536">
      <c r="A18536" s="4" t="s">
        <v>23316</v>
      </c>
      <c r="B18536" s="4" t="s">
        <v>23320</v>
      </c>
      <c r="C18536" s="5" t="str">
        <f>IFERROR(__xludf.DUMMYFUNCTION("GOOGLETRANSLATE(B18536,""en"",""de"")"),"Die Männer wechseln sich dann abwechselnd das Tanzen.")</f>
        <v>Die Männer wechseln sich dann abwechselnd das Tanzen.</v>
      </c>
    </row>
    <row r="18537">
      <c r="A18537" s="4" t="s">
        <v>23316</v>
      </c>
      <c r="B18537" s="4" t="s">
        <v>23321</v>
      </c>
      <c r="C18537" s="5" t="str">
        <f>IFERROR(__xludf.DUMMYFUNCTION("GOOGLETRANSLATE(B18537,""en"",""de"")"),"Die Männer stehen von Angesicht zu Angesicht und brechen gemeinsam den Tanz.")</f>
        <v>Die Männer stehen von Angesicht zu Angesicht und brechen gemeinsam den Tanz.</v>
      </c>
    </row>
    <row r="18538">
      <c r="A18538" s="4" t="s">
        <v>23316</v>
      </c>
      <c r="B18538" s="4" t="s">
        <v>5107</v>
      </c>
      <c r="C18538" s="5" t="str">
        <f>IFERROR(__xludf.DUMMYFUNCTION("GOOGLETRANSLATE(B18538,""en"",""de"")"),"Wir sehen dann den Ende des Endtitels.")</f>
        <v>Wir sehen dann den Ende des Endtitels.</v>
      </c>
    </row>
    <row r="18539">
      <c r="A18539" s="4" t="s">
        <v>23322</v>
      </c>
      <c r="B18539" s="4" t="s">
        <v>23323</v>
      </c>
      <c r="C18539" s="5" t="str">
        <f>IFERROR(__xludf.DUMMYFUNCTION("GOOGLETRANSLATE(B18539,""en"",""de"")"),"Die Skier einer Person werden in der Nähe gezeigt, wenn sie sich ständig über einen schneebedeckten Hügel hinweg bewegen, der sich schnell an Bäumen bewegt.")</f>
        <v>Die Skier einer Person werden in der Nähe gezeigt, wenn sie sich ständig über einen schneebedeckten Hügel hinweg bewegen, der sich schnell an Bäumen bewegt.</v>
      </c>
    </row>
    <row r="18540">
      <c r="A18540" s="4" t="s">
        <v>23322</v>
      </c>
      <c r="B18540" s="4" t="s">
        <v>23324</v>
      </c>
      <c r="C18540" s="5" t="str">
        <f>IFERROR(__xludf.DUMMYFUNCTION("GOOGLETRANSLATE(B18540,""en"",""de"")"),"Die Person bewegt sich schnell den Weg runter und trifft sich unten mit anderen.")</f>
        <v>Die Person bewegt sich schnell den Weg runter und trifft sich unten mit anderen.</v>
      </c>
    </row>
    <row r="18541">
      <c r="A18541" s="4" t="s">
        <v>23325</v>
      </c>
      <c r="B18541" s="4" t="s">
        <v>23326</v>
      </c>
      <c r="C18541" s="5" t="str">
        <f>IFERROR(__xludf.DUMMYFUNCTION("GOOGLETRANSLATE(B18541,""en"",""de"")"),"Die Leute stehen in einem Platz und spielen Shufleboard, während die Leute auf den Terrassen das Spiel beobachten.")</f>
        <v>Die Leute stehen in einem Platz und spielen Shufleboard, während die Leute auf den Terrassen das Spiel beobachten.</v>
      </c>
    </row>
    <row r="18542">
      <c r="A18542" s="4" t="s">
        <v>23325</v>
      </c>
      <c r="B18542" s="4" t="s">
        <v>23327</v>
      </c>
      <c r="C18542" s="5" t="str">
        <f>IFERROR(__xludf.DUMMYFUNCTION("GOOGLETRANSLATE(B18542,""en"",""de"")"),"Viele Leute, die rote Uniformen tragen, gehen und sitzen am Platz am Platz.")</f>
        <v>Viele Leute, die rote Uniformen tragen, gehen und sitzen am Platz am Platz.</v>
      </c>
    </row>
    <row r="18543">
      <c r="A18543" s="4" t="s">
        <v>23328</v>
      </c>
      <c r="B18543" s="4" t="s">
        <v>23329</v>
      </c>
      <c r="C18543" s="5" t="str">
        <f>IFERROR(__xludf.DUMMYFUNCTION("GOOGLETRANSLATE(B18543,""en"",""de"")"),"Ein Mann in einem Anzug und eine Dame in einem Sparking -Kleid stehen auf der Bühne.")</f>
        <v>Ein Mann in einem Anzug und eine Dame in einem Sparking -Kleid stehen auf der Bühne.</v>
      </c>
    </row>
    <row r="18544">
      <c r="A18544" s="4" t="s">
        <v>23328</v>
      </c>
      <c r="B18544" s="4" t="s">
        <v>23330</v>
      </c>
      <c r="C18544" s="5" t="str">
        <f>IFERROR(__xludf.DUMMYFUNCTION("GOOGLETRANSLATE(B18544,""en"",""de"")"),"Die Leute tanzen dann Ballsaal, wie die Leute zuschauen.")</f>
        <v>Die Leute tanzen dann Ballsaal, wie die Leute zuschauen.</v>
      </c>
    </row>
    <row r="18545">
      <c r="A18545" s="4" t="s">
        <v>23328</v>
      </c>
      <c r="B18545" s="4" t="s">
        <v>23331</v>
      </c>
      <c r="C18545" s="5" t="str">
        <f>IFERROR(__xludf.DUMMYFUNCTION("GOOGLETRANSLATE(B18545,""en"",""de"")"),"Der Mann dreht die Frau vor ihm in die Luft.")</f>
        <v>Der Mann dreht die Frau vor ihm in die Luft.</v>
      </c>
    </row>
    <row r="18546">
      <c r="A18546" s="4" t="s">
        <v>23328</v>
      </c>
      <c r="B18546" s="4" t="s">
        <v>23332</v>
      </c>
      <c r="C18546" s="5" t="str">
        <f>IFERROR(__xludf.DUMMYFUNCTION("GOOGLETRANSLATE(B18546,""en"",""de"")"),"Der Mann taucht die Dame ab und sie tritt mit ihren Füßen in die Luft.")</f>
        <v>Der Mann taucht die Dame ab und sie tritt mit ihren Füßen in die Luft.</v>
      </c>
    </row>
    <row r="18547">
      <c r="A18547" s="4" t="s">
        <v>23328</v>
      </c>
      <c r="B18547" s="4" t="s">
        <v>23333</v>
      </c>
      <c r="C18547" s="5" t="str">
        <f>IFERROR(__xludf.DUMMYFUNCTION("GOOGLETRANSLATE(B18547,""en"",""de"")"),"Sie beenden und die Menge klatscht, während sie von der Bühne gehen.")</f>
        <v>Sie beenden und die Menge klatscht, während sie von der Bühne gehen.</v>
      </c>
    </row>
    <row r="18548">
      <c r="A18548" s="4" t="s">
        <v>23334</v>
      </c>
      <c r="B18548" s="4" t="s">
        <v>23335</v>
      </c>
      <c r="C18548" s="5" t="str">
        <f>IFERROR(__xludf.DUMMYFUNCTION("GOOGLETRANSLATE(B18548,""en"",""de"")"),"Zwei Mädchen haben eine Pose mitten in einer großen Turnhalle, während andere um sie herum zuschauen.")</f>
        <v>Zwei Mädchen haben eine Pose mitten in einer großen Turnhalle, während andere um sie herum zuschauen.</v>
      </c>
    </row>
    <row r="18549">
      <c r="A18549" s="4" t="s">
        <v>23334</v>
      </c>
      <c r="B18549" s="4" t="s">
        <v>23336</v>
      </c>
      <c r="C18549" s="5" t="str">
        <f>IFERROR(__xludf.DUMMYFUNCTION("GOOGLETRANSLATE(B18549,""en"",""de"")"),"Die Mädchen beginnen eine Tanzroutine, während sie Schlagstöcke verwenden.")</f>
        <v>Die Mädchen beginnen eine Tanzroutine, während sie Schlagstöcke verwenden.</v>
      </c>
    </row>
    <row r="18550">
      <c r="A18550" s="4" t="s">
        <v>23334</v>
      </c>
      <c r="B18550" s="4" t="s">
        <v>23337</v>
      </c>
      <c r="C18550" s="5" t="str">
        <f>IFERROR(__xludf.DUMMYFUNCTION("GOOGLETRANSLATE(B18550,""en"",""de"")"),"Die Mädchen tanzen weiter herum und enden mit einer Pose.")</f>
        <v>Die Mädchen tanzen weiter herum und enden mit einer Pose.</v>
      </c>
    </row>
    <row r="18551">
      <c r="A18551" s="4" t="s">
        <v>23338</v>
      </c>
      <c r="B18551" s="4" t="s">
        <v>23339</v>
      </c>
      <c r="C18551" s="5" t="str">
        <f>IFERROR(__xludf.DUMMYFUNCTION("GOOGLETRANSLATE(B18551,""en"",""de"")"),"Eine Frau geht am Strand mit einem Surfbrett.")</f>
        <v>Eine Frau geht am Strand mit einem Surfbrett.</v>
      </c>
    </row>
    <row r="18552">
      <c r="A18552" s="4" t="s">
        <v>23338</v>
      </c>
      <c r="B18552" s="4" t="s">
        <v>23340</v>
      </c>
      <c r="C18552" s="5" t="str">
        <f>IFERROR(__xludf.DUMMYFUNCTION("GOOGLETRANSLATE(B18552,""en"",""de"")"),"Sie beginnt im Wasser zu surfen.")</f>
        <v>Sie beginnt im Wasser zu surfen.</v>
      </c>
    </row>
    <row r="18553">
      <c r="A18553" s="4" t="s">
        <v>23341</v>
      </c>
      <c r="B18553" s="4" t="s">
        <v>23342</v>
      </c>
      <c r="C18553" s="5" t="str">
        <f>IFERROR(__xludf.DUMMYFUNCTION("GOOGLETRANSLATE(B18553,""en"",""de"")"),"Eine Frau wäscht in einem Waschbecken und zeigt eine kleine Flasche.")</f>
        <v>Eine Frau wäscht in einem Waschbecken und zeigt eine kleine Flasche.</v>
      </c>
    </row>
    <row r="18554">
      <c r="A18554" s="4" t="s">
        <v>23341</v>
      </c>
      <c r="B18554" s="4" t="s">
        <v>23343</v>
      </c>
      <c r="C18554" s="5" t="str">
        <f>IFERROR(__xludf.DUMMYFUNCTION("GOOGLETRANSLATE(B18554,""en"",""de"")"),"Dann fügt die Frau mehrere Kartoffeln in einen dampfenden Topf hinzu.")</f>
        <v>Dann fügt die Frau mehrere Kartoffeln in einen dampfenden Topf hinzu.</v>
      </c>
    </row>
    <row r="18555">
      <c r="A18555" s="4" t="s">
        <v>23341</v>
      </c>
      <c r="B18555" s="4" t="s">
        <v>23344</v>
      </c>
      <c r="C18555" s="5" t="str">
        <f>IFERROR(__xludf.DUMMYFUNCTION("GOOGLETRANSLATE(B18555,""en"",""de"")"),"Danach steckte die Frau die Kartoffeln in eine Schüssel und schält dann leicht eine Kartoffel.")</f>
        <v>Danach steckte die Frau die Kartoffeln in eine Schüssel und schält dann leicht eine Kartoffel.</v>
      </c>
    </row>
    <row r="18556">
      <c r="A18556" s="4" t="s">
        <v>23345</v>
      </c>
      <c r="B18556" s="4" t="s">
        <v>23346</v>
      </c>
      <c r="C18556" s="5" t="str">
        <f>IFERROR(__xludf.DUMMYFUNCTION("GOOGLETRANSLATE(B18556,""en"",""de"")"),"Es gibt einen Garten mit vielen Bäumen und Sträuchern.")</f>
        <v>Es gibt einen Garten mit vielen Bäumen und Sträuchern.</v>
      </c>
    </row>
    <row r="18557">
      <c r="A18557" s="4" t="s">
        <v>23345</v>
      </c>
      <c r="B18557" s="4" t="s">
        <v>23347</v>
      </c>
      <c r="C18557" s="5" t="str">
        <f>IFERROR(__xludf.DUMMYFUNCTION("GOOGLETRANSLATE(B18557,""en"",""de"")"),"Es gibt einen Mann, der eine Absicherungs- und Trimmausrüstung verwendet, die die Büsche abschneiden.")</f>
        <v>Es gibt einen Mann, der eine Absicherungs- und Trimmausrüstung verwendet, die die Büsche abschneiden.</v>
      </c>
    </row>
    <row r="18558">
      <c r="A18558" s="4" t="s">
        <v>23345</v>
      </c>
      <c r="B18558" s="4" t="s">
        <v>23348</v>
      </c>
      <c r="C18558" s="5" t="str">
        <f>IFERROR(__xludf.DUMMYFUNCTION("GOOGLETRANSLATE(B18558,""en"",""de"")"),"Ein anderer Mann gibt Anweisungen zur Rasen- und Gartenpflege.")</f>
        <v>Ein anderer Mann gibt Anweisungen zur Rasen- und Gartenpflege.</v>
      </c>
    </row>
    <row r="18559">
      <c r="A18559" s="4" t="s">
        <v>23345</v>
      </c>
      <c r="B18559" s="4" t="s">
        <v>23349</v>
      </c>
      <c r="C18559" s="5" t="str">
        <f>IFERROR(__xludf.DUMMYFUNCTION("GOOGLETRANSLATE(B18559,""en"",""de"")"),"Der Mann klettert eine hohe Leiter hinauf, um die Bäume und Büsche mehrmals zu schneiden.")</f>
        <v>Der Mann klettert eine hohe Leiter hinauf, um die Bäume und Büsche mehrmals zu schneiden.</v>
      </c>
    </row>
    <row r="18560">
      <c r="A18560" s="4" t="s">
        <v>23345</v>
      </c>
      <c r="B18560" s="4" t="s">
        <v>23350</v>
      </c>
      <c r="C18560" s="5" t="str">
        <f>IFERROR(__xludf.DUMMYFUNCTION("GOOGLETRANSLATE(B18560,""en"",""de"")"),"Er geht um die gesamte Seite um, um die Hecken zu schneiden.")</f>
        <v>Er geht um die gesamte Seite um, um die Hecken zu schneiden.</v>
      </c>
    </row>
    <row r="18561">
      <c r="A18561" s="4" t="s">
        <v>23345</v>
      </c>
      <c r="B18561" s="4" t="s">
        <v>23351</v>
      </c>
      <c r="C18561" s="5" t="str">
        <f>IFERROR(__xludf.DUMMYFUNCTION("GOOGLETRANSLATE(B18561,""en"",""de"")"),"Der Ausbilder spricht weiter über den Gartenprozess, der Mann schlägt die Hecken ab, die eine Barriere in der Nähe eines Hauses bilden.")</f>
        <v>Der Ausbilder spricht weiter über den Gartenprozess, der Mann schlägt die Hecken ab, die eine Barriere in der Nähe eines Hauses bilden.</v>
      </c>
    </row>
    <row r="18562">
      <c r="A18562" s="4" t="s">
        <v>23345</v>
      </c>
      <c r="B18562" s="4" t="s">
        <v>23352</v>
      </c>
      <c r="C18562" s="5" t="str">
        <f>IFERROR(__xludf.DUMMYFUNCTION("GOOGLETRANSLATE(B18562,""en"",""de"")"),"Der Ausbilder erklärt den Zuschauern erneut den Prozess.")</f>
        <v>Der Ausbilder erklärt den Zuschauern erneut den Prozess.</v>
      </c>
    </row>
    <row r="18563">
      <c r="A18563" s="4" t="s">
        <v>23345</v>
      </c>
      <c r="B18563" s="4" t="s">
        <v>23353</v>
      </c>
      <c r="C18563" s="5" t="str">
        <f>IFERROR(__xludf.DUMMYFUNCTION("GOOGLETRANSLATE(B18563,""en"",""de"")"),"Die Szene ändert sich in einer seltsam aussehenden Statue in einer geschäftigen Stadt und endet mit einem Dank für die Nachricht.")</f>
        <v>Die Szene ändert sich in einer seltsam aussehenden Statue in einer geschäftigen Stadt und endet mit einem Dank für die Nachricht.</v>
      </c>
    </row>
    <row r="18564">
      <c r="A18564" s="4" t="s">
        <v>23354</v>
      </c>
      <c r="B18564" s="4" t="s">
        <v>23355</v>
      </c>
      <c r="C18564" s="5" t="str">
        <f>IFERROR(__xludf.DUMMYFUNCTION("GOOGLETRANSLATE(B18564,""en"",""de"")"),"Eine Frau in Dessous sitzt auf einer Couch, die in die Kamera winkt.")</f>
        <v>Eine Frau in Dessous sitzt auf einer Couch, die in die Kamera winkt.</v>
      </c>
    </row>
    <row r="18565">
      <c r="A18565" s="4" t="s">
        <v>23354</v>
      </c>
      <c r="B18565" s="4" t="s">
        <v>23356</v>
      </c>
      <c r="C18565" s="5" t="str">
        <f>IFERROR(__xludf.DUMMYFUNCTION("GOOGLETRANSLATE(B18565,""en"",""de"")"),"Sie öffnet eine Packung Zigaretten und leuchtet auf.")</f>
        <v>Sie öffnet eine Packung Zigaretten und leuchtet auf.</v>
      </c>
    </row>
    <row r="18566">
      <c r="A18566" s="4" t="s">
        <v>23354</v>
      </c>
      <c r="B18566" s="4" t="s">
        <v>23357</v>
      </c>
      <c r="C18566" s="5" t="str">
        <f>IFERROR(__xludf.DUMMYFUNCTION("GOOGLETRANSLATE(B18566,""en"",""de"")"),"Sie sitzt und raucht weiter, während sie in die Kamera schaut.")</f>
        <v>Sie sitzt und raucht weiter, während sie in die Kamera schaut.</v>
      </c>
    </row>
    <row r="18567">
      <c r="A18567" s="4" t="s">
        <v>23358</v>
      </c>
      <c r="B18567" s="4" t="s">
        <v>23359</v>
      </c>
      <c r="C18567" s="5" t="str">
        <f>IFERROR(__xludf.DUMMYFUNCTION("GOOGLETRANSLATE(B18567,""en"",""de"")"),"Eine Dame diskutiert, während er in einer Küche neben einem Waschbecken steht.")</f>
        <v>Eine Dame diskutiert, während er in einer Küche neben einem Waschbecken steht.</v>
      </c>
    </row>
    <row r="18568">
      <c r="A18568" s="4" t="s">
        <v>23358</v>
      </c>
      <c r="B18568" s="4" t="s">
        <v>23360</v>
      </c>
      <c r="C18568" s="5" t="str">
        <f>IFERROR(__xludf.DUMMYFUNCTION("GOOGLETRANSLATE(B18568,""en"",""de"")"),"Die Dame hält einen Schwamm, während das Waschwasser läuft.")</f>
        <v>Die Dame hält einen Schwamm, während das Waschwasser läuft.</v>
      </c>
    </row>
    <row r="18569">
      <c r="A18569" s="4" t="s">
        <v>23358</v>
      </c>
      <c r="B18569" s="4" t="s">
        <v>23361</v>
      </c>
      <c r="C18569" s="5" t="str">
        <f>IFERROR(__xludf.DUMMYFUNCTION("GOOGLETRANSLATE(B18569,""en"",""de"")"),"Die Dame tritt Geschirr in Seifenwasser ein.")</f>
        <v>Die Dame tritt Geschirr in Seifenwasser ein.</v>
      </c>
    </row>
    <row r="18570">
      <c r="A18570" s="4" t="s">
        <v>23362</v>
      </c>
      <c r="B18570" s="4" t="s">
        <v>23363</v>
      </c>
      <c r="C18570" s="5" t="str">
        <f>IFERROR(__xludf.DUMMYFUNCTION("GOOGLETRANSLATE(B18570,""en"",""de"")"),"Eine Frau in einem weißen Kleid tanzt draußen in der Nähe von Säulen und Bäumen.")</f>
        <v>Eine Frau in einem weißen Kleid tanzt draußen in der Nähe von Säulen und Bäumen.</v>
      </c>
    </row>
    <row r="18571">
      <c r="A18571" s="4" t="s">
        <v>23362</v>
      </c>
      <c r="B18571" s="4" t="s">
        <v>23364</v>
      </c>
      <c r="C18571" s="5" t="str">
        <f>IFERROR(__xludf.DUMMYFUNCTION("GOOGLETRANSLATE(B18571,""en"",""de"")"),"Die Frau schüttelt ihre Hüften, als sie tanzt.")</f>
        <v>Die Frau schüttelt ihre Hüften, als sie tanzt.</v>
      </c>
    </row>
    <row r="18572">
      <c r="A18572" s="4" t="s">
        <v>23362</v>
      </c>
      <c r="B18572" s="4" t="s">
        <v>23365</v>
      </c>
      <c r="C18572" s="5" t="str">
        <f>IFERROR(__xludf.DUMMYFUNCTION("GOOGLETRANSLATE(B18572,""en"",""de"")"),"Credits erscheinen auf dem Bildschirm.")</f>
        <v>Credits erscheinen auf dem Bildschirm.</v>
      </c>
    </row>
    <row r="18573">
      <c r="A18573" s="4" t="s">
        <v>23366</v>
      </c>
      <c r="B18573" s="4" t="s">
        <v>23367</v>
      </c>
      <c r="C18573" s="5" t="str">
        <f>IFERROR(__xludf.DUMMYFUNCTION("GOOGLETRANSLATE(B18573,""en"",""de"")"),"Es wird ein Schnapsglas gezeigt, gefüllt mit drei Farben Flüssigkeit.")</f>
        <v>Es wird ein Schnapsglas gezeigt, gefüllt mit drei Farben Flüssigkeit.</v>
      </c>
    </row>
    <row r="18574">
      <c r="A18574" s="4" t="s">
        <v>23366</v>
      </c>
      <c r="B18574" s="4" t="s">
        <v>23368</v>
      </c>
      <c r="C18574" s="5" t="str">
        <f>IFERROR(__xludf.DUMMYFUNCTION("GOOGLETRANSLATE(B18574,""en"",""de"")"),"Es werden mehrere Flaschen verschiedener farbiger Alkohole gezeigt.")</f>
        <v>Es werden mehrere Flaschen verschiedener farbiger Alkohole gezeigt.</v>
      </c>
    </row>
    <row r="18575">
      <c r="A18575" s="4" t="s">
        <v>23366</v>
      </c>
      <c r="B18575" s="4" t="s">
        <v>23369</v>
      </c>
      <c r="C18575" s="5" t="str">
        <f>IFERROR(__xludf.DUMMYFUNCTION("GOOGLETRANSLATE(B18575,""en"",""de"")"),"Die Flüssigkeiten werden nacheinander in die Brille gegossen und bilden das trikolierte Getränk.")</f>
        <v>Die Flüssigkeiten werden nacheinander in die Brille gegossen und bilden das trikolierte Getränk.</v>
      </c>
    </row>
    <row r="18576">
      <c r="A18576" s="4" t="s">
        <v>23370</v>
      </c>
      <c r="B18576" s="4" t="s">
        <v>23371</v>
      </c>
      <c r="C18576" s="5" t="str">
        <f>IFERROR(__xludf.DUMMYFUNCTION("GOOGLETRANSLATE(B18576,""en"",""de"")"),"Ein Mann im Hemd -Hemd tippt auf den Auslauf eines Glasbehälters, um es feucht zu machen.")</f>
        <v>Ein Mann im Hemd -Hemd tippt auf den Auslauf eines Glasbehälters, um es feucht zu machen.</v>
      </c>
    </row>
    <row r="18577">
      <c r="A18577" s="4" t="s">
        <v>23370</v>
      </c>
      <c r="B18577" s="4" t="s">
        <v>23372</v>
      </c>
      <c r="C18577" s="5" t="str">
        <f>IFERROR(__xludf.DUMMYFUNCTION("GOOGLETRANSLATE(B18577,""en"",""de"")"),"Der Mann benutzt sein Tuch um seinen Index und seine Mitte feiner, um einen Schuh zu polieren.")</f>
        <v>Der Mann benutzt sein Tuch um seinen Index und seine Mitte feiner, um einen Schuh zu polieren.</v>
      </c>
    </row>
    <row r="18578">
      <c r="A18578" s="4" t="s">
        <v>23370</v>
      </c>
      <c r="B18578" s="4" t="s">
        <v>23373</v>
      </c>
      <c r="C18578" s="5" t="str">
        <f>IFERROR(__xludf.DUMMYFUNCTION("GOOGLETRANSLATE(B18578,""en"",""de"")"),"Der Mann reibt sein Tuch in einer Schuhpolnienform für mehr Substanz.")</f>
        <v>Der Mann reibt sein Tuch in einer Schuhpolnienform für mehr Substanz.</v>
      </c>
    </row>
    <row r="18579">
      <c r="A18579" s="4" t="s">
        <v>23370</v>
      </c>
      <c r="B18579" s="4" t="s">
        <v>23374</v>
      </c>
      <c r="C18579" s="5" t="str">
        <f>IFERROR(__xludf.DUMMYFUNCTION("GOOGLETRANSLATE(B18579,""en"",""de"")"),"Der Mann poliert die Show weiterhin um den Zeh des Schuhs.")</f>
        <v>Der Mann poliert die Show weiterhin um den Zeh des Schuhs.</v>
      </c>
    </row>
    <row r="18580">
      <c r="A18580" s="4" t="s">
        <v>23370</v>
      </c>
      <c r="B18580" s="4" t="s">
        <v>23375</v>
      </c>
      <c r="C18580" s="5" t="str">
        <f>IFERROR(__xludf.DUMMYFUNCTION("GOOGLETRANSLATE(B18580,""en"",""de"")"),"Der Mann reibt erneut sein Tuch in der Dose, um mehr Politur zu erhalten.")</f>
        <v>Der Mann reibt erneut sein Tuch in der Dose, um mehr Politur zu erhalten.</v>
      </c>
    </row>
    <row r="18581">
      <c r="A18581" s="4" t="s">
        <v>23370</v>
      </c>
      <c r="B18581" s="4" t="s">
        <v>23376</v>
      </c>
      <c r="C18581" s="5" t="str">
        <f>IFERROR(__xludf.DUMMYFUNCTION("GOOGLETRANSLATE(B18581,""en"",""de"")"),"Der Mann poliert die Show in einer kreisförmigen Bewegung weiterhin um den Zeh des Schuhs in der Nähe des Zehs.")</f>
        <v>Der Mann poliert die Show in einer kreisförmigen Bewegung weiterhin um den Zeh des Schuhs in der Nähe des Zehs.</v>
      </c>
    </row>
    <row r="18582">
      <c r="A18582" s="4" t="s">
        <v>23377</v>
      </c>
      <c r="B18582" s="4" t="s">
        <v>23378</v>
      </c>
      <c r="C18582" s="5" t="str">
        <f>IFERROR(__xludf.DUMMYFUNCTION("GOOGLETRANSLATE(B18582,""en"",""de"")"),"Zwei Mädchen verhalten sich albern und werfen Schilder in eine Kamera.")</f>
        <v>Zwei Mädchen verhalten sich albern und werfen Schilder in eine Kamera.</v>
      </c>
    </row>
    <row r="18583">
      <c r="A18583" s="4" t="s">
        <v>23377</v>
      </c>
      <c r="B18583" s="4" t="s">
        <v>23379</v>
      </c>
      <c r="C18583" s="5" t="str">
        <f>IFERROR(__xludf.DUMMYFUNCTION("GOOGLETRANSLATE(B18583,""en"",""de"")"),"Sie wechseln sich dann ab, indem sie Wagenräder über den Rasen machen.")</f>
        <v>Sie wechseln sich dann ab, indem sie Wagenräder über den Rasen machen.</v>
      </c>
    </row>
    <row r="18584">
      <c r="A18584" s="4" t="s">
        <v>23377</v>
      </c>
      <c r="B18584" s="4" t="s">
        <v>23380</v>
      </c>
      <c r="C18584" s="5" t="str">
        <f>IFERROR(__xludf.DUMMYFUNCTION("GOOGLETRANSLATE(B18584,""en"",""de"")"),"Sie machen vorne und hinten Flips und rennen dann zur Kamera.")</f>
        <v>Sie machen vorne und hinten Flips und rennen dann zur Kamera.</v>
      </c>
    </row>
    <row r="18585">
      <c r="A18585" s="4" t="s">
        <v>23381</v>
      </c>
      <c r="B18585" s="4" t="s">
        <v>23382</v>
      </c>
      <c r="C18585" s="5" t="str">
        <f>IFERROR(__xludf.DUMMYFUNCTION("GOOGLETRANSLATE(B18585,""en"",""de"")"),"Ein Mann steht in einer Küche vor Zutaten und Werkzeugen zum Kochen.")</f>
        <v>Ein Mann steht in einer Küche vor Zutaten und Werkzeugen zum Kochen.</v>
      </c>
    </row>
    <row r="18586">
      <c r="A18586" s="4" t="s">
        <v>23381</v>
      </c>
      <c r="B18586" s="4" t="s">
        <v>23383</v>
      </c>
      <c r="C18586" s="5" t="str">
        <f>IFERROR(__xludf.DUMMYFUNCTION("GOOGLETRANSLATE(B18586,""en"",""de"")"),"Er zeigt, dass das Dressing auf einen Kohlsalat gegossen wird.")</f>
        <v>Er zeigt, dass das Dressing auf einen Kohlsalat gegossen wird.</v>
      </c>
    </row>
    <row r="18587">
      <c r="A18587" s="4" t="s">
        <v>23381</v>
      </c>
      <c r="B18587" s="4" t="s">
        <v>23384</v>
      </c>
      <c r="C18587" s="5" t="str">
        <f>IFERROR(__xludf.DUMMYFUNCTION("GOOGLETRANSLATE(B18587,""en"",""de"")"),"Er erklärt, wie man eine Melone schneidet und Scheiben schafft, die in seinen Salat gehen.")</f>
        <v>Er erklärt, wie man eine Melone schneidet und Scheiben schafft, die in seinen Salat gehen.</v>
      </c>
    </row>
    <row r="18588">
      <c r="A18588" s="4" t="s">
        <v>23381</v>
      </c>
      <c r="B18588" s="4" t="s">
        <v>23385</v>
      </c>
      <c r="C18588" s="5" t="str">
        <f>IFERROR(__xludf.DUMMYFUNCTION("GOOGLETRANSLATE(B18588,""en"",""de"")"),"Dann schlägt er eine Karotte und bewegt den Salat in eine Schüssel, bevor er ihn mit dem Anziehen träufelt.")</f>
        <v>Dann schlägt er eine Karotte und bewegt den Salat in eine Schüssel, bevor er ihn mit dem Anziehen träufelt.</v>
      </c>
    </row>
    <row r="18589">
      <c r="A18589" s="4" t="s">
        <v>23386</v>
      </c>
      <c r="B18589" s="4" t="s">
        <v>23387</v>
      </c>
      <c r="C18589" s="5" t="str">
        <f>IFERROR(__xludf.DUMMYFUNCTION("GOOGLETRANSLATE(B18589,""en"",""de"")"),"Ein schwarzer Bildschirm erscheint mit weißen Wörtern mit der Aufschrift ""GoPro Hero3+Black Make Everyday Tasks Fun"", die die Rasenmähung mäht: 1080p Superwide.")</f>
        <v>Ein schwarzer Bildschirm erscheint mit weißen Wörtern mit der Aufschrift "GoPro Hero3+Black Make Everyday Tasks Fun", die die Rasenmähung mäht: 1080p Superwide.</v>
      </c>
    </row>
    <row r="18590">
      <c r="A18590" s="4" t="s">
        <v>23386</v>
      </c>
      <c r="B18590" s="4" t="s">
        <v>23388</v>
      </c>
      <c r="C18590" s="5" t="str">
        <f>IFERROR(__xludf.DUMMYFUNCTION("GOOGLETRANSLATE(B18590,""en"",""de"")"),"Eine Aussicht von der Oberseite eines Rasenmähers zeigt eine Frau, die am Zuggriff des Rasenmähers zieht.")</f>
        <v>Eine Aussicht von der Oberseite eines Rasenmähers zeigt eine Frau, die am Zuggriff des Rasenmähers zieht.</v>
      </c>
    </row>
    <row r="18591">
      <c r="A18591" s="4" t="s">
        <v>23386</v>
      </c>
      <c r="B18591" s="4" t="s">
        <v>23389</v>
      </c>
      <c r="C18591" s="5" t="str">
        <f>IFERROR(__xludf.DUMMYFUNCTION("GOOGLETRANSLATE(B18591,""en"",""de"")"),"Die Aussicht wechselt auf den Blick auf den Rasenmäher und der Mäher bewegt sich entlang eines Hofes mit grünem Gras.")</f>
        <v>Die Aussicht wechselt auf den Blick auf den Rasenmäher und der Mäher bewegt sich entlang eines Hofes mit grünem Gras.</v>
      </c>
    </row>
    <row r="18592">
      <c r="A18592" s="4" t="s">
        <v>23386</v>
      </c>
      <c r="B18592" s="4" t="s">
        <v>23390</v>
      </c>
      <c r="C18592" s="5" t="str">
        <f>IFERROR(__xludf.DUMMYFUNCTION("GOOGLETRANSLATE(B18592,""en"",""de"")"),"Die Ansicht wechselt von der Rasenmäheransicht und der Ansicht der gesamten Frau, die den Rasen mäht.")</f>
        <v>Die Ansicht wechselt von der Rasenmäheransicht und der Ansicht der gesamten Frau, die den Rasen mäht.</v>
      </c>
    </row>
    <row r="18593">
      <c r="A18593" s="4" t="s">
        <v>23391</v>
      </c>
      <c r="B18593" s="4" t="s">
        <v>23392</v>
      </c>
      <c r="C18593" s="5" t="str">
        <f>IFERROR(__xludf.DUMMYFUNCTION("GOOGLETRANSLATE(B18593,""en"",""de"")"),"Eine große Gruppe von Menschen sitzt auf Fahrrädern, die miteinander trainieren.")</f>
        <v>Eine große Gruppe von Menschen sitzt auf Fahrrädern, die miteinander trainieren.</v>
      </c>
    </row>
    <row r="18594">
      <c r="A18594" s="4" t="s">
        <v>23391</v>
      </c>
      <c r="B18594" s="4" t="s">
        <v>23393</v>
      </c>
      <c r="C18594" s="5" t="str">
        <f>IFERROR(__xludf.DUMMYFUNCTION("GOOGLETRANSLATE(B18594,""en"",""de"")"),"Eine Frau spricht mit der Kamera, während mehr Aufnahmen von Menschen gezeigt werden.")</f>
        <v>Eine Frau spricht mit der Kamera, während mehr Aufnahmen von Menschen gezeigt werden.</v>
      </c>
    </row>
    <row r="18595">
      <c r="A18595" s="4" t="s">
        <v>23391</v>
      </c>
      <c r="B18595" s="4" t="s">
        <v>23394</v>
      </c>
      <c r="C18595" s="5" t="str">
        <f>IFERROR(__xludf.DUMMYFUNCTION("GOOGLETRANSLATE(B18595,""en"",""de"")"),"Eine Frau führt die Klasse an und spricht mit der Kamera und anderen an.")</f>
        <v>Eine Frau führt die Klasse an und spricht mit der Kamera und anderen an.</v>
      </c>
    </row>
    <row r="18596">
      <c r="A18596" s="4" t="s">
        <v>23395</v>
      </c>
      <c r="B18596" s="4" t="s">
        <v>23396</v>
      </c>
      <c r="C18596" s="5" t="str">
        <f>IFERROR(__xludf.DUMMYFUNCTION("GOOGLETRANSLATE(B18596,""en"",""de"")"),"Eine Hand zeigt ein gebogenes Klingenmesser, und dann zeigte er am Ende eine Eiswahl mit weißem Papier.")</f>
        <v>Eine Hand zeigt ein gebogenes Klingenmesser, und dann zeigte er am Ende eine Eiswahl mit weißem Papier.</v>
      </c>
    </row>
    <row r="18597">
      <c r="A18597" s="4" t="s">
        <v>23395</v>
      </c>
      <c r="B18597" s="4" t="s">
        <v>23397</v>
      </c>
      <c r="C18597" s="5" t="str">
        <f>IFERROR(__xludf.DUMMYFUNCTION("GOOGLETRANSLATE(B18597,""en"",""de"")"),"Der Mann warf die Klinge auf das Sperrholz, dann warf er die Eisauswahl.")</f>
        <v>Der Mann warf die Klinge auf das Sperrholz, dann warf er die Eisauswahl.</v>
      </c>
    </row>
    <row r="18598">
      <c r="A18598" s="4" t="s">
        <v>23398</v>
      </c>
      <c r="B18598" s="4" t="s">
        <v>23399</v>
      </c>
      <c r="C18598" s="5" t="str">
        <f>IFERROR(__xludf.DUMMYFUNCTION("GOOGLETRANSLATE(B18598,""en"",""de"")"),"Ein Junge legt frisch gebackene Kekse auf ein Kühlregal.")</f>
        <v>Ein Junge legt frisch gebackene Kekse auf ein Kühlregal.</v>
      </c>
    </row>
    <row r="18599">
      <c r="A18599" s="4" t="s">
        <v>23398</v>
      </c>
      <c r="B18599" s="4" t="s">
        <v>23400</v>
      </c>
      <c r="C18599" s="5" t="str">
        <f>IFERROR(__xludf.DUMMYFUNCTION("GOOGLETRANSLATE(B18599,""en"",""de"")"),"Man bleibt stecken und er leckt den Spatel.")</f>
        <v>Man bleibt stecken und er leckt den Spatel.</v>
      </c>
    </row>
    <row r="18600">
      <c r="A18600" s="4" t="s">
        <v>23401</v>
      </c>
      <c r="B18600" s="4" t="s">
        <v>23402</v>
      </c>
      <c r="C18600" s="5" t="str">
        <f>IFERROR(__xludf.DUMMYFUNCTION("GOOGLETRANSLATE(B18600,""en"",""de"")"),"Die Hand einer Person schiebt verschiedene Murmeln in eine lange Strecke und beobachtet, wo sie landet.")</f>
        <v>Die Hand einer Person schiebt verschiedene Murmeln in eine lange Strecke und beobachtet, wo sie landet.</v>
      </c>
    </row>
    <row r="18601">
      <c r="A18601" s="4" t="s">
        <v>23401</v>
      </c>
      <c r="B18601" s="4" t="s">
        <v>23403</v>
      </c>
      <c r="C18601" s="5" t="str">
        <f>IFERROR(__xludf.DUMMYFUNCTION("GOOGLETRANSLATE(B18601,""en"",""de"")"),"Sie schieben mehrere weitere Murmeln, während sich die Kamera nach oben und unten bewegt, um die Aktion zu fangen.")</f>
        <v>Sie schieben mehrere weitere Murmeln, während sich die Kamera nach oben und unten bewegt, um die Aktion zu fangen.</v>
      </c>
    </row>
    <row r="18602">
      <c r="A18602" s="4" t="s">
        <v>23404</v>
      </c>
      <c r="B18602" s="4" t="s">
        <v>23405</v>
      </c>
      <c r="C18602" s="5" t="str">
        <f>IFERROR(__xludf.DUMMYFUNCTION("GOOGLETRANSLATE(B18602,""en"",""de"")"),"Ein junger Mann spricht mit der Kamera und führt zu ihm und versucht, einen Rubix -Würfel zu lösen.")</f>
        <v>Ein junger Mann spricht mit der Kamera und führt zu ihm und versucht, einen Rubix -Würfel zu lösen.</v>
      </c>
    </row>
    <row r="18603">
      <c r="A18603" s="4" t="s">
        <v>23404</v>
      </c>
      <c r="B18603" s="4" t="s">
        <v>23406</v>
      </c>
      <c r="C18603" s="5" t="str">
        <f>IFERROR(__xludf.DUMMYFUNCTION("GOOGLETRANSLATE(B18603,""en"",""de"")"),"Der Junge löst dann den Würfel und schwenkt die Kamera zurück, um seine Zeit zu zeigen.")</f>
        <v>Der Junge löst dann den Würfel und schwenkt die Kamera zurück, um seine Zeit zu zeigen.</v>
      </c>
    </row>
    <row r="18604">
      <c r="A18604" s="4" t="s">
        <v>23407</v>
      </c>
      <c r="B18604" s="4" t="s">
        <v>23408</v>
      </c>
      <c r="C18604" s="5" t="str">
        <f>IFERROR(__xludf.DUMMYFUNCTION("GOOGLETRANSLATE(B18604,""en"",""de"")"),"Ein Mann wird gesehen, wie er eine Shisha benutzt und Rauch in die Luft bläst und führt in ihn, um Tabak zu kratzen und herumzufahren.")</f>
        <v>Ein Mann wird gesehen, wie er eine Shisha benutzt und Rauch in die Luft bläst und führt in ihn, um Tabak zu kratzen und herumzufahren.</v>
      </c>
    </row>
    <row r="18605">
      <c r="A18605" s="4" t="s">
        <v>23407</v>
      </c>
      <c r="B18605" s="4" t="s">
        <v>23409</v>
      </c>
      <c r="C18605" s="5" t="str">
        <f>IFERROR(__xludf.DUMMYFUNCTION("GOOGLETRANSLATE(B18605,""en"",""de"")"),"Er spricht mit der Kamera und schwenkt zurück zu einer Shisha und beginnt, daraus zu rauchen.")</f>
        <v>Er spricht mit der Kamera und schwenkt zurück zu einer Shisha und beginnt, daraus zu rauchen.</v>
      </c>
    </row>
    <row r="18606">
      <c r="A18606" s="4" t="s">
        <v>23410</v>
      </c>
      <c r="B18606" s="4" t="s">
        <v>23411</v>
      </c>
      <c r="C18606" s="5" t="str">
        <f>IFERROR(__xludf.DUMMYFUNCTION("GOOGLETRANSLATE(B18606,""en"",""de"")"),"Ein Mann steht in einem Schuppen hinter einem Handwerkstisch, der mit der Kamera spricht.")</f>
        <v>Ein Mann steht in einem Schuppen hinter einem Handwerkstisch, der mit der Kamera spricht.</v>
      </c>
    </row>
    <row r="18607">
      <c r="A18607" s="4" t="s">
        <v>23410</v>
      </c>
      <c r="B18607" s="4" t="s">
        <v>23412</v>
      </c>
      <c r="C18607" s="5" t="str">
        <f>IFERROR(__xludf.DUMMYFUNCTION("GOOGLETRANSLATE(B18607,""en"",""de"")"),"Als nächstes geht ein Mann in einer Marineuniform die Straße entlang und landet mit dem Mann in den Raum.")</f>
        <v>Als nächstes geht ein Mann in einer Marineuniform die Straße entlang und landet mit dem Mann in den Raum.</v>
      </c>
    </row>
    <row r="18608">
      <c r="A18608" s="4" t="s">
        <v>23410</v>
      </c>
      <c r="B18608" s="4" t="s">
        <v>23413</v>
      </c>
      <c r="C18608" s="5" t="str">
        <f>IFERROR(__xludf.DUMMYFUNCTION("GOOGLETRANSLATE(B18608,""en"",""de"")"),"Die beiden beginnen, ein Paar Stiefel zusammen mit einem weißen Tuch und einem grünen Pinsel zu polieren.")</f>
        <v>Die beiden beginnen, ein Paar Stiefel zusammen mit einem weißen Tuch und einem grünen Pinsel zu polieren.</v>
      </c>
    </row>
    <row r="18609">
      <c r="A18609" s="4" t="s">
        <v>23410</v>
      </c>
      <c r="B18609" s="4" t="s">
        <v>23414</v>
      </c>
      <c r="C18609" s="5" t="str">
        <f>IFERROR(__xludf.DUMMYFUNCTION("GOOGLETRANSLATE(B18609,""en"",""de"")"),"Nach dem Ende erhält der Mann im grünen Hemd einen Patch und ein Spitzenbildschirm kommt auf den Bildschirm, um sich richtig um Ihre Stiefel zu kümmern.")</f>
        <v>Nach dem Ende erhält der Mann im grünen Hemd einen Patch und ein Spitzenbildschirm kommt auf den Bildschirm, um sich richtig um Ihre Stiefel zu kümmern.</v>
      </c>
    </row>
    <row r="18610">
      <c r="A18610" s="4" t="s">
        <v>23415</v>
      </c>
      <c r="B18610" s="4" t="s">
        <v>1251</v>
      </c>
      <c r="C18610" s="5" t="str">
        <f>IFERROR(__xludf.DUMMYFUNCTION("GOOGLETRANSLATE(B18610,""en"",""de"")"),"Die Credits des Clips werden angezeigt.")</f>
        <v>Die Credits des Clips werden angezeigt.</v>
      </c>
    </row>
    <row r="18611">
      <c r="A18611" s="4" t="s">
        <v>23415</v>
      </c>
      <c r="B18611" s="4" t="s">
        <v>23416</v>
      </c>
      <c r="C18611" s="5" t="str">
        <f>IFERROR(__xludf.DUMMYFUNCTION("GOOGLETRANSLATE(B18611,""en"",""de"")"),"Menschen radeln einen Weg.")</f>
        <v>Menschen radeln einen Weg.</v>
      </c>
    </row>
    <row r="18612">
      <c r="A18612" s="4" t="s">
        <v>23415</v>
      </c>
      <c r="B18612" s="4" t="s">
        <v>23417</v>
      </c>
      <c r="C18612" s="5" t="str">
        <f>IFERROR(__xludf.DUMMYFUNCTION("GOOGLETRANSLATE(B18612,""en"",""de"")"),"Eine Person versucht ein Feuer zu beginnen.")</f>
        <v>Eine Person versucht ein Feuer zu beginnen.</v>
      </c>
    </row>
    <row r="18613">
      <c r="A18613" s="4" t="s">
        <v>23415</v>
      </c>
      <c r="B18613" s="4" t="s">
        <v>23418</v>
      </c>
      <c r="C18613" s="5" t="str">
        <f>IFERROR(__xludf.DUMMYFUNCTION("GOOGLETRANSLATE(B18613,""en"",""de"")"),"Die Person füttert das Feuer und bewegt es in ein Loch.")</f>
        <v>Die Person füttert das Feuer und bewegt es in ein Loch.</v>
      </c>
    </row>
    <row r="18614">
      <c r="A18614" s="4" t="s">
        <v>23415</v>
      </c>
      <c r="B18614" s="4" t="s">
        <v>573</v>
      </c>
      <c r="C18614" s="5" t="str">
        <f>IFERROR(__xludf.DUMMYFUNCTION("GOOGLETRANSLATE(B18614,""en"",""de"")"),"Die Credits des Videos werden angezeigt.")</f>
        <v>Die Credits des Videos werden angezeigt.</v>
      </c>
    </row>
    <row r="18615">
      <c r="A18615" s="4" t="s">
        <v>23419</v>
      </c>
      <c r="B18615" s="4" t="s">
        <v>23420</v>
      </c>
      <c r="C18615" s="5" t="str">
        <f>IFERROR(__xludf.DUMMYFUNCTION("GOOGLETRANSLATE(B18615,""en"",""de"")"),"Ein Mädchen in einem Kleid überquert Affenbars.")</f>
        <v>Ein Mädchen in einem Kleid überquert Affenbars.</v>
      </c>
    </row>
    <row r="18616">
      <c r="A18616" s="4" t="s">
        <v>23419</v>
      </c>
      <c r="B18616" s="4" t="s">
        <v>23421</v>
      </c>
      <c r="C18616" s="5" t="str">
        <f>IFERROR(__xludf.DUMMYFUNCTION("GOOGLETRANSLATE(B18616,""en"",""de"")"),"Sie kommt zum Ende und tritt auf einen Felsen.")</f>
        <v>Sie kommt zum Ende und tritt auf einen Felsen.</v>
      </c>
    </row>
    <row r="18617">
      <c r="A18617" s="4" t="s">
        <v>23419</v>
      </c>
      <c r="B18617" s="4" t="s">
        <v>23422</v>
      </c>
      <c r="C18617" s="5" t="str">
        <f>IFERROR(__xludf.DUMMYFUNCTION("GOOGLETRANSLATE(B18617,""en"",""de"")"),"Ein Junge in einem blauen Hemd steht hinter ihr.")</f>
        <v>Ein Junge in einem blauen Hemd steht hinter ihr.</v>
      </c>
    </row>
    <row r="18618">
      <c r="A18618" s="4" t="s">
        <v>23423</v>
      </c>
      <c r="B18618" s="4" t="s">
        <v>23424</v>
      </c>
      <c r="C18618" s="5" t="str">
        <f>IFERROR(__xludf.DUMMYFUNCTION("GOOGLETRANSLATE(B18618,""en"",""de"")"),"Ein Vater und eine Tochter spielen Hop Scotch auf ihrer gefliesten Veranda.")</f>
        <v>Ein Vater und eine Tochter spielen Hop Scotch auf ihrer gefliesten Veranda.</v>
      </c>
    </row>
    <row r="18619">
      <c r="A18619" s="4" t="s">
        <v>23423</v>
      </c>
      <c r="B18619" s="4" t="s">
        <v>23425</v>
      </c>
      <c r="C18619" s="5" t="str">
        <f>IFERROR(__xludf.DUMMYFUNCTION("GOOGLETRANSLATE(B18619,""en"",""de"")"),"Das Mädchen trägt ein blaues ärmelloses Hemd und Shorts und der Vater trägt ein graues Hemd und Shorts.")</f>
        <v>Das Mädchen trägt ein blaues ärmelloses Hemd und Shorts und der Vater trägt ein graues Hemd und Shorts.</v>
      </c>
    </row>
    <row r="18620">
      <c r="A18620" s="4" t="s">
        <v>23423</v>
      </c>
      <c r="B18620" s="4" t="s">
        <v>23426</v>
      </c>
      <c r="C18620" s="5" t="str">
        <f>IFERROR(__xludf.DUMMYFUNCTION("GOOGLETRANSLATE(B18620,""en"",""de"")"),"Sie wechseln sich ab, um auf die Quadrate zu springen.")</f>
        <v>Sie wechseln sich ab, um auf die Quadrate zu springen.</v>
      </c>
    </row>
    <row r="18621">
      <c r="A18621" s="4" t="s">
        <v>23423</v>
      </c>
      <c r="B18621" s="4" t="s">
        <v>23427</v>
      </c>
      <c r="C18621" s="5" t="str">
        <f>IFERROR(__xludf.DUMMYFUNCTION("GOOGLETRANSLATE(B18621,""en"",""de"")"),"Dann wird ihr kleines Mädchen von ihrer Mutter begleitet, die auf die Quadrate hüpft.")</f>
        <v>Dann wird ihr kleines Mädchen von ihrer Mutter begleitet, die auf die Quadrate hüpft.</v>
      </c>
    </row>
    <row r="18622">
      <c r="A18622" s="4" t="s">
        <v>23423</v>
      </c>
      <c r="B18622" s="4" t="s">
        <v>23428</v>
      </c>
      <c r="C18622" s="5" t="str">
        <f>IFERROR(__xludf.DUMMYFUNCTION("GOOGLETRANSLATE(B18622,""en"",""de"")"),"Sie gibt der Tochter eine hohe fünf.")</f>
        <v>Sie gibt der Tochter eine hohe fünf.</v>
      </c>
    </row>
    <row r="18623">
      <c r="A18623" s="4" t="s">
        <v>23423</v>
      </c>
      <c r="B18623" s="4" t="s">
        <v>23429</v>
      </c>
      <c r="C18623" s="5" t="str">
        <f>IFERROR(__xludf.DUMMYFUNCTION("GOOGLETRANSLATE(B18623,""en"",""de"")"),"Dann beginnt das Mädchen über die Quadrate zu springen und zu springen.")</f>
        <v>Dann beginnt das Mädchen über die Quadrate zu springen und zu springen.</v>
      </c>
    </row>
    <row r="18624">
      <c r="A18624" s="4" t="s">
        <v>23430</v>
      </c>
      <c r="B18624" s="4" t="s">
        <v>23431</v>
      </c>
      <c r="C18624" s="5" t="str">
        <f>IFERROR(__xludf.DUMMYFUNCTION("GOOGLETRANSLATE(B18624,""en"",""de"")"),"Ein Mann steht vor einem Waschbecken.")</f>
        <v>Ein Mann steht vor einem Waschbecken.</v>
      </c>
    </row>
    <row r="18625">
      <c r="A18625" s="4" t="s">
        <v>23430</v>
      </c>
      <c r="B18625" s="4" t="s">
        <v>23432</v>
      </c>
      <c r="C18625" s="5" t="str">
        <f>IFERROR(__xludf.DUMMYFUNCTION("GOOGLETRANSLATE(B18625,""en"",""de"")"),"Dann legt der Mann Seife auf ein Tuch.")</f>
        <v>Dann legt der Mann Seife auf ein Tuch.</v>
      </c>
    </row>
    <row r="18626">
      <c r="A18626" s="4" t="s">
        <v>23430</v>
      </c>
      <c r="B18626" s="4" t="s">
        <v>23433</v>
      </c>
      <c r="C18626" s="5" t="str">
        <f>IFERROR(__xludf.DUMMYFUNCTION("GOOGLETRANSLATE(B18626,""en"",""de"")"),"Danach wäscht der Mann den Topf draußen und innen.")</f>
        <v>Danach wäscht der Mann den Topf draußen und innen.</v>
      </c>
    </row>
    <row r="18627">
      <c r="A18627" s="4" t="s">
        <v>23430</v>
      </c>
      <c r="B18627" s="4" t="s">
        <v>23434</v>
      </c>
      <c r="C18627" s="5" t="str">
        <f>IFERROR(__xludf.DUMMYFUNCTION("GOOGLETRANSLATE(B18627,""en"",""de"")"),"Als nächstes dreht sich der Mann und trocknet seine Hände.")</f>
        <v>Als nächstes dreht sich der Mann und trocknet seine Hände.</v>
      </c>
    </row>
    <row r="18628">
      <c r="A18628" s="4" t="s">
        <v>23435</v>
      </c>
      <c r="B18628" s="4" t="s">
        <v>23436</v>
      </c>
      <c r="C18628" s="5" t="str">
        <f>IFERROR(__xludf.DUMMYFUNCTION("GOOGLETRANSLATE(B18628,""en"",""de"")"),"Das Wort Funkin ist auf dem Bildschirm und darunter steht Bacardi Cocktail.")</f>
        <v>Das Wort Funkin ist auf dem Bildschirm und darunter steht Bacardi Cocktail.</v>
      </c>
    </row>
    <row r="18629">
      <c r="A18629" s="4" t="s">
        <v>23435</v>
      </c>
      <c r="B18629" s="4" t="s">
        <v>23437</v>
      </c>
      <c r="C18629" s="5" t="str">
        <f>IFERROR(__xludf.DUMMYFUNCTION("GOOGLETRANSLATE(B18629,""en"",""de"")"),"Ein Mann in einem Funkin -Hemd spricht darüber und zeigt, wie man den Bacardi -Cocktail hinter einer Bar macht.")</f>
        <v>Ein Mann in einem Funkin -Hemd spricht darüber und zeigt, wie man den Bacardi -Cocktail hinter einer Bar macht.</v>
      </c>
    </row>
    <row r="18630">
      <c r="A18630" s="4" t="s">
        <v>23435</v>
      </c>
      <c r="B18630" s="4" t="s">
        <v>23438</v>
      </c>
      <c r="C18630" s="5" t="str">
        <f>IFERROR(__xludf.DUMMYFUNCTION("GOOGLETRANSLATE(B18630,""en"",""de"")"),"Der Mann zeigt den Leuten, wie man in einem Martini -Glas etwas trinkt.")</f>
        <v>Der Mann zeigt den Leuten, wie man in einem Martini -Glas etwas trinkt.</v>
      </c>
    </row>
    <row r="18631">
      <c r="A18631" s="4" t="s">
        <v>23435</v>
      </c>
      <c r="B18631" s="4" t="s">
        <v>23439</v>
      </c>
      <c r="C18631" s="5" t="str">
        <f>IFERROR(__xludf.DUMMYFUNCTION("GOOGLETRANSLATE(B18631,""en"",""de"")"),"Der Mann steckt Zutaten in ein normales Glas und zeigt die Flaschen mit Zutaten, die er verwendet.")</f>
        <v>Der Mann steckt Zutaten in ein normales Glas und zeigt die Flaschen mit Zutaten, die er verwendet.</v>
      </c>
    </row>
    <row r="18632">
      <c r="A18632" s="4" t="s">
        <v>23435</v>
      </c>
      <c r="B18632" s="4" t="s">
        <v>23440</v>
      </c>
      <c r="C18632" s="5" t="str">
        <f>IFERROR(__xludf.DUMMYFUNCTION("GOOGLETRANSLATE(B18632,""en"",""de"")"),"Das Wort Funkin ist auf dem Bildschirm.")</f>
        <v>Das Wort Funkin ist auf dem Bildschirm.</v>
      </c>
    </row>
    <row r="18633">
      <c r="A18633" s="4" t="s">
        <v>23441</v>
      </c>
      <c r="B18633" s="4" t="s">
        <v>23442</v>
      </c>
      <c r="C18633" s="5" t="str">
        <f>IFERROR(__xludf.DUMMYFUNCTION("GOOGLETRANSLATE(B18633,""en"",""de"")"),"Ein Mann steht in einem rustikalen Wohnzimmer und spielt in seinen Socken einen Dudelsack.")</f>
        <v>Ein Mann steht in einem rustikalen Wohnzimmer und spielt in seinen Socken einen Dudelsack.</v>
      </c>
    </row>
    <row r="18634">
      <c r="A18634" s="4" t="s">
        <v>23441</v>
      </c>
      <c r="B18634" s="4" t="s">
        <v>23443</v>
      </c>
      <c r="C18634" s="5" t="str">
        <f>IFERROR(__xludf.DUMMYFUNCTION("GOOGLETRANSLATE(B18634,""en"",""de"")"),"Wir sehen einen Mann, der seinen Fuß klopft, während er spielt.")</f>
        <v>Wir sehen einen Mann, der seinen Fuß klopft, während er spielt.</v>
      </c>
    </row>
    <row r="18635">
      <c r="A18635" s="4" t="s">
        <v>23441</v>
      </c>
      <c r="B18635" s="4" t="s">
        <v>23444</v>
      </c>
      <c r="C18635" s="5" t="str">
        <f>IFERROR(__xludf.DUMMYFUNCTION("GOOGLETRANSLATE(B18635,""en"",""de"")"),"Der Mann wechselt zu seinem anderen Fuß.")</f>
        <v>Der Mann wechselt zu seinem anderen Fuß.</v>
      </c>
    </row>
    <row r="18636">
      <c r="A18636" s="4" t="s">
        <v>23441</v>
      </c>
      <c r="B18636" s="4" t="s">
        <v>23445</v>
      </c>
      <c r="C18636" s="5" t="str">
        <f>IFERROR(__xludf.DUMMYFUNCTION("GOOGLETRANSLATE(B18636,""en"",""de"")"),"Der Mann beendet das Spielen und wischt sich das Gesicht ab.")</f>
        <v>Der Mann beendet das Spielen und wischt sich das Gesicht ab.</v>
      </c>
    </row>
    <row r="18637">
      <c r="A18637" s="4" t="s">
        <v>23446</v>
      </c>
      <c r="B18637" s="4" t="s">
        <v>23447</v>
      </c>
      <c r="C18637" s="5" t="str">
        <f>IFERROR(__xludf.DUMMYFUNCTION("GOOGLETRANSLATE(B18637,""en"",""de"")"),"Eine Gruppe älterer Menschen sitzt in einem Bus, der miteinander spricht.")</f>
        <v>Eine Gruppe älterer Menschen sitzt in einem Bus, der miteinander spricht.</v>
      </c>
    </row>
    <row r="18638">
      <c r="A18638" s="4" t="s">
        <v>23446</v>
      </c>
      <c r="B18638" s="4" t="s">
        <v>23448</v>
      </c>
      <c r="C18638" s="5" t="str">
        <f>IFERROR(__xludf.DUMMYFUNCTION("GOOGLETRANSLATE(B18638,""en"",""de"")"),"Die Kamera schwenkt um den Bus, um mehr Menschen zu zeigen, die sitzen und sprechen.")</f>
        <v>Die Kamera schwenkt um den Bus, um mehr Menschen zu zeigen, die sitzen und sprechen.</v>
      </c>
    </row>
    <row r="18639">
      <c r="A18639" s="4" t="s">
        <v>23446</v>
      </c>
      <c r="B18639" s="4" t="s">
        <v>23449</v>
      </c>
      <c r="C18639" s="5" t="str">
        <f>IFERROR(__xludf.DUMMYFUNCTION("GOOGLETRANSLATE(B18639,""en"",""de"")"),"Eine Frau wird gesehen, wie er mit einem Mann neben ihr spricht, während er strickt.")</f>
        <v>Eine Frau wird gesehen, wie er mit einem Mann neben ihr spricht, während er strickt.</v>
      </c>
    </row>
    <row r="18640">
      <c r="A18640" s="4" t="s">
        <v>23450</v>
      </c>
      <c r="B18640" s="4" t="s">
        <v>1251</v>
      </c>
      <c r="C18640" s="5" t="str">
        <f>IFERROR(__xludf.DUMMYFUNCTION("GOOGLETRANSLATE(B18640,""en"",""de"")"),"Die Credits des Clips werden angezeigt.")</f>
        <v>Die Credits des Clips werden angezeigt.</v>
      </c>
    </row>
    <row r="18641">
      <c r="A18641" s="4" t="s">
        <v>23450</v>
      </c>
      <c r="B18641" s="4" t="s">
        <v>23451</v>
      </c>
      <c r="C18641" s="5" t="str">
        <f>IFERROR(__xludf.DUMMYFUNCTION("GOOGLETRANSLATE(B18641,""en"",""de"")"),"Jungs tanzen auf einer Bühne vor dem Publikum.")</f>
        <v>Jungs tanzen auf einer Bühne vor dem Publikum.</v>
      </c>
    </row>
    <row r="18642">
      <c r="A18642" s="4" t="s">
        <v>23450</v>
      </c>
      <c r="B18642" s="4" t="s">
        <v>23452</v>
      </c>
      <c r="C18642" s="5" t="str">
        <f>IFERROR(__xludf.DUMMYFUNCTION("GOOGLETRANSLATE(B18642,""en"",""de"")"),"Ein Mann bricht direkt von der Bühne und verlässt.")</f>
        <v>Ein Mann bricht direkt von der Bühne und verlässt.</v>
      </c>
    </row>
    <row r="18643">
      <c r="A18643" s="4" t="s">
        <v>23450</v>
      </c>
      <c r="B18643" s="4" t="s">
        <v>573</v>
      </c>
      <c r="C18643" s="5" t="str">
        <f>IFERROR(__xludf.DUMMYFUNCTION("GOOGLETRANSLATE(B18643,""en"",""de"")"),"Die Credits des Videos werden angezeigt.")</f>
        <v>Die Credits des Videos werden angezeigt.</v>
      </c>
    </row>
    <row r="18644">
      <c r="A18644" s="4" t="s">
        <v>23453</v>
      </c>
      <c r="B18644" s="4" t="s">
        <v>23454</v>
      </c>
      <c r="C18644" s="5" t="str">
        <f>IFERROR(__xludf.DUMMYFUNCTION("GOOGLETRANSLATE(B18644,""en"",""de"")"),"Eine Gruppe von Mädchen tanzt auf einem Felsvorsprung.")</f>
        <v>Eine Gruppe von Mädchen tanzt auf einem Felsvorsprung.</v>
      </c>
    </row>
    <row r="18645">
      <c r="A18645" s="4" t="s">
        <v>23453</v>
      </c>
      <c r="B18645" s="4" t="s">
        <v>23455</v>
      </c>
      <c r="C18645" s="5" t="str">
        <f>IFERROR(__xludf.DUMMYFUNCTION("GOOGLETRANSLATE(B18645,""en"",""de"")"),"Jedes Mädchen tanzt anmutig auf dem Sims.")</f>
        <v>Jedes Mädchen tanzt anmutig auf dem Sims.</v>
      </c>
    </row>
    <row r="18646">
      <c r="A18646" s="4" t="s">
        <v>23453</v>
      </c>
      <c r="B18646" s="4" t="s">
        <v>23456</v>
      </c>
      <c r="C18646" s="5" t="str">
        <f>IFERROR(__xludf.DUMMYFUNCTION("GOOGLETRANSLATE(B18646,""en"",""de"")"),"Der Bildschirm verblasst schwarz.")</f>
        <v>Der Bildschirm verblasst schwarz.</v>
      </c>
    </row>
    <row r="18647">
      <c r="A18647" s="4" t="s">
        <v>23457</v>
      </c>
      <c r="B18647" s="4" t="s">
        <v>23458</v>
      </c>
      <c r="C18647" s="5" t="str">
        <f>IFERROR(__xludf.DUMMYFUNCTION("GOOGLETRANSLATE(B18647,""en"",""de"")"),"Wir sehen Leute, die an Trainingsschritten in einer Aerobic -Klasse arbeiten.")</f>
        <v>Wir sehen Leute, die an Trainingsschritten in einer Aerobic -Klasse arbeiten.</v>
      </c>
    </row>
    <row r="18648">
      <c r="A18648" s="4" t="s">
        <v>23457</v>
      </c>
      <c r="B18648" s="4" t="s">
        <v>23459</v>
      </c>
      <c r="C18648" s="5" t="str">
        <f>IFERROR(__xludf.DUMMYFUNCTION("GOOGLETRANSLATE(B18648,""en"",""de"")"),"Der Anführer legt ihre Hand in die Luft.")</f>
        <v>Der Anführer legt ihre Hand in die Luft.</v>
      </c>
    </row>
    <row r="18649">
      <c r="A18649" s="4" t="s">
        <v>23457</v>
      </c>
      <c r="B18649" s="4" t="s">
        <v>23460</v>
      </c>
      <c r="C18649" s="5" t="str">
        <f>IFERROR(__xludf.DUMMYFUNCTION("GOOGLETRANSLATE(B18649,""en"",""de"")"),"Die Dame nach hinten nach links geht es verloren und hört auf.")</f>
        <v>Die Dame nach hinten nach links geht es verloren und hört auf.</v>
      </c>
    </row>
    <row r="18650">
      <c r="A18650" s="4" t="s">
        <v>23457</v>
      </c>
      <c r="B18650" s="4" t="s">
        <v>23461</v>
      </c>
      <c r="C18650" s="5" t="str">
        <f>IFERROR(__xludf.DUMMYFUNCTION("GOOGLETRANSLATE(B18650,""en"",""de"")"),"Heck rechts verliert sich und wirft ihre Arme aus.")</f>
        <v>Heck rechts verliert sich und wirft ihre Arme aus.</v>
      </c>
    </row>
    <row r="18651">
      <c r="A18651" s="4" t="s">
        <v>23457</v>
      </c>
      <c r="B18651" s="4" t="s">
        <v>23462</v>
      </c>
      <c r="C18651" s="5" t="str">
        <f>IFERROR(__xludf.DUMMYFUNCTION("GOOGLETRANSLATE(B18651,""en"",""de"")"),"Der Armlehrer ist wieder in der Luft.")</f>
        <v>Der Armlehrer ist wieder in der Luft.</v>
      </c>
    </row>
    <row r="18652">
      <c r="A18652" s="4" t="s">
        <v>23457</v>
      </c>
      <c r="B18652" s="4" t="s">
        <v>23463</v>
      </c>
      <c r="C18652" s="5" t="str">
        <f>IFERROR(__xludf.DUMMYFUNCTION("GOOGLETRANSLATE(B18652,""en"",""de"")"),"Die zweite Dame auf dem rechten hört es zu.")</f>
        <v>Die zweite Dame auf dem rechten hört es zu.</v>
      </c>
    </row>
    <row r="18653">
      <c r="A18653" s="4" t="s">
        <v>23464</v>
      </c>
      <c r="B18653" s="4" t="s">
        <v>23465</v>
      </c>
      <c r="C18653" s="5" t="str">
        <f>IFERROR(__xludf.DUMMYFUNCTION("GOOGLETRANSLATE(B18653,""en"",""de"")"),"Zwei Menschen sind auf einem Boot und machen sich bereit, in den Ozean zu tauchen.")</f>
        <v>Zwei Menschen sind auf einem Boot und machen sich bereit, in den Ozean zu tauchen.</v>
      </c>
    </row>
    <row r="18654">
      <c r="A18654" s="4" t="s">
        <v>23464</v>
      </c>
      <c r="B18654" s="4" t="s">
        <v>23466</v>
      </c>
      <c r="C18654" s="5" t="str">
        <f>IFERROR(__xludf.DUMMYFUNCTION("GOOGLETRANSLATE(B18654,""en"",""de"")"),"Sie tauchen ein und können alle schönen Korallen betrachten und Fische und andere Dinge sehen.")</f>
        <v>Sie tauchen ein und können alle schönen Korallen betrachten und Fische und andere Dinge sehen.</v>
      </c>
    </row>
    <row r="18655">
      <c r="A18655" s="4" t="s">
        <v>23464</v>
      </c>
      <c r="B18655" s="4" t="s">
        <v>23467</v>
      </c>
      <c r="C18655" s="5" t="str">
        <f>IFERROR(__xludf.DUMMYFUNCTION("GOOGLETRANSLATE(B18655,""en"",""de"")"),"Sie finden ein Cockpit, das sie zu beobachten und sich umzusehen, auch in einen Quallenfisch.")</f>
        <v>Sie finden ein Cockpit, das sie zu beobachten und sich umzusehen, auch in einen Quallenfisch.</v>
      </c>
    </row>
    <row r="18656">
      <c r="A18656" s="4" t="s">
        <v>23464</v>
      </c>
      <c r="B18656" s="4" t="s">
        <v>23468</v>
      </c>
      <c r="C18656" s="5" t="str">
        <f>IFERROR(__xludf.DUMMYFUNCTION("GOOGLETRANSLATE(B18656,""en"",""de"")"),"Sie beginnen, die Außenseite des Flugzeugs zu erforschen, wo sie auch mehr Fische und andere Meeresleben um ihn herum sehen können.")</f>
        <v>Sie beginnen, die Außenseite des Flugzeugs zu erforschen, wo sie auch mehr Fische und andere Meeresleben um ihn herum sehen können.</v>
      </c>
    </row>
    <row r="18657">
      <c r="A18657" s="4" t="s">
        <v>23469</v>
      </c>
      <c r="B18657" s="4" t="s">
        <v>23470</v>
      </c>
      <c r="C18657" s="5" t="str">
        <f>IFERROR(__xludf.DUMMYFUNCTION("GOOGLETRANSLATE(B18657,""en"",""de"")"),"Ein Mädchen in einem orangefarbenen Hemd nimmt einen Mundwäsche.")</f>
        <v>Ein Mädchen in einem orangefarbenen Hemd nimmt einen Mundwäsche.</v>
      </c>
    </row>
    <row r="18658">
      <c r="A18658" s="4" t="s">
        <v>23469</v>
      </c>
      <c r="B18658" s="4" t="s">
        <v>23471</v>
      </c>
      <c r="C18658" s="5" t="str">
        <f>IFERROR(__xludf.DUMMYFUNCTION("GOOGLETRANSLATE(B18658,""en"",""de"")"),"Sie wischt es in ihrem Mund herum und spuckt es in ein Waschbecken aus.")</f>
        <v>Sie wischt es in ihrem Mund herum und spuckt es in ein Waschbecken aus.</v>
      </c>
    </row>
    <row r="18659">
      <c r="A18659" s="4" t="s">
        <v>23472</v>
      </c>
      <c r="B18659" s="4" t="s">
        <v>23473</v>
      </c>
      <c r="C18659" s="5" t="str">
        <f>IFERROR(__xludf.DUMMYFUNCTION("GOOGLETRANSLATE(B18659,""en"",""de"")"),"Es gibt eine Dame, die ein Tutorial über das Waschen der Hände in ihrer Küche macht.")</f>
        <v>Es gibt eine Dame, die ein Tutorial über das Waschen der Hände in ihrer Küche macht.</v>
      </c>
    </row>
    <row r="18660">
      <c r="A18660" s="4" t="s">
        <v>23472</v>
      </c>
      <c r="B18660" s="4" t="s">
        <v>23474</v>
      </c>
      <c r="C18660" s="5" t="str">
        <f>IFERROR(__xludf.DUMMYFUNCTION("GOOGLETRANSLATE(B18660,""en"",""de"")"),"Sie geht zum Waschbecken und schaltet den Wasserhahn ein.")</f>
        <v>Sie geht zum Waschbecken und schaltet den Wasserhahn ein.</v>
      </c>
    </row>
    <row r="18661">
      <c r="A18661" s="4" t="s">
        <v>23472</v>
      </c>
      <c r="B18661" s="4" t="s">
        <v>23475</v>
      </c>
      <c r="C18661" s="5" t="str">
        <f>IFERROR(__xludf.DUMMYFUNCTION("GOOGLETRANSLATE(B18661,""en"",""de"")"),"Dann nimmt sie eine flüssige Seife in die Hände und reibt sich die Hände nach oben, die Handflächen und zwischen ihren Fingern.")</f>
        <v>Dann nimmt sie eine flüssige Seife in die Hände und reibt sich die Hände nach oben, die Handflächen und zwischen ihren Fingern.</v>
      </c>
    </row>
    <row r="18662">
      <c r="A18662" s="4" t="s">
        <v>23472</v>
      </c>
      <c r="B18662" s="4" t="s">
        <v>23476</v>
      </c>
      <c r="C18662" s="5" t="str">
        <f>IFERROR(__xludf.DUMMYFUNCTION("GOOGLETRANSLATE(B18662,""en"",""de"")"),"Sie zeigt, wie man die Handflächen und den Handgelenkbereich richtig reiben, um eine saubere Wäsche zu gewährleisten.")</f>
        <v>Sie zeigt, wie man die Handflächen und den Handgelenkbereich richtig reiben, um eine saubere Wäsche zu gewährleisten.</v>
      </c>
    </row>
    <row r="18663">
      <c r="A18663" s="4" t="s">
        <v>23472</v>
      </c>
      <c r="B18663" s="4" t="s">
        <v>23477</v>
      </c>
      <c r="C18663" s="5" t="str">
        <f>IFERROR(__xludf.DUMMYFUNCTION("GOOGLETRANSLATE(B18663,""en"",""de"")"),"Dann schaltet sie den Hahn zurück, um die Seife abzuwaschen.")</f>
        <v>Dann schaltet sie den Hahn zurück, um die Seife abzuwaschen.</v>
      </c>
    </row>
    <row r="18664">
      <c r="A18664" s="4" t="s">
        <v>23472</v>
      </c>
      <c r="B18664" s="4" t="s">
        <v>23478</v>
      </c>
      <c r="C18664" s="5" t="str">
        <f>IFERROR(__xludf.DUMMYFUNCTION("GOOGLETRANSLATE(B18664,""en"",""de"")"),"Dann benutzt sie ihren rechten Ellbogen, um den Wasserhahn auszuschalten, um es direkt zu berühren.")</f>
        <v>Dann benutzt sie ihren rechten Ellbogen, um den Wasserhahn auszuschalten, um es direkt zu berühren.</v>
      </c>
    </row>
    <row r="18665">
      <c r="A18665" s="4" t="s">
        <v>23472</v>
      </c>
      <c r="B18665" s="4" t="s">
        <v>23479</v>
      </c>
      <c r="C18665" s="5" t="str">
        <f>IFERROR(__xludf.DUMMYFUNCTION("GOOGLETRANSLATE(B18665,""en"",""de"")"),"Dann nimmt sie ein Papiertuch aus der Fensterleiste und wischt sich die Hände trocken ab.")</f>
        <v>Dann nimmt sie ein Papiertuch aus der Fensterleiste und wischt sich die Hände trocken ab.</v>
      </c>
    </row>
    <row r="18666">
      <c r="A18666" s="4" t="s">
        <v>23480</v>
      </c>
      <c r="B18666" s="4" t="s">
        <v>23481</v>
      </c>
      <c r="C18666" s="5" t="str">
        <f>IFERROR(__xludf.DUMMYFUNCTION("GOOGLETRANSLATE(B18666,""en"",""de"")"),"Drei Menschen sind gesehen, die auf einen großen Turnhalle Fuß gehen und in die drei führen, die eine Sprungseilroutine durchführen.")</f>
        <v>Drei Menschen sind gesehen, die auf einen großen Turnhalle Fuß gehen und in die drei führen, die eine Sprungseilroutine durchführen.</v>
      </c>
    </row>
    <row r="18667">
      <c r="A18667" s="4" t="s">
        <v>23480</v>
      </c>
      <c r="B18667" s="4" t="s">
        <v>23482</v>
      </c>
      <c r="C18667" s="5" t="str">
        <f>IFERROR(__xludf.DUMMYFUNCTION("GOOGLETRANSLATE(B18667,""en"",""de"")"),"Die drei springen weiter über den Boden, während viele mit hoch sind und mit hoch sind.")</f>
        <v>Die drei springen weiter über den Boden, während viele mit hoch sind und mit hoch sind.</v>
      </c>
    </row>
    <row r="18668">
      <c r="A18668" s="4" t="s">
        <v>23483</v>
      </c>
      <c r="B18668" s="4" t="s">
        <v>23484</v>
      </c>
      <c r="C18668" s="5" t="str">
        <f>IFERROR(__xludf.DUMMYFUNCTION("GOOGLETRANSLATE(B18668,""en"",""de"")"),"Ein Skateboard fällt auf unangenehme Weise von einem Skateboard.")</f>
        <v>Ein Skateboard fällt auf unangenehme Weise von einem Skateboard.</v>
      </c>
    </row>
    <row r="18669">
      <c r="A18669" s="4" t="s">
        <v>23483</v>
      </c>
      <c r="B18669" s="4" t="s">
        <v>23485</v>
      </c>
      <c r="C18669" s="5" t="str">
        <f>IFERROR(__xludf.DUMMYFUNCTION("GOOGLETRANSLATE(B18669,""en"",""de"")"),"Dann sehen wir mehrere andere Jungen, während sie stolpern und fallen.")</f>
        <v>Dann sehen wir mehrere andere Jungen, während sie stolpern und fallen.</v>
      </c>
    </row>
    <row r="18670">
      <c r="A18670" s="4" t="s">
        <v>23483</v>
      </c>
      <c r="B18670" s="4" t="s">
        <v>23486</v>
      </c>
      <c r="C18670" s="5" t="str">
        <f>IFERROR(__xludf.DUMMYFUNCTION("GOOGLETRANSLATE(B18670,""en"",""de"")"),"Sie nehmen scharfe Kurven auf Vorstadtstraßen und versuchen, auf ihren Brettern zu bleiben.")</f>
        <v>Sie nehmen scharfe Kurven auf Vorstadtstraßen und versuchen, auf ihren Brettern zu bleiben.</v>
      </c>
    </row>
    <row r="18671">
      <c r="A18671" s="4" t="s">
        <v>23487</v>
      </c>
      <c r="B18671" s="4" t="s">
        <v>23488</v>
      </c>
      <c r="C18671" s="5" t="str">
        <f>IFERROR(__xludf.DUMMYFUNCTION("GOOGLETRANSLATE(B18671,""en"",""de"")"),"Gruppe spielt die Bongos, während eine junge Frau tanzt.")</f>
        <v>Gruppe spielt die Bongos, während eine junge Frau tanzt.</v>
      </c>
    </row>
    <row r="18672">
      <c r="A18672" s="4" t="s">
        <v>23487</v>
      </c>
      <c r="B18672" s="4" t="s">
        <v>23489</v>
      </c>
      <c r="C18672" s="5" t="str">
        <f>IFERROR(__xludf.DUMMYFUNCTION("GOOGLETRANSLATE(B18672,""en"",""de"")"),"Ein paar geht an der Gruppe vorbei.")</f>
        <v>Ein paar geht an der Gruppe vorbei.</v>
      </c>
    </row>
    <row r="18673">
      <c r="A18673" s="4" t="s">
        <v>23487</v>
      </c>
      <c r="B18673" s="4" t="s">
        <v>23490</v>
      </c>
      <c r="C18673" s="5" t="str">
        <f>IFERROR(__xludf.DUMMYFUNCTION("GOOGLETRANSLATE(B18673,""en"",""de"")"),"Der Schlagzeuger verleiht der Kamera eine Daumen nach oben.")</f>
        <v>Der Schlagzeuger verleiht der Kamera eine Daumen nach oben.</v>
      </c>
    </row>
    <row r="18674">
      <c r="A18674" s="4" t="s">
        <v>23487</v>
      </c>
      <c r="B18674" s="4" t="s">
        <v>23491</v>
      </c>
      <c r="C18674" s="5" t="str">
        <f>IFERROR(__xludf.DUMMYFUNCTION("GOOGLETRANSLATE(B18674,""en"",""de"")"),"Viele Leute passieren im Hintergrund.")</f>
        <v>Viele Leute passieren im Hintergrund.</v>
      </c>
    </row>
    <row r="18675">
      <c r="A18675" s="4" t="s">
        <v>23487</v>
      </c>
      <c r="B18675" s="4" t="s">
        <v>23492</v>
      </c>
      <c r="C18675" s="5" t="str">
        <f>IFERROR(__xludf.DUMMYFUNCTION("GOOGLETRANSLATE(B18675,""en"",""de"")"),"Eine kleine Gruppe schaut auf die Musiker.")</f>
        <v>Eine kleine Gruppe schaut auf die Musiker.</v>
      </c>
    </row>
    <row r="18676">
      <c r="A18676" s="4" t="s">
        <v>23487</v>
      </c>
      <c r="B18676" s="4" t="s">
        <v>23493</v>
      </c>
      <c r="C18676" s="5" t="str">
        <f>IFERROR(__xludf.DUMMYFUNCTION("GOOGLETRANSLATE(B18676,""en"",""de"")"),"Der Tänzer posiert mit 2 anderen Frauen.")</f>
        <v>Der Tänzer posiert mit 2 anderen Frauen.</v>
      </c>
    </row>
    <row r="18677">
      <c r="A18677" s="4" t="s">
        <v>23494</v>
      </c>
      <c r="B18677" s="4" t="s">
        <v>23495</v>
      </c>
      <c r="C18677" s="5" t="str">
        <f>IFERROR(__xludf.DUMMYFUNCTION("GOOGLETRANSLATE(B18677,""en"",""de"")"),"Eine medizinische Waschmaschine mit Seife in einem Waschbecken.")</f>
        <v>Eine medizinische Waschmaschine mit Seife in einem Waschbecken.</v>
      </c>
    </row>
    <row r="18678">
      <c r="A18678" s="4" t="s">
        <v>23494</v>
      </c>
      <c r="B18678" s="4" t="s">
        <v>23496</v>
      </c>
      <c r="C18678" s="5" t="str">
        <f>IFERROR(__xludf.DUMMYFUNCTION("GOOGLETRANSLATE(B18678,""en"",""de"")"),"Die Frau schrubbt gründlich zwischen den Fingern.")</f>
        <v>Die Frau schrubbt gründlich zwischen den Fingern.</v>
      </c>
    </row>
    <row r="18679">
      <c r="A18679" s="4" t="s">
        <v>23494</v>
      </c>
      <c r="B18679" s="4" t="s">
        <v>23497</v>
      </c>
      <c r="C18679" s="5" t="str">
        <f>IFERROR(__xludf.DUMMYFUNCTION("GOOGLETRANSLATE(B18679,""en"",""de"")"),"Die Hände werden mit einem Papiertuch zwischen den Fingern gründlich getrocknet.")</f>
        <v>Die Hände werden mit einem Papiertuch zwischen den Fingern gründlich getrocknet.</v>
      </c>
    </row>
    <row r="18680">
      <c r="A18680" s="4" t="s">
        <v>23494</v>
      </c>
      <c r="B18680" s="4" t="s">
        <v>23498</v>
      </c>
      <c r="C18680" s="5" t="str">
        <f>IFERROR(__xludf.DUMMYFUNCTION("GOOGLETRANSLATE(B18680,""en"",""de"")"),"Die Frau wirft das Papiertuch in einen ausgewiesenen Abfallbehälter.")</f>
        <v>Die Frau wirft das Papiertuch in einen ausgewiesenen Abfallbehälter.</v>
      </c>
    </row>
    <row r="18681">
      <c r="A18681" s="4" t="s">
        <v>23494</v>
      </c>
      <c r="B18681" s="4" t="s">
        <v>23499</v>
      </c>
      <c r="C18681" s="5" t="str">
        <f>IFERROR(__xludf.DUMMYFUNCTION("GOOGLETRANSLATE(B18681,""en"",""de"")"),"Der Medizinische Fachmann schließt den Wasserhahn mit ihrem Ellbogen und dem Papiertuch ab.")</f>
        <v>Der Medizinische Fachmann schließt den Wasserhahn mit ihrem Ellbogen und dem Papiertuch ab.</v>
      </c>
    </row>
    <row r="18682">
      <c r="A18682" s="4" t="s">
        <v>23500</v>
      </c>
      <c r="B18682" s="4" t="s">
        <v>23501</v>
      </c>
      <c r="C18682" s="5" t="str">
        <f>IFERROR(__xludf.DUMMYFUNCTION("GOOGLETRANSLATE(B18682,""en"",""de"")"),"Ein Mann wird gesehen, wie er einen Reifen auf einem Aufzug zusammenstellt und den Gummi mit einer Maschine abnimmt.")</f>
        <v>Ein Mann wird gesehen, wie er einen Reifen auf einem Aufzug zusammenstellt und den Gummi mit einer Maschine abnimmt.</v>
      </c>
    </row>
    <row r="18683">
      <c r="A18683" s="4" t="s">
        <v>23500</v>
      </c>
      <c r="B18683" s="4" t="s">
        <v>23502</v>
      </c>
      <c r="C18683" s="5" t="str">
        <f>IFERROR(__xludf.DUMMYFUNCTION("GOOGLETRANSLATE(B18683,""en"",""de"")"),"Dann legt er den Gummi wieder mit der Maschine und endet, indem er sich vom Reifen zurückbewegt.")</f>
        <v>Dann legt er den Gummi wieder mit der Maschine und endet, indem er sich vom Reifen zurückbewegt.</v>
      </c>
    </row>
    <row r="18684">
      <c r="A18684" s="4" t="s">
        <v>23503</v>
      </c>
      <c r="B18684" s="4" t="s">
        <v>21512</v>
      </c>
      <c r="C18684" s="5" t="str">
        <f>IFERROR(__xludf.DUMMYFUNCTION("GOOGLETRANSLATE(B18684,""en"",""de"")"),"Ein Mann kniet auf einer blauen Matte.")</f>
        <v>Ein Mann kniet auf einer blauen Matte.</v>
      </c>
    </row>
    <row r="18685">
      <c r="A18685" s="4" t="s">
        <v>23503</v>
      </c>
      <c r="B18685" s="4" t="s">
        <v>23504</v>
      </c>
      <c r="C18685" s="5" t="str">
        <f>IFERROR(__xludf.DUMMYFUNCTION("GOOGLETRANSLATE(B18685,""en"",""de"")"),"Er zieht sich an einem Seil herunter und trainiert.")</f>
        <v>Er zieht sich an einem Seil herunter und trainiert.</v>
      </c>
    </row>
    <row r="18686">
      <c r="A18686" s="4" t="s">
        <v>23503</v>
      </c>
      <c r="B18686" s="4" t="s">
        <v>23505</v>
      </c>
      <c r="C18686" s="5" t="str">
        <f>IFERROR(__xludf.DUMMYFUNCTION("GOOGLETRANSLATE(B18686,""en"",""de"")"),"Er senkt die Stange und zieht das Seil in die andere Richtung.")</f>
        <v>Er senkt die Stange und zieht das Seil in die andere Richtung.</v>
      </c>
    </row>
    <row r="18687">
      <c r="A18687" s="4" t="s">
        <v>23506</v>
      </c>
      <c r="B18687" s="4" t="s">
        <v>23507</v>
      </c>
      <c r="C18687" s="5" t="str">
        <f>IFERROR(__xludf.DUMMYFUNCTION("GOOGLETRANSLATE(B18687,""en"",""de"")"),"Es gibt eine sehr hohe und steile Rutsche, die durch einige Bäume in einem großen offenen Boden verläuft.")</f>
        <v>Es gibt eine sehr hohe und steile Rutsche, die durch einige Bäume in einem großen offenen Boden verläuft.</v>
      </c>
    </row>
    <row r="18688">
      <c r="A18688" s="4" t="s">
        <v>23506</v>
      </c>
      <c r="B18688" s="4" t="s">
        <v>23508</v>
      </c>
      <c r="C18688" s="5" t="str">
        <f>IFERROR(__xludf.DUMMYFUNCTION("GOOGLETRANSLATE(B18688,""en"",""de"")"),"Am unteren Ende des Objektträgers läuft eine Gummioberfläche, um die Menschen vor dem Landen vor dem Land zu schützen.")</f>
        <v>Am unteren Ende des Objektträgers läuft eine Gummioberfläche, um die Menschen vor dem Landen vor dem Land zu schützen.</v>
      </c>
    </row>
    <row r="18689">
      <c r="A18689" s="4" t="s">
        <v>23506</v>
      </c>
      <c r="B18689" s="4" t="s">
        <v>23509</v>
      </c>
      <c r="C18689" s="5" t="str">
        <f>IFERROR(__xludf.DUMMYFUNCTION("GOOGLETRANSLATE(B18689,""en"",""de"")"),"Ein kleiner Junge, der schwarze Shorts und ein Hemd trägt, rutscht in voller Kraft nach unten.")</f>
        <v>Ein kleiner Junge, der schwarze Shorts und ein Hemd trägt, rutscht in voller Kraft nach unten.</v>
      </c>
    </row>
    <row r="18690">
      <c r="A18690" s="4" t="s">
        <v>23506</v>
      </c>
      <c r="B18690" s="4" t="s">
        <v>23510</v>
      </c>
      <c r="C18690" s="5" t="str">
        <f>IFERROR(__xludf.DUMMYFUNCTION("GOOGLETRANSLATE(B18690,""en"",""de"")"),"Er landet weit weg der Rutsche, als er von der Rutsche nach unten und von der Rutsche stürzt.")</f>
        <v>Er landet weit weg der Rutsche, als er von der Rutsche nach unten und von der Rutsche stürzt.</v>
      </c>
    </row>
    <row r="18691">
      <c r="A18691" s="4" t="s">
        <v>23511</v>
      </c>
      <c r="B18691" s="4" t="s">
        <v>23512</v>
      </c>
      <c r="C18691" s="5" t="str">
        <f>IFERROR(__xludf.DUMMYFUNCTION("GOOGLETRANSLATE(B18691,""en"",""de"")"),"Ein Mann in einem Hut spricht auf einer Pressekonferenz.")</f>
        <v>Ein Mann in einem Hut spricht auf einer Pressekonferenz.</v>
      </c>
    </row>
    <row r="18692">
      <c r="A18692" s="4" t="s">
        <v>23511</v>
      </c>
      <c r="B18692" s="4" t="s">
        <v>23513</v>
      </c>
      <c r="C18692" s="5" t="str">
        <f>IFERROR(__xludf.DUMMYFUNCTION("GOOGLETRANSLATE(B18692,""en"",""de"")"),"Wir sehen Hütten und Anhänger in einem schneebedeckten Bereich.")</f>
        <v>Wir sehen Hütten und Anhänger in einem schneebedeckten Bereich.</v>
      </c>
    </row>
    <row r="18693">
      <c r="A18693" s="4" t="s">
        <v>23511</v>
      </c>
      <c r="B18693" s="4" t="s">
        <v>23514</v>
      </c>
      <c r="C18693" s="5" t="str">
        <f>IFERROR(__xludf.DUMMYFUNCTION("GOOGLETRANSLATE(B18693,""en"",""de"")"),"Drei Männer wachsen Skier in einem Workshop und wir sehen den Mann auf der Pressekonferenz.")</f>
        <v>Drei Männer wachsen Skier in einem Workshop und wir sehen den Mann auf der Pressekonferenz.</v>
      </c>
    </row>
    <row r="18694">
      <c r="A18694" s="4" t="s">
        <v>23511</v>
      </c>
      <c r="B18694" s="4" t="s">
        <v>23515</v>
      </c>
      <c r="C18694" s="5" t="str">
        <f>IFERROR(__xludf.DUMMYFUNCTION("GOOGLETRANSLATE(B18694,""en"",""de"")"),"Ein Mann läuft hinter Anhängern und zwei Männer laufen auf dem Schnee, bevor wir die Pressekonferenz erneut sehen.")</f>
        <v>Ein Mann läuft hinter Anhängern und zwei Männer laufen auf dem Schnee, bevor wir die Pressekonferenz erneut sehen.</v>
      </c>
    </row>
    <row r="18695">
      <c r="A18695" s="4" t="s">
        <v>23511</v>
      </c>
      <c r="B18695" s="4" t="s">
        <v>23516</v>
      </c>
      <c r="C18695" s="5" t="str">
        <f>IFERROR(__xludf.DUMMYFUNCTION("GOOGLETRANSLATE(B18695,""en"",""de"")"),"Wir sehen, wie die Männer Ski fahren.")</f>
        <v>Wir sehen, wie die Männer Ski fahren.</v>
      </c>
    </row>
    <row r="18696">
      <c r="A18696" s="4" t="s">
        <v>23511</v>
      </c>
      <c r="B18696" s="4" t="s">
        <v>23517</v>
      </c>
      <c r="C18696" s="5" t="str">
        <f>IFERROR(__xludf.DUMMYFUNCTION("GOOGLETRANSLATE(B18696,""en"",""de"")"),"Der Mann auf der Pressekonferenz und ein Männer legt eine Maske in den Workshop und eine Maschine sitzt im Feld.")</f>
        <v>Der Mann auf der Pressekonferenz und ein Männer legt eine Maske in den Workshop und eine Maschine sitzt im Feld.</v>
      </c>
    </row>
    <row r="18697">
      <c r="A18697" s="4" t="s">
        <v>23511</v>
      </c>
      <c r="B18697" s="4" t="s">
        <v>23518</v>
      </c>
      <c r="C18697" s="5" t="str">
        <f>IFERROR(__xludf.DUMMYFUNCTION("GOOGLETRANSLATE(B18697,""en"",""de"")"),"Zwei Männer posieren Gewehre im Schnee.")</f>
        <v>Zwei Männer posieren Gewehre im Schnee.</v>
      </c>
    </row>
    <row r="18698">
      <c r="A18698" s="4" t="s">
        <v>23519</v>
      </c>
      <c r="B18698" s="4" t="s">
        <v>23520</v>
      </c>
      <c r="C18698" s="5" t="str">
        <f>IFERROR(__xludf.DUMMYFUNCTION("GOOGLETRANSLATE(B18698,""en"",""de"")"),"Ein Mann sitzt sowohl auf einem Stuhl als auch auf Aufnahmen von Menschen, die Wake -Boards und Clips eines Docks reiten.")</f>
        <v>Ein Mann sitzt sowohl auf einem Stuhl als auch auf Aufnahmen von Menschen, die Wake -Boards und Clips eines Docks reiten.</v>
      </c>
    </row>
    <row r="18699">
      <c r="A18699" s="4" t="s">
        <v>23519</v>
      </c>
      <c r="B18699" s="4" t="s">
        <v>23521</v>
      </c>
      <c r="C18699" s="5" t="str">
        <f>IFERROR(__xludf.DUMMYFUNCTION("GOOGLETRANSLATE(B18699,""en"",""de"")"),"Der Mann spricht weiter mit der Kamera, während mehr Aufnahmen von Menschen aufwachen und Flips und Tricks machen.")</f>
        <v>Der Mann spricht weiter mit der Kamera, während mehr Aufnahmen von Menschen aufwachen und Flips und Tricks machen.</v>
      </c>
    </row>
    <row r="18700">
      <c r="A18700" s="4" t="s">
        <v>23522</v>
      </c>
      <c r="B18700" s="4" t="s">
        <v>23523</v>
      </c>
      <c r="C18700" s="5" t="str">
        <f>IFERROR(__xludf.DUMMYFUNCTION("GOOGLETRANSLATE(B18700,""en"",""de"")"),"Wir sehen eine Dame, die die Kamera hält und ihre Haare trocknet.")</f>
        <v>Wir sehen eine Dame, die die Kamera hält und ihre Haare trocknet.</v>
      </c>
    </row>
    <row r="18701">
      <c r="A18701" s="4" t="s">
        <v>23522</v>
      </c>
      <c r="B18701" s="4" t="s">
        <v>23524</v>
      </c>
      <c r="C18701" s="5" t="str">
        <f>IFERROR(__xludf.DUMMYFUNCTION("GOOGLETRANSLATE(B18701,""en"",""de"")"),"Die Dame sitzt die Kamera auf dem Boden und trocknet weiter ihre Haare.")</f>
        <v>Die Dame sitzt die Kamera auf dem Boden und trocknet weiter ihre Haare.</v>
      </c>
    </row>
    <row r="18702">
      <c r="A18702" s="4" t="s">
        <v>23522</v>
      </c>
      <c r="B18702" s="4" t="s">
        <v>23525</v>
      </c>
      <c r="C18702" s="5" t="str">
        <f>IFERROR(__xludf.DUMMYFUNCTION("GOOGLETRANSLATE(B18702,""en"",""de"")"),"Die Dame wirft sich die Haare zurück und hebt den Hörer ab.")</f>
        <v>Die Dame wirft sich die Haare zurück und hebt den Hörer ab.</v>
      </c>
    </row>
    <row r="18703">
      <c r="A18703" s="4" t="s">
        <v>23526</v>
      </c>
      <c r="B18703" s="4" t="s">
        <v>23527</v>
      </c>
      <c r="C18703" s="5" t="str">
        <f>IFERROR(__xludf.DUMMYFUNCTION("GOOGLETRANSLATE(B18703,""en"",""de"")"),"Wir sehen eine schlafende Frau in einem Krankenhaus.")</f>
        <v>Wir sehen eine schlafende Frau in einem Krankenhaus.</v>
      </c>
    </row>
    <row r="18704">
      <c r="A18704" s="4" t="s">
        <v>23526</v>
      </c>
      <c r="B18704" s="4" t="s">
        <v>23528</v>
      </c>
      <c r="C18704" s="5" t="str">
        <f>IFERROR(__xludf.DUMMYFUNCTION("GOOGLETRANSLATE(B18704,""en"",""de"")"),"Eine Person fängt an, die Haare einer schlafenden älteren Frau in einem Krankenhaus zu kämmen.")</f>
        <v>Eine Person fängt an, die Haare einer schlafenden älteren Frau in einem Krankenhaus zu kämmen.</v>
      </c>
    </row>
    <row r="18705">
      <c r="A18705" s="4" t="s">
        <v>23526</v>
      </c>
      <c r="B18705" s="4" t="s">
        <v>23529</v>
      </c>
      <c r="C18705" s="5" t="str">
        <f>IFERROR(__xludf.DUMMYFUNCTION("GOOGLETRANSLATE(B18705,""en"",""de"")"),"Die Kamera bewegt sich an die Oberseite des Damenkopfes.")</f>
        <v>Die Kamera bewegt sich an die Oberseite des Damenkopfes.</v>
      </c>
    </row>
    <row r="18706">
      <c r="A18706" s="4" t="s">
        <v>23526</v>
      </c>
      <c r="B18706" s="4" t="s">
        <v>23530</v>
      </c>
      <c r="C18706" s="5" t="str">
        <f>IFERROR(__xludf.DUMMYFUNCTION("GOOGLETRANSLATE(B18706,""en"",""de"")"),"Die Kamera bewegt sich dann vor dem Gesicht des Damens.")</f>
        <v>Die Kamera bewegt sich dann vor dem Gesicht des Damens.</v>
      </c>
    </row>
    <row r="18707">
      <c r="A18707" s="4" t="s">
        <v>23531</v>
      </c>
      <c r="B18707" s="4" t="s">
        <v>23532</v>
      </c>
      <c r="C18707" s="5" t="str">
        <f>IFERROR(__xludf.DUMMYFUNCTION("GOOGLETRANSLATE(B18707,""en"",""de"")"),"Ein Mann in Shorts ist in einem Fitnessstudio.")</f>
        <v>Ein Mann in Shorts ist in einem Fitnessstudio.</v>
      </c>
    </row>
    <row r="18708">
      <c r="A18708" s="4" t="s">
        <v>23531</v>
      </c>
      <c r="B18708" s="4" t="s">
        <v>23533</v>
      </c>
      <c r="C18708" s="5" t="str">
        <f>IFERROR(__xludf.DUMMYFUNCTION("GOOGLETRANSLATE(B18708,""en"",""de"")"),"Er springt dort ein Seil.")</f>
        <v>Er springt dort ein Seil.</v>
      </c>
    </row>
    <row r="18709">
      <c r="A18709" s="4" t="s">
        <v>23531</v>
      </c>
      <c r="B18709" s="4" t="s">
        <v>23534</v>
      </c>
      <c r="C18709" s="5" t="str">
        <f>IFERROR(__xludf.DUMMYFUNCTION("GOOGLETRANSLATE(B18709,""en"",""de"")"),"Er beschleunigt sein Sprung.")</f>
        <v>Er beschleunigt sein Sprung.</v>
      </c>
    </row>
    <row r="18710">
      <c r="A18710" s="4" t="s">
        <v>23531</v>
      </c>
      <c r="B18710" s="4" t="s">
        <v>23535</v>
      </c>
      <c r="C18710" s="5" t="str">
        <f>IFERROR(__xludf.DUMMYFUNCTION("GOOGLETRANSLATE(B18710,""en"",""de"")"),"Er macht es vor einem Spiegel.")</f>
        <v>Er macht es vor einem Spiegel.</v>
      </c>
    </row>
    <row r="18711">
      <c r="A18711" s="4" t="s">
        <v>23536</v>
      </c>
      <c r="B18711" s="4" t="s">
        <v>23537</v>
      </c>
      <c r="C18711" s="5" t="str">
        <f>IFERROR(__xludf.DUMMYFUNCTION("GOOGLETRANSLATE(B18711,""en"",""de"")"),"Ein älterer Mann steht auf einem Übungsgerät.")</f>
        <v>Ein älterer Mann steht auf einem Übungsgerät.</v>
      </c>
    </row>
    <row r="18712">
      <c r="A18712" s="4" t="s">
        <v>23536</v>
      </c>
      <c r="B18712" s="4" t="s">
        <v>23538</v>
      </c>
      <c r="C18712" s="5" t="str">
        <f>IFERROR(__xludf.DUMMYFUNCTION("GOOGLETRANSLATE(B18712,""en"",""de"")"),"Er spricht mit der Kamera und hält eine Fernbedienung und bewegt sich weiter auf der Maschine.")</f>
        <v>Er spricht mit der Kamera und hält eine Fernbedienung und bewegt sich weiter auf der Maschine.</v>
      </c>
    </row>
    <row r="18713">
      <c r="A18713" s="4" t="s">
        <v>23539</v>
      </c>
      <c r="B18713" s="4" t="s">
        <v>23540</v>
      </c>
      <c r="C18713" s="5" t="str">
        <f>IFERROR(__xludf.DUMMYFUNCTION("GOOGLETRANSLATE(B18713,""en"",""de"")"),"Erstens wird die Person gesehen, die die Griffstangen abschraubt.")</f>
        <v>Erstens wird die Person gesehen, die die Griffstangen abschraubt.</v>
      </c>
    </row>
    <row r="18714">
      <c r="A18714" s="4" t="s">
        <v>23539</v>
      </c>
      <c r="B18714" s="4" t="s">
        <v>23541</v>
      </c>
      <c r="C18714" s="5" t="str">
        <f>IFERROR(__xludf.DUMMYFUNCTION("GOOGLETRANSLATE(B18714,""en"",""de"")"),"Dann schreibt er die Basis, um sie nach seinen Wünschen auszusetzen.")</f>
        <v>Dann schreibt er die Basis, um sie nach seinen Wünschen auszusetzen.</v>
      </c>
    </row>
    <row r="18715">
      <c r="A18715" s="4" t="s">
        <v>23539</v>
      </c>
      <c r="B18715" s="4" t="s">
        <v>23542</v>
      </c>
      <c r="C18715" s="5" t="str">
        <f>IFERROR(__xludf.DUMMYFUNCTION("GOOGLETRANSLATE(B18715,""en"",""de"")"),"Dann sitzt er auf dem Fahrradsitz, um die besten Ergebnisse zu erzielen.")</f>
        <v>Dann sitzt er auf dem Fahrradsitz, um die besten Ergebnisse zu erzielen.</v>
      </c>
    </row>
    <row r="18716">
      <c r="A18716" s="4" t="s">
        <v>23539</v>
      </c>
      <c r="B18716" s="4" t="s">
        <v>23543</v>
      </c>
      <c r="C18716" s="5" t="str">
        <f>IFERROR(__xludf.DUMMYFUNCTION("GOOGLETRANSLATE(B18716,""en"",""de"")"),"Dann passt er die Griffstangen erneut an und stellt sicher, dass sie fest an Ort und Stelle sind.")</f>
        <v>Dann passt er die Griffstangen erneut an und stellt sicher, dass sie fest an Ort und Stelle sind.</v>
      </c>
    </row>
    <row r="18717">
      <c r="A18717" s="4" t="s">
        <v>23544</v>
      </c>
      <c r="B18717" s="4" t="s">
        <v>23545</v>
      </c>
      <c r="C18717" s="5" t="str">
        <f>IFERROR(__xludf.DUMMYFUNCTION("GOOGLETRANSLATE(B18717,""en"",""de"")"),"Zwei Männer befinden sich in einem Raum mit drei Wänden und einem Satz Glastüren hinter ihnen, die einen Ball zurück und den vierten gegen die Wand mit Tennisschlägen schlagen.")</f>
        <v>Zwei Männer befinden sich in einem Raum mit drei Wänden und einem Satz Glastüren hinter ihnen, die einen Ball zurück und den vierten gegen die Wand mit Tennisschlägen schlagen.</v>
      </c>
    </row>
    <row r="18718">
      <c r="A18718" s="4" t="s">
        <v>23544</v>
      </c>
      <c r="B18718" s="4" t="s">
        <v>23546</v>
      </c>
      <c r="C18718" s="5" t="str">
        <f>IFERROR(__xludf.DUMMYFUNCTION("GOOGLETRANSLATE(B18718,""en"",""de"")"),"Während sie weitergehen, fällt ein Junge zu Boden und sie müssen von vorne anfangen.")</f>
        <v>Während sie weitergehen, fällt ein Junge zu Boden und sie müssen von vorne anfangen.</v>
      </c>
    </row>
    <row r="18719">
      <c r="A18719" s="4" t="s">
        <v>23547</v>
      </c>
      <c r="B18719" s="4" t="s">
        <v>23548</v>
      </c>
      <c r="C18719" s="5" t="str">
        <f>IFERROR(__xludf.DUMMYFUNCTION("GOOGLETRANSLATE(B18719,""en"",""de"")"),"Wir sehen einen Mann vor einer Werkbank in einem Workshop und reden.")</f>
        <v>Wir sehen einen Mann vor einer Werkbank in einem Workshop und reden.</v>
      </c>
    </row>
    <row r="18720">
      <c r="A18720" s="4" t="s">
        <v>23547</v>
      </c>
      <c r="B18720" s="4" t="s">
        <v>23549</v>
      </c>
      <c r="C18720" s="5" t="str">
        <f>IFERROR(__xludf.DUMMYFUNCTION("GOOGLETRANSLATE(B18720,""en"",""de"")"),"Der Mann zeigt ein Stück Holz und einen Schleifer.")</f>
        <v>Der Mann zeigt ein Stück Holz und einen Schleifer.</v>
      </c>
    </row>
    <row r="18721">
      <c r="A18721" s="4" t="s">
        <v>23547</v>
      </c>
      <c r="B18721" s="4" t="s">
        <v>23550</v>
      </c>
      <c r="C18721" s="5" t="str">
        <f>IFERROR(__xludf.DUMMYFUNCTION("GOOGLETRANSLATE(B18721,""en"",""de"")"),"Der Mann wischt sich eine Substanz aus einem Krug auf dem Holz und dem Schleifer und schleifen das Holz.")</f>
        <v>Der Mann wischt sich eine Substanz aus einem Krug auf dem Holz und dem Schleifer und schleifen das Holz.</v>
      </c>
    </row>
    <row r="18722">
      <c r="A18722" s="4" t="s">
        <v>23547</v>
      </c>
      <c r="B18722" s="4" t="s">
        <v>23551</v>
      </c>
      <c r="C18722" s="5" t="str">
        <f>IFERROR(__xludf.DUMMYFUNCTION("GOOGLETRANSLATE(B18722,""en"",""de"")"),"Der Mann zeigt uns das fertige Produkt.")</f>
        <v>Der Mann zeigt uns das fertige Produkt.</v>
      </c>
    </row>
    <row r="18723">
      <c r="A18723" s="4" t="s">
        <v>23552</v>
      </c>
      <c r="B18723" s="4" t="s">
        <v>23553</v>
      </c>
      <c r="C18723" s="5" t="str">
        <f>IFERROR(__xludf.DUMMYFUNCTION("GOOGLETRANSLATE(B18723,""en"",""de"")"),"Mehrere Menschen parasail auf einem Gewässer, das von anderen Booten, Laub und Häusern in der Ferne umgeben ist.")</f>
        <v>Mehrere Menschen parasail auf einem Gewässer, das von anderen Booten, Laub und Häusern in der Ferne umgeben ist.</v>
      </c>
    </row>
    <row r="18724">
      <c r="A18724" s="4" t="s">
        <v>23552</v>
      </c>
      <c r="B18724" s="4" t="s">
        <v>23554</v>
      </c>
      <c r="C18724" s="5" t="str">
        <f>IFERROR(__xludf.DUMMYFUNCTION("GOOGLETRANSLATE(B18724,""en"",""de"")"),"Mehrere Menschen in Schwimmstämmen segeln in einem Gewässer mit mehrfarbigen Parasails.")</f>
        <v>Mehrere Menschen in Schwimmstämmen segeln in einem Gewässer mit mehrfarbigen Parasails.</v>
      </c>
    </row>
    <row r="18725">
      <c r="A18725" s="4" t="s">
        <v>23552</v>
      </c>
      <c r="B18725" s="4" t="s">
        <v>23555</v>
      </c>
      <c r="C18725" s="5" t="str">
        <f>IFERROR(__xludf.DUMMYFUNCTION("GOOGLETRANSLATE(B18725,""en"",""de"")"),"Eine Person im Vordergrund in Blue Swim Trunks dreht das Segel um, aber das Segel dreht sich und landet auf dem Boden, so dass die Person und das Segel auf den Füßen landen.")</f>
        <v>Eine Person im Vordergrund in Blue Swim Trunks dreht das Segel um, aber das Segel dreht sich und landet auf dem Boden, so dass die Person und das Segel auf den Füßen landen.</v>
      </c>
    </row>
    <row r="18726">
      <c r="A18726" s="4" t="s">
        <v>23556</v>
      </c>
      <c r="B18726" s="4" t="s">
        <v>23557</v>
      </c>
      <c r="C18726" s="5" t="str">
        <f>IFERROR(__xludf.DUMMYFUNCTION("GOOGLETRANSLATE(B18726,""en"",""de"")"),"Auf einer Strecke bereitet sich ein Läufer vor.")</f>
        <v>Auf einer Strecke bereitet sich ein Läufer vor.</v>
      </c>
    </row>
    <row r="18727">
      <c r="A18727" s="4" t="s">
        <v>23556</v>
      </c>
      <c r="B18727" s="4" t="s">
        <v>23558</v>
      </c>
      <c r="C18727" s="5" t="str">
        <f>IFERROR(__xludf.DUMMYFUNCTION("GOOGLETRANSLATE(B18727,""en"",""de"")"),"Er rennt und überspringt auf dem Weg und springt am Ende hoch.")</f>
        <v>Er rennt und überspringt auf dem Weg und springt am Ende hoch.</v>
      </c>
    </row>
    <row r="18728">
      <c r="A18728" s="4" t="s">
        <v>23556</v>
      </c>
      <c r="B18728" s="4" t="s">
        <v>23559</v>
      </c>
      <c r="C18728" s="5" t="str">
        <f>IFERROR(__xludf.DUMMYFUNCTION("GOOGLETRANSLATE(B18728,""en"",""de"")"),"Er geht die Strecke entlang, nachdem er fertig war.")</f>
        <v>Er geht die Strecke entlang, nachdem er fertig war.</v>
      </c>
    </row>
    <row r="18729">
      <c r="A18729" s="4" t="s">
        <v>23556</v>
      </c>
      <c r="B18729" s="4" t="s">
        <v>23560</v>
      </c>
      <c r="C18729" s="5" t="str">
        <f>IFERROR(__xludf.DUMMYFUNCTION("GOOGLETRANSLATE(B18729,""en"",""de"")"),"Der Mann rennt und springt wieder.")</f>
        <v>Der Mann rennt und springt wieder.</v>
      </c>
    </row>
    <row r="18730">
      <c r="A18730" s="4" t="s">
        <v>23556</v>
      </c>
      <c r="B18730" s="4" t="s">
        <v>23561</v>
      </c>
      <c r="C18730" s="5" t="str">
        <f>IFERROR(__xludf.DUMMYFUNCTION("GOOGLETRANSLATE(B18730,""en"",""de"")"),"Der Läufer spricht mit jemandem.")</f>
        <v>Der Läufer spricht mit jemandem.</v>
      </c>
    </row>
    <row r="18731">
      <c r="A18731" s="4" t="s">
        <v>23562</v>
      </c>
      <c r="B18731" s="4" t="s">
        <v>23563</v>
      </c>
      <c r="C18731" s="5" t="str">
        <f>IFERROR(__xludf.DUMMYFUNCTION("GOOGLETRANSLATE(B18731,""en"",""de"")"),"Ein Mann spielt die Dudelsack auf der Bühne, während er einen schottischen Rock trägt.")</f>
        <v>Ein Mann spielt die Dudelsack auf der Bühne, während er einen schottischen Rock trägt.</v>
      </c>
    </row>
    <row r="18732">
      <c r="A18732" s="4" t="s">
        <v>23562</v>
      </c>
      <c r="B18732" s="4" t="s">
        <v>23564</v>
      </c>
      <c r="C18732" s="5" t="str">
        <f>IFERROR(__xludf.DUMMYFUNCTION("GOOGLETRANSLATE(B18732,""en"",""de"")"),"Dann spielt der Mann und hält die Dudelsack an seinem linken Arm.")</f>
        <v>Dann spielt der Mann und hält die Dudelsack an seinem linken Arm.</v>
      </c>
    </row>
    <row r="18733">
      <c r="A18733" s="4" t="s">
        <v>23565</v>
      </c>
      <c r="B18733" s="4" t="s">
        <v>23566</v>
      </c>
      <c r="C18733" s="5" t="str">
        <f>IFERROR(__xludf.DUMMYFUNCTION("GOOGLETRANSLATE(B18733,""en"",""de"")"),"Ein Mann in Gelb öffnet ein Bier.")</f>
        <v>Ein Mann in Gelb öffnet ein Bier.</v>
      </c>
    </row>
    <row r="18734">
      <c r="A18734" s="4" t="s">
        <v>23565</v>
      </c>
      <c r="B18734" s="4" t="s">
        <v>23567</v>
      </c>
      <c r="C18734" s="5" t="str">
        <f>IFERROR(__xludf.DUMMYFUNCTION("GOOGLETRANSLATE(B18734,""en"",""de"")"),"Ein Mann in Grey schnappt sich das Bier und passt seine Kleidung an und sitzt dann auf dem Boden und hält das Bier.")</f>
        <v>Ein Mann in Grey schnappt sich das Bier und passt seine Kleidung an und sitzt dann auf dem Boden und hält das Bier.</v>
      </c>
    </row>
    <row r="18735">
      <c r="A18735" s="4" t="s">
        <v>23565</v>
      </c>
      <c r="B18735" s="4" t="s">
        <v>23568</v>
      </c>
      <c r="C18735" s="5" t="str">
        <f>IFERROR(__xludf.DUMMYFUNCTION("GOOGLETRANSLATE(B18735,""en"",""de"")"),"Der Mann legt einen Arm hinter seinen Rücken und passt sich an, um zu versuchen, die Flasche mit seinem Mund abzuholen.")</f>
        <v>Der Mann legt einen Arm hinter seinen Rücken und passt sich an, um zu versuchen, die Flasche mit seinem Mund abzuholen.</v>
      </c>
    </row>
    <row r="18736">
      <c r="A18736" s="4" t="s">
        <v>23565</v>
      </c>
      <c r="B18736" s="4" t="s">
        <v>23569</v>
      </c>
      <c r="C18736" s="5" t="str">
        <f>IFERROR(__xludf.DUMMYFUNCTION("GOOGLETRANSLATE(B18736,""en"",""de"")"),"Der Mann trinkt dann schnell und legt die Flasche ab.")</f>
        <v>Der Mann trinkt dann schnell und legt die Flasche ab.</v>
      </c>
    </row>
    <row r="18737">
      <c r="A18737" s="4" t="s">
        <v>23565</v>
      </c>
      <c r="B18737" s="4" t="s">
        <v>23570</v>
      </c>
      <c r="C18737" s="5" t="str">
        <f>IFERROR(__xludf.DUMMYFUNCTION("GOOGLETRANSLATE(B18737,""en"",""de"")"),"Wir sehen eine Countdown -Uhr.")</f>
        <v>Wir sehen eine Countdown -Uhr.</v>
      </c>
    </row>
    <row r="18738">
      <c r="A18738" s="4" t="s">
        <v>23571</v>
      </c>
      <c r="B18738" s="4" t="s">
        <v>23572</v>
      </c>
      <c r="C18738" s="5" t="str">
        <f>IFERROR(__xludf.DUMMYFUNCTION("GOOGLETRANSLATE(B18738,""en"",""de"")"),"Wir sehen den weißen Titelbildschirm.")</f>
        <v>Wir sehen den weißen Titelbildschirm.</v>
      </c>
    </row>
    <row r="18739">
      <c r="A18739" s="4" t="s">
        <v>23571</v>
      </c>
      <c r="B18739" s="4" t="s">
        <v>23573</v>
      </c>
      <c r="C18739" s="5" t="str">
        <f>IFERROR(__xludf.DUMMYFUNCTION("GOOGLETRANSLATE(B18739,""en"",""de"")"),"Wir sehen dann einen Barkeeper, der mit zwei Leuten in einer Bar spricht.")</f>
        <v>Wir sehen dann einen Barkeeper, der mit zwei Leuten in einer Bar spricht.</v>
      </c>
    </row>
    <row r="18740">
      <c r="A18740" s="4" t="s">
        <v>23571</v>
      </c>
      <c r="B18740" s="4" t="s">
        <v>23574</v>
      </c>
      <c r="C18740" s="5" t="str">
        <f>IFERROR(__xludf.DUMMYFUNCTION("GOOGLETRANSLATE(B18740,""en"",""de"")"),"Der Mann legt seinen Arm hinter seinen Rücken.")</f>
        <v>Der Mann legt seinen Arm hinter seinen Rücken.</v>
      </c>
    </row>
    <row r="18741">
      <c r="A18741" s="4" t="s">
        <v>23571</v>
      </c>
      <c r="B18741" s="4" t="s">
        <v>23575</v>
      </c>
      <c r="C18741" s="5" t="str">
        <f>IFERROR(__xludf.DUMMYFUNCTION("GOOGLETRANSLATE(B18741,""en"",""de"")"),"Der Barkeeper legt zwei Karten auf die Bar.")</f>
        <v>Der Barkeeper legt zwei Karten auf die Bar.</v>
      </c>
    </row>
    <row r="18742">
      <c r="A18742" s="4" t="s">
        <v>23571</v>
      </c>
      <c r="B18742" s="4" t="s">
        <v>23576</v>
      </c>
      <c r="C18742" s="5" t="str">
        <f>IFERROR(__xludf.DUMMYFUNCTION("GOOGLETRANSLATE(B18742,""en"",""de"")"),"Sie schieben ihre Karten und trinken Bier, ziehen dann Karten und trinken Bier.")</f>
        <v>Sie schieben ihre Karten und trinken Bier, ziehen dann Karten und trinken Bier.</v>
      </c>
    </row>
    <row r="18743">
      <c r="A18743" s="4" t="s">
        <v>23571</v>
      </c>
      <c r="B18743" s="4" t="s">
        <v>23577</v>
      </c>
      <c r="C18743" s="5" t="str">
        <f>IFERROR(__xludf.DUMMYFUNCTION("GOOGLETRANSLATE(B18743,""en"",""de"")"),"Der Barkeeper spuckt das Bier zurück ins Glas.")</f>
        <v>Der Barkeeper spuckt das Bier zurück ins Glas.</v>
      </c>
    </row>
    <row r="18744">
      <c r="A18744" s="4" t="s">
        <v>23571</v>
      </c>
      <c r="B18744" s="4" t="s">
        <v>23578</v>
      </c>
      <c r="C18744" s="5" t="str">
        <f>IFERROR(__xludf.DUMMYFUNCTION("GOOGLETRANSLATE(B18744,""en"",""de"")"),"Der Barkeeper schaut in die Kamera und spricht.")</f>
        <v>Der Barkeeper schaut in die Kamera und spricht.</v>
      </c>
    </row>
    <row r="18745">
      <c r="A18745" s="4" t="s">
        <v>23571</v>
      </c>
      <c r="B18745" s="4" t="s">
        <v>23579</v>
      </c>
      <c r="C18745" s="5" t="str">
        <f>IFERROR(__xludf.DUMMYFUNCTION("GOOGLETRANSLATE(B18745,""en"",""de"")"),"Wir sehen den End -Titelbildschirm.")</f>
        <v>Wir sehen den End -Titelbildschirm.</v>
      </c>
    </row>
    <row r="18746">
      <c r="A18746" s="4" t="s">
        <v>23580</v>
      </c>
      <c r="B18746" s="4" t="s">
        <v>23581</v>
      </c>
      <c r="C18746" s="5" t="str">
        <f>IFERROR(__xludf.DUMMYFUNCTION("GOOGLETRANSLATE(B18746,""en"",""de"")"),"Ein kleiner Junge nimmt einen Bowlingkugel.")</f>
        <v>Ein kleiner Junge nimmt einen Bowlingkugel.</v>
      </c>
    </row>
    <row r="18747">
      <c r="A18747" s="4" t="s">
        <v>23580</v>
      </c>
      <c r="B18747" s="4" t="s">
        <v>23582</v>
      </c>
      <c r="C18747" s="5" t="str">
        <f>IFERROR(__xludf.DUMMYFUNCTION("GOOGLETRANSLATE(B18747,""en"",""de"")"),"Er setzt es auf eine Schiene und schiebt es auf eine Fahrspur.")</f>
        <v>Er setzt es auf eine Schiene und schiebt es auf eine Fahrspur.</v>
      </c>
    </row>
    <row r="18748">
      <c r="A18748" s="4" t="s">
        <v>23580</v>
      </c>
      <c r="B18748" s="4" t="s">
        <v>23583</v>
      </c>
      <c r="C18748" s="5" t="str">
        <f>IFERROR(__xludf.DUMMYFUNCTION("GOOGLETRANSLATE(B18748,""en"",""de"")"),"Eine Frau mit einem Baby, das an der Brust festgeschnallt ist und eine Kugel auf einer Fahrspur hinunterblockt.")</f>
        <v>Eine Frau mit einem Baby, das an der Brust festgeschnallt ist und eine Kugel auf einer Fahrspur hinunterblockt.</v>
      </c>
    </row>
    <row r="18749">
      <c r="A18749" s="4" t="s">
        <v>23584</v>
      </c>
      <c r="B18749" s="4" t="s">
        <v>23585</v>
      </c>
      <c r="C18749" s="5" t="str">
        <f>IFERROR(__xludf.DUMMYFUNCTION("GOOGLETRANSLATE(B18749,""en"",""de"")"),"Ein Mann im karierten Hemd schlug den Ball mit Stock, der Ball auf dem Tisch verstreut.")</f>
        <v>Ein Mann im karierten Hemd schlug den Ball mit Stock, der Ball auf dem Tisch verstreut.</v>
      </c>
    </row>
    <row r="18750">
      <c r="A18750" s="4" t="s">
        <v>23584</v>
      </c>
      <c r="B18750" s="4" t="s">
        <v>23586</v>
      </c>
      <c r="C18750" s="5" t="str">
        <f>IFERROR(__xludf.DUMMYFUNCTION("GOOGLETRANSLATE(B18750,""en"",""de"")"),"Der Mann im grauen Pullover lehnt sich auf den Tisch und schaute den Ball. Dann schlug er den weißen Ball und schlug den gelben Ball, während der Mann im karierten Hemd auf dem Stuhl saß.")</f>
        <v>Der Mann im grauen Pullover lehnt sich auf den Tisch und schaute den Ball. Dann schlug er den weißen Ball und schlug den gelben Ball, während der Mann im karierten Hemd auf dem Stuhl saß.</v>
      </c>
    </row>
    <row r="18751">
      <c r="A18751" s="4" t="s">
        <v>23584</v>
      </c>
      <c r="B18751" s="4" t="s">
        <v>23587</v>
      </c>
      <c r="C18751" s="5" t="str">
        <f>IFERROR(__xludf.DUMMYFUNCTION("GOOGLETRANSLATE(B18751,""en"",""de"")"),"Der Mann im grauen Pullover spielt weiterhin den Billard und lässt die Bälle in den Löchern schießen.")</f>
        <v>Der Mann im grauen Pullover spielt weiterhin den Billard und lässt die Bälle in den Löchern schießen.</v>
      </c>
    </row>
    <row r="18752">
      <c r="A18752" s="4" t="s">
        <v>23588</v>
      </c>
      <c r="B18752" s="4" t="s">
        <v>23589</v>
      </c>
      <c r="C18752" s="5" t="str">
        <f>IFERROR(__xludf.DUMMYFUNCTION("GOOGLETRANSLATE(B18752,""en"",""de"")"),"Eine Hand drückt eine Grasgebläsermaschine.")</f>
        <v>Eine Hand drückt eine Grasgebläsermaschine.</v>
      </c>
    </row>
    <row r="18753">
      <c r="A18753" s="4" t="s">
        <v>23588</v>
      </c>
      <c r="B18753" s="4" t="s">
        <v>23590</v>
      </c>
      <c r="C18753" s="5" t="str">
        <f>IFERROR(__xludf.DUMMYFUNCTION("GOOGLETRANSLATE(B18753,""en"",""de"")"),"Die Maschine spuckte trockene Blätter von einem schwarzen Stangen aus.")</f>
        <v>Die Maschine spuckte trockene Blätter von einem schwarzen Stangen aus.</v>
      </c>
    </row>
    <row r="18754">
      <c r="A18754" s="4" t="s">
        <v>23588</v>
      </c>
      <c r="B18754" s="4" t="s">
        <v>23591</v>
      </c>
      <c r="C18754" s="5" t="str">
        <f>IFERROR(__xludf.DUMMYFUNCTION("GOOGLETRANSLATE(B18754,""en"",""de"")"),"Die Maschine drehte eine Kurve in Richtung des Hauses.")</f>
        <v>Die Maschine drehte eine Kurve in Richtung des Hauses.</v>
      </c>
    </row>
    <row r="18755">
      <c r="A18755" s="4" t="s">
        <v>23592</v>
      </c>
      <c r="B18755" s="4" t="s">
        <v>23593</v>
      </c>
      <c r="C18755" s="5" t="str">
        <f>IFERROR(__xludf.DUMMYFUNCTION("GOOGLETRANSLATE(B18755,""en"",""de"")"),"Eine Frau spricht mit der Kamera und nimmt ihren Ring ab, um ihre Hände unter Wasser zu rennen.")</f>
        <v>Eine Frau spricht mit der Kamera und nimmt ihren Ring ab, um ihre Hände unter Wasser zu rennen.</v>
      </c>
    </row>
    <row r="18756">
      <c r="A18756" s="4" t="s">
        <v>23592</v>
      </c>
      <c r="B18756" s="4" t="s">
        <v>23594</v>
      </c>
      <c r="C18756" s="5" t="str">
        <f>IFERROR(__xludf.DUMMYFUNCTION("GOOGLETRANSLATE(B18756,""en"",""de"")"),"Sie schrubbt die Hände mit Seife und fährt dann mit den Fingern unter das Wasser.")</f>
        <v>Sie schrubbt die Hände mit Seife und fährt dann mit den Fingern unter das Wasser.</v>
      </c>
    </row>
    <row r="18757">
      <c r="A18757" s="4" t="s">
        <v>23592</v>
      </c>
      <c r="B18757" s="4" t="s">
        <v>23595</v>
      </c>
      <c r="C18757" s="5" t="str">
        <f>IFERROR(__xludf.DUMMYFUNCTION("GOOGLETRANSLATE(B18757,""en"",""de"")"),"Am Ende tanzen die Leute einen kleinen Tanz mit dem Zeigen, wie Sie Ihre Hände richtig waschen.")</f>
        <v>Am Ende tanzen die Leute einen kleinen Tanz mit dem Zeigen, wie Sie Ihre Hände richtig waschen.</v>
      </c>
    </row>
    <row r="18758">
      <c r="A18758" s="4" t="s">
        <v>23596</v>
      </c>
      <c r="B18758" s="4" t="s">
        <v>23597</v>
      </c>
      <c r="C18758" s="5" t="str">
        <f>IFERROR(__xludf.DUMMYFUNCTION("GOOGLETRANSLATE(B18758,""en"",""de"")"),"Wir sehen Menschen Tiefsee tauchen.")</f>
        <v>Wir sehen Menschen Tiefsee tauchen.</v>
      </c>
    </row>
    <row r="18759">
      <c r="A18759" s="4" t="s">
        <v>23596</v>
      </c>
      <c r="B18759" s="4" t="s">
        <v>23598</v>
      </c>
      <c r="C18759" s="5" t="str">
        <f>IFERROR(__xludf.DUMMYFUNCTION("GOOGLETRANSLATE(B18759,""en"",""de"")"),"Wir sehen die Oberfläche des Ozeans.")</f>
        <v>Wir sehen die Oberfläche des Ozeans.</v>
      </c>
    </row>
    <row r="18760">
      <c r="A18760" s="4" t="s">
        <v>23596</v>
      </c>
      <c r="B18760" s="4" t="s">
        <v>23599</v>
      </c>
      <c r="C18760" s="5" t="str">
        <f>IFERROR(__xludf.DUMMYFUNCTION("GOOGLETRANSLATE(B18760,""en"",""de"")"),"Wir sehen Menschen, die sich unter Wasser halten.")</f>
        <v>Wir sehen Menschen, die sich unter Wasser halten.</v>
      </c>
    </row>
    <row r="18761">
      <c r="A18761" s="4" t="s">
        <v>23596</v>
      </c>
      <c r="B18761" s="4" t="s">
        <v>23600</v>
      </c>
      <c r="C18761" s="5" t="str">
        <f>IFERROR(__xludf.DUMMYFUNCTION("GOOGLETRANSLATE(B18761,""en"",""de"")"),"Die Leute werfen Handschilder auf.")</f>
        <v>Die Leute werfen Handschilder auf.</v>
      </c>
    </row>
    <row r="18762">
      <c r="A18762" s="4" t="s">
        <v>23596</v>
      </c>
      <c r="B18762" s="4" t="s">
        <v>23601</v>
      </c>
      <c r="C18762" s="5" t="str">
        <f>IFERROR(__xludf.DUMMYFUNCTION("GOOGLETRANSLATE(B18762,""en"",""de"")"),"Wir sehen, dass ein Mann ein Handschild wirft und Menschen im Wasser stehen.")</f>
        <v>Wir sehen, dass ein Mann ein Handschild wirft und Menschen im Wasser stehen.</v>
      </c>
    </row>
    <row r="18763">
      <c r="A18763" s="4" t="s">
        <v>23596</v>
      </c>
      <c r="B18763" s="4" t="s">
        <v>23602</v>
      </c>
      <c r="C18763" s="5" t="str">
        <f>IFERROR(__xludf.DUMMYFUNCTION("GOOGLETRANSLATE(B18763,""en"",""de"")"),"Ein Mann geht langsam unter das Wasser.")</f>
        <v>Ein Mann geht langsam unter das Wasser.</v>
      </c>
    </row>
    <row r="18764">
      <c r="A18764" s="4" t="s">
        <v>23603</v>
      </c>
      <c r="B18764" s="4" t="s">
        <v>23604</v>
      </c>
      <c r="C18764" s="5" t="str">
        <f>IFERROR(__xludf.DUMMYFUNCTION("GOOGLETRANSLATE(B18764,""en"",""de"")"),"Eine kleine Gruppe von Menschen steht an einem Strand, der ein Volleyballspiel spielt.")</f>
        <v>Eine kleine Gruppe von Menschen steht an einem Strand, der ein Volleyballspiel spielt.</v>
      </c>
    </row>
    <row r="18765">
      <c r="A18765" s="4" t="s">
        <v>23603</v>
      </c>
      <c r="B18765" s="4" t="s">
        <v>23605</v>
      </c>
      <c r="C18765" s="5" t="str">
        <f>IFERROR(__xludf.DUMMYFUNCTION("GOOGLETRANSLATE(B18765,""en"",""de"")"),"Eine Person trifft es zur anderen und sie traf das Ballspiel.")</f>
        <v>Eine Person trifft es zur anderen und sie traf das Ballspiel.</v>
      </c>
    </row>
    <row r="18766">
      <c r="A18766" s="4" t="s">
        <v>23603</v>
      </c>
      <c r="B18766" s="4" t="s">
        <v>23606</v>
      </c>
      <c r="C18766" s="5" t="str">
        <f>IFERROR(__xludf.DUMMYFUNCTION("GOOGLETRANSLATE(B18766,""en"",""de"")"),"Das Spiel geht weiter, während die Leute an den Seiten gesehen werden.")</f>
        <v>Das Spiel geht weiter, während die Leute an den Seiten gesehen werden.</v>
      </c>
    </row>
    <row r="18767">
      <c r="A18767" s="4" t="s">
        <v>23607</v>
      </c>
      <c r="B18767" s="4" t="s">
        <v>23608</v>
      </c>
      <c r="C18767" s="5" t="str">
        <f>IFERROR(__xludf.DUMMYFUNCTION("GOOGLETRANSLATE(B18767,""en"",""de"")"),"Ein Mann spielt mit ihren Haaren vor der Kamera und führt in sie, die sich die Haare bürsten.")</f>
        <v>Ein Mann spielt mit ihren Haaren vor der Kamera und führt in sie, die sich die Haare bürsten.</v>
      </c>
    </row>
    <row r="18768">
      <c r="A18768" s="4" t="s">
        <v>23607</v>
      </c>
      <c r="B18768" s="4" t="s">
        <v>23609</v>
      </c>
      <c r="C18768" s="5" t="str">
        <f>IFERROR(__xludf.DUMMYFUNCTION("GOOGLETRANSLATE(B18768,""en"",""de"")"),"Sie bindet dann ihre Haare und trocknete ihre Haare während eines Kamms.")</f>
        <v>Sie bindet dann ihre Haare und trocknete ihre Haare während eines Kamms.</v>
      </c>
    </row>
    <row r="18769">
      <c r="A18769" s="4" t="s">
        <v>23607</v>
      </c>
      <c r="B18769" s="4" t="s">
        <v>23610</v>
      </c>
      <c r="C18769" s="5" t="str">
        <f>IFERROR(__xludf.DUMMYFUNCTION("GOOGLETRANSLATE(B18769,""en"",""de"")"),"Dann nimmt sie ihre Haare ab und leitet Lotion durch ihre Haare, während sie immer noch zur Kamera schaut.")</f>
        <v>Dann nimmt sie ihre Haare ab und leitet Lotion durch ihre Haare, während sie immer noch zur Kamera schaut.</v>
      </c>
    </row>
    <row r="18770">
      <c r="A18770" s="4" t="s">
        <v>23611</v>
      </c>
      <c r="B18770" s="4" t="s">
        <v>23612</v>
      </c>
      <c r="C18770" s="5" t="str">
        <f>IFERROR(__xludf.DUMMYFUNCTION("GOOGLETRANSLATE(B18770,""en"",""de"")"),"Eine Aufnahme eines Bretts zeigt sich, gefolgt von verschiedenen Pfarrer, die Hunde auf Tischen pflegen.")</f>
        <v>Eine Aufnahme eines Bretts zeigt sich, gefolgt von verschiedenen Pfarrer, die Hunde auf Tischen pflegen.</v>
      </c>
    </row>
    <row r="18771">
      <c r="A18771" s="4" t="s">
        <v>23611</v>
      </c>
      <c r="B18771" s="4" t="s">
        <v>23613</v>
      </c>
      <c r="C18771" s="5" t="str">
        <f>IFERROR(__xludf.DUMMYFUNCTION("GOOGLETRANSLATE(B18771,""en"",""de"")"),"Die Leute pflegen die Hunde weiterhin auf Tischen und das Video endet mit Text über dem Bildschirm.")</f>
        <v>Die Leute pflegen die Hunde weiterhin auf Tischen und das Video endet mit Text über dem Bildschirm.</v>
      </c>
    </row>
    <row r="18772">
      <c r="A18772" s="4" t="s">
        <v>23614</v>
      </c>
      <c r="B18772" s="4" t="s">
        <v>23615</v>
      </c>
      <c r="C18772" s="5" t="str">
        <f>IFERROR(__xludf.DUMMYFUNCTION("GOOGLETRANSLATE(B18772,""en"",""de"")"),"Verschiedene Personen lächeln in eine Kamera und werden zu einer Frage interviewt.")</f>
        <v>Verschiedene Personen lächeln in eine Kamera und werden zu einer Frage interviewt.</v>
      </c>
    </row>
    <row r="18773">
      <c r="A18773" s="4" t="s">
        <v>23614</v>
      </c>
      <c r="B18773" s="4" t="s">
        <v>23616</v>
      </c>
      <c r="C18773" s="5" t="str">
        <f>IFERROR(__xludf.DUMMYFUNCTION("GOOGLETRANSLATE(B18773,""en"",""de"")"),"Mehrere andere Fragen werden denselben Leuten sowie Aufnahmen von Menschen gestellt, die Aktivitäten rund um den Strand an einer Schnur durchführen.")</f>
        <v>Mehrere andere Fragen werden denselben Leuten sowie Aufnahmen von Menschen gestellt, die Aktivitäten rund um den Strand an einer Schnur durchführen.</v>
      </c>
    </row>
    <row r="18774">
      <c r="A18774" s="4" t="s">
        <v>23617</v>
      </c>
      <c r="B18774" s="4" t="s">
        <v>23618</v>
      </c>
      <c r="C18774" s="5" t="str">
        <f>IFERROR(__xludf.DUMMYFUNCTION("GOOGLETRANSLATE(B18774,""en"",""de"")"),"Die Vorderseite eines gelben Kajaks wird gesehen, als das Boot durch turbulente weiße Gewässer eines Flusses schwimmt.")</f>
        <v>Die Vorderseite eines gelben Kajaks wird gesehen, als das Boot durch turbulente weiße Gewässer eines Flusses schwimmt.</v>
      </c>
    </row>
    <row r="18775">
      <c r="A18775" s="4" t="s">
        <v>23617</v>
      </c>
      <c r="B18775" s="4" t="s">
        <v>23619</v>
      </c>
      <c r="C18775" s="5" t="str">
        <f>IFERROR(__xludf.DUMMYFUNCTION("GOOGLETRANSLATE(B18775,""en"",""de"")"),"Es geht an einem Felsen und zahlreichen Bäumen vorbei, bevor es langsamer wird.")</f>
        <v>Es geht an einem Felsen und zahlreichen Bäumen vorbei, bevor es langsamer wird.</v>
      </c>
    </row>
    <row r="18776">
      <c r="A18776" s="4" t="s">
        <v>23620</v>
      </c>
      <c r="B18776" s="4" t="s">
        <v>23621</v>
      </c>
      <c r="C18776" s="5" t="str">
        <f>IFERROR(__xludf.DUMMYFUNCTION("GOOGLETRANSLATE(B18776,""en"",""de"")"),"Ein junger blonde Junge wird in mehreren Standbildern gezeigt, darunter mehrere beim Skifahren.")</f>
        <v>Ein junger blonde Junge wird in mehreren Standbildern gezeigt, darunter mehrere beim Skifahren.</v>
      </c>
    </row>
    <row r="18777">
      <c r="A18777" s="4" t="s">
        <v>23620</v>
      </c>
      <c r="B18777" s="4" t="s">
        <v>23622</v>
      </c>
      <c r="C18777" s="5" t="str">
        <f>IFERROR(__xludf.DUMMYFUNCTION("GOOGLETRANSLATE(B18777,""en"",""de"")"),"Anschließend fährt er einen großen Hügel aus mehreren Winkeln und Videos.")</f>
        <v>Anschließend fährt er einen großen Hügel aus mehreren Winkeln und Videos.</v>
      </c>
    </row>
    <row r="18778">
      <c r="A18778" s="4" t="s">
        <v>23620</v>
      </c>
      <c r="B18778" s="4" t="s">
        <v>23623</v>
      </c>
      <c r="C18778" s="5" t="str">
        <f>IFERROR(__xludf.DUMMYFUNCTION("GOOGLETRANSLATE(B18778,""en"",""de"")"),"Er landet auf einem kleinen Hügel und fällt um.")</f>
        <v>Er landet auf einem kleinen Hügel und fällt um.</v>
      </c>
    </row>
    <row r="18779">
      <c r="A18779" s="4" t="s">
        <v>23620</v>
      </c>
      <c r="B18779" s="4" t="s">
        <v>23624</v>
      </c>
      <c r="C18779" s="5" t="str">
        <f>IFERROR(__xludf.DUMMYFUNCTION("GOOGLETRANSLATE(B18779,""en"",""de"")"),"Wir sehen dann ein Bild von ihm, der auf einer Couch schläft.")</f>
        <v>Wir sehen dann ein Bild von ihm, der auf einer Couch schläft.</v>
      </c>
    </row>
    <row r="18780">
      <c r="A18780" s="4" t="s">
        <v>23625</v>
      </c>
      <c r="B18780" s="4" t="s">
        <v>23626</v>
      </c>
      <c r="C18780" s="5" t="str">
        <f>IFERROR(__xludf.DUMMYFUNCTION("GOOGLETRANSLATE(B18780,""en"",""de"")"),"Ein Mann befindet sich in einem Raum in einem Haus.")</f>
        <v>Ein Mann befindet sich in einem Raum in einem Haus.</v>
      </c>
    </row>
    <row r="18781">
      <c r="A18781" s="4" t="s">
        <v>23625</v>
      </c>
      <c r="B18781" s="4" t="s">
        <v>23627</v>
      </c>
      <c r="C18781" s="5" t="str">
        <f>IFERROR(__xludf.DUMMYFUNCTION("GOOGLETRANSLATE(B18781,""en"",""de"")"),"Er benutzt einen Schläger, um einen Tennisball gegen eine Wand hin und her zu schlagen.")</f>
        <v>Er benutzt einen Schläger, um einen Tennisball gegen eine Wand hin und her zu schlagen.</v>
      </c>
    </row>
    <row r="18782">
      <c r="A18782" s="4" t="s">
        <v>23625</v>
      </c>
      <c r="B18782" s="4" t="s">
        <v>23628</v>
      </c>
      <c r="C18782" s="5" t="str">
        <f>IFERROR(__xludf.DUMMYFUNCTION("GOOGLETRANSLATE(B18782,""en"",""de"")"),"Er schlägt weiter auf den Ball, bis er das Spiel gespielt hat.")</f>
        <v>Er schlägt weiter auf den Ball, bis er das Spiel gespielt hat.</v>
      </c>
    </row>
    <row r="18783">
      <c r="A18783" s="4" t="s">
        <v>23629</v>
      </c>
      <c r="B18783" s="4" t="s">
        <v>23630</v>
      </c>
      <c r="C18783" s="5" t="str">
        <f>IFERROR(__xludf.DUMMYFUNCTION("GOOGLETRANSLATE(B18783,""en"",""de"")"),"Ein paar Zitronen sitzen auf einem Tisch mit Brillen und Tellern und führen zu einer Person, die die Zitronen in einen Behälter steckt.")</f>
        <v>Ein paar Zitronen sitzen auf einem Tisch mit Brillen und Tellern und führen zu einer Person, die die Zitronen in einen Behälter steckt.</v>
      </c>
    </row>
    <row r="18784">
      <c r="A18784" s="4" t="s">
        <v>23629</v>
      </c>
      <c r="B18784" s="4" t="s">
        <v>23631</v>
      </c>
      <c r="C18784" s="5" t="str">
        <f>IFERROR(__xludf.DUMMYFUNCTION("GOOGLETRANSLATE(B18784,""en"",""de"")"),"Er mischt Zutaten mit den Zitronen und schüttelt sie in ein anderes Glas.")</f>
        <v>Er mischt Zutaten mit den Zitronen und schüttelt sie in ein anderes Glas.</v>
      </c>
    </row>
    <row r="18785">
      <c r="A18785" s="4" t="s">
        <v>23629</v>
      </c>
      <c r="B18785" s="4" t="s">
        <v>23632</v>
      </c>
      <c r="C18785" s="5" t="str">
        <f>IFERROR(__xludf.DUMMYFUNCTION("GOOGLETRANSLATE(B18785,""en"",""de"")"),"Er beendet die Limonade und präsentiert sie der Kamera, während er gleichzeitig einen Schluck nimmt.")</f>
        <v>Er beendet die Limonade und präsentiert sie der Kamera, während er gleichzeitig einen Schluck nimmt.</v>
      </c>
    </row>
    <row r="18786">
      <c r="A18786" s="4" t="s">
        <v>23633</v>
      </c>
      <c r="B18786" s="4" t="s">
        <v>23634</v>
      </c>
      <c r="C18786" s="5" t="str">
        <f>IFERROR(__xludf.DUMMYFUNCTION("GOOGLETRANSLATE(B18786,""en"",""de"")"),"Die Leute sind gesehen, die durch ein Gymnasium herumlaufen und führt zu einem zwischen den Bars stehen.")</f>
        <v>Die Leute sind gesehen, die durch ein Gymnasium herumlaufen und führt zu einem zwischen den Bars stehen.</v>
      </c>
    </row>
    <row r="18787">
      <c r="A18787" s="4" t="s">
        <v>23633</v>
      </c>
      <c r="B18787" s="4" t="s">
        <v>23635</v>
      </c>
      <c r="C18787" s="5" t="str">
        <f>IFERROR(__xludf.DUMMYFUNCTION("GOOGLETRANSLATE(B18787,""en"",""de"")"),"Der Turner bewegt sich dann um die Bars und springt danach nach unten.")</f>
        <v>Der Turner bewegt sich dann um die Bars und springt danach nach unten.</v>
      </c>
    </row>
    <row r="18788">
      <c r="A18788" s="4" t="s">
        <v>23633</v>
      </c>
      <c r="B18788" s="4" t="s">
        <v>23636</v>
      </c>
      <c r="C18788" s="5" t="str">
        <f>IFERROR(__xludf.DUMMYFUNCTION("GOOGLETRANSLATE(B18788,""en"",""de"")"),"Ein anderer Mann tritt an die Bars und versucht, sich zu drehen.")</f>
        <v>Ein anderer Mann tritt an die Bars und versucht, sich zu drehen.</v>
      </c>
    </row>
    <row r="18789">
      <c r="A18789" s="4" t="s">
        <v>23637</v>
      </c>
      <c r="B18789" s="4" t="s">
        <v>23638</v>
      </c>
      <c r="C18789" s="5" t="str">
        <f>IFERROR(__xludf.DUMMYFUNCTION("GOOGLETRANSLATE(B18789,""en"",""de"")"),"Ein Kleinkind waschen einen Hund in einer Badewanne, die Wasser mit dem Duschschlauch gießt.")</f>
        <v>Ein Kleinkind waschen einen Hund in einer Badewanne, die Wasser mit dem Duschschlauch gießt.</v>
      </c>
    </row>
    <row r="18790">
      <c r="A18790" s="4" t="s">
        <v>23637</v>
      </c>
      <c r="B18790" s="4" t="s">
        <v>23639</v>
      </c>
      <c r="C18790" s="5" t="str">
        <f>IFERROR(__xludf.DUMMYFUNCTION("GOOGLETRANSLATE(B18790,""en"",""de"")"),"Das Kleinkind erhöht den Schwanz des Pferdes und wäscht den Hintern.")</f>
        <v>Das Kleinkind erhöht den Schwanz des Pferdes und wäscht den Hintern.</v>
      </c>
    </row>
    <row r="18791">
      <c r="A18791" s="4" t="s">
        <v>23637</v>
      </c>
      <c r="B18791" s="4" t="s">
        <v>23640</v>
      </c>
      <c r="C18791" s="5" t="str">
        <f>IFERROR(__xludf.DUMMYFUNCTION("GOOGLETRANSLATE(B18791,""en"",""de"")"),"Danach nehmen Sie das Kleinkind einen Pinsel und schrubben Sie und waschen Sie den Hund.")</f>
        <v>Danach nehmen Sie das Kleinkind einen Pinsel und schrubben Sie und waschen Sie den Hund.</v>
      </c>
    </row>
    <row r="18792">
      <c r="A18792" s="4" t="s">
        <v>23641</v>
      </c>
      <c r="B18792" s="4" t="s">
        <v>23642</v>
      </c>
      <c r="C18792" s="5" t="str">
        <f>IFERROR(__xludf.DUMMYFUNCTION("GOOGLETRANSLATE(B18792,""en"",""de"")"),"Ein Mann fährt ein Paar Wasserskier, während er an einem Boot befestigt ist.")</f>
        <v>Ein Mann fährt ein Paar Wasserskier, während er an einem Boot befestigt ist.</v>
      </c>
    </row>
    <row r="18793">
      <c r="A18793" s="4" t="s">
        <v>23641</v>
      </c>
      <c r="B18793" s="4" t="s">
        <v>23643</v>
      </c>
      <c r="C18793" s="5" t="str">
        <f>IFERROR(__xludf.DUMMYFUNCTION("GOOGLETRANSLATE(B18793,""en"",""de"")"),"Er schwingt von einer Seite zur Seite im Wasser und hält sich fest.")</f>
        <v>Er schwingt von einer Seite zur Seite im Wasser und hält sich fest.</v>
      </c>
    </row>
    <row r="18794">
      <c r="A18794" s="4" t="s">
        <v>23641</v>
      </c>
      <c r="B18794" s="4" t="s">
        <v>23644</v>
      </c>
      <c r="C18794" s="5" t="str">
        <f>IFERROR(__xludf.DUMMYFUNCTION("GOOGLETRANSLATE(B18794,""en"",""de"")"),"Er springt als Stunt in die Luft, verliert dann das Gleichgewicht und fällt ins Wasser.")</f>
        <v>Er springt als Stunt in die Luft, verliert dann das Gleichgewicht und fällt ins Wasser.</v>
      </c>
    </row>
    <row r="18795">
      <c r="A18795" s="4" t="s">
        <v>23645</v>
      </c>
      <c r="B18795" s="4" t="s">
        <v>23646</v>
      </c>
      <c r="C18795" s="5" t="str">
        <f>IFERROR(__xludf.DUMMYFUNCTION("GOOGLETRANSLATE(B18795,""en"",""de"")"),"Zwei Teams spielen einen Tauziehen, während der Schiedsrichter in der Mitte ist und nebenbei Menschen fotografieren.")</f>
        <v>Zwei Teams spielen einen Tauziehen, während der Schiedsrichter in der Mitte ist und nebenbei Menschen fotografieren.</v>
      </c>
    </row>
    <row r="18796">
      <c r="A18796" s="4" t="s">
        <v>23645</v>
      </c>
      <c r="B18796" s="4" t="s">
        <v>23647</v>
      </c>
      <c r="C18796" s="5" t="str">
        <f>IFERROR(__xludf.DUMMYFUNCTION("GOOGLETRANSLATE(B18796,""en"",""de"")"),"Der Schiedsrichter hat dem Team Signal gesenkt, um zu ziehen, die Spieler ziehen das Seil mit aller Macht, bis das Blue -Team gewonnen hat, auf der anderen Seite der Spur spielen ein anderes Team Tauziehen und die Kamera pflegen sich auf Das Publikum, das"&amp;" das Spiel beobachtet.")</f>
        <v>Der Schiedsrichter hat dem Team Signal gesenkt, um zu ziehen, die Spieler ziehen das Seil mit aller Macht, bis das Blue -Team gewonnen hat, auf der anderen Seite der Spur spielen ein anderes Team Tauziehen und die Kamera pflegen sich auf Das Publikum, das das Spiel beobachtet.</v>
      </c>
    </row>
    <row r="18797">
      <c r="A18797" s="4" t="s">
        <v>23648</v>
      </c>
      <c r="B18797" s="4" t="s">
        <v>23649</v>
      </c>
      <c r="C18797" s="5" t="str">
        <f>IFERROR(__xludf.DUMMYFUNCTION("GOOGLETRANSLATE(B18797,""en"",""de"")"),"Eine Frau benutzt eine rosa Bürste, um ihre Zähne zu putzen.")</f>
        <v>Eine Frau benutzt eine rosa Bürste, um ihre Zähne zu putzen.</v>
      </c>
    </row>
    <row r="18798">
      <c r="A18798" s="4" t="s">
        <v>23648</v>
      </c>
      <c r="B18798" s="4" t="s">
        <v>23650</v>
      </c>
      <c r="C18798" s="5" t="str">
        <f>IFERROR(__xludf.DUMMYFUNCTION("GOOGLETRANSLATE(B18798,""en"",""de"")"),"Sie streift sehr schnell und kräftig.")</f>
        <v>Sie streift sehr schnell und kräftig.</v>
      </c>
    </row>
    <row r="18799">
      <c r="A18799" s="4" t="s">
        <v>23648</v>
      </c>
      <c r="B18799" s="4" t="s">
        <v>23651</v>
      </c>
      <c r="C18799" s="5" t="str">
        <f>IFERROR(__xludf.DUMMYFUNCTION("GOOGLETRANSLATE(B18799,""en"",""de"")"),"Sie putzt ihre oberen und unteren Zähne.")</f>
        <v>Sie putzt ihre oberen und unteren Zähne.</v>
      </c>
    </row>
    <row r="18800">
      <c r="A18800" s="4" t="s">
        <v>23648</v>
      </c>
      <c r="B18800" s="4" t="s">
        <v>23652</v>
      </c>
      <c r="C18800" s="5" t="str">
        <f>IFERROR(__xludf.DUMMYFUNCTION("GOOGLETRANSLATE(B18800,""en"",""de"")"),"Sie streckt ihre Zunge aus, um die Zahnpasta zu reinigen.")</f>
        <v>Sie streckt ihre Zunge aus, um die Zahnpasta zu reinigen.</v>
      </c>
    </row>
    <row r="18801">
      <c r="A18801" s="4" t="s">
        <v>23648</v>
      </c>
      <c r="B18801" s="4" t="s">
        <v>23653</v>
      </c>
      <c r="C18801" s="5" t="str">
        <f>IFERROR(__xludf.DUMMYFUNCTION("GOOGLETRANSLATE(B18801,""en"",""de"")"),"Sie überprüft ihre Zähne, um zu sehen, ob sie sauber genug sind.")</f>
        <v>Sie überprüft ihre Zähne, um zu sehen, ob sie sauber genug sind.</v>
      </c>
    </row>
    <row r="18802">
      <c r="A18802" s="4" t="s">
        <v>23648</v>
      </c>
      <c r="B18802" s="4" t="s">
        <v>23654</v>
      </c>
      <c r="C18802" s="5" t="str">
        <f>IFERROR(__xludf.DUMMYFUNCTION("GOOGLETRANSLATE(B18802,""en"",""de"")"),"Während sie weiter streift, öffnet sie den Mund.")</f>
        <v>Während sie weiter streift, öffnet sie den Mund.</v>
      </c>
    </row>
    <row r="18803">
      <c r="A18803" s="4" t="s">
        <v>23648</v>
      </c>
      <c r="B18803" s="4" t="s">
        <v>23655</v>
      </c>
      <c r="C18803" s="5" t="str">
        <f>IFERROR(__xludf.DUMMYFUNCTION("GOOGLETRANSLATE(B18803,""en"",""de"")"),"Einige der Zahnpasta fallen nieder.")</f>
        <v>Einige der Zahnpasta fallen nieder.</v>
      </c>
    </row>
    <row r="18804">
      <c r="A18804" s="4" t="s">
        <v>23648</v>
      </c>
      <c r="B18804" s="4" t="s">
        <v>23656</v>
      </c>
      <c r="C18804" s="5" t="str">
        <f>IFERROR(__xludf.DUMMYFUNCTION("GOOGLETRANSLATE(B18804,""en"",""de"")"),"Sie beginnt gründlich ihre Zunge zu bürsten.")</f>
        <v>Sie beginnt gründlich ihre Zunge zu bürsten.</v>
      </c>
    </row>
    <row r="18805">
      <c r="A18805" s="4" t="s">
        <v>23648</v>
      </c>
      <c r="B18805" s="4" t="s">
        <v>23657</v>
      </c>
      <c r="C18805" s="5" t="str">
        <f>IFERROR(__xludf.DUMMYFUNCTION("GOOGLETRANSLATE(B18805,""en"",""de"")"),"Dann putzt sie weiter ihre oberen und unteren Zähne.")</f>
        <v>Dann putzt sie weiter ihre oberen und unteren Zähne.</v>
      </c>
    </row>
    <row r="18806">
      <c r="A18806" s="4" t="s">
        <v>23648</v>
      </c>
      <c r="B18806" s="4" t="s">
        <v>23658</v>
      </c>
      <c r="C18806" s="5" t="str">
        <f>IFERROR(__xludf.DUMMYFUNCTION("GOOGLETRANSLATE(B18806,""en"",""de"")"),"Dann streckt sie ihre Zunge heraus und kratzt sie gegen ihre Zähne.")</f>
        <v>Dann streckt sie ihre Zunge heraus und kratzt sie gegen ihre Zähne.</v>
      </c>
    </row>
    <row r="18807">
      <c r="A18807" s="4" t="s">
        <v>23648</v>
      </c>
      <c r="B18807" s="4" t="s">
        <v>23659</v>
      </c>
      <c r="C18807" s="5" t="str">
        <f>IFERROR(__xludf.DUMMYFUNCTION("GOOGLETRANSLATE(B18807,""en"",""de"")"),"Sie spuckt etwas Zahnpasta aus.")</f>
        <v>Sie spuckt etwas Zahnpasta aus.</v>
      </c>
    </row>
    <row r="18808">
      <c r="A18808" s="4" t="s">
        <v>23648</v>
      </c>
      <c r="B18808" s="4" t="s">
        <v>23660</v>
      </c>
      <c r="C18808" s="5" t="str">
        <f>IFERROR(__xludf.DUMMYFUNCTION("GOOGLETRANSLATE(B18808,""en"",""de"")"),"Einige der Zahnpasta fällt auf ihr Kinn, so dass es wie ein weißer Bart aussieht.")</f>
        <v>Einige der Zahnpasta fällt auf ihr Kinn, so dass es wie ein weißer Bart aussieht.</v>
      </c>
    </row>
    <row r="18809">
      <c r="A18809" s="4" t="s">
        <v>23648</v>
      </c>
      <c r="B18809" s="4" t="s">
        <v>23661</v>
      </c>
      <c r="C18809" s="5" t="str">
        <f>IFERROR(__xludf.DUMMYFUNCTION("GOOGLETRANSLATE(B18809,""en"",""de"")"),"Sie gibt vor, der Weihnachtsmann zu sein und sagt: Ho, Ho, Frohe Weihnachten.")</f>
        <v>Sie gibt vor, der Weihnachtsmann zu sein und sagt: Ho, Ho, Frohe Weihnachten.</v>
      </c>
    </row>
    <row r="18810">
      <c r="A18810" s="4" t="s">
        <v>23648</v>
      </c>
      <c r="B18810" s="4" t="s">
        <v>23662</v>
      </c>
      <c r="C18810" s="5" t="str">
        <f>IFERROR(__xludf.DUMMYFUNCTION("GOOGLETRANSLATE(B18810,""en"",""de"")"),"Dann lacht sie, als sie ihre Zähne mit einem breiten Lächeln zeigt.")</f>
        <v>Dann lacht sie, als sie ihre Zähne mit einem breiten Lächeln zeigt.</v>
      </c>
    </row>
    <row r="18811">
      <c r="A18811" s="4" t="s">
        <v>23663</v>
      </c>
      <c r="B18811" s="4" t="s">
        <v>23664</v>
      </c>
      <c r="C18811" s="5" t="str">
        <f>IFERROR(__xludf.DUMMYFUNCTION("GOOGLETRANSLATE(B18811,""en"",""de"")"),"Eine große Gruppe von Menschen sitzt im Kreis herum und 2 Bullen, die in der Grube stehen.")</f>
        <v>Eine große Gruppe von Menschen sitzt im Kreis herum und 2 Bullen, die in der Grube stehen.</v>
      </c>
    </row>
    <row r="18812">
      <c r="A18812" s="4" t="s">
        <v>23663</v>
      </c>
      <c r="B18812" s="4" t="s">
        <v>23665</v>
      </c>
      <c r="C18812" s="5" t="str">
        <f>IFERROR(__xludf.DUMMYFUNCTION("GOOGLETRANSLATE(B18812,""en"",""de"")"),"Die Tiere und Menschen gehen weiterhin umeinander herum und führen in die Bullen, die gegeneinander kämpfen.")</f>
        <v>Die Tiere und Menschen gehen weiterhin umeinander herum und führen in die Bullen, die gegeneinander kämpfen.</v>
      </c>
    </row>
    <row r="18813">
      <c r="A18813" s="4" t="s">
        <v>23666</v>
      </c>
      <c r="B18813" s="4" t="s">
        <v>23667</v>
      </c>
      <c r="C18813" s="5" t="str">
        <f>IFERROR(__xludf.DUMMYFUNCTION("GOOGLETRANSLATE(B18813,""en"",""de"")"),"Ein Logo erscheint dann das Wortzäune.")</f>
        <v>Ein Logo erscheint dann das Wortzäune.</v>
      </c>
    </row>
    <row r="18814">
      <c r="A18814" s="4" t="s">
        <v>23666</v>
      </c>
      <c r="B18814" s="4" t="s">
        <v>23668</v>
      </c>
      <c r="C18814" s="5" t="str">
        <f>IFERROR(__xludf.DUMMYFUNCTION("GOOGLETRANSLATE(B18814,""en"",""de"")"),"Menschen beginnen zusammen zu zänen.")</f>
        <v>Menschen beginnen zusammen zu zänen.</v>
      </c>
    </row>
    <row r="18815">
      <c r="A18815" s="4" t="s">
        <v>23666</v>
      </c>
      <c r="B18815" s="4" t="s">
        <v>23669</v>
      </c>
      <c r="C18815" s="5" t="str">
        <f>IFERROR(__xludf.DUMMYFUNCTION("GOOGLETRANSLATE(B18815,""en"",""de"")"),"Die Menschen richten sich auf den Zaun vor und werden auf verschiedene Weise Fechten gezeigt.")</f>
        <v>Die Menschen richten sich auf den Zaun vor und werden auf verschiedene Weise Fechten gezeigt.</v>
      </c>
    </row>
    <row r="18816">
      <c r="A18816" s="4" t="s">
        <v>23670</v>
      </c>
      <c r="B18816" s="4" t="s">
        <v>23671</v>
      </c>
      <c r="C18816" s="5" t="str">
        <f>IFERROR(__xludf.DUMMYFUNCTION("GOOGLETRANSLATE(B18816,""en"",""de"")"),"Der Boden eines trüben Flusses wird gezeigt und dann zum Namen der Federn blitzt.")</f>
        <v>Der Boden eines trüben Flusses wird gezeigt und dann zum Namen der Federn blitzt.</v>
      </c>
    </row>
    <row r="18817">
      <c r="A18817" s="4" t="s">
        <v>23670</v>
      </c>
      <c r="B18817" s="4" t="s">
        <v>23672</v>
      </c>
      <c r="C18817" s="5" t="str">
        <f>IFERROR(__xludf.DUMMYFUNCTION("GOOGLETRANSLATE(B18817,""en"",""de"")"),"Eine Gruppe von Menschen wird gezeigt und sie beginnen, Schwimmer zu bekommen und zu spielen und zu schweben, durch die Quellen.")</f>
        <v>Eine Gruppe von Menschen wird gezeigt und sie beginnen, Schwimmer zu bekommen und zu spielen und zu schweben, durch die Quellen.</v>
      </c>
    </row>
    <row r="18818">
      <c r="A18818" s="4" t="s">
        <v>23670</v>
      </c>
      <c r="B18818" s="4" t="s">
        <v>23673</v>
      </c>
      <c r="C18818" s="5" t="str">
        <f>IFERROR(__xludf.DUMMYFUNCTION("GOOGLETRANSLATE(B18818,""en"",""de"")"),"Zwei Kinder sind zusammen auf den Felsen und fangen eine Libelle.")</f>
        <v>Zwei Kinder sind zusammen auf den Felsen und fangen eine Libelle.</v>
      </c>
    </row>
    <row r="18819">
      <c r="A18819" s="4" t="s">
        <v>23670</v>
      </c>
      <c r="B18819" s="4" t="s">
        <v>23674</v>
      </c>
      <c r="C18819" s="5" t="str">
        <f>IFERROR(__xludf.DUMMYFUNCTION("GOOGLETRANSLATE(B18819,""en"",""de"")"),"Danach werden verschiedene Menschen gezeigt und ein Paar schwimmt zusammen mit einem Hund auf dem Schoß des Mannes.")</f>
        <v>Danach werden verschiedene Menschen gezeigt und ein Paar schwimmt zusammen mit einem Hund auf dem Schoß des Mannes.</v>
      </c>
    </row>
    <row r="18820">
      <c r="A18820" s="4" t="s">
        <v>23675</v>
      </c>
      <c r="B18820" s="4" t="s">
        <v>23676</v>
      </c>
      <c r="C18820" s="5" t="str">
        <f>IFERROR(__xludf.DUMMYFUNCTION("GOOGLETRANSLATE(B18820,""en"",""de"")"),"Zuerst drückt der Mann einen Reifen und er tritt hinein.")</f>
        <v>Zuerst drückt der Mann einen Reifen und er tritt hinein.</v>
      </c>
    </row>
    <row r="18821">
      <c r="A18821" s="4" t="s">
        <v>23675</v>
      </c>
      <c r="B18821" s="4" t="s">
        <v>23677</v>
      </c>
      <c r="C18821" s="5" t="str">
        <f>IFERROR(__xludf.DUMMYFUNCTION("GOOGLETRANSLATE(B18821,""en"",""de"")"),"Dann beginnt er Hula, sich damit im Reifen um seine Taille zu reiben.")</f>
        <v>Dann beginnt er Hula, sich damit im Reifen um seine Taille zu reiben.</v>
      </c>
    </row>
    <row r="18822">
      <c r="A18822" s="4" t="s">
        <v>23678</v>
      </c>
      <c r="B18822" s="4" t="s">
        <v>23679</v>
      </c>
      <c r="C18822" s="5" t="str">
        <f>IFERROR(__xludf.DUMMYFUNCTION("GOOGLETRANSLATE(B18822,""en"",""de"")"),"Leute, die Instrumente spielen, sind auf der Bühne.")</f>
        <v>Leute, die Instrumente spielen, sind auf der Bühne.</v>
      </c>
    </row>
    <row r="18823">
      <c r="A18823" s="4" t="s">
        <v>23678</v>
      </c>
      <c r="B18823" s="4" t="s">
        <v>23680</v>
      </c>
      <c r="C18823" s="5" t="str">
        <f>IFERROR(__xludf.DUMMYFUNCTION("GOOGLETRANSLATE(B18823,""en"",""de"")"),"Ein Mann in einem Anzug geht auf die Bühne und beginnt zu reden.")</f>
        <v>Ein Mann in einem Anzug geht auf die Bühne und beginnt zu reden.</v>
      </c>
    </row>
    <row r="18824">
      <c r="A18824" s="4" t="s">
        <v>23678</v>
      </c>
      <c r="B18824" s="4" t="s">
        <v>23681</v>
      </c>
      <c r="C18824" s="5" t="str">
        <f>IFERROR(__xludf.DUMMYFUNCTION("GOOGLETRANSLATE(B18824,""en"",""de"")"),"Die Band spielt immer wieder im Hintergrund.")</f>
        <v>Die Band spielt immer wieder im Hintergrund.</v>
      </c>
    </row>
    <row r="18825">
      <c r="A18825" s="4" t="s">
        <v>23682</v>
      </c>
      <c r="B18825" s="4" t="s">
        <v>23683</v>
      </c>
      <c r="C18825" s="5" t="str">
        <f>IFERROR(__xludf.DUMMYFUNCTION("GOOGLETRANSLATE(B18825,""en"",""de"")"),"Eine Frau ist gesehen, wie er auf den Boden kniet und mit der Kamera spricht, während ein Hund neben ihr liegt.")</f>
        <v>Eine Frau ist gesehen, wie er auf den Boden kniet und mit der Kamera spricht, während ein Hund neben ihr liegt.</v>
      </c>
    </row>
    <row r="18826">
      <c r="A18826" s="4" t="s">
        <v>23682</v>
      </c>
      <c r="B18826" s="4" t="s">
        <v>23684</v>
      </c>
      <c r="C18826" s="5" t="str">
        <f>IFERROR(__xludf.DUMMYFUNCTION("GOOGLETRANSLATE(B18826,""en"",""de"")"),"Die Frau wird dann gesehen, wie sie Seife und Wasser über einen Hund im Waschbecken läuft und beendet, indem er ihn abräumt und ihn herumläuft und aufgeregt ist.")</f>
        <v>Die Frau wird dann gesehen, wie sie Seife und Wasser über einen Hund im Waschbecken läuft und beendet, indem er ihn abräumt und ihn herumläuft und aufgeregt ist.</v>
      </c>
    </row>
    <row r="18827">
      <c r="A18827" s="4" t="s">
        <v>23685</v>
      </c>
      <c r="B18827" s="4" t="s">
        <v>23686</v>
      </c>
      <c r="C18827" s="5" t="str">
        <f>IFERROR(__xludf.DUMMYFUNCTION("GOOGLETRANSLATE(B18827,""en"",""de"")"),"Ein Mann arbeitet in einem Garten im Freien.")</f>
        <v>Ein Mann arbeitet in einem Garten im Freien.</v>
      </c>
    </row>
    <row r="18828">
      <c r="A18828" s="4" t="s">
        <v>23685</v>
      </c>
      <c r="B18828" s="4" t="s">
        <v>23687</v>
      </c>
      <c r="C18828" s="5" t="str">
        <f>IFERROR(__xludf.DUMMYFUNCTION("GOOGLETRANSLATE(B18828,""en"",""de"")"),"Er verwendet Tools, während er arbeitet.")</f>
        <v>Er verwendet Tools, während er arbeitet.</v>
      </c>
    </row>
    <row r="18829">
      <c r="A18829" s="4" t="s">
        <v>23685</v>
      </c>
      <c r="B18829" s="4" t="s">
        <v>23688</v>
      </c>
      <c r="C18829" s="5" t="str">
        <f>IFERROR(__xludf.DUMMYFUNCTION("GOOGLETRANSLATE(B18829,""en"",""de"")"),"Er schneidet eine lange Reihe von Hecken ab und räumt dann die Trümmer auf.")</f>
        <v>Er schneidet eine lange Reihe von Hecken ab und räumt dann die Trümmer auf.</v>
      </c>
    </row>
    <row r="18830">
      <c r="A18830" s="4" t="s">
        <v>23689</v>
      </c>
      <c r="B18830" s="4" t="s">
        <v>23690</v>
      </c>
      <c r="C18830" s="5" t="str">
        <f>IFERROR(__xludf.DUMMYFUNCTION("GOOGLETRANSLATE(B18830,""en"",""de"")"),"Wir sehen eine Reihe von Trommeln und einen Mann, der hinter den Trommeln steht und etwas trinken und ein Getränk hält.")</f>
        <v>Wir sehen eine Reihe von Trommeln und einen Mann, der hinter den Trommeln steht und etwas trinken und ein Getränk hält.</v>
      </c>
    </row>
    <row r="18831">
      <c r="A18831" s="4" t="s">
        <v>23689</v>
      </c>
      <c r="B18831" s="4" t="s">
        <v>23691</v>
      </c>
      <c r="C18831" s="5" t="str">
        <f>IFERROR(__xludf.DUMMYFUNCTION("GOOGLETRANSLATE(B18831,""en"",""de"")"),"Der Mann trinkt aus dem Getränk und legt es nieder.")</f>
        <v>Der Mann trinkt aus dem Getränk und legt es nieder.</v>
      </c>
    </row>
    <row r="18832">
      <c r="A18832" s="4" t="s">
        <v>23689</v>
      </c>
      <c r="B18832" s="4" t="s">
        <v>23692</v>
      </c>
      <c r="C18832" s="5" t="str">
        <f>IFERROR(__xludf.DUMMYFUNCTION("GOOGLETRANSLATE(B18832,""en"",""de"")"),"Der Mann spielt mit den Händen zum Schlagzeug.")</f>
        <v>Der Mann spielt mit den Händen zum Schlagzeug.</v>
      </c>
    </row>
    <row r="18833">
      <c r="A18833" s="4" t="s">
        <v>23689</v>
      </c>
      <c r="B18833" s="4" t="s">
        <v>23693</v>
      </c>
      <c r="C18833" s="5" t="str">
        <f>IFERROR(__xludf.DUMMYFUNCTION("GOOGLETRANSLATE(B18833,""en"",""de"")"),"Der Mann hält an und spricht, bevor er wieder Schlagzeug spielt.")</f>
        <v>Der Mann hält an und spricht, bevor er wieder Schlagzeug spielt.</v>
      </c>
    </row>
    <row r="18834">
      <c r="A18834" s="4" t="s">
        <v>23689</v>
      </c>
      <c r="B18834" s="4" t="s">
        <v>23694</v>
      </c>
      <c r="C18834" s="5" t="str">
        <f>IFERROR(__xludf.DUMMYFUNCTION("GOOGLETRANSLATE(B18834,""en"",""de"")"),"Der Mann steht am Schlagzeug und tanzt.")</f>
        <v>Der Mann steht am Schlagzeug und tanzt.</v>
      </c>
    </row>
    <row r="18835">
      <c r="A18835" s="4" t="s">
        <v>23689</v>
      </c>
      <c r="B18835" s="4" t="s">
        <v>23695</v>
      </c>
      <c r="C18835" s="5" t="str">
        <f>IFERROR(__xludf.DUMMYFUNCTION("GOOGLETRANSLATE(B18835,""en"",""de"")"),"Wir sehen zwei Männer sitzen und der erste Mann klatscht in die Hände.")</f>
        <v>Wir sehen zwei Männer sitzen und der erste Mann klatscht in die Hände.</v>
      </c>
    </row>
    <row r="18836">
      <c r="A18836" s="4" t="s">
        <v>23689</v>
      </c>
      <c r="B18836" s="4" t="s">
        <v>23696</v>
      </c>
      <c r="C18836" s="5" t="str">
        <f>IFERROR(__xludf.DUMMYFUNCTION("GOOGLETRANSLATE(B18836,""en"",""de"")"),"Wir sehen den Mann, der Maracas spielt, während eine Dame in der Nähe tanzt, der Mann hält an und die Dame wendet sich ab.")</f>
        <v>Wir sehen den Mann, der Maracas spielt, während eine Dame in der Nähe tanzt, der Mann hält an und die Dame wendet sich ab.</v>
      </c>
    </row>
    <row r="18837">
      <c r="A18837" s="4" t="s">
        <v>23697</v>
      </c>
      <c r="B18837" s="4" t="s">
        <v>23698</v>
      </c>
      <c r="C18837" s="5" t="str">
        <f>IFERROR(__xludf.DUMMYFUNCTION("GOOGLETRANSLATE(B18837,""en"",""de"")"),"Es gibt einen jungen Jungen, der ein schwarzes Hemd und schwarze Shorts in einem Feld mit einem Hockeystab spielt.")</f>
        <v>Es gibt einen jungen Jungen, der ein schwarzes Hemd und schwarze Shorts in einem Feld mit einem Hockeystab spielt.</v>
      </c>
    </row>
    <row r="18838">
      <c r="A18838" s="4" t="s">
        <v>23697</v>
      </c>
      <c r="B18838" s="4" t="s">
        <v>23699</v>
      </c>
      <c r="C18838" s="5" t="str">
        <f>IFERROR(__xludf.DUMMYFUNCTION("GOOGLETRANSLATE(B18838,""en"",""de"")"),"Er schlägt den Ball mit seinem Stock ins Tor.")</f>
        <v>Er schlägt den Ball mit seinem Stock ins Tor.</v>
      </c>
    </row>
    <row r="18839">
      <c r="A18839" s="4" t="s">
        <v>23697</v>
      </c>
      <c r="B18839" s="4" t="s">
        <v>23700</v>
      </c>
      <c r="C18839" s="5" t="str">
        <f>IFERROR(__xludf.DUMMYFUNCTION("GOOGLETRANSLATE(B18839,""en"",""de"")"),"Er schwingt den Stock, als eine andere Person den Ball zu ihm wirft und ihn auf das Ziel richtet.")</f>
        <v>Er schwingt den Stock, als eine andere Person den Ball zu ihm wirft und ihn auf das Ziel richtet.</v>
      </c>
    </row>
    <row r="18840">
      <c r="A18840" s="4" t="s">
        <v>23701</v>
      </c>
      <c r="B18840" s="4" t="s">
        <v>23702</v>
      </c>
      <c r="C18840" s="5" t="str">
        <f>IFERROR(__xludf.DUMMYFUNCTION("GOOGLETRANSLATE(B18840,""en"",""de"")"),"Der Mann zeigt, wie er Gitarre spielt.")</f>
        <v>Der Mann zeigt, wie er Gitarre spielt.</v>
      </c>
    </row>
    <row r="18841">
      <c r="A18841" s="4" t="s">
        <v>23701</v>
      </c>
      <c r="B18841" s="4" t="s">
        <v>23703</v>
      </c>
      <c r="C18841" s="5" t="str">
        <f>IFERROR(__xludf.DUMMYFUNCTION("GOOGLETRANSLATE(B18841,""en"",""de"")"),"Dann zeigt er uns, wie er Flöte spielt.")</f>
        <v>Dann zeigt er uns, wie er Flöte spielt.</v>
      </c>
    </row>
    <row r="18842">
      <c r="A18842" s="4" t="s">
        <v>23704</v>
      </c>
      <c r="B18842" s="4" t="s">
        <v>23705</v>
      </c>
      <c r="C18842" s="5" t="str">
        <f>IFERROR(__xludf.DUMMYFUNCTION("GOOGLETRANSLATE(B18842,""en"",""de"")"),"Eine Frau und ein Mann führen während des Laufens kardiovaskuläre Fitness -Haltungsgriffe aus.")</f>
        <v>Eine Frau und ein Mann führen während des Laufens kardiovaskuläre Fitness -Haltungsgriffe aus.</v>
      </c>
    </row>
    <row r="18843">
      <c r="A18843" s="4" t="s">
        <v>23704</v>
      </c>
      <c r="B18843" s="4" t="s">
        <v>23706</v>
      </c>
      <c r="C18843" s="5" t="str">
        <f>IFERROR(__xludf.DUMMYFUNCTION("GOOGLETRANSLATE(B18843,""en"",""de"")"),"Eine Person passt den Winkel des Pedals ein und läuft fort.")</f>
        <v>Eine Person passt den Winkel des Pedals ein und läuft fort.</v>
      </c>
    </row>
    <row r="18844">
      <c r="A18844" s="4" t="s">
        <v>23704</v>
      </c>
      <c r="B18844" s="4" t="s">
        <v>23707</v>
      </c>
      <c r="C18844" s="5" t="str">
        <f>IFERROR(__xludf.DUMMYFUNCTION("GOOGLETRANSLATE(B18844,""en"",""de"")"),"Der Bildschirm der Maschine zeigt relevante Informationen an und zeigt den Audioeingangsbuchse der Maschine und das Muskelprofil an, während der Mann und die Frau weiter trainieren.")</f>
        <v>Der Bildschirm der Maschine zeigt relevante Informationen an und zeigt den Audioeingangsbuchse der Maschine und das Muskelprofil an, während der Mann und die Frau weiter trainieren.</v>
      </c>
    </row>
    <row r="18845">
      <c r="A18845" s="4" t="s">
        <v>23708</v>
      </c>
      <c r="B18845" s="4" t="s">
        <v>23709</v>
      </c>
      <c r="C18845" s="5" t="str">
        <f>IFERROR(__xludf.DUMMYFUNCTION("GOOGLETRANSLATE(B18845,""en"",""de"")"),"Eine Frau beugt sich über einen Jungen und tupft mit einer Substanz mit seinem Gesicht.")</f>
        <v>Eine Frau beugt sich über einen Jungen und tupft mit einer Substanz mit seinem Gesicht.</v>
      </c>
    </row>
    <row r="18846">
      <c r="A18846" s="4" t="s">
        <v>23708</v>
      </c>
      <c r="B18846" s="4" t="s">
        <v>23710</v>
      </c>
      <c r="C18846" s="5" t="str">
        <f>IFERROR(__xludf.DUMMYFUNCTION("GOOGLETRANSLATE(B18846,""en"",""de"")"),"Er lacht und kämpft, während sie fortfährt.")</f>
        <v>Er lacht und kämpft, während sie fortfährt.</v>
      </c>
    </row>
    <row r="18847">
      <c r="A18847" s="4" t="s">
        <v>23708</v>
      </c>
      <c r="B18847" s="4" t="s">
        <v>23711</v>
      </c>
      <c r="C18847" s="5" t="str">
        <f>IFERROR(__xludf.DUMMYFUNCTION("GOOGLETRANSLATE(B18847,""en"",""de"")"),"Er packt sie an den Haaren und isst das Stück Essen, das sie sich auf ihn gerieben hatte.")</f>
        <v>Er packt sie an den Haaren und isst das Stück Essen, das sie sich auf ihn gerieben hatte.</v>
      </c>
    </row>
    <row r="18848">
      <c r="A18848" s="4" t="s">
        <v>23712</v>
      </c>
      <c r="B18848" s="4" t="s">
        <v>23713</v>
      </c>
      <c r="C18848" s="5" t="str">
        <f>IFERROR(__xludf.DUMMYFUNCTION("GOOGLETRANSLATE(B18848,""en"",""de"")"),"Es gibt einen alten Mann, der Tai Chi auf einem Bürgersteig macht, während Fußgänger vorbeikommen.")</f>
        <v>Es gibt einen alten Mann, der Tai Chi auf einem Bürgersteig macht, während Fußgänger vorbeikommen.</v>
      </c>
    </row>
    <row r="18849">
      <c r="A18849" s="4" t="s">
        <v>23712</v>
      </c>
      <c r="B18849" s="4" t="s">
        <v>23714</v>
      </c>
      <c r="C18849" s="5" t="str">
        <f>IFERROR(__xludf.DUMMYFUNCTION("GOOGLETRANSLATE(B18849,""en"",""de"")"),"Der Mann macht weiterhin Tai Chi auf dem Bürgersteig, als mehrere Leute an ihm vorbeigehen.")</f>
        <v>Der Mann macht weiterhin Tai Chi auf dem Bürgersteig, als mehrere Leute an ihm vorbeigehen.</v>
      </c>
    </row>
    <row r="18850">
      <c r="A18850" s="4" t="s">
        <v>23712</v>
      </c>
      <c r="B18850" s="4" t="s">
        <v>23715</v>
      </c>
      <c r="C18850" s="5" t="str">
        <f>IFERROR(__xludf.DUMMYFUNCTION("GOOGLETRANSLATE(B18850,""en"",""de"")"),"Dann steht er neben einigen gut beschnittenen Sträuchern und setzt seine Übung im Freien fort, während es stark regnet.")</f>
        <v>Dann steht er neben einigen gut beschnittenen Sträuchern und setzt seine Übung im Freien fort, während es stark regnet.</v>
      </c>
    </row>
    <row r="18851">
      <c r="A18851" s="4" t="s">
        <v>23712</v>
      </c>
      <c r="B18851" s="4" t="s">
        <v>23716</v>
      </c>
      <c r="C18851" s="5" t="str">
        <f>IFERROR(__xludf.DUMMYFUNCTION("GOOGLETRANSLATE(B18851,""en"",""de"")"),"Dann nimmt er sein Hemd und geht weg, nachdem er mit seiner Tai Chi -Übung fertig ist.")</f>
        <v>Dann nimmt er sein Hemd und geht weg, nachdem er mit seiner Tai Chi -Übung fertig ist.</v>
      </c>
    </row>
    <row r="18852">
      <c r="A18852" s="4" t="s">
        <v>23717</v>
      </c>
      <c r="B18852" s="4" t="s">
        <v>23718</v>
      </c>
      <c r="C18852" s="5" t="str">
        <f>IFERROR(__xludf.DUMMYFUNCTION("GOOGLETRANSLATE(B18852,""en"",""de"")"),"Ein Mann steht vor einem großen Zaun, der einen Sprühschlauch in der Hand hält.")</f>
        <v>Ein Mann steht vor einem großen Zaun, der einen Sprühschlauch in der Hand hält.</v>
      </c>
    </row>
    <row r="18853">
      <c r="A18853" s="4" t="s">
        <v>23717</v>
      </c>
      <c r="B18853" s="4" t="s">
        <v>23719</v>
      </c>
      <c r="C18853" s="5" t="str">
        <f>IFERROR(__xludf.DUMMYFUNCTION("GOOGLETRANSLATE(B18853,""en"",""de"")"),"Der Mann spricht entlang der Wand, während die Kamera seine Bewegungen einfängt.")</f>
        <v>Der Mann spricht entlang der Wand, während die Kamera seine Bewegungen einfängt.</v>
      </c>
    </row>
    <row r="18854">
      <c r="A18854" s="4" t="s">
        <v>23717</v>
      </c>
      <c r="B18854" s="4" t="s">
        <v>23720</v>
      </c>
      <c r="C18854" s="5" t="str">
        <f>IFERROR(__xludf.DUMMYFUNCTION("GOOGLETRANSLATE(B18854,""en"",""de"")"),"Der Mann sprüht weiterhin die Wand, während die Kamera ihm von hinten folgt.")</f>
        <v>Der Mann sprüht weiterhin die Wand, während die Kamera ihm von hinten folgt.</v>
      </c>
    </row>
    <row r="18855">
      <c r="A18855" s="4" t="s">
        <v>23721</v>
      </c>
      <c r="B18855" s="4" t="s">
        <v>23722</v>
      </c>
      <c r="C18855" s="5" t="str">
        <f>IFERROR(__xludf.DUMMYFUNCTION("GOOGLETRANSLATE(B18855,""en"",""de"")"),"Ein Mädchen in einem weißen Kleid trifft eine Pinata mit einer Fledermaus.")</f>
        <v>Ein Mädchen in einem weißen Kleid trifft eine Pinata mit einer Fledermaus.</v>
      </c>
    </row>
    <row r="18856">
      <c r="A18856" s="4" t="s">
        <v>23721</v>
      </c>
      <c r="B18856" s="4" t="s">
        <v>23723</v>
      </c>
      <c r="C18856" s="5" t="str">
        <f>IFERROR(__xludf.DUMMYFUNCTION("GOOGLETRANSLATE(B18856,""en"",""de"")"),"Ein Mann steht hinter ihrer Beobachtung.")</f>
        <v>Ein Mann steht hinter ihrer Beobachtung.</v>
      </c>
    </row>
    <row r="18857">
      <c r="A18857" s="4" t="s">
        <v>23721</v>
      </c>
      <c r="B18857" s="4" t="s">
        <v>23724</v>
      </c>
      <c r="C18857" s="5" t="str">
        <f>IFERROR(__xludf.DUMMYFUNCTION("GOOGLETRANSLATE(B18857,""en"",""de"")"),"Zwei Mädchen stehen am Haus und beobachten.")</f>
        <v>Zwei Mädchen stehen am Haus und beobachten.</v>
      </c>
    </row>
    <row r="18858">
      <c r="A18858" s="4" t="s">
        <v>23725</v>
      </c>
      <c r="B18858" s="4" t="s">
        <v>6939</v>
      </c>
      <c r="C18858" s="5" t="str">
        <f>IFERROR(__xludf.DUMMYFUNCTION("GOOGLETRANSLATE(B18858,""en"",""de"")"),"Die Leute tanzen auf einer Tanzfläche bei einer Hochzeit.")</f>
        <v>Die Leute tanzen auf einer Tanzfläche bei einer Hochzeit.</v>
      </c>
    </row>
    <row r="18859">
      <c r="A18859" s="4" t="s">
        <v>23725</v>
      </c>
      <c r="B18859" s="4" t="s">
        <v>23726</v>
      </c>
      <c r="C18859" s="5" t="str">
        <f>IFERROR(__xludf.DUMMYFUNCTION("GOOGLETRANSLATE(B18859,""en"",""de"")"),"Es ist dunkel im Raum und farbenfrohe Lichter kommen an.")</f>
        <v>Es ist dunkel im Raum und farbenfrohe Lichter kommen an.</v>
      </c>
    </row>
    <row r="18860">
      <c r="A18860" s="4" t="s">
        <v>23725</v>
      </c>
      <c r="B18860" s="4" t="s">
        <v>23727</v>
      </c>
      <c r="C18860" s="5" t="str">
        <f>IFERROR(__xludf.DUMMYFUNCTION("GOOGLETRANSLATE(B18860,""en"",""de"")"),"Die Leute tanzen weiter auf der Tanzfläche.")</f>
        <v>Die Leute tanzen weiter auf der Tanzfläche.</v>
      </c>
    </row>
    <row r="18861">
      <c r="A18861" s="4" t="s">
        <v>23728</v>
      </c>
      <c r="B18861" s="4" t="s">
        <v>23729</v>
      </c>
      <c r="C18861" s="5" t="str">
        <f>IFERROR(__xludf.DUMMYFUNCTION("GOOGLETRANSLATE(B18861,""en"",""de"")"),"Ein kleiner weißer, mittelgroßer Weihnachtsbaum steht vor zwei grünen Türen.")</f>
        <v>Ein kleiner weißer, mittelgroßer Weihnachtsbaum steht vor zwei grünen Türen.</v>
      </c>
    </row>
    <row r="18862">
      <c r="A18862" s="4" t="s">
        <v>23728</v>
      </c>
      <c r="B18862" s="4" t="s">
        <v>23730</v>
      </c>
      <c r="C18862" s="5" t="str">
        <f>IFERROR(__xludf.DUMMYFUNCTION("GOOGLETRANSLATE(B18862,""en"",""de"")"),"Eine Dame trägt eine Tasche mit einer ""Sno-Bond-Herde #1"".")</f>
        <v>Eine Dame trägt eine Tasche mit einer "Sno-Bond-Herde #1".</v>
      </c>
    </row>
    <row r="18863">
      <c r="A18863" s="4" t="s">
        <v>23728</v>
      </c>
      <c r="B18863" s="4" t="s">
        <v>23731</v>
      </c>
      <c r="C18863" s="5" t="str">
        <f>IFERROR(__xludf.DUMMYFUNCTION("GOOGLETRANSLATE(B18863,""en"",""de"")"),"Die Dame steckte die Sno-Bond-Herde in ein Sieb und greift eine Wassersprühflasche.")</f>
        <v>Die Dame steckte die Sno-Bond-Herde in ein Sieb und greift eine Wassersprühflasche.</v>
      </c>
    </row>
    <row r="18864">
      <c r="A18864" s="4" t="s">
        <v>23728</v>
      </c>
      <c r="B18864" s="4" t="s">
        <v>23732</v>
      </c>
      <c r="C18864" s="5" t="str">
        <f>IFERROR(__xludf.DUMMYFUNCTION("GOOGLETRANSLATE(B18864,""en"",""de"")"),"Sie fing an, das weiße Zeug auf dem Baum zu sieben.")</f>
        <v>Sie fing an, das weiße Zeug auf dem Baum zu sieben.</v>
      </c>
    </row>
    <row r="18865">
      <c r="A18865" s="4" t="s">
        <v>23728</v>
      </c>
      <c r="B18865" s="4" t="s">
        <v>23733</v>
      </c>
      <c r="C18865" s="5" t="str">
        <f>IFERROR(__xludf.DUMMYFUNCTION("GOOGLETRANSLATE(B18865,""en"",""de"")"),"Nach dem Sieben sprühten sie den Staub zum Baum.")</f>
        <v>Nach dem Sieben sprühten sie den Staub zum Baum.</v>
      </c>
    </row>
    <row r="18866">
      <c r="A18866" s="4" t="s">
        <v>23734</v>
      </c>
      <c r="B18866" s="4" t="s">
        <v>23735</v>
      </c>
      <c r="C18866" s="5" t="str">
        <f>IFERROR(__xludf.DUMMYFUNCTION("GOOGLETRANSLATE(B18866,""en"",""de"")"),"Ein Mann poliert den Boden mit einem blauen Puffer.")</f>
        <v>Ein Mann poliert den Boden mit einem blauen Puffer.</v>
      </c>
    </row>
    <row r="18867">
      <c r="A18867" s="4" t="s">
        <v>23734</v>
      </c>
      <c r="B18867" s="4" t="s">
        <v>23736</v>
      </c>
      <c r="C18867" s="5" t="str">
        <f>IFERROR(__xludf.DUMMYFUNCTION("GOOGLETRANSLATE(B18867,""en"",""de"")"),"Ein anderer Mann steht neben ihm und beobachtet.")</f>
        <v>Ein anderer Mann steht neben ihm und beobachtet.</v>
      </c>
    </row>
    <row r="18868">
      <c r="A18868" s="4" t="s">
        <v>23734</v>
      </c>
      <c r="B18868" s="4" t="s">
        <v>23737</v>
      </c>
      <c r="C18868" s="5" t="str">
        <f>IFERROR(__xludf.DUMMYFUNCTION("GOOGLETRANSLATE(B18868,""en"",""de"")"),"Er geht mit dem Puffer über die Fliese.")</f>
        <v>Er geht mit dem Puffer über die Fliese.</v>
      </c>
    </row>
    <row r="18869">
      <c r="A18869" s="4" t="s">
        <v>23738</v>
      </c>
      <c r="B18869" s="4" t="s">
        <v>23739</v>
      </c>
      <c r="C18869" s="5" t="str">
        <f>IFERROR(__xludf.DUMMYFUNCTION("GOOGLETRANSLATE(B18869,""en"",""de"")"),"Zwei Männer sitzen in einer geringen Bewegung in einem Kanu und tipps dann das Kanu ein wenig mit einem Paddel.")</f>
        <v>Zwei Männer sitzen in einer geringen Bewegung in einem Kanu und tipps dann das Kanu ein wenig mit einem Paddel.</v>
      </c>
    </row>
    <row r="18870">
      <c r="A18870" s="4" t="s">
        <v>23738</v>
      </c>
      <c r="B18870" s="4" t="s">
        <v>23740</v>
      </c>
      <c r="C18870" s="5" t="str">
        <f>IFERROR(__xludf.DUMMYFUNCTION("GOOGLETRANSLATE(B18870,""en"",""de"")"),"Die Männer tun dies mehrmals, gefolgt von Anweisungen und Standorten im Text.")</f>
        <v>Die Männer tun dies mehrmals, gefolgt von Anweisungen und Standorten im Text.</v>
      </c>
    </row>
    <row r="18871">
      <c r="A18871" s="4" t="s">
        <v>23741</v>
      </c>
      <c r="B18871" s="4" t="s">
        <v>23742</v>
      </c>
      <c r="C18871" s="5" t="str">
        <f>IFERROR(__xludf.DUMMYFUNCTION("GOOGLETRANSLATE(B18871,""en"",""de"")"),"Jemand reitet mit einem Pferd über ein Grasfeld und kommt zu Pferd auf andere Menschen.")</f>
        <v>Jemand reitet mit einem Pferd über ein Grasfeld und kommt zu Pferd auf andere Menschen.</v>
      </c>
    </row>
    <row r="18872">
      <c r="A18872" s="4" t="s">
        <v>23741</v>
      </c>
      <c r="B18872" s="4" t="s">
        <v>23743</v>
      </c>
      <c r="C18872" s="5" t="str">
        <f>IFERROR(__xludf.DUMMYFUNCTION("GOOGLETRANSLATE(B18872,""en"",""de"")"),"Wir sehen bald, dass die Fahrer Teil einer Gruppe sind, und wir folgen der Gruppe über einen Parkplatz und in einen Bach.")</f>
        <v>Wir sehen bald, dass die Fahrer Teil einer Gruppe sind, und wir folgen der Gruppe über einen Parkplatz und in einen Bach.</v>
      </c>
    </row>
    <row r="18873">
      <c r="A18873" s="4" t="s">
        <v>23741</v>
      </c>
      <c r="B18873" s="4" t="s">
        <v>23744</v>
      </c>
      <c r="C18873" s="5" t="str">
        <f>IFERROR(__xludf.DUMMYFUNCTION("GOOGLETRANSLATE(B18873,""en"",""de"")"),"Feierliche Jubel sind zu hören, da die Gruppe gerne über den Bach reitet.")</f>
        <v>Feierliche Jubel sind zu hören, da die Gruppe gerne über den Bach reitet.</v>
      </c>
    </row>
    <row r="18874">
      <c r="A18874" s="4" t="s">
        <v>23741</v>
      </c>
      <c r="B18874" s="4" t="s">
        <v>23745</v>
      </c>
      <c r="C18874" s="5" t="str">
        <f>IFERROR(__xludf.DUMMYFUNCTION("GOOGLETRANSLATE(B18874,""en"",""de"")"),"Dann sehen wir ein paar Fahrer, von denen einer in seinem Sattel steht.")</f>
        <v>Dann sehen wir ein paar Fahrer, von denen einer in seinem Sattel steht.</v>
      </c>
    </row>
    <row r="18875">
      <c r="A18875" s="4" t="s">
        <v>23746</v>
      </c>
      <c r="B18875" s="4" t="s">
        <v>23747</v>
      </c>
      <c r="C18875" s="5" t="str">
        <f>IFERROR(__xludf.DUMMYFUNCTION("GOOGLETRANSLATE(B18875,""en"",""de"")"),"Zwei Jungs beginnen ein Arm -Wrestling -Match, der Typ im hinteren Hemd gewinnt das erste Match.")</f>
        <v>Zwei Jungs beginnen ein Arm -Wrestling -Match, der Typ im hinteren Hemd gewinnt das erste Match.</v>
      </c>
    </row>
    <row r="18876">
      <c r="A18876" s="4" t="s">
        <v>23746</v>
      </c>
      <c r="B18876" s="4" t="s">
        <v>23748</v>
      </c>
      <c r="C18876" s="5" t="str">
        <f>IFERROR(__xludf.DUMMYFUNCTION("GOOGLETRANSLATE(B18876,""en"",""de"")"),"Die Männer wechselten die Hände und starten ein neues Match.")</f>
        <v>Die Männer wechselten die Hände und starten ein neues Match.</v>
      </c>
    </row>
    <row r="18877">
      <c r="A18877" s="4" t="s">
        <v>23746</v>
      </c>
      <c r="B18877" s="4" t="s">
        <v>23749</v>
      </c>
      <c r="C18877" s="5" t="str">
        <f>IFERROR(__xludf.DUMMYFUNCTION("GOOGLETRANSLATE(B18877,""en"",""de"")"),"Das endgültige Match wurde vom gleichen Kerl mit dem Rückenhemd gewonnen.")</f>
        <v>Das endgültige Match wurde vom gleichen Kerl mit dem Rückenhemd gewonnen.</v>
      </c>
    </row>
    <row r="18878">
      <c r="A18878" s="4" t="s">
        <v>23750</v>
      </c>
      <c r="B18878" s="4" t="s">
        <v>23751</v>
      </c>
      <c r="C18878" s="5" t="str">
        <f>IFERROR(__xludf.DUMMYFUNCTION("GOOGLETRANSLATE(B18878,""en"",""de"")"),"Eine Nahaufnahme eines Klaviers wird gesehen, gefolgt von einer Person, die in den Rahmen geht.")</f>
        <v>Eine Nahaufnahme eines Klaviers wird gesehen, gefolgt von einer Person, die in den Rahmen geht.</v>
      </c>
    </row>
    <row r="18879">
      <c r="A18879" s="4" t="s">
        <v>23750</v>
      </c>
      <c r="B18879" s="4" t="s">
        <v>23752</v>
      </c>
      <c r="C18879" s="5" t="str">
        <f>IFERROR(__xludf.DUMMYFUNCTION("GOOGLETRANSLATE(B18879,""en"",""de"")"),"Die Person streckt dann ihre Nägel aus und spielt Klavier.")</f>
        <v>Die Person streckt dann ihre Nägel aus und spielt Klavier.</v>
      </c>
    </row>
    <row r="18880">
      <c r="A18880" s="4" t="s">
        <v>23750</v>
      </c>
      <c r="B18880" s="4" t="s">
        <v>23753</v>
      </c>
      <c r="C18880" s="5" t="str">
        <f>IFERROR(__xludf.DUMMYFUNCTION("GOOGLETRANSLATE(B18880,""en"",""de"")"),"Die Person spielt weiter auf dem Instrument und hält an, um die Kamera auszuschalten.")</f>
        <v>Die Person spielt weiter auf dem Instrument und hält an, um die Kamera auszuschalten.</v>
      </c>
    </row>
    <row r="18881">
      <c r="A18881" s="4" t="s">
        <v>23754</v>
      </c>
      <c r="B18881" s="4" t="s">
        <v>23755</v>
      </c>
      <c r="C18881" s="5" t="str">
        <f>IFERROR(__xludf.DUMMYFUNCTION("GOOGLETRANSLATE(B18881,""en"",""de"")"),"Die Männer, die mit den Pferden reiten, spielen auf dem Feld Polo.")</f>
        <v>Die Männer, die mit den Pferden reiten, spielen auf dem Feld Polo.</v>
      </c>
    </row>
    <row r="18882">
      <c r="A18882" s="4" t="s">
        <v>23754</v>
      </c>
      <c r="B18882" s="4" t="s">
        <v>23756</v>
      </c>
      <c r="C18882" s="5" t="str">
        <f>IFERROR(__xludf.DUMMYFUNCTION("GOOGLETRANSLATE(B18882,""en"",""de"")"),"Die Männer jagen den Ball und schlagen mit Mallet.")</f>
        <v>Die Männer jagen den Ball und schlagen mit Mallet.</v>
      </c>
    </row>
    <row r="18883">
      <c r="A18883" s="4" t="s">
        <v>23754</v>
      </c>
      <c r="B18883" s="4" t="s">
        <v>23757</v>
      </c>
      <c r="C18883" s="5" t="str">
        <f>IFERROR(__xludf.DUMMYFUNCTION("GOOGLETRANSLATE(B18883,""en"",""de"")"),"Ein Spieler schlug den Ball und rannte dann hinter ihm, hinter ihm sind andere Spieler.")</f>
        <v>Ein Spieler schlug den Ball und rannte dann hinter ihm, hinter ihm sind andere Spieler.</v>
      </c>
    </row>
    <row r="18884">
      <c r="A18884" s="4" t="s">
        <v>23758</v>
      </c>
      <c r="B18884" s="4" t="s">
        <v>23759</v>
      </c>
      <c r="C18884" s="5" t="str">
        <f>IFERROR(__xludf.DUMMYFUNCTION("GOOGLETRANSLATE(B18884,""en"",""de"")"),"Eine Menge von Menschen beobachtet, wie zwei Bullen in einem Wettbewerb gegeneinander kämpfen.")</f>
        <v>Eine Menge von Menschen beobachtet, wie zwei Bullen in einem Wettbewerb gegeneinander kämpfen.</v>
      </c>
    </row>
    <row r="18885">
      <c r="A18885" s="4" t="s">
        <v>23758</v>
      </c>
      <c r="B18885" s="4" t="s">
        <v>23760</v>
      </c>
      <c r="C18885" s="5" t="str">
        <f>IFERROR(__xludf.DUMMYFUNCTION("GOOGLETRANSLATE(B18885,""en"",""de"")"),"Die Kamera schwenkt, viele Menschen in der Menge zu zeigen, die die Show sehen.")</f>
        <v>Die Kamera schwenkt, viele Menschen in der Menge zu zeigen, die die Show sehen.</v>
      </c>
    </row>
    <row r="18886">
      <c r="A18886" s="4" t="s">
        <v>23758</v>
      </c>
      <c r="B18886" s="4" t="s">
        <v>23761</v>
      </c>
      <c r="C18886" s="5" t="str">
        <f>IFERROR(__xludf.DUMMYFUNCTION("GOOGLETRANSLATE(B18886,""en"",""de"")"),"Ein Mann geht an der Kamera vorbei.")</f>
        <v>Ein Mann geht an der Kamera vorbei.</v>
      </c>
    </row>
    <row r="18887">
      <c r="A18887" s="4" t="s">
        <v>23758</v>
      </c>
      <c r="B18887" s="4" t="s">
        <v>23762</v>
      </c>
      <c r="C18887" s="5" t="str">
        <f>IFERROR(__xludf.DUMMYFUNCTION("GOOGLETRANSLATE(B18887,""en"",""de"")"),"Mehrere Leute nähern sich dem Bullen, der versucht, die Action zu fangen.")</f>
        <v>Mehrere Leute nähern sich dem Bullen, der versucht, die Action zu fangen.</v>
      </c>
    </row>
    <row r="18888">
      <c r="A18888" s="4" t="s">
        <v>23758</v>
      </c>
      <c r="B18888" s="4" t="s">
        <v>23763</v>
      </c>
      <c r="C18888" s="5" t="str">
        <f>IFERROR(__xludf.DUMMYFUNCTION("GOOGLETRANSLATE(B18888,""en"",""de"")"),"Die Bullen beginnen sich gegenseitig um das Feld zu jagen.")</f>
        <v>Die Bullen beginnen sich gegenseitig um das Feld zu jagen.</v>
      </c>
    </row>
    <row r="18889">
      <c r="A18889" s="4" t="s">
        <v>23764</v>
      </c>
      <c r="B18889" s="4" t="s">
        <v>23765</v>
      </c>
      <c r="C18889" s="5" t="str">
        <f>IFERROR(__xludf.DUMMYFUNCTION("GOOGLETRANSLATE(B18889,""en"",""de"")"),"Es werden mehrere Schüsse von Menschen gezeigt, die an einem Strand wandern, der zu Clips eines Fußballspiels führt, und Menschen, die feiern.")</f>
        <v>Es werden mehrere Schüsse von Menschen gezeigt, die an einem Strand wandern, der zu Clips eines Fußballspiels führt, und Menschen, die feiern.</v>
      </c>
    </row>
    <row r="18890">
      <c r="A18890" s="4" t="s">
        <v>23764</v>
      </c>
      <c r="B18890" s="4" t="s">
        <v>23766</v>
      </c>
      <c r="C18890" s="5" t="str">
        <f>IFERROR(__xludf.DUMMYFUNCTION("GOOGLETRANSLATE(B18890,""en"",""de"")"),"Weitere Menschen tanzen herum und spielen Fußball und gestikuliert an die Kamera.")</f>
        <v>Weitere Menschen tanzen herum und spielen Fußball und gestikuliert an die Kamera.</v>
      </c>
    </row>
    <row r="18891">
      <c r="A18891" s="4" t="s">
        <v>23767</v>
      </c>
      <c r="B18891" s="4" t="s">
        <v>23768</v>
      </c>
      <c r="C18891" s="5" t="str">
        <f>IFERROR(__xludf.DUMMYFUNCTION("GOOGLETRANSLATE(B18891,""en"",""de"")"),"Ein Hund, der seine Vorderbeine vermisst, geht über einen Rasen.")</f>
        <v>Ein Hund, der seine Vorderbeine vermisst, geht über einen Rasen.</v>
      </c>
    </row>
    <row r="18892">
      <c r="A18892" s="4" t="s">
        <v>23767</v>
      </c>
      <c r="B18892" s="4" t="s">
        <v>23769</v>
      </c>
      <c r="C18892" s="5" t="str">
        <f>IFERROR(__xludf.DUMMYFUNCTION("GOOGLETRANSLATE(B18892,""en"",""de"")"),"Er folgt dem Kameramann und bricht dann in einen Hopping -Lauf ein.")</f>
        <v>Er folgt dem Kameramann und bricht dann in einen Hopping -Lauf ein.</v>
      </c>
    </row>
    <row r="18893">
      <c r="A18893" s="4" t="s">
        <v>23767</v>
      </c>
      <c r="B18893" s="4" t="s">
        <v>23770</v>
      </c>
      <c r="C18893" s="5" t="str">
        <f>IFERROR(__xludf.DUMMYFUNCTION("GOOGLETRANSLATE(B18893,""en"",""de"")"),"Er kehrt zurück und tut das auch wieder.")</f>
        <v>Er kehrt zurück und tut das auch wieder.</v>
      </c>
    </row>
    <row r="18894">
      <c r="A18894" s="4" t="s">
        <v>23771</v>
      </c>
      <c r="B18894" s="4" t="s">
        <v>23772</v>
      </c>
      <c r="C18894" s="5" t="str">
        <f>IFERROR(__xludf.DUMMYFUNCTION("GOOGLETRANSLATE(B18894,""en"",""de"")"),"Ein Mann bei kaltem Wetter ist Kajakfahren auf einem Fluss.")</f>
        <v>Ein Mann bei kaltem Wetter ist Kajakfahren auf einem Fluss.</v>
      </c>
    </row>
    <row r="18895">
      <c r="A18895" s="4" t="s">
        <v>23771</v>
      </c>
      <c r="B18895" s="4" t="s">
        <v>23773</v>
      </c>
      <c r="C18895" s="5" t="str">
        <f>IFERROR(__xludf.DUMMYFUNCTION("GOOGLETRANSLATE(B18895,""en"",""de"")"),"Der Schuss schwang aus, um mehrere Kajaks zu zeigen, und der Mann steckte auf einem kleinen Wasserfall.")</f>
        <v>Der Schuss schwang aus, um mehrere Kajaks zu zeigen, und der Mann steckte auf einem kleinen Wasserfall.</v>
      </c>
    </row>
    <row r="18896">
      <c r="A18896" s="4" t="s">
        <v>23771</v>
      </c>
      <c r="B18896" s="4" t="s">
        <v>23774</v>
      </c>
      <c r="C18896" s="5" t="str">
        <f>IFERROR(__xludf.DUMMYFUNCTION("GOOGLETRANSLATE(B18896,""en"",""de"")"),"Er lässt sich endlich nicht mehr auf den Weg von den Wasserfällen zurückziehen.")</f>
        <v>Er lässt sich endlich nicht mehr auf den Weg von den Wasserfällen zurückziehen.</v>
      </c>
    </row>
    <row r="18897">
      <c r="A18897" s="4" t="s">
        <v>23775</v>
      </c>
      <c r="B18897" s="4" t="s">
        <v>23776</v>
      </c>
      <c r="C18897" s="5" t="str">
        <f>IFERROR(__xludf.DUMMYFUNCTION("GOOGLETRANSLATE(B18897,""en"",""de"")"),"Ein Hund schnüffelt an den Füßen eines Mannes und einer Frau.")</f>
        <v>Ein Hund schnüffelt an den Füßen eines Mannes und einer Frau.</v>
      </c>
    </row>
    <row r="18898">
      <c r="A18898" s="4" t="s">
        <v>23775</v>
      </c>
      <c r="B18898" s="4" t="s">
        <v>23777</v>
      </c>
      <c r="C18898" s="5" t="str">
        <f>IFERROR(__xludf.DUMMYFUNCTION("GOOGLETRANSLATE(B18898,""en"",""de"")"),"Das Paar geht den Hund zu einem See.")</f>
        <v>Das Paar geht den Hund zu einem See.</v>
      </c>
    </row>
    <row r="18899">
      <c r="A18899" s="4" t="s">
        <v>23775</v>
      </c>
      <c r="B18899" s="4" t="s">
        <v>23778</v>
      </c>
      <c r="C18899" s="5" t="str">
        <f>IFERROR(__xludf.DUMMYFUNCTION("GOOGLETRANSLATE(B18899,""en"",""de"")"),"Es gibt andere Besitzer und Hunde, und sie spielen am Wasser des Wassers.")</f>
        <v>Es gibt andere Besitzer und Hunde, und sie spielen am Wasser des Wassers.</v>
      </c>
    </row>
    <row r="18900">
      <c r="A18900" s="4" t="s">
        <v>23779</v>
      </c>
      <c r="B18900" s="4" t="s">
        <v>23780</v>
      </c>
      <c r="C18900" s="5" t="str">
        <f>IFERROR(__xludf.DUMMYFUNCTION("GOOGLETRANSLATE(B18900,""en"",""de"")"),"Ein Mädchen lächelt und winkt in die Kamera, gefolgt von ihr, gefolgt von einem Kontaktobjektiv und einem Reinigungsmittel.")</f>
        <v>Ein Mädchen lächelt und winkt in die Kamera, gefolgt von ihr, gefolgt von einem Kontaktobjektiv und einem Reinigungsmittel.</v>
      </c>
    </row>
    <row r="18901">
      <c r="A18901" s="4" t="s">
        <v>23779</v>
      </c>
      <c r="B18901" s="4" t="s">
        <v>23781</v>
      </c>
      <c r="C18901" s="5" t="str">
        <f>IFERROR(__xludf.DUMMYFUNCTION("GOOGLETRANSLATE(B18901,""en"",""de"")"),"Sie mischt die beiden zusammen, gefolgt von der Kontaktlinse in die Augen.")</f>
        <v>Sie mischt die beiden zusammen, gefolgt von der Kontaktlinse in die Augen.</v>
      </c>
    </row>
    <row r="18902">
      <c r="A18902" s="4" t="s">
        <v>23779</v>
      </c>
      <c r="B18902" s="4" t="s">
        <v>23782</v>
      </c>
      <c r="C18902" s="5" t="str">
        <f>IFERROR(__xludf.DUMMYFUNCTION("GOOGLETRANSLATE(B18902,""en"",""de"")"),"Am Ende zeigt sie schließlich ihre Augen und gibt der Kamera einen Daumen hoch.")</f>
        <v>Am Ende zeigt sie schließlich ihre Augen und gibt der Kamera einen Daumen hoch.</v>
      </c>
    </row>
    <row r="18903">
      <c r="A18903" s="4" t="s">
        <v>23783</v>
      </c>
      <c r="B18903" s="4" t="s">
        <v>23784</v>
      </c>
      <c r="C18903" s="5" t="str">
        <f>IFERROR(__xludf.DUMMYFUNCTION("GOOGLETRANSLATE(B18903,""en"",""de"")"),"Es gibt zwei Männer drinnen und spielen in einem Innenplatz einen Racquetball, während sie den Ball schnell gegen die Wand schlugen und abwechselnd abwechselt.")</f>
        <v>Es gibt zwei Männer drinnen und spielen in einem Innenplatz einen Racquetball, während sie den Ball schnell gegen die Wand schlugen und abwechselnd abwechselt.</v>
      </c>
    </row>
    <row r="18904">
      <c r="A18904" s="4" t="s">
        <v>23783</v>
      </c>
      <c r="B18904" s="4" t="s">
        <v>23785</v>
      </c>
      <c r="C18904" s="5" t="str">
        <f>IFERROR(__xludf.DUMMYFUNCTION("GOOGLETRANSLATE(B18904,""en"",""de"")"),"Einer der Männer, die ein grünes Hemd tragen, sieht ärgerlich in die Kamera aus und wirft den Schläger in die Kamera.")</f>
        <v>Einer der Männer, die ein grünes Hemd tragen, sieht ärgerlich in die Kamera aus und wirft den Schläger in die Kamera.</v>
      </c>
    </row>
    <row r="18905">
      <c r="A18905" s="4" t="s">
        <v>23783</v>
      </c>
      <c r="B18905" s="4" t="s">
        <v>23786</v>
      </c>
      <c r="C18905" s="5" t="str">
        <f>IFERROR(__xludf.DUMMYFUNCTION("GOOGLETRANSLATE(B18905,""en"",""de"")"),"Die Kamera wird die Kamera zu sich selbst und er rennt und lacht, während er in die Kamera schaut.")</f>
        <v>Die Kamera wird die Kamera zu sich selbst und er rennt und lacht, während er in die Kamera schaut.</v>
      </c>
    </row>
    <row r="18906">
      <c r="A18906" s="4" t="s">
        <v>23787</v>
      </c>
      <c r="B18906" s="4" t="s">
        <v>23788</v>
      </c>
      <c r="C18906" s="5" t="str">
        <f>IFERROR(__xludf.DUMMYFUNCTION("GOOGLETRANSLATE(B18906,""en"",""de"")"),"Verschiedene Zutaten werden auf einer Theke angelegt und alle in einer Schüssel gemischt.")</f>
        <v>Verschiedene Zutaten werden auf einer Theke angelegt und alle in einer Schüssel gemischt.</v>
      </c>
    </row>
    <row r="18907">
      <c r="A18907" s="4" t="s">
        <v>23787</v>
      </c>
      <c r="B18907" s="4" t="s">
        <v>23789</v>
      </c>
      <c r="C18907" s="5" t="str">
        <f>IFERROR(__xludf.DUMMYFUNCTION("GOOGLETRANSLATE(B18907,""en"",""de"")"),"Die Person wird dann angezeigt, in dem Teigkugeln in den Ofen gelegt und einen Knopf gedrückt werden.")</f>
        <v>Die Person wird dann angezeigt, in dem Teigkugeln in den Ofen gelegt und einen Knopf gedrückt werden.</v>
      </c>
    </row>
    <row r="18908">
      <c r="A18908" s="4" t="s">
        <v>23787</v>
      </c>
      <c r="B18908" s="4" t="s">
        <v>23790</v>
      </c>
      <c r="C18908" s="5" t="str">
        <f>IFERROR(__xludf.DUMMYFUNCTION("GOOGLETRANSLATE(B18908,""en"",""de"")"),"Dann nimmt die Person die Cookies heraus und sie verschwinden, alles in Stop -Animation.")</f>
        <v>Dann nimmt die Person die Cookies heraus und sie verschwinden, alles in Stop -Animation.</v>
      </c>
    </row>
    <row r="18909">
      <c r="A18909" s="4" t="s">
        <v>23791</v>
      </c>
      <c r="B18909" s="4" t="s">
        <v>23792</v>
      </c>
      <c r="C18909" s="5" t="str">
        <f>IFERROR(__xludf.DUMMYFUNCTION("GOOGLETRANSLATE(B18909,""en"",""de"")"),"Ein Mann spricht mit der Kamera, während ein Schuss einer Person, die Basketballshows spielt, dahinter spielt.")</f>
        <v>Ein Mann spricht mit der Kamera, während ein Schuss einer Person, die Basketballshows spielt, dahinter spielt.</v>
      </c>
    </row>
    <row r="18910">
      <c r="A18910" s="4" t="s">
        <v>23791</v>
      </c>
      <c r="B18910" s="4" t="s">
        <v>23793</v>
      </c>
      <c r="C18910" s="5" t="str">
        <f>IFERROR(__xludf.DUMMYFUNCTION("GOOGLETRANSLATE(B18910,""en"",""de"")"),"Der Mann spricht weiter, wenn der Junge, der Basketball spielt, mehr Schüsse gezeigt wird.")</f>
        <v>Der Mann spricht weiter, wenn der Junge, der Basketball spielt, mehr Schüsse gezeigt wird.</v>
      </c>
    </row>
    <row r="18911">
      <c r="A18911" s="4" t="s">
        <v>23791</v>
      </c>
      <c r="B18911" s="4" t="s">
        <v>23794</v>
      </c>
      <c r="C18911" s="5" t="str">
        <f>IFERROR(__xludf.DUMMYFUNCTION("GOOGLETRANSLATE(B18911,""en"",""de"")"),"Der Mann spricht weiter und endet mit Text über dem Bildschirm.")</f>
        <v>Der Mann spricht weiter und endet mit Text über dem Bildschirm.</v>
      </c>
    </row>
    <row r="18912">
      <c r="A18912" s="4" t="s">
        <v>23795</v>
      </c>
      <c r="B18912" s="4" t="s">
        <v>23796</v>
      </c>
      <c r="C18912" s="5" t="str">
        <f>IFERROR(__xludf.DUMMYFUNCTION("GOOGLETRANSLATE(B18912,""en"",""de"")"),"Ein professioneller Schwimmer wischt sich die Augen ab, bevor er sich mit dem Wettbewerb befasst.")</f>
        <v>Ein professioneller Schwimmer wischt sich die Augen ab, bevor er sich mit dem Wettbewerb befasst.</v>
      </c>
    </row>
    <row r="18913">
      <c r="A18913" s="4" t="s">
        <v>23795</v>
      </c>
      <c r="B18913" s="4" t="s">
        <v>23797</v>
      </c>
      <c r="C18913" s="5" t="str">
        <f>IFERROR(__xludf.DUMMYFUNCTION("GOOGLETRANSLATE(B18913,""en"",""de"")"),"Er hebt ab und schwimmt, als er versucht, die beiden Konkurrenten auf beiden Seiten von ihm zu schlagen.")</f>
        <v>Er hebt ab und schwimmt, als er versucht, die beiden Konkurrenten auf beiden Seiten von ihm zu schlagen.</v>
      </c>
    </row>
    <row r="18914">
      <c r="A18914" s="4" t="s">
        <v>23798</v>
      </c>
      <c r="B18914" s="4" t="s">
        <v>23799</v>
      </c>
      <c r="C18914" s="5" t="str">
        <f>IFERROR(__xludf.DUMMYFUNCTION("GOOGLETRANSLATE(B18914,""en"",""de"")"),"Ein Turner macht sich fertig und erstreckt sich vor einer Veranstaltung.")</f>
        <v>Ein Turner macht sich fertig und erstreckt sich vor einer Veranstaltung.</v>
      </c>
    </row>
    <row r="18915">
      <c r="A18915" s="4" t="s">
        <v>23798</v>
      </c>
      <c r="B18915" s="4" t="s">
        <v>23800</v>
      </c>
      <c r="C18915" s="5" t="str">
        <f>IFERROR(__xludf.DUMMYFUNCTION("GOOGLETRANSLATE(B18915,""en"",""de"")"),"Der Turner läuft dann während eines olympischen Spiels auf einer Plattform, die endlich auf einer gepolsterten Matte landet.")</f>
        <v>Der Turner läuft dann während eines olympischen Spiels auf einer Plattform, die endlich auf einer gepolsterten Matte landet.</v>
      </c>
    </row>
    <row r="18916">
      <c r="A18916" s="4" t="s">
        <v>23798</v>
      </c>
      <c r="B18916" s="4" t="s">
        <v>23801</v>
      </c>
      <c r="C18916" s="5" t="str">
        <f>IFERROR(__xludf.DUMMYFUNCTION("GOOGLETRANSLATE(B18916,""en"",""de"")"),"Eine große Menge begrüßt die Leistung.")</f>
        <v>Eine große Menge begrüßt die Leistung.</v>
      </c>
    </row>
    <row r="18917">
      <c r="A18917" s="4" t="s">
        <v>23798</v>
      </c>
      <c r="B18917" s="4" t="s">
        <v>23802</v>
      </c>
      <c r="C18917" s="5" t="str">
        <f>IFERROR(__xludf.DUMMYFUNCTION("GOOGLETRANSLATE(B18917,""en"",""de"")"),"Andere Turner schauen und nicken mit Zustimmung.")</f>
        <v>Andere Turner schauen und nicken mit Zustimmung.</v>
      </c>
    </row>
    <row r="18918">
      <c r="A18918" s="4" t="s">
        <v>23798</v>
      </c>
      <c r="B18918" s="4" t="s">
        <v>23803</v>
      </c>
      <c r="C18918" s="5" t="str">
        <f>IFERROR(__xludf.DUMMYFUNCTION("GOOGLETRANSLATE(B18918,""en"",""de"")"),"Eine Wiederholung zeigt die Leistung der Turner in Zeitlupe.")</f>
        <v>Eine Wiederholung zeigt die Leistung der Turner in Zeitlupe.</v>
      </c>
    </row>
    <row r="18919">
      <c r="A18919" s="4" t="s">
        <v>23798</v>
      </c>
      <c r="B18919" s="4" t="s">
        <v>23804</v>
      </c>
      <c r="C18919" s="5" t="str">
        <f>IFERROR(__xludf.DUMMYFUNCTION("GOOGLETRANSLATE(B18919,""en"",""de"")"),"Der Turner sitzt mit ihrem Trainer und wird beglückwünscht.")</f>
        <v>Der Turner sitzt mit ihrem Trainer und wird beglückwünscht.</v>
      </c>
    </row>
    <row r="18920">
      <c r="A18920" s="4" t="s">
        <v>23805</v>
      </c>
      <c r="B18920" s="4" t="s">
        <v>23806</v>
      </c>
      <c r="C18920" s="5" t="str">
        <f>IFERROR(__xludf.DUMMYFUNCTION("GOOGLETRANSLATE(B18920,""en"",""de"")"),"Eine Nahaufnahme eines Pferdes steht in einem eingezäunten Gebiet.")</f>
        <v>Eine Nahaufnahme eines Pferdes steht in einem eingezäunten Gebiet.</v>
      </c>
    </row>
    <row r="18921">
      <c r="A18921" s="4" t="s">
        <v>23805</v>
      </c>
      <c r="B18921" s="4" t="s">
        <v>23807</v>
      </c>
      <c r="C18921" s="5" t="str">
        <f>IFERROR(__xludf.DUMMYFUNCTION("GOOGLETRANSLATE(B18921,""en"",""de"")"),"Eine Person wird dann gesehen, wie er das Pferd von der Seite streift.")</f>
        <v>Eine Person wird dann gesehen, wie er das Pferd von der Seite streift.</v>
      </c>
    </row>
    <row r="18922">
      <c r="A18922" s="4" t="s">
        <v>23805</v>
      </c>
      <c r="B18922" s="4" t="s">
        <v>23808</v>
      </c>
      <c r="C18922" s="5" t="str">
        <f>IFERROR(__xludf.DUMMYFUNCTION("GOOGLETRANSLATE(B18922,""en"",""de"")"),"Die Person bürstet weiter, da eine Nahaufnahme des Pferdes gezeigt wird.")</f>
        <v>Die Person bürstet weiter, da eine Nahaufnahme des Pferdes gezeigt wird.</v>
      </c>
    </row>
    <row r="18923">
      <c r="A18923" s="4" t="s">
        <v>23809</v>
      </c>
      <c r="B18923" s="4" t="s">
        <v>23810</v>
      </c>
      <c r="C18923" s="5" t="str">
        <f>IFERROR(__xludf.DUMMYFUNCTION("GOOGLETRANSLATE(B18923,""en"",""de"")"),"Die Hände einer Person sind Orte in der Mitte eines Papiers und beginnt das Bild entlang zu zeichnen.")</f>
        <v>Die Hände einer Person sind Orte in der Mitte eines Papiers und beginnt das Bild entlang zu zeichnen.</v>
      </c>
    </row>
    <row r="18924">
      <c r="A18924" s="4" t="s">
        <v>23809</v>
      </c>
      <c r="B18924" s="4" t="s">
        <v>23811</v>
      </c>
      <c r="C18924" s="5" t="str">
        <f>IFERROR(__xludf.DUMMYFUNCTION("GOOGLETRANSLATE(B18924,""en"",""de"")"),"Die Person malt dann einen großen Baum, während sie sich beim Gemälde weiterhin schnell bewegt.")</f>
        <v>Die Person malt dann einen großen Baum, während sie sich beim Gemälde weiterhin schnell bewegt.</v>
      </c>
    </row>
    <row r="18925">
      <c r="A18925" s="4" t="s">
        <v>23809</v>
      </c>
      <c r="B18925" s="4" t="s">
        <v>23812</v>
      </c>
      <c r="C18925" s="5" t="str">
        <f>IFERROR(__xludf.DUMMYFUNCTION("GOOGLETRANSLATE(B18925,""en"",""de"")"),"Die Person beendet das Gemälde und unterschreibt ihren Namen und zeigt ein Bild von sich.")</f>
        <v>Die Person beendet das Gemälde und unterschreibt ihren Namen und zeigt ein Bild von sich.</v>
      </c>
    </row>
    <row r="18926">
      <c r="A18926" s="4" t="s">
        <v>23813</v>
      </c>
      <c r="B18926" s="4" t="s">
        <v>23814</v>
      </c>
      <c r="C18926" s="5" t="str">
        <f>IFERROR(__xludf.DUMMYFUNCTION("GOOGLETRANSLATE(B18926,""en"",""de"")"),"Ein schwarzer Bildschirm erscheint mit weißen Worten, Lesen, Winter Sedona, AZ.")</f>
        <v>Ein schwarzer Bildschirm erscheint mit weißen Worten, Lesen, Winter Sedona, AZ.</v>
      </c>
    </row>
    <row r="18927">
      <c r="A18927" s="4" t="s">
        <v>23813</v>
      </c>
      <c r="B18927" s="4" t="s">
        <v>23815</v>
      </c>
      <c r="C18927" s="5" t="str">
        <f>IFERROR(__xludf.DUMMYFUNCTION("GOOGLETRANSLATE(B18927,""en"",""de"")"),"Ein Mann beginnt durch ein Feld aus Bäumen und Sträuchern mit einem gelben Hut, einer Strickjacke, Stiefeln und einer Tasche.")</f>
        <v>Ein Mann beginnt durch ein Feld aus Bäumen und Sträuchern mit einem gelben Hut, einer Strickjacke, Stiefeln und einer Tasche.</v>
      </c>
    </row>
    <row r="18928">
      <c r="A18928" s="4" t="s">
        <v>23813</v>
      </c>
      <c r="B18928" s="4" t="s">
        <v>23816</v>
      </c>
      <c r="C18928" s="5" t="str">
        <f>IFERROR(__xludf.DUMMYFUNCTION("GOOGLETRANSLATE(B18928,""en"",""de"")"),"Dann bleibt er stehen und beginnt einen Holzrekorder zu spielen.")</f>
        <v>Dann bleibt er stehen und beginnt einen Holzrekorder zu spielen.</v>
      </c>
    </row>
    <row r="18929">
      <c r="A18929" s="4" t="s">
        <v>23813</v>
      </c>
      <c r="B18929" s="4" t="s">
        <v>23817</v>
      </c>
      <c r="C18929" s="5" t="str">
        <f>IFERROR(__xludf.DUMMYFUNCTION("GOOGLETRANSLATE(B18929,""en"",""de"")"),"Die Kamera zoomt ein und er spielt den Rekorder weiter und verschiedene Formen der umgebenden Landschaft werden gezeigt.")</f>
        <v>Die Kamera zoomt ein und er spielt den Rekorder weiter und verschiedene Formen der umgebenden Landschaft werden gezeigt.</v>
      </c>
    </row>
    <row r="18930">
      <c r="A18930" s="4" t="s">
        <v>23818</v>
      </c>
      <c r="B18930" s="4" t="s">
        <v>23819</v>
      </c>
      <c r="C18930" s="5" t="str">
        <f>IFERROR(__xludf.DUMMYFUNCTION("GOOGLETRANSLATE(B18930,""en"",""de"")"),"Die Kamera bewegt sich auf zwei Autos, die auf der Straße geparkt sind, die sich gegenseitig gegenübersehen.")</f>
        <v>Die Kamera bewegt sich auf zwei Autos, die auf der Straße geparkt sind, die sich gegenseitig gegenübersehen.</v>
      </c>
    </row>
    <row r="18931">
      <c r="A18931" s="4" t="s">
        <v>23818</v>
      </c>
      <c r="B18931" s="4" t="s">
        <v>23820</v>
      </c>
      <c r="C18931" s="5" t="str">
        <f>IFERROR(__xludf.DUMMYFUNCTION("GOOGLETRANSLATE(B18931,""en"",""de"")"),"Ein junger Mann wird dann gesehen, wie er einen Traktor entlang des Rasenes fährt, um das Gras zu schneiden, und bewegt sich rund um den Kameramann.")</f>
        <v>Ein junger Mann wird dann gesehen, wie er einen Traktor entlang des Rasenes fährt, um das Gras zu schneiden, und bewegt sich rund um den Kameramann.</v>
      </c>
    </row>
    <row r="18932">
      <c r="A18932" s="4" t="s">
        <v>23821</v>
      </c>
      <c r="B18932" s="4" t="s">
        <v>23822</v>
      </c>
      <c r="C18932" s="5" t="str">
        <f>IFERROR(__xludf.DUMMYFUNCTION("GOOGLETRANSLATE(B18932,""en"",""de"")"),"Fünf Personen, die Skateboards tragen, gehen auf das Licht zu.")</f>
        <v>Fünf Personen, die Skateboards tragen, gehen auf das Licht zu.</v>
      </c>
    </row>
    <row r="18933">
      <c r="A18933" s="4" t="s">
        <v>23821</v>
      </c>
      <c r="B18933" s="4" t="s">
        <v>23823</v>
      </c>
      <c r="C18933" s="5" t="str">
        <f>IFERROR(__xludf.DUMMYFUNCTION("GOOGLETRANSLATE(B18933,""en"",""de"")"),"Die jungen Leute skateboarden in einer Unterteilung, während sie sich als Pause mit ihren Händen hinsetzen.")</f>
        <v>Die jungen Leute skateboarden in einer Unterteilung, während sie sich als Pause mit ihren Händen hinsetzen.</v>
      </c>
    </row>
    <row r="18934">
      <c r="A18934" s="4" t="s">
        <v>23821</v>
      </c>
      <c r="B18934" s="4" t="s">
        <v>23824</v>
      </c>
      <c r="C18934" s="5" t="str">
        <f>IFERROR(__xludf.DUMMYFUNCTION("GOOGLETRANSLATE(B18934,""en"",""de"")"),"Die jungen Leute skateboard auf einer Rampe, dann zum Parkplatz, dann zum Unterteil der Skateboarder fielen von ihren Skateboards.")</f>
        <v>Die jungen Leute skateboard auf einer Rampe, dann zum Parkplatz, dann zum Unterteil der Skateboarder fielen von ihren Skateboards.</v>
      </c>
    </row>
    <row r="18935">
      <c r="A18935" s="4" t="s">
        <v>23825</v>
      </c>
      <c r="B18935" s="4" t="s">
        <v>23826</v>
      </c>
      <c r="C18935" s="5" t="str">
        <f>IFERROR(__xludf.DUMMYFUNCTION("GOOGLETRANSLATE(B18935,""en"",""de"")"),"Ein Mann hält einen Holzfall.")</f>
        <v>Ein Mann hält einen Holzfall.</v>
      </c>
    </row>
    <row r="18936">
      <c r="A18936" s="4" t="s">
        <v>23825</v>
      </c>
      <c r="B18936" s="4" t="s">
        <v>23827</v>
      </c>
      <c r="C18936" s="5" t="str">
        <f>IFERROR(__xludf.DUMMYFUNCTION("GOOGLETRANSLATE(B18936,""en"",""de"")"),"Er legt ein Handtuch durch das Gehäuse.")</f>
        <v>Er legt ein Handtuch durch das Gehäuse.</v>
      </c>
    </row>
    <row r="18937">
      <c r="A18937" s="4" t="s">
        <v>23825</v>
      </c>
      <c r="B18937" s="4" t="s">
        <v>23828</v>
      </c>
      <c r="C18937" s="5" t="str">
        <f>IFERROR(__xludf.DUMMYFUNCTION("GOOGLETRANSLATE(B18937,""en"",""de"")"),"Er beginnt seinen Schuh mit dem Handtuch zu leuchten.")</f>
        <v>Er beginnt seinen Schuh mit dem Handtuch zu leuchten.</v>
      </c>
    </row>
    <row r="18938">
      <c r="A18938" s="4" t="s">
        <v>23829</v>
      </c>
      <c r="B18938" s="4" t="s">
        <v>23830</v>
      </c>
      <c r="C18938" s="5" t="str">
        <f>IFERROR(__xludf.DUMMYFUNCTION("GOOGLETRANSLATE(B18938,""en"",""de"")"),"Ein Mann trägt einen Anzug und geht weg.")</f>
        <v>Ein Mann trägt einen Anzug und geht weg.</v>
      </c>
    </row>
    <row r="18939">
      <c r="A18939" s="4" t="s">
        <v>23829</v>
      </c>
      <c r="B18939" s="4" t="s">
        <v>23831</v>
      </c>
      <c r="C18939" s="5" t="str">
        <f>IFERROR(__xludf.DUMMYFUNCTION("GOOGLETRANSLATE(B18939,""en"",""de"")"),"Der Mann geht auf einen großen Stuhl und setzt sich hin.")</f>
        <v>Der Mann geht auf einen großen Stuhl und setzt sich hin.</v>
      </c>
    </row>
    <row r="18940">
      <c r="A18940" s="4" t="s">
        <v>23829</v>
      </c>
      <c r="B18940" s="4" t="s">
        <v>23832</v>
      </c>
      <c r="C18940" s="5" t="str">
        <f>IFERROR(__xludf.DUMMYFUNCTION("GOOGLETRANSLATE(B18940,""en"",""de"")"),"Ein anderer Mann steht vor dem Stuhl und schaut auf die Füße des Mannes hinunter.")</f>
        <v>Ein anderer Mann steht vor dem Stuhl und schaut auf die Füße des Mannes hinunter.</v>
      </c>
    </row>
    <row r="18941">
      <c r="A18941" s="4" t="s">
        <v>23833</v>
      </c>
      <c r="B18941" s="4" t="s">
        <v>23834</v>
      </c>
      <c r="C18941" s="5" t="str">
        <f>IFERROR(__xludf.DUMMYFUNCTION("GOOGLETRANSLATE(B18941,""en"",""de"")"),"Zwei Männer sind draußen auf der Seite einer Brücke und reden miteinander, während mehrere Menschen mit ihnen sprechen und ihre Hände schütteln.")</f>
        <v>Zwei Männer sind draußen auf der Seite einer Brücke und reden miteinander, während mehrere Menschen mit ihnen sprechen und ihre Hände schütteln.</v>
      </c>
    </row>
    <row r="18942">
      <c r="A18942" s="4" t="s">
        <v>23833</v>
      </c>
      <c r="B18942" s="4" t="s">
        <v>23835</v>
      </c>
      <c r="C18942" s="5" t="str">
        <f>IFERROR(__xludf.DUMMYFUNCTION("GOOGLETRANSLATE(B18942,""en"",""de"")"),"Danach greift der Mann, der im Gurt ist, auf die Schultern von zwei Männern, während sie ihm helfen, auf der Brücke aufzustehen.")</f>
        <v>Danach greift der Mann, der im Gurt ist, auf die Schultern von zwei Männern, während sie ihm helfen, auf der Brücke aufzustehen.</v>
      </c>
    </row>
    <row r="18943">
      <c r="A18943" s="4" t="s">
        <v>23833</v>
      </c>
      <c r="B18943" s="4" t="s">
        <v>23836</v>
      </c>
      <c r="C18943" s="5" t="str">
        <f>IFERROR(__xludf.DUMMYFUNCTION("GOOGLETRANSLATE(B18943,""en"",""de"")"),"Schließlich macht der Mann frei von der Brücke und ein orangefarbener Ball wird ihm geworfen.")</f>
        <v>Schließlich macht der Mann frei von der Brücke und ein orangefarbener Ball wird ihm geworfen.</v>
      </c>
    </row>
    <row r="18944">
      <c r="A18944" s="4" t="s">
        <v>23837</v>
      </c>
      <c r="B18944" s="4" t="s">
        <v>23838</v>
      </c>
      <c r="C18944" s="5" t="str">
        <f>IFERROR(__xludf.DUMMYFUNCTION("GOOGLETRANSLATE(B18944,""en"",""de"")"),"Ein Turner, der rote Trikots trägt, führt in einem großen Stadion mit mehreren Zuschauern eine Gymnastik auf ungleichmäßigen Bars in einem großen Stadion durch.")</f>
        <v>Ein Turner, der rote Trikots trägt, führt in einem großen Stadion mit mehreren Zuschauern eine Gymnastik auf ungleichmäßigen Bars in einem großen Stadion durch.</v>
      </c>
    </row>
    <row r="18945">
      <c r="A18945" s="4" t="s">
        <v>23837</v>
      </c>
      <c r="B18945" s="4" t="s">
        <v>23839</v>
      </c>
      <c r="C18945" s="5" t="str">
        <f>IFERROR(__xludf.DUMMYFUNCTION("GOOGLETRANSLATE(B18945,""en"",""de"")"),"Sie macht vorne und Rückenflips mit schneller Bewegung, ohne herunterzufallen.")</f>
        <v>Sie macht vorne und Rückenflips mit schneller Bewegung, ohne herunterzufallen.</v>
      </c>
    </row>
    <row r="18946">
      <c r="A18946" s="4" t="s">
        <v>23837</v>
      </c>
      <c r="B18946" s="4" t="s">
        <v>23840</v>
      </c>
      <c r="C18946" s="5" t="str">
        <f>IFERROR(__xludf.DUMMYFUNCTION("GOOGLETRANSLATE(B18946,""en"",""de"")"),"Nachdem sie fertig ist, steigt sie aus den unebenen Bars aus und geht los, während sie ihrem Trainer eine hohe fünf gibt.")</f>
        <v>Nachdem sie fertig ist, steigt sie aus den unebenen Bars aus und geht los, während sie ihrem Trainer eine hohe fünf gibt.</v>
      </c>
    </row>
    <row r="18947">
      <c r="A18947" s="4" t="s">
        <v>23841</v>
      </c>
      <c r="B18947" s="4" t="s">
        <v>23842</v>
      </c>
      <c r="C18947" s="5" t="str">
        <f>IFERROR(__xludf.DUMMYFUNCTION("GOOGLETRANSLATE(B18947,""en"",""de"")"),"Zwei Frauen sprechen mit einer Kamera mit einer, die eine Katze in ihrem Schoß hält.")</f>
        <v>Zwei Frauen sprechen mit einer Kamera mit einer, die eine Katze in ihrem Schoß hält.</v>
      </c>
    </row>
    <row r="18948">
      <c r="A18948" s="4" t="s">
        <v>23841</v>
      </c>
      <c r="B18948" s="4" t="s">
        <v>23843</v>
      </c>
      <c r="C18948" s="5" t="str">
        <f>IFERROR(__xludf.DUMMYFUNCTION("GOOGLETRANSLATE(B18948,""en"",""de"")"),"Die Frau hält dann die Krallen der Katze und schneidet die Nägel, während er auf die Katze zeigt und zur Kamera schaut.")</f>
        <v>Die Frau hält dann die Krallen der Katze und schneidet die Nägel, während er auf die Katze zeigt und zur Kamera schaut.</v>
      </c>
    </row>
    <row r="18949">
      <c r="A18949" s="4" t="s">
        <v>23844</v>
      </c>
      <c r="B18949" s="4" t="s">
        <v>23845</v>
      </c>
      <c r="C18949" s="5" t="str">
        <f>IFERROR(__xludf.DUMMYFUNCTION("GOOGLETRANSLATE(B18949,""en"",""de"")"),"Eine Frau steht auf einem Tauchbrett.")</f>
        <v>Eine Frau steht auf einem Tauchbrett.</v>
      </c>
    </row>
    <row r="18950">
      <c r="A18950" s="4" t="s">
        <v>23844</v>
      </c>
      <c r="B18950" s="4" t="s">
        <v>23846</v>
      </c>
      <c r="C18950" s="5" t="str">
        <f>IFERROR(__xludf.DUMMYFUNCTION("GOOGLETRANSLATE(B18950,""en"",""de"")"),"Sie springt vom Tauchbrett.")</f>
        <v>Sie springt vom Tauchbrett.</v>
      </c>
    </row>
    <row r="18951">
      <c r="A18951" s="4" t="s">
        <v>23844</v>
      </c>
      <c r="B18951" s="4" t="s">
        <v>23847</v>
      </c>
      <c r="C18951" s="5" t="str">
        <f>IFERROR(__xludf.DUMMYFUNCTION("GOOGLETRANSLATE(B18951,""en"",""de"")"),"Sie taucht in den Wasserbecken ein.")</f>
        <v>Sie taucht in den Wasserbecken ein.</v>
      </c>
    </row>
    <row r="18952">
      <c r="A18952" s="4" t="s">
        <v>23844</v>
      </c>
      <c r="B18952" s="4" t="s">
        <v>23848</v>
      </c>
      <c r="C18952" s="5" t="str">
        <f>IFERROR(__xludf.DUMMYFUNCTION("GOOGLETRANSLATE(B18952,""en"",""de"")"),"Sie schwimmt unter dem Wasser.")</f>
        <v>Sie schwimmt unter dem Wasser.</v>
      </c>
    </row>
    <row r="18953">
      <c r="A18953" s="4" t="s">
        <v>23849</v>
      </c>
      <c r="B18953" s="4" t="s">
        <v>23850</v>
      </c>
      <c r="C18953" s="5" t="str">
        <f>IFERROR(__xludf.DUMMYFUNCTION("GOOGLETRANSLATE(B18953,""en"",""de"")"),"Zwei Männer zeigen und demonstrieren die Verwendung eines automatisierten Tennisballservers auf einem Tennisballplatz.")</f>
        <v>Zwei Männer zeigen und demonstrieren die Verwendung eines automatisierten Tennisballservers auf einem Tennisballplatz.</v>
      </c>
    </row>
    <row r="18954">
      <c r="A18954" s="4" t="s">
        <v>23849</v>
      </c>
      <c r="B18954" s="4" t="s">
        <v>23851</v>
      </c>
      <c r="C18954" s="5" t="str">
        <f>IFERROR(__xludf.DUMMYFUNCTION("GOOGLETRANSLATE(B18954,""en"",""de"")"),"Eine Animationsgrafik scheint zwei Goldzylinder innerhalb einer Metallhalterung zu zeigen.")</f>
        <v>Eine Animationsgrafik scheint zwei Goldzylinder innerhalb einer Metallhalterung zu zeigen.</v>
      </c>
    </row>
    <row r="18955">
      <c r="A18955" s="4" t="s">
        <v>23849</v>
      </c>
      <c r="B18955" s="4" t="s">
        <v>23852</v>
      </c>
      <c r="C18955" s="5" t="str">
        <f>IFERROR(__xludf.DUMMYFUNCTION("GOOGLETRANSLATE(B18955,""en"",""de"")"),"Die animierte Grafik verwandelt sich in eine echte und tatsächliche Version der Grafik, die auf einem Tennisplatz im Freien auftritt und von zwei Männern flankiert wird.")</f>
        <v>Die animierte Grafik verwandelt sich in eine echte und tatsächliche Version der Grafik, die auf einem Tennisplatz im Freien auftritt und von zwei Männern flankiert wird.</v>
      </c>
    </row>
    <row r="18956">
      <c r="A18956" s="4" t="s">
        <v>23849</v>
      </c>
      <c r="B18956" s="4" t="s">
        <v>23853</v>
      </c>
      <c r="C18956" s="5" t="str">
        <f>IFERROR(__xludf.DUMMYFUNCTION("GOOGLETRANSLATE(B18956,""en"",""de"")"),"Die beiden Männer, die neben den Maschinenstaken Tenniskugeln stehen, in die Maschine stecken, was wiederum die Bälle ausspuckt, die als automatisierter Tennisball -Server für einen Spieler fungieren, der auf der anderen Seite des Tennisplatzes mit einem "&amp;"Tennisschläger steht.")</f>
        <v>Die beiden Männer, die neben den Maschinenstaken Tenniskugeln stehen, in die Maschine stecken, was wiederum die Bälle ausspuckt, die als automatisierter Tennisball -Server für einen Spieler fungieren, der auf der anderen Seite des Tennisplatzes mit einem Tennisschläger steht.</v>
      </c>
    </row>
    <row r="18957">
      <c r="A18957" s="4" t="s">
        <v>23854</v>
      </c>
      <c r="B18957" s="4" t="s">
        <v>23855</v>
      </c>
      <c r="C18957" s="5" t="str">
        <f>IFERROR(__xludf.DUMMYFUNCTION("GOOGLETRANSLATE(B18957,""en"",""de"")"),"Ein Kürbis sitzt auf einer Theke.")</f>
        <v>Ein Kürbis sitzt auf einer Theke.</v>
      </c>
    </row>
    <row r="18958">
      <c r="A18958" s="4" t="s">
        <v>23854</v>
      </c>
      <c r="B18958" s="4" t="s">
        <v>23856</v>
      </c>
      <c r="C18958" s="5" t="str">
        <f>IFERROR(__xludf.DUMMYFUNCTION("GOOGLETRANSLATE(B18958,""en"",""de"")"),"Ein Messer schnitzt ein Gesicht in den Kürbis.")</f>
        <v>Ein Messer schnitzt ein Gesicht in den Kürbis.</v>
      </c>
    </row>
    <row r="18959">
      <c r="A18959" s="4" t="s">
        <v>23854</v>
      </c>
      <c r="B18959" s="4" t="s">
        <v>23857</v>
      </c>
      <c r="C18959" s="5" t="str">
        <f>IFERROR(__xludf.DUMMYFUNCTION("GOOGLETRANSLATE(B18959,""en"",""de"")"),"Die Lichter sind ausgeschaltet und der Kürbis wird beleuchtet.")</f>
        <v>Die Lichter sind ausgeschaltet und der Kürbis wird beleuchtet.</v>
      </c>
    </row>
    <row r="18960">
      <c r="A18960" s="4" t="s">
        <v>23858</v>
      </c>
      <c r="B18960" s="4" t="s">
        <v>23859</v>
      </c>
      <c r="C18960" s="5" t="str">
        <f>IFERROR(__xludf.DUMMYFUNCTION("GOOGLETRANSLATE(B18960,""en"",""de"")"),"Es gibt Bandmitglieder, die über ihr Konzert in Kanada sprechen.")</f>
        <v>Es gibt Bandmitglieder, die über ihr Konzert in Kanada sprechen.</v>
      </c>
    </row>
    <row r="18961">
      <c r="A18961" s="4" t="s">
        <v>23858</v>
      </c>
      <c r="B18961" s="4" t="s">
        <v>23860</v>
      </c>
      <c r="C18961" s="5" t="str">
        <f>IFERROR(__xludf.DUMMYFUNCTION("GOOGLETRANSLATE(B18961,""en"",""de"")"),"Sie sitzen auf einer Bühne, als sie über ihre Erfahrungen über das Überraschen eines Fans sprechen.")</f>
        <v>Sie sitzen auf einer Bühne, als sie über ihre Erfahrungen über das Überraschen eines Fans sprechen.</v>
      </c>
    </row>
    <row r="18962">
      <c r="A18962" s="4" t="s">
        <v>23858</v>
      </c>
      <c r="B18962" s="4" t="s">
        <v>23861</v>
      </c>
      <c r="C18962" s="5" t="str">
        <f>IFERROR(__xludf.DUMMYFUNCTION("GOOGLETRANSLATE(B18962,""en"",""de"")"),"Sie überraschen einen Fan, der der Gewinner eines Wettbewerbs ist.")</f>
        <v>Sie überraschen einen Fan, der der Gewinner eines Wettbewerbs ist.</v>
      </c>
    </row>
    <row r="18963">
      <c r="A18963" s="4" t="s">
        <v>23858</v>
      </c>
      <c r="B18963" s="4" t="s">
        <v>23862</v>
      </c>
      <c r="C18963" s="5" t="str">
        <f>IFERROR(__xludf.DUMMYFUNCTION("GOOGLETRANSLATE(B18963,""en"",""de"")"),"Die Bandmitglieder machen mit dem überraschten Fan Bowling und spielen in der Kegelbahn.")</f>
        <v>Die Bandmitglieder machen mit dem überraschten Fan Bowling und spielen in der Kegelbahn.</v>
      </c>
    </row>
    <row r="18964">
      <c r="A18964" s="4" t="s">
        <v>23858</v>
      </c>
      <c r="B18964" s="4" t="s">
        <v>23863</v>
      </c>
      <c r="C18964" s="5" t="str">
        <f>IFERROR(__xludf.DUMMYFUNCTION("GOOGLETRANSLATE(B18964,""en"",""de"")"),"Nachdem das Bowling -Spiel vorbei ist, überraschen sie den Fan weiter, indem sie sie zu ihrer Konzert -Sound -Check -Party einladen.")</f>
        <v>Nachdem das Bowling -Spiel vorbei ist, überraschen sie den Fan weiter, indem sie sie zu ihrer Konzert -Sound -Check -Party einladen.</v>
      </c>
    </row>
    <row r="18965">
      <c r="A18965" s="4" t="s">
        <v>23864</v>
      </c>
      <c r="B18965" s="4" t="s">
        <v>23865</v>
      </c>
      <c r="C18965" s="5" t="str">
        <f>IFERROR(__xludf.DUMMYFUNCTION("GOOGLETRANSLATE(B18965,""en"",""de"")"),"Ein Mann montiert ein Pommel -Pferd und beginnt sich zu drehen.")</f>
        <v>Ein Mann montiert ein Pommel -Pferd und beginnt sich zu drehen.</v>
      </c>
    </row>
    <row r="18966">
      <c r="A18966" s="4" t="s">
        <v>23864</v>
      </c>
      <c r="B18966" s="4" t="s">
        <v>23866</v>
      </c>
      <c r="C18966" s="5" t="str">
        <f>IFERROR(__xludf.DUMMYFUNCTION("GOOGLETRANSLATE(B18966,""en"",""de"")"),"Ein Turner im Hintergrund fällt mitten in der Leistung.")</f>
        <v>Ein Turner im Hintergrund fällt mitten in der Leistung.</v>
      </c>
    </row>
    <row r="18967">
      <c r="A18967" s="4" t="s">
        <v>23864</v>
      </c>
      <c r="B18967" s="4" t="s">
        <v>23867</v>
      </c>
      <c r="C18967" s="5" t="str">
        <f>IFERROR(__xludf.DUMMYFUNCTION("GOOGLETRANSLATE(B18967,""en"",""de"")"),"Der Hauptdarsteller steigt ab und wirft seine Arme in die Luft.")</f>
        <v>Der Hauptdarsteller steigt ab und wirft seine Arme in die Luft.</v>
      </c>
    </row>
    <row r="18968">
      <c r="A18968" s="4" t="s">
        <v>23864</v>
      </c>
      <c r="B18968" s="4" t="s">
        <v>23868</v>
      </c>
      <c r="C18968" s="5" t="str">
        <f>IFERROR(__xludf.DUMMYFUNCTION("GOOGLETRANSLATE(B18968,""en"",""de"")"),"Der Hauptdarsteller geht weg.")</f>
        <v>Der Hauptdarsteller geht weg.</v>
      </c>
    </row>
    <row r="18969">
      <c r="A18969" s="4" t="s">
        <v>23869</v>
      </c>
      <c r="B18969" s="4" t="s">
        <v>23870</v>
      </c>
      <c r="C18969" s="5" t="str">
        <f>IFERROR(__xludf.DUMMYFUNCTION("GOOGLETRANSLATE(B18969,""en"",""de"")"),"Ein Mann steht in einem Raum und redet.")</f>
        <v>Ein Mann steht in einem Raum und redet.</v>
      </c>
    </row>
    <row r="18970">
      <c r="A18970" s="4" t="s">
        <v>23869</v>
      </c>
      <c r="B18970" s="4" t="s">
        <v>23871</v>
      </c>
      <c r="C18970" s="5" t="str">
        <f>IFERROR(__xludf.DUMMYFUNCTION("GOOGLETRANSLATE(B18970,""en"",""de"")"),"Ein anderer Mann malt die Wände des Raumes.")</f>
        <v>Ein anderer Mann malt die Wände des Raumes.</v>
      </c>
    </row>
    <row r="18971">
      <c r="A18971" s="4" t="s">
        <v>23869</v>
      </c>
      <c r="B18971" s="4" t="s">
        <v>23872</v>
      </c>
      <c r="C18971" s="5" t="str">
        <f>IFERROR(__xludf.DUMMYFUNCTION("GOOGLETRANSLATE(B18971,""en"",""de"")"),"Der Mann setzt seine Farbe und sein Handtuch neben ihn herab.")</f>
        <v>Der Mann setzt seine Farbe und sein Handtuch neben ihn herab.</v>
      </c>
    </row>
    <row r="18972">
      <c r="A18972" s="4" t="s">
        <v>23873</v>
      </c>
      <c r="B18972" s="4" t="s">
        <v>23874</v>
      </c>
      <c r="C18972" s="5" t="str">
        <f>IFERROR(__xludf.DUMMYFUNCTION("GOOGLETRANSLATE(B18972,""en"",""de"")"),"Ein Tether -Seil steigt auf einer Bar auf.")</f>
        <v>Ein Tether -Seil steigt auf einer Bar auf.</v>
      </c>
    </row>
    <row r="18973">
      <c r="A18973" s="4" t="s">
        <v>23873</v>
      </c>
      <c r="B18973" s="4" t="s">
        <v>23875</v>
      </c>
      <c r="C18973" s="5" t="str">
        <f>IFERROR(__xludf.DUMMYFUNCTION("GOOGLETRANSLATE(B18973,""en"",""de"")"),"Athleten bereiten sich auf eine Veranstaltung vor, die die Stangen vorbereiten und die Hände kalkeln.")</f>
        <v>Athleten bereiten sich auf eine Veranstaltung vor, die die Stangen vorbereiten und die Hände kalkeln.</v>
      </c>
    </row>
    <row r="18974">
      <c r="A18974" s="4" t="s">
        <v>23873</v>
      </c>
      <c r="B18974" s="4" t="s">
        <v>23876</v>
      </c>
      <c r="C18974" s="5" t="str">
        <f>IFERROR(__xludf.DUMMYFUNCTION("GOOGLETRANSLATE(B18974,""en"",""de"")"),"Athleten Stabhochsprung über eine hohe Bar in einem Wettbewerb.")</f>
        <v>Athleten Stabhochsprung über eine hohe Bar in einem Wettbewerb.</v>
      </c>
    </row>
    <row r="18975">
      <c r="A18975" s="4" t="s">
        <v>23873</v>
      </c>
      <c r="B18975" s="4" t="s">
        <v>23877</v>
      </c>
      <c r="C18975" s="5" t="str">
        <f>IFERROR(__xludf.DUMMYFUNCTION("GOOGLETRANSLATE(B18975,""en"",""de"")"),"Athleten und Fans treffen sich nach der Veranstaltung und signieren Autogramme.")</f>
        <v>Athleten und Fans treffen sich nach der Veranstaltung und signieren Autogramme.</v>
      </c>
    </row>
    <row r="18976">
      <c r="A18976" s="4" t="s">
        <v>23873</v>
      </c>
      <c r="B18976" s="4" t="s">
        <v>23878</v>
      </c>
      <c r="C18976" s="5" t="str">
        <f>IFERROR(__xludf.DUMMYFUNCTION("GOOGLETRANSLATE(B18976,""en"",""de"")"),"Eine Grafik ist mit Event -Sponsoren und Website auf dem Bildschirm mit schwarzem Hintergrund zu sehen.")</f>
        <v>Eine Grafik ist mit Event -Sponsoren und Website auf dem Bildschirm mit schwarzem Hintergrund zu sehen.</v>
      </c>
    </row>
    <row r="18977">
      <c r="A18977" s="4" t="s">
        <v>23879</v>
      </c>
      <c r="B18977" s="4" t="s">
        <v>23880</v>
      </c>
      <c r="C18977" s="5" t="str">
        <f>IFERROR(__xludf.DUMMYFUNCTION("GOOGLETRANSLATE(B18977,""en"",""de"")"),"Eine Gruppe von Erwachsenen befindet sich in einem Floß und paddelt mit großen Wellen durch das Wasser.")</f>
        <v>Eine Gruppe von Erwachsenen befindet sich in einem Floß und paddelt mit großen Wellen durch das Wasser.</v>
      </c>
    </row>
    <row r="18978">
      <c r="A18978" s="4" t="s">
        <v>23879</v>
      </c>
      <c r="B18978" s="4" t="s">
        <v>23881</v>
      </c>
      <c r="C18978" s="5" t="str">
        <f>IFERROR(__xludf.DUMMYFUNCTION("GOOGLETRANSLATE(B18978,""en"",""de"")"),"Die Gruppe traf sich gegenseitig wie ein High Five und paddelt dann weiter durch den Fluss.")</f>
        <v>Die Gruppe traf sich gegenseitig wie ein High Five und paddelt dann weiter durch den Fluss.</v>
      </c>
    </row>
    <row r="18979">
      <c r="A18979" s="4" t="s">
        <v>23879</v>
      </c>
      <c r="B18979" s="4" t="s">
        <v>23882</v>
      </c>
      <c r="C18979" s="5" t="str">
        <f>IFERROR(__xludf.DUMMYFUNCTION("GOOGLETRANSLATE(B18979,""en"",""de"")"),"Andere Gruppe von Menschen reiten mit den Flößen und hielt am Fluss an.")</f>
        <v>Andere Gruppe von Menschen reiten mit den Flößen und hielt am Fluss an.</v>
      </c>
    </row>
    <row r="18980">
      <c r="A18980" s="4" t="s">
        <v>23883</v>
      </c>
      <c r="B18980" s="4" t="s">
        <v>23884</v>
      </c>
      <c r="C18980" s="5" t="str">
        <f>IFERROR(__xludf.DUMMYFUNCTION("GOOGLETRANSLATE(B18980,""en"",""de"")"),"Eine Frau spricht mit der Kamera, die ein Instrument hält, und führt in sie die Flöte.")</f>
        <v>Eine Frau spricht mit der Kamera, die ein Instrument hält, und führt in sie die Flöte.</v>
      </c>
    </row>
    <row r="18981">
      <c r="A18981" s="4" t="s">
        <v>23883</v>
      </c>
      <c r="B18981" s="4" t="s">
        <v>23885</v>
      </c>
      <c r="C18981" s="5" t="str">
        <f>IFERROR(__xludf.DUMMYFUNCTION("GOOGLETRANSLATE(B18981,""en"",""de"")"),"Die Kamera vergrößert ihr das Instrument, während sie eingreift, indem sie mit der Kamera eingreift.")</f>
        <v>Die Kamera vergrößert ihr das Instrument, während sie eingreift, indem sie mit der Kamera eingreift.</v>
      </c>
    </row>
    <row r="18982">
      <c r="A18982" s="4" t="s">
        <v>23886</v>
      </c>
      <c r="B18982" s="4" t="s">
        <v>23887</v>
      </c>
      <c r="C18982" s="5" t="str">
        <f>IFERROR(__xludf.DUMMYFUNCTION("GOOGLETRANSLATE(B18982,""en"",""de"")"),"Wir sehen eine Flasche Gesichtswäsche.")</f>
        <v>Wir sehen eine Flasche Gesichtswäsche.</v>
      </c>
    </row>
    <row r="18983">
      <c r="A18983" s="4" t="s">
        <v>23886</v>
      </c>
      <c r="B18983" s="4" t="s">
        <v>23888</v>
      </c>
      <c r="C18983" s="5" t="str">
        <f>IFERROR(__xludf.DUMMYFUNCTION("GOOGLETRANSLATE(B18983,""en"",""de"")"),"Wir sehen eine Person, die das Gesicht hält und sie dann ins Gesicht legt.")</f>
        <v>Wir sehen eine Person, die das Gesicht hält und sie dann ins Gesicht legt.</v>
      </c>
    </row>
    <row r="18984">
      <c r="A18984" s="4" t="s">
        <v>23886</v>
      </c>
      <c r="B18984" s="4" t="s">
        <v>23889</v>
      </c>
      <c r="C18984" s="5" t="str">
        <f>IFERROR(__xludf.DUMMYFUNCTION("GOOGLETRANSLATE(B18984,""en"",""de"")"),"Sie spülen das Gesicht aus und fügen die Gesichtswäsche mit einer Bürste hinzu.")</f>
        <v>Sie spülen das Gesicht aus und fügen die Gesichtswäsche mit einer Bürste hinzu.</v>
      </c>
    </row>
    <row r="18985">
      <c r="A18985" s="4" t="s">
        <v>23886</v>
      </c>
      <c r="B18985" s="4" t="s">
        <v>23890</v>
      </c>
      <c r="C18985" s="5" t="str">
        <f>IFERROR(__xludf.DUMMYFUNCTION("GOOGLETRANSLATE(B18985,""en"",""de"")"),"Wir sehen eine Abbildung zum Hinzufügen der Wäsche mit einem Pinsel.")</f>
        <v>Wir sehen eine Abbildung zum Hinzufügen der Wäsche mit einem Pinsel.</v>
      </c>
    </row>
    <row r="18986">
      <c r="A18986" s="4" t="s">
        <v>23886</v>
      </c>
      <c r="B18986" s="4" t="s">
        <v>4513</v>
      </c>
      <c r="C18986" s="5" t="str">
        <f>IFERROR(__xludf.DUMMYFUNCTION("GOOGLETRANSLATE(B18986,""en"",""de"")"),"Wir sehen die Endgutschrift.")</f>
        <v>Wir sehen die Endgutschrift.</v>
      </c>
    </row>
    <row r="18987">
      <c r="A18987" s="4" t="s">
        <v>23891</v>
      </c>
      <c r="B18987" s="4" t="s">
        <v>23892</v>
      </c>
      <c r="C18987" s="5" t="str">
        <f>IFERROR(__xludf.DUMMYFUNCTION("GOOGLETRANSLATE(B18987,""en"",""de"")"),"Verschiedene Clips einer großen Gruppe von Menschen stehen zusammen, wenn sie zu Klammern von Menschen führen, die Schleifen und Pfeile schießen.")</f>
        <v>Verschiedene Clips einer großen Gruppe von Menschen stehen zusammen, wenn sie zu Klammern von Menschen führen, die Schleifen und Pfeile schießen.</v>
      </c>
    </row>
    <row r="18988">
      <c r="A18988" s="4" t="s">
        <v>23891</v>
      </c>
      <c r="B18988" s="4" t="s">
        <v>23893</v>
      </c>
      <c r="C18988" s="5" t="str">
        <f>IFERROR(__xludf.DUMMYFUNCTION("GOOGLETRANSLATE(B18988,""en"",""de"")"),"Es werden mehr Clips gezeigt, dass Menschen, die mit der Kamera sprechen, ebenso gezeigt werden, und Menschen, die mehr Schleifen und Tanzen feiern und schießen.")</f>
        <v>Es werden mehr Clips gezeigt, dass Menschen, die mit der Kamera sprechen, ebenso gezeigt werden, und Menschen, die mehr Schleifen und Tanzen feiern und schießen.</v>
      </c>
    </row>
    <row r="18989">
      <c r="A18989" s="4" t="s">
        <v>23894</v>
      </c>
      <c r="B18989" s="4" t="s">
        <v>23895</v>
      </c>
      <c r="C18989" s="5" t="str">
        <f>IFERROR(__xludf.DUMMYFUNCTION("GOOGLETRANSLATE(B18989,""en"",""de"")"),"Eine Nahaufnahme eines Hauses ist zu sehen, wenn eine Person in den Rahmen geht.")</f>
        <v>Eine Nahaufnahme eines Hauses ist zu sehen, wenn eine Person in den Rahmen geht.</v>
      </c>
    </row>
    <row r="18990">
      <c r="A18990" s="4" t="s">
        <v>23894</v>
      </c>
      <c r="B18990" s="4" t="s">
        <v>23896</v>
      </c>
      <c r="C18990" s="5" t="str">
        <f>IFERROR(__xludf.DUMMYFUNCTION("GOOGLETRANSLATE(B18990,""en"",""de"")"),"Die Person wird gesehen, wie er Rasenmäher greift und ihn zur Seite zieht.")</f>
        <v>Die Person wird gesehen, wie er Rasenmäher greift und ihn zur Seite zieht.</v>
      </c>
    </row>
    <row r="18991">
      <c r="A18991" s="4" t="s">
        <v>23894</v>
      </c>
      <c r="B18991" s="4" t="s">
        <v>23897</v>
      </c>
      <c r="C18991" s="5" t="str">
        <f>IFERROR(__xludf.DUMMYFUNCTION("GOOGLETRANSLATE(B18991,""en"",""de"")"),"Die Person drückt dann den Rasenmäher rund um das Haus.")</f>
        <v>Die Person drückt dann den Rasenmäher rund um das Haus.</v>
      </c>
    </row>
    <row r="18992">
      <c r="A18992" s="4" t="s">
        <v>23898</v>
      </c>
      <c r="B18992" s="4" t="s">
        <v>23899</v>
      </c>
      <c r="C18992" s="5" t="str">
        <f>IFERROR(__xludf.DUMMYFUNCTION("GOOGLETRANSLATE(B18992,""en"",""de"")"),"Die Hände einer Person sind in der Nähe eines Werkzeugs zu sehen und beginnt den Griff zu bewegen und das Werkzeug auseinander zu nehmen.")</f>
        <v>Die Hände einer Person sind in der Nähe eines Werkzeugs zu sehen und beginnt den Griff zu bewegen und das Werkzeug auseinander zu nehmen.</v>
      </c>
    </row>
    <row r="18993">
      <c r="A18993" s="4" t="s">
        <v>23898</v>
      </c>
      <c r="B18993" s="4" t="s">
        <v>23900</v>
      </c>
      <c r="C18993" s="5" t="str">
        <f>IFERROR(__xludf.DUMMYFUNCTION("GOOGLETRANSLATE(B18993,""en"",""de"")"),"Die Person schreitet einige Gegenstände ab und zieht das Innere fest und bewegt den Schraubendreher, während das Werkzeug hält.")</f>
        <v>Die Person schreitet einige Gegenstände ab und zieht das Innere fest und bewegt den Schraubendreher, während das Werkzeug hält.</v>
      </c>
    </row>
    <row r="18994">
      <c r="A18994" s="4" t="s">
        <v>23901</v>
      </c>
      <c r="B18994" s="4" t="s">
        <v>23902</v>
      </c>
      <c r="C18994" s="5" t="str">
        <f>IFERROR(__xludf.DUMMYFUNCTION("GOOGLETRANSLATE(B18994,""en"",""de"")"),"Eine Gruppe von Männern hat sich drinnen versammelt.")</f>
        <v>Eine Gruppe von Männern hat sich drinnen versammelt.</v>
      </c>
    </row>
    <row r="18995">
      <c r="A18995" s="4" t="s">
        <v>23901</v>
      </c>
      <c r="B18995" s="4" t="s">
        <v>23903</v>
      </c>
      <c r="C18995" s="5" t="str">
        <f>IFERROR(__xludf.DUMMYFUNCTION("GOOGLETRANSLATE(B18995,""en"",""de"")"),"Zwei von ihnen kaust in der Mitte.")</f>
        <v>Zwei von ihnen kaust in der Mitte.</v>
      </c>
    </row>
    <row r="18996">
      <c r="A18996" s="4" t="s">
        <v>23901</v>
      </c>
      <c r="B18996" s="4" t="s">
        <v>23904</v>
      </c>
      <c r="C18996" s="5" t="str">
        <f>IFERROR(__xludf.DUMMYFUNCTION("GOOGLETRANSLATE(B18996,""en"",""de"")"),"Sie drehen sich in die Mitte des Kreises und machen verzierte Kickbox -Stunts.")</f>
        <v>Sie drehen sich in die Mitte des Kreises und machen verzierte Kickbox -Stunts.</v>
      </c>
    </row>
    <row r="18997">
      <c r="A18997" s="4" t="s">
        <v>23901</v>
      </c>
      <c r="B18997" s="4" t="s">
        <v>23905</v>
      </c>
      <c r="C18997" s="5" t="str">
        <f>IFERROR(__xludf.DUMMYFUNCTION("GOOGLETRANSLATE(B18997,""en"",""de"")"),"Es werden einige weitere Clips anderer Kämpfer gezeigt, umdrehen, rollen und treten.")</f>
        <v>Es werden einige weitere Clips anderer Kämpfer gezeigt, umdrehen, rollen und treten.</v>
      </c>
    </row>
    <row r="18998">
      <c r="A18998" s="4" t="s">
        <v>23901</v>
      </c>
      <c r="B18998" s="4" t="s">
        <v>23906</v>
      </c>
      <c r="C18998" s="5" t="str">
        <f>IFERROR(__xludf.DUMMYFUNCTION("GOOGLETRANSLATE(B18998,""en"",""de"")"),"Die beiden Männer umarmen sich am Ende.")</f>
        <v>Die beiden Männer umarmen sich am Ende.</v>
      </c>
    </row>
    <row r="18999">
      <c r="A18999" s="4" t="s">
        <v>23907</v>
      </c>
      <c r="B18999" s="4" t="s">
        <v>23908</v>
      </c>
      <c r="C18999" s="5" t="str">
        <f>IFERROR(__xludf.DUMMYFUNCTION("GOOGLETRANSLATE(B18999,""en"",""de"")"),"Verschiedene noch gedrehte Bilder von verschiedenen Männern, unterschiedlichen Alters, unterschiedlichen Rassen und unterschiedlichen Größen, bei denen weiße Textnamen über jedem ihrer Gesichter erscheinen.")</f>
        <v>Verschiedene noch gedrehte Bilder von verschiedenen Männern, unterschiedlichen Alters, unterschiedlichen Rassen und unterschiedlichen Größen, bei denen weiße Textnamen über jedem ihrer Gesichter erscheinen.</v>
      </c>
    </row>
    <row r="19000">
      <c r="A19000" s="4" t="s">
        <v>23907</v>
      </c>
      <c r="B19000" s="4" t="s">
        <v>23909</v>
      </c>
      <c r="C19000" s="5" t="str">
        <f>IFERROR(__xludf.DUMMYFUNCTION("GOOGLETRANSLATE(B19000,""en"",""de"")"),"Ein blauer Bildschirm erscheint dann und weiße Textwörter erscheinen und sagen ""Warten Sie !! Also was ist Wasserball.""")</f>
        <v>Ein blauer Bildschirm erscheint dann und weiße Textwörter erscheinen und sagen "Warten Sie !! Also was ist Wasserball."</v>
      </c>
    </row>
    <row r="19001">
      <c r="A19001" s="4" t="s">
        <v>23907</v>
      </c>
      <c r="B19001" s="4" t="s">
        <v>23910</v>
      </c>
      <c r="C19001" s="5" t="str">
        <f>IFERROR(__xludf.DUMMYFUNCTION("GOOGLETRANSLATE(B19001,""en"",""de"")"),"Verschiedene Clips vieler Männer, die in einem Pool Wasserball spielen, beginnen zu spielen, und es zeigt, dass sie im Wasser spritzen, um den Ball kämpfen, schwimmen und versuchen, im Netz, das am Ende eines Pools ist, ein Tor zu erzielen.")</f>
        <v>Verschiedene Clips vieler Männer, die in einem Pool Wasserball spielen, beginnen zu spielen, und es zeigt, dass sie im Wasser spritzen, um den Ball kämpfen, schwimmen und versuchen, im Netz, das am Ende eines Pools ist, ein Tor zu erzielen.</v>
      </c>
    </row>
    <row r="19002">
      <c r="A19002" s="4" t="s">
        <v>23907</v>
      </c>
      <c r="B19002" s="4" t="s">
        <v>23911</v>
      </c>
      <c r="C19002" s="5" t="str">
        <f>IFERROR(__xludf.DUMMYFUNCTION("GOOGLETRANSLATE(B19002,""en"",""de"")"),"Ein weiterer blauer Bildschirm erscheint und es gibt weiße Text, in denen laut ""OK dann ist es hier hier in Aktion"" und zahlreiche noch gedrehte Bilder von Leuten, die im Pool Wasserpolo spielen oder einfach nur abhängen.")</f>
        <v>Ein weiterer blauer Bildschirm erscheint und es gibt weiße Text, in denen laut "OK dann ist es hier hier in Aktion" und zahlreiche noch gedrehte Bilder von Leuten, die im Pool Wasserpolo spielen oder einfach nur abhängen.</v>
      </c>
    </row>
    <row r="19003">
      <c r="A19003" s="4" t="s">
        <v>23907</v>
      </c>
      <c r="B19003" s="4" t="s">
        <v>23912</v>
      </c>
      <c r="C19003" s="5" t="str">
        <f>IFERROR(__xludf.DUMMYFUNCTION("GOOGLETRANSLATE(B19003,""en"",""de"")"),"Wenn die Bilder gemacht werden, erscheint ein blauer Bildschirm mit vielen weißen Wörtern, die im Grunde genommen sagen, dass Sie sich nur an eine von ihnen wenden müssen, wenn Sie an dem interessiert sind, was Sie gerade gesehen haben.")</f>
        <v>Wenn die Bilder gemacht werden, erscheint ein blauer Bildschirm mit vielen weißen Wörtern, die im Grunde genommen sagen, dass Sie sich nur an eine von ihnen wenden müssen, wenn Sie an dem interessiert sind, was Sie gerade gesehen haben.</v>
      </c>
    </row>
    <row r="19004">
      <c r="A19004" s="4" t="s">
        <v>23913</v>
      </c>
      <c r="B19004" s="4" t="s">
        <v>23914</v>
      </c>
      <c r="C19004" s="5" t="str">
        <f>IFERROR(__xludf.DUMMYFUNCTION("GOOGLETRANSLATE(B19004,""en"",""de"")"),"Mehrere Menschen sprechen auf der Bühne in Mikrofone.")</f>
        <v>Mehrere Menschen sprechen auf der Bühne in Mikrofone.</v>
      </c>
    </row>
    <row r="19005">
      <c r="A19005" s="4" t="s">
        <v>23913</v>
      </c>
      <c r="B19005" s="4" t="s">
        <v>23915</v>
      </c>
      <c r="C19005" s="5" t="str">
        <f>IFERROR(__xludf.DUMMYFUNCTION("GOOGLETRANSLATE(B19005,""en"",""de"")"),"Einer der Männer beginnt eine Geige zu spielen.")</f>
        <v>Einer der Männer beginnt eine Geige zu spielen.</v>
      </c>
    </row>
    <row r="19006">
      <c r="A19006" s="4" t="s">
        <v>23913</v>
      </c>
      <c r="B19006" s="4" t="s">
        <v>23916</v>
      </c>
      <c r="C19006" s="5" t="str">
        <f>IFERROR(__xludf.DUMMYFUNCTION("GOOGLETRANSLATE(B19006,""en"",""de"")"),"Er gibt die Geige einem anderen Mann, der es spielt.")</f>
        <v>Er gibt die Geige einem anderen Mann, der es spielt.</v>
      </c>
    </row>
    <row r="19007">
      <c r="A19007" s="4" t="s">
        <v>23913</v>
      </c>
      <c r="B19007" s="4" t="s">
        <v>23917</v>
      </c>
      <c r="C19007" s="5" t="str">
        <f>IFERROR(__xludf.DUMMYFUNCTION("GOOGLETRANSLATE(B19007,""en"",""de"")"),"Das Publikum fängt an, für sie zu klatschen.")</f>
        <v>Das Publikum fängt an, für sie zu klatschen.</v>
      </c>
    </row>
    <row r="19008">
      <c r="A19008" s="4" t="s">
        <v>23918</v>
      </c>
      <c r="B19008" s="4" t="s">
        <v>23919</v>
      </c>
      <c r="C19008" s="5" t="str">
        <f>IFERROR(__xludf.DUMMYFUNCTION("GOOGLETRANSLATE(B19008,""en"",""de"")"),"Ein großer Mann tanzt in einem dunklen Raum.")</f>
        <v>Ein großer Mann tanzt in einem dunklen Raum.</v>
      </c>
    </row>
    <row r="19009">
      <c r="A19009" s="4" t="s">
        <v>23918</v>
      </c>
      <c r="B19009" s="4" t="s">
        <v>23920</v>
      </c>
      <c r="C19009" s="5" t="str">
        <f>IFERROR(__xludf.DUMMYFUNCTION("GOOGLETRANSLATE(B19009,""en"",""de"")"),"Leute hinter ihm lachen und klatschen.")</f>
        <v>Leute hinter ihm lachen und klatschen.</v>
      </c>
    </row>
    <row r="19010">
      <c r="A19010" s="4" t="s">
        <v>23918</v>
      </c>
      <c r="B19010" s="4" t="s">
        <v>23921</v>
      </c>
      <c r="C19010" s="5" t="str">
        <f>IFERROR(__xludf.DUMMYFUNCTION("GOOGLETRANSLATE(B19010,""en"",""de"")"),"Er wirft in der Ferne ein Ziel auf ein Ziel.")</f>
        <v>Er wirft in der Ferne ein Ziel auf ein Ziel.</v>
      </c>
    </row>
    <row r="19011">
      <c r="A19011" s="4" t="s">
        <v>23922</v>
      </c>
      <c r="B19011" s="4" t="s">
        <v>23923</v>
      </c>
      <c r="C19011" s="5" t="str">
        <f>IFERROR(__xludf.DUMMYFUNCTION("GOOGLETRANSLATE(B19011,""en"",""de"")"),"Eine Frau ist mit einem Tanktop mit Einführtext zu sehen.")</f>
        <v>Eine Frau ist mit einem Tanktop mit Einführtext zu sehen.</v>
      </c>
    </row>
    <row r="19012">
      <c r="A19012" s="4" t="s">
        <v>23922</v>
      </c>
      <c r="B19012" s="4" t="s">
        <v>23924</v>
      </c>
      <c r="C19012" s="5" t="str">
        <f>IFERROR(__xludf.DUMMYFUNCTION("GOOGLETRANSLATE(B19012,""en"",""de"")"),"Die Frau hat Haare zurückgebunden und trägt die Augen mit verschiedenen Pinsel und Farben auf Augen aus.")</f>
        <v>Die Frau hat Haare zurückgebunden und trägt die Augen mit verschiedenen Pinsel und Farben auf Augen aus.</v>
      </c>
    </row>
    <row r="19013">
      <c r="A19013" s="4" t="s">
        <v>23922</v>
      </c>
      <c r="B19013" s="4" t="s">
        <v>23925</v>
      </c>
      <c r="C19013" s="5" t="str">
        <f>IFERROR(__xludf.DUMMYFUNCTION("GOOGLETRANSLATE(B19013,""en"",""de"")"),"Die Frau beginnt mit einem feinen Bleistift einen Augenliner anzuziehen.")</f>
        <v>Die Frau beginnt mit einem feinen Bleistift einen Augenliner anzuziehen.</v>
      </c>
    </row>
    <row r="19014">
      <c r="A19014" s="4" t="s">
        <v>23922</v>
      </c>
      <c r="B19014" s="4" t="s">
        <v>23926</v>
      </c>
      <c r="C19014" s="5" t="str">
        <f>IFERROR(__xludf.DUMMYFUNCTION("GOOGLETRANSLATE(B19014,""en"",""de"")"),"Die Frauen nehmen Stoffbindungen hier aus den Haaren und lassen ihre Haare hinunter, was jetzt gekräuselt ist.")</f>
        <v>Die Frauen nehmen Stoffbindungen hier aus den Haaren und lassen ihre Haare hinunter, was jetzt gekräuselt ist.</v>
      </c>
    </row>
    <row r="19015">
      <c r="A19015" s="4" t="s">
        <v>23922</v>
      </c>
      <c r="B19015" s="4" t="s">
        <v>23927</v>
      </c>
      <c r="C19015" s="5" t="str">
        <f>IFERROR(__xludf.DUMMYFUNCTION("GOOGLETRANSLATE(B19015,""en"",""de"")"),"Die Frau benutzt einen Kamm und ein Haarspray, um Teile von hier Haare zu glätten und ihn zurückzuziehen.")</f>
        <v>Die Frau benutzt einen Kamm und ein Haarspray, um Teile von hier Haare zu glätten und ihn zurückzuziehen.</v>
      </c>
    </row>
    <row r="19016">
      <c r="A19016" s="4" t="s">
        <v>23922</v>
      </c>
      <c r="B19016" s="4" t="s">
        <v>23928</v>
      </c>
      <c r="C19016" s="5" t="str">
        <f>IFERROR(__xludf.DUMMYFUNCTION("GOOGLETRANSLATE(B19016,""en"",""de"")"),"Nachrichten von Tex werden am Ende des Videos angezeigt.")</f>
        <v>Nachrichten von Tex werden am Ende des Videos angezeigt.</v>
      </c>
    </row>
    <row r="19017">
      <c r="A19017" s="4" t="s">
        <v>23929</v>
      </c>
      <c r="B19017" s="4" t="s">
        <v>23930</v>
      </c>
      <c r="C19017" s="5" t="str">
        <f>IFERROR(__xludf.DUMMYFUNCTION("GOOGLETRANSLATE(B19017,""en"",""de"")"),"Eine Person repariert einen Riemen an einem Mann.")</f>
        <v>Eine Person repariert einen Riemen an einem Mann.</v>
      </c>
    </row>
    <row r="19018">
      <c r="A19018" s="4" t="s">
        <v>23929</v>
      </c>
      <c r="B19018" s="4" t="s">
        <v>23931</v>
      </c>
      <c r="C19018" s="5" t="str">
        <f>IFERROR(__xludf.DUMMYFUNCTION("GOOGLETRANSLATE(B19018,""en"",""de"")"),"Der Typ kommt näher an die Kante.")</f>
        <v>Der Typ kommt näher an die Kante.</v>
      </c>
    </row>
    <row r="19019">
      <c r="A19019" s="4" t="s">
        <v>23929</v>
      </c>
      <c r="B19019" s="4" t="s">
        <v>23932</v>
      </c>
      <c r="C19019" s="5" t="str">
        <f>IFERROR(__xludf.DUMMYFUNCTION("GOOGLETRANSLATE(B19019,""en"",""de"")"),"Zwei Männer platzieren den Kerl an Haken.")</f>
        <v>Zwei Männer platzieren den Kerl an Haken.</v>
      </c>
    </row>
    <row r="19020">
      <c r="A19020" s="4" t="s">
        <v>23929</v>
      </c>
      <c r="B19020" s="4" t="s">
        <v>23933</v>
      </c>
      <c r="C19020" s="5" t="str">
        <f>IFERROR(__xludf.DUMMYFUNCTION("GOOGLETRANSLATE(B19020,""en"",""de"")"),"Ein Mann veröffentlicht ein Seil.")</f>
        <v>Ein Mann veröffentlicht ein Seil.</v>
      </c>
    </row>
    <row r="19021">
      <c r="A19021" s="4" t="s">
        <v>23929</v>
      </c>
      <c r="B19021" s="4" t="s">
        <v>23934</v>
      </c>
      <c r="C19021" s="5" t="str">
        <f>IFERROR(__xludf.DUMMYFUNCTION("GOOGLETRANSLATE(B19021,""en"",""de"")"),"Der Typ springt vom Rand oder Bungee -Sprünge.")</f>
        <v>Der Typ springt vom Rand oder Bungee -Sprünge.</v>
      </c>
    </row>
    <row r="19022">
      <c r="A19022" s="4" t="s">
        <v>23935</v>
      </c>
      <c r="B19022" s="4" t="s">
        <v>23936</v>
      </c>
      <c r="C19022" s="5" t="str">
        <f>IFERROR(__xludf.DUMMYFUNCTION("GOOGLETRANSLATE(B19022,""en"",""de"")"),"Eine Blaskapelle spielt die Straße hinunter und spielt Schlagzeug und andere Instrumente.")</f>
        <v>Eine Blaskapelle spielt die Straße hinunter und spielt Schlagzeug und andere Instrumente.</v>
      </c>
    </row>
    <row r="19023">
      <c r="A19023" s="4" t="s">
        <v>23935</v>
      </c>
      <c r="B19023" s="4" t="s">
        <v>23937</v>
      </c>
      <c r="C19023" s="5" t="str">
        <f>IFERROR(__xludf.DUMMYFUNCTION("GOOGLETRANSLATE(B19023,""en"",""de"")"),"Menschen auf beiden Seiten der Straße sehen die Band auf.")</f>
        <v>Menschen auf beiden Seiten der Straße sehen die Band auf.</v>
      </c>
    </row>
    <row r="19024">
      <c r="A19024" s="4" t="s">
        <v>23938</v>
      </c>
      <c r="B19024" s="4" t="s">
        <v>23939</v>
      </c>
      <c r="C19024" s="5" t="str">
        <f>IFERROR(__xludf.DUMMYFUNCTION("GOOGLETRANSLATE(B19024,""en"",""de"")"),"Eine Frau mit langem Haar spricht mit der Kamera.")</f>
        <v>Eine Frau mit langem Haar spricht mit der Kamera.</v>
      </c>
    </row>
    <row r="19025">
      <c r="A19025" s="4" t="s">
        <v>23938</v>
      </c>
      <c r="B19025" s="4" t="s">
        <v>23940</v>
      </c>
      <c r="C19025" s="5" t="str">
        <f>IFERROR(__xludf.DUMMYFUNCTION("GOOGLETRANSLATE(B19025,""en"",""de"")"),"Sie hält eine lange Bürste hoch.")</f>
        <v>Sie hält eine lange Bürste hoch.</v>
      </c>
    </row>
    <row r="19026">
      <c r="A19026" s="4" t="s">
        <v>23938</v>
      </c>
      <c r="B19026" s="4" t="s">
        <v>23941</v>
      </c>
      <c r="C19026" s="5" t="str">
        <f>IFERROR(__xludf.DUMMYFUNCTION("GOOGLETRANSLATE(B19026,""en"",""de"")"),"Sie zeigt, wie man die Bürste benutzt, um Schnee von einem Auto abzukratzen.")</f>
        <v>Sie zeigt, wie man die Bürste benutzt, um Schnee von einem Auto abzukratzen.</v>
      </c>
    </row>
    <row r="19027">
      <c r="A19027" s="4" t="s">
        <v>23938</v>
      </c>
      <c r="B19027" s="4" t="s">
        <v>23942</v>
      </c>
      <c r="C19027" s="5" t="str">
        <f>IFERROR(__xludf.DUMMYFUNCTION("GOOGLETRANSLATE(B19027,""en"",""de"")"),"Wenn sie fertig ist, spricht sie weiter über die Bürste.")</f>
        <v>Wenn sie fertig ist, spricht sie weiter über die Bürste.</v>
      </c>
    </row>
    <row r="19028">
      <c r="A19028" s="4" t="s">
        <v>23943</v>
      </c>
      <c r="B19028" s="4" t="s">
        <v>23944</v>
      </c>
      <c r="C19028" s="5" t="str">
        <f>IFERROR(__xludf.DUMMYFUNCTION("GOOGLETRANSLATE(B19028,""en"",""de"")"),"Eine Dame Knie, während ein Mann geht und anweist.")</f>
        <v>Eine Dame Knie, während ein Mann geht und anweist.</v>
      </c>
    </row>
    <row r="19029">
      <c r="A19029" s="4" t="s">
        <v>23943</v>
      </c>
      <c r="B19029" s="4" t="s">
        <v>23945</v>
      </c>
      <c r="C19029" s="5" t="str">
        <f>IFERROR(__xludf.DUMMYFUNCTION("GOOGLETRANSLATE(B19029,""en"",""de"")"),"Die Dame legt beide Hände hinter ihren Kopf.")</f>
        <v>Die Dame legt beide Hände hinter ihren Kopf.</v>
      </c>
    </row>
    <row r="19030">
      <c r="A19030" s="4" t="s">
        <v>23946</v>
      </c>
      <c r="B19030" s="4" t="s">
        <v>23947</v>
      </c>
      <c r="C19030" s="5" t="str">
        <f>IFERROR(__xludf.DUMMYFUNCTION("GOOGLETRANSLATE(B19030,""en"",""de"")"),"Eine Dame streift sich die Haare.")</f>
        <v>Eine Dame streift sich die Haare.</v>
      </c>
    </row>
    <row r="19031">
      <c r="A19031" s="4" t="s">
        <v>23946</v>
      </c>
      <c r="B19031" s="4" t="s">
        <v>23948</v>
      </c>
      <c r="C19031" s="5" t="str">
        <f>IFERROR(__xludf.DUMMYFUNCTION("GOOGLETRANSLATE(B19031,""en"",""de"")"),"Die Dame streift ihre Haare darunter.")</f>
        <v>Die Dame streift ihre Haare darunter.</v>
      </c>
    </row>
    <row r="19032">
      <c r="A19032" s="4" t="s">
        <v>23946</v>
      </c>
      <c r="B19032" s="4" t="s">
        <v>23949</v>
      </c>
      <c r="C19032" s="5" t="str">
        <f>IFERROR(__xludf.DUMMYFUNCTION("GOOGLETRANSLATE(B19032,""en"",""de"")"),"115 Die Dame fährt ihre Hand durch ihre Haare.")</f>
        <v>115 Die Dame fährt ihre Hand durch ihre Haare.</v>
      </c>
    </row>
    <row r="19033">
      <c r="A19033" s="4" t="s">
        <v>23946</v>
      </c>
      <c r="B19033" s="4" t="s">
        <v>23950</v>
      </c>
      <c r="C19033" s="5" t="str">
        <f>IFERROR(__xludf.DUMMYFUNCTION("GOOGLETRANSLATE(B19033,""en"",""de"")"),"Die Dame endet und sitzt aufrecht.")</f>
        <v>Die Dame endet und sitzt aufrecht.</v>
      </c>
    </row>
    <row r="19034">
      <c r="A19034" s="4" t="s">
        <v>23951</v>
      </c>
      <c r="B19034" s="4" t="s">
        <v>23952</v>
      </c>
      <c r="C19034" s="5" t="str">
        <f>IFERROR(__xludf.DUMMYFUNCTION("GOOGLETRANSLATE(B19034,""en"",""de"")"),"Die Hände einer Person spielen Klavier.")</f>
        <v>Die Hände einer Person spielen Klavier.</v>
      </c>
    </row>
    <row r="19035">
      <c r="A19035" s="4" t="s">
        <v>23951</v>
      </c>
      <c r="B19035" s="4" t="s">
        <v>23953</v>
      </c>
      <c r="C19035" s="5" t="str">
        <f>IFERROR(__xludf.DUMMYFUNCTION("GOOGLETRANSLATE(B19035,""en"",""de"")"),"Eine Nahaufnahme einer Trompete zeigt einen Mann, der spielt.")</f>
        <v>Eine Nahaufnahme einer Trompete zeigt einen Mann, der spielt.</v>
      </c>
    </row>
    <row r="19036">
      <c r="A19036" s="4" t="s">
        <v>23951</v>
      </c>
      <c r="B19036" s="4" t="s">
        <v>23954</v>
      </c>
      <c r="C19036" s="5" t="str">
        <f>IFERROR(__xludf.DUMMYFUNCTION("GOOGLETRANSLATE(B19036,""en"",""de"")"),"Das Video verblasst an die Leute, die auf der Bühne spielen.")</f>
        <v>Das Video verblasst an die Leute, die auf der Bühne spielen.</v>
      </c>
    </row>
    <row r="19037">
      <c r="A19037" s="4" t="s">
        <v>23951</v>
      </c>
      <c r="B19037" s="4" t="s">
        <v>23955</v>
      </c>
      <c r="C19037" s="5" t="str">
        <f>IFERROR(__xludf.DUMMYFUNCTION("GOOGLETRANSLATE(B19037,""en"",""de"")"),"Die Kamera vergrößert den Trompeter.")</f>
        <v>Die Kamera vergrößert den Trompeter.</v>
      </c>
    </row>
    <row r="19038">
      <c r="A19038" s="4" t="s">
        <v>23951</v>
      </c>
      <c r="B19038" s="4" t="s">
        <v>23956</v>
      </c>
      <c r="C19038" s="5" t="str">
        <f>IFERROR(__xludf.DUMMYFUNCTION("GOOGLETRANSLATE(B19038,""en"",""de"")"),"Ein Mädchen spielt Klavier.")</f>
        <v>Ein Mädchen spielt Klavier.</v>
      </c>
    </row>
    <row r="19039">
      <c r="A19039" s="4" t="s">
        <v>23951</v>
      </c>
      <c r="B19039" s="4" t="s">
        <v>23957</v>
      </c>
      <c r="C19039" s="5" t="str">
        <f>IFERROR(__xludf.DUMMYFUNCTION("GOOGLETRANSLATE(B19039,""en"",""de"")"),"Das Duo spielt weiter, bis das Lied endet.")</f>
        <v>Das Duo spielt weiter, bis das Lied endet.</v>
      </c>
    </row>
    <row r="19040">
      <c r="A19040" s="4" t="s">
        <v>23958</v>
      </c>
      <c r="B19040" s="4" t="s">
        <v>23959</v>
      </c>
      <c r="C19040" s="5" t="str">
        <f>IFERROR(__xludf.DUMMYFUNCTION("GOOGLETRANSLATE(B19040,""en"",""de"")"),"Ein Mann hat eine große Leiter draußen geklettert.")</f>
        <v>Ein Mann hat eine große Leiter draußen geklettert.</v>
      </c>
    </row>
    <row r="19041">
      <c r="A19041" s="4" t="s">
        <v>23958</v>
      </c>
      <c r="B19041" s="4" t="s">
        <v>23960</v>
      </c>
      <c r="C19041" s="5" t="str">
        <f>IFERROR(__xludf.DUMMYFUNCTION("GOOGLETRANSLATE(B19041,""en"",""de"")"),"Er benutzt Trimmer, um große Bäume zu schneiden und zu schneiden.")</f>
        <v>Er benutzt Trimmer, um große Bäume zu schneiden und zu schneiden.</v>
      </c>
    </row>
    <row r="19042">
      <c r="A19042" s="4" t="s">
        <v>23958</v>
      </c>
      <c r="B19042" s="4" t="s">
        <v>23961</v>
      </c>
      <c r="C19042" s="5" t="str">
        <f>IFERROR(__xludf.DUMMYFUNCTION("GOOGLETRANSLATE(B19042,""en"",""de"")"),"Er greift nach und schneidet die Zweige und Zweige.")</f>
        <v>Er greift nach und schneidet die Zweige und Zweige.</v>
      </c>
    </row>
    <row r="19043">
      <c r="A19043" s="4" t="s">
        <v>23962</v>
      </c>
      <c r="B19043" s="4" t="s">
        <v>23963</v>
      </c>
      <c r="C19043" s="5" t="str">
        <f>IFERROR(__xludf.DUMMYFUNCTION("GOOGLETRANSLATE(B19043,""en"",""de"")"),"Ein Mann hält einen Tennisschläger und schlägt einen Ball durch einen Raum.")</f>
        <v>Ein Mann hält einen Tennisschläger und schlägt einen Ball durch einen Raum.</v>
      </c>
    </row>
    <row r="19044">
      <c r="A19044" s="4" t="s">
        <v>23962</v>
      </c>
      <c r="B19044" s="4" t="s">
        <v>23964</v>
      </c>
      <c r="C19044" s="5" t="str">
        <f>IFERROR(__xludf.DUMMYFUNCTION("GOOGLETRANSLATE(B19044,""en"",""de"")"),"Ein anderer Mann ist im Rahmen und hält auch einen Tennisschläger und schlägt einen Ball herum.")</f>
        <v>Ein anderer Mann ist im Rahmen und hält auch einen Tennisschläger und schlägt einen Ball herum.</v>
      </c>
    </row>
    <row r="19045">
      <c r="A19045" s="4" t="s">
        <v>23962</v>
      </c>
      <c r="B19045" s="4" t="s">
        <v>23965</v>
      </c>
      <c r="C19045" s="5" t="str">
        <f>IFERROR(__xludf.DUMMYFUNCTION("GOOGLETRANSLATE(B19045,""en"",""de"")"),"Die Männer spielen weiter miteinander im Raum, während die Kamera ihren Bewegungen folgt.")</f>
        <v>Die Männer spielen weiter miteinander im Raum, während die Kamera ihren Bewegungen folgt.</v>
      </c>
    </row>
    <row r="19046">
      <c r="A19046" s="4" t="s">
        <v>23966</v>
      </c>
      <c r="B19046" s="4" t="s">
        <v>23967</v>
      </c>
      <c r="C19046" s="5" t="str">
        <f>IFERROR(__xludf.DUMMYFUNCTION("GOOGLETRANSLATE(B19046,""en"",""de"")"),"Mehrere NHL -Spieler spielen in einem Hockeystadion ein Hockeyspiel.")</f>
        <v>Mehrere NHL -Spieler spielen in einem Hockeystadion ein Hockeyspiel.</v>
      </c>
    </row>
    <row r="19047">
      <c r="A19047" s="4" t="s">
        <v>23966</v>
      </c>
      <c r="B19047" s="4" t="s">
        <v>23968</v>
      </c>
      <c r="C19047" s="5" t="str">
        <f>IFERROR(__xludf.DUMMYFUNCTION("GOOGLETRANSLATE(B19047,""en"",""de"")"),"Einer der Spieler wird gezeigt, wie er seinen Ärger über das Spiel ausdrückt.")</f>
        <v>Einer der Spieler wird gezeigt, wie er seinen Ärger über das Spiel ausdrückt.</v>
      </c>
    </row>
    <row r="19048">
      <c r="A19048" s="4" t="s">
        <v>23966</v>
      </c>
      <c r="B19048" s="4" t="s">
        <v>23969</v>
      </c>
      <c r="C19048" s="5" t="str">
        <f>IFERROR(__xludf.DUMMYFUNCTION("GOOGLETRANSLATE(B19048,""en"",""de"")"),"Ein News Caster kommt auf den Bildschirm, um ein Segment über Hockey -Kernschmelzen bekannt zu geben.")</f>
        <v>Ein News Caster kommt auf den Bildschirm, um ein Segment über Hockey -Kernschmelzen bekannt zu geben.</v>
      </c>
    </row>
    <row r="19049">
      <c r="A19049" s="4" t="s">
        <v>23966</v>
      </c>
      <c r="B19049" s="4" t="s">
        <v>23970</v>
      </c>
      <c r="C19049" s="5" t="str">
        <f>IFERROR(__xludf.DUMMYFUNCTION("GOOGLETRANSLATE(B19049,""en"",""de"")"),"Die Top -Ten -Hockey -Schmelze werden dann gezeigt.")</f>
        <v>Die Top -Ten -Hockey -Schmelze werden dann gezeigt.</v>
      </c>
    </row>
    <row r="19050">
      <c r="A19050" s="4" t="s">
        <v>23971</v>
      </c>
      <c r="B19050" s="4" t="s">
        <v>23972</v>
      </c>
      <c r="C19050" s="5" t="str">
        <f>IFERROR(__xludf.DUMMYFUNCTION("GOOGLETRANSLATE(B19050,""en"",""de"")"),"Ein Mann schneidet eine große Hecke mit einem Stangenschneider ab.")</f>
        <v>Ein Mann schneidet eine große Hecke mit einem Stangenschneider ab.</v>
      </c>
    </row>
    <row r="19051">
      <c r="A19051" s="4" t="s">
        <v>23971</v>
      </c>
      <c r="B19051" s="4" t="s">
        <v>23973</v>
      </c>
      <c r="C19051" s="5" t="str">
        <f>IFERROR(__xludf.DUMMYFUNCTION("GOOGLETRANSLATE(B19051,""en"",""de"")"),"Es gibt mehrere Nahaufnahmen des Werkzeugs in Aktion.")</f>
        <v>Es gibt mehrere Nahaufnahmen des Werkzeugs in Aktion.</v>
      </c>
    </row>
    <row r="19052">
      <c r="A19052" s="4" t="s">
        <v>23971</v>
      </c>
      <c r="B19052" s="4" t="s">
        <v>23974</v>
      </c>
      <c r="C19052" s="5" t="str">
        <f>IFERROR(__xludf.DUMMYFUNCTION("GOOGLETRANSLATE(B19052,""en"",""de"")"),"Dafür sind verschiedene Erweiterungen angezeigt.")</f>
        <v>Dafür sind verschiedene Erweiterungen angezeigt.</v>
      </c>
    </row>
    <row r="19053">
      <c r="A19053" s="4" t="s">
        <v>23971</v>
      </c>
      <c r="B19053" s="4" t="s">
        <v>23975</v>
      </c>
      <c r="C19053" s="5" t="str">
        <f>IFERROR(__xludf.DUMMYFUNCTION("GOOGLETRANSLATE(B19053,""en"",""de"")"),"Der Mann zieht einen Baum damit ab.")</f>
        <v>Der Mann zieht einen Baum damit ab.</v>
      </c>
    </row>
    <row r="19054">
      <c r="A19054" s="4" t="s">
        <v>23976</v>
      </c>
      <c r="B19054" s="4" t="s">
        <v>23977</v>
      </c>
      <c r="C19054" s="5" t="str">
        <f>IFERROR(__xludf.DUMMYFUNCTION("GOOGLETRANSLATE(B19054,""en"",""de"")"),"Eine Frau spricht mit der Kamera und führt in sie und spielt mit ihren Haaren und steckt sie auf.")</f>
        <v>Eine Frau spricht mit der Kamera und führt in sie und spielt mit ihren Haaren und steckt sie auf.</v>
      </c>
    </row>
    <row r="19055">
      <c r="A19055" s="4" t="s">
        <v>23976</v>
      </c>
      <c r="B19055" s="4" t="s">
        <v>23978</v>
      </c>
      <c r="C19055" s="5" t="str">
        <f>IFERROR(__xludf.DUMMYFUNCTION("GOOGLETRANSLATE(B19055,""en"",""de"")"),"Sie zehn beginnt, ihre Haare an verschiedenen Orten zu flechten, während sie mit der Kamera spricht.")</f>
        <v>Sie zehn beginnt, ihre Haare an verschiedenen Orten zu flechten, während sie mit der Kamera spricht.</v>
      </c>
    </row>
    <row r="19056">
      <c r="A19056" s="4" t="s">
        <v>23976</v>
      </c>
      <c r="B19056" s="4" t="s">
        <v>23979</v>
      </c>
      <c r="C19056" s="5" t="str">
        <f>IFERROR(__xludf.DUMMYFUNCTION("GOOGLETRANSLATE(B19056,""en"",""de"")"),"Sie bindet ihre Haare wieder um den Kopf und endet, indem sie mit der Kamera spricht.")</f>
        <v>Sie bindet ihre Haare wieder um den Kopf und endet, indem sie mit der Kamera spricht.</v>
      </c>
    </row>
    <row r="19057">
      <c r="A19057" s="4" t="s">
        <v>23980</v>
      </c>
      <c r="B19057" s="4" t="s">
        <v>23981</v>
      </c>
      <c r="C19057" s="5" t="str">
        <f>IFERROR(__xludf.DUMMYFUNCTION("GOOGLETRANSLATE(B19057,""en"",""de"")"),"Ein Mädchen hält einen Schlagstock in der Hand.")</f>
        <v>Ein Mädchen hält einen Schlagstock in der Hand.</v>
      </c>
    </row>
    <row r="19058">
      <c r="A19058" s="4" t="s">
        <v>23980</v>
      </c>
      <c r="B19058" s="4" t="s">
        <v>23982</v>
      </c>
      <c r="C19058" s="5" t="str">
        <f>IFERROR(__xludf.DUMMYFUNCTION("GOOGLETRANSLATE(B19058,""en"",""de"")"),"Sie wirft es einem Jungen neben sich.")</f>
        <v>Sie wirft es einem Jungen neben sich.</v>
      </c>
    </row>
    <row r="19059">
      <c r="A19059" s="4" t="s">
        <v>23980</v>
      </c>
      <c r="B19059" s="4" t="s">
        <v>23983</v>
      </c>
      <c r="C19059" s="5" t="str">
        <f>IFERROR(__xludf.DUMMYFUNCTION("GOOGLETRANSLATE(B19059,""en"",""de"")"),"Sie werfen abwechselnd in die Luft und fangen es.")</f>
        <v>Sie werfen abwechselnd in die Luft und fangen es.</v>
      </c>
    </row>
    <row r="19060">
      <c r="A19060" s="4" t="s">
        <v>23984</v>
      </c>
      <c r="B19060" s="4" t="s">
        <v>23985</v>
      </c>
      <c r="C19060" s="5" t="str">
        <f>IFERROR(__xludf.DUMMYFUNCTION("GOOGLETRANSLATE(B19060,""en"",""de"")"),"Die Kamera zittert auf einem Bild eines Innenvolleyballplatzes.")</f>
        <v>Die Kamera zittert auf einem Bild eines Innenvolleyballplatzes.</v>
      </c>
    </row>
    <row r="19061">
      <c r="A19061" s="4" t="s">
        <v>23984</v>
      </c>
      <c r="B19061" s="4" t="s">
        <v>23986</v>
      </c>
      <c r="C19061" s="5" t="str">
        <f>IFERROR(__xludf.DUMMYFUNCTION("GOOGLETRANSLATE(B19061,""en"",""de"")"),"Eine Frau rast aus dem Netz zurück, um den ankommenden Volleyball zu treffen.")</f>
        <v>Eine Frau rast aus dem Netz zurück, um den ankommenden Volleyball zu treffen.</v>
      </c>
    </row>
    <row r="19062">
      <c r="A19062" s="4" t="s">
        <v>23984</v>
      </c>
      <c r="B19062" s="4" t="s">
        <v>23987</v>
      </c>
      <c r="C19062" s="5" t="str">
        <f>IFERROR(__xludf.DUMMYFUNCTION("GOOGLETRANSLATE(B19062,""en"",""de"")"),"Ein Kollege -Teammitglied trifft auch den Ball und sendet ihn über das Netz.")</f>
        <v>Ein Kollege -Teammitglied trifft auch den Ball und sendet ihn über das Netz.</v>
      </c>
    </row>
    <row r="19063">
      <c r="A19063" s="4" t="s">
        <v>23988</v>
      </c>
      <c r="B19063" s="4" t="s">
        <v>23989</v>
      </c>
      <c r="C19063" s="5" t="str">
        <f>IFERROR(__xludf.DUMMYFUNCTION("GOOGLETRANSLATE(B19063,""en"",""de"")"),"Der Mann trägt eine Schürze, als er in den Arbeitsplatz geht und die Worte ""Conti Ski-Boot-Service präsentiert den Rennbetrieb"" werden auf den Bildschirm überlagert, während er sich einen Skipfosten schnallt und einen Bohrer aufnimmt und oben auf dem ob"&amp;"eren Ende verwendet Ski.")</f>
        <v>Der Mann trägt eine Schürze, als er in den Arbeitsplatz geht und die Worte "Conti Ski-Boot-Service präsentiert den Rennbetrieb" werden auf den Bildschirm überlagert, während er sich einen Skipfosten schnallt und einen Bohrer aufnimmt und oben auf dem oberen Ende verwendet Ski.</v>
      </c>
    </row>
    <row r="19064">
      <c r="A19064" s="4" t="s">
        <v>23988</v>
      </c>
      <c r="B19064" s="4" t="s">
        <v>23990</v>
      </c>
      <c r="C19064" s="5" t="str">
        <f>IFERROR(__xludf.DUMMYFUNCTION("GOOGLETRANSLATE(B19064,""en"",""de"")"),"Der Mann schnappt sich dann den Ski und steckt ihn in die grünen Maschinen, die sich hinter ihm befindet, und führt ihn ein paar Mal durch die Maschine. Dann entfernt und sterne sie auf der Rückseite des Ski, der so aussieht, als würde er schleifen und ei"&amp;"n klares Finish eingießen.")</f>
        <v>Der Mann schnappt sich dann den Ski und steckt ihn in die grünen Maschinen, die sich hinter ihm befindet, und führt ihn ein paar Mal durch die Maschine. Dann entfernt und sterne sie auf der Rückseite des Ski, der so aussieht, als würde er schleifen und ein klares Finish eingießen.</v>
      </c>
    </row>
    <row r="19065">
      <c r="A19065" s="4" t="s">
        <v>23988</v>
      </c>
      <c r="B19065" s="4" t="s">
        <v>23991</v>
      </c>
      <c r="C19065" s="5" t="str">
        <f>IFERROR(__xludf.DUMMYFUNCTION("GOOGLETRANSLATE(B19065,""en"",""de"")"),"Der Mann führt dann ein Gerät über den Himmel aus, das wie ein Eisen aussieht, und schleift es weiter, löscht es ab, kratzt es und benutzt das Bügelgerät erneut.")</f>
        <v>Der Mann führt dann ein Gerät über den Himmel aus, das wie ein Eisen aussieht, und schleift es weiter, löscht es ab, kratzt es und benutzt das Bügelgerät erneut.</v>
      </c>
    </row>
    <row r="19066">
      <c r="A19066" s="4" t="s">
        <v>23988</v>
      </c>
      <c r="B19066" s="4" t="s">
        <v>23992</v>
      </c>
      <c r="C19066" s="5" t="str">
        <f>IFERROR(__xludf.DUMMYFUNCTION("GOOGLETRANSLATE(B19066,""en"",""de"")"),"Der Mann entfernt dann das Band und dreht den Ski auf die Seite, um darauf zu kratzen.")</f>
        <v>Der Mann entfernt dann das Band und dreht den Ski auf die Seite, um darauf zu kratzen.</v>
      </c>
    </row>
    <row r="19067">
      <c r="A19067" s="4" t="s">
        <v>23988</v>
      </c>
      <c r="B19067" s="4" t="s">
        <v>23993</v>
      </c>
      <c r="C19067" s="5" t="str">
        <f>IFERROR(__xludf.DUMMYFUNCTION("GOOGLETRANSLATE(B19067,""en"",""de"")"),"Als er fertig ist, greift er den Ski und steckt ihn in ein Fach, das sich über der grünen Maschine befindet.")</f>
        <v>Als er fertig ist, greift er den Ski und steckt ihn in ein Fach, das sich über der grünen Maschine befindet.</v>
      </c>
    </row>
    <row r="19068">
      <c r="A19068" s="4" t="s">
        <v>23994</v>
      </c>
      <c r="B19068" s="4" t="s">
        <v>23995</v>
      </c>
      <c r="C19068" s="5" t="str">
        <f>IFERROR(__xludf.DUMMYFUNCTION("GOOGLETRANSLATE(B19068,""en"",""de"")"),"Ein Junge und ein Mädchen in einer Karate -Uniform spielen vor einer Kamera.")</f>
        <v>Ein Junge und ein Mädchen in einer Karate -Uniform spielen vor einer Kamera.</v>
      </c>
    </row>
    <row r="19069">
      <c r="A19069" s="4" t="s">
        <v>23994</v>
      </c>
      <c r="B19069" s="4" t="s">
        <v>23996</v>
      </c>
      <c r="C19069" s="5" t="str">
        <f>IFERROR(__xludf.DUMMYFUNCTION("GOOGLETRANSLATE(B19069,""en"",""de"")"),"Sie sprechen darüber, wie sie ihre Karate -Uniformen verdient haben und was sie an Karate mögen.")</f>
        <v>Sie sprechen darüber, wie sie ihre Karate -Uniformen verdient haben und was sie an Karate mögen.</v>
      </c>
    </row>
    <row r="19070">
      <c r="A19070" s="4" t="s">
        <v>23994</v>
      </c>
      <c r="B19070" s="4" t="s">
        <v>23997</v>
      </c>
      <c r="C19070" s="5" t="str">
        <f>IFERROR(__xludf.DUMMYFUNCTION("GOOGLETRANSLATE(B19070,""en"",""de"")"),"Das Mädchen spricht über ihren Bruder und mehr über Karate.")</f>
        <v>Das Mädchen spricht über ihren Bruder und mehr über Karate.</v>
      </c>
    </row>
    <row r="19071">
      <c r="A19071" s="4" t="s">
        <v>23994</v>
      </c>
      <c r="B19071" s="4" t="s">
        <v>23998</v>
      </c>
      <c r="C19071" s="5" t="str">
        <f>IFERROR(__xludf.DUMMYFUNCTION("GOOGLETRANSLATE(B19071,""en"",""de"")"),"Das Mädchen spielt Auswirkungen auf ihren Bruder.")</f>
        <v>Das Mädchen spielt Auswirkungen auf ihren Bruder.</v>
      </c>
    </row>
    <row r="19072">
      <c r="A19072" s="4" t="s">
        <v>23994</v>
      </c>
      <c r="B19072" s="4" t="s">
        <v>23999</v>
      </c>
      <c r="C19072" s="5" t="str">
        <f>IFERROR(__xludf.DUMMYFUNCTION("GOOGLETRANSLATE(B19072,""en"",""de"")"),"Das Mädchen macht verschiedene Karate -Bewegungen für die Kamera.")</f>
        <v>Das Mädchen macht verschiedene Karate -Bewegungen für die Kamera.</v>
      </c>
    </row>
    <row r="19073">
      <c r="A19073" s="4" t="s">
        <v>23994</v>
      </c>
      <c r="B19073" s="4" t="s">
        <v>24000</v>
      </c>
      <c r="C19073" s="5" t="str">
        <f>IFERROR(__xludf.DUMMYFUNCTION("GOOGLETRANSLATE(B19073,""en"",""de"")"),"Dann macht der Bruder mehrere verschiedene Karate -Bewegungen für die Kamera.")</f>
        <v>Dann macht der Bruder mehrere verschiedene Karate -Bewegungen für die Kamera.</v>
      </c>
    </row>
    <row r="19074">
      <c r="A19074" s="4" t="s">
        <v>24001</v>
      </c>
      <c r="B19074" s="4" t="s">
        <v>24002</v>
      </c>
      <c r="C19074" s="5" t="str">
        <f>IFERROR(__xludf.DUMMYFUNCTION("GOOGLETRANSLATE(B19074,""en"",""de"")"),"Ein Mann befindet sich in einem abgeschirmten Bereich auf einem Betonkreis und schwingt einen Ball auf ein Seil, das sich zweimal über seinem Kopf über seinem Kopf befindet.")</f>
        <v>Ein Mann befindet sich in einem abgeschirmten Bereich auf einem Betonkreis und schwingt einen Ball auf ein Seil, das sich zweimal über seinem Kopf über seinem Kopf befindet.</v>
      </c>
    </row>
    <row r="19075">
      <c r="A19075" s="4" t="s">
        <v>24001</v>
      </c>
      <c r="B19075" s="4" t="s">
        <v>24003</v>
      </c>
      <c r="C19075" s="5" t="str">
        <f>IFERROR(__xludf.DUMMYFUNCTION("GOOGLETRANSLATE(B19075,""en"",""de"")"),"Der Mann beginnt sich dann schnell zu drehen, zusammen mit dem Ball am Seil zu schwingen.")</f>
        <v>Der Mann beginnt sich dann schnell zu drehen, zusammen mit dem Ball am Seil zu schwingen.</v>
      </c>
    </row>
    <row r="19076">
      <c r="A19076" s="4" t="s">
        <v>24001</v>
      </c>
      <c r="B19076" s="4" t="s">
        <v>24004</v>
      </c>
      <c r="C19076" s="5" t="str">
        <f>IFERROR(__xludf.DUMMYFUNCTION("GOOGLETRANSLATE(B19076,""en"",""de"")"),"Nach zahlreichen und schnellen Schaukeln und Drehen lässt der Mann das Seil gehen und der Ball fliegt.")</f>
        <v>Nach zahlreichen und schnellen Schaukeln und Drehen lässt der Mann das Seil gehen und der Ball fliegt.</v>
      </c>
    </row>
    <row r="19077">
      <c r="A19077" s="4" t="s">
        <v>24005</v>
      </c>
      <c r="B19077" s="4" t="s">
        <v>24006</v>
      </c>
      <c r="C19077" s="5" t="str">
        <f>IFERROR(__xludf.DUMMYFUNCTION("GOOGLETRANSLATE(B19077,""en"",""de"")"),"Eine Person wäscht das Geschirr mit einer Bürste in einer Spüle.")</f>
        <v>Eine Person wäscht das Geschirr mit einer Bürste in einer Spüle.</v>
      </c>
    </row>
    <row r="19078">
      <c r="A19078" s="4" t="s">
        <v>24005</v>
      </c>
      <c r="B19078" s="4" t="s">
        <v>24007</v>
      </c>
      <c r="C19078" s="5" t="str">
        <f>IFERROR(__xludf.DUMMYFUNCTION("GOOGLETRANSLATE(B19078,""en"",""de"")"),"Dann wäscht die Person die Utensilien beim Reinigen mit der Bürste.")</f>
        <v>Dann wäscht die Person die Utensilien beim Reinigen mit der Bürste.</v>
      </c>
    </row>
    <row r="19079">
      <c r="A19079" s="4" t="s">
        <v>24005</v>
      </c>
      <c r="B19079" s="4" t="s">
        <v>24008</v>
      </c>
      <c r="C19079" s="5" t="str">
        <f>IFERROR(__xludf.DUMMYFUNCTION("GOOGLETRANSLATE(B19079,""en"",""de"")"),"Danach gießt die Person Geschirrspüler in ein Glas und eine Tasse, dann bürsten und ausspülen.")</f>
        <v>Danach gießt die Person Geschirrspüler in ein Glas und eine Tasse, dann bürsten und ausspülen.</v>
      </c>
    </row>
    <row r="19080">
      <c r="A19080" s="4" t="s">
        <v>24009</v>
      </c>
      <c r="B19080" s="4" t="s">
        <v>24010</v>
      </c>
      <c r="C19080" s="5" t="str">
        <f>IFERROR(__xludf.DUMMYFUNCTION("GOOGLETRANSLATE(B19080,""en"",""de"")"),"Ein Mann beobachtet durch ein Fenster zwei Bären kopulieren beim Bürsten eines Schuhs.")</f>
        <v>Ein Mann beobachtet durch ein Fenster zwei Bären kopulieren beim Bürsten eines Schuhs.</v>
      </c>
    </row>
    <row r="19081">
      <c r="A19081" s="4" t="s">
        <v>24009</v>
      </c>
      <c r="B19081" s="4" t="s">
        <v>24011</v>
      </c>
      <c r="C19081" s="5" t="str">
        <f>IFERROR(__xludf.DUMMYFUNCTION("GOOGLETRANSLATE(B19081,""en"",""de"")"),"Ein Mädchen betritt den Raum und sieht die Bären, dann verlässt sie den Raum.")</f>
        <v>Ein Mädchen betritt den Raum und sieht die Bären, dann verlässt sie den Raum.</v>
      </c>
    </row>
    <row r="19082">
      <c r="A19082" s="4" t="s">
        <v>24012</v>
      </c>
      <c r="B19082" s="4" t="s">
        <v>24013</v>
      </c>
      <c r="C19082" s="5" t="str">
        <f>IFERROR(__xludf.DUMMYFUNCTION("GOOGLETRANSLATE(B19082,""en"",""de"")"),"Kinder führen in einem Dojo Kampfkunstbewegungen durch, wie Erwachsene zuschauen.")</f>
        <v>Kinder führen in einem Dojo Kampfkunstbewegungen durch, wie Erwachsene zuschauen.</v>
      </c>
    </row>
    <row r="19083">
      <c r="A19083" s="4" t="s">
        <v>24012</v>
      </c>
      <c r="B19083" s="4" t="s">
        <v>24014</v>
      </c>
      <c r="C19083" s="5" t="str">
        <f>IFERROR(__xludf.DUMMYFUNCTION("GOOGLETRANSLATE(B19083,""en"",""de"")"),"Ein Mädchen dreht sich um und nimmt sie an und dreht sich dann aus der Mitte.")</f>
        <v>Ein Mädchen dreht sich um und nimmt sie an und dreht sich dann aus der Mitte.</v>
      </c>
    </row>
    <row r="19084">
      <c r="A19084" s="4" t="s">
        <v>24012</v>
      </c>
      <c r="B19084" s="4" t="s">
        <v>24015</v>
      </c>
      <c r="C19084" s="5" t="str">
        <f>IFERROR(__xludf.DUMMYFUNCTION("GOOGLETRANSLATE(B19084,""en"",""de"")"),"Ein Teenager macht einen Flip auf die andere Seite des Raumes.")</f>
        <v>Ein Teenager macht einen Flip auf die andere Seite des Raumes.</v>
      </c>
    </row>
    <row r="19085">
      <c r="A19085" s="4" t="s">
        <v>24012</v>
      </c>
      <c r="B19085" s="4" t="s">
        <v>24016</v>
      </c>
      <c r="C19085" s="5" t="str">
        <f>IFERROR(__xludf.DUMMYFUNCTION("GOOGLETRANSLATE(B19085,""en"",""de"")"),"Einer der Lehrer bewegt sich in die Mitte des Bodens.")</f>
        <v>Einer der Lehrer bewegt sich in die Mitte des Bodens.</v>
      </c>
    </row>
    <row r="19086">
      <c r="A19086" s="4" t="s">
        <v>24012</v>
      </c>
      <c r="B19086" s="4" t="s">
        <v>24017</v>
      </c>
      <c r="C19086" s="5" t="str">
        <f>IFERROR(__xludf.DUMMYFUNCTION("GOOGLETRANSLATE(B19086,""en"",""de"")"),"Der Teenager spricht mit einem anderen der Kinder und schickt den Jungen hinein, wenn er an der Reihe ist.")</f>
        <v>Der Teenager spricht mit einem anderen der Kinder und schickt den Jungen hinein, wenn er an der Reihe ist.</v>
      </c>
    </row>
    <row r="19087">
      <c r="A19087" s="4" t="s">
        <v>24012</v>
      </c>
      <c r="B19087" s="4" t="s">
        <v>24018</v>
      </c>
      <c r="C19087" s="5" t="str">
        <f>IFERROR(__xludf.DUMMYFUNCTION("GOOGLETRANSLATE(B19087,""en"",""de"")"),"Der Teenager versucht, einen ängstlichen Jungen zu haben, aber der Junge weigert sich.")</f>
        <v>Der Teenager versucht, einen ängstlichen Jungen zu haben, aber der Junge weigert sich.</v>
      </c>
    </row>
    <row r="19088">
      <c r="A19088" s="4" t="s">
        <v>24012</v>
      </c>
      <c r="B19088" s="4" t="s">
        <v>24019</v>
      </c>
      <c r="C19088" s="5" t="str">
        <f>IFERROR(__xludf.DUMMYFUNCTION("GOOGLETRANSLATE(B19088,""en"",""de"")"),"Die Kinder rennen alle zu Boden.")</f>
        <v>Die Kinder rennen alle zu Boden.</v>
      </c>
    </row>
    <row r="19089">
      <c r="A19089" s="4" t="s">
        <v>24020</v>
      </c>
      <c r="B19089" s="4" t="s">
        <v>24021</v>
      </c>
      <c r="C19089" s="5" t="str">
        <f>IFERROR(__xludf.DUMMYFUNCTION("GOOGLETRANSLATE(B19089,""en"",""de"")"),"Eine Frau tanzt mitten auf der Straße mit einem Schlagstock.")</f>
        <v>Eine Frau tanzt mitten auf der Straße mit einem Schlagstock.</v>
      </c>
    </row>
    <row r="19090">
      <c r="A19090" s="4" t="s">
        <v>24020</v>
      </c>
      <c r="B19090" s="4" t="s">
        <v>24022</v>
      </c>
      <c r="C19090" s="5" t="str">
        <f>IFERROR(__xludf.DUMMYFUNCTION("GOOGLETRANSLATE(B19090,""en"",""de"")"),"Sie dreht und wirft den Staffelstab, während eine kleine Menge zuschaut.")</f>
        <v>Sie dreht und wirft den Staffelstab, während eine kleine Menge zuschaut.</v>
      </c>
    </row>
    <row r="19091">
      <c r="A19091" s="4" t="s">
        <v>24020</v>
      </c>
      <c r="B19091" s="4" t="s">
        <v>24023</v>
      </c>
      <c r="C19091" s="5" t="str">
        <f>IFERROR(__xludf.DUMMYFUNCTION("GOOGLETRANSLATE(B19091,""en"",""de"")"),"Sie fährt die Straße hinunter und tritt mit dem Staffelstab auf.")</f>
        <v>Sie fährt die Straße hinunter und tritt mit dem Staffelstab auf.</v>
      </c>
    </row>
    <row r="19092">
      <c r="A19092" s="4" t="s">
        <v>24024</v>
      </c>
      <c r="B19092" s="4" t="s">
        <v>24025</v>
      </c>
      <c r="C19092" s="5" t="str">
        <f>IFERROR(__xludf.DUMMYFUNCTION("GOOGLETRANSLATE(B19092,""en"",""de"")"),"Im Schnee führen verschiedene junge Männer vor der Kamera Snowboard -Tricks durch.")</f>
        <v>Im Schnee führen verschiedene junge Männer vor der Kamera Snowboard -Tricks durch.</v>
      </c>
    </row>
    <row r="19093">
      <c r="A19093" s="4" t="s">
        <v>24024</v>
      </c>
      <c r="B19093" s="4" t="s">
        <v>24026</v>
      </c>
      <c r="C19093" s="5" t="str">
        <f>IFERROR(__xludf.DUMMYFUNCTION("GOOGLETRANSLATE(B19093,""en"",""de"")"),"Ein Mann in einem blauen Sweatshirt springt eine Treppe hinunter.")</f>
        <v>Ein Mann in einem blauen Sweatshirt springt eine Treppe hinunter.</v>
      </c>
    </row>
    <row r="19094">
      <c r="A19094" s="4" t="s">
        <v>24024</v>
      </c>
      <c r="B19094" s="4" t="s">
        <v>24027</v>
      </c>
      <c r="C19094" s="5" t="str">
        <f>IFERROR(__xludf.DUMMYFUNCTION("GOOGLETRANSLATE(B19094,""en"",""de"")"),"Ein junger Mann in einem schwarzen Outfit spielt einen Doppeltrick, indem er ein Geländer abschlägt und eine Treppe hinunter springt.")</f>
        <v>Ein junger Mann in einem schwarzen Outfit spielt einen Doppeltrick, indem er ein Geländer abschlägt und eine Treppe hinunter springt.</v>
      </c>
    </row>
    <row r="19095">
      <c r="A19095" s="4" t="s">
        <v>24024</v>
      </c>
      <c r="B19095" s="4" t="s">
        <v>24028</v>
      </c>
      <c r="C19095" s="5" t="str">
        <f>IFERROR(__xludf.DUMMYFUNCTION("GOOGLETRANSLATE(B19095,""en"",""de"")"),"Ein Mann in einem lila Sweatshirt knirscht ein Treppengeländer hinunter.")</f>
        <v>Ein Mann in einem lila Sweatshirt knirscht ein Treppengeländer hinunter.</v>
      </c>
    </row>
    <row r="19096">
      <c r="A19096" s="4" t="s">
        <v>24024</v>
      </c>
      <c r="B19096" s="4" t="s">
        <v>24029</v>
      </c>
      <c r="C19096" s="5" t="str">
        <f>IFERROR(__xludf.DUMMYFUNCTION("GOOGLETRANSLATE(B19096,""en"",""de"")"),"Ein Mann in einem lila und schwarz gestreiften Sweatshirt springt eine Treppe hinunter.")</f>
        <v>Ein Mann in einem lila und schwarz gestreiften Sweatshirt springt eine Treppe hinunter.</v>
      </c>
    </row>
    <row r="19097">
      <c r="A19097" s="4" t="s">
        <v>24024</v>
      </c>
      <c r="B19097" s="4" t="s">
        <v>24030</v>
      </c>
      <c r="C19097" s="5" t="str">
        <f>IFERROR(__xludf.DUMMYFUNCTION("GOOGLETRANSLATE(B19097,""en"",""de"")"),"Der Mann im blauen Sweatshirt knirscht ein Geländer und landet stilvoll auf dem Boden.")</f>
        <v>Der Mann im blauen Sweatshirt knirscht ein Geländer und landet stilvoll auf dem Boden.</v>
      </c>
    </row>
    <row r="19098">
      <c r="A19098" s="4" t="s">
        <v>24031</v>
      </c>
      <c r="B19098" s="4" t="s">
        <v>24032</v>
      </c>
      <c r="C19098" s="5" t="str">
        <f>IFERROR(__xludf.DUMMYFUNCTION("GOOGLETRANSLATE(B19098,""en"",""de"")"),"Ein Schuss eines Sonnenuntergangs führt in eine große Gruppe von Menschen, die Kamele entlang des Strandes reiten.")</f>
        <v>Ein Schuss eines Sonnenuntergangs führt in eine große Gruppe von Menschen, die Kamele entlang des Strandes reiten.</v>
      </c>
    </row>
    <row r="19099">
      <c r="A19099" s="4" t="s">
        <v>24031</v>
      </c>
      <c r="B19099" s="4" t="s">
        <v>24033</v>
      </c>
      <c r="C19099" s="5" t="str">
        <f>IFERROR(__xludf.DUMMYFUNCTION("GOOGLETRANSLATE(B19099,""en"",""de"")"),"Viele Menschen werden nacheinander mit den Kamele im Sand fahren.")</f>
        <v>Viele Menschen werden nacheinander mit den Kamele im Sand fahren.</v>
      </c>
    </row>
    <row r="19100">
      <c r="A19100" s="4" t="s">
        <v>24031</v>
      </c>
      <c r="B19100" s="4" t="s">
        <v>24034</v>
      </c>
      <c r="C19100" s="5" t="str">
        <f>IFERROR(__xludf.DUMMYFUNCTION("GOOGLETRANSLATE(B19100,""en"",""de"")"),"Das Video wird fortgesetzt, um mehr Menschen zu zeigen, die mit den Kamele und anderen vorne fahren.")</f>
        <v>Das Video wird fortgesetzt, um mehr Menschen zu zeigen, die mit den Kamele und anderen vorne fahren.</v>
      </c>
    </row>
    <row r="19101">
      <c r="A19101" s="4" t="s">
        <v>24035</v>
      </c>
      <c r="B19101" s="4" t="s">
        <v>24036</v>
      </c>
      <c r="C19101" s="5" t="str">
        <f>IFERROR(__xludf.DUMMYFUNCTION("GOOGLETRANSLATE(B19101,""en"",""de"")"),"Ein Mann malt das Holz mit Pinsel, das Holz wird gezeigt.")</f>
        <v>Ein Mann malt das Holz mit Pinsel, das Holz wird gezeigt.</v>
      </c>
    </row>
    <row r="19102">
      <c r="A19102" s="4" t="s">
        <v>24035</v>
      </c>
      <c r="B19102" s="4" t="s">
        <v>24037</v>
      </c>
      <c r="C19102" s="5" t="str">
        <f>IFERROR(__xludf.DUMMYFUNCTION("GOOGLETRANSLATE(B19102,""en"",""de"")"),"Der Mann malt den Zaun mit brauner Farbe und malt dann den Tisch.")</f>
        <v>Der Mann malt den Zaun mit brauner Farbe und malt dann den Tisch.</v>
      </c>
    </row>
    <row r="19103">
      <c r="A19103" s="4" t="s">
        <v>24035</v>
      </c>
      <c r="B19103" s="4" t="s">
        <v>24038</v>
      </c>
      <c r="C19103" s="5" t="str">
        <f>IFERROR(__xludf.DUMMYFUNCTION("GOOGLETRANSLATE(B19103,""en"",""de"")"),"Der Mann mischte die Farbe und begann dann den Holztisch zu malen, dann räumte er den Boden auf und streifte ihn.")</f>
        <v>Der Mann mischte die Farbe und begann dann den Holztisch zu malen, dann räumte er den Boden auf und streifte ihn.</v>
      </c>
    </row>
    <row r="19104">
      <c r="A19104" s="4" t="s">
        <v>24039</v>
      </c>
      <c r="B19104" s="4" t="s">
        <v>24040</v>
      </c>
      <c r="C19104" s="5" t="str">
        <f>IFERROR(__xludf.DUMMYFUNCTION("GOOGLETRANSLATE(B19104,""en"",""de"")"),"Eine Person sitzt an einem Tisch, gefolgt von zwei Personen, die miteinander tanzen, und andere, die herum sitzen.")</f>
        <v>Eine Person sitzt an einem Tisch, gefolgt von zwei Personen, die miteinander tanzen, und andere, die herum sitzen.</v>
      </c>
    </row>
    <row r="19105">
      <c r="A19105" s="4" t="s">
        <v>24039</v>
      </c>
      <c r="B19105" s="4" t="s">
        <v>24041</v>
      </c>
      <c r="C19105" s="5" t="str">
        <f>IFERROR(__xludf.DUMMYFUNCTION("GOOGLETRANSLATE(B19105,""en"",""de"")"),"Die Leute tanzen weiter umeinander und enden, indem sie anhalten und zwei andere neben ihnen tanzen.")</f>
        <v>Die Leute tanzen weiter umeinander und enden, indem sie anhalten und zwei andere neben ihnen tanzen.</v>
      </c>
    </row>
    <row r="19106">
      <c r="A19106" s="4" t="s">
        <v>24042</v>
      </c>
      <c r="B19106" s="4" t="s">
        <v>24043</v>
      </c>
      <c r="C19106" s="5" t="str">
        <f>IFERROR(__xludf.DUMMYFUNCTION("GOOGLETRANSLATE(B19106,""en"",""de"")"),"Wir sehen einen Öffnungsbildschirm mit einem schwarzen Hintergrund.")</f>
        <v>Wir sehen einen Öffnungsbildschirm mit einem schwarzen Hintergrund.</v>
      </c>
    </row>
    <row r="19107">
      <c r="A19107" s="4" t="s">
        <v>24042</v>
      </c>
      <c r="B19107" s="4" t="s">
        <v>24044</v>
      </c>
      <c r="C19107" s="5" t="str">
        <f>IFERROR(__xludf.DUMMYFUNCTION("GOOGLETRANSLATE(B19107,""en"",""de"")"),"Wir sehen viele Leute, die sich mit Schaufel, Besen, Töpfen und Schalen Schnee bewegen.")</f>
        <v>Wir sehen viele Leute, die sich mit Schaufel, Besen, Töpfen und Schalen Schnee bewegen.</v>
      </c>
    </row>
    <row r="19108">
      <c r="A19108" s="4" t="s">
        <v>24042</v>
      </c>
      <c r="B19108" s="4" t="s">
        <v>24045</v>
      </c>
      <c r="C19108" s="5" t="str">
        <f>IFERROR(__xludf.DUMMYFUNCTION("GOOGLETRANSLATE(B19108,""en"",""de"")"),"Ein Mann schaufelt mit einer Distrip -Pfanne, gefolgt von Damen mit einer Hacke und einem Teller.")</f>
        <v>Ein Mann schaufelt mit einer Distrip -Pfanne, gefolgt von Damen mit einer Hacke und einem Teller.</v>
      </c>
    </row>
    <row r="19109">
      <c r="A19109" s="4" t="s">
        <v>24042</v>
      </c>
      <c r="B19109" s="4" t="s">
        <v>24046</v>
      </c>
      <c r="C19109" s="5" t="str">
        <f>IFERROR(__xludf.DUMMYFUNCTION("GOOGLETRANSLATE(B19109,""en"",""de"")"),"Ein Mann wirft Schnee auf eine Dame.")</f>
        <v>Ein Mann wirft Schnee auf eine Dame.</v>
      </c>
    </row>
    <row r="19110">
      <c r="A19110" s="4" t="s">
        <v>24042</v>
      </c>
      <c r="B19110" s="4" t="s">
        <v>24047</v>
      </c>
      <c r="C19110" s="5" t="str">
        <f>IFERROR(__xludf.DUMMYFUNCTION("GOOGLETRANSLATE(B19110,""en"",""de"")"),"Ein Mann wirft Schnee auf die Menschen.")</f>
        <v>Ein Mann wirft Schnee auf die Menschen.</v>
      </c>
    </row>
    <row r="19111">
      <c r="A19111" s="4" t="s">
        <v>24042</v>
      </c>
      <c r="B19111" s="4" t="s">
        <v>24048</v>
      </c>
      <c r="C19111" s="5" t="str">
        <f>IFERROR(__xludf.DUMMYFUNCTION("GOOGLETRANSLATE(B19111,""en"",""de"")"),"Eine Person steckt im Schnee fest, wird von anderen begraben.")</f>
        <v>Eine Person steckt im Schnee fest, wird von anderen begraben.</v>
      </c>
    </row>
    <row r="19112">
      <c r="A19112" s="4" t="s">
        <v>24042</v>
      </c>
      <c r="B19112" s="4" t="s">
        <v>24049</v>
      </c>
      <c r="C19112" s="5" t="str">
        <f>IFERROR(__xludf.DUMMYFUNCTION("GOOGLETRANSLATE(B19112,""en"",""de"")"),"Eine Dame spricht mit der Kamera und es wird schwarz und weiß.")</f>
        <v>Eine Dame spricht mit der Kamera und es wird schwarz und weiß.</v>
      </c>
    </row>
    <row r="19113">
      <c r="A19113" s="4" t="s">
        <v>24042</v>
      </c>
      <c r="B19113" s="4" t="s">
        <v>24050</v>
      </c>
      <c r="C19113" s="5" t="str">
        <f>IFERROR(__xludf.DUMMYFUNCTION("GOOGLETRANSLATE(B19113,""en"",""de"")"),"Menschen sind Mainge -Schneegelsgel.")</f>
        <v>Menschen sind Mainge -Schneegelsgel.</v>
      </c>
    </row>
    <row r="19114">
      <c r="A19114" s="4" t="s">
        <v>24042</v>
      </c>
      <c r="B19114" s="4" t="s">
        <v>24051</v>
      </c>
      <c r="C19114" s="5" t="str">
        <f>IFERROR(__xludf.DUMMYFUNCTION("GOOGLETRANSLATE(B19114,""en"",""de"")"),"Wir sehen die Schlusskredite des Videos.")</f>
        <v>Wir sehen die Schlusskredite des Videos.</v>
      </c>
    </row>
    <row r="19115">
      <c r="A19115" s="4" t="s">
        <v>24052</v>
      </c>
      <c r="B19115" s="4" t="s">
        <v>24053</v>
      </c>
      <c r="C19115" s="5" t="str">
        <f>IFERROR(__xludf.DUMMYFUNCTION("GOOGLETRANSLATE(B19115,""en"",""de"")"),"Es wird gezeigt, dass eine Frau aus der mittleren Alter gezeigt wird, die Schnee hockt und ihn auf Stapel ablegt.")</f>
        <v>Es wird gezeigt, dass eine Frau aus der mittleren Alter gezeigt wird, die Schnee hockt und ihn auf Stapel ablegt.</v>
      </c>
    </row>
    <row r="19116">
      <c r="A19116" s="4" t="s">
        <v>24052</v>
      </c>
      <c r="B19116" s="4" t="s">
        <v>24054</v>
      </c>
      <c r="C19116" s="5" t="str">
        <f>IFERROR(__xludf.DUMMYFUNCTION("GOOGLETRANSLATE(B19116,""en"",""de"")"),"Sie geht dann zur Kamera und streckt ihre Zunge heraus.")</f>
        <v>Sie geht dann zur Kamera und streckt ihre Zunge heraus.</v>
      </c>
    </row>
    <row r="19117">
      <c r="A19117" s="4" t="s">
        <v>24055</v>
      </c>
      <c r="B19117" s="4" t="s">
        <v>24056</v>
      </c>
      <c r="C19117" s="5" t="str">
        <f>IFERROR(__xludf.DUMMYFUNCTION("GOOGLETRANSLATE(B19117,""en"",""de"")"),"Eine Frau zündet eine Zigarette vor der Kamera an.")</f>
        <v>Eine Frau zündet eine Zigarette vor der Kamera an.</v>
      </c>
    </row>
    <row r="19118">
      <c r="A19118" s="4" t="s">
        <v>24055</v>
      </c>
      <c r="B19118" s="4" t="s">
        <v>24057</v>
      </c>
      <c r="C19118" s="5" t="str">
        <f>IFERROR(__xludf.DUMMYFUNCTION("GOOGLETRANSLATE(B19118,""en"",""de"")"),"Sie nimmt eine große Zigarette aus.")</f>
        <v>Sie nimmt eine große Zigarette aus.</v>
      </c>
    </row>
    <row r="19119">
      <c r="A19119" s="4" t="s">
        <v>24055</v>
      </c>
      <c r="B19119" s="4" t="s">
        <v>24058</v>
      </c>
      <c r="C19119" s="5" t="str">
        <f>IFERROR(__xludf.DUMMYFUNCTION("GOOGLETRANSLATE(B19119,""en"",""de"")"),"Sie bläst Rauch in die Kamera und lächelt.")</f>
        <v>Sie bläst Rauch in die Kamera und lächelt.</v>
      </c>
    </row>
    <row r="19120">
      <c r="A19120" s="4" t="s">
        <v>24055</v>
      </c>
      <c r="B19120" s="4" t="s">
        <v>24059</v>
      </c>
      <c r="C19120" s="5" t="str">
        <f>IFERROR(__xludf.DUMMYFUNCTION("GOOGLETRANSLATE(B19120,""en"",""de"")"),"Sie zieht eine weitere Zigarette und bläst Rauch aus.")</f>
        <v>Sie zieht eine weitere Zigarette und bläst Rauch aus.</v>
      </c>
    </row>
    <row r="19121">
      <c r="A19121" s="4" t="s">
        <v>24055</v>
      </c>
      <c r="B19121" s="4" t="s">
        <v>24060</v>
      </c>
      <c r="C19121" s="5" t="str">
        <f>IFERROR(__xludf.DUMMYFUNCTION("GOOGLETRANSLATE(B19121,""en"",""de"")"),"Sie spielt mit ihren Haaren.")</f>
        <v>Sie spielt mit ihren Haaren.</v>
      </c>
    </row>
    <row r="19122">
      <c r="A19122" s="4" t="s">
        <v>24055</v>
      </c>
      <c r="B19122" s="4" t="s">
        <v>24061</v>
      </c>
      <c r="C19122" s="5" t="str">
        <f>IFERROR(__xludf.DUMMYFUNCTION("GOOGLETRANSLATE(B19122,""en"",""de"")"),"Dann raucht sie weiterhin die Zigarette, während sie sich umsah.")</f>
        <v>Dann raucht sie weiterhin die Zigarette, während sie sich umsah.</v>
      </c>
    </row>
    <row r="19123">
      <c r="A19123" s="4" t="s">
        <v>24062</v>
      </c>
      <c r="B19123" s="4" t="s">
        <v>24063</v>
      </c>
      <c r="C19123" s="5" t="str">
        <f>IFERROR(__xludf.DUMMYFUNCTION("GOOGLETRANSLATE(B19123,""en"",""de"")"),"Eine kleine Gruppe von Menschen ist auf einer Bühne zu sehen, die ihre Instrumente vorbereitet hat.")</f>
        <v>Eine kleine Gruppe von Menschen ist auf einer Bühne zu sehen, die ihre Instrumente vorbereitet hat.</v>
      </c>
    </row>
    <row r="19124">
      <c r="A19124" s="4" t="s">
        <v>24062</v>
      </c>
      <c r="B19124" s="4" t="s">
        <v>24064</v>
      </c>
      <c r="C19124" s="5" t="str">
        <f>IFERROR(__xludf.DUMMYFUNCTION("GOOGLETRANSLATE(B19124,""en"",""de"")"),"Eine Frau spielt Schlagzeug, während ein anderes Klavier spielt und die anderen beobachten.")</f>
        <v>Eine Frau spielt Schlagzeug, während ein anderes Klavier spielt und die anderen beobachten.</v>
      </c>
    </row>
    <row r="19125">
      <c r="A19125" s="4" t="s">
        <v>24062</v>
      </c>
      <c r="B19125" s="4" t="s">
        <v>24065</v>
      </c>
      <c r="C19125" s="5" t="str">
        <f>IFERROR(__xludf.DUMMYFUNCTION("GOOGLETRANSLATE(B19125,""en"",""de"")"),"Die beiden spielen weiterhin ihre Instrumente und andere auf der Seite.")</f>
        <v>Die beiden spielen weiterhin ihre Instrumente und andere auf der Seite.</v>
      </c>
    </row>
    <row r="19126">
      <c r="A19126" s="4" t="s">
        <v>24066</v>
      </c>
      <c r="B19126" s="4" t="s">
        <v>24067</v>
      </c>
      <c r="C19126" s="5" t="str">
        <f>IFERROR(__xludf.DUMMYFUNCTION("GOOGLETRANSLATE(B19126,""en"",""de"")"),"Zwei Männer zerlegen schnell einen roten Schornstein.")</f>
        <v>Zwei Männer zerlegen schnell einen roten Schornstein.</v>
      </c>
    </row>
    <row r="19127">
      <c r="A19127" s="4" t="s">
        <v>24066</v>
      </c>
      <c r="B19127" s="4" t="s">
        <v>24068</v>
      </c>
      <c r="C19127" s="5" t="str">
        <f>IFERROR(__xludf.DUMMYFUNCTION("GOOGLETRANSLATE(B19127,""en"",""de"")"),"Ein Mann legt Holz über das klaffende Loch.")</f>
        <v>Ein Mann legt Holz über das klaffende Loch.</v>
      </c>
    </row>
    <row r="19128">
      <c r="A19128" s="4" t="s">
        <v>24066</v>
      </c>
      <c r="B19128" s="4" t="s">
        <v>24069</v>
      </c>
      <c r="C19128" s="5" t="str">
        <f>IFERROR(__xludf.DUMMYFUNCTION("GOOGLETRANSLATE(B19128,""en"",""de"")"),"Der Mann bedeckt dann das Holz mit Schindeln.")</f>
        <v>Der Mann bedeckt dann das Holz mit Schindeln.</v>
      </c>
    </row>
    <row r="19129">
      <c r="A19129" s="4" t="s">
        <v>24070</v>
      </c>
      <c r="B19129" s="4" t="s">
        <v>24071</v>
      </c>
      <c r="C19129" s="5" t="str">
        <f>IFERROR(__xludf.DUMMYFUNCTION("GOOGLETRANSLATE(B19129,""en"",""de"")"),"Wir sehen eine Person, die eine Früchte hackt.")</f>
        <v>Wir sehen eine Person, die eine Früchte hackt.</v>
      </c>
    </row>
    <row r="19130">
      <c r="A19130" s="4" t="s">
        <v>24070</v>
      </c>
      <c r="B19130" s="4" t="s">
        <v>24072</v>
      </c>
      <c r="C19130" s="5" t="str">
        <f>IFERROR(__xludf.DUMMYFUNCTION("GOOGLETRANSLATE(B19130,""en"",""de"")"),"Die Person schneidet dann den gehackten Teil ab.")</f>
        <v>Die Person schneidet dann den gehackten Teil ab.</v>
      </c>
    </row>
    <row r="19131">
      <c r="A19131" s="4" t="s">
        <v>24070</v>
      </c>
      <c r="B19131" s="4" t="s">
        <v>24073</v>
      </c>
      <c r="C19131" s="5" t="str">
        <f>IFERROR(__xludf.DUMMYFUNCTION("GOOGLETRANSLATE(B19131,""en"",""de"")"),"Die Person schüttelt wieder die Früchte und schneidet das gehackte Stück ab.")</f>
        <v>Die Person schüttelt wieder die Früchte und schneidet das gehackte Stück ab.</v>
      </c>
    </row>
    <row r="19132">
      <c r="A19132" s="4" t="s">
        <v>24070</v>
      </c>
      <c r="B19132" s="4" t="s">
        <v>24074</v>
      </c>
      <c r="C19132" s="5" t="str">
        <f>IFERROR(__xludf.DUMMYFUNCTION("GOOGLETRANSLATE(B19132,""en"",""de"")"),"Die Person nimmt eine Scheibe aus der Schüssel auf und schneidet sie.")</f>
        <v>Die Person nimmt eine Scheibe aus der Schüssel auf und schneidet sie.</v>
      </c>
    </row>
    <row r="19133">
      <c r="A19133" s="4" t="s">
        <v>24070</v>
      </c>
      <c r="B19133" s="4" t="s">
        <v>24075</v>
      </c>
      <c r="C19133" s="5" t="str">
        <f>IFERROR(__xludf.DUMMYFUNCTION("GOOGLETRANSLATE(B19133,""en"",""de"")"),"Wir sehen dann, wie die Person mehr hackt und schneidet.")</f>
        <v>Wir sehen dann, wie die Person mehr hackt und schneidet.</v>
      </c>
    </row>
    <row r="19134">
      <c r="A19134" s="4" t="s">
        <v>24070</v>
      </c>
      <c r="B19134" s="4" t="s">
        <v>24076</v>
      </c>
      <c r="C19134" s="5" t="str">
        <f>IFERROR(__xludf.DUMMYFUNCTION("GOOGLETRANSLATE(B19134,""en"",""de"")"),"Die Person nimmt Teile von ihrer Hose ab.")</f>
        <v>Die Person nimmt Teile von ihrer Hose ab.</v>
      </c>
    </row>
    <row r="19135">
      <c r="A19135" s="4" t="s">
        <v>24077</v>
      </c>
      <c r="B19135" s="4" t="s">
        <v>24078</v>
      </c>
      <c r="C19135" s="5" t="str">
        <f>IFERROR(__xludf.DUMMYFUNCTION("GOOGLETRANSLATE(B19135,""en"",""de"")"),"Ein Junge hält einen Stock, während andere Leute die Seitenlinie beobachten und klatschen.")</f>
        <v>Ein Junge hält einen Stock, während andere Leute die Seitenlinie beobachten und klatschen.</v>
      </c>
    </row>
    <row r="19136">
      <c r="A19136" s="4" t="s">
        <v>24077</v>
      </c>
      <c r="B19136" s="4" t="s">
        <v>24079</v>
      </c>
      <c r="C19136" s="5" t="str">
        <f>IFERROR(__xludf.DUMMYFUNCTION("GOOGLETRANSLATE(B19136,""en"",""de"")"),"Der Junge, der den Stock hält, führt vor den Menschen eine Kampfkunstroutine durch und endet mit einer Pose, während alle um ihn herum klatschen.")</f>
        <v>Der Junge, der den Stock hält, führt vor den Menschen eine Kampfkunstroutine durch und endet mit einer Pose, während alle um ihn herum klatschen.</v>
      </c>
    </row>
    <row r="19137">
      <c r="A19137" s="4" t="s">
        <v>24080</v>
      </c>
      <c r="B19137" s="4" t="s">
        <v>24081</v>
      </c>
      <c r="C19137" s="5" t="str">
        <f>IFERROR(__xludf.DUMMYFUNCTION("GOOGLETRANSLATE(B19137,""en"",""de"")"),"Ein Mann gibt der Kamera ein Stück Schild, während andere um ihn herum sprechen und sich vorstellen.")</f>
        <v>Ein Mann gibt der Kamera ein Stück Schild, während andere um ihn herum sprechen und sich vorstellen.</v>
      </c>
    </row>
    <row r="19138">
      <c r="A19138" s="4" t="s">
        <v>24080</v>
      </c>
      <c r="B19138" s="4" t="s">
        <v>24082</v>
      </c>
      <c r="C19138" s="5" t="str">
        <f>IFERROR(__xludf.DUMMYFUNCTION("GOOGLETRANSLATE(B19138,""en"",""de"")"),"Ein Mann wird dann auf einer Plattform auftreten und von der Seite springen.")</f>
        <v>Ein Mann wird dann auf einer Plattform auftreten und von der Seite springen.</v>
      </c>
    </row>
    <row r="19139">
      <c r="A19139" s="4" t="s">
        <v>24083</v>
      </c>
      <c r="B19139" s="4" t="s">
        <v>24084</v>
      </c>
      <c r="C19139" s="5" t="str">
        <f>IFERROR(__xludf.DUMMYFUNCTION("GOOGLETRANSLATE(B19139,""en"",""de"")"),"Ein Mann kämpft in einem Kanu in einem Fluss, der das Ruder sehr schnell bewegt.")</f>
        <v>Ein Mann kämpft in einem Kanu in einem Fluss, der das Ruder sehr schnell bewegt.</v>
      </c>
    </row>
    <row r="19140">
      <c r="A19140" s="4" t="s">
        <v>24083</v>
      </c>
      <c r="B19140" s="4" t="s">
        <v>24085</v>
      </c>
      <c r="C19140" s="5" t="str">
        <f>IFERROR(__xludf.DUMMYFUNCTION("GOOGLETRANSLATE(B19140,""en"",""de"")"),"Dann passt der Mann turbulentes Wasser.")</f>
        <v>Dann passt der Mann turbulentes Wasser.</v>
      </c>
    </row>
    <row r="19141">
      <c r="A19141" s="4" t="s">
        <v>24086</v>
      </c>
      <c r="B19141" s="4" t="s">
        <v>24087</v>
      </c>
      <c r="C19141" s="5" t="str">
        <f>IFERROR(__xludf.DUMMYFUNCTION("GOOGLETRANSLATE(B19141,""en"",""de"")"),"Das Wort, das auf dem Bildschirm angezeigt wird.")</f>
        <v>Das Wort, das auf dem Bildschirm angezeigt wird.</v>
      </c>
    </row>
    <row r="19142">
      <c r="A19142" s="4" t="s">
        <v>24086</v>
      </c>
      <c r="B19142" s="4" t="s">
        <v>24088</v>
      </c>
      <c r="C19142" s="5" t="str">
        <f>IFERROR(__xludf.DUMMYFUNCTION("GOOGLETRANSLATE(B19142,""en"",""de"")"),"Wir sehen eine Frau, die rot gekleidet in einem Haus eines Hauses steht.")</f>
        <v>Wir sehen eine Frau, die rot gekleidet in einem Haus eines Hauses steht.</v>
      </c>
    </row>
    <row r="19143">
      <c r="A19143" s="4" t="s">
        <v>24086</v>
      </c>
      <c r="B19143" s="4" t="s">
        <v>24089</v>
      </c>
      <c r="C19143" s="5" t="str">
        <f>IFERROR(__xludf.DUMMYFUNCTION("GOOGLETRANSLATE(B19143,""en"",""de"")"),"Sie spricht über einen Tisch vor sich.")</f>
        <v>Sie spricht über einen Tisch vor sich.</v>
      </c>
    </row>
    <row r="19144">
      <c r="A19144" s="4" t="s">
        <v>24086</v>
      </c>
      <c r="B19144" s="4" t="s">
        <v>24090</v>
      </c>
      <c r="C19144" s="5" t="str">
        <f>IFERROR(__xludf.DUMMYFUNCTION("GOOGLETRANSLATE(B19144,""en"",""de"")"),"Sie nimmt etwas Möbelpolitur auf und gilt es auf das Holz, wobei sie es mit einer Socke poliert, die sie über ihre Hand gebracht hat.")</f>
        <v>Sie nimmt etwas Möbelpolitur auf und gilt es auf das Holz, wobei sie es mit einer Socke poliert, die sie über ihre Hand gebracht hat.</v>
      </c>
    </row>
    <row r="19145">
      <c r="A19145" s="4" t="s">
        <v>24091</v>
      </c>
      <c r="B19145" s="4" t="s">
        <v>24092</v>
      </c>
      <c r="C19145" s="5" t="str">
        <f>IFERROR(__xludf.DUMMYFUNCTION("GOOGLETRANSLATE(B19145,""en"",""de"")"),"Eine Frau spricht mit der Kamera und hält sich mit ihren Armen an einem Übungsgerät fest.")</f>
        <v>Eine Frau spricht mit der Kamera und hält sich mit ihren Armen an einem Übungsgerät fest.</v>
      </c>
    </row>
    <row r="19146">
      <c r="A19146" s="4" t="s">
        <v>24091</v>
      </c>
      <c r="B19146" s="4" t="s">
        <v>24093</v>
      </c>
      <c r="C19146" s="5" t="str">
        <f>IFERROR(__xludf.DUMMYFUNCTION("GOOGLETRANSLATE(B19146,""en"",""de"")"),"Sie bewegt die Maschine zurück und vierten, während sie immer noch lacht und zur Kamera lächelt.")</f>
        <v>Sie bewegt die Maschine zurück und vierten, während sie immer noch lacht und zur Kamera lächelt.</v>
      </c>
    </row>
    <row r="19147">
      <c r="A19147" s="4" t="s">
        <v>24094</v>
      </c>
      <c r="B19147" s="4" t="s">
        <v>24095</v>
      </c>
      <c r="C19147" s="5" t="str">
        <f>IFERROR(__xludf.DUMMYFUNCTION("GOOGLETRANSLATE(B19147,""en"",""de"")"),"In einer dunklen Kristallkugel sieht ein fremd aussehendes Ding die Charaktere im Inneren an.")</f>
        <v>In einer dunklen Kristallkugel sieht ein fremd aussehendes Ding die Charaktere im Inneren an.</v>
      </c>
    </row>
    <row r="19148">
      <c r="A19148" s="4" t="s">
        <v>24094</v>
      </c>
      <c r="B19148" s="4" t="s">
        <v>24096</v>
      </c>
      <c r="C19148" s="5" t="str">
        <f>IFERROR(__xludf.DUMMYFUNCTION("GOOGLETRANSLATE(B19148,""en"",""de"")"),"Drei Männer spielen Papier, Scheren, Stock und Stein, während Kreaturen mit unterschiedlichen Farben sie mit Schock beobachten.")</f>
        <v>Drei Männer spielen Papier, Scheren, Stock und Stein, während Kreaturen mit unterschiedlichen Farben sie mit Schock beobachten.</v>
      </c>
    </row>
    <row r="19149">
      <c r="A19149" s="4" t="s">
        <v>24094</v>
      </c>
      <c r="B19149" s="4" t="s">
        <v>24097</v>
      </c>
      <c r="C19149" s="5" t="str">
        <f>IFERROR(__xludf.DUMMYFUNCTION("GOOGLETRANSLATE(B19149,""en"",""de"")"),"Ein Charakter, der mit einer Schere gewann, sprach er mit den Menschen um ihn herum.")</f>
        <v>Ein Charakter, der mit einer Schere gewann, sprach er mit den Menschen um ihn herum.</v>
      </c>
    </row>
    <row r="19150">
      <c r="A19150" s="4" t="s">
        <v>24098</v>
      </c>
      <c r="B19150" s="4" t="s">
        <v>24099</v>
      </c>
      <c r="C19150" s="5" t="str">
        <f>IFERROR(__xludf.DUMMYFUNCTION("GOOGLETRANSLATE(B19150,""en"",""de"")"),"Eine Frau beugt sich hin und hebt ein schweres Gewicht über ihrem Kopf.")</f>
        <v>Eine Frau beugt sich hin und hebt ein schweres Gewicht über ihrem Kopf.</v>
      </c>
    </row>
    <row r="19151">
      <c r="A19151" s="4" t="s">
        <v>24098</v>
      </c>
      <c r="B19151" s="4" t="s">
        <v>24100</v>
      </c>
      <c r="C19151" s="5" t="str">
        <f>IFERROR(__xludf.DUMMYFUNCTION("GOOGLETRANSLATE(B19151,""en"",""de"")"),"Die Leute sitzen hinter ihnen auf Bänken.")</f>
        <v>Die Leute sitzen hinter ihnen auf Bänken.</v>
      </c>
    </row>
    <row r="19152">
      <c r="A19152" s="4" t="s">
        <v>24098</v>
      </c>
      <c r="B19152" s="4" t="s">
        <v>24101</v>
      </c>
      <c r="C19152" s="5" t="str">
        <f>IFERROR(__xludf.DUMMYFUNCTION("GOOGLETRANSLATE(B19152,""en"",""de"")"),"Mehrere weitere Menschen heben die Gewichte weiter.")</f>
        <v>Mehrere weitere Menschen heben die Gewichte weiter.</v>
      </c>
    </row>
    <row r="19153">
      <c r="A19153" s="4" t="s">
        <v>24102</v>
      </c>
      <c r="B19153" s="4" t="s">
        <v>24103</v>
      </c>
      <c r="C19153" s="5" t="str">
        <f>IFERROR(__xludf.DUMMYFUNCTION("GOOGLETRANSLATE(B19153,""en"",""de"")"),"Eine Frau spricht aggressiv mit der Kamera und führt in sie einen Hula -Hoop.")</f>
        <v>Eine Frau spricht aggressiv mit der Kamera und führt in sie einen Hula -Hoop.</v>
      </c>
    </row>
    <row r="19154">
      <c r="A19154" s="4" t="s">
        <v>24102</v>
      </c>
      <c r="B19154" s="4" t="s">
        <v>24104</v>
      </c>
      <c r="C19154" s="5" t="str">
        <f>IFERROR(__xludf.DUMMYFUNCTION("GOOGLETRANSLATE(B19154,""en"",""de"")"),"Die Frau versucht, Hula mehrmals Hoop zu reifen und es gelingt ihm, indem er sie an ihrem Hals benutzt und sich bis zur Kamera beugt.")</f>
        <v>Die Frau versucht, Hula mehrmals Hoop zu reifen und es gelingt ihm, indem er sie an ihrem Hals benutzt und sich bis zur Kamera beugt.</v>
      </c>
    </row>
    <row r="19155">
      <c r="A19155" s="4" t="s">
        <v>24105</v>
      </c>
      <c r="B19155" s="4" t="s">
        <v>24106</v>
      </c>
      <c r="C19155" s="5" t="str">
        <f>IFERROR(__xludf.DUMMYFUNCTION("GOOGLETRANSLATE(B19155,""en"",""de"")"),"Eine Frau im rosa Kleid schneidet die rechte Pfote einer weißen Katze, die auf ihrem Schoß sitzt.")</f>
        <v>Eine Frau im rosa Kleid schneidet die rechte Pfote einer weißen Katze, die auf ihrem Schoß sitzt.</v>
      </c>
    </row>
    <row r="19156">
      <c r="A19156" s="4" t="s">
        <v>24105</v>
      </c>
      <c r="B19156" s="4" t="s">
        <v>24107</v>
      </c>
      <c r="C19156" s="5" t="str">
        <f>IFERROR(__xludf.DUMMYFUNCTION("GOOGLETRANSLATE(B19156,""en"",""de"")"),"Sie nahm die linke Pfote, um zu klammern, die Katze sah auf und die Frau sah nach unten und küsste sie kurz auf den Kopf.")</f>
        <v>Sie nahm die linke Pfote, um zu klammern, die Katze sah auf und die Frau sah nach unten und küsste sie kurz auf den Kopf.</v>
      </c>
    </row>
    <row r="19157">
      <c r="A19157" s="4" t="s">
        <v>24105</v>
      </c>
      <c r="B19157" s="4" t="s">
        <v>24108</v>
      </c>
      <c r="C19157" s="5" t="str">
        <f>IFERROR(__xludf.DUMMYFUNCTION("GOOGLETRANSLATE(B19157,""en"",""de"")"),"Die Katze schaute auf, während die Frau die rechte Rückenpfote der Katze schneidet.")</f>
        <v>Die Katze schaute auf, während die Frau die rechte Rückenpfote der Katze schneidet.</v>
      </c>
    </row>
    <row r="19158">
      <c r="A19158" s="4" t="s">
        <v>24105</v>
      </c>
      <c r="B19158" s="4" t="s">
        <v>24109</v>
      </c>
      <c r="C19158" s="5" t="str">
        <f>IFERROR(__xludf.DUMMYFUNCTION("GOOGLETRANSLATE(B19158,""en"",""de"")"),"Während die Frau die linke Rückenpfote schneidet, blinzelte die Katze zur Kamera.")</f>
        <v>Während die Frau die linke Rückenpfote schneidet, blinzelte die Katze zur Kamera.</v>
      </c>
    </row>
    <row r="19159">
      <c r="A19159" s="4" t="s">
        <v>24110</v>
      </c>
      <c r="B19159" s="4" t="s">
        <v>24111</v>
      </c>
      <c r="C19159" s="5" t="str">
        <f>IFERROR(__xludf.DUMMYFUNCTION("GOOGLETRANSLATE(B19159,""en"",""de"")"),"Zwei Männer stehen in einem Raum und sprechen mit der Kamera, während sie Schläger halten.")</f>
        <v>Zwei Männer stehen in einem Raum und sprechen mit der Kamera, während sie Schläger halten.</v>
      </c>
    </row>
    <row r="19160">
      <c r="A19160" s="4" t="s">
        <v>24110</v>
      </c>
      <c r="B19160" s="4" t="s">
        <v>24112</v>
      </c>
      <c r="C19160" s="5" t="str">
        <f>IFERROR(__xludf.DUMMYFUNCTION("GOOGLETRANSLATE(B19160,""en"",""de"")"),"Die beiden schlugen dann kontinuierlich den Ball um den geschlossenen Bereich zurück und den vierten Platz und zeigen mit einem Schläger auf die Kamera und rennen herum.")</f>
        <v>Die beiden schlugen dann kontinuierlich den Ball um den geschlossenen Bereich zurück und den vierten Platz und zeigen mit einem Schläger auf die Kamera und rennen herum.</v>
      </c>
    </row>
    <row r="19161">
      <c r="A19161" s="4" t="s">
        <v>24113</v>
      </c>
      <c r="B19161" s="4" t="s">
        <v>24114</v>
      </c>
      <c r="C19161" s="5" t="str">
        <f>IFERROR(__xludf.DUMMYFUNCTION("GOOGLETRANSLATE(B19161,""en"",""de"")"),"Eine Gruppe zahlreicher Menschen geht eine öffentliche Straße entlang.")</f>
        <v>Eine Gruppe zahlreicher Menschen geht eine öffentliche Straße entlang.</v>
      </c>
    </row>
    <row r="19162">
      <c r="A19162" s="4" t="s">
        <v>24113</v>
      </c>
      <c r="B19162" s="4" t="s">
        <v>24115</v>
      </c>
      <c r="C19162" s="5" t="str">
        <f>IFERROR(__xludf.DUMMYFUNCTION("GOOGLETRANSLATE(B19162,""en"",""de"")"),"Ein Paar geht an der Leine einen Pitbull.")</f>
        <v>Ein Paar geht an der Leine einen Pitbull.</v>
      </c>
    </row>
    <row r="19163">
      <c r="A19163" s="4" t="s">
        <v>24113</v>
      </c>
      <c r="B19163" s="4" t="s">
        <v>24116</v>
      </c>
      <c r="C19163" s="5" t="str">
        <f>IFERROR(__xludf.DUMMYFUNCTION("GOOGLETRANSLATE(B19163,""en"",""de"")"),"Wir sehen Rauch aus einem Gebäude, während die Menschen weggehen.")</f>
        <v>Wir sehen Rauch aus einem Gebäude, während die Menschen weggehen.</v>
      </c>
    </row>
    <row r="19164">
      <c r="A19164" s="4" t="s">
        <v>24117</v>
      </c>
      <c r="B19164" s="4" t="s">
        <v>24118</v>
      </c>
      <c r="C19164" s="5" t="str">
        <f>IFERROR(__xludf.DUMMYFUNCTION("GOOGLETRANSLATE(B19164,""en"",""de"")"),"Zwei Arbeiter werden in einem Geschäft im Freien gezeigt.")</f>
        <v>Zwei Arbeiter werden in einem Geschäft im Freien gezeigt.</v>
      </c>
    </row>
    <row r="19165">
      <c r="A19165" s="4" t="s">
        <v>24117</v>
      </c>
      <c r="B19165" s="4" t="s">
        <v>24119</v>
      </c>
      <c r="C19165" s="5" t="str">
        <f>IFERROR(__xludf.DUMMYFUNCTION("GOOGLETRANSLATE(B19165,""en"",""de"")"),"Sie waschen Autos mit Seife ab, einschließlich der Reifen des Maserati.")</f>
        <v>Sie waschen Autos mit Seife ab, einschließlich der Reifen des Maserati.</v>
      </c>
    </row>
    <row r="19166">
      <c r="A19166" s="4" t="s">
        <v>24117</v>
      </c>
      <c r="B19166" s="4" t="s">
        <v>24120</v>
      </c>
      <c r="C19166" s="5" t="str">
        <f>IFERROR(__xludf.DUMMYFUNCTION("GOOGLETRANSLATE(B19166,""en"",""de"")"),"Dann spülen sie die Autos aus und wischen sie sauber.")</f>
        <v>Dann spülen sie die Autos aus und wischen sie sauber.</v>
      </c>
    </row>
    <row r="19167">
      <c r="A19167" s="4" t="s">
        <v>24117</v>
      </c>
      <c r="B19167" s="4" t="s">
        <v>24121</v>
      </c>
      <c r="C19167" s="5" t="str">
        <f>IFERROR(__xludf.DUMMYFUNCTION("GOOGLETRANSLATE(B19167,""en"",""de"")"),"Das Endprodukt wird als sauberes, glänzendes italienisches Auto angezeigt.")</f>
        <v>Das Endprodukt wird als sauberes, glänzendes italienisches Auto angezeigt.</v>
      </c>
    </row>
    <row r="19168">
      <c r="A19168" s="4" t="s">
        <v>24122</v>
      </c>
      <c r="B19168" s="4" t="s">
        <v>24123</v>
      </c>
      <c r="C19168" s="5" t="str">
        <f>IFERROR(__xludf.DUMMYFUNCTION("GOOGLETRANSLATE(B19168,""en"",""de"")"),"Ein Mann hält eine Surfbrett.")</f>
        <v>Ein Mann hält eine Surfbrett.</v>
      </c>
    </row>
    <row r="19169">
      <c r="A19169" s="4" t="s">
        <v>24122</v>
      </c>
      <c r="B19169" s="4" t="s">
        <v>24124</v>
      </c>
      <c r="C19169" s="5" t="str">
        <f>IFERROR(__xludf.DUMMYFUNCTION("GOOGLETRANSLATE(B19169,""en"",""de"")"),"Vögel fliegen in den Himmel über dem Wasser.")</f>
        <v>Vögel fliegen in den Himmel über dem Wasser.</v>
      </c>
    </row>
    <row r="19170">
      <c r="A19170" s="4" t="s">
        <v>24122</v>
      </c>
      <c r="B19170" s="4" t="s">
        <v>24125</v>
      </c>
      <c r="C19170" s="5" t="str">
        <f>IFERROR(__xludf.DUMMYFUNCTION("GOOGLETRANSLATE(B19170,""en"",""de"")"),"Er surft die Wellen im Wasser.")</f>
        <v>Er surft die Wellen im Wasser.</v>
      </c>
    </row>
    <row r="19171">
      <c r="A19171" s="4" t="s">
        <v>24122</v>
      </c>
      <c r="B19171" s="4" t="s">
        <v>24126</v>
      </c>
      <c r="C19171" s="5" t="str">
        <f>IFERROR(__xludf.DUMMYFUNCTION("GOOGLETRANSLATE(B19171,""en"",""de"")"),"Er ist im Auto und redet.")</f>
        <v>Er ist im Auto und redet.</v>
      </c>
    </row>
    <row r="19172">
      <c r="A19172" s="4" t="s">
        <v>24122</v>
      </c>
      <c r="B19172" s="4" t="s">
        <v>24127</v>
      </c>
      <c r="C19172" s="5" t="str">
        <f>IFERROR(__xludf.DUMMYFUNCTION("GOOGLETRANSLATE(B19172,""en"",""de"")"),"Er surft noch mehr im Wasser.")</f>
        <v>Er surft noch mehr im Wasser.</v>
      </c>
    </row>
    <row r="19173">
      <c r="A19173" s="4" t="s">
        <v>24122</v>
      </c>
      <c r="B19173" s="4" t="s">
        <v>24128</v>
      </c>
      <c r="C19173" s="5" t="str">
        <f>IFERROR(__xludf.DUMMYFUNCTION("GOOGLETRANSLATE(B19173,""en"",""de"")"),"Die Vögel fliegen wieder über das Wasser.")</f>
        <v>Die Vögel fliegen wieder über das Wasser.</v>
      </c>
    </row>
    <row r="19174">
      <c r="A19174" s="4" t="s">
        <v>24129</v>
      </c>
      <c r="B19174" s="4" t="s">
        <v>24130</v>
      </c>
      <c r="C19174" s="5" t="str">
        <f>IFERROR(__xludf.DUMMYFUNCTION("GOOGLETRANSLATE(B19174,""en"",""de"")"),"Eine große Flagge fließt im Wind.")</f>
        <v>Eine große Flagge fließt im Wind.</v>
      </c>
    </row>
    <row r="19175">
      <c r="A19175" s="4" t="s">
        <v>24129</v>
      </c>
      <c r="B19175" s="4" t="s">
        <v>24131</v>
      </c>
      <c r="C19175" s="5" t="str">
        <f>IFERROR(__xludf.DUMMYFUNCTION("GOOGLETRANSLATE(B19175,""en"",""de"")"),"Ein Mann ist auf einer Straße und schlägt mit einem anderen Stock einen Stock.")</f>
        <v>Ein Mann ist auf einer Straße und schlägt mit einem anderen Stock einen Stock.</v>
      </c>
    </row>
    <row r="19176">
      <c r="A19176" s="4" t="s">
        <v>24129</v>
      </c>
      <c r="B19176" s="4" t="s">
        <v>24132</v>
      </c>
      <c r="C19176" s="5" t="str">
        <f>IFERROR(__xludf.DUMMYFUNCTION("GOOGLETRANSLATE(B19176,""en"",""de"")"),"Zwei Männer beschäftigen sich mit dem Kickboxen, Treten und Schwingen und Umdrehen.")</f>
        <v>Zwei Männer beschäftigen sich mit dem Kickboxen, Treten und Schwingen und Umdrehen.</v>
      </c>
    </row>
    <row r="19177">
      <c r="A19177" s="4" t="s">
        <v>24133</v>
      </c>
      <c r="B19177" s="4" t="s">
        <v>24134</v>
      </c>
      <c r="C19177" s="5" t="str">
        <f>IFERROR(__xludf.DUMMYFUNCTION("GOOGLETRANSLATE(B19177,""en"",""de"")"),"Ein Mann hackt Holz in einem schneebedeckten Hof.")</f>
        <v>Ein Mann hackt Holz in einem schneebedeckten Hof.</v>
      </c>
    </row>
    <row r="19178">
      <c r="A19178" s="4" t="s">
        <v>24133</v>
      </c>
      <c r="B19178" s="4" t="s">
        <v>24135</v>
      </c>
      <c r="C19178" s="5" t="str">
        <f>IFERROR(__xludf.DUMMYFUNCTION("GOOGLETRANSLATE(B19178,""en"",""de"")"),"Hinter ihm liegt ein Schneehaufen.")</f>
        <v>Hinter ihm liegt ein Schneehaufen.</v>
      </c>
    </row>
    <row r="19179">
      <c r="A19179" s="4" t="s">
        <v>24133</v>
      </c>
      <c r="B19179" s="4" t="s">
        <v>24136</v>
      </c>
      <c r="C19179" s="5" t="str">
        <f>IFERROR(__xludf.DUMMYFUNCTION("GOOGLETRANSLATE(B19179,""en"",""de"")"),"Das Protokoll trennte sich in zwei mit einem Streik.")</f>
        <v>Das Protokoll trennte sich in zwei mit einem Streik.</v>
      </c>
    </row>
    <row r="19180">
      <c r="A19180" s="4" t="s">
        <v>24137</v>
      </c>
      <c r="B19180" s="4" t="s">
        <v>24138</v>
      </c>
      <c r="C19180" s="5" t="str">
        <f>IFERROR(__xludf.DUMMYFUNCTION("GOOGLETRANSLATE(B19180,""en"",""de"")"),"Ein Mann biegt sich um, um mit der Kamera zu sprechen.")</f>
        <v>Ein Mann biegt sich um, um mit der Kamera zu sprechen.</v>
      </c>
    </row>
    <row r="19181">
      <c r="A19181" s="4" t="s">
        <v>24137</v>
      </c>
      <c r="B19181" s="4" t="s">
        <v>24139</v>
      </c>
      <c r="C19181" s="5" t="str">
        <f>IFERROR(__xludf.DUMMYFUNCTION("GOOGLETRANSLATE(B19181,""en"",""de"")"),"Der Mann dann Skateboards auf einer Rampe.")</f>
        <v>Der Mann dann Skateboards auf einer Rampe.</v>
      </c>
    </row>
    <row r="19182">
      <c r="A19182" s="4" t="s">
        <v>24137</v>
      </c>
      <c r="B19182" s="4" t="s">
        <v>24140</v>
      </c>
      <c r="C19182" s="5" t="str">
        <f>IFERROR(__xludf.DUMMYFUNCTION("GOOGLETRANSLATE(B19182,""en"",""de"")"),"Er versucht, die Rampe ohne Skateboard zu rennen.")</f>
        <v>Er versucht, die Rampe ohne Skateboard zu rennen.</v>
      </c>
    </row>
    <row r="19183">
      <c r="A19183" s="4" t="s">
        <v>24137</v>
      </c>
      <c r="B19183" s="4" t="s">
        <v>24141</v>
      </c>
      <c r="C19183" s="5" t="str">
        <f>IFERROR(__xludf.DUMMYFUNCTION("GOOGLETRANSLATE(B19183,""en"",""de"")"),"Ein Kind rutscht die Rampe an ihrem Hintern hinunter.")</f>
        <v>Ein Kind rutscht die Rampe an ihrem Hintern hinunter.</v>
      </c>
    </row>
    <row r="19184">
      <c r="A19184" s="4" t="s">
        <v>24137</v>
      </c>
      <c r="B19184" s="4" t="s">
        <v>24142</v>
      </c>
      <c r="C19184" s="5" t="str">
        <f>IFERROR(__xludf.DUMMYFUNCTION("GOOGLETRANSLATE(B19184,""en"",""de"")"),"Das Skateboard des Mannes entkommt ihm.")</f>
        <v>Das Skateboard des Mannes entkommt ihm.</v>
      </c>
    </row>
    <row r="19185">
      <c r="A19185" s="4" t="s">
        <v>24137</v>
      </c>
      <c r="B19185" s="4" t="s">
        <v>24143</v>
      </c>
      <c r="C19185" s="5" t="str">
        <f>IFERROR(__xludf.DUMMYFUNCTION("GOOGLETRANSLATE(B19185,""en"",""de"")"),"Der Mann jagt sein Skareboard.")</f>
        <v>Der Mann jagt sein Skareboard.</v>
      </c>
    </row>
    <row r="19186">
      <c r="A19186" s="4" t="s">
        <v>24137</v>
      </c>
      <c r="B19186" s="4" t="s">
        <v>24144</v>
      </c>
      <c r="C19186" s="5" t="str">
        <f>IFERROR(__xludf.DUMMYFUNCTION("GOOGLETRANSLATE(B19186,""en"",""de"")"),"Der Mann spricht mit der Kamera.")</f>
        <v>Der Mann spricht mit der Kamera.</v>
      </c>
    </row>
    <row r="19187">
      <c r="A19187" s="4" t="s">
        <v>24145</v>
      </c>
      <c r="B19187" s="4" t="s">
        <v>24146</v>
      </c>
      <c r="C19187" s="5" t="str">
        <f>IFERROR(__xludf.DUMMYFUNCTION("GOOGLETRANSLATE(B19187,""en"",""de"")"),"Ein älterer Herr in einem blauen Hemd malt einen Holzzaun.")</f>
        <v>Ein älterer Herr in einem blauen Hemd malt einen Holzzaun.</v>
      </c>
    </row>
    <row r="19188">
      <c r="A19188" s="4" t="s">
        <v>24145</v>
      </c>
      <c r="B19188" s="4" t="s">
        <v>24147</v>
      </c>
      <c r="C19188" s="5" t="str">
        <f>IFERROR(__xludf.DUMMYFUNCTION("GOOGLETRANSLATE(B19188,""en"",""de"")"),"Er nimmt den Farbeimer auf und geht den Bürgersteig hinauf.")</f>
        <v>Er nimmt den Farbeimer auf und geht den Bürgersteig hinauf.</v>
      </c>
    </row>
    <row r="19189">
      <c r="A19189" s="4" t="s">
        <v>24148</v>
      </c>
      <c r="B19189" s="4" t="s">
        <v>24149</v>
      </c>
      <c r="C19189" s="5" t="str">
        <f>IFERROR(__xludf.DUMMYFUNCTION("GOOGLETRANSLATE(B19189,""en"",""de"")"),"Ein Mann wird in einem Park auf Rollschaufeln herumfährt und führt eine Grenze durch, während die Kamera verlangsamt.")</f>
        <v>Ein Mann wird in einem Park auf Rollschaufeln herumfährt und führt eine Grenze durch, während die Kamera verlangsamt.</v>
      </c>
    </row>
    <row r="19190">
      <c r="A19190" s="4" t="s">
        <v>24148</v>
      </c>
      <c r="B19190" s="4" t="s">
        <v>24150</v>
      </c>
      <c r="C19190" s="5" t="str">
        <f>IFERROR(__xludf.DUMMYFUNCTION("GOOGLETRANSLATE(B19190,""en"",""de"")"),"Einige weitere Rollerblader werden an verschiedenen Orten um einen Park mahlen und mehrere weitere Tricks zeigen.")</f>
        <v>Einige weitere Rollerblader werden an verschiedenen Orten um einen Park mahlen und mehrere weitere Tricks zeigen.</v>
      </c>
    </row>
    <row r="19191">
      <c r="A19191" s="4" t="s">
        <v>24148</v>
      </c>
      <c r="B19191" s="4" t="s">
        <v>24151</v>
      </c>
      <c r="C19191" s="5" t="str">
        <f>IFERROR(__xludf.DUMMYFUNCTION("GOOGLETRANSLATE(B19191,""en"",""de"")"),"Der Kameramann hält die Kamera nahe an seinem Gesicht und zoomt in einen Mann, der sitzt und raucht.")</f>
        <v>Der Kameramann hält die Kamera nahe an seinem Gesicht und zoomt in einen Mann, der sitzt und raucht.</v>
      </c>
    </row>
    <row r="19192">
      <c r="A19192" s="4" t="s">
        <v>24152</v>
      </c>
      <c r="B19192" s="4" t="s">
        <v>24153</v>
      </c>
      <c r="C19192" s="5" t="str">
        <f>IFERROR(__xludf.DUMMYFUNCTION("GOOGLETRANSLATE(B19192,""en"",""de"")"),"Ein Mädchen spielt in einem Haus ein Windkasteninstrument.")</f>
        <v>Ein Mädchen spielt in einem Haus ein Windkasteninstrument.</v>
      </c>
    </row>
    <row r="19193">
      <c r="A19193" s="4" t="s">
        <v>24152</v>
      </c>
      <c r="B19193" s="4" t="s">
        <v>24154</v>
      </c>
      <c r="C19193" s="5" t="str">
        <f>IFERROR(__xludf.DUMMYFUNCTION("GOOGLETRANSLATE(B19193,""en"",""de"")"),"Die Frau lacht dann wieder auf, das Lied auf dem Instrument zu spielen.")</f>
        <v>Die Frau lacht dann wieder auf, das Lied auf dem Instrument zu spielen.</v>
      </c>
    </row>
    <row r="19194">
      <c r="A19194" s="4" t="s">
        <v>24155</v>
      </c>
      <c r="B19194" s="4" t="s">
        <v>24156</v>
      </c>
      <c r="C19194" s="5" t="str">
        <f>IFERROR(__xludf.DUMMYFUNCTION("GOOGLETRANSLATE(B19194,""en"",""de"")"),"Eine kleine Gruppe von Menschen sitzt auf Pferden und führt in sie hinunter auf einem Schmutzweg.")</f>
        <v>Eine kleine Gruppe von Menschen sitzt auf Pferden und führt in sie hinunter auf einem Schmutzweg.</v>
      </c>
    </row>
    <row r="19195">
      <c r="A19195" s="4" t="s">
        <v>24155</v>
      </c>
      <c r="B19195" s="4" t="s">
        <v>24157</v>
      </c>
      <c r="C19195" s="5" t="str">
        <f>IFERROR(__xludf.DUMMYFUNCTION("GOOGLETRANSLATE(B19195,""en"",""de"")"),"Die Kamera folgt den Leuten, die auf den Pferden fahren, und führt sie zurück in den Ställen.")</f>
        <v>Die Kamera folgt den Leuten, die auf den Pferden fahren, und führt sie zurück in den Ställen.</v>
      </c>
    </row>
    <row r="19196">
      <c r="A19196" s="4" t="s">
        <v>24158</v>
      </c>
      <c r="B19196" s="4" t="s">
        <v>24159</v>
      </c>
      <c r="C19196" s="5" t="str">
        <f>IFERROR(__xludf.DUMMYFUNCTION("GOOGLETRANSLATE(B19196,""en"",""de"")"),"Eine Person, die eine Katze hält, glättet die Katze.")</f>
        <v>Eine Person, die eine Katze hält, glättet die Katze.</v>
      </c>
    </row>
    <row r="19197">
      <c r="A19197" s="4" t="s">
        <v>24158</v>
      </c>
      <c r="B19197" s="4" t="s">
        <v>24160</v>
      </c>
      <c r="C19197" s="5" t="str">
        <f>IFERROR(__xludf.DUMMYFUNCTION("GOOGLETRANSLATE(B19197,""en"",""de"")"),"Die Person schneidet die Krallen der Katze mit einem Scherenform -Clipper.")</f>
        <v>Die Person schneidet die Krallen der Katze mit einem Scherenform -Clipper.</v>
      </c>
    </row>
    <row r="19198">
      <c r="A19198" s="4" t="s">
        <v>24158</v>
      </c>
      <c r="B19198" s="4" t="s">
        <v>24161</v>
      </c>
      <c r="C19198" s="5" t="str">
        <f>IFERROR(__xludf.DUMMYFUNCTION("GOOGLETRANSLATE(B19198,""en"",""de"")"),"Die Katze greift den Cutter an.")</f>
        <v>Die Katze greift den Cutter an.</v>
      </c>
    </row>
    <row r="19199">
      <c r="A19199" s="4" t="s">
        <v>24162</v>
      </c>
      <c r="B19199" s="4" t="s">
        <v>24163</v>
      </c>
      <c r="C19199" s="5" t="str">
        <f>IFERROR(__xludf.DUMMYFUNCTION("GOOGLETRANSLATE(B19199,""en"",""de"")"),"Menschen surfen auf einer großen Welle im Wasser.")</f>
        <v>Menschen surfen auf einer großen Welle im Wasser.</v>
      </c>
    </row>
    <row r="19200">
      <c r="A19200" s="4" t="s">
        <v>24162</v>
      </c>
      <c r="B19200" s="4" t="s">
        <v>24164</v>
      </c>
      <c r="C19200" s="5" t="str">
        <f>IFERROR(__xludf.DUMMYFUNCTION("GOOGLETRANSLATE(B19200,""en"",""de"")"),"Ein Boot ist im Wasser.")</f>
        <v>Ein Boot ist im Wasser.</v>
      </c>
    </row>
    <row r="19201">
      <c r="A19201" s="4" t="s">
        <v>24162</v>
      </c>
      <c r="B19201" s="4" t="s">
        <v>24165</v>
      </c>
      <c r="C19201" s="5" t="str">
        <f>IFERROR(__xludf.DUMMYFUNCTION("GOOGLETRANSLATE(B19201,""en"",""de"")"),"Eine große Welle stürzt im Wasser ab.")</f>
        <v>Eine große Welle stürzt im Wasser ab.</v>
      </c>
    </row>
    <row r="19202">
      <c r="A19202" s="4" t="s">
        <v>24166</v>
      </c>
      <c r="B19202" s="4" t="s">
        <v>24167</v>
      </c>
      <c r="C19202" s="5" t="str">
        <f>IFERROR(__xludf.DUMMYFUNCTION("GOOGLETRANSLATE(B19202,""en"",""de"")"),"Es werden zwei Personen gezeigt und dann werden mehrere Boote beworben.")</f>
        <v>Es werden zwei Personen gezeigt und dann werden mehrere Boote beworben.</v>
      </c>
    </row>
    <row r="19203">
      <c r="A19203" s="4" t="s">
        <v>24166</v>
      </c>
      <c r="B19203" s="4" t="s">
        <v>24168</v>
      </c>
      <c r="C19203" s="5" t="str">
        <f>IFERROR(__xludf.DUMMYFUNCTION("GOOGLETRANSLATE(B19203,""en"",""de"")"),"Danach surfen die beiden Menschen im Wasser zusammen über große riesige Wellen zusammen.")</f>
        <v>Danach surfen die beiden Menschen im Wasser zusammen über große riesige Wellen zusammen.</v>
      </c>
    </row>
    <row r="19204">
      <c r="A19204" s="4" t="s">
        <v>24166</v>
      </c>
      <c r="B19204" s="4" t="s">
        <v>24169</v>
      </c>
      <c r="C19204" s="5" t="str">
        <f>IFERROR(__xludf.DUMMYFUNCTION("GOOGLETRANSLATE(B19204,""en"",""de"")"),"Als nächstes kommen die Leute auf dem Boot sowohl auf das Wasser als auch auf Jetskier, während ein Mann auf einer großen Klippe über dem Wasser steht.")</f>
        <v>Als nächstes kommen die Leute auf dem Boot sowohl auf das Wasser als auch auf Jetskier, während ein Mann auf einer großen Klippe über dem Wasser steht.</v>
      </c>
    </row>
    <row r="19205">
      <c r="A19205" s="4" t="s">
        <v>24170</v>
      </c>
      <c r="B19205" s="4" t="s">
        <v>24171</v>
      </c>
      <c r="C19205" s="5" t="str">
        <f>IFERROR(__xludf.DUMMYFUNCTION("GOOGLETRANSLATE(B19205,""en"",""de"")"),"Eine Kamera schwenkt rund um einen See, der die Bäume und Berge sowie das Kanu vor ihm zeigt.")</f>
        <v>Eine Kamera schwenkt rund um einen See, der die Bäume und Berge sowie das Kanu vor ihm zeigt.</v>
      </c>
    </row>
    <row r="19206">
      <c r="A19206" s="4" t="s">
        <v>24170</v>
      </c>
      <c r="B19206" s="4" t="s">
        <v>24172</v>
      </c>
      <c r="C19206" s="5" t="str">
        <f>IFERROR(__xludf.DUMMYFUNCTION("GOOGLETRANSLATE(B19206,""en"",""de"")"),"Ein anderer Junge wird gesehen, wie er in einem Kanu entlang des Wassers reitet, und mehrere andere, die vorbei paddeln.")</f>
        <v>Ein anderer Junge wird gesehen, wie er in einem Kanu entlang des Wassers reitet, und mehrere andere, die vorbei paddeln.</v>
      </c>
    </row>
    <row r="19207">
      <c r="A19207" s="4" t="s">
        <v>24170</v>
      </c>
      <c r="B19207" s="4" t="s">
        <v>24173</v>
      </c>
      <c r="C19207" s="5" t="str">
        <f>IFERROR(__xludf.DUMMYFUNCTION("GOOGLETRANSLATE(B19207,""en"",""de"")"),"Es werden mehr Aufnahmen von Menschen gezeigt, die in ihren Kanus reiten und die Landschaft um sie herum einfangen.")</f>
        <v>Es werden mehr Aufnahmen von Menschen gezeigt, die in ihren Kanus reiten und die Landschaft um sie herum einfangen.</v>
      </c>
    </row>
    <row r="19208">
      <c r="A19208" s="4" t="s">
        <v>24174</v>
      </c>
      <c r="B19208" s="4" t="s">
        <v>24175</v>
      </c>
      <c r="C19208" s="5" t="str">
        <f>IFERROR(__xludf.DUMMYFUNCTION("GOOGLETRANSLATE(B19208,""en"",""de"")"),"Ein Mann beginnt auf einer Bühne zu springen.")</f>
        <v>Ein Mann beginnt auf einer Bühne zu springen.</v>
      </c>
    </row>
    <row r="19209">
      <c r="A19209" s="4" t="s">
        <v>24174</v>
      </c>
      <c r="B19209" s="4" t="s">
        <v>24176</v>
      </c>
      <c r="C19209" s="5" t="str">
        <f>IFERROR(__xludf.DUMMYFUNCTION("GOOGLETRANSLATE(B19209,""en"",""de"")"),"Die Leute sind im Publikum und beobachten ihn.")</f>
        <v>Die Leute sind im Publikum und beobachten ihn.</v>
      </c>
    </row>
    <row r="19210">
      <c r="A19210" s="4" t="s">
        <v>24174</v>
      </c>
      <c r="B19210" s="4" t="s">
        <v>24177</v>
      </c>
      <c r="C19210" s="5" t="str">
        <f>IFERROR(__xludf.DUMMYFUNCTION("GOOGLETRANSLATE(B19210,""en"",""de"")"),"Zwei Männer stehen hinter Kameras, die ihn filmen.")</f>
        <v>Zwei Männer stehen hinter Kameras, die ihn filmen.</v>
      </c>
    </row>
    <row r="19211">
      <c r="A19211" s="4" t="s">
        <v>24178</v>
      </c>
      <c r="B19211" s="4" t="s">
        <v>24179</v>
      </c>
      <c r="C19211" s="5" t="str">
        <f>IFERROR(__xludf.DUMMYFUNCTION("GOOGLETRANSLATE(B19211,""en"",""de"")"),"Ein Team von Basketballspieler wird auf der rechten Seite des Platzes gezeigt, die Layups durchführen.")</f>
        <v>Ein Team von Basketballspieler wird auf der rechten Seite des Platzes gezeigt, die Layups durchführen.</v>
      </c>
    </row>
    <row r="19212">
      <c r="A19212" s="4" t="s">
        <v>24178</v>
      </c>
      <c r="B19212" s="4" t="s">
        <v>24180</v>
      </c>
      <c r="C19212" s="5" t="str">
        <f>IFERROR(__xludf.DUMMYFUNCTION("GOOGLETRANSLATE(B19212,""en"",""de"")"),"Nach mehreren Runden bewegen sie sich auf die linke Seite des Gerichts und praktizieren noch einmal die Layups.")</f>
        <v>Nach mehreren Runden bewegen sie sich auf die linke Seite des Gerichts und praktizieren noch einmal die Layups.</v>
      </c>
    </row>
    <row r="19213">
      <c r="A19213" s="4" t="s">
        <v>24178</v>
      </c>
      <c r="B19213" s="4" t="s">
        <v>24181</v>
      </c>
      <c r="C19213" s="5" t="str">
        <f>IFERROR(__xludf.DUMMYFUNCTION("GOOGLETRANSLATE(B19213,""en"",""de"")"),"Während sie gehen, sitzt ein Stuhl vor ihnen, um als Marker zu dienen, und ein Mann geht hin und her und beobachtet, wie sie gehen.")</f>
        <v>Während sie gehen, sitzt ein Stuhl vor ihnen, um als Marker zu dienen, und ein Mann geht hin und her und beobachtet, wie sie gehen.</v>
      </c>
    </row>
    <row r="19214">
      <c r="A19214" s="4" t="s">
        <v>24182</v>
      </c>
      <c r="B19214" s="4" t="s">
        <v>24183</v>
      </c>
      <c r="C19214" s="5" t="str">
        <f>IFERROR(__xludf.DUMMYFUNCTION("GOOGLETRANSLATE(B19214,""en"",""de"")"),"Ein Mann steht und geht im Fitnessstudio.")</f>
        <v>Ein Mann steht und geht im Fitnessstudio.</v>
      </c>
    </row>
    <row r="19215">
      <c r="A19215" s="4" t="s">
        <v>24182</v>
      </c>
      <c r="B19215" s="4" t="s">
        <v>24184</v>
      </c>
      <c r="C19215" s="5" t="str">
        <f>IFERROR(__xludf.DUMMYFUNCTION("GOOGLETRANSLATE(B19215,""en"",""de"")"),"Der Mann saß auf der Rudermaschine und legte seine Füße auf das Pedal.")</f>
        <v>Der Mann saß auf der Rudermaschine und legte seine Füße auf das Pedal.</v>
      </c>
    </row>
    <row r="19216">
      <c r="A19216" s="4" t="s">
        <v>24182</v>
      </c>
      <c r="B19216" s="4" t="s">
        <v>24185</v>
      </c>
      <c r="C19216" s="5" t="str">
        <f>IFERROR(__xludf.DUMMYFUNCTION("GOOGLETRANSLATE(B19216,""en"",""de"")"),"Der Mann begann den Gürtel zu ziehen.")</f>
        <v>Der Mann begann den Gürtel zu ziehen.</v>
      </c>
    </row>
    <row r="19217">
      <c r="A19217" s="4" t="s">
        <v>24186</v>
      </c>
      <c r="B19217" s="4" t="s">
        <v>24187</v>
      </c>
      <c r="C19217" s="5" t="str">
        <f>IFERROR(__xludf.DUMMYFUNCTION("GOOGLETRANSLATE(B19217,""en"",""de"")"),"Wir sehen Kinder auf Dirtbikes auf einem Dirt -Feld mit Erwachsenen, die über ihnen stehen.")</f>
        <v>Wir sehen Kinder auf Dirtbikes auf einem Dirt -Feld mit Erwachsenen, die über ihnen stehen.</v>
      </c>
    </row>
    <row r="19218">
      <c r="A19218" s="4" t="s">
        <v>24186</v>
      </c>
      <c r="B19218" s="4" t="s">
        <v>24188</v>
      </c>
      <c r="C19218" s="5" t="str">
        <f>IFERROR(__xludf.DUMMYFUNCTION("GOOGLETRANSLATE(B19218,""en"",""de"")"),"Die Kinder nehmen ab und beginnen die Dirk -Strecke.")</f>
        <v>Die Kinder nehmen ab und beginnen die Dirk -Strecke.</v>
      </c>
    </row>
    <row r="19219">
      <c r="A19219" s="4" t="s">
        <v>24186</v>
      </c>
      <c r="B19219" s="4" t="s">
        <v>24189</v>
      </c>
      <c r="C19219" s="5" t="str">
        <f>IFERROR(__xludf.DUMMYFUNCTION("GOOGLETRANSLATE(B19219,""en"",""de"")"),"Die Kinder haben es schwer, sich umzudrehen, um die Schmutzstrecke zu erreichen.")</f>
        <v>Die Kinder haben es schwer, sich umzudrehen, um die Schmutzstrecke zu erreichen.</v>
      </c>
    </row>
    <row r="19220">
      <c r="A19220" s="4" t="s">
        <v>24186</v>
      </c>
      <c r="B19220" s="4" t="s">
        <v>24190</v>
      </c>
      <c r="C19220" s="5" t="str">
        <f>IFERROR(__xludf.DUMMYFUNCTION("GOOGLETRANSLATE(B19220,""en"",""de"")"),"Einer der Jungen ist gefallen und sein Fahrrad fallen lassen.")</f>
        <v>Einer der Jungen ist gefallen und sein Fahrrad fallen lassen.</v>
      </c>
    </row>
    <row r="19221">
      <c r="A19221" s="4" t="s">
        <v>24186</v>
      </c>
      <c r="B19221" s="4" t="s">
        <v>24191</v>
      </c>
      <c r="C19221" s="5" t="str">
        <f>IFERROR(__xludf.DUMMYFUNCTION("GOOGLETRANSLATE(B19221,""en"",""de"")"),"Wir sehen die Kinder mit hohen Fünfing -Männern und Frauen am Rande.")</f>
        <v>Wir sehen die Kinder mit hohen Fünfing -Männern und Frauen am Rande.</v>
      </c>
    </row>
    <row r="19222">
      <c r="A19222" s="4" t="s">
        <v>24192</v>
      </c>
      <c r="B19222" s="4" t="s">
        <v>24193</v>
      </c>
      <c r="C19222" s="5" t="str">
        <f>IFERROR(__xludf.DUMMYFUNCTION("GOOGLETRANSLATE(B19222,""en"",""de"")"),"Im Video handelt es sich um Girls Varsity Water Polo.")</f>
        <v>Im Video handelt es sich um Girls Varsity Water Polo.</v>
      </c>
    </row>
    <row r="19223">
      <c r="A19223" s="4" t="s">
        <v>24192</v>
      </c>
      <c r="B19223" s="4" t="s">
        <v>24194</v>
      </c>
      <c r="C19223" s="5" t="str">
        <f>IFERROR(__xludf.DUMMYFUNCTION("GOOGLETRANSLATE(B19223,""en"",""de"")"),"Es gibt mehrere Mädchen, die sich darauf vorbereiten, zu einem Wasserpolo -Sportveranstaltungen zu gehen.")</f>
        <v>Es gibt mehrere Mädchen, die sich darauf vorbereiten, zu einem Wasserpolo -Sportveranstaltungen zu gehen.</v>
      </c>
    </row>
    <row r="19224">
      <c r="A19224" s="4" t="s">
        <v>24192</v>
      </c>
      <c r="B19224" s="4" t="s">
        <v>24195</v>
      </c>
      <c r="C19224" s="5" t="str">
        <f>IFERROR(__xludf.DUMMYFUNCTION("GOOGLETRANSLATE(B19224,""en"",""de"")"),"Sie halten ihre Rucksäcke und Ausrüstung.")</f>
        <v>Sie halten ihre Rucksäcke und Ausrüstung.</v>
      </c>
    </row>
    <row r="19225">
      <c r="A19225" s="4" t="s">
        <v>24192</v>
      </c>
      <c r="B19225" s="4" t="s">
        <v>24196</v>
      </c>
      <c r="C19225" s="5" t="str">
        <f>IFERROR(__xludf.DUMMYFUNCTION("GOOGLETRANSLATE(B19225,""en"",""de"")"),"Sie reisen zusammen zur Veranstaltung und checken in ein Hotel ein.")</f>
        <v>Sie reisen zusammen zur Veranstaltung und checken in ein Hotel ein.</v>
      </c>
    </row>
    <row r="19226">
      <c r="A19226" s="4" t="s">
        <v>24192</v>
      </c>
      <c r="B19226" s="4" t="s">
        <v>24197</v>
      </c>
      <c r="C19226" s="5" t="str">
        <f>IFERROR(__xludf.DUMMYFUNCTION("GOOGLETRANSLATE(B19226,""en"",""de"")"),"Das gesamte Team verbringt Zeit miteinander vor der Veranstaltung.")</f>
        <v>Das gesamte Team verbringt Zeit miteinander vor der Veranstaltung.</v>
      </c>
    </row>
    <row r="19227">
      <c r="A19227" s="4" t="s">
        <v>24192</v>
      </c>
      <c r="B19227" s="4" t="s">
        <v>24198</v>
      </c>
      <c r="C19227" s="5" t="str">
        <f>IFERROR(__xludf.DUMMYFUNCTION("GOOGLETRANSLATE(B19227,""en"",""de"")"),"Zwei der Teammitglieder sprechen über ihre Erfahrungen mit dem Wasserball -Event.")</f>
        <v>Zwei der Teammitglieder sprechen über ihre Erfahrungen mit dem Wasserball -Event.</v>
      </c>
    </row>
    <row r="19228">
      <c r="A19228" s="4" t="s">
        <v>24192</v>
      </c>
      <c r="B19228" s="4" t="s">
        <v>24199</v>
      </c>
      <c r="C19228" s="5" t="str">
        <f>IFERROR(__xludf.DUMMYFUNCTION("GOOGLETRANSLATE(B19228,""en"",""de"")"),"Die Teammitglieder sprechen über den Wettbewerb und darüber, wie sie im Sport erging.")</f>
        <v>Die Teammitglieder sprechen über den Wettbewerb und darüber, wie sie im Sport erging.</v>
      </c>
    </row>
    <row r="19229">
      <c r="A19229" s="4" t="s">
        <v>24192</v>
      </c>
      <c r="B19229" s="4" t="s">
        <v>24200</v>
      </c>
      <c r="C19229" s="5" t="str">
        <f>IFERROR(__xludf.DUMMYFUNCTION("GOOGLETRANSLATE(B19229,""en"",""de"")"),"Der Bildschirm zeigt alle endgültigen Siege und verliert in den Girls Varsity Water Polo.")</f>
        <v>Der Bildschirm zeigt alle endgültigen Siege und verliert in den Girls Varsity Water Polo.</v>
      </c>
    </row>
    <row r="19230">
      <c r="A19230" s="4" t="s">
        <v>24201</v>
      </c>
      <c r="B19230" s="4" t="s">
        <v>24202</v>
      </c>
      <c r="C19230" s="5" t="str">
        <f>IFERROR(__xludf.DUMMYFUNCTION("GOOGLETRANSLATE(B19230,""en"",""de"")"),"Ein hemdloser Mann spielt Bongo -Schlagzeug vor einem Mikrofon.")</f>
        <v>Ein hemdloser Mann spielt Bongo -Schlagzeug vor einem Mikrofon.</v>
      </c>
    </row>
    <row r="19231">
      <c r="A19231" s="4" t="s">
        <v>24201</v>
      </c>
      <c r="B19231" s="4" t="s">
        <v>24203</v>
      </c>
      <c r="C19231" s="5" t="str">
        <f>IFERROR(__xludf.DUMMYFUNCTION("GOOGLETRANSLATE(B19231,""en"",""de"")"),"Es gibt andere Trommeln zu seiner Linken.")</f>
        <v>Es gibt andere Trommeln zu seiner Linken.</v>
      </c>
    </row>
    <row r="19232">
      <c r="A19232" s="4" t="s">
        <v>24201</v>
      </c>
      <c r="B19232" s="4" t="s">
        <v>24204</v>
      </c>
      <c r="C19232" s="5" t="str">
        <f>IFERROR(__xludf.DUMMYFUNCTION("GOOGLETRANSLATE(B19232,""en"",""de"")"),"Zu seiner Rechten befindet sich eine grüne Tasche und ein Hut auf einem Tisch.")</f>
        <v>Zu seiner Rechten befindet sich eine grüne Tasche und ein Hut auf einem Tisch.</v>
      </c>
    </row>
    <row r="19233">
      <c r="A19233" s="4" t="s">
        <v>24205</v>
      </c>
      <c r="B19233" s="4" t="s">
        <v>24206</v>
      </c>
      <c r="C19233" s="5" t="str">
        <f>IFERROR(__xludf.DUMMYFUNCTION("GOOGLETRANSLATE(B19233,""en"",""de"")"),"Reinigungsmittel (und die Liste der Namen erscheinen auf dem Bildschirm) befinden sich auf einer Insel in einer Küche.")</f>
        <v>Reinigungsmittel (und die Liste der Namen erscheinen auf dem Bildschirm) befinden sich auf einer Insel in einer Küche.</v>
      </c>
    </row>
    <row r="19234">
      <c r="A19234" s="4" t="s">
        <v>24205</v>
      </c>
      <c r="B19234" s="4" t="s">
        <v>24207</v>
      </c>
      <c r="C19234" s="5" t="str">
        <f>IFERROR(__xludf.DUMMYFUNCTION("GOOGLETRANSLATE(B19234,""en"",""de"")"),"Eine Frau geht herein, greift nach den Vorräten, sprüht das Waschbecken und beginnt mit einem Schwamm zu schrubben.")</f>
        <v>Eine Frau geht herein, greift nach den Vorräten, sprüht das Waschbecken und beginnt mit einem Schwamm zu schrubben.</v>
      </c>
    </row>
    <row r="19235">
      <c r="A19235" s="4" t="s">
        <v>24205</v>
      </c>
      <c r="B19235" s="4" t="s">
        <v>24208</v>
      </c>
      <c r="C19235" s="5" t="str">
        <f>IFERROR(__xludf.DUMMYFUNCTION("GOOGLETRANSLATE(B19235,""en"",""de"")"),"Die Frau spült dann das Waschbecken mit der handgehaltenen Sprühgerät, bis alles sauber ist.")</f>
        <v>Die Frau spült dann das Waschbecken mit der handgehaltenen Sprühgerät, bis alles sauber ist.</v>
      </c>
    </row>
    <row r="19236">
      <c r="A19236" s="4" t="s">
        <v>24205</v>
      </c>
      <c r="B19236" s="4" t="s">
        <v>24209</v>
      </c>
      <c r="C19236" s="5" t="str">
        <f>IFERROR(__xludf.DUMMYFUNCTION("GOOGLETRANSLATE(B19236,""en"",""de"")"),"Das Reinigungsspray befindet sich am Rande des Zählers und des Textes auf dem Bildschirm darunter. Lesen Sie.")</f>
        <v>Das Reinigungsspray befindet sich am Rande des Zählers und des Textes auf dem Bildschirm darunter. Lesen Sie.</v>
      </c>
    </row>
    <row r="19237">
      <c r="A19237" s="4" t="s">
        <v>24210</v>
      </c>
      <c r="B19237" s="4" t="s">
        <v>24211</v>
      </c>
      <c r="C19237" s="5" t="str">
        <f>IFERROR(__xludf.DUMMYFUNCTION("GOOGLETRANSLATE(B19237,""en"",""de"")"),"Zwei Jungen spielen Kampfkunsttänze.")</f>
        <v>Zwei Jungen spielen Kampfkunsttänze.</v>
      </c>
    </row>
    <row r="19238">
      <c r="A19238" s="4" t="s">
        <v>24210</v>
      </c>
      <c r="B19238" s="4" t="s">
        <v>24212</v>
      </c>
      <c r="C19238" s="5" t="str">
        <f>IFERROR(__xludf.DUMMYFUNCTION("GOOGLETRANSLATE(B19238,""en"",""de"")"),"Eine Gruppe von Jungen um sie herum schaut weiter.")</f>
        <v>Eine Gruppe von Jungen um sie herum schaut weiter.</v>
      </c>
    </row>
    <row r="19239">
      <c r="A19239" s="4" t="s">
        <v>24210</v>
      </c>
      <c r="B19239" s="4" t="s">
        <v>24213</v>
      </c>
      <c r="C19239" s="5" t="str">
        <f>IFERROR(__xludf.DUMMYFUNCTION("GOOGLETRANSLATE(B19239,""en"",""de"")"),"Hinter den Aufführungen sitzt eine Gruppe von Männern, die Musik für die Aufführung spielen.")</f>
        <v>Hinter den Aufführungen sitzt eine Gruppe von Männern, die Musik für die Aufführung spielen.</v>
      </c>
    </row>
    <row r="19240">
      <c r="A19240" s="4" t="s">
        <v>24210</v>
      </c>
      <c r="B19240" s="4" t="s">
        <v>24214</v>
      </c>
      <c r="C19240" s="5" t="str">
        <f>IFERROR(__xludf.DUMMYFUNCTION("GOOGLETRANSLATE(B19240,""en"",""de"")"),"Die Darsteller kehren zu ihren Sitzen zurück.")</f>
        <v>Die Darsteller kehren zu ihren Sitzen zurück.</v>
      </c>
    </row>
    <row r="19241">
      <c r="A19241" s="4" t="s">
        <v>24215</v>
      </c>
      <c r="B19241" s="4" t="s">
        <v>24216</v>
      </c>
      <c r="C19241" s="5" t="str">
        <f>IFERROR(__xludf.DUMMYFUNCTION("GOOGLETRANSLATE(B19241,""en"",""de"")"),"Ein paar Kinder stehen auf einem Fußballfeld und ein Mädchen spricht.")</f>
        <v>Ein paar Kinder stehen auf einem Fußballfeld und ein Mädchen spricht.</v>
      </c>
    </row>
    <row r="19242">
      <c r="A19242" s="4" t="s">
        <v>24215</v>
      </c>
      <c r="B19242" s="4" t="s">
        <v>24217</v>
      </c>
      <c r="C19242" s="5" t="str">
        <f>IFERROR(__xludf.DUMMYFUNCTION("GOOGLETRANSLATE(B19242,""en"",""de"")"),"Das Mädchen ist bereit, einen roten Ball auf den Boden zu treten.")</f>
        <v>Das Mädchen ist bereit, einen roten Ball auf den Boden zu treten.</v>
      </c>
    </row>
    <row r="19243">
      <c r="A19243" s="4" t="s">
        <v>24215</v>
      </c>
      <c r="B19243" s="4" t="s">
        <v>24218</v>
      </c>
      <c r="C19243" s="5" t="str">
        <f>IFERROR(__xludf.DUMMYFUNCTION("GOOGLETRANSLATE(B19243,""en"",""de"")"),"Die junge Frau, die blaue Shorts und ein T-Shirt trägt, läuft und tritt in den Ball.")</f>
        <v>Die junge Frau, die blaue Shorts und ein T-Shirt trägt, läuft und tritt in den Ball.</v>
      </c>
    </row>
    <row r="19244">
      <c r="A19244" s="4" t="s">
        <v>24215</v>
      </c>
      <c r="B19244" s="4" t="s">
        <v>24219</v>
      </c>
      <c r="C19244" s="5" t="str">
        <f>IFERROR(__xludf.DUMMYFUNCTION("GOOGLETRANSLATE(B19244,""en"",""de"")"),"Das junge Mädchen rutscht in den ersten Wasserrutschen.")</f>
        <v>Das junge Mädchen rutscht in den ersten Wasserrutschen.</v>
      </c>
    </row>
    <row r="19245">
      <c r="A19245" s="4" t="s">
        <v>24215</v>
      </c>
      <c r="B19245" s="4" t="s">
        <v>24220</v>
      </c>
      <c r="C19245" s="5" t="str">
        <f>IFERROR(__xludf.DUMMYFUNCTION("GOOGLETRANSLATE(B19245,""en"",""de"")"),"Das Mädchen steht dann auf und rutscht dann in den zweiten Wasserrutschen.")</f>
        <v>Das Mädchen steht dann auf und rutscht dann in den zweiten Wasserrutschen.</v>
      </c>
    </row>
    <row r="19246">
      <c r="A19246" s="4" t="s">
        <v>24221</v>
      </c>
      <c r="B19246" s="4" t="s">
        <v>24222</v>
      </c>
      <c r="C19246" s="5" t="str">
        <f>IFERROR(__xludf.DUMMYFUNCTION("GOOGLETRANSLATE(B19246,""en"",""de"")"),"Ein Mann fängt einen Fisch aus einem Loch im Eis.")</f>
        <v>Ein Mann fängt einen Fisch aus einem Loch im Eis.</v>
      </c>
    </row>
    <row r="19247">
      <c r="A19247" s="4" t="s">
        <v>24221</v>
      </c>
      <c r="B19247" s="4" t="s">
        <v>24223</v>
      </c>
      <c r="C19247" s="5" t="str">
        <f>IFERROR(__xludf.DUMMYFUNCTION("GOOGLETRANSLATE(B19247,""en"",""de"")"),"Dann hält der Mann den Fisch, der sich auf dem Eis bewegt.")</f>
        <v>Dann hält der Mann den Fisch, der sich auf dem Eis bewegt.</v>
      </c>
    </row>
    <row r="19248">
      <c r="A19248" s="4" t="s">
        <v>24221</v>
      </c>
      <c r="B19248" s="4" t="s">
        <v>24224</v>
      </c>
      <c r="C19248" s="5" t="str">
        <f>IFERROR(__xludf.DUMMYFUNCTION("GOOGLETRANSLATE(B19248,""en"",""de"")"),"Danach legte der Mann eine Metallstange auf die Mündung des Fisches.")</f>
        <v>Danach legte der Mann eine Metallstange auf die Mündung des Fisches.</v>
      </c>
    </row>
    <row r="19249">
      <c r="A19249" s="4" t="s">
        <v>24225</v>
      </c>
      <c r="B19249" s="4" t="s">
        <v>24226</v>
      </c>
      <c r="C19249" s="5" t="str">
        <f>IFERROR(__xludf.DUMMYFUNCTION("GOOGLETRANSLATE(B19249,""en"",""de"")"),"Eine Person wirft Gips an eine Wand, während die Kamera der Person dicht dahinter folgt.")</f>
        <v>Eine Person wirft Gips an eine Wand, während die Kamera der Person dicht dahinter folgt.</v>
      </c>
    </row>
    <row r="19250">
      <c r="A19250" s="4" t="s">
        <v>24225</v>
      </c>
      <c r="B19250" s="4" t="s">
        <v>24227</v>
      </c>
      <c r="C19250" s="5" t="str">
        <f>IFERROR(__xludf.DUMMYFUNCTION("GOOGLETRANSLATE(B19250,""en"",""de"")"),"Die Person wirft nach und nach immer mehr an die Wand und die Kamerapfannen über das fertige Produkt.")</f>
        <v>Die Person wirft nach und nach immer mehr an die Wand und die Kamerapfannen über das fertige Produkt.</v>
      </c>
    </row>
    <row r="19251">
      <c r="A19251" s="4" t="s">
        <v>24228</v>
      </c>
      <c r="B19251" s="4" t="s">
        <v>24229</v>
      </c>
      <c r="C19251" s="5" t="str">
        <f>IFERROR(__xludf.DUMMYFUNCTION("GOOGLETRANSLATE(B19251,""en"",""de"")"),"Viele Menschen sind zu Beginn des Videos vorbei zu sehen.")</f>
        <v>Viele Menschen sind zu Beginn des Videos vorbei zu sehen.</v>
      </c>
    </row>
    <row r="19252">
      <c r="A19252" s="4" t="s">
        <v>24228</v>
      </c>
      <c r="B19252" s="4" t="s">
        <v>24230</v>
      </c>
      <c r="C19252" s="5" t="str">
        <f>IFERROR(__xludf.DUMMYFUNCTION("GOOGLETRANSLATE(B19252,""en"",""de"")"),"Dann werden verschiedene Leute gezeigt, wie sie Rampen hochfahren, um coole Tricks zu machen.")</f>
        <v>Dann werden verschiedene Leute gezeigt, wie sie Rampen hochfahren, um coole Tricks zu machen.</v>
      </c>
    </row>
    <row r="19253">
      <c r="A19253" s="4" t="s">
        <v>24231</v>
      </c>
      <c r="B19253" s="4" t="s">
        <v>24232</v>
      </c>
      <c r="C19253" s="5" t="str">
        <f>IFERROR(__xludf.DUMMYFUNCTION("GOOGLETRANSLATE(B19253,""en"",""de"")"),"Ein Baby isst Brot in einem Hochstuhl.")</f>
        <v>Ein Baby isst Brot in einem Hochstuhl.</v>
      </c>
    </row>
    <row r="19254">
      <c r="A19254" s="4" t="s">
        <v>24231</v>
      </c>
      <c r="B19254" s="4" t="s">
        <v>24233</v>
      </c>
      <c r="C19254" s="5" t="str">
        <f>IFERROR(__xludf.DUMMYFUNCTION("GOOGLETRANSLATE(B19254,""en"",""de"")"),"Eine Person steckt etwas in die Augen des Babys.")</f>
        <v>Eine Person steckt etwas in die Augen des Babys.</v>
      </c>
    </row>
    <row r="19255">
      <c r="A19255" s="4" t="s">
        <v>24231</v>
      </c>
      <c r="B19255" s="4" t="s">
        <v>24234</v>
      </c>
      <c r="C19255" s="5" t="str">
        <f>IFERROR(__xludf.DUMMYFUNCTION("GOOGLETRANSLATE(B19255,""en"",""de"")"),"Eine Person macht mit den Haaren des Babys.")</f>
        <v>Eine Person macht mit den Haaren des Babys.</v>
      </c>
    </row>
    <row r="19256">
      <c r="A19256" s="4" t="s">
        <v>24235</v>
      </c>
      <c r="B19256" s="4" t="s">
        <v>24236</v>
      </c>
      <c r="C19256" s="5" t="str">
        <f>IFERROR(__xludf.DUMMYFUNCTION("GOOGLETRANSLATE(B19256,""en"",""de"")"),"Ein kleiner Junge sitzt vor einem Desktop, als er mit einem Rubik -Würfel spielt.")</f>
        <v>Ein kleiner Junge sitzt vor einem Desktop, als er mit einem Rubik -Würfel spielt.</v>
      </c>
    </row>
    <row r="19257">
      <c r="A19257" s="4" t="s">
        <v>24235</v>
      </c>
      <c r="B19257" s="4" t="s">
        <v>24237</v>
      </c>
      <c r="C19257" s="5" t="str">
        <f>IFERROR(__xludf.DUMMYFUNCTION("GOOGLETRANSLATE(B19257,""en"",""de"")"),"Er beendet den Würfel und setzt ihn auf den Schreibtisch und stoppt schnell einen Timer.")</f>
        <v>Er beendet den Würfel und setzt ihn auf den Schreibtisch und stoppt schnell einen Timer.</v>
      </c>
    </row>
    <row r="19258">
      <c r="A19258" s="4" t="s">
        <v>24235</v>
      </c>
      <c r="B19258" s="4" t="s">
        <v>24238</v>
      </c>
      <c r="C19258" s="5" t="str">
        <f>IFERROR(__xludf.DUMMYFUNCTION("GOOGLETRANSLATE(B19258,""en"",""de"")"),"Er schnappt sich wieder den Würfel und beginnt ihn zu vervollständigen.")</f>
        <v>Er schnappt sich wieder den Würfel und beginnt ihn zu vervollständigen.</v>
      </c>
    </row>
    <row r="19259">
      <c r="A19259" s="4" t="s">
        <v>24235</v>
      </c>
      <c r="B19259" s="4" t="s">
        <v>24239</v>
      </c>
      <c r="C19259" s="5" t="str">
        <f>IFERROR(__xludf.DUMMYFUNCTION("GOOGLETRANSLATE(B19259,""en"",""de"")"),"Er endet wieder und beginnt ein weiteres Spiel des Würfels.")</f>
        <v>Er endet wieder und beginnt ein weiteres Spiel des Würfels.</v>
      </c>
    </row>
    <row r="19260">
      <c r="A19260" s="4" t="s">
        <v>24240</v>
      </c>
      <c r="B19260" s="4" t="s">
        <v>24241</v>
      </c>
      <c r="C19260" s="5" t="str">
        <f>IFERROR(__xludf.DUMMYFUNCTION("GOOGLETRANSLATE(B19260,""en"",""de"")"),"Ein Intro erscheint auf dem Bildschirm für einen Video, über den ein Mann, der die Rums spielen wird,.")</f>
        <v>Ein Intro erscheint auf dem Bildschirm für einen Video, über den ein Mann, der die Rums spielen wird,.</v>
      </c>
    </row>
    <row r="19261">
      <c r="A19261" s="4" t="s">
        <v>24240</v>
      </c>
      <c r="B19261" s="4" t="s">
        <v>24242</v>
      </c>
      <c r="C19261" s="5" t="str">
        <f>IFERROR(__xludf.DUMMYFUNCTION("GOOGLETRANSLATE(B19261,""en"",""de"")"),"Der Mann beginnt Schlagzeug zu spielen, während die Kamera ihn aufzeichnet.")</f>
        <v>Der Mann beginnt Schlagzeug zu spielen, während die Kamera ihn aufzeichnet.</v>
      </c>
    </row>
    <row r="19262">
      <c r="A19262" s="4" t="s">
        <v>24240</v>
      </c>
      <c r="B19262" s="4" t="s">
        <v>24243</v>
      </c>
      <c r="C19262" s="5" t="str">
        <f>IFERROR(__xludf.DUMMYFUNCTION("GOOGLETRANSLATE(B19262,""en"",""de"")"),"Er macht eine Pause und die Leute lachen und genießen die Musik.")</f>
        <v>Er macht eine Pause und die Leute lachen und genießen die Musik.</v>
      </c>
    </row>
    <row r="19263">
      <c r="A19263" s="4" t="s">
        <v>24240</v>
      </c>
      <c r="B19263" s="4" t="s">
        <v>24244</v>
      </c>
      <c r="C19263" s="5" t="str">
        <f>IFERROR(__xludf.DUMMYFUNCTION("GOOGLETRANSLATE(B19263,""en"",""de"")"),"Er macht wieder eine Pause und wartet auf eine Reaktion der Menge.")</f>
        <v>Er macht wieder eine Pause und wartet auf eine Reaktion der Menge.</v>
      </c>
    </row>
    <row r="19264">
      <c r="A19264" s="4" t="s">
        <v>24240</v>
      </c>
      <c r="B19264" s="4" t="s">
        <v>24245</v>
      </c>
      <c r="C19264" s="5" t="str">
        <f>IFERROR(__xludf.DUMMYFUNCTION("GOOGLETRANSLATE(B19264,""en"",""de"")"),"Die Kamera dreht sich um die Leute, die die Musik genießen.")</f>
        <v>Die Kamera dreht sich um die Leute, die die Musik genießen.</v>
      </c>
    </row>
    <row r="19265">
      <c r="A19265" s="4" t="s">
        <v>24240</v>
      </c>
      <c r="B19265" s="4" t="s">
        <v>4959</v>
      </c>
      <c r="C19265" s="5" t="str">
        <f>IFERROR(__xludf.DUMMYFUNCTION("GOOGLETRANSLATE(B19265,""en"",""de"")"),"Das Video endet mit den Schlussguthaben.")</f>
        <v>Das Video endet mit den Schlussguthaben.</v>
      </c>
    </row>
    <row r="19266">
      <c r="A19266" s="4" t="s">
        <v>24246</v>
      </c>
      <c r="B19266" s="4" t="s">
        <v>24247</v>
      </c>
      <c r="C19266" s="5" t="str">
        <f>IFERROR(__xludf.DUMMYFUNCTION("GOOGLETRANSLATE(B19266,""en"",""de"")"),"Eine Gruppe von Frauen trägt Volleyball -Teamuniformen, die in einem Indoor -Fitnessstudio stehen, und eine junge Frau, die eine Nummer 10 auf ihrem Hemd hat, hüpft den Volleyball und macht sich bereit zum Servieren.")</f>
        <v>Eine Gruppe von Frauen trägt Volleyball -Teamuniformen, die in einem Indoor -Fitnessstudio stehen, und eine junge Frau, die eine Nummer 10 auf ihrem Hemd hat, hüpft den Volleyball und macht sich bereit zum Servieren.</v>
      </c>
    </row>
    <row r="19267">
      <c r="A19267" s="4" t="s">
        <v>24246</v>
      </c>
      <c r="B19267" s="4" t="s">
        <v>24248</v>
      </c>
      <c r="C19267" s="5" t="str">
        <f>IFERROR(__xludf.DUMMYFUNCTION("GOOGLETRANSLATE(B19267,""en"",""de"")"),"Die Frau dient den Ball und es kommt zu einem Spiel, da alle Frauen den Ball in der Gegend behalten und ihn mehrmals über das Netz schlagen und versuchen, ihn in Grenzen zu halten.")</f>
        <v>Die Frau dient den Ball und es kommt zu einem Spiel, da alle Frauen den Ball in der Gegend behalten und ihn mehrmals über das Netz schlagen und versuchen, ihn in Grenzen zu halten.</v>
      </c>
    </row>
    <row r="19268">
      <c r="A19268" s="4" t="s">
        <v>24246</v>
      </c>
      <c r="B19268" s="4" t="s">
        <v>24249</v>
      </c>
      <c r="C19268" s="5" t="str">
        <f>IFERROR(__xludf.DUMMYFUNCTION("GOOGLETRANSLATE(B19268,""en"",""de"")"),"Dieselbe Frau, die dem Ball den Ball sehr hart serviert, vermisst das andere Team und ihre Teamkollegen jubeln.")</f>
        <v>Dieselbe Frau, die dem Ball den Ball sehr hart serviert, vermisst das andere Team und ihre Teamkollegen jubeln.</v>
      </c>
    </row>
    <row r="19269">
      <c r="A19269" s="4" t="s">
        <v>24246</v>
      </c>
      <c r="B19269" s="4" t="s">
        <v>24250</v>
      </c>
      <c r="C19269" s="5" t="str">
        <f>IFERROR(__xludf.DUMMYFUNCTION("GOOGLETRANSLATE(B19269,""en"",""de"")"),"Dieselbe Frau, die zuvor diente, dient dem Volleyball erneut und das andere Team verspannt schnell den Ball, der das gegnerische Teammitglied auf den Boden rollt, um den Ball vor dem Boden zu bewahren.")</f>
        <v>Dieselbe Frau, die zuvor diente, dient dem Volleyball erneut und das andere Team verspannt schnell den Ball, der das gegnerische Teammitglied auf den Boden rollt, um den Ball vor dem Boden zu bewahren.</v>
      </c>
    </row>
    <row r="19270">
      <c r="A19270" s="4" t="s">
        <v>24251</v>
      </c>
      <c r="B19270" s="4" t="s">
        <v>24252</v>
      </c>
      <c r="C19270" s="5" t="str">
        <f>IFERROR(__xludf.DUMMYFUNCTION("GOOGLETRANSLATE(B19270,""en"",""de"")"),"Ein Mann spricht mit der Kamera und führt in ihn ein Fenster.")</f>
        <v>Ein Mann spricht mit der Kamera und führt in ihn ein Fenster.</v>
      </c>
    </row>
    <row r="19271">
      <c r="A19271" s="4" t="s">
        <v>24251</v>
      </c>
      <c r="B19271" s="4" t="s">
        <v>24253</v>
      </c>
      <c r="C19271" s="5" t="str">
        <f>IFERROR(__xludf.DUMMYFUNCTION("GOOGLETRANSLATE(B19271,""en"",""de"")"),"Er streift das Fenster mit sauberer und zeigt verschiedene Methoden, wie man einen Scheibenwischer richtig verwendet.")</f>
        <v>Er streift das Fenster mit sauberer und zeigt verschiedene Methoden, wie man einen Scheibenwischer richtig verwendet.</v>
      </c>
    </row>
    <row r="19272">
      <c r="A19272" s="4" t="s">
        <v>24251</v>
      </c>
      <c r="B19272" s="4" t="s">
        <v>24254</v>
      </c>
      <c r="C19272" s="5" t="str">
        <f>IFERROR(__xludf.DUMMYFUNCTION("GOOGLETRANSLATE(B19272,""en"",""de"")"),"Das Fenster ist am Ende alles sauber und er wird immer noch gesehen, wie er mit der Kamera spricht.")</f>
        <v>Das Fenster ist am Ende alles sauber und er wird immer noch gesehen, wie er mit der Kamera spricht.</v>
      </c>
    </row>
    <row r="19273">
      <c r="A19273" s="4" t="s">
        <v>24255</v>
      </c>
      <c r="B19273" s="4" t="s">
        <v>24256</v>
      </c>
      <c r="C19273" s="5" t="str">
        <f>IFERROR(__xludf.DUMMYFUNCTION("GOOGLETRANSLATE(B19273,""en"",""de"")"),"Mehrere Kanus werden angelegt, die in die Schüsse von Menschen in den Kanus führen.")</f>
        <v>Mehrere Kanus werden angelegt, die in die Schüsse von Menschen in den Kanus führen.</v>
      </c>
    </row>
    <row r="19274">
      <c r="A19274" s="4" t="s">
        <v>24255</v>
      </c>
      <c r="B19274" s="4" t="s">
        <v>24257</v>
      </c>
      <c r="C19274" s="5" t="str">
        <f>IFERROR(__xludf.DUMMYFUNCTION("GOOGLETRANSLATE(B19274,""en"",""de"")"),"Ein Mann spricht mit der Kamera und reitet mit einer anderen Frau in einem Kanu.")</f>
        <v>Ein Mann spricht mit der Kamera und reitet mit einer anderen Frau in einem Kanu.</v>
      </c>
    </row>
    <row r="19275">
      <c r="A19275" s="4" t="s">
        <v>24255</v>
      </c>
      <c r="B19275" s="4" t="s">
        <v>24258</v>
      </c>
      <c r="C19275" s="5" t="str">
        <f>IFERROR(__xludf.DUMMYFUNCTION("GOOGLETRANSLATE(B19275,""en"",""de"")"),"Weitere Menschen werden in Kanus den Fluss hinunter reiten, während der Mann weiter spricht.")</f>
        <v>Weitere Menschen werden in Kanus den Fluss hinunter reiten, während der Mann weiter spricht.</v>
      </c>
    </row>
    <row r="19276">
      <c r="A19276" s="4" t="s">
        <v>24259</v>
      </c>
      <c r="B19276" s="4" t="s">
        <v>24260</v>
      </c>
      <c r="C19276" s="5" t="str">
        <f>IFERROR(__xludf.DUMMYFUNCTION("GOOGLETRANSLATE(B19276,""en"",""de"")"),"Fit Jungs stehen auf einem Bleichmittel.")</f>
        <v>Fit Jungs stehen auf einem Bleichmittel.</v>
      </c>
    </row>
    <row r="19277">
      <c r="A19277" s="4" t="s">
        <v>24259</v>
      </c>
      <c r="B19277" s="4" t="s">
        <v>24261</v>
      </c>
      <c r="C19277" s="5" t="str">
        <f>IFERROR(__xludf.DUMMYFUNCTION("GOOGLETRANSLATE(B19277,""en"",""de"")"),"Die Jungs spielen Strandfußball.")</f>
        <v>Die Jungs spielen Strandfußball.</v>
      </c>
    </row>
    <row r="19278">
      <c r="A19278" s="4" t="s">
        <v>24259</v>
      </c>
      <c r="B19278" s="4" t="s">
        <v>24262</v>
      </c>
      <c r="C19278" s="5" t="str">
        <f>IFERROR(__xludf.DUMMYFUNCTION("GOOGLETRANSLATE(B19278,""en"",""de"")"),"Ein Mann gibt ein Interview.")</f>
        <v>Ein Mann gibt ein Interview.</v>
      </c>
    </row>
    <row r="19279">
      <c r="A19279" s="4" t="s">
        <v>24259</v>
      </c>
      <c r="B19279" s="4" t="s">
        <v>24263</v>
      </c>
      <c r="C19279" s="5" t="str">
        <f>IFERROR(__xludf.DUMMYFUNCTION("GOOGLETRANSLATE(B19279,""en"",""de"")"),"Ein Spieler jongliert zwei Fußballbälle.")</f>
        <v>Ein Spieler jongliert zwei Fußballbälle.</v>
      </c>
    </row>
    <row r="19280">
      <c r="A19280" s="4" t="s">
        <v>24264</v>
      </c>
      <c r="B19280" s="4" t="s">
        <v>24265</v>
      </c>
      <c r="C19280" s="5" t="str">
        <f>IFERROR(__xludf.DUMMYFUNCTION("GOOGLETRANSLATE(B19280,""en"",""de"")"),"Ein Mädchen in einem gelben Hemd isst eine Eiskegel.")</f>
        <v>Ein Mädchen in einem gelben Hemd isst eine Eiskegel.</v>
      </c>
    </row>
    <row r="19281">
      <c r="A19281" s="4" t="s">
        <v>24264</v>
      </c>
      <c r="B19281" s="4" t="s">
        <v>24266</v>
      </c>
      <c r="C19281" s="5" t="str">
        <f>IFERROR(__xludf.DUMMYFUNCTION("GOOGLETRANSLATE(B19281,""en"",""de"")"),"Ein Junge in einem gestreiften Hemd sitzt gegenüber ihr und isst eine Eiskegel.")</f>
        <v>Ein Junge in einem gestreiften Hemd sitzt gegenüber ihr und isst eine Eiskegel.</v>
      </c>
    </row>
    <row r="19282">
      <c r="A19282" s="4" t="s">
        <v>24264</v>
      </c>
      <c r="B19282" s="4" t="s">
        <v>24267</v>
      </c>
      <c r="C19282" s="5" t="str">
        <f>IFERROR(__xludf.DUMMYFUNCTION("GOOGLETRANSLATE(B19282,""en"",""de"")"),"Ein Mann neben ihm schaut sie zurück.")</f>
        <v>Ein Mann neben ihm schaut sie zurück.</v>
      </c>
    </row>
    <row r="19283">
      <c r="A19283" s="4" t="s">
        <v>24268</v>
      </c>
      <c r="B19283" s="4" t="s">
        <v>24269</v>
      </c>
      <c r="C19283" s="5" t="str">
        <f>IFERROR(__xludf.DUMMYFUNCTION("GOOGLETRANSLATE(B19283,""en"",""de"")"),"Ein Mann dreht einen Ball an ein Seil.")</f>
        <v>Ein Mann dreht einen Ball an ein Seil.</v>
      </c>
    </row>
    <row r="19284">
      <c r="A19284" s="4" t="s">
        <v>24268</v>
      </c>
      <c r="B19284" s="4" t="s">
        <v>24270</v>
      </c>
      <c r="C19284" s="5" t="str">
        <f>IFERROR(__xludf.DUMMYFUNCTION("GOOGLETRANSLATE(B19284,""en"",""de"")"),"Der Typ veröffentlicht den Ball und den Seilbindung an den Bereich hinter ihm.")</f>
        <v>Der Typ veröffentlicht den Ball und den Seilbindung an den Bereich hinter ihm.</v>
      </c>
    </row>
    <row r="19285">
      <c r="A19285" s="4" t="s">
        <v>24268</v>
      </c>
      <c r="B19285" s="4" t="s">
        <v>24271</v>
      </c>
      <c r="C19285" s="5" t="str">
        <f>IFERROR(__xludf.DUMMYFUNCTION("GOOGLETRANSLATE(B19285,""en"",""de"")"),"Der Typ dreht den Ball an einem Seil und fällt zu Boden.")</f>
        <v>Der Typ dreht den Ball an einem Seil und fällt zu Boden.</v>
      </c>
    </row>
    <row r="19286">
      <c r="A19286" s="4" t="s">
        <v>24272</v>
      </c>
      <c r="B19286" s="4" t="s">
        <v>24273</v>
      </c>
      <c r="C19286" s="5" t="str">
        <f>IFERROR(__xludf.DUMMYFUNCTION("GOOGLETRANSLATE(B19286,""en"",""de"")"),"Ein Mann in weißem Hemd und weißer Lebensbestand sitzt in einem einzigen orangefarbenen Floß.")</f>
        <v>Ein Mann in weißem Hemd und weißer Lebensbestand sitzt in einem einzigen orangefarbenen Floß.</v>
      </c>
    </row>
    <row r="19287">
      <c r="A19287" s="4" t="s">
        <v>24272</v>
      </c>
      <c r="B19287" s="4" t="s">
        <v>24274</v>
      </c>
      <c r="C19287" s="5" t="str">
        <f>IFERROR(__xludf.DUMMYFUNCTION("GOOGLETRANSLATE(B19287,""en"",""de"")"),"Der Mann in einem Floß geht gegen die Wasserwellen, er paddelt und das Floß dreht sich im Kreis.")</f>
        <v>Der Mann in einem Floß geht gegen die Wasserwellen, er paddelt und das Floß dreht sich im Kreis.</v>
      </c>
    </row>
    <row r="19288">
      <c r="A19288" s="4" t="s">
        <v>24275</v>
      </c>
      <c r="B19288" s="4" t="s">
        <v>24276</v>
      </c>
      <c r="C19288" s="5" t="str">
        <f>IFERROR(__xludf.DUMMYFUNCTION("GOOGLETRANSLATE(B19288,""en"",""de"")"),"Ein leerer Raum wird mit gelber Fliesen gezeigt.")</f>
        <v>Ein leerer Raum wird mit gelber Fliesen gezeigt.</v>
      </c>
    </row>
    <row r="19289">
      <c r="A19289" s="4" t="s">
        <v>24275</v>
      </c>
      <c r="B19289" s="4" t="s">
        <v>24277</v>
      </c>
      <c r="C19289" s="5" t="str">
        <f>IFERROR(__xludf.DUMMYFUNCTION("GOOGLETRANSLATE(B19289,""en"",""de"")"),"Ein Mann in einem weißen Hemd malt eine Wand.")</f>
        <v>Ein Mann in einem weißen Hemd malt eine Wand.</v>
      </c>
    </row>
    <row r="19290">
      <c r="A19290" s="4" t="s">
        <v>24275</v>
      </c>
      <c r="B19290" s="4" t="s">
        <v>24278</v>
      </c>
      <c r="C19290" s="5" t="str">
        <f>IFERROR(__xludf.DUMMYFUNCTION("GOOGLETRANSLATE(B19290,""en"",""de"")"),"Er dreht sich um und schaut in die Kamera.")</f>
        <v>Er dreht sich um und schaut in die Kamera.</v>
      </c>
    </row>
    <row r="19291">
      <c r="A19291" s="4" t="s">
        <v>24279</v>
      </c>
      <c r="B19291" s="4" t="s">
        <v>24280</v>
      </c>
      <c r="C19291" s="5" t="str">
        <f>IFERROR(__xludf.DUMMYFUNCTION("GOOGLETRANSLATE(B19291,""en"",""de"")"),"Wir sehen eine Reihe von Titelbildschirmen.")</f>
        <v>Wir sehen eine Reihe von Titelbildschirmen.</v>
      </c>
    </row>
    <row r="19292">
      <c r="A19292" s="4" t="s">
        <v>24279</v>
      </c>
      <c r="B19292" s="4" t="s">
        <v>24281</v>
      </c>
      <c r="C19292" s="5" t="str">
        <f>IFERROR(__xludf.DUMMYFUNCTION("GOOGLETRANSLATE(B19292,""en"",""de"")"),"Wir sehen dann ein Badminton -Match.")</f>
        <v>Wir sehen dann ein Badminton -Match.</v>
      </c>
    </row>
    <row r="19293">
      <c r="A19293" s="4" t="s">
        <v>24279</v>
      </c>
      <c r="B19293" s="4" t="s">
        <v>24282</v>
      </c>
      <c r="C19293" s="5" t="str">
        <f>IFERROR(__xludf.DUMMYFUNCTION("GOOGLETRANSLATE(B19293,""en"",""de"")"),"Wir sehen eine Illustration von Badminton.")</f>
        <v>Wir sehen eine Illustration von Badminton.</v>
      </c>
    </row>
    <row r="19294">
      <c r="A19294" s="4" t="s">
        <v>24279</v>
      </c>
      <c r="B19294" s="4" t="s">
        <v>24283</v>
      </c>
      <c r="C19294" s="5" t="str">
        <f>IFERROR(__xludf.DUMMYFUNCTION("GOOGLETRANSLATE(B19294,""en"",""de"")"),"Wir sehen dann eine Dame und einen Mann im Inneren.")</f>
        <v>Wir sehen dann eine Dame und einen Mann im Inneren.</v>
      </c>
    </row>
    <row r="19295">
      <c r="A19295" s="4" t="s">
        <v>24279</v>
      </c>
      <c r="B19295" s="4" t="s">
        <v>24284</v>
      </c>
      <c r="C19295" s="5" t="str">
        <f>IFERROR(__xludf.DUMMYFUNCTION("GOOGLETRANSLATE(B19295,""en"",""de"")"),"Wir sehen Animationen, wie der Mann den Ball trifft.")</f>
        <v>Wir sehen Animationen, wie der Mann den Ball trifft.</v>
      </c>
    </row>
    <row r="19296">
      <c r="A19296" s="4" t="s">
        <v>24279</v>
      </c>
      <c r="B19296" s="4" t="s">
        <v>24285</v>
      </c>
      <c r="C19296" s="5" t="str">
        <f>IFERROR(__xludf.DUMMYFUNCTION("GOOGLETRANSLATE(B19296,""en"",""de"")"),"Wir sehen eine Illustration des Mannes.")</f>
        <v>Wir sehen eine Illustration des Mannes.</v>
      </c>
    </row>
    <row r="19297">
      <c r="A19297" s="4" t="s">
        <v>24279</v>
      </c>
      <c r="B19297" s="4" t="s">
        <v>4452</v>
      </c>
      <c r="C19297" s="5" t="str">
        <f>IFERROR(__xludf.DUMMYFUNCTION("GOOGLETRANSLATE(B19297,""en"",""de"")"),"Wir sehen dann den Endbildschirm.")</f>
        <v>Wir sehen dann den Endbildschirm.</v>
      </c>
    </row>
    <row r="19298">
      <c r="A19298" s="4" t="s">
        <v>24279</v>
      </c>
      <c r="B19298" s="4" t="s">
        <v>24286</v>
      </c>
      <c r="C19298" s="5" t="str">
        <f>IFERROR(__xludf.DUMMYFUNCTION("GOOGLETRANSLATE(B19298,""en"",""de"")"),"Ein Mann spricht in einem grünen Raum.")</f>
        <v>Ein Mann spricht in einem grünen Raum.</v>
      </c>
    </row>
    <row r="19299">
      <c r="A19299" s="4" t="s">
        <v>24287</v>
      </c>
      <c r="B19299" s="4" t="s">
        <v>24288</v>
      </c>
      <c r="C19299" s="5" t="str">
        <f>IFERROR(__xludf.DUMMYFUNCTION("GOOGLETRANSLATE(B19299,""en"",""de"")"),"Zwei Leute spielen einen Fooseball -Tisch und jubeln miteinander.")</f>
        <v>Zwei Leute spielen einen Fooseball -Tisch und jubeln miteinander.</v>
      </c>
    </row>
    <row r="19300">
      <c r="A19300" s="4" t="s">
        <v>24287</v>
      </c>
      <c r="B19300" s="4" t="s">
        <v>24289</v>
      </c>
      <c r="C19300" s="5" t="str">
        <f>IFERROR(__xludf.DUMMYFUNCTION("GOOGLETRANSLATE(B19300,""en"",""de"")"),"Die Leute spielen weiter und pausieren, um mit einem Handschlag zu jubeln.")</f>
        <v>Die Leute spielen weiter und pausieren, um mit einem Handschlag zu jubeln.</v>
      </c>
    </row>
    <row r="19301">
      <c r="A19301" s="4" t="s">
        <v>24290</v>
      </c>
      <c r="B19301" s="4" t="s">
        <v>24291</v>
      </c>
      <c r="C19301" s="5" t="str">
        <f>IFERROR(__xludf.DUMMYFUNCTION("GOOGLETRANSLATE(B19301,""en"",""de"")"),"Ein grüner Pinselhalter wird gezeigt.")</f>
        <v>Ein grüner Pinselhalter wird gezeigt.</v>
      </c>
    </row>
    <row r="19302">
      <c r="A19302" s="4" t="s">
        <v>24290</v>
      </c>
      <c r="B19302" s="4" t="s">
        <v>24292</v>
      </c>
      <c r="C19302" s="5" t="str">
        <f>IFERROR(__xludf.DUMMYFUNCTION("GOOGLETRANSLATE(B19302,""en"",""de"")"),"Der Pinsel des Pinsels wird am Finger einer Person gezeigt.")</f>
        <v>Der Pinsel des Pinsels wird am Finger einer Person gezeigt.</v>
      </c>
    </row>
    <row r="19303">
      <c r="A19303" s="4" t="s">
        <v>24290</v>
      </c>
      <c r="B19303" s="4" t="s">
        <v>24293</v>
      </c>
      <c r="C19303" s="5" t="str">
        <f>IFERROR(__xludf.DUMMYFUNCTION("GOOGLETRANSLATE(B19303,""en"",""de"")"),"Sie malen mit dem Pinsel.")</f>
        <v>Sie malen mit dem Pinsel.</v>
      </c>
    </row>
    <row r="19304">
      <c r="A19304" s="4" t="s">
        <v>24290</v>
      </c>
      <c r="B19304" s="4" t="s">
        <v>24294</v>
      </c>
      <c r="C19304" s="5" t="str">
        <f>IFERROR(__xludf.DUMMYFUNCTION("GOOGLETRANSLATE(B19304,""en"",""de"")"),"Sie fallen mit einem Tropper dünner in die Farbe.")</f>
        <v>Sie fallen mit einem Tropper dünner in die Farbe.</v>
      </c>
    </row>
    <row r="19305">
      <c r="A19305" s="4" t="s">
        <v>24290</v>
      </c>
      <c r="B19305" s="4" t="s">
        <v>24295</v>
      </c>
      <c r="C19305" s="5" t="str">
        <f>IFERROR(__xludf.DUMMYFUNCTION("GOOGLETRANSLATE(B19305,""en"",""de"")"),"Auf dem Tisch sitzt ein Modellflugzeug.")</f>
        <v>Auf dem Tisch sitzt ein Modellflugzeug.</v>
      </c>
    </row>
    <row r="19306">
      <c r="A19306" s="4" t="s">
        <v>24290</v>
      </c>
      <c r="B19306" s="4" t="s">
        <v>24296</v>
      </c>
      <c r="C19306" s="5" t="str">
        <f>IFERROR(__xludf.DUMMYFUNCTION("GOOGLETRANSLATE(B19306,""en"",""de"")"),"Das Flugzeug wird eine goldene Farbe gestrichen.")</f>
        <v>Das Flugzeug wird eine goldene Farbe gestrichen.</v>
      </c>
    </row>
    <row r="19307">
      <c r="A19307" s="4" t="s">
        <v>24290</v>
      </c>
      <c r="B19307" s="4" t="s">
        <v>24297</v>
      </c>
      <c r="C19307" s="5" t="str">
        <f>IFERROR(__xludf.DUMMYFUNCTION("GOOGLETRANSLATE(B19307,""en"",""de"")"),"Es wird ein grüner Pinsel gezeigt und sich umgedreht.")</f>
        <v>Es wird ein grüner Pinsel gezeigt und sich umgedreht.</v>
      </c>
    </row>
    <row r="19308">
      <c r="A19308" s="4" t="s">
        <v>24298</v>
      </c>
      <c r="B19308" s="4" t="s">
        <v>24299</v>
      </c>
      <c r="C19308" s="5" t="str">
        <f>IFERROR(__xludf.DUMMYFUNCTION("GOOGLETRANSLATE(B19308,""en"",""de"")"),"Eine Person wird gesehen, wie er den Schnee entlang geht und einen Schlitten hinter sich zieht.")</f>
        <v>Eine Person wird gesehen, wie er den Schnee entlang geht und einen Schlitten hinter sich zieht.</v>
      </c>
    </row>
    <row r="19309">
      <c r="A19309" s="4" t="s">
        <v>24298</v>
      </c>
      <c r="B19309" s="4" t="s">
        <v>24300</v>
      </c>
      <c r="C19309" s="5" t="str">
        <f>IFERROR(__xludf.DUMMYFUNCTION("GOOGLETRANSLATE(B19309,""en"",""de"")"),"Die Person schneidet ein Loch sowohl im Eis als auch im Köder und fängt schließlich einen Fisch.")</f>
        <v>Die Person schneidet ein Loch sowohl im Eis als auch im Köder und fängt schließlich einen Fisch.</v>
      </c>
    </row>
    <row r="19310">
      <c r="A19310" s="4" t="s">
        <v>24298</v>
      </c>
      <c r="B19310" s="4" t="s">
        <v>24301</v>
      </c>
      <c r="C19310" s="5" t="str">
        <f>IFERROR(__xludf.DUMMYFUNCTION("GOOGLETRANSLATE(B19310,""en"",""de"")"),"Der Mann schneidet den Fisch, kocht ihn und sieht ihn dann isst und weggeht.")</f>
        <v>Der Mann schneidet den Fisch, kocht ihn und sieht ihn dann isst und weggeht.</v>
      </c>
    </row>
    <row r="19311">
      <c r="A19311" s="4" t="s">
        <v>24302</v>
      </c>
      <c r="B19311" s="4" t="s">
        <v>24303</v>
      </c>
      <c r="C19311" s="5" t="str">
        <f>IFERROR(__xludf.DUMMYFUNCTION("GOOGLETRANSLATE(B19311,""en"",""de"")"),"Eine Dame wäscht einen kleinen Hund in einem Waschbecken.")</f>
        <v>Eine Dame wäscht einen kleinen Hund in einem Waschbecken.</v>
      </c>
    </row>
    <row r="19312">
      <c r="A19312" s="4" t="s">
        <v>24302</v>
      </c>
      <c r="B19312" s="4" t="s">
        <v>24304</v>
      </c>
      <c r="C19312" s="5" t="str">
        <f>IFERROR(__xludf.DUMMYFUNCTION("GOOGLETRANSLATE(B19312,""en"",""de"")"),"Die Dame legt Shampoo auf den Hund.")</f>
        <v>Die Dame legt Shampoo auf den Hund.</v>
      </c>
    </row>
    <row r="19313">
      <c r="A19313" s="4" t="s">
        <v>24302</v>
      </c>
      <c r="B19313" s="4" t="s">
        <v>24305</v>
      </c>
      <c r="C19313" s="5" t="str">
        <f>IFERROR(__xludf.DUMMYFUNCTION("GOOGLETRANSLATE(B19313,""en"",""de"")"),"Die Dame nimmt den Hund wieder auf.")</f>
        <v>Die Dame nimmt den Hund wieder auf.</v>
      </c>
    </row>
    <row r="19314">
      <c r="A19314" s="4" t="s">
        <v>24302</v>
      </c>
      <c r="B19314" s="4" t="s">
        <v>24306</v>
      </c>
      <c r="C19314" s="5" t="str">
        <f>IFERROR(__xludf.DUMMYFUNCTION("GOOGLETRANSLATE(B19314,""en"",""de"")"),"Die Dame nimmt den Hund an einen Tisch und stand ihn auf.")</f>
        <v>Die Dame nimmt den Hund an einen Tisch und stand ihn auf.</v>
      </c>
    </row>
    <row r="19315">
      <c r="A19315" s="4" t="s">
        <v>24302</v>
      </c>
      <c r="B19315" s="4" t="s">
        <v>24307</v>
      </c>
      <c r="C19315" s="5" t="str">
        <f>IFERROR(__xludf.DUMMYFUNCTION("GOOGLETRANSLATE(B19315,""en"",""de"")"),"Sie drapiert den Hund über ein aufgerolltes Handtuch.")</f>
        <v>Sie drapiert den Hund über ein aufgerolltes Handtuch.</v>
      </c>
    </row>
    <row r="19316">
      <c r="A19316" s="4" t="s">
        <v>24302</v>
      </c>
      <c r="B19316" s="4" t="s">
        <v>24308</v>
      </c>
      <c r="C19316" s="5" t="str">
        <f>IFERROR(__xludf.DUMMYFUNCTION("GOOGLETRANSLATE(B19316,""en"",""de"")"),"Sie nimmt dann den Hund auf.")</f>
        <v>Sie nimmt dann den Hund auf.</v>
      </c>
    </row>
    <row r="19317">
      <c r="A19317" s="4" t="s">
        <v>24309</v>
      </c>
      <c r="B19317" s="4" t="s">
        <v>24310</v>
      </c>
      <c r="C19317" s="5" t="str">
        <f>IFERROR(__xludf.DUMMYFUNCTION("GOOGLETRANSLATE(B19317,""en"",""de"")"),"Ein Mann spricht mit der Kamera, die verschiedene Objekte hält und in ihn übergeht, den Rand eines Rasens.")</f>
        <v>Ein Mann spricht mit der Kamera, die verschiedene Objekte hält und in ihn übergeht, den Rand eines Rasens.</v>
      </c>
    </row>
    <row r="19318">
      <c r="A19318" s="4" t="s">
        <v>24309</v>
      </c>
      <c r="B19318" s="4" t="s">
        <v>24311</v>
      </c>
      <c r="C19318" s="5" t="str">
        <f>IFERROR(__xludf.DUMMYFUNCTION("GOOGLETRANSLATE(B19318,""en"",""de"")"),"Anschließend wird ihm Rasenflächen und Trimmhecken gezeigt, während er mit der Kamera spricht und Blätter aus einem Hof ​​blasen.")</f>
        <v>Anschließend wird ihm Rasenflächen und Trimmhecken gezeigt, während er mit der Kamera spricht und Blätter aus einem Hof ​​blasen.</v>
      </c>
    </row>
    <row r="19319">
      <c r="A19319" s="4" t="s">
        <v>24312</v>
      </c>
      <c r="B19319" s="4" t="s">
        <v>24313</v>
      </c>
      <c r="C19319" s="5" t="str">
        <f>IFERROR(__xludf.DUMMYFUNCTION("GOOGLETRANSLATE(B19319,""en"",""de"")"),"Zwei Teams spielen ein Spiel mit Indoor -Feldhockey.")</f>
        <v>Zwei Teams spielen ein Spiel mit Indoor -Feldhockey.</v>
      </c>
    </row>
    <row r="19320">
      <c r="A19320" s="4" t="s">
        <v>24312</v>
      </c>
      <c r="B19320" s="4" t="s">
        <v>24314</v>
      </c>
      <c r="C19320" s="5" t="str">
        <f>IFERROR(__xludf.DUMMYFUNCTION("GOOGLETRANSLATE(B19320,""en"",""de"")"),"Teams machen einen Torpfleger, der blockiert ist.")</f>
        <v>Teams machen einen Torpfleger, der blockiert ist.</v>
      </c>
    </row>
    <row r="19321">
      <c r="A19321" s="4" t="s">
        <v>24312</v>
      </c>
      <c r="B19321" s="4" t="s">
        <v>24315</v>
      </c>
      <c r="C19321" s="5" t="str">
        <f>IFERROR(__xludf.DUMMYFUNCTION("GOOGLETRANSLATE(B19321,""en"",""de"")"),"Der Schiedsrichter beginnt und stoppt das Spiel.")</f>
        <v>Der Schiedsrichter beginnt und stoppt das Spiel.</v>
      </c>
    </row>
    <row r="19322">
      <c r="A19322" s="4" t="s">
        <v>24316</v>
      </c>
      <c r="B19322" s="4" t="s">
        <v>24317</v>
      </c>
      <c r="C19322" s="5" t="str">
        <f>IFERROR(__xludf.DUMMYFUNCTION("GOOGLETRANSLATE(B19322,""en"",""de"")"),"Es wird eine schneebedeckte Bergkette gezeigt und die Menschen machen Snowboarden.")</f>
        <v>Es wird eine schneebedeckte Bergkette gezeigt und die Menschen machen Snowboarden.</v>
      </c>
    </row>
    <row r="19323">
      <c r="A19323" s="4" t="s">
        <v>24316</v>
      </c>
      <c r="B19323" s="4" t="s">
        <v>24318</v>
      </c>
      <c r="C19323" s="5" t="str">
        <f>IFERROR(__xludf.DUMMYFUNCTION("GOOGLETRANSLATE(B19323,""en"",""de"")"),"Der Hubschrauber liegt in der Luftlandung in einem Berg und lässt die Menschen auf der Spitze des Berges.")</f>
        <v>Der Hubschrauber liegt in der Luftlandung in einem Berg und lässt die Menschen auf der Spitze des Berges.</v>
      </c>
    </row>
    <row r="19324">
      <c r="A19324" s="4" t="s">
        <v>24316</v>
      </c>
      <c r="B19324" s="4" t="s">
        <v>24319</v>
      </c>
      <c r="C19324" s="5" t="str">
        <f>IFERROR(__xludf.DUMMYFUNCTION("GOOGLETRANSLATE(B19324,""en"",""de"")"),"Die Leute sind im Hubschrauber, der zwischen ihnen redet.")</f>
        <v>Die Leute sind im Hubschrauber, der zwischen ihnen redet.</v>
      </c>
    </row>
    <row r="19325">
      <c r="A19325" s="4" t="s">
        <v>24316</v>
      </c>
      <c r="B19325" s="4" t="s">
        <v>24320</v>
      </c>
      <c r="C19325" s="5" t="str">
        <f>IFERROR(__xludf.DUMMYFUNCTION("GOOGLETRANSLATE(B19325,""en"",""de"")"),"Die Leute gehen das Neigung des Hangs Snowboarden im Berg hinunter.")</f>
        <v>Die Leute gehen das Neigung des Hangs Snowboarden im Berg hinunter.</v>
      </c>
    </row>
    <row r="19326">
      <c r="A19326" s="4" t="s">
        <v>24316</v>
      </c>
      <c r="B19326" s="4" t="s">
        <v>24321</v>
      </c>
      <c r="C19326" s="5" t="str">
        <f>IFERROR(__xludf.DUMMYFUNCTION("GOOGLETRANSLATE(B19326,""en"",""de"")"),"Peolpe im Hubschrauber redet und setzt die Winterkleidung und spricht mit der Kamera.")</f>
        <v>Peolpe im Hubschrauber redet und setzt die Winterkleidung und spricht mit der Kamera.</v>
      </c>
    </row>
    <row r="19327">
      <c r="A19327" s="4" t="s">
        <v>24322</v>
      </c>
      <c r="B19327" s="4" t="s">
        <v>24323</v>
      </c>
      <c r="C19327" s="5" t="str">
        <f>IFERROR(__xludf.DUMMYFUNCTION("GOOGLETRANSLATE(B19327,""en"",""de"")"),"Szenen von Frauen, die verschiedene Methoden verwenden, um ihr Haar zu kräuseln, werden gezeigt.")</f>
        <v>Szenen von Frauen, die verschiedene Methoden verwenden, um ihr Haar zu kräuseln, werden gezeigt.</v>
      </c>
    </row>
    <row r="19328">
      <c r="A19328" s="4" t="s">
        <v>24322</v>
      </c>
      <c r="B19328" s="4" t="s">
        <v>24324</v>
      </c>
      <c r="C19328" s="5" t="str">
        <f>IFERROR(__xludf.DUMMYFUNCTION("GOOGLETRANSLATE(B19328,""en"",""de"")"),"Eine Computergrafiksequenz zeigt die Funktionalität eines bestimmten Geräts.")</f>
        <v>Eine Computergrafiksequenz zeigt die Funktionalität eines bestimmten Geräts.</v>
      </c>
    </row>
    <row r="19329">
      <c r="A19329" s="4" t="s">
        <v>24322</v>
      </c>
      <c r="B19329" s="4" t="s">
        <v>24325</v>
      </c>
      <c r="C19329" s="5" t="str">
        <f>IFERROR(__xludf.DUMMYFUNCTION("GOOGLETRANSLATE(B19329,""en"",""de"")"),"Mehrere Frauen zeigen ihr gekräuseltes Haar.")</f>
        <v>Mehrere Frauen zeigen ihr gekräuseltes Haar.</v>
      </c>
    </row>
    <row r="19330">
      <c r="A19330" s="4" t="s">
        <v>24322</v>
      </c>
      <c r="B19330" s="4" t="s">
        <v>24326</v>
      </c>
      <c r="C19330" s="5" t="str">
        <f>IFERROR(__xludf.DUMMYFUNCTION("GOOGLETRANSLATE(B19330,""en"",""de"")"),"Das Curling -Produkt wird erneut von mehreren Frauen demonstriert.")</f>
        <v>Das Curling -Produkt wird erneut von mehreren Frauen demonstriert.</v>
      </c>
    </row>
    <row r="19331">
      <c r="A19331" s="4" t="s">
        <v>24322</v>
      </c>
      <c r="B19331" s="4" t="s">
        <v>24327</v>
      </c>
      <c r="C19331" s="5" t="str">
        <f>IFERROR(__xludf.DUMMYFUNCTION("GOOGLETRANSLATE(B19331,""en"",""de"")"),"Die vor und nach den Bildern einer Frau werden gezeigt.")</f>
        <v>Die vor und nach den Bildern einer Frau werden gezeigt.</v>
      </c>
    </row>
    <row r="19332">
      <c r="A19332" s="4" t="s">
        <v>24328</v>
      </c>
      <c r="B19332" s="4" t="s">
        <v>24329</v>
      </c>
      <c r="C19332" s="5" t="str">
        <f>IFERROR(__xludf.DUMMYFUNCTION("GOOGLETRANSLATE(B19332,""en"",""de"")"),"Ein Mann in einem grünen Hemd wirft eine Scheibe auf ein Feld.")</f>
        <v>Ein Mann in einem grünen Hemd wirft eine Scheibe auf ein Feld.</v>
      </c>
    </row>
    <row r="19333">
      <c r="A19333" s="4" t="s">
        <v>24328</v>
      </c>
      <c r="B19333" s="4" t="s">
        <v>24330</v>
      </c>
      <c r="C19333" s="5" t="str">
        <f>IFERROR(__xludf.DUMMYFUNCTION("GOOGLETRANSLATE(B19333,""en"",""de"")"),"Ein Mann in einem blauen Hemd wirft eine Scheibe auf das Feld.")</f>
        <v>Ein Mann in einem blauen Hemd wirft eine Scheibe auf das Feld.</v>
      </c>
    </row>
    <row r="19334">
      <c r="A19334" s="4" t="s">
        <v>24328</v>
      </c>
      <c r="B19334" s="4" t="s">
        <v>24331</v>
      </c>
      <c r="C19334" s="5" t="str">
        <f>IFERROR(__xludf.DUMMYFUNCTION("GOOGLETRANSLATE(B19334,""en"",""de"")"),"Ein Mann in einem lila Hemd wirft eine Scheibe auf das Feld.")</f>
        <v>Ein Mann in einem lila Hemd wirft eine Scheibe auf das Feld.</v>
      </c>
    </row>
    <row r="19335">
      <c r="A19335" s="4" t="s">
        <v>24332</v>
      </c>
      <c r="B19335" s="4" t="s">
        <v>24333</v>
      </c>
      <c r="C19335" s="5" t="str">
        <f>IFERROR(__xludf.DUMMYFUNCTION("GOOGLETRANSLATE(B19335,""en"",""de"")"),"Ein Mann arbeitet an einem Drachen.")</f>
        <v>Ein Mann arbeitet an einem Drachen.</v>
      </c>
    </row>
    <row r="19336">
      <c r="A19336" s="4" t="s">
        <v>24332</v>
      </c>
      <c r="B19336" s="4" t="s">
        <v>24334</v>
      </c>
      <c r="C19336" s="5" t="str">
        <f>IFERROR(__xludf.DUMMYFUNCTION("GOOGLETRANSLATE(B19336,""en"",""de"")"),"Ein anderer Mann, der ein Baby hält, hält die Spule des Kite hoch.")</f>
        <v>Ein anderer Mann, der ein Baby hält, hält die Spule des Kite hoch.</v>
      </c>
    </row>
    <row r="19337">
      <c r="A19337" s="4" t="s">
        <v>24332</v>
      </c>
      <c r="B19337" s="4" t="s">
        <v>24335</v>
      </c>
      <c r="C19337" s="5" t="str">
        <f>IFERROR(__xludf.DUMMYFUNCTION("GOOGLETRANSLATE(B19337,""en"",""de"")"),"Ein dritter Mann arbeitet an einem ähnlichen Drachen, während der zweite Mann eine Spule hält.")</f>
        <v>Ein dritter Mann arbeitet an einem ähnlichen Drachen, während der zweite Mann eine Spule hält.</v>
      </c>
    </row>
    <row r="19338">
      <c r="A19338" s="4" t="s">
        <v>24332</v>
      </c>
      <c r="B19338" s="4" t="s">
        <v>24336</v>
      </c>
      <c r="C19338" s="5" t="str">
        <f>IFERROR(__xludf.DUMMYFUNCTION("GOOGLETRANSLATE(B19338,""en"",""de"")"),"Die Männer fliegen die Drachen von einem Dach.")</f>
        <v>Die Männer fliegen die Drachen von einem Dach.</v>
      </c>
    </row>
    <row r="19339">
      <c r="A19339" s="4" t="s">
        <v>24332</v>
      </c>
      <c r="B19339" s="4" t="s">
        <v>24337</v>
      </c>
      <c r="C19339" s="5" t="str">
        <f>IFERROR(__xludf.DUMMYFUNCTION("GOOGLETRANSLATE(B19339,""en"",""de"")"),"Die Szene wechselt mit einem nicht identifizierten Licht in eine nächtliche Aussicht auf den Himmel.")</f>
        <v>Die Szene wechselt mit einem nicht identifizierten Licht in eine nächtliche Aussicht auf den Himmel.</v>
      </c>
    </row>
    <row r="19340">
      <c r="A19340" s="4" t="s">
        <v>24338</v>
      </c>
      <c r="B19340" s="4" t="s">
        <v>24339</v>
      </c>
      <c r="C19340" s="5" t="str">
        <f>IFERROR(__xludf.DUMMYFUNCTION("GOOGLETRANSLATE(B19340,""en"",""de"")"),"Ein Werbebildschirm erscheint momentan, wenn das Video beginnt.")</f>
        <v>Ein Werbebildschirm erscheint momentan, wenn das Video beginnt.</v>
      </c>
    </row>
    <row r="19341">
      <c r="A19341" s="4" t="s">
        <v>24338</v>
      </c>
      <c r="B19341" s="4" t="s">
        <v>24340</v>
      </c>
      <c r="C19341" s="5" t="str">
        <f>IFERROR(__xludf.DUMMYFUNCTION("GOOGLETRANSLATE(B19341,""en"",""de"")"),"Eine Gruppe von Männern wird gezeigt, der einen Ball in einem Stadion hin und her tritt.")</f>
        <v>Eine Gruppe von Männern wird gezeigt, der einen Ball in einem Stadion hin und her tritt.</v>
      </c>
    </row>
    <row r="19342">
      <c r="A19342" s="4" t="s">
        <v>24338</v>
      </c>
      <c r="B19342" s="4" t="s">
        <v>24341</v>
      </c>
      <c r="C19342" s="5" t="str">
        <f>IFERROR(__xludf.DUMMYFUNCTION("GOOGLETRANSLATE(B19342,""en"",""de"")"),"Die Männer laufen nach dem Ball und versuchen, ihn vom gegnerischen Team zu erobern.")</f>
        <v>Die Männer laufen nach dem Ball und versuchen, ihn vom gegnerischen Team zu erobern.</v>
      </c>
    </row>
    <row r="19343">
      <c r="A19343" s="4" t="s">
        <v>24338</v>
      </c>
      <c r="B19343" s="4" t="s">
        <v>24342</v>
      </c>
      <c r="C19343" s="5" t="str">
        <f>IFERROR(__xludf.DUMMYFUNCTION("GOOGLETRANSLATE(B19343,""en"",""de"")"),"Um einen bestimmten Spieler wird ein gelber Kreis gezeigt.")</f>
        <v>Um einen bestimmten Spieler wird ein gelber Kreis gezeigt.</v>
      </c>
    </row>
    <row r="19344">
      <c r="A19344" s="4" t="s">
        <v>24343</v>
      </c>
      <c r="B19344" s="4" t="s">
        <v>24344</v>
      </c>
      <c r="C19344" s="5" t="str">
        <f>IFERROR(__xludf.DUMMYFUNCTION("GOOGLETRANSLATE(B19344,""en"",""de"")"),"Eine Gruppe von Kindern steht herum und trägt Lebenswachen, während die Kamera um einen See schwenkt.")</f>
        <v>Eine Gruppe von Kindern steht herum und trägt Lebenswachen, während die Kamera um einen See schwenkt.</v>
      </c>
    </row>
    <row r="19345">
      <c r="A19345" s="4" t="s">
        <v>24343</v>
      </c>
      <c r="B19345" s="4" t="s">
        <v>24345</v>
      </c>
      <c r="C19345" s="5" t="str">
        <f>IFERROR(__xludf.DUMMYFUNCTION("GOOGLETRANSLATE(B19345,""en"",""de"")"),"Ein Mann sitzt in einem Boot und die Kamera schwenkt weiter in der Gegend.")</f>
        <v>Ein Mann sitzt in einem Boot und die Kamera schwenkt weiter in der Gegend.</v>
      </c>
    </row>
    <row r="19346">
      <c r="A19346" s="4" t="s">
        <v>24343</v>
      </c>
      <c r="B19346" s="4" t="s">
        <v>24346</v>
      </c>
      <c r="C19346" s="5" t="str">
        <f>IFERROR(__xludf.DUMMYFUNCTION("GOOGLETRANSLATE(B19346,""en"",""de"")"),"Die Kinder wandern in die Boote und beginnen den Fluss hinunter zu paddeln.")</f>
        <v>Die Kinder wandern in die Boote und beginnen den Fluss hinunter zu paddeln.</v>
      </c>
    </row>
    <row r="19347">
      <c r="A19347" s="4" t="s">
        <v>24343</v>
      </c>
      <c r="B19347" s="4" t="s">
        <v>24347</v>
      </c>
      <c r="C19347" s="5" t="str">
        <f>IFERROR(__xludf.DUMMYFUNCTION("GOOGLETRANSLATE(B19347,""en"",""de"")"),"Das Wasser wird wütender und die Kinder spritzen den Kameramann spielerisch.")</f>
        <v>Das Wasser wird wütender und die Kinder spritzen den Kameramann spielerisch.</v>
      </c>
    </row>
    <row r="19348">
      <c r="A19348" s="4" t="s">
        <v>24343</v>
      </c>
      <c r="B19348" s="4" t="s">
        <v>24348</v>
      </c>
      <c r="C19348" s="5" t="str">
        <f>IFERROR(__xludf.DUMMYFUNCTION("GOOGLETRANSLATE(B19348,""en"",""de"")"),"Die weiterhin die tückischen Wellen reiten, während die Kamera sie von weitem beobachtet.")</f>
        <v>Die weiterhin die tückischen Wellen reiten, während die Kamera sie von weitem beobachtet.</v>
      </c>
    </row>
    <row r="19349">
      <c r="A19349" s="4" t="s">
        <v>24349</v>
      </c>
      <c r="B19349" s="4" t="s">
        <v>24350</v>
      </c>
      <c r="C19349" s="5" t="str">
        <f>IFERROR(__xludf.DUMMYFUNCTION("GOOGLETRANSLATE(B19349,""en"",""de"")"),"Eine kleine Gruppe von Menschen schwimmt durch einen Pool, der einen Ball greift und ihn zurück und vierten wirft.")</f>
        <v>Eine kleine Gruppe von Menschen schwimmt durch einen Pool, der einen Ball greift und ihn zurück und vierten wirft.</v>
      </c>
    </row>
    <row r="19350">
      <c r="A19350" s="4" t="s">
        <v>24349</v>
      </c>
      <c r="B19350" s="4" t="s">
        <v>24351</v>
      </c>
      <c r="C19350" s="5" t="str">
        <f>IFERROR(__xludf.DUMMYFUNCTION("GOOGLETRANSLATE(B19350,""en"",""de"")"),"Die Leute spielen weiter miteinander und werfen den Ball herum.")</f>
        <v>Die Leute spielen weiter miteinander und werfen den Ball herum.</v>
      </c>
    </row>
    <row r="19351">
      <c r="A19351" s="4" t="s">
        <v>24352</v>
      </c>
      <c r="B19351" s="4" t="s">
        <v>24353</v>
      </c>
      <c r="C19351" s="5" t="str">
        <f>IFERROR(__xludf.DUMMYFUNCTION("GOOGLETRANSLATE(B19351,""en"",""de"")"),"Ein Mann und eine Frau sprechen in einem Raum.")</f>
        <v>Ein Mann und eine Frau sprechen in einem Raum.</v>
      </c>
    </row>
    <row r="19352">
      <c r="A19352" s="4" t="s">
        <v>24352</v>
      </c>
      <c r="B19352" s="4" t="s">
        <v>24354</v>
      </c>
      <c r="C19352" s="5" t="str">
        <f>IFERROR(__xludf.DUMMYFUNCTION("GOOGLETRANSLATE(B19352,""en"",""de"")"),"Eine Person fährt das Fahrrad die Straße hinunter.")</f>
        <v>Eine Person fährt das Fahrrad die Straße hinunter.</v>
      </c>
    </row>
    <row r="19353">
      <c r="A19353" s="4" t="s">
        <v>24352</v>
      </c>
      <c r="B19353" s="4" t="s">
        <v>24355</v>
      </c>
      <c r="C19353" s="5" t="str">
        <f>IFERROR(__xludf.DUMMYFUNCTION("GOOGLETRANSLATE(B19353,""en"",""de"")"),"Jemand fällt nach dem Fahrrad um.")</f>
        <v>Jemand fällt nach dem Fahrrad um.</v>
      </c>
    </row>
    <row r="19354">
      <c r="A19354" s="4" t="s">
        <v>24352</v>
      </c>
      <c r="B19354" s="4" t="s">
        <v>24356</v>
      </c>
      <c r="C19354" s="5" t="str">
        <f>IFERROR(__xludf.DUMMYFUNCTION("GOOGLETRANSLATE(B19354,""en"",""de"")"),"Der Mann und die Frau sprechen in einem Raum.")</f>
        <v>Der Mann und die Frau sprechen in einem Raum.</v>
      </c>
    </row>
    <row r="19355">
      <c r="A19355" s="4" t="s">
        <v>24352</v>
      </c>
      <c r="B19355" s="4" t="s">
        <v>24357</v>
      </c>
      <c r="C19355" s="5" t="str">
        <f>IFERROR(__xludf.DUMMYFUNCTION("GOOGLETRANSLATE(B19355,""en"",""de"")"),"Ein Fahrrad lehnt sich gegen einen Zaun.")</f>
        <v>Ein Fahrrad lehnt sich gegen einen Zaun.</v>
      </c>
    </row>
    <row r="19356">
      <c r="A19356" s="4" t="s">
        <v>24352</v>
      </c>
      <c r="B19356" s="4" t="s">
        <v>24358</v>
      </c>
      <c r="C19356" s="5" t="str">
        <f>IFERROR(__xludf.DUMMYFUNCTION("GOOGLETRANSLATE(B19356,""en"",""de"")"),"Ein Mann legt ein Schloss um den Reifen seines Fahrrads.")</f>
        <v>Ein Mann legt ein Schloss um den Reifen seines Fahrrads.</v>
      </c>
    </row>
    <row r="19357">
      <c r="A19357" s="4" t="s">
        <v>24359</v>
      </c>
      <c r="B19357" s="4" t="s">
        <v>24360</v>
      </c>
      <c r="C19357" s="5" t="str">
        <f>IFERROR(__xludf.DUMMYFUNCTION("GOOGLETRANSLATE(B19357,""en"",""de"")"),"Eine Aufnahme eines Sonnenuntergangssatzes wird gezeigt, gefolgt von Rauchen und Gehen durch eine Lackballgrube.")</f>
        <v>Eine Aufnahme eines Sonnenuntergangssatzes wird gezeigt, gefolgt von Rauchen und Gehen durch eine Lackballgrube.</v>
      </c>
    </row>
    <row r="19358">
      <c r="A19358" s="4" t="s">
        <v>24359</v>
      </c>
      <c r="B19358" s="4" t="s">
        <v>24361</v>
      </c>
      <c r="C19358" s="5" t="str">
        <f>IFERROR(__xludf.DUMMYFUNCTION("GOOGLETRANSLATE(B19358,""en"",""de"")"),"Die Männer sprechen miteinander und führen dazu, herumzulaufen und Farbball zu spielen.")</f>
        <v>Die Männer sprechen miteinander und führen dazu, herumzulaufen und Farbball zu spielen.</v>
      </c>
    </row>
    <row r="19359">
      <c r="A19359" s="4" t="s">
        <v>24359</v>
      </c>
      <c r="B19359" s="4" t="s">
        <v>24362</v>
      </c>
      <c r="C19359" s="5" t="str">
        <f>IFERROR(__xludf.DUMMYFUNCTION("GOOGLETRANSLATE(B19359,""en"",""de"")"),"Sie pausen für einige Momente, um miteinander zu sprechen, und die Kamera fängt die Schützen aus verschiedenen Blickwinkeln ein.")</f>
        <v>Sie pausen für einige Momente, um miteinander zu sprechen, und die Kamera fängt die Schützen aus verschiedenen Blickwinkeln ein.</v>
      </c>
    </row>
    <row r="19360">
      <c r="A19360" s="4" t="s">
        <v>24363</v>
      </c>
      <c r="B19360" s="4" t="s">
        <v>24364</v>
      </c>
      <c r="C19360" s="5" t="str">
        <f>IFERROR(__xludf.DUMMYFUNCTION("GOOGLETRANSLATE(B19360,""en"",""de"")"),"Ein kleines Kind legt sich auf einen Teppich, während die Kamera sie aufzeichnet.")</f>
        <v>Ein kleines Kind legt sich auf einen Teppich, während die Kamera sie aufzeichnet.</v>
      </c>
    </row>
    <row r="19361">
      <c r="A19361" s="4" t="s">
        <v>24363</v>
      </c>
      <c r="B19361" s="4" t="s">
        <v>24365</v>
      </c>
      <c r="C19361" s="5" t="str">
        <f>IFERROR(__xludf.DUMMYFUNCTION("GOOGLETRANSLATE(B19361,""en"",""de"")"),"Das Kind bedeckt dann ihre Augen mit ihren Händen und bewegt ihren Kopf auf und ab.")</f>
        <v>Das Kind bedeckt dann ihre Augen mit ihren Händen und bewegt ihren Kopf auf und ab.</v>
      </c>
    </row>
    <row r="19362">
      <c r="A19362" s="4" t="s">
        <v>24363</v>
      </c>
      <c r="B19362" s="4" t="s">
        <v>24366</v>
      </c>
      <c r="C19362" s="5" t="str">
        <f>IFERROR(__xludf.DUMMYFUNCTION("GOOGLETRANSLATE(B19362,""en"",""de"")"),"Schließlich lächeln sie am Ende zur Kamera.")</f>
        <v>Schließlich lächeln sie am Ende zur Kamera.</v>
      </c>
    </row>
    <row r="19363">
      <c r="A19363" s="4" t="s">
        <v>24367</v>
      </c>
      <c r="B19363" s="4" t="s">
        <v>24368</v>
      </c>
      <c r="C19363" s="5" t="str">
        <f>IFERROR(__xludf.DUMMYFUNCTION("GOOGLETRANSLATE(B19363,""en"",""de"")"),"Eine Nahaufnahme ist von Akkorden und Zahlen zu sehen, die neben der Spitze einer Gitarre scrollen.")</f>
        <v>Eine Nahaufnahme ist von Akkorden und Zahlen zu sehen, die neben der Spitze einer Gitarre scrollen.</v>
      </c>
    </row>
    <row r="19364">
      <c r="A19364" s="4" t="s">
        <v>24367</v>
      </c>
      <c r="B19364" s="4" t="s">
        <v>24369</v>
      </c>
      <c r="C19364" s="5" t="str">
        <f>IFERROR(__xludf.DUMMYFUNCTION("GOOGLETRANSLATE(B19364,""en"",""de"")"),"Es werden Anweisungen zum Spielen des Instruments gegeben.")</f>
        <v>Es werden Anweisungen zum Spielen des Instruments gegeben.</v>
      </c>
    </row>
    <row r="19365">
      <c r="A19365" s="4" t="s">
        <v>24367</v>
      </c>
      <c r="B19365" s="4" t="s">
        <v>24370</v>
      </c>
      <c r="C19365" s="5" t="str">
        <f>IFERROR(__xludf.DUMMYFUNCTION("GOOGLETRANSLATE(B19365,""en"",""de"")"),"Die Finger der Person bewegen sich auf und ab, wie sie gezeigt werden.")</f>
        <v>Die Finger der Person bewegen sich auf und ab, wie sie gezeigt werden.</v>
      </c>
    </row>
    <row r="19366">
      <c r="A19366" s="4" t="s">
        <v>24371</v>
      </c>
      <c r="B19366" s="4" t="s">
        <v>24372</v>
      </c>
      <c r="C19366" s="5" t="str">
        <f>IFERROR(__xludf.DUMMYFUNCTION("GOOGLETRANSLATE(B19366,""en"",""de"")"),"Der Mensch trägt Stöcke und macht hohe Sprünge über einem Müdchen auf einem Parkplatz.")</f>
        <v>Der Mensch trägt Stöcke und macht hohe Sprünge über einem Müdchen auf einem Parkplatz.</v>
      </c>
    </row>
    <row r="19367">
      <c r="A19367" s="4" t="s">
        <v>24371</v>
      </c>
      <c r="B19367" s="4" t="s">
        <v>24373</v>
      </c>
      <c r="C19367" s="5" t="str">
        <f>IFERROR(__xludf.DUMMYFUNCTION("GOOGLETRANSLATE(B19367,""en"",""de"")"),"Der Mensch macht hohe Sprünge in der Ront des Las Vegas -Schilds auf der Straße und über einer gesteinigten Mauer in der Straße.")</f>
        <v>Der Mensch macht hohe Sprünge in der Ront des Las Vegas -Schilds auf der Straße und über einer gesteinigten Mauer in der Straße.</v>
      </c>
    </row>
    <row r="19368">
      <c r="A19368" s="4" t="s">
        <v>24374</v>
      </c>
      <c r="B19368" s="4" t="s">
        <v>24375</v>
      </c>
      <c r="C19368" s="5" t="str">
        <f>IFERROR(__xludf.DUMMYFUNCTION("GOOGLETRANSLATE(B19368,""en"",""de"")"),"Zwei Teams werden auf einem Feld gezeigt und der Mann spielt Lacrosse und rennt direkt in den anderen Gegner.")</f>
        <v>Zwei Teams werden auf einem Feld gezeigt und der Mann spielt Lacrosse und rennt direkt in den anderen Gegner.</v>
      </c>
    </row>
    <row r="19369">
      <c r="A19369" s="4" t="s">
        <v>24374</v>
      </c>
      <c r="B19369" s="4" t="s">
        <v>24376</v>
      </c>
      <c r="C19369" s="5" t="str">
        <f>IFERROR(__xludf.DUMMYFUNCTION("GOOGLETRANSLATE(B19369,""en"",""de"")"),"Ein weiteres Spiel beginnt und diesmal wird eine andere Person darauf gerichtet, außer dass es duftender ist und die Person seit einiger Zeit verletzt ist.")</f>
        <v>Ein weiteres Spiel beginnt und diesmal wird eine andere Person darauf gerichtet, außer dass es duftender ist und die Person seit einiger Zeit verletzt ist.</v>
      </c>
    </row>
    <row r="19370">
      <c r="A19370" s="4" t="s">
        <v>24374</v>
      </c>
      <c r="B19370" s="4" t="s">
        <v>24377</v>
      </c>
      <c r="C19370" s="5" t="str">
        <f>IFERROR(__xludf.DUMMYFUNCTION("GOOGLETRANSLATE(B19370,""en"",""de"")"),"Nachdem er sich mit dem Schiedsrichter konsultiert und Hilfe gesucht hatte, steht der Mann endlich auf und der Rest des Spiels geht weiter.")</f>
        <v>Nachdem er sich mit dem Schiedsrichter konsultiert und Hilfe gesucht hatte, steht der Mann endlich auf und der Rest des Spiels geht weiter.</v>
      </c>
    </row>
    <row r="19371">
      <c r="A19371" s="4" t="s">
        <v>24378</v>
      </c>
      <c r="B19371" s="4" t="s">
        <v>24379</v>
      </c>
      <c r="C19371" s="5" t="str">
        <f>IFERROR(__xludf.DUMMYFUNCTION("GOOGLETRANSLATE(B19371,""en"",""de"")"),"Zwei Personen, die Tauchausrüstung tragen, sind unter Wasser.")</f>
        <v>Zwei Personen, die Tauchausrüstung tragen, sind unter Wasser.</v>
      </c>
    </row>
    <row r="19372">
      <c r="A19372" s="4" t="s">
        <v>24378</v>
      </c>
      <c r="B19372" s="4" t="s">
        <v>24380</v>
      </c>
      <c r="C19372" s="5" t="str">
        <f>IFERROR(__xludf.DUMMYFUNCTION("GOOGLETRANSLATE(B19372,""en"",""de"")"),"Sie sehen sich an, entfernen ihre Mundstücke und küssen sich dann.")</f>
        <v>Sie sehen sich an, entfernen ihre Mundstücke und küssen sich dann.</v>
      </c>
    </row>
    <row r="19373">
      <c r="A19373" s="4" t="s">
        <v>24378</v>
      </c>
      <c r="B19373" s="4" t="s">
        <v>24381</v>
      </c>
      <c r="C19373" s="5" t="str">
        <f>IFERROR(__xludf.DUMMYFUNCTION("GOOGLETRANSLATE(B19373,""en"",""de"")"),"Der Mann setzt sein Mundstück wieder hinein.")</f>
        <v>Der Mann setzt sein Mundstück wieder hinein.</v>
      </c>
    </row>
    <row r="19374">
      <c r="A19374" s="4" t="s">
        <v>24382</v>
      </c>
      <c r="B19374" s="4" t="s">
        <v>24383</v>
      </c>
      <c r="C19374" s="5" t="str">
        <f>IFERROR(__xludf.DUMMYFUNCTION("GOOGLETRANSLATE(B19374,""en"",""de"")"),"Eine Person springt vom Boot ins Wasser.")</f>
        <v>Eine Person springt vom Boot ins Wasser.</v>
      </c>
    </row>
    <row r="19375">
      <c r="A19375" s="4" t="s">
        <v>24382</v>
      </c>
      <c r="B19375" s="4" t="s">
        <v>24384</v>
      </c>
      <c r="C19375" s="5" t="str">
        <f>IFERROR(__xludf.DUMMYFUNCTION("GOOGLETRANSLATE(B19375,""en"",""de"")"),"Ein Junge ist lange in eine Straße.")</f>
        <v>Ein Junge ist lange in eine Straße.</v>
      </c>
    </row>
    <row r="19376">
      <c r="A19376" s="4" t="s">
        <v>24382</v>
      </c>
      <c r="B19376" s="4" t="s">
        <v>24385</v>
      </c>
      <c r="C19376" s="5" t="str">
        <f>IFERROR(__xludf.DUMMYFUNCTION("GOOGLETRANSLATE(B19376,""en"",""de"")"),"Sie halten an und sitzen auf einer Parkbank.")</f>
        <v>Sie halten an und sitzen auf einer Parkbank.</v>
      </c>
    </row>
    <row r="19377">
      <c r="A19377" s="4" t="s">
        <v>24382</v>
      </c>
      <c r="B19377" s="4" t="s">
        <v>24386</v>
      </c>
      <c r="C19377" s="5" t="str">
        <f>IFERROR(__xludf.DUMMYFUNCTION("GOOGLETRANSLATE(B19377,""en"",""de"")"),"Eine Person reitet eine Rolltreppe hoch.")</f>
        <v>Eine Person reitet eine Rolltreppe hoch.</v>
      </c>
    </row>
    <row r="19378">
      <c r="A19378" s="4" t="s">
        <v>24387</v>
      </c>
      <c r="B19378" s="4" t="s">
        <v>9397</v>
      </c>
      <c r="C19378" s="5" t="str">
        <f>IFERROR(__xludf.DUMMYFUNCTION("GOOGLETRANSLATE(B19378,""en"",""de"")"),"Eine Frau steht in einem Raum und redet.")</f>
        <v>Eine Frau steht in einem Raum und redet.</v>
      </c>
    </row>
    <row r="19379">
      <c r="A19379" s="4" t="s">
        <v>24387</v>
      </c>
      <c r="B19379" s="4" t="s">
        <v>24388</v>
      </c>
      <c r="C19379" s="5" t="str">
        <f>IFERROR(__xludf.DUMMYFUNCTION("GOOGLETRANSLATE(B19379,""en"",""de"")"),"Sie zeigt eine Flasche in der Hand.")</f>
        <v>Sie zeigt eine Flasche in der Hand.</v>
      </c>
    </row>
    <row r="19380">
      <c r="A19380" s="4" t="s">
        <v>24387</v>
      </c>
      <c r="B19380" s="4" t="s">
        <v>24389</v>
      </c>
      <c r="C19380" s="5" t="str">
        <f>IFERROR(__xludf.DUMMYFUNCTION("GOOGLETRANSLATE(B19380,""en"",""de"")"),"Sie gießt etwas von der Lotion auf ihre Hände und reibt sie in ihr Gesicht.")</f>
        <v>Sie gießt etwas von der Lotion auf ihre Hände und reibt sie in ihr Gesicht.</v>
      </c>
    </row>
    <row r="19381">
      <c r="A19381" s="4" t="s">
        <v>24387</v>
      </c>
      <c r="B19381" s="4" t="s">
        <v>24390</v>
      </c>
      <c r="C19381" s="5" t="str">
        <f>IFERROR(__xludf.DUMMYFUNCTION("GOOGLETRANSLATE(B19381,""en"",""de"")"),"Sie verwendet ein Handtuch, um ihr Gesicht zu trocknen.")</f>
        <v>Sie verwendet ein Handtuch, um ihr Gesicht zu trocknen.</v>
      </c>
    </row>
    <row r="19382">
      <c r="A19382" s="4" t="s">
        <v>24391</v>
      </c>
      <c r="B19382" s="4" t="s">
        <v>24392</v>
      </c>
      <c r="C19382" s="5" t="str">
        <f>IFERROR(__xludf.DUMMYFUNCTION("GOOGLETRANSLATE(B19382,""en"",""de"")"),"Ein kleiner Junge befindet sich auf einem Parkplatz im Freien.")</f>
        <v>Ein kleiner Junge befindet sich auf einem Parkplatz im Freien.</v>
      </c>
    </row>
    <row r="19383">
      <c r="A19383" s="4" t="s">
        <v>24391</v>
      </c>
      <c r="B19383" s="4" t="s">
        <v>24393</v>
      </c>
      <c r="C19383" s="5" t="str">
        <f>IFERROR(__xludf.DUMMYFUNCTION("GOOGLETRANSLATE(B19383,""en"",""de"")"),"Er versucht, auf einem Paar Inline -Skates herumzurollen.")</f>
        <v>Er versucht, auf einem Paar Inline -Skates herumzurollen.</v>
      </c>
    </row>
    <row r="19384">
      <c r="A19384" s="4" t="s">
        <v>24391</v>
      </c>
      <c r="B19384" s="4" t="s">
        <v>24394</v>
      </c>
      <c r="C19384" s="5" t="str">
        <f>IFERROR(__xludf.DUMMYFUNCTION("GOOGLETRANSLATE(B19384,""en"",""de"")"),"Er versucht auf einem kleinen Stück Holz auszugleichen.")</f>
        <v>Er versucht auf einem kleinen Stück Holz auszugleichen.</v>
      </c>
    </row>
    <row r="19385">
      <c r="A19385" s="4" t="s">
        <v>24395</v>
      </c>
      <c r="B19385" s="4" t="s">
        <v>24396</v>
      </c>
      <c r="C19385" s="5" t="str">
        <f>IFERROR(__xludf.DUMMYFUNCTION("GOOGLETRANSLATE(B19385,""en"",""de"")"),"Ein Mann spricht mit der Kamera, während er eine Toilettenpapierrolle hält und beginnt, Rauch in die Rolle zu blasen.")</f>
        <v>Ein Mann spricht mit der Kamera, während er eine Toilettenpapierrolle hält und beginnt, Rauch in die Rolle zu blasen.</v>
      </c>
    </row>
    <row r="19386">
      <c r="A19386" s="4" t="s">
        <v>24395</v>
      </c>
      <c r="B19386" s="4" t="s">
        <v>24397</v>
      </c>
      <c r="C19386" s="5" t="str">
        <f>IFERROR(__xludf.DUMMYFUNCTION("GOOGLETRANSLATE(B19386,""en"",""de"")"),"Der Mann nimmt weiterhin mehrere Schlepper von einem Rohr und bläst sie in die Toilettenpapierrolle aus.")</f>
        <v>Der Mann nimmt weiterhin mehrere Schlepper von einem Rohr und bläst sie in die Toilettenpapierrolle aus.</v>
      </c>
    </row>
    <row r="19387">
      <c r="A19387" s="4" t="s">
        <v>24398</v>
      </c>
      <c r="B19387" s="4" t="s">
        <v>24399</v>
      </c>
      <c r="C19387" s="5" t="str">
        <f>IFERROR(__xludf.DUMMYFUNCTION("GOOGLETRANSLATE(B19387,""en"",""de"")"),"Eine Person sitzt in einem Kajak und bewegt sich einen rauen Fluss hinunter.")</f>
        <v>Eine Person sitzt in einem Kajak und bewegt sich einen rauen Fluss hinunter.</v>
      </c>
    </row>
    <row r="19388">
      <c r="A19388" s="4" t="s">
        <v>24398</v>
      </c>
      <c r="B19388" s="4" t="s">
        <v>24400</v>
      </c>
      <c r="C19388" s="5" t="str">
        <f>IFERROR(__xludf.DUMMYFUNCTION("GOOGLETRANSLATE(B19388,""en"",""de"")"),"Die Person reitet weiter den Fluss hinunter, während ein anderer Leute nebenbei zusucht.")</f>
        <v>Die Person reitet weiter den Fluss hinunter, während ein anderer Leute nebenbei zusucht.</v>
      </c>
    </row>
    <row r="19389">
      <c r="A19389" s="4" t="s">
        <v>24401</v>
      </c>
      <c r="B19389" s="4" t="s">
        <v>24402</v>
      </c>
      <c r="C19389" s="5" t="str">
        <f>IFERROR(__xludf.DUMMYFUNCTION("GOOGLETRANSLATE(B19389,""en"",""de"")"),"Ein Mann in einem schwarzen Hemd spielt eine Mundharmonika.")</f>
        <v>Ein Mann in einem schwarzen Hemd spielt eine Mundharmonika.</v>
      </c>
    </row>
    <row r="19390">
      <c r="A19390" s="4" t="s">
        <v>24401</v>
      </c>
      <c r="B19390" s="4" t="s">
        <v>24403</v>
      </c>
      <c r="C19390" s="5" t="str">
        <f>IFERROR(__xludf.DUMMYFUNCTION("GOOGLETRANSLATE(B19390,""en"",""de"")"),"Ein anderer Mann sitzt auf einer Veranda eines Hauses.")</f>
        <v>Ein anderer Mann sitzt auf einer Veranda eines Hauses.</v>
      </c>
    </row>
    <row r="19391">
      <c r="A19391" s="4" t="s">
        <v>24401</v>
      </c>
      <c r="B19391" s="4" t="s">
        <v>24404</v>
      </c>
      <c r="C19391" s="5" t="str">
        <f>IFERROR(__xludf.DUMMYFUNCTION("GOOGLETRANSLATE(B19391,""en"",""de"")"),"Eine Frau in einem weißen Schal schaltet eine Laterne aus.")</f>
        <v>Eine Frau in einem weißen Schal schaltet eine Laterne aus.</v>
      </c>
    </row>
    <row r="19392">
      <c r="A19392" s="4" t="s">
        <v>24405</v>
      </c>
      <c r="B19392" s="4" t="s">
        <v>24406</v>
      </c>
      <c r="C19392" s="5" t="str">
        <f>IFERROR(__xludf.DUMMYFUNCTION("GOOGLETRANSLATE(B19392,""en"",""de"")"),"Ein Mann wird in parallelen Balken gezeigt, die eine Routine auf sich machen.")</f>
        <v>Ein Mann wird in parallelen Balken gezeigt, die eine Routine auf sich machen.</v>
      </c>
    </row>
    <row r="19393">
      <c r="A19393" s="4" t="s">
        <v>24405</v>
      </c>
      <c r="B19393" s="4" t="s">
        <v>24407</v>
      </c>
      <c r="C19393" s="5" t="str">
        <f>IFERROR(__xludf.DUMMYFUNCTION("GOOGLETRANSLATE(B19393,""en"",""de"")"),"Er ist sehr fokussiert und dreht und rockt hin und her.")</f>
        <v>Er ist sehr fokussiert und dreht und rockt hin und her.</v>
      </c>
    </row>
    <row r="19394">
      <c r="A19394" s="4" t="s">
        <v>24405</v>
      </c>
      <c r="B19394" s="4" t="s">
        <v>24408</v>
      </c>
      <c r="C19394" s="5" t="str">
        <f>IFERROR(__xludf.DUMMYFUNCTION("GOOGLETRANSLATE(B19394,""en"",""de"")"),"Der Athlet steigt dann die Bars ab und landet auf seinen Füßen.")</f>
        <v>Der Athlet steigt dann die Bars ab und landet auf seinen Füßen.</v>
      </c>
    </row>
    <row r="19395">
      <c r="A19395" s="4" t="s">
        <v>24405</v>
      </c>
      <c r="B19395" s="4" t="s">
        <v>24409</v>
      </c>
      <c r="C19395" s="5" t="str">
        <f>IFERROR(__xludf.DUMMYFUNCTION("GOOGLETRANSLATE(B19395,""en"",""de"")"),"Verschiedene Aufnahmen derselben Routine werden mit Pausen dazwischen und Notizen für die richtige Technik gezeigt.")</f>
        <v>Verschiedene Aufnahmen derselben Routine werden mit Pausen dazwischen und Notizen für die richtige Technik gezeigt.</v>
      </c>
    </row>
    <row r="19396">
      <c r="A19396" s="4" t="s">
        <v>24410</v>
      </c>
      <c r="B19396" s="4" t="s">
        <v>24411</v>
      </c>
      <c r="C19396" s="5" t="str">
        <f>IFERROR(__xludf.DUMMYFUNCTION("GOOGLETRANSLATE(B19396,""en"",""de"")"),"Eine Frau ist zu sehen, die auf eine Bühne geht, die vor einem Publikum einen Bauchtanzroutine durchführt.")</f>
        <v>Eine Frau ist zu sehen, die auf eine Bühne geht, die vor einem Publikum einen Bauchtanzroutine durchführt.</v>
      </c>
    </row>
    <row r="19397">
      <c r="A19397" s="4" t="s">
        <v>24410</v>
      </c>
      <c r="B19397" s="4" t="s">
        <v>24412</v>
      </c>
      <c r="C19397" s="5" t="str">
        <f>IFERROR(__xludf.DUMMYFUNCTION("GOOGLETRANSLATE(B19397,""en"",""de"")"),"Die Frau tanzt weiter auf der Bühne und endet mit ihrem Posen.")</f>
        <v>Die Frau tanzt weiter auf der Bühne und endet mit ihrem Posen.</v>
      </c>
    </row>
    <row r="19398">
      <c r="A19398" s="4" t="s">
        <v>24413</v>
      </c>
      <c r="B19398" s="4" t="s">
        <v>24414</v>
      </c>
      <c r="C19398" s="5" t="str">
        <f>IFERROR(__xludf.DUMMYFUNCTION("GOOGLETRANSLATE(B19398,""en"",""de"")"),"Frau steht vor einem Screensboard.")</f>
        <v>Frau steht vor einem Screensboard.</v>
      </c>
    </row>
    <row r="19399">
      <c r="A19399" s="4" t="s">
        <v>24413</v>
      </c>
      <c r="B19399" s="4" t="s">
        <v>24415</v>
      </c>
      <c r="C19399" s="5" t="str">
        <f>IFERROR(__xludf.DUMMYFUNCTION("GOOGLETRANSLATE(B19399,""en"",""de"")"),"Der Mann kocht Karotten und sautiert das Gemüse in einer Fingungswanne und serviert es in Schalen aus dem Dressing und dem Käse, während Papel hinter ihm zuschaut, wie er kochen.")</f>
        <v>Der Mann kocht Karotten und sautiert das Gemüse in einer Fingungswanne und serviert es in Schalen aus dem Dressing und dem Käse, während Papel hinter ihm zuschaut, wie er kochen.</v>
      </c>
    </row>
    <row r="19400">
      <c r="A19400" s="4" t="s">
        <v>24416</v>
      </c>
      <c r="B19400" s="4" t="s">
        <v>24417</v>
      </c>
      <c r="C19400" s="5" t="str">
        <f>IFERROR(__xludf.DUMMYFUNCTION("GOOGLETRANSLATE(B19400,""en"",""de"")"),"Eine kleine Gruppe von Menschen ist gesehen, wie sie einen rauen Fluss hinuntergefahren haben, der nebenbei viele beobachten.")</f>
        <v>Eine kleine Gruppe von Menschen ist gesehen, wie sie einen rauen Fluss hinuntergefahren haben, der nebenbei viele beobachten.</v>
      </c>
    </row>
    <row r="19401">
      <c r="A19401" s="4" t="s">
        <v>24416</v>
      </c>
      <c r="B19401" s="4" t="s">
        <v>24418</v>
      </c>
      <c r="C19401" s="5" t="str">
        <f>IFERROR(__xludf.DUMMYFUNCTION("GOOGLETRANSLATE(B19401,""en"",""de"")"),"Die Gruppe paddelt weiter und trifft sich unten mit anderen Gruppen.")</f>
        <v>Die Gruppe paddelt weiter und trifft sich unten mit anderen Gruppen.</v>
      </c>
    </row>
    <row r="19402">
      <c r="A19402" s="4" t="s">
        <v>24419</v>
      </c>
      <c r="B19402" s="4" t="s">
        <v>24420</v>
      </c>
      <c r="C19402" s="5" t="str">
        <f>IFERROR(__xludf.DUMMYFUNCTION("GOOGLETRANSLATE(B19402,""en"",""de"")"),"Ein junges Mädchen sitzt auf einer Couch neben einem Erwachsenen, der auf ihre Füße schaut.")</f>
        <v>Ein junges Mädchen sitzt auf einer Couch neben einem Erwachsenen, der auf ihre Füße schaut.</v>
      </c>
    </row>
    <row r="19403">
      <c r="A19403" s="4" t="s">
        <v>24419</v>
      </c>
      <c r="B19403" s="4" t="s">
        <v>24421</v>
      </c>
      <c r="C19403" s="5" t="str">
        <f>IFERROR(__xludf.DUMMYFUNCTION("GOOGLETRANSLATE(B19403,""en"",""de"")"),"Das Mädchen spielt mit einem Spielzeugeisen und bewegt den Gegenstand auf ein Hemd auf und ab.")</f>
        <v>Das Mädchen spielt mit einem Spielzeugeisen und bewegt den Gegenstand auf ein Hemd auf und ab.</v>
      </c>
    </row>
    <row r="19404">
      <c r="A19404" s="4" t="s">
        <v>24422</v>
      </c>
      <c r="B19404" s="4" t="s">
        <v>24423</v>
      </c>
      <c r="C19404" s="5" t="str">
        <f>IFERROR(__xludf.DUMMYFUNCTION("GOOGLETRANSLATE(B19404,""en"",""de"")"),"Ein deutscher Mann wirft einen Diskus in den Wettbewerb.")</f>
        <v>Ein deutscher Mann wirft einen Diskus in den Wettbewerb.</v>
      </c>
    </row>
    <row r="19405">
      <c r="A19405" s="4" t="s">
        <v>24422</v>
      </c>
      <c r="B19405" s="4" t="s">
        <v>24424</v>
      </c>
      <c r="C19405" s="5" t="str">
        <f>IFERROR(__xludf.DUMMYFUNCTION("GOOGLETRANSLATE(B19405,""en"",""de"")"),"Er lässt den Diskus fallen und geht dann weg.")</f>
        <v>Er lässt den Diskus fallen und geht dann weg.</v>
      </c>
    </row>
    <row r="19406">
      <c r="A19406" s="4" t="s">
        <v>24422</v>
      </c>
      <c r="B19406" s="4" t="s">
        <v>24425</v>
      </c>
      <c r="C19406" s="5" t="str">
        <f>IFERROR(__xludf.DUMMYFUNCTION("GOOGLETRANSLATE(B19406,""en"",""de"")"),"Eine Wiederholung wird gezeigt und er sieht traurig aus.")</f>
        <v>Eine Wiederholung wird gezeigt und er sieht traurig aus.</v>
      </c>
    </row>
    <row r="19407">
      <c r="A19407" s="4" t="s">
        <v>24426</v>
      </c>
      <c r="B19407" s="4" t="s">
        <v>24427</v>
      </c>
      <c r="C19407" s="5" t="str">
        <f>IFERROR(__xludf.DUMMYFUNCTION("GOOGLETRANSLATE(B19407,""en"",""de"")"),"Wir sehen einen Mann, der mit zwei anderen Männern vor einem Lagerhaus spricht.")</f>
        <v>Wir sehen einen Mann, der mit zwei anderen Männern vor einem Lagerhaus spricht.</v>
      </c>
    </row>
    <row r="19408">
      <c r="A19408" s="4" t="s">
        <v>24426</v>
      </c>
      <c r="B19408" s="4" t="s">
        <v>24428</v>
      </c>
      <c r="C19408" s="5" t="str">
        <f>IFERROR(__xludf.DUMMYFUNCTION("GOOGLETRANSLATE(B19408,""en"",""de"")"),"Im Lagerhaus sehen wir eine Kiste, die die Männer mit ihren Skateboards fahren.")</f>
        <v>Im Lagerhaus sehen wir eine Kiste, die die Männer mit ihren Skateboards fahren.</v>
      </c>
    </row>
    <row r="19409">
      <c r="A19409" s="4" t="s">
        <v>24426</v>
      </c>
      <c r="B19409" s="4" t="s">
        <v>24429</v>
      </c>
      <c r="C19409" s="5" t="str">
        <f>IFERROR(__xludf.DUMMYFUNCTION("GOOGLETRANSLATE(B19409,""en"",""de"")"),"Der Mann fällt wiederholt von seinem Skateboard.")</f>
        <v>Der Mann fällt wiederholt von seinem Skateboard.</v>
      </c>
    </row>
    <row r="19410">
      <c r="A19410" s="4" t="s">
        <v>24426</v>
      </c>
      <c r="B19410" s="4" t="s">
        <v>24430</v>
      </c>
      <c r="C19410" s="5" t="str">
        <f>IFERROR(__xludf.DUMMYFUNCTION("GOOGLETRANSLATE(B19410,""en"",""de"")"),"Er dreht das Skateboard und wir sehen es in Zeitlupe.")</f>
        <v>Er dreht das Skateboard und wir sehen es in Zeitlupe.</v>
      </c>
    </row>
    <row r="19411">
      <c r="A19411" s="4" t="s">
        <v>24426</v>
      </c>
      <c r="B19411" s="4" t="s">
        <v>24431</v>
      </c>
      <c r="C19411" s="5" t="str">
        <f>IFERROR(__xludf.DUMMYFUNCTION("GOOGLETRANSLATE(B19411,""en"",""de"")"),"Der Mann bekommt einen Hut und wir sehen den Endbildschirm.")</f>
        <v>Der Mann bekommt einen Hut und wir sehen den Endbildschirm.</v>
      </c>
    </row>
    <row r="19412">
      <c r="A19412" s="4" t="s">
        <v>24426</v>
      </c>
      <c r="B19412" s="4" t="s">
        <v>24432</v>
      </c>
      <c r="C19412" s="5" t="str">
        <f>IFERROR(__xludf.DUMMYFUNCTION("GOOGLETRANSLATE(B19412,""en"",""de"")"),"Ein Mann springt auf einen Haufen Kisten und wir sehen den Endbildschirm wieder.")</f>
        <v>Ein Mann springt auf einen Haufen Kisten und wir sehen den Endbildschirm wieder.</v>
      </c>
    </row>
    <row r="19413">
      <c r="A19413" s="4" t="s">
        <v>24433</v>
      </c>
      <c r="B19413" s="4" t="s">
        <v>24434</v>
      </c>
      <c r="C19413" s="5" t="str">
        <f>IFERROR(__xludf.DUMMYFUNCTION("GOOGLETRANSLATE(B19413,""en"",""de"")"),"Betty Heidler tritt an den Olimpic Games in the Women's Hammer -Kategorie an.")</f>
        <v>Betty Heidler tritt an den Olimpic Games in the Women's Hammer -Kategorie an.</v>
      </c>
    </row>
    <row r="19414">
      <c r="A19414" s="4" t="s">
        <v>24433</v>
      </c>
      <c r="B19414" s="4" t="s">
        <v>24435</v>
      </c>
      <c r="C19414" s="5" t="str">
        <f>IFERROR(__xludf.DUMMYFUNCTION("GOOGLETRANSLATE(B19414,""en"",""de"")"),"Betty Haidler scheint sich wirklich konzentriert und entschlossen, mit einem Preis nach Hause zu gehen.")</f>
        <v>Betty Haidler scheint sich wirklich konzentriert und entschlossen, mit einem Preis nach Hause zu gehen.</v>
      </c>
    </row>
    <row r="19415">
      <c r="A19415" s="4" t="s">
        <v>24433</v>
      </c>
      <c r="B19415" s="4" t="s">
        <v>24436</v>
      </c>
      <c r="C19415" s="5" t="str">
        <f>IFERROR(__xludf.DUMMYFUNCTION("GOOGLETRANSLATE(B19415,""en"",""de"")"),"Betty Heidler beginnt sich zu drehen und warf dann mit all dem Schwung den Hammer wirklich weit weg.")</f>
        <v>Betty Heidler beginnt sich zu drehen und warf dann mit all dem Schwung den Hammer wirklich weit weg.</v>
      </c>
    </row>
    <row r="19416">
      <c r="A19416" s="4" t="s">
        <v>24433</v>
      </c>
      <c r="B19416" s="4" t="s">
        <v>24437</v>
      </c>
      <c r="C19416" s="5" t="str">
        <f>IFERROR(__xludf.DUMMYFUNCTION("GOOGLETRANSLATE(B19416,""en"",""de"")"),"Betty Heidler, die in die nächste Runde eingestuft wurde, als der Wurf erfolgreich war.")</f>
        <v>Betty Heidler, die in die nächste Runde eingestuft wurde, als der Wurf erfolgreich war.</v>
      </c>
    </row>
    <row r="19417">
      <c r="A19417" s="4" t="s">
        <v>24433</v>
      </c>
      <c r="B19417" s="4" t="s">
        <v>24438</v>
      </c>
      <c r="C19417" s="5" t="str">
        <f>IFERROR(__xludf.DUMMYFUNCTION("GOOGLETRANSLATE(B19417,""en"",""de"")"),"Jemand interviewt Betty Heidler und sie freut sich sehr über die Qualifikation in den nächsten Spielrunden.")</f>
        <v>Jemand interviewt Betty Heidler und sie freut sich sehr über die Qualifikation in den nächsten Spielrunden.</v>
      </c>
    </row>
    <row r="19418">
      <c r="A19418" s="4" t="s">
        <v>24439</v>
      </c>
      <c r="B19418" s="4" t="s">
        <v>24440</v>
      </c>
      <c r="C19418" s="5" t="str">
        <f>IFERROR(__xludf.DUMMYFUNCTION("GOOGLETRANSLATE(B19418,""en"",""de"")"),"Menschen trainieren auf einer Fitnessmaschine, die eine Saiten auf einer Stange zieht und hin und her geht.")</f>
        <v>Menschen trainieren auf einer Fitnessmaschine, die eine Saiten auf einer Stange zieht und hin und her geht.</v>
      </c>
    </row>
    <row r="19419">
      <c r="A19419" s="4" t="s">
        <v>24439</v>
      </c>
      <c r="B19419" s="4" t="s">
        <v>24441</v>
      </c>
      <c r="C19419" s="5" t="str">
        <f>IFERROR(__xludf.DUMMYFUNCTION("GOOGLETRANSLATE(B19419,""en"",""de"")"),"Ein Mann faltet eine Fitnessmaschine in einem Fitnessstudio.")</f>
        <v>Ein Mann faltet eine Fitnessmaschine in einem Fitnessstudio.</v>
      </c>
    </row>
    <row r="19420">
      <c r="A19420" s="4" t="s">
        <v>24439</v>
      </c>
      <c r="B19420" s="4" t="s">
        <v>24442</v>
      </c>
      <c r="C19420" s="5" t="str">
        <f>IFERROR(__xludf.DUMMYFUNCTION("GOOGLETRANSLATE(B19420,""en"",""de"")"),"Dann macht ein Mann Workouts in einer Fitnessmaschine.")</f>
        <v>Dann macht ein Mann Workouts in einer Fitnessmaschine.</v>
      </c>
    </row>
    <row r="19421">
      <c r="A19421" s="4" t="s">
        <v>24443</v>
      </c>
      <c r="B19421" s="4" t="s">
        <v>24444</v>
      </c>
      <c r="C19421" s="5" t="str">
        <f>IFERROR(__xludf.DUMMYFUNCTION("GOOGLETRANSLATE(B19421,""en"",""de"")"),"Eine Frau im blauen Hemd hackt das Holz, als sie das Holz in zwei Hälften hackte, legte sie sie beiseite, dann nimmt sie einen weiteren Baumstamm und hackte es in zwei Hälften.")</f>
        <v>Eine Frau im blauen Hemd hackt das Holz, als sie das Holz in zwei Hälften hackte, legte sie sie beiseite, dann nimmt sie einen weiteren Baumstamm und hackte es in zwei Hälften.</v>
      </c>
    </row>
    <row r="19422">
      <c r="A19422" s="4" t="s">
        <v>24443</v>
      </c>
      <c r="B19422" s="4" t="s">
        <v>24445</v>
      </c>
      <c r="C19422" s="5" t="str">
        <f>IFERROR(__xludf.DUMMYFUNCTION("GOOGLETRANSLATE(B19422,""en"",""de"")"),"Die Frau versucht, das Holz in zwei Hälften zu hacken, aber es wird nicht in zwei Hälften gehackt, dann fiel es auf den Boden und sie legte es wieder auf das Hackbrett, und sie hackte weiterhin das Holz, nach mehreren Versuchen hackte sie schließlich das "&amp;"Holz entzwei.")</f>
        <v>Die Frau versucht, das Holz in zwei Hälften zu hacken, aber es wird nicht in zwei Hälften gehackt, dann fiel es auf den Boden und sie legte es wieder auf das Hackbrett, und sie hackte weiterhin das Holz, nach mehreren Versuchen hackte sie schließlich das Holz entzwei.</v>
      </c>
    </row>
    <row r="19423">
      <c r="A19423" s="4" t="s">
        <v>24446</v>
      </c>
      <c r="B19423" s="4" t="s">
        <v>24447</v>
      </c>
      <c r="C19423" s="5" t="str">
        <f>IFERROR(__xludf.DUMMYFUNCTION("GOOGLETRANSLATE(B19423,""en"",""de"")"),"Verschiedene Picknicktische werden auf einem Feld angezeigt, gefolgt von einem Mann, der aus dem Wald rennt.")</f>
        <v>Verschiedene Picknicktische werden auf einem Feld angezeigt, gefolgt von einem Mann, der aus dem Wald rennt.</v>
      </c>
    </row>
    <row r="19424">
      <c r="A19424" s="4" t="s">
        <v>24446</v>
      </c>
      <c r="B19424" s="4" t="s">
        <v>24448</v>
      </c>
      <c r="C19424" s="5" t="str">
        <f>IFERROR(__xludf.DUMMYFUNCTION("GOOGLETRANSLATE(B19424,""en"",""de"")"),"Mehrere Leute spielen ein Paintball -Match miteinander und bewegen sich ständig um den Wald und halten eine Waffe hoch.")</f>
        <v>Mehrere Leute spielen ein Paintball -Match miteinander und bewegen sich ständig um den Wald und halten eine Waffe hoch.</v>
      </c>
    </row>
    <row r="19425">
      <c r="A19425" s="4" t="s">
        <v>24446</v>
      </c>
      <c r="B19425" s="4" t="s">
        <v>24449</v>
      </c>
      <c r="C19425" s="5" t="str">
        <f>IFERROR(__xludf.DUMMYFUNCTION("GOOGLETRANSLATE(B19425,""en"",""de"")"),"Die Person rennt dann durch einen Bereich, der seine Waffe hält und schießt, wenn eine Person ankommt.")</f>
        <v>Die Person rennt dann durch einen Bereich, der seine Waffe hält und schießt, wenn eine Person ankommt.</v>
      </c>
    </row>
    <row r="19426">
      <c r="A19426" s="4" t="s">
        <v>24450</v>
      </c>
      <c r="B19426" s="4" t="s">
        <v>24451</v>
      </c>
      <c r="C19426" s="5" t="str">
        <f>IFERROR(__xludf.DUMMYFUNCTION("GOOGLETRANSLATE(B19426,""en"",""de"")"),"Das Video führt zu mehreren Schüssen von Menschen, die einen langen Track hinunterlaufen und in eine Sandgrube springen.")</f>
        <v>Das Video führt zu mehreren Schüssen von Menschen, die einen langen Track hinunterlaufen und in eine Sandgrube springen.</v>
      </c>
    </row>
    <row r="19427">
      <c r="A19427" s="4" t="s">
        <v>24450</v>
      </c>
      <c r="B19427" s="4" t="s">
        <v>24452</v>
      </c>
      <c r="C19427" s="5" t="str">
        <f>IFERROR(__xludf.DUMMYFUNCTION("GOOGLETRANSLATE(B19427,""en"",""de"")"),"Weitere Frauen werden gezeigt, wie andere die Strecke landen und in die Sandgrube landen, wie andere zuschauen.")</f>
        <v>Weitere Frauen werden gezeigt, wie andere die Strecke landen und in die Sandgrube landen, wie andere zuschauen.</v>
      </c>
    </row>
    <row r="19428">
      <c r="A19428" s="4" t="s">
        <v>24453</v>
      </c>
      <c r="B19428" s="4" t="s">
        <v>24454</v>
      </c>
      <c r="C19428" s="5" t="str">
        <f>IFERROR(__xludf.DUMMYFUNCTION("GOOGLETRANSLATE(B19428,""en"",""de"")"),"Ein Mann und zwei Kinder paddeln einen Fluss hinunter.")</f>
        <v>Ein Mann und zwei Kinder paddeln einen Fluss hinunter.</v>
      </c>
    </row>
    <row r="19429">
      <c r="A19429" s="4" t="s">
        <v>24453</v>
      </c>
      <c r="B19429" s="4" t="s">
        <v>24455</v>
      </c>
      <c r="C19429" s="5" t="str">
        <f>IFERROR(__xludf.DUMMYFUNCTION("GOOGLETRANSLATE(B19429,""en"",""de"")"),"Zwei Kanus sind zusammengebunden.")</f>
        <v>Zwei Kanus sind zusammengebunden.</v>
      </c>
    </row>
    <row r="19430">
      <c r="A19430" s="4" t="s">
        <v>24453</v>
      </c>
      <c r="B19430" s="4" t="s">
        <v>24456</v>
      </c>
      <c r="C19430" s="5" t="str">
        <f>IFERROR(__xludf.DUMMYFUNCTION("GOOGLETRANSLATE(B19430,""en"",""de"")"),"Das Wasser wird beim weiterzumachen abgehackter.")</f>
        <v>Das Wasser wird beim weiterzumachen abgehackter.</v>
      </c>
    </row>
    <row r="19431">
      <c r="A19431" s="4" t="s">
        <v>24453</v>
      </c>
      <c r="B19431" s="4" t="s">
        <v>24457</v>
      </c>
      <c r="C19431" s="5" t="str">
        <f>IFERROR(__xludf.DUMMYFUNCTION("GOOGLETRANSLATE(B19431,""en"",""de"")"),"Der Fluss ist mit vielen Bäumen gesäumt.")</f>
        <v>Der Fluss ist mit vielen Bäumen gesäumt.</v>
      </c>
    </row>
    <row r="19432">
      <c r="A19432" s="4" t="s">
        <v>24458</v>
      </c>
      <c r="B19432" s="4" t="s">
        <v>1487</v>
      </c>
      <c r="C19432" s="5" t="str">
        <f>IFERROR(__xludf.DUMMYFUNCTION("GOOGLETRANSLATE(B19432,""en"",""de"")"),"Wir sehen einen Öffnungsbildschirm.")</f>
        <v>Wir sehen einen Öffnungsbildschirm.</v>
      </c>
    </row>
    <row r="19433">
      <c r="A19433" s="4" t="s">
        <v>24458</v>
      </c>
      <c r="B19433" s="4" t="s">
        <v>24459</v>
      </c>
      <c r="C19433" s="5" t="str">
        <f>IFERROR(__xludf.DUMMYFUNCTION("GOOGLETRANSLATE(B19433,""en"",""de"")"),"Eine Gruppe von Männern spielt im Freien Foosball.")</f>
        <v>Eine Gruppe von Männern spielt im Freien Foosball.</v>
      </c>
    </row>
    <row r="19434">
      <c r="A19434" s="4" t="s">
        <v>24458</v>
      </c>
      <c r="B19434" s="4" t="s">
        <v>24460</v>
      </c>
      <c r="C19434" s="5" t="str">
        <f>IFERROR(__xludf.DUMMYFUNCTION("GOOGLETRANSLATE(B19434,""en"",""de"")"),"Die Männer am rechten gewinnen und schütteln die Hand und hing.")</f>
        <v>Die Männer am rechten gewinnen und schütteln die Hand und hing.</v>
      </c>
    </row>
    <row r="19435">
      <c r="A19435" s="4" t="s">
        <v>24458</v>
      </c>
      <c r="B19435" s="4" t="s">
        <v>24461</v>
      </c>
      <c r="C19435" s="5" t="str">
        <f>IFERROR(__xludf.DUMMYFUNCTION("GOOGLETRANSLATE(B19435,""en"",""de"")"),"Ein Mann hohe Fives Ein Kind, das von einer Dame hinter ihnen aufgehalten wurde.")</f>
        <v>Ein Mann hohe Fives Ein Kind, das von einer Dame hinter ihnen aufgehalten wurde.</v>
      </c>
    </row>
    <row r="19436">
      <c r="A19436" s="4" t="s">
        <v>24458</v>
      </c>
      <c r="B19436" s="4" t="s">
        <v>2940</v>
      </c>
      <c r="C19436" s="5" t="str">
        <f>IFERROR(__xludf.DUMMYFUNCTION("GOOGLETRANSLATE(B19436,""en"",""de"")"),"Wir sehen einen Schlussbildschirm.")</f>
        <v>Wir sehen einen Schlussbildschirm.</v>
      </c>
    </row>
    <row r="19437">
      <c r="A19437" s="4" t="s">
        <v>24462</v>
      </c>
      <c r="B19437" s="4" t="s">
        <v>24463</v>
      </c>
      <c r="C19437" s="5" t="str">
        <f>IFERROR(__xludf.DUMMYFUNCTION("GOOGLETRANSLATE(B19437,""en"",""de"")"),"Ein Mann mit Bart und Schnurrbart und einem weißen Hemd gibt ein Tutorial über Volleyballsicherheit.")</f>
        <v>Ein Mann mit Bart und Schnurrbart und einem weißen Hemd gibt ein Tutorial über Volleyballsicherheit.</v>
      </c>
    </row>
    <row r="19438">
      <c r="A19438" s="4" t="s">
        <v>24462</v>
      </c>
      <c r="B19438" s="4" t="s">
        <v>24464</v>
      </c>
      <c r="C19438" s="5" t="str">
        <f>IFERROR(__xludf.DUMMYFUNCTION("GOOGLETRANSLATE(B19438,""en"",""de"")"),"Dann trägt er ein schwarzes Sweatshirt und zeigt, wie man Dehnungsübungen macht.")</f>
        <v>Dann trägt er ein schwarzes Sweatshirt und zeigt, wie man Dehnungsübungen macht.</v>
      </c>
    </row>
    <row r="19439">
      <c r="A19439" s="4" t="s">
        <v>24462</v>
      </c>
      <c r="B19439" s="4" t="s">
        <v>24465</v>
      </c>
      <c r="C19439" s="5" t="str">
        <f>IFERROR(__xludf.DUMMYFUNCTION("GOOGLETRANSLATE(B19439,""en"",""de"")"),"Er erklärt weiterhin, welche Ausrüstung zum Spielen und Aufwärmen für Volleyball anziehen soll.")</f>
        <v>Er erklärt weiterhin, welche Ausrüstung zum Spielen und Aufwärmen für Volleyball anziehen soll.</v>
      </c>
    </row>
    <row r="19440">
      <c r="A19440" s="4" t="s">
        <v>24462</v>
      </c>
      <c r="B19440" s="4" t="s">
        <v>24466</v>
      </c>
      <c r="C19440" s="5" t="str">
        <f>IFERROR(__xludf.DUMMYFUNCTION("GOOGLETRANSLATE(B19440,""en"",""de"")"),"Es gibt einige Athleten, die Volleyball spielen, während er spricht.")</f>
        <v>Es gibt einige Athleten, die Volleyball spielen, während er spricht.</v>
      </c>
    </row>
    <row r="19441">
      <c r="A19441" s="4" t="s">
        <v>24462</v>
      </c>
      <c r="B19441" s="4" t="s">
        <v>24467</v>
      </c>
      <c r="C19441" s="5" t="str">
        <f>IFERROR(__xludf.DUMMYFUNCTION("GOOGLETRANSLATE(B19441,""en"",""de"")"),"Es wird ein Volleyballspiel gezeigt, in dem sich die Spieler in einem Indoor -Fitnessstudio befinden.")</f>
        <v>Es wird ein Volleyballspiel gezeigt, in dem sich die Spieler in einem Indoor -Fitnessstudio befinden.</v>
      </c>
    </row>
    <row r="19442">
      <c r="A19442" s="4" t="s">
        <v>24468</v>
      </c>
      <c r="B19442" s="4" t="s">
        <v>24469</v>
      </c>
      <c r="C19442" s="5" t="str">
        <f>IFERROR(__xludf.DUMMYFUNCTION("GOOGLETRANSLATE(B19442,""en"",""de"")"),"Wir sehen Männer im Sand Fußball spielen.")</f>
        <v>Wir sehen Männer im Sand Fußball spielen.</v>
      </c>
    </row>
    <row r="19443">
      <c r="A19443" s="4" t="s">
        <v>24468</v>
      </c>
      <c r="B19443" s="4" t="s">
        <v>24470</v>
      </c>
      <c r="C19443" s="5" t="str">
        <f>IFERROR(__xludf.DUMMYFUNCTION("GOOGLETRANSLATE(B19443,""en"",""de"")"),"Der Ball tritt ein und jeder rennt auf den Ball zu.")</f>
        <v>Der Ball tritt ein und jeder rennt auf den Ball zu.</v>
      </c>
    </row>
    <row r="19444">
      <c r="A19444" s="4" t="s">
        <v>24468</v>
      </c>
      <c r="B19444" s="4" t="s">
        <v>24471</v>
      </c>
      <c r="C19444" s="5" t="str">
        <f>IFERROR(__xludf.DUMMYFUNCTION("GOOGLETRANSLATE(B19444,""en"",""de"")"),"Ein Mann auf der rechten Seite tritt den Ball in das Tor.")</f>
        <v>Ein Mann auf der rechten Seite tritt den Ball in das Tor.</v>
      </c>
    </row>
    <row r="19445">
      <c r="A19445" s="4" t="s">
        <v>24468</v>
      </c>
      <c r="B19445" s="4" t="s">
        <v>24472</v>
      </c>
      <c r="C19445" s="5" t="str">
        <f>IFERROR(__xludf.DUMMYFUNCTION("GOOGLETRANSLATE(B19445,""en"",""de"")"),"Die Männer in Rot alle hohen fünf.")</f>
        <v>Die Männer in Rot alle hohen fünf.</v>
      </c>
    </row>
    <row r="19446">
      <c r="A19446" s="4" t="s">
        <v>24473</v>
      </c>
      <c r="B19446" s="4" t="s">
        <v>24474</v>
      </c>
      <c r="C19446" s="5" t="str">
        <f>IFERROR(__xludf.DUMMYFUNCTION("GOOGLETRANSLATE(B19446,""en"",""de"")"),"Eine Frau spricht mit der Kamera, während sie neben einem Pferd steht und eine Bürste hält.")</f>
        <v>Eine Frau spricht mit der Kamera, während sie neben einem Pferd steht und eine Bürste hält.</v>
      </c>
    </row>
    <row r="19447">
      <c r="A19447" s="4" t="s">
        <v>24473</v>
      </c>
      <c r="B19447" s="4" t="s">
        <v>24475</v>
      </c>
      <c r="C19447" s="5" t="str">
        <f>IFERROR(__xludf.DUMMYFUNCTION("GOOGLETRANSLATE(B19447,""en"",""de"")"),"Sie beginnt das ganze Pferd zu bürsten, während sie immer noch mit der Kamera spricht.")</f>
        <v>Sie beginnt das ganze Pferd zu bürsten, während sie immer noch mit der Kamera spricht.</v>
      </c>
    </row>
    <row r="19448">
      <c r="A19448" s="4" t="s">
        <v>24473</v>
      </c>
      <c r="B19448" s="4" t="s">
        <v>24476</v>
      </c>
      <c r="C19448" s="5" t="str">
        <f>IFERROR(__xludf.DUMMYFUNCTION("GOOGLETRANSLATE(B19448,""en"",""de"")"),"Sie macht einen Moment Zeit, um mit der Kamera zu enden.")</f>
        <v>Sie macht einen Moment Zeit, um mit der Kamera zu enden.</v>
      </c>
    </row>
    <row r="19449">
      <c r="A19449" s="4" t="s">
        <v>24477</v>
      </c>
      <c r="B19449" s="4" t="s">
        <v>24478</v>
      </c>
      <c r="C19449" s="5" t="str">
        <f>IFERROR(__xludf.DUMMYFUNCTION("GOOGLETRANSLATE(B19449,""en"",""de"")"),"Ein Auto wird bei einem rotes Licht angehalten und es gibt einen Blick auf eine kleine Stadt, die einen Schnee auf dem Boden hat.")</f>
        <v>Ein Auto wird bei einem rotes Licht angehalten und es gibt einen Blick auf eine kleine Stadt, die einen Schnee auf dem Boden hat.</v>
      </c>
    </row>
    <row r="19450">
      <c r="A19450" s="4" t="s">
        <v>24477</v>
      </c>
      <c r="B19450" s="4" t="s">
        <v>24479</v>
      </c>
      <c r="C19450" s="5" t="str">
        <f>IFERROR(__xludf.DUMMYFUNCTION("GOOGLETRANSLATE(B19450,""en"",""de"")"),"Das Licht wird grün und das Auto fährt die Straße hinunter und es gibt keine Leute auf dem Bürgersteig und nur einen Lastwagen geparkt.")</f>
        <v>Das Licht wird grün und das Auto fährt die Straße hinunter und es gibt keine Leute auf dem Bürgersteig und nur einen Lastwagen geparkt.</v>
      </c>
    </row>
    <row r="19451">
      <c r="A19451" s="4" t="s">
        <v>24477</v>
      </c>
      <c r="B19451" s="4" t="s">
        <v>24480</v>
      </c>
      <c r="C19451" s="5" t="str">
        <f>IFERROR(__xludf.DUMMYFUNCTION("GOOGLETRANSLATE(B19451,""en"",""de"")"),"Auf der rechten Seite schaufelt jemand Eis von der Straße und das Auto geht an ihn vorbei.")</f>
        <v>Auf der rechten Seite schaufelt jemand Eis von der Straße und das Auto geht an ihn vorbei.</v>
      </c>
    </row>
    <row r="19452">
      <c r="A19452" s="4" t="s">
        <v>24481</v>
      </c>
      <c r="B19452" s="4" t="s">
        <v>24482</v>
      </c>
      <c r="C19452" s="5" t="str">
        <f>IFERROR(__xludf.DUMMYFUNCTION("GOOGLETRANSLATE(B19452,""en"",""de"")"),"Ein Mann steht im Freien auf einem 4 -Stufen -Werkzeug und wischt seinen Heckschneider nach rechts.")</f>
        <v>Ein Mann steht im Freien auf einem 4 -Stufen -Werkzeug und wischt seinen Heckschneider nach rechts.</v>
      </c>
    </row>
    <row r="19453">
      <c r="A19453" s="4" t="s">
        <v>24481</v>
      </c>
      <c r="B19453" s="4" t="s">
        <v>24483</v>
      </c>
      <c r="C19453" s="5" t="str">
        <f>IFERROR(__xludf.DUMMYFUNCTION("GOOGLETRANSLATE(B19453,""en"",""de"")"),"Der Mann hebt dann die Steiger hoch und schneidet mehr in Richtung seiner linken Seite.")</f>
        <v>Der Mann hebt dann die Steiger hoch und schneidet mehr in Richtung seiner linken Seite.</v>
      </c>
    </row>
    <row r="19454">
      <c r="A19454" s="4" t="s">
        <v>24481</v>
      </c>
      <c r="B19454" s="4" t="s">
        <v>24484</v>
      </c>
      <c r="C19454" s="5" t="str">
        <f>IFERROR(__xludf.DUMMYFUNCTION("GOOGLETRANSLATE(B19454,""en"",""de"")"),"Der Mann hört auf zu schneiden und tritt von der Leiter zurück.")</f>
        <v>Der Mann hört auf zu schneiden und tritt von der Leiter zurück.</v>
      </c>
    </row>
    <row r="19455">
      <c r="A19455" s="4" t="s">
        <v>24485</v>
      </c>
      <c r="B19455" s="4" t="s">
        <v>24486</v>
      </c>
      <c r="C19455" s="5" t="str">
        <f>IFERROR(__xludf.DUMMYFUNCTION("GOOGLETRANSLATE(B19455,""en"",""de"")"),"Eine Frau beginnt ihre Haare zu flechten.")</f>
        <v>Eine Frau beginnt ihre Haare zu flechten.</v>
      </c>
    </row>
    <row r="19456">
      <c r="A19456" s="4" t="s">
        <v>24485</v>
      </c>
      <c r="B19456" s="4" t="s">
        <v>24487</v>
      </c>
      <c r="C19456" s="5" t="str">
        <f>IFERROR(__xludf.DUMMYFUNCTION("GOOGLETRANSLATE(B19456,""en"",""de"")"),"Anweisungen ergeben sich auf der Seite des Bildschirms.")</f>
        <v>Anweisungen ergeben sich auf der Seite des Bildschirms.</v>
      </c>
    </row>
    <row r="19457">
      <c r="A19457" s="4" t="s">
        <v>24485</v>
      </c>
      <c r="B19457" s="4" t="s">
        <v>24488</v>
      </c>
      <c r="C19457" s="5" t="str">
        <f>IFERROR(__xludf.DUMMYFUNCTION("GOOGLETRANSLATE(B19457,""en"",""de"")"),"Die Frau dreht sich zur Seite, um ihr Geflecht zu zeigen.")</f>
        <v>Die Frau dreht sich zur Seite, um ihr Geflecht zu zeigen.</v>
      </c>
    </row>
    <row r="19458">
      <c r="A19458" s="4" t="s">
        <v>24489</v>
      </c>
      <c r="B19458" s="4" t="s">
        <v>24490</v>
      </c>
      <c r="C19458" s="5" t="str">
        <f>IFERROR(__xludf.DUMMYFUNCTION("GOOGLETRANSLATE(B19458,""en"",""de"")"),"Zwei Teams sind auf beiden Seiten eines Feldes.")</f>
        <v>Zwei Teams sind auf beiden Seiten eines Feldes.</v>
      </c>
    </row>
    <row r="19459">
      <c r="A19459" s="4" t="s">
        <v>24489</v>
      </c>
      <c r="B19459" s="4" t="s">
        <v>24491</v>
      </c>
      <c r="C19459" s="5" t="str">
        <f>IFERROR(__xludf.DUMMYFUNCTION("GOOGLETRANSLATE(B19459,""en"",""de"")"),"Sie halten ein Seil und machen sich bereit zu ziehen.")</f>
        <v>Sie halten ein Seil und machen sich bereit zu ziehen.</v>
      </c>
    </row>
    <row r="19460">
      <c r="A19460" s="4" t="s">
        <v>24489</v>
      </c>
      <c r="B19460" s="4" t="s">
        <v>24492</v>
      </c>
      <c r="C19460" s="5" t="str">
        <f>IFERROR(__xludf.DUMMYFUNCTION("GOOGLETRANSLATE(B19460,""en"",""de"")"),"Die beiden Teams ziehen an und versuchen, den Wettbewerb zu gewinnen, als eine Menge zugeht.")</f>
        <v>Die beiden Teams ziehen an und versuchen, den Wettbewerb zu gewinnen, als eine Menge zugeht.</v>
      </c>
    </row>
    <row r="19461">
      <c r="A19461" s="4" t="s">
        <v>24489</v>
      </c>
      <c r="B19461" s="4" t="s">
        <v>24493</v>
      </c>
      <c r="C19461" s="5" t="str">
        <f>IFERROR(__xludf.DUMMYFUNCTION("GOOGLETRANSLATE(B19461,""en"",""de"")"),"Die gelbe Gruppe wird gegen ihren Willen nach vorne gezogen.")</f>
        <v>Die gelbe Gruppe wird gegen ihren Willen nach vorne gezogen.</v>
      </c>
    </row>
    <row r="19462">
      <c r="A19462" s="4" t="s">
        <v>24494</v>
      </c>
      <c r="B19462" s="4" t="s">
        <v>24495</v>
      </c>
      <c r="C19462" s="5" t="str">
        <f>IFERROR(__xludf.DUMMYFUNCTION("GOOGLETRANSLATE(B19462,""en"",""de"")"),"Die Vorderseite eines Gebäudes namens Giant ist zu sehen.")</f>
        <v>Die Vorderseite eines Gebäudes namens Giant ist zu sehen.</v>
      </c>
    </row>
    <row r="19463">
      <c r="A19463" s="4" t="s">
        <v>24494</v>
      </c>
      <c r="B19463" s="4" t="s">
        <v>24496</v>
      </c>
      <c r="C19463" s="5" t="str">
        <f>IFERROR(__xludf.DUMMYFUNCTION("GOOGLETRANSLATE(B19463,""en"",""de"")"),"Techniker werden im Inneren gezeigt und arbeiten an Fahrrädern.")</f>
        <v>Techniker werden im Inneren gezeigt und arbeiten an Fahrrädern.</v>
      </c>
    </row>
    <row r="19464">
      <c r="A19464" s="4" t="s">
        <v>24494</v>
      </c>
      <c r="B19464" s="4" t="s">
        <v>24497</v>
      </c>
      <c r="C19464" s="5" t="str">
        <f>IFERROR(__xludf.DUMMYFUNCTION("GOOGLETRANSLATE(B19464,""en"",""de"")"),"Sie arbeiten in Teams und versuchen zu bauen und zu reparieren.")</f>
        <v>Sie arbeiten in Teams und versuchen zu bauen und zu reparieren.</v>
      </c>
    </row>
    <row r="19465">
      <c r="A19465" s="4" t="s">
        <v>24498</v>
      </c>
      <c r="B19465" s="4" t="s">
        <v>24499</v>
      </c>
      <c r="C19465" s="5" t="str">
        <f>IFERROR(__xludf.DUMMYFUNCTION("GOOGLETRANSLATE(B19465,""en"",""de"")"),"Zwei Männer sind auf der Seite eines Gebäudesdaches gezeigt.")</f>
        <v>Zwei Männer sind auf der Seite eines Gebäudesdaches gezeigt.</v>
      </c>
    </row>
    <row r="19466">
      <c r="A19466" s="4" t="s">
        <v>24498</v>
      </c>
      <c r="B19466" s="4" t="s">
        <v>24500</v>
      </c>
      <c r="C19466" s="5" t="str">
        <f>IFERROR(__xludf.DUMMYFUNCTION("GOOGLETRANSLATE(B19466,""en"",""de"")"),"Man dreht sich mit einem Gerät zur Seite.")</f>
        <v>Man dreht sich mit einem Gerät zur Seite.</v>
      </c>
    </row>
    <row r="19467">
      <c r="A19467" s="4" t="s">
        <v>24498</v>
      </c>
      <c r="B19467" s="4" t="s">
        <v>24501</v>
      </c>
      <c r="C19467" s="5" t="str">
        <f>IFERROR(__xludf.DUMMYFUNCTION("GOOGLETRANSLATE(B19467,""en"",""de"")"),"Sie scheinen ein Dach zu bauen.")</f>
        <v>Sie scheinen ein Dach zu bauen.</v>
      </c>
    </row>
    <row r="19468">
      <c r="A19468" s="4" t="s">
        <v>24502</v>
      </c>
      <c r="B19468" s="4" t="s">
        <v>24503</v>
      </c>
      <c r="C19468" s="5" t="str">
        <f>IFERROR(__xludf.DUMMYFUNCTION("GOOGLETRANSLATE(B19468,""en"",""de"")"),"Ein Mann verbreitet Mulch um Pflanzen.")</f>
        <v>Ein Mann verbreitet Mulch um Pflanzen.</v>
      </c>
    </row>
    <row r="19469">
      <c r="A19469" s="4" t="s">
        <v>24502</v>
      </c>
      <c r="B19469" s="4" t="s">
        <v>24504</v>
      </c>
      <c r="C19469" s="5" t="str">
        <f>IFERROR(__xludf.DUMMYFUNCTION("GOOGLETRANSLATE(B19469,""en"",""de"")"),"Ein Mann sitzt an einem Tisch und liest eine Zeitung.")</f>
        <v>Ein Mann sitzt an einem Tisch und liest eine Zeitung.</v>
      </c>
    </row>
    <row r="19470">
      <c r="A19470" s="4" t="s">
        <v>24502</v>
      </c>
      <c r="B19470" s="4" t="s">
        <v>24505</v>
      </c>
      <c r="C19470" s="5" t="str">
        <f>IFERROR(__xludf.DUMMYFUNCTION("GOOGLETRANSLATE(B19470,""en"",""de"")"),"Ein gut gepflegter Hof wird gezeigt.")</f>
        <v>Ein gut gepflegter Hof wird gezeigt.</v>
      </c>
    </row>
    <row r="19471">
      <c r="A19471" s="4" t="s">
        <v>24506</v>
      </c>
      <c r="B19471" s="4" t="s">
        <v>24507</v>
      </c>
      <c r="C19471" s="5" t="str">
        <f>IFERROR(__xludf.DUMMYFUNCTION("GOOGLETRANSLATE(B19471,""en"",""de"")"),"Ein Fußballspiel zeigt und ein Mann in den Nachrichten spricht über ein Voleyball -Spiel.")</f>
        <v>Ein Fußballspiel zeigt und ein Mann in den Nachrichten spricht über ein Voleyball -Spiel.</v>
      </c>
    </row>
    <row r="19472">
      <c r="A19472" s="4" t="s">
        <v>24506</v>
      </c>
      <c r="B19472" s="4" t="s">
        <v>24508</v>
      </c>
      <c r="C19472" s="5" t="str">
        <f>IFERROR(__xludf.DUMMYFUNCTION("GOOGLETRANSLATE(B19472,""en"",""de"")"),"Das Set wird mit dem Voleyball -Spiel und einigen Frauen im Bikini gezeigt, die weiße die Zuschauer spielen, klatschen auf den Noten.")</f>
        <v>Das Set wird mit dem Voleyball -Spiel und einigen Frauen im Bikini gezeigt, die weiße die Zuschauer spielen, klatschen auf den Noten.</v>
      </c>
    </row>
    <row r="19473">
      <c r="A19473" s="4" t="s">
        <v>24506</v>
      </c>
      <c r="B19473" s="4" t="s">
        <v>24509</v>
      </c>
      <c r="C19473" s="5" t="str">
        <f>IFERROR(__xludf.DUMMYFUNCTION("GOOGLETRANSLATE(B19473,""en"",""de"")"),"Zurück ins Studio sind drei Kommentatoren, die sprechen.")</f>
        <v>Zurück ins Studio sind drei Kommentatoren, die sprechen.</v>
      </c>
    </row>
    <row r="19474">
      <c r="A19474" s="4" t="s">
        <v>24510</v>
      </c>
      <c r="B19474" s="4" t="s">
        <v>24511</v>
      </c>
      <c r="C19474" s="5" t="str">
        <f>IFERROR(__xludf.DUMMYFUNCTION("GOOGLETRANSLATE(B19474,""en"",""de"")"),"Ein Mann und eine Frau stehen an einem Tisch, der mit der Kamera spricht.")</f>
        <v>Ein Mann und eine Frau stehen an einem Tisch, der mit der Kamera spricht.</v>
      </c>
    </row>
    <row r="19475">
      <c r="A19475" s="4" t="s">
        <v>24510</v>
      </c>
      <c r="B19475" s="4" t="s">
        <v>24512</v>
      </c>
      <c r="C19475" s="5" t="str">
        <f>IFERROR(__xludf.DUMMYFUNCTION("GOOGLETRANSLATE(B19475,""en"",""de"")"),"Auf dem Tisch sitzt ein Rezept von Kartoffelpüree.")</f>
        <v>Auf dem Tisch sitzt ein Rezept von Kartoffelpüree.</v>
      </c>
    </row>
    <row r="19476">
      <c r="A19476" s="4" t="s">
        <v>24510</v>
      </c>
      <c r="B19476" s="4" t="s">
        <v>24513</v>
      </c>
      <c r="C19476" s="5" t="str">
        <f>IFERROR(__xludf.DUMMYFUNCTION("GOOGLETRANSLATE(B19476,""en"",""de"")"),"Der Mann schält und schneidet Kartoffeln, bevor er sie in einen gelben Topf wirft.")</f>
        <v>Der Mann schält und schneidet Kartoffeln, bevor er sie in einen gelben Topf wirft.</v>
      </c>
    </row>
    <row r="19477">
      <c r="A19477" s="4" t="s">
        <v>24510</v>
      </c>
      <c r="B19477" s="4" t="s">
        <v>24514</v>
      </c>
      <c r="C19477" s="5" t="str">
        <f>IFERROR(__xludf.DUMMYFUNCTION("GOOGLETRANSLATE(B19477,""en"",""de"")"),"Der Mann wirft drei Handvoll Salz in den gelben Topf.")</f>
        <v>Der Mann wirft drei Handvoll Salz in den gelben Topf.</v>
      </c>
    </row>
    <row r="19478">
      <c r="A19478" s="4" t="s">
        <v>24510</v>
      </c>
      <c r="B19478" s="4" t="s">
        <v>24515</v>
      </c>
      <c r="C19478" s="5" t="str">
        <f>IFERROR(__xludf.DUMMYFUNCTION("GOOGLETRANSLATE(B19478,""en"",""de"")"),"Der Mann schneidet etwas Knoblauch.")</f>
        <v>Der Mann schneidet etwas Knoblauch.</v>
      </c>
    </row>
    <row r="19479">
      <c r="A19479" s="4" t="s">
        <v>24510</v>
      </c>
      <c r="B19479" s="4" t="s">
        <v>24516</v>
      </c>
      <c r="C19479" s="5" t="str">
        <f>IFERROR(__xludf.DUMMYFUNCTION("GOOGLETRANSLATE(B19479,""en"",""de"")"),"In den Topf wirft der Mann den Knoblauch zusammen mit zwei Blättern.")</f>
        <v>In den Topf wirft der Mann den Knoblauch zusammen mit zwei Blättern.</v>
      </c>
    </row>
    <row r="19480">
      <c r="A19480" s="4" t="s">
        <v>24510</v>
      </c>
      <c r="B19480" s="4" t="s">
        <v>24517</v>
      </c>
      <c r="C19480" s="5" t="str">
        <f>IFERROR(__xludf.DUMMYFUNCTION("GOOGLETRANSLATE(B19480,""en"",""de"")"),"Die Frau schließt sich dem Mann am Tisch an und sie schneidet Butter in zwei Hälften.")</f>
        <v>Die Frau schließt sich dem Mann am Tisch an und sie schneidet Butter in zwei Hälften.</v>
      </c>
    </row>
    <row r="19481">
      <c r="A19481" s="4" t="s">
        <v>24510</v>
      </c>
      <c r="B19481" s="4" t="s">
        <v>24518</v>
      </c>
      <c r="C19481" s="5" t="str">
        <f>IFERROR(__xludf.DUMMYFUNCTION("GOOGLETRANSLATE(B19481,""en"",""de"")"),"Die Frau wirft die Butter in einen Topf.")</f>
        <v>Die Frau wirft die Butter in einen Topf.</v>
      </c>
    </row>
    <row r="19482">
      <c r="A19482" s="4" t="s">
        <v>24510</v>
      </c>
      <c r="B19482" s="4" t="s">
        <v>24519</v>
      </c>
      <c r="C19482" s="5" t="str">
        <f>IFERROR(__xludf.DUMMYFUNCTION("GOOGLETRANSLATE(B19482,""en"",""de"")"),"Der Mann spricht kurz zu ihr und die Frau fährt fort, etwas Milch in den Topf zu gießen.")</f>
        <v>Der Mann spricht kurz zu ihr und die Frau fährt fort, etwas Milch in den Topf zu gießen.</v>
      </c>
    </row>
    <row r="19483">
      <c r="A19483" s="4" t="s">
        <v>24510</v>
      </c>
      <c r="B19483" s="4" t="s">
        <v>24520</v>
      </c>
      <c r="C19483" s="5" t="str">
        <f>IFERROR(__xludf.DUMMYFUNCTION("GOOGLETRANSLATE(B19483,""en"",""de"")"),"Der Mann legt den gelben Topf und den Topf auf den Herd.")</f>
        <v>Der Mann legt den gelben Topf und den Topf auf den Herd.</v>
      </c>
    </row>
    <row r="19484">
      <c r="A19484" s="4" t="s">
        <v>24510</v>
      </c>
      <c r="B19484" s="4" t="s">
        <v>24521</v>
      </c>
      <c r="C19484" s="5" t="str">
        <f>IFERROR(__xludf.DUMMYFUNCTION("GOOGLETRANSLATE(B19484,""en"",""de"")"),"Der Mann schnappt sich den Deckel des Topfes und bedeckt den Topf.")</f>
        <v>Der Mann schnappt sich den Deckel des Topfes und bedeckt den Topf.</v>
      </c>
    </row>
    <row r="19485">
      <c r="A19485" s="4" t="s">
        <v>24510</v>
      </c>
      <c r="B19485" s="4" t="s">
        <v>24522</v>
      </c>
      <c r="C19485" s="5" t="str">
        <f>IFERROR(__xludf.DUMMYFUNCTION("GOOGLETRANSLATE(B19485,""en"",""de"")"),"Zurück am Tisch entfernt der Mann den Deckel aus dem Topf und entfernt die Blätter.")</f>
        <v>Zurück am Tisch entfernt der Mann den Deckel aus dem Topf und entfernt die Blätter.</v>
      </c>
    </row>
    <row r="19486">
      <c r="A19486" s="4" t="s">
        <v>24510</v>
      </c>
      <c r="B19486" s="4" t="s">
        <v>24523</v>
      </c>
      <c r="C19486" s="5" t="str">
        <f>IFERROR(__xludf.DUMMYFUNCTION("GOOGLETRANSLATE(B19486,""en"",""de"")"),"Der Mann zerdrückt die Kartoffeln.")</f>
        <v>Der Mann zerdrückt die Kartoffeln.</v>
      </c>
    </row>
    <row r="19487">
      <c r="A19487" s="4" t="s">
        <v>24510</v>
      </c>
      <c r="B19487" s="4" t="s">
        <v>24524</v>
      </c>
      <c r="C19487" s="5" t="str">
        <f>IFERROR(__xludf.DUMMYFUNCTION("GOOGLETRANSLATE(B19487,""en"",""de"")"),"Der Mann wirft eine Prise Salz auf die Kartoffeln.")</f>
        <v>Der Mann wirft eine Prise Salz auf die Kartoffeln.</v>
      </c>
    </row>
    <row r="19488">
      <c r="A19488" s="4" t="s">
        <v>24510</v>
      </c>
      <c r="B19488" s="4" t="s">
        <v>24525</v>
      </c>
      <c r="C19488" s="5" t="str">
        <f>IFERROR(__xludf.DUMMYFUNCTION("GOOGLETRANSLATE(B19488,""en"",""de"")"),"Der Mann nimmt wieder die Kartoffeln auf.")</f>
        <v>Der Mann nimmt wieder die Kartoffeln auf.</v>
      </c>
    </row>
    <row r="19489">
      <c r="A19489" s="4" t="s">
        <v>24510</v>
      </c>
      <c r="B19489" s="4" t="s">
        <v>24526</v>
      </c>
      <c r="C19489" s="5" t="str">
        <f>IFERROR(__xludf.DUMMYFUNCTION("GOOGLETRANSLATE(B19489,""en"",""de"")"),"Der Mann gießt die Milch aus dem Topf in den Topf.")</f>
        <v>Der Mann gießt die Milch aus dem Topf in den Topf.</v>
      </c>
    </row>
    <row r="19490">
      <c r="A19490" s="4" t="s">
        <v>24510</v>
      </c>
      <c r="B19490" s="4" t="s">
        <v>24527</v>
      </c>
      <c r="C19490" s="5" t="str">
        <f>IFERROR(__xludf.DUMMYFUNCTION("GOOGLETRANSLATE(B19490,""en"",""de"")"),"Der Mann zerdrückt die Kartoffeln noch mehr.")</f>
        <v>Der Mann zerdrückt die Kartoffeln noch mehr.</v>
      </c>
    </row>
    <row r="19491">
      <c r="A19491" s="4" t="s">
        <v>24510</v>
      </c>
      <c r="B19491" s="4" t="s">
        <v>24528</v>
      </c>
      <c r="C19491" s="5" t="str">
        <f>IFERROR(__xludf.DUMMYFUNCTION("GOOGLETRANSLATE(B19491,""en"",""de"")"),"Der Mann schnappt sich etwas Pfeffer und wirft es auf die Kartoffeln.")</f>
        <v>Der Mann schnappt sich etwas Pfeffer und wirft es auf die Kartoffeln.</v>
      </c>
    </row>
    <row r="19492">
      <c r="A19492" s="4" t="s">
        <v>24510</v>
      </c>
      <c r="B19492" s="4" t="s">
        <v>24529</v>
      </c>
      <c r="C19492" s="5" t="str">
        <f>IFERROR(__xludf.DUMMYFUNCTION("GOOGLETRANSLATE(B19492,""en"",""de"")"),"Der Mann fügt mehr Milch hinzu.")</f>
        <v>Der Mann fügt mehr Milch hinzu.</v>
      </c>
    </row>
    <row r="19493">
      <c r="A19493" s="4" t="s">
        <v>24510</v>
      </c>
      <c r="B19493" s="4" t="s">
        <v>24530</v>
      </c>
      <c r="C19493" s="5" t="str">
        <f>IFERROR(__xludf.DUMMYFUNCTION("GOOGLETRANSLATE(B19493,""en"",""de"")"),"Der Mann kehrt zurück, um die Kartoffeln zu zerdrücken und sie zu rühren, da sie gründlich weich werden.")</f>
        <v>Der Mann kehrt zurück, um die Kartoffeln zu zerdrücken und sie zu rühren, da sie gründlich weich werden.</v>
      </c>
    </row>
    <row r="19494">
      <c r="A19494" s="4" t="s">
        <v>24510</v>
      </c>
      <c r="B19494" s="4" t="s">
        <v>24531</v>
      </c>
      <c r="C19494" s="5" t="str">
        <f>IFERROR(__xludf.DUMMYFUNCTION("GOOGLETRANSLATE(B19494,""en"",""de"")"),"Der Mann pausiert eine Sekunde lang, um etwas Wasser einzuwerfen, und nimmt die Kartoffeln wieder auf.")</f>
        <v>Der Mann pausiert eine Sekunde lang, um etwas Wasser einzuwerfen, und nimmt die Kartoffeln wieder auf.</v>
      </c>
    </row>
    <row r="19495">
      <c r="A19495" s="4" t="s">
        <v>24510</v>
      </c>
      <c r="B19495" s="4" t="s">
        <v>24532</v>
      </c>
      <c r="C19495" s="5" t="str">
        <f>IFERROR(__xludf.DUMMYFUNCTION("GOOGLETRANSLATE(B19495,""en"",""de"")"),"Das fertige Kartoffelgericht bleibt auf einer Theke.")</f>
        <v>Das fertige Kartoffelgericht bleibt auf einer Theke.</v>
      </c>
    </row>
    <row r="19496">
      <c r="A19496" s="4" t="s">
        <v>24533</v>
      </c>
      <c r="B19496" s="4" t="s">
        <v>24534</v>
      </c>
      <c r="C19496" s="5" t="str">
        <f>IFERROR(__xludf.DUMMYFUNCTION("GOOGLETRANSLATE(B19496,""en"",""de"")"),"Eine Nahaufnahme eines Bretts mit mehreren Pucks um die Seite.")</f>
        <v>Eine Nahaufnahme eines Bretts mit mehreren Pucks um die Seite.</v>
      </c>
    </row>
    <row r="19497">
      <c r="A19497" s="4" t="s">
        <v>24533</v>
      </c>
      <c r="B19497" s="4" t="s">
        <v>24535</v>
      </c>
      <c r="C19497" s="5" t="str">
        <f>IFERROR(__xludf.DUMMYFUNCTION("GOOGLETRANSLATE(B19497,""en"",""de"")"),"Plötzlich wird ein weiterer Puck heruntergedrückt und in andere geschlagen, während die Leute zuschauen.")</f>
        <v>Plötzlich wird ein weiterer Puck heruntergedrückt und in andere geschlagen, während die Leute zuschauen.</v>
      </c>
    </row>
    <row r="19498">
      <c r="A19498" s="4" t="s">
        <v>24536</v>
      </c>
      <c r="B19498" s="4" t="s">
        <v>24537</v>
      </c>
      <c r="C19498" s="5" t="str">
        <f>IFERROR(__xludf.DUMMYFUNCTION("GOOGLETRANSLATE(B19498,""en"",""de"")"),"Zwei Männer sind neben einem Auto und ein drittes Bestand.")</f>
        <v>Zwei Männer sind neben einem Auto und ein drittes Bestand.</v>
      </c>
    </row>
    <row r="19499">
      <c r="A19499" s="4" t="s">
        <v>24536</v>
      </c>
      <c r="B19499" s="4" t="s">
        <v>24538</v>
      </c>
      <c r="C19499" s="5" t="str">
        <f>IFERROR(__xludf.DUMMYFUNCTION("GOOGLETRANSLATE(B19499,""en"",""de"")"),"Sie entfernen den Reifen, während ein anderer Mann Fotos macht.")</f>
        <v>Sie entfernen den Reifen, während ein anderer Mann Fotos macht.</v>
      </c>
    </row>
    <row r="19500">
      <c r="A19500" s="4" t="s">
        <v>24536</v>
      </c>
      <c r="B19500" s="4" t="s">
        <v>24539</v>
      </c>
      <c r="C19500" s="5" t="str">
        <f>IFERROR(__xludf.DUMMYFUNCTION("GOOGLETRANSLATE(B19500,""en"",""de"")"),"Die beiden Männer wechseln den Reifen und setzen einen Ersatz an.")</f>
        <v>Die beiden Männer wechseln den Reifen und setzen einen Ersatz an.</v>
      </c>
    </row>
    <row r="19501">
      <c r="A19501" s="4" t="s">
        <v>24540</v>
      </c>
      <c r="B19501" s="4" t="s">
        <v>24541</v>
      </c>
      <c r="C19501" s="5" t="str">
        <f>IFERROR(__xludf.DUMMYFUNCTION("GOOGLETRANSLATE(B19501,""en"",""de"")"),"Eine Frau trägt einen schweren Ball und steht auf einem Kreis.")</f>
        <v>Eine Frau trägt einen schweren Ball und steht auf einem Kreis.</v>
      </c>
    </row>
    <row r="19502">
      <c r="A19502" s="4" t="s">
        <v>24540</v>
      </c>
      <c r="B19502" s="4" t="s">
        <v>24542</v>
      </c>
      <c r="C19502" s="5" t="str">
        <f>IFERROR(__xludf.DUMMYFUNCTION("GOOGLETRANSLATE(B19502,""en"",""de"")"),"Dann dreht die Frau das Gewicht.")</f>
        <v>Dann dreht die Frau das Gewicht.</v>
      </c>
    </row>
    <row r="19503">
      <c r="A19503" s="4" t="s">
        <v>24540</v>
      </c>
      <c r="B19503" s="4" t="s">
        <v>24543</v>
      </c>
      <c r="C19503" s="5" t="str">
        <f>IFERROR(__xludf.DUMMYFUNCTION("GOOGLETRANSLATE(B19503,""en"",""de"")"),"Dann wirft die Frau das Gewicht.")</f>
        <v>Dann wirft die Frau das Gewicht.</v>
      </c>
    </row>
    <row r="19504">
      <c r="A19504" s="4" t="s">
        <v>24544</v>
      </c>
      <c r="B19504" s="4" t="s">
        <v>24545</v>
      </c>
      <c r="C19504" s="5" t="str">
        <f>IFERROR(__xludf.DUMMYFUNCTION("GOOGLETRANSLATE(B19504,""en"",""de"")"),"Die Kinder sind auf der Schaukel, während ein Kind steht und einen kleinen Hund auf die Schaukel schiebt.")</f>
        <v>Die Kinder sind auf der Schaukel, während ein Kind steht und einen kleinen Hund auf die Schaukel schiebt.</v>
      </c>
    </row>
    <row r="19505">
      <c r="A19505" s="4" t="s">
        <v>24544</v>
      </c>
      <c r="B19505" s="4" t="s">
        <v>24546</v>
      </c>
      <c r="C19505" s="5" t="str">
        <f>IFERROR(__xludf.DUMMYFUNCTION("GOOGLETRANSLATE(B19505,""en"",""de"")"),"Drei Biker fahren dort Fahrrad auf dem Parkplatz, der am Schaukelbereich vorbeikommt.")</f>
        <v>Drei Biker fahren dort Fahrrad auf dem Parkplatz, der am Schaukelbereich vorbeikommt.</v>
      </c>
    </row>
    <row r="19506">
      <c r="A19506" s="4" t="s">
        <v>24544</v>
      </c>
      <c r="B19506" s="4" t="s">
        <v>24547</v>
      </c>
      <c r="C19506" s="5" t="str">
        <f>IFERROR(__xludf.DUMMYFUNCTION("GOOGLETRANSLATE(B19506,""en"",""de"")"),"Eine Frau joggt dann auch auf dem Bürgersteig den Schwungbereich.")</f>
        <v>Eine Frau joggt dann auch auf dem Bürgersteig den Schwungbereich.</v>
      </c>
    </row>
    <row r="19507">
      <c r="A19507" s="4" t="s">
        <v>24548</v>
      </c>
      <c r="B19507" s="4" t="s">
        <v>24549</v>
      </c>
      <c r="C19507" s="5" t="str">
        <f>IFERROR(__xludf.DUMMYFUNCTION("GOOGLETRANSLATE(B19507,""en"",""de"")"),"Zwei junge Männer sitzen an einem Schreibtisch hinter zwei Mikrofonen und zwei Computern.")</f>
        <v>Zwei junge Männer sitzen an einem Schreibtisch hinter zwei Mikrofonen und zwei Computern.</v>
      </c>
    </row>
    <row r="19508">
      <c r="A19508" s="4" t="s">
        <v>24548</v>
      </c>
      <c r="B19508" s="4" t="s">
        <v>24550</v>
      </c>
      <c r="C19508" s="5" t="str">
        <f>IFERROR(__xludf.DUMMYFUNCTION("GOOGLETRANSLATE(B19508,""en"",""de"")"),"Ein Junge geht und die anderen Jungs bleiben, um seine Sachen zu sammeln.")</f>
        <v>Ein Junge geht und die anderen Jungs bleiben, um seine Sachen zu sammeln.</v>
      </c>
    </row>
    <row r="19509">
      <c r="A19509" s="4" t="s">
        <v>24548</v>
      </c>
      <c r="B19509" s="4" t="s">
        <v>24551</v>
      </c>
      <c r="C19509" s="5" t="str">
        <f>IFERROR(__xludf.DUMMYFUNCTION("GOOGLETRANSLATE(B19509,""en"",""de"")"),"Während er zusammenpackt, kommt eine junge Frau herein und schließt die Ausrüstung ab und räumt um den Radiosender auf.")</f>
        <v>Während er zusammenpackt, kommt eine junge Frau herein und schließt die Ausrüstung ab und räumt um den Radiosender auf.</v>
      </c>
    </row>
    <row r="19510">
      <c r="A19510" s="4" t="s">
        <v>24548</v>
      </c>
      <c r="B19510" s="4" t="s">
        <v>24552</v>
      </c>
      <c r="C19510" s="5" t="str">
        <f>IFERROR(__xludf.DUMMYFUNCTION("GOOGLETRANSLATE(B19510,""en"",""de"")"),"Sobald alles verpackt ist, geht der Junge und beginnt Küsse in die Kamera zu blasen.")</f>
        <v>Sobald alles verpackt ist, geht der Junge und beginnt Küsse in die Kamera zu blasen.</v>
      </c>
    </row>
    <row r="19511">
      <c r="A19511" s="4" t="s">
        <v>24553</v>
      </c>
      <c r="B19511" s="4" t="s">
        <v>24554</v>
      </c>
      <c r="C19511" s="5" t="str">
        <f>IFERROR(__xludf.DUMMYFUNCTION("GOOGLETRANSLATE(B19511,""en"",""de"")"),"Ein Mann, der schwarz gekleidet ist, geht durch eine lange Halle in einem Palast.")</f>
        <v>Ein Mann, der schwarz gekleidet ist, geht durch eine lange Halle in einem Palast.</v>
      </c>
    </row>
    <row r="19512">
      <c r="A19512" s="4" t="s">
        <v>24553</v>
      </c>
      <c r="B19512" s="4" t="s">
        <v>24555</v>
      </c>
      <c r="C19512" s="5" t="str">
        <f>IFERROR(__xludf.DUMMYFUNCTION("GOOGLETRANSLATE(B19512,""en"",""de"")"),"Zwei Männer in weißem Training, die sich dehnen und sich auf ein Zaunspiel vorbereiten, während ein Trainer mit einem schwarzen Blick mit einem Butler im hinteren Bereich steht.")</f>
        <v>Zwei Männer in weißem Training, die sich dehnen und sich auf ein Zaunspiel vorbereiten, während ein Trainer mit einem schwarzen Blick mit einem Butler im hinteren Bereich steht.</v>
      </c>
    </row>
    <row r="19513">
      <c r="A19513" s="4" t="s">
        <v>24553</v>
      </c>
      <c r="B19513" s="4" t="s">
        <v>24556</v>
      </c>
      <c r="C19513" s="5" t="str">
        <f>IFERROR(__xludf.DUMMYFUNCTION("GOOGLETRANSLATE(B19513,""en"",""de"")"),"Die beiden in Weiß gekleideten Männer legten ihre Zaunmasken an und beginnen ein Zaunspiel.")</f>
        <v>Die beiden in Weiß gekleideten Männer legten ihre Zaunmasken an und beginnen ein Zaunspiel.</v>
      </c>
    </row>
    <row r="19514">
      <c r="A19514" s="4" t="s">
        <v>24553</v>
      </c>
      <c r="B19514" s="4" t="s">
        <v>24557</v>
      </c>
      <c r="C19514" s="5" t="str">
        <f>IFERROR(__xludf.DUMMYFUNCTION("GOOGLETRANSLATE(B19514,""en"",""de"")"),"Der schwarz gekleidete Trainer beginnt, die beiden Fechter zu kritisieren und hält die Spitzen der Schwerter in der Hand.")</f>
        <v>Der schwarz gekleidete Trainer beginnt, die beiden Fechter zu kritisieren und hält die Spitzen der Schwerter in der Hand.</v>
      </c>
    </row>
    <row r="19515">
      <c r="A19515" s="4" t="s">
        <v>24553</v>
      </c>
      <c r="B19515" s="4" t="s">
        <v>24558</v>
      </c>
      <c r="C19515" s="5" t="str">
        <f>IFERROR(__xludf.DUMMYFUNCTION("GOOGLETRANSLATE(B19515,""en"",""de"")"),"Der Trainer dreht sich um und geht zum Butler und beginnt sich zu unterhalten.")</f>
        <v>Der Trainer dreht sich um und geht zum Butler und beginnt sich zu unterhalten.</v>
      </c>
    </row>
    <row r="19516">
      <c r="A19516" s="4" t="s">
        <v>24559</v>
      </c>
      <c r="B19516" s="4" t="s">
        <v>24560</v>
      </c>
      <c r="C19516" s="5" t="str">
        <f>IFERROR(__xludf.DUMMYFUNCTION("GOOGLETRANSLATE(B19516,""en"",""de"")"),"Ein Gewichtheber steht auf einer Holzplattform in einem Fitnessraum und hebt stark gewichtete Barglocken über seinem Kopf, mehrmals, während sie von Zuschauern umgeben sind.")</f>
        <v>Ein Gewichtheber steht auf einer Holzplattform in einem Fitnessraum und hebt stark gewichtete Barglocken über seinem Kopf, mehrmals, während sie von Zuschauern umgeben sind.</v>
      </c>
    </row>
    <row r="19517">
      <c r="A19517" s="4" t="s">
        <v>24559</v>
      </c>
      <c r="B19517" s="4" t="s">
        <v>24561</v>
      </c>
      <c r="C19517" s="5" t="str">
        <f>IFERROR(__xludf.DUMMYFUNCTION("GOOGLETRANSLATE(B19517,""en"",""de"")"),"Ein Gewichtheber hebt über drei Taktglocken über seinem Kopf und hockt unter dem Gewicht, während andere Turnverteidiger zuschauen, während er das Gewicht über seinem Kopf hebt und dann die Glocke auf den Boden fallen lässt.")</f>
        <v>Ein Gewichtheber hebt über drei Taktglocken über seinem Kopf und hockt unter dem Gewicht, während andere Turnverteidiger zuschauen, während er das Gewicht über seinem Kopf hebt und dann die Glocke auf den Boden fallen lässt.</v>
      </c>
    </row>
    <row r="19518">
      <c r="A19518" s="4" t="s">
        <v>24559</v>
      </c>
      <c r="B19518" s="4" t="s">
        <v>24562</v>
      </c>
      <c r="C19518" s="5" t="str">
        <f>IFERROR(__xludf.DUMMYFUNCTION("GOOGLETRANSLATE(B19518,""en"",""de"")"),"Der Mann führt zuerst mehrere weitere Aufzüge der Glocke durch und hebt dann die Glocke zu den Schultern, bevor er das Gewicht auf den Boden wirft.")</f>
        <v>Der Mann führt zuerst mehrere weitere Aufzüge der Glocke durch und hebt dann die Glocke zu den Schultern, bevor er das Gewicht auf den Boden wirft.</v>
      </c>
    </row>
    <row r="19519">
      <c r="A19519" s="4" t="s">
        <v>24559</v>
      </c>
      <c r="B19519" s="4" t="s">
        <v>24563</v>
      </c>
      <c r="C19519" s="5" t="str">
        <f>IFERROR(__xludf.DUMMYFUNCTION("GOOGLETRANSLATE(B19519,""en"",""de"")"),"Der Mann schüttelt die Hände und umarmt die Zuschauer, wenn sie mit der Demonstration durchlaufen.")</f>
        <v>Der Mann schüttelt die Hände und umarmt die Zuschauer, wenn sie mit der Demonstration durchlaufen.</v>
      </c>
    </row>
    <row r="19520">
      <c r="A19520" s="4" t="s">
        <v>24564</v>
      </c>
      <c r="B19520" s="4" t="s">
        <v>24565</v>
      </c>
      <c r="C19520" s="5" t="str">
        <f>IFERROR(__xludf.DUMMYFUNCTION("GOOGLETRANSLATE(B19520,""en"",""de"")"),"Eine Frau sitzt auf einem Stuhl mit einer Frau, die hinter ihr steht.")</f>
        <v>Eine Frau sitzt auf einem Stuhl mit einer Frau, die hinter ihr steht.</v>
      </c>
    </row>
    <row r="19521">
      <c r="A19521" s="4" t="s">
        <v>24564</v>
      </c>
      <c r="B19521" s="4" t="s">
        <v>24566</v>
      </c>
      <c r="C19521" s="5" t="str">
        <f>IFERROR(__xludf.DUMMYFUNCTION("GOOGLETRANSLATE(B19521,""en"",""de"")"),"Die Frau beginnt, die Haare der Frau zu bürsten.")</f>
        <v>Die Frau beginnt, die Haare der Frau zu bürsten.</v>
      </c>
    </row>
    <row r="19522">
      <c r="A19522" s="4" t="s">
        <v>24564</v>
      </c>
      <c r="B19522" s="4" t="s">
        <v>24567</v>
      </c>
      <c r="C19522" s="5" t="str">
        <f>IFERROR(__xludf.DUMMYFUNCTION("GOOGLETRANSLATE(B19522,""en"",""de"")"),"Sie beginnt die Haare zu flechten.")</f>
        <v>Sie beginnt die Haare zu flechten.</v>
      </c>
    </row>
    <row r="19523">
      <c r="A19523" s="4" t="s">
        <v>24568</v>
      </c>
      <c r="B19523" s="4" t="s">
        <v>24569</v>
      </c>
      <c r="C19523" s="5" t="str">
        <f>IFERROR(__xludf.DUMMYFUNCTION("GOOGLETRANSLATE(B19523,""en"",""de"")"),"Es gibt eine Gruppe von Damen in einem Fitnessstudio in Trainingspops und Strumpfhosen.")</f>
        <v>Es gibt eine Gruppe von Damen in einem Fitnessstudio in Trainingspops und Strumpfhosen.</v>
      </c>
    </row>
    <row r="19524">
      <c r="A19524" s="4" t="s">
        <v>24568</v>
      </c>
      <c r="B19524" s="4" t="s">
        <v>24570</v>
      </c>
      <c r="C19524" s="5" t="str">
        <f>IFERROR(__xludf.DUMMYFUNCTION("GOOGLETRANSLATE(B19524,""en"",""de"")"),"Sie nehmen alle an einer strukturierten Aerobic -Klasse teil.")</f>
        <v>Sie nehmen alle an einer strukturierten Aerobic -Klasse teil.</v>
      </c>
    </row>
    <row r="19525">
      <c r="A19525" s="4" t="s">
        <v>24568</v>
      </c>
      <c r="B19525" s="4" t="s">
        <v>24571</v>
      </c>
      <c r="C19525" s="5" t="str">
        <f>IFERROR(__xludf.DUMMYFUNCTION("GOOGLETRANSLATE(B19525,""en"",""de"")"),"Sie koordinieren ihre Schritte und synchronisieren ihre Bewegungen, wenn sie auf die Plattform treten.")</f>
        <v>Sie koordinieren ihre Schritte und synchronisieren ihre Bewegungen, wenn sie auf die Plattform treten.</v>
      </c>
    </row>
    <row r="19526">
      <c r="A19526" s="4" t="s">
        <v>24568</v>
      </c>
      <c r="B19526" s="4" t="s">
        <v>24572</v>
      </c>
      <c r="C19526" s="5" t="str">
        <f>IFERROR(__xludf.DUMMYFUNCTION("GOOGLETRANSLATE(B19526,""en"",""de"")"),"Sie tanzen, während sie zur Musik trainieren.")</f>
        <v>Sie tanzen, während sie zur Musik trainieren.</v>
      </c>
    </row>
    <row r="19527">
      <c r="A19527" s="4" t="s">
        <v>24568</v>
      </c>
      <c r="B19527" s="4" t="s">
        <v>24573</v>
      </c>
      <c r="C19527" s="5" t="str">
        <f>IFERROR(__xludf.DUMMYFUNCTION("GOOGLETRANSLATE(B19527,""en"",""de"")"),"Nachdem sie fertig sind, halten sie an und erhöhen die Plattformen.")</f>
        <v>Nachdem sie fertig sind, halten sie an und erhöhen die Plattformen.</v>
      </c>
    </row>
    <row r="19528">
      <c r="A19528" s="4" t="s">
        <v>24574</v>
      </c>
      <c r="B19528" s="4" t="s">
        <v>24575</v>
      </c>
      <c r="C19528" s="5" t="str">
        <f>IFERROR(__xludf.DUMMYFUNCTION("GOOGLETRANSLATE(B19528,""en"",""de"")"),"Ein D für ungefähr Dot Com beginnt mit einem Mann in Weiß, der vor einem weißen Hintergrund mit der Kamera spricht.")</f>
        <v>Ein D für ungefähr Dot Com beginnt mit einem Mann in Weiß, der vor einem weißen Hintergrund mit der Kamera spricht.</v>
      </c>
    </row>
    <row r="19529">
      <c r="A19529" s="4" t="s">
        <v>24574</v>
      </c>
      <c r="B19529" s="4" t="s">
        <v>24576</v>
      </c>
      <c r="C19529" s="5" t="str">
        <f>IFERROR(__xludf.DUMMYFUNCTION("GOOGLETRANSLATE(B19529,""en"",""de"")"),"Das Video zeigt dann eine Reihe von Fachleuten, die hart arbeiten und dann zwei Frauen am Strand schneidet.")</f>
        <v>Das Video zeigt dann eine Reihe von Fachleuten, die hart arbeiten und dann zwei Frauen am Strand schneidet.</v>
      </c>
    </row>
    <row r="19530">
      <c r="A19530" s="4" t="s">
        <v>24574</v>
      </c>
      <c r="B19530" s="4" t="s">
        <v>24577</v>
      </c>
      <c r="C19530" s="5" t="str">
        <f>IFERROR(__xludf.DUMMYFUNCTION("GOOGLETRANSLATE(B19530,""en"",""de"")"),"Es wird ein Schuss eines Radfahrers gezeigt und dann in weißem Sprechen auf denselben Mann zurückgeschnitten.")</f>
        <v>Es wird ein Schuss eines Radfahrers gezeigt und dann in weißem Sprechen auf denselben Mann zurückgeschnitten.</v>
      </c>
    </row>
    <row r="19531">
      <c r="A19531" s="4" t="s">
        <v>24574</v>
      </c>
      <c r="B19531" s="4" t="s">
        <v>24578</v>
      </c>
      <c r="C19531" s="5" t="str">
        <f>IFERROR(__xludf.DUMMYFUNCTION("GOOGLETRANSLATE(B19531,""en"",""de"")"),"Eine Frau läuft und der Mann spricht weiter über Fitness -Tipps.")</f>
        <v>Eine Frau läuft und der Mann spricht weiter über Fitness -Tipps.</v>
      </c>
    </row>
    <row r="19532">
      <c r="A19532" s="4" t="s">
        <v>24579</v>
      </c>
      <c r="B19532" s="4" t="s">
        <v>24580</v>
      </c>
      <c r="C19532" s="5" t="str">
        <f>IFERROR(__xludf.DUMMYFUNCTION("GOOGLETRANSLATE(B19532,""en"",""de"")"),"Ein Mann mit einem blauen Hemd geht draußen in ein Treppenkoffer in ein Gebäude.")</f>
        <v>Ein Mann mit einem blauen Hemd geht draußen in ein Treppenkoffer in ein Gebäude.</v>
      </c>
    </row>
    <row r="19533">
      <c r="A19533" s="4" t="s">
        <v>24579</v>
      </c>
      <c r="B19533" s="4" t="s">
        <v>24581</v>
      </c>
      <c r="C19533" s="5" t="str">
        <f>IFERROR(__xludf.DUMMYFUNCTION("GOOGLETRANSLATE(B19533,""en"",""de"")"),"Als er hereinkommt, geht er eine Reihe mehrerer Fahrräder hinunter und stellt eine Kamera auf.")</f>
        <v>Als er hereinkommt, geht er eine Reihe mehrerer Fahrräder hinunter und stellt eine Kamera auf.</v>
      </c>
    </row>
    <row r="19534">
      <c r="A19534" s="4" t="s">
        <v>24579</v>
      </c>
      <c r="B19534" s="4" t="s">
        <v>24582</v>
      </c>
      <c r="C19534" s="5" t="str">
        <f>IFERROR(__xludf.DUMMYFUNCTION("GOOGLETRANSLATE(B19534,""en"",""de"")"),"Der Mann betritt dann einen weiteren Raum mit drei anderen Männern und sie beginnen sich zu entbleichen und montieren mehrere Fahrräder zusammen.")</f>
        <v>Der Mann betritt dann einen weiteren Raum mit drei anderen Männern und sie beginnen sich zu entbleichen und montieren mehrere Fahrräder zusammen.</v>
      </c>
    </row>
    <row r="19535">
      <c r="A19535" s="4" t="s">
        <v>24579</v>
      </c>
      <c r="B19535" s="4" t="s">
        <v>24583</v>
      </c>
      <c r="C19535" s="5" t="str">
        <f>IFERROR(__xludf.DUMMYFUNCTION("GOOGLETRANSLATE(B19535,""en"",""de"")"),"Sobald sie gesichert sind, steigen die Männer auf sie, testen sie aus und ziehen sie den letzten Schliff.")</f>
        <v>Sobald sie gesichert sind, steigen die Männer auf sie, testen sie aus und ziehen sie den letzten Schliff.</v>
      </c>
    </row>
    <row r="19536">
      <c r="A19536" s="4" t="s">
        <v>24579</v>
      </c>
      <c r="B19536" s="4" t="s">
        <v>24584</v>
      </c>
      <c r="C19536" s="5" t="str">
        <f>IFERROR(__xludf.DUMMYFUNCTION("GOOGLETRANSLATE(B19536,""en"",""de"")"),"Die Fahrräder sind endlich fertig und der Mann hebt es bis zur Kamera und fängt an, ihn auf dem Bürgersteig zu reiten.")</f>
        <v>Die Fahrräder sind endlich fertig und der Mann hebt es bis zur Kamera und fängt an, ihn auf dem Bürgersteig zu reiten.</v>
      </c>
    </row>
    <row r="19537">
      <c r="A19537" s="4" t="s">
        <v>24585</v>
      </c>
      <c r="B19537" s="4" t="s">
        <v>24586</v>
      </c>
      <c r="C19537" s="5" t="str">
        <f>IFERROR(__xludf.DUMMYFUNCTION("GOOGLETRANSLATE(B19537,""en"",""de"")"),"Ein Mann fährt mit einem Kamel, in dem ein Wagen mit zwei Passagieren an der Rückseite angebracht ist.")</f>
        <v>Ein Mann fährt mit einem Kamel, in dem ein Wagen mit zwei Passagieren an der Rückseite angebracht ist.</v>
      </c>
    </row>
    <row r="19538">
      <c r="A19538" s="4" t="s">
        <v>24585</v>
      </c>
      <c r="B19538" s="4" t="s">
        <v>24587</v>
      </c>
      <c r="C19538" s="5" t="str">
        <f>IFERROR(__xludf.DUMMYFUNCTION("GOOGLETRANSLATE(B19538,""en"",""de"")"),"Die Leute im Rücken führen ein Gespräch, während sie durch mehrere Leute fahren, die am Rande beobachten.")</f>
        <v>Die Leute im Rücken führen ein Gespräch, während sie durch mehrere Leute fahren, die am Rande beobachten.</v>
      </c>
    </row>
    <row r="19539">
      <c r="A19539" s="4" t="s">
        <v>24585</v>
      </c>
      <c r="B19539" s="4" t="s">
        <v>24588</v>
      </c>
      <c r="C19539" s="5" t="str">
        <f>IFERROR(__xludf.DUMMYFUNCTION("GOOGLETRANSLATE(B19539,""en"",""de"")"),"Der Mann, der mit dem Kamel reitet, lächelt und winkt zur Kamera.")</f>
        <v>Der Mann, der mit dem Kamel reitet, lächelt und winkt zur Kamera.</v>
      </c>
    </row>
    <row r="19540">
      <c r="A19540" s="4" t="s">
        <v>24589</v>
      </c>
      <c r="B19540" s="4" t="s">
        <v>24590</v>
      </c>
      <c r="C19540" s="5" t="str">
        <f>IFERROR(__xludf.DUMMYFUNCTION("GOOGLETRANSLATE(B19540,""en"",""de"")"),"Eine Gruppe von Athleten ist draußen auf einer Strecke.")</f>
        <v>Eine Gruppe von Athleten ist draußen auf einer Strecke.</v>
      </c>
    </row>
    <row r="19541">
      <c r="A19541" s="4" t="s">
        <v>24589</v>
      </c>
      <c r="B19541" s="4" t="s">
        <v>24591</v>
      </c>
      <c r="C19541" s="5" t="str">
        <f>IFERROR(__xludf.DUMMYFUNCTION("GOOGLETRANSLATE(B19541,""en"",""de"")"),"Ein Mann geht den Weg hinunter und rennt dann.")</f>
        <v>Ein Mann geht den Weg hinunter und rennt dann.</v>
      </c>
    </row>
    <row r="19542">
      <c r="A19542" s="4" t="s">
        <v>24589</v>
      </c>
      <c r="B19542" s="4" t="s">
        <v>24592</v>
      </c>
      <c r="C19542" s="5" t="str">
        <f>IFERROR(__xludf.DUMMYFUNCTION("GOOGLETRANSLATE(B19542,""en"",""de"")"),"Er macht einen riesigen Sprung in eine Sandgrube.")</f>
        <v>Er macht einen riesigen Sprung in eine Sandgrube.</v>
      </c>
    </row>
    <row r="19543">
      <c r="A19543" s="4" t="s">
        <v>24593</v>
      </c>
      <c r="B19543" s="4" t="s">
        <v>24594</v>
      </c>
      <c r="C19543" s="5" t="str">
        <f>IFERROR(__xludf.DUMMYFUNCTION("GOOGLETRANSLATE(B19543,""en"",""de"")"),"Eine Gruppe von Menschen, die an einem bewölkten Tag Eisfische auf einem eisbedeckten See sind.")</f>
        <v>Eine Gruppe von Menschen, die an einem bewölkten Tag Eisfische auf einem eisbedeckten See sind.</v>
      </c>
    </row>
    <row r="19544">
      <c r="A19544" s="4" t="s">
        <v>24593</v>
      </c>
      <c r="B19544" s="4" t="s">
        <v>24595</v>
      </c>
      <c r="C19544" s="5" t="str">
        <f>IFERROR(__xludf.DUMMYFUNCTION("GOOGLETRANSLATE(B19544,""en"",""de"")"),"Ein Mann geht auf einen schneebedeckten See und zieht einen Fisch aus einem Fischereiloch.")</f>
        <v>Ein Mann geht auf einen schneebedeckten See und zieht einen Fisch aus einem Fischereiloch.</v>
      </c>
    </row>
    <row r="19545">
      <c r="A19545" s="4" t="s">
        <v>24593</v>
      </c>
      <c r="B19545" s="4" t="s">
        <v>24596</v>
      </c>
      <c r="C19545" s="5" t="str">
        <f>IFERROR(__xludf.DUMMYFUNCTION("GOOGLETRANSLATE(B19545,""en"",""de"")"),"Eine Frau und ein Mann rennen dann auf dem Eis und ziehen einen weiteren Fisch aus einem anderen Loch im See.")</f>
        <v>Eine Frau und ein Mann rennen dann auf dem Eis und ziehen einen weiteren Fisch aus einem anderen Loch im See.</v>
      </c>
    </row>
    <row r="19546">
      <c r="A19546" s="4" t="s">
        <v>24593</v>
      </c>
      <c r="B19546" s="4" t="s">
        <v>24597</v>
      </c>
      <c r="C19546" s="5" t="str">
        <f>IFERROR(__xludf.DUMMYFUNCTION("GOOGLETRANSLATE(B19546,""en"",""de"")"),"Ein dritter Fisch wird aus einem anderen Loch im Eis gezogen und dann in das Loch zurückgeworfen.")</f>
        <v>Ein dritter Fisch wird aus einem anderen Loch im Eis gezogen und dann in das Loch zurückgeworfen.</v>
      </c>
    </row>
    <row r="19547">
      <c r="A19547" s="4" t="s">
        <v>24598</v>
      </c>
      <c r="B19547" s="4" t="s">
        <v>24599</v>
      </c>
      <c r="C19547" s="5" t="str">
        <f>IFERROR(__xludf.DUMMYFUNCTION("GOOGLETRANSLATE(B19547,""en"",""de"")"),"Ein Mann sitzt auf einer Straße.")</f>
        <v>Ein Mann sitzt auf einer Straße.</v>
      </c>
    </row>
    <row r="19548">
      <c r="A19548" s="4" t="s">
        <v>24598</v>
      </c>
      <c r="B19548" s="4" t="s">
        <v>24600</v>
      </c>
      <c r="C19548" s="5" t="str">
        <f>IFERROR(__xludf.DUMMYFUNCTION("GOOGLETRANSLATE(B19548,""en"",""de"")"),"Er spielt ein Instrument neben einem offenen Instrumentenfall.")</f>
        <v>Er spielt ein Instrument neben einem offenen Instrumentenfall.</v>
      </c>
    </row>
    <row r="19549">
      <c r="A19549" s="4" t="s">
        <v>24598</v>
      </c>
      <c r="B19549" s="4" t="s">
        <v>24601</v>
      </c>
      <c r="C19549" s="5" t="str">
        <f>IFERROR(__xludf.DUMMYFUNCTION("GOOGLETRANSLATE(B19549,""en"",""de"")"),"Die Leute geben den Bürgersteig vor ihm weiter.")</f>
        <v>Die Leute geben den Bürgersteig vor ihm weiter.</v>
      </c>
    </row>
    <row r="19550">
      <c r="A19550" s="4" t="s">
        <v>24602</v>
      </c>
      <c r="B19550" s="4" t="s">
        <v>24603</v>
      </c>
      <c r="C19550" s="5" t="str">
        <f>IFERROR(__xludf.DUMMYFUNCTION("GOOGLETRANSLATE(B19550,""en"",""de"")"),"Ein Junge sieht zu, wie ein Semi -LKW durch die Wüste fährt.")</f>
        <v>Ein Junge sieht zu, wie ein Semi -LKW durch die Wüste fährt.</v>
      </c>
    </row>
    <row r="19551">
      <c r="A19551" s="4" t="s">
        <v>24602</v>
      </c>
      <c r="B19551" s="4" t="s">
        <v>24604</v>
      </c>
      <c r="C19551" s="5" t="str">
        <f>IFERROR(__xludf.DUMMYFUNCTION("GOOGLETRANSLATE(B19551,""en"",""de"")"),"Ein Mann zieht seinen Helm an und schiebt auf einem Kajak in den Fluss.")</f>
        <v>Ein Mann zieht seinen Helm an und schiebt auf einem Kajak in den Fluss.</v>
      </c>
    </row>
    <row r="19552">
      <c r="A19552" s="4" t="s">
        <v>24602</v>
      </c>
      <c r="B19552" s="4" t="s">
        <v>24605</v>
      </c>
      <c r="C19552" s="5" t="str">
        <f>IFERROR(__xludf.DUMMYFUNCTION("GOOGLETRANSLATE(B19552,""en"",""de"")"),"Ein Mann paddelt auf Stromschnellen und einen Fluss hinunter auf einem Kajak.")</f>
        <v>Ein Mann paddelt auf Stromschnellen und einen Fluss hinunter auf einem Kajak.</v>
      </c>
    </row>
    <row r="19553">
      <c r="A19553" s="4" t="s">
        <v>24602</v>
      </c>
      <c r="B19553" s="4" t="s">
        <v>24606</v>
      </c>
      <c r="C19553" s="5" t="str">
        <f>IFERROR(__xludf.DUMMYFUNCTION("GOOGLETRANSLATE(B19553,""en"",""de"")"),"Ein Mann fischt aus einem Strand am Ufer eines Flusses.")</f>
        <v>Ein Mann fischt aus einem Strand am Ufer eines Flusses.</v>
      </c>
    </row>
    <row r="19554">
      <c r="A19554" s="4" t="s">
        <v>24602</v>
      </c>
      <c r="B19554" s="4" t="s">
        <v>24607</v>
      </c>
      <c r="C19554" s="5" t="str">
        <f>IFERROR(__xludf.DUMMYFUNCTION("GOOGLETRANSLATE(B19554,""en"",""de"")"),"Eine Gruppe bereitet ein Picknick am Ufer vor.")</f>
        <v>Eine Gruppe bereitet ein Picknick am Ufer vor.</v>
      </c>
    </row>
    <row r="19555">
      <c r="A19555" s="4" t="s">
        <v>24602</v>
      </c>
      <c r="B19555" s="4" t="s">
        <v>24608</v>
      </c>
      <c r="C19555" s="5" t="str">
        <f>IFERROR(__xludf.DUMMYFUNCTION("GOOGLETRANSLATE(B19555,""en"",""de"")"),"Ein Mann dreht sich auf seinem Kajak davon, im Wasser umgedreht zu werden.")</f>
        <v>Ein Mann dreht sich auf seinem Kajak davon, im Wasser umgedreht zu werden.</v>
      </c>
    </row>
    <row r="19556">
      <c r="A19556" s="4" t="s">
        <v>24609</v>
      </c>
      <c r="B19556" s="4" t="s">
        <v>24610</v>
      </c>
      <c r="C19556" s="5" t="str">
        <f>IFERROR(__xludf.DUMMYFUNCTION("GOOGLETRANSLATE(B19556,""en"",""de"")"),"Ein Typ wirft Darts durch den Raum.")</f>
        <v>Ein Typ wirft Darts durch den Raum.</v>
      </c>
    </row>
    <row r="19557">
      <c r="A19557" s="4" t="s">
        <v>24609</v>
      </c>
      <c r="B19557" s="4" t="s">
        <v>24611</v>
      </c>
      <c r="C19557" s="5" t="str">
        <f>IFERROR(__xludf.DUMMYFUNCTION("GOOGLETRANSLATE(B19557,""en"",""de"")"),"Die Geschwindigkeit des Clips wird beschleunigt.")</f>
        <v>Die Geschwindigkeit des Clips wird beschleunigt.</v>
      </c>
    </row>
    <row r="19558">
      <c r="A19558" s="4" t="s">
        <v>24612</v>
      </c>
      <c r="B19558" s="4" t="s">
        <v>24613</v>
      </c>
      <c r="C19558" s="5" t="str">
        <f>IFERROR(__xludf.DUMMYFUNCTION("GOOGLETRANSLATE(B19558,""en"",""de"")"),"Ein Mann und eine Frau stehen in einer Tanzposition.")</f>
        <v>Ein Mann und eine Frau stehen in einer Tanzposition.</v>
      </c>
    </row>
    <row r="19559">
      <c r="A19559" s="4" t="s">
        <v>24612</v>
      </c>
      <c r="B19559" s="4" t="s">
        <v>24614</v>
      </c>
      <c r="C19559" s="5" t="str">
        <f>IFERROR(__xludf.DUMMYFUNCTION("GOOGLETRANSLATE(B19559,""en"",""de"")"),"Sie verschieben sich dann und zeigen langsam verschiedene Schritte.")</f>
        <v>Sie verschieben sich dann und zeigen langsam verschiedene Schritte.</v>
      </c>
    </row>
    <row r="19560">
      <c r="A19560" s="4" t="s">
        <v>24612</v>
      </c>
      <c r="B19560" s="4" t="s">
        <v>24615</v>
      </c>
      <c r="C19560" s="5" t="str">
        <f>IFERROR(__xludf.DUMMYFUNCTION("GOOGLETRANSLATE(B19560,""en"",""de"")"),"Sie tanzen weiter und zeigen, wie man unterschiedliche Bewegungen ausführt.")</f>
        <v>Sie tanzen weiter und zeigen, wie man unterschiedliche Bewegungen ausführt.</v>
      </c>
    </row>
    <row r="19561">
      <c r="A19561" s="4" t="s">
        <v>24616</v>
      </c>
      <c r="B19561" s="4" t="s">
        <v>24617</v>
      </c>
      <c r="C19561" s="5" t="str">
        <f>IFERROR(__xludf.DUMMYFUNCTION("GOOGLETRANSLATE(B19561,""en"",""de"")"),"Ein Shuffleboard sitzt an einer Wand.")</f>
        <v>Ein Shuffleboard sitzt an einer Wand.</v>
      </c>
    </row>
    <row r="19562">
      <c r="A19562" s="4" t="s">
        <v>24616</v>
      </c>
      <c r="B19562" s="4" t="s">
        <v>24618</v>
      </c>
      <c r="C19562" s="5" t="str">
        <f>IFERROR(__xludf.DUMMYFUNCTION("GOOGLETRANSLATE(B19562,""en"",""de"")"),"Jemand wirft einen Ball hinunter.")</f>
        <v>Jemand wirft einen Ball hinunter.</v>
      </c>
    </row>
    <row r="19563">
      <c r="A19563" s="4" t="s">
        <v>24616</v>
      </c>
      <c r="B19563" s="4" t="s">
        <v>24619</v>
      </c>
      <c r="C19563" s="5" t="str">
        <f>IFERROR(__xludf.DUMMYFUNCTION("GOOGLETRANSLATE(B19563,""en"",""de"")"),"Ein grüner Ball kommt danach durch.")</f>
        <v>Ein grüner Ball kommt danach durch.</v>
      </c>
    </row>
    <row r="19564">
      <c r="A19564" s="4" t="s">
        <v>24620</v>
      </c>
      <c r="B19564" s="4" t="s">
        <v>24621</v>
      </c>
      <c r="C19564" s="5" t="str">
        <f>IFERROR(__xludf.DUMMYFUNCTION("GOOGLETRANSLATE(B19564,""en"",""de"")"),"Das Mädchen schießt den Pfeil.")</f>
        <v>Das Mädchen schießt den Pfeil.</v>
      </c>
    </row>
    <row r="19565">
      <c r="A19565" s="4" t="s">
        <v>24620</v>
      </c>
      <c r="B19565" s="4" t="s">
        <v>24622</v>
      </c>
      <c r="C19565" s="5" t="str">
        <f>IFERROR(__xludf.DUMMYFUNCTION("GOOGLETRANSLATE(B19565,""en"",""de"")"),"Fünf junge Leute schießen Pfeile.")</f>
        <v>Fünf junge Leute schießen Pfeile.</v>
      </c>
    </row>
    <row r="19566">
      <c r="A19566" s="4" t="s">
        <v>24620</v>
      </c>
      <c r="B19566" s="4" t="s">
        <v>24623</v>
      </c>
      <c r="C19566" s="5" t="str">
        <f>IFERROR(__xludf.DUMMYFUNCTION("GOOGLETRANSLATE(B19566,""en"",""de"")"),"Die jungen Leute entfernten die Pfeile aus den Zielplatten.")</f>
        <v>Die jungen Leute entfernten die Pfeile aus den Zielplatten.</v>
      </c>
    </row>
    <row r="19567">
      <c r="A19567" s="4" t="s">
        <v>24624</v>
      </c>
      <c r="B19567" s="4" t="s">
        <v>24625</v>
      </c>
      <c r="C19567" s="5" t="str">
        <f>IFERROR(__xludf.DUMMYFUNCTION("GOOGLETRANSLATE(B19567,""en"",""de"")"),"Ein kleines Mädchen spielt leise die Trommeln und hält zwei Stöcke, während sie auf einem Mikrofon singt.")</f>
        <v>Ein kleines Mädchen spielt leise die Trommeln und hält zwei Stöcke, während sie auf einem Mikrofon singt.</v>
      </c>
    </row>
    <row r="19568">
      <c r="A19568" s="4" t="s">
        <v>24624</v>
      </c>
      <c r="B19568" s="4" t="s">
        <v>24626</v>
      </c>
      <c r="C19568" s="5" t="str">
        <f>IFERROR(__xludf.DUMMYFUNCTION("GOOGLETRANSLATE(B19568,""en"",""de"")"),"Das Mädchen spielt schneller die Trommeln.")</f>
        <v>Das Mädchen spielt schneller die Trommeln.</v>
      </c>
    </row>
    <row r="19569">
      <c r="A19569" s="4" t="s">
        <v>24627</v>
      </c>
      <c r="B19569" s="4" t="s">
        <v>24628</v>
      </c>
      <c r="C19569" s="5" t="str">
        <f>IFERROR(__xludf.DUMMYFUNCTION("GOOGLETRANSLATE(B19569,""en"",""de"")"),"Eine Frau legt sich auf einem Stuhl, während ein Mann mit Handschuhen funktioniert.")</f>
        <v>Eine Frau legt sich auf einem Stuhl, während ein Mann mit Handschuhen funktioniert.</v>
      </c>
    </row>
    <row r="19570">
      <c r="A19570" s="4" t="s">
        <v>24627</v>
      </c>
      <c r="B19570" s="4" t="s">
        <v>24629</v>
      </c>
      <c r="C19570" s="5" t="str">
        <f>IFERROR(__xludf.DUMMYFUNCTION("GOOGLETRANSLATE(B19570,""en"",""de"")"),"Er legt Klemmen an verschiedenen Teilen ihrer Nase.")</f>
        <v>Er legt Klemmen an verschiedenen Teilen ihrer Nase.</v>
      </c>
    </row>
    <row r="19571">
      <c r="A19571" s="4" t="s">
        <v>24627</v>
      </c>
      <c r="B19571" s="4" t="s">
        <v>24630</v>
      </c>
      <c r="C19571" s="5" t="str">
        <f>IFERROR(__xludf.DUMMYFUNCTION("GOOGLETRANSLATE(B19571,""en"",""de"")"),"Er fügt dann eine Stange ein, bevor er ein Piercing erstellt.")</f>
        <v>Er fügt dann eine Stange ein, bevor er ein Piercing erstellt.</v>
      </c>
    </row>
    <row r="19572">
      <c r="A19572" s="4" t="s">
        <v>24631</v>
      </c>
      <c r="B19572" s="4" t="s">
        <v>24632</v>
      </c>
      <c r="C19572" s="5" t="str">
        <f>IFERROR(__xludf.DUMMYFUNCTION("GOOGLETRANSLATE(B19572,""en"",""de"")"),"Eine Person in einer grünen Jacke geht auf dem Schnee herum.")</f>
        <v>Eine Person in einer grünen Jacke geht auf dem Schnee herum.</v>
      </c>
    </row>
    <row r="19573">
      <c r="A19573" s="4" t="s">
        <v>24631</v>
      </c>
      <c r="B19573" s="4" t="s">
        <v>24633</v>
      </c>
      <c r="C19573" s="5" t="str">
        <f>IFERROR(__xludf.DUMMYFUNCTION("GOOGLETRANSLATE(B19573,""en"",""de"")"),"Ein junges Mädchen liegt in einer Röhre auf dem Schnee.")</f>
        <v>Ein junges Mädchen liegt in einer Röhre auf dem Schnee.</v>
      </c>
    </row>
    <row r="19574">
      <c r="A19574" s="4" t="s">
        <v>24631</v>
      </c>
      <c r="B19574" s="4" t="s">
        <v>24634</v>
      </c>
      <c r="C19574" s="5" t="str">
        <f>IFERROR(__xludf.DUMMYFUNCTION("GOOGLETRANSLATE(B19574,""en"",""de"")"),"Sie wird dann die Rampe hinuntergeschoben.")</f>
        <v>Sie wird dann die Rampe hinuntergeschoben.</v>
      </c>
    </row>
    <row r="19575">
      <c r="A19575" s="4" t="s">
        <v>24631</v>
      </c>
      <c r="B19575" s="4" t="s">
        <v>24635</v>
      </c>
      <c r="C19575" s="5" t="str">
        <f>IFERROR(__xludf.DUMMYFUNCTION("GOOGLETRANSLATE(B19575,""en"",""de"")"),"Schließlich kommt sie zum Stillstand.")</f>
        <v>Schließlich kommt sie zum Stillstand.</v>
      </c>
    </row>
    <row r="19576">
      <c r="A19576" s="4" t="s">
        <v>24636</v>
      </c>
      <c r="B19576" s="4" t="s">
        <v>24637</v>
      </c>
      <c r="C19576" s="5" t="str">
        <f>IFERROR(__xludf.DUMMYFUNCTION("GOOGLETRANSLATE(B19576,""en"",""de"")"),"Ein sportlicher Mann steht vor einer großen Menge bereit und rennt dann die Strecke hinunter und springt über einen Strahl.")</f>
        <v>Ein sportlicher Mann steht vor einer großen Menge bereit und rennt dann die Strecke hinunter und springt über einen Strahl.</v>
      </c>
    </row>
    <row r="19577">
      <c r="A19577" s="4" t="s">
        <v>24636</v>
      </c>
      <c r="B19577" s="4" t="s">
        <v>24638</v>
      </c>
      <c r="C19577" s="5" t="str">
        <f>IFERROR(__xludf.DUMMYFUNCTION("GOOGLETRANSLATE(B19577,""en"",""de"")"),"Der Mann feiert mit anderen Menschen und der gleiche Sprung wird mehrmals in Zeitlupe gezeigt.")</f>
        <v>Der Mann feiert mit anderen Menschen und der gleiche Sprung wird mehrmals in Zeitlupe gezeigt.</v>
      </c>
    </row>
    <row r="19578">
      <c r="A19578" s="4" t="s">
        <v>24639</v>
      </c>
      <c r="B19578" s="4" t="s">
        <v>24640</v>
      </c>
      <c r="C19578" s="5" t="str">
        <f>IFERROR(__xludf.DUMMYFUNCTION("GOOGLETRANSLATE(B19578,""en"",""de"")"),"Das Video führt zu verschiedenen Text, die auf dem Bildschirm gezeigt werden, gefolgt von Cheerleadern, die eine Routine durchführen.")</f>
        <v>Das Video führt zu verschiedenen Text, die auf dem Bildschirm gezeigt werden, gefolgt von Cheerleadern, die eine Routine durchführen.</v>
      </c>
    </row>
    <row r="19579">
      <c r="A19579" s="4" t="s">
        <v>24639</v>
      </c>
      <c r="B19579" s="4" t="s">
        <v>24641</v>
      </c>
      <c r="C19579" s="5" t="str">
        <f>IFERROR(__xludf.DUMMYFUNCTION("GOOGLETRANSLATE(B19579,""en"",""de"")"),"Mehrere Aufnahmen von jubelnder führenden Darstellern werden gezeigt, dass sie beeindruckende Stunts absolvieren und sich über eine Bühne bewegen, während andere zuschauen.")</f>
        <v>Mehrere Aufnahmen von jubelnder führenden Darstellern werden gezeigt, dass sie beeindruckende Stunts absolvieren und sich über eine Bühne bewegen, während andere zuschauen.</v>
      </c>
    </row>
    <row r="19580">
      <c r="A19580" s="4" t="s">
        <v>24642</v>
      </c>
      <c r="B19580" s="4" t="s">
        <v>24643</v>
      </c>
      <c r="C19580" s="5" t="str">
        <f>IFERROR(__xludf.DUMMYFUNCTION("GOOGLETRANSLATE(B19580,""en"",""de"")"),"Frauen befinden sich in einem Gymnastikwettbewerb und führen in einem überdachten Fitnessstudio mit vielen Menschen, die sich um sie versammelt haben, hohe Sprünge und beobachteten sie.")</f>
        <v>Frauen befinden sich in einem Gymnastikwettbewerb und führen in einem überdachten Fitnessstudio mit vielen Menschen, die sich um sie versammelt haben, hohe Sprünge und beobachteten sie.</v>
      </c>
    </row>
    <row r="19581">
      <c r="A19581" s="4" t="s">
        <v>24642</v>
      </c>
      <c r="B19581" s="4" t="s">
        <v>24644</v>
      </c>
      <c r="C19581" s="5" t="str">
        <f>IFERROR(__xludf.DUMMYFUNCTION("GOOGLETRANSLATE(B19581,""en"",""de"")"),"Die Teilnehmer befinden sich auf dem Podium -Empfang von TheI -Medaillen.")</f>
        <v>Die Teilnehmer befinden sich auf dem Podium -Empfang von TheI -Medaillen.</v>
      </c>
    </row>
    <row r="19582">
      <c r="A19582" s="4" t="s">
        <v>24645</v>
      </c>
      <c r="B19582" s="4" t="s">
        <v>24646</v>
      </c>
      <c r="C19582" s="5" t="str">
        <f>IFERROR(__xludf.DUMMYFUNCTION("GOOGLETRANSLATE(B19582,""en"",""de"")"),"Ein Mann malt einen Zaun als Mann neben ihm den Zaun.")</f>
        <v>Ein Mann malt einen Zaun als Mann neben ihm den Zaun.</v>
      </c>
    </row>
    <row r="19583">
      <c r="A19583" s="4" t="s">
        <v>24645</v>
      </c>
      <c r="B19583" s="4" t="s">
        <v>24647</v>
      </c>
      <c r="C19583" s="5" t="str">
        <f>IFERROR(__xludf.DUMMYFUNCTION("GOOGLETRANSLATE(B19583,""en"",""de"")"),"Beide gehen ein zweites Mal über den Zaun.")</f>
        <v>Beide gehen ein zweites Mal über den Zaun.</v>
      </c>
    </row>
    <row r="19584">
      <c r="A19584" s="4" t="s">
        <v>24645</v>
      </c>
      <c r="B19584" s="4" t="s">
        <v>24648</v>
      </c>
      <c r="C19584" s="5" t="str">
        <f>IFERROR(__xludf.DUMMYFUNCTION("GOOGLETRANSLATE(B19584,""en"",""de"")"),"Sie machen es ein drittes Mal.")</f>
        <v>Sie machen es ein drittes Mal.</v>
      </c>
    </row>
    <row r="19585">
      <c r="A19585" s="4" t="s">
        <v>24645</v>
      </c>
      <c r="B19585" s="4" t="s">
        <v>24649</v>
      </c>
      <c r="C19585" s="5" t="str">
        <f>IFERROR(__xludf.DUMMYFUNCTION("GOOGLETRANSLATE(B19585,""en"",""de"")"),"Und sie machen es ein viertes Mal.")</f>
        <v>Und sie machen es ein viertes Mal.</v>
      </c>
    </row>
    <row r="19586">
      <c r="A19586" s="4" t="s">
        <v>24645</v>
      </c>
      <c r="B19586" s="4" t="s">
        <v>24650</v>
      </c>
      <c r="C19586" s="5" t="str">
        <f>IFERROR(__xludf.DUMMYFUNCTION("GOOGLETRANSLATE(B19586,""en"",""de"")"),"Sie machen es ein fünftes Mal.")</f>
        <v>Sie machen es ein fünftes Mal.</v>
      </c>
    </row>
    <row r="19587">
      <c r="A19587" s="4" t="s">
        <v>24651</v>
      </c>
      <c r="B19587" s="4" t="s">
        <v>24652</v>
      </c>
      <c r="C19587" s="5" t="str">
        <f>IFERROR(__xludf.DUMMYFUNCTION("GOOGLETRANSLATE(B19587,""en"",""de"")"),"Ein Bauarbeiter namens Dave beginnt Ihnen zu zeigen, wie man furut wird.")</f>
        <v>Ein Bauarbeiter namens Dave beginnt Ihnen zu zeigen, wie man furut wird.</v>
      </c>
    </row>
    <row r="19588">
      <c r="A19588" s="4" t="s">
        <v>24651</v>
      </c>
      <c r="B19588" s="4" t="s">
        <v>24653</v>
      </c>
      <c r="C19588" s="5" t="str">
        <f>IFERROR(__xludf.DUMMYFUNCTION("GOOGLETRANSLATE(B19588,""en"",""de"")"),"Er beginnt an der Wand und erklärt zu erklären, was er tut und warum er es tut.")</f>
        <v>Er beginnt an der Wand und erklärt zu erklären, was er tut und warum er es tut.</v>
      </c>
    </row>
    <row r="19589">
      <c r="A19589" s="4" t="s">
        <v>24651</v>
      </c>
      <c r="B19589" s="4" t="s">
        <v>24654</v>
      </c>
      <c r="C19589" s="5" t="str">
        <f>IFERROR(__xludf.DUMMYFUNCTION("GOOGLETRANSLATE(B19589,""en"",""de"")"),"Sobald der Fugenmörtel zu trocknen beginnt, informiert er Sie, dass Sie es mit einem Schwamm verschiedene Zeiten abwischen sollten.")</f>
        <v>Sobald der Fugenmörtel zu trocknen beginnt, informiert er Sie, dass Sie es mit einem Schwamm verschiedene Zeiten abwischen sollten.</v>
      </c>
    </row>
    <row r="19590">
      <c r="A19590" s="4" t="s">
        <v>24651</v>
      </c>
      <c r="B19590" s="4" t="s">
        <v>24655</v>
      </c>
      <c r="C19590" s="5" t="str">
        <f>IFERROR(__xludf.DUMMYFUNCTION("GOOGLETRANSLATE(B19590,""en"",""de"")"),"Mit einem feineren Schwamm gehen Sie wieder durch und holen ihn im Nass heraus, damit es die Fliese und die ganze Arbeit, die Sie geleistet haben, nicht ruiniert.")</f>
        <v>Mit einem feineren Schwamm gehen Sie wieder durch und holen ihn im Nass heraus, damit es die Fliese und die ganze Arbeit, die Sie geleistet haben, nicht ruiniert.</v>
      </c>
    </row>
    <row r="19591">
      <c r="A19591" s="4" t="s">
        <v>24656</v>
      </c>
      <c r="B19591" s="4" t="s">
        <v>24657</v>
      </c>
      <c r="C19591" s="5" t="str">
        <f>IFERROR(__xludf.DUMMYFUNCTION("GOOGLETRANSLATE(B19591,""en"",""de"")"),"Ein Mann trägt Boxhandschuhe und schlägt eine Tasche in der Mitte eines großen Raumes.")</f>
        <v>Ein Mann trägt Boxhandschuhe und schlägt eine Tasche in der Mitte eines großen Raumes.</v>
      </c>
    </row>
    <row r="19592">
      <c r="A19592" s="4" t="s">
        <v>24656</v>
      </c>
      <c r="B19592" s="4" t="s">
        <v>24658</v>
      </c>
      <c r="C19592" s="5" t="str">
        <f>IFERROR(__xludf.DUMMYFUNCTION("GOOGLETRANSLATE(B19592,""en"",""de"")"),"Der Mann schlägt weiterhin auf die Tasche, während mehrere andere im Hintergrund Taschen treffen.")</f>
        <v>Der Mann schlägt weiterhin auf die Tasche, während mehrere andere im Hintergrund Taschen treffen.</v>
      </c>
    </row>
    <row r="19593">
      <c r="A19593" s="4" t="s">
        <v>24656</v>
      </c>
      <c r="B19593" s="4" t="s">
        <v>24659</v>
      </c>
      <c r="C19593" s="5" t="str">
        <f>IFERROR(__xludf.DUMMYFUNCTION("GOOGLETRANSLATE(B19593,""en"",""de"")"),"Er tritt und schlägt die Tasche und endet, indem er zur Kamera geht.")</f>
        <v>Er tritt und schlägt die Tasche und endet, indem er zur Kamera geht.</v>
      </c>
    </row>
    <row r="19594">
      <c r="A19594" s="4" t="s">
        <v>24660</v>
      </c>
      <c r="B19594" s="4" t="s">
        <v>24661</v>
      </c>
      <c r="C19594" s="5" t="str">
        <f>IFERROR(__xludf.DUMMYFUNCTION("GOOGLETRANSLATE(B19594,""en"",""de"")"),"Ein Volleyball dreht sich auf einem Felsvorsprung.")</f>
        <v>Ein Volleyball dreht sich auf einem Felsvorsprung.</v>
      </c>
    </row>
    <row r="19595">
      <c r="A19595" s="4" t="s">
        <v>24660</v>
      </c>
      <c r="B19595" s="4" t="s">
        <v>24662</v>
      </c>
      <c r="C19595" s="5" t="str">
        <f>IFERROR(__xludf.DUMMYFUNCTION("GOOGLETRANSLATE(B19595,""en"",""de"")"),"Wir sehen dann, dass ein Spiel mit Tischtennis gespielt wird, die Spieler, die die Mechanik des Paddels, des Balls und des Tisches beim Spielen zeigen.")</f>
        <v>Wir sehen dann, dass ein Spiel mit Tischtennis gespielt wird, die Spieler, die die Mechanik des Paddels, des Balls und des Tisches beim Spielen zeigen.</v>
      </c>
    </row>
    <row r="19596">
      <c r="A19596" s="4" t="s">
        <v>24663</v>
      </c>
      <c r="B19596" s="4" t="s">
        <v>24664</v>
      </c>
      <c r="C19596" s="5" t="str">
        <f>IFERROR(__xludf.DUMMYFUNCTION("GOOGLETRANSLATE(B19596,""en"",""de"")"),"Ein Mann, der in einem Hof ​​steht und Dudelsack spielt.")</f>
        <v>Ein Mann, der in einem Hof ​​steht und Dudelsack spielt.</v>
      </c>
    </row>
    <row r="19597">
      <c r="A19597" s="4" t="s">
        <v>24663</v>
      </c>
      <c r="B19597" s="4" t="s">
        <v>24665</v>
      </c>
      <c r="C19597" s="5" t="str">
        <f>IFERROR(__xludf.DUMMYFUNCTION("GOOGLETRANSLATE(B19597,""en"",""de"")"),"Der Mann atmet tief durch und bewegt die Schlüssel.")</f>
        <v>Der Mann atmet tief durch und bewegt die Schlüssel.</v>
      </c>
    </row>
    <row r="19598">
      <c r="A19598" s="4" t="s">
        <v>24666</v>
      </c>
      <c r="B19598" s="4" t="s">
        <v>24667</v>
      </c>
      <c r="C19598" s="5" t="str">
        <f>IFERROR(__xludf.DUMMYFUNCTION("GOOGLETRANSLATE(B19598,""en"",""de"")"),"Zwei Personen spielen zusammen in einem Innenplatz Kürbis.")</f>
        <v>Zwei Personen spielen zusammen in einem Innenplatz Kürbis.</v>
      </c>
    </row>
    <row r="19599">
      <c r="A19599" s="4" t="s">
        <v>24666</v>
      </c>
      <c r="B19599" s="4" t="s">
        <v>24668</v>
      </c>
      <c r="C19599" s="5" t="str">
        <f>IFERROR(__xludf.DUMMYFUNCTION("GOOGLETRANSLATE(B19599,""en"",""de"")"),"Einer der Individuen erholt den Ball und dient.")</f>
        <v>Einer der Individuen erholt den Ball und dient.</v>
      </c>
    </row>
    <row r="19600">
      <c r="A19600" s="4" t="s">
        <v>24666</v>
      </c>
      <c r="B19600" s="4" t="s">
        <v>24669</v>
      </c>
      <c r="C19600" s="5" t="str">
        <f>IFERROR(__xludf.DUMMYFUNCTION("GOOGLETRANSLATE(B19600,""en"",""de"")"),"Die gleiche Person erholt sich den Ball und dient erneut.")</f>
        <v>Die gleiche Person erholt sich den Ball und dient erneut.</v>
      </c>
    </row>
    <row r="19601">
      <c r="A19601" s="4" t="s">
        <v>24670</v>
      </c>
      <c r="B19601" s="4" t="s">
        <v>24671</v>
      </c>
      <c r="C19601" s="5" t="str">
        <f>IFERROR(__xludf.DUMMYFUNCTION("GOOGLETRANSLATE(B19601,""en"",""de"")"),"Die Leute fahren in einem Tubing -Resort auf einem Hügel auf einem Hügel.")</f>
        <v>Die Leute fahren in einem Tubing -Resort auf einem Hügel auf einem Hügel.</v>
      </c>
    </row>
    <row r="19602">
      <c r="A19602" s="4" t="s">
        <v>24670</v>
      </c>
      <c r="B19602" s="4" t="s">
        <v>24672</v>
      </c>
      <c r="C19602" s="5" t="str">
        <f>IFERROR(__xludf.DUMMYFUNCTION("GOOGLETRANSLATE(B19602,""en"",""de"")"),"Eine Person reitet einen Röhrchen einen Hügel hinunter.")</f>
        <v>Eine Person reitet einen Röhrchen einen Hügel hinunter.</v>
      </c>
    </row>
    <row r="19603">
      <c r="A19603" s="4" t="s">
        <v>24670</v>
      </c>
      <c r="B19603" s="4" t="s">
        <v>24673</v>
      </c>
      <c r="C19603" s="5" t="str">
        <f>IFERROR(__xludf.DUMMYFUNCTION("GOOGLETRANSLATE(B19603,""en"",""de"")"),"Wir beobachten, wie die Leute den Hügel hinaufgehen und ihre Röhren halten und die Leute den Hügel hinuntergehen.")</f>
        <v>Wir beobachten, wie die Leute den Hügel hinaufgehen und ihre Röhren halten und die Leute den Hügel hinuntergehen.</v>
      </c>
    </row>
    <row r="19604">
      <c r="A19604" s="4" t="s">
        <v>24670</v>
      </c>
      <c r="B19604" s="4" t="s">
        <v>24674</v>
      </c>
      <c r="C19604" s="5" t="str">
        <f>IFERROR(__xludf.DUMMYFUNCTION("GOOGLETRANSLATE(B19604,""en"",""de"")"),"Wir beobachten, wie der Kameramann den Hügel hinunter geht.")</f>
        <v>Wir beobachten, wie der Kameramann den Hügel hinunter geht.</v>
      </c>
    </row>
    <row r="19605">
      <c r="A19605" s="4" t="s">
        <v>24670</v>
      </c>
      <c r="B19605" s="4" t="s">
        <v>3608</v>
      </c>
      <c r="C19605" s="5" t="str">
        <f>IFERROR(__xludf.DUMMYFUNCTION("GOOGLETRANSLATE(B19605,""en"",""de"")"),"Wir sehen den Endbildschirm.")</f>
        <v>Wir sehen den Endbildschirm.</v>
      </c>
    </row>
    <row r="19606">
      <c r="A19606" s="4" t="s">
        <v>24675</v>
      </c>
      <c r="B19606" s="4" t="s">
        <v>24676</v>
      </c>
      <c r="C19606" s="5" t="str">
        <f>IFERROR(__xludf.DUMMYFUNCTION("GOOGLETRANSLATE(B19606,""en"",""de"")"),"Ein Mädchen steht an einer Theke mit verschiedenen Lebensmitteln, die auf der Theke platziert sind.")</f>
        <v>Ein Mädchen steht an einer Theke mit verschiedenen Lebensmitteln, die auf der Theke platziert sind.</v>
      </c>
    </row>
    <row r="19607">
      <c r="A19607" s="4" t="s">
        <v>24675</v>
      </c>
      <c r="B19607" s="4" t="s">
        <v>24677</v>
      </c>
      <c r="C19607" s="5" t="str">
        <f>IFERROR(__xludf.DUMMYFUNCTION("GOOGLETRANSLATE(B19607,""en"",""de"")"),"Sie hält die Zutaten hoch und weist an, was Sie brauchen, um ein Sandwich zuzubereiten.")</f>
        <v>Sie hält die Zutaten hoch und weist an, was Sie brauchen, um ein Sandwich zuzubereiten.</v>
      </c>
    </row>
    <row r="19608">
      <c r="A19608" s="4" t="s">
        <v>24675</v>
      </c>
      <c r="B19608" s="4" t="s">
        <v>24678</v>
      </c>
      <c r="C19608" s="5" t="str">
        <f>IFERROR(__xludf.DUMMYFUNCTION("GOOGLETRANSLATE(B19608,""en"",""de"")"),"Sie fängt an, das Gemüse zu hacken und das Dressing auf das Brot zu legen.")</f>
        <v>Sie fängt an, das Gemüse zu hacken und das Dressing auf das Brot zu legen.</v>
      </c>
    </row>
    <row r="19609">
      <c r="A19609" s="4" t="s">
        <v>24675</v>
      </c>
      <c r="B19609" s="4" t="s">
        <v>24679</v>
      </c>
      <c r="C19609" s="5" t="str">
        <f>IFERROR(__xludf.DUMMYFUNCTION("GOOGLETRANSLATE(B19609,""en"",""de"")"),"Sie breitet sich um das Dressing aus und legt die anderen Zutaten auf das Sandwich.")</f>
        <v>Sie breitet sich um das Dressing aus und legt die anderen Zutaten auf das Sandwich.</v>
      </c>
    </row>
    <row r="19610">
      <c r="A19610" s="4" t="s">
        <v>24680</v>
      </c>
      <c r="B19610" s="4" t="s">
        <v>24681</v>
      </c>
      <c r="C19610" s="5" t="str">
        <f>IFERROR(__xludf.DUMMYFUNCTION("GOOGLETRANSLATE(B19610,""en"",""de"")"),"Wir sehen den Titel über den Bildschirm.")</f>
        <v>Wir sehen den Titel über den Bildschirm.</v>
      </c>
    </row>
    <row r="19611">
      <c r="A19611" s="4" t="s">
        <v>24680</v>
      </c>
      <c r="B19611" s="4" t="s">
        <v>24682</v>
      </c>
      <c r="C19611" s="5" t="str">
        <f>IFERROR(__xludf.DUMMYFUNCTION("GOOGLETRANSLATE(B19611,""en"",""de"")"),"Wir sehen Backvorgänge und Zutaten.")</f>
        <v>Wir sehen Backvorgänge und Zutaten.</v>
      </c>
    </row>
    <row r="19612">
      <c r="A19612" s="4" t="s">
        <v>24680</v>
      </c>
      <c r="B19612" s="4" t="s">
        <v>24683</v>
      </c>
      <c r="C19612" s="5" t="str">
        <f>IFERROR(__xludf.DUMMYFUNCTION("GOOGLETRANSLATE(B19612,""en"",""de"")"),"Jemand rührt Keksteig und legt Kekse auf ein Blatt.")</f>
        <v>Jemand rührt Keksteig und legt Kekse auf ein Blatt.</v>
      </c>
    </row>
    <row r="19613">
      <c r="A19613" s="4" t="s">
        <v>24680</v>
      </c>
      <c r="B19613" s="4" t="s">
        <v>24684</v>
      </c>
      <c r="C19613" s="5" t="str">
        <f>IFERROR(__xludf.DUMMYFUNCTION("GOOGLETRANSLATE(B19613,""en"",""de"")"),"Die Kekse gehen in den Ofen und backen 9 Minuten lang, und eine neue Charge wird in den Ofen gesteckt.")</f>
        <v>Die Kekse gehen in den Ofen und backen 9 Minuten lang, und eine neue Charge wird in den Ofen gesteckt.</v>
      </c>
    </row>
    <row r="19614">
      <c r="A19614" s="4" t="s">
        <v>24680</v>
      </c>
      <c r="B19614" s="4" t="s">
        <v>24685</v>
      </c>
      <c r="C19614" s="5" t="str">
        <f>IFERROR(__xludf.DUMMYFUNCTION("GOOGLETRANSLATE(B19614,""en"",""de"")"),"Die warmen Kekse werden auf ein Kühlregal gestellt.")</f>
        <v>Die warmen Kekse werden auf ein Kühlregal gestellt.</v>
      </c>
    </row>
    <row r="19615">
      <c r="A19615" s="4" t="s">
        <v>24680</v>
      </c>
      <c r="B19615" s="4" t="s">
        <v>24686</v>
      </c>
      <c r="C19615" s="5" t="str">
        <f>IFERROR(__xludf.DUMMYFUNCTION("GOOGLETRANSLATE(B19615,""en"",""de"")"),"Die Person wäscht und entschließt das Silikon -Backblech.")</f>
        <v>Die Person wäscht und entschließt das Silikon -Backblech.</v>
      </c>
    </row>
    <row r="19616">
      <c r="A19616" s="4" t="s">
        <v>24680</v>
      </c>
      <c r="B19616" s="4" t="s">
        <v>24687</v>
      </c>
      <c r="C19616" s="5" t="str">
        <f>IFERROR(__xludf.DUMMYFUNCTION("GOOGLETRANSLATE(B19616,""en"",""de"")"),"Sie rollen das Backblech auf und zeigen uns die fertigen Kühlplätze.")</f>
        <v>Sie rollen das Backblech auf und zeigen uns die fertigen Kühlplätze.</v>
      </c>
    </row>
    <row r="19617">
      <c r="A19617" s="4" t="s">
        <v>24688</v>
      </c>
      <c r="B19617" s="4" t="s">
        <v>24689</v>
      </c>
      <c r="C19617" s="5" t="str">
        <f>IFERROR(__xludf.DUMMYFUNCTION("GOOGLETRANSLATE(B19617,""en"",""de"")"),"Ein Mann steht im Freien auf einem offenen Feld.")</f>
        <v>Ein Mann steht im Freien auf einem offenen Feld.</v>
      </c>
    </row>
    <row r="19618">
      <c r="A19618" s="4" t="s">
        <v>24688</v>
      </c>
      <c r="B19618" s="4" t="s">
        <v>24690</v>
      </c>
      <c r="C19618" s="5" t="str">
        <f>IFERROR(__xludf.DUMMYFUNCTION("GOOGLETRANSLATE(B19618,""en"",""de"")"),"Er benutzt ein Bogenschießen, um sich zurückzuziehen und auf eine fliegende Scheibe zu Pfeil.")</f>
        <v>Er benutzt ein Bogenschießen, um sich zurückzuziehen und auf eine fliegende Scheibe zu Pfeil.</v>
      </c>
    </row>
    <row r="19619">
      <c r="A19619" s="4" t="s">
        <v>24688</v>
      </c>
      <c r="B19619" s="4" t="s">
        <v>24691</v>
      </c>
      <c r="C19619" s="5" t="str">
        <f>IFERROR(__xludf.DUMMYFUNCTION("GOOGLETRANSLATE(B19619,""en"",""de"")"),"Er trifft jedes Mal die Discs mit dem Pfeil.")</f>
        <v>Er trifft jedes Mal die Discs mit dem Pfeil.</v>
      </c>
    </row>
    <row r="19620">
      <c r="A19620" s="4" t="s">
        <v>24692</v>
      </c>
      <c r="B19620" s="4" t="s">
        <v>24693</v>
      </c>
      <c r="C19620" s="5" t="str">
        <f>IFERROR(__xludf.DUMMYFUNCTION("GOOGLETRANSLATE(B19620,""en"",""de"")"),"Eine Kamera zeigt sich auf der Seite eines Pools, das darunter Blase fängt.")</f>
        <v>Eine Kamera zeigt sich auf der Seite eines Pools, das darunter Blase fängt.</v>
      </c>
    </row>
    <row r="19621">
      <c r="A19621" s="4" t="s">
        <v>24692</v>
      </c>
      <c r="B19621" s="4" t="s">
        <v>24694</v>
      </c>
      <c r="C19621" s="5" t="str">
        <f>IFERROR(__xludf.DUMMYFUNCTION("GOOGLETRANSLATE(B19621,""en"",""de"")"),"Weitere Blasen werden angezeigt, gefolgt von einem Mann, der hereinspringt.")</f>
        <v>Weitere Blasen werden angezeigt, gefolgt von einem Mann, der hereinspringt.</v>
      </c>
    </row>
    <row r="19622">
      <c r="A19622" s="4" t="s">
        <v>24692</v>
      </c>
      <c r="B19622" s="4" t="s">
        <v>24695</v>
      </c>
      <c r="C19622" s="5" t="str">
        <f>IFERROR(__xludf.DUMMYFUNCTION("GOOGLETRANSLATE(B19622,""en"",""de"")"),"Der Mann springt den ganzen Weg in den Pool und die Kamera fängt seine Bewegungen ein.")</f>
        <v>Der Mann springt den ganzen Weg in den Pool und die Kamera fängt seine Bewegungen ein.</v>
      </c>
    </row>
    <row r="19623">
      <c r="A19623" s="4" t="s">
        <v>24696</v>
      </c>
      <c r="B19623" s="4" t="s">
        <v>24697</v>
      </c>
      <c r="C19623" s="5" t="str">
        <f>IFERROR(__xludf.DUMMYFUNCTION("GOOGLETRANSLATE(B19623,""en"",""de"")"),"Eine Frau in einem orangefarbenen Hemd sitzt auf einer Übungsmaschine.")</f>
        <v>Eine Frau in einem orangefarbenen Hemd sitzt auf einer Übungsmaschine.</v>
      </c>
    </row>
    <row r="19624">
      <c r="A19624" s="4" t="s">
        <v>24696</v>
      </c>
      <c r="B19624" s="4" t="s">
        <v>6016</v>
      </c>
      <c r="C19624" s="5" t="str">
        <f>IFERROR(__xludf.DUMMYFUNCTION("GOOGLETRANSLATE(B19624,""en"",""de"")"),"Sie beginnt an der Trainingsmaschine zu arbeiten.")</f>
        <v>Sie beginnt an der Trainingsmaschine zu arbeiten.</v>
      </c>
    </row>
    <row r="19625">
      <c r="A19625" s="4" t="s">
        <v>24696</v>
      </c>
      <c r="B19625" s="4" t="s">
        <v>24698</v>
      </c>
      <c r="C19625" s="5" t="str">
        <f>IFERROR(__xludf.DUMMYFUNCTION("GOOGLETRANSLATE(B19625,""en"",""de"")"),"Die Leute gehen an einem Fenster hinter ihr vorbei.")</f>
        <v>Die Leute gehen an einem Fenster hinter ihr vorbei.</v>
      </c>
    </row>
    <row r="19626">
      <c r="A19626" s="4" t="s">
        <v>24699</v>
      </c>
      <c r="B19626" s="4" t="s">
        <v>24700</v>
      </c>
      <c r="C19626" s="5" t="str">
        <f>IFERROR(__xludf.DUMMYFUNCTION("GOOGLETRANSLATE(B19626,""en"",""de"")"),"Ein Mann kniet im Schmutz über einer silbernen Schüssel, die voller Seife ist.")</f>
        <v>Ein Mann kniet im Schmutz über einer silbernen Schüssel, die voller Seife ist.</v>
      </c>
    </row>
    <row r="19627">
      <c r="A19627" s="4" t="s">
        <v>24699</v>
      </c>
      <c r="B19627" s="4" t="s">
        <v>24701</v>
      </c>
      <c r="C19627" s="5" t="str">
        <f>IFERROR(__xludf.DUMMYFUNCTION("GOOGLETRANSLATE(B19627,""en"",""de"")"),"In der großen Schüssel beginnt er ein weißes Hemd zu bewegen, als würde er es waschen.")</f>
        <v>In der großen Schüssel beginnt er ein weißes Hemd zu bewegen, als würde er es waschen.</v>
      </c>
    </row>
    <row r="19628">
      <c r="A19628" s="4" t="s">
        <v>24699</v>
      </c>
      <c r="B19628" s="4" t="s">
        <v>24702</v>
      </c>
      <c r="C19628" s="5" t="str">
        <f>IFERROR(__xludf.DUMMYFUNCTION("GOOGLETRANSLATE(B19628,""en"",""de"")"),"Schließlich hält er an und nimmt einen Schlauch, um das Wasser abzuspülen.")</f>
        <v>Schließlich hält er an und nimmt einen Schlauch, um das Wasser abzuspülen.</v>
      </c>
    </row>
    <row r="19629">
      <c r="A19629" s="4" t="s">
        <v>24703</v>
      </c>
      <c r="B19629" s="4" t="s">
        <v>24704</v>
      </c>
      <c r="C19629" s="5" t="str">
        <f>IFERROR(__xludf.DUMMYFUNCTION("GOOGLETRANSLATE(B19629,""en"",""de"")"),"Eine Person, die Hand hat einen Knopf, gefolgt von ihrem Fuß, der auf einen Knopf tritt, und ein Mann, der ein Eisen hochhält.")</f>
        <v>Eine Person, die Hand hat einen Knopf, gefolgt von ihrem Fuß, der auf einen Knopf tritt, und ein Mann, der ein Eisen hochhält.</v>
      </c>
    </row>
    <row r="19630">
      <c r="A19630" s="4" t="s">
        <v>24703</v>
      </c>
      <c r="B19630" s="4" t="s">
        <v>24705</v>
      </c>
      <c r="C19630" s="5" t="str">
        <f>IFERROR(__xludf.DUMMYFUNCTION("GOOGLETRANSLATE(B19630,""en"",""de"")"),"Er passt mehr Einstellungen an, während er das Eisen testet und beginnt, ein Hemd auf einem Tisch zu bügeln.")</f>
        <v>Er passt mehr Einstellungen an, während er das Eisen testet und beginnt, ein Hemd auf einem Tisch zu bügeln.</v>
      </c>
    </row>
    <row r="19631">
      <c r="A19631" s="4" t="s">
        <v>24703</v>
      </c>
      <c r="B19631" s="4" t="s">
        <v>24706</v>
      </c>
      <c r="C19631" s="5" t="str">
        <f>IFERROR(__xludf.DUMMYFUNCTION("GOOGLETRANSLATE(B19631,""en"",""de"")"),"Die Männer drehen sich weiterhin um das Hemd, das Eisen und die Bügeleisen und zeigen die Bügelmaschine der Kamera.")</f>
        <v>Die Männer drehen sich weiterhin um das Hemd, das Eisen und die Bügeleisen und zeigen die Bügelmaschine der Kamera.</v>
      </c>
    </row>
    <row r="19632">
      <c r="A19632" s="4" t="s">
        <v>24707</v>
      </c>
      <c r="B19632" s="4" t="s">
        <v>24708</v>
      </c>
      <c r="C19632" s="5" t="str">
        <f>IFERROR(__xludf.DUMMYFUNCTION("GOOGLETRANSLATE(B19632,""en"",""de"")"),"Ein Mann sitzt hinter einem Drum -Set.")</f>
        <v>Ein Mann sitzt hinter einem Drum -Set.</v>
      </c>
    </row>
    <row r="19633">
      <c r="A19633" s="4" t="s">
        <v>24707</v>
      </c>
      <c r="B19633" s="4" t="s">
        <v>24709</v>
      </c>
      <c r="C19633" s="5" t="str">
        <f>IFERROR(__xludf.DUMMYFUNCTION("GOOGLETRANSLATE(B19633,""en"",""de"")"),"Der Mann spielt das Drum -Set.")</f>
        <v>Der Mann spielt das Drum -Set.</v>
      </c>
    </row>
    <row r="19634">
      <c r="A19634" s="4" t="s">
        <v>24707</v>
      </c>
      <c r="B19634" s="4" t="s">
        <v>24710</v>
      </c>
      <c r="C19634" s="5" t="str">
        <f>IFERROR(__xludf.DUMMYFUNCTION("GOOGLETRANSLATE(B19634,""en"",""de"")"),"Der Mann spielt immer wieder Schlagzeug.")</f>
        <v>Der Mann spielt immer wieder Schlagzeug.</v>
      </c>
    </row>
    <row r="19635">
      <c r="A19635" s="4" t="s">
        <v>24711</v>
      </c>
      <c r="B19635" s="4" t="s">
        <v>24712</v>
      </c>
      <c r="C19635" s="5" t="str">
        <f>IFERROR(__xludf.DUMMYFUNCTION("GOOGLETRANSLATE(B19635,""en"",""de"")"),"Zwei Mädchen stehen vor einer großen Menge auf einem Gymnasiumboden.")</f>
        <v>Zwei Mädchen stehen vor einer großen Menge auf einem Gymnasiumboden.</v>
      </c>
    </row>
    <row r="19636">
      <c r="A19636" s="4" t="s">
        <v>24711</v>
      </c>
      <c r="B19636" s="4" t="s">
        <v>24713</v>
      </c>
      <c r="C19636" s="5" t="str">
        <f>IFERROR(__xludf.DUMMYFUNCTION("GOOGLETRANSLATE(B19636,""en"",""de"")"),"Die Mädchen tanzen dann durch die Gegend, während sie Schlagstöcke in ihren Händen drehen.")</f>
        <v>Die Mädchen tanzen dann durch die Gegend, während sie Schlagstöcke in ihren Händen drehen.</v>
      </c>
    </row>
    <row r="19637">
      <c r="A19637" s="4" t="s">
        <v>24711</v>
      </c>
      <c r="B19637" s="4" t="s">
        <v>24714</v>
      </c>
      <c r="C19637" s="5" t="str">
        <f>IFERROR(__xludf.DUMMYFUNCTION("GOOGLETRANSLATE(B19637,""en"",""de"")"),"Sie drehen sich weiterhin umeinander und enden mit einer Pose.")</f>
        <v>Sie drehen sich weiterhin umeinander und enden mit einer Pose.</v>
      </c>
    </row>
    <row r="19638">
      <c r="A19638" s="4" t="s">
        <v>24715</v>
      </c>
      <c r="B19638" s="4" t="s">
        <v>24716</v>
      </c>
      <c r="C19638" s="5" t="str">
        <f>IFERROR(__xludf.DUMMYFUNCTION("GOOGLETRANSLATE(B19638,""en"",""de"")"),"Es gibt einen Mann, der einen sehr steilen Berghang hinunterfährt.")</f>
        <v>Es gibt einen Mann, der einen sehr steilen Berghang hinunterfährt.</v>
      </c>
    </row>
    <row r="19639">
      <c r="A19639" s="4" t="s">
        <v>24715</v>
      </c>
      <c r="B19639" s="4" t="s">
        <v>24717</v>
      </c>
      <c r="C19639" s="5" t="str">
        <f>IFERROR(__xludf.DUMMYFUNCTION("GOOGLETRANSLATE(B19639,""en"",""de"")"),"Der Mann geht sehr schnell und stetig runter, während er sich voll und ganz in Skiausrüstung und Schutzbrille gekleidet hat.")</f>
        <v>Der Mann geht sehr schnell und stetig runter, während er sich voll und ganz in Skiausrüstung und Schutzbrille gekleidet hat.</v>
      </c>
    </row>
    <row r="19640">
      <c r="A19640" s="4" t="s">
        <v>24715</v>
      </c>
      <c r="B19640" s="4" t="s">
        <v>24718</v>
      </c>
      <c r="C19640" s="5" t="str">
        <f>IFERROR(__xludf.DUMMYFUNCTION("GOOGLETRANSLATE(B19640,""en"",""de"")"),"Dann fällt er auf den Boden, als er den Boden des Hangs erreicht.")</f>
        <v>Dann fällt er auf den Boden, als er den Boden des Hangs erreicht.</v>
      </c>
    </row>
    <row r="19641">
      <c r="A19641" s="4" t="s">
        <v>24715</v>
      </c>
      <c r="B19641" s="4" t="s">
        <v>24719</v>
      </c>
      <c r="C19641" s="5" t="str">
        <f>IFERROR(__xludf.DUMMYFUNCTION("GOOGLETRANSLATE(B19641,""en"",""de"")"),"Er stellt sich gleich wieder auf und staubt den Schnee von seinen Kleidern ab.")</f>
        <v>Er stellt sich gleich wieder auf und staubt den Schnee von seinen Kleidern ab.</v>
      </c>
    </row>
    <row r="19642">
      <c r="A19642" s="4" t="s">
        <v>24715</v>
      </c>
      <c r="B19642" s="4" t="s">
        <v>24720</v>
      </c>
      <c r="C19642" s="5" t="str">
        <f>IFERROR(__xludf.DUMMYFUNCTION("GOOGLETRANSLATE(B19642,""en"",""de"")"),"Er spricht mit einer anderen Person durch ein an seinem Mantel befestigter händefreies Gerät, um ihn wissen zu lassen, dass es ihm gut geht.")</f>
        <v>Er spricht mit einer anderen Person durch ein an seinem Mantel befestigter händefreies Gerät, um ihn wissen zu lassen, dass es ihm gut geht.</v>
      </c>
    </row>
    <row r="19643">
      <c r="A19643" s="4" t="s">
        <v>24721</v>
      </c>
      <c r="B19643" s="4" t="s">
        <v>24722</v>
      </c>
      <c r="C19643" s="5" t="str">
        <f>IFERROR(__xludf.DUMMYFUNCTION("GOOGLETRANSLATE(B19643,""en"",""de"")"),"Ein Bild eines Mädchens mit ihrem Vlog, in dem die Leute aufgefordert werden, sich zu abonnieren.")</f>
        <v>Ein Bild eines Mädchens mit ihrem Vlog, in dem die Leute aufgefordert werden, sich zu abonnieren.</v>
      </c>
    </row>
    <row r="19644">
      <c r="A19644" s="4" t="s">
        <v>24721</v>
      </c>
      <c r="B19644" s="4" t="s">
        <v>24723</v>
      </c>
      <c r="C19644" s="5" t="str">
        <f>IFERROR(__xludf.DUMMYFUNCTION("GOOGLETRANSLATE(B19644,""en"",""de"")"),"Ein Mädchen, das rotes Hirt mit ihrem Gesicht trägt, sitzt auf einem Wohnzimmer und liest Tweets und spricht darüber.")</f>
        <v>Ein Mädchen, das rotes Hirt mit ihrem Gesicht trägt, sitzt auf einem Wohnzimmer und liest Tweets und spricht darüber.</v>
      </c>
    </row>
    <row r="19645">
      <c r="A19645" s="4" t="s">
        <v>24721</v>
      </c>
      <c r="B19645" s="4" t="s">
        <v>24724</v>
      </c>
      <c r="C19645" s="5" t="str">
        <f>IFERROR(__xludf.DUMMYFUNCTION("GOOGLETRANSLATE(B19645,""en"",""de"")"),"Mädchen hält einen kleinen Kürbis und ein Messer und schneidet den Kürbis beim Reden.")</f>
        <v>Mädchen hält einen kleinen Kürbis und ein Messer und schneidet den Kürbis beim Reden.</v>
      </c>
    </row>
    <row r="19646">
      <c r="A19646" s="4" t="s">
        <v>24721</v>
      </c>
      <c r="B19646" s="4" t="s">
        <v>24725</v>
      </c>
      <c r="C19646" s="5" t="str">
        <f>IFERROR(__xludf.DUMMYFUNCTION("GOOGLETRANSLATE(B19646,""en"",""de"")"),"Die Pumkkin wird in zwei Teile geschnitten und wird im Inneren gezeigt, während das Mädchen Keps spricht und Tweets liest.")</f>
        <v>Die Pumkkin wird in zwei Teile geschnitten und wird im Inneren gezeigt, während das Mädchen Keps spricht und Tweets liest.</v>
      </c>
    </row>
    <row r="19647">
      <c r="A19647" s="4" t="s">
        <v>24726</v>
      </c>
      <c r="B19647" s="4" t="s">
        <v>24727</v>
      </c>
      <c r="C19647" s="5" t="str">
        <f>IFERROR(__xludf.DUMMYFUNCTION("GOOGLETRANSLATE(B19647,""en"",""de"")"),"Eine Frau ist zu sehen, wie Bauch auf einer großen Bühne tanzt, während die Leute sie nebenbei beobachten.")</f>
        <v>Eine Frau ist zu sehen, wie Bauch auf einer großen Bühne tanzt, während die Leute sie nebenbei beobachten.</v>
      </c>
    </row>
    <row r="19648">
      <c r="A19648" s="4" t="s">
        <v>24726</v>
      </c>
      <c r="B19648" s="4" t="s">
        <v>24728</v>
      </c>
      <c r="C19648" s="5" t="str">
        <f>IFERROR(__xludf.DUMMYFUNCTION("GOOGLETRANSLATE(B19648,""en"",""de"")"),"Sie bewegt ihre Hüften rundum, während eine Band Instrumente hinter sich spielt.")</f>
        <v>Sie bewegt ihre Hüften rundum, während eine Band Instrumente hinter sich spielt.</v>
      </c>
    </row>
    <row r="19649">
      <c r="A19649" s="4" t="s">
        <v>24726</v>
      </c>
      <c r="B19649" s="4" t="s">
        <v>24729</v>
      </c>
      <c r="C19649" s="5" t="str">
        <f>IFERROR(__xludf.DUMMYFUNCTION("GOOGLETRANSLATE(B19649,""en"",""de"")"),"Die Frau tanzt weiter und endet, indem sie eine Pose hält und ihre Haare zurückdreht.")</f>
        <v>Die Frau tanzt weiter und endet, indem sie eine Pose hält und ihre Haare zurückdreht.</v>
      </c>
    </row>
    <row r="19650">
      <c r="A19650" s="4" t="s">
        <v>24730</v>
      </c>
      <c r="B19650" s="4" t="s">
        <v>24731</v>
      </c>
      <c r="C19650" s="5" t="str">
        <f>IFERROR(__xludf.DUMMYFUNCTION("GOOGLETRANSLATE(B19650,""en"",""de"")"),"Ein Lacrosse -Spiel, bei dem eine große Gruppe von Menschen gezeigt wird, die auf einem Feld herumlaufen.")</f>
        <v>Ein Lacrosse -Spiel, bei dem eine große Gruppe von Menschen gezeigt wird, die auf einem Feld herumlaufen.</v>
      </c>
    </row>
    <row r="19651">
      <c r="A19651" s="4" t="s">
        <v>24730</v>
      </c>
      <c r="B19651" s="4" t="s">
        <v>24732</v>
      </c>
      <c r="C19651" s="5" t="str">
        <f>IFERROR(__xludf.DUMMYFUNCTION("GOOGLETRANSLATE(B19651,""en"",""de"")"),"Mehrere Leute beobachten am Rande, während das Spiel fortgesetzt wird, und ein Ref tritt ein, um einen Anruf zu tätigen.")</f>
        <v>Mehrere Leute beobachten am Rande, während das Spiel fortgesetzt wird, und ein Ref tritt ein, um einen Anruf zu tätigen.</v>
      </c>
    </row>
    <row r="19652">
      <c r="A19652" s="4" t="s">
        <v>24733</v>
      </c>
      <c r="B19652" s="4" t="s">
        <v>24734</v>
      </c>
      <c r="C19652" s="5" t="str">
        <f>IFERROR(__xludf.DUMMYFUNCTION("GOOGLETRANSLATE(B19652,""en"",""de"")"),"Eine Person hält und streichelt eine haarlose Katze.")</f>
        <v>Eine Person hält und streichelt eine haarlose Katze.</v>
      </c>
    </row>
    <row r="19653">
      <c r="A19653" s="4" t="s">
        <v>24733</v>
      </c>
      <c r="B19653" s="4" t="s">
        <v>24735</v>
      </c>
      <c r="C19653" s="5" t="str">
        <f>IFERROR(__xludf.DUMMYFUNCTION("GOOGLETRANSLATE(B19653,""en"",""de"")"),"Die Person reinigt und schneidet die Nägel der Vorderbeine der Katze.")</f>
        <v>Die Person reinigt und schneidet die Nägel der Vorderbeine der Katze.</v>
      </c>
    </row>
    <row r="19654">
      <c r="A19654" s="4" t="s">
        <v>24736</v>
      </c>
      <c r="B19654" s="4" t="s">
        <v>24737</v>
      </c>
      <c r="C19654" s="5" t="str">
        <f>IFERROR(__xludf.DUMMYFUNCTION("GOOGLETRANSLATE(B19654,""en"",""de"")"),"Ein Mann spricht hinter einer Bar.")</f>
        <v>Ein Mann spricht hinter einer Bar.</v>
      </c>
    </row>
    <row r="19655">
      <c r="A19655" s="4" t="s">
        <v>24736</v>
      </c>
      <c r="B19655" s="4" t="s">
        <v>24738</v>
      </c>
      <c r="C19655" s="5" t="str">
        <f>IFERROR(__xludf.DUMMYFUNCTION("GOOGLETRANSLATE(B19655,""en"",""de"")"),"Er zeigt verschiedene Arten von Flaschen und Taps.")</f>
        <v>Er zeigt verschiedene Arten von Flaschen und Taps.</v>
      </c>
    </row>
    <row r="19656">
      <c r="A19656" s="4" t="s">
        <v>24736</v>
      </c>
      <c r="B19656" s="4" t="s">
        <v>24739</v>
      </c>
      <c r="C19656" s="5" t="str">
        <f>IFERROR(__xludf.DUMMYFUNCTION("GOOGLETRANSLATE(B19656,""en"",""de"")"),"Er zeigt, wie man ein Getränk mischt, das er einer Frau bedient.")</f>
        <v>Er zeigt, wie man ein Getränk mischt, das er einer Frau bedient.</v>
      </c>
    </row>
    <row r="19657">
      <c r="A19657" s="4" t="s">
        <v>24740</v>
      </c>
      <c r="B19657" s="4" t="s">
        <v>24741</v>
      </c>
      <c r="C19657" s="5" t="str">
        <f>IFERROR(__xludf.DUMMYFUNCTION("GOOGLETRANSLATE(B19657,""en"",""de"")"),"Eine Person schält Kartoffeln in ein Waschbecken, plötzlich springt eine Katze auf die Bank, um die Frau zu beobachten.")</f>
        <v>Eine Person schält Kartoffeln in ein Waschbecken, plötzlich springt eine Katze auf die Bank, um die Frau zu beobachten.</v>
      </c>
    </row>
    <row r="19658">
      <c r="A19658" s="4" t="s">
        <v>24740</v>
      </c>
      <c r="B19658" s="4" t="s">
        <v>24742</v>
      </c>
      <c r="C19658" s="5" t="str">
        <f>IFERROR(__xludf.DUMMYFUNCTION("GOOGLETRANSLATE(B19658,""en"",""de"")"),"Die Katze berührt das Waschbecken mit seinem Mund und beabsichtigt, auf die andere Seite des Waschbeckens zu gehen, aber die Frau verhindert.")</f>
        <v>Die Katze berührt das Waschbecken mit seinem Mund und beabsichtigt, auf die andere Seite des Waschbeckens zu gehen, aber die Frau verhindert.</v>
      </c>
    </row>
    <row r="19659">
      <c r="A19659" s="4" t="s">
        <v>24740</v>
      </c>
      <c r="B19659" s="4" t="s">
        <v>24743</v>
      </c>
      <c r="C19659" s="5" t="str">
        <f>IFERROR(__xludf.DUMMYFUNCTION("GOOGLETRANSLATE(B19659,""en"",""de"")"),"Dann trinkt die Katze Wasser aus dem Waschbecken und Katze beobachtet die Frau weiter.")</f>
        <v>Dann trinkt die Katze Wasser aus dem Waschbecken und Katze beobachtet die Frau weiter.</v>
      </c>
    </row>
    <row r="19660">
      <c r="A19660" s="4" t="s">
        <v>24740</v>
      </c>
      <c r="B19660" s="4" t="s">
        <v>24744</v>
      </c>
      <c r="C19660" s="5" t="str">
        <f>IFERROR(__xludf.DUMMYFUNCTION("GOOGLETRANSLATE(B19660,""en"",""de"")"),"Danach berührt die Katze den Kartoffelschäler mit einem Bein, während die Person die Kartoffeln weiter schält.")</f>
        <v>Danach berührt die Katze den Kartoffelschäler mit einem Bein, während die Person die Kartoffeln weiter schält.</v>
      </c>
    </row>
    <row r="19661">
      <c r="A19661" s="4" t="s">
        <v>24745</v>
      </c>
      <c r="B19661" s="4" t="s">
        <v>24746</v>
      </c>
      <c r="C19661" s="5" t="str">
        <f>IFERROR(__xludf.DUMMYFUNCTION("GOOGLETRANSLATE(B19661,""en"",""de"")"),"Eine Frau liegt auf Ausrüstung in einem Fitnessstudio.")</f>
        <v>Eine Frau liegt auf Ausrüstung in einem Fitnessstudio.</v>
      </c>
    </row>
    <row r="19662">
      <c r="A19662" s="4" t="s">
        <v>24745</v>
      </c>
      <c r="B19662" s="4" t="s">
        <v>24747</v>
      </c>
      <c r="C19662" s="5" t="str">
        <f>IFERROR(__xludf.DUMMYFUNCTION("GOOGLETRANSLATE(B19662,""en"",""de"")"),"Sie hat ihre Füße mit einer Kette an eine Maschine gebunden.")</f>
        <v>Sie hat ihre Füße mit einer Kette an eine Maschine gebunden.</v>
      </c>
    </row>
    <row r="19663">
      <c r="A19663" s="4" t="s">
        <v>24745</v>
      </c>
      <c r="B19663" s="4" t="s">
        <v>24748</v>
      </c>
      <c r="C19663" s="5" t="str">
        <f>IFERROR(__xludf.DUMMYFUNCTION("GOOGLETRANSLATE(B19663,""en"",""de"")"),"Sie hält den Kopf, als sie ihre Füße hin und her zieht.")</f>
        <v>Sie hält den Kopf, als sie ihre Füße hin und her zieht.</v>
      </c>
    </row>
    <row r="19664">
      <c r="A19664" s="4" t="s">
        <v>24749</v>
      </c>
      <c r="B19664" s="4" t="s">
        <v>24750</v>
      </c>
      <c r="C19664" s="5" t="str">
        <f>IFERROR(__xludf.DUMMYFUNCTION("GOOGLETRANSLATE(B19664,""en"",""de"")"),"Ein Mann hält ein leichtes Tuch.")</f>
        <v>Ein Mann hält ein leichtes Tuch.</v>
      </c>
    </row>
    <row r="19665">
      <c r="A19665" s="4" t="s">
        <v>24749</v>
      </c>
      <c r="B19665" s="4" t="s">
        <v>24751</v>
      </c>
      <c r="C19665" s="5" t="str">
        <f>IFERROR(__xludf.DUMMYFUNCTION("GOOGLETRANSLATE(B19665,""en"",""de"")"),"Ein Mann bekommt ein weißes Becken unter der Spüle und füllt es mit Wasser in einer Spüle.")</f>
        <v>Ein Mann bekommt ein weißes Becken unter der Spüle und füllt es mit Wasser in einer Spüle.</v>
      </c>
    </row>
    <row r="19666">
      <c r="A19666" s="4" t="s">
        <v>24749</v>
      </c>
      <c r="B19666" s="4" t="s">
        <v>24752</v>
      </c>
      <c r="C19666" s="5" t="str">
        <f>IFERROR(__xludf.DUMMYFUNCTION("GOOGLETRANSLATE(B19666,""en"",""de"")"),"Der Typ legt das leichte Tuch nieder und verleiht dem Becken Schalenseife.")</f>
        <v>Der Typ legt das leichte Tuch nieder und verleiht dem Becken Schalenseife.</v>
      </c>
    </row>
    <row r="19667">
      <c r="A19667" s="4" t="s">
        <v>24749</v>
      </c>
      <c r="B19667" s="4" t="s">
        <v>24753</v>
      </c>
      <c r="C19667" s="5" t="str">
        <f>IFERROR(__xludf.DUMMYFUNCTION("GOOGLETRANSLATE(B19667,""en"",""de"")"),"Der Typ bekommt ein Gestell unter der Spüle und legt es auf die Arbeitsplatte.")</f>
        <v>Der Typ bekommt ein Gestell unter der Spüle und legt es auf die Arbeitsplatte.</v>
      </c>
    </row>
    <row r="19668">
      <c r="A19668" s="4" t="s">
        <v>24749</v>
      </c>
      <c r="B19668" s="4" t="s">
        <v>24754</v>
      </c>
      <c r="C19668" s="5" t="str">
        <f>IFERROR(__xludf.DUMMYFUNCTION("GOOGLETRANSLATE(B19668,""en"",""de"")"),"Der Typ fügt dem weißen Becken Utensilien und ein Gericht hinzu und wäscht sie mit einem roten Teppich.")</f>
        <v>Der Typ fügt dem weißen Becken Utensilien und ein Gericht hinzu und wäscht sie mit einem roten Teppich.</v>
      </c>
    </row>
    <row r="19669">
      <c r="A19669" s="4" t="s">
        <v>24749</v>
      </c>
      <c r="B19669" s="4" t="s">
        <v>24755</v>
      </c>
      <c r="C19669" s="5" t="str">
        <f>IFERROR(__xludf.DUMMYFUNCTION("GOOGLETRANSLATE(B19669,""en"",""de"")"),"Ein Junge sieht von hinten zu.")</f>
        <v>Ein Junge sieht von hinten zu.</v>
      </c>
    </row>
    <row r="19670">
      <c r="A19670" s="4" t="s">
        <v>24749</v>
      </c>
      <c r="B19670" s="4" t="s">
        <v>24756</v>
      </c>
      <c r="C19670" s="5" t="str">
        <f>IFERROR(__xludf.DUMMYFUNCTION("GOOGLETRANSLATE(B19670,""en"",""de"")"),"Der Typ spügt das Geschirr und stellt sie in ein Gestell.")</f>
        <v>Der Typ spügt das Geschirr und stellt sie in ein Gestell.</v>
      </c>
    </row>
    <row r="19671">
      <c r="A19671" s="4" t="s">
        <v>24749</v>
      </c>
      <c r="B19671" s="4" t="s">
        <v>24757</v>
      </c>
      <c r="C19671" s="5" t="str">
        <f>IFERROR(__xludf.DUMMYFUNCTION("GOOGLETRANSLATE(B19671,""en"",""de"")"),"Der Typ trocknet das Gericht mit dem leichten Tuch.")</f>
        <v>Der Typ trocknet das Gericht mit dem leichten Tuch.</v>
      </c>
    </row>
    <row r="19672">
      <c r="A19672" s="4" t="s">
        <v>24758</v>
      </c>
      <c r="B19672" s="4" t="s">
        <v>24759</v>
      </c>
      <c r="C19672" s="5" t="str">
        <f>IFERROR(__xludf.DUMMYFUNCTION("GOOGLETRANSLATE(B19672,""en"",""de"")"),"Ein Mann in grauem Hemd und Jeans mit Orangenhelm schneidet die Hecken, er steht in einer Leiter, um die Oberseite der Hecke zu erreichen und sie zu schneiden. Der Mann schneidet weiterhin die Hecke.")</f>
        <v>Ein Mann in grauem Hemd und Jeans mit Orangenhelm schneidet die Hecken, er steht in einer Leiter, um die Oberseite der Hecke zu erreichen und sie zu schneiden. Der Mann schneidet weiterhin die Hecke.</v>
      </c>
    </row>
    <row r="19673">
      <c r="A19673" s="4" t="s">
        <v>24758</v>
      </c>
      <c r="B19673" s="4" t="s">
        <v>24760</v>
      </c>
      <c r="C19673" s="5" t="str">
        <f>IFERROR(__xludf.DUMMYFUNCTION("GOOGLETRANSLATE(B19673,""en"",""de"")"),"Ein Mann in weißem Hemd und Orangenhelm schneidet die verbrannten Hecken.")</f>
        <v>Ein Mann in weißem Hemd und Orangenhelm schneidet die verbrannten Hecken.</v>
      </c>
    </row>
    <row r="19674">
      <c r="A19674" s="4" t="s">
        <v>24761</v>
      </c>
      <c r="B19674" s="4" t="s">
        <v>24762</v>
      </c>
      <c r="C19674" s="5" t="str">
        <f>IFERROR(__xludf.DUMMYFUNCTION("GOOGLETRANSLATE(B19674,""en"",""de"")"),"Eine Person in einem schützenden weißen Anzug und einer Schutzbrille sprüht eine Oberfläche mit lila Farbe mit einer Sprühpistole in einem Raum mit weißen Wänden und Böden.")</f>
        <v>Eine Person in einem schützenden weißen Anzug und einer Schutzbrille sprüht eine Oberfläche mit lila Farbe mit einer Sprühpistole in einem Raum mit weißen Wänden und Böden.</v>
      </c>
    </row>
    <row r="19675">
      <c r="A19675" s="4" t="s">
        <v>24761</v>
      </c>
      <c r="B19675" s="4" t="s">
        <v>24763</v>
      </c>
      <c r="C19675" s="5" t="str">
        <f>IFERROR(__xludf.DUMMYFUNCTION("GOOGLETRANSLATE(B19675,""en"",""de"")"),"Die Person dreht dann die Oberfläche auf einem Spinnentisch herum und malt die Seiten.")</f>
        <v>Die Person dreht dann die Oberfläche auf einem Spinnentisch herum und malt die Seiten.</v>
      </c>
    </row>
    <row r="19676">
      <c r="A19676" s="4" t="s">
        <v>24761</v>
      </c>
      <c r="B19676" s="4" t="s">
        <v>24764</v>
      </c>
      <c r="C19676" s="5" t="str">
        <f>IFERROR(__xludf.DUMMYFUNCTION("GOOGLETRANSLATE(B19676,""en"",""de"")"),"Das Oberflächen -matte Produkt wird im einfachen weißen Raum getrocknet, in dem das Gemälde stattfand.")</f>
        <v>Das Oberflächen -matte Produkt wird im einfachen weißen Raum getrocknet, in dem das Gemälde stattfand.</v>
      </c>
    </row>
    <row r="19677">
      <c r="A19677" s="4" t="s">
        <v>24765</v>
      </c>
      <c r="B19677" s="4" t="s">
        <v>24766</v>
      </c>
      <c r="C19677" s="5" t="str">
        <f>IFERROR(__xludf.DUMMYFUNCTION("GOOGLETRANSLATE(B19677,""en"",""de"")"),"Der Mensch steht in einem Raum, der Zement auf einem Eimer mischt.")</f>
        <v>Der Mensch steht in einem Raum, der Zement auf einem Eimer mischt.</v>
      </c>
    </row>
    <row r="19678">
      <c r="A19678" s="4" t="s">
        <v>24765</v>
      </c>
      <c r="B19678" s="4" t="s">
        <v>24767</v>
      </c>
      <c r="C19678" s="5" t="str">
        <f>IFERROR(__xludf.DUMMYFUNCTION("GOOGLETRANSLATE(B19678,""en"",""de"")"),"Der Mann greift nach der Mischung und vertreibt sie im Boden und setzt weiße Fliesen.")</f>
        <v>Der Mann greift nach der Mischung und vertreibt sie im Boden und setzt weiße Fliesen.</v>
      </c>
    </row>
    <row r="19679">
      <c r="A19679" s="4" t="s">
        <v>24765</v>
      </c>
      <c r="B19679" s="4" t="s">
        <v>24768</v>
      </c>
      <c r="C19679" s="5" t="str">
        <f>IFERROR(__xludf.DUMMYFUNCTION("GOOGLETRANSLATE(B19679,""en"",""de"")"),"Der Mann fegt den Boden und vertreibt Zement erneut, um die Fliesen in den verbleibenden Teil des Raumes zu stecken.")</f>
        <v>Der Mann fegt den Boden und vertreibt Zement erneut, um die Fliesen in den verbleibenden Teil des Raumes zu stecken.</v>
      </c>
    </row>
    <row r="19680">
      <c r="A19680" s="4" t="s">
        <v>24769</v>
      </c>
      <c r="B19680" s="4" t="s">
        <v>24770</v>
      </c>
      <c r="C19680" s="5" t="str">
        <f>IFERROR(__xludf.DUMMYFUNCTION("GOOGLETRANSLATE(B19680,""en"",""de"")"),"Das Video beginnt mit vier Bildern von vertraglichem menschlichen Bauch.")</f>
        <v>Das Video beginnt mit vier Bildern von vertraglichem menschlichen Bauch.</v>
      </c>
    </row>
    <row r="19681">
      <c r="A19681" s="4" t="s">
        <v>24769</v>
      </c>
      <c r="B19681" s="4" t="s">
        <v>24771</v>
      </c>
      <c r="C19681" s="5" t="str">
        <f>IFERROR(__xludf.DUMMYFUNCTION("GOOGLETRANSLATE(B19681,""en"",""de"")"),"Es gibt ein junges Mädchen in einem blauen Tanktop und schwarzen Strumpfhosen, die den richtigen Weg zeigen, um Brettern und Crunches zu machen.")</f>
        <v>Es gibt ein junges Mädchen in einem blauen Tanktop und schwarzen Strumpfhosen, die den richtigen Weg zeigen, um Brettern und Crunches zu machen.</v>
      </c>
    </row>
    <row r="19682">
      <c r="A19682" s="4" t="s">
        <v>24769</v>
      </c>
      <c r="B19682" s="4" t="s">
        <v>24772</v>
      </c>
      <c r="C19682" s="5" t="str">
        <f>IFERROR(__xludf.DUMMYFUNCTION("GOOGLETRANSLATE(B19682,""en"",""de"")"),"Sie liegt auf einer blauen Yogamatte, während sie knirscht.")</f>
        <v>Sie liegt auf einer blauen Yogamatte, während sie knirscht.</v>
      </c>
    </row>
    <row r="19683">
      <c r="A19683" s="4" t="s">
        <v>24769</v>
      </c>
      <c r="B19683" s="4" t="s">
        <v>24773</v>
      </c>
      <c r="C19683" s="5" t="str">
        <f>IFERROR(__xludf.DUMMYFUNCTION("GOOGLETRANSLATE(B19683,""en"",""de"")"),"Dann legt sie sich auf den Bauch, indem sie sich auf ihre Ellbogen erhebt, um zu zeigen, wie man Bretter macht.")</f>
        <v>Dann legt sie sich auf den Bauch, indem sie sich auf ihre Ellbogen erhebt, um zu zeigen, wie man Bretter macht.</v>
      </c>
    </row>
    <row r="19684">
      <c r="A19684" s="4" t="s">
        <v>24774</v>
      </c>
      <c r="B19684" s="4" t="s">
        <v>24775</v>
      </c>
      <c r="C19684" s="5" t="str">
        <f>IFERROR(__xludf.DUMMYFUNCTION("GOOGLETRANSLATE(B19684,""en"",""de"")"),"Ein Athlet im schwarzen Hemd gibt Anweisungen für einen Übungsübungen, während er auf einem großen Sportfeld steht.")</f>
        <v>Ein Athlet im schwarzen Hemd gibt Anweisungen für einen Übungsübungen, während er auf einem großen Sportfeld steht.</v>
      </c>
    </row>
    <row r="19685">
      <c r="A19685" s="4" t="s">
        <v>24774</v>
      </c>
      <c r="B19685" s="4" t="s">
        <v>24776</v>
      </c>
      <c r="C19685" s="5" t="str">
        <f>IFERROR(__xludf.DUMMYFUNCTION("GOOGLETRANSLATE(B19685,""en"",""de"")"),"Der Mann setzt sich auf eine Übung auf und hockt zum Üben auf und ab.")</f>
        <v>Der Mann setzt sich auf eine Übung auf und hockt zum Üben auf und ab.</v>
      </c>
    </row>
    <row r="19686">
      <c r="A19686" s="4" t="s">
        <v>24774</v>
      </c>
      <c r="B19686" s="4" t="s">
        <v>24777</v>
      </c>
      <c r="C19686" s="5" t="str">
        <f>IFERROR(__xludf.DUMMYFUNCTION("GOOGLETRANSLATE(B19686,""en"",""de"")"),"Der Mann springt mehrmals und geht jeden Sprung weiter.")</f>
        <v>Der Mann springt mehrmals und geht jeden Sprung weiter.</v>
      </c>
    </row>
    <row r="19687">
      <c r="A19687" s="4" t="s">
        <v>24774</v>
      </c>
      <c r="B19687" s="4" t="s">
        <v>24778</v>
      </c>
      <c r="C19687" s="5" t="str">
        <f>IFERROR(__xludf.DUMMYFUNCTION("GOOGLETRANSLATE(B19687,""en"",""de"")"),"Der Mann beugt sich hin und berührt den Boden, während er sich dreht.")</f>
        <v>Der Mann beugt sich hin und berührt den Boden, während er sich dreht.</v>
      </c>
    </row>
    <row r="19688">
      <c r="A19688" s="4" t="s">
        <v>24774</v>
      </c>
      <c r="B19688" s="4" t="s">
        <v>24779</v>
      </c>
      <c r="C19688" s="5" t="str">
        <f>IFERROR(__xludf.DUMMYFUNCTION("GOOGLETRANSLATE(B19688,""en"",""de"")"),"Der Mann gibt mehr Anweisungen bei einem Übungslauf, während er Handgesten gibt.")</f>
        <v>Der Mann gibt mehr Anweisungen bei einem Übungslauf, während er Handgesten gibt.</v>
      </c>
    </row>
    <row r="19689">
      <c r="A19689" s="4" t="s">
        <v>24774</v>
      </c>
      <c r="B19689" s="4" t="s">
        <v>24780</v>
      </c>
      <c r="C19689" s="5" t="str">
        <f>IFERROR(__xludf.DUMMYFUNCTION("GOOGLETRANSLATE(B19689,""en"",""de"")"),"Der Mann setzt sich am Rand einer Linie auf und springt mit einem Fuß und wiederholt sich.")</f>
        <v>Der Mann setzt sich am Rand einer Linie auf und springt mit einem Fuß und wiederholt sich.</v>
      </c>
    </row>
    <row r="19690">
      <c r="A19690" s="4" t="s">
        <v>24774</v>
      </c>
      <c r="B19690" s="4" t="s">
        <v>24781</v>
      </c>
      <c r="C19690" s="5" t="str">
        <f>IFERROR(__xludf.DUMMYFUNCTION("GOOGLETRANSLATE(B19690,""en"",""de"")"),"Der Mann gibt eine letzte Reihe von Anweisungen, während er schwer atmet.")</f>
        <v>Der Mann gibt eine letzte Reihe von Anweisungen, während er schwer atmet.</v>
      </c>
    </row>
    <row r="19691">
      <c r="A19691" s="4" t="s">
        <v>24774</v>
      </c>
      <c r="B19691" s="4" t="s">
        <v>24782</v>
      </c>
      <c r="C19691" s="5" t="str">
        <f>IFERROR(__xludf.DUMMYFUNCTION("GOOGLETRANSLATE(B19691,""en"",""de"")"),"Eine Reihe von Text ist mit Informationen zu sehen.")</f>
        <v>Eine Reihe von Text ist mit Informationen zu sehen.</v>
      </c>
    </row>
    <row r="19692">
      <c r="A19692" s="4" t="s">
        <v>24783</v>
      </c>
      <c r="B19692" s="4" t="s">
        <v>24784</v>
      </c>
      <c r="C19692" s="5" t="str">
        <f>IFERROR(__xludf.DUMMYFUNCTION("GOOGLETRANSLATE(B19692,""en"",""de"")"),"Eine Pfeilgrafik wird zu sehen und Titeltext.")</f>
        <v>Eine Pfeilgrafik wird zu sehen und Titeltext.</v>
      </c>
    </row>
    <row r="19693">
      <c r="A19693" s="4" t="s">
        <v>24783</v>
      </c>
      <c r="B19693" s="4" t="s">
        <v>24785</v>
      </c>
      <c r="C19693" s="5" t="str">
        <f>IFERROR(__xludf.DUMMYFUNCTION("GOOGLETRANSLATE(B19693,""en"",""de"")"),"Eine Frau steht auf einem dunklen, beleuchteten Raum, der ein Akkordeon hält und zeigt, wie man es spielt.")</f>
        <v>Eine Frau steht auf einem dunklen, beleuchteten Raum, der ein Akkordeon hält und zeigt, wie man es spielt.</v>
      </c>
    </row>
    <row r="19694">
      <c r="A19694" s="4" t="s">
        <v>24783</v>
      </c>
      <c r="B19694" s="4" t="s">
        <v>24786</v>
      </c>
      <c r="C19694" s="5" t="str">
        <f>IFERROR(__xludf.DUMMYFUNCTION("GOOGLETRANSLATE(B19694,""en"",""de"")"),"Die Frau beginnt ein Lied zu spielen, das in den Schlüssel drückt.")</f>
        <v>Die Frau beginnt ein Lied zu spielen, das in den Schlüssel drückt.</v>
      </c>
    </row>
    <row r="19695">
      <c r="A19695" s="4" t="s">
        <v>24783</v>
      </c>
      <c r="B19695" s="4" t="s">
        <v>24787</v>
      </c>
      <c r="C19695" s="5" t="str">
        <f>IFERROR(__xludf.DUMMYFUNCTION("GOOGLETRANSLATE(B19695,""en"",""de"")"),"Die Frau spielt in einer Pause und spielt dann mehr vom Lied.")</f>
        <v>Die Frau spielt in einer Pause und spielt dann mehr vom Lied.</v>
      </c>
    </row>
    <row r="19696">
      <c r="A19696" s="4" t="s">
        <v>24783</v>
      </c>
      <c r="B19696" s="4" t="s">
        <v>24788</v>
      </c>
      <c r="C19696" s="5" t="str">
        <f>IFERROR(__xludf.DUMMYFUNCTION("GOOGLETRANSLATE(B19696,""en"",""de"")"),"Die Frau beendet und schließt das Akkordeon.")</f>
        <v>Die Frau beendet und schließt das Akkordeon.</v>
      </c>
    </row>
    <row r="19697">
      <c r="A19697" s="4" t="s">
        <v>24789</v>
      </c>
      <c r="B19697" s="4" t="s">
        <v>24790</v>
      </c>
      <c r="C19697" s="5" t="str">
        <f>IFERROR(__xludf.DUMMYFUNCTION("GOOGLETRANSLATE(B19697,""en"",""de"")"),"Ein Mädchen ist am Rande eines Trennbrettes nervös.")</f>
        <v>Ein Mädchen ist am Rande eines Trennbrettes nervös.</v>
      </c>
    </row>
    <row r="19698">
      <c r="A19698" s="4" t="s">
        <v>24789</v>
      </c>
      <c r="B19698" s="4" t="s">
        <v>24791</v>
      </c>
      <c r="C19698" s="5" t="str">
        <f>IFERROR(__xludf.DUMMYFUNCTION("GOOGLETRANSLATE(B19698,""en"",""de"")"),"Sie fällt herein, nachdem sie aufgestanden ist und dann wieder hockt.")</f>
        <v>Sie fällt herein, nachdem sie aufgestanden ist und dann wieder hockt.</v>
      </c>
    </row>
    <row r="19699">
      <c r="A19699" s="4" t="s">
        <v>24792</v>
      </c>
      <c r="B19699" s="4" t="s">
        <v>24793</v>
      </c>
      <c r="C19699" s="5" t="str">
        <f>IFERROR(__xludf.DUMMYFUNCTION("GOOGLETRANSLATE(B19699,""en"",""de"")"),"Eine Blaskapelle spaziert auf der Straße, die Instrumente spielt, während eine Frau vorne eine Flagge hält.")</f>
        <v>Eine Blaskapelle spaziert auf der Straße, die Instrumente spielt, während eine Frau vorne eine Flagge hält.</v>
      </c>
    </row>
    <row r="19700">
      <c r="A19700" s="4" t="s">
        <v>24792</v>
      </c>
      <c r="B19700" s="4" t="s">
        <v>24794</v>
      </c>
      <c r="C19700" s="5" t="str">
        <f>IFERROR(__xludf.DUMMYFUNCTION("GOOGLETRANSLATE(B19700,""en"",""de"")"),"Ein Junge an der Front, der Band, hält ein Rode und hebt und dreht sich.")</f>
        <v>Ein Junge an der Front, der Band, hält ein Rode und hebt und dreht sich.</v>
      </c>
    </row>
    <row r="19701">
      <c r="A19701" s="4" t="s">
        <v>24792</v>
      </c>
      <c r="B19701" s="4" t="s">
        <v>24795</v>
      </c>
      <c r="C19701" s="5" t="str">
        <f>IFERROR(__xludf.DUMMYFUNCTION("GOOGLETRANSLATE(B19701,""en"",""de"")"),"Dann kommt die Band an und passt an einer Ampel.")</f>
        <v>Dann kommt die Band an und passt an einer Ampel.</v>
      </c>
    </row>
    <row r="19702">
      <c r="A19702" s="4" t="s">
        <v>24796</v>
      </c>
      <c r="B19702" s="4" t="s">
        <v>24797</v>
      </c>
      <c r="C19702" s="5" t="str">
        <f>IFERROR(__xludf.DUMMYFUNCTION("GOOGLETRANSLATE(B19702,""en"",""de"")"),"Zwei Menschen werden gezeigt, die mit einem Teppich über den Schultern herumlaufen und in ein Gebäude gehen.")</f>
        <v>Zwei Menschen werden gezeigt, die mit einem Teppich über den Schultern herumlaufen und in ein Gebäude gehen.</v>
      </c>
    </row>
    <row r="19703">
      <c r="A19703" s="4" t="s">
        <v>24796</v>
      </c>
      <c r="B19703" s="4" t="s">
        <v>24798</v>
      </c>
      <c r="C19703" s="5" t="str">
        <f>IFERROR(__xludf.DUMMYFUNCTION("GOOGLETRANSLATE(B19703,""en"",""de"")"),"Sie öffnen den Teppich, ziehen dann das Messband heraus und hämmern den Teppich ab.")</f>
        <v>Sie öffnen den Teppich, ziehen dann das Messband heraus und hämmern den Teppich ab.</v>
      </c>
    </row>
    <row r="19704">
      <c r="A19704" s="4" t="s">
        <v>24796</v>
      </c>
      <c r="B19704" s="4" t="s">
        <v>24799</v>
      </c>
      <c r="C19704" s="5" t="str">
        <f>IFERROR(__xludf.DUMMYFUNCTION("GOOGLETRANSLATE(B19704,""en"",""de"")"),"Sie legen dann Gips über den ganzen Boden und präsentieren das fertige Produkt des Teppichs, indem sie den Besitzern die Händeschütteln schütteln und nach Bildern lächeln.")</f>
        <v>Sie legen dann Gips über den ganzen Boden und präsentieren das fertige Produkt des Teppichs, indem sie den Besitzern die Händeschütteln schütteln und nach Bildern lächeln.</v>
      </c>
    </row>
    <row r="19705">
      <c r="A19705" s="4" t="s">
        <v>24800</v>
      </c>
      <c r="B19705" s="4" t="s">
        <v>24801</v>
      </c>
      <c r="C19705" s="5" t="str">
        <f>IFERROR(__xludf.DUMMYFUNCTION("GOOGLETRANSLATE(B19705,""en"",""de"")"),"Ein Mann spricht mit der Kamera und führt in ihn und legt Tapete an der Wand auf.")</f>
        <v>Ein Mann spricht mit der Kamera und führt in ihn und legt Tapete an der Wand auf.</v>
      </c>
    </row>
    <row r="19706">
      <c r="A19706" s="4" t="s">
        <v>24800</v>
      </c>
      <c r="B19706" s="4" t="s">
        <v>24802</v>
      </c>
      <c r="C19706" s="5" t="str">
        <f>IFERROR(__xludf.DUMMYFUNCTION("GOOGLETRANSLATE(B19706,""en"",""de"")"),"Er spricht weiterhin mit der Kamera, während er immer noch Papier an der Wand verbreitet.")</f>
        <v>Er spricht weiterhin mit der Kamera, während er immer noch Papier an der Wand verbreitet.</v>
      </c>
    </row>
    <row r="19707">
      <c r="A19707" s="4" t="s">
        <v>24803</v>
      </c>
      <c r="B19707" s="4" t="s">
        <v>24804</v>
      </c>
      <c r="C19707" s="5" t="str">
        <f>IFERROR(__xludf.DUMMYFUNCTION("GOOGLETRANSLATE(B19707,""en"",""de"")"),"Eine Frau wäscht ihr Gesicht in einem Waschbecken.")</f>
        <v>Eine Frau wäscht ihr Gesicht in einem Waschbecken.</v>
      </c>
    </row>
    <row r="19708">
      <c r="A19708" s="4" t="s">
        <v>24803</v>
      </c>
      <c r="B19708" s="4" t="s">
        <v>24805</v>
      </c>
      <c r="C19708" s="5" t="str">
        <f>IFERROR(__xludf.DUMMYFUNCTION("GOOGLETRANSLATE(B19708,""en"",""de"")"),"Sie schaut in einen Spiegel vor ihr.")</f>
        <v>Sie schaut in einen Spiegel vor ihr.</v>
      </c>
    </row>
    <row r="19709">
      <c r="A19709" s="4" t="s">
        <v>24803</v>
      </c>
      <c r="B19709" s="4" t="s">
        <v>24806</v>
      </c>
      <c r="C19709" s="5" t="str">
        <f>IFERROR(__xludf.DUMMYFUNCTION("GOOGLETRANSLATE(B19709,""en"",""de"")"),"Sie wischt sich weiter über ihr Gesicht.")</f>
        <v>Sie wischt sich weiter über ihr Gesicht.</v>
      </c>
    </row>
    <row r="19710">
      <c r="A19710" s="4" t="s">
        <v>24807</v>
      </c>
      <c r="B19710" s="4" t="s">
        <v>24808</v>
      </c>
      <c r="C19710" s="5" t="str">
        <f>IFERROR(__xludf.DUMMYFUNCTION("GOOGLETRANSLATE(B19710,""en"",""de"")"),"Ein Hund sitzt auf einer orangefarbenen Couch.")</f>
        <v>Ein Hund sitzt auf einer orangefarbenen Couch.</v>
      </c>
    </row>
    <row r="19711">
      <c r="A19711" s="4" t="s">
        <v>24807</v>
      </c>
      <c r="B19711" s="4" t="s">
        <v>24809</v>
      </c>
      <c r="C19711" s="5" t="str">
        <f>IFERROR(__xludf.DUMMYFUNCTION("GOOGLETRANSLATE(B19711,""en"",""de"")"),"Ein Hund sitzt in einer Badewanne und bekommt ein Bad.")</f>
        <v>Ein Hund sitzt in einer Badewanne und bekommt ein Bad.</v>
      </c>
    </row>
    <row r="19712">
      <c r="A19712" s="4" t="s">
        <v>24807</v>
      </c>
      <c r="B19712" s="4" t="s">
        <v>24810</v>
      </c>
      <c r="C19712" s="5" t="str">
        <f>IFERROR(__xludf.DUMMYFUNCTION("GOOGLETRANSLATE(B19712,""en"",""de"")"),"Eine Person trocknet den Hund mit einem Handtuch.")</f>
        <v>Eine Person trocknet den Hund mit einem Handtuch.</v>
      </c>
    </row>
    <row r="19713">
      <c r="A19713" s="4" t="s">
        <v>24807</v>
      </c>
      <c r="B19713" s="4" t="s">
        <v>24811</v>
      </c>
      <c r="C19713" s="5" t="str">
        <f>IFERROR(__xludf.DUMMYFUNCTION("GOOGLETRANSLATE(B19713,""en"",""de"")"),"Der Hund wird mit einem Haartrockner getrocknet.")</f>
        <v>Der Hund wird mit einem Haartrockner getrocknet.</v>
      </c>
    </row>
    <row r="19714">
      <c r="A19714" s="4" t="s">
        <v>24812</v>
      </c>
      <c r="B19714" s="4" t="s">
        <v>24813</v>
      </c>
      <c r="C19714" s="5" t="str">
        <f>IFERROR(__xludf.DUMMYFUNCTION("GOOGLETRANSLATE(B19714,""en"",""de"")"),"Das Logo ""Weldy"" erscheint auf einem Foto von Schweißwerkzeugen.")</f>
        <v>Das Logo "Weldy" erscheint auf einem Foto von Schweißwerkzeugen.</v>
      </c>
    </row>
    <row r="19715">
      <c r="A19715" s="4" t="s">
        <v>24812</v>
      </c>
      <c r="B19715" s="4" t="s">
        <v>24814</v>
      </c>
      <c r="C19715" s="5" t="str">
        <f>IFERROR(__xludf.DUMMYFUNCTION("GOOGLETRANSLATE(B19715,""en"",""de"")"),"Die Wörter ""Energy 1600"" und die Weldy -Website -Adresse werden angezeigt.")</f>
        <v>Die Wörter "Energy 1600" und die Weldy -Website -Adresse werden angezeigt.</v>
      </c>
    </row>
    <row r="19716">
      <c r="A19716" s="4" t="s">
        <v>24812</v>
      </c>
      <c r="B19716" s="4" t="s">
        <v>24815</v>
      </c>
      <c r="C19716" s="5" t="str">
        <f>IFERROR(__xludf.DUMMYFUNCTION("GOOGLETRANSLATE(B19716,""en"",""de"")"),"Ein Mann arbeitet auf einem weißen Dach mit einem der weldigen Werkzeuge.")</f>
        <v>Ein Mann arbeitet auf einem weißen Dach mit einem der weldigen Werkzeuge.</v>
      </c>
    </row>
    <row r="19717">
      <c r="A19717" s="4" t="s">
        <v>24812</v>
      </c>
      <c r="B19717" s="4" t="s">
        <v>24816</v>
      </c>
      <c r="C19717" s="5" t="str">
        <f>IFERROR(__xludf.DUMMYFUNCTION("GOOGLETRANSLATE(B19717,""en"",""de"")"),"""Energy 1600"" und die Website werden erneut auf dem Bildschirm angezeigt.")</f>
        <v>"Energy 1600" und die Website werden erneut auf dem Bildschirm angezeigt.</v>
      </c>
    </row>
    <row r="19718">
      <c r="A19718" s="4" t="s">
        <v>24817</v>
      </c>
      <c r="B19718" s="4" t="s">
        <v>24818</v>
      </c>
      <c r="C19718" s="5" t="str">
        <f>IFERROR(__xludf.DUMMYFUNCTION("GOOGLETRANSLATE(B19718,""en"",""de"")"),"Eine Frau spricht mit der Kamera, während sie einen Wasserhahn einschaltet.")</f>
        <v>Eine Frau spricht mit der Kamera, während sie einen Wasserhahn einschaltet.</v>
      </c>
    </row>
    <row r="19719">
      <c r="A19719" s="4" t="s">
        <v>24817</v>
      </c>
      <c r="B19719" s="4" t="s">
        <v>24819</v>
      </c>
      <c r="C19719" s="5" t="str">
        <f>IFERROR(__xludf.DUMMYFUNCTION("GOOGLETRANSLATE(B19719,""en"",""de"")"),"Sie pumpt dann Seife ab und schrubbt die Hände.")</f>
        <v>Sie pumpt dann Seife ab und schrubbt die Hände.</v>
      </c>
    </row>
    <row r="19720">
      <c r="A19720" s="4" t="s">
        <v>24817</v>
      </c>
      <c r="B19720" s="4" t="s">
        <v>24820</v>
      </c>
      <c r="C19720" s="5" t="str">
        <f>IFERROR(__xludf.DUMMYFUNCTION("GOOGLETRANSLATE(B19720,""en"",""de"")"),"Sie fährt mit den Händen unter das Waschbecken und endet, indem sie ihre Hände trocknet und ausgeht, um Händedesinguden aufzusetzen.")</f>
        <v>Sie fährt mit den Händen unter das Waschbecken und endet, indem sie ihre Hände trocknet und ausgeht, um Händedesinguden aufzusetzen.</v>
      </c>
    </row>
    <row r="19721">
      <c r="A19721" s="4" t="s">
        <v>24821</v>
      </c>
      <c r="B19721" s="4" t="s">
        <v>24822</v>
      </c>
      <c r="C19721" s="5" t="str">
        <f>IFERROR(__xludf.DUMMYFUNCTION("GOOGLETRANSLATE(B19721,""en"",""de"")"),"Eine Frau verwendet Politur in einem Behälter, um einen schwarzen Schuh zu polieren.")</f>
        <v>Eine Frau verwendet Politur in einem Behälter, um einen schwarzen Schuh zu polieren.</v>
      </c>
    </row>
    <row r="19722">
      <c r="A19722" s="4" t="s">
        <v>24821</v>
      </c>
      <c r="B19722" s="4" t="s">
        <v>24823</v>
      </c>
      <c r="C19722" s="5" t="str">
        <f>IFERROR(__xludf.DUMMYFUNCTION("GOOGLETRANSLATE(B19722,""en"",""de"")"),"Sie spricht mit der Kamera, während sie arbeitet.")</f>
        <v>Sie spricht mit der Kamera, während sie arbeitet.</v>
      </c>
    </row>
    <row r="19723">
      <c r="A19723" s="4" t="s">
        <v>24821</v>
      </c>
      <c r="B19723" s="4" t="s">
        <v>24824</v>
      </c>
      <c r="C19723" s="5" t="str">
        <f>IFERROR(__xludf.DUMMYFUNCTION("GOOGLETRANSLATE(B19723,""en"",""de"")"),"Der schwarze Politur tropft auf ihre Beine.")</f>
        <v>Der schwarze Politur tropft auf ihre Beine.</v>
      </c>
    </row>
    <row r="19724">
      <c r="A19724" s="4" t="s">
        <v>24825</v>
      </c>
      <c r="B19724" s="4" t="s">
        <v>24826</v>
      </c>
      <c r="C19724" s="5" t="str">
        <f>IFERROR(__xludf.DUMMYFUNCTION("GOOGLETRANSLATE(B19724,""en"",""de"")"),"In einem Park spielt ein Hundetrainer in einem blauen Hoodie, der mit einem schwarzen und weißen Hund spielt.")</f>
        <v>In einem Park spielt ein Hundetrainer in einem blauen Hoodie, der mit einem schwarzen und weißen Hund spielt.</v>
      </c>
    </row>
    <row r="19725">
      <c r="A19725" s="4" t="s">
        <v>24825</v>
      </c>
      <c r="B19725" s="4" t="s">
        <v>24827</v>
      </c>
      <c r="C19725" s="5" t="str">
        <f>IFERROR(__xludf.DUMMYFUNCTION("GOOGLETRANSLATE(B19725,""en"",""de"")"),"Sie wirft dem Hund eine Frisbee und lässt den Hund ihn für sie holen.")</f>
        <v>Sie wirft dem Hund eine Frisbee und lässt den Hund ihn für sie holen.</v>
      </c>
    </row>
    <row r="19726">
      <c r="A19726" s="4" t="s">
        <v>24825</v>
      </c>
      <c r="B19726" s="4" t="s">
        <v>24828</v>
      </c>
      <c r="C19726" s="5" t="str">
        <f>IFERROR(__xludf.DUMMYFUNCTION("GOOGLETRANSLATE(B19726,""en"",""de"")"),"Der Hund läuft jedes Mal, wenn sie die Frisbee in einiger Entfernung wirft und sie für sie holt.")</f>
        <v>Der Hund läuft jedes Mal, wenn sie die Frisbee in einiger Entfernung wirft und sie für sie holt.</v>
      </c>
    </row>
    <row r="19727">
      <c r="A19727" s="4" t="s">
        <v>24825</v>
      </c>
      <c r="B19727" s="4" t="s">
        <v>24829</v>
      </c>
      <c r="C19727" s="5" t="str">
        <f>IFERROR(__xludf.DUMMYFUNCTION("GOOGLETRANSLATE(B19727,""en"",""de"")"),"Der Doh springt hoch, um die Frisbee von ihrer Hand zu holen.")</f>
        <v>Der Doh springt hoch, um die Frisbee von ihrer Hand zu holen.</v>
      </c>
    </row>
    <row r="19728">
      <c r="A19728" s="4" t="s">
        <v>24825</v>
      </c>
      <c r="B19728" s="4" t="s">
        <v>24830</v>
      </c>
      <c r="C19728" s="5" t="str">
        <f>IFERROR(__xludf.DUMMYFUNCTION("GOOGLETRANSLATE(B19728,""en"",""de"")"),"Der Hund springt sogar über die Dame, wenn sie auf dem Boden liegt.")</f>
        <v>Der Hund springt sogar über die Dame, wenn sie auf dem Boden liegt.</v>
      </c>
    </row>
    <row r="19729">
      <c r="A19729" s="4" t="s">
        <v>24825</v>
      </c>
      <c r="B19729" s="4" t="s">
        <v>24831</v>
      </c>
      <c r="C19729" s="5" t="str">
        <f>IFERROR(__xludf.DUMMYFUNCTION("GOOGLETRANSLATE(B19729,""en"",""de"")"),"Er rennt weiter und holt die Frisbee für die Dame, als sie mehrere Frisbee wirft.")</f>
        <v>Er rennt weiter und holt die Frisbee für die Dame, als sie mehrere Frisbee wirft.</v>
      </c>
    </row>
    <row r="19730">
      <c r="A19730" s="4" t="s">
        <v>24825</v>
      </c>
      <c r="B19730" s="4" t="s">
        <v>24832</v>
      </c>
      <c r="C19730" s="5" t="str">
        <f>IFERROR(__xludf.DUMMYFUNCTION("GOOGLETRANSLATE(B19730,""en"",""de"")"),"Die gleiche Dame trägt jetzt ein orangefarbenes Hemd und wirft den Hund den Frisbee.")</f>
        <v>Die gleiche Dame trägt jetzt ein orangefarbenes Hemd und wirft den Hund den Frisbee.</v>
      </c>
    </row>
    <row r="19731">
      <c r="A19731" s="4" t="s">
        <v>24825</v>
      </c>
      <c r="B19731" s="4" t="s">
        <v>24833</v>
      </c>
      <c r="C19731" s="5" t="str">
        <f>IFERROR(__xludf.DUMMYFUNCTION("GOOGLETRANSLATE(B19731,""en"",""de"")"),"Der Hund springt weiter und fängt den Frisbee in seinem Mund.")</f>
        <v>Der Hund springt weiter und fängt den Frisbee in seinem Mund.</v>
      </c>
    </row>
    <row r="19732">
      <c r="A19732" s="4" t="s">
        <v>24834</v>
      </c>
      <c r="B19732" s="4" t="s">
        <v>24835</v>
      </c>
      <c r="C19732" s="5" t="str">
        <f>IFERROR(__xludf.DUMMYFUNCTION("GOOGLETRANSLATE(B19732,""en"",""de"")"),"Ein kleiner Junge steht draußen und beobachtet, wie eine andere Person ihre Taschenrohre spielt.")</f>
        <v>Ein kleiner Junge steht draußen und beobachtet, wie eine andere Person ihre Taschenrohre spielt.</v>
      </c>
    </row>
    <row r="19733">
      <c r="A19733" s="4" t="s">
        <v>24834</v>
      </c>
      <c r="B19733" s="4" t="s">
        <v>24836</v>
      </c>
      <c r="C19733" s="5" t="str">
        <f>IFERROR(__xludf.DUMMYFUNCTION("GOOGLETRANSLATE(B19733,""en"",""de"")"),"Mehrere Leute gehen vorbei und eine Frau hält an und wirft Geld in den Fall der Person.")</f>
        <v>Mehrere Leute gehen vorbei und eine Frau hält an und wirft Geld in den Fall der Person.</v>
      </c>
    </row>
    <row r="19734">
      <c r="A19734" s="4" t="s">
        <v>24837</v>
      </c>
      <c r="B19734" s="4" t="s">
        <v>24838</v>
      </c>
      <c r="C19734" s="5" t="str">
        <f>IFERROR(__xludf.DUMMYFUNCTION("GOOGLETRANSLATE(B19734,""en"",""de"")"),"Ein Mann wird sich vorwärts beugen und sich an einer Reihe von Gewichten festhalten, während sie fest packt.")</f>
        <v>Ein Mann wird sich vorwärts beugen und sich an einer Reihe von Gewichten festhalten, während sie fest packt.</v>
      </c>
    </row>
    <row r="19735">
      <c r="A19735" s="4" t="s">
        <v>24837</v>
      </c>
      <c r="B19735" s="4" t="s">
        <v>24839</v>
      </c>
      <c r="C19735" s="5" t="str">
        <f>IFERROR(__xludf.DUMMYFUNCTION("GOOGLETRANSLATE(B19735,""en"",""de"")"),"Der Mann hebt dann das Gewicht über sein Ende und wirft es am Ende nach unten.")</f>
        <v>Der Mann hebt dann das Gewicht über sein Ende und wirft es am Ende nach unten.</v>
      </c>
    </row>
    <row r="19736">
      <c r="A19736" s="4" t="s">
        <v>24840</v>
      </c>
      <c r="B19736" s="4" t="s">
        <v>24841</v>
      </c>
      <c r="C19736" s="5" t="str">
        <f>IFERROR(__xludf.DUMMYFUNCTION("GOOGLETRANSLATE(B19736,""en"",""de"")"),"Zwei junge Freunde sind zusammen an einem Sandstrand.")</f>
        <v>Zwei junge Freunde sind zusammen an einem Sandstrand.</v>
      </c>
    </row>
    <row r="19737">
      <c r="A19737" s="4" t="s">
        <v>24840</v>
      </c>
      <c r="B19737" s="4" t="s">
        <v>24842</v>
      </c>
      <c r="C19737" s="5" t="str">
        <f>IFERROR(__xludf.DUMMYFUNCTION("GOOGLETRANSLATE(B19737,""en"",""de"")"),"Zuerst spricht das Mädchen auf der rechten Seite und dann spricht ihre Freundin in einem lila T-Shirt als nächstes.")</f>
        <v>Zuerst spricht das Mädchen auf der rechten Seite und dann spricht ihre Freundin in einem lila T-Shirt als nächstes.</v>
      </c>
    </row>
    <row r="19738">
      <c r="A19738" s="4" t="s">
        <v>24840</v>
      </c>
      <c r="B19738" s="4" t="s">
        <v>24843</v>
      </c>
      <c r="C19738" s="5" t="str">
        <f>IFERROR(__xludf.DUMMYFUNCTION("GOOGLETRANSLATE(B19738,""en"",""de"")"),"Sie endet, indem sie sich an ihre Freundin wendet und sie aufstehen, Hände greifen und die Szene nach rechts verlassen.")</f>
        <v>Sie endet, indem sie sich an ihre Freundin wendet und sie aufstehen, Hände greifen und die Szene nach rechts verlassen.</v>
      </c>
    </row>
    <row r="19739">
      <c r="A19739" s="4" t="s">
        <v>24840</v>
      </c>
      <c r="B19739" s="4" t="s">
        <v>24844</v>
      </c>
      <c r="C19739" s="5" t="str">
        <f>IFERROR(__xludf.DUMMYFUNCTION("GOOGLETRANSLATE(B19739,""en"",""de"")"),"Als nächstes sehen wir sie wieder auf dem Sand sitzen, wenn sie etwas im Sand bauen.")</f>
        <v>Als nächstes sehen wir sie wieder auf dem Sand sitzen, wenn sie etwas im Sand bauen.</v>
      </c>
    </row>
    <row r="19740">
      <c r="A19740" s="4" t="s">
        <v>24840</v>
      </c>
      <c r="B19740" s="4" t="s">
        <v>24845</v>
      </c>
      <c r="C19740" s="5" t="str">
        <f>IFERROR(__xludf.DUMMYFUNCTION("GOOGLETRANSLATE(B19740,""en"",""de"")"),"Der Fokus wird auf ein Mädchen verlagert, das spricht und endet, indem er etwas in den Sand schreibt.")</f>
        <v>Der Fokus wird auf ein Mädchen verlagert, das spricht und endet, indem er etwas in den Sand schreibt.</v>
      </c>
    </row>
    <row r="19741">
      <c r="A19741" s="4" t="s">
        <v>24846</v>
      </c>
      <c r="B19741" s="4" t="s">
        <v>24847</v>
      </c>
      <c r="C19741" s="5" t="str">
        <f>IFERROR(__xludf.DUMMYFUNCTION("GOOGLETRANSLATE(B19741,""en"",""de"")"),"Es werden verschiedene Clips gezeigt, wie Menschen auf den Fahrrädern herumfahren und auf Fahrrädern saßen, die bereit sind, Rennen zu fahren.")</f>
        <v>Es werden verschiedene Clips gezeigt, wie Menschen auf den Fahrrädern herumfahren und auf Fahrrädern saßen, die bereit sind, Rennen zu fahren.</v>
      </c>
    </row>
    <row r="19742">
      <c r="A19742" s="4" t="s">
        <v>24846</v>
      </c>
      <c r="B19742" s="4" t="s">
        <v>24848</v>
      </c>
      <c r="C19742" s="5" t="str">
        <f>IFERROR(__xludf.DUMMYFUNCTION("GOOGLETRANSLATE(B19742,""en"",""de"")"),"Es werden mehrere Clips von Menschen aus der Nähe angezeigt und sie reiten mit Fahrrädern herum.")</f>
        <v>Es werden mehrere Clips von Menschen aus der Nähe angezeigt und sie reiten mit Fahrrädern herum.</v>
      </c>
    </row>
    <row r="19743">
      <c r="A19743" s="4" t="s">
        <v>24849</v>
      </c>
      <c r="B19743" s="4" t="s">
        <v>24850</v>
      </c>
      <c r="C19743" s="5" t="str">
        <f>IFERROR(__xludf.DUMMYFUNCTION("GOOGLETRANSLATE(B19743,""en"",""de"")"),"Ein Mann legt ein Holz aufrecht auf einen Baumstumpf.")</f>
        <v>Ein Mann legt ein Holz aufrecht auf einen Baumstumpf.</v>
      </c>
    </row>
    <row r="19744">
      <c r="A19744" s="4" t="s">
        <v>24849</v>
      </c>
      <c r="B19744" s="4" t="s">
        <v>24851</v>
      </c>
      <c r="C19744" s="5" t="str">
        <f>IFERROR(__xludf.DUMMYFUNCTION("GOOGLETRANSLATE(B19744,""en"",""de"")"),"Ein Mann spaltet Holz in Hälften.")</f>
        <v>Ein Mann spaltet Holz in Hälften.</v>
      </c>
    </row>
    <row r="19745">
      <c r="A19745" s="4" t="s">
        <v>24849</v>
      </c>
      <c r="B19745" s="4" t="s">
        <v>24852</v>
      </c>
      <c r="C19745" s="5" t="str">
        <f>IFERROR(__xludf.DUMMYFUNCTION("GOOGLETRANSLATE(B19745,""en"",""de"")"),"Ein Mann versucht wiederholt, ein Holz zu schneiden.")</f>
        <v>Ein Mann versucht wiederholt, ein Holz zu schneiden.</v>
      </c>
    </row>
    <row r="19746">
      <c r="A19746" s="4" t="s">
        <v>24849</v>
      </c>
      <c r="B19746" s="4" t="s">
        <v>573</v>
      </c>
      <c r="C19746" s="5" t="str">
        <f>IFERROR(__xludf.DUMMYFUNCTION("GOOGLETRANSLATE(B19746,""en"",""de"")"),"Die Credits des Videos werden angezeigt.")</f>
        <v>Die Credits des Videos werden angezeigt.</v>
      </c>
    </row>
    <row r="19747">
      <c r="A19747" s="4" t="s">
        <v>24853</v>
      </c>
      <c r="B19747" s="4" t="s">
        <v>24854</v>
      </c>
      <c r="C19747" s="5" t="str">
        <f>IFERROR(__xludf.DUMMYFUNCTION("GOOGLETRANSLATE(B19747,""en"",""de"")"),"Ein Ball fliegt durch die Luft auf einem Baseballfeld.")</f>
        <v>Ein Ball fliegt durch die Luft auf einem Baseballfeld.</v>
      </c>
    </row>
    <row r="19748">
      <c r="A19748" s="4" t="s">
        <v>24853</v>
      </c>
      <c r="B19748" s="4" t="s">
        <v>24855</v>
      </c>
      <c r="C19748" s="5" t="str">
        <f>IFERROR(__xludf.DUMMYFUNCTION("GOOGLETRANSLATE(B19748,""en"",""de"")"),"Die Person mit der Kamera nimmt ab.")</f>
        <v>Die Person mit der Kamera nimmt ab.</v>
      </c>
    </row>
    <row r="19749">
      <c r="A19749" s="4" t="s">
        <v>24853</v>
      </c>
      <c r="B19749" s="4" t="s">
        <v>24856</v>
      </c>
      <c r="C19749" s="5" t="str">
        <f>IFERROR(__xludf.DUMMYFUNCTION("GOOGLETRANSLATE(B19749,""en"",""de"")"),"Der Läufer hält an der Heimatbasis an und dreht sich um.")</f>
        <v>Der Läufer hält an der Heimatbasis an und dreht sich um.</v>
      </c>
    </row>
    <row r="19750">
      <c r="A19750" s="4" t="s">
        <v>24853</v>
      </c>
      <c r="B19750" s="4" t="s">
        <v>24857</v>
      </c>
      <c r="C19750" s="5" t="str">
        <f>IFERROR(__xludf.DUMMYFUNCTION("GOOGLETRANSLATE(B19750,""en"",""de"")"),"Wir sehen die Menschen auf der Rückseite des Feldes.")</f>
        <v>Wir sehen die Menschen auf der Rückseite des Feldes.</v>
      </c>
    </row>
    <row r="19751">
      <c r="A19751" s="4" t="s">
        <v>24858</v>
      </c>
      <c r="B19751" s="4" t="s">
        <v>24859</v>
      </c>
      <c r="C19751" s="5" t="str">
        <f>IFERROR(__xludf.DUMMYFUNCTION("GOOGLETRANSLATE(B19751,""en"",""de"")"),"Eine große Gruppe von Menschen steht in einem Pool und Menschen, die auf Papier schreiben und miteinander sprechen.")</f>
        <v>Eine große Gruppe von Menschen steht in einem Pool und Menschen, die auf Papier schreiben und miteinander sprechen.</v>
      </c>
    </row>
    <row r="19752">
      <c r="A19752" s="4" t="s">
        <v>24858</v>
      </c>
      <c r="B19752" s="4" t="s">
        <v>24860</v>
      </c>
      <c r="C19752" s="5" t="str">
        <f>IFERROR(__xludf.DUMMYFUNCTION("GOOGLETRANSLATE(B19752,""en"",""de"")"),"Weitere Menschen tauchen auf einem Brett und springen auf die Seite.")</f>
        <v>Weitere Menschen tauchen auf einem Brett und springen auf die Seite.</v>
      </c>
    </row>
    <row r="19753">
      <c r="A19753" s="4" t="s">
        <v>24858</v>
      </c>
      <c r="B19753" s="4" t="s">
        <v>24861</v>
      </c>
      <c r="C19753" s="5" t="str">
        <f>IFERROR(__xludf.DUMMYFUNCTION("GOOGLETRANSLATE(B19753,""en"",""de"")"),"Mehrere Menschen sehen nebenbei gesehen, wie die Kinder weiterhin tauchen.")</f>
        <v>Mehrere Menschen sehen nebenbei gesehen, wie die Kinder weiterhin tauchen.</v>
      </c>
    </row>
    <row r="19754">
      <c r="A19754" s="4" t="s">
        <v>24862</v>
      </c>
      <c r="B19754" s="4" t="s">
        <v>24863</v>
      </c>
      <c r="C19754" s="5" t="str">
        <f>IFERROR(__xludf.DUMMYFUNCTION("GOOGLETRANSLATE(B19754,""en"",""de"")"),"Eine Zeichnung von Flugzeugen und Maschinen wird verwendet, dann Bilder von Männern und einer Frau.")</f>
        <v>Eine Zeichnung von Flugzeugen und Maschinen wird verwendet, dann Bilder von Männern und einer Frau.</v>
      </c>
    </row>
    <row r="19755">
      <c r="A19755" s="4" t="s">
        <v>24862</v>
      </c>
      <c r="B19755" s="4" t="s">
        <v>24864</v>
      </c>
      <c r="C19755" s="5" t="str">
        <f>IFERROR(__xludf.DUMMYFUNCTION("GOOGLETRANSLATE(B19755,""en"",""de"")"),"Ein Mann im blauen Hemd streift eine Farbe in ein Flugzeugmodell, dann malt er eine andere Farbe, damit das Flugzeug wie eine Tarnung aussieht.")</f>
        <v>Ein Mann im blauen Hemd streift eine Farbe in ein Flugzeugmodell, dann malt er eine andere Farbe, damit das Flugzeug wie eine Tarnung aussieht.</v>
      </c>
    </row>
    <row r="19756">
      <c r="A19756" s="4" t="s">
        <v>24865</v>
      </c>
      <c r="B19756" s="4" t="s">
        <v>24866</v>
      </c>
      <c r="C19756" s="5" t="str">
        <f>IFERROR(__xludf.DUMMYFUNCTION("GOOGLETRANSLATE(B19756,""en"",""de"")"),"Ein Mann sitzt neben mehreren kleinen Bäumen.")</f>
        <v>Ein Mann sitzt neben mehreren kleinen Bäumen.</v>
      </c>
    </row>
    <row r="19757">
      <c r="A19757" s="4" t="s">
        <v>24865</v>
      </c>
      <c r="B19757" s="4" t="s">
        <v>24867</v>
      </c>
      <c r="C19757" s="5" t="str">
        <f>IFERROR(__xludf.DUMMYFUNCTION("GOOGLETRANSLATE(B19757,""en"",""de"")"),"Er zieht einige Blätter von den Bäumen.")</f>
        <v>Er zieht einige Blätter von den Bäumen.</v>
      </c>
    </row>
    <row r="19758">
      <c r="A19758" s="4" t="s">
        <v>24865</v>
      </c>
      <c r="B19758" s="4" t="s">
        <v>24868</v>
      </c>
      <c r="C19758" s="5" t="str">
        <f>IFERROR(__xludf.DUMMYFUNCTION("GOOGLETRANSLATE(B19758,""en"",""de"")"),"Er nimmt eine Schere und schneidet einige Blätter vom Baum ab.")</f>
        <v>Er nimmt eine Schere und schneidet einige Blätter vom Baum ab.</v>
      </c>
    </row>
    <row r="19759">
      <c r="A19759" s="4" t="s">
        <v>24869</v>
      </c>
      <c r="B19759" s="4" t="s">
        <v>24870</v>
      </c>
      <c r="C19759" s="5" t="str">
        <f>IFERROR(__xludf.DUMMYFUNCTION("GOOGLETRANSLATE(B19759,""en"",""de"")"),"Ein Mann Wasser Ski an einem Fluss.")</f>
        <v>Ein Mann Wasser Ski an einem Fluss.</v>
      </c>
    </row>
    <row r="19760">
      <c r="A19760" s="4" t="s">
        <v>24869</v>
      </c>
      <c r="B19760" s="4" t="s">
        <v>24871</v>
      </c>
      <c r="C19760" s="5" t="str">
        <f>IFERROR(__xludf.DUMMYFUNCTION("GOOGLETRANSLATE(B19760,""en"",""de"")"),"Ein langhaariger Mann betreibt ein Boot und das Boot schleppt einen Mann mit Wasser Ski über das Wasser.")</f>
        <v>Ein langhaariger Mann betreibt ein Boot und das Boot schleppt einen Mann mit Wasser Ski über das Wasser.</v>
      </c>
    </row>
    <row r="19761">
      <c r="A19761" s="4" t="s">
        <v>24869</v>
      </c>
      <c r="B19761" s="4" t="s">
        <v>14857</v>
      </c>
      <c r="C19761" s="5" t="str">
        <f>IFERROR(__xludf.DUMMYFUNCTION("GOOGLETRANSLATE(B19761,""en"",""de"")"),"Ein Mann in Brille spricht mit der Kamera.")</f>
        <v>Ein Mann in Brille spricht mit der Kamera.</v>
      </c>
    </row>
    <row r="19762">
      <c r="A19762" s="4" t="s">
        <v>24869</v>
      </c>
      <c r="B19762" s="4" t="s">
        <v>24872</v>
      </c>
      <c r="C19762" s="5" t="str">
        <f>IFERROR(__xludf.DUMMYFUNCTION("GOOGLETRANSLATE(B19762,""en"",""de"")"),"Ein Typ, der sich an einem Seil festhielt, das an einem Bootswasser -Ski angebracht war.")</f>
        <v>Ein Typ, der sich an einem Seil festhielt, das an einem Bootswasser -Ski angebracht war.</v>
      </c>
    </row>
    <row r="19763">
      <c r="A19763" s="4" t="s">
        <v>24869</v>
      </c>
      <c r="B19763" s="4" t="s">
        <v>24873</v>
      </c>
      <c r="C19763" s="5" t="str">
        <f>IFERROR(__xludf.DUMMYFUNCTION("GOOGLETRANSLATE(B19763,""en"",""de"")"),"Der Mann in der Brille erscheint erneut, spricht mit der Kamera und zeigt auf einen Mann, der auf dem Fluss Ski Ski Ski ist.")</f>
        <v>Der Mann in der Brille erscheint erneut, spricht mit der Kamera und zeigt auf einen Mann, der auf dem Fluss Ski Ski Ski ist.</v>
      </c>
    </row>
    <row r="19764">
      <c r="A19764" s="4" t="s">
        <v>24869</v>
      </c>
      <c r="B19764" s="4" t="s">
        <v>24874</v>
      </c>
      <c r="C19764" s="5" t="str">
        <f>IFERROR(__xludf.DUMMYFUNCTION("GOOGLETRANSLATE(B19764,""en"",""de"")"),"Der Wasserskiier gleitet auf dem Wasser des Flusses hin und her.")</f>
        <v>Der Wasserskiier gleitet auf dem Wasser des Flusses hin und her.</v>
      </c>
    </row>
    <row r="19765">
      <c r="A19765" s="4" t="s">
        <v>24869</v>
      </c>
      <c r="B19765" s="4" t="s">
        <v>24875</v>
      </c>
      <c r="C19765" s="5" t="str">
        <f>IFERROR(__xludf.DUMMYFUNCTION("GOOGLETRANSLATE(B19765,""en"",""de"")"),"Der Mann in Brille spricht über die Wasserski.")</f>
        <v>Der Mann in Brille spricht über die Wasserski.</v>
      </c>
    </row>
    <row r="19766">
      <c r="A19766" s="4" t="s">
        <v>24876</v>
      </c>
      <c r="B19766" s="4" t="s">
        <v>24877</v>
      </c>
      <c r="C19766" s="5" t="str">
        <f>IFERROR(__xludf.DUMMYFUNCTION("GOOGLETRANSLATE(B19766,""en"",""de"")"),"Ein kleines Kind steht auf einem Trampolin und wirft einen Ball in die Ferne.")</f>
        <v>Ein kleines Kind steht auf einem Trampolin und wirft einen Ball in die Ferne.</v>
      </c>
    </row>
    <row r="19767">
      <c r="A19767" s="4" t="s">
        <v>24876</v>
      </c>
      <c r="B19767" s="4" t="s">
        <v>24878</v>
      </c>
      <c r="C19767" s="5" t="str">
        <f>IFERROR(__xludf.DUMMYFUNCTION("GOOGLETRANSLATE(B19767,""en"",""de"")"),"Weitere Kinder nehmen Bälle auf und werfen sie auf die andere Seite.")</f>
        <v>Weitere Kinder nehmen Bälle auf und werfen sie auf die andere Seite.</v>
      </c>
    </row>
    <row r="19768">
      <c r="A19768" s="4" t="s">
        <v>24876</v>
      </c>
      <c r="B19768" s="4" t="s">
        <v>24879</v>
      </c>
      <c r="C19768" s="5" t="str">
        <f>IFERROR(__xludf.DUMMYFUNCTION("GOOGLETRANSLATE(B19768,""en"",""de"")"),"Weitere Kinder werfen Bälle und spielen miteinander Dodgeball.")</f>
        <v>Weitere Kinder werfen Bälle und spielen miteinander Dodgeball.</v>
      </c>
    </row>
    <row r="19769">
      <c r="A19769" s="4" t="s">
        <v>24880</v>
      </c>
      <c r="B19769" s="4" t="s">
        <v>24881</v>
      </c>
      <c r="C19769" s="5" t="str">
        <f>IFERROR(__xludf.DUMMYFUNCTION("GOOGLETRANSLATE(B19769,""en"",""de"")"),"Verschiedene Schüsse werden von Tauchern gezeigt, die sich entlang des Wassers sowie Menschen reiten und Boote reiten.")</f>
        <v>Verschiedene Schüsse werden von Tauchern gezeigt, die sich entlang des Wassers sowie Menschen reiten und Boote reiten.</v>
      </c>
    </row>
    <row r="19770">
      <c r="A19770" s="4" t="s">
        <v>24880</v>
      </c>
      <c r="B19770" s="4" t="s">
        <v>24882</v>
      </c>
      <c r="C19770" s="5" t="str">
        <f>IFERROR(__xludf.DUMMYFUNCTION("GOOGLETRANSLATE(B19770,""en"",""de"")"),"Weitere Clips werden von Menschen gezeigt, die sich an Land fertig machen und um den Ozean schwimmen.")</f>
        <v>Weitere Clips werden von Menschen gezeigt, die sich an Land fertig machen und um den Ozean schwimmen.</v>
      </c>
    </row>
    <row r="19771">
      <c r="A19771" s="4" t="s">
        <v>24883</v>
      </c>
      <c r="B19771" s="4" t="s">
        <v>24884</v>
      </c>
      <c r="C19771" s="5" t="str">
        <f>IFERROR(__xludf.DUMMYFUNCTION("GOOGLETRANSLATE(B19771,""en"",""de"")"),"Ein kleiner Hund steht im Schnee und eine Person, die mit einer Schaufel Schnee schiebt.")</f>
        <v>Ein kleiner Hund steht im Schnee und eine Person, die mit einer Schaufel Schnee schiebt.</v>
      </c>
    </row>
    <row r="19772">
      <c r="A19772" s="4" t="s">
        <v>24883</v>
      </c>
      <c r="B19772" s="4" t="s">
        <v>24885</v>
      </c>
      <c r="C19772" s="5" t="str">
        <f>IFERROR(__xludf.DUMMYFUNCTION("GOOGLETRANSLATE(B19772,""en"",""de"")"),"Der Hund folgt der Person, die schaufelt, während er an der Schaufel beißt und in den Kameramann bellt.")</f>
        <v>Der Hund folgt der Person, die schaufelt, während er an der Schaufel beißt und in den Kameramann bellt.</v>
      </c>
    </row>
    <row r="19773">
      <c r="A19773" s="4" t="s">
        <v>24886</v>
      </c>
      <c r="B19773" s="4" t="s">
        <v>24887</v>
      </c>
      <c r="C19773" s="5" t="str">
        <f>IFERROR(__xludf.DUMMYFUNCTION("GOOGLETRANSLATE(B19773,""en"",""de"")"),"Die Buchstaben -Drehzahl werden auf dem Bildschirm angezeigt.")</f>
        <v>Die Buchstaben -Drehzahl werden auf dem Bildschirm angezeigt.</v>
      </c>
    </row>
    <row r="19774">
      <c r="A19774" s="4" t="s">
        <v>24886</v>
      </c>
      <c r="B19774" s="4" t="s">
        <v>24888</v>
      </c>
      <c r="C19774" s="5" t="str">
        <f>IFERROR(__xludf.DUMMYFUNCTION("GOOGLETRANSLATE(B19774,""en"",""de"")"),"Ein Zimmer ist mit Menschen mit Fahrrädern gefüllt.")</f>
        <v>Ein Zimmer ist mit Menschen mit Fahrrädern gefüllt.</v>
      </c>
    </row>
    <row r="19775">
      <c r="A19775" s="4" t="s">
        <v>24886</v>
      </c>
      <c r="B19775" s="4" t="s">
        <v>24889</v>
      </c>
      <c r="C19775" s="5" t="str">
        <f>IFERROR(__xludf.DUMMYFUNCTION("GOOGLETRANSLATE(B19775,""en"",""de"")"),"Sie gehen so schnell wie möglich und bewerben ein Fitness -Fitnessstudio.")</f>
        <v>Sie gehen so schnell wie möglich und bewerben ein Fitness -Fitnessstudio.</v>
      </c>
    </row>
    <row r="19776">
      <c r="A19776" s="4" t="s">
        <v>24890</v>
      </c>
      <c r="B19776" s="4" t="s">
        <v>24891</v>
      </c>
      <c r="C19776" s="5" t="str">
        <f>IFERROR(__xludf.DUMMYFUNCTION("GOOGLETRANSLATE(B19776,""en"",""de"")"),"Die Leute kämpfen draußen am Boden.")</f>
        <v>Die Leute kämpfen draußen am Boden.</v>
      </c>
    </row>
    <row r="19777">
      <c r="A19777" s="4" t="s">
        <v>24890</v>
      </c>
      <c r="B19777" s="4" t="s">
        <v>24892</v>
      </c>
      <c r="C19777" s="5" t="str">
        <f>IFERROR(__xludf.DUMMYFUNCTION("GOOGLETRANSLATE(B19777,""en"",""de"")"),"Sie schlagen einen Mann auf den Boden.")</f>
        <v>Sie schlagen einen Mann auf den Boden.</v>
      </c>
    </row>
    <row r="19778">
      <c r="A19778" s="4" t="s">
        <v>24890</v>
      </c>
      <c r="B19778" s="4" t="s">
        <v>24893</v>
      </c>
      <c r="C19778" s="5" t="str">
        <f>IFERROR(__xludf.DUMMYFUNCTION("GOOGLETRANSLATE(B19778,""en"",""de"")"),"Sie heben ihn in die Luft und schlagen ihn wieder auf den Boden.")</f>
        <v>Sie heben ihn in die Luft und schlagen ihn wieder auf den Boden.</v>
      </c>
    </row>
    <row r="19779">
      <c r="A19779" s="4" t="s">
        <v>24894</v>
      </c>
      <c r="B19779" s="4" t="s">
        <v>24895</v>
      </c>
      <c r="C19779" s="5" t="str">
        <f>IFERROR(__xludf.DUMMYFUNCTION("GOOGLETRANSLATE(B19779,""en"",""de"")"),"Ein Mann trägt einen Schweißhelm und hält eine Stange.")</f>
        <v>Ein Mann trägt einen Schweißhelm und hält eine Stange.</v>
      </c>
    </row>
    <row r="19780">
      <c r="A19780" s="4" t="s">
        <v>24894</v>
      </c>
      <c r="B19780" s="4" t="s">
        <v>24896</v>
      </c>
      <c r="C19780" s="5" t="str">
        <f>IFERROR(__xludf.DUMMYFUNCTION("GOOGLETRANSLATE(B19780,""en"",""de"")"),"Dann benutzt der Mann die Straße, um ein Stück Metall auf dem Boden zu halten.")</f>
        <v>Dann benutzt der Mann die Straße, um ein Stück Metall auf dem Boden zu halten.</v>
      </c>
    </row>
    <row r="19781">
      <c r="A19781" s="4" t="s">
        <v>24897</v>
      </c>
      <c r="B19781" s="4" t="s">
        <v>24898</v>
      </c>
      <c r="C19781" s="5" t="str">
        <f>IFERROR(__xludf.DUMMYFUNCTION("GOOGLETRANSLATE(B19781,""en"",""de"")"),"In einem Innenplatz findet ein Doppelspiel mit Badminton -Damen statt.")</f>
        <v>In einem Innenplatz findet ein Doppelspiel mit Badminton -Damen statt.</v>
      </c>
    </row>
    <row r="19782">
      <c r="A19782" s="4" t="s">
        <v>24897</v>
      </c>
      <c r="B19782" s="4" t="s">
        <v>24899</v>
      </c>
      <c r="C19782" s="5" t="str">
        <f>IFERROR(__xludf.DUMMYFUNCTION("GOOGLETRANSLATE(B19782,""en"",""de"")"),"Es gibt mehrere Zuschauer, die das Match beobachten, als die Doppelpartner mit ihren Schlägern den Shuttlecock treffen.")</f>
        <v>Es gibt mehrere Zuschauer, die das Match beobachten, als die Doppelpartner mit ihren Schlägern den Shuttlecock treffen.</v>
      </c>
    </row>
    <row r="19783">
      <c r="A19783" s="4" t="s">
        <v>24897</v>
      </c>
      <c r="B19783" s="4" t="s">
        <v>24900</v>
      </c>
      <c r="C19783" s="5" t="str">
        <f>IFERROR(__xludf.DUMMYFUNCTION("GOOGLETRANSLATE(B19783,""en"",""de"")"),"Die Menge jubelt, als das Match weitergeht und die Spieler mit ihren Schlägern hin und her getroffen haben.")</f>
        <v>Die Menge jubelt, als das Match weitergeht und die Spieler mit ihren Schlägern hin und her getroffen haben.</v>
      </c>
    </row>
    <row r="19784">
      <c r="A19784" s="4" t="s">
        <v>24901</v>
      </c>
      <c r="B19784" s="4" t="s">
        <v>24902</v>
      </c>
      <c r="C19784" s="5" t="str">
        <f>IFERROR(__xludf.DUMMYFUNCTION("GOOGLETRANSLATE(B19784,""en"",""de"")"),"Ein Mann steht und schreit laut, als er eine Langhantel hebt.")</f>
        <v>Ein Mann steht und schreit laut, als er eine Langhantel hebt.</v>
      </c>
    </row>
    <row r="19785">
      <c r="A19785" s="4" t="s">
        <v>24901</v>
      </c>
      <c r="B19785" s="4" t="s">
        <v>24903</v>
      </c>
      <c r="C19785" s="5" t="str">
        <f>IFERROR(__xludf.DUMMYFUNCTION("GOOGLETRANSLATE(B19785,""en"",""de"")"),"Er hebt ein Gewicht über seinem Kopf.")</f>
        <v>Er hebt ein Gewicht über seinem Kopf.</v>
      </c>
    </row>
    <row r="19786">
      <c r="A19786" s="4" t="s">
        <v>24901</v>
      </c>
      <c r="B19786" s="4" t="s">
        <v>24904</v>
      </c>
      <c r="C19786" s="5" t="str">
        <f>IFERROR(__xludf.DUMMYFUNCTION("GOOGLETRANSLATE(B19786,""en"",""de"")"),"Ein anderer Mann wird gezeigt, wie es eine Menge anzieht, wenn eine Menge beobachtet.")</f>
        <v>Ein anderer Mann wird gezeigt, wie es eine Menge anzieht, wenn eine Menge beobachtet.</v>
      </c>
    </row>
    <row r="19787">
      <c r="A19787" s="4" t="s">
        <v>24901</v>
      </c>
      <c r="B19787" s="4" t="s">
        <v>24905</v>
      </c>
      <c r="C19787" s="5" t="str">
        <f>IFERROR(__xludf.DUMMYFUNCTION("GOOGLETRANSLATE(B19787,""en"",""de"")"),"Mehrere Gewichtsleben heben weiterhin Langhanteln an.")</f>
        <v>Mehrere Gewichtsleben heben weiterhin Langhanteln an.</v>
      </c>
    </row>
    <row r="19788">
      <c r="A19788" s="4" t="s">
        <v>24901</v>
      </c>
      <c r="B19788" s="4" t="s">
        <v>24906</v>
      </c>
      <c r="C19788" s="5" t="str">
        <f>IFERROR(__xludf.DUMMYFUNCTION("GOOGLETRANSLATE(B19788,""en"",""de"")"),"Ein Mann wird gezeigt, als er verletzt wird.")</f>
        <v>Ein Mann wird gezeigt, als er verletzt wird.</v>
      </c>
    </row>
    <row r="19789">
      <c r="A19789" s="4" t="s">
        <v>24907</v>
      </c>
      <c r="B19789" s="4" t="s">
        <v>24908</v>
      </c>
      <c r="C19789" s="5" t="str">
        <f>IFERROR(__xludf.DUMMYFUNCTION("GOOGLETRANSLATE(B19789,""en"",""de"")"),"Zwei Männer stehen in einem Raum und schlagen einen Ball, während andere zuschauen.")</f>
        <v>Zwei Männer stehen in einem Raum und schlagen einen Ball, während andere zuschauen.</v>
      </c>
    </row>
    <row r="19790">
      <c r="A19790" s="4" t="s">
        <v>24907</v>
      </c>
      <c r="B19790" s="4" t="s">
        <v>24909</v>
      </c>
      <c r="C19790" s="5" t="str">
        <f>IFERROR(__xludf.DUMMYFUNCTION("GOOGLETRANSLATE(B19790,""en"",""de"")"),"Weitere Männer erscheinen im Raum und werden gesehen, wie sie einen Tennisball herumjagen und ihn schlagen.")</f>
        <v>Weitere Männer erscheinen im Raum und werden gesehen, wie sie einen Tennisball herumjagen und ihn schlagen.</v>
      </c>
    </row>
    <row r="19791">
      <c r="A19791" s="4" t="s">
        <v>24910</v>
      </c>
      <c r="B19791" s="4" t="s">
        <v>24911</v>
      </c>
      <c r="C19791" s="5" t="str">
        <f>IFERROR(__xludf.DUMMYFUNCTION("GOOGLETRANSLATE(B19791,""en"",""de"")"),"Zement wird im Zementmixer hergestellt.")</f>
        <v>Zement wird im Zementmixer hergestellt.</v>
      </c>
    </row>
    <row r="19792">
      <c r="A19792" s="4" t="s">
        <v>24910</v>
      </c>
      <c r="B19792" s="4" t="s">
        <v>24912</v>
      </c>
      <c r="C19792" s="5" t="str">
        <f>IFERROR(__xludf.DUMMYFUNCTION("GOOGLETRANSLATE(B19792,""en"",""de"")"),"Drei hispanische Männer legen den Fundament des Pools mit einer Zementpistole.")</f>
        <v>Drei hispanische Männer legen den Fundament des Pools mit einer Zementpistole.</v>
      </c>
    </row>
    <row r="19793">
      <c r="A19793" s="4" t="s">
        <v>24910</v>
      </c>
      <c r="B19793" s="4" t="s">
        <v>24913</v>
      </c>
      <c r="C19793" s="5" t="str">
        <f>IFERROR(__xludf.DUMMYFUNCTION("GOOGLETRANSLATE(B19793,""en"",""de"")"),"Ein Mann, der in Weiß gekleidet ist, macht das Zement Finish, als die anderen Männer den Zement mit einer Waffe legen.")</f>
        <v>Ein Mann, der in Weiß gekleidet ist, macht das Zement Finish, als die anderen Männer den Zement mit einer Waffe legen.</v>
      </c>
    </row>
    <row r="19794">
      <c r="A19794" s="4" t="s">
        <v>24910</v>
      </c>
      <c r="B19794" s="4" t="s">
        <v>24914</v>
      </c>
      <c r="C19794" s="5" t="str">
        <f>IFERROR(__xludf.DUMMYFUNCTION("GOOGLETRANSLATE(B19794,""en"",""de"")"),"Sobald der Zement fertig ist, beginnen alle Männer zu Ende.")</f>
        <v>Sobald der Zement fertig ist, beginnen alle Männer zu Ende.</v>
      </c>
    </row>
    <row r="19795">
      <c r="A19795" s="4" t="s">
        <v>24915</v>
      </c>
      <c r="B19795" s="4" t="s">
        <v>24916</v>
      </c>
      <c r="C19795" s="5" t="str">
        <f>IFERROR(__xludf.DUMMYFUNCTION("GOOGLETRANSLATE(B19795,""en"",""de"")"),"Skifahrer gehen und stehen auf Skier am Fuße des Hügels eines Skigebiets.")</f>
        <v>Skifahrer gehen und stehen auf Skier am Fuße des Hügels eines Skigebiets.</v>
      </c>
    </row>
    <row r="19796">
      <c r="A19796" s="4" t="s">
        <v>24915</v>
      </c>
      <c r="B19796" s="4" t="s">
        <v>24917</v>
      </c>
      <c r="C19796" s="5" t="str">
        <f>IFERROR(__xludf.DUMMYFUNCTION("GOOGLETRANSLATE(B19796,""en"",""de"")"),"Kinder fahren mit aufblasbaren Röhren hinunter an einem Skigisten.")</f>
        <v>Kinder fahren mit aufblasbaren Röhren hinunter an einem Skigisten.</v>
      </c>
    </row>
    <row r="19797">
      <c r="A19797" s="4" t="s">
        <v>24915</v>
      </c>
      <c r="B19797" s="4" t="s">
        <v>24918</v>
      </c>
      <c r="C19797" s="5" t="str">
        <f>IFERROR(__xludf.DUMMYFUNCTION("GOOGLETRANSLATE(B19797,""en"",""de"")"),"Snowboarder und Skifahrer fahren die Skigläufe hinunter, während andere Gruppen auf dem Skiaufzug sitzen.")</f>
        <v>Snowboarder und Skifahrer fahren die Skigläufe hinunter, während andere Gruppen auf dem Skiaufzug sitzen.</v>
      </c>
    </row>
    <row r="19798">
      <c r="A19798" s="4" t="s">
        <v>24915</v>
      </c>
      <c r="B19798" s="4" t="s">
        <v>24919</v>
      </c>
      <c r="C19798" s="5" t="str">
        <f>IFERROR(__xludf.DUMMYFUNCTION("GOOGLETRANSLATE(B19798,""en"",""de"")"),"Eine Gruppe hängt an einem Schleppseil an Zwischenrohren und wirft Schneebälle.")</f>
        <v>Eine Gruppe hängt an einem Schleppseil an Zwischenrohren und wirft Schneebälle.</v>
      </c>
    </row>
    <row r="19799">
      <c r="A19799" s="4" t="s">
        <v>24920</v>
      </c>
      <c r="B19799" s="4" t="s">
        <v>24921</v>
      </c>
      <c r="C19799" s="5" t="str">
        <f>IFERROR(__xludf.DUMMYFUNCTION("GOOGLETRANSLATE(B19799,""en"",""de"")"),"Ein Mann spielt in einem Studio einen Song auf einer Akustikgitarre.")</f>
        <v>Ein Mann spielt in einem Studio einen Song auf einer Akustikgitarre.</v>
      </c>
    </row>
    <row r="19800">
      <c r="A19800" s="4" t="s">
        <v>24920</v>
      </c>
      <c r="B19800" s="4" t="s">
        <v>24922</v>
      </c>
      <c r="C19800" s="5" t="str">
        <f>IFERROR(__xludf.DUMMYFUNCTION("GOOGLETRANSLATE(B19800,""en"",""de"")"),"Der Mann setzt seine Hände zurück und beendet das Lied.")</f>
        <v>Der Mann setzt seine Hände zurück und beendet das Lied.</v>
      </c>
    </row>
    <row r="19801">
      <c r="A19801" s="4" t="s">
        <v>24923</v>
      </c>
      <c r="B19801" s="4" t="s">
        <v>24924</v>
      </c>
      <c r="C19801" s="5" t="str">
        <f>IFERROR(__xludf.DUMMYFUNCTION("GOOGLETRANSLATE(B19801,""en"",""de"")"),"Eine Frau geht durch einen schneebedeckten Parkplatz und sucht ihr Auto.")</f>
        <v>Eine Frau geht durch einen schneebedeckten Parkplatz und sucht ihr Auto.</v>
      </c>
    </row>
    <row r="19802">
      <c r="A19802" s="4" t="s">
        <v>24923</v>
      </c>
      <c r="B19802" s="4" t="s">
        <v>24925</v>
      </c>
      <c r="C19802" s="5" t="str">
        <f>IFERROR(__xludf.DUMMYFUNCTION("GOOGLETRANSLATE(B19802,""en"",""de"")"),"Sie wird gesehen, wie sie einen Mopp benutzt, um den Schnee von ihrem Auto abzuwischen.")</f>
        <v>Sie wird gesehen, wie sie einen Mopp benutzt, um den Schnee von ihrem Auto abzuwischen.</v>
      </c>
    </row>
    <row r="19803">
      <c r="A19803" s="4" t="s">
        <v>24923</v>
      </c>
      <c r="B19803" s="4" t="s">
        <v>24926</v>
      </c>
      <c r="C19803" s="5" t="str">
        <f>IFERROR(__xludf.DUMMYFUNCTION("GOOGLETRANSLATE(B19803,""en"",""de"")"),"Schnee fällt zu fallen, als sie weiter reinigt.")</f>
        <v>Schnee fällt zu fallen, als sie weiter reinigt.</v>
      </c>
    </row>
    <row r="19804">
      <c r="A19804" s="4" t="s">
        <v>24927</v>
      </c>
      <c r="B19804" s="4" t="s">
        <v>24928</v>
      </c>
      <c r="C19804" s="5" t="str">
        <f>IFERROR(__xludf.DUMMYFUNCTION("GOOGLETRANSLATE(B19804,""en"",""de"")"),"Eine Gruppe von Cheerleadern tritt mitten in einem Basketballplatz auf, während ein Publikum zusieht.")</f>
        <v>Eine Gruppe von Cheerleadern tritt mitten in einem Basketballplatz auf, während ein Publikum zusieht.</v>
      </c>
    </row>
    <row r="19805">
      <c r="A19805" s="4" t="s">
        <v>24927</v>
      </c>
      <c r="B19805" s="4" t="s">
        <v>24929</v>
      </c>
      <c r="C19805" s="5" t="str">
        <f>IFERROR(__xludf.DUMMYFUNCTION("GOOGLETRANSLATE(B19805,""en"",""de"")"),"Ein Mann geht durch den Boden des Rahmens.")</f>
        <v>Ein Mann geht durch den Boden des Rahmens.</v>
      </c>
    </row>
    <row r="19806">
      <c r="A19806" s="4" t="s">
        <v>24927</v>
      </c>
      <c r="B19806" s="4" t="s">
        <v>24930</v>
      </c>
      <c r="C19806" s="5" t="str">
        <f>IFERROR(__xludf.DUMMYFUNCTION("GOOGLETRANSLATE(B19806,""en"",""de"")"),"Die Cheerleader beenden und eine Gruppe jüngerer Cheerleader ersetzen sie.")</f>
        <v>Die Cheerleader beenden und eine Gruppe jüngerer Cheerleader ersetzen sie.</v>
      </c>
    </row>
    <row r="19807">
      <c r="A19807" s="4" t="s">
        <v>24931</v>
      </c>
      <c r="B19807" s="4" t="s">
        <v>24932</v>
      </c>
      <c r="C19807" s="5" t="str">
        <f>IFERROR(__xludf.DUMMYFUNCTION("GOOGLETRANSLATE(B19807,""en"",""de"")"),"Ein Mann spricht und steht in einer Küche mit einem weißen Gewand und viel farbenfrohen Gemüse vor sich.")</f>
        <v>Ein Mann spricht und steht in einer Küche mit einem weißen Gewand und viel farbenfrohen Gemüse vor sich.</v>
      </c>
    </row>
    <row r="19808">
      <c r="A19808" s="4" t="s">
        <v>24931</v>
      </c>
      <c r="B19808" s="4" t="s">
        <v>24933</v>
      </c>
      <c r="C19808" s="5" t="str">
        <f>IFERROR(__xludf.DUMMYFUNCTION("GOOGLETRANSLATE(B19808,""en"",""de"")"),"Jetzt ist das Gemüse weg und der Mann schaufelt jetzt etwas aus einer kleinen Schüssel auf einen weißen Teller, der auf einem Holzschneidebrett sitzt.")</f>
        <v>Jetzt ist das Gemüse weg und der Mann schaufelt jetzt etwas aus einer kleinen Schüssel auf einen weißen Teller, der auf einem Holzschneidebrett sitzt.</v>
      </c>
    </row>
    <row r="19809">
      <c r="A19809" s="4" t="s">
        <v>24931</v>
      </c>
      <c r="B19809" s="4" t="s">
        <v>24934</v>
      </c>
      <c r="C19809" s="5" t="str">
        <f>IFERROR(__xludf.DUMMYFUNCTION("GOOGLETRANSLATE(B19809,""en"",""de"")"),"Der Mann beginnt dann, den Inhalt mit seinem Utensil und seinen Händen aufzubrechen, bis sie in getrennte Stücke sind.")</f>
        <v>Der Mann beginnt dann, den Inhalt mit seinem Utensil und seinen Händen aufzubrechen, bis sie in getrennte Stücke sind.</v>
      </c>
    </row>
    <row r="19810">
      <c r="A19810" s="4" t="s">
        <v>24935</v>
      </c>
      <c r="B19810" s="4" t="s">
        <v>24936</v>
      </c>
      <c r="C19810" s="5" t="str">
        <f>IFERROR(__xludf.DUMMYFUNCTION("GOOGLETRANSLATE(B19810,""en"",""de"")"),"Ein junger Mann in einem schwarzen Hemd schlägt einen kleinen Ball gegen die Wand.")</f>
        <v>Ein junger Mann in einem schwarzen Hemd schlägt einen kleinen Ball gegen die Wand.</v>
      </c>
    </row>
    <row r="19811">
      <c r="A19811" s="4" t="s">
        <v>24935</v>
      </c>
      <c r="B19811" s="4" t="s">
        <v>24937</v>
      </c>
      <c r="C19811" s="5" t="str">
        <f>IFERROR(__xludf.DUMMYFUNCTION("GOOGLETRANSLATE(B19811,""en"",""de"")"),"Ein Mann in einem roten Hemd gibt ihm den Ball mit seinem Schläger.")</f>
        <v>Ein Mann in einem roten Hemd gibt ihm den Ball mit seinem Schläger.</v>
      </c>
    </row>
    <row r="19812">
      <c r="A19812" s="4" t="s">
        <v>24935</v>
      </c>
      <c r="B19812" s="4" t="s">
        <v>24938</v>
      </c>
      <c r="C19812" s="5" t="str">
        <f>IFERROR(__xludf.DUMMYFUNCTION("GOOGLETRANSLATE(B19812,""en"",""de"")"),"Der junge Mann schlägt den Ball wieder gegen die Wand.")</f>
        <v>Der junge Mann schlägt den Ball wieder gegen die Wand.</v>
      </c>
    </row>
    <row r="19813">
      <c r="A19813" s="4" t="s">
        <v>24935</v>
      </c>
      <c r="B19813" s="4" t="s">
        <v>24939</v>
      </c>
      <c r="C19813" s="5" t="str">
        <f>IFERROR(__xludf.DUMMYFUNCTION("GOOGLETRANSLATE(B19813,""en"",""de"")"),"Eine Gruppe von Männern geht herum und versucht, den Ball zu schlagen.")</f>
        <v>Eine Gruppe von Männern geht herum und versucht, den Ball zu schlagen.</v>
      </c>
    </row>
    <row r="19814">
      <c r="A19814" s="4" t="s">
        <v>24935</v>
      </c>
      <c r="B19814" s="4" t="s">
        <v>24940</v>
      </c>
      <c r="C19814" s="5" t="str">
        <f>IFERROR(__xludf.DUMMYFUNCTION("GOOGLETRANSLATE(B19814,""en"",""de"")"),"Der junge Mann im schwarzen Hemd übergibt den Ball dem Mann im roten Hemd.")</f>
        <v>Der junge Mann im schwarzen Hemd übergibt den Ball dem Mann im roten Hemd.</v>
      </c>
    </row>
    <row r="19815">
      <c r="A19815" s="4" t="s">
        <v>24935</v>
      </c>
      <c r="B19815" s="4" t="s">
        <v>24941</v>
      </c>
      <c r="C19815" s="5" t="str">
        <f>IFERROR(__xludf.DUMMYFUNCTION("GOOGLETRANSLATE(B19815,""en"",""de"")"),"Der Mann im roten Hemd schlägt den Ball gegen die Wand.")</f>
        <v>Der Mann im roten Hemd schlägt den Ball gegen die Wand.</v>
      </c>
    </row>
    <row r="19816">
      <c r="A19816" s="4" t="s">
        <v>24935</v>
      </c>
      <c r="B19816" s="4" t="s">
        <v>24942</v>
      </c>
      <c r="C19816" s="5" t="str">
        <f>IFERROR(__xludf.DUMMYFUNCTION("GOOGLETRANSLATE(B19816,""en"",""de"")"),"Die Gruppe von Männern rennt durch den Platz, schwingt ihre Schläger und versuchte, den Ball zu fangen.")</f>
        <v>Die Gruppe von Männern rennt durch den Platz, schwingt ihre Schläger und versuchte, den Ball zu fangen.</v>
      </c>
    </row>
    <row r="19817">
      <c r="A19817" s="4" t="s">
        <v>24943</v>
      </c>
      <c r="B19817" s="4" t="s">
        <v>24944</v>
      </c>
      <c r="C19817" s="5" t="str">
        <f>IFERROR(__xludf.DUMMYFUNCTION("GOOGLETRANSLATE(B19817,""en"",""de"")"),"Das Team, das gelbe Uniform trägt, läuft auf einem Feld.")</f>
        <v>Das Team, das gelbe Uniform trägt, läuft auf einem Feld.</v>
      </c>
    </row>
    <row r="19818">
      <c r="A19818" s="4" t="s">
        <v>24943</v>
      </c>
      <c r="B19818" s="4" t="s">
        <v>24945</v>
      </c>
      <c r="C19818" s="5" t="str">
        <f>IFERROR(__xludf.DUMMYFUNCTION("GOOGLETRANSLATE(B19818,""en"",""de"")"),"Fotografen stehen in seiner Ield, die Fotos vom gelben und blauen Team macht.")</f>
        <v>Fotografen stehen in seiner Ield, die Fotos vom gelben und blauen Team macht.</v>
      </c>
    </row>
    <row r="19819">
      <c r="A19819" s="4" t="s">
        <v>24943</v>
      </c>
      <c r="B19819" s="4" t="s">
        <v>24946</v>
      </c>
      <c r="C19819" s="5" t="str">
        <f>IFERROR(__xludf.DUMMYFUNCTION("GOOGLETRANSLATE(B19819,""en"",""de"")"),"Die Teams beginnen, Lacrosse in einem großen Gren -Gras -Feld zu plan.")</f>
        <v>Die Teams beginnen, Lacrosse in einem großen Gren -Gras -Feld zu plan.</v>
      </c>
    </row>
    <row r="19820">
      <c r="A19820" s="4" t="s">
        <v>24947</v>
      </c>
      <c r="B19820" s="4" t="s">
        <v>24948</v>
      </c>
      <c r="C19820" s="5" t="str">
        <f>IFERROR(__xludf.DUMMYFUNCTION("GOOGLETRANSLATE(B19820,""en"",""de"")"),"Die Dame nimmt einen Pinsel und eine Schere auf.")</f>
        <v>Die Dame nimmt einen Pinsel und eine Schere auf.</v>
      </c>
    </row>
    <row r="19821">
      <c r="A19821" s="4" t="s">
        <v>24947</v>
      </c>
      <c r="B19821" s="4" t="s">
        <v>24949</v>
      </c>
      <c r="C19821" s="5" t="str">
        <f>IFERROR(__xludf.DUMMYFUNCTION("GOOGLETRANSLATE(B19821,""en"",""de"")"),"Sie fegt die Basis des Standes.")</f>
        <v>Sie fegt die Basis des Standes.</v>
      </c>
    </row>
    <row r="19822">
      <c r="A19822" s="4" t="s">
        <v>24947</v>
      </c>
      <c r="B19822" s="4" t="s">
        <v>24950</v>
      </c>
      <c r="C19822" s="5" t="str">
        <f>IFERROR(__xludf.DUMMYFUNCTION("GOOGLETRANSLATE(B19822,""en"",""de"")"),"Sie streift die Hunde rechts.")</f>
        <v>Sie streift die Hunde rechts.</v>
      </c>
    </row>
    <row r="19823">
      <c r="A19823" s="4" t="s">
        <v>24947</v>
      </c>
      <c r="B19823" s="4" t="s">
        <v>24951</v>
      </c>
      <c r="C19823" s="5" t="str">
        <f>IFERROR(__xludf.DUMMYFUNCTION("GOOGLETRANSLATE(B19823,""en"",""de"")"),"Sie klammert dann die Haare auf diese Pfote.")</f>
        <v>Sie klammert dann die Haare auf diese Pfote.</v>
      </c>
    </row>
    <row r="19824">
      <c r="A19824" s="4" t="s">
        <v>24947</v>
      </c>
      <c r="B19824" s="4" t="s">
        <v>24952</v>
      </c>
      <c r="C19824" s="5" t="str">
        <f>IFERROR(__xludf.DUMMYFUNCTION("GOOGLETRANSLATE(B19824,""en"",""de"")"),"Sie streift das Fell nach oben.")</f>
        <v>Sie streift das Fell nach oben.</v>
      </c>
    </row>
    <row r="19825">
      <c r="A19825" s="4" t="s">
        <v>24947</v>
      </c>
      <c r="B19825" s="4" t="s">
        <v>24953</v>
      </c>
      <c r="C19825" s="5" t="str">
        <f>IFERROR(__xludf.DUMMYFUNCTION("GOOGLETRANSLATE(B19825,""en"",""de"")"),"Sie klammert dann das Fell erneut auf die Pfote.")</f>
        <v>Sie klammert dann das Fell erneut auf die Pfote.</v>
      </c>
    </row>
    <row r="19826">
      <c r="A19826" s="4" t="s">
        <v>24947</v>
      </c>
      <c r="B19826" s="4" t="s">
        <v>24954</v>
      </c>
      <c r="C19826" s="5" t="str">
        <f>IFERROR(__xludf.DUMMYFUNCTION("GOOGLETRANSLATE(B19826,""en"",""de"")"),"Sie streift wieder seine Pfote.")</f>
        <v>Sie streift wieder seine Pfote.</v>
      </c>
    </row>
    <row r="19827">
      <c r="A19827" s="4" t="s">
        <v>24947</v>
      </c>
      <c r="B19827" s="4" t="s">
        <v>24955</v>
      </c>
      <c r="C19827" s="5" t="str">
        <f>IFERROR(__xludf.DUMMYFUNCTION("GOOGLETRANSLATE(B19827,""en"",""de"")"),"Dann klammert sie das Fell ein anderes Mal auf die Pfote.")</f>
        <v>Dann klammert sie das Fell ein anderes Mal auf die Pfote.</v>
      </c>
    </row>
    <row r="19828">
      <c r="A19828" s="4" t="s">
        <v>24947</v>
      </c>
      <c r="B19828" s="4" t="s">
        <v>24956</v>
      </c>
      <c r="C19828" s="5" t="str">
        <f>IFERROR(__xludf.DUMMYFUNCTION("GOOGLETRANSLATE(B19828,""en"",""de"")"),"Dann kämmt sie die geschnittenen Haare von der Pfote.")</f>
        <v>Dann kämmt sie die geschnittenen Haare von der Pfote.</v>
      </c>
    </row>
    <row r="19829">
      <c r="A19829" s="4" t="s">
        <v>24947</v>
      </c>
      <c r="B19829" s="4" t="s">
        <v>24957</v>
      </c>
      <c r="C19829" s="5" t="str">
        <f>IFERROR(__xludf.DUMMYFUNCTION("GOOGLETRANSLATE(B19829,""en"",""de"")"),"Sie klammert die Haare von der Pfote.")</f>
        <v>Sie klammert die Haare von der Pfote.</v>
      </c>
    </row>
    <row r="19830">
      <c r="A19830" s="4" t="s">
        <v>24947</v>
      </c>
      <c r="B19830" s="4" t="s">
        <v>24958</v>
      </c>
      <c r="C19830" s="5" t="str">
        <f>IFERROR(__xludf.DUMMYFUNCTION("GOOGLETRANSLATE(B19830,""en"",""de"")"),"Nach schwarz verblassen, und die Credits treten auf.")</f>
        <v>Nach schwarz verblassen, und die Credits treten auf.</v>
      </c>
    </row>
    <row r="19831">
      <c r="A19831" s="4" t="s">
        <v>24959</v>
      </c>
      <c r="B19831" s="4" t="s">
        <v>24960</v>
      </c>
      <c r="C19831" s="5" t="str">
        <f>IFERROR(__xludf.DUMMYFUNCTION("GOOGLETRANSLATE(B19831,""en"",""de"")"),"Eine Dame schaut mit Freude hinter sie.")</f>
        <v>Eine Dame schaut mit Freude hinter sie.</v>
      </c>
    </row>
    <row r="19832">
      <c r="A19832" s="4" t="s">
        <v>24959</v>
      </c>
      <c r="B19832" s="4" t="s">
        <v>24961</v>
      </c>
      <c r="C19832" s="5" t="str">
        <f>IFERROR(__xludf.DUMMYFUNCTION("GOOGLETRANSLATE(B19832,""en"",""de"")"),"Die Dame spielt ein schwarzes Klavier.")</f>
        <v>Die Dame spielt ein schwarzes Klavier.</v>
      </c>
    </row>
    <row r="19833">
      <c r="A19833" s="4" t="s">
        <v>24959</v>
      </c>
      <c r="B19833" s="4" t="s">
        <v>24962</v>
      </c>
      <c r="C19833" s="5" t="str">
        <f>IFERROR(__xludf.DUMMYFUNCTION("GOOGLETRANSLATE(B19833,""en"",""de"")"),"Die Dame schaut zu ihrer Seite.")</f>
        <v>Die Dame schaut zu ihrer Seite.</v>
      </c>
    </row>
    <row r="19834">
      <c r="A19834" s="4" t="s">
        <v>24963</v>
      </c>
      <c r="B19834" s="4" t="s">
        <v>24964</v>
      </c>
      <c r="C19834" s="5" t="str">
        <f>IFERROR(__xludf.DUMMYFUNCTION("GOOGLETRANSLATE(B19834,""en"",""de"")"),"Es werden farbenfrohe Zebramägel gezeigt und ein farbenfroher Bildschirm erscheint mit farbenfrohen Text, der ""Säure Zebra Nagel Art von ProfessionDQ"" und dann viele andere Wörter, die eine Liste der benötigten Vorräte enthalten.")</f>
        <v>Es werden farbenfrohe Zebramägel gezeigt und ein farbenfroher Bildschirm erscheint mit farbenfrohen Text, der "Säure Zebra Nagel Art von ProfessionDQ" und dann viele andere Wörter, die eine Liste der benötigten Vorräte enthalten.</v>
      </c>
    </row>
    <row r="19835">
      <c r="A19835" s="4" t="s">
        <v>24963</v>
      </c>
      <c r="B19835" s="4" t="s">
        <v>24965</v>
      </c>
      <c r="C19835" s="5" t="str">
        <f>IFERROR(__xludf.DUMMYFUNCTION("GOOGLETRANSLATE(B19835,""en"",""de"")"),"Es werden immer noch sechs verschiedene feste Farben des Nagellacks gezeigt und einige sind abgerundete Flaschen und einige sind quadratische Flaschen.")</f>
        <v>Es werden immer noch sechs verschiedene feste Farben des Nagellacks gezeigt und einige sind abgerundete Flaschen und einige sind quadratische Flaschen.</v>
      </c>
    </row>
    <row r="19836">
      <c r="A19836" s="4" t="s">
        <v>24963</v>
      </c>
      <c r="B19836" s="4" t="s">
        <v>24966</v>
      </c>
      <c r="C19836" s="5" t="str">
        <f>IFERROR(__xludf.DUMMYFUNCTION("GOOGLETRANSLATE(B19836,""en"",""de"")"),"Die Demonstration beginnt und es zeigt, dass jemand Schwamm ist, das verschiedene Farben auf einen langen weißen bemalten Nagel malt.")</f>
        <v>Die Demonstration beginnt und es zeigt, dass jemand Schwamm ist, das verschiedene Farben auf einen langen weißen bemalten Nagel malt.</v>
      </c>
    </row>
    <row r="19837">
      <c r="A19837" s="4" t="s">
        <v>24963</v>
      </c>
      <c r="B19837" s="4" t="s">
        <v>24967</v>
      </c>
      <c r="C19837" s="5" t="str">
        <f>IFERROR(__xludf.DUMMYFUNCTION("GOOGLETRANSLATE(B19837,""en"",""de"")"),"Ein farbenfroher Bildschirm erscheint kurz mit farbenfrohen Text und er hat ""dann einen Schicht Funkle Flocken fantastisch hinzugefügt"", zeigt die Flasche Sparkle -Nagellack, dann wird mehr Text auf einem farbenfrohen Bildschirm angezeigt.")</f>
        <v>Ein farbenfroher Bildschirm erscheint kurz mit farbenfrohen Text und er hat "dann einen Schicht Funkle Flocken fantastisch hinzugefügt", zeigt die Flasche Sparkle -Nagellack, dann wird mehr Text auf einem farbenfrohen Bildschirm angezeigt.</v>
      </c>
    </row>
    <row r="19838">
      <c r="A19838" s="4" t="s">
        <v>24963</v>
      </c>
      <c r="B19838" s="4" t="s">
        <v>24968</v>
      </c>
      <c r="C19838" s="5" t="str">
        <f>IFERROR(__xludf.DUMMYFUNCTION("GOOGLETRANSLATE(B19838,""en"",""de"")"),"Eine schwarze Farbflasche wird angezeigt, dann malt die Person eine dünne schwarze Linie zum funkelnden und mehrfarbigen Nagel und malt sie im Muster von Zebrafreifen.")</f>
        <v>Eine schwarze Farbflasche wird angezeigt, dann malt die Person eine dünne schwarze Linie zum funkelnden und mehrfarbigen Nagel und malt sie im Muster von Zebrafreifen.</v>
      </c>
    </row>
    <row r="19839">
      <c r="A19839" s="4" t="s">
        <v>24963</v>
      </c>
      <c r="B19839" s="4" t="s">
        <v>24969</v>
      </c>
      <c r="C19839" s="5" t="str">
        <f>IFERROR(__xludf.DUMMYFUNCTION("GOOGLETRANSLATE(B19839,""en"",""de"")"),"Ein farbenfroher Bildschirm zusammen mit farbenfrohen Text erscheint und es gibt Anweisungen zum ""Fertigstellen mit Topcoat und jetzt sind Sie ein unbesiegbarer Nyan Zebra !!"".")</f>
        <v>Ein farbenfroher Bildschirm zusammen mit farbenfrohen Text erscheint und es gibt Anweisungen zum "Fertigstellen mit Topcoat und jetzt sind Sie ein unbesiegbarer Nyan Zebra !!".</v>
      </c>
    </row>
    <row r="19840">
      <c r="A19840" s="4" t="s">
        <v>24963</v>
      </c>
      <c r="B19840" s="4" t="s">
        <v>24970</v>
      </c>
      <c r="C19840" s="5" t="str">
        <f>IFERROR(__xludf.DUMMYFUNCTION("GOOGLETRANSLATE(B19840,""en"",""de"")"),"Die fertigen Nägel werden in verschiedenen Winkeln modelliert und gezeigt, und einen farbenfrohen Bildschirm mit bunten Buchstaben erscheint und sagt: ""Vergiss deinen Schwanz nicht!"" Und dann zeigt es die Person, die einen pelzigen rosa und schwarzen, l"&amp;"angen Schwanz hält.")</f>
        <v>Die fertigen Nägel werden in verschiedenen Winkeln modelliert und gezeigt, und einen farbenfrohen Bildschirm mit bunten Buchstaben erscheint und sagt: "Vergiss deinen Schwanz nicht!" Und dann zeigt es die Person, die einen pelzigen rosa und schwarzen, langen Schwanz hält.</v>
      </c>
    </row>
    <row r="19841">
      <c r="A19841" s="4" t="s">
        <v>24963</v>
      </c>
      <c r="B19841" s="4" t="s">
        <v>24971</v>
      </c>
      <c r="C19841" s="5" t="str">
        <f>IFERROR(__xludf.DUMMYFUNCTION("GOOGLETRANSLATE(B19841,""en"",""de"")"),"Ein farbenfroher Bildschirm mit farbenfrohen Text erscheint und es heißt ""Danke, dass Sie Swoosh gesehen haben!"" Und noch mehr Aufnahmen der fertigen farbenfrohen Zebrasägel werden in verschiedenen Positionen und Winkeln angezeigt.")</f>
        <v>Ein farbenfroher Bildschirm mit farbenfrohen Text erscheint und es heißt "Danke, dass Sie Swoosh gesehen haben!" Und noch mehr Aufnahmen der fertigen farbenfrohen Zebrasägel werden in verschiedenen Positionen und Winkeln angezeigt.</v>
      </c>
    </row>
    <row r="19842">
      <c r="A19842" s="4" t="s">
        <v>24972</v>
      </c>
      <c r="B19842" s="4" t="s">
        <v>24973</v>
      </c>
      <c r="C19842" s="5" t="str">
        <f>IFERROR(__xludf.DUMMYFUNCTION("GOOGLETRANSLATE(B19842,""en"",""de"")"),"Das Kamel sitzt auf dem Boden, aber dann legt der Mann seine Brille auf, während er auf dem Kamel sitzt, während er den Mann ein wenig nach vorne bringt.")</f>
        <v>Das Kamel sitzt auf dem Boden, aber dann legt der Mann seine Brille auf, während er auf dem Kamel sitzt, während er den Mann ein wenig nach vorne bringt.</v>
      </c>
    </row>
    <row r="19843">
      <c r="A19843" s="4" t="s">
        <v>24972</v>
      </c>
      <c r="B19843" s="4" t="s">
        <v>24974</v>
      </c>
      <c r="C19843" s="5" t="str">
        <f>IFERROR(__xludf.DUMMYFUNCTION("GOOGLETRANSLATE(B19843,""en"",""de"")"),"Dann packt jemand das Seil am Kamel, um das Kamel an den richtigen Ort zu führen.")</f>
        <v>Dann packt jemand das Seil am Kamel, um das Kamel an den richtigen Ort zu führen.</v>
      </c>
    </row>
    <row r="19844">
      <c r="A19844" s="4" t="s">
        <v>24972</v>
      </c>
      <c r="B19844" s="4" t="s">
        <v>24975</v>
      </c>
      <c r="C19844" s="5" t="str">
        <f>IFERROR(__xludf.DUMMYFUNCTION("GOOGLETRANSLATE(B19844,""en"",""de"")"),"Schließlich zieht der Mann das Kamel, auf dem der Mann sitzt, während die anderen 2 Kamele hinter dem Kamel vorne gehen.")</f>
        <v>Schließlich zieht der Mann das Kamel, auf dem der Mann sitzt, während die anderen 2 Kamele hinter dem Kamel vorne gehen.</v>
      </c>
    </row>
    <row r="19845">
      <c r="A19845" s="4" t="s">
        <v>24976</v>
      </c>
      <c r="B19845" s="4" t="s">
        <v>24977</v>
      </c>
      <c r="C19845" s="5" t="str">
        <f>IFERROR(__xludf.DUMMYFUNCTION("GOOGLETRANSLATE(B19845,""en"",""de"")"),"Die Leute segeln in Kanus, die mit einem Paddel in einem abgehackten Fluss rudern.")</f>
        <v>Die Leute segeln in Kanus, die mit einem Paddel in einem abgehackten Fluss rudern.</v>
      </c>
    </row>
    <row r="19846">
      <c r="A19846" s="4" t="s">
        <v>24976</v>
      </c>
      <c r="B19846" s="4" t="s">
        <v>24978</v>
      </c>
      <c r="C19846" s="5" t="str">
        <f>IFERROR(__xludf.DUMMYFUNCTION("GOOGLETRANSLATE(B19846,""en"",""de"")"),"Zwei Männer in einem Kanu segeln in der Nähe des Ufers des Flusses, segeln dann aber in den Fluss.")</f>
        <v>Zwei Männer in einem Kanu segeln in der Nähe des Ufers des Flusses, segeln dann aber in den Fluss.</v>
      </c>
    </row>
    <row r="19847">
      <c r="A19847" s="4" t="s">
        <v>24976</v>
      </c>
      <c r="B19847" s="4" t="s">
        <v>24979</v>
      </c>
      <c r="C19847" s="5" t="str">
        <f>IFERROR(__xludf.DUMMYFUNCTION("GOOGLETRANSLATE(B19847,""en"",""de"")"),"Die Männer drehen dem Kanu einen Pass in der Nähe eines Wölbens des Kanuskurs.")</f>
        <v>Die Männer drehen dem Kanu einen Pass in der Nähe eines Wölbens des Kanuskurs.</v>
      </c>
    </row>
    <row r="19848">
      <c r="A19848" s="4" t="s">
        <v>24976</v>
      </c>
      <c r="B19848" s="4" t="s">
        <v>24980</v>
      </c>
      <c r="C19848" s="5" t="str">
        <f>IFERROR(__xludf.DUMMYFUNCTION("GOOGLETRANSLATE(B19848,""en"",""de"")"),"Die beiden Männer überqueren eine Person allein in einem Kanu.")</f>
        <v>Die beiden Männer überqueren eine Person allein in einem Kanu.</v>
      </c>
    </row>
    <row r="19849">
      <c r="A19849" s="4" t="s">
        <v>24976</v>
      </c>
      <c r="B19849" s="4" t="s">
        <v>24981</v>
      </c>
      <c r="C19849" s="5" t="str">
        <f>IFERROR(__xludf.DUMMYFUNCTION("GOOGLETRANSLATE(B19849,""en"",""de"")"),"Die Männer segeln weiter den Fluss hinunter, der zwischen den Bögen vorbeikommt.")</f>
        <v>Die Männer segeln weiter den Fluss hinunter, der zwischen den Bögen vorbeikommt.</v>
      </c>
    </row>
    <row r="19850">
      <c r="A19850" s="4" t="s">
        <v>24976</v>
      </c>
      <c r="B19850" s="4" t="s">
        <v>24982</v>
      </c>
      <c r="C19850" s="5" t="str">
        <f>IFERROR(__xludf.DUMMYFUNCTION("GOOGLETRANSLATE(B19850,""en"",""de"")"),"Männer in einem Kanus befinden sich an der Grenze des Flusses.")</f>
        <v>Männer in einem Kanus befinden sich an der Grenze des Flusses.</v>
      </c>
    </row>
    <row r="19851">
      <c r="A19851" s="4" t="s">
        <v>24976</v>
      </c>
      <c r="B19851" s="4" t="s">
        <v>24983</v>
      </c>
      <c r="C19851" s="5" t="str">
        <f>IFERROR(__xludf.DUMMYFUNCTION("GOOGLETRANSLATE(B19851,""en"",""de"")"),"Danach segeln Sie weiter direkt im Fluss.")</f>
        <v>Danach segeln Sie weiter direkt im Fluss.</v>
      </c>
    </row>
    <row r="19852">
      <c r="A19852" s="4" t="s">
        <v>24984</v>
      </c>
      <c r="B19852" s="4" t="s">
        <v>24985</v>
      </c>
      <c r="C19852" s="5" t="str">
        <f>IFERROR(__xludf.DUMMYFUNCTION("GOOGLETRANSLATE(B19852,""en"",""de"")"),"Ein Mann hält eine Angelstange über einem Eisfischerungsloch.")</f>
        <v>Ein Mann hält eine Angelstange über einem Eisfischerungsloch.</v>
      </c>
    </row>
    <row r="19853">
      <c r="A19853" s="4" t="s">
        <v>24984</v>
      </c>
      <c r="B19853" s="4" t="s">
        <v>24986</v>
      </c>
      <c r="C19853" s="5" t="str">
        <f>IFERROR(__xludf.DUMMYFUNCTION("GOOGLETRANSLATE(B19853,""en"",""de"")"),"Er versucht sanft, die Angellinie aus dem Loch zu ziehen und dann zu streichen.")</f>
        <v>Er versucht sanft, die Angellinie aus dem Loch zu ziehen und dann zu streichen.</v>
      </c>
    </row>
    <row r="19854">
      <c r="A19854" s="4" t="s">
        <v>24984</v>
      </c>
      <c r="B19854" s="4" t="s">
        <v>24987</v>
      </c>
      <c r="C19854" s="5" t="str">
        <f>IFERROR(__xludf.DUMMYFUNCTION("GOOGLETRANSLATE(B19854,""en"",""de"")"),"Er taucht und senkt, während er eine Pause macht.")</f>
        <v>Er taucht und senkt, während er eine Pause macht.</v>
      </c>
    </row>
    <row r="19855">
      <c r="A19855" s="4" t="s">
        <v>24984</v>
      </c>
      <c r="B19855" s="4" t="s">
        <v>24988</v>
      </c>
      <c r="C19855" s="5" t="str">
        <f>IFERROR(__xludf.DUMMYFUNCTION("GOOGLETRANSLATE(B19855,""en"",""de"")"),"Er versucht, die Linie wieder herauszuholen.")</f>
        <v>Er versucht, die Linie wieder herauszuholen.</v>
      </c>
    </row>
    <row r="19856">
      <c r="A19856" s="4" t="s">
        <v>24984</v>
      </c>
      <c r="B19856" s="4" t="s">
        <v>24989</v>
      </c>
      <c r="C19856" s="5" t="str">
        <f>IFERROR(__xludf.DUMMYFUNCTION("GOOGLETRANSLATE(B19856,""en"",""de"")"),"Er entfernt seine Handschuhe und steigt auf die Knie und wieder nach oben, als er versucht, die Linie wiederholt aus dem Loch zu ziehen.")</f>
        <v>Er entfernt seine Handschuhe und steigt auf die Knie und wieder nach oben, als er versucht, die Linie wiederholt aus dem Loch zu ziehen.</v>
      </c>
    </row>
    <row r="19857">
      <c r="A19857" s="4" t="s">
        <v>24984</v>
      </c>
      <c r="B19857" s="4" t="s">
        <v>24990</v>
      </c>
      <c r="C19857" s="5" t="str">
        <f>IFERROR(__xludf.DUMMYFUNCTION("GOOGLETRANSLATE(B19857,""en"",""de"")"),"Er tritt um das Loch um und zieht ständig sanft die Linie aus dem Wasser, während ein anderer Mann den Fisch aus dem Wasser zieht.")</f>
        <v>Er tritt um das Loch um und zieht ständig sanft die Linie aus dem Wasser, während ein anderer Mann den Fisch aus dem Wasser zieht.</v>
      </c>
    </row>
    <row r="19858">
      <c r="A19858" s="4" t="s">
        <v>24991</v>
      </c>
      <c r="B19858" s="4" t="s">
        <v>24992</v>
      </c>
      <c r="C19858" s="5" t="str">
        <f>IFERROR(__xludf.DUMMYFUNCTION("GOOGLETRANSLATE(B19858,""en"",""de"")"),"Eine Person rasiert ihren Bart mit einem elektrischen Rasierer.")</f>
        <v>Eine Person rasiert ihren Bart mit einem elektrischen Rasierer.</v>
      </c>
    </row>
    <row r="19859">
      <c r="A19859" s="4" t="s">
        <v>24991</v>
      </c>
      <c r="B19859" s="4" t="s">
        <v>24993</v>
      </c>
      <c r="C19859" s="5" t="str">
        <f>IFERROR(__xludf.DUMMYFUNCTION("GOOGLETRANSLATE(B19859,""en"",""de"")"),"Sie bewegen den Rasierer langsam über ihr Kinn.")</f>
        <v>Sie bewegen den Rasierer langsam über ihr Kinn.</v>
      </c>
    </row>
    <row r="19860">
      <c r="A19860" s="4" t="s">
        <v>24991</v>
      </c>
      <c r="B19860" s="4" t="s">
        <v>1599</v>
      </c>
      <c r="C19860" s="5" t="str">
        <f>IFERROR(__xludf.DUMMYFUNCTION("GOOGLETRANSLATE(B19860,""en"",""de"")"),"Wörter werden auf dem Bildschirm angezeigt.")</f>
        <v>Wörter werden auf dem Bildschirm angezeigt.</v>
      </c>
    </row>
    <row r="19861">
      <c r="A19861" s="4" t="s">
        <v>24994</v>
      </c>
      <c r="B19861" s="4" t="s">
        <v>24995</v>
      </c>
      <c r="C19861" s="5" t="str">
        <f>IFERROR(__xludf.DUMMYFUNCTION("GOOGLETRANSLATE(B19861,""en"",""de"")"),"Ein junges Mädchen zeigt auf einem Boden, der mit der Kamera spricht und vorgibt, zu bügeln.")</f>
        <v>Ein junges Mädchen zeigt auf einem Boden, der mit der Kamera spricht und vorgibt, zu bügeln.</v>
      </c>
    </row>
    <row r="19862">
      <c r="A19862" s="4" t="s">
        <v>24994</v>
      </c>
      <c r="B19862" s="4" t="s">
        <v>24996</v>
      </c>
      <c r="C19862" s="5" t="str">
        <f>IFERROR(__xludf.DUMMYFUNCTION("GOOGLETRANSLATE(B19862,""en"",""de"")"),"Sie betet die Flasche Wasser auf die Kleidung und Eisen, die dies mehrmals tun.")</f>
        <v>Sie betet die Flasche Wasser auf die Kleidung und Eisen, die dies mehrmals tun.</v>
      </c>
    </row>
    <row r="19863">
      <c r="A19863" s="4" t="s">
        <v>24994</v>
      </c>
      <c r="B19863" s="4" t="s">
        <v>24997</v>
      </c>
      <c r="C19863" s="5" t="str">
        <f>IFERROR(__xludf.DUMMYFUNCTION("GOOGLETRANSLATE(B19863,""en"",""de"")"),"Sie dreht das Hemd um, um weiter zu bügeln, und schaut in die Ferne.")</f>
        <v>Sie dreht das Hemd um, um weiter zu bügeln, und schaut in die Ferne.</v>
      </c>
    </row>
    <row r="19864">
      <c r="A19864" s="4" t="s">
        <v>24998</v>
      </c>
      <c r="B19864" s="4" t="s">
        <v>24999</v>
      </c>
      <c r="C19864" s="5" t="str">
        <f>IFERROR(__xludf.DUMMYFUNCTION("GOOGLETRANSLATE(B19864,""en"",""de"")"),"Zwei Kinder sitzen in einer Badewanne mit einem mit einem Eimer und dem lächelnd und lachen.")</f>
        <v>Zwei Kinder sitzen in einer Badewanne mit einem mit einem Eimer und dem lächelnd und lachen.</v>
      </c>
    </row>
    <row r="19865">
      <c r="A19865" s="4" t="s">
        <v>24998</v>
      </c>
      <c r="B19865" s="4" t="s">
        <v>25000</v>
      </c>
      <c r="C19865" s="5" t="str">
        <f>IFERROR(__xludf.DUMMYFUNCTION("GOOGLETRANSLATE(B19865,""en"",""de"")"),"Der Junge gießt den Eimer über sein Gesicht und eine Hand gibt ihm ein Handtuch, während das Mädchen auch ihr Gesicht spritzt.")</f>
        <v>Der Junge gießt den Eimer über sein Gesicht und eine Hand gibt ihm ein Handtuch, während das Mädchen auch ihr Gesicht spritzt.</v>
      </c>
    </row>
    <row r="19866">
      <c r="A19866" s="4" t="s">
        <v>24998</v>
      </c>
      <c r="B19866" s="4" t="s">
        <v>25001</v>
      </c>
      <c r="C19866" s="5" t="str">
        <f>IFERROR(__xludf.DUMMYFUNCTION("GOOGLETRANSLATE(B19866,""en"",""de"")"),"Das Sprays ist wieder mit dem Eimer und reibt sich die Augen.")</f>
        <v>Das Sprays ist wieder mit dem Eimer und reibt sich die Augen.</v>
      </c>
    </row>
    <row r="19867">
      <c r="A19867" s="4" t="s">
        <v>25002</v>
      </c>
      <c r="B19867" s="4" t="s">
        <v>25003</v>
      </c>
      <c r="C19867" s="5" t="str">
        <f>IFERROR(__xludf.DUMMYFUNCTION("GOOGLETRANSLATE(B19867,""en"",""de"")"),"Eine goldene Verzierung wird gezeigt, die an einem Weihnachtsbaum hängt.")</f>
        <v>Eine goldene Verzierung wird gezeigt, die an einem Weihnachtsbaum hängt.</v>
      </c>
    </row>
    <row r="19868">
      <c r="A19868" s="4" t="s">
        <v>25002</v>
      </c>
      <c r="B19868" s="4" t="s">
        <v>25004</v>
      </c>
      <c r="C19868" s="5" t="str">
        <f>IFERROR(__xludf.DUMMYFUNCTION("GOOGLETRANSLATE(B19868,""en"",""de"")"),"Zwei Frauen sind auf dem Boden und packen Geschenke ein.")</f>
        <v>Zwei Frauen sind auf dem Boden und packen Geschenke ein.</v>
      </c>
    </row>
    <row r="19869">
      <c r="A19869" s="4" t="s">
        <v>25002</v>
      </c>
      <c r="B19869" s="4" t="s">
        <v>25005</v>
      </c>
      <c r="C19869" s="5" t="str">
        <f>IFERROR(__xludf.DUMMYFUNCTION("GOOGLETRANSLATE(B19869,""en"",""de"")"),"Sie schneiden das Papier und kleben es um Kisten, bevor sie Bögen hinzufügen.")</f>
        <v>Sie schneiden das Papier und kleben es um Kisten, bevor sie Bögen hinzufügen.</v>
      </c>
    </row>
    <row r="19870">
      <c r="A19870" s="4" t="s">
        <v>25002</v>
      </c>
      <c r="B19870" s="4" t="s">
        <v>25006</v>
      </c>
      <c r="C19870" s="5" t="str">
        <f>IFERROR(__xludf.DUMMYFUNCTION("GOOGLETRANSLATE(B19870,""en"",""de"")"),"Wir sehen dann den fertigen Baum, der mit einem Ring mit verpackten Geschenken an der Basis geschmückt ist.")</f>
        <v>Wir sehen dann den fertigen Baum, der mit einem Ring mit verpackten Geschenken an der Basis geschmückt ist.</v>
      </c>
    </row>
    <row r="19871">
      <c r="A19871" s="4" t="s">
        <v>25007</v>
      </c>
      <c r="B19871" s="4" t="s">
        <v>25008</v>
      </c>
      <c r="C19871" s="5" t="str">
        <f>IFERROR(__xludf.DUMMYFUNCTION("GOOGLETRANSLATE(B19871,""en"",""de"")"),"Ein kleiner Junge, der Sonnenbrille trägt, wird gezeigt, der einen langen Rasenmäher über einen Rasen drängt.")</f>
        <v>Ein kleiner Junge, der Sonnenbrille trägt, wird gezeigt, der einen langen Rasenmäher über einen Rasen drängt.</v>
      </c>
    </row>
    <row r="19872">
      <c r="A19872" s="4" t="s">
        <v>25007</v>
      </c>
      <c r="B19872" s="4" t="s">
        <v>25009</v>
      </c>
      <c r="C19872" s="5" t="str">
        <f>IFERROR(__xludf.DUMMYFUNCTION("GOOGLETRANSLATE(B19872,""en"",""de"")"),"Die Kamera folgt ihm kontinuierlich, als er sich mit dem Mäher auf dem Rasen um den vierten Platz bewegt.")</f>
        <v>Die Kamera folgt ihm kontinuierlich, als er sich mit dem Mäher auf dem Rasen um den vierten Platz bewegt.</v>
      </c>
    </row>
    <row r="19873">
      <c r="A19873" s="4" t="s">
        <v>25007</v>
      </c>
      <c r="B19873" s="4" t="s">
        <v>25010</v>
      </c>
      <c r="C19873" s="5" t="str">
        <f>IFERROR(__xludf.DUMMYFUNCTION("GOOGLETRANSLATE(B19873,""en"",""de"")"),"Schließlich wird ein Bild von ihm auf der Couch gezeigt.")</f>
        <v>Schließlich wird ein Bild von ihm auf der Couch gezeigt.</v>
      </c>
    </row>
    <row r="19874">
      <c r="A19874" s="4" t="s">
        <v>25011</v>
      </c>
      <c r="B19874" s="4" t="s">
        <v>25012</v>
      </c>
      <c r="C19874" s="5" t="str">
        <f>IFERROR(__xludf.DUMMYFUNCTION("GOOGLETRANSLATE(B19874,""en"",""de"")"),"Eine Frau schiebt einen Rasenmäher über ein hohes Gras entlang, während sie sich zurück und Vierten bewegt.")</f>
        <v>Eine Frau schiebt einen Rasenmäher über ein hohes Gras entlang, während sie sich zurück und Vierten bewegt.</v>
      </c>
    </row>
    <row r="19875">
      <c r="A19875" s="4" t="s">
        <v>25011</v>
      </c>
      <c r="B19875" s="4" t="s">
        <v>25013</v>
      </c>
      <c r="C19875" s="5" t="str">
        <f>IFERROR(__xludf.DUMMYFUNCTION("GOOGLETRANSLATE(B19875,""en"",""de"")"),"Die Frau schiebt die Maschine weiter um den Hof und dreht sie zurück in die Kamera, um den Rücken zu mähen.")</f>
        <v>Die Frau schiebt die Maschine weiter um den Hof und dreht sie zurück in die Kamera, um den Rücken zu mähen.</v>
      </c>
    </row>
    <row r="19876">
      <c r="A19876" s="4" t="s">
        <v>25014</v>
      </c>
      <c r="B19876" s="4" t="s">
        <v>25015</v>
      </c>
      <c r="C19876" s="5" t="str">
        <f>IFERROR(__xludf.DUMMYFUNCTION("GOOGLETRANSLATE(B19876,""en"",""de"")"),"Die Frau sagt am Anfang ein paar Worte, während der Tänzer lautlos steht.")</f>
        <v>Die Frau sagt am Anfang ein paar Worte, während der Tänzer lautlos steht.</v>
      </c>
    </row>
    <row r="19877">
      <c r="A19877" s="4" t="s">
        <v>25014</v>
      </c>
      <c r="B19877" s="4" t="s">
        <v>25016</v>
      </c>
      <c r="C19877" s="5" t="str">
        <f>IFERROR(__xludf.DUMMYFUNCTION("GOOGLETRANSLATE(B19877,""en"",""de"")"),"Zuerst stellt die Tänzerin sicher, dass ihre Beine richtig positioniert sind.")</f>
        <v>Zuerst stellt die Tänzerin sicher, dass ihre Beine richtig positioniert sind.</v>
      </c>
    </row>
    <row r="19878">
      <c r="A19878" s="4" t="s">
        <v>25014</v>
      </c>
      <c r="B19878" s="4" t="s">
        <v>25017</v>
      </c>
      <c r="C19878" s="5" t="str">
        <f>IFERROR(__xludf.DUMMYFUNCTION("GOOGLETRANSLATE(B19878,""en"",""de"")"),"Dann bringt der Balletttänzer einen Fuß in ein Coupé.")</f>
        <v>Dann bringt der Balletttänzer einen Fuß in ein Coupé.</v>
      </c>
    </row>
    <row r="19879">
      <c r="A19879" s="4" t="s">
        <v>25014</v>
      </c>
      <c r="B19879" s="4" t="s">
        <v>25018</v>
      </c>
      <c r="C19879" s="5" t="str">
        <f>IFERROR(__xludf.DUMMYFUNCTION("GOOGLETRANSLATE(B19879,""en"",""de"")"),"Als nächstes glättet sie beide Beine und legt ein Bein in die Vorderseite und bringt es wieder nach unten.")</f>
        <v>Als nächstes glättet sie beide Beine und legt ein Bein in die Vorderseite und bringt es wieder nach unten.</v>
      </c>
    </row>
    <row r="19880">
      <c r="A19880" s="4" t="s">
        <v>25014</v>
      </c>
      <c r="B19880" s="4" t="s">
        <v>25019</v>
      </c>
      <c r="C19880" s="5" t="str">
        <f>IFERROR(__xludf.DUMMYFUNCTION("GOOGLETRANSLATE(B19880,""en"",""de"")"),"Sie wiederholt dann diese 3 Schritte wieder.")</f>
        <v>Sie wiederholt dann diese 3 Schritte wieder.</v>
      </c>
    </row>
    <row r="19881">
      <c r="A19881" s="4" t="s">
        <v>25020</v>
      </c>
      <c r="B19881" s="4" t="s">
        <v>25021</v>
      </c>
      <c r="C19881" s="5" t="str">
        <f>IFERROR(__xludf.DUMMYFUNCTION("GOOGLETRANSLATE(B19881,""en"",""de"")"),"Eine alte Dame strickt mit einer roten Nadel und einer roten Wolle.")</f>
        <v>Eine alte Dame strickt mit einer roten Nadel und einer roten Wolle.</v>
      </c>
    </row>
    <row r="19882">
      <c r="A19882" s="4" t="s">
        <v>25020</v>
      </c>
      <c r="B19882" s="4" t="s">
        <v>25022</v>
      </c>
      <c r="C19882" s="5" t="str">
        <f>IFERROR(__xludf.DUMMYFUNCTION("GOOGLETRANSLATE(B19882,""en"",""de"")"),"Eine alte Dame hört auf zu stricken und spricht ununterbrochen.")</f>
        <v>Eine alte Dame hört auf zu stricken und spricht ununterbrochen.</v>
      </c>
    </row>
    <row r="19883">
      <c r="A19883" s="4" t="s">
        <v>25020</v>
      </c>
      <c r="B19883" s="4" t="s">
        <v>25023</v>
      </c>
      <c r="C19883" s="5" t="str">
        <f>IFERROR(__xludf.DUMMYFUNCTION("GOOGLETRANSLATE(B19883,""en"",""de"")"),"Die alte Dame strickt erneut und untersucht ihre Kreation.")</f>
        <v>Die alte Dame strickt erneut und untersucht ihre Kreation.</v>
      </c>
    </row>
    <row r="19884">
      <c r="A19884" s="4" t="s">
        <v>25024</v>
      </c>
      <c r="B19884" s="4" t="s">
        <v>25025</v>
      </c>
      <c r="C19884" s="5" t="str">
        <f>IFERROR(__xludf.DUMMYFUNCTION("GOOGLETRANSLATE(B19884,""en"",""de"")"),"Ein kleines Mädchen schlitten in einem aufblasbaren Boot, das an einer Schnur vor einem Mann vorgegangen ist, plötzlich fällt sie in eine Mulde.")</f>
        <v>Ein kleines Mädchen schlitten in einem aufblasbaren Boot, das an einer Schnur vor einem Mann vorgegangen ist, plötzlich fällt sie in eine Mulde.</v>
      </c>
    </row>
    <row r="19885">
      <c r="A19885" s="4" t="s">
        <v>25024</v>
      </c>
      <c r="B19885" s="4" t="s">
        <v>25026</v>
      </c>
      <c r="C19885" s="5" t="str">
        <f>IFERROR(__xludf.DUMMYFUNCTION("GOOGLETRANSLATE(B19885,""en"",""de"")"),"Die Leute tragen Schlittenboote und das kleine Mädchen befindet sich in einem Schlittenboot.")</f>
        <v>Die Leute tragen Schlittenboote und das kleine Mädchen befindet sich in einem Schlittenboot.</v>
      </c>
    </row>
    <row r="19886">
      <c r="A19886" s="4" t="s">
        <v>25024</v>
      </c>
      <c r="B19886" s="4" t="s">
        <v>25027</v>
      </c>
      <c r="C19886" s="5" t="str">
        <f>IFERROR(__xludf.DUMMYFUNCTION("GOOGLETRANSLATE(B19886,""en"",""de"")"),"Nach einer Gruppe von Menschen schläfen Schlitten den Hügel hinunter, bis sie andere Personen treffen.")</f>
        <v>Nach einer Gruppe von Menschen schläfen Schlitten den Hügel hinunter, bis sie andere Personen treffen.</v>
      </c>
    </row>
    <row r="19887">
      <c r="A19887" s="4" t="s">
        <v>25028</v>
      </c>
      <c r="B19887" s="4" t="s">
        <v>25029</v>
      </c>
      <c r="C19887" s="5" t="str">
        <f>IFERROR(__xludf.DUMMYFUNCTION("GOOGLETRANSLATE(B19887,""en"",""de"")"),"Ein junges Mädchen wendet Sonnencreme auf ihr Gesicht auf.")</f>
        <v>Ein junges Mädchen wendet Sonnencreme auf ihr Gesicht auf.</v>
      </c>
    </row>
    <row r="19888">
      <c r="A19888" s="4" t="s">
        <v>25028</v>
      </c>
      <c r="B19888" s="4" t="s">
        <v>25030</v>
      </c>
      <c r="C19888" s="5" t="str">
        <f>IFERROR(__xludf.DUMMYFUNCTION("GOOGLETRANSLATE(B19888,""en"",""de"")"),"Ein Strand ist voller Menschen, während ein Motorrobat über das Wasser führt.")</f>
        <v>Ein Strand ist voller Menschen, während ein Motorrobat über das Wasser führt.</v>
      </c>
    </row>
    <row r="19889">
      <c r="A19889" s="4" t="s">
        <v>25028</v>
      </c>
      <c r="B19889" s="4" t="s">
        <v>25031</v>
      </c>
      <c r="C19889" s="5" t="str">
        <f>IFERROR(__xludf.DUMMYFUNCTION("GOOGLETRANSLATE(B19889,""en"",""de"")"),"Ein Arzt aus der Cleveland -Klinik namens Jennifer Lucas spricht.")</f>
        <v>Ein Arzt aus der Cleveland -Klinik namens Jennifer Lucas spricht.</v>
      </c>
    </row>
    <row r="19890">
      <c r="A19890" s="4" t="s">
        <v>25028</v>
      </c>
      <c r="B19890" s="4" t="s">
        <v>25032</v>
      </c>
      <c r="C19890" s="5" t="str">
        <f>IFERROR(__xludf.DUMMYFUNCTION("GOOGLETRANSLATE(B19890,""en"",""de"")"),"Menschen tragen Sonnencreme aufeinander auf.")</f>
        <v>Menschen tragen Sonnencreme aufeinander auf.</v>
      </c>
    </row>
    <row r="19891">
      <c r="A19891" s="4" t="s">
        <v>25033</v>
      </c>
      <c r="B19891" s="4" t="s">
        <v>25034</v>
      </c>
      <c r="C19891" s="5" t="str">
        <f>IFERROR(__xludf.DUMMYFUNCTION("GOOGLETRANSLATE(B19891,""en"",""de"")"),"Ein Mädchen nennt Ashley, das in allen lila gekleidet ist, langsam hoch, dann wird es der Natur Blick auf Schmutz und Blumen.")</f>
        <v>Ein Mädchen nennt Ashley, das in allen lila gekleidet ist, langsam hoch, dann wird es der Natur Blick auf Schmutz und Blumen.</v>
      </c>
    </row>
    <row r="19892">
      <c r="A19892" s="4" t="s">
        <v>25033</v>
      </c>
      <c r="B19892" s="4" t="s">
        <v>25035</v>
      </c>
      <c r="C19892" s="5" t="str">
        <f>IFERROR(__xludf.DUMMYFUNCTION("GOOGLETRANSLATE(B19892,""en"",""de"")"),"Ashley kommt in ihre Motorkreuzausrüstung und geht langsam mit dem Fahrrad aus.")</f>
        <v>Ashley kommt in ihre Motorkreuzausrüstung und geht langsam mit dem Fahrrad aus.</v>
      </c>
    </row>
    <row r="19893">
      <c r="A19893" s="4" t="s">
        <v>25033</v>
      </c>
      <c r="B19893" s="4" t="s">
        <v>25036</v>
      </c>
      <c r="C19893" s="5" t="str">
        <f>IFERROR(__xludf.DUMMYFUNCTION("GOOGLETRANSLATE(B19893,""en"",""de"")"),"Sie geht raus und fängt an, durch den Dreck zu reiten, und fängt etwas Luft, nachdem er Little Mountain Hills getroffen hat.")</f>
        <v>Sie geht raus und fängt an, durch den Dreck zu reiten, und fängt etwas Luft, nachdem er Little Mountain Hills getroffen hat.</v>
      </c>
    </row>
    <row r="19894">
      <c r="A19894" s="4" t="s">
        <v>25033</v>
      </c>
      <c r="B19894" s="4" t="s">
        <v>25037</v>
      </c>
      <c r="C19894" s="5" t="str">
        <f>IFERROR(__xludf.DUMMYFUNCTION("GOOGLETRANSLATE(B19894,""en"",""de"")"),"Sie spricht für ein wenig in Gebärdensprache mit einem anderen Fahrer, aber bevor sie den Dreck zurückgegeben hat, um noch etwas zu fahren.")</f>
        <v>Sie spricht für ein wenig in Gebärdensprache mit einem anderen Fahrer, aber bevor sie den Dreck zurückgegeben hat, um noch etwas zu fahren.</v>
      </c>
    </row>
    <row r="19895">
      <c r="A19895" s="4" t="s">
        <v>25038</v>
      </c>
      <c r="B19895" s="4" t="s">
        <v>25039</v>
      </c>
      <c r="C19895" s="5" t="str">
        <f>IFERROR(__xludf.DUMMYFUNCTION("GOOGLETRANSLATE(B19895,""en"",""de"")"),"Frau steht in der Küche und spricht mit der Kamera und zeigt Zutaten, die sich über einer Theke befinden.")</f>
        <v>Frau steht in der Küche und spricht mit der Kamera und zeigt Zutaten, die sich über einer Theke befinden.</v>
      </c>
    </row>
    <row r="19896">
      <c r="A19896" s="4" t="s">
        <v>25038</v>
      </c>
      <c r="B19896" s="4" t="s">
        <v>25040</v>
      </c>
      <c r="C19896" s="5" t="str">
        <f>IFERROR(__xludf.DUMMYFUNCTION("GOOGLETRANSLATE(B19896,""en"",""de"")"),"Frau hält eine Zitrone und drückt sie in ein Plastikwasserglas und mischt sie mit Zucker.")</f>
        <v>Frau hält eine Zitrone und drückt sie in ein Plastikwasserglas und mischt sie mit Zucker.</v>
      </c>
    </row>
    <row r="19897">
      <c r="A19897" s="4" t="s">
        <v>25038</v>
      </c>
      <c r="B19897" s="4" t="s">
        <v>25041</v>
      </c>
      <c r="C19897" s="5" t="str">
        <f>IFERROR(__xludf.DUMMYFUNCTION("GOOGLETRANSLATE(B19897,""en"",""de"")"),"Frau hält ein Messer und hackt die Zitronen in kleinen Stücken und fügt Soda zum Glas und die gehackten Zitronen zusammen mit Erdbeeren hinzu.")</f>
        <v>Frau hält ein Messer und hackt die Zitronen in kleinen Stücken und fügt Soda zum Glas und die gehackten Zitronen zusammen mit Erdbeeren hinzu.</v>
      </c>
    </row>
    <row r="19898">
      <c r="A19898" s="4" t="s">
        <v>25042</v>
      </c>
      <c r="B19898" s="4" t="s">
        <v>25043</v>
      </c>
      <c r="C19898" s="5" t="str">
        <f>IFERROR(__xludf.DUMMYFUNCTION("GOOGLETRANSLATE(B19898,""en"",""de"")"),"Eine Frau verwendet ein Stück Kreide auf einer Leinwand.")</f>
        <v>Eine Frau verwendet ein Stück Kreide auf einer Leinwand.</v>
      </c>
    </row>
    <row r="19899">
      <c r="A19899" s="4" t="s">
        <v>25042</v>
      </c>
      <c r="B19899" s="4" t="s">
        <v>25044</v>
      </c>
      <c r="C19899" s="5" t="str">
        <f>IFERROR(__xludf.DUMMYFUNCTION("GOOGLETRANSLATE(B19899,""en"",""de"")"),"Sie verwendet dann verschiedene Farben, um ein Bild zu erstellen.")</f>
        <v>Sie verwendet dann verschiedene Farben, um ein Bild zu erstellen.</v>
      </c>
    </row>
    <row r="19900">
      <c r="A19900" s="4" t="s">
        <v>25042</v>
      </c>
      <c r="B19900" s="4" t="s">
        <v>25045</v>
      </c>
      <c r="C19900" s="5" t="str">
        <f>IFERROR(__xludf.DUMMYFUNCTION("GOOGLETRANSLATE(B19900,""en"",""de"")"),"Wenn sie fertig ist, sehen wir ein Stilllebensbild einer Orange auf einer Theke.")</f>
        <v>Wenn sie fertig ist, sehen wir ein Stilllebensbild einer Orange auf einer Theke.</v>
      </c>
    </row>
    <row r="19901">
      <c r="A19901" s="4" t="s">
        <v>25046</v>
      </c>
      <c r="B19901" s="4" t="s">
        <v>25047</v>
      </c>
      <c r="C19901" s="5" t="str">
        <f>IFERROR(__xludf.DUMMYFUNCTION("GOOGLETRANSLATE(B19901,""en"",""de"")"),"Eine kleine Gruppe von Mädchen ist zu sehen, wie sie auf einen See hält, der Röhrchen hält, und führt in andere in Röhren entlang.")</f>
        <v>Eine kleine Gruppe von Mädchen ist zu sehen, wie sie auf einen See hält, der Röhrchen hält, und führt in andere in Röhren entlang.</v>
      </c>
    </row>
    <row r="19902">
      <c r="A19902" s="4" t="s">
        <v>25046</v>
      </c>
      <c r="B19902" s="4" t="s">
        <v>25048</v>
      </c>
      <c r="C19902" s="5" t="str">
        <f>IFERROR(__xludf.DUMMYFUNCTION("GOOGLETRANSLATE(B19902,""en"",""de"")"),"Die Menschen reiten weiter am Fluss mit den Röhren und die Kamera schwenkt um die große Gruppe.")</f>
        <v>Die Menschen reiten weiter am Fluss mit den Röhren und die Kamera schwenkt um die große Gruppe.</v>
      </c>
    </row>
    <row r="19903">
      <c r="A19903" s="4" t="s">
        <v>25046</v>
      </c>
      <c r="B19903" s="4" t="s">
        <v>25049</v>
      </c>
      <c r="C19903" s="5" t="str">
        <f>IFERROR(__xludf.DUMMYFUNCTION("GOOGLETRANSLATE(B19903,""en"",""de"")"),"Der Weg vom Ufer und spricht miteinander, gefolgt von den Röhren auf, und der Bus parkte.")</f>
        <v>Der Weg vom Ufer und spricht miteinander, gefolgt von den Röhren auf, und der Bus parkte.</v>
      </c>
    </row>
    <row r="19904">
      <c r="A19904" s="4" t="s">
        <v>25050</v>
      </c>
      <c r="B19904" s="4" t="s">
        <v>25051</v>
      </c>
      <c r="C19904" s="5" t="str">
        <f>IFERROR(__xludf.DUMMYFUNCTION("GOOGLETRANSLATE(B19904,""en"",""de"")"),"Eine Frau geht eine Treppe hinunter und beginnt eine Routine vor einem großen Publikum durchzuführen.")</f>
        <v>Eine Frau geht eine Treppe hinunter und beginnt eine Routine vor einem großen Publikum durchzuführen.</v>
      </c>
    </row>
    <row r="19905">
      <c r="A19905" s="4" t="s">
        <v>25050</v>
      </c>
      <c r="B19905" s="4" t="s">
        <v>25052</v>
      </c>
      <c r="C19905" s="5" t="str">
        <f>IFERROR(__xludf.DUMMYFUNCTION("GOOGLETRANSLATE(B19905,""en"",""de"")"),"Die Frau tanzt weiter auf der Bühne, während eine Gruppe von Menschen Instrumente hinter sich spielt.")</f>
        <v>Die Frau tanzt weiter auf der Bühne, während eine Gruppe von Menschen Instrumente hinter sich spielt.</v>
      </c>
    </row>
    <row r="19906">
      <c r="A19906" s="4" t="s">
        <v>25053</v>
      </c>
      <c r="B19906" s="4" t="s">
        <v>25054</v>
      </c>
      <c r="C19906" s="5" t="str">
        <f>IFERROR(__xludf.DUMMYFUNCTION("GOOGLETRANSLATE(B19906,""en"",""de"")"),"Reinigungsmaterialien sitzen neben einer Doppelspüle, dann legt eine Person eine Flasche mit blauer Flüssigkeit neben den Reinigungsmaterialien.")</f>
        <v>Reinigungsmaterialien sitzen neben einer Doppelspüle, dann legt eine Person eine Flasche mit blauer Flüssigkeit neben den Reinigungsmaterialien.</v>
      </c>
    </row>
    <row r="19907">
      <c r="A19907" s="4" t="s">
        <v>25053</v>
      </c>
      <c r="B19907" s="4" t="s">
        <v>25055</v>
      </c>
      <c r="C19907" s="5" t="str">
        <f>IFERROR(__xludf.DUMMYFUNCTION("GOOGLETRANSLATE(B19907,""en"",""de"")"),"Danach gießt die Person ein wenig blaue Flüssigkeit in die Spüle und schrubbt die Waschbecken mit einem Schwamm.")</f>
        <v>Danach gießt die Person ein wenig blaue Flüssigkeit in die Spüle und schrubbt die Waschbecken mit einem Schwamm.</v>
      </c>
    </row>
    <row r="19908">
      <c r="A19908" s="4" t="s">
        <v>25053</v>
      </c>
      <c r="B19908" s="4" t="s">
        <v>25056</v>
      </c>
      <c r="C19908" s="5" t="str">
        <f>IFERROR(__xludf.DUMMYFUNCTION("GOOGLETRANSLATE(B19908,""en"",""de"")"),"Danach spügt die Person die Waschbecken mit Wasser aus und trocknet mit einem Tuch.")</f>
        <v>Danach spügt die Person die Waschbecken mit Wasser aus und trocknet mit einem Tuch.</v>
      </c>
    </row>
    <row r="19909">
      <c r="A19909" s="4" t="s">
        <v>25057</v>
      </c>
      <c r="B19909" s="4" t="s">
        <v>25058</v>
      </c>
      <c r="C19909" s="5" t="str">
        <f>IFERROR(__xludf.DUMMYFUNCTION("GOOGLETRANSLATE(B19909,""en"",""de"")"),"Ein Mann skaniert auf einer Innenbahn mit einer Kehrmaschine, wie die Leute zuschauen.")</f>
        <v>Ein Mann skaniert auf einer Innenbahn mit einer Kehrmaschine, wie die Leute zuschauen.</v>
      </c>
    </row>
    <row r="19910">
      <c r="A19910" s="4" t="s">
        <v>25057</v>
      </c>
      <c r="B19910" s="4" t="s">
        <v>25059</v>
      </c>
      <c r="C19910" s="5" t="str">
        <f>IFERROR(__xludf.DUMMYFUNCTION("GOOGLETRANSLATE(B19910,""en"",""de"")"),"Er reinigt den Boden, während die Leute versuchen, mit ihm zu sprechen.")</f>
        <v>Er reinigt den Boden, während die Leute versuchen, mit ihm zu sprechen.</v>
      </c>
    </row>
    <row r="19911">
      <c r="A19911" s="4" t="s">
        <v>25057</v>
      </c>
      <c r="B19911" s="4" t="s">
        <v>25060</v>
      </c>
      <c r="C19911" s="5" t="str">
        <f>IFERROR(__xludf.DUMMYFUNCTION("GOOGLETRANSLATE(B19911,""en"",""de"")"),"Ein Mann fällt und gleitet und ein anderer packt ihn in einem Kampf.")</f>
        <v>Ein Mann fällt und gleitet und ein anderer packt ihn in einem Kampf.</v>
      </c>
    </row>
    <row r="19912">
      <c r="A19912" s="4" t="s">
        <v>25061</v>
      </c>
      <c r="B19912" s="4" t="s">
        <v>25062</v>
      </c>
      <c r="C19912" s="5" t="str">
        <f>IFERROR(__xludf.DUMMYFUNCTION("GOOGLETRANSLATE(B19912,""en"",""de"")"),"Mehrere Männer stehen in einer Dirt -Arena.")</f>
        <v>Mehrere Männer stehen in einer Dirt -Arena.</v>
      </c>
    </row>
    <row r="19913">
      <c r="A19913" s="4" t="s">
        <v>25061</v>
      </c>
      <c r="B19913" s="4" t="s">
        <v>25063</v>
      </c>
      <c r="C19913" s="5" t="str">
        <f>IFERROR(__xludf.DUMMYFUNCTION("GOOGLETRANSLATE(B19913,""en"",""de"")"),"Mehrere andere Männer sitzen auf Pferden.")</f>
        <v>Mehrere andere Männer sitzen auf Pferden.</v>
      </c>
    </row>
    <row r="19914">
      <c r="A19914" s="4" t="s">
        <v>25061</v>
      </c>
      <c r="B19914" s="4" t="s">
        <v>25064</v>
      </c>
      <c r="C19914" s="5" t="str">
        <f>IFERROR(__xludf.DUMMYFUNCTION("GOOGLETRANSLATE(B19914,""en"",""de"")"),"Ein Tor öffnet und ein Kalb läuft genau, gefolgt von einem Mann auf einem Pferd.")</f>
        <v>Ein Tor öffnet und ein Kalb läuft genau, gefolgt von einem Mann auf einem Pferd.</v>
      </c>
    </row>
    <row r="19915">
      <c r="A19915" s="4" t="s">
        <v>25061</v>
      </c>
      <c r="B19915" s="4" t="s">
        <v>25065</v>
      </c>
      <c r="C19915" s="5" t="str">
        <f>IFERROR(__xludf.DUMMYFUNCTION("GOOGLETRANSLATE(B19915,""en"",""de"")"),"Der Mann auf dem Pferd wirft ein Lasso um den Hals des Kalbs, der das Kalb zurück, um auf dem Rücken zu landen.")</f>
        <v>Der Mann auf dem Pferd wirft ein Lasso um den Hals des Kalbs, der das Kalb zurück, um auf dem Rücken zu landen.</v>
      </c>
    </row>
    <row r="19916">
      <c r="A19916" s="4" t="s">
        <v>25061</v>
      </c>
      <c r="B19916" s="4" t="s">
        <v>25066</v>
      </c>
      <c r="C19916" s="5" t="str">
        <f>IFERROR(__xludf.DUMMYFUNCTION("GOOGLETRANSLATE(B19916,""en"",""de"")"),"Der Mann springt von seinem Pferd und rennt hinüber und verbindet das Kalb.")</f>
        <v>Der Mann springt von seinem Pferd und rennt hinüber und verbindet das Kalb.</v>
      </c>
    </row>
    <row r="19917">
      <c r="A19917" s="4" t="s">
        <v>25061</v>
      </c>
      <c r="B19917" s="4" t="s">
        <v>25067</v>
      </c>
      <c r="C19917" s="5" t="str">
        <f>IFERROR(__xludf.DUMMYFUNCTION("GOOGLETRANSLATE(B19917,""en"",""de"")"),"Der Mann steht auf und geht zurück, um auf sein Pferd zu kommen.")</f>
        <v>Der Mann steht auf und geht zurück, um auf sein Pferd zu kommen.</v>
      </c>
    </row>
    <row r="19918">
      <c r="A19918" s="4" t="s">
        <v>25061</v>
      </c>
      <c r="B19918" s="4" t="s">
        <v>25068</v>
      </c>
      <c r="C19918" s="5" t="str">
        <f>IFERROR(__xludf.DUMMYFUNCTION("GOOGLETRANSLATE(B19918,""en"",""de"")"),"Mehrere Männer rennen rüber, um das Kalb zu befreien, wenn es aufsteht und wegläuft.")</f>
        <v>Mehrere Männer rennen rüber, um das Kalb zu befreien, wenn es aufsteht und wegläuft.</v>
      </c>
    </row>
    <row r="19919">
      <c r="A19919" s="4" t="s">
        <v>25069</v>
      </c>
      <c r="B19919" s="4" t="s">
        <v>25070</v>
      </c>
      <c r="C19919" s="5" t="str">
        <f>IFERROR(__xludf.DUMMYFUNCTION("GOOGLETRANSLATE(B19919,""en"",""de"")"),"Eine Gruppe von Menschen schwimmt in einem Innenpool mit anderen Schwimmer, die auf der Seite des Pools stehen.")</f>
        <v>Eine Gruppe von Menschen schwimmt in einem Innenpool mit anderen Schwimmer, die auf der Seite des Pools stehen.</v>
      </c>
    </row>
    <row r="19920">
      <c r="A19920" s="4" t="s">
        <v>25069</v>
      </c>
      <c r="B19920" s="4" t="s">
        <v>25071</v>
      </c>
      <c r="C19920" s="5" t="str">
        <f>IFERROR(__xludf.DUMMYFUNCTION("GOOGLETRANSLATE(B19920,""en"",""de"")"),"Die Kinder am Rande springen mit Schwimmkappen und Badeanzügen auf und ab, während sie die Menschen beobachten, die bereits im Pool schwimmen.")</f>
        <v>Die Kinder am Rande springen mit Schwimmkappen und Badeanzügen auf und ab, während sie die Menschen beobachten, die bereits im Pool schwimmen.</v>
      </c>
    </row>
    <row r="19921">
      <c r="A19921" s="4" t="s">
        <v>25069</v>
      </c>
      <c r="B19921" s="4" t="s">
        <v>25072</v>
      </c>
      <c r="C19921" s="5" t="str">
        <f>IFERROR(__xludf.DUMMYFUNCTION("GOOGLETRANSLATE(B19921,""en"",""de"")"),"Eine Person geht die Kamera an, während sich die wackelige Kamera auf die Menschen konzentriert, die bereits im Pool schwimmen.")</f>
        <v>Eine Person geht die Kamera an, während sich die wackelige Kamera auf die Menschen konzentriert, die bereits im Pool schwimmen.</v>
      </c>
    </row>
    <row r="19922">
      <c r="A19922" s="4" t="s">
        <v>25073</v>
      </c>
      <c r="B19922" s="4" t="s">
        <v>25074</v>
      </c>
      <c r="C19922" s="5" t="str">
        <f>IFERROR(__xludf.DUMMYFUNCTION("GOOGLETRANSLATE(B19922,""en"",""de"")"),"Zwei Personen spielen verschiedene Tritte und Tricks umeinander, während eine große Gruppe von Menschen an den Seiten zuschauen.")</f>
        <v>Zwei Personen spielen verschiedene Tritte und Tricks umeinander, während eine große Gruppe von Menschen an den Seiten zuschauen.</v>
      </c>
    </row>
    <row r="19923">
      <c r="A19923" s="4" t="s">
        <v>25073</v>
      </c>
      <c r="B19923" s="4" t="s">
        <v>25075</v>
      </c>
      <c r="C19923" s="5" t="str">
        <f>IFERROR(__xludf.DUMMYFUNCTION("GOOGLETRANSLATE(B19923,""en"",""de"")"),"Mehr tritt weiter in der Mitte des Kreises umeinander, während andere auf die Seite zuschauen und reagieren.")</f>
        <v>Mehr tritt weiter in der Mitte des Kreises umeinander, während andere auf die Seite zuschauen und reagieren.</v>
      </c>
    </row>
    <row r="19924">
      <c r="A19924" s="4" t="s">
        <v>25076</v>
      </c>
      <c r="B19924" s="4" t="s">
        <v>25077</v>
      </c>
      <c r="C19924" s="5" t="str">
        <f>IFERROR(__xludf.DUMMYFUNCTION("GOOGLETRANSLATE(B19924,""en"",""de"")"),"Ein junger Mann, der blaue Jeans und ein blau -weißes kariertes, langärmeliges Knopf -Hemd mit dem Hemd sitzt, sitzt auf dem Boden auf dem Boden, die auf einem Brett geöffnet sind, das Zahlen in dreieckiger Form hat.")</f>
        <v>Ein junger Mann, der blaue Jeans und ein blau -weißes kariertes, langärmeliges Knopf -Hemd mit dem Hemd sitzt, sitzt auf dem Boden auf dem Boden, die auf einem Brett geöffnet sind, das Zahlen in dreieckiger Form hat.</v>
      </c>
    </row>
    <row r="19925">
      <c r="A19925" s="4" t="s">
        <v>25076</v>
      </c>
      <c r="B19925" s="4" t="s">
        <v>25078</v>
      </c>
      <c r="C19925" s="5" t="str">
        <f>IFERROR(__xludf.DUMMYFUNCTION("GOOGLETRANSLATE(B19925,""en"",""de"")"),"Es gibt zwei ältere Frauen, die Stöcke halten, und sie bereiten sich darauf vor, die Scheiben auf der ganzen Linie in den Schritt des Mannes zu schlagen, während 5 Männer neben dem Brett stehen und sich kriechen.")</f>
        <v>Es gibt zwei ältere Frauen, die Stöcke halten, und sie bereiten sich darauf vor, die Scheiben auf der ganzen Linie in den Schritt des Mannes zu schlagen, während 5 Männer neben dem Brett stehen und sich kriechen.</v>
      </c>
    </row>
    <row r="19926">
      <c r="A19926" s="4" t="s">
        <v>25076</v>
      </c>
      <c r="B19926" s="4" t="s">
        <v>25079</v>
      </c>
      <c r="C19926" s="5" t="str">
        <f>IFERROR(__xludf.DUMMYFUNCTION("GOOGLETRANSLATE(B19926,""en"",""de"")"),"Die Frau schiebt die Scheibe auf der ganzen Linie und er trifft den Mann im Schritt, die zweite Frau schiebt die Scheibe auf der ganzen Linie und er trifft den Mann im Schritt sehr hart und die Jungs lachen und erscheinen dann dem Kerl.")</f>
        <v>Die Frau schiebt die Scheibe auf der ganzen Linie und er trifft den Mann im Schritt, die zweite Frau schiebt die Scheibe auf der ganzen Linie und er trifft den Mann im Schritt sehr hart und die Jungs lachen und erscheinen dann dem Kerl.</v>
      </c>
    </row>
    <row r="19927">
      <c r="A19927" s="4" t="s">
        <v>25080</v>
      </c>
      <c r="B19927" s="4" t="s">
        <v>25081</v>
      </c>
      <c r="C19927" s="5" t="str">
        <f>IFERROR(__xludf.DUMMYFUNCTION("GOOGLETRANSLATE(B19927,""en"",""de"")"),"Ein Turner wird gesehen, wie ein Turner sich die Hände zusammenzieht und zu einer Reihe ungleichmäßiger Bars geht und seine Hände hochzieht.")</f>
        <v>Ein Turner wird gesehen, wie ein Turner sich die Hände zusammenzieht und zu einer Reihe ungleichmäßiger Bars geht und seine Hände hochzieht.</v>
      </c>
    </row>
    <row r="19928">
      <c r="A19928" s="4" t="s">
        <v>25080</v>
      </c>
      <c r="B19928" s="4" t="s">
        <v>25082</v>
      </c>
      <c r="C19928" s="5" t="str">
        <f>IFERROR(__xludf.DUMMYFUNCTION("GOOGLETRANSLATE(B19928,""en"",""de"")"),"Der Mann führt eine Routine an den Bars durch, während Hunderte von Menschen am Rande zuschauen.")</f>
        <v>Der Mann führt eine Routine an den Bars durch, während Hunderte von Menschen am Rande zuschauen.</v>
      </c>
    </row>
    <row r="19929">
      <c r="A19929" s="4" t="s">
        <v>25080</v>
      </c>
      <c r="B19929" s="4" t="s">
        <v>25083</v>
      </c>
      <c r="C19929" s="5" t="str">
        <f>IFERROR(__xludf.DUMMYFUNCTION("GOOGLETRANSLATE(B19929,""en"",""de"")"),"Er springt runter, winkt die Arme in die Luft und geht danach zu High Five Sein Trainer.")</f>
        <v>Er springt runter, winkt die Arme in die Luft und geht danach zu High Five Sein Trainer.</v>
      </c>
    </row>
    <row r="19930">
      <c r="A19930" s="4" t="s">
        <v>25084</v>
      </c>
      <c r="B19930" s="4" t="s">
        <v>25085</v>
      </c>
      <c r="C19930" s="5" t="str">
        <f>IFERROR(__xludf.DUMMYFUNCTION("GOOGLETRANSLATE(B19930,""en"",""de"")"),"Ein Mann geht über ein Seil, das zwischen zwei Bergen hoch in der Luft hängt und mit seinen Armen ausgleichen.")</f>
        <v>Ein Mann geht über ein Seil, das zwischen zwei Bergen hoch in der Luft hängt und mit seinen Armen ausgleichen.</v>
      </c>
    </row>
    <row r="19931">
      <c r="A19931" s="4" t="s">
        <v>25084</v>
      </c>
      <c r="B19931" s="4" t="s">
        <v>25086</v>
      </c>
      <c r="C19931" s="5" t="str">
        <f>IFERROR(__xludf.DUMMYFUNCTION("GOOGLETRANSLATE(B19931,""en"",""de"")"),"Ein Mann geht über ein suspendiertes Seil in der Luft, verliert an einem Punkt das Gleichgewicht und hält sich mit den Händen und Füßen am Seil am Seil fest.")</f>
        <v>Ein Mann geht über ein suspendiertes Seil in der Luft, verliert an einem Punkt das Gleichgewicht und hält sich mit den Händen und Füßen am Seil am Seil fest.</v>
      </c>
    </row>
    <row r="19932">
      <c r="A19932" s="4" t="s">
        <v>25084</v>
      </c>
      <c r="B19932" s="4" t="s">
        <v>25087</v>
      </c>
      <c r="C19932" s="5" t="str">
        <f>IFERROR(__xludf.DUMMYFUNCTION("GOOGLETRANSLATE(B19932,""en"",""de"")"),"Der Mann kann sich dann genug auf dem Seil zurückziehen, um mit dem Seil zwischen seinen Beinen darauf zu sitzen.")</f>
        <v>Der Mann kann sich dann genug auf dem Seil zurückziehen, um mit dem Seil zwischen seinen Beinen darauf zu sitzen.</v>
      </c>
    </row>
    <row r="19933">
      <c r="A19933" s="4" t="s">
        <v>25088</v>
      </c>
      <c r="B19933" s="4" t="s">
        <v>25089</v>
      </c>
      <c r="C19933" s="5" t="str">
        <f>IFERROR(__xludf.DUMMYFUNCTION("GOOGLETRANSLATE(B19933,""en"",""de"")"),"Eine Person spielt einen Trick auf einem Snowboard, gefolgt von mehr Frau, die mit der Kamera spricht.")</f>
        <v>Eine Person spielt einen Trick auf einem Snowboard, gefolgt von mehr Frau, die mit der Kamera spricht.</v>
      </c>
    </row>
    <row r="19934">
      <c r="A19934" s="4" t="s">
        <v>25088</v>
      </c>
      <c r="B19934" s="4" t="s">
        <v>25090</v>
      </c>
      <c r="C19934" s="5" t="str">
        <f>IFERROR(__xludf.DUMMYFUNCTION("GOOGLETRANSLATE(B19934,""en"",""de"")"),"Es werden einige weitere Clips von Menschen gezeigt, die Snowboards reiten und Tricks auf einem Brett durchführen.")</f>
        <v>Es werden einige weitere Clips von Menschen gezeigt, die Snowboards reiten und Tricks auf einem Brett durchführen.</v>
      </c>
    </row>
    <row r="19935">
      <c r="A19935" s="4" t="s">
        <v>25088</v>
      </c>
      <c r="B19935" s="4" t="s">
        <v>25091</v>
      </c>
      <c r="C19935" s="5" t="str">
        <f>IFERROR(__xludf.DUMMYFUNCTION("GOOGLETRANSLATE(B19935,""en"",""de"")"),"Weitere Menschen werden auf einem Brett fahren und mit der Kamera sprechen.")</f>
        <v>Weitere Menschen werden auf einem Brett fahren und mit der Kamera sprechen.</v>
      </c>
    </row>
    <row r="19936">
      <c r="A19936" s="4" t="s">
        <v>25092</v>
      </c>
      <c r="B19936" s="4" t="s">
        <v>25093</v>
      </c>
      <c r="C19936" s="5" t="str">
        <f>IFERROR(__xludf.DUMMYFUNCTION("GOOGLETRANSLATE(B19936,""en"",""de"")"),"Eine Person Ski über eine Skigebahn und dreht sich in die Luft, dann stehen Land auf dem Schnee.")</f>
        <v>Eine Person Ski über eine Skigebahn und dreht sich in die Luft, dann stehen Land auf dem Schnee.</v>
      </c>
    </row>
    <row r="19937">
      <c r="A19937" s="4" t="s">
        <v>25092</v>
      </c>
      <c r="B19937" s="4" t="s">
        <v>25094</v>
      </c>
      <c r="C19937" s="5" t="str">
        <f>IFERROR(__xludf.DUMMYFUNCTION("GOOGLETRANSLATE(B19937,""en"",""de"")"),"Die Person Ski über eine Rampe und fliegt sehr hoch in die Luft.")</f>
        <v>Die Person Ski über eine Rampe und fliegt sehr hoch in die Luft.</v>
      </c>
    </row>
    <row r="19938">
      <c r="A19938" s="4" t="s">
        <v>25092</v>
      </c>
      <c r="B19938" s="4" t="s">
        <v>25095</v>
      </c>
      <c r="C19938" s="5" t="str">
        <f>IFERROR(__xludf.DUMMYFUNCTION("GOOGLETRANSLATE(B19938,""en"",""de"")"),"Dann fährt die Person über die Schienen eines Hauses, das sich dreht und dann auf der Straße landet.")</f>
        <v>Dann fährt die Person über die Schienen eines Hauses, das sich dreht und dann auf der Straße landet.</v>
      </c>
    </row>
    <row r="19939">
      <c r="A19939" s="4" t="s">
        <v>25092</v>
      </c>
      <c r="B19939" s="4" t="s">
        <v>25096</v>
      </c>
      <c r="C19939" s="5" t="str">
        <f>IFERROR(__xludf.DUMMYFUNCTION("GOOGLETRANSLATE(B19939,""en"",""de"")"),"Dann fährt eine Person über den Zaun einer Wanderbrücke und Ski auch auf der Treppe.")</f>
        <v>Dann fährt eine Person über den Zaun einer Wanderbrücke und Ski auch auf der Treppe.</v>
      </c>
    </row>
    <row r="19940">
      <c r="A19940" s="4" t="s">
        <v>25097</v>
      </c>
      <c r="B19940" s="4" t="s">
        <v>25098</v>
      </c>
      <c r="C19940" s="5" t="str">
        <f>IFERROR(__xludf.DUMMYFUNCTION("GOOGLETRANSLATE(B19940,""en"",""de"")"),"Ein Mann wird gesehen, wie er eine Reihe von Skiern trägt, während er zurückblickt, um mit der Kamera zu sprechen.")</f>
        <v>Ein Mann wird gesehen, wie er eine Reihe von Skiern trägt, während er zurückblickt, um mit der Kamera zu sprechen.</v>
      </c>
    </row>
    <row r="19941">
      <c r="A19941" s="4" t="s">
        <v>25097</v>
      </c>
      <c r="B19941" s="4" t="s">
        <v>25099</v>
      </c>
      <c r="C19941" s="5" t="str">
        <f>IFERROR(__xludf.DUMMYFUNCTION("GOOGLETRANSLATE(B19941,""en"",""de"")"),"Der Mann bewegt seine Arme weiterhin die Skier hinauf und runter, während er hin und wieder in die Kamera spricht.")</f>
        <v>Der Mann bewegt seine Arme weiterhin die Skier hinauf und runter, während er hin und wieder in die Kamera spricht.</v>
      </c>
    </row>
    <row r="19942">
      <c r="A19942" s="4" t="s">
        <v>25100</v>
      </c>
      <c r="B19942" s="4" t="s">
        <v>25101</v>
      </c>
      <c r="C19942" s="5" t="str">
        <f>IFERROR(__xludf.DUMMYFUNCTION("GOOGLETRANSLATE(B19942,""en"",""de"")"),"Geschnitzte Pfeffer-Jack-O-Laternen werden zubereitet.")</f>
        <v>Geschnitzte Pfeffer-Jack-O-Laternen werden zubereitet.</v>
      </c>
    </row>
    <row r="19943">
      <c r="A19943" s="4" t="s">
        <v>25100</v>
      </c>
      <c r="B19943" s="4" t="s">
        <v>25102</v>
      </c>
      <c r="C19943" s="5" t="str">
        <f>IFERROR(__xludf.DUMMYFUNCTION("GOOGLETRANSLATE(B19943,""en"",""de"")"),"Eine Frau benutzt ein Messer, um das Zentrum und die Gesichtsbehörden eines Paprika zu schnitzen und dann in ein Gericht zu platzieren.")</f>
        <v>Eine Frau benutzt ein Messer, um das Zentrum und die Gesichtsbehörden eines Paprika zu schnitzen und dann in ein Gericht zu platzieren.</v>
      </c>
    </row>
    <row r="19944">
      <c r="A19944" s="4" t="s">
        <v>25100</v>
      </c>
      <c r="B19944" s="4" t="s">
        <v>25103</v>
      </c>
      <c r="C19944" s="5" t="str">
        <f>IFERROR(__xludf.DUMMYFUNCTION("GOOGLETRANSLATE(B19944,""en"",""de"")"),"Die Frau fügt gehacktes Gemüse, Salsa und Eier in einer großen Schüssel hinzu.")</f>
        <v>Die Frau fügt gehacktes Gemüse, Salsa und Eier in einer großen Schüssel hinzu.</v>
      </c>
    </row>
    <row r="19945">
      <c r="A19945" s="4" t="s">
        <v>25100</v>
      </c>
      <c r="B19945" s="4" t="s">
        <v>25104</v>
      </c>
      <c r="C19945" s="5" t="str">
        <f>IFERROR(__xludf.DUMMYFUNCTION("GOOGLETRANSLATE(B19945,""en"",""de"")"),"Die Frau benutzt einen Spatel, um alles zusammen zu mischen.")</f>
        <v>Die Frau benutzt einen Spatel, um alles zusammen zu mischen.</v>
      </c>
    </row>
    <row r="19946">
      <c r="A19946" s="4" t="s">
        <v>25100</v>
      </c>
      <c r="B19946" s="4" t="s">
        <v>25105</v>
      </c>
      <c r="C19946" s="5" t="str">
        <f>IFERROR(__xludf.DUMMYFUNCTION("GOOGLETRANSLATE(B19946,""en"",""de"")"),"Ein Löffel wird verwendet, um Zutaten in die hohlen Paprika zu verleihen.")</f>
        <v>Ein Löffel wird verwendet, um Zutaten in die hohlen Paprika zu verleihen.</v>
      </c>
    </row>
    <row r="19947">
      <c r="A19947" s="4" t="s">
        <v>25100</v>
      </c>
      <c r="B19947" s="4" t="s">
        <v>25106</v>
      </c>
      <c r="C19947" s="5" t="str">
        <f>IFERROR(__xludf.DUMMYFUNCTION("GOOGLETRANSLATE(B19947,""en"",""de"")"),"Käse wird an den Oberteilen der Paprika hinzugefügt und die Spitzen werden wieder auf sie gelegt.")</f>
        <v>Käse wird an den Oberteilen der Paprika hinzugefügt und die Spitzen werden wieder auf sie gelegt.</v>
      </c>
    </row>
    <row r="19948">
      <c r="A19948" s="4" t="s">
        <v>25100</v>
      </c>
      <c r="B19948" s="4" t="s">
        <v>25107</v>
      </c>
      <c r="C19948" s="5" t="str">
        <f>IFERROR(__xludf.DUMMYFUNCTION("GOOGLETRANSLATE(B19948,""en"",""de"")"),"Die Paprika werden aus dem Gericht entfernt und auf einen Teller legen.")</f>
        <v>Die Paprika werden aus dem Gericht entfernt und auf einen Teller legen.</v>
      </c>
    </row>
    <row r="19949">
      <c r="A19949" s="4" t="s">
        <v>25100</v>
      </c>
      <c r="B19949" s="4" t="s">
        <v>25108</v>
      </c>
      <c r="C19949" s="5" t="str">
        <f>IFERROR(__xludf.DUMMYFUNCTION("GOOGLETRANSLATE(B19949,""en"",""de"")"),"Die fertigen Paprika sind auf dem Schneidebrett zu sehen.")</f>
        <v>Die fertigen Paprika sind auf dem Schneidebrett zu sehen.</v>
      </c>
    </row>
    <row r="19950">
      <c r="A19950" s="4" t="s">
        <v>25100</v>
      </c>
      <c r="B19950" s="4" t="s">
        <v>25109</v>
      </c>
      <c r="C19950" s="5" t="str">
        <f>IFERROR(__xludf.DUMMYFUNCTION("GOOGLETRANSLATE(B19950,""en"",""de"")"),"Eine Frau fügt Zutaten zu einem Auflaufgericht hinzu.")</f>
        <v>Eine Frau fügt Zutaten zu einem Auflaufgericht hinzu.</v>
      </c>
    </row>
    <row r="19951">
      <c r="A19951" s="4" t="s">
        <v>25110</v>
      </c>
      <c r="B19951" s="4" t="s">
        <v>25111</v>
      </c>
      <c r="C19951" s="5" t="str">
        <f>IFERROR(__xludf.DUMMYFUNCTION("GOOGLETRANSLATE(B19951,""en"",""de"")"),"Schiffe sind im Wasser gezeigt.")</f>
        <v>Schiffe sind im Wasser gezeigt.</v>
      </c>
    </row>
    <row r="19952">
      <c r="A19952" s="4" t="s">
        <v>25110</v>
      </c>
      <c r="B19952" s="4" t="s">
        <v>25112</v>
      </c>
      <c r="C19952" s="5" t="str">
        <f>IFERROR(__xludf.DUMMYFUNCTION("GOOGLETRANSLATE(B19952,""en"",""de"")"),"Männer gehen auf einer Straße.")</f>
        <v>Männer gehen auf einer Straße.</v>
      </c>
    </row>
    <row r="19953">
      <c r="A19953" s="4" t="s">
        <v>25110</v>
      </c>
      <c r="B19953" s="4" t="s">
        <v>25113</v>
      </c>
      <c r="C19953" s="5" t="str">
        <f>IFERROR(__xludf.DUMMYFUNCTION("GOOGLETRANSLATE(B19953,""en"",""de"")"),"Ein Mann in einem gelben Hemd fährt auf einem Boot.")</f>
        <v>Ein Mann in einem gelben Hemd fährt auf einem Boot.</v>
      </c>
    </row>
    <row r="19954">
      <c r="A19954" s="4" t="s">
        <v>25110</v>
      </c>
      <c r="B19954" s="4" t="s">
        <v>25114</v>
      </c>
      <c r="C19954" s="5" t="str">
        <f>IFERROR(__xludf.DUMMYFUNCTION("GOOGLETRANSLATE(B19954,""en"",""de"")"),"Leute, die die Männer im Boot beobachten, applaudieren.")</f>
        <v>Leute, die die Männer im Boot beobachten, applaudieren.</v>
      </c>
    </row>
    <row r="19955">
      <c r="A19955" s="4" t="s">
        <v>25115</v>
      </c>
      <c r="B19955" s="4" t="s">
        <v>25116</v>
      </c>
      <c r="C19955" s="5" t="str">
        <f>IFERROR(__xludf.DUMMYFUNCTION("GOOGLETRANSLATE(B19955,""en"",""de"")"),"Eine Frau sitzt, ein Mann steht und ein kleines Mädchen klettert auf Spielplatzausrüstung.")</f>
        <v>Eine Frau sitzt, ein Mann steht und ein kleines Mädchen klettert auf Spielplatzausrüstung.</v>
      </c>
    </row>
    <row r="19956">
      <c r="A19956" s="4" t="s">
        <v>25115</v>
      </c>
      <c r="B19956" s="4" t="s">
        <v>25117</v>
      </c>
      <c r="C19956" s="5" t="str">
        <f>IFERROR(__xludf.DUMMYFUNCTION("GOOGLETRANSLATE(B19956,""en"",""de"")"),"Sie fällt hin und hängt an den Affenbars, als sie vorgibt, den Mann zu treten.")</f>
        <v>Sie fällt hin und hängt an den Affenbars, als sie vorgibt, den Mann zu treten.</v>
      </c>
    </row>
    <row r="19957">
      <c r="A19957" s="4" t="s">
        <v>25115</v>
      </c>
      <c r="B19957" s="4" t="s">
        <v>25118</v>
      </c>
      <c r="C19957" s="5" t="str">
        <f>IFERROR(__xludf.DUMMYFUNCTION("GOOGLETRANSLATE(B19957,""en"",""de"")"),"Sie schwingt bis zum Ende und landet in den Armen eines anderen Mannes.")</f>
        <v>Sie schwingt bis zum Ende und landet in den Armen eines anderen Mannes.</v>
      </c>
    </row>
    <row r="19958">
      <c r="A19958" s="4" t="s">
        <v>25119</v>
      </c>
      <c r="B19958" s="4" t="s">
        <v>25120</v>
      </c>
      <c r="C19958" s="5" t="str">
        <f>IFERROR(__xludf.DUMMYFUNCTION("GOOGLETRANSLATE(B19958,""en"",""de"")"),"Drei Menschen stehen draußen unter einem sehr großen Pavillon und kurz das weiße Wort ""Maranhao"" befindet sich auf der rechten Seite des Bildschirms.")</f>
        <v>Drei Menschen stehen draußen unter einem sehr großen Pavillon und kurz das weiße Wort "Maranhao" befindet sich auf der rechten Seite des Bildschirms.</v>
      </c>
    </row>
    <row r="19959">
      <c r="A19959" s="4" t="s">
        <v>25119</v>
      </c>
      <c r="B19959" s="4" t="s">
        <v>25121</v>
      </c>
      <c r="C19959" s="5" t="str">
        <f>IFERROR(__xludf.DUMMYFUNCTION("GOOGLETRANSLATE(B19959,""en"",""de"")"),"Ein Mann mit einem Instrument geht auf die drei Menschen zu und er beginnt sein Instrument anzupassen.")</f>
        <v>Ein Mann mit einem Instrument geht auf die drei Menschen zu und er beginnt sein Instrument anzupassen.</v>
      </c>
    </row>
    <row r="19960">
      <c r="A19960" s="4" t="s">
        <v>25119</v>
      </c>
      <c r="B19960" s="4" t="s">
        <v>25122</v>
      </c>
      <c r="C19960" s="5" t="str">
        <f>IFERROR(__xludf.DUMMYFUNCTION("GOOGLETRANSLATE(B19960,""en"",""de"")"),"Zwei der Leute fangen an zu tanzen, die Frau sang singen, dann halten alle Leute Instrumente und lächeln, wenn sie anfangen, ihre Instrumente zu spielen, zu tanzen und zusammen zu singen.")</f>
        <v>Zwei der Leute fangen an zu tanzen, die Frau sang singen, dann halten alle Leute Instrumente und lächeln, wenn sie anfangen, ihre Instrumente zu spielen, zu tanzen und zusammen zu singen.</v>
      </c>
    </row>
    <row r="19961">
      <c r="A19961" s="4" t="s">
        <v>25123</v>
      </c>
      <c r="B19961" s="4" t="s">
        <v>25124</v>
      </c>
      <c r="C19961" s="5" t="str">
        <f>IFERROR(__xludf.DUMMYFUNCTION("GOOGLETRANSLATE(B19961,""en"",""de"")"),"Dieser Mann hebt zu Beginn des Videos ein sehr schweres Gewicht an.")</f>
        <v>Dieser Mann hebt zu Beginn des Videos ein sehr schweres Gewicht an.</v>
      </c>
    </row>
    <row r="19962">
      <c r="A19962" s="4" t="s">
        <v>25123</v>
      </c>
      <c r="B19962" s="4" t="s">
        <v>25125</v>
      </c>
      <c r="C19962" s="5" t="str">
        <f>IFERROR(__xludf.DUMMYFUNCTION("GOOGLETRANSLATE(B19962,""en"",""de"")"),"Dann macht ein anderer Mann das Gleiche und er hebt es erfolgreich.")</f>
        <v>Dann macht ein anderer Mann das Gleiche und er hebt es erfolgreich.</v>
      </c>
    </row>
    <row r="19963">
      <c r="A19963" s="4" t="s">
        <v>25123</v>
      </c>
      <c r="B19963" s="4" t="s">
        <v>25126</v>
      </c>
      <c r="C19963" s="5" t="str">
        <f>IFERROR(__xludf.DUMMYFUNCTION("GOOGLETRANSLATE(B19963,""en"",""de"")"),"Wenn er fertig ist, kommt jemand auf die Bühne und umarmt ihn.")</f>
        <v>Wenn er fertig ist, kommt jemand auf die Bühne und umarmt ihn.</v>
      </c>
    </row>
    <row r="19964">
      <c r="A19964" s="4" t="s">
        <v>25123</v>
      </c>
      <c r="B19964" s="4" t="s">
        <v>25127</v>
      </c>
      <c r="C19964" s="5" t="str">
        <f>IFERROR(__xludf.DUMMYFUNCTION("GOOGLETRANSLATE(B19964,""en"",""de"")"),"Er erhält dann eine Medaille.")</f>
        <v>Er erhält dann eine Medaille.</v>
      </c>
    </row>
    <row r="19965">
      <c r="A19965" s="4" t="s">
        <v>25128</v>
      </c>
      <c r="B19965" s="4" t="s">
        <v>25129</v>
      </c>
      <c r="C19965" s="5" t="str">
        <f>IFERROR(__xludf.DUMMYFUNCTION("GOOGLETRANSLATE(B19965,""en"",""de"")"),"Wir sehen ein Fitnessstudio mit Leuten, die zuschauen, wie Menschen Seil springen.")</f>
        <v>Wir sehen ein Fitnessstudio mit Leuten, die zuschauen, wie Menschen Seil springen.</v>
      </c>
    </row>
    <row r="19966">
      <c r="A19966" s="4" t="s">
        <v>25128</v>
      </c>
      <c r="B19966" s="4" t="s">
        <v>25130</v>
      </c>
      <c r="C19966" s="5" t="str">
        <f>IFERROR(__xludf.DUMMYFUNCTION("GOOGLETRANSLATE(B19966,""en"",""de"")"),"Wir sehen die Außenseite des Gebäudes und ein Mann wird mit Schüssen des Innenausschnitts interviewt.")</f>
        <v>Wir sehen die Außenseite des Gebäudes und ein Mann wird mit Schüssen des Innenausschnitts interviewt.</v>
      </c>
    </row>
    <row r="19967">
      <c r="A19967" s="4" t="s">
        <v>25128</v>
      </c>
      <c r="B19967" s="4" t="s">
        <v>25131</v>
      </c>
      <c r="C19967" s="5" t="str">
        <f>IFERROR(__xludf.DUMMYFUNCTION("GOOGLETRANSLATE(B19967,""en"",""de"")"),"Wir sehen, wie Mädchen auftreten, wie Damen Snacks servieren und eine andere Person auftreten.")</f>
        <v>Wir sehen, wie Mädchen auftreten, wie Damen Snacks servieren und eine andere Person auftreten.</v>
      </c>
    </row>
    <row r="19968">
      <c r="A19968" s="4" t="s">
        <v>25128</v>
      </c>
      <c r="B19968" s="4" t="s">
        <v>25132</v>
      </c>
      <c r="C19968" s="5" t="str">
        <f>IFERROR(__xludf.DUMMYFUNCTION("GOOGLETRANSLATE(B19968,""en"",""de"")"),"Wir sehen Mädchen außerhalb des Hauptraums und Szenen aus dem Fitnessstudio.")</f>
        <v>Wir sehen Mädchen außerhalb des Hauptraums und Szenen aus dem Fitnessstudio.</v>
      </c>
    </row>
    <row r="19969">
      <c r="A19969" s="4" t="s">
        <v>25128</v>
      </c>
      <c r="B19969" s="4" t="s">
        <v>25133</v>
      </c>
      <c r="C19969" s="5" t="str">
        <f>IFERROR(__xludf.DUMMYFUNCTION("GOOGLETRANSLATE(B19969,""en"",""de"")"),"Wir sehen Menschen auf Tribünen und Kindern, die springen.")</f>
        <v>Wir sehen Menschen auf Tribünen und Kindern, die springen.</v>
      </c>
    </row>
    <row r="19970">
      <c r="A19970" s="4" t="s">
        <v>25128</v>
      </c>
      <c r="B19970" s="4" t="s">
        <v>25134</v>
      </c>
      <c r="C19970" s="5" t="str">
        <f>IFERROR(__xludf.DUMMYFUNCTION("GOOGLETRANSLATE(B19970,""en"",""de"")"),"Wir sehen dann den blauen Endbildschirm.")</f>
        <v>Wir sehen dann den blauen Endbildschirm.</v>
      </c>
    </row>
    <row r="19971">
      <c r="A19971" s="4" t="s">
        <v>25135</v>
      </c>
      <c r="B19971" s="4" t="s">
        <v>25136</v>
      </c>
      <c r="C19971" s="5" t="str">
        <f>IFERROR(__xludf.DUMMYFUNCTION("GOOGLETRANSLATE(B19971,""en"",""de"")"),"Die Frau stellt sich zu Beginn des Videos vor und dann werden verschiedene Bilder gezeigt.")</f>
        <v>Die Frau stellt sich zu Beginn des Videos vor und dann werden verschiedene Bilder gezeigt.</v>
      </c>
    </row>
    <row r="19972">
      <c r="A19972" s="4" t="s">
        <v>25135</v>
      </c>
      <c r="B19972" s="4" t="s">
        <v>25137</v>
      </c>
      <c r="C19972" s="5" t="str">
        <f>IFERROR(__xludf.DUMMYFUNCTION("GOOGLETRANSLATE(B19972,""en"",""de"")"),"Sie spricht auch über den Spaß, den Sie in Chicago haben können, und ihre große Produktion, die schwarze Witwe zu sein.")</f>
        <v>Sie spricht auch über den Spaß, den Sie in Chicago haben können, und ihre große Produktion, die schwarze Witwe zu sein.</v>
      </c>
    </row>
    <row r="19973">
      <c r="A19973" s="4" t="s">
        <v>25138</v>
      </c>
      <c r="B19973" s="4" t="s">
        <v>25139</v>
      </c>
      <c r="C19973" s="5" t="str">
        <f>IFERROR(__xludf.DUMMYFUNCTION("GOOGLETRANSLATE(B19973,""en"",""de"")"),"Der Mann im dunkelblauen Hemd kniet mit einem Knie.")</f>
        <v>Der Mann im dunkelblauen Hemd kniet mit einem Knie.</v>
      </c>
    </row>
    <row r="19974">
      <c r="A19974" s="4" t="s">
        <v>25138</v>
      </c>
      <c r="B19974" s="4" t="s">
        <v>25140</v>
      </c>
      <c r="C19974" s="5" t="str">
        <f>IFERROR(__xludf.DUMMYFUNCTION("GOOGLETRANSLATE(B19974,""en"",""de"")"),"Der Mann dribiert den blauen Ball.")</f>
        <v>Der Mann dribiert den blauen Ball.</v>
      </c>
    </row>
    <row r="19975">
      <c r="A19975" s="4" t="s">
        <v>25138</v>
      </c>
      <c r="B19975" s="4" t="s">
        <v>25141</v>
      </c>
      <c r="C19975" s="5" t="str">
        <f>IFERROR(__xludf.DUMMYFUNCTION("GOOGLETRANSLATE(B19975,""en"",""de"")"),"Der Mann dribiert den Ball auf seine Seite.")</f>
        <v>Der Mann dribiert den Ball auf seine Seite.</v>
      </c>
    </row>
    <row r="19976">
      <c r="A19976" s="4" t="s">
        <v>25142</v>
      </c>
      <c r="B19976" s="4" t="s">
        <v>25143</v>
      </c>
      <c r="C19976" s="5" t="str">
        <f>IFERROR(__xludf.DUMMYFUNCTION("GOOGLETRANSLATE(B19976,""en"",""de"")"),"Zu Beginn der alten Dächer sowie neue Dächer und Menschen, die auf diesen Dächern arbeiten, sind mehrere Bilder gezeigt.")</f>
        <v>Zu Beginn der alten Dächer sowie neue Dächer und Menschen, die auf diesen Dächern arbeiten, sind mehrere Bilder gezeigt.</v>
      </c>
    </row>
    <row r="19977">
      <c r="A19977" s="4" t="s">
        <v>25142</v>
      </c>
      <c r="B19977" s="4" t="s">
        <v>25144</v>
      </c>
      <c r="C19977" s="5" t="str">
        <f>IFERROR(__xludf.DUMMYFUNCTION("GOOGLETRANSLATE(B19977,""en"",""de"")"),"Weitere Aufnahmen von Menschen, die die Dächer hinuntersprühen und von der Kamera wegblicken.")</f>
        <v>Weitere Aufnahmen von Menschen, die die Dächer hinuntersprühen und von der Kamera wegblicken.</v>
      </c>
    </row>
    <row r="19978">
      <c r="A19978" s="4" t="s">
        <v>25145</v>
      </c>
      <c r="B19978" s="4" t="s">
        <v>25146</v>
      </c>
      <c r="C19978" s="5" t="str">
        <f>IFERROR(__xludf.DUMMYFUNCTION("GOOGLETRANSLATE(B19978,""en"",""de"")"),"Ein Turner tritt an den Bars auf, während eine Menge zusieht.")</f>
        <v>Ein Turner tritt an den Bars auf, während eine Menge zusieht.</v>
      </c>
    </row>
    <row r="19979">
      <c r="A19979" s="4" t="s">
        <v>25145</v>
      </c>
      <c r="B19979" s="4" t="s">
        <v>25147</v>
      </c>
      <c r="C19979" s="5" t="str">
        <f>IFERROR(__xludf.DUMMYFUNCTION("GOOGLETRANSLATE(B19979,""en"",""de"")"),"Am Ende dreht sich der Turner um die Bars um und springt auf die Matratze.")</f>
        <v>Am Ende dreht sich der Turner um die Bars um und springt auf die Matratze.</v>
      </c>
    </row>
    <row r="19980">
      <c r="A19980" s="4" t="s">
        <v>25148</v>
      </c>
      <c r="B19980" s="4" t="s">
        <v>25149</v>
      </c>
      <c r="C19980" s="5" t="str">
        <f>IFERROR(__xludf.DUMMYFUNCTION("GOOGLETRANSLATE(B19980,""en"",""de"")"),"Eine Frau sitzt auf der Bühne, während sie in ein Mikrofon singt und Menschen, die hinter ihren Spielinstrumenten sitzen.")</f>
        <v>Eine Frau sitzt auf der Bühne, während sie in ein Mikrofon singt und Menschen, die hinter ihren Spielinstrumenten sitzen.</v>
      </c>
    </row>
    <row r="19981">
      <c r="A19981" s="4" t="s">
        <v>25148</v>
      </c>
      <c r="B19981" s="4" t="s">
        <v>25150</v>
      </c>
      <c r="C19981" s="5" t="str">
        <f>IFERROR(__xludf.DUMMYFUNCTION("GOOGLETRANSLATE(B19981,""en"",""de"")"),"Das Mädchen singt weiter mit der Band und endet mit dem Publikum.")</f>
        <v>Das Mädchen singt weiter mit der Band und endet mit dem Publikum.</v>
      </c>
    </row>
    <row r="19982">
      <c r="A19982" s="4" t="s">
        <v>25151</v>
      </c>
      <c r="B19982" s="4" t="s">
        <v>25152</v>
      </c>
      <c r="C19982" s="5" t="str">
        <f>IFERROR(__xludf.DUMMYFUNCTION("GOOGLETRANSLATE(B19982,""en"",""de"")"),"Eine Frau steht neben einem Pferd auf einem Feld.")</f>
        <v>Eine Frau steht neben einem Pferd auf einem Feld.</v>
      </c>
    </row>
    <row r="19983">
      <c r="A19983" s="4" t="s">
        <v>25151</v>
      </c>
      <c r="B19983" s="4" t="s">
        <v>25153</v>
      </c>
      <c r="C19983" s="5" t="str">
        <f>IFERROR(__xludf.DUMMYFUNCTION("GOOGLETRANSLATE(B19983,""en"",""de"")"),"""HJCTV präsentiert: Pflege Ihres Pferdes 101"" ist überlagert.")</f>
        <v>"HJCTV präsentiert: Pflege Ihres Pferdes 101" ist überlagert.</v>
      </c>
    </row>
    <row r="19984">
      <c r="A19984" s="4" t="s">
        <v>25151</v>
      </c>
      <c r="B19984" s="4" t="s">
        <v>25154</v>
      </c>
      <c r="C19984" s="5" t="str">
        <f>IFERROR(__xludf.DUMMYFUNCTION("GOOGLETRANSLATE(B19984,""en"",""de"")"),"Eine Frau steht in einem Stand mit einem Pferd mit einer Pflegepinsel, sie beginnt es zu bürsten.")</f>
        <v>Eine Frau steht in einem Stand mit einem Pferd mit einer Pflegepinsel, sie beginnt es zu bürsten.</v>
      </c>
    </row>
    <row r="19985">
      <c r="A19985" s="4" t="s">
        <v>25151</v>
      </c>
      <c r="B19985" s="4" t="s">
        <v>25155</v>
      </c>
      <c r="C19985" s="5" t="str">
        <f>IFERROR(__xludf.DUMMYFUNCTION("GOOGLETRANSLATE(B19985,""en"",""de"")"),"Zwei Mädchen stehen im Freien mit einem anderen Pferd und bürsten es.")</f>
        <v>Zwei Mädchen stehen im Freien mit einem anderen Pferd und bürsten es.</v>
      </c>
    </row>
    <row r="19986">
      <c r="A19986" s="4" t="s">
        <v>25151</v>
      </c>
      <c r="B19986" s="4" t="s">
        <v>25156</v>
      </c>
      <c r="C19986" s="5" t="str">
        <f>IFERROR(__xludf.DUMMYFUNCTION("GOOGLETRANSLATE(B19986,""en"",""de"")"),"Die erste Frau kehrt mit einer neuen Bürste zurück und ermöglicht es Kindern, das Pferd zu bürsten.")</f>
        <v>Die erste Frau kehrt mit einer neuen Bürste zurück und ermöglicht es Kindern, das Pferd zu bürsten.</v>
      </c>
    </row>
    <row r="19987">
      <c r="A19987" s="4" t="s">
        <v>25157</v>
      </c>
      <c r="B19987" s="4" t="s">
        <v>25158</v>
      </c>
      <c r="C19987" s="5" t="str">
        <f>IFERROR(__xludf.DUMMYFUNCTION("GOOGLETRANSLATE(B19987,""en"",""de"")"),"Eine Person hält einen Ring in einer kleinen Schachtel.")</f>
        <v>Eine Person hält einen Ring in einer kleinen Schachtel.</v>
      </c>
    </row>
    <row r="19988">
      <c r="A19988" s="4" t="s">
        <v>25157</v>
      </c>
      <c r="B19988" s="4" t="s">
        <v>25159</v>
      </c>
      <c r="C19988" s="5" t="str">
        <f>IFERROR(__xludf.DUMMYFUNCTION("GOOGLETRANSLATE(B19988,""en"",""de"")"),"Dann wickelt der Mann die Schachtel mit Geschenkpapier.")</f>
        <v>Dann wickelt der Mann die Schachtel mit Geschenkpapier.</v>
      </c>
    </row>
    <row r="19989">
      <c r="A19989" s="4" t="s">
        <v>25157</v>
      </c>
      <c r="B19989" s="4" t="s">
        <v>25160</v>
      </c>
      <c r="C19989" s="5" t="str">
        <f>IFERROR(__xludf.DUMMYFUNCTION("GOOGLETRANSLATE(B19989,""en"",""de"")"),"Danach versucht der Mann, das Ende einer Klebebandrolle zu finden, aber er kann es nicht finden.")</f>
        <v>Danach versucht der Mann, das Ende einer Klebebandrolle zu finden, aber er kann es nicht finden.</v>
      </c>
    </row>
    <row r="19990">
      <c r="A19990" s="4" t="s">
        <v>25157</v>
      </c>
      <c r="B19990" s="4" t="s">
        <v>25161</v>
      </c>
      <c r="C19990" s="5" t="str">
        <f>IFERROR(__xludf.DUMMYFUNCTION("GOOGLETRANSLATE(B19990,""en"",""de"")"),"Der Mann schneidet den Überschuss an Papier und setzt das Geschenk an.")</f>
        <v>Der Mann schneidet den Überschuss an Papier und setzt das Geschenk an.</v>
      </c>
    </row>
    <row r="19991">
      <c r="A19991" s="4" t="s">
        <v>25162</v>
      </c>
      <c r="B19991" s="4" t="s">
        <v>25163</v>
      </c>
      <c r="C19991" s="5" t="str">
        <f>IFERROR(__xludf.DUMMYFUNCTION("GOOGLETRANSLATE(B19991,""en"",""de"")"),"Vier Männer führen einen Wrestling -Stunt im Kostüm durch, während er auf einer erhöhten, beleuchteten Bühne vor einem sitzenden Publikum steht.")</f>
        <v>Vier Männer führen einen Wrestling -Stunt im Kostüm durch, während er auf einer erhöhten, beleuchteten Bühne vor einem sitzenden Publikum steht.</v>
      </c>
    </row>
    <row r="19992">
      <c r="A19992" s="4" t="s">
        <v>25162</v>
      </c>
      <c r="B19992" s="4" t="s">
        <v>25164</v>
      </c>
      <c r="C19992" s="5" t="str">
        <f>IFERROR(__xludf.DUMMYFUNCTION("GOOGLETRANSLATE(B19992,""en"",""de"")"),"Zwei Männer in Schwarz heben einen Mann in einem blauen, glänzenden Outfit auf den Schultern.")</f>
        <v>Zwei Männer in Schwarz heben einen Mann in einem blauen, glänzenden Outfit auf den Schultern.</v>
      </c>
    </row>
    <row r="19993">
      <c r="A19993" s="4" t="s">
        <v>25162</v>
      </c>
      <c r="B19993" s="4" t="s">
        <v>25165</v>
      </c>
      <c r="C19993" s="5" t="str">
        <f>IFERROR(__xludf.DUMMYFUNCTION("GOOGLETRANSLATE(B19993,""en"",""de"")"),"Die beiden Männer in Black platzieren den Mann in Blue's Beinen um den Hals eines anderen Mannes, des größten Mannes auf der Bühne, der auch schwarz gekleidet ist.")</f>
        <v>Die beiden Männer in Black platzieren den Mann in Blue's Beinen um den Hals eines anderen Mannes, des größten Mannes auf der Bühne, der auch schwarz gekleidet ist.</v>
      </c>
    </row>
    <row r="19994">
      <c r="A19994" s="4" t="s">
        <v>25162</v>
      </c>
      <c r="B19994" s="4" t="s">
        <v>25166</v>
      </c>
      <c r="C19994" s="5" t="str">
        <f>IFERROR(__xludf.DUMMYFUNCTION("GOOGLETRANSLATE(B19994,""en"",""de"")"),"Der große Mann in Schwarz nimmt dann den Mann in Blau und schlägt ihn von der Bühne auf einen Tisch neben der Bühne. An diesem Punkt landet der Mann mit einer Kraft, die den Tisch in zwei bricht, was den Mann zum Fallen in die Boden unter dem Tisch.")</f>
        <v>Der große Mann in Schwarz nimmt dann den Mann in Blau und schlägt ihn von der Bühne auf einen Tisch neben der Bühne. An diesem Punkt landet der Mann mit einer Kraft, die den Tisch in zwei bricht, was den Mann zum Fallen in die Boden unter dem Tisch.</v>
      </c>
    </row>
    <row r="19995">
      <c r="A19995" s="4" t="s">
        <v>25167</v>
      </c>
      <c r="B19995" s="4" t="s">
        <v>25168</v>
      </c>
      <c r="C19995" s="5" t="str">
        <f>IFERROR(__xludf.DUMMYFUNCTION("GOOGLETRANSLATE(B19995,""en"",""de"")"),"In einem Indoor -Stadion vor einer großen Anzahl von Zuschauern spielen zwei Teams Volleyball.")</f>
        <v>In einem Indoor -Stadion vor einer großen Anzahl von Zuschauern spielen zwei Teams Volleyball.</v>
      </c>
    </row>
    <row r="19996">
      <c r="A19996" s="4" t="s">
        <v>25167</v>
      </c>
      <c r="B19996" s="4" t="s">
        <v>25169</v>
      </c>
      <c r="C19996" s="5" t="str">
        <f>IFERROR(__xludf.DUMMYFUNCTION("GOOGLETRANSLATE(B19996,""en"",""de"")"),"Das grüne und gelbe Team spielt gegen die rote Mannschaft.")</f>
        <v>Das grüne und gelbe Team spielt gegen die rote Mannschaft.</v>
      </c>
    </row>
    <row r="19997">
      <c r="A19997" s="4" t="s">
        <v>25167</v>
      </c>
      <c r="B19997" s="4" t="s">
        <v>25170</v>
      </c>
      <c r="C19997" s="5" t="str">
        <f>IFERROR(__xludf.DUMMYFUNCTION("GOOGLETRANSLATE(B19997,""en"",""de"")"),"Die Spieler tauchen hoch, um den Ball über das Netz in ihre gegnerische Mannschaft zu werfen.")</f>
        <v>Die Spieler tauchen hoch, um den Ball über das Netz in ihre gegnerische Mannschaft zu werfen.</v>
      </c>
    </row>
    <row r="19998">
      <c r="A19998" s="4" t="s">
        <v>25167</v>
      </c>
      <c r="B19998" s="4" t="s">
        <v>25171</v>
      </c>
      <c r="C19998" s="5" t="str">
        <f>IFERROR(__xludf.DUMMYFUNCTION("GOOGLETRANSLATE(B19998,""en"",""de"")"),"Dann spielt das grüne und gelbe Team gegen das blaue Team.")</f>
        <v>Dann spielt das grüne und gelbe Team gegen das blaue Team.</v>
      </c>
    </row>
    <row r="19999">
      <c r="A19999" s="4" t="s">
        <v>25167</v>
      </c>
      <c r="B19999" s="4" t="s">
        <v>25172</v>
      </c>
      <c r="C19999" s="5" t="str">
        <f>IFERROR(__xludf.DUMMYFUNCTION("GOOGLETRANSLATE(B19999,""en"",""de"")"),"Das rote Team ist wieder mit dem grünen und gelben Team spielen.")</f>
        <v>Das rote Team ist wieder mit dem grünen und gelben Team spielen.</v>
      </c>
    </row>
    <row r="20000">
      <c r="A20000" s="4" t="s">
        <v>25167</v>
      </c>
      <c r="B20000" s="4" t="s">
        <v>25173</v>
      </c>
      <c r="C20000" s="5" t="str">
        <f>IFERROR(__xludf.DUMMYFUNCTION("GOOGLETRANSLATE(B20000,""en"",""de"")"),"Dann kehrt das blaue Team zurück, um gegen das grüne und gelbe Team zu spielen.")</f>
        <v>Dann kehrt das blaue Team zurück, um gegen das grüne und gelbe Team zu spielen.</v>
      </c>
    </row>
    <row r="20001">
      <c r="A20001" s="4" t="s">
        <v>25167</v>
      </c>
      <c r="B20001" s="4" t="s">
        <v>25174</v>
      </c>
      <c r="C20001" s="5" t="str">
        <f>IFERROR(__xludf.DUMMYFUNCTION("GOOGLETRANSLATE(B20001,""en"",""de"")"),"Das Volleyballspiel wird fortgesetzt, als das Rote Team und das Blue -Team abwechselnd mit ihren Gegnern spielen.")</f>
        <v>Das Volleyballspiel wird fortgesetzt, als das Rote Team und das Blue -Team abwechselnd mit ihren Gegnern spielen.</v>
      </c>
    </row>
    <row r="20002">
      <c r="A20002" s="4" t="s">
        <v>25175</v>
      </c>
      <c r="B20002" s="4" t="s">
        <v>25176</v>
      </c>
      <c r="C20002" s="5" t="str">
        <f>IFERROR(__xludf.DUMMYFUNCTION("GOOGLETRANSLATE(B20002,""en"",""de"")"),"Eine Kamera schwenkt rund um ein Übungsgerät, gefolgt von einer Frau, die darauf fährt.")</f>
        <v>Eine Kamera schwenkt rund um ein Übungsgerät, gefolgt von einer Frau, die darauf fährt.</v>
      </c>
    </row>
    <row r="20003">
      <c r="A20003" s="4" t="s">
        <v>25175</v>
      </c>
      <c r="B20003" s="4" t="s">
        <v>25177</v>
      </c>
      <c r="C20003" s="5" t="str">
        <f>IFERROR(__xludf.DUMMYFUNCTION("GOOGLETRANSLATE(B20003,""en"",""de"")"),"Eine Person wird gesehen, wie sie die Einstellungen des Fahrrads anpasst und herumfährt und Wasser trinkt.")</f>
        <v>Eine Person wird gesehen, wie sie die Einstellungen des Fahrrads anpasst und herumfährt und Wasser trinkt.</v>
      </c>
    </row>
    <row r="20004">
      <c r="A20004" s="4" t="s">
        <v>25175</v>
      </c>
      <c r="B20004" s="4" t="s">
        <v>25178</v>
      </c>
      <c r="C20004" s="5" t="str">
        <f>IFERROR(__xludf.DUMMYFUNCTION("GOOGLETRANSLATE(B20004,""en"",""de"")"),"Weitere Aufnahmen werden von der Frau gezeigt, die die Maschine anpasst, sie wegrollt und weiter fährt.")</f>
        <v>Weitere Aufnahmen werden von der Frau gezeigt, die die Maschine anpasst, sie wegrollt und weiter fährt.</v>
      </c>
    </row>
    <row r="20005">
      <c r="A20005" s="4" t="s">
        <v>25179</v>
      </c>
      <c r="B20005" s="4" t="s">
        <v>25180</v>
      </c>
      <c r="C20005" s="5" t="str">
        <f>IFERROR(__xludf.DUMMYFUNCTION("GOOGLETRANSLATE(B20005,""en"",""de"")"),"Eine kleine Gruppe von Menschen schwimmt durch einen Pool und führt in mehrere Clips von Leuten, die sowohl das Spiel spielen als auch feiern.")</f>
        <v>Eine kleine Gruppe von Menschen schwimmt durch einen Pool und führt in mehrere Clips von Leuten, die sowohl das Spiel spielen als auch feiern.</v>
      </c>
    </row>
    <row r="20006">
      <c r="A20006" s="4" t="s">
        <v>25179</v>
      </c>
      <c r="B20006" s="4" t="s">
        <v>25181</v>
      </c>
      <c r="C20006" s="5" t="str">
        <f>IFERROR(__xludf.DUMMYFUNCTION("GOOGLETRANSLATE(B20006,""en"",""de"")"),"Verschiedene Leute werden dann gesehen, wie sie mit der Kamera sprechen, gefolgt von weiteren Clips des Spiels, die gezeigt werden und Leute feiern.")</f>
        <v>Verschiedene Leute werden dann gesehen, wie sie mit der Kamera sprechen, gefolgt von weiteren Clips des Spiels, die gezeigt werden und Leute feiern.</v>
      </c>
    </row>
    <row r="20007">
      <c r="A20007" s="4" t="s">
        <v>25182</v>
      </c>
      <c r="B20007" s="4" t="s">
        <v>25183</v>
      </c>
      <c r="C20007" s="5" t="str">
        <f>IFERROR(__xludf.DUMMYFUNCTION("GOOGLETRANSLATE(B20007,""en"",""de"")"),"Ein afroamerikanischer männlicher Athlet läuft und bereitet sich auf das Rennen vor.")</f>
        <v>Ein afroamerikanischer männlicher Athlet läuft und bereitet sich auf das Rennen vor.</v>
      </c>
    </row>
    <row r="20008">
      <c r="A20008" s="4" t="s">
        <v>25182</v>
      </c>
      <c r="B20008" s="4" t="s">
        <v>25184</v>
      </c>
      <c r="C20008" s="5" t="str">
        <f>IFERROR(__xludf.DUMMYFUNCTION("GOOGLETRANSLATE(B20008,""en"",""de"")"),"Der Mann beginnt dann aus einem Winkel zur Matte zu rennen und macht einen Hochsprung, der die Stange räumt.")</f>
        <v>Der Mann beginnt dann aus einem Winkel zur Matte zu rennen und macht einen Hochsprung, der die Stange räumt.</v>
      </c>
    </row>
    <row r="20009">
      <c r="A20009" s="4" t="s">
        <v>25182</v>
      </c>
      <c r="B20009" s="4" t="s">
        <v>25185</v>
      </c>
      <c r="C20009" s="5" t="str">
        <f>IFERROR(__xludf.DUMMYFUNCTION("GOOGLETRANSLATE(B20009,""en"",""de"")"),"Eine Wiederholung wird gezeigt und die Menge beginnt ihn zu jubeln.")</f>
        <v>Eine Wiederholung wird gezeigt und die Menge beginnt ihn zu jubeln.</v>
      </c>
    </row>
    <row r="20010">
      <c r="A20010" s="4" t="s">
        <v>25186</v>
      </c>
      <c r="B20010" s="4" t="s">
        <v>25187</v>
      </c>
      <c r="C20010" s="5" t="str">
        <f>IFERROR(__xludf.DUMMYFUNCTION("GOOGLETRANSLATE(B20010,""en"",""de"")"),"Zwei Männer, eine Frau und ein Kleinkind gehen die Straße entlang, aber alle Erwachsenen haben Känguru -Schuhe.")</f>
        <v>Zwei Männer, eine Frau und ein Kleinkind gehen die Straße entlang, aber alle Erwachsenen haben Känguru -Schuhe.</v>
      </c>
    </row>
    <row r="20011">
      <c r="A20011" s="4" t="s">
        <v>25186</v>
      </c>
      <c r="B20011" s="4" t="s">
        <v>25188</v>
      </c>
      <c r="C20011" s="5" t="str">
        <f>IFERROR(__xludf.DUMMYFUNCTION("GOOGLETRANSLATE(B20011,""en"",""de"")"),"Die Leute gehen weiterhin vorbei und die beiden Männer beginnen extrem hoch zu springen, als die Dame mit dem Kind weggeht.")</f>
        <v>Die Leute gehen weiterhin vorbei und die beiden Männer beginnen extrem hoch zu springen, als die Dame mit dem Kind weggeht.</v>
      </c>
    </row>
    <row r="20012">
      <c r="A20012" s="4" t="s">
        <v>25186</v>
      </c>
      <c r="B20012" s="4" t="s">
        <v>25189</v>
      </c>
      <c r="C20012" s="5" t="str">
        <f>IFERROR(__xludf.DUMMYFUNCTION("GOOGLETRANSLATE(B20012,""en"",""de"")"),"Die vier Personen bewegen sich dann vor ein Gebäude und hoffen dann, dann schließlich zu einer Reihe von Schritten in einem Hofhof.")</f>
        <v>Die vier Personen bewegen sich dann vor ein Gebäude und hoffen dann, dann schließlich zu einer Reihe von Schritten in einem Hofhof.</v>
      </c>
    </row>
    <row r="20013">
      <c r="A20013" s="4" t="s">
        <v>25190</v>
      </c>
      <c r="B20013" s="4" t="s">
        <v>25191</v>
      </c>
      <c r="C20013" s="5" t="str">
        <f>IFERROR(__xludf.DUMMYFUNCTION("GOOGLETRANSLATE(B20013,""en"",""de"")"),"Ein Mann steht in einer Garage und spielt einen Set von Dudelsets.")</f>
        <v>Ein Mann steht in einer Garage und spielt einen Set von Dudelsets.</v>
      </c>
    </row>
    <row r="20014">
      <c r="A20014" s="4" t="s">
        <v>25190</v>
      </c>
      <c r="B20014" s="4" t="s">
        <v>25192</v>
      </c>
      <c r="C20014" s="5" t="str">
        <f>IFERROR(__xludf.DUMMYFUNCTION("GOOGLETRANSLATE(B20014,""en"",""de"")"),"Der Mann spielt weiterhin das Instrument, während er seine Hände herum bewegt und am Ende anhält, um die Kamera auszuschalten.")</f>
        <v>Der Mann spielt weiterhin das Instrument, während er seine Hände herum bewegt und am Ende anhält, um die Kamera auszuschalten.</v>
      </c>
    </row>
    <row r="20015">
      <c r="A20015" s="4" t="s">
        <v>25193</v>
      </c>
      <c r="B20015" s="4" t="s">
        <v>25194</v>
      </c>
      <c r="C20015" s="5" t="str">
        <f>IFERROR(__xludf.DUMMYFUNCTION("GOOGLETRANSLATE(B20015,""en"",""de"")"),"Mehrere Menschen sind in der Wüste draußen und halten einen Selfie -Stock, während sie auf Kamelen herumreisen.")</f>
        <v>Mehrere Menschen sind in der Wüste draußen und halten einen Selfie -Stock, während sie auf Kamelen herumreisen.</v>
      </c>
    </row>
    <row r="20016">
      <c r="A20016" s="4" t="s">
        <v>25193</v>
      </c>
      <c r="B20016" s="4" t="s">
        <v>25195</v>
      </c>
      <c r="C20016" s="5" t="str">
        <f>IFERROR(__xludf.DUMMYFUNCTION("GOOGLETRANSLATE(B20016,""en"",""de"")"),"Während sie weitermachen, kommen einige Leute vorbei und fangen an, die Menschen mit ihrer eigenen Kamera zu filmen.")</f>
        <v>Während sie weitermachen, kommen einige Leute vorbei und fangen an, die Menschen mit ihrer eigenen Kamera zu filmen.</v>
      </c>
    </row>
    <row r="20017">
      <c r="A20017" s="4" t="s">
        <v>25193</v>
      </c>
      <c r="B20017" s="4" t="s">
        <v>25196</v>
      </c>
      <c r="C20017" s="5" t="str">
        <f>IFERROR(__xludf.DUMMYFUNCTION("GOOGLETRANSLATE(B20017,""en"",""de"")"),"Jetzt stehen eine Reihe von Menschen im Sand und stehen nur um sie herum und beobachten sie, wie die Menschen auf dem Kamel anfangen, mit ihnen zurück zu sprechen.")</f>
        <v>Jetzt stehen eine Reihe von Menschen im Sand und stehen nur um sie herum und beobachten sie, wie die Menschen auf dem Kamel anfangen, mit ihnen zurück zu sprechen.</v>
      </c>
    </row>
    <row r="20018">
      <c r="A20018" s="4" t="s">
        <v>25197</v>
      </c>
      <c r="B20018" s="4" t="s">
        <v>25198</v>
      </c>
      <c r="C20018" s="5" t="str">
        <f>IFERROR(__xludf.DUMMYFUNCTION("GOOGLETRANSLATE(B20018,""en"",""de"")"),"Ein weißer Bildschirm erscheint und grüne Buchstaben erscheinen in der Mitte des Bildschirms und lesen ""Ehow"" und wechselt in einem blauen Bildschirm, der ein großes weißes Wort hat, das ""Gesundheit"" unter einem kleinen weißen Quadrat liest, das das g"&amp;"rüne Ehow enthält.")</f>
        <v>Ein weißer Bildschirm erscheint und grüne Buchstaben erscheinen in der Mitte des Bildschirms und lesen "Ehow" und wechselt in einem blauen Bildschirm, der ein großes weißes Wort hat, das "Gesundheit" unter einem kleinen weißen Quadrat liest, das das grüne Ehow enthält.</v>
      </c>
    </row>
    <row r="20019">
      <c r="A20019" s="4" t="s">
        <v>25197</v>
      </c>
      <c r="B20019" s="4" t="s">
        <v>25199</v>
      </c>
      <c r="C20019" s="5" t="str">
        <f>IFERROR(__xludf.DUMMYFUNCTION("GOOGLETRANSLATE(B20019,""en"",""de"")"),"Ein Mann, der sportliche Kleidung trägt, steht in einem Indoor -Fitnessstudio, das einige Kampfübungen durchführt, und wenn er anhält, um zu reden, sagt ein Banner am Boden links, dass sein Name Steve Hess ist und er ein Personal Trainer ist.")</f>
        <v>Ein Mann, der sportliche Kleidung trägt, steht in einem Indoor -Fitnessstudio, das einige Kampfübungen durchführt, und wenn er anhält, um zu reden, sagt ein Banner am Boden links, dass sein Name Steve Hess ist und er ein Personal Trainer ist.</v>
      </c>
    </row>
    <row r="20020">
      <c r="A20020" s="4" t="s">
        <v>25197</v>
      </c>
      <c r="B20020" s="4" t="s">
        <v>25200</v>
      </c>
      <c r="C20020" s="5" t="str">
        <f>IFERROR(__xludf.DUMMYFUNCTION("GOOGLETRANSLATE(B20020,""en"",""de"")"),"Während des Redens macht der Mann auch Arm- und Beinbewegungen und die Kamera wird herausgegriffen, um seinen ganzen Körper zu zeigen.")</f>
        <v>Während des Redens macht der Mann auch Arm- und Beinbewegungen und die Kamera wird herausgegriffen, um seinen ganzen Körper zu zeigen.</v>
      </c>
    </row>
    <row r="20021">
      <c r="A20021" s="4" t="s">
        <v>25197</v>
      </c>
      <c r="B20021" s="4" t="s">
        <v>25201</v>
      </c>
      <c r="C20021" s="5" t="str">
        <f>IFERROR(__xludf.DUMMYFUNCTION("GOOGLETRANSLATE(B20021,""en"",""de"")"),"Wenn der Mann von Anfang an der gleiche blaue Bildschirm erstellt wird und mit dem gleichen weißen Bildschirm mit dem grünen Ehow in der Mitte endet.")</f>
        <v>Wenn der Mann von Anfang an der gleiche blaue Bildschirm erstellt wird und mit dem gleichen weißen Bildschirm mit dem grünen Ehow in der Mitte endet.</v>
      </c>
    </row>
    <row r="20022">
      <c r="A20022" s="4" t="s">
        <v>25202</v>
      </c>
      <c r="B20022" s="4" t="s">
        <v>25203</v>
      </c>
      <c r="C20022" s="5" t="str">
        <f>IFERROR(__xludf.DUMMYFUNCTION("GOOGLETRANSLATE(B20022,""en"",""de"")"),"Eine Person steht auf einem Paar Skier, während andere sich um einen Bereich bewegen.")</f>
        <v>Eine Person steht auf einem Paar Skier, während andere sich um einen Bereich bewegen.</v>
      </c>
    </row>
    <row r="20023">
      <c r="A20023" s="4" t="s">
        <v>25202</v>
      </c>
      <c r="B20023" s="4" t="s">
        <v>25204</v>
      </c>
      <c r="C20023" s="5" t="str">
        <f>IFERROR(__xludf.DUMMYFUNCTION("GOOGLETRANSLATE(B20023,""en"",""de"")"),"Eine Person sitzt auf einer Röhre, während andere von hinten gehen.")</f>
        <v>Eine Person sitzt auf einer Röhre, während andere von hinten gehen.</v>
      </c>
    </row>
    <row r="20024">
      <c r="A20024" s="4" t="s">
        <v>25202</v>
      </c>
      <c r="B20024" s="4" t="s">
        <v>25205</v>
      </c>
      <c r="C20024" s="5" t="str">
        <f>IFERROR(__xludf.DUMMYFUNCTION("GOOGLETRANSLATE(B20024,""en"",""de"")"),"Eine Person tritt dann die Person in den Röhrchen den Hügel hinunter.")</f>
        <v>Eine Person tritt dann die Person in den Röhrchen den Hügel hinunter.</v>
      </c>
    </row>
    <row r="20025">
      <c r="A20025" s="4" t="s">
        <v>25206</v>
      </c>
      <c r="B20025" s="4" t="s">
        <v>25207</v>
      </c>
      <c r="C20025" s="5" t="str">
        <f>IFERROR(__xludf.DUMMYFUNCTION("GOOGLETRANSLATE(B20025,""en"",""de"")"),"Ein Mann tritt auf eine Reihe von ungleichmäßigen Bars auf, während ein Mann hinter ihm fließt und beginnt, eine Gymnastikroutine durchzuführen.")</f>
        <v>Ein Mann tritt auf eine Reihe von ungleichmäßigen Bars auf, während ein Mann hinter ihm fließt und beginnt, eine Gymnastikroutine durchzuführen.</v>
      </c>
    </row>
    <row r="20026">
      <c r="A20026" s="4" t="s">
        <v>25206</v>
      </c>
      <c r="B20026" s="4" t="s">
        <v>25208</v>
      </c>
      <c r="C20026" s="5" t="str">
        <f>IFERROR(__xludf.DUMMYFUNCTION("GOOGLETRANSLATE(B20026,""en"",""de"")"),"Der Mann dreht sich und dreht sich auf den Bars und endet, indem er runterspringt und mit den Händen winkte.")</f>
        <v>Der Mann dreht sich und dreht sich auf den Bars und endet, indem er runterspringt und mit den Händen winkte.</v>
      </c>
    </row>
    <row r="20027">
      <c r="A20027" s="4" t="s">
        <v>25209</v>
      </c>
      <c r="B20027" s="4" t="s">
        <v>25210</v>
      </c>
      <c r="C20027" s="5" t="str">
        <f>IFERROR(__xludf.DUMMYFUNCTION("GOOGLETRANSLATE(B20027,""en"",""de"")"),"Ein Mann trägt eine Schürze vor dem Waschbecken mit vielen Gerichten.")</f>
        <v>Ein Mann trägt eine Schürze vor dem Waschbecken mit vielen Gerichten.</v>
      </c>
    </row>
    <row r="20028">
      <c r="A20028" s="4" t="s">
        <v>25209</v>
      </c>
      <c r="B20028" s="4" t="s">
        <v>25211</v>
      </c>
      <c r="C20028" s="5" t="str">
        <f>IFERROR(__xludf.DUMMYFUNCTION("GOOGLETRANSLATE(B20028,""en"",""de"")"),"Der Mann beginnt, das Geschirr in einer schnellen Bewegung zu waschen und sie in einen Haufen zu werfen.")</f>
        <v>Der Mann beginnt, das Geschirr in einer schnellen Bewegung zu waschen und sie in einen Haufen zu werfen.</v>
      </c>
    </row>
    <row r="20029">
      <c r="A20029" s="4" t="s">
        <v>25209</v>
      </c>
      <c r="B20029" s="4" t="s">
        <v>25212</v>
      </c>
      <c r="C20029" s="5" t="str">
        <f>IFERROR(__xludf.DUMMYFUNCTION("GOOGLETRANSLATE(B20029,""en"",""de"")"),"Der Mann wäscht das Geschirr weiter, während er zur Kamera zurückblickt.")</f>
        <v>Der Mann wäscht das Geschirr weiter, während er zur Kamera zurückblickt.</v>
      </c>
    </row>
    <row r="20030">
      <c r="A20030" s="4" t="s">
        <v>25213</v>
      </c>
      <c r="B20030" s="4" t="s">
        <v>25214</v>
      </c>
      <c r="C20030" s="5" t="str">
        <f>IFERROR(__xludf.DUMMYFUNCTION("GOOGLETRANSLATE(B20030,""en"",""de"")"),"Ein Mann ist vor einem großen Gewicht zu beugen, während er in die Ferne schaut.")</f>
        <v>Ein Mann ist vor einem großen Gewicht zu beugen, während er in die Ferne schaut.</v>
      </c>
    </row>
    <row r="20031">
      <c r="A20031" s="4" t="s">
        <v>25213</v>
      </c>
      <c r="B20031" s="4" t="s">
        <v>25215</v>
      </c>
      <c r="C20031" s="5" t="str">
        <f>IFERROR(__xludf.DUMMYFUNCTION("GOOGLETRANSLATE(B20031,""en"",""de"")"),"Dann nimmt er das Gewicht über seinem Kopf.")</f>
        <v>Dann nimmt er das Gewicht über seinem Kopf.</v>
      </c>
    </row>
    <row r="20032">
      <c r="A20032" s="4" t="s">
        <v>25213</v>
      </c>
      <c r="B20032" s="4" t="s">
        <v>25216</v>
      </c>
      <c r="C20032" s="5" t="str">
        <f>IFERROR(__xludf.DUMMYFUNCTION("GOOGLETRANSLATE(B20032,""en"",""de"")"),"Schließlich wirft er das Gewicht auf den Boden.")</f>
        <v>Schließlich wirft er das Gewicht auf den Boden.</v>
      </c>
    </row>
    <row r="20033">
      <c r="A20033" s="4" t="s">
        <v>25217</v>
      </c>
      <c r="B20033" s="4" t="s">
        <v>25218</v>
      </c>
      <c r="C20033" s="5" t="str">
        <f>IFERROR(__xludf.DUMMYFUNCTION("GOOGLETRANSLATE(B20033,""en"",""de"")"),"Ein Baby sitzt in einer Schaukel und rockt sanft.")</f>
        <v>Ein Baby sitzt in einer Schaukel und rockt sanft.</v>
      </c>
    </row>
    <row r="20034">
      <c r="A20034" s="4" t="s">
        <v>25217</v>
      </c>
      <c r="B20034" s="4" t="s">
        <v>25219</v>
      </c>
      <c r="C20034" s="5" t="str">
        <f>IFERROR(__xludf.DUMMYFUNCTION("GOOGLETRANSLATE(B20034,""en"",""de"")"),"Ein kleines Mädchen wird gesehen, wie sie sich hin und her schwingt.")</f>
        <v>Ein kleines Mädchen wird gesehen, wie sie sich hin und her schwingt.</v>
      </c>
    </row>
    <row r="20035">
      <c r="A20035" s="4" t="s">
        <v>25217</v>
      </c>
      <c r="B20035" s="4" t="s">
        <v>25220</v>
      </c>
      <c r="C20035" s="5" t="str">
        <f>IFERROR(__xludf.DUMMYFUNCTION("GOOGLETRANSLATE(B20035,""en"",""de"")"),"Dann sehen sich ein Kleinkind und ein Baby an, während sie weiterhin leicht schwingen.")</f>
        <v>Dann sehen sich ein Kleinkind und ein Baby an, während sie weiterhin leicht schwingen.</v>
      </c>
    </row>
    <row r="20036">
      <c r="A20036" s="4" t="s">
        <v>25221</v>
      </c>
      <c r="B20036" s="4" t="s">
        <v>25222</v>
      </c>
      <c r="C20036" s="5" t="str">
        <f>IFERROR(__xludf.DUMMYFUNCTION("GOOGLETRANSLATE(B20036,""en"",""de"")"),"Eine Frau steht in einem Raum, umgeben von Yoga -Ausrüstung.")</f>
        <v>Eine Frau steht in einem Raum, umgeben von Yoga -Ausrüstung.</v>
      </c>
    </row>
    <row r="20037">
      <c r="A20037" s="4" t="s">
        <v>25221</v>
      </c>
      <c r="B20037" s="4" t="s">
        <v>25223</v>
      </c>
      <c r="C20037" s="5" t="str">
        <f>IFERROR(__xludf.DUMMYFUNCTION("GOOGLETRANSLATE(B20037,""en"",""de"")"),"Sie zeigt dann, wie man mit einem Stepper sucht, um zu trainieren und nebeneinander zu treten.")</f>
        <v>Sie zeigt dann, wie man mit einem Stepper sucht, um zu trainieren und nebeneinander zu treten.</v>
      </c>
    </row>
    <row r="20038">
      <c r="A20038" s="4" t="s">
        <v>25221</v>
      </c>
      <c r="B20038" s="4" t="s">
        <v>25224</v>
      </c>
      <c r="C20038" s="5" t="str">
        <f>IFERROR(__xludf.DUMMYFUNCTION("GOOGLETRANSLATE(B20038,""en"",""de"")"),"Sie spricht etwas länger über die Übung.")</f>
        <v>Sie spricht etwas länger über die Übung.</v>
      </c>
    </row>
    <row r="20039">
      <c r="A20039" s="4" t="s">
        <v>25225</v>
      </c>
      <c r="B20039" s="4" t="s">
        <v>25226</v>
      </c>
      <c r="C20039" s="5" t="str">
        <f>IFERROR(__xludf.DUMMYFUNCTION("GOOGLETRANSLATE(B20039,""en"",""de"")"),"Männer spielen Wallball in einem Raum gegeneinander.")</f>
        <v>Männer spielen Wallball in einem Raum gegeneinander.</v>
      </c>
    </row>
    <row r="20040">
      <c r="A20040" s="4" t="s">
        <v>25225</v>
      </c>
      <c r="B20040" s="4" t="s">
        <v>25227</v>
      </c>
      <c r="C20040" s="5" t="str">
        <f>IFERROR(__xludf.DUMMYFUNCTION("GOOGLETRANSLATE(B20040,""en"",""de"")"),"Ein Mann in einem roten Hemd und einer Brille redet.")</f>
        <v>Ein Mann in einem roten Hemd und einer Brille redet.</v>
      </c>
    </row>
    <row r="20041">
      <c r="A20041" s="4" t="s">
        <v>25225</v>
      </c>
      <c r="B20041" s="4" t="s">
        <v>25228</v>
      </c>
      <c r="C20041" s="5" t="str">
        <f>IFERROR(__xludf.DUMMYFUNCTION("GOOGLETRANSLATE(B20041,""en"",""de"")"),"Ein Mann in einem schwarzen Hemd spricht mit einem Mann in einem roten Hemd.")</f>
        <v>Ein Mann in einem schwarzen Hemd spricht mit einem Mann in einem roten Hemd.</v>
      </c>
    </row>
    <row r="20042">
      <c r="A20042" s="4" t="s">
        <v>25225</v>
      </c>
      <c r="B20042" s="4" t="s">
        <v>25229</v>
      </c>
      <c r="C20042" s="5" t="str">
        <f>IFERROR(__xludf.DUMMYFUNCTION("GOOGLETRANSLATE(B20042,""en"",""de"")"),"Auf dem Bildschirm werden Papiere angezeigt.")</f>
        <v>Auf dem Bildschirm werden Papiere angezeigt.</v>
      </c>
    </row>
    <row r="20043">
      <c r="A20043" s="4" t="s">
        <v>25225</v>
      </c>
      <c r="B20043" s="4" t="s">
        <v>25230</v>
      </c>
      <c r="C20043" s="5" t="str">
        <f>IFERROR(__xludf.DUMMYFUNCTION("GOOGLETRANSLATE(B20043,""en"",""de"")"),"Der Mann spricht weiterhin mit dem Mikrofon.")</f>
        <v>Der Mann spricht weiterhin mit dem Mikrofon.</v>
      </c>
    </row>
    <row r="20044">
      <c r="A20044" s="4" t="s">
        <v>25225</v>
      </c>
      <c r="B20044" s="4" t="s">
        <v>25231</v>
      </c>
      <c r="C20044" s="5" t="str">
        <f>IFERROR(__xludf.DUMMYFUNCTION("GOOGLETRANSLATE(B20044,""en"",""de"")"),"Ein Mann in einem schwarzen Hemd redet.")</f>
        <v>Ein Mann in einem schwarzen Hemd redet.</v>
      </c>
    </row>
    <row r="20045">
      <c r="A20045" s="4" t="s">
        <v>25225</v>
      </c>
      <c r="B20045" s="4" t="s">
        <v>25232</v>
      </c>
      <c r="C20045" s="5" t="str">
        <f>IFERROR(__xludf.DUMMYFUNCTION("GOOGLETRANSLATE(B20045,""en"",""de"")"),"Die Männer spielen mehr Wandball.")</f>
        <v>Die Männer spielen mehr Wandball.</v>
      </c>
    </row>
    <row r="20046">
      <c r="A20046" s="4" t="s">
        <v>25233</v>
      </c>
      <c r="B20046" s="4" t="s">
        <v>25234</v>
      </c>
      <c r="C20046" s="5" t="str">
        <f>IFERROR(__xludf.DUMMYFUNCTION("GOOGLETRANSLATE(B20046,""en"",""de"")"),"Die Leute spielen Instrumente auf der Bühne.")</f>
        <v>Die Leute spielen Instrumente auf der Bühne.</v>
      </c>
    </row>
    <row r="20047">
      <c r="A20047" s="4" t="s">
        <v>25233</v>
      </c>
      <c r="B20047" s="4" t="s">
        <v>25235</v>
      </c>
      <c r="C20047" s="5" t="str">
        <f>IFERROR(__xludf.DUMMYFUNCTION("GOOGLETRANSLATE(B20047,""en"",""de"")"),"Ein Mann in einem schwarzen Hemd spielt ein Drum -Set.")</f>
        <v>Ein Mann in einem schwarzen Hemd spielt ein Drum -Set.</v>
      </c>
    </row>
    <row r="20048">
      <c r="A20048" s="4" t="s">
        <v>25233</v>
      </c>
      <c r="B20048" s="4" t="s">
        <v>25236</v>
      </c>
      <c r="C20048" s="5" t="str">
        <f>IFERROR(__xludf.DUMMYFUNCTION("GOOGLETRANSLATE(B20048,""en"",""de"")"),"Ein Mann in einem grünen Hemd spielt eine Gitarre vor der Bühne.")</f>
        <v>Ein Mann in einem grünen Hemd spielt eine Gitarre vor der Bühne.</v>
      </c>
    </row>
    <row r="20049">
      <c r="A20049" s="4" t="s">
        <v>25237</v>
      </c>
      <c r="B20049" s="4" t="s">
        <v>25238</v>
      </c>
      <c r="C20049" s="5" t="str">
        <f>IFERROR(__xludf.DUMMYFUNCTION("GOOGLETRANSLATE(B20049,""en"",""de"")"),"Zwei Wissenschaftler wirft während des Redens Steine ​​ins Wasser.")</f>
        <v>Zwei Wissenschaftler wirft während des Redens Steine ​​ins Wasser.</v>
      </c>
    </row>
    <row r="20050">
      <c r="A20050" s="4" t="s">
        <v>25237</v>
      </c>
      <c r="B20050" s="4" t="s">
        <v>25239</v>
      </c>
      <c r="C20050" s="5" t="str">
        <f>IFERROR(__xludf.DUMMYFUNCTION("GOOGLETRANSLATE(B20050,""en"",""de"")"),"Wissenschaftler schreibt eine Formel in einen Vorstand, dann rennen die Wissenschaftler und springen ins Wasser.")</f>
        <v>Wissenschaftler schreibt eine Formel in einen Vorstand, dann rennen die Wissenschaftler und springen ins Wasser.</v>
      </c>
    </row>
    <row r="20051">
      <c r="A20051" s="4" t="s">
        <v>25237</v>
      </c>
      <c r="B20051" s="4" t="s">
        <v>25240</v>
      </c>
      <c r="C20051" s="5" t="str">
        <f>IFERROR(__xludf.DUMMYFUNCTION("GOOGLETRANSLATE(B20051,""en"",""de"")"),"Dann, Menschen mit Wasser Ski im Wasser, der an einem Boot gezogen wird.")</f>
        <v>Dann, Menschen mit Wasser Ski im Wasser, der an einem Boot gezogen wird.</v>
      </c>
    </row>
    <row r="20052">
      <c r="A20052" s="4" t="s">
        <v>25237</v>
      </c>
      <c r="B20052" s="4" t="s">
        <v>25241</v>
      </c>
      <c r="C20052" s="5" t="str">
        <f>IFERROR(__xludf.DUMMYFUNCTION("GOOGLETRANSLATE(B20052,""en"",""de"")"),"Eine Frau im Wasser Ski, während zwei Männer die Bewegungen des Mädchens erklären.")</f>
        <v>Eine Frau im Wasser Ski, während zwei Männer die Bewegungen des Mädchens erklären.</v>
      </c>
    </row>
    <row r="20053">
      <c r="A20053" s="4" t="s">
        <v>25237</v>
      </c>
      <c r="B20053" s="4" t="s">
        <v>25242</v>
      </c>
      <c r="C20053" s="5" t="str">
        <f>IFERROR(__xludf.DUMMYFUNCTION("GOOGLETRANSLATE(B20053,""en"",""de"")"),"Danach fällt ein Mann mit Wasserski, der ein Water Himmelseil mit einer Stange hält, während eine Person beobachtet, und fällt er ins Wasser.")</f>
        <v>Danach fällt ein Mann mit Wasserski, der ein Water Himmelseil mit einer Stange hält, während eine Person beobachtet, und fällt er ins Wasser.</v>
      </c>
    </row>
    <row r="20054">
      <c r="A20054" s="4" t="s">
        <v>25237</v>
      </c>
      <c r="B20054" s="4" t="s">
        <v>25243</v>
      </c>
      <c r="C20054" s="5" t="str">
        <f>IFERROR(__xludf.DUMMYFUNCTION("GOOGLETRANSLATE(B20054,""en"",""de"")"),"Danach ein Wasserski und fällt dann ins Wasser.")</f>
        <v>Danach ein Wasserski und fällt dann ins Wasser.</v>
      </c>
    </row>
    <row r="20055">
      <c r="A20055" s="4" t="s">
        <v>25244</v>
      </c>
      <c r="B20055" s="4" t="s">
        <v>25245</v>
      </c>
      <c r="C20055" s="5" t="str">
        <f>IFERROR(__xludf.DUMMYFUNCTION("GOOGLETRANSLATE(B20055,""en"",""de"")"),"Es wird gezeigt, dass ein Schwimmer seine Schutzbrille anzieht und seine Hände ausbreitet, bevor er in einen Pool eintaucht.")</f>
        <v>Es wird gezeigt, dass ein Schwimmer seine Schutzbrille anzieht und seine Hände ausbreitet, bevor er in einen Pool eintaucht.</v>
      </c>
    </row>
    <row r="20056">
      <c r="A20056" s="4" t="s">
        <v>25244</v>
      </c>
      <c r="B20056" s="4" t="s">
        <v>25246</v>
      </c>
      <c r="C20056" s="5" t="str">
        <f>IFERROR(__xludf.DUMMYFUNCTION("GOOGLETRANSLATE(B20056,""en"",""de"")"),"Eine Seitenansicht des Mannes wird gezeigt, wie er den Seitenschlag unter dem Wasser macht.")</f>
        <v>Eine Seitenansicht des Mannes wird gezeigt, wie er den Seitenschlag unter dem Wasser macht.</v>
      </c>
    </row>
    <row r="20057">
      <c r="A20057" s="4" t="s">
        <v>25244</v>
      </c>
      <c r="B20057" s="4" t="s">
        <v>25247</v>
      </c>
      <c r="C20057" s="5" t="str">
        <f>IFERROR(__xludf.DUMMYFUNCTION("GOOGLETRANSLATE(B20057,""en"",""de"")"),"Der Mann schwimmt weiter und mehrere Techniken von ihm werden hervorgehoben, wie die Art und Weise, wie seine Hand gefesselt ist, und die Position seiner Beine.")</f>
        <v>Der Mann schwimmt weiter und mehrere Techniken von ihm werden hervorgehoben, wie die Art und Weise, wie seine Hand gefesselt ist, und die Position seiner Beine.</v>
      </c>
    </row>
    <row r="20058">
      <c r="A20058" s="4" t="s">
        <v>25248</v>
      </c>
      <c r="B20058" s="4" t="s">
        <v>25249</v>
      </c>
      <c r="C20058" s="5" t="str">
        <f>IFERROR(__xludf.DUMMYFUNCTION("GOOGLETRANSLATE(B20058,""en"",""de"")"),"Die Credits der Clips werden angezeigt.")</f>
        <v>Die Credits der Clips werden angezeigt.</v>
      </c>
    </row>
    <row r="20059">
      <c r="A20059" s="4" t="s">
        <v>25248</v>
      </c>
      <c r="B20059" s="4" t="s">
        <v>25250</v>
      </c>
      <c r="C20059" s="5" t="str">
        <f>IFERROR(__xludf.DUMMYFUNCTION("GOOGLETRANSLATE(B20059,""en"",""de"")"),"Menschen in Schwarz spielen Dodge Ball auf einem Platz.")</f>
        <v>Menschen in Schwarz spielen Dodge Ball auf einem Platz.</v>
      </c>
    </row>
    <row r="20060">
      <c r="A20060" s="4" t="s">
        <v>25248</v>
      </c>
      <c r="B20060" s="4" t="s">
        <v>25251</v>
      </c>
      <c r="C20060" s="5" t="str">
        <f>IFERROR(__xludf.DUMMYFUNCTION("GOOGLETRANSLATE(B20060,""en"",""de"")"),"Ein Mann taucht auf den Boden, um zu verhindern, dass Ball ihn schlägt.")</f>
        <v>Ein Mann taucht auf den Boden, um zu verhindern, dass Ball ihn schlägt.</v>
      </c>
    </row>
    <row r="20061">
      <c r="A20061" s="4" t="s">
        <v>25252</v>
      </c>
      <c r="B20061" s="4" t="s">
        <v>25253</v>
      </c>
      <c r="C20061" s="5" t="str">
        <f>IFERROR(__xludf.DUMMYFUNCTION("GOOGLETRANSLATE(B20061,""en"",""de"")"),"Ein Mann liegt im Bett und schaut auf sein Handy.")</f>
        <v>Ein Mann liegt im Bett und schaut auf sein Handy.</v>
      </c>
    </row>
    <row r="20062">
      <c r="A20062" s="4" t="s">
        <v>25252</v>
      </c>
      <c r="B20062" s="4" t="s">
        <v>25254</v>
      </c>
      <c r="C20062" s="5" t="str">
        <f>IFERROR(__xludf.DUMMYFUNCTION("GOOGLETRANSLATE(B20062,""en"",""de"")"),"Er rennt in ein Zimmer und zieht sich an.")</f>
        <v>Er rennt in ein Zimmer und zieht sich an.</v>
      </c>
    </row>
    <row r="20063">
      <c r="A20063" s="4" t="s">
        <v>25252</v>
      </c>
      <c r="B20063" s="4" t="s">
        <v>25255</v>
      </c>
      <c r="C20063" s="5" t="str">
        <f>IFERROR(__xludf.DUMMYFUNCTION("GOOGLETRANSLATE(B20063,""en"",""de"")"),"Er setzt sich auf sein Bett und zieht Schuhe an.")</f>
        <v>Er setzt sich auf sein Bett und zieht Schuhe an.</v>
      </c>
    </row>
    <row r="20064">
      <c r="A20064" s="4" t="s">
        <v>25252</v>
      </c>
      <c r="B20064" s="4" t="s">
        <v>25256</v>
      </c>
      <c r="C20064" s="5" t="str">
        <f>IFERROR(__xludf.DUMMYFUNCTION("GOOGLETRANSLATE(B20064,""en"",""de"")"),"Er steht auf und rennt aus der Tür.")</f>
        <v>Er steht auf und rennt aus der Tür.</v>
      </c>
    </row>
    <row r="20065">
      <c r="A20065" s="4" t="s">
        <v>25257</v>
      </c>
      <c r="B20065" s="4" t="s">
        <v>25258</v>
      </c>
      <c r="C20065" s="5" t="str">
        <f>IFERROR(__xludf.DUMMYFUNCTION("GOOGLETRANSLATE(B20065,""en"",""de"")"),"Ein schwarzer Bildschirm erscheint mit weißen Wörtern mit der Aufschrift ""Wie man eine getötete Tür malt"".")</f>
        <v>Ein schwarzer Bildschirm erscheint mit weißen Wörtern mit der Aufschrift "Wie man eine getötete Tür malt".</v>
      </c>
    </row>
    <row r="20066">
      <c r="A20066" s="4" t="s">
        <v>25257</v>
      </c>
      <c r="B20066" s="4" t="s">
        <v>25259</v>
      </c>
      <c r="C20066" s="5" t="str">
        <f>IFERROR(__xludf.DUMMYFUNCTION("GOOGLETRANSLATE(B20066,""en"",""de"")"),"Ein Mann erscheint dann vor einer roten Tür, die sich an einer Wand lehnt, die Plastik hat, und er redet und berührt die Tür.")</f>
        <v>Ein Mann erscheint dann vor einer roten Tür, die sich an einer Wand lehnt, die Plastik hat, und er redet und berührt die Tür.</v>
      </c>
    </row>
    <row r="20067">
      <c r="A20067" s="4" t="s">
        <v>25257</v>
      </c>
      <c r="B20067" s="4" t="s">
        <v>25260</v>
      </c>
      <c r="C20067" s="5" t="str">
        <f>IFERROR(__xludf.DUMMYFUNCTION("GOOGLETRANSLATE(B20067,""en"",""de"")"),"Der Mann schnappt sich dann einen Pinsel und beginnt, an verschiedenen Teilen der Tür zu malen, während er weiter spricht.")</f>
        <v>Der Mann schnappt sich dann einen Pinsel und beginnt, an verschiedenen Teilen der Tür zu malen, während er weiter spricht.</v>
      </c>
    </row>
    <row r="20068">
      <c r="A20068" s="4" t="s">
        <v>25257</v>
      </c>
      <c r="B20068" s="4" t="s">
        <v>25261</v>
      </c>
      <c r="C20068" s="5" t="str">
        <f>IFERROR(__xludf.DUMMYFUNCTION("GOOGLETRANSLATE(B20068,""en"",""de"")"),"Der Mann hört auf zu malen und beginnt zu reden, als er auf ein paar Dinge an der Tür zeigt.")</f>
        <v>Der Mann hört auf zu malen und beginnt zu reden, als er auf ein paar Dinge an der Tür zeigt.</v>
      </c>
    </row>
    <row r="20069">
      <c r="A20069" s="4" t="s">
        <v>25257</v>
      </c>
      <c r="B20069" s="4" t="s">
        <v>25262</v>
      </c>
      <c r="C20069" s="5" t="str">
        <f>IFERROR(__xludf.DUMMYFUNCTION("GOOGLETRANSLATE(B20069,""en"",""de"")"),"Ein schwarzer Bildschirm erscheint mit weißen Wörtern, die eine Website enthalten, wenn jemand mehr Informationen wünscht.")</f>
        <v>Ein schwarzer Bildschirm erscheint mit weißen Wörtern, die eine Website enthalten, wenn jemand mehr Informationen wünscht.</v>
      </c>
    </row>
    <row r="20070">
      <c r="A20070" s="4" t="s">
        <v>25263</v>
      </c>
      <c r="B20070" s="4" t="s">
        <v>25264</v>
      </c>
      <c r="C20070" s="5" t="str">
        <f>IFERROR(__xludf.DUMMYFUNCTION("GOOGLETRANSLATE(B20070,""en"",""de"")"),"Eine Frau wischt sich von ihren Füßen ab und tritt in eine Kreisgrube.")</f>
        <v>Eine Frau wischt sich von ihren Füßen ab und tritt in eine Kreisgrube.</v>
      </c>
    </row>
    <row r="20071">
      <c r="A20071" s="4" t="s">
        <v>25263</v>
      </c>
      <c r="B20071" s="4" t="s">
        <v>25265</v>
      </c>
      <c r="C20071" s="5" t="str">
        <f>IFERROR(__xludf.DUMMYFUNCTION("GOOGLETRANSLATE(B20071,""en"",""de"")"),"Die Frau dreht sich dann herum und wirft eine Diskussion in die Luft, während die Kamera ihr folgt.")</f>
        <v>Die Frau dreht sich dann herum und wirft eine Diskussion in die Luft, während die Kamera ihr folgt.</v>
      </c>
    </row>
    <row r="20072">
      <c r="A20072" s="4" t="s">
        <v>25266</v>
      </c>
      <c r="B20072" s="4" t="s">
        <v>25267</v>
      </c>
      <c r="C20072" s="5" t="str">
        <f>IFERROR(__xludf.DUMMYFUNCTION("GOOGLETRANSLATE(B20072,""en"",""de"")"),"Ein professioneller Taucher namens Pandelela Rinong bereitet sich auf einen Wettbewerb vor.")</f>
        <v>Ein professioneller Taucher namens Pandelela Rinong bereitet sich auf einen Wettbewerb vor.</v>
      </c>
    </row>
    <row r="20073">
      <c r="A20073" s="4" t="s">
        <v>25266</v>
      </c>
      <c r="B20073" s="4" t="s">
        <v>25268</v>
      </c>
      <c r="C20073" s="5" t="str">
        <f>IFERROR(__xludf.DUMMYFUNCTION("GOOGLETRANSLATE(B20073,""en"",""de"")"),"Sie fährt auf das Tauchbrett und taucht aus mehreren Fuß rückwärts in den Pool.")</f>
        <v>Sie fährt auf das Tauchbrett und taucht aus mehreren Fuß rückwärts in den Pool.</v>
      </c>
    </row>
    <row r="20074">
      <c r="A20074" s="4" t="s">
        <v>25266</v>
      </c>
      <c r="B20074" s="4" t="s">
        <v>25269</v>
      </c>
      <c r="C20074" s="5" t="str">
        <f>IFERROR(__xludf.DUMMYFUNCTION("GOOGLETRANSLATE(B20074,""en"",""de"")"),"Sie verdreht ihren Körper, als sie in den Pool taucht.")</f>
        <v>Sie verdreht ihren Körper, als sie in den Pool taucht.</v>
      </c>
    </row>
    <row r="20075">
      <c r="A20075" s="4" t="s">
        <v>25266</v>
      </c>
      <c r="B20075" s="4" t="s">
        <v>25270</v>
      </c>
      <c r="C20075" s="5" t="str">
        <f>IFERROR(__xludf.DUMMYFUNCTION("GOOGLETRANSLATE(B20075,""en"",""de"")"),"Nachdem sie fertig ist, lächelt sie und geht aus dem Pool.")</f>
        <v>Nachdem sie fertig ist, lächelt sie und geht aus dem Pool.</v>
      </c>
    </row>
    <row r="20076">
      <c r="A20076" s="4" t="s">
        <v>25271</v>
      </c>
      <c r="B20076" s="4" t="s">
        <v>25272</v>
      </c>
      <c r="C20076" s="5" t="str">
        <f>IFERROR(__xludf.DUMMYFUNCTION("GOOGLETRANSLATE(B20076,""en"",""de"")"),"Mehrere Spieler zu Pferd spielen Cricket auf einem Feld.")</f>
        <v>Mehrere Spieler zu Pferd spielen Cricket auf einem Feld.</v>
      </c>
    </row>
    <row r="20077">
      <c r="A20077" s="4" t="s">
        <v>25271</v>
      </c>
      <c r="B20077" s="4" t="s">
        <v>25273</v>
      </c>
      <c r="C20077" s="5" t="str">
        <f>IFERROR(__xludf.DUMMYFUNCTION("GOOGLETRANSLATE(B20077,""en"",""de"")"),"Alle Spieler reiten ihre Pferde auf eine Seite des Feldes.")</f>
        <v>Alle Spieler reiten ihre Pferde auf eine Seite des Feldes.</v>
      </c>
    </row>
    <row r="20078">
      <c r="A20078" s="4" t="s">
        <v>25271</v>
      </c>
      <c r="B20078" s="4" t="s">
        <v>25274</v>
      </c>
      <c r="C20078" s="5" t="str">
        <f>IFERROR(__xludf.DUMMYFUNCTION("GOOGLETRANSLATE(B20078,""en"",""de"")"),"Die Fahrt herum und herum als der Versuch, den Cricketball zu treffen.")</f>
        <v>Die Fahrt herum und herum als der Versuch, den Cricketball zu treffen.</v>
      </c>
    </row>
    <row r="20079">
      <c r="A20079" s="4" t="s">
        <v>25271</v>
      </c>
      <c r="B20079" s="4" t="s">
        <v>25275</v>
      </c>
      <c r="C20079" s="5" t="str">
        <f>IFERROR(__xludf.DUMMYFUNCTION("GOOGLETRANSLATE(B20079,""en"",""de"")"),"Der Ball wird von allen Spielern in die Mitte des Feldes entfernt.")</f>
        <v>Der Ball wird von allen Spielern in die Mitte des Feldes entfernt.</v>
      </c>
    </row>
    <row r="20080">
      <c r="A20080" s="4" t="s">
        <v>25276</v>
      </c>
      <c r="B20080" s="4" t="s">
        <v>25277</v>
      </c>
      <c r="C20080" s="5" t="str">
        <f>IFERROR(__xludf.DUMMYFUNCTION("GOOGLETRANSLATE(B20080,""en"",""de"")"),"Wir sehen einen Mann in einem Auffahrt, der Schnee aus seinem Auto reinigt.")</f>
        <v>Wir sehen einen Mann in einem Auffahrt, der Schnee aus seinem Auto reinigt.</v>
      </c>
    </row>
    <row r="20081">
      <c r="A20081" s="4" t="s">
        <v>25276</v>
      </c>
      <c r="B20081" s="4" t="s">
        <v>25278</v>
      </c>
      <c r="C20081" s="5" t="str">
        <f>IFERROR(__xludf.DUMMYFUNCTION("GOOGLETRANSLATE(B20081,""en"",""de"")"),"Der Mann reinigt den Schnee unter seinen Scheibenwischern.")</f>
        <v>Der Mann reinigt den Schnee unter seinen Scheibenwischern.</v>
      </c>
    </row>
    <row r="20082">
      <c r="A20082" s="4" t="s">
        <v>25276</v>
      </c>
      <c r="B20082" s="4" t="s">
        <v>25279</v>
      </c>
      <c r="C20082" s="5" t="str">
        <f>IFERROR(__xludf.DUMMYFUNCTION("GOOGLETRANSLATE(B20082,""en"",""de"")"),"Wir sehen das Gebäude hinter dem Auto.")</f>
        <v>Wir sehen das Gebäude hinter dem Auto.</v>
      </c>
    </row>
    <row r="20083">
      <c r="A20083" s="4" t="s">
        <v>25276</v>
      </c>
      <c r="B20083" s="4" t="s">
        <v>25280</v>
      </c>
      <c r="C20083" s="5" t="str">
        <f>IFERROR(__xludf.DUMMYFUNCTION("GOOGLETRANSLATE(B20083,""en"",""de"")"),"Wir machen einen 360 -Spin, um den Parkplatz zu sehen.")</f>
        <v>Wir machen einen 360 -Spin, um den Parkplatz zu sehen.</v>
      </c>
    </row>
    <row r="20084">
      <c r="A20084" s="4" t="s">
        <v>25276</v>
      </c>
      <c r="B20084" s="4" t="s">
        <v>25281</v>
      </c>
      <c r="C20084" s="5" t="str">
        <f>IFERROR(__xludf.DUMMYFUNCTION("GOOGLETRANSLATE(B20084,""en"",""de"")"),"Der Mann öffnet die Türen an seinem Auto und steigt hinein.")</f>
        <v>Der Mann öffnet die Türen an seinem Auto und steigt hinein.</v>
      </c>
    </row>
    <row r="20085">
      <c r="A20085" s="4" t="s">
        <v>25276</v>
      </c>
      <c r="B20085" s="4" t="s">
        <v>25282</v>
      </c>
      <c r="C20085" s="5" t="str">
        <f>IFERROR(__xludf.DUMMYFUNCTION("GOOGLETRANSLATE(B20085,""en"",""de"")"),"Der Mann gibt sich zurück und steigt aus dem Auto.")</f>
        <v>Der Mann gibt sich zurück und steigt aus dem Auto.</v>
      </c>
    </row>
    <row r="20086">
      <c r="A20086" s="4" t="s">
        <v>25283</v>
      </c>
      <c r="B20086" s="4" t="s">
        <v>25284</v>
      </c>
      <c r="C20086" s="5" t="str">
        <f>IFERROR(__xludf.DUMMYFUNCTION("GOOGLETRANSLATE(B20086,""en"",""de"")"),"Eine Gruppe von Leuten, die vor einem sandigen Feld herumlief und vor einer großen Menge ein Fußballspiel spielte.")</f>
        <v>Eine Gruppe von Leuten, die vor einem sandigen Feld herumlief und vor einer großen Menge ein Fußballspiel spielte.</v>
      </c>
    </row>
    <row r="20087">
      <c r="A20087" s="4" t="s">
        <v>25283</v>
      </c>
      <c r="B20087" s="4" t="s">
        <v>25285</v>
      </c>
      <c r="C20087" s="5" t="str">
        <f>IFERROR(__xludf.DUMMYFUNCTION("GOOGLETRANSLATE(B20087,""en"",""de"")"),"Die Leute treten weiter den Ball herum, wobei auch mehrere weitere Bälle hineingeworfen werden.")</f>
        <v>Die Leute treten weiter den Ball herum, wobei auch mehrere weitere Bälle hineingeworfen werden.</v>
      </c>
    </row>
    <row r="20088">
      <c r="A20088" s="4" t="s">
        <v>25286</v>
      </c>
      <c r="B20088" s="4" t="s">
        <v>25287</v>
      </c>
      <c r="C20088" s="5" t="str">
        <f>IFERROR(__xludf.DUMMYFUNCTION("GOOGLETRANSLATE(B20088,""en"",""de"")"),"Zwei Menschen sitzen auf einer Skibank und führen in Menschen und führen zu Menschen, die einen Puck um eine Eisbahn schieben.")</f>
        <v>Zwei Menschen sitzen auf einer Skibank und führen in Menschen und führen zu Menschen, die einen Puck um eine Eisbahn schieben.</v>
      </c>
    </row>
    <row r="20089">
      <c r="A20089" s="4" t="s">
        <v>25286</v>
      </c>
      <c r="B20089" s="4" t="s">
        <v>25288</v>
      </c>
      <c r="C20089" s="5" t="str">
        <f>IFERROR(__xludf.DUMMYFUNCTION("GOOGLETRANSLATE(B20089,""en"",""de"")"),"Es werden mehrere Schüsse von den Spielern gezeigt, die um das Eis fahren und den Hockeysport spielen.")</f>
        <v>Es werden mehrere Schüsse von den Spielern gezeigt, die um das Eis fahren und den Hockeysport spielen.</v>
      </c>
    </row>
    <row r="20090">
      <c r="A20090" s="4" t="s">
        <v>25286</v>
      </c>
      <c r="B20090" s="4" t="s">
        <v>25289</v>
      </c>
      <c r="C20090" s="5" t="str">
        <f>IFERROR(__xludf.DUMMYFUNCTION("GOOGLETRANSLATE(B20090,""en"",""de"")"),"Am Ende knien sie alle nebeneinander und fuhren weg.")</f>
        <v>Am Ende knien sie alle nebeneinander und fuhren weg.</v>
      </c>
    </row>
    <row r="20091">
      <c r="A20091" s="4" t="s">
        <v>25290</v>
      </c>
      <c r="B20091" s="4" t="s">
        <v>25291</v>
      </c>
      <c r="C20091" s="5" t="str">
        <f>IFERROR(__xludf.DUMMYFUNCTION("GOOGLETRANSLATE(B20091,""en"",""de"")"),"Ein Mann wird in einer Kirche gezeigt.")</f>
        <v>Ein Mann wird in einer Kirche gezeigt.</v>
      </c>
    </row>
    <row r="20092">
      <c r="A20092" s="4" t="s">
        <v>25290</v>
      </c>
      <c r="B20092" s="4" t="s">
        <v>25292</v>
      </c>
      <c r="C20092" s="5" t="str">
        <f>IFERROR(__xludf.DUMMYFUNCTION("GOOGLETRANSLATE(B20092,""en"",""de"")"),"Er spielt einen Set Dudelset, während er einen Kilt trägt.")</f>
        <v>Er spielt einen Set Dudelset, während er einen Kilt trägt.</v>
      </c>
    </row>
    <row r="20093">
      <c r="A20093" s="4" t="s">
        <v>25290</v>
      </c>
      <c r="B20093" s="4" t="s">
        <v>25293</v>
      </c>
      <c r="C20093" s="5" t="str">
        <f>IFERROR(__xludf.DUMMYFUNCTION("GOOGLETRANSLATE(B20093,""en"",""de"")"),"Er spielt weiter und bewegt sich nicht.")</f>
        <v>Er spielt weiter und bewegt sich nicht.</v>
      </c>
    </row>
    <row r="20094">
      <c r="A20094" s="4" t="s">
        <v>25294</v>
      </c>
      <c r="B20094" s="4" t="s">
        <v>25295</v>
      </c>
      <c r="C20094" s="5" t="str">
        <f>IFERROR(__xludf.DUMMYFUNCTION("GOOGLETRANSLATE(B20094,""en"",""de"")"),"Eine Frau in schwarzem Oberteil und Shorts trägt Boxhandschuhe.")</f>
        <v>Eine Frau in schwarzem Oberteil und Shorts trägt Boxhandschuhe.</v>
      </c>
    </row>
    <row r="20095">
      <c r="A20095" s="4" t="s">
        <v>25294</v>
      </c>
      <c r="B20095" s="4" t="s">
        <v>25296</v>
      </c>
      <c r="C20095" s="5" t="str">
        <f>IFERROR(__xludf.DUMMYFUNCTION("GOOGLETRANSLATE(B20095,""en"",""de"")"),"Sie spart mit einem Mann in Schwarz.")</f>
        <v>Sie spart mit einem Mann in Schwarz.</v>
      </c>
    </row>
    <row r="20096">
      <c r="A20096" s="4" t="s">
        <v>25294</v>
      </c>
      <c r="B20096" s="4" t="s">
        <v>25297</v>
      </c>
      <c r="C20096" s="5" t="str">
        <f>IFERROR(__xludf.DUMMYFUNCTION("GOOGLETRANSLATE(B20096,""en"",""de"")"),"Sie tritt und schlägt ihn an.")</f>
        <v>Sie tritt und schlägt ihn an.</v>
      </c>
    </row>
    <row r="20097">
      <c r="A20097" s="4" t="s">
        <v>25294</v>
      </c>
      <c r="B20097" s="4" t="s">
        <v>25298</v>
      </c>
      <c r="C20097" s="5" t="str">
        <f>IFERROR(__xludf.DUMMYFUNCTION("GOOGLETRANSLATE(B20097,""en"",""de"")"),"Sie macht verschiedene Übungen.")</f>
        <v>Sie macht verschiedene Übungen.</v>
      </c>
    </row>
    <row r="20098">
      <c r="A20098" s="4" t="s">
        <v>25299</v>
      </c>
      <c r="B20098" s="4" t="s">
        <v>1251</v>
      </c>
      <c r="C20098" s="5" t="str">
        <f>IFERROR(__xludf.DUMMYFUNCTION("GOOGLETRANSLATE(B20098,""en"",""de"")"),"Die Credits des Clips werden angezeigt.")</f>
        <v>Die Credits des Clips werden angezeigt.</v>
      </c>
    </row>
    <row r="20099">
      <c r="A20099" s="4" t="s">
        <v>25299</v>
      </c>
      <c r="B20099" s="4" t="s">
        <v>25300</v>
      </c>
      <c r="C20099" s="5" t="str">
        <f>IFERROR(__xludf.DUMMYFUNCTION("GOOGLETRANSLATE(B20099,""en"",""de"")"),"Spieler spielen Krocket in einem Rasen.")</f>
        <v>Spieler spielen Krocket in einem Rasen.</v>
      </c>
    </row>
    <row r="20100">
      <c r="A20100" s="4" t="s">
        <v>25299</v>
      </c>
      <c r="B20100" s="4" t="s">
        <v>25301</v>
      </c>
      <c r="C20100" s="5" t="str">
        <f>IFERROR(__xludf.DUMMYFUNCTION("GOOGLETRANSLATE(B20100,""en"",""de"")"),"Ein Mann spielt eine Taschenrohr auf dem Krocketfeld.")</f>
        <v>Ein Mann spielt eine Taschenrohr auf dem Krocketfeld.</v>
      </c>
    </row>
    <row r="20101">
      <c r="A20101" s="4" t="s">
        <v>25299</v>
      </c>
      <c r="B20101" s="4" t="s">
        <v>25302</v>
      </c>
      <c r="C20101" s="5" t="str">
        <f>IFERROR(__xludf.DUMMYFUNCTION("GOOGLETRANSLATE(B20101,""en"",""de"")"),"Die Spieler geben die Hand, um Sportlichkeit zu demonstrieren.")</f>
        <v>Die Spieler geben die Hand, um Sportlichkeit zu demonstrieren.</v>
      </c>
    </row>
    <row r="20102">
      <c r="A20102" s="4" t="s">
        <v>25299</v>
      </c>
      <c r="B20102" s="4" t="s">
        <v>25303</v>
      </c>
      <c r="C20102" s="5" t="str">
        <f>IFERROR(__xludf.DUMMYFUNCTION("GOOGLETRANSLATE(B20102,""en"",""de"")"),"Spieler führen einen großen Scheck.")</f>
        <v>Spieler führen einen großen Scheck.</v>
      </c>
    </row>
    <row r="20103">
      <c r="A20103" s="4" t="s">
        <v>25299</v>
      </c>
      <c r="B20103" s="4" t="s">
        <v>25304</v>
      </c>
      <c r="C20103" s="5" t="str">
        <f>IFERROR(__xludf.DUMMYFUNCTION("GOOGLETRANSLATE(B20103,""en"",""de"")"),"Ein Mann tritt aus einer Linie heraus und lädt in der Kamera auf.")</f>
        <v>Ein Mann tritt aus einer Linie heraus und lädt in der Kamera auf.</v>
      </c>
    </row>
    <row r="20104">
      <c r="A20104" s="4" t="s">
        <v>25305</v>
      </c>
      <c r="B20104" s="4" t="s">
        <v>25306</v>
      </c>
      <c r="C20104" s="5" t="str">
        <f>IFERROR(__xludf.DUMMYFUNCTION("GOOGLETRANSLATE(B20104,""en"",""de"")"),"Ein Mann hält ein Saxophon, dann nimmt er den Hals heraus und bläst das Mundstück, während er redet.")</f>
        <v>Ein Mann hält ein Saxophon, dann nimmt er den Hals heraus und bläst das Mundstück, während er redet.</v>
      </c>
    </row>
    <row r="20105">
      <c r="A20105" s="4" t="s">
        <v>25305</v>
      </c>
      <c r="B20105" s="4" t="s">
        <v>25307</v>
      </c>
      <c r="C20105" s="5" t="str">
        <f>IFERROR(__xludf.DUMMYFUNCTION("GOOGLETRANSLATE(B20105,""en"",""de"")"),"Dann legt der Mann den Hals im Saxophon an und zeigt die Schlüssel, während sie redet.")</f>
        <v>Dann legt der Mann den Hals im Saxophon an und zeigt die Schlüssel, während sie redet.</v>
      </c>
    </row>
    <row r="20106">
      <c r="A20106" s="4" t="s">
        <v>25305</v>
      </c>
      <c r="B20106" s="4" t="s">
        <v>25308</v>
      </c>
      <c r="C20106" s="5" t="str">
        <f>IFERROR(__xludf.DUMMYFUNCTION("GOOGLETRANSLATE(B20106,""en"",""de"")"),"Dann spielt der Mann das Saxophon, während er erklärt.")</f>
        <v>Dann spielt der Mann das Saxophon, während er erklärt.</v>
      </c>
    </row>
    <row r="20107">
      <c r="A20107" s="4" t="s">
        <v>25309</v>
      </c>
      <c r="B20107" s="4" t="s">
        <v>25310</v>
      </c>
      <c r="C20107" s="5" t="str">
        <f>IFERROR(__xludf.DUMMYFUNCTION("GOOGLETRANSLATE(B20107,""en"",""de"")"),"Die Menschen sind in einem großen gelben Floß einen Wassersturz hinunter.")</f>
        <v>Die Menschen sind in einem großen gelben Floß einen Wassersturz hinunter.</v>
      </c>
    </row>
    <row r="20108">
      <c r="A20108" s="4" t="s">
        <v>25309</v>
      </c>
      <c r="B20108" s="4" t="s">
        <v>25311</v>
      </c>
      <c r="C20108" s="5" t="str">
        <f>IFERROR(__xludf.DUMMYFUNCTION("GOOGLETRANSLATE(B20108,""en"",""de"")"),"Ein Mann in einem Boot geht den Fluss hinunter.")</f>
        <v>Ein Mann in einem Boot geht den Fluss hinunter.</v>
      </c>
    </row>
    <row r="20109">
      <c r="A20109" s="4" t="s">
        <v>25309</v>
      </c>
      <c r="B20109" s="4" t="s">
        <v>25312</v>
      </c>
      <c r="C20109" s="5" t="str">
        <f>IFERROR(__xludf.DUMMYFUNCTION("GOOGLETRANSLATE(B20109,""en"",""de"")"),"Auf dem Bildschirm werden mehrere Bilder von Sparren angezeigt.")</f>
        <v>Auf dem Bildschirm werden mehrere Bilder von Sparren angezeigt.</v>
      </c>
    </row>
    <row r="20110">
      <c r="A20110" s="4" t="s">
        <v>25309</v>
      </c>
      <c r="B20110" s="4" t="s">
        <v>25313</v>
      </c>
      <c r="C20110" s="5" t="str">
        <f>IFERROR(__xludf.DUMMYFUNCTION("GOOGLETRANSLATE(B20110,""en"",""de"")"),"Sparren gehen einen rauen Hügel hinunter und schlagen die Felsen.")</f>
        <v>Sparren gehen einen rauen Hügel hinunter und schlagen die Felsen.</v>
      </c>
    </row>
    <row r="20111">
      <c r="A20111" s="4" t="s">
        <v>25314</v>
      </c>
      <c r="B20111" s="4" t="s">
        <v>25315</v>
      </c>
      <c r="C20111" s="5" t="str">
        <f>IFERROR(__xludf.DUMMYFUNCTION("GOOGLETRANSLATE(B20111,""en"",""de"")"),"Ein Schuh wird mit einer Zahnbürste durch eine Spüle gereinigt.")</f>
        <v>Ein Schuh wird mit einer Zahnbürste durch eine Spüle gereinigt.</v>
      </c>
    </row>
    <row r="20112">
      <c r="A20112" s="4" t="s">
        <v>25314</v>
      </c>
      <c r="B20112" s="4" t="s">
        <v>25316</v>
      </c>
      <c r="C20112" s="5" t="str">
        <f>IFERROR(__xludf.DUMMYFUNCTION("GOOGLETRANSLATE(B20112,""en"",""de"")"),"Die Theke wird mit einem Handtuch abgewischt.")</f>
        <v>Die Theke wird mit einem Handtuch abgewischt.</v>
      </c>
    </row>
    <row r="20113">
      <c r="A20113" s="4" t="s">
        <v>25314</v>
      </c>
      <c r="B20113" s="4" t="s">
        <v>25317</v>
      </c>
      <c r="C20113" s="5" t="str">
        <f>IFERROR(__xludf.DUMMYFUNCTION("GOOGLETRANSLATE(B20113,""en"",""de"")"),"Der Schuh wird mehr mit der Zahnbürste und einem Handtuch gereinigt.")</f>
        <v>Der Schuh wird mehr mit der Zahnbürste und einem Handtuch gereinigt.</v>
      </c>
    </row>
    <row r="20114">
      <c r="A20114" s="4" t="s">
        <v>25318</v>
      </c>
      <c r="B20114" s="4" t="s">
        <v>25319</v>
      </c>
      <c r="C20114" s="5" t="str">
        <f>IFERROR(__xludf.DUMMYFUNCTION("GOOGLETRANSLATE(B20114,""en"",""de"")"),"Wir sehen einen Mann und einen kleinen Jungen, der einen Bogen und einen Pfeil auf einem Feld hält.")</f>
        <v>Wir sehen einen Mann und einen kleinen Jungen, der einen Bogen und einen Pfeil auf einem Feld hält.</v>
      </c>
    </row>
    <row r="20115">
      <c r="A20115" s="4" t="s">
        <v>25318</v>
      </c>
      <c r="B20115" s="4" t="s">
        <v>25320</v>
      </c>
      <c r="C20115" s="5" t="str">
        <f>IFERROR(__xludf.DUMMYFUNCTION("GOOGLETRANSLATE(B20115,""en"",""de"")"),"Der Junge schießt den Pfeil und schießt mehr Pfeile.")</f>
        <v>Der Junge schießt den Pfeil und schießt mehr Pfeile.</v>
      </c>
    </row>
    <row r="20116">
      <c r="A20116" s="4" t="s">
        <v>25318</v>
      </c>
      <c r="B20116" s="4" t="s">
        <v>25321</v>
      </c>
      <c r="C20116" s="5" t="str">
        <f>IFERROR(__xludf.DUMMYFUNCTION("GOOGLETRANSLATE(B20116,""en"",""de"")"),"Wir sehen, wie der Mann drei Pfeile schießt und das Ziel sehen.")</f>
        <v>Wir sehen, wie der Mann drei Pfeile schießt und das Ziel sehen.</v>
      </c>
    </row>
    <row r="20117">
      <c r="A20117" s="4" t="s">
        <v>25318</v>
      </c>
      <c r="B20117" s="4" t="s">
        <v>25322</v>
      </c>
      <c r="C20117" s="5" t="str">
        <f>IFERROR(__xludf.DUMMYFUNCTION("GOOGLETRANSLATE(B20117,""en"",""de"")"),"Wir sehen den Jungen, als er versucht, Luftballons auf das Ziel zu schießen und sie alle zu vermissen.")</f>
        <v>Wir sehen den Jungen, als er versucht, Luftballons auf das Ziel zu schießen und sie alle zu vermissen.</v>
      </c>
    </row>
    <row r="20118">
      <c r="A20118" s="4" t="s">
        <v>25318</v>
      </c>
      <c r="B20118" s="4" t="s">
        <v>25323</v>
      </c>
      <c r="C20118" s="5" t="str">
        <f>IFERROR(__xludf.DUMMYFUNCTION("GOOGLETRANSLATE(B20118,""en"",""de"")"),"Der Junge geht weg und wir sehen, wie Lady zwei Pfeile schießt und sich umdreht und ihre Hand küsst.")</f>
        <v>Der Junge geht weg und wir sehen, wie Lady zwei Pfeile schießt und sich umdreht und ihre Hand küsst.</v>
      </c>
    </row>
    <row r="20119">
      <c r="A20119" s="4" t="s">
        <v>25324</v>
      </c>
      <c r="B20119" s="4" t="s">
        <v>25325</v>
      </c>
      <c r="C20119" s="5" t="str">
        <f>IFERROR(__xludf.DUMMYFUNCTION("GOOGLETRANSLATE(B20119,""en"",""de"")"),"Blaue Text spricht über die Beschreibung des Videos.")</f>
        <v>Blaue Text spricht über die Beschreibung des Videos.</v>
      </c>
    </row>
    <row r="20120">
      <c r="A20120" s="4" t="s">
        <v>25324</v>
      </c>
      <c r="B20120" s="4" t="s">
        <v>25326</v>
      </c>
      <c r="C20120" s="5" t="str">
        <f>IFERROR(__xludf.DUMMYFUNCTION("GOOGLETRANSLATE(B20120,""en"",""de"")"),"Einige Jungen werden nach dem anderen Backetball -Layups gezeigt.")</f>
        <v>Einige Jungen werden nach dem anderen Backetball -Layups gezeigt.</v>
      </c>
    </row>
    <row r="20121">
      <c r="A20121" s="4" t="s">
        <v>25324</v>
      </c>
      <c r="B20121" s="4" t="s">
        <v>25327</v>
      </c>
      <c r="C20121" s="5" t="str">
        <f>IFERROR(__xludf.DUMMYFUNCTION("GOOGLETRANSLATE(B20121,""en"",""de"")"),"Ein Junge führt kontinuierlich bis zum Ende auf.")</f>
        <v>Ein Junge führt kontinuierlich bis zum Ende auf.</v>
      </c>
    </row>
    <row r="20122">
      <c r="A20122" s="4" t="s">
        <v>25328</v>
      </c>
      <c r="B20122" s="4" t="s">
        <v>25329</v>
      </c>
      <c r="C20122" s="5" t="str">
        <f>IFERROR(__xludf.DUMMYFUNCTION("GOOGLETRANSLATE(B20122,""en"",""de"")"),"Ein Mann nimmt eine Axt auf.")</f>
        <v>Ein Mann nimmt eine Axt auf.</v>
      </c>
    </row>
    <row r="20123">
      <c r="A20123" s="4" t="s">
        <v>25328</v>
      </c>
      <c r="B20123" s="4" t="s">
        <v>25330</v>
      </c>
      <c r="C20123" s="5" t="str">
        <f>IFERROR(__xludf.DUMMYFUNCTION("GOOGLETRANSLATE(B20123,""en"",""de"")"),"Er schwingt es auf ein Stück Holz auf einem Stumpf.")</f>
        <v>Er schwingt es auf ein Stück Holz auf einem Stumpf.</v>
      </c>
    </row>
    <row r="20124">
      <c r="A20124" s="4" t="s">
        <v>25328</v>
      </c>
      <c r="B20124" s="4" t="s">
        <v>25331</v>
      </c>
      <c r="C20124" s="5" t="str">
        <f>IFERROR(__xludf.DUMMYFUNCTION("GOOGLETRANSLATE(B20124,""en"",""de"")"),"Er nimmt einen anderen auf und hackt es.")</f>
        <v>Er nimmt einen anderen auf und hackt es.</v>
      </c>
    </row>
    <row r="20125">
      <c r="A20125" s="4" t="s">
        <v>25332</v>
      </c>
      <c r="B20125" s="4" t="s">
        <v>25333</v>
      </c>
      <c r="C20125" s="5" t="str">
        <f>IFERROR(__xludf.DUMMYFUNCTION("GOOGLETRANSLATE(B20125,""en"",""de"")"),"Eine Person legt Zitronenscheiben über zwei Gläser Limonaden mit Eis.")</f>
        <v>Eine Person legt Zitronenscheiben über zwei Gläser Limonaden mit Eis.</v>
      </c>
    </row>
    <row r="20126">
      <c r="A20126" s="4" t="s">
        <v>25332</v>
      </c>
      <c r="B20126" s="4" t="s">
        <v>25334</v>
      </c>
      <c r="C20126" s="5" t="str">
        <f>IFERROR(__xludf.DUMMYFUNCTION("GOOGLETRANSLATE(B20126,""en"",""de"")"),"Dann gießt die Person Wasser und fügt Zucker in einen Topf hinzu, um Sirup zu machen.")</f>
        <v>Dann gießt die Person Wasser und fügt Zucker in einen Topf hinzu, um Sirup zu machen.</v>
      </c>
    </row>
    <row r="20127">
      <c r="A20127" s="4" t="s">
        <v>25332</v>
      </c>
      <c r="B20127" s="4" t="s">
        <v>25335</v>
      </c>
      <c r="C20127" s="5" t="str">
        <f>IFERROR(__xludf.DUMMYFUNCTION("GOOGLETRANSLATE(B20127,""en"",""de"")"),"Die Person drückt hart eine Zitrone und schneidet dann die Lemmons und drückt sie mit einem elektrischen Zitrussaft.")</f>
        <v>Die Person drückt hart eine Zitrone und schneidet dann die Lemmons und drückt sie mit einem elektrischen Zitrussaft.</v>
      </c>
    </row>
    <row r="20128">
      <c r="A20128" s="4" t="s">
        <v>25332</v>
      </c>
      <c r="B20128" s="4" t="s">
        <v>25336</v>
      </c>
      <c r="C20128" s="5" t="str">
        <f>IFERROR(__xludf.DUMMYFUNCTION("GOOGLETRANSLATE(B20128,""en"",""de"")"),"Als nächstes gießt die Person ein Glas Wasser in ein Glas und fügt dann den Sirup, den Zitronensaft, den Zitronenscheiben und das Eis hinzu.")</f>
        <v>Als nächstes gießt die Person ein Glas Wasser in ein Glas und fügt dann den Sirup, den Zitronensaft, den Zitronenscheiben und das Eis hinzu.</v>
      </c>
    </row>
    <row r="20129">
      <c r="A20129" s="4" t="s">
        <v>25332</v>
      </c>
      <c r="B20129" s="4" t="s">
        <v>25337</v>
      </c>
      <c r="C20129" s="5" t="str">
        <f>IFERROR(__xludf.DUMMYFUNCTION("GOOGLETRANSLATE(B20129,""en"",""de"")"),"Dann dient die Person der Limonade.")</f>
        <v>Dann dient die Person der Limonade.</v>
      </c>
    </row>
    <row r="20130">
      <c r="A20130" s="4" t="s">
        <v>25338</v>
      </c>
      <c r="B20130" s="4" t="s">
        <v>25339</v>
      </c>
      <c r="C20130" s="5" t="str">
        <f>IFERROR(__xludf.DUMMYFUNCTION("GOOGLETRANSLATE(B20130,""en"",""de"")"),"Ein Turner steht vor einer großen Menge in einer Arena und legt seine Hände hoch.")</f>
        <v>Ein Turner steht vor einer großen Menge in einer Arena und legt seine Hände hoch.</v>
      </c>
    </row>
    <row r="20131">
      <c r="A20131" s="4" t="s">
        <v>25338</v>
      </c>
      <c r="B20131" s="4" t="s">
        <v>25340</v>
      </c>
      <c r="C20131" s="5" t="str">
        <f>IFERROR(__xludf.DUMMYFUNCTION("GOOGLETRANSLATE(B20131,""en"",""de"")"),"Er beginnt seine Routine, die viele Flips und Rotationen beinhaltet.")</f>
        <v>Er beginnt seine Routine, die viele Flips und Rotationen beinhaltet.</v>
      </c>
    </row>
    <row r="20132">
      <c r="A20132" s="4" t="s">
        <v>25338</v>
      </c>
      <c r="B20132" s="4" t="s">
        <v>25341</v>
      </c>
      <c r="C20132" s="5" t="str">
        <f>IFERROR(__xludf.DUMMYFUNCTION("GOOGLETRANSLATE(B20132,""en"",""de"")"),"Die Menge sitzt leise, während er dies tut.")</f>
        <v>Die Menge sitzt leise, während er dies tut.</v>
      </c>
    </row>
    <row r="20133">
      <c r="A20133" s="4" t="s">
        <v>25338</v>
      </c>
      <c r="B20133" s="4" t="s">
        <v>25342</v>
      </c>
      <c r="C20133" s="5" t="str">
        <f>IFERROR(__xludf.DUMMYFUNCTION("GOOGLETRANSLATE(B20133,""en"",""de"")"),"Er macht einen Handstand und eine Reihe von weiteren Rotationen und Flips vor dem Absetzen.")</f>
        <v>Er macht einen Handstand und eine Reihe von weiteren Rotationen und Flips vor dem Absetzen.</v>
      </c>
    </row>
    <row r="20134">
      <c r="A20134" s="4" t="s">
        <v>25338</v>
      </c>
      <c r="B20134" s="4" t="s">
        <v>25343</v>
      </c>
      <c r="C20134" s="5" t="str">
        <f>IFERROR(__xludf.DUMMYFUNCTION("GOOGLETRANSLATE(B20134,""en"",""de"")"),"Er klatscht, als die Menge ihn anfeuert, nachdem seine Routine vorbei ist.")</f>
        <v>Er klatscht, als die Menge ihn anfeuert, nachdem seine Routine vorbei ist.</v>
      </c>
    </row>
    <row r="20135">
      <c r="A20135" s="4" t="s">
        <v>25344</v>
      </c>
      <c r="B20135" s="4" t="s">
        <v>25345</v>
      </c>
      <c r="C20135" s="5" t="str">
        <f>IFERROR(__xludf.DUMMYFUNCTION("GOOGLETRANSLATE(B20135,""en"",""de"")"),"Eine Person taucht von einem Brett in einen Pool ein.")</f>
        <v>Eine Person taucht von einem Brett in einen Pool ein.</v>
      </c>
    </row>
    <row r="20136">
      <c r="A20136" s="4" t="s">
        <v>25344</v>
      </c>
      <c r="B20136" s="4" t="s">
        <v>25346</v>
      </c>
      <c r="C20136" s="5" t="str">
        <f>IFERROR(__xludf.DUMMYFUNCTION("GOOGLETRANSLATE(B20136,""en"",""de"")"),"Sie kommen unter dem Wasser aus.")</f>
        <v>Sie kommen unter dem Wasser aus.</v>
      </c>
    </row>
    <row r="20137">
      <c r="A20137" s="4" t="s">
        <v>25347</v>
      </c>
      <c r="B20137" s="4" t="s">
        <v>25348</v>
      </c>
      <c r="C20137" s="5" t="str">
        <f>IFERROR(__xludf.DUMMYFUNCTION("GOOGLETRANSLATE(B20137,""en"",""de"")"),"Der Mensch steht auf der Straße und hält ein Brett und Skateboard durch die Straße.")</f>
        <v>Der Mensch steht auf der Straße und hält ein Brett und Skateboard durch die Straße.</v>
      </c>
    </row>
    <row r="20138">
      <c r="A20138" s="4" t="s">
        <v>25347</v>
      </c>
      <c r="B20138" s="4" t="s">
        <v>25349</v>
      </c>
      <c r="C20138" s="5" t="str">
        <f>IFERROR(__xludf.DUMMYFUNCTION("GOOGLETRANSLATE(B20138,""en"",""de"")"),"Der Mensch geht in einem Hof ​​und spricht mit einem Mikrofon.")</f>
        <v>Der Mensch geht in einem Hof ​​und spricht mit einem Mikrofon.</v>
      </c>
    </row>
    <row r="20139">
      <c r="A20139" s="4" t="s">
        <v>25350</v>
      </c>
      <c r="B20139" s="4" t="s">
        <v>25351</v>
      </c>
      <c r="C20139" s="5" t="str">
        <f>IFERROR(__xludf.DUMMYFUNCTION("GOOGLETRANSLATE(B20139,""en"",""de"")"),"Ein Mann trägt draußen ein Superman -Hemd.")</f>
        <v>Ein Mann trägt draußen ein Superman -Hemd.</v>
      </c>
    </row>
    <row r="20140">
      <c r="A20140" s="4" t="s">
        <v>25350</v>
      </c>
      <c r="B20140" s="4" t="s">
        <v>25352</v>
      </c>
      <c r="C20140" s="5" t="str">
        <f>IFERROR(__xludf.DUMMYFUNCTION("GOOGLETRANSLATE(B20140,""en"",""de"")"),"Er dreht sich in Kreise und schaut sich um.")</f>
        <v>Er dreht sich in Kreise und schaut sich um.</v>
      </c>
    </row>
    <row r="20141">
      <c r="A20141" s="4" t="s">
        <v>25350</v>
      </c>
      <c r="B20141" s="4" t="s">
        <v>25353</v>
      </c>
      <c r="C20141" s="5" t="str">
        <f>IFERROR(__xludf.DUMMYFUNCTION("GOOGLETRANSLATE(B20141,""en"",""de"")"),"Er findet ein gebrochenes Fahrrad und repariert es, während ein wütender Mann ihn anschreit.")</f>
        <v>Er findet ein gebrochenes Fahrrad und repariert es, während ein wütender Mann ihn anschreit.</v>
      </c>
    </row>
    <row r="20142">
      <c r="A20142" s="4" t="s">
        <v>25354</v>
      </c>
      <c r="B20142" s="4" t="s">
        <v>25355</v>
      </c>
      <c r="C20142" s="5" t="str">
        <f>IFERROR(__xludf.DUMMYFUNCTION("GOOGLETRANSLATE(B20142,""en"",""de"")"),"Es wird gezeigt, dass ein Mann eine Wand schleift und ein großes Stück Wasserpapier über die Wand auslegt.")</f>
        <v>Es wird gezeigt, dass ein Mann eine Wand schleift und ein großes Stück Wasserpapier über die Wand auslegt.</v>
      </c>
    </row>
    <row r="20143">
      <c r="A20143" s="4" t="s">
        <v>25354</v>
      </c>
      <c r="B20143" s="4" t="s">
        <v>25356</v>
      </c>
      <c r="C20143" s="5" t="str">
        <f>IFERROR(__xludf.DUMMYFUNCTION("GOOGLETRANSLATE(B20143,""en"",""de"")"),"Er schiebt das Papier weiter in die Wand und schleift es von hinten.")</f>
        <v>Er schiebt das Papier weiter in die Wand und schleift es von hinten.</v>
      </c>
    </row>
    <row r="20144">
      <c r="A20144" s="4" t="s">
        <v>25357</v>
      </c>
      <c r="B20144" s="4" t="s">
        <v>25358</v>
      </c>
      <c r="C20144" s="5" t="str">
        <f>IFERROR(__xludf.DUMMYFUNCTION("GOOGLETRANSLATE(B20144,""en"",""de"")"),"Ein Mann drückt einen Tisch in den Sand.")</f>
        <v>Ein Mann drückt einen Tisch in den Sand.</v>
      </c>
    </row>
    <row r="20145">
      <c r="A20145" s="4" t="s">
        <v>25357</v>
      </c>
      <c r="B20145" s="4" t="s">
        <v>25359</v>
      </c>
      <c r="C20145" s="5" t="str">
        <f>IFERROR(__xludf.DUMMYFUNCTION("GOOGLETRANSLATE(B20145,""en"",""de"")"),"Dann wird ihm gezeigt, wie er auf dem Tischboden im Ozean surft und über eine Welle gleitet.")</f>
        <v>Dann wird ihm gezeigt, wie er auf dem Tischboden im Ozean surft und über eine Welle gleitet.</v>
      </c>
    </row>
    <row r="20146">
      <c r="A20146" s="4" t="s">
        <v>25357</v>
      </c>
      <c r="B20146" s="4" t="s">
        <v>25360</v>
      </c>
      <c r="C20146" s="5" t="str">
        <f>IFERROR(__xludf.DUMMYFUNCTION("GOOGLETRANSLATE(B20146,""en"",""de"")"),"Ein weiterer Winkel wird mit dem Surfer mühelos gezeigt, der eine Welle auf eine Tabelle fährt.")</f>
        <v>Ein weiterer Winkel wird mit dem Surfer mühelos gezeigt, der eine Welle auf eine Tabelle fährt.</v>
      </c>
    </row>
    <row r="20147">
      <c r="A20147" s="4" t="s">
        <v>25357</v>
      </c>
      <c r="B20147" s="4" t="s">
        <v>25361</v>
      </c>
      <c r="C20147" s="5" t="str">
        <f>IFERROR(__xludf.DUMMYFUNCTION("GOOGLETRANSLATE(B20147,""en"",""de"")"),"Er stürzt zusammen mit der Welle ab.")</f>
        <v>Er stürzt zusammen mit der Welle ab.</v>
      </c>
    </row>
    <row r="20148">
      <c r="A20148" s="4" t="s">
        <v>25362</v>
      </c>
      <c r="B20148" s="4" t="s">
        <v>25363</v>
      </c>
      <c r="C20148" s="5" t="str">
        <f>IFERROR(__xludf.DUMMYFUNCTION("GOOGLETRANSLATE(B20148,""en"",""de"")"),"Ein Mann, der Kopfhörer trägt, ist in einem Studio und spricht in ein Mikrofon.")</f>
        <v>Ein Mann, der Kopfhörer trägt, ist in einem Studio und spricht in ein Mikrofon.</v>
      </c>
    </row>
    <row r="20149">
      <c r="A20149" s="4" t="s">
        <v>25362</v>
      </c>
      <c r="B20149" s="4" t="s">
        <v>25364</v>
      </c>
      <c r="C20149" s="5" t="str">
        <f>IFERROR(__xludf.DUMMYFUNCTION("GOOGLETRANSLATE(B20149,""en"",""de"")"),"Andere Männer werden gezeigt, von denen eines eine Mundharmonika spielen beginnt.")</f>
        <v>Andere Männer werden gezeigt, von denen eines eine Mundharmonika spielen beginnt.</v>
      </c>
    </row>
    <row r="20150">
      <c r="A20150" s="4" t="s">
        <v>25362</v>
      </c>
      <c r="B20150" s="4" t="s">
        <v>25365</v>
      </c>
      <c r="C20150" s="5" t="str">
        <f>IFERROR(__xludf.DUMMYFUNCTION("GOOGLETRANSLATE(B20150,""en"",""de"")"),"Er hört auf zu spielen und sagt etwas, das den DJ zum Lachen bringt.")</f>
        <v>Er hört auf zu spielen und sagt etwas, das den DJ zum Lachen bringt.</v>
      </c>
    </row>
    <row r="20151">
      <c r="A20151" s="4" t="s">
        <v>25366</v>
      </c>
      <c r="B20151" s="4" t="s">
        <v>25367</v>
      </c>
      <c r="C20151" s="5" t="str">
        <f>IFERROR(__xludf.DUMMYFUNCTION("GOOGLETRANSLATE(B20151,""en"",""de"")"),"Eine Maschine zieht ein Gesicht auf einen Kürbis.")</f>
        <v>Eine Maschine zieht ein Gesicht auf einen Kürbis.</v>
      </c>
    </row>
    <row r="20152">
      <c r="A20152" s="4" t="s">
        <v>25366</v>
      </c>
      <c r="B20152" s="4" t="s">
        <v>25368</v>
      </c>
      <c r="C20152" s="5" t="str">
        <f>IFERROR(__xludf.DUMMYFUNCTION("GOOGLETRANSLATE(B20152,""en"",""de"")"),"Die Lichter schalten sich aus und es zeigt den geschnitzten Kürbis eingeschaltet.")</f>
        <v>Die Lichter schalten sich aus und es zeigt den geschnitzten Kürbis eingeschaltet.</v>
      </c>
    </row>
    <row r="20153">
      <c r="A20153" s="4" t="s">
        <v>25366</v>
      </c>
      <c r="B20153" s="4" t="s">
        <v>25369</v>
      </c>
      <c r="C20153" s="5" t="str">
        <f>IFERROR(__xludf.DUMMYFUNCTION("GOOGLETRANSLATE(B20153,""en"",""de"")"),"Es zeigt den Kürbis im Licht.")</f>
        <v>Es zeigt den Kürbis im Licht.</v>
      </c>
    </row>
    <row r="20154">
      <c r="A20154" s="4" t="s">
        <v>25370</v>
      </c>
      <c r="B20154" s="4" t="s">
        <v>25371</v>
      </c>
      <c r="C20154" s="5" t="str">
        <f>IFERROR(__xludf.DUMMYFUNCTION("GOOGLETRANSLATE(B20154,""en"",""de"")"),"Ein großer Semi -LKW fährt im Regen.")</f>
        <v>Ein großer Semi -LKW fährt im Regen.</v>
      </c>
    </row>
    <row r="20155">
      <c r="A20155" s="4" t="s">
        <v>25370</v>
      </c>
      <c r="B20155" s="4" t="s">
        <v>25372</v>
      </c>
      <c r="C20155" s="5" t="str">
        <f>IFERROR(__xludf.DUMMYFUNCTION("GOOGLETRANSLATE(B20155,""en"",""de"")"),"Dann sehen wir Jungen, die Skateboards vor einem Haus reiten.")</f>
        <v>Dann sehen wir Jungen, die Skateboards vor einem Haus reiten.</v>
      </c>
    </row>
    <row r="20156">
      <c r="A20156" s="4" t="s">
        <v>25370</v>
      </c>
      <c r="B20156" s="4" t="s">
        <v>25373</v>
      </c>
      <c r="C20156" s="5" t="str">
        <f>IFERROR(__xludf.DUMMYFUNCTION("GOOGLETRANSLATE(B20156,""en"",""de"")"),"Sie führen mehrere Stunts auf einem Brett in der Einfahrt durch.")</f>
        <v>Sie führen mehrere Stunts auf einem Brett in der Einfahrt durch.</v>
      </c>
    </row>
    <row r="20157">
      <c r="A20157" s="4" t="s">
        <v>25374</v>
      </c>
      <c r="B20157" s="4" t="s">
        <v>25375</v>
      </c>
      <c r="C20157" s="5" t="str">
        <f>IFERROR(__xludf.DUMMYFUNCTION("GOOGLETRANSLATE(B20157,""en"",""de"")"),"Ein Stangenvaul läuft auf und startet sich über die Bar.")</f>
        <v>Ein Stangenvaul läuft auf und startet sich über die Bar.</v>
      </c>
    </row>
    <row r="20158">
      <c r="A20158" s="4" t="s">
        <v>25374</v>
      </c>
      <c r="B20158" s="4" t="s">
        <v>25376</v>
      </c>
      <c r="C20158" s="5" t="str">
        <f>IFERROR(__xludf.DUMMYFUNCTION("GOOGLETRANSLATE(B20158,""en"",""de"")"),"Der Vaulter stellt seine Herausforderung in die Kamera ein, die in 20 Minuten über zehnmal hintereinander hergestellt werden soll.")</f>
        <v>Der Vaulter stellt seine Herausforderung in die Kamera ein, die in 20 Minuten über zehnmal hintereinander hergestellt werden soll.</v>
      </c>
    </row>
    <row r="20159">
      <c r="A20159" s="4" t="s">
        <v>25374</v>
      </c>
      <c r="B20159" s="4" t="s">
        <v>25377</v>
      </c>
      <c r="C20159" s="5" t="str">
        <f>IFERROR(__xludf.DUMMYFUNCTION("GOOGLETRANSLATE(B20159,""en"",""de"")"),"Er startet sich über zehn Mal erfolgreich und wird leicht unter das 20 -minütige Grenzen.")</f>
        <v>Er startet sich über zehn Mal erfolgreich und wird leicht unter das 20 -minütige Grenzen.</v>
      </c>
    </row>
    <row r="20160">
      <c r="A20160" s="4" t="s">
        <v>25378</v>
      </c>
      <c r="B20160" s="4" t="s">
        <v>25379</v>
      </c>
      <c r="C20160" s="5" t="str">
        <f>IFERROR(__xludf.DUMMYFUNCTION("GOOGLETRANSLATE(B20160,""en"",""de"")"),"Wir sehen einen Mann und eine Frau, die eine wettbewerbsfähige Rockpapierschere spielt, die mit Szenen der Menge geschnitten wird.")</f>
        <v>Wir sehen einen Mann und eine Frau, die eine wettbewerbsfähige Rockpapierschere spielt, die mit Szenen der Menge geschnitten wird.</v>
      </c>
    </row>
    <row r="20161">
      <c r="A20161" s="4" t="s">
        <v>25378</v>
      </c>
      <c r="B20161" s="4" t="s">
        <v>25380</v>
      </c>
      <c r="C20161" s="5" t="str">
        <f>IFERROR(__xludf.DUMMYFUNCTION("GOOGLETRANSLATE(B20161,""en"",""de"")"),"Wir sehen einen Mann mit einem Schnurrbart klatschen.")</f>
        <v>Wir sehen einen Mann mit einem Schnurrbart klatschen.</v>
      </c>
    </row>
    <row r="20162">
      <c r="A20162" s="4" t="s">
        <v>25378</v>
      </c>
      <c r="B20162" s="4" t="s">
        <v>25381</v>
      </c>
      <c r="C20162" s="5" t="str">
        <f>IFERROR(__xludf.DUMMYFUNCTION("GOOGLETRANSLATE(B20162,""en"",""de"")"),"Die Dame gewinnt und der Mann im Anzug hebt ihre Hand.")</f>
        <v>Die Dame gewinnt und der Mann im Anzug hebt ihre Hand.</v>
      </c>
    </row>
    <row r="20163">
      <c r="A20163" s="4" t="s">
        <v>25378</v>
      </c>
      <c r="B20163" s="4" t="s">
        <v>25382</v>
      </c>
      <c r="C20163" s="5" t="str">
        <f>IFERROR(__xludf.DUMMYFUNCTION("GOOGLETRANSLATE(B20163,""en"",""de"")"),"Der Mann und die Frau schütteln sich gegenseitig die Hände.")</f>
        <v>Der Mann und die Frau schütteln sich gegenseitig die Hände.</v>
      </c>
    </row>
    <row r="20164">
      <c r="A20164" s="4" t="s">
        <v>25378</v>
      </c>
      <c r="B20164" s="4" t="s">
        <v>25383</v>
      </c>
      <c r="C20164" s="5" t="str">
        <f>IFERROR(__xludf.DUMMYFUNCTION("GOOGLETRANSLATE(B20164,""en"",""de"")"),"Der Mann im Spiel schüttelt den Kopf, als er sich umdreht.")</f>
        <v>Der Mann im Spiel schüttelt den Kopf, als er sich umdreht.</v>
      </c>
    </row>
    <row r="20165">
      <c r="A20165" s="4" t="s">
        <v>25384</v>
      </c>
      <c r="B20165" s="4" t="s">
        <v>25385</v>
      </c>
      <c r="C20165" s="5" t="str">
        <f>IFERROR(__xludf.DUMMYFUNCTION("GOOGLETRANSLATE(B20165,""en"",""de"")"),"Eine Frau betritt einen Garten und dreht ihr Haar nach vorne.")</f>
        <v>Eine Frau betritt einen Garten und dreht ihr Haar nach vorne.</v>
      </c>
    </row>
    <row r="20166">
      <c r="A20166" s="4" t="s">
        <v>25384</v>
      </c>
      <c r="B20166" s="4" t="s">
        <v>25386</v>
      </c>
      <c r="C20166" s="5" t="str">
        <f>IFERROR(__xludf.DUMMYFUNCTION("GOOGLETRANSLATE(B20166,""en"",""de"")"),"Sie streift ihre Haare lange Zeit, glättet und wirft sie.")</f>
        <v>Sie streift ihre Haare lange Zeit, glättet und wirft sie.</v>
      </c>
    </row>
    <row r="20167">
      <c r="A20167" s="4" t="s">
        <v>25384</v>
      </c>
      <c r="B20167" s="4" t="s">
        <v>25387</v>
      </c>
      <c r="C20167" s="5" t="str">
        <f>IFERROR(__xludf.DUMMYFUNCTION("GOOGLETRANSLATE(B20167,""en"",""de"")"),"Sie geht dann von der Kamera weg und stinkt weiter.")</f>
        <v>Sie geht dann von der Kamera weg und stinkt weiter.</v>
      </c>
    </row>
    <row r="20168">
      <c r="A20168" s="4" t="s">
        <v>25384</v>
      </c>
      <c r="B20168" s="4" t="s">
        <v>25388</v>
      </c>
      <c r="C20168" s="5" t="str">
        <f>IFERROR(__xludf.DUMMYFUNCTION("GOOGLETRANSLATE(B20168,""en"",""de"")"),"Sie steht aufrecht und beugt sich dann, um etwas mehr zu bestreichen.")</f>
        <v>Sie steht aufrecht und beugt sich dann, um etwas mehr zu bestreichen.</v>
      </c>
    </row>
    <row r="20169">
      <c r="A20169" s="4" t="s">
        <v>25389</v>
      </c>
      <c r="B20169" s="4" t="s">
        <v>25390</v>
      </c>
      <c r="C20169" s="5" t="str">
        <f>IFERROR(__xludf.DUMMYFUNCTION("GOOGLETRANSLATE(B20169,""en"",""de"")"),"Ein gelber Rahmen mit Mädchen, die Lacross spielen, eröffnet das Video.")</f>
        <v>Ein gelber Rahmen mit Mädchen, die Lacross spielen, eröffnet das Video.</v>
      </c>
    </row>
    <row r="20170">
      <c r="A20170" s="4" t="s">
        <v>25389</v>
      </c>
      <c r="B20170" s="4" t="s">
        <v>25391</v>
      </c>
      <c r="C20170" s="5" t="str">
        <f>IFERROR(__xludf.DUMMYFUNCTION("GOOGLETRANSLATE(B20170,""en"",""de"")"),"Ein Spiel von Mädchen Lacross wird weitergegangen, da verschiedene Folien gezeigt werden.")</f>
        <v>Ein Spiel von Mädchen Lacross wird weitergegangen, da verschiedene Folien gezeigt werden.</v>
      </c>
    </row>
    <row r="20171">
      <c r="A20171" s="4" t="s">
        <v>25389</v>
      </c>
      <c r="B20171" s="4" t="s">
        <v>25392</v>
      </c>
      <c r="C20171" s="5" t="str">
        <f>IFERROR(__xludf.DUMMYFUNCTION("GOOGLETRANSLATE(B20171,""en"",""de"")"),"Das Spiel endet mit einem Elfmeterschuss.")</f>
        <v>Das Spiel endet mit einem Elfmeterschuss.</v>
      </c>
    </row>
    <row r="20172">
      <c r="A20172" s="4" t="s">
        <v>25393</v>
      </c>
      <c r="B20172" s="4" t="s">
        <v>25394</v>
      </c>
      <c r="C20172" s="5" t="str">
        <f>IFERROR(__xludf.DUMMYFUNCTION("GOOGLETRANSLATE(B20172,""en"",""de"")"),"Eine Person in einem schwarzen Mantel schaufelt Show aus einer Einfahrt.")</f>
        <v>Eine Person in einem schwarzen Mantel schaufelt Show aus einer Einfahrt.</v>
      </c>
    </row>
    <row r="20173">
      <c r="A20173" s="4" t="s">
        <v>25393</v>
      </c>
      <c r="B20173" s="4" t="s">
        <v>25395</v>
      </c>
      <c r="C20173" s="5" t="str">
        <f>IFERROR(__xludf.DUMMYFUNCTION("GOOGLETRANSLATE(B20173,""en"",""de"")"),"Ein Mann wird in einer Garage stehen.")</f>
        <v>Ein Mann wird in einer Garage stehen.</v>
      </c>
    </row>
    <row r="20174">
      <c r="A20174" s="4" t="s">
        <v>25396</v>
      </c>
      <c r="B20174" s="4" t="s">
        <v>25397</v>
      </c>
      <c r="C20174" s="5" t="str">
        <f>IFERROR(__xludf.DUMMYFUNCTION("GOOGLETRANSLATE(B20174,""en"",""de"")"),"Wir sehen einen Mann und Menschen, die ein Stadion betreten.")</f>
        <v>Wir sehen einen Mann und Menschen, die ein Stadion betreten.</v>
      </c>
    </row>
    <row r="20175">
      <c r="A20175" s="4" t="s">
        <v>25396</v>
      </c>
      <c r="B20175" s="4" t="s">
        <v>25398</v>
      </c>
      <c r="C20175" s="5" t="str">
        <f>IFERROR(__xludf.DUMMYFUNCTION("GOOGLETRANSLATE(B20175,""en"",""de"")"),"Wir wechseln zu Menschen in Teams und marschieren militärisch in einem Hof.")</f>
        <v>Wir wechseln zu Menschen in Teams und marschieren militärisch in einem Hof.</v>
      </c>
    </row>
    <row r="20176">
      <c r="A20176" s="4" t="s">
        <v>25396</v>
      </c>
      <c r="B20176" s="4" t="s">
        <v>25399</v>
      </c>
      <c r="C20176" s="5" t="str">
        <f>IFERROR(__xludf.DUMMYFUNCTION("GOOGLETRANSLATE(B20176,""en"",""de"")"),"Die Leute spielen ein Spiel mit Stöcken.")</f>
        <v>Die Leute spielen ein Spiel mit Stöcken.</v>
      </c>
    </row>
    <row r="20177">
      <c r="A20177" s="4" t="s">
        <v>25396</v>
      </c>
      <c r="B20177" s="4" t="s">
        <v>25400</v>
      </c>
      <c r="C20177" s="5" t="str">
        <f>IFERROR(__xludf.DUMMYFUNCTION("GOOGLETRANSLATE(B20177,""en"",""de"")"),"Wir sehen eine Gruppe von Menschen in einem Team, das in einem Kreis steht.")</f>
        <v>Wir sehen eine Gruppe von Menschen in einem Team, das in einem Kreis steht.</v>
      </c>
    </row>
    <row r="20178">
      <c r="A20178" s="4" t="s">
        <v>25396</v>
      </c>
      <c r="B20178" s="4" t="s">
        <v>25401</v>
      </c>
      <c r="C20178" s="5" t="str">
        <f>IFERROR(__xludf.DUMMYFUNCTION("GOOGLETRANSLATE(B20178,""en"",""de"")"),"Wir sehen einen Mann die Straße entlang, dann eine Person, die auf dem Bürgersteig sitzt.")</f>
        <v>Wir sehen einen Mann die Straße entlang, dann eine Person, die auf dem Bürgersteig sitzt.</v>
      </c>
    </row>
    <row r="20179">
      <c r="A20179" s="4" t="s">
        <v>25402</v>
      </c>
      <c r="B20179" s="4" t="s">
        <v>25403</v>
      </c>
      <c r="C20179" s="5" t="str">
        <f>IFERROR(__xludf.DUMMYFUNCTION("GOOGLETRANSLATE(B20179,""en"",""de"")"),"Ein Mann steht in einem Raum vor einem Spiegel, der spricht.")</f>
        <v>Ein Mann steht in einem Raum vor einem Spiegel, der spricht.</v>
      </c>
    </row>
    <row r="20180">
      <c r="A20180" s="4" t="s">
        <v>25402</v>
      </c>
      <c r="B20180" s="4" t="s">
        <v>25404</v>
      </c>
      <c r="C20180" s="5" t="str">
        <f>IFERROR(__xludf.DUMMYFUNCTION("GOOGLETRANSLATE(B20180,""en"",""de"")"),"Er steigt auf die Knie und steht auf dem Kopf.")</f>
        <v>Er steigt auf die Knie und steht auf dem Kopf.</v>
      </c>
    </row>
    <row r="20181">
      <c r="A20181" s="4" t="s">
        <v>25402</v>
      </c>
      <c r="B20181" s="4" t="s">
        <v>25405</v>
      </c>
      <c r="C20181" s="5" t="str">
        <f>IFERROR(__xludf.DUMMYFUNCTION("GOOGLETRANSLATE(B20181,""en"",""de"")"),"Er bewegt sich in einem Kreis auf seinem Kopf und dreht sich.")</f>
        <v>Er bewegt sich in einem Kreis auf seinem Kopf und dreht sich.</v>
      </c>
    </row>
    <row r="20182">
      <c r="A20182" s="4" t="s">
        <v>25406</v>
      </c>
      <c r="B20182" s="4" t="s">
        <v>25407</v>
      </c>
      <c r="C20182" s="5" t="str">
        <f>IFERROR(__xludf.DUMMYFUNCTION("GOOGLETRANSLATE(B20182,""en"",""de"")"),"Es gibt Spieler, eine in Gelb und die andere in einem rotem Schleudern in einem Open -Air -Stadion.")</f>
        <v>Es gibt Spieler, eine in Gelb und die andere in einem rotem Schleudern in einem Open -Air -Stadion.</v>
      </c>
    </row>
    <row r="20183">
      <c r="A20183" s="4" t="s">
        <v>25406</v>
      </c>
      <c r="B20183" s="4" t="s">
        <v>25408</v>
      </c>
      <c r="C20183" s="5" t="str">
        <f>IFERROR(__xludf.DUMMYFUNCTION("GOOGLETRANSLATE(B20183,""en"",""de"")"),"Sie sind Teil eines Teams, das mit mehreren Zuschauern im großen Stadion spielt.")</f>
        <v>Sie sind Teil eines Teams, das mit mehreren Zuschauern im großen Stadion spielt.</v>
      </c>
    </row>
    <row r="20184">
      <c r="A20184" s="4" t="s">
        <v>25406</v>
      </c>
      <c r="B20184" s="4" t="s">
        <v>25409</v>
      </c>
      <c r="C20184" s="5" t="str">
        <f>IFERROR(__xludf.DUMMYFUNCTION("GOOGLETRANSLATE(B20184,""en"",""de"")"),"Das Video demonstriert, wie man den Ball fängt und ihn mit dem Stock aufschöpft.")</f>
        <v>Das Video demonstriert, wie man den Ball fängt und ihn mit dem Stock aufschöpft.</v>
      </c>
    </row>
    <row r="20185">
      <c r="A20185" s="4" t="s">
        <v>25406</v>
      </c>
      <c r="B20185" s="4" t="s">
        <v>25410</v>
      </c>
      <c r="C20185" s="5" t="str">
        <f>IFERROR(__xludf.DUMMYFUNCTION("GOOGLETRANSLATE(B20185,""en"",""de"")"),"Es zeigt auch, wie der Ball auf dem Stock ausgleichen kann, während der Spieler läuft.")</f>
        <v>Es zeigt auch, wie der Ball auf dem Stock ausgleichen kann, während der Spieler läuft.</v>
      </c>
    </row>
    <row r="20186">
      <c r="A20186" s="4" t="s">
        <v>25406</v>
      </c>
      <c r="B20186" s="4" t="s">
        <v>25411</v>
      </c>
      <c r="C20186" s="5" t="str">
        <f>IFERROR(__xludf.DUMMYFUNCTION("GOOGLETRANSLATE(B20186,""en"",""de"")"),"Die Spieler zeigen alle Schritte im Tutorial, in denen der Spieler für einen Punkt tapfer den Ball schießt.")</f>
        <v>Die Spieler zeigen alle Schritte im Tutorial, in denen der Spieler für einen Punkt tapfer den Ball schießt.</v>
      </c>
    </row>
    <row r="20187">
      <c r="A20187" s="4" t="s">
        <v>25406</v>
      </c>
      <c r="B20187" s="4" t="s">
        <v>25412</v>
      </c>
      <c r="C20187" s="5" t="str">
        <f>IFERROR(__xludf.DUMMYFUNCTION("GOOGLETRANSLATE(B20187,""en"",""de"")"),"Es gibt einen Spieler in einer blauen und weißen Uniform, die den Ball für einen Punkt schießt und ein Tor erzielt.")</f>
        <v>Es gibt einen Spieler in einer blauen und weißen Uniform, die den Ball für einen Punkt schießt und ein Tor erzielt.</v>
      </c>
    </row>
    <row r="20188">
      <c r="A20188" s="4" t="s">
        <v>25413</v>
      </c>
      <c r="B20188" s="4" t="s">
        <v>25414</v>
      </c>
      <c r="C20188" s="5" t="str">
        <f>IFERROR(__xludf.DUMMYFUNCTION("GOOGLETRANSLATE(B20188,""en"",""de"")"),"Ein Mann überquert die Ziellinie eines Rennens.")</f>
        <v>Ein Mann überquert die Ziellinie eines Rennens.</v>
      </c>
    </row>
    <row r="20189">
      <c r="A20189" s="4" t="s">
        <v>25413</v>
      </c>
      <c r="B20189" s="4" t="s">
        <v>25415</v>
      </c>
      <c r="C20189" s="5" t="str">
        <f>IFERROR(__xludf.DUMMYFUNCTION("GOOGLETRANSLATE(B20189,""en"",""de"")"),"Viele Leute laufen in einem Rennen.")</f>
        <v>Viele Leute laufen in einem Rennen.</v>
      </c>
    </row>
    <row r="20190">
      <c r="A20190" s="4" t="s">
        <v>25413</v>
      </c>
      <c r="B20190" s="4" t="s">
        <v>25416</v>
      </c>
      <c r="C20190" s="5" t="str">
        <f>IFERROR(__xludf.DUMMYFUNCTION("GOOGLETRANSLATE(B20190,""en"",""de"")"),"Die Leute rennen eine unbefestigte Straße hinunter.")</f>
        <v>Die Leute rennen eine unbefestigte Straße hinunter.</v>
      </c>
    </row>
    <row r="20191">
      <c r="A20191" s="4" t="s">
        <v>25417</v>
      </c>
      <c r="B20191" s="4" t="s">
        <v>25418</v>
      </c>
      <c r="C20191" s="5" t="str">
        <f>IFERROR(__xludf.DUMMYFUNCTION("GOOGLETRANSLATE(B20191,""en"",""de"")"),"Eine Gruppe von vier jungen Mädchen steht im Badezimmer nebeneinander und tuckert etwas.")</f>
        <v>Eine Gruppe von vier jungen Mädchen steht im Badezimmer nebeneinander und tuckert etwas.</v>
      </c>
    </row>
    <row r="20192">
      <c r="A20192" s="4" t="s">
        <v>25417</v>
      </c>
      <c r="B20192" s="4" t="s">
        <v>25419</v>
      </c>
      <c r="C20192" s="5" t="str">
        <f>IFERROR(__xludf.DUMMYFUNCTION("GOOGLETRANSLATE(B20192,""en"",""de"")"),"Sie ärgern es in ihrem Mund und fast alle haben ihre Hände über den Mund.")</f>
        <v>Sie ärgern es in ihrem Mund und fast alle haben ihre Hände über den Mund.</v>
      </c>
    </row>
    <row r="20193">
      <c r="A20193" s="4" t="s">
        <v>25417</v>
      </c>
      <c r="B20193" s="4" t="s">
        <v>25420</v>
      </c>
      <c r="C20193" s="5" t="str">
        <f>IFERROR(__xludf.DUMMYFUNCTION("GOOGLETRANSLATE(B20193,""en"",""de"")"),"Einer von ihnen spuckt es in die Spüle aus und die anderen drei versuchen weiterzumachen.")</f>
        <v>Einer von ihnen spuckt es in die Spüle aus und die anderen drei versuchen weiterzumachen.</v>
      </c>
    </row>
    <row r="20194">
      <c r="A20194" s="4" t="s">
        <v>25417</v>
      </c>
      <c r="B20194" s="4" t="s">
        <v>25421</v>
      </c>
      <c r="C20194" s="5" t="str">
        <f>IFERROR(__xludf.DUMMYFUNCTION("GOOGLETRANSLATE(B20194,""en"",""de"")"),"Sie haben es wirklich schwer und schließlich spucken sie alle aus und ein Mädchen gewinnt.")</f>
        <v>Sie haben es wirklich schwer und schließlich spucken sie alle aus und ein Mädchen gewinnt.</v>
      </c>
    </row>
    <row r="20195">
      <c r="A20195" s="4" t="s">
        <v>25422</v>
      </c>
      <c r="B20195" s="4" t="s">
        <v>25423</v>
      </c>
      <c r="C20195" s="5" t="str">
        <f>IFERROR(__xludf.DUMMYFUNCTION("GOOGLETRANSLATE(B20195,""en"",""de"")"),"Eine Frau hat ein Bandana, das in ihren Augen gebunden ist.")</f>
        <v>Eine Frau hat ein Bandana, das in ihren Augen gebunden ist.</v>
      </c>
    </row>
    <row r="20196">
      <c r="A20196" s="4" t="s">
        <v>25422</v>
      </c>
      <c r="B20196" s="4" t="s">
        <v>25424</v>
      </c>
      <c r="C20196" s="5" t="str">
        <f>IFERROR(__xludf.DUMMYFUNCTION("GOOGLETRANSLATE(B20196,""en"",""de"")"),"Sie benutzt einen Stock, um an einer Pinata zu schwingen.")</f>
        <v>Sie benutzt einen Stock, um an einer Pinata zu schwingen.</v>
      </c>
    </row>
    <row r="20197">
      <c r="A20197" s="4" t="s">
        <v>25422</v>
      </c>
      <c r="B20197" s="4" t="s">
        <v>25425</v>
      </c>
      <c r="C20197" s="5" t="str">
        <f>IFERROR(__xludf.DUMMYFUNCTION("GOOGLETRANSLATE(B20197,""en"",""de"")"),"Sie trifft die Pinata mehrmals.")</f>
        <v>Sie trifft die Pinata mehrmals.</v>
      </c>
    </row>
    <row r="20198">
      <c r="A20198" s="4" t="s">
        <v>25426</v>
      </c>
      <c r="B20198" s="4" t="s">
        <v>25427</v>
      </c>
      <c r="C20198" s="5" t="str">
        <f>IFERROR(__xludf.DUMMYFUNCTION("GOOGLETRANSLATE(B20198,""en"",""de"")"),"Ein Mann steht vor einem Tattoo und einem durchdringenden Salon.")</f>
        <v>Ein Mann steht vor einem Tattoo und einem durchdringenden Salon.</v>
      </c>
    </row>
    <row r="20199">
      <c r="A20199" s="4" t="s">
        <v>25426</v>
      </c>
      <c r="B20199" s="4" t="s">
        <v>25428</v>
      </c>
      <c r="C20199" s="5" t="str">
        <f>IFERROR(__xludf.DUMMYFUNCTION("GOOGLETRANSLATE(B20199,""en"",""de"")"),"Er legt sich auf eine Bank, während ein Tätowierer auf einem Tattoo auf dem Rücken arbeitet.")</f>
        <v>Er legt sich auf eine Bank, während ein Tätowierer auf einem Tattoo auf dem Rücken arbeitet.</v>
      </c>
    </row>
    <row r="20200">
      <c r="A20200" s="4" t="s">
        <v>25426</v>
      </c>
      <c r="B20200" s="4" t="s">
        <v>25429</v>
      </c>
      <c r="C20200" s="5" t="str">
        <f>IFERROR(__xludf.DUMMYFUNCTION("GOOGLETRANSLATE(B20200,""en"",""de"")"),"Er zeigt eine Nahaufnahme seiner Arbeit, in der es sich um Schlägerin handelt.")</f>
        <v>Er zeigt eine Nahaufnahme seiner Arbeit, in der es sich um Schlägerin handelt.</v>
      </c>
    </row>
    <row r="20201">
      <c r="A20201" s="4" t="s">
        <v>25426</v>
      </c>
      <c r="B20201" s="4" t="s">
        <v>25430</v>
      </c>
      <c r="C20201" s="5" t="str">
        <f>IFERROR(__xludf.DUMMYFUNCTION("GOOGLETRANSLATE(B20201,""en"",""de"")"),"Der Mann schaut auf die Arbeit im Spiegel.")</f>
        <v>Der Mann schaut auf die Arbeit im Spiegel.</v>
      </c>
    </row>
    <row r="20202">
      <c r="A20202" s="4" t="s">
        <v>25431</v>
      </c>
      <c r="B20202" s="4" t="s">
        <v>25432</v>
      </c>
      <c r="C20202" s="5" t="str">
        <f>IFERROR(__xludf.DUMMYFUNCTION("GOOGLETRANSLATE(B20202,""en"",""de"")"),"Ein Kampfkunstkünstler spielt gleichzeitig mit ihren Armen und Beinen langsame Bewegungen.")</f>
        <v>Ein Kampfkunstkünstler spielt gleichzeitig mit ihren Armen und Beinen langsame Bewegungen.</v>
      </c>
    </row>
    <row r="20203">
      <c r="A20203" s="4" t="s">
        <v>25431</v>
      </c>
      <c r="B20203" s="4" t="s">
        <v>25433</v>
      </c>
      <c r="C20203" s="5" t="str">
        <f>IFERROR(__xludf.DUMMYFUNCTION("GOOGLETRANSLATE(B20203,""en"",""de"")"),"Ein Mann spricht mit der Kamera, nachdem die Frau ihre Kampfsportroutine beendet hat.")</f>
        <v>Ein Mann spricht mit der Kamera, nachdem die Frau ihre Kampfsportroutine beendet hat.</v>
      </c>
    </row>
    <row r="20204">
      <c r="A20204" s="4" t="s">
        <v>25434</v>
      </c>
      <c r="B20204" s="4" t="s">
        <v>25435</v>
      </c>
      <c r="C20204" s="5" t="str">
        <f>IFERROR(__xludf.DUMMYFUNCTION("GOOGLETRANSLATE(B20204,""en"",""de"")"),"Ein Mann steht in einer Tür und redet.")</f>
        <v>Ein Mann steht in einer Tür und redet.</v>
      </c>
    </row>
    <row r="20205">
      <c r="A20205" s="4" t="s">
        <v>25434</v>
      </c>
      <c r="B20205" s="4" t="s">
        <v>25436</v>
      </c>
      <c r="C20205" s="5" t="str">
        <f>IFERROR(__xludf.DUMMYFUNCTION("GOOGLETRANSLATE(B20205,""en"",""de"")"),"Der Mann steigt eine Leiter und fügt der Wand ein Stück Tapeten hinzu.")</f>
        <v>Der Mann steigt eine Leiter und fügt der Wand ein Stück Tapeten hinzu.</v>
      </c>
    </row>
    <row r="20206">
      <c r="A20206" s="4" t="s">
        <v>25434</v>
      </c>
      <c r="B20206" s="4" t="s">
        <v>25437</v>
      </c>
      <c r="C20206" s="5" t="str">
        <f>IFERROR(__xludf.DUMMYFUNCTION("GOOGLETRANSLATE(B20206,""en"",""de"")"),"Der Mann benutzt ein Werkzeug, bevor er sich umdreht, um es zu sprechen, und glättet es dann aus.")</f>
        <v>Der Mann benutzt ein Werkzeug, bevor er sich umdreht, um es zu sprechen, und glättet es dann aus.</v>
      </c>
    </row>
    <row r="20207">
      <c r="A20207" s="4" t="s">
        <v>25434</v>
      </c>
      <c r="B20207" s="4" t="s">
        <v>25438</v>
      </c>
      <c r="C20207" s="5" t="str">
        <f>IFERROR(__xludf.DUMMYFUNCTION("GOOGLETRANSLATE(B20207,""en"",""de"")"),"Der Mann spricht und benutzt ein anderes Werkzeug, um ein Stück abzuschneiden und dann die Decke wischt.")</f>
        <v>Der Mann spricht und benutzt ein anderes Werkzeug, um ein Stück abzuschneiden und dann die Decke wischt.</v>
      </c>
    </row>
    <row r="20208">
      <c r="A20208" s="4" t="s">
        <v>25439</v>
      </c>
      <c r="B20208" s="4" t="s">
        <v>25440</v>
      </c>
      <c r="C20208" s="5" t="str">
        <f>IFERROR(__xludf.DUMMYFUNCTION("GOOGLETRANSLATE(B20208,""en"",""de"")"),"Eine Frau hält eine Geige gegen sich selbst.")</f>
        <v>Eine Frau hält eine Geige gegen sich selbst.</v>
      </c>
    </row>
    <row r="20209">
      <c r="A20209" s="4" t="s">
        <v>25439</v>
      </c>
      <c r="B20209" s="4" t="s">
        <v>25441</v>
      </c>
      <c r="C20209" s="5" t="str">
        <f>IFERROR(__xludf.DUMMYFUNCTION("GOOGLETRANSLATE(B20209,""en"",""de"")"),"Die Frau spielt die Geige.")</f>
        <v>Die Frau spielt die Geige.</v>
      </c>
    </row>
    <row r="20210">
      <c r="A20210" s="4" t="s">
        <v>25439</v>
      </c>
      <c r="B20210" s="4" t="s">
        <v>25442</v>
      </c>
      <c r="C20210" s="5" t="str">
        <f>IFERROR(__xludf.DUMMYFUNCTION("GOOGLETRANSLATE(B20210,""en"",""de"")"),"Die Frau hört auf, die Geige zu spielen.")</f>
        <v>Die Frau hört auf, die Geige zu spielen.</v>
      </c>
    </row>
    <row r="20211">
      <c r="A20211" s="4" t="s">
        <v>25443</v>
      </c>
      <c r="B20211" s="4" t="s">
        <v>25444</v>
      </c>
      <c r="C20211" s="5" t="str">
        <f>IFERROR(__xludf.DUMMYFUNCTION("GOOGLETRANSLATE(B20211,""en"",""de"")"),"Es gibt einen Mann in einem roten Hemd und ein geprüftes Hemd darüber, in einem Park steht.")</f>
        <v>Es gibt einen Mann in einem roten Hemd und ein geprüftes Hemd darüber, in einem Park steht.</v>
      </c>
    </row>
    <row r="20212">
      <c r="A20212" s="4" t="s">
        <v>25443</v>
      </c>
      <c r="B20212" s="4" t="s">
        <v>25445</v>
      </c>
      <c r="C20212" s="5" t="str">
        <f>IFERROR(__xludf.DUMMYFUNCTION("GOOGLETRANSLATE(B20212,""en"",""de"")"),"Er wirft einen Gummireifen auf den Boden.")</f>
        <v>Er wirft einen Gummireifen auf den Boden.</v>
      </c>
    </row>
    <row r="20213">
      <c r="A20213" s="4" t="s">
        <v>25443</v>
      </c>
      <c r="B20213" s="4" t="s">
        <v>25446</v>
      </c>
      <c r="C20213" s="5" t="str">
        <f>IFERROR(__xludf.DUMMYFUNCTION("GOOGLETRANSLATE(B20213,""en"",""de"")"),"Er steht in der Nähe einer Parkbank mit einem Skateboard in der Hand.")</f>
        <v>Er steht in der Nähe einer Parkbank mit einem Skateboard in der Hand.</v>
      </c>
    </row>
    <row r="20214">
      <c r="A20214" s="4" t="s">
        <v>25443</v>
      </c>
      <c r="B20214" s="4" t="s">
        <v>25447</v>
      </c>
      <c r="C20214" s="5" t="str">
        <f>IFERROR(__xludf.DUMMYFUNCTION("GOOGLETRANSLATE(B20214,""en"",""de"")"),"Er zeigt, wie man Stunts auf dem Skateboard macht, indem er auf die Parkbank springt.")</f>
        <v>Er zeigt, wie man Stunts auf dem Skateboard macht, indem er auf die Parkbank springt.</v>
      </c>
    </row>
    <row r="20215">
      <c r="A20215" s="4" t="s">
        <v>25443</v>
      </c>
      <c r="B20215" s="4" t="s">
        <v>25448</v>
      </c>
      <c r="C20215" s="5" t="str">
        <f>IFERROR(__xludf.DUMMYFUNCTION("GOOGLETRANSLATE(B20215,""en"",""de"")"),"Er wiederholt den gleichen Stunt immer und immer wieder.")</f>
        <v>Er wiederholt den gleichen Stunt immer und immer wieder.</v>
      </c>
    </row>
    <row r="20216">
      <c r="A20216" s="4" t="s">
        <v>25443</v>
      </c>
      <c r="B20216" s="4" t="s">
        <v>25449</v>
      </c>
      <c r="C20216" s="5" t="str">
        <f>IFERROR(__xludf.DUMMYFUNCTION("GOOGLETRANSLATE(B20216,""en"",""de"")"),"Er fällt ein paar Mal vom Skateboard aus, ist aber die meiste Zeit erfolgreich.")</f>
        <v>Er fällt ein paar Mal vom Skateboard aus, ist aber die meiste Zeit erfolgreich.</v>
      </c>
    </row>
    <row r="20217">
      <c r="A20217" s="4" t="s">
        <v>25443</v>
      </c>
      <c r="B20217" s="4" t="s">
        <v>25450</v>
      </c>
      <c r="C20217" s="5" t="str">
        <f>IFERROR(__xludf.DUMMYFUNCTION("GOOGLETRANSLATE(B20217,""en"",""de"")"),"Dann hält er das Skateboard in der Hand, als er spricht, während er auf die Bank zeigt.")</f>
        <v>Dann hält er das Skateboard in der Hand, als er spricht, während er auf die Bank zeigt.</v>
      </c>
    </row>
    <row r="20218">
      <c r="A20218" s="4" t="s">
        <v>25451</v>
      </c>
      <c r="B20218" s="4" t="s">
        <v>25452</v>
      </c>
      <c r="C20218" s="5" t="str">
        <f>IFERROR(__xludf.DUMMYFUNCTION("GOOGLETRANSLATE(B20218,""en"",""de"")"),"Ein ""Eesa"" -Logo wird auf dem Bildschirm angezeigt.")</f>
        <v>Ein "Eesa" -Logo wird auf dem Bildschirm angezeigt.</v>
      </c>
    </row>
    <row r="20219">
      <c r="A20219" s="4" t="s">
        <v>25451</v>
      </c>
      <c r="B20219" s="4" t="s">
        <v>25453</v>
      </c>
      <c r="C20219" s="5" t="str">
        <f>IFERROR(__xludf.DUMMYFUNCTION("GOOGLETRANSLATE(B20219,""en"",""de"")"),"Zwei Männer, die Tauchausrüstung in einem Innenpool tragen, sprechen mit der Kamera.")</f>
        <v>Zwei Männer, die Tauchausrüstung in einem Innenpool tragen, sprechen mit der Kamera.</v>
      </c>
    </row>
    <row r="20220">
      <c r="A20220" s="4" t="s">
        <v>25451</v>
      </c>
      <c r="B20220" s="4" t="s">
        <v>25454</v>
      </c>
      <c r="C20220" s="5" t="str">
        <f>IFERROR(__xludf.DUMMYFUNCTION("GOOGLETRANSLATE(B20220,""en"",""de"")"),"Die Kamera folgt einem der Männer unter Wasser, wo zahlreiche künstliche Hindernisse vorhanden sind.")</f>
        <v>Die Kamera folgt einem der Männer unter Wasser, wo zahlreiche künstliche Hindernisse vorhanden sind.</v>
      </c>
    </row>
    <row r="20221">
      <c r="A20221" s="4" t="s">
        <v>25451</v>
      </c>
      <c r="B20221" s="4" t="s">
        <v>25455</v>
      </c>
      <c r="C20221" s="5" t="str">
        <f>IFERROR(__xludf.DUMMYFUNCTION("GOOGLETRANSLATE(B20221,""en"",""de"")"),"Andere Männer, die wie Astronauten gekleidet sind, sind mit ihnen unter Wasser.")</f>
        <v>Andere Männer, die wie Astronauten gekleidet sind, sind mit ihnen unter Wasser.</v>
      </c>
    </row>
    <row r="20222">
      <c r="A20222" s="4" t="s">
        <v>25451</v>
      </c>
      <c r="B20222" s="4" t="s">
        <v>25456</v>
      </c>
      <c r="C20222" s="5" t="str">
        <f>IFERROR(__xludf.DUMMYFUNCTION("GOOGLETRANSLATE(B20222,""en"",""de"")"),"Die Taucher Taucher verabschieden sich und den Credits rollen.")</f>
        <v>Die Taucher Taucher verabschieden sich und den Credits rollen.</v>
      </c>
    </row>
    <row r="20223">
      <c r="A20223" s="4" t="s">
        <v>25457</v>
      </c>
      <c r="B20223" s="4" t="s">
        <v>1487</v>
      </c>
      <c r="C20223" s="5" t="str">
        <f>IFERROR(__xludf.DUMMYFUNCTION("GOOGLETRANSLATE(B20223,""en"",""de"")"),"Wir sehen einen Öffnungsbildschirm.")</f>
        <v>Wir sehen einen Öffnungsbildschirm.</v>
      </c>
    </row>
    <row r="20224">
      <c r="A20224" s="4" t="s">
        <v>25457</v>
      </c>
      <c r="B20224" s="4" t="s">
        <v>25458</v>
      </c>
      <c r="C20224" s="5" t="str">
        <f>IFERROR(__xludf.DUMMYFUNCTION("GOOGLETRANSLATE(B20224,""en"",""de"")"),"Wir sehen Bälle und Paddel und einen blauen Tisch, dann spricht ein Mann und zwei Männer, die Tischtennis spielen.")</f>
        <v>Wir sehen Bälle und Paddel und einen blauen Tisch, dann spricht ein Mann und zwei Männer, die Tischtennis spielen.</v>
      </c>
    </row>
    <row r="20225">
      <c r="A20225" s="4" t="s">
        <v>25457</v>
      </c>
      <c r="B20225" s="4" t="s">
        <v>25459</v>
      </c>
      <c r="C20225" s="5" t="str">
        <f>IFERROR(__xludf.DUMMYFUNCTION("GOOGLETRANSLATE(B20225,""en"",""de"")"),"Wir sehen einen Titelbildschirm für Anweisungen.")</f>
        <v>Wir sehen einen Titelbildschirm für Anweisungen.</v>
      </c>
    </row>
    <row r="20226">
      <c r="A20226" s="4" t="s">
        <v>25457</v>
      </c>
      <c r="B20226" s="4" t="s">
        <v>25460</v>
      </c>
      <c r="C20226" s="5" t="str">
        <f>IFERROR(__xludf.DUMMYFUNCTION("GOOGLETRANSLATE(B20226,""en"",""de"")"),"Der Mann zeigt, dass er einen Ball schlägt und wir sehen, wie er im Spiel den Ball schlägt.")</f>
        <v>Der Mann zeigt, dass er einen Ball schlägt und wir sehen, wie er im Spiel den Ball schlägt.</v>
      </c>
    </row>
    <row r="20227">
      <c r="A20227" s="4" t="s">
        <v>25457</v>
      </c>
      <c r="B20227" s="4" t="s">
        <v>777</v>
      </c>
      <c r="C20227" s="5" t="str">
        <f>IFERROR(__xludf.DUMMYFUNCTION("GOOGLETRANSLATE(B20227,""en"",""de"")"),"Wir sehen den End -Titelbildschirm.")</f>
        <v>Wir sehen den End -Titelbildschirm.</v>
      </c>
    </row>
    <row r="20228">
      <c r="A20228" s="4" t="s">
        <v>25461</v>
      </c>
      <c r="B20228" s="4" t="s">
        <v>25462</v>
      </c>
      <c r="C20228" s="5" t="str">
        <f>IFERROR(__xludf.DUMMYFUNCTION("GOOGLETRANSLATE(B20228,""en"",""de"")"),"Mehrere Männer blasen Blätter vor einem Haus.")</f>
        <v>Mehrere Männer blasen Blätter vor einem Haus.</v>
      </c>
    </row>
    <row r="20229">
      <c r="A20229" s="4" t="s">
        <v>25461</v>
      </c>
      <c r="B20229" s="4" t="s">
        <v>25463</v>
      </c>
      <c r="C20229" s="5" t="str">
        <f>IFERROR(__xludf.DUMMYFUNCTION("GOOGLETRANSLATE(B20229,""en"",""de"")"),"Ein Mann geht den ganzen Hof, um die Blätter zu blasen.")</f>
        <v>Ein Mann geht den ganzen Hof, um die Blätter zu blasen.</v>
      </c>
    </row>
    <row r="20230">
      <c r="A20230" s="4" t="s">
        <v>25461</v>
      </c>
      <c r="B20230" s="4" t="s">
        <v>25464</v>
      </c>
      <c r="C20230" s="5" t="str">
        <f>IFERROR(__xludf.DUMMYFUNCTION("GOOGLETRANSLATE(B20230,""en"",""de"")"),"Er räumt vor dem Haus aus.")</f>
        <v>Er räumt vor dem Haus aus.</v>
      </c>
    </row>
    <row r="20231">
      <c r="A20231" s="4" t="s">
        <v>25461</v>
      </c>
      <c r="B20231" s="4" t="s">
        <v>25465</v>
      </c>
      <c r="C20231" s="5" t="str">
        <f>IFERROR(__xludf.DUMMYFUNCTION("GOOGLETRANSLATE(B20231,""en"",""de"")"),"Er räumt auch durch den Schuppen aus.")</f>
        <v>Er räumt auch durch den Schuppen aus.</v>
      </c>
    </row>
    <row r="20232">
      <c r="A20232" s="4" t="s">
        <v>25461</v>
      </c>
      <c r="B20232" s="4" t="s">
        <v>25466</v>
      </c>
      <c r="C20232" s="5" t="str">
        <f>IFERROR(__xludf.DUMMYFUNCTION("GOOGLETRANSLATE(B20232,""en"",""de"")"),"Ein anderer Mann wird gezeigt, der durch den Hof wandert.")</f>
        <v>Ein anderer Mann wird gezeigt, der durch den Hof wandert.</v>
      </c>
    </row>
    <row r="20233">
      <c r="A20233" s="4" t="s">
        <v>25467</v>
      </c>
      <c r="B20233" s="4" t="s">
        <v>25468</v>
      </c>
      <c r="C20233" s="5" t="str">
        <f>IFERROR(__xludf.DUMMYFUNCTION("GOOGLETRANSLATE(B20233,""en"",""de"")"),"Wir sehen Männer auf einem Lacrosse -Feld, das ein Spiel spielen.")</f>
        <v>Wir sehen Männer auf einem Lacrosse -Feld, das ein Spiel spielen.</v>
      </c>
    </row>
    <row r="20234">
      <c r="A20234" s="4" t="s">
        <v>25467</v>
      </c>
      <c r="B20234" s="4" t="s">
        <v>25469</v>
      </c>
      <c r="C20234" s="5" t="str">
        <f>IFERROR(__xludf.DUMMYFUNCTION("GOOGLETRANSLATE(B20234,""en"",""de"")"),"Ein Mann schlägt den Ball und die Männer rennen auf dem Feld.")</f>
        <v>Ein Mann schlägt den Ball und die Männer rennen auf dem Feld.</v>
      </c>
    </row>
    <row r="20235">
      <c r="A20235" s="4" t="s">
        <v>25467</v>
      </c>
      <c r="B20235" s="4" t="s">
        <v>25470</v>
      </c>
      <c r="C20235" s="5" t="str">
        <f>IFERROR(__xludf.DUMMYFUNCTION("GOOGLETRANSLATE(B20235,""en"",""de"")"),"Wir sehen einen Mann in Red Run auf dem Bildschirm und gehen zurück.")</f>
        <v>Wir sehen einen Mann in Red Run auf dem Bildschirm und gehen zurück.</v>
      </c>
    </row>
    <row r="20236">
      <c r="A20236" s="4" t="s">
        <v>25471</v>
      </c>
      <c r="B20236" s="4" t="s">
        <v>25472</v>
      </c>
      <c r="C20236" s="5" t="str">
        <f>IFERROR(__xludf.DUMMYFUNCTION("GOOGLETRANSLATE(B20236,""en"",""de"")"),"Frau ist in einem Fitnessstudio und leistet Beinübungen und Bauchmuskeln.")</f>
        <v>Frau ist in einem Fitnessstudio und leistet Beinübungen und Bauchmuskeln.</v>
      </c>
    </row>
    <row r="20237">
      <c r="A20237" s="4" t="s">
        <v>25471</v>
      </c>
      <c r="B20237" s="4" t="s">
        <v>25473</v>
      </c>
      <c r="C20237" s="5" t="str">
        <f>IFERROR(__xludf.DUMMYFUNCTION("GOOGLETRANSLATE(B20237,""en"",""de"")"),"Die Frau sitzt in einer Terrasse mit der Kamera.")</f>
        <v>Die Frau sitzt in einer Terrasse mit der Kamera.</v>
      </c>
    </row>
    <row r="20238">
      <c r="A20238" s="4" t="s">
        <v>25471</v>
      </c>
      <c r="B20238" s="4" t="s">
        <v>25474</v>
      </c>
      <c r="C20238" s="5" t="str">
        <f>IFERROR(__xludf.DUMMYFUNCTION("GOOGLETRANSLATE(B20238,""en"",""de"")"),"Frau geht mit einem weißen kleinen Hund in einem Bürgersteig und tritt in ein Haus ein.")</f>
        <v>Frau geht mit einem weißen kleinen Hund in einem Bürgersteig und tritt in ein Haus ein.</v>
      </c>
    </row>
    <row r="20239">
      <c r="A20239" s="4" t="s">
        <v>25471</v>
      </c>
      <c r="B20239" s="4" t="s">
        <v>25475</v>
      </c>
      <c r="C20239" s="5" t="str">
        <f>IFERROR(__xludf.DUMMYFUNCTION("GOOGLETRANSLATE(B20239,""en"",""de"")"),"Die Frau ist wieder in der Terrasse und redet mit der Kamera.")</f>
        <v>Die Frau ist wieder in der Terrasse und redet mit der Kamera.</v>
      </c>
    </row>
    <row r="20240">
      <c r="A20240" s="4" t="s">
        <v>25476</v>
      </c>
      <c r="B20240" s="4" t="s">
        <v>25477</v>
      </c>
      <c r="C20240" s="5" t="str">
        <f>IFERROR(__xludf.DUMMYFUNCTION("GOOGLETRANSLATE(B20240,""en"",""de"")"),"Eine ältere Frau sitzt mit einem jungen Mädchen auf der Couch und zeigt ihr, wie man den Hof auf einen Strickhaken fädelt.")</f>
        <v>Eine ältere Frau sitzt mit einem jungen Mädchen auf der Couch und zeigt ihr, wie man den Hof auf einen Strickhaken fädelt.</v>
      </c>
    </row>
    <row r="20241">
      <c r="A20241" s="4" t="s">
        <v>25476</v>
      </c>
      <c r="B20241" s="4" t="s">
        <v>25478</v>
      </c>
      <c r="C20241" s="5" t="str">
        <f>IFERROR(__xludf.DUMMYFUNCTION("GOOGLETRANSLATE(B20241,""en"",""de"")"),"Das Mädchen lächelt und lacht, als sie herausfindet, wie man damit umgeht.")</f>
        <v>Das Mädchen lächelt und lacht, als sie herausfindet, wie man damit umgeht.</v>
      </c>
    </row>
    <row r="20242">
      <c r="A20242" s="4" t="s">
        <v>25479</v>
      </c>
      <c r="B20242" s="4" t="s">
        <v>25480</v>
      </c>
      <c r="C20242" s="5" t="str">
        <f>IFERROR(__xludf.DUMMYFUNCTION("GOOGLETRANSLATE(B20242,""en"",""de"")"),"Ein Mann sitzt auf einem Friseurstuhl.")</f>
        <v>Ein Mann sitzt auf einem Friseurstuhl.</v>
      </c>
    </row>
    <row r="20243">
      <c r="A20243" s="4" t="s">
        <v>25479</v>
      </c>
      <c r="B20243" s="4" t="s">
        <v>25481</v>
      </c>
      <c r="C20243" s="5" t="str">
        <f>IFERROR(__xludf.DUMMYFUNCTION("GOOGLETRANSLATE(B20243,""en"",""de"")"),"Der Friseur beginnt seinen Kopf zu rasieren.")</f>
        <v>Der Friseur beginnt seinen Kopf zu rasieren.</v>
      </c>
    </row>
    <row r="20244">
      <c r="A20244" s="4" t="s">
        <v>25479</v>
      </c>
      <c r="B20244" s="4" t="s">
        <v>25482</v>
      </c>
      <c r="C20244" s="5" t="str">
        <f>IFERROR(__xludf.DUMMYFUNCTION("GOOGLETRANSLATE(B20244,""en"",""de"")"),"Er rasiert Sterne in seinen Kopf.")</f>
        <v>Er rasiert Sterne in seinen Kopf.</v>
      </c>
    </row>
    <row r="20245">
      <c r="A20245" s="4" t="s">
        <v>25479</v>
      </c>
      <c r="B20245" s="4" t="s">
        <v>25483</v>
      </c>
      <c r="C20245" s="5" t="str">
        <f>IFERROR(__xludf.DUMMYFUNCTION("GOOGLETRANSLATE(B20245,""en"",""de"")"),"Das Design ist einwandfrei gemacht.")</f>
        <v>Das Design ist einwandfrei gemacht.</v>
      </c>
    </row>
    <row r="20246">
      <c r="A20246" s="4" t="s">
        <v>25484</v>
      </c>
      <c r="B20246" s="4" t="s">
        <v>25485</v>
      </c>
      <c r="C20246" s="5" t="str">
        <f>IFERROR(__xludf.DUMMYFUNCTION("GOOGLETRANSLATE(B20246,""en"",""de"")"),"Menschen surfen im abgehackten Wasser des Ozeans, während eine Katze auf einem Felsen sitzt.")</f>
        <v>Menschen surfen im abgehackten Wasser des Ozeans, während eine Katze auf einem Felsen sitzt.</v>
      </c>
    </row>
    <row r="20247">
      <c r="A20247" s="4" t="s">
        <v>25484</v>
      </c>
      <c r="B20247" s="4" t="s">
        <v>25486</v>
      </c>
      <c r="C20247" s="5" t="str">
        <f>IFERROR(__xludf.DUMMYFUNCTION("GOOGLETRANSLATE(B20247,""en"",""de"")"),"Eine Person surft auf einer großen Welle nach rechts, während ein anderer Surfer in eine Welle zum Surfen kommt und fällt, aber wieder auf das Surfbrett steigt.")</f>
        <v>Eine Person surft auf einer großen Welle nach rechts, während ein anderer Surfer in eine Welle zum Surfen kommt und fällt, aber wieder auf das Surfbrett steigt.</v>
      </c>
    </row>
    <row r="20248">
      <c r="A20248" s="4" t="s">
        <v>25484</v>
      </c>
      <c r="B20248" s="4" t="s">
        <v>25487</v>
      </c>
      <c r="C20248" s="5" t="str">
        <f>IFERROR(__xludf.DUMMYFUNCTION("GOOGLETRANSLATE(B20248,""en"",""de"")"),"Ein Mann surft auf einer Welle nach links, während andere Menschen im Meer surfen.")</f>
        <v>Ein Mann surft auf einer Welle nach links, während andere Menschen im Meer surfen.</v>
      </c>
    </row>
    <row r="20249">
      <c r="A20249" s="4" t="s">
        <v>25484</v>
      </c>
      <c r="B20249" s="4" t="s">
        <v>25488</v>
      </c>
      <c r="C20249" s="5" t="str">
        <f>IFERROR(__xludf.DUMMYFUNCTION("GOOGLETRANSLATE(B20249,""en"",""de"")"),"Plötzlich scheint ein Mann ein Kanu zu rudern.")</f>
        <v>Plötzlich scheint ein Mann ein Kanu zu rudern.</v>
      </c>
    </row>
    <row r="20250">
      <c r="A20250" s="4" t="s">
        <v>25489</v>
      </c>
      <c r="B20250" s="4" t="s">
        <v>25490</v>
      </c>
      <c r="C20250" s="5" t="str">
        <f>IFERROR(__xludf.DUMMYFUNCTION("GOOGLETRANSLATE(B20250,""en"",""de"")"),"Eine Gruppe von Männern steht in einer Reihe.")</f>
        <v>Eine Gruppe von Männern steht in einer Reihe.</v>
      </c>
    </row>
    <row r="20251">
      <c r="A20251" s="4" t="s">
        <v>25489</v>
      </c>
      <c r="B20251" s="4" t="s">
        <v>25491</v>
      </c>
      <c r="C20251" s="5" t="str">
        <f>IFERROR(__xludf.DUMMYFUNCTION("GOOGLETRANSLATE(B20251,""en"",""de"")"),"Sie werfen Darts an Ziele.")</f>
        <v>Sie werfen Darts an Ziele.</v>
      </c>
    </row>
    <row r="20252">
      <c r="A20252" s="4" t="s">
        <v>25489</v>
      </c>
      <c r="B20252" s="4" t="s">
        <v>25492</v>
      </c>
      <c r="C20252" s="5" t="str">
        <f>IFERROR(__xludf.DUMMYFUNCTION("GOOGLETRANSLATE(B20252,""en"",""de"")"),"Die Menschen unterhalten sich, während sie versuchen, ihre Ziele zu treffen.")</f>
        <v>Die Menschen unterhalten sich, während sie versuchen, ihre Ziele zu treffen.</v>
      </c>
    </row>
    <row r="20253">
      <c r="A20253" s="4" t="s">
        <v>25493</v>
      </c>
      <c r="B20253" s="4" t="s">
        <v>25494</v>
      </c>
      <c r="C20253" s="5" t="str">
        <f>IFERROR(__xludf.DUMMYFUNCTION("GOOGLETRANSLATE(B20253,""en"",""de"")"),"Ein kleines Kind waschen verschiedene Gerichte in einem Waschbecken, während sie Handschuhe tragen und unter Wasser laufen.")</f>
        <v>Ein kleines Kind waschen verschiedene Gerichte in einem Waschbecken, während sie Handschuhe tragen und unter Wasser laufen.</v>
      </c>
    </row>
    <row r="20254">
      <c r="A20254" s="4" t="s">
        <v>25493</v>
      </c>
      <c r="B20254" s="4" t="s">
        <v>25495</v>
      </c>
      <c r="C20254" s="5" t="str">
        <f>IFERROR(__xludf.DUMMYFUNCTION("GOOGLETRANSLATE(B20254,""en"",""de"")"),"Der Junge steckt weiterhin eine Schüssel unter das Wasser, während die Kamera um seine Bewegungen schwenkt.")</f>
        <v>Der Junge steckt weiterhin eine Schüssel unter das Wasser, während die Kamera um seine Bewegungen schwenkt.</v>
      </c>
    </row>
    <row r="20255">
      <c r="A20255" s="4" t="s">
        <v>25496</v>
      </c>
      <c r="B20255" s="4" t="s">
        <v>25497</v>
      </c>
      <c r="C20255" s="5" t="str">
        <f>IFERROR(__xludf.DUMMYFUNCTION("GOOGLETRANSLATE(B20255,""en"",""de"")"),"Ein Turner wird gesehen, wie er seinen Arm in der Luft hebt und auf einen Gymnastikstrahl klettert.")</f>
        <v>Ein Turner wird gesehen, wie er seinen Arm in der Luft hebt und auf einen Gymnastikstrahl klettert.</v>
      </c>
    </row>
    <row r="20256">
      <c r="A20256" s="4" t="s">
        <v>25496</v>
      </c>
      <c r="B20256" s="4" t="s">
        <v>25498</v>
      </c>
      <c r="C20256" s="5" t="str">
        <f>IFERROR(__xludf.DUMMYFUNCTION("GOOGLETRANSLATE(B20256,""en"",""de"")"),"Er dreht sich herum und führt verschiedene Tricks auf dem Strahl durch und endet, indem er herunterspringt und zum applaudierenden Publikum lächelt.")</f>
        <v>Er dreht sich herum und führt verschiedene Tricks auf dem Strahl durch und endet, indem er herunterspringt und zum applaudierenden Publikum lächelt.</v>
      </c>
    </row>
    <row r="20257">
      <c r="A20257" s="4" t="s">
        <v>25499</v>
      </c>
      <c r="B20257" s="4" t="s">
        <v>25500</v>
      </c>
      <c r="C20257" s="5" t="str">
        <f>IFERROR(__xludf.DUMMYFUNCTION("GOOGLETRANSLATE(B20257,""en"",""de"")"),"Eine Frau, die Schmetterlinge Flügel Kostüm trägt, spielt Beerpong.")</f>
        <v>Eine Frau, die Schmetterlinge Flügel Kostüm trägt, spielt Beerpong.</v>
      </c>
    </row>
    <row r="20258">
      <c r="A20258" s="4" t="s">
        <v>25499</v>
      </c>
      <c r="B20258" s="4" t="s">
        <v>25501</v>
      </c>
      <c r="C20258" s="5" t="str">
        <f>IFERROR(__xludf.DUMMYFUNCTION("GOOGLETRANSLATE(B20258,""en"",""de"")"),"Eine Frau trägt ein Catty -Kostüm steht hinter dem Tisch.")</f>
        <v>Eine Frau trägt ein Catty -Kostüm steht hinter dem Tisch.</v>
      </c>
    </row>
    <row r="20259">
      <c r="A20259" s="4" t="s">
        <v>25499</v>
      </c>
      <c r="B20259" s="4" t="s">
        <v>25502</v>
      </c>
      <c r="C20259" s="5" t="str">
        <f>IFERROR(__xludf.DUMMYFUNCTION("GOOGLETRANSLATE(B20259,""en"",""de"")"),"Frau sitzt vor dem Tisch und tanzt, wenn die Frau den Ball versagt.")</f>
        <v>Frau sitzt vor dem Tisch und tanzt, wenn die Frau den Ball versagt.</v>
      </c>
    </row>
    <row r="20260">
      <c r="A20260" s="4" t="s">
        <v>25503</v>
      </c>
      <c r="B20260" s="4" t="s">
        <v>25504</v>
      </c>
      <c r="C20260" s="5" t="str">
        <f>IFERROR(__xludf.DUMMYFUNCTION("GOOGLETRANSLATE(B20260,""en"",""de"")"),"Ein Mann und eine Frau stehen auf einer Straße, die auf einem Fenster spricht.")</f>
        <v>Ein Mann und eine Frau stehen auf einer Straße, die auf einem Fenster spricht.</v>
      </c>
    </row>
    <row r="20261">
      <c r="A20261" s="4" t="s">
        <v>25503</v>
      </c>
      <c r="B20261" s="4" t="s">
        <v>25505</v>
      </c>
      <c r="C20261" s="5" t="str">
        <f>IFERROR(__xludf.DUMMYFUNCTION("GOOGLETRANSLATE(B20261,""en"",""de"")"),"Eine Person geht an vorne an den Mann und die Frau.")</f>
        <v>Eine Person geht an vorne an den Mann und die Frau.</v>
      </c>
    </row>
    <row r="20262">
      <c r="A20262" s="4" t="s">
        <v>25503</v>
      </c>
      <c r="B20262" s="4" t="s">
        <v>25506</v>
      </c>
      <c r="C20262" s="5" t="str">
        <f>IFERROR(__xludf.DUMMYFUNCTION("GOOGLETRANSLATE(B20262,""en"",""de"")"),"Die Leute gehen an der Front an der Frau und dem Mann.")</f>
        <v>Die Leute gehen an der Front an der Frau und dem Mann.</v>
      </c>
    </row>
    <row r="20263">
      <c r="A20263" s="4" t="s">
        <v>25507</v>
      </c>
      <c r="B20263" s="4" t="s">
        <v>25508</v>
      </c>
      <c r="C20263" s="5" t="str">
        <f>IFERROR(__xludf.DUMMYFUNCTION("GOOGLETRANSLATE(B20263,""en"",""de"")"),"Wir sehen Turner in einem Fitnessstudio aufeinander.")</f>
        <v>Wir sehen Turner in einem Fitnessstudio aufeinander.</v>
      </c>
    </row>
    <row r="20264">
      <c r="A20264" s="4" t="s">
        <v>25507</v>
      </c>
      <c r="B20264" s="4" t="s">
        <v>25509</v>
      </c>
      <c r="C20264" s="5" t="str">
        <f>IFERROR(__xludf.DUMMYFUNCTION("GOOGLETRANSLATE(B20264,""en"",""de"")"),"Sie beginnen dann einen aeroben Tanz.")</f>
        <v>Sie beginnen dann einen aeroben Tanz.</v>
      </c>
    </row>
    <row r="20265">
      <c r="A20265" s="4" t="s">
        <v>25507</v>
      </c>
      <c r="B20265" s="4" t="s">
        <v>25510</v>
      </c>
      <c r="C20265" s="5" t="str">
        <f>IFERROR(__xludf.DUMMYFUNCTION("GOOGLETRANSLATE(B20265,""en"",""de"")"),"Die Leute gehen zu ihren Schritten und treten auf sie.")</f>
        <v>Die Leute gehen zu ihren Schritten und treten auf sie.</v>
      </c>
    </row>
    <row r="20266">
      <c r="A20266" s="4" t="s">
        <v>25507</v>
      </c>
      <c r="B20266" s="4" t="s">
        <v>25511</v>
      </c>
      <c r="C20266" s="5" t="str">
        <f>IFERROR(__xludf.DUMMYFUNCTION("GOOGLETRANSLATE(B20266,""en"",""de"")"),"Das Volk bewegt die Schritte in die Mitte des Raumes.")</f>
        <v>Das Volk bewegt die Schritte in die Mitte des Raumes.</v>
      </c>
    </row>
    <row r="20267">
      <c r="A20267" s="4" t="s">
        <v>25507</v>
      </c>
      <c r="B20267" s="4" t="s">
        <v>25512</v>
      </c>
      <c r="C20267" s="5" t="str">
        <f>IFERROR(__xludf.DUMMYFUNCTION("GOOGLETRANSLATE(B20267,""en"",""de"")"),"Eine Dame spaltet den Boden und sie beenden.")</f>
        <v>Eine Dame spaltet den Boden und sie beenden.</v>
      </c>
    </row>
    <row r="20268">
      <c r="A20268" s="4" t="s">
        <v>25507</v>
      </c>
      <c r="B20268" s="4" t="s">
        <v>25513</v>
      </c>
      <c r="C20268" s="5" t="str">
        <f>IFERROR(__xludf.DUMMYFUNCTION("GOOGLETRANSLATE(B20268,""en"",""de"")"),"Der Endtitel wird auf dem Bildschirm angezeigt.")</f>
        <v>Der Endtitel wird auf dem Bildschirm angezeigt.</v>
      </c>
    </row>
    <row r="20269">
      <c r="A20269" s="4" t="s">
        <v>25514</v>
      </c>
      <c r="B20269" s="4" t="s">
        <v>25515</v>
      </c>
      <c r="C20269" s="5" t="str">
        <f>IFERROR(__xludf.DUMMYFUNCTION("GOOGLETRANSLATE(B20269,""en"",""de"")"),"Es gibt eine Wand von Gemälden, dann verblasst die Szene.")</f>
        <v>Es gibt eine Wand von Gemälden, dann verblasst die Szene.</v>
      </c>
    </row>
    <row r="20270">
      <c r="A20270" s="4" t="s">
        <v>25514</v>
      </c>
      <c r="B20270" s="4" t="s">
        <v>25516</v>
      </c>
      <c r="C20270" s="5" t="str">
        <f>IFERROR(__xludf.DUMMYFUNCTION("GOOGLETRANSLATE(B20270,""en"",""de"")"),"Die Leute stehen auf einem Balkon, über das ein Fußballveranstaltungen aussieht, und der Bildschirm sagt Wuzler Cup Finale.")</f>
        <v>Die Leute stehen auf einem Balkon, über das ein Fußballveranstaltungen aussieht, und der Bildschirm sagt Wuzler Cup Finale.</v>
      </c>
    </row>
    <row r="20271">
      <c r="A20271" s="4" t="s">
        <v>25514</v>
      </c>
      <c r="B20271" s="4" t="s">
        <v>25517</v>
      </c>
      <c r="C20271" s="5" t="str">
        <f>IFERROR(__xludf.DUMMYFUNCTION("GOOGLETRANSLATE(B20271,""en"",""de"")"),"Zwei Reihen von Menschen spielen Tischfußball.")</f>
        <v>Zwei Reihen von Menschen spielen Tischfußball.</v>
      </c>
    </row>
    <row r="20272">
      <c r="A20272" s="4" t="s">
        <v>25514</v>
      </c>
      <c r="B20272" s="4" t="s">
        <v>25518</v>
      </c>
      <c r="C20272" s="5" t="str">
        <f>IFERROR(__xludf.DUMMYFUNCTION("GOOGLETRANSLATE(B20272,""en"",""de"")"),"Der Ball sprang vom Tisch und eine Frau stellte ihn wieder ins Spiel und ein Tor wurde erzielt.")</f>
        <v>Der Ball sprang vom Tisch und eine Frau stellte ihn wieder ins Spiel und ein Tor wurde erzielt.</v>
      </c>
    </row>
    <row r="20273">
      <c r="A20273" s="4" t="s">
        <v>25514</v>
      </c>
      <c r="B20273" s="4" t="s">
        <v>25519</v>
      </c>
      <c r="C20273" s="5" t="str">
        <f>IFERROR(__xludf.DUMMYFUNCTION("GOOGLETRANSLATE(B20273,""en"",""de"")"),"Es gibt Cheerleader für diese Veranstaltung.")</f>
        <v>Es gibt Cheerleader für diese Veranstaltung.</v>
      </c>
    </row>
    <row r="20274">
      <c r="A20274" s="4" t="s">
        <v>25514</v>
      </c>
      <c r="B20274" s="4" t="s">
        <v>25520</v>
      </c>
      <c r="C20274" s="5" t="str">
        <f>IFERROR(__xludf.DUMMYFUNCTION("GOOGLETRANSLATE(B20274,""en"",""de"")"),"Das rote Team gewann und zeigt ihre T -Shirts.")</f>
        <v>Das rote Team gewann und zeigt ihre T -Shirts.</v>
      </c>
    </row>
    <row r="20275">
      <c r="A20275" s="4" t="s">
        <v>25514</v>
      </c>
      <c r="B20275" s="4" t="s">
        <v>25521</v>
      </c>
      <c r="C20275" s="5" t="str">
        <f>IFERROR(__xludf.DUMMYFUNCTION("GOOGLETRANSLATE(B20275,""en"",""de"")"),"Die Szene ändert sich zu einem gemeldeten Schreibtisch.")</f>
        <v>Die Szene ändert sich zu einem gemeldeten Schreibtisch.</v>
      </c>
    </row>
    <row r="20276">
      <c r="A20276" s="4" t="s">
        <v>25522</v>
      </c>
      <c r="B20276" s="4" t="s">
        <v>25523</v>
      </c>
      <c r="C20276" s="5" t="str">
        <f>IFERROR(__xludf.DUMMYFUNCTION("GOOGLETRANSLATE(B20276,""en"",""de"")"),"Eine Gruppe von Frauen, die blaue Kleider tragen, tanzen auf einer Synchronisierung auf einer Bühne, die sie auf den Boden fallen und der Bildschirm schwarz verblasst.")</f>
        <v>Eine Gruppe von Frauen, die blaue Kleider tragen, tanzen auf einer Synchronisierung auf einer Bühne, die sie auf den Boden fallen und der Bildschirm schwarz verblasst.</v>
      </c>
    </row>
    <row r="20277">
      <c r="A20277" s="4" t="s">
        <v>25522</v>
      </c>
      <c r="B20277" s="4" t="s">
        <v>25524</v>
      </c>
      <c r="C20277" s="5" t="str">
        <f>IFERROR(__xludf.DUMMYFUNCTION("GOOGLETRANSLATE(B20277,""en"",""de"")"),"Eine Frau allein erscheint dann auf der Bühne mit weißen Worten auf der Unterseite links, die ""Ballett d'orient"" sagen, und einen Spezialeffekthintergrund, und sie beginnt Bauch zu tanzen, dann schließen sich andere Frauen an.")</f>
        <v>Eine Frau allein erscheint dann auf der Bühne mit weißen Worten auf der Unterseite links, die "Ballett d'orient" sagen, und einen Spezialeffekthintergrund, und sie beginnt Bauch zu tanzen, dann schließen sich andere Frauen an.</v>
      </c>
    </row>
    <row r="20278">
      <c r="A20278" s="4" t="s">
        <v>25522</v>
      </c>
      <c r="B20278" s="4" t="s">
        <v>25525</v>
      </c>
      <c r="C20278" s="5" t="str">
        <f>IFERROR(__xludf.DUMMYFUNCTION("GOOGLETRANSLATE(B20278,""en"",""de"")"),"Das Scheinwerferlicht verblasst, wenn die Routine endet und der Bildschirm schwarz ist.")</f>
        <v>Das Scheinwerferlicht verblasst, wenn die Routine endet und der Bildschirm schwarz ist.</v>
      </c>
    </row>
    <row r="20279">
      <c r="A20279" s="4" t="s">
        <v>25526</v>
      </c>
      <c r="B20279" s="4" t="s">
        <v>25527</v>
      </c>
      <c r="C20279" s="5" t="str">
        <f>IFERROR(__xludf.DUMMYFUNCTION("GOOGLETRANSLATE(B20279,""en"",""de"")"),"Ein Mann und eine Frau sitzen hinter einem Schreibtisch.")</f>
        <v>Ein Mann und eine Frau sitzen hinter einem Schreibtisch.</v>
      </c>
    </row>
    <row r="20280">
      <c r="A20280" s="4" t="s">
        <v>25526</v>
      </c>
      <c r="B20280" s="4" t="s">
        <v>25528</v>
      </c>
      <c r="C20280" s="5" t="str">
        <f>IFERROR(__xludf.DUMMYFUNCTION("GOOGLETRANSLATE(B20280,""en"",""de"")"),"Ein Arzt führt eine Operation in einem Raum durch.")</f>
        <v>Ein Arzt führt eine Operation in einem Raum durch.</v>
      </c>
    </row>
    <row r="20281">
      <c r="A20281" s="4" t="s">
        <v>25526</v>
      </c>
      <c r="B20281" s="4" t="s">
        <v>25529</v>
      </c>
      <c r="C20281" s="5" t="str">
        <f>IFERROR(__xludf.DUMMYFUNCTION("GOOGLETRANSLATE(B20281,""en"",""de"")"),"Eine Frau in einem roten Hemd steht an einer Theke und redet.")</f>
        <v>Eine Frau in einem roten Hemd steht an einer Theke und redet.</v>
      </c>
    </row>
    <row r="20282">
      <c r="A20282" s="4" t="s">
        <v>25526</v>
      </c>
      <c r="B20282" s="4" t="s">
        <v>25530</v>
      </c>
      <c r="C20282" s="5" t="str">
        <f>IFERROR(__xludf.DUMMYFUNCTION("GOOGLETRANSLATE(B20282,""en"",""de"")"),"Eine Frau wischt ihren Mund mit einer Serviette ab.")</f>
        <v>Eine Frau wischt ihren Mund mit einer Serviette ab.</v>
      </c>
    </row>
    <row r="20283">
      <c r="A20283" s="4" t="s">
        <v>25531</v>
      </c>
      <c r="B20283" s="4" t="s">
        <v>25532</v>
      </c>
      <c r="C20283" s="5" t="str">
        <f>IFERROR(__xludf.DUMMYFUNCTION("GOOGLETRANSLATE(B20283,""en"",""de"")"),"Ein Intro führt in mehreren Schüssen eines Mannes, der mit einer großen Welle eines Surfbretts aus verschiedenen Blickwinkeln reitet.")</f>
        <v>Ein Intro führt in mehreren Schüssen eines Mannes, der mit einer großen Welle eines Surfbretts aus verschiedenen Blickwinkeln reitet.</v>
      </c>
    </row>
    <row r="20284">
      <c r="A20284" s="4" t="s">
        <v>25531</v>
      </c>
      <c r="B20284" s="4" t="s">
        <v>25533</v>
      </c>
      <c r="C20284" s="5" t="str">
        <f>IFERROR(__xludf.DUMMYFUNCTION("GOOGLETRANSLATE(B20284,""en"",""de"")"),"Ein Mann wird dann vom Kameramann interviewt und wird erneut mit großen Wellen im Ozean gezeigt.")</f>
        <v>Ein Mann wird dann vom Kameramann interviewt und wird erneut mit großen Wellen im Ozean gezeigt.</v>
      </c>
    </row>
    <row r="20285">
      <c r="A20285" s="4" t="s">
        <v>25531</v>
      </c>
      <c r="B20285" s="4" t="s">
        <v>25534</v>
      </c>
      <c r="C20285" s="5" t="str">
        <f>IFERROR(__xludf.DUMMYFUNCTION("GOOGLETRANSLATE(B20285,""en"",""de"")"),"Ein anderer Mann wird von der Kamera interviewt und zeigt seine Surfenfähigkeiten auf seinem Vorstand.")</f>
        <v>Ein anderer Mann wird von der Kamera interviewt und zeigt seine Surfenfähigkeiten auf seinem Vorstand.</v>
      </c>
    </row>
    <row r="20286">
      <c r="A20286" s="4" t="s">
        <v>25535</v>
      </c>
      <c r="B20286" s="4" t="s">
        <v>25536</v>
      </c>
      <c r="C20286" s="5" t="str">
        <f>IFERROR(__xludf.DUMMYFUNCTION("GOOGLETRANSLATE(B20286,""en"",""de"")"),"Ein Mann ist draußen in einem Tennisplatz, während er einen Tennisschläger innehatte.")</f>
        <v>Ein Mann ist draußen in einem Tennisplatz, während er einen Tennisschläger innehatte.</v>
      </c>
    </row>
    <row r="20287">
      <c r="A20287" s="4" t="s">
        <v>25535</v>
      </c>
      <c r="B20287" s="4" t="s">
        <v>25537</v>
      </c>
      <c r="C20287" s="5" t="str">
        <f>IFERROR(__xludf.DUMMYFUNCTION("GOOGLETRANSLATE(B20287,""en"",""de"")"),"Er geht auf den Platz und mit dem Schläger und einem Ball aus der Tasche und schlägt ihn.")</f>
        <v>Er geht auf den Platz und mit dem Schläger und einem Ball aus der Tasche und schlägt ihn.</v>
      </c>
    </row>
    <row r="20288">
      <c r="A20288" s="4" t="s">
        <v>25535</v>
      </c>
      <c r="B20288" s="4" t="s">
        <v>25538</v>
      </c>
      <c r="C20288" s="5" t="str">
        <f>IFERROR(__xludf.DUMMYFUNCTION("GOOGLETRANSLATE(B20288,""en"",""de"")"),"Er gibt einige sehr detaillierte Informationen für eine Weile, Tennis scheint etwas zu sein, das er sehr gut weiß.")</f>
        <v>Er gibt einige sehr detaillierte Informationen für eine Weile, Tennis scheint etwas zu sein, das er sehr gut weiß.</v>
      </c>
    </row>
    <row r="20289">
      <c r="A20289" s="4" t="s">
        <v>25535</v>
      </c>
      <c r="B20289" s="4" t="s">
        <v>25539</v>
      </c>
      <c r="C20289" s="5" t="str">
        <f>IFERROR(__xludf.DUMMYFUNCTION("GOOGLETRANSLATE(B20289,""en"",""de"")"),"Er zeigt, wie Sie den Ball richtig schlagen sollten und sprechen weiter.")</f>
        <v>Er zeigt, wie Sie den Ball richtig schlagen sollten und sprechen weiter.</v>
      </c>
    </row>
    <row r="20290">
      <c r="A20290" s="4" t="s">
        <v>25540</v>
      </c>
      <c r="B20290" s="4" t="s">
        <v>25541</v>
      </c>
      <c r="C20290" s="5" t="str">
        <f>IFERROR(__xludf.DUMMYFUNCTION("GOOGLETRANSLATE(B20290,""en"",""de"")"),"Frau ist in einem Offece und spricht mit Männern, die einen Weihnachtsbaum dekorieren.")</f>
        <v>Frau ist in einem Offece und spricht mit Männern, die einen Weihnachtsbaum dekorieren.</v>
      </c>
    </row>
    <row r="20291">
      <c r="A20291" s="4" t="s">
        <v>25540</v>
      </c>
      <c r="B20291" s="4" t="s">
        <v>25542</v>
      </c>
      <c r="C20291" s="5" t="str">
        <f>IFERROR(__xludf.DUMMYFUNCTION("GOOGLETRANSLATE(B20291,""en"",""de"")"),"Der Mensch spricht mit dem, der am Baum stand und ihm einen Barbie gibt.")</f>
        <v>Der Mensch spricht mit dem, der am Baum stand und ihm einen Barbie gibt.</v>
      </c>
    </row>
    <row r="20292">
      <c r="A20292" s="4" t="s">
        <v>25540</v>
      </c>
      <c r="B20292" s="4" t="s">
        <v>25543</v>
      </c>
      <c r="C20292" s="5" t="str">
        <f>IFERROR(__xludf.DUMMYFUNCTION("GOOGLETRANSLATE(B20292,""en"",""de"")"),"Der Mann geht zu einer Frau und spricht in der Ecke des Raumes.")</f>
        <v>Der Mann geht zu einer Frau und spricht in der Ecke des Raumes.</v>
      </c>
    </row>
    <row r="20293">
      <c r="A20293" s="4" t="s">
        <v>25540</v>
      </c>
      <c r="B20293" s="4" t="s">
        <v>25544</v>
      </c>
      <c r="C20293" s="5" t="str">
        <f>IFERROR(__xludf.DUMMYFUNCTION("GOOGLETRANSLATE(B20293,""en"",""de"")"),"Der Mann hält einen Ball neben dem Weihnachtsbaum, der die Bälle stellt.")</f>
        <v>Der Mann hält einen Ball neben dem Weihnachtsbaum, der die Bälle stellt.</v>
      </c>
    </row>
    <row r="20294">
      <c r="A20294" s="4" t="s">
        <v>25545</v>
      </c>
      <c r="B20294" s="4" t="s">
        <v>25546</v>
      </c>
      <c r="C20294" s="5" t="str">
        <f>IFERROR(__xludf.DUMMYFUNCTION("GOOGLETRANSLATE(B20294,""en"",""de"")"),"Ein Mann wird angezeigt, der an verschiedenen Teilen von Trainingsgeräten arbeitet und die Einstellungen anpasst.")</f>
        <v>Ein Mann wird angezeigt, der an verschiedenen Teilen von Trainingsgeräten arbeitet und die Einstellungen anpasst.</v>
      </c>
    </row>
    <row r="20295">
      <c r="A20295" s="4" t="s">
        <v>25545</v>
      </c>
      <c r="B20295" s="4" t="s">
        <v>25547</v>
      </c>
      <c r="C20295" s="5" t="str">
        <f>IFERROR(__xludf.DUMMYFUNCTION("GOOGLETRANSLATE(B20295,""en"",""de"")"),"Der Mann legt einen USB ein und fährt weiter auf den Maschinen herum.")</f>
        <v>Der Mann legt einen USB ein und fährt weiter auf den Maschinen herum.</v>
      </c>
    </row>
    <row r="20296">
      <c r="A20296" s="4" t="s">
        <v>25545</v>
      </c>
      <c r="B20296" s="4" t="s">
        <v>25548</v>
      </c>
      <c r="C20296" s="5" t="str">
        <f>IFERROR(__xludf.DUMMYFUNCTION("GOOGLETRANSLATE(B20296,""en"",""de"")"),"Er passt mehr Einstellungen an und schaut Fernsehen an, wenn er seine Füße und seinen Körper ausnutzt und nähert.")</f>
        <v>Er passt mehr Einstellungen an und schaut Fernsehen an, wenn er seine Füße und seinen Körper ausnutzt und nähert.</v>
      </c>
    </row>
    <row r="20297">
      <c r="A20297" s="4" t="s">
        <v>25549</v>
      </c>
      <c r="B20297" s="4" t="s">
        <v>25550</v>
      </c>
      <c r="C20297" s="5" t="str">
        <f>IFERROR(__xludf.DUMMYFUNCTION("GOOGLETRANSLATE(B20297,""en"",""de"")"),"Ein Mann wird gesehen, der in die Kamera schaut, die einen Rasiermesser hält.")</f>
        <v>Ein Mann wird gesehen, der in die Kamera schaut, die einen Rasiermesser hält.</v>
      </c>
    </row>
    <row r="20298">
      <c r="A20298" s="4" t="s">
        <v>25549</v>
      </c>
      <c r="B20298" s="4" t="s">
        <v>25551</v>
      </c>
      <c r="C20298" s="5" t="str">
        <f>IFERROR(__xludf.DUMMYFUNCTION("GOOGLETRANSLATE(B20298,""en"",""de"")"),"Er fängt an, sich das Gesicht zu rasieren, während er in den Spiegel schaut.")</f>
        <v>Er fängt an, sich das Gesicht zu rasieren, während er in den Spiegel schaut.</v>
      </c>
    </row>
    <row r="20299">
      <c r="A20299" s="4" t="s">
        <v>25549</v>
      </c>
      <c r="B20299" s="4" t="s">
        <v>25552</v>
      </c>
      <c r="C20299" s="5" t="str">
        <f>IFERROR(__xludf.DUMMYFUNCTION("GOOGLETRANSLATE(B20299,""en"",""de"")"),"Er zeigt auf den Rasierer und rasiert weiter sein Gesicht und schaut zur Kamera.")</f>
        <v>Er zeigt auf den Rasierer und rasiert weiter sein Gesicht und schaut zur Kamera.</v>
      </c>
    </row>
    <row r="20300">
      <c r="A20300" s="4" t="s">
        <v>25553</v>
      </c>
      <c r="B20300" s="4" t="s">
        <v>25554</v>
      </c>
      <c r="C20300" s="5" t="str">
        <f>IFERROR(__xludf.DUMMYFUNCTION("GOOGLETRANSLATE(B20300,""en"",""de"")"),"1 Ein Mann zeigt die Werkzeuge, um seine Katzen Nägel zu schneiden.")</f>
        <v>1 Ein Mann zeigt die Werkzeuge, um seine Katzen Nägel zu schneiden.</v>
      </c>
    </row>
    <row r="20301">
      <c r="A20301" s="4" t="s">
        <v>25553</v>
      </c>
      <c r="B20301" s="4" t="s">
        <v>25555</v>
      </c>
      <c r="C20301" s="5" t="str">
        <f>IFERROR(__xludf.DUMMYFUNCTION("GOOGLETRANSLATE(B20301,""en"",""de"")"),"2 Der Typ schließt die Katze ab.")</f>
        <v>2 Der Typ schließt die Katze ab.</v>
      </c>
    </row>
    <row r="20302">
      <c r="A20302" s="4" t="s">
        <v>25553</v>
      </c>
      <c r="B20302" s="4" t="s">
        <v>25556</v>
      </c>
      <c r="C20302" s="5" t="str">
        <f>IFERROR(__xludf.DUMMYFUNCTION("GOOGLETRANSLATE(B20302,""en"",""de"")"),"3 Der Typ hat die Katzen Nägel geschnitten und die Katze versucht, ihn ein paar Mal zu beißen.")</f>
        <v>3 Der Typ hat die Katzen Nägel geschnitten und die Katze versucht, ihn ein paar Mal zu beißen.</v>
      </c>
    </row>
    <row r="20303">
      <c r="A20303" s="4" t="s">
        <v>25553</v>
      </c>
      <c r="B20303" s="4" t="s">
        <v>25557</v>
      </c>
      <c r="C20303" s="5" t="str">
        <f>IFERROR(__xludf.DUMMYFUNCTION("GOOGLETRANSLATE(B20303,""en"",""de"")"),"4 Der Typ lässt die Katze gehen.")</f>
        <v>4 Der Typ lässt die Katze gehen.</v>
      </c>
    </row>
    <row r="20304">
      <c r="A20304" s="4" t="s">
        <v>25558</v>
      </c>
      <c r="B20304" s="4" t="s">
        <v>25559</v>
      </c>
      <c r="C20304" s="5" t="str">
        <f>IFERROR(__xludf.DUMMYFUNCTION("GOOGLETRANSLATE(B20304,""en"",""de"")"),"Ein junger Mann trinkt sechs Flaschen Bier, während eine Person auf dem Vordergrund eines Chronometers steht.")</f>
        <v>Ein junger Mann trinkt sechs Flaschen Bier, während eine Person auf dem Vordergrund eines Chronometers steht.</v>
      </c>
    </row>
    <row r="20305">
      <c r="A20305" s="4" t="s">
        <v>25558</v>
      </c>
      <c r="B20305" s="4" t="s">
        <v>25560</v>
      </c>
      <c r="C20305" s="5" t="str">
        <f>IFERROR(__xludf.DUMMYFUNCTION("GOOGLETRANSLATE(B20305,""en"",""de"")"),"Dann spuckt der junge Mann Bier auf die Person, die auf den Boden fällt.")</f>
        <v>Dann spuckt der junge Mann Bier auf die Person, die auf den Boden fällt.</v>
      </c>
    </row>
    <row r="20306">
      <c r="A20306" s="4" t="s">
        <v>25558</v>
      </c>
      <c r="B20306" s="4" t="s">
        <v>25561</v>
      </c>
      <c r="C20306" s="5" t="str">
        <f>IFERROR(__xludf.DUMMYFUNCTION("GOOGLETRANSLATE(B20306,""en"",""de"")"),"Danach nimmt der Mensch Sand aus, der seine Hose und das T-Shirt auszieht, dann dreht er sich auf das Gras.")</f>
        <v>Danach nimmt der Mensch Sand aus, der seine Hose und das T-Shirt auszieht, dann dreht er sich auf das Gras.</v>
      </c>
    </row>
    <row r="20307">
      <c r="A20307" s="4" t="s">
        <v>25562</v>
      </c>
      <c r="B20307" s="4" t="s">
        <v>25563</v>
      </c>
      <c r="C20307" s="5" t="str">
        <f>IFERROR(__xludf.DUMMYFUNCTION("GOOGLETRANSLATE(B20307,""en"",""de"")"),"Ein Mann legt sich auf dem Boden, während er laut aussprach und seine Arme über seine Brust verschränkt.")</f>
        <v>Ein Mann legt sich auf dem Boden, während er laut aussprach und seine Arme über seine Brust verschränkt.</v>
      </c>
    </row>
    <row r="20308">
      <c r="A20308" s="4" t="s">
        <v>25562</v>
      </c>
      <c r="B20308" s="4" t="s">
        <v>25564</v>
      </c>
      <c r="C20308" s="5" t="str">
        <f>IFERROR(__xludf.DUMMYFUNCTION("GOOGLETRANSLATE(B20308,""en"",""de"")"),"Der Mann macht dann mehrere Crunches auf verschiedene Weise und endet, indem er mit der Kamera spricht.")</f>
        <v>Der Mann macht dann mehrere Crunches auf verschiedene Weise und endet, indem er mit der Kamera spricht.</v>
      </c>
    </row>
    <row r="20309">
      <c r="A20309" s="4" t="s">
        <v>25565</v>
      </c>
      <c r="B20309" s="4" t="s">
        <v>25566</v>
      </c>
      <c r="C20309" s="5" t="str">
        <f>IFERROR(__xludf.DUMMYFUNCTION("GOOGLETRANSLATE(B20309,""en"",""de"")"),"Ein Dach wird durch PVC repariert.")</f>
        <v>Ein Dach wird durch PVC repariert.</v>
      </c>
    </row>
    <row r="20310">
      <c r="A20310" s="4" t="s">
        <v>25565</v>
      </c>
      <c r="B20310" s="4" t="s">
        <v>25567</v>
      </c>
      <c r="C20310" s="5" t="str">
        <f>IFERROR(__xludf.DUMMYFUNCTION("GOOGLETRANSLATE(B20310,""en"",""de"")"),"Das Dach wird gereinigt und das Siegel wird wieder hergestellt.")</f>
        <v>Das Dach wird gereinigt und das Siegel wird wieder hergestellt.</v>
      </c>
    </row>
    <row r="20311">
      <c r="A20311" s="4" t="s">
        <v>25568</v>
      </c>
      <c r="B20311" s="4" t="s">
        <v>25569</v>
      </c>
      <c r="C20311" s="5" t="str">
        <f>IFERROR(__xludf.DUMMYFUNCTION("GOOGLETRANSLATE(B20311,""en"",""de"")"),"Der Junge hält seine Augenlider und stellt sich in eine Kontaktlinse.")</f>
        <v>Der Junge hält seine Augenlider und stellt sich in eine Kontaktlinse.</v>
      </c>
    </row>
    <row r="20312">
      <c r="A20312" s="4" t="s">
        <v>25568</v>
      </c>
      <c r="B20312" s="4" t="s">
        <v>25570</v>
      </c>
      <c r="C20312" s="5" t="str">
        <f>IFERROR(__xludf.DUMMYFUNCTION("GOOGLETRANSLATE(B20312,""en"",""de"")"),"Der Mann neigt sich zurück und schließt seine Augen, um die Kontaktlinse anzupassen.")</f>
        <v>Der Mann neigt sich zurück und schließt seine Augen, um die Kontaktlinse anzupassen.</v>
      </c>
    </row>
    <row r="20313">
      <c r="A20313" s="4" t="s">
        <v>25568</v>
      </c>
      <c r="B20313" s="4" t="s">
        <v>25571</v>
      </c>
      <c r="C20313" s="5" t="str">
        <f>IFERROR(__xludf.DUMMYFUNCTION("GOOGLETRANSLATE(B20313,""en"",""de"")"),"Der Mann reibt sich die Augen und öffnet sie weit, um die Kontakte zu zeigen.")</f>
        <v>Der Mann reibt sich die Augen und öffnet sie weit, um die Kontakte zu zeigen.</v>
      </c>
    </row>
    <row r="20314">
      <c r="A20314" s="4" t="s">
        <v>25572</v>
      </c>
      <c r="B20314" s="4" t="s">
        <v>25573</v>
      </c>
      <c r="C20314" s="5" t="str">
        <f>IFERROR(__xludf.DUMMYFUNCTION("GOOGLETRANSLATE(B20314,""en"",""de"")"),"Die Menschen sind in einem Fitnessstudio und trainieren einige Liegestütze und dehnen sich.")</f>
        <v>Die Menschen sind in einem Fitnessstudio und trainieren einige Liegestütze und dehnen sich.</v>
      </c>
    </row>
    <row r="20315">
      <c r="A20315" s="4" t="s">
        <v>25572</v>
      </c>
      <c r="B20315" s="4" t="s">
        <v>25574</v>
      </c>
      <c r="C20315" s="5" t="str">
        <f>IFERROR(__xludf.DUMMYFUNCTION("GOOGLETRANSLATE(B20315,""en"",""de"")"),"Männer beginnen das Fitnessstudio und bringen einige Matten und Saiten in das GE -Fitnessstudio.")</f>
        <v>Männer beginnen das Fitnessstudio und bringen einige Matten und Saiten in das GE -Fitnessstudio.</v>
      </c>
    </row>
    <row r="20316">
      <c r="A20316" s="4" t="s">
        <v>25572</v>
      </c>
      <c r="B20316" s="4" t="s">
        <v>25575</v>
      </c>
      <c r="C20316" s="5" t="str">
        <f>IFERROR(__xludf.DUMMYFUNCTION("GOOGLETRANSLATE(B20316,""en"",""de"")"),"Die Leute balancieren auf den Srings im Fitnessstudio und springen im Gummibatt im Fitnessstudio.")</f>
        <v>Die Leute balancieren auf den Srings im Fitnessstudio und springen im Gummibatt im Fitnessstudio.</v>
      </c>
    </row>
    <row r="20317">
      <c r="A20317" s="4" t="s">
        <v>25572</v>
      </c>
      <c r="B20317" s="4" t="s">
        <v>25576</v>
      </c>
      <c r="C20317" s="5" t="str">
        <f>IFERROR(__xludf.DUMMYFUNCTION("GOOGLETRANSLATE(B20317,""en"",""de"")"),"Männer und Frauen balancieren auf der Schnur und machen Tricks, die Sprünge machen.")</f>
        <v>Männer und Frauen balancieren auf der Schnur und machen Tricks, die Sprünge machen.</v>
      </c>
    </row>
    <row r="20318">
      <c r="A20318" s="4" t="s">
        <v>25577</v>
      </c>
      <c r="B20318" s="4" t="s">
        <v>25578</v>
      </c>
      <c r="C20318" s="5" t="str">
        <f>IFERROR(__xludf.DUMMYFUNCTION("GOOGLETRANSLATE(B20318,""en"",""de"")"),"Der Mensch steht in der Haltung einer Mundharmonika, während er Gitarre spielt und das Musikliett liest.")</f>
        <v>Der Mensch steht in der Haltung einer Mundharmonika, während er Gitarre spielt und das Musikliett liest.</v>
      </c>
    </row>
    <row r="20319">
      <c r="A20319" s="4" t="s">
        <v>25577</v>
      </c>
      <c r="B20319" s="4" t="s">
        <v>25579</v>
      </c>
      <c r="C20319" s="5" t="str">
        <f>IFERROR(__xludf.DUMMYFUNCTION("GOOGLETRANSLATE(B20319,""en"",""de"")"),"Der Mensch lehrt, wie man die Mundharmonika im Schlüssel von A und sein Reden und Gitarre spielt.")</f>
        <v>Der Mensch lehrt, wie man die Mundharmonika im Schlüssel von A und sein Reden und Gitarre spielt.</v>
      </c>
    </row>
    <row r="20320">
      <c r="A20320" s="4" t="s">
        <v>25580</v>
      </c>
      <c r="B20320" s="4" t="s">
        <v>25581</v>
      </c>
      <c r="C20320" s="5" t="str">
        <f>IFERROR(__xludf.DUMMYFUNCTION("GOOGLETRANSLATE(B20320,""en"",""de"")"),"Es werden mehrere Clips aus Menschen gezeigt, die auf Kajaks in Wasser fahren.")</f>
        <v>Es werden mehrere Clips aus Menschen gezeigt, die auf Kajaks in Wasser fahren.</v>
      </c>
    </row>
    <row r="20321">
      <c r="A20321" s="4" t="s">
        <v>25580</v>
      </c>
      <c r="B20321" s="4" t="s">
        <v>25582</v>
      </c>
      <c r="C20321" s="5" t="str">
        <f>IFERROR(__xludf.DUMMYFUNCTION("GOOGLETRANSLATE(B20321,""en"",""de"")"),"Die Personen führen Flips im Wasser durch, während Text angezeigt wird.")</f>
        <v>Die Personen führen Flips im Wasser durch, während Text angezeigt wird.</v>
      </c>
    </row>
    <row r="20322">
      <c r="A20322" s="4" t="s">
        <v>25580</v>
      </c>
      <c r="B20322" s="4" t="s">
        <v>25583</v>
      </c>
      <c r="C20322" s="5" t="str">
        <f>IFERROR(__xludf.DUMMYFUNCTION("GOOGLETRANSLATE(B20322,""en"",""de"")"),"Weitere Clips werden von Menschen gezeigt, die im Wasser reiten und Flips in den Kajaks machen.")</f>
        <v>Weitere Clips werden von Menschen gezeigt, die im Wasser reiten und Flips in den Kajaks machen.</v>
      </c>
    </row>
    <row r="20323">
      <c r="A20323" s="4" t="s">
        <v>25584</v>
      </c>
      <c r="B20323" s="4" t="s">
        <v>25585</v>
      </c>
      <c r="C20323" s="5" t="str">
        <f>IFERROR(__xludf.DUMMYFUNCTION("GOOGLETRANSLATE(B20323,""en"",""de"")"),"Ein Feuerwehrmann wird sehr langsam auf einem engen Seil in seiner Ausrüstung laufen.")</f>
        <v>Ein Feuerwehrmann wird sehr langsam auf einem engen Seil in seiner Ausrüstung laufen.</v>
      </c>
    </row>
    <row r="20324">
      <c r="A20324" s="4" t="s">
        <v>25584</v>
      </c>
      <c r="B20324" s="4" t="s">
        <v>25586</v>
      </c>
      <c r="C20324" s="5" t="str">
        <f>IFERROR(__xludf.DUMMYFUNCTION("GOOGLETRANSLATE(B20324,""en"",""de"")"),"Er bewegt sich gegen Ende am Seil und geht zurück zum Start, bis er versagt.")</f>
        <v>Er bewegt sich gegen Ende am Seil und geht zurück zum Start, bis er versagt.</v>
      </c>
    </row>
    <row r="20325">
      <c r="A20325" s="4" t="s">
        <v>25587</v>
      </c>
      <c r="B20325" s="4" t="s">
        <v>21512</v>
      </c>
      <c r="C20325" s="5" t="str">
        <f>IFERROR(__xludf.DUMMYFUNCTION("GOOGLETRANSLATE(B20325,""en"",""de"")"),"Ein Mann kniet auf einer blauen Matte.")</f>
        <v>Ein Mann kniet auf einer blauen Matte.</v>
      </c>
    </row>
    <row r="20326">
      <c r="A20326" s="4" t="s">
        <v>25587</v>
      </c>
      <c r="B20326" s="4" t="s">
        <v>25588</v>
      </c>
      <c r="C20326" s="5" t="str">
        <f>IFERROR(__xludf.DUMMYFUNCTION("GOOGLETRANSLATE(B20326,""en"",""de"")"),"Ein Mann steht hinter ihm auf und redet sich.")</f>
        <v>Ein Mann steht hinter ihm auf und redet sich.</v>
      </c>
    </row>
    <row r="20327">
      <c r="A20327" s="4" t="s">
        <v>25587</v>
      </c>
      <c r="B20327" s="4" t="s">
        <v>25589</v>
      </c>
      <c r="C20327" s="5" t="str">
        <f>IFERROR(__xludf.DUMMYFUNCTION("GOOGLETRANSLATE(B20327,""en"",""de"")"),"Der Mann auf der Matte hat einen braunen Gürtel um seine Taille.")</f>
        <v>Der Mann auf der Matte hat einen braunen Gürtel um seine Taille.</v>
      </c>
    </row>
    <row r="20328">
      <c r="A20328" s="4" t="s">
        <v>25590</v>
      </c>
      <c r="B20328" s="4" t="s">
        <v>25591</v>
      </c>
      <c r="C20328" s="5" t="str">
        <f>IFERROR(__xludf.DUMMYFUNCTION("GOOGLETRANSLATE(B20328,""en"",""de"")"),"Zwei Menschen gehen aus einem Gebäude heraus und führen in sie und spielen miteinander Häkeln.")</f>
        <v>Zwei Menschen gehen aus einem Gebäude heraus und führen in sie und spielen miteinander Häkeln.</v>
      </c>
    </row>
    <row r="20329">
      <c r="A20329" s="4" t="s">
        <v>25590</v>
      </c>
      <c r="B20329" s="4" t="s">
        <v>25592</v>
      </c>
      <c r="C20329" s="5" t="str">
        <f>IFERROR(__xludf.DUMMYFUNCTION("GOOGLETRANSLATE(B20329,""en"",""de"")"),"Die Männer schlagen weiterhin den Ball um den Hof, während sie miteinander sprechen und den Ball messen.")</f>
        <v>Die Männer schlagen weiterhin den Ball um den Hof, während sie miteinander sprechen und den Ball messen.</v>
      </c>
    </row>
    <row r="20330">
      <c r="A20330" s="4" t="s">
        <v>25590</v>
      </c>
      <c r="B20330" s="4" t="s">
        <v>25593</v>
      </c>
      <c r="C20330" s="5" t="str">
        <f>IFERROR(__xludf.DUMMYFUNCTION("GOOGLETRANSLATE(B20330,""en"",""de"")"),"Die Männer spielen weiter und einer streckt seinen Arm aus und endet, indem er weggeht.")</f>
        <v>Die Männer spielen weiter und einer streckt seinen Arm aus und endet, indem er weggeht.</v>
      </c>
    </row>
    <row r="20331">
      <c r="A20331" s="4" t="s">
        <v>25594</v>
      </c>
      <c r="B20331" s="4" t="s">
        <v>25595</v>
      </c>
      <c r="C20331" s="5" t="str">
        <f>IFERROR(__xludf.DUMMYFUNCTION("GOOGLETRANSLATE(B20331,""en"",""de"")"),"Ein Mann bläst vor einem Raum mit Menschen ein Whitor.")</f>
        <v>Ein Mann bläst vor einem Raum mit Menschen ein Whitor.</v>
      </c>
    </row>
    <row r="20332">
      <c r="A20332" s="4" t="s">
        <v>25594</v>
      </c>
      <c r="B20332" s="4" t="s">
        <v>25596</v>
      </c>
      <c r="C20332" s="5" t="str">
        <f>IFERROR(__xludf.DUMMYFUNCTION("GOOGLETRANSLATE(B20332,""en"",""de"")"),"Sie spielen Bierpong mit mehreren roten Solo -Tassen, die zwischen den Spielen trinken.")</f>
        <v>Sie spielen Bierpong mit mehreren roten Solo -Tassen, die zwischen den Spielen trinken.</v>
      </c>
    </row>
    <row r="20333">
      <c r="A20333" s="4" t="s">
        <v>25594</v>
      </c>
      <c r="B20333" s="4" t="s">
        <v>25597</v>
      </c>
      <c r="C20333" s="5" t="str">
        <f>IFERROR(__xludf.DUMMYFUNCTION("GOOGLETRANSLATE(B20333,""en"",""de"")"),"Eine blonde Frau sieht zu, wie ein Mann das Spiel gewinnt und die Frau neben ihm umarmt.")</f>
        <v>Eine blonde Frau sieht zu, wie ein Mann das Spiel gewinnt und die Frau neben ihm umarmt.</v>
      </c>
    </row>
    <row r="20334">
      <c r="A20334" s="4" t="s">
        <v>25598</v>
      </c>
      <c r="B20334" s="4" t="s">
        <v>25599</v>
      </c>
      <c r="C20334" s="5" t="str">
        <f>IFERROR(__xludf.DUMMYFUNCTION("GOOGLETRANSLATE(B20334,""en"",""de"")"),"Es wird ein Wasserpolo -Match gezeigt und eine Person erzielt Ziele.")</f>
        <v>Es wird ein Wasserpolo -Match gezeigt und eine Person erzielt Ziele.</v>
      </c>
    </row>
    <row r="20335">
      <c r="A20335" s="4" t="s">
        <v>25598</v>
      </c>
      <c r="B20335" s="4" t="s">
        <v>25600</v>
      </c>
      <c r="C20335" s="5" t="str">
        <f>IFERROR(__xludf.DUMMYFUNCTION("GOOGLETRANSLATE(B20335,""en"",""de"")"),"Dies ist ein Rekrutierungsvideo.")</f>
        <v>Dies ist ein Rekrutierungsvideo.</v>
      </c>
    </row>
    <row r="20336">
      <c r="A20336" s="4" t="s">
        <v>25601</v>
      </c>
      <c r="B20336" s="4" t="s">
        <v>25602</v>
      </c>
      <c r="C20336" s="5" t="str">
        <f>IFERROR(__xludf.DUMMYFUNCTION("GOOGLETRANSLATE(B20336,""en"",""de"")"),"Eine Person in einem schwarzen T-Shirt steckt die Nägel an den vorderen Pfoten einer braunen und braun gesprenkelten Katze.")</f>
        <v>Eine Person in einem schwarzen T-Shirt steckt die Nägel an den vorderen Pfoten einer braunen und braun gesprenkelten Katze.</v>
      </c>
    </row>
    <row r="20337">
      <c r="A20337" s="4" t="s">
        <v>25601</v>
      </c>
      <c r="B20337" s="4" t="s">
        <v>25603</v>
      </c>
      <c r="C20337" s="5" t="str">
        <f>IFERROR(__xludf.DUMMYFUNCTION("GOOGLETRANSLATE(B20337,""en"",""de"")"),"Eine braune und braun gesprenkelte Katze liegt auf einem weißen Kissen, wenn eine Person in ein Paar Nagelschneider mit rotem Handlungsstrang hält.")</f>
        <v>Eine braune und braun gesprenkelte Katze liegt auf einem weißen Kissen, wenn eine Person in ein Paar Nagelschneider mit rotem Handlungsstrang hält.</v>
      </c>
    </row>
    <row r="20338">
      <c r="A20338" s="4" t="s">
        <v>25601</v>
      </c>
      <c r="B20338" s="4" t="s">
        <v>25604</v>
      </c>
      <c r="C20338" s="5" t="str">
        <f>IFERROR(__xludf.DUMMYFUNCTION("GOOGLETRANSLATE(B20338,""en"",""de"")"),"Die Person schneidet die Vorderboten der Katze, während die Katze weitergeht.")</f>
        <v>Die Person schneidet die Vorderboten der Katze, während die Katze weitergeht.</v>
      </c>
    </row>
    <row r="20339">
      <c r="A20339" s="4" t="s">
        <v>25601</v>
      </c>
      <c r="B20339" s="4" t="s">
        <v>25605</v>
      </c>
      <c r="C20339" s="5" t="str">
        <f>IFERROR(__xludf.DUMMYFUNCTION("GOOGLETRANSLATE(B20339,""en"",""de"")"),"Die Person beendet die Nägel der Katze und streichelt den Katzen Kopf und zeigt die Clippers in der Nähe der Kamera, bevor sie weggehen.")</f>
        <v>Die Person beendet die Nägel der Katze und streichelt den Katzen Kopf und zeigt die Clippers in der Nähe der Kamera, bevor sie weggehen.</v>
      </c>
    </row>
    <row r="20340">
      <c r="A20340" s="4" t="s">
        <v>25606</v>
      </c>
      <c r="B20340" s="4" t="s">
        <v>25607</v>
      </c>
      <c r="C20340" s="5" t="str">
        <f>IFERROR(__xludf.DUMMYFUNCTION("GOOGLETRANSLATE(B20340,""en"",""de"")"),"Zwei Jungen ringen in einem Schlafzimmer.")</f>
        <v>Zwei Jungen ringen in einem Schlafzimmer.</v>
      </c>
    </row>
    <row r="20341">
      <c r="A20341" s="4" t="s">
        <v>25606</v>
      </c>
      <c r="B20341" s="4" t="s">
        <v>25608</v>
      </c>
      <c r="C20341" s="5" t="str">
        <f>IFERROR(__xludf.DUMMYFUNCTION("GOOGLETRANSLATE(B20341,""en"",""de"")"),"Ein Junge wird abgeholt und auf das Bett geworfen.")</f>
        <v>Ein Junge wird abgeholt und auf das Bett geworfen.</v>
      </c>
    </row>
    <row r="20342">
      <c r="A20342" s="4" t="s">
        <v>25606</v>
      </c>
      <c r="B20342" s="4" t="s">
        <v>25609</v>
      </c>
      <c r="C20342" s="5" t="str">
        <f>IFERROR(__xludf.DUMMYFUNCTION("GOOGLETRANSLATE(B20342,""en"",""de"")"),"Der Junge schaltet die Kamera aus.")</f>
        <v>Der Junge schaltet die Kamera aus.</v>
      </c>
    </row>
    <row r="20343">
      <c r="A20343" s="4" t="s">
        <v>25610</v>
      </c>
      <c r="B20343" s="4" t="s">
        <v>25611</v>
      </c>
      <c r="C20343" s="5" t="str">
        <f>IFERROR(__xludf.DUMMYFUNCTION("GOOGLETRANSLATE(B20343,""en"",""de"")"),"Eine durchdringende Künstlerin steckt eine Bar in die Brustwarze einer Frau.")</f>
        <v>Eine durchdringende Künstlerin steckt eine Bar in die Brustwarze einer Frau.</v>
      </c>
    </row>
    <row r="20344">
      <c r="A20344" s="4" t="s">
        <v>25610</v>
      </c>
      <c r="B20344" s="4" t="s">
        <v>25612</v>
      </c>
      <c r="C20344" s="5" t="str">
        <f>IFERROR(__xludf.DUMMYFUNCTION("GOOGLETRANSLATE(B20344,""en"",""de"")"),"Der Mann schraubt auf Hardware bis zum Ende des Piercings.")</f>
        <v>Der Mann schraubt auf Hardware bis zum Ende des Piercings.</v>
      </c>
    </row>
    <row r="20345">
      <c r="A20345" s="4" t="s">
        <v>25610</v>
      </c>
      <c r="B20345" s="4" t="s">
        <v>25613</v>
      </c>
      <c r="C20345" s="5" t="str">
        <f>IFERROR(__xludf.DUMMYFUNCTION("GOOGLETRANSLATE(B20345,""en"",""de"")"),"Die Frau, die ein Kostüm trägt, sitzt und zeigt ihre neuen Piercings.")</f>
        <v>Die Frau, die ein Kostüm trägt, sitzt und zeigt ihre neuen Piercings.</v>
      </c>
    </row>
    <row r="20346">
      <c r="A20346" s="4" t="s">
        <v>25614</v>
      </c>
      <c r="B20346" s="4" t="s">
        <v>25615</v>
      </c>
      <c r="C20346" s="5" t="str">
        <f>IFERROR(__xludf.DUMMYFUNCTION("GOOGLETRANSLATE(B20346,""en"",""de"")"),"Eine Frau, die eine Zigarette raucht, spricht mit einer anderen darüber, wie viel sie rauchen muss.")</f>
        <v>Eine Frau, die eine Zigarette raucht, spricht mit einer anderen darüber, wie viel sie rauchen muss.</v>
      </c>
    </row>
    <row r="20347">
      <c r="A20347" s="4" t="s">
        <v>25614</v>
      </c>
      <c r="B20347" s="4" t="s">
        <v>25616</v>
      </c>
      <c r="C20347" s="5" t="str">
        <f>IFERROR(__xludf.DUMMYFUNCTION("GOOGLETRANSLATE(B20347,""en"",""de"")"),"Sie sprechen weiterhin über ihre Rauchgewohnheit und darüber, was sie tun können, um weiter zu rauchen, wenn sie möchten.")</f>
        <v>Sie sprechen weiterhin über ihre Rauchgewohnheit und darüber, was sie tun können, um weiter zu rauchen, wenn sie möchten.</v>
      </c>
    </row>
    <row r="20348">
      <c r="A20348" s="4" t="s">
        <v>25617</v>
      </c>
      <c r="B20348" s="4" t="s">
        <v>25618</v>
      </c>
      <c r="C20348" s="5" t="str">
        <f>IFERROR(__xludf.DUMMYFUNCTION("GOOGLETRANSLATE(B20348,""en"",""de"")"),"Ein Mann kommt auf den Bildschirm, um ein Video über ihn vorzustellen, um Bäume zu trimmen.")</f>
        <v>Ein Mann kommt auf den Bildschirm, um ein Video über ihn vorzustellen, um Bäume zu trimmen.</v>
      </c>
    </row>
    <row r="20349">
      <c r="A20349" s="4" t="s">
        <v>25617</v>
      </c>
      <c r="B20349" s="4" t="s">
        <v>25619</v>
      </c>
      <c r="C20349" s="5" t="str">
        <f>IFERROR(__xludf.DUMMYFUNCTION("GOOGLETRANSLATE(B20349,""en"",""de"")"),"Er nimmt eine Trimmsäge auf und beginnt den Motor.")</f>
        <v>Er nimmt eine Trimmsäge auf und beginnt den Motor.</v>
      </c>
    </row>
    <row r="20350">
      <c r="A20350" s="4" t="s">
        <v>25617</v>
      </c>
      <c r="B20350" s="4" t="s">
        <v>25620</v>
      </c>
      <c r="C20350" s="5" t="str">
        <f>IFERROR(__xludf.DUMMYFUNCTION("GOOGLETRANSLATE(B20350,""en"",""de"")"),"Er steigt die Leiter und beginnt den Baum zu schneiden.")</f>
        <v>Er steigt die Leiter und beginnt den Baum zu schneiden.</v>
      </c>
    </row>
    <row r="20351">
      <c r="A20351" s="4" t="s">
        <v>25617</v>
      </c>
      <c r="B20351" s="4" t="s">
        <v>25621</v>
      </c>
      <c r="C20351" s="5" t="str">
        <f>IFERROR(__xludf.DUMMYFUNCTION("GOOGLETRANSLATE(B20351,""en"",""de"")"),"Er schaut zurück zur Kamera und lächelt.")</f>
        <v>Er schaut zurück zur Kamera und lächelt.</v>
      </c>
    </row>
    <row r="20352">
      <c r="A20352" s="4" t="s">
        <v>25622</v>
      </c>
      <c r="B20352" s="4" t="s">
        <v>25623</v>
      </c>
      <c r="C20352" s="5" t="str">
        <f>IFERROR(__xludf.DUMMYFUNCTION("GOOGLETRANSLATE(B20352,""en"",""de"")"),"Eine blonde Frau, die ein Kleid trägt, hat zwei, nebeneinander auf und spielt eine Geige.")</f>
        <v>Eine blonde Frau, die ein Kleid trägt, hat zwei, nebeneinander auf und spielt eine Geige.</v>
      </c>
    </row>
    <row r="20353">
      <c r="A20353" s="4" t="s">
        <v>25622</v>
      </c>
      <c r="B20353" s="4" t="s">
        <v>25624</v>
      </c>
      <c r="C20353" s="5" t="str">
        <f>IFERROR(__xludf.DUMMYFUNCTION("GOOGLETRANSLATE(B20353,""en"",""de"")"),"Sie spielt zwei verschiedene Melodien auf der Geige und endet gleichzeitig zusammen und lächelt gegen die Kamera.")</f>
        <v>Sie spielt zwei verschiedene Melodien auf der Geige und endet gleichzeitig zusammen und lächelt gegen die Kamera.</v>
      </c>
    </row>
    <row r="20354">
      <c r="A20354" s="4" t="s">
        <v>25625</v>
      </c>
      <c r="B20354" s="4" t="s">
        <v>25626</v>
      </c>
      <c r="C20354" s="5" t="str">
        <f>IFERROR(__xludf.DUMMYFUNCTION("GOOGLETRANSLATE(B20354,""en"",""de"")"),"Ein Mann steht draußen im dunklen Rauch eine Zigarette vor einer grünen Garage.")</f>
        <v>Ein Mann steht draußen im dunklen Rauch eine Zigarette vor einer grünen Garage.</v>
      </c>
    </row>
    <row r="20355">
      <c r="A20355" s="4" t="s">
        <v>25625</v>
      </c>
      <c r="B20355" s="4" t="s">
        <v>25627</v>
      </c>
      <c r="C20355" s="5" t="str">
        <f>IFERROR(__xludf.DUMMYFUNCTION("GOOGLETRANSLATE(B20355,""en"",""de"")"),"Danach wird ein Bild einer Lunge gezeigt und zeigt, wie sich Zigaretten auf Ihre Organe auswirken.")</f>
        <v>Danach wird ein Bild einer Lunge gezeigt und zeigt, wie sich Zigaretten auf Ihre Organe auswirken.</v>
      </c>
    </row>
    <row r="20356">
      <c r="A20356" s="4" t="s">
        <v>25628</v>
      </c>
      <c r="B20356" s="4" t="s">
        <v>25629</v>
      </c>
      <c r="C20356" s="5" t="str">
        <f>IFERROR(__xludf.DUMMYFUNCTION("GOOGLETRANSLATE(B20356,""en"",""de"")"),"Eine Frau zeigt, wie man Tai Chi draußen im Gras macht.")</f>
        <v>Eine Frau zeigt, wie man Tai Chi draußen im Gras macht.</v>
      </c>
    </row>
    <row r="20357">
      <c r="A20357" s="4" t="s">
        <v>25628</v>
      </c>
      <c r="B20357" s="4" t="s">
        <v>25630</v>
      </c>
      <c r="C20357" s="5" t="str">
        <f>IFERROR(__xludf.DUMMYFUNCTION("GOOGLETRANSLATE(B20357,""en"",""de"")"),"Die gleiche Frau demonstriert Tai Chi im Innenräumen auf einer Bühne.")</f>
        <v>Die gleiche Frau demonstriert Tai Chi im Innenräumen auf einer Bühne.</v>
      </c>
    </row>
    <row r="20358">
      <c r="A20358" s="4" t="s">
        <v>25628</v>
      </c>
      <c r="B20358" s="4" t="s">
        <v>25631</v>
      </c>
      <c r="C20358" s="5" t="str">
        <f>IFERROR(__xludf.DUMMYFUNCTION("GOOGLETRANSLATE(B20358,""en"",""de"")"),"Eine zweite Frau schließt sich der ersten Frau an, die zum Nachweis hilft.")</f>
        <v>Eine zweite Frau schließt sich der ersten Frau an, die zum Nachweis hilft.</v>
      </c>
    </row>
    <row r="20359">
      <c r="A20359" s="4" t="s">
        <v>25632</v>
      </c>
      <c r="B20359" s="4" t="s">
        <v>25633</v>
      </c>
      <c r="C20359" s="5" t="str">
        <f>IFERROR(__xludf.DUMMYFUNCTION("GOOGLETRANSLATE(B20359,""en"",""de"")"),"In einem Geschäft werden mehrere akustische Gitarren der Seagull -Marke angezeigt.")</f>
        <v>In einem Geschäft werden mehrere akustische Gitarren der Seagull -Marke angezeigt.</v>
      </c>
    </row>
    <row r="20360">
      <c r="A20360" s="4" t="s">
        <v>25632</v>
      </c>
      <c r="B20360" s="4" t="s">
        <v>25634</v>
      </c>
      <c r="C20360" s="5" t="str">
        <f>IFERROR(__xludf.DUMMYFUNCTION("GOOGLETRANSLATE(B20360,""en"",""de"")"),"Ein Mann, der schwarz gekleidet ist und auf einem Hocker sitzt, spielt die Akustikgitarre in dem Laden, in dem die Gitarren ausgestellt werden.")</f>
        <v>Ein Mann, der schwarz gekleidet ist und auf einem Hocker sitzt, spielt die Akustikgitarre in dem Laden, in dem die Gitarren ausgestellt werden.</v>
      </c>
    </row>
    <row r="20361">
      <c r="A20361" s="4" t="s">
        <v>25632</v>
      </c>
      <c r="B20361" s="4" t="s">
        <v>25635</v>
      </c>
      <c r="C20361" s="5" t="str">
        <f>IFERROR(__xludf.DUMMYFUNCTION("GOOGLETRANSLATE(B20361,""en"",""de"")"),"Der Mann spielt weiter Gitarre.")</f>
        <v>Der Mann spielt weiter Gitarre.</v>
      </c>
    </row>
    <row r="20362">
      <c r="A20362" s="4" t="s">
        <v>25636</v>
      </c>
      <c r="B20362" s="4" t="s">
        <v>25637</v>
      </c>
      <c r="C20362" s="5" t="str">
        <f>IFERROR(__xludf.DUMMYFUNCTION("GOOGLETRANSLATE(B20362,""en"",""de"")"),"Mehrere Männer stehen um eine Pinata.")</f>
        <v>Mehrere Männer stehen um eine Pinata.</v>
      </c>
    </row>
    <row r="20363">
      <c r="A20363" s="4" t="s">
        <v>25636</v>
      </c>
      <c r="B20363" s="4" t="s">
        <v>25638</v>
      </c>
      <c r="C20363" s="5" t="str">
        <f>IFERROR(__xludf.DUMMYFUNCTION("GOOGLETRANSLATE(B20363,""en"",""de"")"),"Ein Mann dreht einen Mann mit verbundenen Augen herum.")</f>
        <v>Ein Mann dreht einen Mann mit verbundenen Augen herum.</v>
      </c>
    </row>
    <row r="20364">
      <c r="A20364" s="4" t="s">
        <v>25636</v>
      </c>
      <c r="B20364" s="4" t="s">
        <v>25639</v>
      </c>
      <c r="C20364" s="5" t="str">
        <f>IFERROR(__xludf.DUMMYFUNCTION("GOOGLETRANSLATE(B20364,""en"",""de"")"),"Der Mann mit verbundenen Augen nimmt ein paar Schaukeln in die Pinata.")</f>
        <v>Der Mann mit verbundenen Augen nimmt ein paar Schaukeln in die Pinata.</v>
      </c>
    </row>
    <row r="20365">
      <c r="A20365" s="4" t="s">
        <v>25636</v>
      </c>
      <c r="B20365" s="4" t="s">
        <v>25640</v>
      </c>
      <c r="C20365" s="5" t="str">
        <f>IFERROR(__xludf.DUMMYFUNCTION("GOOGLETRANSLATE(B20365,""en"",""de"")"),"Eine Frau im roten Hemd lacht.")</f>
        <v>Eine Frau im roten Hemd lacht.</v>
      </c>
    </row>
    <row r="20366">
      <c r="A20366" s="4" t="s">
        <v>25641</v>
      </c>
      <c r="B20366" s="4" t="s">
        <v>25642</v>
      </c>
      <c r="C20366" s="5" t="str">
        <f>IFERROR(__xludf.DUMMYFUNCTION("GOOGLETRANSLATE(B20366,""en"",""de"")"),"Eine Frau legt sich auf der Couch, wenn ein anderes Mädchen über ihr sitzt.")</f>
        <v>Eine Frau legt sich auf der Couch, wenn ein anderes Mädchen über ihr sitzt.</v>
      </c>
    </row>
    <row r="20367">
      <c r="A20367" s="4" t="s">
        <v>25641</v>
      </c>
      <c r="B20367" s="4" t="s">
        <v>25643</v>
      </c>
      <c r="C20367" s="5" t="str">
        <f>IFERROR(__xludf.DUMMYFUNCTION("GOOGLETRANSLATE(B20367,""en"",""de"")"),"Dem Mädchen wird dann gezeigt, wie sich die Brustwarze des Mädchens hinunterlegt.")</f>
        <v>Dem Mädchen wird dann gezeigt, wie sich die Brustwarze des Mädchens hinunterlegt.</v>
      </c>
    </row>
    <row r="20368">
      <c r="A20368" s="4" t="s">
        <v>25641</v>
      </c>
      <c r="B20368" s="4" t="s">
        <v>25644</v>
      </c>
      <c r="C20368" s="5" t="str">
        <f>IFERROR(__xludf.DUMMYFUNCTION("GOOGLETRANSLATE(B20368,""en"",""de"")"),"Sie beendet das Piercing und endet, indem sie zur Kamera lächelt.")</f>
        <v>Sie beendet das Piercing und endet, indem sie zur Kamera lächelt.</v>
      </c>
    </row>
    <row r="20369">
      <c r="A20369" s="4" t="s">
        <v>25645</v>
      </c>
      <c r="B20369" s="4" t="s">
        <v>25646</v>
      </c>
      <c r="C20369" s="5" t="str">
        <f>IFERROR(__xludf.DUMMYFUNCTION("GOOGLETRANSLATE(B20369,""en"",""de"")"),"Ein Cowboy reitet in einer großen Arena auf einem Pferd und schwingt sein Seil.")</f>
        <v>Ein Cowboy reitet in einer großen Arena auf einem Pferd und schwingt sein Seil.</v>
      </c>
    </row>
    <row r="20370">
      <c r="A20370" s="4" t="s">
        <v>25645</v>
      </c>
      <c r="B20370" s="4" t="s">
        <v>25647</v>
      </c>
      <c r="C20370" s="5" t="str">
        <f>IFERROR(__xludf.DUMMYFUNCTION("GOOGLETRANSLATE(B20370,""en"",""de"")"),"Die Aussicht ändert sich, um eine Gruppe von Männern mit ihren Pferden zu zeigen, und sie halten sich an ihren Seilen fest und machen verschiedene Dinge mit ihnen, wie sie zu binden und zu schwingen.")</f>
        <v>Die Aussicht ändert sich, um eine Gruppe von Männern mit ihren Pferden zu zeigen, und sie halten sich an ihren Seilen fest und machen verschiedene Dinge mit ihnen, wie sie zu binden und zu schwingen.</v>
      </c>
    </row>
    <row r="20371">
      <c r="A20371" s="4" t="s">
        <v>25645</v>
      </c>
      <c r="B20371" s="4" t="s">
        <v>25648</v>
      </c>
      <c r="C20371" s="5" t="str">
        <f>IFERROR(__xludf.DUMMYFUNCTION("GOOGLETRANSLATE(B20371,""en"",""de"")"),"Der Fokus wechselt zu einem Mann, der spricht, dessen Name Trevor Brazile ist, und er blitzt von ihm und spricht und dann zu Clips von ihm, die sein Pferd in verschiedenen Arenen reitet, während er auch ein kleines Kalb strahlt.")</f>
        <v>Der Fokus wechselt zu einem Mann, der spricht, dessen Name Trevor Brazile ist, und er blitzt von ihm und spricht und dann zu Clips von ihm, die sein Pferd in verschiedenen Arenen reitet, während er auch ein kleines Kalb strahlt.</v>
      </c>
    </row>
    <row r="20372">
      <c r="A20372" s="4" t="s">
        <v>25645</v>
      </c>
      <c r="B20372" s="4" t="s">
        <v>25649</v>
      </c>
      <c r="C20372" s="5" t="str">
        <f>IFERROR(__xludf.DUMMYFUNCTION("GOOGLETRANSLATE(B20372,""en"",""de"")"),"Ein anderer Mann namens Stran Smith spricht jetzt und Clips von ihm reitet sein Pferd in verschiedenen Arenen, während er auch ein Kalb spielt.")</f>
        <v>Ein anderer Mann namens Stran Smith spricht jetzt und Clips von ihm reitet sein Pferd in verschiedenen Arenen, während er auch ein Kalb spielt.</v>
      </c>
    </row>
    <row r="20373">
      <c r="A20373" s="4" t="s">
        <v>25645</v>
      </c>
      <c r="B20373" s="4" t="s">
        <v>25650</v>
      </c>
      <c r="C20373" s="5" t="str">
        <f>IFERROR(__xludf.DUMMYFUNCTION("GOOGLETRANSLATE(B20373,""en"",""de"")"),"Clips von beiden Männern und Clips von ihnen reiten Pferde und Kälber, die zwischen den beiden wechseln und drehen.")</f>
        <v>Clips von beiden Männern und Clips von ihnen reiten Pferde und Kälber, die zwischen den beiden wechseln und drehen.</v>
      </c>
    </row>
    <row r="20374">
      <c r="A20374" s="4" t="s">
        <v>25645</v>
      </c>
      <c r="B20374" s="4" t="s">
        <v>25651</v>
      </c>
      <c r="C20374" s="5" t="str">
        <f>IFERROR(__xludf.DUMMYFUNCTION("GOOGLETRANSLATE(B20374,""en"",""de"")"),"Das Outro-Video beginnt und es zeigt ein hängendes Banner in der Arena mit der Aufschrift ""Calgary Stampede"", eine Frau, die mit einem Pferd reitet und eine rote Fahne hält, die ""1912-2012 Calgary Stampede"" sagt, und ein Kalb läuft über ein Dirt-Feld.")</f>
        <v>Das Outro-Video beginnt und es zeigt ein hängendes Banner in der Arena mit der Aufschrift "Calgary Stampede", eine Frau, die mit einem Pferd reitet und eine rote Fahne hält, die "1912-2012 Calgary Stampede" sagt, und ein Kalb läuft über ein Dirt-Feld.</v>
      </c>
    </row>
    <row r="20375">
      <c r="A20375" s="4" t="s">
        <v>25652</v>
      </c>
      <c r="B20375" s="4" t="s">
        <v>25653</v>
      </c>
      <c r="C20375" s="5" t="str">
        <f>IFERROR(__xludf.DUMMYFUNCTION("GOOGLETRANSLATE(B20375,""en"",""de"")"),"Eine Person singt auf der Vorderseite einer Menge, die auf Hip -Hop -Kleidung gekleidet ist.")</f>
        <v>Eine Person singt auf der Vorderseite einer Menge, die auf Hip -Hop -Kleidung gekleidet ist.</v>
      </c>
    </row>
    <row r="20376">
      <c r="A20376" s="4" t="s">
        <v>25652</v>
      </c>
      <c r="B20376" s="4" t="s">
        <v>25654</v>
      </c>
      <c r="C20376" s="5" t="str">
        <f>IFERROR(__xludf.DUMMYFUNCTION("GOOGLETRANSLATE(B20376,""en"",""de"")"),"Ein Mann tanzt Hip Hop und macht Akrobatik mit seinen Händen und Beinen auf dem Boden vor einer Menge.")</f>
        <v>Ein Mann tanzt Hip Hop und macht Akrobatik mit seinen Händen und Beinen auf dem Boden vor einer Menge.</v>
      </c>
    </row>
    <row r="20377">
      <c r="A20377" s="4" t="s">
        <v>25652</v>
      </c>
      <c r="B20377" s="4" t="s">
        <v>25655</v>
      </c>
      <c r="C20377" s="5" t="str">
        <f>IFERROR(__xludf.DUMMYFUNCTION("GOOGLETRANSLATE(B20377,""en"",""de"")"),"Die Leute machen Fotos und filmen den Mann, der hinter dem Mann steckt.")</f>
        <v>Die Leute machen Fotos und filmen den Mann, der hinter dem Mann steckt.</v>
      </c>
    </row>
    <row r="20378">
      <c r="A20378" s="4" t="s">
        <v>25656</v>
      </c>
      <c r="B20378" s="4" t="s">
        <v>25657</v>
      </c>
      <c r="C20378" s="5" t="str">
        <f>IFERROR(__xludf.DUMMYFUNCTION("GOOGLETRANSLATE(B20378,""en"",""de"")"),"Die Frau befindet sich in einem großen grünen Feld, der einen gelben Frisbee hält und mit einem Hund spielt.")</f>
        <v>Die Frau befindet sich in einem großen grünen Feld, der einen gelben Frisbee hält und mit einem Hund spielt.</v>
      </c>
    </row>
    <row r="20379">
      <c r="A20379" s="4" t="s">
        <v>25656</v>
      </c>
      <c r="B20379" s="4" t="s">
        <v>25658</v>
      </c>
      <c r="C20379" s="5" t="str">
        <f>IFERROR(__xludf.DUMMYFUNCTION("GOOGLETRANSLATE(B20379,""en"",""de"")"),"Viele ACRs sind auf der Straße hinter dem Alge -Feld geparkt.")</f>
        <v>Viele ACRs sind auf der Straße hinter dem Alge -Feld geparkt.</v>
      </c>
    </row>
    <row r="20380">
      <c r="A20380" s="4" t="s">
        <v>25656</v>
      </c>
      <c r="B20380" s="4" t="s">
        <v>25659</v>
      </c>
      <c r="C20380" s="5" t="str">
        <f>IFERROR(__xludf.DUMMYFUNCTION("GOOGLETRANSLATE(B20380,""en"",""de"")"),"Frau wirft den Frisbee dem Hund.")</f>
        <v>Frau wirft den Frisbee dem Hund.</v>
      </c>
    </row>
    <row r="20381">
      <c r="A20381" s="4" t="s">
        <v>25660</v>
      </c>
      <c r="B20381" s="4" t="s">
        <v>25661</v>
      </c>
      <c r="C20381" s="5" t="str">
        <f>IFERROR(__xludf.DUMMYFUNCTION("GOOGLETRANSLATE(B20381,""en"",""de"")"),"Eine Frau spricht mit der Kamera vor einer großen Übungsstange und steht auf der Ausrüstung, während sie sprechen und ihre Hände benutzen.")</f>
        <v>Eine Frau spricht mit der Kamera vor einer großen Übungsstange und steht auf der Ausrüstung, während sie sprechen und ihre Hände benutzen.</v>
      </c>
    </row>
    <row r="20382">
      <c r="A20382" s="4" t="s">
        <v>25660</v>
      </c>
      <c r="B20382" s="4" t="s">
        <v>25662</v>
      </c>
      <c r="C20382" s="5" t="str">
        <f>IFERROR(__xludf.DUMMYFUNCTION("GOOGLETRANSLATE(B20382,""en"",""de"")"),"Die Frau zeigt weiterhin, wie man die Übungen richtig ausführt, während sie ihre Arme und Beine zurück und den vierten Platz bewegt.")</f>
        <v>Die Frau zeigt weiterhin, wie man die Übungen richtig ausführt, während sie ihre Arme und Beine zurück und den vierten Platz bewegt.</v>
      </c>
    </row>
    <row r="20383">
      <c r="A20383" s="4" t="s">
        <v>25663</v>
      </c>
      <c r="B20383" s="4" t="s">
        <v>25664</v>
      </c>
      <c r="C20383" s="5" t="str">
        <f>IFERROR(__xludf.DUMMYFUNCTION("GOOGLETRANSLATE(B20383,""en"",""de"")"),"In einem kleinen Fitnessstudio mit Gewichtheben trainieren und trainieren drei Bodybauer.")</f>
        <v>In einem kleinen Fitnessstudio mit Gewichtheben trainieren und trainieren drei Bodybauer.</v>
      </c>
    </row>
    <row r="20384">
      <c r="A20384" s="4" t="s">
        <v>25663</v>
      </c>
      <c r="B20384" s="4" t="s">
        <v>25665</v>
      </c>
      <c r="C20384" s="5" t="str">
        <f>IFERROR(__xludf.DUMMYFUNCTION("GOOGLETRANSLATE(B20384,""en"",""de"")"),"Einer der Körperbauer hebt die Gewichtsleiste mehrmals an und lässt sie dann ab, während die anderen beiden Körperbauer ihn beobachten.")</f>
        <v>Einer der Körperbauer hebt die Gewichtsleiste mehrmals an und lässt sie dann ab, während die anderen beiden Körperbauer ihn beobachten.</v>
      </c>
    </row>
    <row r="20385">
      <c r="A20385" s="4" t="s">
        <v>25663</v>
      </c>
      <c r="B20385" s="4" t="s">
        <v>25666</v>
      </c>
      <c r="C20385" s="5" t="str">
        <f>IFERROR(__xludf.DUMMYFUNCTION("GOOGLETRANSLATE(B20385,""en"",""de"")"),"Dann geht er mit einem Handtuch ab und hebt die Gewichtsleiste wieder ab und lässt ihn fallen.")</f>
        <v>Dann geht er mit einem Handtuch ab und hebt die Gewichtsleiste wieder ab und lässt ihn fallen.</v>
      </c>
    </row>
    <row r="20386">
      <c r="A20386" s="4" t="s">
        <v>25663</v>
      </c>
      <c r="B20386" s="4" t="s">
        <v>25667</v>
      </c>
      <c r="C20386" s="5" t="str">
        <f>IFERROR(__xludf.DUMMYFUNCTION("GOOGLETRANSLATE(B20386,""en"",""de"")"),"Dann trägt er einen Bauchgürtel und hebt die Gewichtsstange wieder und lässt ihn fallen.")</f>
        <v>Dann trägt er einen Bauchgürtel und hebt die Gewichtsstange wieder und lässt ihn fallen.</v>
      </c>
    </row>
    <row r="20387">
      <c r="A20387" s="4" t="s">
        <v>25663</v>
      </c>
      <c r="B20387" s="4" t="s">
        <v>25668</v>
      </c>
      <c r="C20387" s="5" t="str">
        <f>IFERROR(__xludf.DUMMYFUNCTION("GOOGLETRANSLATE(B20387,""en"",""de"")"),"Er bemüht sich, die Gewichtsstange zu heben, hebt ihn leicht und lässt ihn dann fallen.")</f>
        <v>Er bemüht sich, die Gewichtsstange zu heben, hebt ihn leicht und lässt ihn dann fallen.</v>
      </c>
    </row>
    <row r="20388">
      <c r="A20388" s="4" t="s">
        <v>25669</v>
      </c>
      <c r="B20388" s="4" t="s">
        <v>25670</v>
      </c>
      <c r="C20388" s="5" t="str">
        <f>IFERROR(__xludf.DUMMYFUNCTION("GOOGLETRANSLATE(B20388,""en"",""de"")"),"Ein Mann, der Kopfhörer trägt, steht hinter zwei großen Trommeln.")</f>
        <v>Ein Mann, der Kopfhörer trägt, steht hinter zwei großen Trommeln.</v>
      </c>
    </row>
    <row r="20389">
      <c r="A20389" s="4" t="s">
        <v>25669</v>
      </c>
      <c r="B20389" s="4" t="s">
        <v>25671</v>
      </c>
      <c r="C20389" s="5" t="str">
        <f>IFERROR(__xludf.DUMMYFUNCTION("GOOGLETRANSLATE(B20389,""en"",""de"")"),"Der Mann spielt mit seinen Handflächen Schlagzeug.")</f>
        <v>Der Mann spielt mit seinen Handflächen Schlagzeug.</v>
      </c>
    </row>
    <row r="20390">
      <c r="A20390" s="4" t="s">
        <v>25669</v>
      </c>
      <c r="B20390" s="4" t="s">
        <v>25672</v>
      </c>
      <c r="C20390" s="5" t="str">
        <f>IFERROR(__xludf.DUMMYFUNCTION("GOOGLETRANSLATE(B20390,""en"",""de"")"),"Der Mann hört auf, Schlagzeug zu spielen und wendet sich ab.")</f>
        <v>Der Mann hört auf, Schlagzeug zu spielen und wendet sich ab.</v>
      </c>
    </row>
    <row r="20391">
      <c r="A20391" s="4" t="s">
        <v>25673</v>
      </c>
      <c r="B20391" s="4" t="s">
        <v>25674</v>
      </c>
      <c r="C20391" s="5" t="str">
        <f>IFERROR(__xludf.DUMMYFUNCTION("GOOGLETRANSLATE(B20391,""en"",""de"")"),"Ein Mann legt einen Schal aus und stellt einige Zubehör in die Mitte.")</f>
        <v>Ein Mann legt einen Schal aus und stellt einige Zubehör in die Mitte.</v>
      </c>
    </row>
    <row r="20392">
      <c r="A20392" s="4" t="s">
        <v>25673</v>
      </c>
      <c r="B20392" s="4" t="s">
        <v>25675</v>
      </c>
      <c r="C20392" s="5" t="str">
        <f>IFERROR(__xludf.DUMMYFUNCTION("GOOGLETRANSLATE(B20392,""en"",""de"")"),"Er bindet das Ende und faltet es zu Doppelknoten.")</f>
        <v>Er bindet das Ende und faltet es zu Doppelknoten.</v>
      </c>
    </row>
    <row r="20393">
      <c r="A20393" s="4" t="s">
        <v>25673</v>
      </c>
      <c r="B20393" s="4" t="s">
        <v>25676</v>
      </c>
      <c r="C20393" s="5" t="str">
        <f>IFERROR(__xludf.DUMMYFUNCTION("GOOGLETRANSLATE(B20393,""en"",""de"")"),"Er öffnet es erneut und steckt etwas anderes in die Mitte.")</f>
        <v>Er öffnet es erneut und steckt etwas anderes in die Mitte.</v>
      </c>
    </row>
    <row r="20394">
      <c r="A20394" s="4" t="s">
        <v>25673</v>
      </c>
      <c r="B20394" s="4" t="s">
        <v>25677</v>
      </c>
      <c r="C20394" s="5" t="str">
        <f>IFERROR(__xludf.DUMMYFUNCTION("GOOGLETRANSLATE(B20394,""en"",""de"")"),"Dann zieht es zusammen und es schließt sich, er hat einen kleinen Taschen aus einem Schal gemacht.")</f>
        <v>Dann zieht es zusammen und es schließt sich, er hat einen kleinen Taschen aus einem Schal gemacht.</v>
      </c>
    </row>
    <row r="20395">
      <c r="A20395" s="4" t="s">
        <v>25678</v>
      </c>
      <c r="B20395" s="4" t="s">
        <v>25679</v>
      </c>
      <c r="C20395" s="5" t="str">
        <f>IFERROR(__xludf.DUMMYFUNCTION("GOOGLETRANSLATE(B20395,""en"",""de"")"),"Eine Einführung kommt auf den Bildschirm, um ein Video zum Spielen von Kürbis zu spielen.")</f>
        <v>Eine Einführung kommt auf den Bildschirm, um ein Video zum Spielen von Kürbis zu spielen.</v>
      </c>
    </row>
    <row r="20396">
      <c r="A20396" s="4" t="s">
        <v>25678</v>
      </c>
      <c r="B20396" s="4" t="s">
        <v>25680</v>
      </c>
      <c r="C20396" s="5" t="str">
        <f>IFERROR(__xludf.DUMMYFUNCTION("GOOGLETRANSLATE(B20396,""en"",""de"")"),"Zwei Männer werden auf einem Kürbisplatz gezeigt, das ein Kürbisspiel spielt.")</f>
        <v>Zwei Männer werden auf einem Kürbisplatz gezeigt, das ein Kürbisspiel spielt.</v>
      </c>
    </row>
    <row r="20397">
      <c r="A20397" s="4" t="s">
        <v>25678</v>
      </c>
      <c r="B20397" s="4" t="s">
        <v>25681</v>
      </c>
      <c r="C20397" s="5" t="str">
        <f>IFERROR(__xludf.DUMMYFUNCTION("GOOGLETRANSLATE(B20397,""en"",""de"")"),"Text zeigt auf dem Bildschirm die Dinge, die Sie für das Spiel benötigen.")</f>
        <v>Text zeigt auf dem Bildschirm die Dinge, die Sie für das Spiel benötigen.</v>
      </c>
    </row>
    <row r="20398">
      <c r="A20398" s="4" t="s">
        <v>25678</v>
      </c>
      <c r="B20398" s="4" t="s">
        <v>25682</v>
      </c>
      <c r="C20398" s="5" t="str">
        <f>IFERROR(__xludf.DUMMYFUNCTION("GOOGLETRANSLATE(B20398,""en"",""de"")"),"Ein Hinweis zeigt auf dem Bildschirm, sodass Sie die verschiedenen Zeilen wissen können.")</f>
        <v>Ein Hinweis zeigt auf dem Bildschirm, sodass Sie die verschiedenen Zeilen wissen können.</v>
      </c>
    </row>
    <row r="20399">
      <c r="A20399" s="4" t="s">
        <v>25678</v>
      </c>
      <c r="B20399" s="4" t="s">
        <v>25683</v>
      </c>
      <c r="C20399" s="5" t="str">
        <f>IFERROR(__xludf.DUMMYFUNCTION("GOOGLETRANSLATE(B20399,""en"",""de"")"),"Tipps für das Spiel werden auch auf dem Bildschirm angezeigt.")</f>
        <v>Tipps für das Spiel werden auch auf dem Bildschirm angezeigt.</v>
      </c>
    </row>
    <row r="20400">
      <c r="A20400" s="4" t="s">
        <v>25678</v>
      </c>
      <c r="B20400" s="4" t="s">
        <v>25684</v>
      </c>
      <c r="C20400" s="5" t="str">
        <f>IFERROR(__xludf.DUMMYFUNCTION("GOOGLETRANSLATE(B20400,""en"",""de"")"),"Am Ende des Videos wird ein Textfeld mit einer lustigen Tatsache über Squash angezeigt.")</f>
        <v>Am Ende des Videos wird ein Textfeld mit einer lustigen Tatsache über Squash angezeigt.</v>
      </c>
    </row>
    <row r="20401">
      <c r="A20401" s="4" t="s">
        <v>25685</v>
      </c>
      <c r="B20401" s="4" t="s">
        <v>25686</v>
      </c>
      <c r="C20401" s="5" t="str">
        <f>IFERROR(__xludf.DUMMYFUNCTION("GOOGLETRANSLATE(B20401,""en"",""de"")"),"Ein Mann überquert einen Parkplatz, der mit hüpfenden Schuhen hüpft.")</f>
        <v>Ein Mann überquert einen Parkplatz, der mit hüpfenden Schuhen hüpft.</v>
      </c>
    </row>
    <row r="20402">
      <c r="A20402" s="4" t="s">
        <v>25685</v>
      </c>
      <c r="B20402" s="4" t="s">
        <v>25687</v>
      </c>
      <c r="C20402" s="5" t="str">
        <f>IFERROR(__xludf.DUMMYFUNCTION("GOOGLETRANSLATE(B20402,""en"",""de"")"),"Es gibt ein Auto auf dem Scherzgrundstück.")</f>
        <v>Es gibt ein Auto auf dem Scherzgrundstück.</v>
      </c>
    </row>
    <row r="20403">
      <c r="A20403" s="4" t="s">
        <v>25688</v>
      </c>
      <c r="B20403" s="4" t="s">
        <v>25689</v>
      </c>
      <c r="C20403" s="5" t="str">
        <f>IFERROR(__xludf.DUMMYFUNCTION("GOOGLETRANSLATE(B20403,""en"",""de"")"),"Mehrere Menschen genießen den Strand im Freien.")</f>
        <v>Mehrere Menschen genießen den Strand im Freien.</v>
      </c>
    </row>
    <row r="20404">
      <c r="A20404" s="4" t="s">
        <v>25688</v>
      </c>
      <c r="B20404" s="4" t="s">
        <v>25690</v>
      </c>
      <c r="C20404" s="5" t="str">
        <f>IFERROR(__xludf.DUMMYFUNCTION("GOOGLETRANSLATE(B20404,""en"",""de"")"),"In der Mitte des Sandes gibt es jedoch eine Gruppe von Männern, die ein Strandvolleyballspiel spielen.")</f>
        <v>In der Mitte des Sandes gibt es jedoch eine Gruppe von Männern, die ein Strandvolleyballspiel spielen.</v>
      </c>
    </row>
    <row r="20405">
      <c r="A20405" s="4" t="s">
        <v>25688</v>
      </c>
      <c r="B20405" s="4" t="s">
        <v>25691</v>
      </c>
      <c r="C20405" s="5" t="str">
        <f>IFERROR(__xludf.DUMMYFUNCTION("GOOGLETRANSLATE(B20405,""en"",""de"")"),"Nach mehreren Treffern beschließt ein Mann, den Ball über das Netz zu treten, und ein anderer Mann rennt von der anderen Seite und packt ihn im Schmutz an.")</f>
        <v>Nach mehreren Treffern beschließt ein Mann, den Ball über das Netz zu treten, und ein anderer Mann rennt von der anderen Seite und packt ihn im Schmutz an.</v>
      </c>
    </row>
    <row r="20406">
      <c r="A20406" s="4" t="s">
        <v>25692</v>
      </c>
      <c r="B20406" s="4" t="s">
        <v>25693</v>
      </c>
      <c r="C20406" s="5" t="str">
        <f>IFERROR(__xludf.DUMMYFUNCTION("GOOGLETRANSLATE(B20406,""en"",""de"")"),"Ein Trainer gibt Jungen in einem Basketballplatz Anweisungen.")</f>
        <v>Ein Trainer gibt Jungen in einem Basketballplatz Anweisungen.</v>
      </c>
    </row>
    <row r="20407">
      <c r="A20407" s="4" t="s">
        <v>25692</v>
      </c>
      <c r="B20407" s="4" t="s">
        <v>25694</v>
      </c>
      <c r="C20407" s="5" t="str">
        <f>IFERROR(__xludf.DUMMYFUNCTION("GOOGLETRANSLATE(B20407,""en"",""de"")"),"Dann zeigen zwei junge Männer den Jungen, wie sie den Ball in den Korb vorbeiziehen und schießen können.")</f>
        <v>Dann zeigen zwei junge Männer den Jungen, wie sie den Ball in den Korb vorbeiziehen und schießen können.</v>
      </c>
    </row>
    <row r="20408">
      <c r="A20408" s="4" t="s">
        <v>25692</v>
      </c>
      <c r="B20408" s="4" t="s">
        <v>25695</v>
      </c>
      <c r="C20408" s="5" t="str">
        <f>IFERROR(__xludf.DUMMYFUNCTION("GOOGLETRANSLATE(B20408,""en"",""de"")"),"Danach hilft der junge Mann den Jungen, den Ball in den Korb zu werfen, während zwei rennen den Ball vorbeifahren, um in einen Korb zu schießen.")</f>
        <v>Danach hilft der junge Mann den Jungen, den Ball in den Korb zu werfen, während zwei rennen den Ball vorbeifahren, um in einen Korb zu schießen.</v>
      </c>
    </row>
    <row r="20409">
      <c r="A20409" s="4" t="s">
        <v>25692</v>
      </c>
      <c r="B20409" s="4" t="s">
        <v>25696</v>
      </c>
      <c r="C20409" s="5" t="str">
        <f>IFERROR(__xludf.DUMMYFUNCTION("GOOGLETRANSLATE(B20409,""en"",""de"")"),"Dann üben die Jungen Basketballverteidigung ab, während sie auf die andere Seite des Platzes rennen.")</f>
        <v>Dann üben die Jungen Basketballverteidigung ab, während sie auf die andere Seite des Platzes rennen.</v>
      </c>
    </row>
    <row r="20410">
      <c r="A20410" s="4" t="s">
        <v>25697</v>
      </c>
      <c r="B20410" s="4" t="s">
        <v>25698</v>
      </c>
      <c r="C20410" s="5" t="str">
        <f>IFERROR(__xludf.DUMMYFUNCTION("GOOGLETRANSLATE(B20410,""en"",""de"")"),"Alte Clips werden von einem Mann gezeigt, der ein Bild zeichnet und zwei Kinder zuschauen.")</f>
        <v>Alte Clips werden von einem Mann gezeigt, der ein Bild zeichnet und zwei Kinder zuschauen.</v>
      </c>
    </row>
    <row r="20411">
      <c r="A20411" s="4" t="s">
        <v>25697</v>
      </c>
      <c r="B20411" s="4" t="s">
        <v>25699</v>
      </c>
      <c r="C20411" s="5" t="str">
        <f>IFERROR(__xludf.DUMMYFUNCTION("GOOGLETRANSLATE(B20411,""en"",""de"")"),"Die Kinder werden dann in mehreren Clips gezeigt, die Tauchgänge von einem Brett durchführen und entlang der Seiten nach oben zurückklettern.")</f>
        <v>Die Kinder werden dann in mehreren Clips gezeigt, die Tauchgänge von einem Brett durchführen und entlang der Seiten nach oben zurückklettern.</v>
      </c>
    </row>
    <row r="20412">
      <c r="A20412" s="4" t="s">
        <v>25700</v>
      </c>
      <c r="B20412" s="4" t="s">
        <v>25701</v>
      </c>
      <c r="C20412" s="5" t="str">
        <f>IFERROR(__xludf.DUMMYFUNCTION("GOOGLETRANSLATE(B20412,""en"",""de"")"),"Eine Person wird gesehen, wie ein Basketball über einen Platz an andere weitergeht und mit dem Schießen eines Korbs endet.")</f>
        <v>Eine Person wird gesehen, wie ein Basketball über einen Platz an andere weitergeht und mit dem Schießen eines Korbs endet.</v>
      </c>
    </row>
    <row r="20413">
      <c r="A20413" s="4" t="s">
        <v>25700</v>
      </c>
      <c r="B20413" s="4" t="s">
        <v>25702</v>
      </c>
      <c r="C20413" s="5" t="str">
        <f>IFERROR(__xludf.DUMMYFUNCTION("GOOGLETRANSLATE(B20413,""en"",""de"")"),"Die Gruppe gibt den Ball weiterhin zueinander, um Übungen durchzuführen, während der Trainer anweist.")</f>
        <v>Die Gruppe gibt den Ball weiterhin zueinander, um Übungen durchzuführen, während der Trainer anweist.</v>
      </c>
    </row>
    <row r="20414">
      <c r="A20414" s="4" t="s">
        <v>25703</v>
      </c>
      <c r="B20414" s="4" t="s">
        <v>25704</v>
      </c>
      <c r="C20414" s="5" t="str">
        <f>IFERROR(__xludf.DUMMYFUNCTION("GOOGLETRANSLATE(B20414,""en"",""de"")"),"Ein Mann spricht mit der Kamera und leitet einen Clip mit Menschen, die einen schneebedeckten Hügel auf Röhren hinunterfahren.")</f>
        <v>Ein Mann spricht mit der Kamera und leitet einen Clip mit Menschen, die einen schneebedeckten Hügel auf Röhren hinunterfahren.</v>
      </c>
    </row>
    <row r="20415">
      <c r="A20415" s="4" t="s">
        <v>25703</v>
      </c>
      <c r="B20415" s="4" t="s">
        <v>25705</v>
      </c>
      <c r="C20415" s="5" t="str">
        <f>IFERROR(__xludf.DUMMYFUNCTION("GOOGLETRANSLATE(B20415,""en"",""de"")"),"Weitere Menschen reiten den Hügel hinunter und zeigen auf einander.")</f>
        <v>Weitere Menschen reiten den Hügel hinunter und zeigen auf einander.</v>
      </c>
    </row>
    <row r="20416">
      <c r="A20416" s="4" t="s">
        <v>25703</v>
      </c>
      <c r="B20416" s="4" t="s">
        <v>25706</v>
      </c>
      <c r="C20416" s="5" t="str">
        <f>IFERROR(__xludf.DUMMYFUNCTION("GOOGLETRANSLATE(B20416,""en"",""de"")"),"Die Gruppe fährt weiter den Hügel hinunter und hält gleichzeitig an, um mit der Kamera zu sprechen.")</f>
        <v>Die Gruppe fährt weiter den Hügel hinunter und hält gleichzeitig an, um mit der Kamera zu sprechen.</v>
      </c>
    </row>
    <row r="20417">
      <c r="A20417" s="4" t="s">
        <v>25707</v>
      </c>
      <c r="B20417" s="4" t="s">
        <v>25708</v>
      </c>
      <c r="C20417" s="5" t="str">
        <f>IFERROR(__xludf.DUMMYFUNCTION("GOOGLETRANSLATE(B20417,""en"",""de"")"),"Es werden mehrere Schwarz -Weiß -Fotos von Menschen gezeigt, die Schlagzeug gespielt haben.")</f>
        <v>Es werden mehrere Schwarz -Weiß -Fotos von Menschen gezeigt, die Schlagzeug gespielt haben.</v>
      </c>
    </row>
    <row r="20418">
      <c r="A20418" s="4" t="s">
        <v>25707</v>
      </c>
      <c r="B20418" s="4" t="s">
        <v>25709</v>
      </c>
      <c r="C20418" s="5" t="str">
        <f>IFERROR(__xludf.DUMMYFUNCTION("GOOGLETRANSLATE(B20418,""en"",""de"")"),"Eine Gruppe von Drum -Spielern versammelt sich und spielt in einem Raum.")</f>
        <v>Eine Gruppe von Drum -Spielern versammelt sich und spielt in einem Raum.</v>
      </c>
    </row>
    <row r="20419">
      <c r="A20419" s="4" t="s">
        <v>25707</v>
      </c>
      <c r="B20419" s="4" t="s">
        <v>25710</v>
      </c>
      <c r="C20419" s="5" t="str">
        <f>IFERROR(__xludf.DUMMYFUNCTION("GOOGLETRANSLATE(B20419,""en"",""de"")"),"Ihr Spiel ist mit Bildern von Noten durchsetzt und kehrt dann zu ihrer Leistung zurück.")</f>
        <v>Ihr Spiel ist mit Bildern von Noten durchsetzt und kehrt dann zu ihrer Leistung zurück.</v>
      </c>
    </row>
    <row r="20420">
      <c r="A20420" s="4" t="s">
        <v>25711</v>
      </c>
      <c r="B20420" s="4" t="s">
        <v>25712</v>
      </c>
      <c r="C20420" s="5" t="str">
        <f>IFERROR(__xludf.DUMMYFUNCTION("GOOGLETRANSLATE(B20420,""en"",""de"")"),"Die Turner rennen zu und dann kartrocknen und stürmten, als er das Ende der Matte durchläuft.")</f>
        <v>Die Turner rennen zu und dann kartrocknen und stürmten, als er das Ende der Matte durchläuft.</v>
      </c>
    </row>
    <row r="20421">
      <c r="A20421" s="4" t="s">
        <v>25711</v>
      </c>
      <c r="B20421" s="4" t="s">
        <v>25713</v>
      </c>
      <c r="C20421" s="5" t="str">
        <f>IFERROR(__xludf.DUMMYFUNCTION("GOOGLETRANSLATE(B20421,""en"",""de"")"),"Der Spieler sprang und Cartwheel High.")</f>
        <v>Der Spieler sprang und Cartwheel High.</v>
      </c>
    </row>
    <row r="20422">
      <c r="A20422" s="4" t="s">
        <v>25711</v>
      </c>
      <c r="B20422" s="4" t="s">
        <v>25714</v>
      </c>
      <c r="C20422" s="5" t="str">
        <f>IFERROR(__xludf.DUMMYFUNCTION("GOOGLETRANSLATE(B20422,""en"",""de"")"),"Der männliche Turner dreht sich in der Luft und landete dann am Ende der Matte.")</f>
        <v>Der männliche Turner dreht sich in der Luft und landete dann am Ende der Matte.</v>
      </c>
    </row>
    <row r="20423">
      <c r="A20423" s="4" t="s">
        <v>25715</v>
      </c>
      <c r="B20423" s="4" t="s">
        <v>25716</v>
      </c>
      <c r="C20423" s="5" t="str">
        <f>IFERROR(__xludf.DUMMYFUNCTION("GOOGLETRANSLATE(B20423,""en"",""de"")"),"Es werden mehrere Schüsse aus Wäldern gezeigt, die sich in eine Person, die sich in einem Kajak vorbereitet und reitet, führen.")</f>
        <v>Es werden mehrere Schüsse aus Wäldern gezeigt, die sich in eine Person, die sich in einem Kajak vorbereitet und reitet, führen.</v>
      </c>
    </row>
    <row r="20424">
      <c r="A20424" s="4" t="s">
        <v>25715</v>
      </c>
      <c r="B20424" s="4" t="s">
        <v>25717</v>
      </c>
      <c r="C20424" s="5" t="str">
        <f>IFERROR(__xludf.DUMMYFUNCTION("GOOGLETRANSLATE(B20424,""en"",""de"")"),"Die Person paddelt sich entlang des rauen Flusses und zeigt anderen Menschen, die mitfahren.")</f>
        <v>Die Person paddelt sich entlang des rauen Flusses und zeigt anderen Menschen, die mitfahren.</v>
      </c>
    </row>
    <row r="20425">
      <c r="A20425" s="4" t="s">
        <v>25715</v>
      </c>
      <c r="B20425" s="4" t="s">
        <v>25718</v>
      </c>
      <c r="C20425" s="5" t="str">
        <f>IFERROR(__xludf.DUMMYFUNCTION("GOOGLETRANSLATE(B20425,""en"",""de"")"),"Sie bewegen sich am rauen Wasser entlang des Flusses vorbei und enden, indem sie in der Nähe eines anderen sitzen.")</f>
        <v>Sie bewegen sich am rauen Wasser entlang des Flusses vorbei und enden, indem sie in der Nähe eines anderen sitzen.</v>
      </c>
    </row>
    <row r="20426">
      <c r="A20426" s="4" t="s">
        <v>25719</v>
      </c>
      <c r="B20426" s="4" t="s">
        <v>25720</v>
      </c>
      <c r="C20426" s="5" t="str">
        <f>IFERROR(__xludf.DUMMYFUNCTION("GOOGLETRANSLATE(B20426,""en"",""de"")"),"Eine Frau ist in einem Badezimmer zu sehen.")</f>
        <v>Eine Frau ist in einem Badezimmer zu sehen.</v>
      </c>
    </row>
    <row r="20427">
      <c r="A20427" s="4" t="s">
        <v>25719</v>
      </c>
      <c r="B20427" s="4" t="s">
        <v>25721</v>
      </c>
      <c r="C20427" s="5" t="str">
        <f>IFERROR(__xludf.DUMMYFUNCTION("GOOGLETRANSLATE(B20427,""en"",""de"")"),"Sie benutzt einen Trockner, um ihre Haare zu trocknen.")</f>
        <v>Sie benutzt einen Trockner, um ihre Haare zu trocknen.</v>
      </c>
    </row>
    <row r="20428">
      <c r="A20428" s="4" t="s">
        <v>25719</v>
      </c>
      <c r="B20428" s="4" t="s">
        <v>25722</v>
      </c>
      <c r="C20428" s="5" t="str">
        <f>IFERROR(__xludf.DUMMYFUNCTION("GOOGLETRANSLATE(B20428,""en"",""de"")"),"Sie verwendet gelegentlich eine Bürste, um den Prozess zu beschleunigen.")</f>
        <v>Sie verwendet gelegentlich eine Bürste, um den Prozess zu beschleunigen.</v>
      </c>
    </row>
    <row r="20429">
      <c r="A20429" s="4" t="s">
        <v>25723</v>
      </c>
      <c r="B20429" s="4" t="s">
        <v>25724</v>
      </c>
      <c r="C20429" s="5" t="str">
        <f>IFERROR(__xludf.DUMMYFUNCTION("GOOGLETRANSLATE(B20429,""en"",""de"")"),"Eine kleine Gruppe von Menschen spielt ein Volleyballspiel, während die Leute am Rande ansehen.")</f>
        <v>Eine kleine Gruppe von Menschen spielt ein Volleyballspiel, während die Leute am Rande ansehen.</v>
      </c>
    </row>
    <row r="20430">
      <c r="A20430" s="4" t="s">
        <v>25723</v>
      </c>
      <c r="B20430" s="4" t="s">
        <v>25725</v>
      </c>
      <c r="C20430" s="5" t="str">
        <f>IFERROR(__xludf.DUMMYFUNCTION("GOOGLETRANSLATE(B20430,""en"",""de"")"),"Die Spieler schlugen den Ball mehrmals über das Netz und verfolgten den Ball nach dem Ball.")</f>
        <v>Die Spieler schlugen den Ball mehrmals über das Netz und verfolgten den Ball nach dem Ball.</v>
      </c>
    </row>
    <row r="20431">
      <c r="A20431" s="4" t="s">
        <v>25723</v>
      </c>
      <c r="B20431" s="4" t="s">
        <v>25726</v>
      </c>
      <c r="C20431" s="5" t="str">
        <f>IFERROR(__xludf.DUMMYFUNCTION("GOOGLETRANSLATE(B20431,""en"",""de"")"),"Das Spiel spielen weiterhin das Spiel, während andere jubeln und danach hoch fünf fünf.")</f>
        <v>Das Spiel spielen weiterhin das Spiel, während andere jubeln und danach hoch fünf fünf.</v>
      </c>
    </row>
    <row r="20432">
      <c r="A20432" s="4" t="s">
        <v>25727</v>
      </c>
      <c r="B20432" s="4" t="s">
        <v>25728</v>
      </c>
      <c r="C20432" s="5" t="str">
        <f>IFERROR(__xludf.DUMMYFUNCTION("GOOGLETRANSLATE(B20432,""en"",""de"")"),"Ein Mann in einem Schutzhelm geht über einen Hof zu einer Metallstruktur.")</f>
        <v>Ein Mann in einem Schutzhelm geht über einen Hof zu einer Metallstruktur.</v>
      </c>
    </row>
    <row r="20433">
      <c r="A20433" s="4" t="s">
        <v>25727</v>
      </c>
      <c r="B20433" s="4" t="s">
        <v>25729</v>
      </c>
      <c r="C20433" s="5" t="str">
        <f>IFERROR(__xludf.DUMMYFUNCTION("GOOGLETRANSLATE(B20433,""en"",""de"")"),"Er passt eine Leiter an und lehnt sie an die Struktur, geht zurück, um sie auszusehen, und passt sie noch ein paar Mal an.")</f>
        <v>Er passt eine Leiter an und lehnt sie an die Struktur, geht zurück, um sie auszusehen, und passt sie noch ein paar Mal an.</v>
      </c>
    </row>
    <row r="20434">
      <c r="A20434" s="4" t="s">
        <v>25727</v>
      </c>
      <c r="B20434" s="4" t="s">
        <v>25730</v>
      </c>
      <c r="C20434" s="5" t="str">
        <f>IFERROR(__xludf.DUMMYFUNCTION("GOOGLETRANSLATE(B20434,""en"",""de"")"),"Wenn er zufrieden ist, zieht er einen Riemen fest und schnappt sich eine zweite Leiter.")</f>
        <v>Wenn er zufrieden ist, zieht er einen Riemen fest und schnappt sich eine zweite Leiter.</v>
      </c>
    </row>
    <row r="20435">
      <c r="A20435" s="4" t="s">
        <v>25727</v>
      </c>
      <c r="B20435" s="4" t="s">
        <v>25731</v>
      </c>
      <c r="C20435" s="5" t="str">
        <f>IFERROR(__xludf.DUMMYFUNCTION("GOOGLETRANSLATE(B20435,""en"",""de"")"),"Er klettert auf und nimmt diesen mit.")</f>
        <v>Er klettert auf und nimmt diesen mit.</v>
      </c>
    </row>
    <row r="20436">
      <c r="A20436" s="4" t="s">
        <v>25732</v>
      </c>
      <c r="B20436" s="4" t="s">
        <v>25733</v>
      </c>
      <c r="C20436" s="5" t="str">
        <f>IFERROR(__xludf.DUMMYFUNCTION("GOOGLETRANSLATE(B20436,""en"",""de"")"),"BMX wartet am Tor, bis das Tor herunterkommt und das Rennen beginnt.")</f>
        <v>BMX wartet am Tor, bis das Tor herunterkommt und das Rennen beginnt.</v>
      </c>
    </row>
    <row r="20437">
      <c r="A20437" s="4" t="s">
        <v>25732</v>
      </c>
      <c r="B20437" s="4" t="s">
        <v>25734</v>
      </c>
      <c r="C20437" s="5" t="str">
        <f>IFERROR(__xludf.DUMMYFUNCTION("GOOGLETRANSLATE(B20437,""en"",""de"")"),"Sie ziehen auf der Strecke sehr schnell durch.")</f>
        <v>Sie ziehen auf der Strecke sehr schnell durch.</v>
      </c>
    </row>
    <row r="20438">
      <c r="A20438" s="4" t="s">
        <v>25732</v>
      </c>
      <c r="B20438" s="4" t="s">
        <v>25735</v>
      </c>
      <c r="C20438" s="5" t="str">
        <f>IFERROR(__xludf.DUMMYFUNCTION("GOOGLETRANSLATE(B20438,""en"",""de"")"),"Florida hat mehrere Standorte für BMXing, wenn Sie es gerne tun und nicht wissen, wohin Sie gehen sollen. Sie haben 1500 lizenzierte Fahrer und 30 gesponserte Teams.")</f>
        <v>Florida hat mehrere Standorte für BMXing, wenn Sie es gerne tun und nicht wissen, wohin Sie gehen sollen. Sie haben 1500 lizenzierte Fahrer und 30 gesponserte Teams.</v>
      </c>
    </row>
    <row r="20439">
      <c r="A20439" s="4" t="s">
        <v>25732</v>
      </c>
      <c r="B20439" s="4" t="s">
        <v>25736</v>
      </c>
      <c r="C20439" s="5" t="str">
        <f>IFERROR(__xludf.DUMMYFUNCTION("GOOGLETRANSLATE(B20439,""en"",""de"")"),"Sie haben sogar einige Fahrräder für Minifahrer, die wie der ihres Vaters sein wollen.")</f>
        <v>Sie haben sogar einige Fahrräder für Minifahrer, die wie der ihres Vaters sein wollen.</v>
      </c>
    </row>
    <row r="20440">
      <c r="A20440" s="4" t="s">
        <v>25737</v>
      </c>
      <c r="B20440" s="4" t="s">
        <v>25738</v>
      </c>
      <c r="C20440" s="5" t="str">
        <f>IFERROR(__xludf.DUMMYFUNCTION("GOOGLETRANSLATE(B20440,""en"",""de"")"),"Es sind verschiedene Farbtöne von Nagellackflaschen zu sehen.")</f>
        <v>Es sind verschiedene Farbtöne von Nagellackflaschen zu sehen.</v>
      </c>
    </row>
    <row r="20441">
      <c r="A20441" s="4" t="s">
        <v>25737</v>
      </c>
      <c r="B20441" s="4" t="s">
        <v>25739</v>
      </c>
      <c r="C20441" s="5" t="str">
        <f>IFERROR(__xludf.DUMMYFUNCTION("GOOGLETRANSLATE(B20441,""en"",""de"")"),"Taperstücke werden um die Fingerspitzen um die Nägel gewickelt.")</f>
        <v>Taperstücke werden um die Fingerspitzen um die Nägel gewickelt.</v>
      </c>
    </row>
    <row r="20442">
      <c r="A20442" s="4" t="s">
        <v>25737</v>
      </c>
      <c r="B20442" s="4" t="s">
        <v>25740</v>
      </c>
      <c r="C20442" s="5" t="str">
        <f>IFERROR(__xludf.DUMMYFUNCTION("GOOGLETRANSLATE(B20442,""en"",""de"")"),"Verschiedene Nagellacktöne werden auf ein Schaumstoffpolster aufgetragen und dann auf die Fingernägel getupft.")</f>
        <v>Verschiedene Nagellacktöne werden auf ein Schaumstoffpolster aufgetragen und dann auf die Fingernägel getupft.</v>
      </c>
    </row>
    <row r="20443">
      <c r="A20443" s="4" t="s">
        <v>25737</v>
      </c>
      <c r="B20443" s="4" t="s">
        <v>25741</v>
      </c>
      <c r="C20443" s="5" t="str">
        <f>IFERROR(__xludf.DUMMYFUNCTION("GOOGLETRANSLATE(B20443,""en"",""de"")"),"Eine klare Beschichtung wird auf die Nägel aufgetragen.")</f>
        <v>Eine klare Beschichtung wird auf die Nägel aufgetragen.</v>
      </c>
    </row>
    <row r="20444">
      <c r="A20444" s="4" t="s">
        <v>25737</v>
      </c>
      <c r="B20444" s="4" t="s">
        <v>25742</v>
      </c>
      <c r="C20444" s="5" t="str">
        <f>IFERROR(__xludf.DUMMYFUNCTION("GOOGLETRANSLATE(B20444,""en"",""de"")"),"Das Klebeband wird entfernt und die Kanten werden mit Nagellackentfernerlösung aufgeräumt.")</f>
        <v>Das Klebeband wird entfernt und die Kanten werden mit Nagellackentfernerlösung aufgeräumt.</v>
      </c>
    </row>
    <row r="20445">
      <c r="A20445" s="4" t="s">
        <v>25743</v>
      </c>
      <c r="B20445" s="4" t="s">
        <v>25744</v>
      </c>
      <c r="C20445" s="5" t="str">
        <f>IFERROR(__xludf.DUMMYFUNCTION("GOOGLETRANSLATE(B20445,""en"",""de"")"),"Eine Frau sitzt barfuß in einem Auto und versucht zu fahren.")</f>
        <v>Eine Frau sitzt barfuß in einem Auto und versucht zu fahren.</v>
      </c>
    </row>
    <row r="20446">
      <c r="A20446" s="4" t="s">
        <v>25743</v>
      </c>
      <c r="B20446" s="4" t="s">
        <v>25745</v>
      </c>
      <c r="C20446" s="5" t="str">
        <f>IFERROR(__xludf.DUMMYFUNCTION("GOOGLETRANSLATE(B20446,""en"",""de"")"),"Sie zündet eine Zigarette an, als sie fährt.")</f>
        <v>Sie zündet eine Zigarette an, als sie fährt.</v>
      </c>
    </row>
    <row r="20447">
      <c r="A20447" s="4" t="s">
        <v>25746</v>
      </c>
      <c r="B20447" s="4" t="s">
        <v>25747</v>
      </c>
      <c r="C20447" s="5" t="str">
        <f>IFERROR(__xludf.DUMMYFUNCTION("GOOGLETRANSLATE(B20447,""en"",""de"")"),"Ein Mann in gelbem Hemd und schwarzen Strumpfhosen ging zum Fahrrad, beugen sich um und schrauben die Schraube ab.")</f>
        <v>Ein Mann in gelbem Hemd und schwarzen Strumpfhosen ging zum Fahrrad, beugen sich um und schrauben die Schraube ab.</v>
      </c>
    </row>
    <row r="20448">
      <c r="A20448" s="4" t="s">
        <v>25746</v>
      </c>
      <c r="B20448" s="4" t="s">
        <v>25748</v>
      </c>
      <c r="C20448" s="5" t="str">
        <f>IFERROR(__xludf.DUMMYFUNCTION("GOOGLETRANSLATE(B20448,""en"",""de"")"),"Der Mann im gelben Hemd nahm seine Werkzeuge aus seiner Tasche heraus, er zog das Fahrradrad aus dem Fahrrad aus, zog ein gelbes Werkzeug heraus, steckte es zwischen Gummi und Metall, entfernte den Gummi in den Reifen und versuchte, das Loch zu finden. Ni"&amp;"mm ein quadratisches Tuch, wischte den Reifen ab und legte den Aufkleber, er pumpte den Gummi und legte ihn wieder in den Reifen.")</f>
        <v>Der Mann im gelben Hemd nahm seine Werkzeuge aus seiner Tasche heraus, er zog das Fahrradrad aus dem Fahrrad aus, zog ein gelbes Werkzeug heraus, steckte es zwischen Gummi und Metall, entfernte den Gummi in den Reifen und versuchte, das Loch zu finden. Nimm ein quadratisches Tuch, wischte den Reifen ab und legte den Aufkleber, er pumpte den Gummi und legte ihn wieder in den Reifen.</v>
      </c>
    </row>
    <row r="20449">
      <c r="A20449" s="4" t="s">
        <v>25746</v>
      </c>
      <c r="B20449" s="4" t="s">
        <v>25749</v>
      </c>
      <c r="C20449" s="5" t="str">
        <f>IFERROR(__xludf.DUMMYFUNCTION("GOOGLETRANSLATE(B20449,""en"",""de"")"),"Die Person schraubt das Rad zurück zum Fahrrad.")</f>
        <v>Die Person schraubt das Rad zurück zum Fahrrad.</v>
      </c>
    </row>
    <row r="20450">
      <c r="A20450" s="4" t="s">
        <v>25750</v>
      </c>
      <c r="B20450" s="4" t="s">
        <v>25751</v>
      </c>
      <c r="C20450" s="5" t="str">
        <f>IFERROR(__xludf.DUMMYFUNCTION("GOOGLETRANSLATE(B20450,""en"",""de"")"),"Eine Person hält ihr Auge offen.")</f>
        <v>Eine Person hält ihr Auge offen.</v>
      </c>
    </row>
    <row r="20451">
      <c r="A20451" s="4" t="s">
        <v>25750</v>
      </c>
      <c r="B20451" s="4" t="s">
        <v>25752</v>
      </c>
      <c r="C20451" s="5" t="str">
        <f>IFERROR(__xludf.DUMMYFUNCTION("GOOGLETRANSLATE(B20451,""en"",""de"")"),"Sie legen eine Kontaktlinse ins Auge.")</f>
        <v>Sie legen eine Kontaktlinse ins Auge.</v>
      </c>
    </row>
    <row r="20452">
      <c r="A20452" s="4" t="s">
        <v>25750</v>
      </c>
      <c r="B20452" s="4" t="s">
        <v>25753</v>
      </c>
      <c r="C20452" s="5" t="str">
        <f>IFERROR(__xludf.DUMMYFUNCTION("GOOGLETRANSLATE(B20452,""en"",""de"")"),"Sie nehmen dann die Kontaktlinse aus ihrem Auge.")</f>
        <v>Sie nehmen dann die Kontaktlinse aus ihrem Auge.</v>
      </c>
    </row>
    <row r="20453">
      <c r="A20453" s="4" t="s">
        <v>25754</v>
      </c>
      <c r="B20453" s="4" t="s">
        <v>25755</v>
      </c>
      <c r="C20453" s="5" t="str">
        <f>IFERROR(__xludf.DUMMYFUNCTION("GOOGLETRANSLATE(B20453,""en"",""de"")"),"Ein kleines Kind sitzt auf einem Trainer, der ein Geschenk eröffnet.")</f>
        <v>Ein kleines Kind sitzt auf einem Trainer, der ein Geschenk eröffnet.</v>
      </c>
    </row>
    <row r="20454">
      <c r="A20454" s="4" t="s">
        <v>25754</v>
      </c>
      <c r="B20454" s="4" t="s">
        <v>25756</v>
      </c>
      <c r="C20454" s="5" t="str">
        <f>IFERROR(__xludf.DUMMYFUNCTION("GOOGLETRANSLATE(B20454,""en"",""de"")"),"Die Kamera schwenkt um sie herum, während sie das Geschenk öffnet und zur Kamera lächelt.")</f>
        <v>Die Kamera schwenkt um sie herum, während sie das Geschenk öffnet und zur Kamera lächelt.</v>
      </c>
    </row>
    <row r="20455">
      <c r="A20455" s="4" t="s">
        <v>25754</v>
      </c>
      <c r="B20455" s="4" t="s">
        <v>25757</v>
      </c>
      <c r="C20455" s="5" t="str">
        <f>IFERROR(__xludf.DUMMYFUNCTION("GOOGLETRANSLATE(B20455,""en"",""de"")"),"Sie versucht weiterhin, die Schachtel beim Aussehen und Lächeln zu öffnen.")</f>
        <v>Sie versucht weiterhin, die Schachtel beim Aussehen und Lächeln zu öffnen.</v>
      </c>
    </row>
    <row r="20456">
      <c r="A20456" s="4" t="s">
        <v>25758</v>
      </c>
      <c r="B20456" s="4" t="s">
        <v>25759</v>
      </c>
      <c r="C20456" s="5" t="str">
        <f>IFERROR(__xludf.DUMMYFUNCTION("GOOGLETRANSLATE(B20456,""en"",""de"")"),"Eine Frau und ein Mann, der passende grüne Farbe trägt, tanzt während einer Aufführung auf der Bühne.")</f>
        <v>Eine Frau und ein Mann, der passende grüne Farbe trägt, tanzt während einer Aufführung auf der Bühne.</v>
      </c>
    </row>
    <row r="20457">
      <c r="A20457" s="4" t="s">
        <v>25758</v>
      </c>
      <c r="B20457" s="4" t="s">
        <v>25760</v>
      </c>
      <c r="C20457" s="5" t="str">
        <f>IFERROR(__xludf.DUMMYFUNCTION("GOOGLETRANSLATE(B20457,""en"",""de"")"),"Der Mann dreht seinen Partner während des Tanzes.")</f>
        <v>Der Mann dreht seinen Partner während des Tanzes.</v>
      </c>
    </row>
    <row r="20458">
      <c r="A20458" s="4" t="s">
        <v>25758</v>
      </c>
      <c r="B20458" s="4" t="s">
        <v>25761</v>
      </c>
      <c r="C20458" s="5" t="str">
        <f>IFERROR(__xludf.DUMMYFUNCTION("GOOGLETRANSLATE(B20458,""en"",""de"")"),"Die Tänzer treten beim Tanzen die Füße auf.")</f>
        <v>Die Tänzer treten beim Tanzen die Füße auf.</v>
      </c>
    </row>
    <row r="20459">
      <c r="A20459" s="4" t="s">
        <v>25762</v>
      </c>
      <c r="B20459" s="4" t="s">
        <v>25763</v>
      </c>
      <c r="C20459" s="5" t="str">
        <f>IFERROR(__xludf.DUMMYFUNCTION("GOOGLETRANSLATE(B20459,""en"",""de"")"),"Ein Junge spricht mit der Kamera.")</f>
        <v>Ein Junge spricht mit der Kamera.</v>
      </c>
    </row>
    <row r="20460">
      <c r="A20460" s="4" t="s">
        <v>25762</v>
      </c>
      <c r="B20460" s="4" t="s">
        <v>25764</v>
      </c>
      <c r="C20460" s="5" t="str">
        <f>IFERROR(__xludf.DUMMYFUNCTION("GOOGLETRANSLATE(B20460,""en"",""de"")"),"Der Junge schrubbt eine Metallsbecken mit einem Pinsel.")</f>
        <v>Der Junge schrubbt eine Metallsbecken mit einem Pinsel.</v>
      </c>
    </row>
    <row r="20461">
      <c r="A20461" s="4" t="s">
        <v>25762</v>
      </c>
      <c r="B20461" s="4" t="s">
        <v>25765</v>
      </c>
      <c r="C20461" s="5" t="str">
        <f>IFERROR(__xludf.DUMMYFUNCTION("GOOGLETRANSLATE(B20461,""en"",""de"")"),"Der Junge wechselt den Pinsel.")</f>
        <v>Der Junge wechselt den Pinsel.</v>
      </c>
    </row>
    <row r="20462">
      <c r="A20462" s="4" t="s">
        <v>25766</v>
      </c>
      <c r="B20462" s="4" t="s">
        <v>25767</v>
      </c>
      <c r="C20462" s="5" t="str">
        <f>IFERROR(__xludf.DUMMYFUNCTION("GOOGLETRANSLATE(B20462,""en"",""de"")"),"Drei Personen sitzen auf dem Ozean.")</f>
        <v>Drei Personen sitzen auf dem Ozean.</v>
      </c>
    </row>
    <row r="20463">
      <c r="A20463" s="4" t="s">
        <v>25766</v>
      </c>
      <c r="B20463" s="4" t="s">
        <v>25768</v>
      </c>
      <c r="C20463" s="5" t="str">
        <f>IFERROR(__xludf.DUMMYFUNCTION("GOOGLETRANSLATE(B20463,""en"",""de"")"),"Ein Mann surft auf einer kleinen Welle, fliegt dann in die Luft und landet am Ufer.")</f>
        <v>Ein Mann surft auf einer kleinen Welle, fliegt dann in die Luft und landet am Ufer.</v>
      </c>
    </row>
    <row r="20464">
      <c r="A20464" s="4" t="s">
        <v>25766</v>
      </c>
      <c r="B20464" s="4" t="s">
        <v>25769</v>
      </c>
      <c r="C20464" s="5" t="str">
        <f>IFERROR(__xludf.DUMMYFUNCTION("GOOGLETRANSLATE(B20464,""en"",""de"")"),"Eine Person macht dem Surfer ein Foto.")</f>
        <v>Eine Person macht dem Surfer ein Foto.</v>
      </c>
    </row>
    <row r="20465">
      <c r="A20465" s="4" t="s">
        <v>25766</v>
      </c>
      <c r="B20465" s="4" t="s">
        <v>25770</v>
      </c>
      <c r="C20465" s="5" t="str">
        <f>IFERROR(__xludf.DUMMYFUNCTION("GOOGLETRANSLATE(B20465,""en"",""de"")"),"Der Mann surft, dreht sich und springt, nachdem er sein Surfbrett genommen und am Strand spaziert.")</f>
        <v>Der Mann surft, dreht sich und springt, nachdem er sein Surfbrett genommen und am Strand spaziert.</v>
      </c>
    </row>
    <row r="20466">
      <c r="A20466" s="4" t="s">
        <v>25766</v>
      </c>
      <c r="B20466" s="4" t="s">
        <v>25771</v>
      </c>
      <c r="C20466" s="5" t="str">
        <f>IFERROR(__xludf.DUMMYFUNCTION("GOOGLETRANSLATE(B20466,""en"",""de"")"),"Ein Surfer dreht sich in einer Welle um.")</f>
        <v>Ein Surfer dreht sich in einer Welle um.</v>
      </c>
    </row>
    <row r="20467">
      <c r="A20467" s="4" t="s">
        <v>25772</v>
      </c>
      <c r="B20467" s="4" t="s">
        <v>25773</v>
      </c>
      <c r="C20467" s="5" t="str">
        <f>IFERROR(__xludf.DUMMYFUNCTION("GOOGLETRANSLATE(B20467,""en"",""de"")"),"Ein Surfer steht im Meeresstrom.")</f>
        <v>Ein Surfer steht im Meeresstrom.</v>
      </c>
    </row>
    <row r="20468">
      <c r="A20468" s="4" t="s">
        <v>25772</v>
      </c>
      <c r="B20468" s="4" t="s">
        <v>25774</v>
      </c>
      <c r="C20468" s="5" t="str">
        <f>IFERROR(__xludf.DUMMYFUNCTION("GOOGLETRANSLATE(B20468,""en"",""de"")"),"Ein paar andere Surfer schließen sich ihm an, als sie in die Wellen surfen.")</f>
        <v>Ein paar andere Surfer schließen sich ihm an, als sie in die Wellen surfen.</v>
      </c>
    </row>
    <row r="20469">
      <c r="A20469" s="4" t="s">
        <v>25772</v>
      </c>
      <c r="B20469" s="4" t="s">
        <v>25775</v>
      </c>
      <c r="C20469" s="5" t="str">
        <f>IFERROR(__xludf.DUMMYFUNCTION("GOOGLETRANSLATE(B20469,""en"",""de"")"),"Sie reiten die Wellen zusammen zum Ufer.")</f>
        <v>Sie reiten die Wellen zusammen zum Ufer.</v>
      </c>
    </row>
    <row r="20470">
      <c r="A20470" s="4" t="s">
        <v>25776</v>
      </c>
      <c r="B20470" s="4" t="s">
        <v>25777</v>
      </c>
      <c r="C20470" s="5" t="str">
        <f>IFERROR(__xludf.DUMMYFUNCTION("GOOGLETRANSLATE(B20470,""en"",""de"")"),"Ein Mann sitzt auf dem Boden und springt in eine stehende Position.")</f>
        <v>Ein Mann sitzt auf dem Boden und springt in eine stehende Position.</v>
      </c>
    </row>
    <row r="20471">
      <c r="A20471" s="4" t="s">
        <v>25776</v>
      </c>
      <c r="B20471" s="4" t="s">
        <v>25778</v>
      </c>
      <c r="C20471" s="5" t="str">
        <f>IFERROR(__xludf.DUMMYFUNCTION("GOOGLETRANSLATE(B20471,""en"",""de"")"),"Dann geht er zurück in eine kniende Position und springt wieder auf die Füße.")</f>
        <v>Dann geht er zurück in eine kniende Position und springt wieder auf die Füße.</v>
      </c>
    </row>
    <row r="20472">
      <c r="A20472" s="4" t="s">
        <v>25776</v>
      </c>
      <c r="B20472" s="4" t="s">
        <v>25779</v>
      </c>
      <c r="C20472" s="5" t="str">
        <f>IFERROR(__xludf.DUMMYFUNCTION("GOOGLETRANSLATE(B20472,""en"",""de"")"),"Der gleiche Mann macht das noch zweimal.")</f>
        <v>Der gleiche Mann macht das noch zweimal.</v>
      </c>
    </row>
    <row r="20473">
      <c r="A20473" s="4" t="s">
        <v>25780</v>
      </c>
      <c r="B20473" s="4" t="s">
        <v>25781</v>
      </c>
      <c r="C20473" s="5" t="str">
        <f>IFERROR(__xludf.DUMMYFUNCTION("GOOGLETRANSLATE(B20473,""en"",""de"")"),"Ein schwarzer Intro -Bildschirm erscheint und hat die Wörter Superwäsche in der Mitte.")</f>
        <v>Ein schwarzer Intro -Bildschirm erscheint und hat die Wörter Superwäsche in der Mitte.</v>
      </c>
    </row>
    <row r="20474">
      <c r="A20474" s="4" t="s">
        <v>25780</v>
      </c>
      <c r="B20474" s="4" t="s">
        <v>25782</v>
      </c>
      <c r="C20474" s="5" t="str">
        <f>IFERROR(__xludf.DUMMYFUNCTION("GOOGLETRANSLATE(B20474,""en"",""de"")"),"Ein rotes Auto und ein Auto dahinter befindet sich in einer Autowäsche und beide werden von zwei Menschen in jedem Auto bearbeitet.")</f>
        <v>Ein rotes Auto und ein Auto dahinter befindet sich in einer Autowäsche und beide werden von zwei Menschen in jedem Auto bearbeitet.</v>
      </c>
    </row>
    <row r="20475">
      <c r="A20475" s="4" t="s">
        <v>25780</v>
      </c>
      <c r="B20475" s="4" t="s">
        <v>25783</v>
      </c>
      <c r="C20475" s="5" t="str">
        <f>IFERROR(__xludf.DUMMYFUNCTION("GOOGLETRANSLATE(B20475,""en"",""de"")"),"Jetzt sind 3 Autos sichtbar und die gleichen Männer arbeiten daran, das rote Auto zu waschen, während ein anderer Mann an dem dritten Auto an der Seite des roten Autos arbeitet und alle Autos weiterhin gewaschen werden.")</f>
        <v>Jetzt sind 3 Autos sichtbar und die gleichen Männer arbeiten daran, das rote Auto zu waschen, während ein anderer Mann an dem dritten Auto an der Seite des roten Autos arbeitet und alle Autos weiterhin gewaschen werden.</v>
      </c>
    </row>
    <row r="20476">
      <c r="A20476" s="4" t="s">
        <v>25780</v>
      </c>
      <c r="B20476" s="4" t="s">
        <v>25784</v>
      </c>
      <c r="C20476" s="5" t="str">
        <f>IFERROR(__xludf.DUMMYFUNCTION("GOOGLETRANSLATE(B20476,""en"",""de"")"),"Das rote Auto ist außerhalb des Gebäudes geparkt und ist sauber, trocken und sehr glänzend.")</f>
        <v>Das rote Auto ist außerhalb des Gebäudes geparkt und ist sauber, trocken und sehr glänzend.</v>
      </c>
    </row>
    <row r="20477">
      <c r="A20477" s="4" t="s">
        <v>25785</v>
      </c>
      <c r="B20477" s="4" t="s">
        <v>25786</v>
      </c>
      <c r="C20477" s="5" t="str">
        <f>IFERROR(__xludf.DUMMYFUNCTION("GOOGLETRANSLATE(B20477,""en"",""de"")"),"Die Leute fahren ein Auto eine Straße hinunter.")</f>
        <v>Die Leute fahren ein Auto eine Straße hinunter.</v>
      </c>
    </row>
    <row r="20478">
      <c r="A20478" s="4" t="s">
        <v>25785</v>
      </c>
      <c r="B20478" s="4" t="s">
        <v>25787</v>
      </c>
      <c r="C20478" s="5" t="str">
        <f>IFERROR(__xludf.DUMMYFUNCTION("GOOGLETRANSLATE(B20478,""en"",""de"")"),"Sie paddeln in einem Boot einen Fluss hinunter.")</f>
        <v>Sie paddeln in einem Boot einen Fluss hinunter.</v>
      </c>
    </row>
    <row r="20479">
      <c r="A20479" s="4" t="s">
        <v>25785</v>
      </c>
      <c r="B20479" s="4" t="s">
        <v>25788</v>
      </c>
      <c r="C20479" s="5" t="str">
        <f>IFERROR(__xludf.DUMMYFUNCTION("GOOGLETRANSLATE(B20479,""en"",""de"")"),"Ein Mann steht im Wasser und hält ein Ruder.")</f>
        <v>Ein Mann steht im Wasser und hält ein Ruder.</v>
      </c>
    </row>
    <row r="20480">
      <c r="A20480" s="4" t="s">
        <v>25789</v>
      </c>
      <c r="B20480" s="4" t="s">
        <v>25790</v>
      </c>
      <c r="C20480" s="5" t="str">
        <f>IFERROR(__xludf.DUMMYFUNCTION("GOOGLETRANSLATE(B20480,""en"",""de"")"),"Ein Koch in der Uniform eines weißen Kochs steht in einer leeren kommerziellen Küche und zeigt, wie man ein Omelett macht.")</f>
        <v>Ein Koch in der Uniform eines weißen Kochs steht in einer leeren kommerziellen Küche und zeigt, wie man ein Omelett macht.</v>
      </c>
    </row>
    <row r="20481">
      <c r="A20481" s="4" t="s">
        <v>25789</v>
      </c>
      <c r="B20481" s="4" t="s">
        <v>25791</v>
      </c>
      <c r="C20481" s="5" t="str">
        <f>IFERROR(__xludf.DUMMYFUNCTION("GOOGLETRANSLATE(B20481,""en"",""de"")"),"Ein Koch steht in einer Küchengespräche zur Kamera, bevor er ein Ei nimmt und es in eine Mini -schwarze Pfanne gießt.")</f>
        <v>Ein Koch steht in einer Küchengespräche zur Kamera, bevor er ein Ei nimmt und es in eine Mini -schwarze Pfanne gießt.</v>
      </c>
    </row>
    <row r="20482">
      <c r="A20482" s="4" t="s">
        <v>25789</v>
      </c>
      <c r="B20482" s="4" t="s">
        <v>25792</v>
      </c>
      <c r="C20482" s="5" t="str">
        <f>IFERROR(__xludf.DUMMYFUNCTION("GOOGLETRANSLATE(B20482,""en"",""de"")"),"Der Küchenchef manövriert das Ei über dem Herd mit einer Gabel, die es sanft stapft.")</f>
        <v>Der Küchenchef manövriert das Ei über dem Herd mit einer Gabel, die es sanft stapft.</v>
      </c>
    </row>
    <row r="20483">
      <c r="A20483" s="4" t="s">
        <v>25789</v>
      </c>
      <c r="B20483" s="4" t="s">
        <v>25793</v>
      </c>
      <c r="C20483" s="5" t="str">
        <f>IFERROR(__xludf.DUMMYFUNCTION("GOOGLETRANSLATE(B20483,""en"",""de"")"),"Der Küchenchef faltet das Ei dann in der Pfanne in zwei Hälften und platziert es auf einen weißen Teller, bevor er sich in die Kamera dreht und erneut spricht.")</f>
        <v>Der Küchenchef faltet das Ei dann in der Pfanne in zwei Hälften und platziert es auf einen weißen Teller, bevor er sich in die Kamera dreht und erneut spricht.</v>
      </c>
    </row>
    <row r="20484">
      <c r="A20484" s="4" t="s">
        <v>25794</v>
      </c>
      <c r="B20484" s="4" t="s">
        <v>25795</v>
      </c>
      <c r="C20484" s="5" t="str">
        <f>IFERROR(__xludf.DUMMYFUNCTION("GOOGLETRANSLATE(B20484,""en"",""de"")"),"Zwei Mädchen tanzen und drehen Schlagstöcke auf einem Fitnessstudio.")</f>
        <v>Zwei Mädchen tanzen und drehen Schlagstöcke auf einem Fitnessstudio.</v>
      </c>
    </row>
    <row r="20485">
      <c r="A20485" s="4" t="s">
        <v>25794</v>
      </c>
      <c r="B20485" s="4" t="s">
        <v>25796</v>
      </c>
      <c r="C20485" s="5" t="str">
        <f>IFERROR(__xludf.DUMMYFUNCTION("GOOGLETRANSLATE(B20485,""en"",""de"")"),"Eines der Mädchen geht und das andere Mädchen tanzt weiter alleine.")</f>
        <v>Eines der Mädchen geht und das andere Mädchen tanzt weiter alleine.</v>
      </c>
    </row>
    <row r="20486">
      <c r="A20486" s="4" t="s">
        <v>25794</v>
      </c>
      <c r="B20486" s="4" t="s">
        <v>25797</v>
      </c>
      <c r="C20486" s="5" t="str">
        <f>IFERROR(__xludf.DUMMYFUNCTION("GOOGLETRANSLATE(B20486,""en"",""de"")"),"Sie fängt an, die Schlagstöcke in die Luft zu werfen.")</f>
        <v>Sie fängt an, die Schlagstöcke in die Luft zu werfen.</v>
      </c>
    </row>
    <row r="20487">
      <c r="A20487" s="4" t="s">
        <v>25794</v>
      </c>
      <c r="B20487" s="4" t="s">
        <v>25798</v>
      </c>
      <c r="C20487" s="5" t="str">
        <f>IFERROR(__xludf.DUMMYFUNCTION("GOOGLETRANSLATE(B20487,""en"",""de"")"),"Das zweite Mädchen schließt sich ihr wieder an und sie beenden das Tanzen.")</f>
        <v>Das zweite Mädchen schließt sich ihr wieder an und sie beenden das Tanzen.</v>
      </c>
    </row>
    <row r="20488">
      <c r="A20488" s="4" t="s">
        <v>25799</v>
      </c>
      <c r="B20488" s="4" t="s">
        <v>25800</v>
      </c>
      <c r="C20488" s="5" t="str">
        <f>IFERROR(__xludf.DUMMYFUNCTION("GOOGLETRANSLATE(B20488,""en"",""de"")"),"Wir sehen Babys und Kinder spielen.")</f>
        <v>Wir sehen Babys und Kinder spielen.</v>
      </c>
    </row>
    <row r="20489">
      <c r="A20489" s="4" t="s">
        <v>25799</v>
      </c>
      <c r="B20489" s="4" t="s">
        <v>25801</v>
      </c>
      <c r="C20489" s="5" t="str">
        <f>IFERROR(__xludf.DUMMYFUNCTION("GOOGLETRANSLATE(B20489,""en"",""de"")"),"Kinder gehen in Kreisen auf Schlick.")</f>
        <v>Kinder gehen in Kreisen auf Schlick.</v>
      </c>
    </row>
    <row r="20490">
      <c r="A20490" s="4" t="s">
        <v>25799</v>
      </c>
      <c r="B20490" s="4" t="s">
        <v>25802</v>
      </c>
      <c r="C20490" s="5" t="str">
        <f>IFERROR(__xludf.DUMMYFUNCTION("GOOGLETRANSLATE(B20490,""en"",""de"")"),"Die Kinder gehen in Linien auf ihren Stelzen.")</f>
        <v>Die Kinder gehen in Linien auf ihren Stelzen.</v>
      </c>
    </row>
    <row r="20491">
      <c r="A20491" s="4" t="s">
        <v>25799</v>
      </c>
      <c r="B20491" s="4" t="s">
        <v>25803</v>
      </c>
      <c r="C20491" s="5" t="str">
        <f>IFERROR(__xludf.DUMMYFUNCTION("GOOGLETRANSLATE(B20491,""en"",""de"")"),"Ein Mann hilft einem Mädchen, auf Schlitzen zu gehen.")</f>
        <v>Ein Mann hilft einem Mädchen, auf Schlitzen zu gehen.</v>
      </c>
    </row>
    <row r="20492">
      <c r="A20492" s="4" t="s">
        <v>25799</v>
      </c>
      <c r="B20492" s="4" t="s">
        <v>25804</v>
      </c>
      <c r="C20492" s="5" t="str">
        <f>IFERROR(__xludf.DUMMYFUNCTION("GOOGLETRANSLATE(B20492,""en"",""de"")"),"Ein Kind auf Stelzen fällt auf die Knie.")</f>
        <v>Ein Kind auf Stelzen fällt auf die Knie.</v>
      </c>
    </row>
    <row r="20493">
      <c r="A20493" s="4" t="s">
        <v>25799</v>
      </c>
      <c r="B20493" s="4" t="s">
        <v>25805</v>
      </c>
      <c r="C20493" s="5" t="str">
        <f>IFERROR(__xludf.DUMMYFUNCTION("GOOGLETRANSLATE(B20493,""en"",""de"")"),"Kinder gehen in einem Kreis auf ihren Stelzen.")</f>
        <v>Kinder gehen in einem Kreis auf ihren Stelzen.</v>
      </c>
    </row>
    <row r="20494">
      <c r="A20494" s="4" t="s">
        <v>25799</v>
      </c>
      <c r="B20494" s="4" t="s">
        <v>25806</v>
      </c>
      <c r="C20494" s="5" t="str">
        <f>IFERROR(__xludf.DUMMYFUNCTION("GOOGLETRANSLATE(B20494,""en"",""de"")"),"Ich sehe einen Schlussbildschirm und er verblasst schwarz.")</f>
        <v>Ich sehe einen Schlussbildschirm und er verblasst schwarz.</v>
      </c>
    </row>
    <row r="20495">
      <c r="A20495" s="4" t="s">
        <v>25807</v>
      </c>
      <c r="B20495" s="4" t="s">
        <v>25808</v>
      </c>
      <c r="C20495" s="5" t="str">
        <f>IFERROR(__xludf.DUMMYFUNCTION("GOOGLETRANSLATE(B20495,""en"",""de"")"),"Wir sehen ein Innenhockeyspiel.")</f>
        <v>Wir sehen ein Innenhockeyspiel.</v>
      </c>
    </row>
    <row r="20496">
      <c r="A20496" s="4" t="s">
        <v>25807</v>
      </c>
      <c r="B20496" s="4" t="s">
        <v>25809</v>
      </c>
      <c r="C20496" s="5" t="str">
        <f>IFERROR(__xludf.DUMMYFUNCTION("GOOGLETRANSLATE(B20496,""en"",""de"")"),"Der Torwart blockiert einen Schuss und eine Handvoll Spieler kämpfen um den Puck.")</f>
        <v>Der Torwart blockiert einen Schuss und eine Handvoll Spieler kämpfen um den Puck.</v>
      </c>
    </row>
    <row r="20497">
      <c r="A20497" s="4" t="s">
        <v>25807</v>
      </c>
      <c r="B20497" s="4" t="s">
        <v>25810</v>
      </c>
      <c r="C20497" s="5" t="str">
        <f>IFERROR(__xludf.DUMMYFUNCTION("GOOGLETRANSLATE(B20497,""en"",""de"")"),"Der Puck trifft den Schiedsrichter und schlägt ihn um.")</f>
        <v>Der Puck trifft den Schiedsrichter und schlägt ihn um.</v>
      </c>
    </row>
    <row r="20498">
      <c r="A20498" s="4" t="s">
        <v>25807</v>
      </c>
      <c r="B20498" s="4" t="s">
        <v>25811</v>
      </c>
      <c r="C20498" s="5" t="str">
        <f>IFERROR(__xludf.DUMMYFUNCTION("GOOGLETRANSLATE(B20498,""en"",""de"")"),"Der Torwart blockiert einen Schuss.")</f>
        <v>Der Torwart blockiert einen Schuss.</v>
      </c>
    </row>
    <row r="20499">
      <c r="A20499" s="4" t="s">
        <v>25812</v>
      </c>
      <c r="B20499" s="4" t="s">
        <v>25813</v>
      </c>
      <c r="C20499" s="5" t="str">
        <f>IFERROR(__xludf.DUMMYFUNCTION("GOOGLETRANSLATE(B20499,""en"",""de"")"),"Mehrere Kinder sitzen entlang eines Pools.")</f>
        <v>Mehrere Kinder sitzen entlang eines Pools.</v>
      </c>
    </row>
    <row r="20500">
      <c r="A20500" s="4" t="s">
        <v>25812</v>
      </c>
      <c r="B20500" s="4" t="s">
        <v>25814</v>
      </c>
      <c r="C20500" s="5" t="str">
        <f>IFERROR(__xludf.DUMMYFUNCTION("GOOGLETRANSLATE(B20500,""en"",""de"")"),"Sie tragen alle Flipper.")</f>
        <v>Sie tragen alle Flipper.</v>
      </c>
    </row>
    <row r="20501">
      <c r="A20501" s="4" t="s">
        <v>25812</v>
      </c>
      <c r="B20501" s="4" t="s">
        <v>25815</v>
      </c>
      <c r="C20501" s="5" t="str">
        <f>IFERROR(__xludf.DUMMYFUNCTION("GOOGLETRANSLATE(B20501,""en"",""de"")"),"Ein Mädchen trägt unter Wasser.")</f>
        <v>Ein Mädchen trägt unter Wasser.</v>
      </c>
    </row>
    <row r="20502">
      <c r="A20502" s="4" t="s">
        <v>25812</v>
      </c>
      <c r="B20502" s="4" t="s">
        <v>25816</v>
      </c>
      <c r="C20502" s="5" t="str">
        <f>IFERROR(__xludf.DUMMYFUNCTION("GOOGLETRANSLATE(B20502,""en"",""de"")"),"Mehrere Kinder üben mit Tauchausrüstung.")</f>
        <v>Mehrere Kinder üben mit Tauchausrüstung.</v>
      </c>
    </row>
    <row r="20503">
      <c r="A20503" s="4" t="s">
        <v>25817</v>
      </c>
      <c r="B20503" s="4" t="s">
        <v>25818</v>
      </c>
      <c r="C20503" s="5" t="str">
        <f>IFERROR(__xludf.DUMMYFUNCTION("GOOGLETRANSLATE(B20503,""en"",""de"")"),"Eine Frau in einem Büro hält ein Paar Pflegecripper, während er neben einem schwarzen Hund steht, der neben ihr auf einem Tisch steht, während er an einem Metallpol auf dem Tisch gebunden ist.")</f>
        <v>Eine Frau in einem Büro hält ein Paar Pflegecripper, während er neben einem schwarzen Hund steht, der neben ihr auf einem Tisch steht, während er an einem Metallpol auf dem Tisch gebunden ist.</v>
      </c>
    </row>
    <row r="20504">
      <c r="A20504" s="4" t="s">
        <v>25817</v>
      </c>
      <c r="B20504" s="4" t="s">
        <v>25819</v>
      </c>
      <c r="C20504" s="5" t="str">
        <f>IFERROR(__xludf.DUMMYFUNCTION("GOOGLETRANSLATE(B20504,""en"",""de"")"),"Die Frau beginnt, die Hunde mit den Clippers zu putzen.")</f>
        <v>Die Frau beginnt, die Hunde mit den Clippers zu putzen.</v>
      </c>
    </row>
    <row r="20505">
      <c r="A20505" s="4" t="s">
        <v>25817</v>
      </c>
      <c r="B20505" s="4" t="s">
        <v>25820</v>
      </c>
      <c r="C20505" s="5" t="str">
        <f>IFERROR(__xludf.DUMMYFUNCTION("GOOGLETRANSLATE(B20505,""en"",""de"")"),"Die Frau beginnt dann unter den Hunden vor den Vorderbeinen zu pflegen.")</f>
        <v>Die Frau beginnt dann unter den Hunden vor den Vorderbeinen zu pflegen.</v>
      </c>
    </row>
    <row r="20506">
      <c r="A20506" s="4" t="s">
        <v>25817</v>
      </c>
      <c r="B20506" s="4" t="s">
        <v>25821</v>
      </c>
      <c r="C20506" s="5" t="str">
        <f>IFERROR(__xludf.DUMMYFUNCTION("GOOGLETRANSLATE(B20506,""en"",""de"")"),"Schließlich pflegt die Frau die Hunde hinter Beinen und Schwanz, bevor ein blau -weißes Werbeschild bevölkert.")</f>
        <v>Schließlich pflegt die Frau die Hunde hinter Beinen und Schwanz, bevor ein blau -weißes Werbeschild bevölkert.</v>
      </c>
    </row>
    <row r="20507">
      <c r="A20507" s="4" t="s">
        <v>25822</v>
      </c>
      <c r="B20507" s="4" t="s">
        <v>25823</v>
      </c>
      <c r="C20507" s="5" t="str">
        <f>IFERROR(__xludf.DUMMYFUNCTION("GOOGLETRANSLATE(B20507,""en"",""de"")"),"Ein Mädchen bindet eine blinde Faltung um eine andere, während mehrere Kinder aussehen und ein Erwachsener das Mädchen an Ort und Stelle hält.")</f>
        <v>Ein Mädchen bindet eine blinde Faltung um eine andere, während mehrere Kinder aussehen und ein Erwachsener das Mädchen an Ort und Stelle hält.</v>
      </c>
    </row>
    <row r="20508">
      <c r="A20508" s="4" t="s">
        <v>25822</v>
      </c>
      <c r="B20508" s="4" t="s">
        <v>25824</v>
      </c>
      <c r="C20508" s="5" t="str">
        <f>IFERROR(__xludf.DUMMYFUNCTION("GOOGLETRANSLATE(B20508,""en"",""de"")"),"Dem Mädchen erhält dann eine Fledermaus und versucht, eine Pinata aufzubrechen.")</f>
        <v>Dem Mädchen erhält dann eine Fledermaus und versucht, eine Pinata aufzubrechen.</v>
      </c>
    </row>
    <row r="20509">
      <c r="A20509" s="4" t="s">
        <v>25822</v>
      </c>
      <c r="B20509" s="4" t="s">
        <v>25825</v>
      </c>
      <c r="C20509" s="5" t="str">
        <f>IFERROR(__xludf.DUMMYFUNCTION("GOOGLETRANSLATE(B20509,""en"",""de"")"),"Das Mädchen gelingt es, die Pinata zu brechen, und die Kinder werden sehr aufgeregt.")</f>
        <v>Das Mädchen gelingt es, die Pinata zu brechen, und die Kinder werden sehr aufgeregt.</v>
      </c>
    </row>
    <row r="20510">
      <c r="A20510" s="4" t="s">
        <v>25826</v>
      </c>
      <c r="B20510" s="4" t="s">
        <v>25827</v>
      </c>
      <c r="C20510" s="5" t="str">
        <f>IFERROR(__xludf.DUMMYFUNCTION("GOOGLETRANSLATE(B20510,""en"",""de"")"),"Eine Kamera schwenkt rund um den Himmel und zeigt eine Nahaufnahme eines Drachens.")</f>
        <v>Eine Kamera schwenkt rund um den Himmel und zeigt eine Nahaufnahme eines Drachens.</v>
      </c>
    </row>
    <row r="20511">
      <c r="A20511" s="4" t="s">
        <v>25826</v>
      </c>
      <c r="B20511" s="4" t="s">
        <v>25828</v>
      </c>
      <c r="C20511" s="5" t="str">
        <f>IFERROR(__xludf.DUMMYFUNCTION("GOOGLETRANSLATE(B20511,""en"",""de"")"),"Eine Person steht auf dem Boden und schwenkt zurück zum Drachen.")</f>
        <v>Eine Person steht auf dem Boden und schwenkt zurück zum Drachen.</v>
      </c>
    </row>
    <row r="20512">
      <c r="A20512" s="4" t="s">
        <v>25826</v>
      </c>
      <c r="B20512" s="4" t="s">
        <v>25829</v>
      </c>
      <c r="C20512" s="5" t="str">
        <f>IFERROR(__xludf.DUMMYFUNCTION("GOOGLETRANSLATE(B20512,""en"",""de"")"),"Der Drachen bewegt sich weiter in die Luft, während eine Person ihn weiter fliegt.")</f>
        <v>Der Drachen bewegt sich weiter in die Luft, während eine Person ihn weiter fliegt.</v>
      </c>
    </row>
    <row r="20513">
      <c r="A20513" s="4" t="s">
        <v>25830</v>
      </c>
      <c r="B20513" s="4" t="s">
        <v>25831</v>
      </c>
      <c r="C20513" s="5" t="str">
        <f>IFERROR(__xludf.DUMMYFUNCTION("GOOGLETRANSLATE(B20513,""en"",""de"")"),"Wir sehen einen Fahrradreifen und ein Mann interviewt BMX -Radfahrer.")</f>
        <v>Wir sehen einen Fahrradreifen und ein Mann interviewt BMX -Radfahrer.</v>
      </c>
    </row>
    <row r="20514">
      <c r="A20514" s="4" t="s">
        <v>25830</v>
      </c>
      <c r="B20514" s="4" t="s">
        <v>25832</v>
      </c>
      <c r="C20514" s="5" t="str">
        <f>IFERROR(__xludf.DUMMYFUNCTION("GOOGLETRANSLATE(B20514,""en"",""de"")"),"Wir sehen die Namen und Länder der Fahrer.")</f>
        <v>Wir sehen die Namen und Länder der Fahrer.</v>
      </c>
    </row>
    <row r="20515">
      <c r="A20515" s="4" t="s">
        <v>25830</v>
      </c>
      <c r="B20515" s="4" t="s">
        <v>25833</v>
      </c>
      <c r="C20515" s="5" t="str">
        <f>IFERROR(__xludf.DUMMYFUNCTION("GOOGLETRANSLATE(B20515,""en"",""de"")"),"Die Männer warten dann und reiten um die Strecke.")</f>
        <v>Die Männer warten dann und reiten um die Strecke.</v>
      </c>
    </row>
    <row r="20516">
      <c r="A20516" s="4" t="s">
        <v>25830</v>
      </c>
      <c r="B20516" s="4" t="s">
        <v>25834</v>
      </c>
      <c r="C20516" s="5" t="str">
        <f>IFERROR(__xludf.DUMMYFUNCTION("GOOGLETRANSLATE(B20516,""en"",""de"")"),"Ein Mann fällt von seinem Fahrrad und das Fahrrad rutscht.")</f>
        <v>Ein Mann fällt von seinem Fahrrad und das Fahrrad rutscht.</v>
      </c>
    </row>
    <row r="20517">
      <c r="A20517" s="4" t="s">
        <v>25830</v>
      </c>
      <c r="B20517" s="4" t="s">
        <v>25835</v>
      </c>
      <c r="C20517" s="5" t="str">
        <f>IFERROR(__xludf.DUMMYFUNCTION("GOOGLETRANSLATE(B20517,""en"",""de"")"),"Ein anderer Mann fällt von seinem Fahrrad und ist fast überfahren.")</f>
        <v>Ein anderer Mann fällt von seinem Fahrrad und ist fast überfahren.</v>
      </c>
    </row>
    <row r="20518">
      <c r="A20518" s="4" t="s">
        <v>25830</v>
      </c>
      <c r="B20518" s="4" t="s">
        <v>25836</v>
      </c>
      <c r="C20518" s="5" t="str">
        <f>IFERROR(__xludf.DUMMYFUNCTION("GOOGLETRANSLATE(B20518,""en"",""de"")"),"Der Mann interviewt zwei Männer nach dem Rennen und der Bildschirm wird grün.")</f>
        <v>Der Mann interviewt zwei Männer nach dem Rennen und der Bildschirm wird grün.</v>
      </c>
    </row>
    <row r="20519">
      <c r="A20519" s="4" t="s">
        <v>25837</v>
      </c>
      <c r="B20519" s="4" t="s">
        <v>25838</v>
      </c>
      <c r="C20519" s="5" t="str">
        <f>IFERROR(__xludf.DUMMYFUNCTION("GOOGLETRANSLATE(B20519,""en"",""de"")"),"Die Leute trainieren an Fahrradbikes in einem Fitnessstudio.")</f>
        <v>Die Leute trainieren an Fahrradbikes in einem Fitnessstudio.</v>
      </c>
    </row>
    <row r="20520">
      <c r="A20520" s="4" t="s">
        <v>25837</v>
      </c>
      <c r="B20520" s="4" t="s">
        <v>25839</v>
      </c>
      <c r="C20520" s="5" t="str">
        <f>IFERROR(__xludf.DUMMYFUNCTION("GOOGLETRANSLATE(B20520,""en"",""de"")"),"Eine Frau vorne steht auf und pedelt auf dem Fahrrad.")</f>
        <v>Eine Frau vorne steht auf und pedelt auf dem Fahrrad.</v>
      </c>
    </row>
    <row r="20521">
      <c r="A20521" s="4" t="s">
        <v>25837</v>
      </c>
      <c r="B20521" s="4" t="s">
        <v>25840</v>
      </c>
      <c r="C20521" s="5" t="str">
        <f>IFERROR(__xludf.DUMMYFUNCTION("GOOGLETRANSLATE(B20521,""en"",""de"")"),"Ein Banner, das an der Wand hängt, wird gezeigt.")</f>
        <v>Ein Banner, das an der Wand hängt, wird gezeigt.</v>
      </c>
    </row>
    <row r="20522">
      <c r="A20522" s="4" t="s">
        <v>25841</v>
      </c>
      <c r="B20522" s="4" t="s">
        <v>25842</v>
      </c>
      <c r="C20522" s="5" t="str">
        <f>IFERROR(__xludf.DUMMYFUNCTION("GOOGLETRANSLATE(B20522,""en"",""de"")"),"Ein Mann in Schwarz sitzt und spielt auf einem Klavier, während ein Mann in Rot in der Nähe des Schlagzeugs steht.")</f>
        <v>Ein Mann in Schwarz sitzt und spielt auf einem Klavier, während ein Mann in Rot in der Nähe des Schlagzeugs steht.</v>
      </c>
    </row>
    <row r="20523">
      <c r="A20523" s="4" t="s">
        <v>25841</v>
      </c>
      <c r="B20523" s="4" t="s">
        <v>25843</v>
      </c>
      <c r="C20523" s="5" t="str">
        <f>IFERROR(__xludf.DUMMYFUNCTION("GOOGLETRANSLATE(B20523,""en"",""de"")"),"Während der Mann in Schwarzen spielt, rollt der Mann in Rot einen Draht hoch.")</f>
        <v>Während der Mann in Schwarzen spielt, rollt der Mann in Rot einen Draht hoch.</v>
      </c>
    </row>
    <row r="20524">
      <c r="A20524" s="4" t="s">
        <v>25841</v>
      </c>
      <c r="B20524" s="4" t="s">
        <v>25844</v>
      </c>
      <c r="C20524" s="5" t="str">
        <f>IFERROR(__xludf.DUMMYFUNCTION("GOOGLETRANSLATE(B20524,""en"",""de"")"),"Der Mann in Rot beginnt seinen Kopf zum Schlag der Klaviermusik.")</f>
        <v>Der Mann in Rot beginnt seinen Kopf zum Schlag der Klaviermusik.</v>
      </c>
    </row>
    <row r="20525">
      <c r="A20525" s="4" t="s">
        <v>25841</v>
      </c>
      <c r="B20525" s="4" t="s">
        <v>25845</v>
      </c>
      <c r="C20525" s="5" t="str">
        <f>IFERROR(__xludf.DUMMYFUNCTION("GOOGLETRANSLATE(B20525,""en"",""de"")"),"Der Mann legt dann den Draht ab.")</f>
        <v>Der Mann legt dann den Draht ab.</v>
      </c>
    </row>
    <row r="20526">
      <c r="A20526" s="4" t="s">
        <v>25846</v>
      </c>
      <c r="B20526" s="4" t="s">
        <v>25847</v>
      </c>
      <c r="C20526" s="5" t="str">
        <f>IFERROR(__xludf.DUMMYFUNCTION("GOOGLETRANSLATE(B20526,""en"",""de"")"),"Ein Boot fährt mit Menschen, die an den Seiten sitzen und zuschauen.")</f>
        <v>Ein Boot fährt mit Menschen, die an den Seiten sitzen und zuschauen.</v>
      </c>
    </row>
    <row r="20527">
      <c r="A20527" s="4" t="s">
        <v>25846</v>
      </c>
      <c r="B20527" s="4" t="s">
        <v>25848</v>
      </c>
      <c r="C20527" s="5" t="str">
        <f>IFERROR(__xludf.DUMMYFUNCTION("GOOGLETRANSLATE(B20527,""en"",""de"")"),"Ein kleiner Junge wird dann unter Wasser schwimmen, der in Menschen führt, die mit dem Boot fahren und durch eine Stadt fahren.")</f>
        <v>Ein kleiner Junge wird dann unter Wasser schwimmen, der in Menschen führt, die mit dem Boot fahren und durch eine Stadt fahren.</v>
      </c>
    </row>
    <row r="20528">
      <c r="A20528" s="4" t="s">
        <v>25846</v>
      </c>
      <c r="B20528" s="4" t="s">
        <v>25849</v>
      </c>
      <c r="C20528" s="5" t="str">
        <f>IFERROR(__xludf.DUMMYFUNCTION("GOOGLETRANSLATE(B20528,""en"",""de"")"),"Die Kamera verläuft weiterhin um die Stadt sowie das Nachtleben.")</f>
        <v>Die Kamera verläuft weiterhin um die Stadt sowie das Nachtleben.</v>
      </c>
    </row>
    <row r="20529">
      <c r="A20529" s="4" t="s">
        <v>25850</v>
      </c>
      <c r="B20529" s="4" t="s">
        <v>25851</v>
      </c>
      <c r="C20529" s="5" t="str">
        <f>IFERROR(__xludf.DUMMYFUNCTION("GOOGLETRANSLATE(B20529,""en"",""de"")"),"Frau üben Sprünge in einem fröhlichen Team.")</f>
        <v>Frau üben Sprünge in einem fröhlichen Team.</v>
      </c>
    </row>
    <row r="20530">
      <c r="A20530" s="4" t="s">
        <v>25850</v>
      </c>
      <c r="B20530" s="4" t="s">
        <v>25852</v>
      </c>
      <c r="C20530" s="5" t="str">
        <f>IFERROR(__xludf.DUMMYFUNCTION("GOOGLETRANSLATE(B20530,""en"",""de"")"),"Frau legt sich in einem Bett und ein Mann hilft ihr.")</f>
        <v>Frau legt sich in einem Bett und ein Mann hilft ihr.</v>
      </c>
    </row>
    <row r="20531">
      <c r="A20531" s="4" t="s">
        <v>25853</v>
      </c>
      <c r="B20531" s="4" t="s">
        <v>25854</v>
      </c>
      <c r="C20531" s="5" t="str">
        <f>IFERROR(__xludf.DUMMYFUNCTION("GOOGLETRANSLATE(B20531,""en"",""de"")"),"In einem großen Stadion spielen zwei Leute in roten Hemden und blaue Shorts, die Ping Pong spielen. Viele Zuschauer beobachten sie.")</f>
        <v>In einem großen Stadion spielen zwei Leute in roten Hemden und blaue Shorts, die Ping Pong spielen. Viele Zuschauer beobachten sie.</v>
      </c>
    </row>
    <row r="20532">
      <c r="A20532" s="4" t="s">
        <v>25853</v>
      </c>
      <c r="B20532" s="4" t="s">
        <v>25855</v>
      </c>
      <c r="C20532" s="5" t="str">
        <f>IFERROR(__xludf.DUMMYFUNCTION("GOOGLETRANSLATE(B20532,""en"",""de"")"),"Die Spieler spielen eine lange Runde Ping Pong, da sie weiterhin eine großartige Rallye aufrechterhalten.")</f>
        <v>Die Spieler spielen eine lange Runde Ping Pong, da sie weiterhin eine großartige Rallye aufrechterhalten.</v>
      </c>
    </row>
    <row r="20533">
      <c r="A20533" s="4" t="s">
        <v>25853</v>
      </c>
      <c r="B20533" s="4" t="s">
        <v>25856</v>
      </c>
      <c r="C20533" s="5" t="str">
        <f>IFERROR(__xludf.DUMMYFUNCTION("GOOGLETRANSLATE(B20533,""en"",""de"")"),"Der Spieler auf der rechten Seite schneidet den Ball über den Ping -Pong -Tisch, als er den Ball an seinen Gegner zurückgibt.")</f>
        <v>Der Spieler auf der rechten Seite schneidet den Ball über den Ping -Pong -Tisch, als er den Ball an seinen Gegner zurückgibt.</v>
      </c>
    </row>
    <row r="20534">
      <c r="A20534" s="4" t="s">
        <v>25853</v>
      </c>
      <c r="B20534" s="4" t="s">
        <v>25857</v>
      </c>
      <c r="C20534" s="5" t="str">
        <f>IFERROR(__xludf.DUMMYFUNCTION("GOOGLETRANSLATE(B20534,""en"",""de"")"),"Der Gegner schafft es, den Ball zurückzugeben, ohne ihn zu verpassen.")</f>
        <v>Der Gegner schafft es, den Ball zurückzugeben, ohne ihn zu verpassen.</v>
      </c>
    </row>
    <row r="20535">
      <c r="A20535" s="4" t="s">
        <v>25853</v>
      </c>
      <c r="B20535" s="4" t="s">
        <v>25858</v>
      </c>
      <c r="C20535" s="5" t="str">
        <f>IFERROR(__xludf.DUMMYFUNCTION("GOOGLETRANSLATE(B20535,""en"",""de"")"),"Sie spielen weiterhin eine großartige Rallye als einer der Spieler, der buchstäblich auf den Tischtenpong -Tisch springt, um den Ball zurückzugeben.")</f>
        <v>Sie spielen weiterhin eine großartige Rallye als einer der Spieler, der buchstäblich auf den Tischtenpong -Tisch springt, um den Ball zurückzugeben.</v>
      </c>
    </row>
    <row r="20536">
      <c r="A20536" s="4" t="s">
        <v>25853</v>
      </c>
      <c r="B20536" s="4" t="s">
        <v>25859</v>
      </c>
      <c r="C20536" s="5" t="str">
        <f>IFERROR(__xludf.DUMMYFUNCTION("GOOGLETRANSLATE(B20536,""en"",""de"")"),"Der andere Spieler fällt auf den Boden und versucht, den Ball an seinen Gegner zurückzuschlagen.")</f>
        <v>Der andere Spieler fällt auf den Boden und versucht, den Ball an seinen Gegner zurückzuschlagen.</v>
      </c>
    </row>
    <row r="20537">
      <c r="A20537" s="4" t="s">
        <v>25860</v>
      </c>
      <c r="B20537" s="4" t="s">
        <v>25861</v>
      </c>
      <c r="C20537" s="5" t="str">
        <f>IFERROR(__xludf.DUMMYFUNCTION("GOOGLETRANSLATE(B20537,""en"",""de"")"),"Ein Mann befindet sich auf einem Schachsturm im schneebedeckten Wald.")</f>
        <v>Ein Mann befindet sich auf einem Schachsturm im schneebedeckten Wald.</v>
      </c>
    </row>
    <row r="20538">
      <c r="A20538" s="4" t="s">
        <v>25860</v>
      </c>
      <c r="B20538" s="4" t="s">
        <v>25862</v>
      </c>
      <c r="C20538" s="5" t="str">
        <f>IFERROR(__xludf.DUMMYFUNCTION("GOOGLETRANSLATE(B20538,""en"",""de"")"),"Er bohrt hoch in die Luft, vom Seil und zurück.")</f>
        <v>Er bohrt hoch in die Luft, vom Seil und zurück.</v>
      </c>
    </row>
    <row r="20539">
      <c r="A20539" s="4" t="s">
        <v>25860</v>
      </c>
      <c r="B20539" s="4" t="s">
        <v>25863</v>
      </c>
      <c r="C20539" s="5" t="str">
        <f>IFERROR(__xludf.DUMMYFUNCTION("GOOGLETRANSLATE(B20539,""en"",""de"")"),"Er setzt diese Aktion im gesamten Video fort.")</f>
        <v>Er setzt diese Aktion im gesamten Video fort.</v>
      </c>
    </row>
    <row r="20540">
      <c r="A20540" s="4" t="s">
        <v>25864</v>
      </c>
      <c r="B20540" s="4" t="s">
        <v>25865</v>
      </c>
      <c r="C20540" s="5" t="str">
        <f>IFERROR(__xludf.DUMMYFUNCTION("GOOGLETRANSLATE(B20540,""en"",""de"")"),"Ein Teenager rennt am Strand.")</f>
        <v>Ein Teenager rennt am Strand.</v>
      </c>
    </row>
    <row r="20541">
      <c r="A20541" s="4" t="s">
        <v>25864</v>
      </c>
      <c r="B20541" s="4" t="s">
        <v>25866</v>
      </c>
      <c r="C20541" s="5" t="str">
        <f>IFERROR(__xludf.DUMMYFUNCTION("GOOGLETRANSLATE(B20541,""en"",""de"")"),"Ein Hund jagt ihn und versucht, seinen Frisbee zu fangen.")</f>
        <v>Ein Hund jagt ihn und versucht, seinen Frisbee zu fangen.</v>
      </c>
    </row>
    <row r="20542">
      <c r="A20542" s="4" t="s">
        <v>25864</v>
      </c>
      <c r="B20542" s="4" t="s">
        <v>25867</v>
      </c>
      <c r="C20542" s="5" t="str">
        <f>IFERROR(__xludf.DUMMYFUNCTION("GOOGLETRANSLATE(B20542,""en"",""de"")"),"Er wirft die Frisbee und der Hund springt in die Luft, um sie zu fangen.")</f>
        <v>Er wirft die Frisbee und der Hund springt in die Luft, um sie zu fangen.</v>
      </c>
    </row>
    <row r="20543">
      <c r="A20543" s="4" t="s">
        <v>25868</v>
      </c>
      <c r="B20543" s="4" t="s">
        <v>25869</v>
      </c>
      <c r="C20543" s="5" t="str">
        <f>IFERROR(__xludf.DUMMYFUNCTION("GOOGLETRANSLATE(B20543,""en"",""de"")"),"Wir sehen einen Mann, der ein Orchester führt.")</f>
        <v>Wir sehen einen Mann, der ein Orchester führt.</v>
      </c>
    </row>
    <row r="20544">
      <c r="A20544" s="4" t="s">
        <v>25868</v>
      </c>
      <c r="B20544" s="4" t="s">
        <v>25870</v>
      </c>
      <c r="C20544" s="5" t="str">
        <f>IFERROR(__xludf.DUMMYFUNCTION("GOOGLETRANSLATE(B20544,""en"",""de"")"),"Wir sehen, dass eine Dame in einem blauen Kleid vor den anderen Spielern spielt.")</f>
        <v>Wir sehen, dass eine Dame in einem blauen Kleid vor den anderen Spielern spielt.</v>
      </c>
    </row>
    <row r="20545">
      <c r="A20545" s="4" t="s">
        <v>25868</v>
      </c>
      <c r="B20545" s="4" t="s">
        <v>25871</v>
      </c>
      <c r="C20545" s="5" t="str">
        <f>IFERROR(__xludf.DUMMYFUNCTION("GOOGLETRANSLATE(B20545,""en"",""de"")"),"Wir sehen die Dame von hinten und wir sehen die anderen Spieler.")</f>
        <v>Wir sehen die Dame von hinten und wir sehen die anderen Spieler.</v>
      </c>
    </row>
    <row r="20546">
      <c r="A20546" s="4" t="s">
        <v>25868</v>
      </c>
      <c r="B20546" s="4" t="s">
        <v>25872</v>
      </c>
      <c r="C20546" s="5" t="str">
        <f>IFERROR(__xludf.DUMMYFUNCTION("GOOGLETRANSLATE(B20546,""en"",""de"")"),"Wir sehen einen Schuss des gesamten Orchesters.")</f>
        <v>Wir sehen einen Schuss des gesamten Orchesters.</v>
      </c>
    </row>
    <row r="20547">
      <c r="A20547" s="4" t="s">
        <v>25868</v>
      </c>
      <c r="B20547" s="4" t="s">
        <v>25873</v>
      </c>
      <c r="C20547" s="5" t="str">
        <f>IFERROR(__xludf.DUMMYFUNCTION("GOOGLETRANSLATE(B20547,""en"",""de"")"),"Wir sehen die Bason -Spieler spielen.")</f>
        <v>Wir sehen die Bason -Spieler spielen.</v>
      </c>
    </row>
    <row r="20548">
      <c r="A20548" s="4" t="s">
        <v>25868</v>
      </c>
      <c r="B20548" s="4" t="s">
        <v>25874</v>
      </c>
      <c r="C20548" s="5" t="str">
        <f>IFERROR(__xludf.DUMMYFUNCTION("GOOGLETRANSLATE(B20548,""en"",""de"")"),"Wir verblassen zu Schwarz und das Video endet.")</f>
        <v>Wir verblassen zu Schwarz und das Video endet.</v>
      </c>
    </row>
    <row r="20549">
      <c r="A20549" s="4" t="s">
        <v>25875</v>
      </c>
      <c r="B20549" s="4" t="s">
        <v>25876</v>
      </c>
      <c r="C20549" s="5" t="str">
        <f>IFERROR(__xludf.DUMMYFUNCTION("GOOGLETRANSLATE(B20549,""en"",""de"")"),"Ein Bild eines Hundes in einer Wanne gezeigt und führt in Hände, die Werkzeuge halten, und ein Hund, der um eine Wanne wandert.")</f>
        <v>Ein Bild eines Hundes in einer Wanne gezeigt und führt in Hände, die Werkzeuge halten, und ein Hund, der um eine Wanne wandert.</v>
      </c>
    </row>
    <row r="20550">
      <c r="A20550" s="4" t="s">
        <v>25875</v>
      </c>
      <c r="B20550" s="4" t="s">
        <v>25877</v>
      </c>
      <c r="C20550" s="5" t="str">
        <f>IFERROR(__xludf.DUMMYFUNCTION("GOOGLETRANSLATE(B20550,""en"",""de"")"),"Die Person legt Zahnpasta auf eine Bürste und putzt die Zähne des Hundes zurück und den vierten Platz.")</f>
        <v>Die Person legt Zahnpasta auf eine Bürste und putzt die Zähne des Hundes zurück und den vierten Platz.</v>
      </c>
    </row>
    <row r="20551">
      <c r="A20551" s="4" t="s">
        <v>25875</v>
      </c>
      <c r="B20551" s="4" t="s">
        <v>25878</v>
      </c>
      <c r="C20551" s="5" t="str">
        <f>IFERROR(__xludf.DUMMYFUNCTION("GOOGLETRANSLATE(B20551,""en"",""de"")"),"Schließlich steckt sie Gel in den Mund des Hundes und der Hund sitzt auf einem Bett, der zur Kamera winkt.")</f>
        <v>Schließlich steckt sie Gel in den Mund des Hundes und der Hund sitzt auf einem Bett, der zur Kamera winkt.</v>
      </c>
    </row>
    <row r="20552">
      <c r="A20552" s="4" t="s">
        <v>25879</v>
      </c>
      <c r="B20552" s="4" t="s">
        <v>25880</v>
      </c>
      <c r="C20552" s="5" t="str">
        <f>IFERROR(__xludf.DUMMYFUNCTION("GOOGLETRANSLATE(B20552,""en"",""de"")"),"Zwei Frau treten auf einer Bühne auf und spielt eine Flöte und die andere Klavier.")</f>
        <v>Zwei Frau treten auf einer Bühne auf und spielt eine Flöte und die andere Klavier.</v>
      </c>
    </row>
    <row r="20553">
      <c r="A20553" s="4" t="s">
        <v>25879</v>
      </c>
      <c r="B20553" s="4" t="s">
        <v>25881</v>
      </c>
      <c r="C20553" s="5" t="str">
        <f>IFERROR(__xludf.DUMMYFUNCTION("GOOGLETRANSLATE(B20553,""en"",""de"")"),"Die Frauen spielen einen Song, während die Kamera den Flötenspieler einnimmt und sich am Ende verbeugt und abreist.")</f>
        <v>Die Frauen spielen einen Song, während die Kamera den Flötenspieler einnimmt und sich am Ende verbeugt und abreist.</v>
      </c>
    </row>
    <row r="20554">
      <c r="A20554" s="4" t="s">
        <v>25882</v>
      </c>
      <c r="B20554" s="4" t="s">
        <v>25883</v>
      </c>
      <c r="C20554" s="5" t="str">
        <f>IFERROR(__xludf.DUMMYFUNCTION("GOOGLETRANSLATE(B20554,""en"",""de"")"),"Ein Mann reinigt ein Fenster mit einem weichen Rakel mit Waschmittel, während er erklärt, und dann nimmt der Mann einen Stahlwischer, um das Waschmittel am Fenster zu reinigen.")</f>
        <v>Ein Mann reinigt ein Fenster mit einem weichen Rakel mit Waschmittel, während er erklärt, und dann nimmt der Mann einen Stahlwischer, um das Waschmittel am Fenster zu reinigen.</v>
      </c>
    </row>
    <row r="20555">
      <c r="A20555" s="4" t="s">
        <v>25882</v>
      </c>
      <c r="B20555" s="4" t="s">
        <v>25884</v>
      </c>
      <c r="C20555" s="5" t="str">
        <f>IFERROR(__xludf.DUMMYFUNCTION("GOOGLETRANSLATE(B20555,""en"",""de"")"),"Dann wendet der Mann mehr Waschmittel mit dem weichen Rakel auf und reinigt dann mit dem steilen Scheibenwischer.")</f>
        <v>Dann wendet der Mann mehr Waschmittel mit dem weichen Rakel auf und reinigt dann mit dem steilen Scheibenwischer.</v>
      </c>
    </row>
    <row r="20556">
      <c r="A20556" s="4" t="s">
        <v>25882</v>
      </c>
      <c r="B20556" s="4" t="s">
        <v>25885</v>
      </c>
      <c r="C20556" s="5" t="str">
        <f>IFERROR(__xludf.DUMMYFUNCTION("GOOGLETRANSLATE(B20556,""en"",""de"")"),"Danach waschen der Mann das Fenster mit dem weichen Rakel und dem Stahlwischwisch, während er den Verfahren erklärt.")</f>
        <v>Danach waschen der Mann das Fenster mit dem weichen Rakel und dem Stahlwischwisch, während er den Verfahren erklärt.</v>
      </c>
    </row>
    <row r="20557">
      <c r="A20557" s="4" t="s">
        <v>25886</v>
      </c>
      <c r="B20557" s="4" t="s">
        <v>25887</v>
      </c>
      <c r="C20557" s="5" t="str">
        <f>IFERROR(__xludf.DUMMYFUNCTION("GOOGLETRANSLATE(B20557,""en"",""de"")"),"Die Biker fahren auf der Rampe, während die Gruppe der Biker an der Startlinie positioniert ist.")</f>
        <v>Die Biker fahren auf der Rampe, während die Gruppe der Biker an der Startlinie positioniert ist.</v>
      </c>
    </row>
    <row r="20558">
      <c r="A20558" s="4" t="s">
        <v>25886</v>
      </c>
      <c r="B20558" s="4" t="s">
        <v>25888</v>
      </c>
      <c r="C20558" s="5" t="str">
        <f>IFERROR(__xludf.DUMMYFUNCTION("GOOGLETRANSLATE(B20558,""en"",""de"")"),"Der kleine Zaun wurde niedergeschlagen. Die Biker gingen mit dem Fahrradrennen über die großen Rampen.")</f>
        <v>Der kleine Zaun wurde niedergeschlagen. Die Biker gingen mit dem Fahrradrennen über die großen Rampen.</v>
      </c>
    </row>
    <row r="20559">
      <c r="A20559" s="4" t="s">
        <v>25886</v>
      </c>
      <c r="B20559" s="4" t="s">
        <v>25889</v>
      </c>
      <c r="C20559" s="5" t="str">
        <f>IFERROR(__xludf.DUMMYFUNCTION("GOOGLETRANSLATE(B20559,""en"",""de"")"),"Die Zuschauer befinden sich auf der Seite der Tracks.")</f>
        <v>Die Zuschauer befinden sich auf der Seite der Tracks.</v>
      </c>
    </row>
    <row r="20560">
      <c r="A20560" s="4" t="s">
        <v>25890</v>
      </c>
      <c r="B20560" s="4" t="s">
        <v>25891</v>
      </c>
      <c r="C20560" s="5" t="str">
        <f>IFERROR(__xludf.DUMMYFUNCTION("GOOGLETRANSLATE(B20560,""en"",""de"")"),"Ein Mann hält ein Eisen, das auf einem Gemälde passt.")</f>
        <v>Ein Mann hält ein Eisen, das auf einem Gemälde passt.</v>
      </c>
    </row>
    <row r="20561">
      <c r="A20561" s="4" t="s">
        <v>25890</v>
      </c>
      <c r="B20561" s="4" t="s">
        <v>25892</v>
      </c>
      <c r="C20561" s="5" t="str">
        <f>IFERROR(__xludf.DUMMYFUNCTION("GOOGLETRANSLATE(B20561,""en"",""de"")"),"Ein Mann Snowboard einen Hügel hinunter hält einen Stock.")</f>
        <v>Ein Mann Snowboard einen Hügel hinunter hält einen Stock.</v>
      </c>
    </row>
    <row r="20562">
      <c r="A20562" s="4" t="s">
        <v>25890</v>
      </c>
      <c r="B20562" s="4" t="s">
        <v>25893</v>
      </c>
      <c r="C20562" s="5" t="str">
        <f>IFERROR(__xludf.DUMMYFUNCTION("GOOGLETRANSLATE(B20562,""en"",""de"")"),"Der Schnee fliegt in der LIRE landet auf dem Gesicht des Mannes, dann geht der Mann Snowboarden weiter.")</f>
        <v>Der Schnee fliegt in der LIRE landet auf dem Gesicht des Mannes, dann geht der Mann Snowboarden weiter.</v>
      </c>
    </row>
    <row r="20563">
      <c r="A20563" s="4" t="s">
        <v>25890</v>
      </c>
      <c r="B20563" s="4" t="s">
        <v>25894</v>
      </c>
      <c r="C20563" s="5" t="str">
        <f>IFERROR(__xludf.DUMMYFUNCTION("GOOGLETRANSLATE(B20563,""en"",""de"")"),"Danach kommt der Mann zur Skigstation.")</f>
        <v>Danach kommt der Mann zur Skigstation.</v>
      </c>
    </row>
    <row r="20564">
      <c r="A20564" s="4" t="s">
        <v>25895</v>
      </c>
      <c r="B20564" s="4" t="s">
        <v>25896</v>
      </c>
      <c r="C20564" s="5" t="str">
        <f>IFERROR(__xludf.DUMMYFUNCTION("GOOGLETRANSLATE(B20564,""en"",""de"")"),"Ein Mann wird vor einem schweren Gewichtssatz herabgebogen.")</f>
        <v>Ein Mann wird vor einem schweren Gewichtssatz herabgebogen.</v>
      </c>
    </row>
    <row r="20565">
      <c r="A20565" s="4" t="s">
        <v>25895</v>
      </c>
      <c r="B20565" s="4" t="s">
        <v>25897</v>
      </c>
      <c r="C20565" s="5" t="str">
        <f>IFERROR(__xludf.DUMMYFUNCTION("GOOGLETRANSLATE(B20565,""en"",""de"")"),"Der Mann beugt sich dann hin und hebt die Gewichte über seinem Kopf.")</f>
        <v>Der Mann beugt sich dann hin und hebt die Gewichte über seinem Kopf.</v>
      </c>
    </row>
    <row r="20566">
      <c r="A20566" s="4" t="s">
        <v>25895</v>
      </c>
      <c r="B20566" s="4" t="s">
        <v>25898</v>
      </c>
      <c r="C20566" s="5" t="str">
        <f>IFERROR(__xludf.DUMMYFUNCTION("GOOGLETRANSLATE(B20566,""en"",""de"")"),"Er hält die Gewichte weiter und wirft sie am Ende nach unten, während er weggeht.")</f>
        <v>Er hält die Gewichte weiter und wirft sie am Ende nach unten, während er weggeht.</v>
      </c>
    </row>
    <row r="20567">
      <c r="A20567" s="4" t="s">
        <v>25899</v>
      </c>
      <c r="B20567" s="4" t="s">
        <v>25900</v>
      </c>
      <c r="C20567" s="5" t="str">
        <f>IFERROR(__xludf.DUMMYFUNCTION("GOOGLETRANSLATE(B20567,""en"",""de"")"),"Eine Frau bereitet sich auf einen Schuss vor, den Sie mit den Armen auf ein Sportfeld schwingen.")</f>
        <v>Eine Frau bereitet sich auf einen Schuss vor, den Sie mit den Armen auf ein Sportfeld schwingen.</v>
      </c>
    </row>
    <row r="20568">
      <c r="A20568" s="4" t="s">
        <v>25899</v>
      </c>
      <c r="B20568" s="4" t="s">
        <v>25901</v>
      </c>
      <c r="C20568" s="5" t="str">
        <f>IFERROR(__xludf.DUMMYFUNCTION("GOOGLETRANSLATE(B20568,""en"",""de"")"),"Die Athletin schlängelt sich zurück ihre Schultern, als ihren Körper einen Schuss wirft.")</f>
        <v>Die Athletin schlängelt sich zurück ihre Schultern, als ihren Körper einen Schuss wirft.</v>
      </c>
    </row>
    <row r="20569">
      <c r="A20569" s="4" t="s">
        <v>25902</v>
      </c>
      <c r="B20569" s="4" t="s">
        <v>25903</v>
      </c>
      <c r="C20569" s="5" t="str">
        <f>IFERROR(__xludf.DUMMYFUNCTION("GOOGLETRANSLATE(B20569,""en"",""de"")"),"Mehrere junge Männer steigen an einem sehr schönen und sonnigen Tag in ein kleines angetriebenes Boot.")</f>
        <v>Mehrere junge Männer steigen an einem sehr schönen und sonnigen Tag in ein kleines angetriebenes Boot.</v>
      </c>
    </row>
    <row r="20570">
      <c r="A20570" s="4" t="s">
        <v>25902</v>
      </c>
      <c r="B20570" s="4" t="s">
        <v>25904</v>
      </c>
      <c r="C20570" s="5" t="str">
        <f>IFERROR(__xludf.DUMMYFUNCTION("GOOGLETRANSLATE(B20570,""en"",""de"")"),"Das war langsam das Boot zurück, um Wasser Ski zu fahren.")</f>
        <v>Das war langsam das Boot zurück, um Wasser Ski zu fahren.</v>
      </c>
    </row>
    <row r="20571">
      <c r="A20571" s="4" t="s">
        <v>25902</v>
      </c>
      <c r="B20571" s="4" t="s">
        <v>25905</v>
      </c>
      <c r="C20571" s="5" t="str">
        <f>IFERROR(__xludf.DUMMYFUNCTION("GOOGLETRANSLATE(B20571,""en"",""de"")"),"Das Boot verlässt das Dock und sie sind weg.")</f>
        <v>Das Boot verlässt das Dock und sie sind weg.</v>
      </c>
    </row>
    <row r="20572">
      <c r="A20572" s="4" t="s">
        <v>25902</v>
      </c>
      <c r="B20572" s="4" t="s">
        <v>25906</v>
      </c>
      <c r="C20572" s="5" t="str">
        <f>IFERROR(__xludf.DUMMYFUNCTION("GOOGLETRANSLATE(B20572,""en"",""de"")"),"Nachdem sie die Geschwindigkeit auf dem angetriebenen Boot aufgenommen haben, springen ihre Freunde ab und haben eine tolle Zeit.")</f>
        <v>Nachdem sie die Geschwindigkeit auf dem angetriebenen Boot aufgenommen haben, springen ihre Freunde ab und haben eine tolle Zeit.</v>
      </c>
    </row>
    <row r="20573">
      <c r="A20573" s="4" t="s">
        <v>25902</v>
      </c>
      <c r="B20573" s="4" t="s">
        <v>25907</v>
      </c>
      <c r="C20573" s="5" t="str">
        <f>IFERROR(__xludf.DUMMYFUNCTION("GOOGLETRANSLATE(B20573,""en"",""de"")"),"Eine Seillinie wird ausgeworfen, damit sie sich angehen können, und es beginnt.")</f>
        <v>Eine Seillinie wird ausgeworfen, damit sie sich angehen können, und es beginnt.</v>
      </c>
    </row>
    <row r="20574">
      <c r="A20574" s="4" t="s">
        <v>25902</v>
      </c>
      <c r="B20574" s="4" t="s">
        <v>25908</v>
      </c>
      <c r="C20574" s="5" t="str">
        <f>IFERROR(__xludf.DUMMYFUNCTION("GOOGLETRANSLATE(B20574,""en"",""de"")"),"Sie nehmen Geschwindigkeit auf und eine junge Frau Ski in sehr zügigem Tempo auf dem Wasser.")</f>
        <v>Sie nehmen Geschwindigkeit auf und eine junge Frau Ski in sehr zügigem Tempo auf dem Wasser.</v>
      </c>
    </row>
    <row r="20575">
      <c r="A20575" s="4" t="s">
        <v>25902</v>
      </c>
      <c r="B20575" s="4" t="s">
        <v>25909</v>
      </c>
      <c r="C20575" s="5" t="str">
        <f>IFERROR(__xludf.DUMMYFUNCTION("GOOGLETRANSLATE(B20575,""en"",""de"")"),"Sie geht in Zeitlupe hin und her und Seite zur Seite.")</f>
        <v>Sie geht in Zeitlupe hin und her und Seite zur Seite.</v>
      </c>
    </row>
    <row r="20576">
      <c r="A20576" s="4" t="s">
        <v>25902</v>
      </c>
      <c r="B20576" s="4" t="s">
        <v>25910</v>
      </c>
      <c r="C20576" s="5" t="str">
        <f>IFERROR(__xludf.DUMMYFUNCTION("GOOGLETRANSLATE(B20576,""en"",""de"")"),"Die Freunde schauen zurück, um zu sehen, wie es ihr geht.")</f>
        <v>Die Freunde schauen zurück, um zu sehen, wie es ihr geht.</v>
      </c>
    </row>
    <row r="20577">
      <c r="A20577" s="4" t="s">
        <v>25902</v>
      </c>
      <c r="B20577" s="4" t="s">
        <v>25911</v>
      </c>
      <c r="C20577" s="5" t="str">
        <f>IFERROR(__xludf.DUMMYFUNCTION("GOOGLETRANSLATE(B20577,""en"",""de"")"),"Ein junger Mann wird auf dem Wasser Skifahren gezeigt und macht einen tollen Job.")</f>
        <v>Ein junger Mann wird auf dem Wasser Skifahren gezeigt und macht einen tollen Job.</v>
      </c>
    </row>
    <row r="20578">
      <c r="A20578" s="4" t="s">
        <v>25902</v>
      </c>
      <c r="B20578" s="4" t="s">
        <v>25912</v>
      </c>
      <c r="C20578" s="5" t="str">
        <f>IFERROR(__xludf.DUMMYFUNCTION("GOOGLETRANSLATE(B20578,""en"",""de"")"),"Nachdem er fertig ist, lässt er die Linie los und fährt weiter auf dem Wasser, nur um zurück zu fallen.")</f>
        <v>Nachdem er fertig ist, lässt er die Linie los und fährt weiter auf dem Wasser, nur um zurück zu fallen.</v>
      </c>
    </row>
    <row r="20579">
      <c r="A20579" s="4" t="s">
        <v>25913</v>
      </c>
      <c r="B20579" s="4" t="s">
        <v>25914</v>
      </c>
      <c r="C20579" s="5" t="str">
        <f>IFERROR(__xludf.DUMMYFUNCTION("GOOGLETRANSLATE(B20579,""en"",""de"")"),"Ein paar Frauen werden in einem Fitnessstudio gezeigt.")</f>
        <v>Ein paar Frauen werden in einem Fitnessstudio gezeigt.</v>
      </c>
    </row>
    <row r="20580">
      <c r="A20580" s="4" t="s">
        <v>25913</v>
      </c>
      <c r="B20580" s="4" t="s">
        <v>25915</v>
      </c>
      <c r="C20580" s="5" t="str">
        <f>IFERROR(__xludf.DUMMYFUNCTION("GOOGLETRANSLATE(B20580,""en"",""de"")"),"Eine Frau spricht mit der Kamera, während eine andere Tanzbewegungen zeigt.")</f>
        <v>Eine Frau spricht mit der Kamera, während eine andere Tanzbewegungen zeigt.</v>
      </c>
    </row>
    <row r="20581">
      <c r="A20581" s="4" t="s">
        <v>25913</v>
      </c>
      <c r="B20581" s="4" t="s">
        <v>25916</v>
      </c>
      <c r="C20581" s="5" t="str">
        <f>IFERROR(__xludf.DUMMYFUNCTION("GOOGLETRANSLATE(B20581,""en"",""de"")"),"Sie zeigt verschiedene Ballettbewegungen und Positionen.")</f>
        <v>Sie zeigt verschiedene Ballettbewegungen und Positionen.</v>
      </c>
    </row>
    <row r="20582">
      <c r="A20582" s="4" t="s">
        <v>25917</v>
      </c>
      <c r="B20582" s="4" t="s">
        <v>25918</v>
      </c>
      <c r="C20582" s="5" t="str">
        <f>IFERROR(__xludf.DUMMYFUNCTION("GOOGLETRANSLATE(B20582,""en"",""de"")"),"Die Leute raftern einen abgehackten Fluss hinunter.")</f>
        <v>Die Leute raftern einen abgehackten Fluss hinunter.</v>
      </c>
    </row>
    <row r="20583">
      <c r="A20583" s="4" t="s">
        <v>25917</v>
      </c>
      <c r="B20583" s="4" t="s">
        <v>25919</v>
      </c>
      <c r="C20583" s="5" t="str">
        <f>IFERROR(__xludf.DUMMYFUNCTION("GOOGLETRANSLATE(B20583,""en"",""de"")"),"Ein blaues Floß fällt auf einen hohen Wasserfall.")</f>
        <v>Ein blaues Floß fällt auf einen hohen Wasserfall.</v>
      </c>
    </row>
    <row r="20584">
      <c r="A20584" s="4" t="s">
        <v>25917</v>
      </c>
      <c r="B20584" s="4" t="s">
        <v>1599</v>
      </c>
      <c r="C20584" s="5" t="str">
        <f>IFERROR(__xludf.DUMMYFUNCTION("GOOGLETRANSLATE(B20584,""en"",""de"")"),"Wörter werden auf dem Bildschirm angezeigt.")</f>
        <v>Wörter werden auf dem Bildschirm angezeigt.</v>
      </c>
    </row>
    <row r="20585">
      <c r="A20585" s="4" t="s">
        <v>25920</v>
      </c>
      <c r="B20585" s="4" t="s">
        <v>25921</v>
      </c>
      <c r="C20585" s="5" t="str">
        <f>IFERROR(__xludf.DUMMYFUNCTION("GOOGLETRANSLATE(B20585,""en"",""de"")"),"Zwei Männer halten eine Flöte, während einer weht und der andere seine Hände bewegt.")</f>
        <v>Zwei Männer halten eine Flöte, während einer weht und der andere seine Hände bewegt.</v>
      </c>
    </row>
    <row r="20586">
      <c r="A20586" s="4" t="s">
        <v>25920</v>
      </c>
      <c r="B20586" s="4" t="s">
        <v>25922</v>
      </c>
      <c r="C20586" s="5" t="str">
        <f>IFERROR(__xludf.DUMMYFUNCTION("GOOGLETRANSLATE(B20586,""en"",""de"")"),"Ein Orchester zeigt hinter den Männern, während sie weiter auf demselben Instrument spielen.")</f>
        <v>Ein Orchester zeigt hinter den Männern, während sie weiter auf demselben Instrument spielen.</v>
      </c>
    </row>
    <row r="20587">
      <c r="A20587" s="4" t="s">
        <v>25920</v>
      </c>
      <c r="B20587" s="4" t="s">
        <v>25923</v>
      </c>
      <c r="C20587" s="5" t="str">
        <f>IFERROR(__xludf.DUMMYFUNCTION("GOOGLETRANSLATE(B20587,""en"",""de"")"),"Die Männer spielen weiter, bis der Song fertig ist und sich verbeugt, während die Band klatscht.")</f>
        <v>Die Männer spielen weiter, bis der Song fertig ist und sich verbeugt, während die Band klatscht.</v>
      </c>
    </row>
    <row r="20588">
      <c r="A20588" s="4" t="s">
        <v>25924</v>
      </c>
      <c r="B20588" s="4" t="s">
        <v>25925</v>
      </c>
      <c r="C20588" s="5" t="str">
        <f>IFERROR(__xludf.DUMMYFUNCTION("GOOGLETRANSLATE(B20588,""en"",""de"")"),"Wir sehen den Titelbildschirm auf einem roten Hintergrund.")</f>
        <v>Wir sehen den Titelbildschirm auf einem roten Hintergrund.</v>
      </c>
    </row>
    <row r="20589">
      <c r="A20589" s="4" t="s">
        <v>25924</v>
      </c>
      <c r="B20589" s="4" t="s">
        <v>25926</v>
      </c>
      <c r="C20589" s="5" t="str">
        <f>IFERROR(__xludf.DUMMYFUNCTION("GOOGLETRANSLATE(B20589,""en"",""de"")"),"Wir sehen Frauen Lacrosse spielen.")</f>
        <v>Wir sehen Frauen Lacrosse spielen.</v>
      </c>
    </row>
    <row r="20590">
      <c r="A20590" s="4" t="s">
        <v>25924</v>
      </c>
      <c r="B20590" s="4" t="s">
        <v>25927</v>
      </c>
      <c r="C20590" s="5" t="str">
        <f>IFERROR(__xludf.DUMMYFUNCTION("GOOGLETRANSLATE(B20590,""en"",""de"")"),"Wir sehen die Spieler im Netz eines Ziels.")</f>
        <v>Wir sehen die Spieler im Netz eines Ziels.</v>
      </c>
    </row>
    <row r="20591">
      <c r="A20591" s="4" t="s">
        <v>25924</v>
      </c>
      <c r="B20591" s="4" t="s">
        <v>25928</v>
      </c>
      <c r="C20591" s="5" t="str">
        <f>IFERROR(__xludf.DUMMYFUNCTION("GOOGLETRANSLATE(B20591,""en"",""de"")"),"Wir sehen eine Frau in Pink, die mit der Kamera spricht.")</f>
        <v>Wir sehen eine Frau in Pink, die mit der Kamera spricht.</v>
      </c>
    </row>
    <row r="20592">
      <c r="A20592" s="4" t="s">
        <v>25924</v>
      </c>
      <c r="B20592" s="4" t="s">
        <v>25929</v>
      </c>
      <c r="C20592" s="5" t="str">
        <f>IFERROR(__xludf.DUMMYFUNCTION("GOOGLETRANSLATE(B20592,""en"",""de"")"),"Wir sehen dann eine Frau in einem blauen Hemd reden.")</f>
        <v>Wir sehen dann eine Frau in einem blauen Hemd reden.</v>
      </c>
    </row>
    <row r="20593">
      <c r="A20593" s="4" t="s">
        <v>25924</v>
      </c>
      <c r="B20593" s="4" t="s">
        <v>25930</v>
      </c>
      <c r="C20593" s="5" t="str">
        <f>IFERROR(__xludf.DUMMYFUNCTION("GOOGLETRANSLATE(B20593,""en"",""de"")"),"Eine Dame in einem Rucksack spricht mit der Kamera.")</f>
        <v>Eine Dame in einem Rucksack spricht mit der Kamera.</v>
      </c>
    </row>
    <row r="20594">
      <c r="A20594" s="4" t="s">
        <v>25924</v>
      </c>
      <c r="B20594" s="4" t="s">
        <v>25931</v>
      </c>
      <c r="C20594" s="5" t="str">
        <f>IFERROR(__xludf.DUMMYFUNCTION("GOOGLETRANSLATE(B20594,""en"",""de"")"),"Wir sehen dann den Endbildschirm und schwarz.")</f>
        <v>Wir sehen dann den Endbildschirm und schwarz.</v>
      </c>
    </row>
    <row r="20595">
      <c r="A20595" s="4" t="s">
        <v>25932</v>
      </c>
      <c r="B20595" s="4" t="s">
        <v>25933</v>
      </c>
      <c r="C20595" s="5" t="str">
        <f>IFERROR(__xludf.DUMMYFUNCTION("GOOGLETRANSLATE(B20595,""en"",""de"")"),"Ein ""Monkeysee Com"" -Logo erscheint auf dem Bildschirm mit dem Slogan "", sehen Sie, wie die Experten das machen.")</f>
        <v>Ein "Monkeysee Com" -Logo erscheint auf dem Bildschirm mit dem Slogan ", sehen Sie, wie die Experten das machen.</v>
      </c>
    </row>
    <row r="20596">
      <c r="A20596" s="4" t="s">
        <v>25932</v>
      </c>
      <c r="B20596" s="4" t="s">
        <v>25934</v>
      </c>
      <c r="C20596" s="5" t="str">
        <f>IFERROR(__xludf.DUMMYFUNCTION("GOOGLETRANSLATE(B20596,""en"",""de"")"),"""Ein junger Mann steht im Vordergrund und spricht, während eine Cheerleaderin hinter ihm steht und Routinen durchführt.")</f>
        <v>"Ein junger Mann steht im Vordergrund und spricht, während eine Cheerleaderin hinter ihm steht und Routinen durchführt.</v>
      </c>
    </row>
    <row r="20597">
      <c r="A20597" s="4" t="s">
        <v>25932</v>
      </c>
      <c r="B20597" s="4" t="s">
        <v>25935</v>
      </c>
      <c r="C20597" s="5" t="str">
        <f>IFERROR(__xludf.DUMMYFUNCTION("GOOGLETRANSLATE(B20597,""en"",""de"")"),"Der Bildschirm des Urheberrechts und des Logos wird auf einem schwarzen Bildschirm angezeigt.")</f>
        <v>Der Bildschirm des Urheberrechts und des Logos wird auf einem schwarzen Bildschirm angezeigt.</v>
      </c>
    </row>
    <row r="20598">
      <c r="A20598" s="4" t="s">
        <v>25936</v>
      </c>
      <c r="B20598" s="4" t="s">
        <v>25937</v>
      </c>
      <c r="C20598" s="5" t="str">
        <f>IFERROR(__xludf.DUMMYFUNCTION("GOOGLETRANSLATE(B20598,""en"",""de"")"),"Ein Ladenbegleiter hält den Hula Hoop auf und zeigt, wie man ihn griff.")</f>
        <v>Ein Ladenbegleiter hält den Hula Hoop auf und zeigt, wie man ihn griff.</v>
      </c>
    </row>
    <row r="20599">
      <c r="A20599" s="4" t="s">
        <v>25936</v>
      </c>
      <c r="B20599" s="4" t="s">
        <v>25938</v>
      </c>
      <c r="C20599" s="5" t="str">
        <f>IFERROR(__xludf.DUMMYFUNCTION("GOOGLETRANSLATE(B20599,""en"",""de"")"),"Die Frau lässt den Reifen fallen und lässt ihn zu Boden um den Körper drehen.")</f>
        <v>Die Frau lässt den Reifen fallen und lässt ihn zu Boden um den Körper drehen.</v>
      </c>
    </row>
    <row r="20600">
      <c r="A20600" s="4" t="s">
        <v>25936</v>
      </c>
      <c r="B20600" s="4" t="s">
        <v>25939</v>
      </c>
      <c r="C20600" s="5" t="str">
        <f>IFERROR(__xludf.DUMMYFUNCTION("GOOGLETRANSLATE(B20600,""en"",""de"")"),"Die Frau lässt den Hula -Hoop fallen und lässt ihn um ihren Körper drehen, dann fängt sie ihn.")</f>
        <v>Die Frau lässt den Hula -Hoop fallen und lässt ihn um ihren Körper drehen, dann fängt sie ihn.</v>
      </c>
    </row>
    <row r="20601">
      <c r="A20601" s="4" t="s">
        <v>25936</v>
      </c>
      <c r="B20601" s="4" t="s">
        <v>25940</v>
      </c>
      <c r="C20601" s="5" t="str">
        <f>IFERROR(__xludf.DUMMYFUNCTION("GOOGLETRANSLATE(B20601,""en"",""de"")"),"Die Frau übt den Reifen zwischen zwei Beinen.")</f>
        <v>Die Frau übt den Reifen zwischen zwei Beinen.</v>
      </c>
    </row>
    <row r="20602">
      <c r="A20602" s="4" t="s">
        <v>25936</v>
      </c>
      <c r="B20602" s="4" t="s">
        <v>25941</v>
      </c>
      <c r="C20602" s="5" t="str">
        <f>IFERROR(__xludf.DUMMYFUNCTION("GOOGLETRANSLATE(B20602,""en"",""de"")"),"Die Frau fängt den sich drehenden Hula Hoop, als er zwischen ihre Beine fällt.")</f>
        <v>Die Frau fängt den sich drehenden Hula Hoop, als er zwischen ihre Beine fällt.</v>
      </c>
    </row>
    <row r="20603">
      <c r="A20603" s="4" t="s">
        <v>25936</v>
      </c>
      <c r="B20603" s="4" t="s">
        <v>25942</v>
      </c>
      <c r="C20603" s="5" t="str">
        <f>IFERROR(__xludf.DUMMYFUNCTION("GOOGLETRANSLATE(B20603,""en"",""de"")"),"Die Frau dreht den Reifen nach oben um ihren Körper.")</f>
        <v>Die Frau dreht den Reifen nach oben um ihren Körper.</v>
      </c>
    </row>
    <row r="20604">
      <c r="A20604" s="4" t="s">
        <v>25943</v>
      </c>
      <c r="B20604" s="4" t="s">
        <v>25944</v>
      </c>
      <c r="C20604" s="5" t="str">
        <f>IFERROR(__xludf.DUMMYFUNCTION("GOOGLETRANSLATE(B20604,""en"",""de"")"),"Ein Typ wischt sich einen Autoreifen ab.")</f>
        <v>Ein Typ wischt sich einen Autoreifen ab.</v>
      </c>
    </row>
    <row r="20605">
      <c r="A20605" s="4" t="s">
        <v>25943</v>
      </c>
      <c r="B20605" s="4" t="s">
        <v>25945</v>
      </c>
      <c r="C20605" s="5" t="str">
        <f>IFERROR(__xludf.DUMMYFUNCTION("GOOGLETRANSLATE(B20605,""en"",""de"")"),"Eine Frau geht von der Fahrerseite von der Fahrerseite leicht ein schwarzes Tuch auf den Mann.")</f>
        <v>Eine Frau geht von der Fahrerseite von der Fahrerseite leicht ein schwarzes Tuch auf den Mann.</v>
      </c>
    </row>
    <row r="20606">
      <c r="A20606" s="4" t="s">
        <v>25943</v>
      </c>
      <c r="B20606" s="4" t="s">
        <v>25946</v>
      </c>
      <c r="C20606" s="5" t="str">
        <f>IFERROR(__xludf.DUMMYFUNCTION("GOOGLETRANSLATE(B20606,""en"",""de"")"),"Das Weibchen wirft das schwarze Tuch auf ein Auto direkt über dem Reifen, den der Mann reinigt.")</f>
        <v>Das Weibchen wirft das schwarze Tuch auf ein Auto direkt über dem Reifen, den der Mann reinigt.</v>
      </c>
    </row>
    <row r="20607">
      <c r="A20607" s="4" t="s">
        <v>25943</v>
      </c>
      <c r="B20607" s="4" t="s">
        <v>25947</v>
      </c>
      <c r="C20607" s="5" t="str">
        <f>IFERROR(__xludf.DUMMYFUNCTION("GOOGLETRANSLATE(B20607,""en"",""de"")"),"Der Mann nimmt das schwarze Tuch auf, lässt den Teppich auf den Bürgersteig fallen und wischt den Reifen ab.")</f>
        <v>Der Mann nimmt das schwarze Tuch auf, lässt den Teppich auf den Bürgersteig fallen und wischt den Reifen ab.</v>
      </c>
    </row>
    <row r="20608">
      <c r="A20608" s="4" t="s">
        <v>25948</v>
      </c>
      <c r="B20608" s="4" t="s">
        <v>25949</v>
      </c>
      <c r="C20608" s="5" t="str">
        <f>IFERROR(__xludf.DUMMYFUNCTION("GOOGLETRANSLATE(B20608,""en"",""de"")"),"Eine Person macht einen Bogen aus dem Band.")</f>
        <v>Eine Person macht einen Bogen aus dem Band.</v>
      </c>
    </row>
    <row r="20609">
      <c r="A20609" s="4" t="s">
        <v>25948</v>
      </c>
      <c r="B20609" s="4" t="s">
        <v>25950</v>
      </c>
      <c r="C20609" s="5" t="str">
        <f>IFERROR(__xludf.DUMMYFUNCTION("GOOGLETRANSLATE(B20609,""en"",""de"")"),"Sie binden das Band an ein verpacktes Paket.")</f>
        <v>Sie binden das Band an ein verpacktes Paket.</v>
      </c>
    </row>
    <row r="20610">
      <c r="A20610" s="4" t="s">
        <v>25948</v>
      </c>
      <c r="B20610" s="4" t="s">
        <v>25951</v>
      </c>
      <c r="C20610" s="5" t="str">
        <f>IFERROR(__xludf.DUMMYFUNCTION("GOOGLETRANSLATE(B20610,""en"",""de"")"),"Sie kleben den Bogen, den sie auf das Paket gemacht haben.")</f>
        <v>Sie kleben den Bogen, den sie auf das Paket gemacht haben.</v>
      </c>
    </row>
    <row r="20611">
      <c r="A20611" s="4" t="s">
        <v>25952</v>
      </c>
      <c r="B20611" s="4" t="s">
        <v>25953</v>
      </c>
      <c r="C20611" s="5" t="str">
        <f>IFERROR(__xludf.DUMMYFUNCTION("GOOGLETRANSLATE(B20611,""en"",""de"")"),"Ein schwarzer Bildschirm erscheint und die weißen Wörter lauteten ""Nevena &amp; Goran Rodry-Go! El Mambo del Tra"".")</f>
        <v>Ein schwarzer Bildschirm erscheint und die weißen Wörter lauteten "Nevena &amp; Goran Rodry-Go! El Mambo del Tra".</v>
      </c>
    </row>
    <row r="20612">
      <c r="A20612" s="4" t="s">
        <v>25952</v>
      </c>
      <c r="B20612" s="4" t="s">
        <v>25954</v>
      </c>
      <c r="C20612" s="5" t="str">
        <f>IFERROR(__xludf.DUMMYFUNCTION("GOOGLETRANSLATE(B20612,""en"",""de"")"),"Ein Mann und eine Frau erscheinen im Freien auf einem konkreten Backsteindeck und beginnen, eine unisono -Routine zu tanzen, die Armbewegungen, Schritte, Spins und verschiedene andere Tanzbewegungen umfasst.")</f>
        <v>Ein Mann und eine Frau erscheinen im Freien auf einem konkreten Backsteindeck und beginnen, eine unisono -Routine zu tanzen, die Armbewegungen, Schritte, Spins und verschiedene andere Tanzbewegungen umfasst.</v>
      </c>
    </row>
    <row r="20613">
      <c r="A20613" s="4" t="s">
        <v>25952</v>
      </c>
      <c r="B20613" s="4" t="s">
        <v>25955</v>
      </c>
      <c r="C20613" s="5" t="str">
        <f>IFERROR(__xludf.DUMMYFUNCTION("GOOGLETRANSLATE(B20613,""en"",""de"")"),"Sie hören auf zu tanzen und die Frau kommt näher an die Kamera und singt dazu, während der Mann hinter ihren Tänzen mittaucht.")</f>
        <v>Sie hören auf zu tanzen und die Frau kommt näher an die Kamera und singt dazu, während der Mann hinter ihren Tänzen mittaucht.</v>
      </c>
    </row>
    <row r="20614">
      <c r="A20614" s="4" t="s">
        <v>25952</v>
      </c>
      <c r="B20614" s="4" t="s">
        <v>25956</v>
      </c>
      <c r="C20614" s="5" t="str">
        <f>IFERROR(__xludf.DUMMYFUNCTION("GOOGLETRANSLATE(B20614,""en"",""de"")"),"Sie hört auf zu singen und beide lachen und gehen weg.")</f>
        <v>Sie hört auf zu singen und beide lachen und gehen weg.</v>
      </c>
    </row>
    <row r="20615">
      <c r="A20615" s="4" t="s">
        <v>25957</v>
      </c>
      <c r="B20615" s="4" t="s">
        <v>25958</v>
      </c>
      <c r="C20615" s="5" t="str">
        <f>IFERROR(__xludf.DUMMYFUNCTION("GOOGLETRANSLATE(B20615,""en"",""de"")"),"Eine Kamera zeichnet ein Geschäft auf, in dem zwei Personen drinnen stehen und schließlich zu einer Gruppe von Menschen führen, die an Docks stehen.")</f>
        <v>Eine Kamera zeichnet ein Geschäft auf, in dem zwei Personen drinnen stehen und schließlich zu einer Gruppe von Menschen führen, die an Docks stehen.</v>
      </c>
    </row>
    <row r="20616">
      <c r="A20616" s="4" t="s">
        <v>25957</v>
      </c>
      <c r="B20616" s="4" t="s">
        <v>25959</v>
      </c>
      <c r="C20616" s="5" t="str">
        <f>IFERROR(__xludf.DUMMYFUNCTION("GOOGLETRANSLATE(B20616,""en"",""de"")"),"Ein Mann geht über die Docks hinunter, während ein anderer einen Eimer und die Kamerapfosten an eine Frau hält, die spricht.")</f>
        <v>Ein Mann geht über die Docks hinunter, während ein anderer einen Eimer und die Kamerapfosten an eine Frau hält, die spricht.</v>
      </c>
    </row>
    <row r="20617">
      <c r="A20617" s="4" t="s">
        <v>25957</v>
      </c>
      <c r="B20617" s="4" t="s">
        <v>25960</v>
      </c>
      <c r="C20617" s="5" t="str">
        <f>IFERROR(__xludf.DUMMYFUNCTION("GOOGLETRANSLATE(B20617,""en"",""de"")"),"Die Frau zieht eine Weste und Schutzbrille an und geht in ein Boot hinunter.")</f>
        <v>Die Frau zieht eine Weste und Schutzbrille an und geht in ein Boot hinunter.</v>
      </c>
    </row>
    <row r="20618">
      <c r="A20618" s="4" t="s">
        <v>25957</v>
      </c>
      <c r="B20618" s="4" t="s">
        <v>25961</v>
      </c>
      <c r="C20618" s="5" t="str">
        <f>IFERROR(__xludf.DUMMYFUNCTION("GOOGLETRANSLATE(B20618,""en"",""de"")"),"Sie spricht mit der Kamera, während sie ihre Schutzbrille anpasst, und wird mit einem Tank zum Wasser geführt.")</f>
        <v>Sie spricht mit der Kamera, während sie ihre Schutzbrille anpasst, und wird mit einem Tank zum Wasser geführt.</v>
      </c>
    </row>
    <row r="20619">
      <c r="A20619" s="4" t="s">
        <v>25957</v>
      </c>
      <c r="B20619" s="4" t="s">
        <v>25962</v>
      </c>
      <c r="C20619" s="5" t="str">
        <f>IFERROR(__xludf.DUMMYFUNCTION("GOOGLETRANSLATE(B20619,""en"",""de"")"),"Sie hüpft mit dem Mann ins Wasser und steigt zurück ins Boot und spricht mit der Kamera.")</f>
        <v>Sie hüpft mit dem Mann ins Wasser und steigt zurück ins Boot und spricht mit der Kamera.</v>
      </c>
    </row>
    <row r="20620">
      <c r="A20620" s="4" t="s">
        <v>25963</v>
      </c>
      <c r="B20620" s="4" t="s">
        <v>25964</v>
      </c>
      <c r="C20620" s="5" t="str">
        <f>IFERROR(__xludf.DUMMYFUNCTION("GOOGLETRANSLATE(B20620,""en"",""de"")"),"Eine Frau ist in einer Küche und spricht darüber, wie man Lemonde macht.")</f>
        <v>Eine Frau ist in einer Küche und spricht darüber, wie man Lemonde macht.</v>
      </c>
    </row>
    <row r="20621">
      <c r="A20621" s="4" t="s">
        <v>25963</v>
      </c>
      <c r="B20621" s="4" t="s">
        <v>25965</v>
      </c>
      <c r="C20621" s="5" t="str">
        <f>IFERROR(__xludf.DUMMYFUNCTION("GOOGLETRANSLATE(B20621,""en"",""de"")"),"Sie präsentiert verschiedene Zutaten, die Sie haben müssen.")</f>
        <v>Sie präsentiert verschiedene Zutaten, die Sie haben müssen.</v>
      </c>
    </row>
    <row r="20622">
      <c r="A20622" s="4" t="s">
        <v>25963</v>
      </c>
      <c r="B20622" s="4" t="s">
        <v>25966</v>
      </c>
      <c r="C20622" s="5" t="str">
        <f>IFERROR(__xludf.DUMMYFUNCTION("GOOGLETRANSLATE(B20622,""en"",""de"")"),"Sie mischt alle Säfte in eine Mühle zusammen, um eine Mischung zu machen.")</f>
        <v>Sie mischt alle Säfte in eine Mühle zusammen, um eine Mischung zu machen.</v>
      </c>
    </row>
    <row r="20623">
      <c r="A20623" s="4" t="s">
        <v>25963</v>
      </c>
      <c r="B20623" s="4" t="s">
        <v>25967</v>
      </c>
      <c r="C20623" s="5" t="str">
        <f>IFERROR(__xludf.DUMMYFUNCTION("GOOGLETRANSLATE(B20623,""en"",""de"")"),"Dann gießt sie die Mischung in ein Glas und trinkt den Saft.")</f>
        <v>Dann gießt sie die Mischung in ein Glas und trinkt den Saft.</v>
      </c>
    </row>
    <row r="20624">
      <c r="A20624" s="4" t="s">
        <v>25968</v>
      </c>
      <c r="B20624" s="4" t="s">
        <v>25969</v>
      </c>
      <c r="C20624" s="5" t="str">
        <f>IFERROR(__xludf.DUMMYFUNCTION("GOOGLETRANSLATE(B20624,""en"",""de"")"),"Es werden mehrere Aufnahmen eines Publikums jubeln, ebenso wie viele Clips beeindruckender Sportveranstaltungen.")</f>
        <v>Es werden mehrere Aufnahmen eines Publikums jubeln, ebenso wie viele Clips beeindruckender Sportveranstaltungen.</v>
      </c>
    </row>
    <row r="20625">
      <c r="A20625" s="4" t="s">
        <v>25968</v>
      </c>
      <c r="B20625" s="4" t="s">
        <v>25970</v>
      </c>
      <c r="C20625" s="5" t="str">
        <f>IFERROR(__xludf.DUMMYFUNCTION("GOOGLETRANSLATE(B20625,""en"",""de"")"),"Die Leute trafen Volleyballs zurück und den vierten zueinander und zeigten gleichzeitig Clips der Leute, die mit ihren Teamkollegen feiern.")</f>
        <v>Die Leute trafen Volleyballs zurück und den vierten zueinander und zeigten gleichzeitig Clips der Leute, die mit ihren Teamkollegen feiern.</v>
      </c>
    </row>
    <row r="20626">
      <c r="A20626" s="4" t="s">
        <v>25971</v>
      </c>
      <c r="B20626" s="4" t="s">
        <v>25972</v>
      </c>
      <c r="C20626" s="5" t="str">
        <f>IFERROR(__xludf.DUMMYFUNCTION("GOOGLETRANSLATE(B20626,""en"",""de"")"),"Eine Person surft Wind auf einem See.")</f>
        <v>Eine Person surft Wind auf einem See.</v>
      </c>
    </row>
    <row r="20627">
      <c r="A20627" s="4" t="s">
        <v>25971</v>
      </c>
      <c r="B20627" s="4" t="s">
        <v>25973</v>
      </c>
      <c r="C20627" s="5" t="str">
        <f>IFERROR(__xludf.DUMMYFUNCTION("GOOGLETRANSLATE(B20627,""en"",""de"")"),"Andere Windsurfer gehen hinter ihm vorbei.")</f>
        <v>Andere Windsurfer gehen hinter ihm vorbei.</v>
      </c>
    </row>
    <row r="20628">
      <c r="A20628" s="4" t="s">
        <v>25974</v>
      </c>
      <c r="B20628" s="4" t="s">
        <v>25975</v>
      </c>
      <c r="C20628" s="5" t="str">
        <f>IFERROR(__xludf.DUMMYFUNCTION("GOOGLETRANSLATE(B20628,""en"",""de"")"),"Ein Mädchen macht ein Tutorial zum Packen einer Tasche.")</f>
        <v>Ein Mädchen macht ein Tutorial zum Packen einer Tasche.</v>
      </c>
    </row>
    <row r="20629">
      <c r="A20629" s="4" t="s">
        <v>25974</v>
      </c>
      <c r="B20629" s="4" t="s">
        <v>25976</v>
      </c>
      <c r="C20629" s="5" t="str">
        <f>IFERROR(__xludf.DUMMYFUNCTION("GOOGLETRANSLATE(B20629,""en"",""de"")"),"Sie gibt dann Ballerina Tipps, insbesondere, wie man die Füße richtig behandelt.")</f>
        <v>Sie gibt dann Ballerina Tipps, insbesondere, wie man die Füße richtig behandelt.</v>
      </c>
    </row>
    <row r="20630">
      <c r="A20630" s="4" t="s">
        <v>25977</v>
      </c>
      <c r="B20630" s="4" t="s">
        <v>25978</v>
      </c>
      <c r="C20630" s="5" t="str">
        <f>IFERROR(__xludf.DUMMYFUNCTION("GOOGLETRANSLATE(B20630,""en"",""de"")"),"Ein älterer Mann steht auf Wasser, das auf einem Jetski steht.")</f>
        <v>Ein älterer Mann steht auf Wasser, das auf einem Jetski steht.</v>
      </c>
    </row>
    <row r="20631">
      <c r="A20631" s="4" t="s">
        <v>25977</v>
      </c>
      <c r="B20631" s="4" t="s">
        <v>25979</v>
      </c>
      <c r="C20631" s="5" t="str">
        <f>IFERROR(__xludf.DUMMYFUNCTION("GOOGLETRANSLATE(B20631,""en"",""de"")"),"Der Mann beginnt Ski zu jet.")</f>
        <v>Der Mann beginnt Ski zu jet.</v>
      </c>
    </row>
    <row r="20632">
      <c r="A20632" s="4" t="s">
        <v>25977</v>
      </c>
      <c r="B20632" s="4" t="s">
        <v>25980</v>
      </c>
      <c r="C20632" s="5" t="str">
        <f>IFERROR(__xludf.DUMMYFUNCTION("GOOGLETRANSLATE(B20632,""en"",""de"")"),"Der Mann nimmt die Hand vom Griff.")</f>
        <v>Der Mann nimmt die Hand vom Griff.</v>
      </c>
    </row>
    <row r="20633">
      <c r="A20633" s="4" t="s">
        <v>25977</v>
      </c>
      <c r="B20633" s="4" t="s">
        <v>25981</v>
      </c>
      <c r="C20633" s="5" t="str">
        <f>IFERROR(__xludf.DUMMYFUNCTION("GOOGLETRANSLATE(B20633,""en"",""de"")"),"Der Mann legt beide Hände wieder auf den Griff und Jetskier.")</f>
        <v>Der Mann legt beide Hände wieder auf den Griff und Jetskier.</v>
      </c>
    </row>
    <row r="20634">
      <c r="A20634" s="4" t="s">
        <v>25982</v>
      </c>
      <c r="B20634" s="4" t="s">
        <v>25983</v>
      </c>
      <c r="C20634" s="5" t="str">
        <f>IFERROR(__xludf.DUMMYFUNCTION("GOOGLETRANSLATE(B20634,""en"",""de"")"),"Ein Mann geht sehr langsam auf eine Frau zu, als sie langsam auf ihn zugeht.")</f>
        <v>Ein Mann geht sehr langsam auf eine Frau zu, als sie langsam auf ihn zugeht.</v>
      </c>
    </row>
    <row r="20635">
      <c r="A20635" s="4" t="s">
        <v>25982</v>
      </c>
      <c r="B20635" s="4" t="s">
        <v>25984</v>
      </c>
      <c r="C20635" s="5" t="str">
        <f>IFERROR(__xludf.DUMMYFUNCTION("GOOGLETRANSLATE(B20635,""en"",""de"")"),"Sie treffen sich und beginnen ihren Tanz, es ist sehr intensiv und sehr gut gemacht, sie arbeiten sehr gut zusammen, wenn sie fertig sind, verbeugen sie sich und hohe fünf gegenseitig, während das Publikum sie jubelt.")</f>
        <v>Sie treffen sich und beginnen ihren Tanz, es ist sehr intensiv und sehr gut gemacht, sie arbeiten sehr gut zusammen, wenn sie fertig sind, verbeugen sie sich und hohe fünf gegenseitig, während das Publikum sie jubelt.</v>
      </c>
    </row>
    <row r="20636">
      <c r="A20636" s="4" t="s">
        <v>25982</v>
      </c>
      <c r="B20636" s="4" t="s">
        <v>25985</v>
      </c>
      <c r="C20636" s="5" t="str">
        <f>IFERROR(__xludf.DUMMYFUNCTION("GOOGLETRANSLATE(B20636,""en"",""de"")"),"Dann steht einer der Richter auf und spricht mit ihnen an, wodurch sie lächeln und ekstatischer sind.")</f>
        <v>Dann steht einer der Richter auf und spricht mit ihnen an, wodurch sie lächeln und ekstatischer sind.</v>
      </c>
    </row>
    <row r="20637">
      <c r="A20637" s="4" t="s">
        <v>25982</v>
      </c>
      <c r="B20637" s="4" t="s">
        <v>25986</v>
      </c>
      <c r="C20637" s="5" t="str">
        <f>IFERROR(__xludf.DUMMYFUNCTION("GOOGLETRANSLATE(B20637,""en"",""de"")"),"Ein anderer weiblicher Richter kritisiert sie und die Tänzerin der Frau rennt auf und umarmt sie, dann erzählt der letzte Richter ihnen, was er von ihrer Leistung hält.")</f>
        <v>Ein anderer weiblicher Richter kritisiert sie und die Tänzerin der Frau rennt auf und umarmt sie, dann erzählt der letzte Richter ihnen, was er von ihrer Leistung hält.</v>
      </c>
    </row>
    <row r="20638">
      <c r="A20638" s="4" t="s">
        <v>25987</v>
      </c>
      <c r="B20638" s="4" t="s">
        <v>25988</v>
      </c>
      <c r="C20638" s="5" t="str">
        <f>IFERROR(__xludf.DUMMYFUNCTION("GOOGLETRANSLATE(B20638,""en"",""de"")"),"Eine Frau in einem grünen Hemd steht in einer Küche.")</f>
        <v>Eine Frau in einem grünen Hemd steht in einer Küche.</v>
      </c>
    </row>
    <row r="20639">
      <c r="A20639" s="4" t="s">
        <v>25987</v>
      </c>
      <c r="B20639" s="4" t="s">
        <v>25989</v>
      </c>
      <c r="C20639" s="5" t="str">
        <f>IFERROR(__xludf.DUMMYFUNCTION("GOOGLETRANSLATE(B20639,""en"",""de"")"),"Sie steht vor mehreren Zutaten.")</f>
        <v>Sie steht vor mehreren Zutaten.</v>
      </c>
    </row>
    <row r="20640">
      <c r="A20640" s="4" t="s">
        <v>25987</v>
      </c>
      <c r="B20640" s="4" t="s">
        <v>25990</v>
      </c>
      <c r="C20640" s="5" t="str">
        <f>IFERROR(__xludf.DUMMYFUNCTION("GOOGLETRANSLATE(B20640,""en"",""de"")"),"Sie schneidet eine Zitrone in zwei Hälften.")</f>
        <v>Sie schneidet eine Zitrone in zwei Hälften.</v>
      </c>
    </row>
    <row r="20641">
      <c r="A20641" s="4" t="s">
        <v>25987</v>
      </c>
      <c r="B20641" s="4" t="s">
        <v>25991</v>
      </c>
      <c r="C20641" s="5" t="str">
        <f>IFERROR(__xludf.DUMMYFUNCTION("GOOGLETRANSLATE(B20641,""en"",""de"")"),"Sie lacht während des gesamten Videos viel.")</f>
        <v>Sie lacht während des gesamten Videos viel.</v>
      </c>
    </row>
    <row r="20642">
      <c r="A20642" s="4" t="s">
        <v>25992</v>
      </c>
      <c r="B20642" s="4" t="s">
        <v>25993</v>
      </c>
      <c r="C20642" s="5" t="str">
        <f>IFERROR(__xludf.DUMMYFUNCTION("GOOGLETRANSLATE(B20642,""en"",""de"")"),"Eine Gruppe von Menschen in Schwimmkappen spielt Volleyball in einem Outdoor -Pool, umgeben von einer Spritzer von Zuschauern und einer aufrechten digitalen Anzeigetafel.")</f>
        <v>Eine Gruppe von Menschen in Schwimmkappen spielt Volleyball in einem Outdoor -Pool, umgeben von einer Spritzer von Zuschauern und einer aufrechten digitalen Anzeigetafel.</v>
      </c>
    </row>
    <row r="20643">
      <c r="A20643" s="4" t="s">
        <v>25992</v>
      </c>
      <c r="B20643" s="4" t="s">
        <v>25994</v>
      </c>
      <c r="C20643" s="5" t="str">
        <f>IFERROR(__xludf.DUMMYFUNCTION("GOOGLETRANSLATE(B20643,""en"",""de"")"),"Ein gelber Ball fliegt in die rechte Seite des Pools und die Menschen im Pool schwimmen und bewegen ihn auf die linke Seite des Pools, während ein Mann in allen weißen sie an einer erhöhten Zementrandung von der Seite des Pools von der Pool aufnimmt.")</f>
        <v>Ein gelber Ball fliegt in die rechte Seite des Pools und die Menschen im Pool schwimmen und bewegen ihn auf die linke Seite des Pools, während ein Mann in allen weißen sie an einer erhöhten Zementrandung von der Seite des Pools von der Pool aufnimmt.</v>
      </c>
    </row>
    <row r="20644">
      <c r="A20644" s="4" t="s">
        <v>25992</v>
      </c>
      <c r="B20644" s="4" t="s">
        <v>25995</v>
      </c>
      <c r="C20644" s="5" t="str">
        <f>IFERROR(__xludf.DUMMYFUNCTION("GOOGLETRANSLATE(B20644,""en"",""de"")"),"Eine Person in der Vorderseite verspannt den gelben Ball gegen ein blaues Tor und über einen Torblocker im Pool vorbei.")</f>
        <v>Eine Person in der Vorderseite verspannt den gelben Ball gegen ein blaues Tor und über einen Torblocker im Pool vorbei.</v>
      </c>
    </row>
    <row r="20645">
      <c r="A20645" s="4" t="s">
        <v>25992</v>
      </c>
      <c r="B20645" s="4" t="s">
        <v>25996</v>
      </c>
      <c r="C20645" s="5" t="str">
        <f>IFERROR(__xludf.DUMMYFUNCTION("GOOGLETRANSLATE(B20645,""en"",""de"")"),"Eine Person ganz links vom Pool wirft den Ball in die rechte Seite des Pools, wo alle Spieler schwimmen, um ihm zu folgen.")</f>
        <v>Eine Person ganz links vom Pool wirft den Ball in die rechte Seite des Pools, wo alle Spieler schwimmen, um ihm zu folgen.</v>
      </c>
    </row>
    <row r="20646">
      <c r="A20646" s="4" t="s">
        <v>25997</v>
      </c>
      <c r="B20646" s="4" t="s">
        <v>25998</v>
      </c>
      <c r="C20646" s="5" t="str">
        <f>IFERROR(__xludf.DUMMYFUNCTION("GOOGLETRANSLATE(B20646,""en"",""de"")"),"Ein kleiner Junge wird gesehen, der in die Ferne und ein Mädchen schaut.")</f>
        <v>Ein kleiner Junge wird gesehen, der in die Ferne und ein Mädchen schaut.</v>
      </c>
    </row>
    <row r="20647">
      <c r="A20647" s="4" t="s">
        <v>25997</v>
      </c>
      <c r="B20647" s="4" t="s">
        <v>25999</v>
      </c>
      <c r="C20647" s="5" t="str">
        <f>IFERROR(__xludf.DUMMYFUNCTION("GOOGLETRANSLATE(B20647,""en"",""de"")"),"Die Menschen sind im Inneren zu sehen, gefolgt von Klammern von Menschen, die zäunen.")</f>
        <v>Die Menschen sind im Inneren zu sehen, gefolgt von Klammern von Menschen, die zäunen.</v>
      </c>
    </row>
    <row r="20648">
      <c r="A20648" s="4" t="s">
        <v>25997</v>
      </c>
      <c r="B20648" s="4" t="s">
        <v>26000</v>
      </c>
      <c r="C20648" s="5" t="str">
        <f>IFERROR(__xludf.DUMMYFUNCTION("GOOGLETRANSLATE(B20648,""en"",""de"")"),"Es werden mehr Aufnahmen von Menschen gezeigt, die üben und ein Mädchen, das auf einen älteren Mann stößt.")</f>
        <v>Es werden mehr Aufnahmen von Menschen gezeigt, die üben und ein Mädchen, das auf einen älteren Mann stößt.</v>
      </c>
    </row>
    <row r="20649">
      <c r="A20649" s="4" t="s">
        <v>26001</v>
      </c>
      <c r="B20649" s="4" t="s">
        <v>26002</v>
      </c>
      <c r="C20649" s="5" t="str">
        <f>IFERROR(__xludf.DUMMYFUNCTION("GOOGLETRANSLATE(B20649,""en"",""de"")"),"Eine Gruppe von Kindern hängt an einem Picknicktisch ab.")</f>
        <v>Eine Gruppe von Kindern hängt an einem Picknicktisch ab.</v>
      </c>
    </row>
    <row r="20650">
      <c r="A20650" s="4" t="s">
        <v>26001</v>
      </c>
      <c r="B20650" s="4" t="s">
        <v>26003</v>
      </c>
      <c r="C20650" s="5" t="str">
        <f>IFERROR(__xludf.DUMMYFUNCTION("GOOGLETRANSLATE(B20650,""en"",""de"")"),"Ein junges Mädchen schält Kartoffeln.")</f>
        <v>Ein junges Mädchen schält Kartoffeln.</v>
      </c>
    </row>
    <row r="20651">
      <c r="A20651" s="4" t="s">
        <v>26001</v>
      </c>
      <c r="B20651" s="4" t="s">
        <v>26004</v>
      </c>
      <c r="C20651" s="5" t="str">
        <f>IFERROR(__xludf.DUMMYFUNCTION("GOOGLETRANSLATE(B20651,""en"",""de"")"),"Ein kleiner Junge schneidet die Kartoffeln.")</f>
        <v>Ein kleiner Junge schneidet die Kartoffeln.</v>
      </c>
    </row>
    <row r="20652">
      <c r="A20652" s="4" t="s">
        <v>26005</v>
      </c>
      <c r="B20652" s="4" t="s">
        <v>26006</v>
      </c>
      <c r="C20652" s="5" t="str">
        <f>IFERROR(__xludf.DUMMYFUNCTION("GOOGLETRANSLATE(B20652,""en"",""de"")"),"Ein männlicher Turner befindet sich in einer Arena voller Menschen und greift zwei Bars, um seine Routine zu beginnen.")</f>
        <v>Ein männlicher Turner befindet sich in einer Arena voller Menschen und greift zwei Bars, um seine Routine zu beginnen.</v>
      </c>
    </row>
    <row r="20653">
      <c r="A20653" s="4" t="s">
        <v>26005</v>
      </c>
      <c r="B20653" s="4" t="s">
        <v>26007</v>
      </c>
      <c r="C20653" s="5" t="str">
        <f>IFERROR(__xludf.DUMMYFUNCTION("GOOGLETRANSLATE(B20653,""en"",""de"")"),"Nachdem er an den Bars ist, macht er mehrere Flips und dreht sich um, bevor er seine Leistung landet und die Matte verlässt.")</f>
        <v>Nachdem er an den Bars ist, macht er mehrere Flips und dreht sich um, bevor er seine Leistung landet und die Matte verlässt.</v>
      </c>
    </row>
    <row r="20654">
      <c r="A20654" s="4" t="s">
        <v>26008</v>
      </c>
      <c r="B20654" s="4" t="s">
        <v>26009</v>
      </c>
      <c r="C20654" s="5" t="str">
        <f>IFERROR(__xludf.DUMMYFUNCTION("GOOGLETRANSLATE(B20654,""en"",""de"")"),"Eine Nahaufnahme eines Hundes wird mit einer Person gesehen, die einen Rasiermesser hält.")</f>
        <v>Eine Nahaufnahme eines Hundes wird mit einer Person gesehen, die einen Rasiermesser hält.</v>
      </c>
    </row>
    <row r="20655">
      <c r="A20655" s="4" t="s">
        <v>26008</v>
      </c>
      <c r="B20655" s="4" t="s">
        <v>26010</v>
      </c>
      <c r="C20655" s="5" t="str">
        <f>IFERROR(__xludf.DUMMYFUNCTION("GOOGLETRANSLATE(B20655,""en"",""de"")"),"Die Person hält dann das Gesicht des Hunde hoch und beginnt mit den Augen um die Augen.")</f>
        <v>Die Person hält dann das Gesicht des Hunde hoch und beginnt mit den Augen um die Augen.</v>
      </c>
    </row>
    <row r="20656">
      <c r="A20656" s="4" t="s">
        <v>26008</v>
      </c>
      <c r="B20656" s="4" t="s">
        <v>26011</v>
      </c>
      <c r="C20656" s="5" t="str">
        <f>IFERROR(__xludf.DUMMYFUNCTION("GOOGLETRANSLATE(B20656,""en"",""de"")"),"Die Person rasiert weiter und endet, indem sie das Gesicht kämmt.")</f>
        <v>Die Person rasiert weiter und endet, indem sie das Gesicht kämmt.</v>
      </c>
    </row>
    <row r="20657">
      <c r="A20657" s="4" t="s">
        <v>26012</v>
      </c>
      <c r="B20657" s="4" t="s">
        <v>26013</v>
      </c>
      <c r="C20657" s="5" t="str">
        <f>IFERROR(__xludf.DUMMYFUNCTION("GOOGLETRANSLATE(B20657,""en"",""de"")"),"Eine Frau spricht mit der Kamera und führt zu einer Frau, die andere Läufer läuft und interviewt.")</f>
        <v>Eine Frau spricht mit der Kamera und führt zu einer Frau, die andere Läufer läuft und interviewt.</v>
      </c>
    </row>
    <row r="20658">
      <c r="A20658" s="4" t="s">
        <v>26012</v>
      </c>
      <c r="B20658" s="4" t="s">
        <v>26014</v>
      </c>
      <c r="C20658" s="5" t="str">
        <f>IFERROR(__xludf.DUMMYFUNCTION("GOOGLETRANSLATE(B20658,""en"",""de"")"),"Sie interviewt zwei Zwillinge während des Laufens und die Nachrichten zeigen andere Läufer in der Region.")</f>
        <v>Sie interviewt zwei Zwillinge während des Laufens und die Nachrichten zeigen andere Läufer in der Region.</v>
      </c>
    </row>
    <row r="20659">
      <c r="A20659" s="4" t="s">
        <v>26015</v>
      </c>
      <c r="B20659" s="4" t="s">
        <v>26016</v>
      </c>
      <c r="C20659" s="5" t="str">
        <f>IFERROR(__xludf.DUMMYFUNCTION("GOOGLETRANSLATE(B20659,""en"",""de"")"),"Ein großer Mann wird gesehen, wie er sich auf die Knie bewegt, um seine Arme herumzubewegt und in die Ferne zu schauen.")</f>
        <v>Ein großer Mann wird gesehen, wie er sich auf die Knie bewegt, um seine Arme herumzubewegt und in die Ferne zu schauen.</v>
      </c>
    </row>
    <row r="20660">
      <c r="A20660" s="4" t="s">
        <v>26015</v>
      </c>
      <c r="B20660" s="4" t="s">
        <v>26017</v>
      </c>
      <c r="C20660" s="5" t="str">
        <f>IFERROR(__xludf.DUMMYFUNCTION("GOOGLETRANSLATE(B20660,""en"",""de"")"),"Der Mann bewegt sich weiter auf der Matte und führt verschiedene Kampfkunstbewegungen aus und bewegt sich zurück und vierten in die Kamera.")</f>
        <v>Der Mann bewegt sich weiter auf der Matte und führt verschiedene Kampfkunstbewegungen aus und bewegt sich zurück und vierten in die Kamera.</v>
      </c>
    </row>
    <row r="20661">
      <c r="A20661" s="4" t="s">
        <v>26018</v>
      </c>
      <c r="B20661" s="4" t="s">
        <v>26019</v>
      </c>
      <c r="C20661" s="5" t="str">
        <f>IFERROR(__xludf.DUMMYFUNCTION("GOOGLETRANSLATE(B20661,""en"",""de"")"),"Die Menschen rutschen mit aufgeblähten Reifen einen schneebedeckten Hang hinunter.")</f>
        <v>Die Menschen rutschen mit aufgeblähten Reifen einen schneebedeckten Hang hinunter.</v>
      </c>
    </row>
    <row r="20662">
      <c r="A20662" s="4" t="s">
        <v>26018</v>
      </c>
      <c r="B20662" s="4" t="s">
        <v>26020</v>
      </c>
      <c r="C20662" s="5" t="str">
        <f>IFERROR(__xludf.DUMMYFUNCTION("GOOGLETRANSLATE(B20662,""en"",""de"")"),"Ein Kind steht im Reifen und springt vor Freude.")</f>
        <v>Ein Kind steht im Reifen und springt vor Freude.</v>
      </c>
    </row>
    <row r="20663">
      <c r="A20663" s="4" t="s">
        <v>26018</v>
      </c>
      <c r="B20663" s="4" t="s">
        <v>26021</v>
      </c>
      <c r="C20663" s="5" t="str">
        <f>IFERROR(__xludf.DUMMYFUNCTION("GOOGLETRANSLATE(B20663,""en"",""de"")"),"Ein Erwachsener steht auf und zieht beide Reifen.")</f>
        <v>Ein Erwachsener steht auf und zieht beide Reifen.</v>
      </c>
    </row>
    <row r="20664">
      <c r="A20664" s="4" t="s">
        <v>26022</v>
      </c>
      <c r="B20664" s="4" t="s">
        <v>26023</v>
      </c>
      <c r="C20664" s="5" t="str">
        <f>IFERROR(__xludf.DUMMYFUNCTION("GOOGLETRANSLATE(B20664,""en"",""de"")"),"Ein Mann, der in einem getarnten Anzug gekleidet ist, steht mit anderen Menschen in einem großen Grasfeld und zieht an einer Schnur, die wir kaum sehen können.")</f>
        <v>Ein Mann, der in einem getarnten Anzug gekleidet ist, steht mit anderen Menschen in einem großen Grasfeld und zieht an einer Schnur, die wir kaum sehen können.</v>
      </c>
    </row>
    <row r="20665">
      <c r="A20665" s="4" t="s">
        <v>26022</v>
      </c>
      <c r="B20665" s="4" t="s">
        <v>26024</v>
      </c>
      <c r="C20665" s="5" t="str">
        <f>IFERROR(__xludf.DUMMYFUNCTION("GOOGLETRANSLATE(B20665,""en"",""de"")"),"Es gibt viele andere Leute, die sich auf dem Feld bewegen und ihr eigenes Ding machen.")</f>
        <v>Es gibt viele andere Leute, die sich auf dem Feld bewegen und ihr eigenes Ding machen.</v>
      </c>
    </row>
    <row r="20666">
      <c r="A20666" s="4" t="s">
        <v>26022</v>
      </c>
      <c r="B20666" s="4" t="s">
        <v>26025</v>
      </c>
      <c r="C20666" s="5" t="str">
        <f>IFERROR(__xludf.DUMMYFUNCTION("GOOGLETRANSLATE(B20666,""en"",""de"")"),"Die Kamerawinkel ändern sich und wenn wir uns dem Mann nähern, können wir endlich die Schnur sehen, an der er zieht.")</f>
        <v>Die Kamerawinkel ändern sich und wenn wir uns dem Mann nähern, können wir endlich die Schnur sehen, an der er zieht.</v>
      </c>
    </row>
    <row r="20667">
      <c r="A20667" s="4" t="s">
        <v>26026</v>
      </c>
      <c r="B20667" s="4" t="s">
        <v>26027</v>
      </c>
      <c r="C20667" s="5" t="str">
        <f>IFERROR(__xludf.DUMMYFUNCTION("GOOGLETRANSLATE(B20667,""en"",""de"")"),"Eine Frau badet zwei weiß gefärbte Welpen in einer mit Wasser gefüllten orangefarbenen Wanne.")</f>
        <v>Eine Frau badet zwei weiß gefärbte Welpen in einer mit Wasser gefüllten orangefarbenen Wanne.</v>
      </c>
    </row>
    <row r="20668">
      <c r="A20668" s="4" t="s">
        <v>26026</v>
      </c>
      <c r="B20668" s="4" t="s">
        <v>26028</v>
      </c>
      <c r="C20668" s="5" t="str">
        <f>IFERROR(__xludf.DUMMYFUNCTION("GOOGLETRANSLATE(B20668,""en"",""de"")"),"Sie wird von einem Mann begleitet, der eine Handgelenksuhr trägt, die der Frau hilft, die beiden Welpen zu baden.")</f>
        <v>Sie wird von einem Mann begleitet, der eine Handgelenksuhr trägt, die der Frau hilft, die beiden Welpen zu baden.</v>
      </c>
    </row>
    <row r="20669">
      <c r="A20669" s="4" t="s">
        <v>26026</v>
      </c>
      <c r="B20669" s="4" t="s">
        <v>26029</v>
      </c>
      <c r="C20669" s="5" t="str">
        <f>IFERROR(__xludf.DUMMYFUNCTION("GOOGLETRANSLATE(B20669,""en"",""de"")"),"Einer der Welpen versucht, aus der Wanne zu treten, und der Mann hält ihn fest und bringt ihn wieder hinein.")</f>
        <v>Einer der Welpen versucht, aus der Wanne zu treten, und der Mann hält ihn fest und bringt ihn wieder hinein.</v>
      </c>
    </row>
    <row r="20670">
      <c r="A20670" s="4" t="s">
        <v>26026</v>
      </c>
      <c r="B20670" s="4" t="s">
        <v>26030</v>
      </c>
      <c r="C20670" s="5" t="str">
        <f>IFERROR(__xludf.DUMMYFUNCTION("GOOGLETRANSLATE(B20670,""en"",""de"")"),"Die Frau wäscht die Welpen weiter.")</f>
        <v>Die Frau wäscht die Welpen weiter.</v>
      </c>
    </row>
    <row r="20671">
      <c r="A20671" s="4" t="s">
        <v>26031</v>
      </c>
      <c r="B20671" s="4" t="s">
        <v>26032</v>
      </c>
      <c r="C20671" s="5" t="str">
        <f>IFERROR(__xludf.DUMMYFUNCTION("GOOGLETRANSLATE(B20671,""en"",""de"")"),"Ein Mann im schwarzen Hemd abwischt den Tisch mit weißem Tuch ab.")</f>
        <v>Ein Mann im schwarzen Hemd abwischt den Tisch mit weißem Tuch ab.</v>
      </c>
    </row>
    <row r="20672">
      <c r="A20672" s="4" t="s">
        <v>26031</v>
      </c>
      <c r="B20672" s="4" t="s">
        <v>26033</v>
      </c>
      <c r="C20672" s="5" t="str">
        <f>IFERROR(__xludf.DUMMYFUNCTION("GOOGLETRANSLATE(B20672,""en"",""de"")"),"Die weißen Lichter werden auf dem Tisch reflektiert.")</f>
        <v>Die weißen Lichter werden auf dem Tisch reflektiert.</v>
      </c>
    </row>
    <row r="20673">
      <c r="A20673" s="4" t="s">
        <v>26031</v>
      </c>
      <c r="B20673" s="4" t="s">
        <v>26034</v>
      </c>
      <c r="C20673" s="5" t="str">
        <f>IFERROR(__xludf.DUMMYFUNCTION("GOOGLETRANSLATE(B20673,""en"",""de"")"),"Der Mann abwischt die Kante des Tisches mit weißem Lappen ab.")</f>
        <v>Der Mann abwischt die Kante des Tisches mit weißem Lappen ab.</v>
      </c>
    </row>
    <row r="20674">
      <c r="A20674" s="4" t="s">
        <v>26035</v>
      </c>
      <c r="B20674" s="4" t="s">
        <v>26036</v>
      </c>
      <c r="C20674" s="5" t="str">
        <f>IFERROR(__xludf.DUMMYFUNCTION("GOOGLETRANSLATE(B20674,""en"",""de"")"),"Eine Frau macht ein Tutorial, wie man ein Küchenspülen mit Backpulver, Zahnbürste und Stofflappen reinigt.")</f>
        <v>Eine Frau macht ein Tutorial, wie man ein Küchenspülen mit Backpulver, Zahnbürste und Stofflappen reinigt.</v>
      </c>
    </row>
    <row r="20675">
      <c r="A20675" s="4" t="s">
        <v>26035</v>
      </c>
      <c r="B20675" s="4" t="s">
        <v>26037</v>
      </c>
      <c r="C20675" s="5" t="str">
        <f>IFERROR(__xludf.DUMMYFUNCTION("GOOGLETRANSLATE(B20675,""en"",""de"")"),"Sie nimmt zuerst etwas Backpulver auf den Lappen und schrubbt es auf das Waschbecken.")</f>
        <v>Sie nimmt zuerst etwas Backpulver auf den Lappen und schrubbt es auf das Waschbecken.</v>
      </c>
    </row>
    <row r="20676">
      <c r="A20676" s="4" t="s">
        <v>26035</v>
      </c>
      <c r="B20676" s="4" t="s">
        <v>26038</v>
      </c>
      <c r="C20676" s="5" t="str">
        <f>IFERROR(__xludf.DUMMYFUNCTION("GOOGLETRANSLATE(B20676,""en"",""de"")"),"Dann nimmt sie die Zahnbürste und taucht sie in das Backpulver.")</f>
        <v>Dann nimmt sie die Zahnbürste und taucht sie in das Backpulver.</v>
      </c>
    </row>
    <row r="20677">
      <c r="A20677" s="4" t="s">
        <v>26035</v>
      </c>
      <c r="B20677" s="4" t="s">
        <v>26039</v>
      </c>
      <c r="C20677" s="5" t="str">
        <f>IFERROR(__xludf.DUMMYFUNCTION("GOOGLETRANSLATE(B20677,""en"",""de"")"),"Sie bürstet die Zahnbürste an den Waschkanten, um sie zu reinigen.")</f>
        <v>Sie bürstet die Zahnbürste an den Waschkanten, um sie zu reinigen.</v>
      </c>
    </row>
    <row r="20678">
      <c r="A20678" s="4" t="s">
        <v>26035</v>
      </c>
      <c r="B20678" s="4" t="s">
        <v>26040</v>
      </c>
      <c r="C20678" s="5" t="str">
        <f>IFERROR(__xludf.DUMMYFUNCTION("GOOGLETRANSLATE(B20678,""en"",""de"")"),"Sie schaltet den Wasserhahn ein und wäscht das Backpulver von der Spüle.")</f>
        <v>Sie schaltet den Wasserhahn ein und wäscht das Backpulver von der Spüle.</v>
      </c>
    </row>
    <row r="20679">
      <c r="A20679" s="4" t="s">
        <v>26035</v>
      </c>
      <c r="B20679" s="4" t="s">
        <v>26041</v>
      </c>
      <c r="C20679" s="5" t="str">
        <f>IFERROR(__xludf.DUMMYFUNCTION("GOOGLETRANSLATE(B20679,""en"",""de"")"),"Dann nimmt sie etwas Essig auf das Waschmittel und wischt das Waschbecken damit ab.")</f>
        <v>Dann nimmt sie etwas Essig auf das Waschmittel und wischt das Waschbecken damit ab.</v>
      </c>
    </row>
    <row r="20680">
      <c r="A20680" s="4" t="s">
        <v>26042</v>
      </c>
      <c r="B20680" s="4" t="s">
        <v>26043</v>
      </c>
      <c r="C20680" s="5" t="str">
        <f>IFERROR(__xludf.DUMMYFUNCTION("GOOGLETRANSLATE(B20680,""en"",""de"")"),"Girlwearnig Ein lila Körper ist für einen Balance -Stangen und macht einen Sprung auf die Oberseite.")</f>
        <v>Girlwearnig Ein lila Körper ist für einen Balance -Stangen und macht einen Sprung auf die Oberseite.</v>
      </c>
    </row>
    <row r="20681">
      <c r="A20681" s="4" t="s">
        <v>26042</v>
      </c>
      <c r="B20681" s="4" t="s">
        <v>26044</v>
      </c>
      <c r="C20681" s="5" t="str">
        <f>IFERROR(__xludf.DUMMYFUNCTION("GOOGLETRANSLATE(B20681,""en"",""de"")"),"Das Mädchen macht Gymnastik auf dem Balance Beam.")</f>
        <v>Das Mädchen macht Gymnastik auf dem Balance Beam.</v>
      </c>
    </row>
    <row r="20682">
      <c r="A20682" s="4" t="s">
        <v>26042</v>
      </c>
      <c r="B20682" s="4" t="s">
        <v>26045</v>
      </c>
      <c r="C20682" s="5" t="str">
        <f>IFERROR(__xludf.DUMMYFUNCTION("GOOGLETRANSLATE(B20682,""en"",""de"")"),"Menschen auf den Tribünen auf dem Platz beobachten das Kind, das Gymnastik macht.")</f>
        <v>Menschen auf den Tribünen auf dem Platz beobachten das Kind, das Gymnastik macht.</v>
      </c>
    </row>
    <row r="20683">
      <c r="A20683" s="4" t="s">
        <v>26042</v>
      </c>
      <c r="B20683" s="4" t="s">
        <v>26046</v>
      </c>
      <c r="C20683" s="5" t="str">
        <f>IFERROR(__xludf.DUMMYFUNCTION("GOOGLETRANSLATE(B20683,""en"",""de"")"),"Das Mädchen macht einen großen Somersault und landet auf dem Boden.")</f>
        <v>Das Mädchen macht einen großen Somersault und landet auf dem Boden.</v>
      </c>
    </row>
    <row r="20684">
      <c r="A20684" s="4" t="s">
        <v>26047</v>
      </c>
      <c r="B20684" s="4" t="s">
        <v>26048</v>
      </c>
      <c r="C20684" s="5" t="str">
        <f>IFERROR(__xludf.DUMMYFUNCTION("GOOGLETRANSLATE(B20684,""en"",""de"")"),"Ein Mann mit Tätowierarmen tupft das Ohr der jungen Dame mit einem Ohrströme.")</f>
        <v>Ein Mann mit Tätowierarmen tupft das Ohr der jungen Dame mit einem Ohrströme.</v>
      </c>
    </row>
    <row r="20685">
      <c r="A20685" s="4" t="s">
        <v>26047</v>
      </c>
      <c r="B20685" s="4" t="s">
        <v>26049</v>
      </c>
      <c r="C20685" s="5" t="str">
        <f>IFERROR(__xludf.DUMMYFUNCTION("GOOGLETRANSLATE(B20685,""en"",""de"")"),"Die Dame steht auf und sieht sich im Spiegel an.")</f>
        <v>Die Dame steht auf und sieht sich im Spiegel an.</v>
      </c>
    </row>
    <row r="20686">
      <c r="A20686" s="4" t="s">
        <v>26047</v>
      </c>
      <c r="B20686" s="4" t="s">
        <v>26050</v>
      </c>
      <c r="C20686" s="5" t="str">
        <f>IFERROR(__xludf.DUMMYFUNCTION("GOOGLETRANSLATE(B20686,""en"",""de"")"),"Sie legt sich auf einen schwarzen medizinischen Stuhl und der Mann durchbohrt den Tragus ihres Ohrs mit medizinischen Werkzeugen.")</f>
        <v>Sie legt sich auf einen schwarzen medizinischen Stuhl und der Mann durchbohrt den Tragus ihres Ohrs mit medizinischen Werkzeugen.</v>
      </c>
    </row>
    <row r="20687">
      <c r="A20687" s="4" t="s">
        <v>26047</v>
      </c>
      <c r="B20687" s="4" t="s">
        <v>26051</v>
      </c>
      <c r="C20687" s="5" t="str">
        <f>IFERROR(__xludf.DUMMYFUNCTION("GOOGLETRANSLATE(B20687,""en"",""de"")"),"Die Dame sieht sich und ihr neues Piercing im Spiegel an, lächelt und gibt zwei Daumen hoch.")</f>
        <v>Die Dame sieht sich und ihr neues Piercing im Spiegel an, lächelt und gibt zwei Daumen hoch.</v>
      </c>
    </row>
    <row r="20688">
      <c r="A20688" s="4" t="s">
        <v>26047</v>
      </c>
      <c r="B20688" s="4" t="s">
        <v>26052</v>
      </c>
      <c r="C20688" s="5" t="str">
        <f>IFERROR(__xludf.DUMMYFUNCTION("GOOGLETRANSLATE(B20688,""en"",""de"")"),"Die Wörter ""Wenn Sie noch etwas über Piercing wissen möchten, kommentieren oder senden Sie mir eine Nachricht :) Neue Schönheitsvideos zusammen mit einer Make -up -Sammlung werden bald auf dem Bildschirm stehen.")</f>
        <v>Die Wörter "Wenn Sie noch etwas über Piercing wissen möchten, kommentieren oder senden Sie mir eine Nachricht :) Neue Schönheitsvideos zusammen mit einer Make -up -Sammlung werden bald auf dem Bildschirm stehen.</v>
      </c>
    </row>
    <row r="20689">
      <c r="A20689" s="4" t="s">
        <v>26053</v>
      </c>
      <c r="B20689" s="4" t="s">
        <v>26054</v>
      </c>
      <c r="C20689" s="5" t="str">
        <f>IFERROR(__xludf.DUMMYFUNCTION("GOOGLETRANSLATE(B20689,""en"",""de"")"),"Ein Turner geht zu einem Strahl und bereitet sich vor.")</f>
        <v>Ein Turner geht zu einem Strahl und bereitet sich vor.</v>
      </c>
    </row>
    <row r="20690">
      <c r="A20690" s="4" t="s">
        <v>26053</v>
      </c>
      <c r="B20690" s="4" t="s">
        <v>26055</v>
      </c>
      <c r="C20690" s="5" t="str">
        <f>IFERROR(__xludf.DUMMYFUNCTION("GOOGLETRANSLATE(B20690,""en"",""de"")"),"Er montiert den Strahl und macht dann mehrere Handlungen um ihn herum, einschließlich Spinnen und Flippen.")</f>
        <v>Er montiert den Strahl und macht dann mehrere Handlungen um ihn herum, einschließlich Spinnen und Flippen.</v>
      </c>
    </row>
    <row r="20691">
      <c r="A20691" s="4" t="s">
        <v>26053</v>
      </c>
      <c r="B20691" s="4" t="s">
        <v>26056</v>
      </c>
      <c r="C20691" s="5" t="str">
        <f>IFERROR(__xludf.DUMMYFUNCTION("GOOGLETRANSLATE(B20691,""en"",""de"")"),"Er steigt ab und geht weg.")</f>
        <v>Er steigt ab und geht weg.</v>
      </c>
    </row>
    <row r="20692">
      <c r="A20692" s="4" t="s">
        <v>26057</v>
      </c>
      <c r="B20692" s="4" t="s">
        <v>26058</v>
      </c>
      <c r="C20692" s="5" t="str">
        <f>IFERROR(__xludf.DUMMYFUNCTION("GOOGLETRANSLATE(B20692,""en"",""de"")"),"Eine Kamera fängt ein Netz vor dem Himmel ein und zeigt zwei Personen, die Seile für das Bungee -Springen vorbereiten.")</f>
        <v>Eine Kamera fängt ein Netz vor dem Himmel ein und zeigt zwei Personen, die Seile für das Bungee -Springen vorbereiten.</v>
      </c>
    </row>
    <row r="20693">
      <c r="A20693" s="4" t="s">
        <v>26057</v>
      </c>
      <c r="B20693" s="4" t="s">
        <v>26059</v>
      </c>
      <c r="C20693" s="5" t="str">
        <f>IFERROR(__xludf.DUMMYFUNCTION("GOOGLETRANSLATE(B20693,""en"",""de"")"),"Der Kameramann springt vom Sims und zeigt seine Füße, während er herumdreht.")</f>
        <v>Der Kameramann springt vom Sims und zeigt seine Füße, während er herumdreht.</v>
      </c>
    </row>
    <row r="20694">
      <c r="A20694" s="4" t="s">
        <v>26057</v>
      </c>
      <c r="B20694" s="4" t="s">
        <v>26060</v>
      </c>
      <c r="C20694" s="5" t="str">
        <f>IFERROR(__xludf.DUMMYFUNCTION("GOOGLETRANSLATE(B20694,""en"",""de"")"),"Eine andere Kamera eroberte seinen Sprung von unten und führt in mehrere Personen, die unten warten und wegfahren.")</f>
        <v>Eine andere Kamera eroberte seinen Sprung von unten und führt in mehrere Personen, die unten warten und wegfahren.</v>
      </c>
    </row>
    <row r="20695">
      <c r="A20695" s="4" t="s">
        <v>26061</v>
      </c>
      <c r="B20695" s="4" t="s">
        <v>26062</v>
      </c>
      <c r="C20695" s="5" t="str">
        <f>IFERROR(__xludf.DUMMYFUNCTION("GOOGLETRANSLATE(B20695,""en"",""de"")"),"Ein kleiner Junge in einer blauen Jacke zieht auf ein Donut -Schneerohr.")</f>
        <v>Ein kleiner Junge in einer blauen Jacke zieht auf ein Donut -Schneerohr.</v>
      </c>
    </row>
    <row r="20696">
      <c r="A20696" s="4" t="s">
        <v>26061</v>
      </c>
      <c r="B20696" s="4" t="s">
        <v>26063</v>
      </c>
      <c r="C20696" s="5" t="str">
        <f>IFERROR(__xludf.DUMMYFUNCTION("GOOGLETRANSLATE(B20696,""en"",""de"")"),"Zwei junge Kinder beobachten ihn.")</f>
        <v>Zwei junge Kinder beobachten ihn.</v>
      </c>
    </row>
    <row r="20697">
      <c r="A20697" s="4" t="s">
        <v>26061</v>
      </c>
      <c r="B20697" s="4" t="s">
        <v>26064</v>
      </c>
      <c r="C20697" s="5" t="str">
        <f>IFERROR(__xludf.DUMMYFUNCTION("GOOGLETRANSLATE(B20697,""en"",""de"")"),"Die ganze Gruppe geht den Schnee hinunter.")</f>
        <v>Die ganze Gruppe geht den Schnee hinunter.</v>
      </c>
    </row>
    <row r="20698">
      <c r="A20698" s="4" t="s">
        <v>26065</v>
      </c>
      <c r="B20698" s="4" t="s">
        <v>26066</v>
      </c>
      <c r="C20698" s="5" t="str">
        <f>IFERROR(__xludf.DUMMYFUNCTION("GOOGLETRANSLATE(B20698,""en"",""de"")"),"Der Mann trägt einen Rücken -Neoprenanzug, der Windsurf in einem See macht.")</f>
        <v>Der Mann trägt einen Rücken -Neoprenanzug, der Windsurf in einem See macht.</v>
      </c>
    </row>
    <row r="20699">
      <c r="A20699" s="4" t="s">
        <v>26065</v>
      </c>
      <c r="B20699" s="4" t="s">
        <v>26067</v>
      </c>
      <c r="C20699" s="5" t="str">
        <f>IFERROR(__xludf.DUMMYFUNCTION("GOOGLETRANSLATE(B20699,""en"",""de"")"),"Der Mensch surf in einem See, der Tricks macht.")</f>
        <v>Der Mensch surf in einem See, der Tricks macht.</v>
      </c>
    </row>
    <row r="20700">
      <c r="A20700" s="4" t="s">
        <v>26065</v>
      </c>
      <c r="B20700" s="4" t="s">
        <v>26068</v>
      </c>
      <c r="C20700" s="5" t="str">
        <f>IFERROR(__xludf.DUMMYFUNCTION("GOOGLETRANSLATE(B20700,""en"",""de"")"),"Der Mann, der wintert, sagt Hallo zur Kamera.")</f>
        <v>Der Mann, der wintert, sagt Hallo zur Kamera.</v>
      </c>
    </row>
    <row r="20701">
      <c r="A20701" s="4" t="s">
        <v>26069</v>
      </c>
      <c r="B20701" s="4" t="s">
        <v>26070</v>
      </c>
      <c r="C20701" s="5" t="str">
        <f>IFERROR(__xludf.DUMMYFUNCTION("GOOGLETRANSLATE(B20701,""en"",""de"")"),"Ein Paar wird in einem kleinen Raum eine Tango -Routine miteinander durchführen.")</f>
        <v>Ein Paar wird in einem kleinen Raum eine Tango -Routine miteinander durchführen.</v>
      </c>
    </row>
    <row r="20702">
      <c r="A20702" s="4" t="s">
        <v>26069</v>
      </c>
      <c r="B20702" s="4" t="s">
        <v>26071</v>
      </c>
      <c r="C20702" s="5" t="str">
        <f>IFERROR(__xludf.DUMMYFUNCTION("GOOGLETRANSLATE(B20702,""en"",""de"")"),"Die Leute drehen sich weiter und tanzen im ganzen Raum und endet damit, dass sie anhalten und der Kamera gegenüberstehen.")</f>
        <v>Die Leute drehen sich weiter und tanzen im ganzen Raum und endet damit, dass sie anhalten und der Kamera gegenüberstehen.</v>
      </c>
    </row>
    <row r="20703">
      <c r="A20703" s="4" t="s">
        <v>26072</v>
      </c>
      <c r="B20703" s="4" t="s">
        <v>26073</v>
      </c>
      <c r="C20703" s="5" t="str">
        <f>IFERROR(__xludf.DUMMYFUNCTION("GOOGLETRANSLATE(B20703,""en"",""de"")"),"Eine Gruppe sitzt an einem Cafétisch und genießt Café und Gebäck.")</f>
        <v>Eine Gruppe sitzt an einem Cafétisch und genießt Café und Gebäck.</v>
      </c>
    </row>
    <row r="20704">
      <c r="A20704" s="4" t="s">
        <v>26072</v>
      </c>
      <c r="B20704" s="4" t="s">
        <v>26074</v>
      </c>
      <c r="C20704" s="5" t="str">
        <f>IFERROR(__xludf.DUMMYFUNCTION("GOOGLETRANSLATE(B20704,""en"",""de"")"),"Die Frauen vergehen Gewürze zueinander.")</f>
        <v>Die Frauen vergehen Gewürze zueinander.</v>
      </c>
    </row>
    <row r="20705">
      <c r="A20705" s="4" t="s">
        <v>26072</v>
      </c>
      <c r="B20705" s="4" t="s">
        <v>26075</v>
      </c>
      <c r="C20705" s="5" t="str">
        <f>IFERROR(__xludf.DUMMYFUNCTION("GOOGLETRANSLATE(B20705,""en"",""de"")"),"Eine kleine Gruppe sitzt auf einem Balkon und spricht.")</f>
        <v>Eine kleine Gruppe sitzt auf einem Balkon und spricht.</v>
      </c>
    </row>
    <row r="20706">
      <c r="A20706" s="4" t="s">
        <v>26076</v>
      </c>
      <c r="B20706" s="4" t="s">
        <v>26077</v>
      </c>
      <c r="C20706" s="5" t="str">
        <f>IFERROR(__xludf.DUMMYFUNCTION("GOOGLETRANSLATE(B20706,""en"",""de"")"),"Ein Mann kniet auf dem Boden.")</f>
        <v>Ein Mann kniet auf dem Boden.</v>
      </c>
    </row>
    <row r="20707">
      <c r="A20707" s="4" t="s">
        <v>26076</v>
      </c>
      <c r="B20707" s="4" t="s">
        <v>26078</v>
      </c>
      <c r="C20707" s="5" t="str">
        <f>IFERROR(__xludf.DUMMYFUNCTION("GOOGLETRANSLATE(B20707,""en"",""de"")"),"Er zieht an einer Kabel, die an der Wand befestigt ist.")</f>
        <v>Er zieht an einer Kabel, die an der Wand befestigt ist.</v>
      </c>
    </row>
    <row r="20708">
      <c r="A20708" s="4" t="s">
        <v>26076</v>
      </c>
      <c r="B20708" s="4" t="s">
        <v>26079</v>
      </c>
      <c r="C20708" s="5" t="str">
        <f>IFERROR(__xludf.DUMMYFUNCTION("GOOGLETRANSLATE(B20708,""en"",""de"")"),"Er zieht weiter an der Schnur und trainiert.")</f>
        <v>Er zieht weiter an der Schnur und trainiert.</v>
      </c>
    </row>
    <row r="20709">
      <c r="A20709" s="4" t="s">
        <v>26080</v>
      </c>
      <c r="B20709" s="4" t="s">
        <v>26081</v>
      </c>
      <c r="C20709" s="5" t="str">
        <f>IFERROR(__xludf.DUMMYFUNCTION("GOOGLETRANSLATE(B20709,""en"",""de"")"),"Ein Mann geht zu einer Hecke mit einem großen Paar Heckenschneider.")</f>
        <v>Ein Mann geht zu einer Hecke mit einem großen Paar Heckenschneider.</v>
      </c>
    </row>
    <row r="20710">
      <c r="A20710" s="4" t="s">
        <v>26080</v>
      </c>
      <c r="B20710" s="4" t="s">
        <v>26082</v>
      </c>
      <c r="C20710" s="5" t="str">
        <f>IFERROR(__xludf.DUMMYFUNCTION("GOOGLETRANSLATE(B20710,""en"",""de"")"),"Er zeigt, wie man die Hecken ordentlich schneiden und sie jeweils ein wenig hinuntergeht.")</f>
        <v>Er zeigt, wie man die Hecken ordentlich schneiden und sie jeweils ein wenig hinuntergeht.</v>
      </c>
    </row>
    <row r="20711">
      <c r="A20711" s="4" t="s">
        <v>26080</v>
      </c>
      <c r="B20711" s="4" t="s">
        <v>26083</v>
      </c>
      <c r="C20711" s="5" t="str">
        <f>IFERROR(__xludf.DUMMYFUNCTION("GOOGLETRANSLATE(B20711,""en"",""de"")"),"Er bleibt stehen und redet mit der Kamera, während er geht.")</f>
        <v>Er bleibt stehen und redet mit der Kamera, während er geht.</v>
      </c>
    </row>
    <row r="20712">
      <c r="A20712" s="4" t="s">
        <v>26084</v>
      </c>
      <c r="B20712" s="4" t="s">
        <v>26085</v>
      </c>
      <c r="C20712" s="5" t="str">
        <f>IFERROR(__xludf.DUMMYFUNCTION("GOOGLETRANSLATE(B20712,""en"",""de"")"),"Wir sehen ein kleines Mädchen, das die Leine für einen großen Hund hält.")</f>
        <v>Wir sehen ein kleines Mädchen, das die Leine für einen großen Hund hält.</v>
      </c>
    </row>
    <row r="20713">
      <c r="A20713" s="4" t="s">
        <v>26084</v>
      </c>
      <c r="B20713" s="4" t="s">
        <v>26086</v>
      </c>
      <c r="C20713" s="5" t="str">
        <f>IFERROR(__xludf.DUMMYFUNCTION("GOOGLETRANSLATE(B20713,""en"",""de"")"),"Das kleine Mädchen fällt und lässt die Leine fallen.")</f>
        <v>Das kleine Mädchen fällt und lässt die Leine fallen.</v>
      </c>
    </row>
    <row r="20714">
      <c r="A20714" s="4" t="s">
        <v>26084</v>
      </c>
      <c r="B20714" s="4" t="s">
        <v>26087</v>
      </c>
      <c r="C20714" s="5" t="str">
        <f>IFERROR(__xludf.DUMMYFUNCTION("GOOGLETRANSLATE(B20714,""en"",""de"")"),"Das kleine Mädchen folgt dann dem Hund, um die Leine zu bekommen.")</f>
        <v>Das kleine Mädchen folgt dann dem Hund, um die Leine zu bekommen.</v>
      </c>
    </row>
    <row r="20715">
      <c r="A20715" s="4" t="s">
        <v>26084</v>
      </c>
      <c r="B20715" s="4" t="s">
        <v>26088</v>
      </c>
      <c r="C20715" s="5" t="str">
        <f>IFERROR(__xludf.DUMMYFUNCTION("GOOGLETRANSLATE(B20715,""en"",""de"")"),"Sie bekommt die Leine und geht den Hund.")</f>
        <v>Sie bekommt die Leine und geht den Hund.</v>
      </c>
    </row>
    <row r="20716">
      <c r="A20716" s="4" t="s">
        <v>26089</v>
      </c>
      <c r="B20716" s="4" t="s">
        <v>26090</v>
      </c>
      <c r="C20716" s="5" t="str">
        <f>IFERROR(__xludf.DUMMYFUNCTION("GOOGLETRANSLATE(B20716,""en"",""de"")"),"Eine Frau steht vor Pinata und schwingt eine Fledermaus.")</f>
        <v>Eine Frau steht vor Pinata und schwingt eine Fledermaus.</v>
      </c>
    </row>
    <row r="20717">
      <c r="A20717" s="4" t="s">
        <v>26089</v>
      </c>
      <c r="B20717" s="4" t="s">
        <v>26091</v>
      </c>
      <c r="C20717" s="5" t="str">
        <f>IFERROR(__xludf.DUMMYFUNCTION("GOOGLETRANSLATE(B20717,""en"",""de"")"),"Die Leute beobachten nebenbei, wie die Frau weiterhin das Objekt trifft.")</f>
        <v>Die Leute beobachten nebenbei, wie die Frau weiterhin das Objekt trifft.</v>
      </c>
    </row>
    <row r="20718">
      <c r="A20718" s="4" t="s">
        <v>26089</v>
      </c>
      <c r="B20718" s="4" t="s">
        <v>26092</v>
      </c>
      <c r="C20718" s="5" t="str">
        <f>IFERROR(__xludf.DUMMYFUNCTION("GOOGLETRANSLATE(B20718,""en"",""de"")"),"Die Frau schwingt immer und immer wieder und ein Mann kommt in den Rahmen, um es zu treten.")</f>
        <v>Die Frau schwingt immer und immer wieder und ein Mann kommt in den Rahmen, um es zu treten.</v>
      </c>
    </row>
    <row r="20719">
      <c r="A20719" s="4" t="s">
        <v>26093</v>
      </c>
      <c r="B20719" s="4" t="s">
        <v>26094</v>
      </c>
      <c r="C20719" s="5" t="str">
        <f>IFERROR(__xludf.DUMMYFUNCTION("GOOGLETRANSLATE(B20719,""en"",""de"")"),"Eine Gruppe von Kindern steht vor einem Gebäude.")</f>
        <v>Eine Gruppe von Kindern steht vor einem Gebäude.</v>
      </c>
    </row>
    <row r="20720">
      <c r="A20720" s="4" t="s">
        <v>26093</v>
      </c>
      <c r="B20720" s="4" t="s">
        <v>26095</v>
      </c>
      <c r="C20720" s="5" t="str">
        <f>IFERROR(__xludf.DUMMYFUNCTION("GOOGLETRANSLATE(B20720,""en"",""de"")"),"Erwachsene beaufsichtigen sie als Offizier vorbei.")</f>
        <v>Erwachsene beaufsichtigen sie als Offizier vorbei.</v>
      </c>
    </row>
    <row r="20721">
      <c r="A20721" s="4" t="s">
        <v>26093</v>
      </c>
      <c r="B20721" s="4" t="s">
        <v>26096</v>
      </c>
      <c r="C20721" s="5" t="str">
        <f>IFERROR(__xludf.DUMMYFUNCTION("GOOGLETRANSLATE(B20721,""en"",""de"")"),"Die Kinder machen verschiedene Übungen, die von den Erwachsenen angeführt werden.")</f>
        <v>Die Kinder machen verschiedene Übungen, die von den Erwachsenen angeführt werden.</v>
      </c>
    </row>
    <row r="20722">
      <c r="A20722" s="4" t="s">
        <v>26097</v>
      </c>
      <c r="B20722" s="4" t="s">
        <v>26098</v>
      </c>
      <c r="C20722" s="5" t="str">
        <f>IFERROR(__xludf.DUMMYFUNCTION("GOOGLETRANSLATE(B20722,""en"",""de"")"),"Im Jahr 2009 sitzt ein Mann an einem Tisch.")</f>
        <v>Im Jahr 2009 sitzt ein Mann an einem Tisch.</v>
      </c>
    </row>
    <row r="20723">
      <c r="A20723" s="4" t="s">
        <v>26097</v>
      </c>
      <c r="B20723" s="4" t="s">
        <v>26099</v>
      </c>
      <c r="C20723" s="5" t="str">
        <f>IFERROR(__xludf.DUMMYFUNCTION("GOOGLETRANSLATE(B20723,""en"",""de"")"),"Er hat zwei Rubiks Würfel vor sich.")</f>
        <v>Er hat zwei Rubiks Würfel vor sich.</v>
      </c>
    </row>
    <row r="20724">
      <c r="A20724" s="4" t="s">
        <v>26097</v>
      </c>
      <c r="B20724" s="4" t="s">
        <v>26100</v>
      </c>
      <c r="C20724" s="5" t="str">
        <f>IFERROR(__xludf.DUMMYFUNCTION("GOOGLETRANSLATE(B20724,""en"",""de"")"),"Wenn ein Timer läuft, löst er das Puzzle nur mit einer Hand.")</f>
        <v>Wenn ein Timer läuft, löst er das Puzzle nur mit einer Hand.</v>
      </c>
    </row>
    <row r="20725">
      <c r="A20725" s="4" t="s">
        <v>26097</v>
      </c>
      <c r="B20725" s="4" t="s">
        <v>26101</v>
      </c>
      <c r="C20725" s="5" t="str">
        <f>IFERROR(__xludf.DUMMYFUNCTION("GOOGLETRANSLATE(B20725,""en"",""de"")"),"Er springt nach nur 17 Sekunden im Sieg auf.")</f>
        <v>Er springt nach nur 17 Sekunden im Sieg auf.</v>
      </c>
    </row>
    <row r="20726">
      <c r="A20726" s="4" t="s">
        <v>26102</v>
      </c>
      <c r="B20726" s="4" t="s">
        <v>26103</v>
      </c>
      <c r="C20726" s="5" t="str">
        <f>IFERROR(__xludf.DUMMYFUNCTION("GOOGLETRANSLATE(B20726,""en"",""de"")"),"Die Person klettert auf die Treppe, als die Wellen sie treffen, die Surfer surfen über die starken Wellen.")</f>
        <v>Die Person klettert auf die Treppe, als die Wellen sie treffen, die Surfer surfen über die starken Wellen.</v>
      </c>
    </row>
    <row r="20727">
      <c r="A20727" s="4" t="s">
        <v>26102</v>
      </c>
      <c r="B20727" s="4" t="s">
        <v>26104</v>
      </c>
      <c r="C20727" s="5" t="str">
        <f>IFERROR(__xludf.DUMMYFUNCTION("GOOGLETRANSLATE(B20727,""en"",""de"")"),"Zwei Personen mit ihren Surfbrettern klettern auf die Treppe.")</f>
        <v>Zwei Personen mit ihren Surfbrettern klettern auf die Treppe.</v>
      </c>
    </row>
    <row r="20728">
      <c r="A20728" s="4" t="s">
        <v>26102</v>
      </c>
      <c r="B20728" s="4" t="s">
        <v>26105</v>
      </c>
      <c r="C20728" s="5" t="str">
        <f>IFERROR(__xludf.DUMMYFUNCTION("GOOGLETRANSLATE(B20728,""en"",""de"")"),"Die Leute hinter Zaun beobachten die Surfer, als der Lauf vor der großen Welle sie traf.")</f>
        <v>Die Leute hinter Zaun beobachten die Surfer, als der Lauf vor der großen Welle sie traf.</v>
      </c>
    </row>
    <row r="20729">
      <c r="A20729" s="4" t="s">
        <v>26106</v>
      </c>
      <c r="B20729" s="4" t="s">
        <v>26107</v>
      </c>
      <c r="C20729" s="5" t="str">
        <f>IFERROR(__xludf.DUMMYFUNCTION("GOOGLETRANSLATE(B20729,""en"",""de"")"),"Ein kleiner Junge, der eine Schutzbrille trägt, springt in einen Pool.")</f>
        <v>Ein kleiner Junge, der eine Schutzbrille trägt, springt in einen Pool.</v>
      </c>
    </row>
    <row r="20730">
      <c r="A20730" s="4" t="s">
        <v>26106</v>
      </c>
      <c r="B20730" s="4" t="s">
        <v>26108</v>
      </c>
      <c r="C20730" s="5" t="str">
        <f>IFERROR(__xludf.DUMMYFUNCTION("GOOGLETRANSLATE(B20730,""en"",""de"")"),"Er taucht nach unten und nimmt etwas vom Boden des Pools auf.")</f>
        <v>Er taucht nach unten und nimmt etwas vom Boden des Pools auf.</v>
      </c>
    </row>
    <row r="20731">
      <c r="A20731" s="4" t="s">
        <v>26106</v>
      </c>
      <c r="B20731" s="4" t="s">
        <v>26109</v>
      </c>
      <c r="C20731" s="5" t="str">
        <f>IFERROR(__xludf.DUMMYFUNCTION("GOOGLETRANSLATE(B20731,""en"",""de"")"),"Er schwimmt zurück nach oben und über Wasser.")</f>
        <v>Er schwimmt zurück nach oben und über Wasser.</v>
      </c>
    </row>
    <row r="20732">
      <c r="A20732" s="4" t="s">
        <v>26110</v>
      </c>
      <c r="B20732" s="4" t="s">
        <v>26111</v>
      </c>
      <c r="C20732" s="5" t="str">
        <f>IFERROR(__xludf.DUMMYFUNCTION("GOOGLETRANSLATE(B20732,""en"",""de"")"),"Eine Reihe von Menschen nimmt ein Seil auf.")</f>
        <v>Eine Reihe von Menschen nimmt ein Seil auf.</v>
      </c>
    </row>
    <row r="20733">
      <c r="A20733" s="4" t="s">
        <v>26110</v>
      </c>
      <c r="B20733" s="4" t="s">
        <v>26112</v>
      </c>
      <c r="C20733" s="5" t="str">
        <f>IFERROR(__xludf.DUMMYFUNCTION("GOOGLETRANSLATE(B20733,""en"",""de"")"),"Sie beginnen ein Tauziehenspiel zu spielen.")</f>
        <v>Sie beginnen ein Tauziehenspiel zu spielen.</v>
      </c>
    </row>
    <row r="20734">
      <c r="A20734" s="4" t="s">
        <v>26110</v>
      </c>
      <c r="B20734" s="4" t="s">
        <v>26113</v>
      </c>
      <c r="C20734" s="5" t="str">
        <f>IFERROR(__xludf.DUMMYFUNCTION("GOOGLETRANSLATE(B20734,""en"",""de"")"),"Eine Seite fällt um und die Menge jubelt.")</f>
        <v>Eine Seite fällt um und die Menge jubelt.</v>
      </c>
    </row>
    <row r="20735">
      <c r="A20735" s="4" t="s">
        <v>26114</v>
      </c>
      <c r="B20735" s="4" t="s">
        <v>26115</v>
      </c>
      <c r="C20735" s="5" t="str">
        <f>IFERROR(__xludf.DUMMYFUNCTION("GOOGLETRANSLATE(B20735,""en"",""de"")"),"Ein schwarzer Bildschirm erscheint mit den Wörtern ""Ticas -Pflegepreis"" zusammen mit ihrer URL.")</f>
        <v>Ein schwarzer Bildschirm erscheint mit den Wörtern "Ticas -Pflegepreis" zusammen mit ihrer URL.</v>
      </c>
    </row>
    <row r="20736">
      <c r="A20736" s="4" t="s">
        <v>26114</v>
      </c>
      <c r="B20736" s="4" t="s">
        <v>26116</v>
      </c>
      <c r="C20736" s="5" t="str">
        <f>IFERROR(__xludf.DUMMYFUNCTION("GOOGLETRANSLATE(B20736,""en"",""de"")"),"Ein Hund wird dann gezeigt, der an einer silbernen Stange mit zwei Gurten an ihm hängt.")</f>
        <v>Ein Hund wird dann gezeigt, der an einer silbernen Stange mit zwei Gurten an ihm hängt.</v>
      </c>
    </row>
    <row r="20737">
      <c r="A20737" s="4" t="s">
        <v>26114</v>
      </c>
      <c r="B20737" s="4" t="s">
        <v>26117</v>
      </c>
      <c r="C20737" s="5" t="str">
        <f>IFERROR(__xludf.DUMMYFUNCTION("GOOGLETRANSLATE(B20737,""en"",""de"")"),"Ein Mensch beginnt dann die Hundepfoten zu packen, als der kleine Hund versucht, sie zu beißen.")</f>
        <v>Ein Mensch beginnt dann die Hundepfoten zu packen, als der kleine Hund versucht, sie zu beißen.</v>
      </c>
    </row>
    <row r="20738">
      <c r="A20738" s="4" t="s">
        <v>26114</v>
      </c>
      <c r="B20738" s="4" t="s">
        <v>26118</v>
      </c>
      <c r="C20738" s="5" t="str">
        <f>IFERROR(__xludf.DUMMYFUNCTION("GOOGLETRANSLATE(B20738,""en"",""de"")"),"Die Pflege geht weiter und dann wird der Hund schließlich wieder auf den Boden gelegt.")</f>
        <v>Die Pflege geht weiter und dann wird der Hund schließlich wieder auf den Boden gelegt.</v>
      </c>
    </row>
    <row r="20739">
      <c r="A20739" s="4" t="s">
        <v>26119</v>
      </c>
      <c r="B20739" s="4" t="s">
        <v>26120</v>
      </c>
      <c r="C20739" s="5" t="str">
        <f>IFERROR(__xludf.DUMMYFUNCTION("GOOGLETRANSLATE(B20739,""en"",""de"")"),"Ein Mann hockt in einem großen offenen Raum runter und redet.")</f>
        <v>Ein Mann hockt in einem großen offenen Raum runter und redet.</v>
      </c>
    </row>
    <row r="20740">
      <c r="A20740" s="4" t="s">
        <v>26119</v>
      </c>
      <c r="B20740" s="4" t="s">
        <v>26121</v>
      </c>
      <c r="C20740" s="5" t="str">
        <f>IFERROR(__xludf.DUMMYFUNCTION("GOOGLETRANSLATE(B20740,""en"",""de"")"),"Der Mann zeigt, wie man einen Tanzbewegung macht.")</f>
        <v>Der Mann zeigt, wie man einen Tanzbewegung macht.</v>
      </c>
    </row>
    <row r="20741">
      <c r="A20741" s="4" t="s">
        <v>26119</v>
      </c>
      <c r="B20741" s="4" t="s">
        <v>26122</v>
      </c>
      <c r="C20741" s="5" t="str">
        <f>IFERROR(__xludf.DUMMYFUNCTION("GOOGLETRANSLATE(B20741,""en"",""de"")"),"Er macht dann mehrmals den Umzug und hüpft auf die Füße.")</f>
        <v>Er macht dann mehrmals den Umzug und hüpft auf die Füße.</v>
      </c>
    </row>
    <row r="20742">
      <c r="A20742" s="4" t="s">
        <v>26123</v>
      </c>
      <c r="B20742" s="4" t="s">
        <v>26124</v>
      </c>
      <c r="C20742" s="5" t="str">
        <f>IFERROR(__xludf.DUMMYFUNCTION("GOOGLETRANSLATE(B20742,""en"",""de"")"),"Die Leute spielen ein Badminton -Spiel auf einem Platz.")</f>
        <v>Die Leute spielen ein Badminton -Spiel auf einem Platz.</v>
      </c>
    </row>
    <row r="20743">
      <c r="A20743" s="4" t="s">
        <v>26123</v>
      </c>
      <c r="B20743" s="4" t="s">
        <v>26125</v>
      </c>
      <c r="C20743" s="5" t="str">
        <f>IFERROR(__xludf.DUMMYFUNCTION("GOOGLETRANSLATE(B20743,""en"",""de"")"),"Die Leute sitzen hinter ihnen und beobachten das Spiel.")</f>
        <v>Die Leute sitzen hinter ihnen und beobachten das Spiel.</v>
      </c>
    </row>
    <row r="20744">
      <c r="A20744" s="4" t="s">
        <v>26123</v>
      </c>
      <c r="B20744" s="4" t="s">
        <v>26126</v>
      </c>
      <c r="C20744" s="5" t="str">
        <f>IFERROR(__xludf.DUMMYFUNCTION("GOOGLETRANSLATE(B20744,""en"",""de"")"),"Ein Mädchen in einem rosa Hemd nimmt den Ball auf.")</f>
        <v>Ein Mädchen in einem rosa Hemd nimmt den Ball auf.</v>
      </c>
    </row>
    <row r="20745">
      <c r="A20745" s="4" t="s">
        <v>26127</v>
      </c>
      <c r="B20745" s="4" t="s">
        <v>26128</v>
      </c>
      <c r="C20745" s="5" t="str">
        <f>IFERROR(__xludf.DUMMYFUNCTION("GOOGLETRANSLATE(B20745,""en"",""de"")"),"Ein Mann bereitet sich auf ein Dock vor, Wasserski zu fahren.")</f>
        <v>Ein Mann bereitet sich auf ein Dock vor, Wasserski zu fahren.</v>
      </c>
    </row>
    <row r="20746">
      <c r="A20746" s="4" t="s">
        <v>26127</v>
      </c>
      <c r="B20746" s="4" t="s">
        <v>26129</v>
      </c>
      <c r="C20746" s="5" t="str">
        <f>IFERROR(__xludf.DUMMYFUNCTION("GOOGLETRANSLATE(B20746,""en"",""de"")"),"Er startet ins Wasser, als sich die Bootsbilder abbumsen.")</f>
        <v>Er startet ins Wasser, als sich die Bootsbilder abbumsen.</v>
      </c>
    </row>
    <row r="20747">
      <c r="A20747" s="4" t="s">
        <v>26127</v>
      </c>
      <c r="B20747" s="4" t="s">
        <v>26130</v>
      </c>
      <c r="C20747" s="5" t="str">
        <f>IFERROR(__xludf.DUMMYFUNCTION("GOOGLETRANSLATE(B20747,""en"",""de"")"),"Der Mann hält das Seil fest, während er durch das Wasser gleitet und sehr selbstbewusst und geschickt aussieht.")</f>
        <v>Der Mann hält das Seil fest, während er durch das Wasser gleitet und sehr selbstbewusst und geschickt aussieht.</v>
      </c>
    </row>
    <row r="20748">
      <c r="A20748" s="4" t="s">
        <v>26127</v>
      </c>
      <c r="B20748" s="4" t="s">
        <v>26131</v>
      </c>
      <c r="C20748" s="5" t="str">
        <f>IFERROR(__xludf.DUMMYFUNCTION("GOOGLETRANSLATE(B20748,""en"",""de"")"),"Das Boot ist am Dock gefesselt und der Mann ist für den Tag fertig.")</f>
        <v>Das Boot ist am Dock gefesselt und der Mann ist für den Tag fertig.</v>
      </c>
    </row>
    <row r="20749">
      <c r="A20749" s="4" t="s">
        <v>26132</v>
      </c>
      <c r="B20749" s="4" t="s">
        <v>26133</v>
      </c>
      <c r="C20749" s="5" t="str">
        <f>IFERROR(__xludf.DUMMYFUNCTION("GOOGLETRANSLATE(B20749,""en"",""de"")"),"Ein Mann zeigt auf eine Druckspray -Dose und nimmt es auf, um es anzuzeigen.")</f>
        <v>Ein Mann zeigt auf eine Druckspray -Dose und nimmt es auf, um es anzuzeigen.</v>
      </c>
    </row>
    <row r="20750">
      <c r="A20750" s="4" t="s">
        <v>26132</v>
      </c>
      <c r="B20750" s="4" t="s">
        <v>26134</v>
      </c>
      <c r="C20750" s="5" t="str">
        <f>IFERROR(__xludf.DUMMYFUNCTION("GOOGLETRANSLATE(B20750,""en"",""de"")"),"Der Mann nimmt dann eine Rolle Papierhandtücher auf.")</f>
        <v>Der Mann nimmt dann eine Rolle Papierhandtücher auf.</v>
      </c>
    </row>
    <row r="20751">
      <c r="A20751" s="4" t="s">
        <v>26132</v>
      </c>
      <c r="B20751" s="4" t="s">
        <v>26135</v>
      </c>
      <c r="C20751" s="5" t="str">
        <f>IFERROR(__xludf.DUMMYFUNCTION("GOOGLETRANSLATE(B20751,""en"",""de"")"),"Der Mann zittert die unter Druck gesetzte Spraydose.")</f>
        <v>Der Mann zittert die unter Druck gesetzte Spraydose.</v>
      </c>
    </row>
    <row r="20752">
      <c r="A20752" s="4" t="s">
        <v>26132</v>
      </c>
      <c r="B20752" s="4" t="s">
        <v>26136</v>
      </c>
      <c r="C20752" s="5" t="str">
        <f>IFERROR(__xludf.DUMMYFUNCTION("GOOGLETRANSLATE(B20752,""en"",""de"")"),"Der Mann spricht das Fenster, in dem der Fleck ist, und wischt den Bereich mit einem Papiertuch ab.")</f>
        <v>Der Mann spricht das Fenster, in dem der Fleck ist, und wischt den Bereich mit einem Papiertuch ab.</v>
      </c>
    </row>
    <row r="20753">
      <c r="A20753" s="4" t="s">
        <v>26132</v>
      </c>
      <c r="B20753" s="4" t="s">
        <v>26137</v>
      </c>
      <c r="C20753" s="5" t="str">
        <f>IFERROR(__xludf.DUMMYFUNCTION("GOOGLETRANSLATE(B20753,""en"",""de"")"),"Sprays Sie den Glasreiniger in die Mitte des Fensters an mehreren Stellen und wischt sie ab.")</f>
        <v>Sprays Sie den Glasreiniger in die Mitte des Fensters an mehreren Stellen und wischt sie ab.</v>
      </c>
    </row>
    <row r="20754">
      <c r="A20754" s="4" t="s">
        <v>26138</v>
      </c>
      <c r="B20754" s="4" t="s">
        <v>26139</v>
      </c>
      <c r="C20754" s="5" t="str">
        <f>IFERROR(__xludf.DUMMYFUNCTION("GOOGLETRANSLATE(B20754,""en"",""de"")"),"Ein Mädchen und ein Hund sind auf dem Schwung.")</f>
        <v>Ein Mädchen und ein Hund sind auf dem Schwung.</v>
      </c>
    </row>
    <row r="20755">
      <c r="A20755" s="4" t="s">
        <v>26138</v>
      </c>
      <c r="B20755" s="4" t="s">
        <v>26140</v>
      </c>
      <c r="C20755" s="5" t="str">
        <f>IFERROR(__xludf.DUMMYFUNCTION("GOOGLETRANSLATE(B20755,""en"",""de"")"),"Sie schwingen nach oben und zurück.")</f>
        <v>Sie schwingen nach oben und zurück.</v>
      </c>
    </row>
    <row r="20756">
      <c r="A20756" s="4" t="s">
        <v>26138</v>
      </c>
      <c r="B20756" s="4" t="s">
        <v>26141</v>
      </c>
      <c r="C20756" s="5" t="str">
        <f>IFERROR(__xludf.DUMMYFUNCTION("GOOGLETRANSLATE(B20756,""en"",""de"")"),"Sie schwingen wieder hoch und wieder nach unten.")</f>
        <v>Sie schwingen wieder hoch und wieder nach unten.</v>
      </c>
    </row>
    <row r="20757">
      <c r="A20757" s="4" t="s">
        <v>26142</v>
      </c>
      <c r="B20757" s="4" t="s">
        <v>26143</v>
      </c>
      <c r="C20757" s="5" t="str">
        <f>IFERROR(__xludf.DUMMYFUNCTION("GOOGLETRANSLATE(B20757,""en"",""de"")"),"Der Mann im blauen Helm paddelt durch den Wasserstrom.")</f>
        <v>Der Mann im blauen Helm paddelt durch den Wasserstrom.</v>
      </c>
    </row>
    <row r="20758">
      <c r="A20758" s="4" t="s">
        <v>26142</v>
      </c>
      <c r="B20758" s="4" t="s">
        <v>26144</v>
      </c>
      <c r="C20758" s="5" t="str">
        <f>IFERROR(__xludf.DUMMYFUNCTION("GOOGLETRANSLATE(B20758,""en"",""de"")"),"Zwei Flöße stecken in fließendem Wasser.")</f>
        <v>Zwei Flöße stecken in fließendem Wasser.</v>
      </c>
    </row>
    <row r="20759">
      <c r="A20759" s="4" t="s">
        <v>26142</v>
      </c>
      <c r="B20759" s="4" t="s">
        <v>26145</v>
      </c>
      <c r="C20759" s="5" t="str">
        <f>IFERROR(__xludf.DUMMYFUNCTION("GOOGLETRANSLATE(B20759,""en"",""de"")"),"Die Menschen paddeln durch das Wasser, aber sie stecken an einer Stelle fest.")</f>
        <v>Die Menschen paddeln durch das Wasser, aber sie stecken an einer Stelle fest.</v>
      </c>
    </row>
    <row r="20760">
      <c r="A20760" s="4" t="s">
        <v>26146</v>
      </c>
      <c r="B20760" s="4" t="s">
        <v>26147</v>
      </c>
      <c r="C20760" s="5" t="str">
        <f>IFERROR(__xludf.DUMMYFUNCTION("GOOGLETRANSLATE(B20760,""en"",""de"")"),"Ein Mann spielt vor einem Videospiel im Fernsehen eine Geige.")</f>
        <v>Ein Mann spielt vor einem Videospiel im Fernsehen eine Geige.</v>
      </c>
    </row>
    <row r="20761">
      <c r="A20761" s="4" t="s">
        <v>26146</v>
      </c>
      <c r="B20761" s="4" t="s">
        <v>26148</v>
      </c>
      <c r="C20761" s="5" t="str">
        <f>IFERROR(__xludf.DUMMYFUNCTION("GOOGLETRANSLATE(B20761,""en"",""de"")"),"Der Mann spielt weiterhin das Instrument, während der Fernseher im Hintergrund ein Spiel gespielt wird.")</f>
        <v>Der Mann spielt weiterhin das Instrument, während der Fernseher im Hintergrund ein Spiel gespielt wird.</v>
      </c>
    </row>
    <row r="20762">
      <c r="A20762" s="4" t="s">
        <v>26149</v>
      </c>
      <c r="B20762" s="4" t="s">
        <v>26150</v>
      </c>
      <c r="C20762" s="5" t="str">
        <f>IFERROR(__xludf.DUMMYFUNCTION("GOOGLETRANSLATE(B20762,""en"",""de"")"),"Eine große Gruppe von Menschen steht am Boden eines schneebedeckten Hügels, der miteinander spricht.")</f>
        <v>Eine große Gruppe von Menschen steht am Boden eines schneebedeckten Hügels, der miteinander spricht.</v>
      </c>
    </row>
    <row r="20763">
      <c r="A20763" s="4" t="s">
        <v>26149</v>
      </c>
      <c r="B20763" s="4" t="s">
        <v>26151</v>
      </c>
      <c r="C20763" s="5" t="str">
        <f>IFERROR(__xludf.DUMMYFUNCTION("GOOGLETRANSLATE(B20763,""en"",""de"")"),"Die Menschen werden dann in Röhren fahren und einen schneebedeckten Pfad hinuntergehen.")</f>
        <v>Die Menschen werden dann in Röhren fahren und einen schneebedeckten Pfad hinuntergehen.</v>
      </c>
    </row>
    <row r="20764">
      <c r="A20764" s="4" t="s">
        <v>26149</v>
      </c>
      <c r="B20764" s="4" t="s">
        <v>26152</v>
      </c>
      <c r="C20764" s="5" t="str">
        <f>IFERROR(__xludf.DUMMYFUNCTION("GOOGLETRANSLATE(B20764,""en"",""de"")"),"Es werden mehrere Schüsse von Menschen gezeigt, die den Berg hinunterfahren, während sie zur Kamera schauen und lächeln.")</f>
        <v>Es werden mehrere Schüsse von Menschen gezeigt, die den Berg hinunterfahren, während sie zur Kamera schauen und lächeln.</v>
      </c>
    </row>
    <row r="20765">
      <c r="A20765" s="4" t="s">
        <v>26153</v>
      </c>
      <c r="B20765" s="4" t="s">
        <v>26154</v>
      </c>
      <c r="C20765" s="5" t="str">
        <f>IFERROR(__xludf.DUMMYFUNCTION("GOOGLETRANSLATE(B20765,""en"",""de"")"),"Ein sitzender Mann benutzt einen Spitzer, um ein großes Messer zu schärfen.")</f>
        <v>Ein sitzender Mann benutzt einen Spitzer, um ein großes Messer zu schärfen.</v>
      </c>
    </row>
    <row r="20766">
      <c r="A20766" s="4" t="s">
        <v>26153</v>
      </c>
      <c r="B20766" s="4" t="s">
        <v>26155</v>
      </c>
      <c r="C20766" s="5" t="str">
        <f>IFERROR(__xludf.DUMMYFUNCTION("GOOGLETRANSLATE(B20766,""en"",""de"")"),"Er kratzt es entlang der Oberfläche und des Unterbauchs des Messers und schärft es.")</f>
        <v>Er kratzt es entlang der Oberfläche und des Unterbauchs des Messers und schärft es.</v>
      </c>
    </row>
    <row r="20767">
      <c r="A20767" s="4" t="s">
        <v>26156</v>
      </c>
      <c r="B20767" s="4" t="s">
        <v>26157</v>
      </c>
      <c r="C20767" s="5" t="str">
        <f>IFERROR(__xludf.DUMMYFUNCTION("GOOGLETRANSLATE(B20767,""en"",""de"")"),"Die Person fährt mit einem blauen Single -Floß.")</f>
        <v>Die Person fährt mit einem blauen Single -Floß.</v>
      </c>
    </row>
    <row r="20768">
      <c r="A20768" s="4" t="s">
        <v>26156</v>
      </c>
      <c r="B20768" s="4" t="s">
        <v>26158</v>
      </c>
      <c r="C20768" s="5" t="str">
        <f>IFERROR(__xludf.DUMMYFUNCTION("GOOGLETRANSLATE(B20768,""en"",""de"")"),"Der Mann paddelt durch den starken Wasserstrom.")</f>
        <v>Der Mann paddelt durch den starken Wasserstrom.</v>
      </c>
    </row>
    <row r="20769">
      <c r="A20769" s="4" t="s">
        <v>26156</v>
      </c>
      <c r="B20769" s="4" t="s">
        <v>26159</v>
      </c>
      <c r="C20769" s="5" t="str">
        <f>IFERROR(__xludf.DUMMYFUNCTION("GOOGLETRANSLATE(B20769,""en"",""de"")"),"Der Mann fiel in den kleinen Wasserfällen.")</f>
        <v>Der Mann fiel in den kleinen Wasserfällen.</v>
      </c>
    </row>
    <row r="20770">
      <c r="A20770" s="4" t="s">
        <v>26160</v>
      </c>
      <c r="B20770" s="4" t="s">
        <v>26161</v>
      </c>
      <c r="C20770" s="5" t="str">
        <f>IFERROR(__xludf.DUMMYFUNCTION("GOOGLETRANSLATE(B20770,""en"",""de"")"),"Es wird ein Video des Rückenländerskifahrens gezeigt.")</f>
        <v>Es wird ein Video des Rückenländerskifahrens gezeigt.</v>
      </c>
    </row>
    <row r="20771">
      <c r="A20771" s="4" t="s">
        <v>26160</v>
      </c>
      <c r="B20771" s="4" t="s">
        <v>26162</v>
      </c>
      <c r="C20771" s="5" t="str">
        <f>IFERROR(__xludf.DUMMYFUNCTION("GOOGLETRANSLATE(B20771,""en"",""de"")"),"Die Gruppe bereitet ihre Ausrüstung vor und schaut dann auf ihre Jurte.")</f>
        <v>Die Gruppe bereitet ihre Ausrüstung vor und schaut dann auf ihre Jurte.</v>
      </c>
    </row>
    <row r="20772">
      <c r="A20772" s="4" t="s">
        <v>26160</v>
      </c>
      <c r="B20772" s="4" t="s">
        <v>26163</v>
      </c>
      <c r="C20772" s="5" t="str">
        <f>IFERROR(__xludf.DUMMYFUNCTION("GOOGLETRANSLATE(B20772,""en"",""de"")"),"Sie zeigen dann Skivideos.")</f>
        <v>Sie zeigen dann Skivideos.</v>
      </c>
    </row>
    <row r="20773">
      <c r="A20773" s="4" t="s">
        <v>26164</v>
      </c>
      <c r="B20773" s="4" t="s">
        <v>26165</v>
      </c>
      <c r="C20773" s="5" t="str">
        <f>IFERROR(__xludf.DUMMYFUNCTION("GOOGLETRANSLATE(B20773,""en"",""de"")"),"Eine große Gruppe von Menschen steht in einem Raum mit einer Frau vorne und griff nach einem Drink.")</f>
        <v>Eine große Gruppe von Menschen steht in einem Raum mit einer Frau vorne und griff nach einem Drink.</v>
      </c>
    </row>
    <row r="20774">
      <c r="A20774" s="4" t="s">
        <v>26164</v>
      </c>
      <c r="B20774" s="4" t="s">
        <v>26166</v>
      </c>
      <c r="C20774" s="5" t="str">
        <f>IFERROR(__xludf.DUMMYFUNCTION("GOOGLETRANSLATE(B20774,""en"",""de"")"),"Die Frau legt ihr Getränk fest und führt eine Gruppe von Menschen, die herumtanzen.")</f>
        <v>Die Frau legt ihr Getränk fest und führt eine Gruppe von Menschen, die herumtanzen.</v>
      </c>
    </row>
    <row r="20775">
      <c r="A20775" s="4" t="s">
        <v>26164</v>
      </c>
      <c r="B20775" s="4" t="s">
        <v>26167</v>
      </c>
      <c r="C20775" s="5" t="str">
        <f>IFERROR(__xludf.DUMMYFUNCTION("GOOGLETRANSLATE(B20775,""en"",""de"")"),"Die Gruppe tanzt weiter herum, während die Kamera ihre Bewegungen einfängt.")</f>
        <v>Die Gruppe tanzt weiter herum, während die Kamera ihre Bewegungen einfängt.</v>
      </c>
    </row>
    <row r="20776">
      <c r="A20776" s="4" t="s">
        <v>26168</v>
      </c>
      <c r="B20776" s="4" t="s">
        <v>26169</v>
      </c>
      <c r="C20776" s="5" t="str">
        <f>IFERROR(__xludf.DUMMYFUNCTION("GOOGLETRANSLATE(B20776,""en"",""de"")"),"Ein Mädchen, das eine weiße Skijacke trägt, läuft am Ski -Hang entlang und zieht eine orangefarbene Innenröhre.")</f>
        <v>Ein Mädchen, das eine weiße Skijacke trägt, läuft am Ski -Hang entlang und zieht eine orangefarbene Innenröhre.</v>
      </c>
    </row>
    <row r="20777">
      <c r="A20777" s="4" t="s">
        <v>26168</v>
      </c>
      <c r="B20777" s="4" t="s">
        <v>26170</v>
      </c>
      <c r="C20777" s="5" t="str">
        <f>IFERROR(__xludf.DUMMYFUNCTION("GOOGLETRANSLATE(B20777,""en"",""de"")"),"Ein Schläuche -Begleiter hilft eine Gruppe von Kindern, die sich auf ihre Innenrohre beladen.")</f>
        <v>Ein Schläuche -Begleiter hilft eine Gruppe von Kindern, die sich auf ihre Innenrohre beladen.</v>
      </c>
    </row>
    <row r="20778">
      <c r="A20778" s="4" t="s">
        <v>26168</v>
      </c>
      <c r="B20778" s="4" t="s">
        <v>26171</v>
      </c>
      <c r="C20778" s="5" t="str">
        <f>IFERROR(__xludf.DUMMYFUNCTION("GOOGLETRANSLATE(B20778,""en"",""de"")"),"Die Kinder rutschen zusammen den Hang in ihren inneren Röhren.")</f>
        <v>Die Kinder rutschen zusammen den Hang in ihren inneren Röhren.</v>
      </c>
    </row>
    <row r="20779">
      <c r="A20779" s="4" t="s">
        <v>26168</v>
      </c>
      <c r="B20779" s="4" t="s">
        <v>26172</v>
      </c>
      <c r="C20779" s="5" t="str">
        <f>IFERROR(__xludf.DUMMYFUNCTION("GOOGLETRANSLATE(B20779,""en"",""de"")"),"Die Kinder klettern wieder den Schlauchabhang hinauf und rutschen erneut auf ihre Innenrohre.")</f>
        <v>Die Kinder klettern wieder den Schlauchabhang hinauf und rutschen erneut auf ihre Innenrohre.</v>
      </c>
    </row>
    <row r="20780">
      <c r="A20780" s="4" t="s">
        <v>26173</v>
      </c>
      <c r="B20780" s="4" t="s">
        <v>26174</v>
      </c>
      <c r="C20780" s="5" t="str">
        <f>IFERROR(__xludf.DUMMYFUNCTION("GOOGLETRANSLATE(B20780,""en"",""de"")"),"Ein älterer schwarzer Mann steht in der Küche und bügelt ein dunkelgraues T-Shirt.")</f>
        <v>Ein älterer schwarzer Mann steht in der Küche und bügelt ein dunkelgraues T-Shirt.</v>
      </c>
    </row>
    <row r="20781">
      <c r="A20781" s="4" t="s">
        <v>26173</v>
      </c>
      <c r="B20781" s="4" t="s">
        <v>26175</v>
      </c>
      <c r="C20781" s="5" t="str">
        <f>IFERROR(__xludf.DUMMYFUNCTION("GOOGLETRANSLATE(B20781,""en"",""de"")"),"Der Mann macht dann seine Bügeln und sieht die Person an, die ihn filmt und weiterhin sein Hemd anzieht.")</f>
        <v>Der Mann macht dann seine Bügeln und sieht die Person an, die ihn filmt und weiterhin sein Hemd anzieht.</v>
      </c>
    </row>
    <row r="20782">
      <c r="A20782" s="4" t="s">
        <v>26176</v>
      </c>
      <c r="B20782" s="4" t="s">
        <v>26177</v>
      </c>
      <c r="C20782" s="5" t="str">
        <f>IFERROR(__xludf.DUMMYFUNCTION("GOOGLETRANSLATE(B20782,""en"",""de"")"),"Ein Mann ist mit unordentlichem Haar zu sehen und schaut in der Ferne ab.")</f>
        <v>Ein Mann ist mit unordentlichem Haar zu sehen und schaut in der Ferne ab.</v>
      </c>
    </row>
    <row r="20783">
      <c r="A20783" s="4" t="s">
        <v>26176</v>
      </c>
      <c r="B20783" s="4" t="s">
        <v>26178</v>
      </c>
      <c r="C20783" s="5" t="str">
        <f>IFERROR(__xludf.DUMMYFUNCTION("GOOGLETRANSLATE(B20783,""en"",""de"")"),"Er hält eine Kaffeetasse hoch und dreht sich in Richtung Kamera.")</f>
        <v>Er hält eine Kaffeetasse hoch und dreht sich in Richtung Kamera.</v>
      </c>
    </row>
    <row r="20784">
      <c r="A20784" s="4" t="s">
        <v>26176</v>
      </c>
      <c r="B20784" s="4" t="s">
        <v>26179</v>
      </c>
      <c r="C20784" s="5" t="str">
        <f>IFERROR(__xludf.DUMMYFUNCTION("GOOGLETRANSLATE(B20784,""en"",""de"")"),"Er lächelt dann ein großes Lächeln, während er zur Kamera schaut.")</f>
        <v>Er lächelt dann ein großes Lächeln, während er zur Kamera schaut.</v>
      </c>
    </row>
    <row r="20785">
      <c r="A20785" s="4" t="s">
        <v>26180</v>
      </c>
      <c r="B20785" s="4" t="s">
        <v>26181</v>
      </c>
      <c r="C20785" s="5" t="str">
        <f>IFERROR(__xludf.DUMMYFUNCTION("GOOGLETRANSLATE(B20785,""en"",""de"")"),"Ein aufblasbarer Ball hüpft auf dem Gras, während Kinder zusehen, wie sie ein Spiel spielen.")</f>
        <v>Ein aufblasbarer Ball hüpft auf dem Gras, während Kinder zusehen, wie sie ein Spiel spielen.</v>
      </c>
    </row>
    <row r="20786">
      <c r="A20786" s="4" t="s">
        <v>26180</v>
      </c>
      <c r="B20786" s="4" t="s">
        <v>26182</v>
      </c>
      <c r="C20786" s="5" t="str">
        <f>IFERROR(__xludf.DUMMYFUNCTION("GOOGLETRANSLATE(B20786,""en"",""de"")"),"Ein kleiner Junge in blauem Hemd und Jeans holt den Ball und rennt zur Gruppe.")</f>
        <v>Ein kleiner Junge in blauem Hemd und Jeans holt den Ball und rennt zur Gruppe.</v>
      </c>
    </row>
    <row r="20787">
      <c r="A20787" s="4" t="s">
        <v>26183</v>
      </c>
      <c r="B20787" s="4" t="s">
        <v>26184</v>
      </c>
      <c r="C20787" s="5" t="str">
        <f>IFERROR(__xludf.DUMMYFUNCTION("GOOGLETRANSLATE(B20787,""en"",""de"")"),"Dieser Mann hält zu Beginn des Videos einen Kürbis, dann schnitzt er das Oberteil ab und holt die Samen und alles andere aus dem Kürbis.")</f>
        <v>Dieser Mann hält zu Beginn des Videos einen Kürbis, dann schnitzt er das Oberteil ab und holt die Samen und alles andere aus dem Kürbis.</v>
      </c>
    </row>
    <row r="20788">
      <c r="A20788" s="4" t="s">
        <v>26183</v>
      </c>
      <c r="B20788" s="4" t="s">
        <v>26185</v>
      </c>
      <c r="C20788" s="5" t="str">
        <f>IFERROR(__xludf.DUMMYFUNCTION("GOOGLETRANSLATE(B20788,""en"",""de"")"),"Jemand gibt einem der Schneehunde ein Stück Kürbis.")</f>
        <v>Jemand gibt einem der Schneehunde ein Stück Kürbis.</v>
      </c>
    </row>
    <row r="20789">
      <c r="A20789" s="4" t="s">
        <v>26183</v>
      </c>
      <c r="B20789" s="4" t="s">
        <v>26186</v>
      </c>
      <c r="C20789" s="5" t="str">
        <f>IFERROR(__xludf.DUMMYFUNCTION("GOOGLETRANSLATE(B20789,""en"",""de"")"),"Dann legt er die Schablone auf den Kürbis und schnitzt einen Schnee Hund in den Kürbis.")</f>
        <v>Dann legt er die Schablone auf den Kürbis und schnitzt einen Schnee Hund in den Kürbis.</v>
      </c>
    </row>
    <row r="20790">
      <c r="A20790" s="4" t="s">
        <v>26187</v>
      </c>
      <c r="B20790" s="4" t="s">
        <v>26188</v>
      </c>
      <c r="C20790" s="5" t="str">
        <f>IFERROR(__xludf.DUMMYFUNCTION("GOOGLETRANSLATE(B20790,""en"",""de"")"),"Eine Einführung auf den Bildschirm für eine feine Leinenfirma.")</f>
        <v>Eine Einführung auf den Bildschirm für eine feine Leinenfirma.</v>
      </c>
    </row>
    <row r="20791">
      <c r="A20791" s="4" t="s">
        <v>26187</v>
      </c>
      <c r="B20791" s="4" t="s">
        <v>26189</v>
      </c>
      <c r="C20791" s="5" t="str">
        <f>IFERROR(__xludf.DUMMYFUNCTION("GOOGLETRANSLATE(B20791,""en"",""de"")"),"Eine Frau erklärt, dass sie beschreibt, wie man Stoffservietten faltet.")</f>
        <v>Eine Frau erklärt, dass sie beschreibt, wie man Stoffservietten faltet.</v>
      </c>
    </row>
    <row r="20792">
      <c r="A20792" s="4" t="s">
        <v>26187</v>
      </c>
      <c r="B20792" s="4" t="s">
        <v>26190</v>
      </c>
      <c r="C20792" s="5" t="str">
        <f>IFERROR(__xludf.DUMMYFUNCTION("GOOGLETRANSLATE(B20792,""en"",""de"")"),"Sie beginnt damit, die Serviette mit einem heißen Eisen zu drücken.")</f>
        <v>Sie beginnt damit, die Serviette mit einem heißen Eisen zu drücken.</v>
      </c>
    </row>
    <row r="20793">
      <c r="A20793" s="4" t="s">
        <v>26187</v>
      </c>
      <c r="B20793" s="4" t="s">
        <v>26191</v>
      </c>
      <c r="C20793" s="5" t="str">
        <f>IFERROR(__xludf.DUMMYFUNCTION("GOOGLETRANSLATE(B20793,""en"",""de"")"),"Sie faltet die Serviette und drückt sie weiter.")</f>
        <v>Sie faltet die Serviette und drückt sie weiter.</v>
      </c>
    </row>
    <row r="20794">
      <c r="A20794" s="4" t="s">
        <v>26187</v>
      </c>
      <c r="B20794" s="4" t="s">
        <v>4959</v>
      </c>
      <c r="C20794" s="5" t="str">
        <f>IFERROR(__xludf.DUMMYFUNCTION("GOOGLETRANSLATE(B20794,""en"",""de"")"),"Das Video endet mit den Schlussguthaben.")</f>
        <v>Das Video endet mit den Schlussguthaben.</v>
      </c>
    </row>
    <row r="20795">
      <c r="A20795" s="4" t="s">
        <v>26192</v>
      </c>
      <c r="B20795" s="4" t="s">
        <v>26193</v>
      </c>
      <c r="C20795" s="5" t="str">
        <f>IFERROR(__xludf.DUMMYFUNCTION("GOOGLETRANSLATE(B20795,""en"",""de"")"),"Ein kleiner Junge mäht den Rasen vor dem Rasen in einer Vorstadtviertel.")</f>
        <v>Ein kleiner Junge mäht den Rasen vor dem Rasen in einer Vorstadtviertel.</v>
      </c>
    </row>
    <row r="20796">
      <c r="A20796" s="4" t="s">
        <v>26192</v>
      </c>
      <c r="B20796" s="4" t="s">
        <v>26194</v>
      </c>
      <c r="C20796" s="5" t="str">
        <f>IFERROR(__xludf.DUMMYFUNCTION("GOOGLETRANSLATE(B20796,""en"",""de"")"),"Ein kleiner Junge in T-Shirt und Shorts manövriert einen Rasen über einen kleinen Stück Rasen hin und her, während er den Rasen mäht.")</f>
        <v>Ein kleiner Junge in T-Shirt und Shorts manövriert einen Rasen über einen kleinen Stück Rasen hin und her, während er den Rasen mäht.</v>
      </c>
    </row>
    <row r="20797">
      <c r="A20797" s="4" t="s">
        <v>26192</v>
      </c>
      <c r="B20797" s="4" t="s">
        <v>26195</v>
      </c>
      <c r="C20797" s="5" t="str">
        <f>IFERROR(__xludf.DUMMYFUNCTION("GOOGLETRANSLATE(B20797,""en"",""de"")"),"Der Junge geht dann durch den Mäher einen längeren Rasenabschnitt in der Nähe der Ecke gegenüber einem Stoppschild.")</f>
        <v>Der Junge geht dann durch den Mäher einen längeren Rasenabschnitt in der Nähe der Ecke gegenüber einem Stoppschild.</v>
      </c>
    </row>
    <row r="20798">
      <c r="A20798" s="4" t="s">
        <v>26196</v>
      </c>
      <c r="B20798" s="4" t="s">
        <v>26197</v>
      </c>
      <c r="C20798" s="5" t="str">
        <f>IFERROR(__xludf.DUMMYFUNCTION("GOOGLETRANSLATE(B20798,""en"",""de"")"),"Ein großer offener Außenbereich wird von einer sich bewegenden Kamera angezeigt.")</f>
        <v>Ein großer offener Außenbereich wird von einer sich bewegenden Kamera angezeigt.</v>
      </c>
    </row>
    <row r="20799">
      <c r="A20799" s="4" t="s">
        <v>26196</v>
      </c>
      <c r="B20799" s="4" t="s">
        <v>26198</v>
      </c>
      <c r="C20799" s="5" t="str">
        <f>IFERROR(__xludf.DUMMYFUNCTION("GOOGLETRANSLATE(B20799,""en"",""de"")"),"Ein Mann, der einen Helm trägt, wird gezeigt, dass ein Skateboard mit einer langen Holzplanbasis an verschiedenen Orten im Freien fährt.")</f>
        <v>Ein Mann, der einen Helm trägt, wird gezeigt, dass ein Skateboard mit einer langen Holzplanbasis an verschiedenen Orten im Freien fährt.</v>
      </c>
    </row>
    <row r="20800">
      <c r="A20800" s="4" t="s">
        <v>26196</v>
      </c>
      <c r="B20800" s="4" t="s">
        <v>26199</v>
      </c>
      <c r="C20800" s="5" t="str">
        <f>IFERROR(__xludf.DUMMYFUNCTION("GOOGLETRANSLATE(B20800,""en"",""de"")"),"Ein zweiter Fahrer schließt sich dem ersten Fahrer am Skateboard an.")</f>
        <v>Ein zweiter Fahrer schließt sich dem ersten Fahrer am Skateboard an.</v>
      </c>
    </row>
    <row r="20801">
      <c r="A20801" s="4" t="s">
        <v>26196</v>
      </c>
      <c r="B20801" s="4" t="s">
        <v>26200</v>
      </c>
      <c r="C20801" s="5" t="str">
        <f>IFERROR(__xludf.DUMMYFUNCTION("GOOGLETRANSLATE(B20801,""en"",""de"")"),"Es wird ein Clip eines Mannes gezeigt, der keinen Helm trägt und ein anderes Skateboard fährt.")</f>
        <v>Es wird ein Clip eines Mannes gezeigt, der keinen Helm trägt und ein anderes Skateboard fährt.</v>
      </c>
    </row>
    <row r="20802">
      <c r="A20802" s="4" t="s">
        <v>26196</v>
      </c>
      <c r="B20802" s="4" t="s">
        <v>26201</v>
      </c>
      <c r="C20802" s="5" t="str">
        <f>IFERROR(__xludf.DUMMYFUNCTION("GOOGLETRANSLATE(B20802,""en"",""de"")"),"Der Helmmann mit der Planke als Skateboard wird erneut angezeigt.")</f>
        <v>Der Helmmann mit der Planke als Skateboard wird erneut angezeigt.</v>
      </c>
    </row>
    <row r="20803">
      <c r="A20803" s="4" t="s">
        <v>26196</v>
      </c>
      <c r="B20803" s="4" t="s">
        <v>26202</v>
      </c>
      <c r="C20803" s="5" t="str">
        <f>IFERROR(__xludf.DUMMYFUNCTION("GOOGLETRANSLATE(B20803,""en"",""de"")"),"Mehrere andere Personen, die andere Skateboards fahren, werden gezeigt.")</f>
        <v>Mehrere andere Personen, die andere Skateboards fahren, werden gezeigt.</v>
      </c>
    </row>
    <row r="20804">
      <c r="A20804" s="4" t="s">
        <v>26196</v>
      </c>
      <c r="B20804" s="4" t="s">
        <v>26203</v>
      </c>
      <c r="C20804" s="5" t="str">
        <f>IFERROR(__xludf.DUMMYFUNCTION("GOOGLETRANSLATE(B20804,""en"",""de"")"),"Der ursprüngliche Skateboarder wird erneut angezeigt.")</f>
        <v>Der ursprüngliche Skateboarder wird erneut angezeigt.</v>
      </c>
    </row>
    <row r="20805">
      <c r="A20805" s="4" t="s">
        <v>26204</v>
      </c>
      <c r="B20805" s="4" t="s">
        <v>26205</v>
      </c>
      <c r="C20805" s="5" t="str">
        <f>IFERROR(__xludf.DUMMYFUNCTION("GOOGLETRANSLATE(B20805,""en"",""de"")"),"Ein Mann rennt durch einen konkreten Bürgersteig mit Schritten in seinen Känguru -Schuhen.")</f>
        <v>Ein Mann rennt durch einen konkreten Bürgersteig mit Schritten in seinen Känguru -Schuhen.</v>
      </c>
    </row>
    <row r="20806">
      <c r="A20806" s="4" t="s">
        <v>26204</v>
      </c>
      <c r="B20806" s="4" t="s">
        <v>26206</v>
      </c>
      <c r="C20806" s="5" t="str">
        <f>IFERROR(__xludf.DUMMYFUNCTION("GOOGLETRANSLATE(B20806,""en"",""de"")"),"Weitere Menschen erscheinen und auch sie beginnen, über Menschen der Menschen zu springen.")</f>
        <v>Weitere Menschen erscheinen und auch sie beginnen, über Menschen der Menschen zu springen.</v>
      </c>
    </row>
    <row r="20807">
      <c r="A20807" s="4" t="s">
        <v>26207</v>
      </c>
      <c r="B20807" s="4" t="s">
        <v>26208</v>
      </c>
      <c r="C20807" s="5" t="str">
        <f>IFERROR(__xludf.DUMMYFUNCTION("GOOGLETRANSLATE(B20807,""en"",""de"")"),"Es gibt einen Mann, der zeigt, wie man ein Handeinstellungswerkzeug verwendet.")</f>
        <v>Es gibt einen Mann, der zeigt, wie man ein Handeinstellungswerkzeug verwendet.</v>
      </c>
    </row>
    <row r="20808">
      <c r="A20808" s="4" t="s">
        <v>26207</v>
      </c>
      <c r="B20808" s="4" t="s">
        <v>26209</v>
      </c>
      <c r="C20808" s="5" t="str">
        <f>IFERROR(__xludf.DUMMYFUNCTION("GOOGLETRANSLATE(B20808,""en"",""de"")"),"Er hämmert Nägel in eine Holzbar.")</f>
        <v>Er hämmert Nägel in eine Holzbar.</v>
      </c>
    </row>
    <row r="20809">
      <c r="A20809" s="4" t="s">
        <v>26207</v>
      </c>
      <c r="B20809" s="4" t="s">
        <v>26210</v>
      </c>
      <c r="C20809" s="5" t="str">
        <f>IFERROR(__xludf.DUMMYFUNCTION("GOOGLETRANSLATE(B20809,""en"",""de"")"),"Er verwendet das Werkzeug, um die Nägel richtig auszurichten, bevor er es einhämmert.")</f>
        <v>Er verwendet das Werkzeug, um die Nägel richtig auszurichten, bevor er es einhämmert.</v>
      </c>
    </row>
    <row r="20810">
      <c r="A20810" s="4" t="s">
        <v>26207</v>
      </c>
      <c r="B20810" s="4" t="s">
        <v>26211</v>
      </c>
      <c r="C20810" s="5" t="str">
        <f>IFERROR(__xludf.DUMMYFUNCTION("GOOGLETRANSLATE(B20810,""en"",""de"")"),"Anschließend zeigt er, wie der Hämmerungsprozess aussehen würde, ohne das Ausrichtungstool zu verwenden.")</f>
        <v>Anschließend zeigt er, wie der Hämmerungsprozess aussehen würde, ohne das Ausrichtungstool zu verwenden.</v>
      </c>
    </row>
    <row r="20811">
      <c r="A20811" s="4" t="s">
        <v>26207</v>
      </c>
      <c r="B20811" s="4" t="s">
        <v>26212</v>
      </c>
      <c r="C20811" s="5" t="str">
        <f>IFERROR(__xludf.DUMMYFUNCTION("GOOGLETRANSLATE(B20811,""en"",""de"")"),"Dann verwendet er das Ausrichtungswerkzeug, um den Unterschied zu zeigen, den es macht, einen Nagel in Holz zu hämmern, wenn das Werkzeug verwendet wird.")</f>
        <v>Dann verwendet er das Ausrichtungswerkzeug, um den Unterschied zu zeigen, den es macht, einen Nagel in Holz zu hämmern, wenn das Werkzeug verwendet wird.</v>
      </c>
    </row>
    <row r="20812">
      <c r="A20812" s="4" t="s">
        <v>26213</v>
      </c>
      <c r="B20812" s="4" t="s">
        <v>26214</v>
      </c>
      <c r="C20812" s="5" t="str">
        <f>IFERROR(__xludf.DUMMYFUNCTION("GOOGLETRANSLATE(B20812,""en"",""de"")"),"Ein dünner Mann spricht am Telefon Bowling und schlägt alle Bowling -Stifte nieder.")</f>
        <v>Ein dünner Mann spricht am Telefon Bowling und schlägt alle Bowling -Stifte nieder.</v>
      </c>
    </row>
    <row r="20813">
      <c r="A20813" s="4" t="s">
        <v>26213</v>
      </c>
      <c r="B20813" s="4" t="s">
        <v>26215</v>
      </c>
      <c r="C20813" s="5" t="str">
        <f>IFERROR(__xludf.DUMMYFUNCTION("GOOGLETRANSLATE(B20813,""en"",""de"")"),"Als nächstes muss er mehrere Hindernisse durchgehen, um den Ball niederzuschlagen, und er macht ihn sowieso.")</f>
        <v>Als nächstes muss er mehrere Hindernisse durchgehen, um den Ball niederzuschlagen, und er macht ihn sowieso.</v>
      </c>
    </row>
    <row r="20814">
      <c r="A20814" s="4" t="s">
        <v>26213</v>
      </c>
      <c r="B20814" s="4" t="s">
        <v>26216</v>
      </c>
      <c r="C20814" s="5" t="str">
        <f>IFERROR(__xludf.DUMMYFUNCTION("GOOGLETRANSLATE(B20814,""en"",""de"")"),"Einige von ihnen beinhalten, Bowling mit Stiften auf der Spur, hinter einer Tabelle stehen und sogar mit den Augen mit den Augen tun.")</f>
        <v>Einige von ihnen beinhalten, Bowling mit Stiften auf der Spur, hinter einer Tabelle stehen und sogar mit den Augen mit den Augen tun.</v>
      </c>
    </row>
    <row r="20815">
      <c r="A20815" s="4" t="s">
        <v>26217</v>
      </c>
      <c r="B20815" s="4" t="s">
        <v>26218</v>
      </c>
      <c r="C20815" s="5" t="str">
        <f>IFERROR(__xludf.DUMMYFUNCTION("GOOGLETRANSLATE(B20815,""en"",""de"")"),"Eine Gruppe von vier Jungen befindet sich an einem Tisch.")</f>
        <v>Eine Gruppe von vier Jungen befindet sich an einem Tisch.</v>
      </c>
    </row>
    <row r="20816">
      <c r="A20816" s="4" t="s">
        <v>26217</v>
      </c>
      <c r="B20816" s="4" t="s">
        <v>26219</v>
      </c>
      <c r="C20816" s="5" t="str">
        <f>IFERROR(__xludf.DUMMYFUNCTION("GOOGLETRANSLATE(B20816,""en"",""de"")"),"Wie ein Timer zählt, versucht ein Junge, einen Rubik -Würfel zu lösen.")</f>
        <v>Wie ein Timer zählt, versucht ein Junge, einen Rubik -Würfel zu lösen.</v>
      </c>
    </row>
    <row r="20817">
      <c r="A20817" s="4" t="s">
        <v>26217</v>
      </c>
      <c r="B20817" s="4" t="s">
        <v>26220</v>
      </c>
      <c r="C20817" s="5" t="str">
        <f>IFERROR(__xludf.DUMMYFUNCTION("GOOGLETRANSLATE(B20817,""en"",""de"")"),"Er löst den Würfel und schüttelt den anderen Jungen die Hand.")</f>
        <v>Er löst den Würfel und schüttelt den anderen Jungen die Hand.</v>
      </c>
    </row>
    <row r="20818">
      <c r="A20818" s="4" t="s">
        <v>26221</v>
      </c>
      <c r="B20818" s="4" t="s">
        <v>26222</v>
      </c>
      <c r="C20818" s="5" t="str">
        <f>IFERROR(__xludf.DUMMYFUNCTION("GOOGLETRANSLATE(B20818,""en"",""de"")"),"Eine Gruppe tanzt im Scheinwerferlicht traditionelle Chinienroben und Hüte.")</f>
        <v>Eine Gruppe tanzt im Scheinwerferlicht traditionelle Chinienroben und Hüte.</v>
      </c>
    </row>
    <row r="20819">
      <c r="A20819" s="4" t="s">
        <v>26221</v>
      </c>
      <c r="B20819" s="4" t="s">
        <v>26223</v>
      </c>
      <c r="C20819" s="5" t="str">
        <f>IFERROR(__xludf.DUMMYFUNCTION("GOOGLETRANSLATE(B20819,""en"",""de"")"),"Die Männer geben vor, imaginäre Seile zu ziehen.")</f>
        <v>Die Männer geben vor, imaginäre Seile zu ziehen.</v>
      </c>
    </row>
    <row r="20820">
      <c r="A20820" s="4" t="s">
        <v>26221</v>
      </c>
      <c r="B20820" s="4" t="s">
        <v>26224</v>
      </c>
      <c r="C20820" s="5" t="str">
        <f>IFERROR(__xludf.DUMMYFUNCTION("GOOGLETRANSLATE(B20820,""en"",""de"")"),"Die Männer kaust nacheinander hinunter und schieben dort Hüften.")</f>
        <v>Die Männer kaust nacheinander hinunter und schieben dort Hüften.</v>
      </c>
    </row>
    <row r="20821">
      <c r="A20821" s="4" t="s">
        <v>26221</v>
      </c>
      <c r="B20821" s="4" t="s">
        <v>26225</v>
      </c>
      <c r="C20821" s="5" t="str">
        <f>IFERROR(__xludf.DUMMYFUNCTION("GOOGLETRANSLATE(B20821,""en"",""de"")"),"Die Männer treten in einem Teilkreis und tanzen zurück.")</f>
        <v>Die Männer treten in einem Teilkreis und tanzen zurück.</v>
      </c>
    </row>
    <row r="20822">
      <c r="A20822" s="4" t="s">
        <v>26221</v>
      </c>
      <c r="B20822" s="4" t="s">
        <v>26226</v>
      </c>
      <c r="C20822" s="5" t="str">
        <f>IFERROR(__xludf.DUMMYFUNCTION("GOOGLETRANSLATE(B20822,""en"",""de"")"),"Die Männer halten dort Arme wie eine hinduistische Göttin.")</f>
        <v>Die Männer halten dort Arme wie eine hinduistische Göttin.</v>
      </c>
    </row>
    <row r="20823">
      <c r="A20823" s="4" t="s">
        <v>26227</v>
      </c>
      <c r="B20823" s="4" t="s">
        <v>26228</v>
      </c>
      <c r="C20823" s="5" t="str">
        <f>IFERROR(__xludf.DUMMYFUNCTION("GOOGLETRANSLATE(B20823,""en"",""de"")"),"Eine Aussicht von einem tiefen Canyon mit einem Aufzug darüber.")</f>
        <v>Eine Aussicht von einem tiefen Canyon mit einem Aufzug darüber.</v>
      </c>
    </row>
    <row r="20824">
      <c r="A20824" s="4" t="s">
        <v>26227</v>
      </c>
      <c r="B20824" s="4" t="s">
        <v>26229</v>
      </c>
      <c r="C20824" s="5" t="str">
        <f>IFERROR(__xludf.DUMMYFUNCTION("GOOGLETRANSLATE(B20824,""en"",""de"")"),"Ein Mann wird von einem anderen Mann in Bungee -Ausrüstung gekleidet.")</f>
        <v>Ein Mann wird von einem anderen Mann in Bungee -Ausrüstung gekleidet.</v>
      </c>
    </row>
    <row r="20825">
      <c r="A20825" s="4" t="s">
        <v>26227</v>
      </c>
      <c r="B20825" s="4" t="s">
        <v>26230</v>
      </c>
      <c r="C20825" s="5" t="str">
        <f>IFERROR(__xludf.DUMMYFUNCTION("GOOGLETRANSLATE(B20825,""en"",""de"")"),"Er springt heraus und schwingt dann über das dünne Wasser hin und her.")</f>
        <v>Er springt heraus und schwingt dann über das dünne Wasser hin und her.</v>
      </c>
    </row>
    <row r="20826">
      <c r="A20826" s="4" t="s">
        <v>26231</v>
      </c>
      <c r="B20826" s="4" t="s">
        <v>26232</v>
      </c>
      <c r="C20826" s="5" t="str">
        <f>IFERROR(__xludf.DUMMYFUNCTION("GOOGLETRANSLATE(B20826,""en"",""de"")"),"Der Mensch befindet sich in einer Kichen, die eine Pfanne auf dem Herd hält und ein Omelett vorbereitet.")</f>
        <v>Der Mensch befindet sich in einer Kichen, die eine Pfanne auf dem Herd hält und ein Omelett vorbereitet.</v>
      </c>
    </row>
    <row r="20827">
      <c r="A20827" s="4" t="s">
        <v>26231</v>
      </c>
      <c r="B20827" s="4" t="s">
        <v>26233</v>
      </c>
      <c r="C20827" s="5" t="str">
        <f>IFERROR(__xludf.DUMMYFUNCTION("GOOGLETRANSLATE(B20827,""en"",""de"")"),"Der Mann hält eine Tasche und hält die Pfanne, schnapp dir einen Käse für die Tasche und biegt das Omelett.")</f>
        <v>Der Mann hält eine Tasche und hält die Pfanne, schnapp dir einen Käse für die Tasche und biegt das Omelett.</v>
      </c>
    </row>
    <row r="20828">
      <c r="A20828" s="4" t="s">
        <v>26234</v>
      </c>
      <c r="B20828" s="4" t="s">
        <v>26235</v>
      </c>
      <c r="C20828" s="5" t="str">
        <f>IFERROR(__xludf.DUMMYFUNCTION("GOOGLETRANSLATE(B20828,""en"",""de"")"),"Eine Gruppe von Menschen steht im Bug und Pfeile, dann die Kamera in der Kamera in einer langen Reihe von Menschen, die Bögen schießen.")</f>
        <v>Eine Gruppe von Menschen steht im Bug und Pfeile, dann die Kamera in der Kamera in einer langen Reihe von Menschen, die Bögen schießen.</v>
      </c>
    </row>
    <row r="20829">
      <c r="A20829" s="4" t="s">
        <v>26234</v>
      </c>
      <c r="B20829" s="4" t="s">
        <v>26236</v>
      </c>
      <c r="C20829" s="5" t="str">
        <f>IFERROR(__xludf.DUMMYFUNCTION("GOOGLETRANSLATE(B20829,""en"",""de"")"),"Ein Mann spricht dann mit der Kamera, gefolgt von mehreren Schüssen von zufälligen Personen, die die Pfeile zu einem Ziel schießen.")</f>
        <v>Ein Mann spricht dann mit der Kamera, gefolgt von mehreren Schüssen von zufälligen Personen, die die Pfeile zu einem Ziel schießen.</v>
      </c>
    </row>
    <row r="20830">
      <c r="A20830" s="4" t="s">
        <v>26234</v>
      </c>
      <c r="B20830" s="4" t="s">
        <v>26237</v>
      </c>
      <c r="C20830" s="5" t="str">
        <f>IFERROR(__xludf.DUMMYFUNCTION("GOOGLETRANSLATE(B20830,""en"",""de"")"),"Viele Leute sehen am Rande zu und folgen von weiteren Schüssen von Menschen, die Bögen schießen.")</f>
        <v>Viele Leute sehen am Rande zu und folgen von weiteren Schüssen von Menschen, die Bögen schießen.</v>
      </c>
    </row>
    <row r="20831">
      <c r="A20831" s="4" t="s">
        <v>26238</v>
      </c>
      <c r="B20831" s="4" t="s">
        <v>26239</v>
      </c>
      <c r="C20831" s="5" t="str">
        <f>IFERROR(__xludf.DUMMYFUNCTION("GOOGLETRANSLATE(B20831,""en"",""de"")"),"Eine rote Schüssel enthält einen Löffel und Thunfisch in Stücken.")</f>
        <v>Eine rote Schüssel enthält einen Löffel und Thunfisch in Stücken.</v>
      </c>
    </row>
    <row r="20832">
      <c r="A20832" s="4" t="s">
        <v>26238</v>
      </c>
      <c r="B20832" s="4" t="s">
        <v>26240</v>
      </c>
      <c r="C20832" s="5" t="str">
        <f>IFERROR(__xludf.DUMMYFUNCTION("GOOGLETRANSLATE(B20832,""en"",""de"")"),"Jemand gießt Mayonnaise in den Thunfisch sowie Gewürz in den Thunfisch.")</f>
        <v>Jemand gießt Mayonnaise in den Thunfisch sowie Gewürz in den Thunfisch.</v>
      </c>
    </row>
    <row r="20833">
      <c r="A20833" s="4" t="s">
        <v>26238</v>
      </c>
      <c r="B20833" s="4" t="s">
        <v>26241</v>
      </c>
      <c r="C20833" s="5" t="str">
        <f>IFERROR(__xludf.DUMMYFUNCTION("GOOGLETRANSLATE(B20833,""en"",""de"")"),"Die Substanz wird zusammengemischt und dann auf das Brot ausbreitet, um ein Sandwich zu machen.")</f>
        <v>Die Substanz wird zusammengemischt und dann auf das Brot ausbreitet, um ein Sandwich zu machen.</v>
      </c>
    </row>
    <row r="20834">
      <c r="A20834" s="4" t="s">
        <v>26242</v>
      </c>
      <c r="B20834" s="4" t="s">
        <v>26243</v>
      </c>
      <c r="C20834" s="5" t="str">
        <f>IFERROR(__xludf.DUMMYFUNCTION("GOOGLETRANSLATE(B20834,""en"",""de"")"),"Ein Mann klettern an einer Wand neben einem Felsen.")</f>
        <v>Ein Mann klettern an einer Wand neben einem Felsen.</v>
      </c>
    </row>
    <row r="20835">
      <c r="A20835" s="4" t="s">
        <v>26242</v>
      </c>
      <c r="B20835" s="4" t="s">
        <v>26244</v>
      </c>
      <c r="C20835" s="5" t="str">
        <f>IFERROR(__xludf.DUMMYFUNCTION("GOOGLETRANSLATE(B20835,""en"",""de"")"),"Er kommt nach oben und lässt sich frei, um nach unten zu fallen.")</f>
        <v>Er kommt nach oben und lässt sich frei, um nach unten zu fallen.</v>
      </c>
    </row>
    <row r="20836">
      <c r="A20836" s="4" t="s">
        <v>26245</v>
      </c>
      <c r="B20836" s="4" t="s">
        <v>26246</v>
      </c>
      <c r="C20836" s="5" t="str">
        <f>IFERROR(__xludf.DUMMYFUNCTION("GOOGLETRANSLATE(B20836,""en"",""de"")"),"Eine Kamera schwenkt in einem See und führt in eine Person, die in ein Kajak klettern.")</f>
        <v>Eine Kamera schwenkt in einem See und führt in eine Person, die in ein Kajak klettern.</v>
      </c>
    </row>
    <row r="20837">
      <c r="A20837" s="4" t="s">
        <v>26245</v>
      </c>
      <c r="B20837" s="4" t="s">
        <v>26247</v>
      </c>
      <c r="C20837" s="5" t="str">
        <f>IFERROR(__xludf.DUMMYFUNCTION("GOOGLETRANSLATE(B20837,""en"",""de"")"),"Die Person beginnt dann, sich am Wasser entlang zu paddeln, während sie sich unter Brücken bewegt.")</f>
        <v>Die Person beginnt dann, sich am Wasser entlang zu paddeln, während sie sich unter Brücken bewegt.</v>
      </c>
    </row>
    <row r="20838">
      <c r="A20838" s="4" t="s">
        <v>26245</v>
      </c>
      <c r="B20838" s="4" t="s">
        <v>26248</v>
      </c>
      <c r="C20838" s="5" t="str">
        <f>IFERROR(__xludf.DUMMYFUNCTION("GOOGLETRANSLATE(B20838,""en"",""de"")"),"Die Person paddelt weiter entlang des Wassers und schaut zur Kamera.")</f>
        <v>Die Person paddelt weiter entlang des Wassers und schaut zur Kamera.</v>
      </c>
    </row>
    <row r="20839">
      <c r="A20839" s="4" t="s">
        <v>26249</v>
      </c>
      <c r="B20839" s="4" t="s">
        <v>26250</v>
      </c>
      <c r="C20839" s="5" t="str">
        <f>IFERROR(__xludf.DUMMYFUNCTION("GOOGLETRANSLATE(B20839,""en"",""de"")"),"Frau posiert in einer Kamera in einem weißen Raum.")</f>
        <v>Frau posiert in einer Kamera in einem weißen Raum.</v>
      </c>
    </row>
    <row r="20840">
      <c r="A20840" s="4" t="s">
        <v>26249</v>
      </c>
      <c r="B20840" s="4" t="s">
        <v>26251</v>
      </c>
      <c r="C20840" s="5" t="str">
        <f>IFERROR(__xludf.DUMMYFUNCTION("GOOGLETRANSLATE(B20840,""en"",""de"")"),"Der Mann steht hinter dem WMOAN, das sich mit einer Schere ihr Haar schneidet und das Modell posiert.")</f>
        <v>Der Mann steht hinter dem WMOAN, das sich mit einer Schere ihr Haar schneidet und das Modell posiert.</v>
      </c>
    </row>
    <row r="20841">
      <c r="A20841" s="4" t="s">
        <v>26252</v>
      </c>
      <c r="B20841" s="4" t="s">
        <v>26253</v>
      </c>
      <c r="C20841" s="5" t="str">
        <f>IFERROR(__xludf.DUMMYFUNCTION("GOOGLETRANSLATE(B20841,""en"",""de"")"),"Eine Frau in einem Bauchtanz -Outfit bewegt ihren Körper sehr strategisch.")</f>
        <v>Eine Frau in einem Bauchtanz -Outfit bewegt ihren Körper sehr strategisch.</v>
      </c>
    </row>
    <row r="20842">
      <c r="A20842" s="4" t="s">
        <v>26252</v>
      </c>
      <c r="B20842" s="4" t="s">
        <v>26254</v>
      </c>
      <c r="C20842" s="5" t="str">
        <f>IFERROR(__xludf.DUMMYFUNCTION("GOOGLETRANSLATE(B20842,""en"",""de"")"),"Sie hat ihre Hände in der Luft, die sich sehr schnell mit ihren Hüften bewegt.")</f>
        <v>Sie hat ihre Hände in der Luft, die sich sehr schnell mit ihren Hüften bewegt.</v>
      </c>
    </row>
    <row r="20843">
      <c r="A20843" s="4" t="s">
        <v>26252</v>
      </c>
      <c r="B20843" s="4" t="s">
        <v>26255</v>
      </c>
      <c r="C20843" s="5" t="str">
        <f>IFERROR(__xludf.DUMMYFUNCTION("GOOGLETRANSLATE(B20843,""en"",""de"")"),"Sie spricht über ihre Liebe zum Bauchtanzen und so.")</f>
        <v>Sie spricht über ihre Liebe zum Bauchtanzen und so.</v>
      </c>
    </row>
    <row r="20844">
      <c r="A20844" s="4" t="s">
        <v>26252</v>
      </c>
      <c r="B20844" s="4" t="s">
        <v>26256</v>
      </c>
      <c r="C20844" s="5" t="str">
        <f>IFERROR(__xludf.DUMMYFUNCTION("GOOGLETRANSLATE(B20844,""en"",""de"")"),"Dann siehst du sie ein anderes lila Bauchtanz -Outfit, das draußen tanzt.")</f>
        <v>Dann siehst du sie ein anderes lila Bauchtanz -Outfit, das draußen tanzt.</v>
      </c>
    </row>
    <row r="20845">
      <c r="A20845" s="4" t="s">
        <v>26257</v>
      </c>
      <c r="B20845" s="4" t="s">
        <v>26258</v>
      </c>
      <c r="C20845" s="5" t="str">
        <f>IFERROR(__xludf.DUMMYFUNCTION("GOOGLETRANSLATE(B20845,""en"",""de"")"),"Ein Mann schälte eine Kartoffel mit einem grünen Schäler.")</f>
        <v>Ein Mann schälte eine Kartoffel mit einem grünen Schäler.</v>
      </c>
    </row>
    <row r="20846">
      <c r="A20846" s="4" t="s">
        <v>26257</v>
      </c>
      <c r="B20846" s="4" t="s">
        <v>26259</v>
      </c>
      <c r="C20846" s="5" t="str">
        <f>IFERROR(__xludf.DUMMYFUNCTION("GOOGLETRANSLATE(B20846,""en"",""de"")"),"Er schälte den mittleren Teil noch einmal.")</f>
        <v>Er schälte den mittleren Teil noch einmal.</v>
      </c>
    </row>
    <row r="20847">
      <c r="A20847" s="4" t="s">
        <v>26257</v>
      </c>
      <c r="B20847" s="4" t="s">
        <v>26260</v>
      </c>
      <c r="C20847" s="5" t="str">
        <f>IFERROR(__xludf.DUMMYFUNCTION("GOOGLETRANSLATE(B20847,""en"",""de"")"),"Geworfen es in den Behälter.")</f>
        <v>Geworfen es in den Behälter.</v>
      </c>
    </row>
    <row r="20848">
      <c r="A20848" s="4" t="s">
        <v>26261</v>
      </c>
      <c r="B20848" s="4" t="s">
        <v>26262</v>
      </c>
      <c r="C20848" s="5" t="str">
        <f>IFERROR(__xludf.DUMMYFUNCTION("GOOGLETRANSLATE(B20848,""en"",""de"")"),"Eine Person hält einen Stock hoch, gefolgt von mehreren Clips von Menschen, die einen Speer werfen.")</f>
        <v>Eine Person hält einen Stock hoch, gefolgt von mehreren Clips von Menschen, die einen Speer werfen.</v>
      </c>
    </row>
    <row r="20849">
      <c r="A20849" s="4" t="s">
        <v>26261</v>
      </c>
      <c r="B20849" s="4" t="s">
        <v>26263</v>
      </c>
      <c r="C20849" s="5" t="str">
        <f>IFERROR(__xludf.DUMMYFUNCTION("GOOGLETRANSLATE(B20849,""en"",""de"")"),"Es werden mehr Schüsse gezeigt, dass Sportler jedes Mal nach ihrem Wurf die großen Entfernungen der Speer werfen.")</f>
        <v>Es werden mehr Schüsse gezeigt, dass Sportler jedes Mal nach ihrem Wurf die großen Entfernungen der Speer werfen.</v>
      </c>
    </row>
    <row r="20850">
      <c r="A20850" s="4" t="s">
        <v>26264</v>
      </c>
      <c r="B20850" s="4" t="s">
        <v>26265</v>
      </c>
      <c r="C20850" s="5" t="str">
        <f>IFERROR(__xludf.DUMMYFUNCTION("GOOGLETRANSLATE(B20850,""en"",""de"")"),"Ein Mann sitzt auf einem Stuhl.")</f>
        <v>Ein Mann sitzt auf einem Stuhl.</v>
      </c>
    </row>
    <row r="20851">
      <c r="A20851" s="4" t="s">
        <v>26264</v>
      </c>
      <c r="B20851" s="4" t="s">
        <v>26266</v>
      </c>
      <c r="C20851" s="5" t="str">
        <f>IFERROR(__xludf.DUMMYFUNCTION("GOOGLETRANSLATE(B20851,""en"",""de"")"),"Er bekommt ein Tattoo am Arm.")</f>
        <v>Er bekommt ein Tattoo am Arm.</v>
      </c>
    </row>
    <row r="20852">
      <c r="A20852" s="4" t="s">
        <v>26264</v>
      </c>
      <c r="B20852" s="4" t="s">
        <v>26267</v>
      </c>
      <c r="C20852" s="5" t="str">
        <f>IFERROR(__xludf.DUMMYFUNCTION("GOOGLETRANSLATE(B20852,""en"",""de"")"),"Ein Mann beobachtet, wie er das Tattoo bekommt.")</f>
        <v>Ein Mann beobachtet, wie er das Tattoo bekommt.</v>
      </c>
    </row>
    <row r="20853">
      <c r="A20853" s="4" t="s">
        <v>26264</v>
      </c>
      <c r="B20853" s="4" t="s">
        <v>26268</v>
      </c>
      <c r="C20853" s="5" t="str">
        <f>IFERROR(__xludf.DUMMYFUNCTION("GOOGLETRANSLATE(B20853,""en"",""de"")"),"Er bekommt seine Tattoo -Wraps mit Saran Wrap.")</f>
        <v>Er bekommt seine Tattoo -Wraps mit Saran Wrap.</v>
      </c>
    </row>
    <row r="20854">
      <c r="A20854" s="4" t="s">
        <v>26269</v>
      </c>
      <c r="B20854" s="4" t="s">
        <v>26270</v>
      </c>
      <c r="C20854" s="5" t="str">
        <f>IFERROR(__xludf.DUMMYFUNCTION("GOOGLETRANSLATE(B20854,""en"",""de"")"),"Eine Kamera schwenkt von einer Straße weg und zeigt die Füße einer Person herum.")</f>
        <v>Eine Kamera schwenkt von einer Straße weg und zeigt die Füße einer Person herum.</v>
      </c>
    </row>
    <row r="20855">
      <c r="A20855" s="4" t="s">
        <v>26269</v>
      </c>
      <c r="B20855" s="4" t="s">
        <v>26271</v>
      </c>
      <c r="C20855" s="5" t="str">
        <f>IFERROR(__xludf.DUMMYFUNCTION("GOOGLETRANSLATE(B20855,""en"",""de"")"),"Es werden mehrere Schüsse gezeigt, von denen Leute ihre Schuhe binden, einen Knopf schlagen und eine Uhr überprüfen.")</f>
        <v>Es werden mehrere Schüsse gezeigt, von denen Leute ihre Schuhe binden, einen Knopf schlagen und eine Uhr überprüfen.</v>
      </c>
    </row>
    <row r="20856">
      <c r="A20856" s="4" t="s">
        <v>26269</v>
      </c>
      <c r="B20856" s="4" t="s">
        <v>26272</v>
      </c>
      <c r="C20856" s="5" t="str">
        <f>IFERROR(__xludf.DUMMYFUNCTION("GOOGLETRANSLATE(B20856,""en"",""de"")"),"Die Leute werden dann nacheinander die Straße entlang laufen, gefolgt von vielen weiteren Anhänger.")</f>
        <v>Die Leute werden dann nacheinander die Straße entlang laufen, gefolgt von vielen weiteren Anhänger.</v>
      </c>
    </row>
    <row r="20857">
      <c r="A20857" s="4" t="s">
        <v>26273</v>
      </c>
      <c r="B20857" s="4" t="s">
        <v>26274</v>
      </c>
      <c r="C20857" s="5" t="str">
        <f>IFERROR(__xludf.DUMMYFUNCTION("GOOGLETRANSLATE(B20857,""en"",""de"")"),"Es werden mehrere Aufnahmen eines Casinos gezeigt, die Nahaufnahmen von Pokertischen und Personen enthalten, die an einem Tisch spielen.")</f>
        <v>Es werden mehrere Aufnahmen eines Casinos gezeigt, die Nahaufnahmen von Pokertischen und Personen enthalten, die an einem Tisch spielen.</v>
      </c>
    </row>
    <row r="20858">
      <c r="A20858" s="4" t="s">
        <v>26273</v>
      </c>
      <c r="B20858" s="4" t="s">
        <v>26275</v>
      </c>
      <c r="C20858" s="5" t="str">
        <f>IFERROR(__xludf.DUMMYFUNCTION("GOOGLETRANSLATE(B20858,""en"",""de"")"),"Es werden viele Aufnahmen von dem Händler gezeigt, der Karten mit Karten handelt, während sie sich umdrehen und das Publikum reagiert.")</f>
        <v>Es werden viele Aufnahmen von dem Händler gezeigt, der Karten mit Karten handelt, während sie sich umdrehen und das Publikum reagiert.</v>
      </c>
    </row>
    <row r="20859">
      <c r="A20859" s="4" t="s">
        <v>26276</v>
      </c>
      <c r="B20859" s="4" t="s">
        <v>26277</v>
      </c>
      <c r="C20859" s="5" t="str">
        <f>IFERROR(__xludf.DUMMYFUNCTION("GOOGLETRANSLATE(B20859,""en"",""de"")"),"Eine Person snowboarden auf einem Berg.")</f>
        <v>Eine Person snowboarden auf einem Berg.</v>
      </c>
    </row>
    <row r="20860">
      <c r="A20860" s="4" t="s">
        <v>26276</v>
      </c>
      <c r="B20860" s="4" t="s">
        <v>26278</v>
      </c>
      <c r="C20860" s="5" t="str">
        <f>IFERROR(__xludf.DUMMYFUNCTION("GOOGLETRANSLATE(B20860,""en"",""de"")"),"Es gibt eine Montage von Straßen, die zu einem Berg und einem Sessellift führen.")</f>
        <v>Es gibt eine Montage von Straßen, die zu einem Berg und einem Sessellift führen.</v>
      </c>
    </row>
    <row r="20861">
      <c r="A20861" s="4" t="s">
        <v>26276</v>
      </c>
      <c r="B20861" s="4" t="s">
        <v>26279</v>
      </c>
      <c r="C20861" s="5" t="str">
        <f>IFERROR(__xludf.DUMMYFUNCTION("GOOGLETRANSLATE(B20861,""en"",""de"")"),"Die Leute springen auf Rampen und Halfpipes.")</f>
        <v>Die Leute springen auf Rampen und Halfpipes.</v>
      </c>
    </row>
    <row r="20862">
      <c r="A20862" s="4" t="s">
        <v>26280</v>
      </c>
      <c r="B20862" s="4" t="s">
        <v>26281</v>
      </c>
      <c r="C20862" s="5" t="str">
        <f>IFERROR(__xludf.DUMMYFUNCTION("GOOGLETRANSLATE(B20862,""en"",""de"")"),"Ein Text -Intro führt in einen Wrestler, der einen anderen Wrestler in einem Ring niederschlägt.")</f>
        <v>Ein Text -Intro führt in einen Wrestler, der einen anderen Wrestler in einem Ring niederschlägt.</v>
      </c>
    </row>
    <row r="20863">
      <c r="A20863" s="4" t="s">
        <v>26280</v>
      </c>
      <c r="B20863" s="4" t="s">
        <v>26282</v>
      </c>
      <c r="C20863" s="5" t="str">
        <f>IFERROR(__xludf.DUMMYFUNCTION("GOOGLETRANSLATE(B20863,""en"",""de"")"),"Das Video setzt sich mit weiteren Aufnahmen des Mannes fort, der Wrestler festbiegt.")</f>
        <v>Das Video setzt sich mit weiteren Aufnahmen des Mannes fort, der Wrestler festbiegt.</v>
      </c>
    </row>
    <row r="20864">
      <c r="A20864" s="4" t="s">
        <v>26280</v>
      </c>
      <c r="B20864" s="4" t="s">
        <v>26283</v>
      </c>
      <c r="C20864" s="5" t="str">
        <f>IFERROR(__xludf.DUMMYFUNCTION("GOOGLETRANSLATE(B20864,""en"",""de"")"),"Es werden mehrere weitere Aufnahmen angezeigt und endet mit einer Abonnementoption.")</f>
        <v>Es werden mehrere weitere Aufnahmen angezeigt und endet mit einer Abonnementoption.</v>
      </c>
    </row>
    <row r="20865">
      <c r="A20865" s="4" t="s">
        <v>26284</v>
      </c>
      <c r="B20865" s="4" t="s">
        <v>26285</v>
      </c>
      <c r="C20865" s="5" t="str">
        <f>IFERROR(__xludf.DUMMYFUNCTION("GOOGLETRANSLATE(B20865,""en"",""de"")"),"Der Mann im braunen Hemd spricht mit der Kamera.")</f>
        <v>Der Mann im braunen Hemd spricht mit der Kamera.</v>
      </c>
    </row>
    <row r="20866">
      <c r="A20866" s="4" t="s">
        <v>26284</v>
      </c>
      <c r="B20866" s="4" t="s">
        <v>26286</v>
      </c>
      <c r="C20866" s="5" t="str">
        <f>IFERROR(__xludf.DUMMYFUNCTION("GOOGLETRANSLATE(B20866,""en"",""de"")"),"Der Mann legte ein Werkzeug auf den Teppich mit langer Stange.")</f>
        <v>Der Mann legte ein Werkzeug auf den Teppich mit langer Stange.</v>
      </c>
    </row>
    <row r="20867">
      <c r="A20867" s="4" t="s">
        <v>26284</v>
      </c>
      <c r="B20867" s="4" t="s">
        <v>26287</v>
      </c>
      <c r="C20867" s="5" t="str">
        <f>IFERROR(__xludf.DUMMYFUNCTION("GOOGLETRANSLATE(B20867,""en"",""de"")"),"Der Mann benutzte die Trage, um den Teppich auf dem Boden zu flach.")</f>
        <v>Der Mann benutzte die Trage, um den Teppich auf dem Boden zu flach.</v>
      </c>
    </row>
    <row r="20868">
      <c r="A20868" s="4" t="s">
        <v>26288</v>
      </c>
      <c r="B20868" s="4" t="s">
        <v>26289</v>
      </c>
      <c r="C20868" s="5" t="str">
        <f>IFERROR(__xludf.DUMMYFUNCTION("GOOGLETRANSLATE(B20868,""en"",""de"")"),"Wir sehen ein Geschäft, Karten und Leute in einem Bus.")</f>
        <v>Wir sehen ein Geschäft, Karten und Leute in einem Bus.</v>
      </c>
    </row>
    <row r="20869">
      <c r="A20869" s="4" t="s">
        <v>26288</v>
      </c>
      <c r="B20869" s="4" t="s">
        <v>26290</v>
      </c>
      <c r="C20869" s="5" t="str">
        <f>IFERROR(__xludf.DUMMYFUNCTION("GOOGLETRANSLATE(B20869,""en"",""de"")"),"Wir sehen Leute am Strand.")</f>
        <v>Wir sehen Leute am Strand.</v>
      </c>
    </row>
    <row r="20870">
      <c r="A20870" s="4" t="s">
        <v>26288</v>
      </c>
      <c r="B20870" s="4" t="s">
        <v>26291</v>
      </c>
      <c r="C20870" s="5" t="str">
        <f>IFERROR(__xludf.DUMMYFUNCTION("GOOGLETRANSLATE(B20870,""en"",""de"")"),"Wir sehen Menschen im See und in Flößen.")</f>
        <v>Wir sehen Menschen im See und in Flößen.</v>
      </c>
    </row>
    <row r="20871">
      <c r="A20871" s="4" t="s">
        <v>26288</v>
      </c>
      <c r="B20871" s="4" t="s">
        <v>26292</v>
      </c>
      <c r="C20871" s="5" t="str">
        <f>IFERROR(__xludf.DUMMYFUNCTION("GOOGLETRANSLATE(B20871,""en"",""de"")"),"Wir sehen einen Hund auf dem Floß.")</f>
        <v>Wir sehen einen Hund auf dem Floß.</v>
      </c>
    </row>
    <row r="20872">
      <c r="A20872" s="4" t="s">
        <v>26288</v>
      </c>
      <c r="B20872" s="4" t="s">
        <v>26293</v>
      </c>
      <c r="C20872" s="5" t="str">
        <f>IFERROR(__xludf.DUMMYFUNCTION("GOOGLETRANSLATE(B20872,""en"",""de"")"),"Wir sehen eine Person, die ein Floß paddelt.")</f>
        <v>Wir sehen eine Person, die ein Floß paddelt.</v>
      </c>
    </row>
    <row r="20873">
      <c r="A20873" s="4" t="s">
        <v>26288</v>
      </c>
      <c r="B20873" s="4" t="s">
        <v>26294</v>
      </c>
      <c r="C20873" s="5" t="str">
        <f>IFERROR(__xludf.DUMMYFUNCTION("GOOGLETRANSLATE(B20873,""en"",""de"")"),"Wir sehen einen Hund im Fluss schwimmen.")</f>
        <v>Wir sehen einen Hund im Fluss schwimmen.</v>
      </c>
    </row>
    <row r="20874">
      <c r="A20874" s="4" t="s">
        <v>26288</v>
      </c>
      <c r="B20874" s="4" t="s">
        <v>26295</v>
      </c>
      <c r="C20874" s="5" t="str">
        <f>IFERROR(__xludf.DUMMYFUNCTION("GOOGLETRANSLATE(B20874,""en"",""de"")"),"Wir sehen den Endbildschirm in Blau.")</f>
        <v>Wir sehen den Endbildschirm in Blau.</v>
      </c>
    </row>
    <row r="20875">
      <c r="A20875" s="4" t="s">
        <v>26296</v>
      </c>
      <c r="B20875" s="4" t="s">
        <v>26297</v>
      </c>
      <c r="C20875" s="5" t="str">
        <f>IFERROR(__xludf.DUMMYFUNCTION("GOOGLETRANSLATE(B20875,""en"",""de"")"),"Ein Mann skaniert auf einer Eisbahn und macht ein Ziel.")</f>
        <v>Ein Mann skaniert auf einer Eisbahn und macht ein Ziel.</v>
      </c>
    </row>
    <row r="20876">
      <c r="A20876" s="4" t="s">
        <v>26296</v>
      </c>
      <c r="B20876" s="4" t="s">
        <v>26298</v>
      </c>
      <c r="C20876" s="5" t="str">
        <f>IFERROR(__xludf.DUMMYFUNCTION("GOOGLETRANSLATE(B20876,""en"",""de"")"),"Er schießt und macht einen Punkt und die Menge jubelt.")</f>
        <v>Er schießt und macht einen Punkt und die Menge jubelt.</v>
      </c>
    </row>
    <row r="20877">
      <c r="A20877" s="4" t="s">
        <v>26296</v>
      </c>
      <c r="B20877" s="4" t="s">
        <v>26299</v>
      </c>
      <c r="C20877" s="5" t="str">
        <f>IFERROR(__xludf.DUMMYFUNCTION("GOOGLETRANSLATE(B20877,""en"",""de"")"),"Er macht einen anderen Punkt und die Menge jubelt.")</f>
        <v>Er macht einen anderen Punkt und die Menge jubelt.</v>
      </c>
    </row>
    <row r="20878">
      <c r="A20878" s="4" t="s">
        <v>26296</v>
      </c>
      <c r="B20878" s="4" t="s">
        <v>26300</v>
      </c>
      <c r="C20878" s="5" t="str">
        <f>IFERROR(__xludf.DUMMYFUNCTION("GOOGLETRANSLATE(B20878,""en"",""de"")"),"Ein Team von gelben Trikots eilt auf das Eis, um ihm zu gratulieren.")</f>
        <v>Ein Team von gelben Trikots eilt auf das Eis, um ihm zu gratulieren.</v>
      </c>
    </row>
    <row r="20879">
      <c r="A20879" s="4" t="s">
        <v>26296</v>
      </c>
      <c r="B20879" s="4" t="s">
        <v>26301</v>
      </c>
      <c r="C20879" s="5" t="str">
        <f>IFERROR(__xludf.DUMMYFUNCTION("GOOGLETRANSLATE(B20879,""en"",""de"")"),"Sie stehen auf dem Platz, während ein Mann in einem Anzug von ihnen weggeht.")</f>
        <v>Sie stehen auf dem Platz, während ein Mann in einem Anzug von ihnen weggeht.</v>
      </c>
    </row>
    <row r="20880">
      <c r="A20880" s="4" t="s">
        <v>26296</v>
      </c>
      <c r="B20880" s="4" t="s">
        <v>26302</v>
      </c>
      <c r="C20880" s="5" t="str">
        <f>IFERROR(__xludf.DUMMYFUNCTION("GOOGLETRANSLATE(B20880,""en"",""de"")"),"Der Mann im Anzug stoppt und spricht mit einem anderen Mann.")</f>
        <v>Der Mann im Anzug stoppt und spricht mit einem anderen Mann.</v>
      </c>
    </row>
    <row r="20881">
      <c r="A20881" s="4" t="s">
        <v>26296</v>
      </c>
      <c r="B20881" s="4" t="s">
        <v>26303</v>
      </c>
      <c r="C20881" s="5" t="str">
        <f>IFERROR(__xludf.DUMMYFUNCTION("GOOGLETRANSLATE(B20881,""en"",""de"")"),"Er winkt und geht zurück zu den Spielern.")</f>
        <v>Er winkt und geht zurück zu den Spielern.</v>
      </c>
    </row>
    <row r="20882">
      <c r="A20882" s="4" t="s">
        <v>26296</v>
      </c>
      <c r="B20882" s="4" t="s">
        <v>26304</v>
      </c>
      <c r="C20882" s="5" t="str">
        <f>IFERROR(__xludf.DUMMYFUNCTION("GOOGLETRANSLATE(B20882,""en"",""de"")"),"Die Teamwesen skaten auf die Menschen zu.")</f>
        <v>Die Teamwesen skaten auf die Menschen zu.</v>
      </c>
    </row>
    <row r="20883">
      <c r="A20883" s="4" t="s">
        <v>26296</v>
      </c>
      <c r="B20883" s="4" t="s">
        <v>26305</v>
      </c>
      <c r="C20883" s="5" t="str">
        <f>IFERROR(__xludf.DUMMYFUNCTION("GOOGLETRANSLATE(B20883,""en"",""de"")"),"Sie fahren über das Eis und ein Mann steht auf der Tribüne und hält eine Trophäe hoch.")</f>
        <v>Sie fahren über das Eis und ein Mann steht auf der Tribüne und hält eine Trophäe hoch.</v>
      </c>
    </row>
    <row r="20884">
      <c r="A20884" s="4" t="s">
        <v>26306</v>
      </c>
      <c r="B20884" s="4" t="s">
        <v>26307</v>
      </c>
      <c r="C20884" s="5" t="str">
        <f>IFERROR(__xludf.DUMMYFUNCTION("GOOGLETRANSLATE(B20884,""en"",""de"")"),"Eine große Gruppe von Menschen tanzt paarweise auf einer Tanzfläche.")</f>
        <v>Eine große Gruppe von Menschen tanzt paarweise auf einer Tanzfläche.</v>
      </c>
    </row>
    <row r="20885">
      <c r="A20885" s="4" t="s">
        <v>26306</v>
      </c>
      <c r="B20885" s="4" t="s">
        <v>26308</v>
      </c>
      <c r="C20885" s="5" t="str">
        <f>IFERROR(__xludf.DUMMYFUNCTION("GOOGLETRANSLATE(B20885,""en"",""de"")"),"Die Leute beobachten von Tischen über die Tanzfläche.")</f>
        <v>Die Leute beobachten von Tischen über die Tanzfläche.</v>
      </c>
    </row>
    <row r="20886">
      <c r="A20886" s="4" t="s">
        <v>26306</v>
      </c>
      <c r="B20886" s="4" t="s">
        <v>26309</v>
      </c>
      <c r="C20886" s="5" t="str">
        <f>IFERROR(__xludf.DUMMYFUNCTION("GOOGLETRANSLATE(B20886,""en"",""de"")"),"Ein Mann mit einem Mikrofon steht auf der Tanzfläche.")</f>
        <v>Ein Mann mit einem Mikrofon steht auf der Tanzfläche.</v>
      </c>
    </row>
    <row r="20887">
      <c r="A20887" s="4" t="s">
        <v>26310</v>
      </c>
      <c r="B20887" s="4" t="s">
        <v>26311</v>
      </c>
      <c r="C20887" s="5" t="str">
        <f>IFERROR(__xludf.DUMMYFUNCTION("GOOGLETRANSLATE(B20887,""en"",""de"")"),"Ein Mann, der einen Hut trägt, zeigt Handschuhe an und startet eine Maschine in großem Gras.")</f>
        <v>Ein Mann, der einen Hut trägt, zeigt Handschuhe an und startet eine Maschine in großem Gras.</v>
      </c>
    </row>
    <row r="20888">
      <c r="A20888" s="4" t="s">
        <v>26310</v>
      </c>
      <c r="B20888" s="4" t="s">
        <v>26312</v>
      </c>
      <c r="C20888" s="5" t="str">
        <f>IFERROR(__xludf.DUMMYFUNCTION("GOOGLETRANSLATE(B20888,""en"",""de"")"),"Der Mann bewegt dann die Maschine entlang des Gras, um sie abzuschneiden.")</f>
        <v>Der Mann bewegt dann die Maschine entlang des Gras, um sie abzuschneiden.</v>
      </c>
    </row>
    <row r="20889">
      <c r="A20889" s="4" t="s">
        <v>26310</v>
      </c>
      <c r="B20889" s="4" t="s">
        <v>26313</v>
      </c>
      <c r="C20889" s="5" t="str">
        <f>IFERROR(__xludf.DUMMYFUNCTION("GOOGLETRANSLATE(B20889,""en"",""de"")"),"Er macht einen Moment inne, um mit der Kamera zu sprechen, und hebt seine Hände hoch.")</f>
        <v>Er macht einen Moment inne, um mit der Kamera zu sprechen, und hebt seine Hände hoch.</v>
      </c>
    </row>
    <row r="20890">
      <c r="A20890" s="4" t="s">
        <v>26314</v>
      </c>
      <c r="B20890" s="4" t="s">
        <v>26315</v>
      </c>
      <c r="C20890" s="5" t="str">
        <f>IFERROR(__xludf.DUMMYFUNCTION("GOOGLETRANSLATE(B20890,""en"",""de"")"),"Ein Stock wird aus dem Boden gehalten.")</f>
        <v>Ein Stock wird aus dem Boden gehalten.</v>
      </c>
    </row>
    <row r="20891">
      <c r="A20891" s="4" t="s">
        <v>26314</v>
      </c>
      <c r="B20891" s="4" t="s">
        <v>26316</v>
      </c>
      <c r="C20891" s="5" t="str">
        <f>IFERROR(__xludf.DUMMYFUNCTION("GOOGLETRANSLATE(B20891,""en"",""de"")"),"Ein Mann benutzt die Krokettenschläger, um einen Ball zu schlagen, und legt ihn dann wieder auf den Boden.")</f>
        <v>Ein Mann benutzt die Krokettenschläger, um einen Ball zu schlagen, und legt ihn dann wieder auf den Boden.</v>
      </c>
    </row>
    <row r="20892">
      <c r="A20892" s="4" t="s">
        <v>26317</v>
      </c>
      <c r="B20892" s="4" t="s">
        <v>26318</v>
      </c>
      <c r="C20892" s="5" t="str">
        <f>IFERROR(__xludf.DUMMYFUNCTION("GOOGLETRANSLATE(B20892,""en"",""de"")"),"Eine Frau sitzt auf dem Boden und spricht über einen Staubsauger.")</f>
        <v>Eine Frau sitzt auf dem Boden und spricht über einen Staubsauger.</v>
      </c>
    </row>
    <row r="20893">
      <c r="A20893" s="4" t="s">
        <v>26317</v>
      </c>
      <c r="B20893" s="4" t="s">
        <v>26319</v>
      </c>
      <c r="C20893" s="5" t="str">
        <f>IFERROR(__xludf.DUMMYFUNCTION("GOOGLETRANSLATE(B20893,""en"",""de"")"),"Sie zeigt, wie man Pulver auf den Teppich aufbringt und es aufsaugt.")</f>
        <v>Sie zeigt, wie man Pulver auf den Teppich aufbringt und es aufsaugt.</v>
      </c>
    </row>
    <row r="20894">
      <c r="A20894" s="4" t="s">
        <v>26317</v>
      </c>
      <c r="B20894" s="4" t="s">
        <v>26320</v>
      </c>
      <c r="C20894" s="5" t="str">
        <f>IFERROR(__xludf.DUMMYFUNCTION("GOOGLETRANSLATE(B20894,""en"",""de"")"),"Sie zeigt dann, wie man das Vakuum und die Mechanik der Maschine reinigt.")</f>
        <v>Sie zeigt dann, wie man das Vakuum und die Mechanik der Maschine reinigt.</v>
      </c>
    </row>
    <row r="20895">
      <c r="A20895" s="4" t="s">
        <v>26321</v>
      </c>
      <c r="B20895" s="4" t="s">
        <v>26322</v>
      </c>
      <c r="C20895" s="5" t="str">
        <f>IFERROR(__xludf.DUMMYFUNCTION("GOOGLETRANSLATE(B20895,""en"",""de"")"),"Eine Gruppe von Menschen ist in einem Haus.")</f>
        <v>Eine Gruppe von Menschen ist in einem Haus.</v>
      </c>
    </row>
    <row r="20896">
      <c r="A20896" s="4" t="s">
        <v>26321</v>
      </c>
      <c r="B20896" s="4" t="s">
        <v>26323</v>
      </c>
      <c r="C20896" s="5" t="str">
        <f>IFERROR(__xludf.DUMMYFUNCTION("GOOGLETRANSLATE(B20896,""en"",""de"")"),"Ein Mann wischt mit einem Mopp den Boden.")</f>
        <v>Ein Mann wischt mit einem Mopp den Boden.</v>
      </c>
    </row>
    <row r="20897">
      <c r="A20897" s="4" t="s">
        <v>26321</v>
      </c>
      <c r="B20897" s="4" t="s">
        <v>26324</v>
      </c>
      <c r="C20897" s="5" t="str">
        <f>IFERROR(__xludf.DUMMYFUNCTION("GOOGLETRANSLATE(B20897,""en"",""de"")"),"Ein anderer Junge versucht, dort zu gehen, wo er wischt.")</f>
        <v>Ein anderer Junge versucht, dort zu gehen, wo er wischt.</v>
      </c>
    </row>
    <row r="20898">
      <c r="A20898" s="4" t="s">
        <v>26321</v>
      </c>
      <c r="B20898" s="4" t="s">
        <v>26325</v>
      </c>
      <c r="C20898" s="5" t="str">
        <f>IFERROR(__xludf.DUMMYFUNCTION("GOOGLETRANSLATE(B20898,""en"",""de"")"),"Der Mann nimmt etwas Bier und beschwert sich zur Kamera.")</f>
        <v>Der Mann nimmt etwas Bier und beschwert sich zur Kamera.</v>
      </c>
    </row>
    <row r="20899">
      <c r="A20899" s="4" t="s">
        <v>26321</v>
      </c>
      <c r="B20899" s="4" t="s">
        <v>26326</v>
      </c>
      <c r="C20899" s="5" t="str">
        <f>IFERROR(__xludf.DUMMYFUNCTION("GOOGLETRANSLATE(B20899,""en"",""de"")"),"Er mops durch den Raum zwischen den Menschen.")</f>
        <v>Er mops durch den Raum zwischen den Menschen.</v>
      </c>
    </row>
    <row r="20900">
      <c r="A20900" s="4" t="s">
        <v>26321</v>
      </c>
      <c r="B20900" s="4" t="s">
        <v>26327</v>
      </c>
      <c r="C20900" s="5" t="str">
        <f>IFERROR(__xludf.DUMMYFUNCTION("GOOGLETRANSLATE(B20900,""en"",""de"")"),"Er hört auf zu wischen und spricht mit der Kamera.")</f>
        <v>Er hört auf zu wischen und spricht mit der Kamera.</v>
      </c>
    </row>
    <row r="20901">
      <c r="A20901" s="4" t="s">
        <v>26328</v>
      </c>
      <c r="B20901" s="4" t="s">
        <v>26329</v>
      </c>
      <c r="C20901" s="5" t="str">
        <f>IFERROR(__xludf.DUMMYFUNCTION("GOOGLETRANSLATE(B20901,""en"",""de"")"),"Ein Globus dreht sich mit dem Schreiben davor.")</f>
        <v>Ein Globus dreht sich mit dem Schreiben davor.</v>
      </c>
    </row>
    <row r="20902">
      <c r="A20902" s="4" t="s">
        <v>26328</v>
      </c>
      <c r="B20902" s="4" t="s">
        <v>26330</v>
      </c>
      <c r="C20902" s="5" t="str">
        <f>IFERROR(__xludf.DUMMYFUNCTION("GOOGLETRANSLATE(B20902,""en"",""de"")"),"Ein Mann wirft einen Bowlingkugel in verschiedene Stifte.")</f>
        <v>Ein Mann wirft einen Bowlingkugel in verschiedene Stifte.</v>
      </c>
    </row>
    <row r="20903">
      <c r="A20903" s="4" t="s">
        <v>26328</v>
      </c>
      <c r="B20903" s="4" t="s">
        <v>26331</v>
      </c>
      <c r="C20903" s="5" t="str">
        <f>IFERROR(__xludf.DUMMYFUNCTION("GOOGLETRANSLATE(B20903,""en"",""de"")"),"Er springt es von Trampolin ab und schlägt die Stifte nieder.")</f>
        <v>Er springt es von Trampolin ab und schlägt die Stifte nieder.</v>
      </c>
    </row>
    <row r="20904">
      <c r="A20904" s="4" t="s">
        <v>26328</v>
      </c>
      <c r="B20904" s="4" t="s">
        <v>26332</v>
      </c>
      <c r="C20904" s="5" t="str">
        <f>IFERROR(__xludf.DUMMYFUNCTION("GOOGLETRANSLATE(B20904,""en"",""de"")"),"Der Bowlingkugel wirft von einer Brücke.")</f>
        <v>Der Bowlingkugel wirft von einer Brücke.</v>
      </c>
    </row>
    <row r="20905">
      <c r="A20905" s="4" t="s">
        <v>26328</v>
      </c>
      <c r="B20905" s="4" t="s">
        <v>26333</v>
      </c>
      <c r="C20905" s="5" t="str">
        <f>IFERROR(__xludf.DUMMYFUNCTION("GOOGLETRANSLATE(B20905,""en"",""de"")"),"Eine Frau wirft den Ball auf Stifte.")</f>
        <v>Eine Frau wirft den Ball auf Stifte.</v>
      </c>
    </row>
    <row r="20906">
      <c r="A20906" s="4" t="s">
        <v>26328</v>
      </c>
      <c r="B20906" s="4" t="s">
        <v>26334</v>
      </c>
      <c r="C20906" s="5" t="str">
        <f>IFERROR(__xludf.DUMMYFUNCTION("GOOGLETRANSLATE(B20906,""en"",""de"")"),"Ein Mann fängt den Bowlingkugel und wirft ihn zu Stiften.")</f>
        <v>Ein Mann fängt den Bowlingkugel und wirft ihn zu Stiften.</v>
      </c>
    </row>
    <row r="20907">
      <c r="A20907" s="4" t="s">
        <v>26328</v>
      </c>
      <c r="B20907" s="4" t="s">
        <v>26335</v>
      </c>
      <c r="C20907" s="5" t="str">
        <f>IFERROR(__xludf.DUMMYFUNCTION("GOOGLETRANSLATE(B20907,""en"",""de"")"),"Ein Mann springt es von einem Auto und schlägt Stifte.")</f>
        <v>Ein Mann springt es von einem Auto und schlägt Stifte.</v>
      </c>
    </row>
    <row r="20908">
      <c r="A20908" s="4" t="s">
        <v>26328</v>
      </c>
      <c r="B20908" s="4" t="s">
        <v>26336</v>
      </c>
      <c r="C20908" s="5" t="str">
        <f>IFERROR(__xludf.DUMMYFUNCTION("GOOGLETRANSLATE(B20908,""en"",""de"")"),"Ein weiterer Trampolintrick wird gezeigt.")</f>
        <v>Ein weiterer Trampolintrick wird gezeigt.</v>
      </c>
    </row>
    <row r="20909">
      <c r="A20909" s="4" t="s">
        <v>26328</v>
      </c>
      <c r="B20909" s="4" t="s">
        <v>26337</v>
      </c>
      <c r="C20909" s="5" t="str">
        <f>IFERROR(__xludf.DUMMYFUNCTION("GOOGLETRANSLATE(B20909,""en"",""de"")"),"Ein Mann wirft einen Bowlingkugel eine Rutsche hinunter und eine Person fängt ihn unten auf.")</f>
        <v>Ein Mann wirft einen Bowlingkugel eine Rutsche hinunter und eine Person fängt ihn unten auf.</v>
      </c>
    </row>
    <row r="20910">
      <c r="A20910" s="4" t="s">
        <v>26328</v>
      </c>
      <c r="B20910" s="4" t="s">
        <v>26338</v>
      </c>
      <c r="C20910" s="5" t="str">
        <f>IFERROR(__xludf.DUMMYFUNCTION("GOOGLETRANSLATE(B20910,""en"",""de"")"),"Ein Mann wirft einen Bowlingkugel einen Hügel hinauf und er rollt zurück und schlägt Stifte.")</f>
        <v>Ein Mann wirft einen Bowlingkugel einen Hügel hinauf und er rollt zurück und schlägt Stifte.</v>
      </c>
    </row>
    <row r="20911">
      <c r="A20911" s="4" t="s">
        <v>26328</v>
      </c>
      <c r="B20911" s="4" t="s">
        <v>26339</v>
      </c>
      <c r="C20911" s="5" t="str">
        <f>IFERROR(__xludf.DUMMYFUNCTION("GOOGLETRANSLATE(B20911,""en"",""de"")"),"Zwei Männer springen Bälle von Trampolinen, um Stifte zu treffen.")</f>
        <v>Zwei Männer springen Bälle von Trampolinen, um Stifte zu treffen.</v>
      </c>
    </row>
    <row r="20912">
      <c r="A20912" s="4" t="s">
        <v>26328</v>
      </c>
      <c r="B20912" s="4" t="s">
        <v>26340</v>
      </c>
      <c r="C20912" s="5" t="str">
        <f>IFERROR(__xludf.DUMMYFUNCTION("GOOGLETRANSLATE(B20912,""en"",""de"")"),"Ein Fernbedienungsauto treibt den Bowlingkugel, um Stifte zu treffen.")</f>
        <v>Ein Fernbedienungsauto treibt den Bowlingkugel, um Stifte zu treffen.</v>
      </c>
    </row>
    <row r="20913">
      <c r="A20913" s="4" t="s">
        <v>26328</v>
      </c>
      <c r="B20913" s="4" t="s">
        <v>26341</v>
      </c>
      <c r="C20913" s="5" t="str">
        <f>IFERROR(__xludf.DUMMYFUNCTION("GOOGLETRANSLATE(B20913,""en"",""de"")"),"Zwei Männer hoch fünf, nachdem sie Stifte niedergeschlagen hatten.")</f>
        <v>Zwei Männer hoch fünf, nachdem sie Stifte niedergeschlagen hatten.</v>
      </c>
    </row>
    <row r="20914">
      <c r="A20914" s="4" t="s">
        <v>26328</v>
      </c>
      <c r="B20914" s="4" t="s">
        <v>26342</v>
      </c>
      <c r="C20914" s="5" t="str">
        <f>IFERROR(__xludf.DUMMYFUNCTION("GOOGLETRANSLATE(B20914,""en"",""de"")"),"Ein Mann, der auf einem Gebäude steht, wirft einen Ball nach unten und trifft Stifte.")</f>
        <v>Ein Mann, der auf einem Gebäude steht, wirft einen Ball nach unten und trifft Stifte.</v>
      </c>
    </row>
    <row r="20915">
      <c r="A20915" s="4" t="s">
        <v>26343</v>
      </c>
      <c r="B20915" s="4" t="s">
        <v>26344</v>
      </c>
      <c r="C20915" s="5" t="str">
        <f>IFERROR(__xludf.DUMMYFUNCTION("GOOGLETRANSLATE(B20915,""en"",""de"")"),"Zwei Tänzer tanzen in der Mitte des Bodens, wo nicht viele Leute zuschauen.")</f>
        <v>Zwei Tänzer tanzen in der Mitte des Bodens, wo nicht viele Leute zuschauen.</v>
      </c>
    </row>
    <row r="20916">
      <c r="A20916" s="4" t="s">
        <v>26343</v>
      </c>
      <c r="B20916" s="4" t="s">
        <v>26345</v>
      </c>
      <c r="C20916" s="5" t="str">
        <f>IFERROR(__xludf.DUMMYFUNCTION("GOOGLETRANSLATE(B20916,""en"",""de"")"),"Sie tragen beide schwarzes Dekor und drehen die Schlagstöcke auf viele verschiedene Arten und Musik spielt.")</f>
        <v>Sie tragen beide schwarzes Dekor und drehen die Schlagstöcke auf viele verschiedene Arten und Musik spielt.</v>
      </c>
    </row>
    <row r="20917">
      <c r="A20917" s="4" t="s">
        <v>26343</v>
      </c>
      <c r="B20917" s="4" t="s">
        <v>26346</v>
      </c>
      <c r="C20917" s="5" t="str">
        <f>IFERROR(__xludf.DUMMYFUNCTION("GOOGLETRANSLATE(B20917,""en"",""de"")"),"Viele Menschen jubeln, einige stehen und andere sitzen.")</f>
        <v>Viele Menschen jubeln, einige stehen und andere sitzen.</v>
      </c>
    </row>
    <row r="20918">
      <c r="A20918" s="4" t="s">
        <v>26347</v>
      </c>
      <c r="B20918" s="4" t="s">
        <v>26348</v>
      </c>
      <c r="C20918" s="5" t="str">
        <f>IFERROR(__xludf.DUMMYFUNCTION("GOOGLETRANSLATE(B20918,""en"",""de"")"),"Zwei Jungen und zwei Mädchen treten an der Bierpong, während andere Personen zuschauen.")</f>
        <v>Zwei Jungen und zwei Mädchen treten an der Bierpong, während andere Personen zuschauen.</v>
      </c>
    </row>
    <row r="20919">
      <c r="A20919" s="4" t="s">
        <v>26347</v>
      </c>
      <c r="B20919" s="4" t="s">
        <v>26349</v>
      </c>
      <c r="C20919" s="5" t="str">
        <f>IFERROR(__xludf.DUMMYFUNCTION("GOOGLETRANSLATE(B20919,""en"",""de"")"),"Fast alle Bälle, die die Jungen in den Tassen landen, wird nur ein Ball vermisst.")</f>
        <v>Fast alle Bälle, die die Jungen in den Tassen landen, wird nur ein Ball vermisst.</v>
      </c>
    </row>
    <row r="20920">
      <c r="A20920" s="4" t="s">
        <v>26347</v>
      </c>
      <c r="B20920" s="4" t="s">
        <v>26350</v>
      </c>
      <c r="C20920" s="5" t="str">
        <f>IFERROR(__xludf.DUMMYFUNCTION("GOOGLETRANSLATE(B20920,""en"",""de"")"),"Die Mädchen reden gegenseitig, während sie die Jungen aussehen.")</f>
        <v>Die Mädchen reden gegenseitig, während sie die Jungen aussehen.</v>
      </c>
    </row>
    <row r="20921">
      <c r="A20921" s="4" t="s">
        <v>26351</v>
      </c>
      <c r="B20921" s="4" t="s">
        <v>26352</v>
      </c>
      <c r="C20921" s="5" t="str">
        <f>IFERROR(__xludf.DUMMYFUNCTION("GOOGLETRANSLATE(B20921,""en"",""de"")"),"Ein Typ legt eine Stofffessel an den Knöcheln einer Dame.")</f>
        <v>Ein Typ legt eine Stofffessel an den Knöcheln einer Dame.</v>
      </c>
    </row>
    <row r="20922">
      <c r="A20922" s="4" t="s">
        <v>26351</v>
      </c>
      <c r="B20922" s="4" t="s">
        <v>26353</v>
      </c>
      <c r="C20922" s="5" t="str">
        <f>IFERROR(__xludf.DUMMYFUNCTION("GOOGLETRANSLATE(B20922,""en"",""de"")"),"Der Typ positioniert die Dame am Rande.")</f>
        <v>Der Typ positioniert die Dame am Rande.</v>
      </c>
    </row>
    <row r="20923">
      <c r="A20923" s="4" t="s">
        <v>26351</v>
      </c>
      <c r="B20923" s="4" t="s">
        <v>26354</v>
      </c>
      <c r="C20923" s="5" t="str">
        <f>IFERROR(__xludf.DUMMYFUNCTION("GOOGLETRANSLATE(B20923,""en"",""de"")"),"Die Lady Bungee springt, wenn der Kerl seine Hand entfernt.")</f>
        <v>Die Lady Bungee springt, wenn der Kerl seine Hand entfernt.</v>
      </c>
    </row>
    <row r="20924">
      <c r="A20924" s="4" t="s">
        <v>26355</v>
      </c>
      <c r="B20924" s="4" t="s">
        <v>26356</v>
      </c>
      <c r="C20924" s="5" t="str">
        <f>IFERROR(__xludf.DUMMYFUNCTION("GOOGLETRANSLATE(B20924,""en"",""de"")"),"Eine Frau fegt vor eine Scheune.")</f>
        <v>Eine Frau fegt vor eine Scheune.</v>
      </c>
    </row>
    <row r="20925">
      <c r="A20925" s="4" t="s">
        <v>26355</v>
      </c>
      <c r="B20925" s="4" t="s">
        <v>26357</v>
      </c>
      <c r="C20925" s="5" t="str">
        <f>IFERROR(__xludf.DUMMYFUNCTION("GOOGLETRANSLATE(B20925,""en"",""de"")"),"Hühner sind hinter ihr auf dem Boden.")</f>
        <v>Hühner sind hinter ihr auf dem Boden.</v>
      </c>
    </row>
    <row r="20926">
      <c r="A20926" s="4" t="s">
        <v>26355</v>
      </c>
      <c r="B20926" s="4" t="s">
        <v>26358</v>
      </c>
      <c r="C20926" s="5" t="str">
        <f>IFERROR(__xludf.DUMMYFUNCTION("GOOGLETRANSLATE(B20926,""en"",""de"")"),"Sie schaufelt Schmutz in eine Radkarren.")</f>
        <v>Sie schaufelt Schmutz in eine Radkarren.</v>
      </c>
    </row>
    <row r="20927">
      <c r="A20927" s="4" t="s">
        <v>26355</v>
      </c>
      <c r="B20927" s="4" t="s">
        <v>26359</v>
      </c>
      <c r="C20927" s="5" t="str">
        <f>IFERROR(__xludf.DUMMYFUNCTION("GOOGLETRANSLATE(B20927,""en"",""de"")"),"Männer fegen vor der Scheune.")</f>
        <v>Männer fegen vor der Scheune.</v>
      </c>
    </row>
    <row r="20928">
      <c r="A20928" s="4" t="s">
        <v>26355</v>
      </c>
      <c r="B20928" s="4" t="s">
        <v>26360</v>
      </c>
      <c r="C20928" s="5" t="str">
        <f>IFERROR(__xludf.DUMMYFUNCTION("GOOGLETRANSLATE(B20928,""en"",""de"")"),"Eine Frau bürstet ein Pferd mit einer Bürste.")</f>
        <v>Eine Frau bürstet ein Pferd mit einer Bürste.</v>
      </c>
    </row>
    <row r="20929">
      <c r="A20929" s="4" t="s">
        <v>26361</v>
      </c>
      <c r="B20929" s="4" t="s">
        <v>26362</v>
      </c>
      <c r="C20929" s="5" t="str">
        <f>IFERROR(__xludf.DUMMYFUNCTION("GOOGLETRANSLATE(B20929,""en"",""de"")"),"Ein Satz von Meilen ruht auf Stiftkegeln.")</f>
        <v>Ein Satz von Meilen ruht auf Stiftkegeln.</v>
      </c>
    </row>
    <row r="20930">
      <c r="A20930" s="4" t="s">
        <v>26361</v>
      </c>
      <c r="B20930" s="4" t="s">
        <v>26363</v>
      </c>
      <c r="C20930" s="5" t="str">
        <f>IFERROR(__xludf.DUMMYFUNCTION("GOOGLETRANSLATE(B20930,""en"",""de"")"),"Ein Taschenmesser wird aus Holzkiste genommen und mit einer Klemme gehalten.")</f>
        <v>Ein Taschenmesser wird aus Holzkiste genommen und mit einer Klemme gehalten.</v>
      </c>
    </row>
    <row r="20931">
      <c r="A20931" s="4" t="s">
        <v>26361</v>
      </c>
      <c r="B20931" s="4" t="s">
        <v>26364</v>
      </c>
      <c r="C20931" s="5" t="str">
        <f>IFERROR(__xludf.DUMMYFUNCTION("GOOGLETRANSLATE(B20931,""en"",""de"")"),"Der Mann verwendet Schärfsteine ​​auf der Klinge des Messers.")</f>
        <v>Der Mann verwendet Schärfsteine ​​auf der Klinge des Messers.</v>
      </c>
    </row>
    <row r="20932">
      <c r="A20932" s="4" t="s">
        <v>26361</v>
      </c>
      <c r="B20932" s="4" t="s">
        <v>26365</v>
      </c>
      <c r="C20932" s="5" t="str">
        <f>IFERROR(__xludf.DUMMYFUNCTION("GOOGLETRANSLATE(B20932,""en"",""de"")"),"Der Mann schneidet durch Papierstücke, um die Schärfe der Messer zu zeigen.")</f>
        <v>Der Mann schneidet durch Papierstücke, um die Schärfe der Messer zu zeigen.</v>
      </c>
    </row>
    <row r="20933">
      <c r="A20933" s="4" t="s">
        <v>26361</v>
      </c>
      <c r="B20933" s="4" t="s">
        <v>26366</v>
      </c>
      <c r="C20933" s="5" t="str">
        <f>IFERROR(__xludf.DUMMYFUNCTION("GOOGLETRANSLATE(B20933,""en"",""de"")"),"Ein noch heißer Schuss einer heißen offenen Feuerstelle ist zu sehen.")</f>
        <v>Ein noch heißer Schuss einer heißen offenen Feuerstelle ist zu sehen.</v>
      </c>
    </row>
    <row r="20934">
      <c r="A20934" s="4" t="s">
        <v>26367</v>
      </c>
      <c r="B20934" s="4" t="s">
        <v>26368</v>
      </c>
      <c r="C20934" s="5" t="str">
        <f>IFERROR(__xludf.DUMMYFUNCTION("GOOGLETRANSLATE(B20934,""en"",""de"")"),"Eine Gruppe von Jungen rennt in einem Baseballfeld und rennt dann, um den Ball zu jagen.")</f>
        <v>Eine Gruppe von Jungen rennt in einem Baseballfeld und rennt dann, um den Ball zu jagen.</v>
      </c>
    </row>
    <row r="20935">
      <c r="A20935" s="4" t="s">
        <v>26367</v>
      </c>
      <c r="B20935" s="4" t="s">
        <v>26369</v>
      </c>
      <c r="C20935" s="5" t="str">
        <f>IFERROR(__xludf.DUMMYFUNCTION("GOOGLETRANSLATE(B20935,""en"",""de"")"),"Eine Frau rollt einen Kickball auf dem Feld.")</f>
        <v>Eine Frau rollt einen Kickball auf dem Feld.</v>
      </c>
    </row>
    <row r="20936">
      <c r="A20936" s="4" t="s">
        <v>26367</v>
      </c>
      <c r="B20936" s="4" t="s">
        <v>26370</v>
      </c>
      <c r="C20936" s="5" t="str">
        <f>IFERROR(__xludf.DUMMYFUNCTION("GOOGLETRANSLATE(B20936,""en"",""de"")"),"Der Ball wird von jemandem an der Seitenlinie auf das Feld zurückgegeben.")</f>
        <v>Der Ball wird von jemandem an der Seitenlinie auf das Feld zurückgegeben.</v>
      </c>
    </row>
    <row r="20937">
      <c r="A20937" s="4" t="s">
        <v>26367</v>
      </c>
      <c r="B20937" s="4" t="s">
        <v>26371</v>
      </c>
      <c r="C20937" s="5" t="str">
        <f>IFERROR(__xludf.DUMMYFUNCTION("GOOGLETRANSLATE(B20937,""en"",""de"")"),"Ein Junge rennt durch die Basen auf dem Feld.")</f>
        <v>Ein Junge rennt durch die Basen auf dem Feld.</v>
      </c>
    </row>
    <row r="20938">
      <c r="A20938" s="4" t="s">
        <v>26367</v>
      </c>
      <c r="B20938" s="4" t="s">
        <v>26372</v>
      </c>
      <c r="C20938" s="5" t="str">
        <f>IFERROR(__xludf.DUMMYFUNCTION("GOOGLETRANSLATE(B20938,""en"",""de"")"),"Die Gruppe der Jungen zeigt und signalisiert anderen Spielern auf dem Feld.")</f>
        <v>Die Gruppe der Jungen zeigt und signalisiert anderen Spielern auf dem Feld.</v>
      </c>
    </row>
    <row r="20939">
      <c r="A20939" s="4" t="s">
        <v>26367</v>
      </c>
      <c r="B20939" s="4" t="s">
        <v>26373</v>
      </c>
      <c r="C20939" s="5" t="str">
        <f>IFERROR(__xludf.DUMMYFUNCTION("GOOGLETRANSLATE(B20939,""en"",""de"")"),"Ein Junge tritt in den Ball und die anderen Spieler rennen durch die Basen.")</f>
        <v>Ein Junge tritt in den Ball und die anderen Spieler rennen durch die Basen.</v>
      </c>
    </row>
    <row r="20940">
      <c r="A20940" s="4" t="s">
        <v>26374</v>
      </c>
      <c r="B20940" s="4" t="s">
        <v>26375</v>
      </c>
      <c r="C20940" s="5" t="str">
        <f>IFERROR(__xludf.DUMMYFUNCTION("GOOGLETRANSLATE(B20940,""en"",""de"")"),"Es gibt ein großes Indoor -Fitnessstudio, in dem eine Gymnastikveranstaltung stattfindet.")</f>
        <v>Es gibt ein großes Indoor -Fitnessstudio, in dem eine Gymnastikveranstaltung stattfindet.</v>
      </c>
    </row>
    <row r="20941">
      <c r="A20941" s="4" t="s">
        <v>26374</v>
      </c>
      <c r="B20941" s="4" t="s">
        <v>26376</v>
      </c>
      <c r="C20941" s="5" t="str">
        <f>IFERROR(__xludf.DUMMYFUNCTION("GOOGLETRANSLATE(B20941,""en"",""de"")"),"Es gibt einen Mädchen -Turner, der an den Bars auftritt.")</f>
        <v>Es gibt einen Mädchen -Turner, der an den Bars auftritt.</v>
      </c>
    </row>
    <row r="20942">
      <c r="A20942" s="4" t="s">
        <v>26374</v>
      </c>
      <c r="B20942" s="4" t="s">
        <v>26377</v>
      </c>
      <c r="C20942" s="5" t="str">
        <f>IFERROR(__xludf.DUMMYFUNCTION("GOOGLETRANSLATE(B20942,""en"",""de"")"),"Es gibt Zuschauer, die sie beobachten, während sie schnell schwingt.")</f>
        <v>Es gibt Zuschauer, die sie beobachten, während sie schnell schwingt.</v>
      </c>
    </row>
    <row r="20943">
      <c r="A20943" s="4" t="s">
        <v>26374</v>
      </c>
      <c r="B20943" s="4" t="s">
        <v>26378</v>
      </c>
      <c r="C20943" s="5" t="str">
        <f>IFERROR(__xludf.DUMMYFUNCTION("GOOGLETRANSLATE(B20943,""en"",""de"")"),"Sie steigt aus den Bars und gratuliert von ihrem Trainer.")</f>
        <v>Sie steigt aus den Bars und gratuliert von ihrem Trainer.</v>
      </c>
    </row>
    <row r="20944">
      <c r="A20944" s="4" t="s">
        <v>26374</v>
      </c>
      <c r="B20944" s="4" t="s">
        <v>26379</v>
      </c>
      <c r="C20944" s="5" t="str">
        <f>IFERROR(__xludf.DUMMYFUNCTION("GOOGLETRANSLATE(B20944,""en"",""de"")"),"Die Auszeichnungen werden dann den Gewinnern des Wettbewerbs vergeben.")</f>
        <v>Die Auszeichnungen werden dann den Gewinnern des Wettbewerbs vergeben.</v>
      </c>
    </row>
    <row r="20945">
      <c r="A20945" s="4" t="s">
        <v>26374</v>
      </c>
      <c r="B20945" s="4" t="s">
        <v>26380</v>
      </c>
      <c r="C20945" s="5" t="str">
        <f>IFERROR(__xludf.DUMMYFUNCTION("GOOGLETRANSLATE(B20945,""en"",""de"")"),"Die Gewinner stehen auf der Bühne, um ihre Siegesmedaillen zu erhalten.")</f>
        <v>Die Gewinner stehen auf der Bühne, um ihre Siegesmedaillen zu erhalten.</v>
      </c>
    </row>
    <row r="20946">
      <c r="A20946" s="4" t="s">
        <v>26374</v>
      </c>
      <c r="B20946" s="4" t="s">
        <v>26381</v>
      </c>
      <c r="C20946" s="5" t="str">
        <f>IFERROR(__xludf.DUMMYFUNCTION("GOOGLETRANSLATE(B20946,""en"",""de"")"),"Das Score Board zeigt die Namen aller Gewinner.")</f>
        <v>Das Score Board zeigt die Namen aller Gewinner.</v>
      </c>
    </row>
    <row r="20947">
      <c r="A20947" s="4" t="s">
        <v>26382</v>
      </c>
      <c r="B20947" s="4" t="s">
        <v>26383</v>
      </c>
      <c r="C20947" s="5" t="str">
        <f>IFERROR(__xludf.DUMMYFUNCTION("GOOGLETRANSLATE(B20947,""en"",""de"")"),"Es werden verschiedene Wrestling -Schlachten mit vielen verschiedenen Wrestlern gezeigt.")</f>
        <v>Es werden verschiedene Wrestling -Schlachten mit vielen verschiedenen Wrestlern gezeigt.</v>
      </c>
    </row>
    <row r="20948">
      <c r="A20948" s="4" t="s">
        <v>26382</v>
      </c>
      <c r="B20948" s="4" t="s">
        <v>26384</v>
      </c>
      <c r="C20948" s="5" t="str">
        <f>IFERROR(__xludf.DUMMYFUNCTION("GOOGLETRANSLATE(B20948,""en"",""de"")"),"Ein Mann wird auf die Schultern eines anderen Mannes gehoben und dann auf einen Tisch geworfen, der mit der Kraft seines Gewichts in zwei Hälften bricht.")</f>
        <v>Ein Mann wird auf die Schultern eines anderen Mannes gehoben und dann auf einen Tisch geworfen, der mit der Kraft seines Gewichts in zwei Hälften bricht.</v>
      </c>
    </row>
    <row r="20949">
      <c r="A20949" s="4" t="s">
        <v>26382</v>
      </c>
      <c r="B20949" s="4" t="s">
        <v>26385</v>
      </c>
      <c r="C20949" s="5" t="str">
        <f>IFERROR(__xludf.DUMMYFUNCTION("GOOGLETRANSLATE(B20949,""en"",""de"")"),"Mehrere weitere Wrestler werden heftig auf Ringböden und flache Oberflächen und Tische geworfen, wobei ein dunkler und langhaariger Mann im gesamten Clip mehrmals auf animierte Weise schreit.")</f>
        <v>Mehrere weitere Wrestler werden heftig auf Ringböden und flache Oberflächen und Tische geworfen, wobei ein dunkler und langhaariger Mann im gesamten Clip mehrmals auf animierte Weise schreit.</v>
      </c>
    </row>
    <row r="20950">
      <c r="A20950" s="4" t="s">
        <v>26382</v>
      </c>
      <c r="B20950" s="4" t="s">
        <v>26386</v>
      </c>
      <c r="C20950" s="5" t="str">
        <f>IFERROR(__xludf.DUMMYFUNCTION("GOOGLETRANSLATE(B20950,""en"",""de"")"),"Ein rothaariger Mann spricht gegen Ende des Clips mit einer Kamera.")</f>
        <v>Ein rothaariger Mann spricht gegen Ende des Clips mit einer Kamera.</v>
      </c>
    </row>
    <row r="20951">
      <c r="A20951" s="4" t="s">
        <v>26387</v>
      </c>
      <c r="B20951" s="4" t="s">
        <v>26388</v>
      </c>
      <c r="C20951" s="5" t="str">
        <f>IFERROR(__xludf.DUMMYFUNCTION("GOOGLETRANSLATE(B20951,""en"",""de"")"),"Zwei Männer sprechen auf dem Bürgersteig.")</f>
        <v>Zwei Männer sprechen auf dem Bürgersteig.</v>
      </c>
    </row>
    <row r="20952">
      <c r="A20952" s="4" t="s">
        <v>26387</v>
      </c>
      <c r="B20952" s="4" t="s">
        <v>26389</v>
      </c>
      <c r="C20952" s="5" t="str">
        <f>IFERROR(__xludf.DUMMYFUNCTION("GOOGLETRANSLATE(B20952,""en"",""de"")"),"Ein orange Gabelaufzug verläuft hinter ihnen.")</f>
        <v>Ein orange Gabelaufzug verläuft hinter ihnen.</v>
      </c>
    </row>
    <row r="20953">
      <c r="A20953" s="4" t="s">
        <v>26387</v>
      </c>
      <c r="B20953" s="4" t="s">
        <v>26390</v>
      </c>
      <c r="C20953" s="5" t="str">
        <f>IFERROR(__xludf.DUMMYFUNCTION("GOOGLETRANSLATE(B20953,""en"",""de"")"),"Einer der Männer streift das andere Mann aus dem anderen Mann.")</f>
        <v>Einer der Männer streift das andere Mann aus dem anderen Mann.</v>
      </c>
    </row>
    <row r="20954">
      <c r="A20954" s="4" t="s">
        <v>26387</v>
      </c>
      <c r="B20954" s="4" t="s">
        <v>26391</v>
      </c>
      <c r="C20954" s="5" t="str">
        <f>IFERROR(__xludf.DUMMYFUNCTION("GOOGLETRANSLATE(B20954,""en"",""de"")"),"Der Mann im roten Hemd spielt mit seinen Haaren.")</f>
        <v>Der Mann im roten Hemd spielt mit seinen Haaren.</v>
      </c>
    </row>
    <row r="20955">
      <c r="A20955" s="4" t="s">
        <v>26392</v>
      </c>
      <c r="B20955" s="4" t="s">
        <v>26393</v>
      </c>
      <c r="C20955" s="5" t="str">
        <f>IFERROR(__xludf.DUMMYFUNCTION("GOOGLETRANSLATE(B20955,""en"",""de"")"),"Ein Mann, der vor orangefarbenen Blumen steht, spricht.")</f>
        <v>Ein Mann, der vor orangefarbenen Blumen steht, spricht.</v>
      </c>
    </row>
    <row r="20956">
      <c r="A20956" s="4" t="s">
        <v>26392</v>
      </c>
      <c r="B20956" s="4" t="s">
        <v>26394</v>
      </c>
      <c r="C20956" s="5" t="str">
        <f>IFERROR(__xludf.DUMMYFUNCTION("GOOGLETRANSLATE(B20956,""en"",""de"")"),"Ein kleiner Hund liegt auf dem Boden.")</f>
        <v>Ein kleiner Hund liegt auf dem Boden.</v>
      </c>
    </row>
    <row r="20957">
      <c r="A20957" s="4" t="s">
        <v>26392</v>
      </c>
      <c r="B20957" s="4" t="s">
        <v>26395</v>
      </c>
      <c r="C20957" s="5" t="str">
        <f>IFERROR(__xludf.DUMMYFUNCTION("GOOGLETRANSLATE(B20957,""en"",""de"")"),"Ein Duschkopf wird gezeigt.")</f>
        <v>Ein Duschkopf wird gezeigt.</v>
      </c>
    </row>
    <row r="20958">
      <c r="A20958" s="4" t="s">
        <v>26392</v>
      </c>
      <c r="B20958" s="4" t="s">
        <v>26396</v>
      </c>
      <c r="C20958" s="5" t="str">
        <f>IFERROR(__xludf.DUMMYFUNCTION("GOOGLETRANSLATE(B20958,""en"",""de"")"),"Eine Frau sitzt mit dem Hund auf einem Bett.")</f>
        <v>Eine Frau sitzt mit dem Hund auf einem Bett.</v>
      </c>
    </row>
    <row r="20959">
      <c r="A20959" s="4" t="s">
        <v>26392</v>
      </c>
      <c r="B20959" s="4" t="s">
        <v>26397</v>
      </c>
      <c r="C20959" s="5" t="str">
        <f>IFERROR(__xludf.DUMMYFUNCTION("GOOGLETRANSLATE(B20959,""en"",""de"")"),"Sie und der Hund sind in der Dusche.")</f>
        <v>Sie und der Hund sind in der Dusche.</v>
      </c>
    </row>
    <row r="20960">
      <c r="A20960" s="4" t="s">
        <v>26392</v>
      </c>
      <c r="B20960" s="4" t="s">
        <v>26398</v>
      </c>
      <c r="C20960" s="5" t="str">
        <f>IFERROR(__xludf.DUMMYFUNCTION("GOOGLETRANSLATE(B20960,""en"",""de"")"),"Sie sprüht den Hund mit Wasser.")</f>
        <v>Sie sprüht den Hund mit Wasser.</v>
      </c>
    </row>
    <row r="20961">
      <c r="A20961" s="4" t="s">
        <v>26392</v>
      </c>
      <c r="B20961" s="4" t="s">
        <v>26399</v>
      </c>
      <c r="C20961" s="5" t="str">
        <f>IFERROR(__xludf.DUMMYFUNCTION("GOOGLETRANSLATE(B20961,""en"",""de"")"),"Eine Flasche wird aufgehalten, um gezeigt zu werden.")</f>
        <v>Eine Flasche wird aufgehalten, um gezeigt zu werden.</v>
      </c>
    </row>
    <row r="20962">
      <c r="A20962" s="4" t="s">
        <v>26392</v>
      </c>
      <c r="B20962" s="4" t="s">
        <v>26400</v>
      </c>
      <c r="C20962" s="5" t="str">
        <f>IFERROR(__xludf.DUMMYFUNCTION("GOOGLETRANSLATE(B20962,""en"",""de"")"),"Sie trocknet den Hund mit einem weißen Handtuch ab.")</f>
        <v>Sie trocknet den Hund mit einem weißen Handtuch ab.</v>
      </c>
    </row>
    <row r="20963">
      <c r="A20963" s="4" t="s">
        <v>26392</v>
      </c>
      <c r="B20963" s="4" t="s">
        <v>26401</v>
      </c>
      <c r="C20963" s="5" t="str">
        <f>IFERROR(__xludf.DUMMYFUNCTION("GOOGLETRANSLATE(B20963,""en"",""de"")"),"Ein Roboter tanzt auf dem Bildschirm.")</f>
        <v>Ein Roboter tanzt auf dem Bildschirm.</v>
      </c>
    </row>
    <row r="20964">
      <c r="A20964" s="4" t="s">
        <v>26402</v>
      </c>
      <c r="B20964" s="4" t="s">
        <v>26403</v>
      </c>
      <c r="C20964" s="5" t="str">
        <f>IFERROR(__xludf.DUMMYFUNCTION("GOOGLETRANSLATE(B20964,""en"",""de"")"),"Ein schneebedeckter Rasen wird gezeigt.")</f>
        <v>Ein schneebedeckter Rasen wird gezeigt.</v>
      </c>
    </row>
    <row r="20965">
      <c r="A20965" s="4" t="s">
        <v>26402</v>
      </c>
      <c r="B20965" s="4" t="s">
        <v>26404</v>
      </c>
      <c r="C20965" s="5" t="str">
        <f>IFERROR(__xludf.DUMMYFUNCTION("GOOGLETRANSLATE(B20965,""en"",""de"")"),"Ein Mann auf einem Traktor zieht ein Kind immer wieder auf einem Röhrchen über Schneehügel.")</f>
        <v>Ein Mann auf einem Traktor zieht ein Kind immer wieder auf einem Röhrchen über Schneehügel.</v>
      </c>
    </row>
    <row r="20966">
      <c r="A20966" s="4" t="s">
        <v>26402</v>
      </c>
      <c r="B20966" s="4" t="s">
        <v>26405</v>
      </c>
      <c r="C20966" s="5" t="str">
        <f>IFERROR(__xludf.DUMMYFUNCTION("GOOGLETRANSLATE(B20966,""en"",""de"")"),"Es endet mit dem Jungen in der Nähe und einem weiteren Essen von Müsli von der Spitze einer Treppe.")</f>
        <v>Es endet mit dem Jungen in der Nähe und einem weiteren Essen von Müsli von der Spitze einer Treppe.</v>
      </c>
    </row>
    <row r="20967">
      <c r="A20967" s="4" t="s">
        <v>26406</v>
      </c>
      <c r="B20967" s="4" t="s">
        <v>26407</v>
      </c>
      <c r="C20967" s="5" t="str">
        <f>IFERROR(__xludf.DUMMYFUNCTION("GOOGLETRANSLATE(B20967,""en"",""de"")"),"Ein Vertreter des GCN -Netzwerks spricht und zeigt, wie Tools zum Reparieren von Fahrradrädern verwendet werden.")</f>
        <v>Ein Vertreter des GCN -Netzwerks spricht und zeigt, wie Tools zum Reparieren von Fahrradrädern verwendet werden.</v>
      </c>
    </row>
    <row r="20968">
      <c r="A20968" s="4" t="s">
        <v>26406</v>
      </c>
      <c r="B20968" s="4" t="s">
        <v>26408</v>
      </c>
      <c r="C20968" s="5" t="str">
        <f>IFERROR(__xludf.DUMMYFUNCTION("GOOGLETRANSLATE(B20968,""en"",""de"")"),"Er steht in der Nähe eines erhöhten blauen Fahrrads mit mehreren Werkzeugen an einer Wand hinter ihm.")</f>
        <v>Er steht in der Nähe eines erhöhten blauen Fahrrads mit mehreren Werkzeugen an einer Wand hinter ihm.</v>
      </c>
    </row>
    <row r="20969">
      <c r="A20969" s="4" t="s">
        <v>26406</v>
      </c>
      <c r="B20969" s="4" t="s">
        <v>26409</v>
      </c>
      <c r="C20969" s="5" t="str">
        <f>IFERROR(__xludf.DUMMYFUNCTION("GOOGLETRANSLATE(B20969,""en"",""de"")"),"Er benutzt einen Allen -Schlüssel, um den Fahrradreifen zu heben.")</f>
        <v>Er benutzt einen Allen -Schlüssel, um den Fahrradreifen zu heben.</v>
      </c>
    </row>
    <row r="20970">
      <c r="A20970" s="4" t="s">
        <v>26406</v>
      </c>
      <c r="B20970" s="4" t="s">
        <v>26410</v>
      </c>
      <c r="C20970" s="5" t="str">
        <f>IFERROR(__xludf.DUMMYFUNCTION("GOOGLETRANSLATE(B20970,""en"",""de"")"),"Er dreht den Fahrradreifen und verwendet dann die Allen -Taste, um die Schrauben einzustellen.")</f>
        <v>Er dreht den Fahrradreifen und verwendet dann die Allen -Taste, um die Schrauben einzustellen.</v>
      </c>
    </row>
    <row r="20971">
      <c r="A20971" s="4" t="s">
        <v>26406</v>
      </c>
      <c r="B20971" s="4" t="s">
        <v>26411</v>
      </c>
      <c r="C20971" s="5" t="str">
        <f>IFERROR(__xludf.DUMMYFUNCTION("GOOGLETRANSLATE(B20971,""en"",""de"")"),"Dann setzt er die Kolben des Rads zurück, um sie neu auszurichten.")</f>
        <v>Dann setzt er die Kolben des Rads zurück, um sie neu auszurichten.</v>
      </c>
    </row>
    <row r="20972">
      <c r="A20972" s="4" t="s">
        <v>26406</v>
      </c>
      <c r="B20972" s="4" t="s">
        <v>26412</v>
      </c>
      <c r="C20972" s="5" t="str">
        <f>IFERROR(__xludf.DUMMYFUNCTION("GOOGLETRANSLATE(B20972,""en"",""de"")"),"Dann passt er genau in die Befestigung in das Rad.")</f>
        <v>Dann passt er genau in die Befestigung in das Rad.</v>
      </c>
    </row>
    <row r="20973">
      <c r="A20973" s="4" t="s">
        <v>26413</v>
      </c>
      <c r="B20973" s="4" t="s">
        <v>26414</v>
      </c>
      <c r="C20973" s="5" t="str">
        <f>IFERROR(__xludf.DUMMYFUNCTION("GOOGLETRANSLATE(B20973,""en"",""de"")"),"Eine Person benutzt einen Staubsauger, den der Teppich der Trümmer in einem Raum reinigte, der ihn hin und her fegt.")</f>
        <v>Eine Person benutzt einen Staubsauger, den der Teppich der Trümmer in einem Raum reinigte, der ihn hin und her fegt.</v>
      </c>
    </row>
    <row r="20974">
      <c r="A20974" s="4" t="s">
        <v>26413</v>
      </c>
      <c r="B20974" s="4" t="s">
        <v>26415</v>
      </c>
      <c r="C20974" s="5" t="str">
        <f>IFERROR(__xludf.DUMMYFUNCTION("GOOGLETRANSLATE(B20974,""en"",""de"")"),"Der Staubsauger -Sammelschaufel wird bewegt, um einen neuen Teppichbereich zu erreichen.")</f>
        <v>Der Staubsauger -Sammelschaufel wird bewegt, um einen neuen Teppichbereich zu erreichen.</v>
      </c>
    </row>
    <row r="20975">
      <c r="A20975" s="4" t="s">
        <v>26413</v>
      </c>
      <c r="B20975" s="4" t="s">
        <v>26416</v>
      </c>
      <c r="C20975" s="5" t="str">
        <f>IFERROR(__xludf.DUMMYFUNCTION("GOOGLETRANSLATE(B20975,""en"",""de"")"),"Die Person sehnt den Teppichbereich um die Couch.")</f>
        <v>Die Person sehnt den Teppichbereich um die Couch.</v>
      </c>
    </row>
    <row r="20976">
      <c r="A20976" s="4" t="s">
        <v>26413</v>
      </c>
      <c r="B20976" s="4" t="s">
        <v>26417</v>
      </c>
      <c r="C20976" s="5" t="str">
        <f>IFERROR(__xludf.DUMMYFUNCTION("GOOGLETRANSLATE(B20976,""en"",""de"")"),"Die Person hebt den Kopf des Vakuums hoch und untersucht die darunter liegenden Räder.")</f>
        <v>Die Person hebt den Kopf des Vakuums hoch und untersucht die darunter liegenden Räder.</v>
      </c>
    </row>
    <row r="20977">
      <c r="A20977" s="4" t="s">
        <v>26418</v>
      </c>
      <c r="B20977" s="4" t="s">
        <v>26419</v>
      </c>
      <c r="C20977" s="5" t="str">
        <f>IFERROR(__xludf.DUMMYFUNCTION("GOOGLETRANSLATE(B20977,""en"",""de"")"),"Eine blonde Frau rennt und macht wiederholt einen Hochsprung.")</f>
        <v>Eine blonde Frau rennt und macht wiederholt einen Hochsprung.</v>
      </c>
    </row>
    <row r="20978">
      <c r="A20978" s="4" t="s">
        <v>26418</v>
      </c>
      <c r="B20978" s="4" t="s">
        <v>26420</v>
      </c>
      <c r="C20978" s="5" t="str">
        <f>IFERROR(__xludf.DUMMYFUNCTION("GOOGLETRANSLATE(B20978,""en"",""de"")"),"Eine Frau in Weiß im Hintergrund macht einen Hochsprung.")</f>
        <v>Eine Frau in Weiß im Hintergrund macht einen Hochsprung.</v>
      </c>
    </row>
    <row r="20979">
      <c r="A20979" s="4" t="s">
        <v>26418</v>
      </c>
      <c r="B20979" s="4" t="s">
        <v>26421</v>
      </c>
      <c r="C20979" s="5" t="str">
        <f>IFERROR(__xludf.DUMMYFUNCTION("GOOGLETRANSLATE(B20979,""en"",""de"")"),"Eine schwarze Dame geht an der Kamera vorbei.")</f>
        <v>Eine schwarze Dame geht an der Kamera vorbei.</v>
      </c>
    </row>
    <row r="20980">
      <c r="A20980" s="4" t="s">
        <v>26418</v>
      </c>
      <c r="B20980" s="4" t="s">
        <v>26422</v>
      </c>
      <c r="C20980" s="5" t="str">
        <f>IFERROR(__xludf.DUMMYFUNCTION("GOOGLETRANSLATE(B20980,""en"",""de"")"),"Die schwarze Dame erscheint wieder und passt etwas auf den Boden an.")</f>
        <v>Die schwarze Dame erscheint wieder und passt etwas auf den Boden an.</v>
      </c>
    </row>
    <row r="20981">
      <c r="A20981" s="4" t="s">
        <v>26418</v>
      </c>
      <c r="B20981" s="4" t="s">
        <v>26423</v>
      </c>
      <c r="C20981" s="5" t="str">
        <f>IFERROR(__xludf.DUMMYFUNCTION("GOOGLETRANSLATE(B20981,""en"",""de"")"),"Ein Mann hebt eine rote Fahne.")</f>
        <v>Ein Mann hebt eine rote Fahne.</v>
      </c>
    </row>
    <row r="20982">
      <c r="A20982" s="4" t="s">
        <v>26424</v>
      </c>
      <c r="B20982" s="4" t="s">
        <v>26425</v>
      </c>
      <c r="C20982" s="5" t="str">
        <f>IFERROR(__xludf.DUMMYFUNCTION("GOOGLETRANSLATE(B20982,""en"",""de"")"),"Ein Mädchen in ihrer Tanzuniform steht mit ihrer Mutter und spricht darauf, dass sie an der Reihe ist, als sie an der Reihe ist, und ihr Partner gehen auf der Bühne.")</f>
        <v>Ein Mädchen in ihrer Tanzuniform steht mit ihrer Mutter und spricht darauf, dass sie an der Reihe ist, als sie an der Reihe ist, und ihr Partner gehen auf der Bühne.</v>
      </c>
    </row>
    <row r="20983">
      <c r="A20983" s="4" t="s">
        <v>26424</v>
      </c>
      <c r="B20983" s="4" t="s">
        <v>26426</v>
      </c>
      <c r="C20983" s="5" t="str">
        <f>IFERROR(__xludf.DUMMYFUNCTION("GOOGLETRANSLATE(B20983,""en"",""de"")"),"Sie beginnen, ihre Routine mit ihren Schlagstöcken zu machen.")</f>
        <v>Sie beginnen, ihre Routine mit ihren Schlagstöcken zu machen.</v>
      </c>
    </row>
    <row r="20984">
      <c r="A20984" s="4" t="s">
        <v>26424</v>
      </c>
      <c r="B20984" s="4" t="s">
        <v>26427</v>
      </c>
      <c r="C20984" s="5" t="str">
        <f>IFERROR(__xludf.DUMMYFUNCTION("GOOGLETRANSLATE(B20984,""en"",""de"")"),"Sie arbeiten gut zusammen und eines der Mädchen macht einen Flip, während das andere Mädchen sie festhält, sie fahren mit dem Rest ihrer Routine fort.")</f>
        <v>Sie arbeiten gut zusammen und eines der Mädchen macht einen Flip, während das andere Mädchen sie festhält, sie fahren mit dem Rest ihrer Routine fort.</v>
      </c>
    </row>
    <row r="20985">
      <c r="A20985" s="4" t="s">
        <v>26424</v>
      </c>
      <c r="B20985" s="4" t="s">
        <v>26428</v>
      </c>
      <c r="C20985" s="5" t="str">
        <f>IFERROR(__xludf.DUMMYFUNCTION("GOOGLETRANSLATE(B20985,""en"",""de"")"),"Sie beenden ihre Routine, einer von ihnen kniete und der andere hinter sich und steigen auf und gehen von der Bühne.")</f>
        <v>Sie beenden ihre Routine, einer von ihnen kniete und der andere hinter sich und steigen auf und gehen von der Bühne.</v>
      </c>
    </row>
    <row r="20986">
      <c r="A20986" s="4" t="s">
        <v>26429</v>
      </c>
      <c r="B20986" s="4" t="s">
        <v>26430</v>
      </c>
      <c r="C20986" s="5" t="str">
        <f>IFERROR(__xludf.DUMMYFUNCTION("GOOGLETRANSLATE(B20986,""en"",""de"")"),"Ein Mädchen in einem blauen und funkelnden Kostüm steht auf einem Hof, während er zwei Schlagstöcke hält.")</f>
        <v>Ein Mädchen in einem blauen und funkelnden Kostüm steht auf einem Hof, während er zwei Schlagstöcke hält.</v>
      </c>
    </row>
    <row r="20987">
      <c r="A20987" s="4" t="s">
        <v>26429</v>
      </c>
      <c r="B20987" s="4" t="s">
        <v>26431</v>
      </c>
      <c r="C20987" s="5" t="str">
        <f>IFERROR(__xludf.DUMMYFUNCTION("GOOGLETRANSLATE(B20987,""en"",""de"")"),"Das Mädchen beginnt ihre Schlagstockroutine und beginnt ihre Routine und wirbelt die Schlagstöcke und ihren Körper.")</f>
        <v>Das Mädchen beginnt ihre Schlagstockroutine und beginnt ihre Routine und wirbelt die Schlagstöcke und ihren Körper.</v>
      </c>
    </row>
    <row r="20988">
      <c r="A20988" s="4" t="s">
        <v>26429</v>
      </c>
      <c r="B20988" s="4" t="s">
        <v>26432</v>
      </c>
      <c r="C20988" s="5" t="str">
        <f>IFERROR(__xludf.DUMMYFUNCTION("GOOGLETRANSLATE(B20988,""en"",""de"")"),"Die Richter an einem Tisch beobachten sie die ganze Zeit, während sie auch auf ein Stück Papier schreiben.")</f>
        <v>Die Richter an einem Tisch beobachten sie die ganze Zeit, während sie auch auf ein Stück Papier schreiben.</v>
      </c>
    </row>
    <row r="20989">
      <c r="A20989" s="4" t="s">
        <v>26429</v>
      </c>
      <c r="B20989" s="4" t="s">
        <v>26433</v>
      </c>
      <c r="C20989" s="5" t="str">
        <f>IFERROR(__xludf.DUMMYFUNCTION("GOOGLETRANSLATE(B20989,""en"",""de"")"),"Das Mädchen lässt ihren Schlagstock fallen, nimmt sie auf und setzt sich dann mit ihrer Routine fort.")</f>
        <v>Das Mädchen lässt ihren Schlagstock fallen, nimmt sie auf und setzt sich dann mit ihrer Routine fort.</v>
      </c>
    </row>
    <row r="20990">
      <c r="A20990" s="4" t="s">
        <v>26434</v>
      </c>
      <c r="B20990" s="4" t="s">
        <v>26435</v>
      </c>
      <c r="C20990" s="5" t="str">
        <f>IFERROR(__xludf.DUMMYFUNCTION("GOOGLETRANSLATE(B20990,""en"",""de"")"),"Ein Mann ist Deep Water Scuba mit einer Art Maschine, als würde er nach etwas suchen.")</f>
        <v>Ein Mann ist Deep Water Scuba mit einer Art Maschine, als würde er nach etwas suchen.</v>
      </c>
    </row>
    <row r="20991">
      <c r="A20991" s="4" t="s">
        <v>26434</v>
      </c>
      <c r="B20991" s="4" t="s">
        <v>26436</v>
      </c>
      <c r="C20991" s="5" t="str">
        <f>IFERROR(__xludf.DUMMYFUNCTION("GOOGLETRANSLATE(B20991,""en"",""de"")"),"In der Mitte beginnt er mit einem kleinen Fisch zu spielen, bevor er seine Suche fortsetzt.")</f>
        <v>In der Mitte beginnt er mit einem kleinen Fisch zu spielen, bevor er seine Suche fortsetzt.</v>
      </c>
    </row>
    <row r="20992">
      <c r="A20992" s="4" t="s">
        <v>26434</v>
      </c>
      <c r="B20992" s="4" t="s">
        <v>26437</v>
      </c>
      <c r="C20992" s="5" t="str">
        <f>IFERROR(__xludf.DUMMYFUNCTION("GOOGLETRANSLATE(B20992,""en"",""de"")"),"Der Mann reist langsam durch das Wasser, aber er findet nichts.")</f>
        <v>Der Mann reist langsam durch das Wasser, aber er findet nichts.</v>
      </c>
    </row>
    <row r="20993">
      <c r="A20993" s="4" t="s">
        <v>26438</v>
      </c>
      <c r="B20993" s="4" t="s">
        <v>26439</v>
      </c>
      <c r="C20993" s="5" t="str">
        <f>IFERROR(__xludf.DUMMYFUNCTION("GOOGLETRANSLATE(B20993,""en"",""de"")"),"Zwei Tänzer betreiben einen Ballsaal -Tanz vor einer Live -Band und ein voll ausgestrahltes Publikum.")</f>
        <v>Zwei Tänzer betreiben einen Ballsaal -Tanz vor einer Live -Band und ein voll ausgestrahltes Publikum.</v>
      </c>
    </row>
    <row r="20994">
      <c r="A20994" s="4" t="s">
        <v>26438</v>
      </c>
      <c r="B20994" s="4" t="s">
        <v>26440</v>
      </c>
      <c r="C20994" s="5" t="str">
        <f>IFERROR(__xludf.DUMMYFUNCTION("GOOGLETRANSLATE(B20994,""en"",""de"")"),"Eine Frau in einem Ballsaal -Outfit nähert sich einem Mann in einem Ballsaal -Tanz, wenn sie sich tanzen, wenn sie sich während des Tanzes über den Boden tanzen.")</f>
        <v>Eine Frau in einem Ballsaal -Outfit nähert sich einem Mann in einem Ballsaal -Tanz, wenn sie sich tanzen, wenn sie sich während des Tanzes über den Boden tanzen.</v>
      </c>
    </row>
    <row r="20995">
      <c r="A20995" s="4" t="s">
        <v>26438</v>
      </c>
      <c r="B20995" s="4" t="s">
        <v>26441</v>
      </c>
      <c r="C20995" s="5" t="str">
        <f>IFERROR(__xludf.DUMMYFUNCTION("GOOGLETRANSLATE(B20995,""en"",""de"")"),"Eine Telefonnummer, die Personen einlädt, sich anzurufen und für sie zu stimmen, erscheint zusammen mit dem Netzwerklogo auf dem Bildschirm.")</f>
        <v>Eine Telefonnummer, die Personen einlädt, sich anzurufen und für sie zu stimmen, erscheint zusammen mit dem Netzwerklogo auf dem Bildschirm.</v>
      </c>
    </row>
    <row r="20996">
      <c r="A20996" s="4" t="s">
        <v>26438</v>
      </c>
      <c r="B20996" s="4" t="s">
        <v>26442</v>
      </c>
      <c r="C20996" s="5" t="str">
        <f>IFERROR(__xludf.DUMMYFUNCTION("GOOGLETRANSLATE(B20996,""en"",""de"")"),"Die beiden tanzen weiter, die Rutschen, Pickups, einen letzten Kuss und Folien auf der Tanzfläche ausstellen, während die Menschen im Publikum klatschen.")</f>
        <v>Die beiden tanzen weiter, die Rutschen, Pickups, einen letzten Kuss und Folien auf der Tanzfläche ausstellen, während die Menschen im Publikum klatschen.</v>
      </c>
    </row>
    <row r="20997">
      <c r="A20997" s="4" t="s">
        <v>26443</v>
      </c>
      <c r="B20997" s="4" t="s">
        <v>26444</v>
      </c>
      <c r="C20997" s="5" t="str">
        <f>IFERROR(__xludf.DUMMYFUNCTION("GOOGLETRANSLATE(B20997,""en"",""de"")"),"Ein Mann und eine Frau stehen zueinander, während der Mann spricht.")</f>
        <v>Ein Mann und eine Frau stehen zueinander, während der Mann spricht.</v>
      </c>
    </row>
    <row r="20998">
      <c r="A20998" s="4" t="s">
        <v>26443</v>
      </c>
      <c r="B20998" s="4" t="s">
        <v>26445</v>
      </c>
      <c r="C20998" s="5" t="str">
        <f>IFERROR(__xludf.DUMMYFUNCTION("GOOGLETRANSLATE(B20998,""en"",""de"")"),"Die Frau greift nach unten und hebt eine Bar.")</f>
        <v>Die Frau greift nach unten und hebt eine Bar.</v>
      </c>
    </row>
    <row r="20999">
      <c r="A20999" s="4" t="s">
        <v>26443</v>
      </c>
      <c r="B20999" s="4" t="s">
        <v>26446</v>
      </c>
      <c r="C20999" s="5" t="str">
        <f>IFERROR(__xludf.DUMMYFUNCTION("GOOGLETRANSLATE(B20999,""en"",""de"")"),"Sie macht kleine Aufzüge gegen ihre Schenkel.")</f>
        <v>Sie macht kleine Aufzüge gegen ihre Schenkel.</v>
      </c>
    </row>
    <row r="21000">
      <c r="A21000" s="4" t="s">
        <v>26443</v>
      </c>
      <c r="B21000" s="4" t="s">
        <v>26447</v>
      </c>
      <c r="C21000" s="5" t="str">
        <f>IFERROR(__xludf.DUMMYFUNCTION("GOOGLETRANSLATE(B21000,""en"",""de"")"),"Sie setzt die kleinen Aufzüge fort und fügt eine Abweichung großer Lifte hinzu.")</f>
        <v>Sie setzt die kleinen Aufzüge fort und fügt eine Abweichung großer Lifte hinzu.</v>
      </c>
    </row>
    <row r="21001">
      <c r="A21001" s="4" t="s">
        <v>26443</v>
      </c>
      <c r="B21001" s="4" t="s">
        <v>26448</v>
      </c>
      <c r="C21001" s="5" t="str">
        <f>IFERROR(__xludf.DUMMYFUNCTION("GOOGLETRANSLATE(B21001,""en"",""de"")"),"Sie hebt die Bar über ihren Kopf und bringt sie in ihren Oberschenkelbereich, um die kleinen Aufzüge fortzusetzen.")</f>
        <v>Sie hebt die Bar über ihren Kopf und bringt sie in ihren Oberschenkelbereich, um die kleinen Aufzüge fortzusetzen.</v>
      </c>
    </row>
    <row r="21002">
      <c r="A21002" s="4" t="s">
        <v>26443</v>
      </c>
      <c r="B21002" s="4" t="s">
        <v>26449</v>
      </c>
      <c r="C21002" s="5" t="str">
        <f>IFERROR(__xludf.DUMMYFUNCTION("GOOGLETRANSLATE(B21002,""en"",""de"")"),"Sie bringt die Bar zurück über ihren Kopf und lässt sie auf den Boden fallen.")</f>
        <v>Sie bringt die Bar zurück über ihren Kopf und lässt sie auf den Boden fallen.</v>
      </c>
    </row>
    <row r="21003">
      <c r="A21003" s="4" t="s">
        <v>26450</v>
      </c>
      <c r="B21003" s="4" t="s">
        <v>26451</v>
      </c>
      <c r="C21003" s="5" t="str">
        <f>IFERROR(__xludf.DUMMYFUNCTION("GOOGLETRANSLATE(B21003,""en"",""de"")"),"Ein kleines Kind schwingt mit einer großen Gruppe von Kindern an einer Pinata.")</f>
        <v>Ein kleines Kind schwingt mit einer großen Gruppe von Kindern an einer Pinata.</v>
      </c>
    </row>
    <row r="21004">
      <c r="A21004" s="4" t="s">
        <v>26450</v>
      </c>
      <c r="B21004" s="4" t="s">
        <v>26452</v>
      </c>
      <c r="C21004" s="5" t="str">
        <f>IFERROR(__xludf.DUMMYFUNCTION("GOOGLETRANSLATE(B21004,""en"",""de"")"),"Weitere Kinder stehen auf der Pinata, während Eltern um die Kinder herumlaufen.")</f>
        <v>Weitere Kinder stehen auf der Pinata, während Eltern um die Kinder herumlaufen.</v>
      </c>
    </row>
    <row r="21005">
      <c r="A21005" s="4" t="s">
        <v>26450</v>
      </c>
      <c r="B21005" s="4" t="s">
        <v>26453</v>
      </c>
      <c r="C21005" s="5" t="str">
        <f>IFERROR(__xludf.DUMMYFUNCTION("GOOGLETRANSLATE(B21005,""en"",""de"")"),"Ein letztes Mädchen versucht am Ende, die Pinata zu brechen.")</f>
        <v>Ein letztes Mädchen versucht am Ende, die Pinata zu brechen.</v>
      </c>
    </row>
    <row r="21006">
      <c r="A21006" s="4" t="s">
        <v>26454</v>
      </c>
      <c r="B21006" s="4" t="s">
        <v>26455</v>
      </c>
      <c r="C21006" s="5" t="str">
        <f>IFERROR(__xludf.DUMMYFUNCTION("GOOGLETRANSLATE(B21006,""en"",""de"")"),"Menschen im Verkehr in einer Stadt sehen irritiert aus, als ein Polizist den Verkehr leitet.")</f>
        <v>Menschen im Verkehr in einer Stadt sehen irritiert aus, als ein Polizist den Verkehr leitet.</v>
      </c>
    </row>
    <row r="21007">
      <c r="A21007" s="4" t="s">
        <v>26454</v>
      </c>
      <c r="B21007" s="4" t="s">
        <v>26456</v>
      </c>
      <c r="C21007" s="5" t="str">
        <f>IFERROR(__xludf.DUMMYFUNCTION("GOOGLETRANSLATE(B21007,""en"",""de"")"),"Ein Mann steckt etwas in seine Ohren.")</f>
        <v>Ein Mann steckt etwas in seine Ohren.</v>
      </c>
    </row>
    <row r="21008">
      <c r="A21008" s="4" t="s">
        <v>26454</v>
      </c>
      <c r="B21008" s="4" t="s">
        <v>26457</v>
      </c>
      <c r="C21008" s="5" t="str">
        <f>IFERROR(__xludf.DUMMYFUNCTION("GOOGLETRANSLATE(B21008,""en"",""de"")"),"Ein Mann in einem grünen Hemd verspottet einen Polizisten und die Leute lachen und klatschen.")</f>
        <v>Ein Mann in einem grünen Hemd verspottet einen Polizisten und die Leute lachen und klatschen.</v>
      </c>
    </row>
    <row r="21009">
      <c r="A21009" s="4" t="s">
        <v>26454</v>
      </c>
      <c r="B21009" s="4" t="s">
        <v>26458</v>
      </c>
      <c r="C21009" s="5" t="str">
        <f>IFERROR(__xludf.DUMMYFUNCTION("GOOGLETRANSLATE(B21009,""en"",""de"")"),"Der Polizist gibt dem Mann einen Pepsi.")</f>
        <v>Der Polizist gibt dem Mann einen Pepsi.</v>
      </c>
    </row>
    <row r="21010">
      <c r="A21010" s="4" t="s">
        <v>26454</v>
      </c>
      <c r="B21010" s="4" t="s">
        <v>26459</v>
      </c>
      <c r="C21010" s="5" t="str">
        <f>IFERROR(__xludf.DUMMYFUNCTION("GOOGLETRANSLATE(B21010,""en"",""de"")"),"Wir sehen den Mann auf dem Cricketfeld, der einen Ball wirft.")</f>
        <v>Wir sehen den Mann auf dem Cricketfeld, der einen Ball wirft.</v>
      </c>
    </row>
    <row r="21011">
      <c r="A21011" s="4" t="s">
        <v>26454</v>
      </c>
      <c r="B21011" s="4" t="s">
        <v>26460</v>
      </c>
      <c r="C21011" s="5" t="str">
        <f>IFERROR(__xludf.DUMMYFUNCTION("GOOGLETRANSLATE(B21011,""en"",""de"")"),"Der Mann trinkt den Pepsi und wir sehen den Schlussbildschirm.")</f>
        <v>Der Mann trinkt den Pepsi und wir sehen den Schlussbildschirm.</v>
      </c>
    </row>
    <row r="21012">
      <c r="A21012" s="4" t="s">
        <v>26461</v>
      </c>
      <c r="B21012" s="4" t="s">
        <v>26462</v>
      </c>
      <c r="C21012" s="5" t="str">
        <f>IFERROR(__xludf.DUMMYFUNCTION("GOOGLETRANSLATE(B21012,""en"",""de"")"),"Ein Publikum klatscht, als ein Paar auf der Bühne erscheint.")</f>
        <v>Ein Publikum klatscht, als ein Paar auf der Bühne erscheint.</v>
      </c>
    </row>
    <row r="21013">
      <c r="A21013" s="4" t="s">
        <v>26461</v>
      </c>
      <c r="B21013" s="4" t="s">
        <v>26463</v>
      </c>
      <c r="C21013" s="5" t="str">
        <f>IFERROR(__xludf.DUMMYFUNCTION("GOOGLETRANSLATE(B21013,""en"",""de"")"),"Sie tanzen anmutig, drehen sich und wirbelten.")</f>
        <v>Sie tanzen anmutig, drehen sich und wirbelten.</v>
      </c>
    </row>
    <row r="21014">
      <c r="A21014" s="4" t="s">
        <v>26461</v>
      </c>
      <c r="B21014" s="4" t="s">
        <v>26464</v>
      </c>
      <c r="C21014" s="5" t="str">
        <f>IFERROR(__xludf.DUMMYFUNCTION("GOOGLETRANSLATE(B21014,""en"",""de"")"),"Das Paar verbeugt sich, während sie ihre Routine beenden.")</f>
        <v>Das Paar verbeugt sich, während sie ihre Routine beenden.</v>
      </c>
    </row>
    <row r="21015">
      <c r="A21015" s="4" t="s">
        <v>26465</v>
      </c>
      <c r="B21015" s="4" t="s">
        <v>26466</v>
      </c>
      <c r="C21015" s="5" t="str">
        <f>IFERROR(__xludf.DUMMYFUNCTION("GOOGLETRANSLATE(B21015,""en"",""de"")"),"Ein Mann, der eine Brille trägt, spricht in einem Tattoo -Laden mit der Kamera.")</f>
        <v>Ein Mann, der eine Brille trägt, spricht in einem Tattoo -Laden mit der Kamera.</v>
      </c>
    </row>
    <row r="21016">
      <c r="A21016" s="4" t="s">
        <v>26465</v>
      </c>
      <c r="B21016" s="4" t="s">
        <v>26467</v>
      </c>
      <c r="C21016" s="5" t="str">
        <f>IFERROR(__xludf.DUMMYFUNCTION("GOOGLETRANSLATE(B21016,""en"",""de"")"),"Der Mann liegt auf einem Tisch und winkt zur Kamera.")</f>
        <v>Der Mann liegt auf einem Tisch und winkt zur Kamera.</v>
      </c>
    </row>
    <row r="21017">
      <c r="A21017" s="4" t="s">
        <v>26465</v>
      </c>
      <c r="B21017" s="4" t="s">
        <v>26468</v>
      </c>
      <c r="C21017" s="5" t="str">
        <f>IFERROR(__xludf.DUMMYFUNCTION("GOOGLETRANSLATE(B21017,""en"",""de"")"),"Er zeigt seinen Umriss und ein Mann beginnt sein Bein zu tätowieren.")</f>
        <v>Er zeigt seinen Umriss und ein Mann beginnt sein Bein zu tätowieren.</v>
      </c>
    </row>
    <row r="21018">
      <c r="A21018" s="4" t="s">
        <v>26469</v>
      </c>
      <c r="B21018" s="4" t="s">
        <v>26470</v>
      </c>
      <c r="C21018" s="5" t="str">
        <f>IFERROR(__xludf.DUMMYFUNCTION("GOOGLETRANSLATE(B21018,""en"",""de"")"),"Ein junges Mädchen sitzt vor der Kamera und läuft über ihr langes Haar.")</f>
        <v>Ein junges Mädchen sitzt vor der Kamera und läuft über ihr langes Haar.</v>
      </c>
    </row>
    <row r="21019">
      <c r="A21019" s="4" t="s">
        <v>26469</v>
      </c>
      <c r="B21019" s="4" t="s">
        <v>26471</v>
      </c>
      <c r="C21019" s="5" t="str">
        <f>IFERROR(__xludf.DUMMYFUNCTION("GOOGLETRANSLATE(B21019,""en"",""de"")"),"Sie springt plötzlich und schreit in Richtung Kamera, während sie lächelt und den Pinsel setzt.")</f>
        <v>Sie springt plötzlich und schreit in Richtung Kamera, während sie lächelt und den Pinsel setzt.</v>
      </c>
    </row>
    <row r="21020">
      <c r="A21020" s="4" t="s">
        <v>26472</v>
      </c>
      <c r="B21020" s="4" t="s">
        <v>26473</v>
      </c>
      <c r="C21020" s="5" t="str">
        <f>IFERROR(__xludf.DUMMYFUNCTION("GOOGLETRANSLATE(B21020,""en"",""de"")"),"Als nächstes wird ein Fluss auf einem Bildschirm angezeigt.")</f>
        <v>Als nächstes wird ein Fluss auf einem Bildschirm angezeigt.</v>
      </c>
    </row>
    <row r="21021">
      <c r="A21021" s="4" t="s">
        <v>26472</v>
      </c>
      <c r="B21021" s="4" t="s">
        <v>26474</v>
      </c>
      <c r="C21021" s="5" t="str">
        <f>IFERROR(__xludf.DUMMYFUNCTION("GOOGLETRANSLATE(B21021,""en"",""de"")"),"Reporter sprechen in einem Fernsehset, an dem andere Leute arbeiten.")</f>
        <v>Reporter sprechen in einem Fernsehset, an dem andere Leute arbeiten.</v>
      </c>
    </row>
    <row r="21022">
      <c r="A21022" s="4" t="s">
        <v>26472</v>
      </c>
      <c r="B21022" s="4" t="s">
        <v>26475</v>
      </c>
      <c r="C21022" s="5" t="str">
        <f>IFERROR(__xludf.DUMMYFUNCTION("GOOGLETRANSLATE(B21022,""en"",""de"")"),"Ein Mann, der weißes Hemd trägt, reinigt sein Gesicht, während er einen Spiegel aussieht.")</f>
        <v>Ein Mann, der weißes Hemd trägt, reinigt sein Gesicht, während er einen Spiegel aussieht.</v>
      </c>
    </row>
    <row r="21023">
      <c r="A21023" s="4" t="s">
        <v>26476</v>
      </c>
      <c r="B21023" s="4" t="s">
        <v>26477</v>
      </c>
      <c r="C21023" s="5" t="str">
        <f>IFERROR(__xludf.DUMMYFUNCTION("GOOGLETRANSLATE(B21023,""en"",""de"")"),"Ein Biker, der auf einem Fahrrad sitzt, dreht den Motor.")</f>
        <v>Ein Biker, der auf einem Fahrrad sitzt, dreht den Motor.</v>
      </c>
    </row>
    <row r="21024">
      <c r="A21024" s="4" t="s">
        <v>26476</v>
      </c>
      <c r="B21024" s="4" t="s">
        <v>26478</v>
      </c>
      <c r="C21024" s="5" t="str">
        <f>IFERROR(__xludf.DUMMYFUNCTION("GOOGLETRANSLATE(B21024,""en"",""de"")"),"Ein anderer Biker sitzt auf einem Fahrrad und macht eine Geste mit beiden Armen.")</f>
        <v>Ein anderer Biker sitzt auf einem Fahrrad und macht eine Geste mit beiden Armen.</v>
      </c>
    </row>
    <row r="21025">
      <c r="A21025" s="4" t="s">
        <v>26476</v>
      </c>
      <c r="B21025" s="4" t="s">
        <v>26479</v>
      </c>
      <c r="C21025" s="5" t="str">
        <f>IFERROR(__xludf.DUMMYFUNCTION("GOOGLETRANSLATE(B21025,""en"",""de"")"),"Szenen verschiedener Biker -Versagen von Stunt -Sprüngen werden gezeigt, mit gelegentlicher Publikumsreaktion und Folgen von Aufnahmen.")</f>
        <v>Szenen verschiedener Biker -Versagen von Stunt -Sprüngen werden gezeigt, mit gelegentlicher Publikumsreaktion und Folgen von Aufnahmen.</v>
      </c>
    </row>
    <row r="21026">
      <c r="A21026" s="4" t="s">
        <v>26480</v>
      </c>
      <c r="B21026" s="4" t="s">
        <v>1251</v>
      </c>
      <c r="C21026" s="5" t="str">
        <f>IFERROR(__xludf.DUMMYFUNCTION("GOOGLETRANSLATE(B21026,""en"",""de"")"),"Die Credits des Clips werden angezeigt.")</f>
        <v>Die Credits des Clips werden angezeigt.</v>
      </c>
    </row>
    <row r="21027">
      <c r="A21027" s="4" t="s">
        <v>26480</v>
      </c>
      <c r="B21027" s="4" t="s">
        <v>26481</v>
      </c>
      <c r="C21027" s="5" t="str">
        <f>IFERROR(__xludf.DUMMYFUNCTION("GOOGLETRANSLATE(B21027,""en"",""de"")"),"Eine Dame hebt eine Metallscheibe in einer Hand.")</f>
        <v>Eine Dame hebt eine Metallscheibe in einer Hand.</v>
      </c>
    </row>
    <row r="21028">
      <c r="A21028" s="4" t="s">
        <v>26480</v>
      </c>
      <c r="B21028" s="4" t="s">
        <v>26482</v>
      </c>
      <c r="C21028" s="5" t="str">
        <f>IFERROR(__xludf.DUMMYFUNCTION("GOOGLETRANSLATE(B21028,""en"",""de"")"),"Die Dame dreht sich mit der Scheibe und veröffentlicht die Festplatte.")</f>
        <v>Die Dame dreht sich mit der Scheibe und veröffentlicht die Festplatte.</v>
      </c>
    </row>
    <row r="21029">
      <c r="A21029" s="4" t="s">
        <v>26480</v>
      </c>
      <c r="B21029" s="4" t="s">
        <v>26483</v>
      </c>
      <c r="C21029" s="5" t="str">
        <f>IFERROR(__xludf.DUMMYFUNCTION("GOOGLETRANSLATE(B21029,""en"",""de"")"),"Die Dame legt ein Handtuch um ihren Rücken.")</f>
        <v>Die Dame legt ein Handtuch um ihren Rücken.</v>
      </c>
    </row>
    <row r="21030">
      <c r="A21030" s="4" t="s">
        <v>26484</v>
      </c>
      <c r="B21030" s="4" t="s">
        <v>26485</v>
      </c>
      <c r="C21030" s="5" t="str">
        <f>IFERROR(__xludf.DUMMYFUNCTION("GOOGLETRANSLATE(B21030,""en"",""de"")"),"Zwischen Clips eines Mannes auf einem Katamaran, der sich im Meer bewegt, erscheinen schwarze Bildschirme und unterschiedliche Zeiten mit verschiedenen Wörtern, die jede Bewegung beschreiben, die der Katamaran macht.")</f>
        <v>Zwischen Clips eines Mannes auf einem Katamaran, der sich im Meer bewegt, erscheinen schwarze Bildschirme und unterschiedliche Zeiten mit verschiedenen Wörtern, die jede Bewegung beschreiben, die der Katamaran macht.</v>
      </c>
    </row>
    <row r="21031">
      <c r="A21031" s="4" t="s">
        <v>26484</v>
      </c>
      <c r="B21031" s="4" t="s">
        <v>26486</v>
      </c>
      <c r="C21031" s="5" t="str">
        <f>IFERROR(__xludf.DUMMYFUNCTION("GOOGLETRANSLATE(B21031,""en"",""de"")"),"Der Mann steht jetzt auf dem Boot und zieht sich an Seilen, die sich auf dem Boot bewegen, und wird dann erneut gezeigt, wenn sich das Boot bewegt.")</f>
        <v>Der Mann steht jetzt auf dem Boot und zieht sich an Seilen, die sich auf dem Boot bewegen, und wird dann erneut gezeigt, wenn sich das Boot bewegt.</v>
      </c>
    </row>
    <row r="21032">
      <c r="A21032" s="4" t="s">
        <v>26484</v>
      </c>
      <c r="B21032" s="4" t="s">
        <v>26487</v>
      </c>
      <c r="C21032" s="5" t="str">
        <f>IFERROR(__xludf.DUMMYFUNCTION("GOOGLETRANSLATE(B21032,""en"",""de"")"),"Das Outro erscheint und es ist ein weißer Bildschirm mit einem Bild des Bootes und den Worten ""Multihull Central"".")</f>
        <v>Das Outro erscheint und es ist ein weißer Bildschirm mit einem Bild des Bootes und den Worten "Multihull Central".</v>
      </c>
    </row>
    <row r="21033">
      <c r="A21033" s="4" t="s">
        <v>26488</v>
      </c>
      <c r="B21033" s="4" t="s">
        <v>26489</v>
      </c>
      <c r="C21033" s="5" t="str">
        <f>IFERROR(__xludf.DUMMYFUNCTION("GOOGLETRANSLATE(B21033,""en"",""de"")"),"Eine Frau faltet Handtücher auf einem Bügelbrett zu Hause.")</f>
        <v>Eine Frau faltet Handtücher auf einem Bügelbrett zu Hause.</v>
      </c>
    </row>
    <row r="21034">
      <c r="A21034" s="4" t="s">
        <v>26488</v>
      </c>
      <c r="B21034" s="4" t="s">
        <v>26490</v>
      </c>
      <c r="C21034" s="5" t="str">
        <f>IFERROR(__xludf.DUMMYFUNCTION("GOOGLETRANSLATE(B21034,""en"",""de"")"),"Unterschiedliche Kleidungsstücke sind wie Hemden, Socken und Krawatten zu sehen.")</f>
        <v>Unterschiedliche Kleidungsstücke sind wie Hemden, Socken und Krawatten zu sehen.</v>
      </c>
    </row>
    <row r="21035">
      <c r="A21035" s="4" t="s">
        <v>26488</v>
      </c>
      <c r="B21035" s="4" t="s">
        <v>26491</v>
      </c>
      <c r="C21035" s="5" t="str">
        <f>IFERROR(__xludf.DUMMYFUNCTION("GOOGLETRANSLATE(B21035,""en"",""de"")"),"Die Frau fügt einem Kleidungsstück ein Tag hinzu und fügt es an Ort und Stelle.")</f>
        <v>Die Frau fügt einem Kleidungsstück ein Tag hinzu und fügt es an Ort und Stelle.</v>
      </c>
    </row>
    <row r="21036">
      <c r="A21036" s="4" t="s">
        <v>26488</v>
      </c>
      <c r="B21036" s="4" t="s">
        <v>26492</v>
      </c>
      <c r="C21036" s="5" t="str">
        <f>IFERROR(__xludf.DUMMYFUNCTION("GOOGLETRANSLATE(B21036,""en"",""de"")"),"Das Tag wird in der Nähe angezeigt.")</f>
        <v>Das Tag wird in der Nähe angezeigt.</v>
      </c>
    </row>
    <row r="21037">
      <c r="A21037" s="4" t="s">
        <v>26493</v>
      </c>
      <c r="B21037" s="4" t="s">
        <v>26494</v>
      </c>
      <c r="C21037" s="5" t="str">
        <f>IFERROR(__xludf.DUMMYFUNCTION("GOOGLETRANSLATE(B21037,""en"",""de"")"),"Es gibt einen Mann in einem blauen Hemd und blauen Shorts, die in einem Raum mit beige Wänden schießen.")</f>
        <v>Es gibt einen Mann in einem blauen Hemd und blauen Shorts, die in einem Raum mit beige Wänden schießen.</v>
      </c>
    </row>
    <row r="21038">
      <c r="A21038" s="4" t="s">
        <v>26493</v>
      </c>
      <c r="B21038" s="4" t="s">
        <v>26495</v>
      </c>
      <c r="C21038" s="5" t="str">
        <f>IFERROR(__xludf.DUMMYFUNCTION("GOOGLETRANSLATE(B21038,""en"",""de"")"),"Er hat zwei Darts in seinen Händen, die er auf ein Ziel zielt und schießt.")</f>
        <v>Er hat zwei Darts in seinen Händen, die er auf ein Ziel zielt und schießt.</v>
      </c>
    </row>
    <row r="21039">
      <c r="A21039" s="4" t="s">
        <v>26496</v>
      </c>
      <c r="B21039" s="4" t="s">
        <v>26497</v>
      </c>
      <c r="C21039" s="5" t="str">
        <f>IFERROR(__xludf.DUMMYFUNCTION("GOOGLETRANSLATE(B21039,""en"",""de"")"),"Eine Frau in einem schwarzen Hemd spricht vor einem Weihnachtsbaum.")</f>
        <v>Eine Frau in einem schwarzen Hemd spricht vor einem Weihnachtsbaum.</v>
      </c>
    </row>
    <row r="21040">
      <c r="A21040" s="4" t="s">
        <v>26496</v>
      </c>
      <c r="B21040" s="4" t="s">
        <v>26498</v>
      </c>
      <c r="C21040" s="5" t="str">
        <f>IFERROR(__xludf.DUMMYFUNCTION("GOOGLETRANSLATE(B21040,""en"",""de"")"),"Sie beginnt Dekorationen auf den Weihnachtsbaum.")</f>
        <v>Sie beginnt Dekorationen auf den Weihnachtsbaum.</v>
      </c>
    </row>
    <row r="21041">
      <c r="A21041" s="4" t="s">
        <v>26496</v>
      </c>
      <c r="B21041" s="4" t="s">
        <v>26499</v>
      </c>
      <c r="C21041" s="5" t="str">
        <f>IFERROR(__xludf.DUMMYFUNCTION("GOOGLETRANSLATE(B21041,""en"",""de"")"),"Sie legt einen goldenen Bogen auf den Baum.")</f>
        <v>Sie legt einen goldenen Bogen auf den Baum.</v>
      </c>
    </row>
    <row r="21042">
      <c r="A21042" s="4" t="s">
        <v>26496</v>
      </c>
      <c r="B21042" s="4" t="s">
        <v>26500</v>
      </c>
      <c r="C21042" s="5" t="str">
        <f>IFERROR(__xludf.DUMMYFUNCTION("GOOGLETRANSLATE(B21042,""en"",""de"")"),"Drei Frauen sprechen vor dem Baum.")</f>
        <v>Drei Frauen sprechen vor dem Baum.</v>
      </c>
    </row>
    <row r="21043">
      <c r="A21043" s="4" t="s">
        <v>26501</v>
      </c>
      <c r="B21043" s="4" t="s">
        <v>26502</v>
      </c>
      <c r="C21043" s="5" t="str">
        <f>IFERROR(__xludf.DUMMYFUNCTION("GOOGLETRANSLATE(B21043,""en"",""de"")"),"Mehrere Menschen stehen außerhalb von Autos.")</f>
        <v>Mehrere Menschen stehen außerhalb von Autos.</v>
      </c>
    </row>
    <row r="21044">
      <c r="A21044" s="4" t="s">
        <v>26501</v>
      </c>
      <c r="B21044" s="4" t="s">
        <v>26503</v>
      </c>
      <c r="C21044" s="5" t="str">
        <f>IFERROR(__xludf.DUMMYFUNCTION("GOOGLETRANSLATE(B21044,""en"",""de"")"),"Sie kommen in einen Fluss auf Röhren.")</f>
        <v>Sie kommen in einen Fluss auf Röhren.</v>
      </c>
    </row>
    <row r="21045">
      <c r="A21045" s="4" t="s">
        <v>26501</v>
      </c>
      <c r="B21045" s="4" t="s">
        <v>26504</v>
      </c>
      <c r="C21045" s="5" t="str">
        <f>IFERROR(__xludf.DUMMYFUNCTION("GOOGLETRANSLATE(B21045,""en"",""de"")"),"Sie schweben in der Nähe einer großen Brücke.")</f>
        <v>Sie schweben in der Nähe einer großen Brücke.</v>
      </c>
    </row>
    <row r="21046">
      <c r="A21046" s="4" t="s">
        <v>26501</v>
      </c>
      <c r="B21046" s="4" t="s">
        <v>26505</v>
      </c>
      <c r="C21046" s="5" t="str">
        <f>IFERROR(__xludf.DUMMYFUNCTION("GOOGLETRANSLATE(B21046,""en"",""de"")"),"Das Wasser wird ein wenig abgehackt.")</f>
        <v>Das Wasser wird ein wenig abgehackt.</v>
      </c>
    </row>
    <row r="21047">
      <c r="A21047" s="4" t="s">
        <v>26506</v>
      </c>
      <c r="B21047" s="4" t="s">
        <v>26507</v>
      </c>
      <c r="C21047" s="5" t="str">
        <f>IFERROR(__xludf.DUMMYFUNCTION("GOOGLETRANSLATE(B21047,""en"",""de"")"),"Ein sportlicher Mann steht bereit und läuft eine lange Strecke in eine Sandgrube hinunter.")</f>
        <v>Ein sportlicher Mann steht bereit und läuft eine lange Strecke in eine Sandgrube hinunter.</v>
      </c>
    </row>
    <row r="21048">
      <c r="A21048" s="4" t="s">
        <v>26506</v>
      </c>
      <c r="B21048" s="4" t="s">
        <v>26508</v>
      </c>
      <c r="C21048" s="5" t="str">
        <f>IFERROR(__xludf.DUMMYFUNCTION("GOOGLETRANSLATE(B21048,""en"",""de"")"),"Der Mann geht weg, während er in das Publikum schaut, gefolgt von einem anderen Mann in die Grube.")</f>
        <v>Der Mann geht weg, während er in das Publikum schaut, gefolgt von einem anderen Mann in die Grube.</v>
      </c>
    </row>
    <row r="21049">
      <c r="A21049" s="4" t="s">
        <v>26506</v>
      </c>
      <c r="B21049" s="4" t="s">
        <v>26509</v>
      </c>
      <c r="C21049" s="5" t="str">
        <f>IFERROR(__xludf.DUMMYFUNCTION("GOOGLETRANSLATE(B21049,""en"",""de"")"),"Mehrere weitere Männer rennen abwechselnd mit ihrem Lauf, der danach erneut gezeigt wurde.")</f>
        <v>Mehrere weitere Männer rennen abwechselnd mit ihrem Lauf, der danach erneut gezeigt wurde.</v>
      </c>
    </row>
    <row r="21050">
      <c r="A21050" s="4" t="s">
        <v>26510</v>
      </c>
      <c r="B21050" s="4" t="s">
        <v>26511</v>
      </c>
      <c r="C21050" s="5" t="str">
        <f>IFERROR(__xludf.DUMMYFUNCTION("GOOGLETRANSLATE(B21050,""en"",""de"")"),"Eine Kamera wurde gesehen, wie es die Außenseite eines Hauses zeigt, gefolgt von einem Mädchen, das in einer Wanne sitzt.")</f>
        <v>Eine Kamera wurde gesehen, wie es die Außenseite eines Hauses zeigt, gefolgt von einem Mädchen, das in einer Wanne sitzt.</v>
      </c>
    </row>
    <row r="21051">
      <c r="A21051" s="4" t="s">
        <v>26510</v>
      </c>
      <c r="B21051" s="4" t="s">
        <v>26512</v>
      </c>
      <c r="C21051" s="5" t="str">
        <f>IFERROR(__xludf.DUMMYFUNCTION("GOOGLETRANSLATE(B21051,""en"",""de"")"),"Sie schaut zum Spiegel und hat eine Freundin, die ihr einen Solo -Tasse gibt.")</f>
        <v>Sie schaut zum Spiegel und hat eine Freundin, die ihr einen Solo -Tasse gibt.</v>
      </c>
    </row>
    <row r="21052">
      <c r="A21052" s="4" t="s">
        <v>26510</v>
      </c>
      <c r="B21052" s="4" t="s">
        <v>26513</v>
      </c>
      <c r="C21052" s="5" t="str">
        <f>IFERROR(__xludf.DUMMYFUNCTION("GOOGLETRANSLATE(B21052,""en"",""de"")"),"Sie rennt durch das Haus draußen und zeigt eine Mundwäsche in der Nähe.")</f>
        <v>Sie rennt durch das Haus draußen und zeigt eine Mundwäsche in der Nähe.</v>
      </c>
    </row>
    <row r="21053">
      <c r="A21053" s="4" t="s">
        <v>26514</v>
      </c>
      <c r="B21053" s="4" t="s">
        <v>26515</v>
      </c>
      <c r="C21053" s="5" t="str">
        <f>IFERROR(__xludf.DUMMYFUNCTION("GOOGLETRANSLATE(B21053,""en"",""de"")"),"Eine junge Dame erklärt, wie man mit einem Pinsel Make -up auf den Augendeckel legt.")</f>
        <v>Eine junge Dame erklärt, wie man mit einem Pinsel Make -up auf den Augendeckel legt.</v>
      </c>
    </row>
    <row r="21054">
      <c r="A21054" s="4" t="s">
        <v>26514</v>
      </c>
      <c r="B21054" s="4" t="s">
        <v>26516</v>
      </c>
      <c r="C21054" s="5" t="str">
        <f>IFERROR(__xludf.DUMMYFUNCTION("GOOGLETRANSLATE(B21054,""en"",""de"")"),"Die junge Dame benutzt einen Eyeliner, um den Rand des oberen Deckels zu malen.")</f>
        <v>Die junge Dame benutzt einen Eyeliner, um den Rand des oberen Deckels zu malen.</v>
      </c>
    </row>
    <row r="21055">
      <c r="A21055" s="4" t="s">
        <v>26514</v>
      </c>
      <c r="B21055" s="4" t="s">
        <v>26517</v>
      </c>
      <c r="C21055" s="5" t="str">
        <f>IFERROR(__xludf.DUMMYFUNCTION("GOOGLETRANSLATE(B21055,""en"",""de"")"),"Dann legt sie Mascara in ihre Wimpern und malt den unteren Deckel.")</f>
        <v>Dann legt sie Mascara in ihre Wimpern und malt den unteren Deckel.</v>
      </c>
    </row>
    <row r="21056">
      <c r="A21056" s="4" t="s">
        <v>26514</v>
      </c>
      <c r="B21056" s="4" t="s">
        <v>26518</v>
      </c>
      <c r="C21056" s="5" t="str">
        <f>IFERROR(__xludf.DUMMYFUNCTION("GOOGLETRANSLATE(B21056,""en"",""de"")"),"Danach bürste sie die Wange und legte Lippenstift auf die Lippen.")</f>
        <v>Danach bürste sie die Wange und legte Lippenstift auf die Lippen.</v>
      </c>
    </row>
    <row r="21057">
      <c r="A21057" s="4" t="s">
        <v>26519</v>
      </c>
      <c r="B21057" s="4" t="s">
        <v>26520</v>
      </c>
      <c r="C21057" s="5" t="str">
        <f>IFERROR(__xludf.DUMMYFUNCTION("GOOGLETRANSLATE(B21057,""en"",""de"")"),"Eine große Blaskapelle steht mitten in einer großen Menge.")</f>
        <v>Eine große Blaskapelle steht mitten in einer großen Menge.</v>
      </c>
    </row>
    <row r="21058">
      <c r="A21058" s="4" t="s">
        <v>26519</v>
      </c>
      <c r="B21058" s="4" t="s">
        <v>26521</v>
      </c>
      <c r="C21058" s="5" t="str">
        <f>IFERROR(__xludf.DUMMYFUNCTION("GOOGLETRANSLATE(B21058,""en"",""de"")"),"Die Band beginnt dann im Kreis miteinander zu spielen.")</f>
        <v>Die Band beginnt dann im Kreis miteinander zu spielen.</v>
      </c>
    </row>
    <row r="21059">
      <c r="A21059" s="4" t="s">
        <v>26519</v>
      </c>
      <c r="B21059" s="4" t="s">
        <v>26522</v>
      </c>
      <c r="C21059" s="5" t="str">
        <f>IFERROR(__xludf.DUMMYFUNCTION("GOOGLETRANSLATE(B21059,""en"",""de"")"),"Die Leute spielen weiter miteinander, während die Leute an den Seiten zuschauen.")</f>
        <v>Die Leute spielen weiter miteinander, während die Leute an den Seiten zuschauen.</v>
      </c>
    </row>
    <row r="21060">
      <c r="A21060" s="4" t="s">
        <v>26523</v>
      </c>
      <c r="B21060" s="4" t="s">
        <v>26524</v>
      </c>
      <c r="C21060" s="5" t="str">
        <f>IFERROR(__xludf.DUMMYFUNCTION("GOOGLETRANSLATE(B21060,""en"",""de"")"),"Eine Frau spricht mit der Kamera, während eine Gruppe von Menschen in Röhren um sie herum sitzt.")</f>
        <v>Eine Frau spricht mit der Kamera, während eine Gruppe von Menschen in Röhren um sie herum sitzt.</v>
      </c>
    </row>
    <row r="21061">
      <c r="A21061" s="4" t="s">
        <v>26523</v>
      </c>
      <c r="B21061" s="4" t="s">
        <v>26525</v>
      </c>
      <c r="C21061" s="5" t="str">
        <f>IFERROR(__xludf.DUMMYFUNCTION("GOOGLETRANSLATE(B21061,""en"",""de"")"),"Die anderen Leute lächeln und winken zur Kamera, während sie die anderen Röhren zeigen.")</f>
        <v>Die anderen Leute lächeln und winken zur Kamera, während sie die anderen Röhren zeigen.</v>
      </c>
    </row>
    <row r="21062">
      <c r="A21062" s="4" t="s">
        <v>26523</v>
      </c>
      <c r="B21062" s="4" t="s">
        <v>26526</v>
      </c>
      <c r="C21062" s="5" t="str">
        <f>IFERROR(__xludf.DUMMYFUNCTION("GOOGLETRANSLATE(B21062,""en"",""de"")"),"Die Menschen reiten weiter um das Wasser, während die Kamera rund um ihre Bewegungen schwenkt.")</f>
        <v>Die Menschen reiten weiter um das Wasser, während die Kamera rund um ihre Bewegungen schwenkt.</v>
      </c>
    </row>
    <row r="21063">
      <c r="A21063" s="4" t="s">
        <v>26527</v>
      </c>
      <c r="B21063" s="4" t="s">
        <v>26528</v>
      </c>
      <c r="C21063" s="5" t="str">
        <f>IFERROR(__xludf.DUMMYFUNCTION("GOOGLETRANSLATE(B21063,""en"",""de"")"),"Dieser Mann klingt extrem schnell durch die Straßen.")</f>
        <v>Dieser Mann klingt extrem schnell durch die Straßen.</v>
      </c>
    </row>
    <row r="21064">
      <c r="A21064" s="4" t="s">
        <v>26527</v>
      </c>
      <c r="B21064" s="4" t="s">
        <v>26529</v>
      </c>
      <c r="C21064" s="5" t="str">
        <f>IFERROR(__xludf.DUMMYFUNCTION("GOOGLETRANSLATE(B21064,""en"",""de"")"),"Er springt über ein geschlossenes Gebiet und fährt weiter auf die Straße.")</f>
        <v>Er springt über ein geschlossenes Gebiet und fährt weiter auf die Straße.</v>
      </c>
    </row>
    <row r="21065">
      <c r="A21065" s="4" t="s">
        <v>26527</v>
      </c>
      <c r="B21065" s="4" t="s">
        <v>26530</v>
      </c>
      <c r="C21065" s="5" t="str">
        <f>IFERROR(__xludf.DUMMYFUNCTION("GOOGLETRANSLATE(B21065,""en"",""de"")"),"Er fährt zusammen mit einem anderen Skater in den Straßen Paris, der immer noch an Menschen vorbeifährt und in die U -Bahn geht.")</f>
        <v>Er fährt zusammen mit einem anderen Skater in den Straßen Paris, der immer noch an Menschen vorbeifährt und in die U -Bahn geht.</v>
      </c>
    </row>
    <row r="21066">
      <c r="A21066" s="4" t="s">
        <v>26527</v>
      </c>
      <c r="B21066" s="4" t="s">
        <v>26531</v>
      </c>
      <c r="C21066" s="5" t="str">
        <f>IFERROR(__xludf.DUMMYFUNCTION("GOOGLETRANSLATE(B21066,""en"",""de"")"),"Er hält sich am Rücken eines Motorrads an und nutzt sie, um Geschwindigkeit zu erreichen, und fährt dann wieder aus der U -Bahn zurück zu den Bürgersteige.")</f>
        <v>Er hält sich am Rücken eines Motorrads an und nutzt sie, um Geschwindigkeit zu erreichen, und fährt dann wieder aus der U -Bahn zurück zu den Bürgersteige.</v>
      </c>
    </row>
    <row r="21067">
      <c r="A21067" s="4" t="s">
        <v>26532</v>
      </c>
      <c r="B21067" s="4" t="s">
        <v>26533</v>
      </c>
      <c r="C21067" s="5" t="str">
        <f>IFERROR(__xludf.DUMMYFUNCTION("GOOGLETRANSLATE(B21067,""en"",""de"")"),"Ein orangefarbenes Seil ist an einen Baum gebunden und baumelt im Wind.")</f>
        <v>Ein orangefarbenes Seil ist an einen Baum gebunden und baumelt im Wind.</v>
      </c>
    </row>
    <row r="21068">
      <c r="A21068" s="4" t="s">
        <v>26532</v>
      </c>
      <c r="B21068" s="4" t="s">
        <v>26534</v>
      </c>
      <c r="C21068" s="5" t="str">
        <f>IFERROR(__xludf.DUMMYFUNCTION("GOOGLETRANSLATE(B21068,""en"",""de"")"),"Ein Mann tritt auf das Seil und beginnt darüber zu gehen.")</f>
        <v>Ein Mann tritt auf das Seil und beginnt darüber zu gehen.</v>
      </c>
    </row>
    <row r="21069">
      <c r="A21069" s="4" t="s">
        <v>26532</v>
      </c>
      <c r="B21069" s="4" t="s">
        <v>26535</v>
      </c>
      <c r="C21069" s="5" t="str">
        <f>IFERROR(__xludf.DUMMYFUNCTION("GOOGLETRANSLATE(B21069,""en"",""de"")"),"Der Mann springt vom Seil hinunter und beginnt am Anfang, darüber zu gehen.")</f>
        <v>Der Mann springt vom Seil hinunter und beginnt am Anfang, darüber zu gehen.</v>
      </c>
    </row>
    <row r="21070">
      <c r="A21070" s="4" t="s">
        <v>26532</v>
      </c>
      <c r="B21070" s="4" t="s">
        <v>26536</v>
      </c>
      <c r="C21070" s="5" t="str">
        <f>IFERROR(__xludf.DUMMYFUNCTION("GOOGLETRANSLATE(B21070,""en"",""de"")"),"Der Mann springt wieder ab und steigt wieder am Seil und springt ab.")</f>
        <v>Der Mann springt wieder ab und steigt wieder am Seil und springt ab.</v>
      </c>
    </row>
    <row r="21071">
      <c r="A21071" s="4" t="s">
        <v>26532</v>
      </c>
      <c r="B21071" s="4" t="s">
        <v>26537</v>
      </c>
      <c r="C21071" s="5" t="str">
        <f>IFERROR(__xludf.DUMMYFUNCTION("GOOGLETRANSLATE(B21071,""en"",""de"")"),"Der Mann zieht das Seil fest.")</f>
        <v>Der Mann zieht das Seil fest.</v>
      </c>
    </row>
    <row r="21072">
      <c r="A21072" s="4" t="s">
        <v>26532</v>
      </c>
      <c r="B21072" s="4" t="s">
        <v>26538</v>
      </c>
      <c r="C21072" s="5" t="str">
        <f>IFERROR(__xludf.DUMMYFUNCTION("GOOGLETRANSLATE(B21072,""en"",""de"")"),"Die Kamera zeigt den Boden.")</f>
        <v>Die Kamera zeigt den Boden.</v>
      </c>
    </row>
    <row r="21073">
      <c r="A21073" s="4" t="s">
        <v>26539</v>
      </c>
      <c r="B21073" s="4" t="s">
        <v>26540</v>
      </c>
      <c r="C21073" s="5" t="str">
        <f>IFERROR(__xludf.DUMMYFUNCTION("GOOGLETRANSLATE(B21073,""en"",""de"")"),"Es regnet draußen, während ein Mann auf einem Rasenmäher seinen Rasen mähen.")</f>
        <v>Es regnet draußen, während ein Mann auf einem Rasenmäher seinen Rasen mähen.</v>
      </c>
    </row>
    <row r="21074">
      <c r="A21074" s="4" t="s">
        <v>26539</v>
      </c>
      <c r="B21074" s="4" t="s">
        <v>26541</v>
      </c>
      <c r="C21074" s="5" t="str">
        <f>IFERROR(__xludf.DUMMYFUNCTION("GOOGLETRANSLATE(B21074,""en"",""de"")"),"Die Kamera konzentriert sich darauf, dass Wasser tropft.")</f>
        <v>Die Kamera konzentriert sich darauf, dass Wasser tropft.</v>
      </c>
    </row>
    <row r="21075">
      <c r="A21075" s="4" t="s">
        <v>26539</v>
      </c>
      <c r="B21075" s="4" t="s">
        <v>26542</v>
      </c>
      <c r="C21075" s="5" t="str">
        <f>IFERROR(__xludf.DUMMYFUNCTION("GOOGLETRANSLATE(B21075,""en"",""de"")"),"Der Mann ordnet sich auf dem Mäher neu.")</f>
        <v>Der Mann ordnet sich auf dem Mäher neu.</v>
      </c>
    </row>
    <row r="21076">
      <c r="A21076" s="4" t="s">
        <v>26539</v>
      </c>
      <c r="B21076" s="4" t="s">
        <v>26543</v>
      </c>
      <c r="C21076" s="5" t="str">
        <f>IFERROR(__xludf.DUMMYFUNCTION("GOOGLETRANSLATE(B21076,""en"",""de"")"),"Er mähen den Rasen weiter.")</f>
        <v>Er mähen den Rasen weiter.</v>
      </c>
    </row>
    <row r="21077">
      <c r="A21077" s="4" t="s">
        <v>26539</v>
      </c>
      <c r="B21077" s="4" t="s">
        <v>26544</v>
      </c>
      <c r="C21077" s="5" t="str">
        <f>IFERROR(__xludf.DUMMYFUNCTION("GOOGLETRANSLATE(B21077,""en"",""de"")"),"Die Kamera konzentriert sich wieder auf das fließende Wasser.")</f>
        <v>Die Kamera konzentriert sich wieder auf das fließende Wasser.</v>
      </c>
    </row>
    <row r="21078">
      <c r="A21078" s="4" t="s">
        <v>26539</v>
      </c>
      <c r="B21078" s="4" t="s">
        <v>4389</v>
      </c>
      <c r="C21078" s="5" t="str">
        <f>IFERROR(__xludf.DUMMYFUNCTION("GOOGLETRANSLATE(B21078,""en"",""de"")"),"Es geht zurück auf den Mann, der mäht.")</f>
        <v>Es geht zurück auf den Mann, der mäht.</v>
      </c>
    </row>
    <row r="21079">
      <c r="A21079" s="4" t="s">
        <v>26539</v>
      </c>
      <c r="B21079" s="4" t="s">
        <v>26545</v>
      </c>
      <c r="C21079" s="5" t="str">
        <f>IFERROR(__xludf.DUMMYFUNCTION("GOOGLETRANSLATE(B21079,""en"",""de"")"),"Wechselt dann zurück zum fließenden Wasser.")</f>
        <v>Wechselt dann zurück zum fließenden Wasser.</v>
      </c>
    </row>
    <row r="21080">
      <c r="A21080" s="4" t="s">
        <v>26546</v>
      </c>
      <c r="B21080" s="4" t="s">
        <v>26547</v>
      </c>
      <c r="C21080" s="5" t="str">
        <f>IFERROR(__xludf.DUMMYFUNCTION("GOOGLETRANSLATE(B21080,""en"",""de"")"),"Wir sehen eine Frau, die eine Pinata schlägt.")</f>
        <v>Wir sehen eine Frau, die eine Pinata schlägt.</v>
      </c>
    </row>
    <row r="21081">
      <c r="A21081" s="4" t="s">
        <v>26546</v>
      </c>
      <c r="B21081" s="4" t="s">
        <v>26548</v>
      </c>
      <c r="C21081" s="5" t="str">
        <f>IFERROR(__xludf.DUMMYFUNCTION("GOOGLETRANSLATE(B21081,""en"",""de"")"),"Die Dame macht eine Pause, um ihren Schuss auszurichten.")</f>
        <v>Die Dame macht eine Pause, um ihren Schuss auszurichten.</v>
      </c>
    </row>
    <row r="21082">
      <c r="A21082" s="4" t="s">
        <v>26546</v>
      </c>
      <c r="B21082" s="4" t="s">
        <v>26549</v>
      </c>
      <c r="C21082" s="5" t="str">
        <f>IFERROR(__xludf.DUMMYFUNCTION("GOOGLETRANSLATE(B21082,""en"",""de"")"),"Die Dame hält die Pinata, als sie es schlägt.")</f>
        <v>Die Dame hält die Pinata, als sie es schlägt.</v>
      </c>
    </row>
    <row r="21083">
      <c r="A21083" s="4" t="s">
        <v>26546</v>
      </c>
      <c r="B21083" s="4" t="s">
        <v>26550</v>
      </c>
      <c r="C21083" s="5" t="str">
        <f>IFERROR(__xludf.DUMMYFUNCTION("GOOGLETRANSLATE(B21083,""en"",""de"")"),"Ein Mann nimmt die Fledermaus aus den Händen der Damen.")</f>
        <v>Ein Mann nimmt die Fledermaus aus den Händen der Damen.</v>
      </c>
    </row>
    <row r="21084">
      <c r="A21084" s="4" t="s">
        <v>26551</v>
      </c>
      <c r="B21084" s="4" t="s">
        <v>26552</v>
      </c>
      <c r="C21084" s="5" t="str">
        <f>IFERROR(__xludf.DUMMYFUNCTION("GOOGLETRANSLATE(B21084,""en"",""de"")"),"Ein Mann in einem Labormantel verwendet einen Swifferbesen.")</f>
        <v>Ein Mann in einem Labormantel verwendet einen Swifferbesen.</v>
      </c>
    </row>
    <row r="21085">
      <c r="A21085" s="4" t="s">
        <v>26551</v>
      </c>
      <c r="B21085" s="4" t="s">
        <v>26553</v>
      </c>
      <c r="C21085" s="5" t="str">
        <f>IFERROR(__xludf.DUMMYFUNCTION("GOOGLETRANSLATE(B21085,""en"",""de"")"),"Er remt es über einen Boden mit Reinigungslösung.")</f>
        <v>Er remt es über einen Boden mit Reinigungslösung.</v>
      </c>
    </row>
    <row r="21086">
      <c r="A21086" s="4" t="s">
        <v>26551</v>
      </c>
      <c r="B21086" s="4" t="s">
        <v>26554</v>
      </c>
      <c r="C21086" s="5" t="str">
        <f>IFERROR(__xludf.DUMMYFUNCTION("GOOGLETRANSLATE(B21086,""en"",""de"")"),"Der Boden scheint, als er unter seinen Füßen sauber kommt.")</f>
        <v>Der Boden scheint, als er unter seinen Füßen sauber kommt.</v>
      </c>
    </row>
    <row r="21087">
      <c r="A21087" s="4" t="s">
        <v>26555</v>
      </c>
      <c r="B21087" s="4" t="s">
        <v>26556</v>
      </c>
      <c r="C21087" s="5" t="str">
        <f>IFERROR(__xludf.DUMMYFUNCTION("GOOGLETRANSLATE(B21087,""en"",""de"")"),"Ein Mann steht mit einem Fahrrad auf einem Rack und zeigt seine verschiedenen Teile und Merkmale, einschließlich der Räder.")</f>
        <v>Ein Mann steht mit einem Fahrrad auf einem Rack und zeigt seine verschiedenen Teile und Merkmale, einschließlich der Räder.</v>
      </c>
    </row>
    <row r="21088">
      <c r="A21088" s="4" t="s">
        <v>26555</v>
      </c>
      <c r="B21088" s="4" t="s">
        <v>26557</v>
      </c>
      <c r="C21088" s="5" t="str">
        <f>IFERROR(__xludf.DUMMYFUNCTION("GOOGLETRANSLATE(B21088,""en"",""de"")"),"Der Mann dreht die Kurbel und das Rad dreht sich auf das Fahrrad.")</f>
        <v>Der Mann dreht die Kurbel und das Rad dreht sich auf das Fahrrad.</v>
      </c>
    </row>
    <row r="21089">
      <c r="A21089" s="4" t="s">
        <v>26555</v>
      </c>
      <c r="B21089" s="4" t="s">
        <v>26558</v>
      </c>
      <c r="C21089" s="5" t="str">
        <f>IFERROR(__xludf.DUMMYFUNCTION("GOOGLETRANSLATE(B21089,""en"",""de"")"),"Der Mann dreht das Vorderrad von Hand.")</f>
        <v>Der Mann dreht das Vorderrad von Hand.</v>
      </c>
    </row>
    <row r="21090">
      <c r="A21090" s="4" t="s">
        <v>26555</v>
      </c>
      <c r="B21090" s="4" t="s">
        <v>26559</v>
      </c>
      <c r="C21090" s="5" t="str">
        <f>IFERROR(__xludf.DUMMYFUNCTION("GOOGLETRANSLATE(B21090,""en"",""de"")"),"Der Mann zieht eine Schraube mit seinem Handwerkzeug fest.")</f>
        <v>Der Mann zieht eine Schraube mit seinem Handwerkzeug fest.</v>
      </c>
    </row>
    <row r="21091">
      <c r="A21091" s="4" t="s">
        <v>26560</v>
      </c>
      <c r="B21091" s="4" t="s">
        <v>26561</v>
      </c>
      <c r="C21091" s="5" t="str">
        <f>IFERROR(__xludf.DUMMYFUNCTION("GOOGLETRANSLATE(B21091,""en"",""de"")"),"Ein Basketball konzentriert sich auf ein Gras.")</f>
        <v>Ein Basketball konzentriert sich auf ein Gras.</v>
      </c>
    </row>
    <row r="21092">
      <c r="A21092" s="4" t="s">
        <v>26560</v>
      </c>
      <c r="B21092" s="4" t="s">
        <v>26562</v>
      </c>
      <c r="C21092" s="5" t="str">
        <f>IFERROR(__xludf.DUMMYFUNCTION("GOOGLETRANSLATE(B21092,""en"",""de"")"),"Dann zoomt es heraus und ein kleines Mädchen steht am Anfang eines in Kreide geschriebenen Hopscotch, und ein Mann steht am Ende und er wirft ein Stück Kreide auf ihren Weg, es bricht, er hüpft, um es aufzuheben, nimmt sie auf das andere Stück hoch und zu"&amp;"rück zum Kreidebehälter zur Seite.")</f>
        <v>Dann zoomt es heraus und ein kleines Mädchen steht am Anfang eines in Kreide geschriebenen Hopscotch, und ein Mann steht am Ende und er wirft ein Stück Kreide auf ihren Weg, es bricht, er hüpft, um es aufzuheben, nimmt sie auf das andere Stück hoch und zurück zum Kreidebehälter zur Seite.</v>
      </c>
    </row>
    <row r="21093">
      <c r="A21093" s="4" t="s">
        <v>26560</v>
      </c>
      <c r="B21093" s="4" t="s">
        <v>26563</v>
      </c>
      <c r="C21093" s="5" t="str">
        <f>IFERROR(__xludf.DUMMYFUNCTION("GOOGLETRANSLATE(B21093,""en"",""de"")"),"Das Mädchen kehrt zum Beginn des Hopscotch zurück und nimmt sie an der Reihe.")</f>
        <v>Das Mädchen kehrt zum Beginn des Hopscotch zurück und nimmt sie an der Reihe.</v>
      </c>
    </row>
    <row r="21094">
      <c r="A21094" s="4" t="s">
        <v>26564</v>
      </c>
      <c r="B21094" s="4" t="s">
        <v>26565</v>
      </c>
      <c r="C21094" s="5" t="str">
        <f>IFERROR(__xludf.DUMMYFUNCTION("GOOGLETRANSLATE(B21094,""en"",""de"")"),"Am Beach sind mehrere Volleyballnetze in verschiedenen Farben eingerichtet, während Menschen auf der Seite von den Netzen stehen oder sitzen.")</f>
        <v>Am Beach sind mehrere Volleyballnetze in verschiedenen Farben eingerichtet, während Menschen auf der Seite von den Netzen stehen oder sitzen.</v>
      </c>
    </row>
    <row r="21095">
      <c r="A21095" s="4" t="s">
        <v>26564</v>
      </c>
      <c r="B21095" s="4" t="s">
        <v>26566</v>
      </c>
      <c r="C21095" s="5" t="str">
        <f>IFERROR(__xludf.DUMMYFUNCTION("GOOGLETRANSLATE(B21095,""en"",""de"")"),"Verschiedene Teams, mit der Kombination von Männern und Frauen, spielten die Strandvolleyballs in den ihnen zugewiesenen Netzen.")</f>
        <v>Verschiedene Teams, mit der Kombination von Männern und Frauen, spielten die Strandvolleyballs in den ihnen zugewiesenen Netzen.</v>
      </c>
    </row>
    <row r="21096">
      <c r="A21096" s="4" t="s">
        <v>26567</v>
      </c>
      <c r="B21096" s="4" t="s">
        <v>26568</v>
      </c>
      <c r="C21096" s="5" t="str">
        <f>IFERROR(__xludf.DUMMYFUNCTION("GOOGLETRANSLATE(B21096,""en"",""de"")"),"Die Menschen arbeiten an Trainingsrädern.")</f>
        <v>Die Menschen arbeiten an Trainingsrädern.</v>
      </c>
    </row>
    <row r="21097">
      <c r="A21097" s="4" t="s">
        <v>26567</v>
      </c>
      <c r="B21097" s="4" t="s">
        <v>26569</v>
      </c>
      <c r="C21097" s="5" t="str">
        <f>IFERROR(__xludf.DUMMYFUNCTION("GOOGLETRANSLATE(B21097,""en"",""de"")"),"Ein Mann in einem blauen Hemd steht vor ihnen herum.")</f>
        <v>Ein Mann in einem blauen Hemd steht vor ihnen herum.</v>
      </c>
    </row>
    <row r="21098">
      <c r="A21098" s="4" t="s">
        <v>26570</v>
      </c>
      <c r="B21098" s="4" t="s">
        <v>26571</v>
      </c>
      <c r="C21098" s="5" t="str">
        <f>IFERROR(__xludf.DUMMYFUNCTION("GOOGLETRANSLATE(B21098,""en"",""de"")"),"Ein Reporter spricht in einem Fernseher, dann wird ein Reporter in einem Park spricht, dann wird eine Karte von London gezeigt.")</f>
        <v>Ein Reporter spricht in einem Fernseher, dann wird ein Reporter in einem Park spricht, dann wird eine Karte von London gezeigt.</v>
      </c>
    </row>
    <row r="21099">
      <c r="A21099" s="4" t="s">
        <v>26570</v>
      </c>
      <c r="B21099" s="4" t="s">
        <v>26572</v>
      </c>
      <c r="C21099" s="5" t="str">
        <f>IFERROR(__xludf.DUMMYFUNCTION("GOOGLETRANSLATE(B21099,""en"",""de"")"),"Ein Mann zeigt eine Tasche mit einer Zigarette und dann wird es neben Papieren zeigen.")</f>
        <v>Ein Mann zeigt eine Tasche mit einer Zigarette und dann wird es neben Papieren zeigen.</v>
      </c>
    </row>
    <row r="21100">
      <c r="A21100" s="4" t="s">
        <v>26570</v>
      </c>
      <c r="B21100" s="4" t="s">
        <v>26573</v>
      </c>
      <c r="C21100" s="5" t="str">
        <f>IFERROR(__xludf.DUMMYFUNCTION("GOOGLETRANSLATE(B21100,""en"",""de"")"),"Danach ist der Mann in einem Hinterhof und erklärt dem Reporter.")</f>
        <v>Danach ist der Mann in einem Hinterhof und erklärt dem Reporter.</v>
      </c>
    </row>
    <row r="21101">
      <c r="A21101" s="4" t="s">
        <v>26570</v>
      </c>
      <c r="B21101" s="4" t="s">
        <v>26574</v>
      </c>
      <c r="C21101" s="5" t="str">
        <f>IFERROR(__xludf.DUMMYFUNCTION("GOOGLETRANSLATE(B21101,""en"",""de"")"),"Menschen sind in einem Park laufen, eine Person mit einem Haustier und einer Mutter mit einem Kind.")</f>
        <v>Menschen sind in einem Park laufen, eine Person mit einem Haustier und einer Mutter mit einem Kind.</v>
      </c>
    </row>
    <row r="21102">
      <c r="A21102" s="4" t="s">
        <v>26570</v>
      </c>
      <c r="B21102" s="4" t="s">
        <v>26575</v>
      </c>
      <c r="C21102" s="5" t="str">
        <f>IFERROR(__xludf.DUMMYFUNCTION("GOOGLETRANSLATE(B21102,""en"",""de"")"),"Ein Mann und eine Frau sprechen mit dem Reporter.")</f>
        <v>Ein Mann und eine Frau sprechen mit dem Reporter.</v>
      </c>
    </row>
    <row r="21103">
      <c r="A21103" s="4" t="s">
        <v>26576</v>
      </c>
      <c r="B21103" s="4" t="s">
        <v>26577</v>
      </c>
      <c r="C21103" s="5" t="str">
        <f>IFERROR(__xludf.DUMMYFUNCTION("GOOGLETRANSLATE(B21103,""en"",""de"")"),"Einzelpersonen spielen Krocket, wobei die Kamera ihre Unterbeine nur mit Bällen und Schlägern zeigt.")</f>
        <v>Einzelpersonen spielen Krocket, wobei die Kamera ihre Unterbeine nur mit Bällen und Schlägern zeigt.</v>
      </c>
    </row>
    <row r="21104">
      <c r="A21104" s="4" t="s">
        <v>26576</v>
      </c>
      <c r="B21104" s="4" t="s">
        <v>26578</v>
      </c>
      <c r="C21104" s="5" t="str">
        <f>IFERROR(__xludf.DUMMYFUNCTION("GOOGLETRANSLATE(B21104,""en"",""de"")"),"Eine Gruppe von Menschen in Hexenkostümen steht zusammen, als man spricht.")</f>
        <v>Eine Gruppe von Menschen in Hexenkostümen steht zusammen, als man spricht.</v>
      </c>
    </row>
    <row r="21105">
      <c r="A21105" s="4" t="s">
        <v>26576</v>
      </c>
      <c r="B21105" s="4" t="s">
        <v>26579</v>
      </c>
      <c r="C21105" s="5" t="str">
        <f>IFERROR(__xludf.DUMMYFUNCTION("GOOGLETRANSLATE(B21105,""en"",""de"")"),"Weitere kleine Videos von Menschen, die Krocket spielen, werden gezeigt.")</f>
        <v>Weitere kleine Videos von Menschen, die Krocket spielen, werden gezeigt.</v>
      </c>
    </row>
    <row r="21106">
      <c r="A21106" s="4" t="s">
        <v>26576</v>
      </c>
      <c r="B21106" s="4" t="s">
        <v>26580</v>
      </c>
      <c r="C21106" s="5" t="str">
        <f>IFERROR(__xludf.DUMMYFUNCTION("GOOGLETRANSLATE(B21106,""en"",""de"")"),"Die Gruppe von Menschen in Hexenkostümen wird erneut gezeigt.")</f>
        <v>Die Gruppe von Menschen in Hexenkostümen wird erneut gezeigt.</v>
      </c>
    </row>
    <row r="21107">
      <c r="A21107" s="4" t="s">
        <v>26576</v>
      </c>
      <c r="B21107" s="4" t="s">
        <v>26581</v>
      </c>
      <c r="C21107" s="5" t="str">
        <f>IFERROR(__xludf.DUMMYFUNCTION("GOOGLETRANSLATE(B21107,""en"",""de"")"),"Eine Reihe von Krocketteams wird gezeigt, von denen einige Kostüme tragen.")</f>
        <v>Eine Reihe von Krocketteams wird gezeigt, von denen einige Kostüme tragen.</v>
      </c>
    </row>
    <row r="21108">
      <c r="A21108" s="4" t="s">
        <v>26576</v>
      </c>
      <c r="B21108" s="4" t="s">
        <v>26582</v>
      </c>
      <c r="C21108" s="5" t="str">
        <f>IFERROR(__xludf.DUMMYFUNCTION("GOOGLETRANSLATE(B21108,""en"",""de"")"),"Die Gruppe von Menschen in Hexenkostümen wird erneut gezeigt.")</f>
        <v>Die Gruppe von Menschen in Hexenkostümen wird erneut gezeigt.</v>
      </c>
    </row>
    <row r="21109">
      <c r="A21109" s="4" t="s">
        <v>26576</v>
      </c>
      <c r="B21109" s="4" t="s">
        <v>26583</v>
      </c>
      <c r="C21109" s="5" t="str">
        <f>IFERROR(__xludf.DUMMYFUNCTION("GOOGLETRANSLATE(B21109,""en"",""de"")"),"Es werden noch kleine Videos von Menschen, die Krocket spielen, gezeigt.")</f>
        <v>Es werden noch kleine Videos von Menschen, die Krocket spielen, gezeigt.</v>
      </c>
    </row>
    <row r="21110">
      <c r="A21110" s="4" t="s">
        <v>26576</v>
      </c>
      <c r="B21110" s="4" t="s">
        <v>26584</v>
      </c>
      <c r="C21110" s="5" t="str">
        <f>IFERROR(__xludf.DUMMYFUNCTION("GOOGLETRANSLATE(B21110,""en"",""de"")"),"Und Endtitelbildschirm wird angezeigt.")</f>
        <v>Und Endtitelbildschirm wird angezeigt.</v>
      </c>
    </row>
    <row r="21111">
      <c r="A21111" s="4" t="s">
        <v>26585</v>
      </c>
      <c r="B21111" s="4" t="s">
        <v>22735</v>
      </c>
      <c r="C21111" s="5" t="str">
        <f>IFERROR(__xludf.DUMMYFUNCTION("GOOGLETRANSLATE(B21111,""en"",""de"")"),"Ein Mann steht hinter einer Bar.")</f>
        <v>Ein Mann steht hinter einer Bar.</v>
      </c>
    </row>
    <row r="21112">
      <c r="A21112" s="4" t="s">
        <v>26585</v>
      </c>
      <c r="B21112" s="4" t="s">
        <v>26586</v>
      </c>
      <c r="C21112" s="5" t="str">
        <f>IFERROR(__xludf.DUMMYFUNCTION("GOOGLETRANSLATE(B21112,""en"",""de"")"),"Er fängt an, Früchte zu schneiden und es in das Glas zu stecken.")</f>
        <v>Er fängt an, Früchte zu schneiden und es in das Glas zu stecken.</v>
      </c>
    </row>
    <row r="21113">
      <c r="A21113" s="4" t="s">
        <v>26585</v>
      </c>
      <c r="B21113" s="4" t="s">
        <v>26587</v>
      </c>
      <c r="C21113" s="5" t="str">
        <f>IFERROR(__xludf.DUMMYFUNCTION("GOOGLETRANSLATE(B21113,""en"",""de"")"),"Er fängt an, die Früchte mit einem Stock zu pürieren.")</f>
        <v>Er fängt an, die Früchte mit einem Stock zu pürieren.</v>
      </c>
    </row>
    <row r="21114">
      <c r="A21114" s="4" t="s">
        <v>26585</v>
      </c>
      <c r="B21114" s="4" t="s">
        <v>26588</v>
      </c>
      <c r="C21114" s="5" t="str">
        <f>IFERROR(__xludf.DUMMYFUNCTION("GOOGLETRANSLATE(B21114,""en"",""de"")"),"Er fügt dem Glas Eis hinzu und gießt Alkohol hinein.")</f>
        <v>Er fügt dem Glas Eis hinzu und gießt Alkohol hinein.</v>
      </c>
    </row>
    <row r="21115">
      <c r="A21115" s="4" t="s">
        <v>26585</v>
      </c>
      <c r="B21115" s="4" t="s">
        <v>26589</v>
      </c>
      <c r="C21115" s="5" t="str">
        <f>IFERROR(__xludf.DUMMYFUNCTION("GOOGLETRANSLATE(B21115,""en"",""de"")"),"Er schüttelt das Getränk und gießt es in ein hohes Glas.")</f>
        <v>Er schüttelt das Getränk und gießt es in ein hohes Glas.</v>
      </c>
    </row>
    <row r="21116">
      <c r="A21116" s="4" t="s">
        <v>26585</v>
      </c>
      <c r="B21116" s="4" t="s">
        <v>26590</v>
      </c>
      <c r="C21116" s="5" t="str">
        <f>IFERROR(__xludf.DUMMYFUNCTION("GOOGLETRANSLATE(B21116,""en"",""de"")"),"Er fügt etwas Flüssigkeit hinzu und rührt es mit einem Strohhalm.")</f>
        <v>Er fügt etwas Flüssigkeit hinzu und rührt es mit einem Strohhalm.</v>
      </c>
    </row>
    <row r="21117">
      <c r="A21117" s="4" t="s">
        <v>26591</v>
      </c>
      <c r="B21117" s="4" t="s">
        <v>1251</v>
      </c>
      <c r="C21117" s="5" t="str">
        <f>IFERROR(__xludf.DUMMYFUNCTION("GOOGLETRANSLATE(B21117,""en"",""de"")"),"Die Credits des Clips werden angezeigt.")</f>
        <v>Die Credits des Clips werden angezeigt.</v>
      </c>
    </row>
    <row r="21118">
      <c r="A21118" s="4" t="s">
        <v>26591</v>
      </c>
      <c r="B21118" s="4" t="s">
        <v>26592</v>
      </c>
      <c r="C21118" s="5" t="str">
        <f>IFERROR(__xludf.DUMMYFUNCTION("GOOGLETRANSLATE(B21118,""en"",""de"")"),"Ein Mann schneidet den Busch mit einem elektrischen Cutter auf den Rasen.")</f>
        <v>Ein Mann schneidet den Busch mit einem elektrischen Cutter auf den Rasen.</v>
      </c>
    </row>
    <row r="21119">
      <c r="A21119" s="4" t="s">
        <v>26591</v>
      </c>
      <c r="B21119" s="4" t="s">
        <v>573</v>
      </c>
      <c r="C21119" s="5" t="str">
        <f>IFERROR(__xludf.DUMMYFUNCTION("GOOGLETRANSLATE(B21119,""en"",""de"")"),"Die Credits des Videos werden angezeigt.")</f>
        <v>Die Credits des Videos werden angezeigt.</v>
      </c>
    </row>
    <row r="21120">
      <c r="A21120" s="4" t="s">
        <v>26593</v>
      </c>
      <c r="B21120" s="4" t="s">
        <v>26594</v>
      </c>
      <c r="C21120" s="5" t="str">
        <f>IFERROR(__xludf.DUMMYFUNCTION("GOOGLETRANSLATE(B21120,""en"",""de"")"),"Eine Person schaltet einen Taste eines Geräts mit einer langen Straße neben einer Holzbox ein.")</f>
        <v>Eine Person schaltet einen Taste eines Geräts mit einer langen Straße neben einer Holzbox ein.</v>
      </c>
    </row>
    <row r="21121">
      <c r="A21121" s="4" t="s">
        <v>26593</v>
      </c>
      <c r="B21121" s="4" t="s">
        <v>26595</v>
      </c>
      <c r="C21121" s="5" t="str">
        <f>IFERROR(__xludf.DUMMYFUNCTION("GOOGLETRANSLATE(B21121,""en"",""de"")"),"Dann steckte der Mann die Stange in ein Loch und Funken kommen heraus, nachdem der Mann am Ende funkelte.")</f>
        <v>Dann steckte der Mann die Stange in ein Loch und Funken kommen heraus, nachdem der Mann am Ende funkelte.</v>
      </c>
    </row>
    <row r="21122">
      <c r="A21122" s="4" t="s">
        <v>26596</v>
      </c>
      <c r="B21122" s="4" t="s">
        <v>26597</v>
      </c>
      <c r="C21122" s="5" t="str">
        <f>IFERROR(__xludf.DUMMYFUNCTION("GOOGLETRANSLATE(B21122,""en"",""de"")"),"Eine Person fährt auf einem Pferd in eine Grube und jagt ein Babykalb.")</f>
        <v>Eine Person fährt auf einem Pferd in eine Grube und jagt ein Babykalb.</v>
      </c>
    </row>
    <row r="21123">
      <c r="A21123" s="4" t="s">
        <v>26596</v>
      </c>
      <c r="B21123" s="4" t="s">
        <v>26598</v>
      </c>
      <c r="C21123" s="5" t="str">
        <f>IFERROR(__xludf.DUMMYFUNCTION("GOOGLETRANSLATE(B21123,""en"",""de"")"),"Der Mann sucht das Kalb und springt vom Pferd, um ihn zu binden, dann geht zurück zum Pferd.")</f>
        <v>Der Mann sucht das Kalb und springt vom Pferd, um ihn zu binden, dann geht zurück zum Pferd.</v>
      </c>
    </row>
    <row r="21124">
      <c r="A21124" s="4" t="s">
        <v>26599</v>
      </c>
      <c r="B21124" s="4" t="s">
        <v>26600</v>
      </c>
      <c r="C21124" s="5" t="str">
        <f>IFERROR(__xludf.DUMMYFUNCTION("GOOGLETRANSLATE(B21124,""en"",""de"")"),"Ein Mann wird im Meer auf einem Surfbrett gesehen.")</f>
        <v>Ein Mann wird im Meer auf einem Surfbrett gesehen.</v>
      </c>
    </row>
    <row r="21125">
      <c r="A21125" s="4" t="s">
        <v>26599</v>
      </c>
      <c r="B21125" s="4" t="s">
        <v>26601</v>
      </c>
      <c r="C21125" s="5" t="str">
        <f>IFERROR(__xludf.DUMMYFUNCTION("GOOGLETRANSLATE(B21125,""en"",""de"")"),"Der Mann gleitet auf eine kommende Welle.")</f>
        <v>Der Mann gleitet auf eine kommende Welle.</v>
      </c>
    </row>
    <row r="21126">
      <c r="A21126" s="4" t="s">
        <v>26599</v>
      </c>
      <c r="B21126" s="4" t="s">
        <v>26602</v>
      </c>
      <c r="C21126" s="5" t="str">
        <f>IFERROR(__xludf.DUMMYFUNCTION("GOOGLETRANSLATE(B21126,""en"",""de"")"),"Der Mann springt dann über die Welle.")</f>
        <v>Der Mann springt dann über die Welle.</v>
      </c>
    </row>
    <row r="21127">
      <c r="A21127" s="4" t="s">
        <v>26599</v>
      </c>
      <c r="B21127" s="4" t="s">
        <v>26603</v>
      </c>
      <c r="C21127" s="5" t="str">
        <f>IFERROR(__xludf.DUMMYFUNCTION("GOOGLETRANSLATE(B21127,""en"",""de"")"),"Der Mann reitet dann die Innenseite einer neuen Welle.")</f>
        <v>Der Mann reitet dann die Innenseite einer neuen Welle.</v>
      </c>
    </row>
    <row r="21128">
      <c r="A21128" s="4" t="s">
        <v>26604</v>
      </c>
      <c r="B21128" s="4" t="s">
        <v>26605</v>
      </c>
      <c r="C21128" s="5" t="str">
        <f>IFERROR(__xludf.DUMMYFUNCTION("GOOGLETRANSLATE(B21128,""en"",""de"")"),"Eine schöne junge Frau, die eine Geige in der Hand in der Hand hält, beginnt mit dem Bogen gegen die Fäden zu bewegt, um ein Lied zu spielen, das sie geübt hat.")</f>
        <v>Eine schöne junge Frau, die eine Geige in der Hand in der Hand hält, beginnt mit dem Bogen gegen die Fäden zu bewegt, um ein Lied zu spielen, das sie geübt hat.</v>
      </c>
    </row>
    <row r="21129">
      <c r="A21129" s="4" t="s">
        <v>26604</v>
      </c>
      <c r="B21129" s="4" t="s">
        <v>26606</v>
      </c>
      <c r="C21129" s="5" t="str">
        <f>IFERROR(__xludf.DUMMYFUNCTION("GOOGLETRANSLATE(B21129,""en"",""de"")"),"Die schön gekleidete Frau in Schwarz mit weißen Ärmeln spielt weiter und lächelte zeitweise lächelnd, während sie in der Ecke des Raumes neben einem Klavier, das beim Spielen hin und her tanzt, verschiedene Akkorde und Notizen festhalten.")</f>
        <v>Die schön gekleidete Frau in Schwarz mit weißen Ärmeln spielt weiter und lächelte zeitweise lächelnd, während sie in der Ecke des Raumes neben einem Klavier, das beim Spielen hin und her tanzt, verschiedene Akkorde und Notizen festhalten.</v>
      </c>
    </row>
    <row r="21130">
      <c r="A21130" s="4" t="s">
        <v>26604</v>
      </c>
      <c r="B21130" s="4" t="s">
        <v>26607</v>
      </c>
      <c r="C21130" s="5" t="str">
        <f>IFERROR(__xludf.DUMMYFUNCTION("GOOGLETRANSLATE(B21130,""en"",""de"")"),"Die Frau hört auf zu spielen und lächelt noch einmal, bevor er aus dem Blickfeld der Kamera ausgeht, um die Geige abzubauen und das Lied zu beenden.")</f>
        <v>Die Frau hört auf zu spielen und lächelt noch einmal, bevor er aus dem Blickfeld der Kamera ausgeht, um die Geige abzubauen und das Lied zu beenden.</v>
      </c>
    </row>
    <row r="21131">
      <c r="A21131" s="4" t="s">
        <v>26608</v>
      </c>
      <c r="B21131" s="4" t="s">
        <v>26609</v>
      </c>
      <c r="C21131" s="5" t="str">
        <f>IFERROR(__xludf.DUMMYFUNCTION("GOOGLETRANSLATE(B21131,""en"",""de"")"),"Eine Person geht mit einem anderen Boot im Wasser an.")</f>
        <v>Eine Person geht mit einem anderen Boot im Wasser an.</v>
      </c>
    </row>
    <row r="21132">
      <c r="A21132" s="4" t="s">
        <v>26608</v>
      </c>
      <c r="B21132" s="4" t="s">
        <v>26610</v>
      </c>
      <c r="C21132" s="5" t="str">
        <f>IFERROR(__xludf.DUMMYFUNCTION("GOOGLETRANSLATE(B21132,""en"",""de"")"),"Es werden mehrere Szenen aus Menschen gezeigt, die auf den Booten segeln.")</f>
        <v>Es werden mehrere Szenen aus Menschen gezeigt, die auf den Booten segeln.</v>
      </c>
    </row>
    <row r="21133">
      <c r="A21133" s="4" t="s">
        <v>26608</v>
      </c>
      <c r="B21133" s="4" t="s">
        <v>26611</v>
      </c>
      <c r="C21133" s="5" t="str">
        <f>IFERROR(__xludf.DUMMYFUNCTION("GOOGLETRANSLATE(B21133,""en"",""de"")"),"Ein Mann steht und spricht mit der Kamera.")</f>
        <v>Ein Mann steht und spricht mit der Kamera.</v>
      </c>
    </row>
    <row r="21134">
      <c r="A21134" s="4" t="s">
        <v>26612</v>
      </c>
      <c r="B21134" s="4" t="s">
        <v>26613</v>
      </c>
      <c r="C21134" s="5" t="str">
        <f>IFERROR(__xludf.DUMMYFUNCTION("GOOGLETRANSLATE(B21134,""en"",""de"")"),"Ein Mann steht auf Metallstelzen und zieht eine große geraden Kante über eine Decke, um den Gips abzuflachen.")</f>
        <v>Ein Mann steht auf Metallstelzen und zieht eine große geraden Kante über eine Decke, um den Gips abzuflachen.</v>
      </c>
    </row>
    <row r="21135">
      <c r="A21135" s="4" t="s">
        <v>26612</v>
      </c>
      <c r="B21135" s="4" t="s">
        <v>26614</v>
      </c>
      <c r="C21135" s="5" t="str">
        <f>IFERROR(__xludf.DUMMYFUNCTION("GOOGLETRANSLATE(B21135,""en"",""de"")"),"Der Mann erreicht die nächste Seite und dreht sich dann um, um fortzufahren.")</f>
        <v>Der Mann erreicht die nächste Seite und dreht sich dann um, um fortzufahren.</v>
      </c>
    </row>
    <row r="21136">
      <c r="A21136" s="4" t="s">
        <v>26612</v>
      </c>
      <c r="B21136" s="4" t="s">
        <v>26615</v>
      </c>
      <c r="C21136" s="5" t="str">
        <f>IFERROR(__xludf.DUMMYFUNCTION("GOOGLETRANSLATE(B21136,""en"",""de"")"),"Der Mann erreicht die andere Seite des Raumes und dreht sich um, um fortzufahren.")</f>
        <v>Der Mann erreicht die andere Seite des Raumes und dreht sich um, um fortzufahren.</v>
      </c>
    </row>
    <row r="21137">
      <c r="A21137" s="4" t="s">
        <v>26612</v>
      </c>
      <c r="B21137" s="4" t="s">
        <v>26616</v>
      </c>
      <c r="C21137" s="5" t="str">
        <f>IFERROR(__xludf.DUMMYFUNCTION("GOOGLETRANSLATE(B21137,""en"",""de"")"),"Der Mann beendet und senkt das lächelige Werkzeug mit gerader Kante.")</f>
        <v>Der Mann beendet und senkt das lächelige Werkzeug mit gerader Kante.</v>
      </c>
    </row>
    <row r="21138">
      <c r="A21138" s="4" t="s">
        <v>26617</v>
      </c>
      <c r="B21138" s="4" t="s">
        <v>26618</v>
      </c>
      <c r="C21138" s="5" t="str">
        <f>IFERROR(__xludf.DUMMYFUNCTION("GOOGLETRANSLATE(B21138,""en"",""de"")"),"Wir sehen einen halben Kuchen in einer Form mit einer Person, die auf Dinge zeigt.")</f>
        <v>Wir sehen einen halben Kuchen in einer Form mit einer Person, die auf Dinge zeigt.</v>
      </c>
    </row>
    <row r="21139">
      <c r="A21139" s="4" t="s">
        <v>26617</v>
      </c>
      <c r="B21139" s="4" t="s">
        <v>26619</v>
      </c>
      <c r="C21139" s="5" t="str">
        <f>IFERROR(__xludf.DUMMYFUNCTION("GOOGLETRANSLATE(B21139,""en"",""de"")"),"Wir sehen, dass die Person den Kuchen mit dem Karton darüber dreht.")</f>
        <v>Wir sehen, dass die Person den Kuchen mit dem Karton darüber dreht.</v>
      </c>
    </row>
    <row r="21140">
      <c r="A21140" s="4" t="s">
        <v>26617</v>
      </c>
      <c r="B21140" s="4" t="s">
        <v>26620</v>
      </c>
      <c r="C21140" s="5" t="str">
        <f>IFERROR(__xludf.DUMMYFUNCTION("GOOGLETRANSLATE(B21140,""en"",""de"")"),"Eine Person kratzt Wachspapier über den Kuchen.")</f>
        <v>Eine Person kratzt Wachspapier über den Kuchen.</v>
      </c>
    </row>
    <row r="21141">
      <c r="A21141" s="4" t="s">
        <v>26617</v>
      </c>
      <c r="B21141" s="4" t="s">
        <v>26621</v>
      </c>
      <c r="C21141" s="5" t="str">
        <f>IFERROR(__xludf.DUMMYFUNCTION("GOOGLETRANSLATE(B21141,""en"",""de"")"),"Wir sehen einen ganzen Globus mit Schokolade.")</f>
        <v>Wir sehen einen ganzen Globus mit Schokolade.</v>
      </c>
    </row>
    <row r="21142">
      <c r="A21142" s="4" t="s">
        <v>26622</v>
      </c>
      <c r="B21142" s="4" t="s">
        <v>26623</v>
      </c>
      <c r="C21142" s="5" t="str">
        <f>IFERROR(__xludf.DUMMYFUNCTION("GOOGLETRANSLATE(B21142,""en"",""de"")"),"Mann füllt das Eis aus seiner Windschutzscheibe.")</f>
        <v>Mann füllt das Eis aus seiner Windschutzscheibe.</v>
      </c>
    </row>
    <row r="21143">
      <c r="A21143" s="4" t="s">
        <v>26622</v>
      </c>
      <c r="B21143" s="4" t="s">
        <v>26624</v>
      </c>
      <c r="C21143" s="5" t="str">
        <f>IFERROR(__xludf.DUMMYFUNCTION("GOOGLETRANSLATE(B21143,""en"",""de"")"),"Der Mann in Schwarz legt ein Stück Pappe auf seine Windschutzscheibe.")</f>
        <v>Der Mann in Schwarz legt ein Stück Pappe auf seine Windschutzscheibe.</v>
      </c>
    </row>
    <row r="21144">
      <c r="A21144" s="4" t="s">
        <v>26622</v>
      </c>
      <c r="B21144" s="4" t="s">
        <v>26625</v>
      </c>
      <c r="C21144" s="5" t="str">
        <f>IFERROR(__xludf.DUMMYFUNCTION("GOOGLETRANSLATE(B21144,""en"",""de"")"),"Der Mann gießt heiße Wassermischung auf seine kalte Windschutzscheibe.")</f>
        <v>Der Mann gießt heiße Wassermischung auf seine kalte Windschutzscheibe.</v>
      </c>
    </row>
    <row r="21145">
      <c r="A21145" s="4" t="s">
        <v>26626</v>
      </c>
      <c r="B21145" s="4" t="s">
        <v>26627</v>
      </c>
      <c r="C21145" s="5" t="str">
        <f>IFERROR(__xludf.DUMMYFUNCTION("GOOGLETRANSLATE(B21145,""en"",""de"")"),"Zwei Frauen sitzen in einem Park mit einem hinter dem anderen.")</f>
        <v>Zwei Frauen sitzen in einem Park mit einem hinter dem anderen.</v>
      </c>
    </row>
    <row r="21146">
      <c r="A21146" s="4" t="s">
        <v>26626</v>
      </c>
      <c r="B21146" s="4" t="s">
        <v>26628</v>
      </c>
      <c r="C21146" s="5" t="str">
        <f>IFERROR(__xludf.DUMMYFUNCTION("GOOGLETRANSLATE(B21146,""en"",""de"")"),"Ein Mädchen beginnt, die Haare eines anderen zu flechten, während sie dahinter sitzt.")</f>
        <v>Ein Mädchen beginnt, die Haare eines anderen zu flechten, während sie dahinter sitzt.</v>
      </c>
    </row>
    <row r="21147">
      <c r="A21147" s="4" t="s">
        <v>26626</v>
      </c>
      <c r="B21147" s="4" t="s">
        <v>26629</v>
      </c>
      <c r="C21147" s="5" t="str">
        <f>IFERROR(__xludf.DUMMYFUNCTION("GOOGLETRANSLATE(B21147,""en"",""de"")"),"Das Mädchen beendet das Haar, während der andere zur Kamera zurückblickt.")</f>
        <v>Das Mädchen beendet das Haar, während der andere zur Kamera zurückblickt.</v>
      </c>
    </row>
    <row r="21148">
      <c r="A21148" s="4" t="s">
        <v>26630</v>
      </c>
      <c r="B21148" s="4" t="s">
        <v>26631</v>
      </c>
      <c r="C21148" s="5" t="str">
        <f>IFERROR(__xludf.DUMMYFUNCTION("GOOGLETRANSLATE(B21148,""en"",""de"")"),"Athleten werfen während eines Wettbewerbs in einem Stadion einen Speer über das Feld.")</f>
        <v>Athleten werfen während eines Wettbewerbs in einem Stadion einen Speer über das Feld.</v>
      </c>
    </row>
    <row r="21149">
      <c r="A21149" s="4" t="s">
        <v>26630</v>
      </c>
      <c r="B21149" s="4" t="s">
        <v>26632</v>
      </c>
      <c r="C21149" s="5" t="str">
        <f>IFERROR(__xludf.DUMMYFUNCTION("GOOGLETRANSLATE(B21149,""en"",""de"")"),"Der Athlet ist nicht zufrieden mit seinem Wurf und schlägt frustriert die Beine.")</f>
        <v>Der Athlet ist nicht zufrieden mit seinem Wurf und schlägt frustriert die Beine.</v>
      </c>
    </row>
    <row r="21150">
      <c r="A21150" s="4" t="s">
        <v>26630</v>
      </c>
      <c r="B21150" s="4" t="s">
        <v>26633</v>
      </c>
      <c r="C21150" s="5" t="str">
        <f>IFERROR(__xludf.DUMMYFUNCTION("GOOGLETRANSLATE(B21150,""en"",""de"")"),"Der Athlet ist mäßig zufrieden mit seinem Wurf und klatscht in die Hände und nickt mit dem Kopf.")</f>
        <v>Der Athlet ist mäßig zufrieden mit seinem Wurf und klatscht in die Hände und nickt mit dem Kopf.</v>
      </c>
    </row>
    <row r="21151">
      <c r="A21151" s="4" t="s">
        <v>26630</v>
      </c>
      <c r="B21151" s="4" t="s">
        <v>26634</v>
      </c>
      <c r="C21151" s="5" t="str">
        <f>IFERROR(__xludf.DUMMYFUNCTION("GOOGLETRANSLATE(B21151,""en"",""de"")"),"Eine Anzeigetafel ist mit den Ergebnissen des Wettbewerbs zu sehen.")</f>
        <v>Eine Anzeigetafel ist mit den Ergebnissen des Wettbewerbs zu sehen.</v>
      </c>
    </row>
    <row r="21152">
      <c r="A21152" s="4" t="s">
        <v>26635</v>
      </c>
      <c r="B21152" s="4" t="s">
        <v>26636</v>
      </c>
      <c r="C21152" s="5" t="str">
        <f>IFERROR(__xludf.DUMMYFUNCTION("GOOGLETRANSLATE(B21152,""en"",""de"")"),"Eine Person benutzt einen Mopp, um den Boden zu wischen.")</f>
        <v>Eine Person benutzt einen Mopp, um den Boden zu wischen.</v>
      </c>
    </row>
    <row r="21153">
      <c r="A21153" s="4" t="s">
        <v>26635</v>
      </c>
      <c r="B21153" s="4" t="s">
        <v>26637</v>
      </c>
      <c r="C21153" s="5" t="str">
        <f>IFERROR(__xludf.DUMMYFUNCTION("GOOGLETRANSLATE(B21153,""en"",""de"")"),"Ein kleiner Hund jagt den Mopp.")</f>
        <v>Ein kleiner Hund jagt den Mopp.</v>
      </c>
    </row>
    <row r="21154">
      <c r="A21154" s="4" t="s">
        <v>26635</v>
      </c>
      <c r="B21154" s="4" t="s">
        <v>26638</v>
      </c>
      <c r="C21154" s="5" t="str">
        <f>IFERROR(__xludf.DUMMYFUNCTION("GOOGLETRANSLATE(B21154,""en"",""de"")"),"Sie wischen weiter mit dem Hund auf dem Mopp.")</f>
        <v>Sie wischen weiter mit dem Hund auf dem Mopp.</v>
      </c>
    </row>
    <row r="21155">
      <c r="A21155" s="4" t="s">
        <v>26639</v>
      </c>
      <c r="B21155" s="4" t="s">
        <v>26640</v>
      </c>
      <c r="C21155" s="5" t="str">
        <f>IFERROR(__xludf.DUMMYFUNCTION("GOOGLETRANSLATE(B21155,""en"",""de"")"),"Ein Spielzeugbär, der rote und weiße Overalls trägt, gießt eine Tasse Kaffee in eine gelbe Kaffeetasse.")</f>
        <v>Ein Spielzeugbär, der rote und weiße Overalls trägt, gießt eine Tasse Kaffee in eine gelbe Kaffeetasse.</v>
      </c>
    </row>
    <row r="21156">
      <c r="A21156" s="4" t="s">
        <v>26639</v>
      </c>
      <c r="B21156" s="4" t="s">
        <v>26641</v>
      </c>
      <c r="C21156" s="5" t="str">
        <f>IFERROR(__xludf.DUMMYFUNCTION("GOOGLETRANSLATE(B21156,""en"",""de"")"),"Der Kameramann zoomt vom Spielzeugbär von einer Seitenansicht zu einer vorderen Aussicht.")</f>
        <v>Der Kameramann zoomt vom Spielzeugbär von einer Seitenansicht zu einer vorderen Aussicht.</v>
      </c>
    </row>
    <row r="21157">
      <c r="A21157" s="4" t="s">
        <v>26639</v>
      </c>
      <c r="B21157" s="4" t="s">
        <v>26642</v>
      </c>
      <c r="C21157" s="5" t="str">
        <f>IFERROR(__xludf.DUMMYFUNCTION("GOOGLETRANSLATE(B21157,""en"",""de"")"),"Der Kameramann schwenkt und bewegt sich auf einen Seitenblick auf den Spielzeugbär und zoomt aus.")</f>
        <v>Der Kameramann schwenkt und bewegt sich auf einen Seitenblick auf den Spielzeugbär und zoomt aus.</v>
      </c>
    </row>
    <row r="21158">
      <c r="A21158" s="4" t="s">
        <v>26643</v>
      </c>
      <c r="B21158" s="4" t="s">
        <v>26644</v>
      </c>
      <c r="C21158" s="5" t="str">
        <f>IFERROR(__xludf.DUMMYFUNCTION("GOOGLETRANSLATE(B21158,""en"",""de"")"),"Es gibt ein Mädchen, das ein braunes Cheers -Shirt trägt, der eine Demonstration darüber zeigt, wie sie ihre Nägel malen können.")</f>
        <v>Es gibt ein Mädchen, das ein braunes Cheers -Shirt trägt, der eine Demonstration darüber zeigt, wie sie ihre Nägel malen können.</v>
      </c>
    </row>
    <row r="21159">
      <c r="A21159" s="4" t="s">
        <v>26643</v>
      </c>
      <c r="B21159" s="4" t="s">
        <v>26645</v>
      </c>
      <c r="C21159" s="5" t="str">
        <f>IFERROR(__xludf.DUMMYFUNCTION("GOOGLETRANSLATE(B21159,""en"",""de"")"),"Sie zeigt eine Flasche Magenta -Nagellack, die sie bereits auf ihren Nägeln verwendet hat.")</f>
        <v>Sie zeigt eine Flasche Magenta -Nagellack, die sie bereits auf ihren Nägeln verwendet hat.</v>
      </c>
    </row>
    <row r="21160">
      <c r="A21160" s="4" t="s">
        <v>26643</v>
      </c>
      <c r="B21160" s="4" t="s">
        <v>26646</v>
      </c>
      <c r="C21160" s="5" t="str">
        <f>IFERROR(__xludf.DUMMYFUNCTION("GOOGLETRANSLATE(B21160,""en"",""de"")"),"Dann nimmt sie einen Streifen Strassstreifen, den sie sorgfältig auf ihre bemalten Fingernägel stellt.")</f>
        <v>Dann nimmt sie einen Streifen Strassstreifen, den sie sorgfältig auf ihre bemalten Fingernägel stellt.</v>
      </c>
    </row>
    <row r="21161">
      <c r="A21161" s="4" t="s">
        <v>26643</v>
      </c>
      <c r="B21161" s="4" t="s">
        <v>26647</v>
      </c>
      <c r="C21161" s="5" t="str">
        <f>IFERROR(__xludf.DUMMYFUNCTION("GOOGLETRANSLATE(B21161,""en"",""de"")"),"Dann beschichtet sie ihre Nägel und die Strasssteine ​​mit einer neutralen Politur, um die Strasssteine ​​zu sichern.")</f>
        <v>Dann beschichtet sie ihre Nägel und die Strasssteine ​​mit einer neutralen Politur, um die Strasssteine ​​zu sichern.</v>
      </c>
    </row>
    <row r="21162">
      <c r="A21162" s="4" t="s">
        <v>26643</v>
      </c>
      <c r="B21162" s="4" t="s">
        <v>26648</v>
      </c>
      <c r="C21162" s="5" t="str">
        <f>IFERROR(__xludf.DUMMYFUNCTION("GOOGLETRANSLATE(B21162,""en"",""de"")"),"Sie spricht in der Kamera, als zwei Jungen hinter ihr stehen und versuchen, am Video -Tutorial teilzunehmen.")</f>
        <v>Sie spricht in der Kamera, als zwei Jungen hinter ihr stehen und versuchen, am Video -Tutorial teilzunehmen.</v>
      </c>
    </row>
    <row r="21163">
      <c r="A21163" s="4" t="s">
        <v>26649</v>
      </c>
      <c r="B21163" s="4" t="s">
        <v>1487</v>
      </c>
      <c r="C21163" s="5" t="str">
        <f>IFERROR(__xludf.DUMMYFUNCTION("GOOGLETRANSLATE(B21163,""en"",""de"")"),"Wir sehen einen Öffnungsbildschirm.")</f>
        <v>Wir sehen einen Öffnungsbildschirm.</v>
      </c>
    </row>
    <row r="21164">
      <c r="A21164" s="4" t="s">
        <v>26649</v>
      </c>
      <c r="B21164" s="4" t="s">
        <v>26650</v>
      </c>
      <c r="C21164" s="5" t="str">
        <f>IFERROR(__xludf.DUMMYFUNCTION("GOOGLETRANSLATE(B21164,""en"",""de"")"),"Wir sehen einen Mann in einem orangefarbenen Hemd drehen und drehen, um den Hammer über 80 km zu werfen.")</f>
        <v>Wir sehen einen Mann in einem orangefarbenen Hemd drehen und drehen, um den Hammer über 80 km zu werfen.</v>
      </c>
    </row>
    <row r="21165">
      <c r="A21165" s="4" t="s">
        <v>26649</v>
      </c>
      <c r="B21165" s="4" t="s">
        <v>26651</v>
      </c>
      <c r="C21165" s="5" t="str">
        <f>IFERROR(__xludf.DUMMYFUNCTION("GOOGLETRANSLATE(B21165,""en"",""de"")"),"Als nächstes sehen wir einen Mann in einem blauen Hemd 73 km.")</f>
        <v>Als nächstes sehen wir einen Mann in einem blauen Hemd 73 km.</v>
      </c>
    </row>
    <row r="21166">
      <c r="A21166" s="4" t="s">
        <v>26649</v>
      </c>
      <c r="B21166" s="4" t="s">
        <v>26652</v>
      </c>
      <c r="C21166" s="5" t="str">
        <f>IFERROR(__xludf.DUMMYFUNCTION("GOOGLETRANSLATE(B21166,""en"",""de"")"),"Wir sehen einen Mann in einem weißen Hemd 75 km.")</f>
        <v>Wir sehen einen Mann in einem weißen Hemd 75 km.</v>
      </c>
    </row>
    <row r="21167">
      <c r="A21167" s="4" t="s">
        <v>26649</v>
      </c>
      <c r="B21167" s="4" t="s">
        <v>26653</v>
      </c>
      <c r="C21167" s="5" t="str">
        <f>IFERROR(__xludf.DUMMYFUNCTION("GOOGLETRANSLATE(B21167,""en"",""de"")"),"Der Mann in Orange geht wieder und wirft 81 km.")</f>
        <v>Der Mann in Orange geht wieder und wirft 81 km.</v>
      </c>
    </row>
    <row r="21168">
      <c r="A21168" s="4" t="s">
        <v>26654</v>
      </c>
      <c r="B21168" s="4" t="s">
        <v>26655</v>
      </c>
      <c r="C21168" s="5" t="str">
        <f>IFERROR(__xludf.DUMMYFUNCTION("GOOGLETRANSLATE(B21168,""en"",""de"")"),"Ein junges Mädchen, das ein Make -up -Tutorial gibt.")</f>
        <v>Ein junges Mädchen, das ein Make -up -Tutorial gibt.</v>
      </c>
    </row>
    <row r="21169">
      <c r="A21169" s="4" t="s">
        <v>26654</v>
      </c>
      <c r="B21169" s="4" t="s">
        <v>26656</v>
      </c>
      <c r="C21169" s="5" t="str">
        <f>IFERROR(__xludf.DUMMYFUNCTION("GOOGLETRANSLATE(B21169,""en"",""de"")"),"Sie beginnt mit dem Lidschatten.")</f>
        <v>Sie beginnt mit dem Lidschatten.</v>
      </c>
    </row>
    <row r="21170">
      <c r="A21170" s="4" t="s">
        <v>26654</v>
      </c>
      <c r="B21170" s="4" t="s">
        <v>26657</v>
      </c>
      <c r="C21170" s="5" t="str">
        <f>IFERROR(__xludf.DUMMYFUNCTION("GOOGLETRANSLATE(B21170,""en"",""de"")"),"Sie wird ein bisschen abgelenkt und beginnt mit jemand anderem im Raum zu sprechen.")</f>
        <v>Sie wird ein bisschen abgelenkt und beginnt mit jemand anderem im Raum zu sprechen.</v>
      </c>
    </row>
    <row r="21171">
      <c r="A21171" s="4" t="s">
        <v>26654</v>
      </c>
      <c r="B21171" s="4" t="s">
        <v>26658</v>
      </c>
      <c r="C21171" s="5" t="str">
        <f>IFERROR(__xludf.DUMMYFUNCTION("GOOGLETRANSLATE(B21171,""en"",""de"")"),"Sie beendet dann ihr anderes Auge und lacht ein bisschen.")</f>
        <v>Sie beendet dann ihr anderes Auge und lacht ein bisschen.</v>
      </c>
    </row>
    <row r="21172">
      <c r="A21172" s="4" t="s">
        <v>26659</v>
      </c>
      <c r="B21172" s="4" t="s">
        <v>26660</v>
      </c>
      <c r="C21172" s="5" t="str">
        <f>IFERROR(__xludf.DUMMYFUNCTION("GOOGLETRANSLATE(B21172,""en"",""de"")"),"Eine Person legt sich auf einem langen Draht und geht den ganzen Weg bis zum Ende.")</f>
        <v>Eine Person legt sich auf einem langen Draht und geht den ganzen Weg bis zum Ende.</v>
      </c>
    </row>
    <row r="21173">
      <c r="A21173" s="4" t="s">
        <v>26659</v>
      </c>
      <c r="B21173" s="4" t="s">
        <v>26661</v>
      </c>
      <c r="C21173" s="5" t="str">
        <f>IFERROR(__xludf.DUMMYFUNCTION("GOOGLETRANSLATE(B21173,""en"",""de"")"),"Er versucht erneut über die Schnur, scheitert aber und verletzt sich.")</f>
        <v>Er versucht erneut über die Schnur, scheitert aber und verletzt sich.</v>
      </c>
    </row>
    <row r="21174">
      <c r="A21174" s="4" t="s">
        <v>26659</v>
      </c>
      <c r="B21174" s="4" t="s">
        <v>26662</v>
      </c>
      <c r="C21174" s="5" t="str">
        <f>IFERROR(__xludf.DUMMYFUNCTION("GOOGLETRANSLATE(B21174,""en"",""de"")"),"Einige weitere Männer werden von den Seiten aus gesehen, wenn man wieder überrutscht.")</f>
        <v>Einige weitere Männer werden von den Seiten aus gesehen, wenn man wieder überrutscht.</v>
      </c>
    </row>
    <row r="21175">
      <c r="A21175" s="4" t="s">
        <v>26659</v>
      </c>
      <c r="B21175" s="4" t="s">
        <v>26663</v>
      </c>
      <c r="C21175" s="5" t="str">
        <f>IFERROR(__xludf.DUMMYFUNCTION("GOOGLETRANSLATE(B21175,""en"",""de"")"),"Ein anderer Mann hat gesehen, wie es einen Flip auf einem Felsen macht und mehr Schüsse, die Menschen laufen und auf die Schnur springen, werden gezeigt.")</f>
        <v>Ein anderer Mann hat gesehen, wie es einen Flip auf einem Felsen macht und mehr Schüsse, die Menschen laufen und auf die Schnur springen, werden gezeigt.</v>
      </c>
    </row>
    <row r="21176">
      <c r="A21176" s="4" t="s">
        <v>26664</v>
      </c>
      <c r="B21176" s="4" t="s">
        <v>26665</v>
      </c>
      <c r="C21176" s="5" t="str">
        <f>IFERROR(__xludf.DUMMYFUNCTION("GOOGLETRANSLATE(B21176,""en"",""de"")"),"Mehrere Männer und Frauen befinden sich draußen auf einer silbernen Affenbars für Erwachsene, die darüber klettern.")</f>
        <v>Mehrere Männer und Frauen befinden sich draußen auf einer silbernen Affenbars für Erwachsene, die darüber klettern.</v>
      </c>
    </row>
    <row r="21177">
      <c r="A21177" s="4" t="s">
        <v>26664</v>
      </c>
      <c r="B21177" s="4" t="s">
        <v>26666</v>
      </c>
      <c r="C21177" s="5" t="str">
        <f>IFERROR(__xludf.DUMMYFUNCTION("GOOGLETRANSLATE(B21177,""en"",""de"")"),"Nachdem sie alle fertig sind, steigen die Leute aus und rennen zurück, um einen weiteren Satz auf den Affenbars zu machen.")</f>
        <v>Nachdem sie alle fertig sind, steigen die Leute aus und rennen zurück, um einen weiteren Satz auf den Affenbars zu machen.</v>
      </c>
    </row>
    <row r="21178">
      <c r="A21178" s="4" t="s">
        <v>26664</v>
      </c>
      <c r="B21178" s="4" t="s">
        <v>26667</v>
      </c>
      <c r="C21178" s="5" t="str">
        <f>IFERROR(__xludf.DUMMYFUNCTION("GOOGLETRANSLATE(B21178,""en"",""de"")"),"In der Ferne kommen mehr Menschen aus dem Weg und ein kleiner Junge wird gezeigt, bevor eine Gruppe von Bildern von ihnen unterschiedliche Aktivitäten ausführt.")</f>
        <v>In der Ferne kommen mehr Menschen aus dem Weg und ein kleiner Junge wird gezeigt, bevor eine Gruppe von Bildern von ihnen unterschiedliche Aktivitäten ausführt.</v>
      </c>
    </row>
    <row r="21179">
      <c r="A21179" s="4" t="s">
        <v>26668</v>
      </c>
      <c r="B21179" s="4" t="s">
        <v>26669</v>
      </c>
      <c r="C21179" s="5" t="str">
        <f>IFERROR(__xludf.DUMMYFUNCTION("GOOGLETRANSLATE(B21179,""en"",""de"")"),"Eine Person steckt eine Kontaktlinse in das rechte Auge.")</f>
        <v>Eine Person steckt eine Kontaktlinse in das rechte Auge.</v>
      </c>
    </row>
    <row r="21180">
      <c r="A21180" s="4" t="s">
        <v>26668</v>
      </c>
      <c r="B21180" s="4" t="s">
        <v>26670</v>
      </c>
      <c r="C21180" s="5" t="str">
        <f>IFERROR(__xludf.DUMMYFUNCTION("GOOGLETRANSLATE(B21180,""en"",""de"")"),"Dann legt die Person eine Kontaktlinse in sein linkes Auge.")</f>
        <v>Dann legt die Person eine Kontaktlinse in sein linkes Auge.</v>
      </c>
    </row>
    <row r="21181">
      <c r="A21181" s="4" t="s">
        <v>26671</v>
      </c>
      <c r="B21181" s="4" t="s">
        <v>26672</v>
      </c>
      <c r="C21181" s="5" t="str">
        <f>IFERROR(__xludf.DUMMYFUNCTION("GOOGLETRANSLATE(B21181,""en"",""de"")"),"Ein Mann steht vor einem anderen Mann, während jemand den Tisch zwischen ihnen anpasst.")</f>
        <v>Ein Mann steht vor einem anderen Mann, während jemand den Tisch zwischen ihnen anpasst.</v>
      </c>
    </row>
    <row r="21182">
      <c r="A21182" s="4" t="s">
        <v>26671</v>
      </c>
      <c r="B21182" s="4" t="s">
        <v>26673</v>
      </c>
      <c r="C21182" s="5" t="str">
        <f>IFERROR(__xludf.DUMMYFUNCTION("GOOGLETRANSLATE(B21182,""en"",""de"")"),"Die Männer verschließen die Arme und fangen an zu ringen.")</f>
        <v>Die Männer verschließen die Arme und fangen an zu ringen.</v>
      </c>
    </row>
    <row r="21183">
      <c r="A21183" s="4" t="s">
        <v>26671</v>
      </c>
      <c r="B21183" s="4" t="s">
        <v>26674</v>
      </c>
      <c r="C21183" s="5" t="str">
        <f>IFERROR(__xludf.DUMMYFUNCTION("GOOGLETRANSLATE(B21183,""en"",""de"")"),"Sie schieben und ziehen hart und versuchen zu gewinnen.")</f>
        <v>Sie schieben und ziehen hart und versuchen zu gewinnen.</v>
      </c>
    </row>
    <row r="21184">
      <c r="A21184" s="4" t="s">
        <v>26671</v>
      </c>
      <c r="B21184" s="4" t="s">
        <v>26675</v>
      </c>
      <c r="C21184" s="5" t="str">
        <f>IFERROR(__xludf.DUMMYFUNCTION("GOOGLETRANSLATE(B21184,""en"",""de"")"),"Sie beginnen sich plötzlich gegenseitig zu schlagen und in einem Kampf auszubrechen.")</f>
        <v>Sie beginnen sich plötzlich gegenseitig zu schlagen und in einem Kampf auszubrechen.</v>
      </c>
    </row>
    <row r="21185">
      <c r="A21185" s="4" t="s">
        <v>26671</v>
      </c>
      <c r="B21185" s="4" t="s">
        <v>26676</v>
      </c>
      <c r="C21185" s="5" t="str">
        <f>IFERROR(__xludf.DUMMYFUNCTION("GOOGLETRANSLATE(B21185,""en"",""de"")"),"Man fällt nach einem Schlag zu fallen.")</f>
        <v>Man fällt nach einem Schlag zu fallen.</v>
      </c>
    </row>
    <row r="21186">
      <c r="A21186" s="4" t="s">
        <v>26677</v>
      </c>
      <c r="B21186" s="4" t="s">
        <v>26678</v>
      </c>
      <c r="C21186" s="5" t="str">
        <f>IFERROR(__xludf.DUMMYFUNCTION("GOOGLETRANSLATE(B21186,""en"",""de"")"),"Ein weißer Intro -Bildschirm erscheint und rote Buchstaben in einer Fremdsprache erscheinen auf dem Bildschirm.")</f>
        <v>Ein weißer Intro -Bildschirm erscheint und rote Buchstaben in einer Fremdsprache erscheinen auf dem Bildschirm.</v>
      </c>
    </row>
    <row r="21187">
      <c r="A21187" s="4" t="s">
        <v>26677</v>
      </c>
      <c r="B21187" s="4" t="s">
        <v>26679</v>
      </c>
      <c r="C21187" s="5" t="str">
        <f>IFERROR(__xludf.DUMMYFUNCTION("GOOGLETRANSLATE(B21187,""en"",""de"")"),"Eine weiße Schüssel mit Wasser und 3 Kartoffeln erscheinen in einer Schüssel, und Eiswürfel befinden sich in einer anderen weißen Schüssel.")</f>
        <v>Eine weiße Schüssel mit Wasser und 3 Kartoffeln erscheinen in einer Schüssel, und Eiswürfel befinden sich in einer anderen weißen Schüssel.</v>
      </c>
    </row>
    <row r="21188">
      <c r="A21188" s="4" t="s">
        <v>26677</v>
      </c>
      <c r="B21188" s="4" t="s">
        <v>26680</v>
      </c>
      <c r="C21188" s="5" t="str">
        <f>IFERROR(__xludf.DUMMYFUNCTION("GOOGLETRANSLATE(B21188,""en"",""de"")"),"Eine Hand greift dann die obere Kartoffel, die Schüssel mit Eiswürfeln und gießt die Würfel in eine größere weiße Schüssel, in der bereits Wasser enthalten ist.")</f>
        <v>Eine Hand greift dann die obere Kartoffel, die Schüssel mit Eiswürfeln und gießt die Würfel in eine größere weiße Schüssel, in der bereits Wasser enthalten ist.</v>
      </c>
    </row>
    <row r="21189">
      <c r="A21189" s="4" t="s">
        <v>26677</v>
      </c>
      <c r="B21189" s="4" t="s">
        <v>26681</v>
      </c>
      <c r="C21189" s="5" t="str">
        <f>IFERROR(__xludf.DUMMYFUNCTION("GOOGLETRANSLATE(B21189,""en"",""de"")"),"Die beiden Hände fallen nun die Kartoffel in die größere Schüssel mit den Eiswürfeln und Wasser und die Finger beginnen, die gesamte Haut unter dem Wasser abzuziehen, und wenn alle Schalen verschwunden sind, wird die Kartoffel auf einen sauberen weißen Te"&amp;"ller gelegt.")</f>
        <v>Die beiden Hände fallen nun die Kartoffel in die größere Schüssel mit den Eiswürfeln und Wasser und die Finger beginnen, die gesamte Haut unter dem Wasser abzuziehen, und wenn alle Schalen verschwunden sind, wird die Kartoffel auf einen sauberen weißen Teller gelegt.</v>
      </c>
    </row>
    <row r="21190">
      <c r="A21190" s="4" t="s">
        <v>26677</v>
      </c>
      <c r="B21190" s="4" t="s">
        <v>26682</v>
      </c>
      <c r="C21190" s="5" t="str">
        <f>IFERROR(__xludf.DUMMYFUNCTION("GOOGLETRANSLATE(B21190,""en"",""de"")"),"Der weiße Outro -Bildschirm wird angezeigt und mehr fremde rote Buchstaben werden angezeigt.")</f>
        <v>Der weiße Outro -Bildschirm wird angezeigt und mehr fremde rote Buchstaben werden angezeigt.</v>
      </c>
    </row>
    <row r="21191">
      <c r="A21191" s="4" t="s">
        <v>26683</v>
      </c>
      <c r="B21191" s="4" t="s">
        <v>26684</v>
      </c>
      <c r="C21191" s="5" t="str">
        <f>IFERROR(__xludf.DUMMYFUNCTION("GOOGLETRANSLATE(B21191,""en"",""de"")"),"Wir sehen den Titel, der uns Jesse vorstellt.")</f>
        <v>Wir sehen den Titel, der uns Jesse vorstellt.</v>
      </c>
    </row>
    <row r="21192">
      <c r="A21192" s="4" t="s">
        <v>26683</v>
      </c>
      <c r="B21192" s="4" t="s">
        <v>26685</v>
      </c>
      <c r="C21192" s="5" t="str">
        <f>IFERROR(__xludf.DUMMYFUNCTION("GOOGLETRANSLATE(B21192,""en"",""de"")"),"Jesse, der Hund, rennt und fängt Frisbee.")</f>
        <v>Jesse, der Hund, rennt und fängt Frisbee.</v>
      </c>
    </row>
    <row r="21193">
      <c r="A21193" s="4" t="s">
        <v>26683</v>
      </c>
      <c r="B21193" s="4" t="s">
        <v>26686</v>
      </c>
      <c r="C21193" s="5" t="str">
        <f>IFERROR(__xludf.DUMMYFUNCTION("GOOGLETRANSLATE(B21193,""en"",""de"")"),"Wir sehen Jesse in der Kamera.")</f>
        <v>Wir sehen Jesse in der Kamera.</v>
      </c>
    </row>
    <row r="21194">
      <c r="A21194" s="4" t="s">
        <v>26683</v>
      </c>
      <c r="B21194" s="4" t="s">
        <v>26687</v>
      </c>
      <c r="C21194" s="5" t="str">
        <f>IFERROR(__xludf.DUMMYFUNCTION("GOOGLETRANSLATE(B21194,""en"",""de"")"),"Jesse rennt herum und fängt die Frisbee, die die Dame wirft.")</f>
        <v>Jesse rennt herum und fängt die Frisbee, die die Dame wirft.</v>
      </c>
    </row>
    <row r="21195">
      <c r="A21195" s="4" t="s">
        <v>26683</v>
      </c>
      <c r="B21195" s="4" t="s">
        <v>26688</v>
      </c>
      <c r="C21195" s="5" t="str">
        <f>IFERROR(__xludf.DUMMYFUNCTION("GOOGLETRANSLATE(B21195,""en"",""de"")"),"Wir sehen fünf immer noch Aufnahmen von Jesse in der Luft.")</f>
        <v>Wir sehen fünf immer noch Aufnahmen von Jesse in der Luft.</v>
      </c>
    </row>
    <row r="21196">
      <c r="A21196" s="4" t="s">
        <v>26683</v>
      </c>
      <c r="B21196" s="4" t="s">
        <v>26689</v>
      </c>
      <c r="C21196" s="5" t="str">
        <f>IFERROR(__xludf.DUMMYFUNCTION("GOOGLETRANSLATE(B21196,""en"",""de"")"),"Jesse rennt weiterhin mit seiner Frisbee herum.")</f>
        <v>Jesse rennt weiterhin mit seiner Frisbee herum.</v>
      </c>
    </row>
    <row r="21197">
      <c r="A21197" s="4" t="s">
        <v>26683</v>
      </c>
      <c r="B21197" s="4" t="s">
        <v>26690</v>
      </c>
      <c r="C21197" s="5" t="str">
        <f>IFERROR(__xludf.DUMMYFUNCTION("GOOGLETRANSLATE(B21197,""en"",""de"")"),"Wir sehen die Endkredite auf einem schwarzen Bildschirm.")</f>
        <v>Wir sehen die Endkredite auf einem schwarzen Bildschirm.</v>
      </c>
    </row>
    <row r="21198">
      <c r="A21198" s="4" t="s">
        <v>26691</v>
      </c>
      <c r="B21198" s="4" t="s">
        <v>26692</v>
      </c>
      <c r="C21198" s="5" t="str">
        <f>IFERROR(__xludf.DUMMYFUNCTION("GOOGLETRANSLATE(B21198,""en"",""de"")"),"Eine Frau wird gezeigt, dass sie sich darauf vorbereitet, eine Langhantel in die Luft zu heben.")</f>
        <v>Eine Frau wird gezeigt, dass sie sich darauf vorbereitet, eine Langhantel in die Luft zu heben.</v>
      </c>
    </row>
    <row r="21199">
      <c r="A21199" s="4" t="s">
        <v>26691</v>
      </c>
      <c r="B21199" s="4" t="s">
        <v>26693</v>
      </c>
      <c r="C21199" s="5" t="str">
        <f>IFERROR(__xludf.DUMMYFUNCTION("GOOGLETRANSLATE(B21199,""en"",""de"")"),"Sie hebt es in die Luft und über ihrem Kopf.")</f>
        <v>Sie hebt es in die Luft und über ihrem Kopf.</v>
      </c>
    </row>
    <row r="21200">
      <c r="A21200" s="4" t="s">
        <v>26691</v>
      </c>
      <c r="B21200" s="4" t="s">
        <v>26694</v>
      </c>
      <c r="C21200" s="5" t="str">
        <f>IFERROR(__xludf.DUMMYFUNCTION("GOOGLETRANSLATE(B21200,""en"",""de"")"),"Sie lässt die Langhantel auf den Boden fallen.")</f>
        <v>Sie lässt die Langhantel auf den Boden fallen.</v>
      </c>
    </row>
    <row r="21201">
      <c r="A21201" s="4" t="s">
        <v>26691</v>
      </c>
      <c r="B21201" s="4" t="s">
        <v>26695</v>
      </c>
      <c r="C21201" s="5" t="str">
        <f>IFERROR(__xludf.DUMMYFUNCTION("GOOGLETRANSLATE(B21201,""en"",""de"")"),"Sie knallt nach der Menge und bläst ihnen einen Kuss.")</f>
        <v>Sie knallt nach der Menge und bläst ihnen einen Kuss.</v>
      </c>
    </row>
    <row r="21202">
      <c r="A21202" s="4" t="s">
        <v>26691</v>
      </c>
      <c r="B21202" s="4" t="s">
        <v>26696</v>
      </c>
      <c r="C21202" s="5" t="str">
        <f>IFERROR(__xludf.DUMMYFUNCTION("GOOGLETRANSLATE(B21202,""en"",""de"")"),"Sie geht dann von der Bühne.")</f>
        <v>Sie geht dann von der Bühne.</v>
      </c>
    </row>
    <row r="21203">
      <c r="A21203" s="4" t="s">
        <v>26697</v>
      </c>
      <c r="B21203" s="4" t="s">
        <v>26698</v>
      </c>
      <c r="C21203" s="5" t="str">
        <f>IFERROR(__xludf.DUMMYFUNCTION("GOOGLETRANSLATE(B21203,""en"",""de"")"),"Ein Mann in einem schwarzen Strickhut spricht mit der Kamera, während er vor einem Tisch mit Gegenständen und vor einem gelben LKW mit einem schwarzen Stern an der Tür steht.")</f>
        <v>Ein Mann in einem schwarzen Strickhut spricht mit der Kamera, während er vor einem Tisch mit Gegenständen und vor einem gelben LKW mit einem schwarzen Stern an der Tür steht.</v>
      </c>
    </row>
    <row r="21204">
      <c r="A21204" s="4" t="s">
        <v>26697</v>
      </c>
      <c r="B21204" s="4" t="s">
        <v>26699</v>
      </c>
      <c r="C21204" s="5" t="str">
        <f>IFERROR(__xludf.DUMMYFUNCTION("GOOGLETRANSLATE(B21204,""en"",""de"")"),"Der Mann nimmt ein orangefarbenes Paket vom Tisch und später ein kleineres gelbes Paket und ein orangefarbenes Gerät auf, während sie sich unterhalten.")</f>
        <v>Der Mann nimmt ein orangefarbenes Paket vom Tisch und später ein kleineres gelbes Paket und ein orangefarbenes Gerät auf, während sie sich unterhalten.</v>
      </c>
    </row>
    <row r="21205">
      <c r="A21205" s="4" t="s">
        <v>26697</v>
      </c>
      <c r="B21205" s="4" t="s">
        <v>26700</v>
      </c>
      <c r="C21205" s="5" t="str">
        <f>IFERROR(__xludf.DUMMYFUNCTION("GOOGLETRANSLATE(B21205,""en"",""de"")"),"Der Mann legt dann das gelbe Paket und das orangefarbene Gerät auf dem Tisch nebeneinander auf einem Metalltisch.")</f>
        <v>Der Mann legt dann das gelbe Paket und das orangefarbene Gerät auf dem Tisch nebeneinander auf einem Metalltisch.</v>
      </c>
    </row>
    <row r="21206">
      <c r="A21206" s="4" t="s">
        <v>26697</v>
      </c>
      <c r="B21206" s="4" t="s">
        <v>26701</v>
      </c>
      <c r="C21206" s="5" t="str">
        <f>IFERROR(__xludf.DUMMYFUNCTION("GOOGLETRANSLATE(B21206,""en"",""de"")"),"Der Mann nimmt dann eine Metallplatte, setzt sie auf den Kopf und startet ein Feuer mit den Materialien im Paket, bevor er zurückkehrt, um erneut mit der Kamera zu sprechen.")</f>
        <v>Der Mann nimmt dann eine Metallplatte, setzt sie auf den Kopf und startet ein Feuer mit den Materialien im Paket, bevor er zurückkehrt, um erneut mit der Kamera zu sprechen.</v>
      </c>
    </row>
    <row r="21207">
      <c r="A21207" s="4" t="s">
        <v>26702</v>
      </c>
      <c r="B21207" s="4" t="s">
        <v>26703</v>
      </c>
      <c r="C21207" s="5" t="str">
        <f>IFERROR(__xludf.DUMMYFUNCTION("GOOGLETRANSLATE(B21207,""en"",""de"")"),"Eine Person nimmt einen Pinsel und eine Dose Lack auf einem Rasen aus.")</f>
        <v>Eine Person nimmt einen Pinsel und eine Dose Lack auf einem Rasen aus.</v>
      </c>
    </row>
    <row r="21208">
      <c r="A21208" s="4" t="s">
        <v>26702</v>
      </c>
      <c r="B21208" s="4" t="s">
        <v>26704</v>
      </c>
      <c r="C21208" s="5" t="str">
        <f>IFERROR(__xludf.DUMMYFUNCTION("GOOGLETRANSLATE(B21208,""en"",""de"")"),"Die Person malt einen Mantel verschiedene Bretter, die sich gegen eine Außenwand aus Heimat beugen.")</f>
        <v>Die Person malt einen Mantel verschiedene Bretter, die sich gegen eine Außenwand aus Heimat beugen.</v>
      </c>
    </row>
    <row r="21209">
      <c r="A21209" s="4" t="s">
        <v>26705</v>
      </c>
      <c r="B21209" s="4" t="s">
        <v>26706</v>
      </c>
      <c r="C21209" s="5" t="str">
        <f>IFERROR(__xludf.DUMMYFUNCTION("GOOGLETRANSLATE(B21209,""en"",""de"")"),"Ein großer Wassersturz wird gezeigt.")</f>
        <v>Ein großer Wassersturz wird gezeigt.</v>
      </c>
    </row>
    <row r="21210">
      <c r="A21210" s="4" t="s">
        <v>26705</v>
      </c>
      <c r="B21210" s="4" t="s">
        <v>26707</v>
      </c>
      <c r="C21210" s="5" t="str">
        <f>IFERROR(__xludf.DUMMYFUNCTION("GOOGLETRANSLATE(B21210,""en"",""de"")"),"Eine Person geht über das Wasser fallen in ein grünes Kajak.")</f>
        <v>Eine Person geht über das Wasser fallen in ein grünes Kajak.</v>
      </c>
    </row>
    <row r="21211">
      <c r="A21211" s="4" t="s">
        <v>26705</v>
      </c>
      <c r="B21211" s="4" t="s">
        <v>26708</v>
      </c>
      <c r="C21211" s="5" t="str">
        <f>IFERROR(__xludf.DUMMYFUNCTION("GOOGLETRANSLATE(B21211,""en"",""de"")"),"Die Menschen stehen auf den Felsen über dem Wasser.")</f>
        <v>Die Menschen stehen auf den Felsen über dem Wasser.</v>
      </c>
    </row>
    <row r="21212">
      <c r="A21212" s="4" t="s">
        <v>26709</v>
      </c>
      <c r="B21212" s="4" t="s">
        <v>26710</v>
      </c>
      <c r="C21212" s="5" t="str">
        <f>IFERROR(__xludf.DUMMYFUNCTION("GOOGLETRANSLATE(B21212,""en"",""de"")"),"Eine Person steckt Essen in eine Schüssel.")</f>
        <v>Eine Person steckt Essen in eine Schüssel.</v>
      </c>
    </row>
    <row r="21213">
      <c r="A21213" s="4" t="s">
        <v>26709</v>
      </c>
      <c r="B21213" s="4" t="s">
        <v>26711</v>
      </c>
      <c r="C21213" s="5" t="str">
        <f>IFERROR(__xludf.DUMMYFUNCTION("GOOGLETRANSLATE(B21213,""en"",""de"")"),"Sie knacken eine Nuss und geben das in die Schüssel.")</f>
        <v>Sie knacken eine Nuss und geben das in die Schüssel.</v>
      </c>
    </row>
    <row r="21214">
      <c r="A21214" s="4" t="s">
        <v>26709</v>
      </c>
      <c r="B21214" s="4" t="s">
        <v>26712</v>
      </c>
      <c r="C21214" s="5" t="str">
        <f>IFERROR(__xludf.DUMMYFUNCTION("GOOGLETRANSLATE(B21214,""en"",""de"")"),"Sie knacken eine andere Nuss über ein schwarzes Tablett.")</f>
        <v>Sie knacken eine andere Nuss über ein schwarzes Tablett.</v>
      </c>
    </row>
    <row r="21215">
      <c r="A21215" s="4" t="s">
        <v>26713</v>
      </c>
      <c r="B21215" s="4" t="s">
        <v>26714</v>
      </c>
      <c r="C21215" s="5" t="str">
        <f>IFERROR(__xludf.DUMMYFUNCTION("GOOGLETRANSLATE(B21215,""en"",""de"")"),"Die Frau kniet im Boden hinunter und redet mit der Kamera und öffnet sie im Wohnzimmer.")</f>
        <v>Die Frau kniet im Boden hinunter und redet mit der Kamera und öffnet sie im Wohnzimmer.</v>
      </c>
    </row>
    <row r="21216">
      <c r="A21216" s="4" t="s">
        <v>26713</v>
      </c>
      <c r="B21216" s="4" t="s">
        <v>26715</v>
      </c>
      <c r="C21216" s="5" t="str">
        <f>IFERROR(__xludf.DUMMYFUNCTION("GOOGLETRANSLATE(B21216,""en"",""de"")"),"Hund geht hinter der Frau.")</f>
        <v>Hund geht hinter der Frau.</v>
      </c>
    </row>
    <row r="21217">
      <c r="A21217" s="4" t="s">
        <v>26713</v>
      </c>
      <c r="B21217" s="4" t="s">
        <v>26716</v>
      </c>
      <c r="C21217" s="5" t="str">
        <f>IFERROR(__xludf.DUMMYFUNCTION("GOOGLETRANSLATE(B21217,""en"",""de"")"),"Baby geht zur Frau und klettern zur Rutsche.")</f>
        <v>Baby geht zur Frau und klettern zur Rutsche.</v>
      </c>
    </row>
    <row r="21218">
      <c r="A21218" s="4" t="s">
        <v>26717</v>
      </c>
      <c r="B21218" s="4" t="s">
        <v>26718</v>
      </c>
      <c r="C21218" s="5" t="str">
        <f>IFERROR(__xludf.DUMMYFUNCTION("GOOGLETRANSLATE(B21218,""en"",""de"")"),"Drei Mädchen stehen hinter einer Theke stehen, die mit einer Butter um eine Pfanne spricht.")</f>
        <v>Drei Mädchen stehen hinter einer Theke stehen, die mit einer Butter um eine Pfanne spricht.</v>
      </c>
    </row>
    <row r="21219">
      <c r="A21219" s="4" t="s">
        <v>26717</v>
      </c>
      <c r="B21219" s="4" t="s">
        <v>26719</v>
      </c>
      <c r="C21219" s="5" t="str">
        <f>IFERROR(__xludf.DUMMYFUNCTION("GOOGLETRANSLATE(B21219,""en"",""de"")"),"Ein weiterer mischt Zutaten in eine Schüssel mit Hilfe eines anderen Mädchens und die Mädchen lecken den danach benutzten Löffel.")</f>
        <v>Ein weiterer mischt Zutaten in eine Schüssel mit Hilfe eines anderen Mädchens und die Mädchen lecken den danach benutzten Löffel.</v>
      </c>
    </row>
    <row r="21220">
      <c r="A21220" s="4" t="s">
        <v>26717</v>
      </c>
      <c r="B21220" s="4" t="s">
        <v>26720</v>
      </c>
      <c r="C21220" s="5" t="str">
        <f>IFERROR(__xludf.DUMMYFUNCTION("GOOGLETRANSLATE(B21220,""en"",""de"")"),"Sie gießen die Mischung in eine Pfanne, stecken sie in den Ofen und nehmen sie in Kürze einige Zeit danach heraus.")</f>
        <v>Sie gießen die Mischung in eine Pfanne, stecken sie in den Ofen und nehmen sie in Kürze einige Zeit danach heraus.</v>
      </c>
    </row>
    <row r="21221">
      <c r="A21221" s="4" t="s">
        <v>26717</v>
      </c>
      <c r="B21221" s="4" t="s">
        <v>26721</v>
      </c>
      <c r="C21221" s="5" t="str">
        <f>IFERROR(__xludf.DUMMYFUNCTION("GOOGLETRANSLATE(B21221,""en"",""de"")"),"Zuckerguss wird dann überall auf dem Kuchen gesehen und das Mädchen breitete es herum und serviert Stücke auf einen Teller, gefolgt von ihnen, die in einem Wohnzimmer aufgebraucht sind.")</f>
        <v>Zuckerguss wird dann überall auf dem Kuchen gesehen und das Mädchen breitete es herum und serviert Stücke auf einen Teller, gefolgt von ihnen, die in einem Wohnzimmer aufgebraucht sind.</v>
      </c>
    </row>
    <row r="21222">
      <c r="A21222" s="4" t="s">
        <v>26722</v>
      </c>
      <c r="B21222" s="4" t="s">
        <v>26723</v>
      </c>
      <c r="C21222" s="5" t="str">
        <f>IFERROR(__xludf.DUMMYFUNCTION("GOOGLETRANSLATE(B21222,""en"",""de"")"),"Eine große Trainingsmaschine wird gezeigt.")</f>
        <v>Eine große Trainingsmaschine wird gezeigt.</v>
      </c>
    </row>
    <row r="21223">
      <c r="A21223" s="4" t="s">
        <v>26722</v>
      </c>
      <c r="B21223" s="4" t="s">
        <v>26724</v>
      </c>
      <c r="C21223" s="5" t="str">
        <f>IFERROR(__xludf.DUMMYFUNCTION("GOOGLETRANSLATE(B21223,""en"",""de"")"),"Ein Mann setzt sich hin und beginnt an der Trainingsmaschine zu trainieren.")</f>
        <v>Ein Mann setzt sich hin und beginnt an der Trainingsmaschine zu trainieren.</v>
      </c>
    </row>
    <row r="21224">
      <c r="A21224" s="4" t="s">
        <v>26725</v>
      </c>
      <c r="B21224" s="4" t="s">
        <v>26726</v>
      </c>
      <c r="C21224" s="5" t="str">
        <f>IFERROR(__xludf.DUMMYFUNCTION("GOOGLETRANSLATE(B21224,""en"",""de"")"),"Ein Auto sitzt in einer Autowäsche auf einer Überwachungskamera mit Lappen, die sich auf und ab bewegen.")</f>
        <v>Ein Auto sitzt in einer Autowäsche auf einer Überwachungskamera mit Lappen, die sich auf und ab bewegen.</v>
      </c>
    </row>
    <row r="21225">
      <c r="A21225" s="4" t="s">
        <v>26725</v>
      </c>
      <c r="B21225" s="4" t="s">
        <v>26727</v>
      </c>
      <c r="C21225" s="5" t="str">
        <f>IFERROR(__xludf.DUMMYFUNCTION("GOOGLETRANSLATE(B21225,""en"",""de"")"),"Ein Mann öffnet dann seine Tür, gefolgt von der Maschine, die die Tür auszieht und das Auto wegfährt.")</f>
        <v>Ein Mann öffnet dann seine Tür, gefolgt von der Maschine, die die Tür auszieht und das Auto wegfährt.</v>
      </c>
    </row>
    <row r="21226">
      <c r="A21226" s="4" t="s">
        <v>26728</v>
      </c>
      <c r="B21226" s="4" t="s">
        <v>26729</v>
      </c>
      <c r="C21226" s="5" t="str">
        <f>IFERROR(__xludf.DUMMYFUNCTION("GOOGLETRANSLATE(B21226,""en"",""de"")"),"Die Leute fahren herum und spielen Stoßstangenautos.")</f>
        <v>Die Leute fahren herum und spielen Stoßstangenautos.</v>
      </c>
    </row>
    <row r="21227">
      <c r="A21227" s="4" t="s">
        <v>26728</v>
      </c>
      <c r="B21227" s="4" t="s">
        <v>26730</v>
      </c>
      <c r="C21227" s="5" t="str">
        <f>IFERROR(__xludf.DUMMYFUNCTION("GOOGLETRANSLATE(B21227,""en"",""de"")"),"Ein Mann muss helfen, Autos nicht zu fördern.")</f>
        <v>Ein Mann muss helfen, Autos nicht zu fördern.</v>
      </c>
    </row>
    <row r="21228">
      <c r="A21228" s="4" t="s">
        <v>26731</v>
      </c>
      <c r="B21228" s="4" t="s">
        <v>26732</v>
      </c>
      <c r="C21228" s="5" t="str">
        <f>IFERROR(__xludf.DUMMYFUNCTION("GOOGLETRANSLATE(B21228,""en"",""de"")"),"Zwei Personen kochen in Pfannen am Ofen.")</f>
        <v>Zwei Personen kochen in Pfannen am Ofen.</v>
      </c>
    </row>
    <row r="21229">
      <c r="A21229" s="4" t="s">
        <v>26731</v>
      </c>
      <c r="B21229" s="4" t="s">
        <v>26733</v>
      </c>
      <c r="C21229" s="5" t="str">
        <f>IFERROR(__xludf.DUMMYFUNCTION("GOOGLETRANSLATE(B21229,""en"",""de"")"),"Zwei Teller mit Lebensmitteln sind auf der Theke.")</f>
        <v>Zwei Teller mit Lebensmitteln sind auf der Theke.</v>
      </c>
    </row>
    <row r="21230">
      <c r="A21230" s="4" t="s">
        <v>26731</v>
      </c>
      <c r="B21230" s="4" t="s">
        <v>13650</v>
      </c>
      <c r="C21230" s="5" t="str">
        <f>IFERROR(__xludf.DUMMYFUNCTION("GOOGLETRANSLATE(B21230,""en"",""de"")"),"Wörter kommen auf den Bildschirm.")</f>
        <v>Wörter kommen auf den Bildschirm.</v>
      </c>
    </row>
    <row r="21231">
      <c r="A21231" s="4" t="s">
        <v>26734</v>
      </c>
      <c r="B21231" s="4" t="s">
        <v>26735</v>
      </c>
      <c r="C21231" s="5" t="str">
        <f>IFERROR(__xludf.DUMMYFUNCTION("GOOGLETRANSLATE(B21231,""en"",""de"")"),"Ein Mann wird zum ersten Mal gesehen, wie er mit der ihm gestellten Textfragen mit der Kamera spricht.")</f>
        <v>Ein Mann wird zum ersten Mal gesehen, wie er mit der ihm gestellten Textfragen mit der Kamera spricht.</v>
      </c>
    </row>
    <row r="21232">
      <c r="A21232" s="4" t="s">
        <v>26734</v>
      </c>
      <c r="B21232" s="4" t="s">
        <v>26736</v>
      </c>
      <c r="C21232" s="5" t="str">
        <f>IFERROR(__xludf.DUMMYFUNCTION("GOOGLETRANSLATE(B21232,""en"",""de"")"),"Er wird dann gesehen, wie er einen Reiniger auf die Zähne stellt und ein bisschen Essen nimmt.")</f>
        <v>Er wird dann gesehen, wie er einen Reiniger auf die Zähne stellt und ein bisschen Essen nimmt.</v>
      </c>
    </row>
    <row r="21233">
      <c r="A21233" s="4" t="s">
        <v>26734</v>
      </c>
      <c r="B21233" s="4" t="s">
        <v>26737</v>
      </c>
      <c r="C21233" s="5" t="str">
        <f>IFERROR(__xludf.DUMMYFUNCTION("GOOGLETRANSLATE(B21233,""en"",""de"")"),"Er spricht weiterhin mit der Kamera, während er gelegentlich Essen isst.")</f>
        <v>Er spricht weiterhin mit der Kamera, während er gelegentlich Essen isst.</v>
      </c>
    </row>
    <row r="21234">
      <c r="A21234" s="4" t="s">
        <v>26738</v>
      </c>
      <c r="B21234" s="4" t="s">
        <v>26739</v>
      </c>
      <c r="C21234" s="5" t="str">
        <f>IFERROR(__xludf.DUMMYFUNCTION("GOOGLETRANSLATE(B21234,""en"",""de"")"),"Es gibt einen Mann in einem roten Hemd und braunen Hut, der mit einem Blattgebläse von seiner Einfahrt bläst.")</f>
        <v>Es gibt einen Mann in einem roten Hemd und braunen Hut, der mit einem Blattgebläse von seiner Einfahrt bläst.</v>
      </c>
    </row>
    <row r="21235">
      <c r="A21235" s="4" t="s">
        <v>26738</v>
      </c>
      <c r="B21235" s="4" t="s">
        <v>26740</v>
      </c>
      <c r="C21235" s="5" t="str">
        <f>IFERROR(__xludf.DUMMYFUNCTION("GOOGLETRANSLATE(B21235,""en"",""de"")"),"Er beginnt damit, die Blätter von der Nähe des vorderen Rasenes abzublasen.")</f>
        <v>Er beginnt damit, die Blätter von der Nähe des vorderen Rasenes abzublasen.</v>
      </c>
    </row>
    <row r="21236">
      <c r="A21236" s="4" t="s">
        <v>26738</v>
      </c>
      <c r="B21236" s="4" t="s">
        <v>26741</v>
      </c>
      <c r="C21236" s="5" t="str">
        <f>IFERROR(__xludf.DUMMYFUNCTION("GOOGLETRANSLATE(B21236,""en"",""de"")"),"Dann bewegt er sich in Richtung, wo sein weißer Van geparkt ist.")</f>
        <v>Dann bewegt er sich in Richtung, wo sein weißer Van geparkt ist.</v>
      </c>
    </row>
    <row r="21237">
      <c r="A21237" s="4" t="s">
        <v>26738</v>
      </c>
      <c r="B21237" s="4" t="s">
        <v>26742</v>
      </c>
      <c r="C21237" s="5" t="str">
        <f>IFERROR(__xludf.DUMMYFUNCTION("GOOGLETRANSLATE(B21237,""en"",""de"")"),"Er geht rund um die Einfahrt und bläst die Blätter und stellt sicher, dass er die gesamte Auffahrt abdeckt.")</f>
        <v>Er geht rund um die Einfahrt und bläst die Blätter und stellt sicher, dass er die gesamte Auffahrt abdeckt.</v>
      </c>
    </row>
    <row r="21238">
      <c r="A21238" s="4" t="s">
        <v>26738</v>
      </c>
      <c r="B21238" s="4" t="s">
        <v>26743</v>
      </c>
      <c r="C21238" s="5" t="str">
        <f>IFERROR(__xludf.DUMMYFUNCTION("GOOGLETRANSLATE(B21238,""en"",""de"")"),"Dann geht er in die Ecke der Garage und sprengt einen großen Stapel Blätter, der dort in einem Haufen liegt.")</f>
        <v>Dann geht er in die Ecke der Garage und sprengt einen großen Stapel Blätter, der dort in einem Haufen liegt.</v>
      </c>
    </row>
    <row r="21239">
      <c r="A21239" s="4" t="s">
        <v>26744</v>
      </c>
      <c r="B21239" s="4" t="s">
        <v>26745</v>
      </c>
      <c r="C21239" s="5" t="str">
        <f>IFERROR(__xludf.DUMMYFUNCTION("GOOGLETRANSLATE(B21239,""en"",""de"")"),"Ein Track -Athlet geht den Weg hinunter.")</f>
        <v>Ein Track -Athlet geht den Weg hinunter.</v>
      </c>
    </row>
    <row r="21240">
      <c r="A21240" s="4" t="s">
        <v>26744</v>
      </c>
      <c r="B21240" s="4" t="s">
        <v>26746</v>
      </c>
      <c r="C21240" s="5" t="str">
        <f>IFERROR(__xludf.DUMMYFUNCTION("GOOGLETRANSLATE(B21240,""en"",""de"")"),"Eine weibliche Teilnehmerin bereitet sich auf das Laufen vor.")</f>
        <v>Eine weibliche Teilnehmerin bereitet sich auf das Laufen vor.</v>
      </c>
    </row>
    <row r="21241">
      <c r="A21241" s="4" t="s">
        <v>26744</v>
      </c>
      <c r="B21241" s="4" t="s">
        <v>26747</v>
      </c>
      <c r="C21241" s="5" t="str">
        <f>IFERROR(__xludf.DUMMYFUNCTION("GOOGLETRANSLATE(B21241,""en"",""de"")"),"Sie rennt mit einem Speer über der Schulter und wirft ihn so weit wie möglich.")</f>
        <v>Sie rennt mit einem Speer über der Schulter und wirft ihn so weit wie möglich.</v>
      </c>
    </row>
    <row r="21242">
      <c r="A21242" s="4" t="s">
        <v>26744</v>
      </c>
      <c r="B21242" s="4" t="s">
        <v>26748</v>
      </c>
      <c r="C21242" s="5" t="str">
        <f>IFERROR(__xludf.DUMMYFUNCTION("GOOGLETRANSLATE(B21242,""en"",""de"")"),"Sie rennt dann vor der Stelle auf der Strecke weg.")</f>
        <v>Sie rennt dann vor der Stelle auf der Strecke weg.</v>
      </c>
    </row>
    <row r="21243">
      <c r="A21243" s="4" t="s">
        <v>26749</v>
      </c>
      <c r="B21243" s="4" t="s">
        <v>26750</v>
      </c>
      <c r="C21243" s="5" t="str">
        <f>IFERROR(__xludf.DUMMYFUNCTION("GOOGLETRANSLATE(B21243,""en"",""de"")"),"Mehrere Menschen surfen mit Paddeln im Meereswasser, die raue Wellen navigieren, während die Zuschauer von Booten und Kajaks zuschauen.")</f>
        <v>Mehrere Menschen surfen mit Paddeln im Meereswasser, die raue Wellen navigieren, während die Zuschauer von Booten und Kajaks zuschauen.</v>
      </c>
    </row>
    <row r="21244">
      <c r="A21244" s="4" t="s">
        <v>26749</v>
      </c>
      <c r="B21244" s="4" t="s">
        <v>26751</v>
      </c>
      <c r="C21244" s="5" t="str">
        <f>IFERROR(__xludf.DUMMYFUNCTION("GOOGLETRANSLATE(B21244,""en"",""de"")"),"Ein Mann rudert auf einem Surfbrett in einem Gewässer, wenn er mit dem Paddel mit dem Paddel navigieren und das Surfbrett leitet.")</f>
        <v>Ein Mann rudert auf einem Surfbrett in einem Gewässer, wenn er mit dem Paddel mit dem Paddel navigieren und das Surfbrett leitet.</v>
      </c>
    </row>
    <row r="21245">
      <c r="A21245" s="4" t="s">
        <v>26749</v>
      </c>
      <c r="B21245" s="4" t="s">
        <v>26752</v>
      </c>
      <c r="C21245" s="5" t="str">
        <f>IFERROR(__xludf.DUMMYFUNCTION("GOOGLETRANSLATE(B21245,""en"",""de"")"),"Ein anderer Mann wird in einem roten Outfit gezeigt, das das gleiche Kunststück mit dem Paddel zusammen mit einem weiteren Mann in einem grünen Hemd ausführt.")</f>
        <v>Ein anderer Mann wird in einem roten Outfit gezeigt, das das gleiche Kunststück mit dem Paddel zusammen mit einem weiteren Mann in einem grünen Hemd ausführt.</v>
      </c>
    </row>
    <row r="21246">
      <c r="A21246" s="4" t="s">
        <v>26749</v>
      </c>
      <c r="B21246" s="4" t="s">
        <v>26753</v>
      </c>
      <c r="C21246" s="5" t="str">
        <f>IFERROR(__xludf.DUMMYFUNCTION("GOOGLETRANSLATE(B21246,""en"",""de"")"),"Ein anderer Mann ist Paddel -Surfboard in einem klaren blauen Wassertyp, bevor die Szene wieder zu anderen anderen Menschen wechselt, die große und raue Wellen mit Surfbrett und Paddeln navigieren.")</f>
        <v>Ein anderer Mann ist Paddel -Surfboard in einem klaren blauen Wassertyp, bevor die Szene wieder zu anderen anderen Menschen wechselt, die große und raue Wellen mit Surfbrett und Paddeln navigieren.</v>
      </c>
    </row>
    <row r="21247">
      <c r="A21247" s="4" t="s">
        <v>26754</v>
      </c>
      <c r="B21247" s="4" t="s">
        <v>26755</v>
      </c>
      <c r="C21247" s="5" t="str">
        <f>IFERROR(__xludf.DUMMYFUNCTION("GOOGLETRANSLATE(B21247,""en"",""de"")"),"Eine große Gruppe von Menschen sitzt herum, während zwei Männer einen Tisch herausbringen und ein Mann und eine Frau darauf stehen.")</f>
        <v>Eine große Gruppe von Menschen sitzt herum, während zwei Männer einen Tisch herausbringen und ein Mann und eine Frau darauf stehen.</v>
      </c>
    </row>
    <row r="21248">
      <c r="A21248" s="4" t="s">
        <v>26754</v>
      </c>
      <c r="B21248" s="4" t="s">
        <v>26756</v>
      </c>
      <c r="C21248" s="5" t="str">
        <f>IFERROR(__xludf.DUMMYFUNCTION("GOOGLETRANSLATE(B21248,""en"",""de"")"),"Der Mann und die Frau sprechen mit der Menge und führen eine Tango -Routine durch, während sie die ganze Zeit auf dem Tisch stehen.")</f>
        <v>Der Mann und die Frau sprechen mit der Menge und führen eine Tango -Routine durch, während sie die ganze Zeit auf dem Tisch stehen.</v>
      </c>
    </row>
    <row r="21249">
      <c r="A21249" s="4" t="s">
        <v>26754</v>
      </c>
      <c r="B21249" s="4" t="s">
        <v>26757</v>
      </c>
      <c r="C21249" s="5" t="str">
        <f>IFERROR(__xludf.DUMMYFUNCTION("GOOGLETRANSLATE(B21249,""en"",""de"")"),"Die Leute steigen vom Tisch und verbeugen sich dem Publikum, das klatscht und die Kamera herumschwenkt.")</f>
        <v>Die Leute steigen vom Tisch und verbeugen sich dem Publikum, das klatscht und die Kamera herumschwenkt.</v>
      </c>
    </row>
    <row r="21250">
      <c r="A21250" s="4" t="s">
        <v>26758</v>
      </c>
      <c r="B21250" s="4" t="s">
        <v>26759</v>
      </c>
      <c r="C21250" s="5" t="str">
        <f>IFERROR(__xludf.DUMMYFUNCTION("GOOGLETRANSLATE(B21250,""en"",""de"")"),"Verschiedene Texte führen zu mehreren Klammern von Menschen, die auf ungleichmäßigen Stäben herumschwingen.")</f>
        <v>Verschiedene Texte führen zu mehreren Klammern von Menschen, die auf ungleichmäßigen Stäben herumschwingen.</v>
      </c>
    </row>
    <row r="21251">
      <c r="A21251" s="4" t="s">
        <v>26758</v>
      </c>
      <c r="B21251" s="4" t="s">
        <v>26760</v>
      </c>
      <c r="C21251" s="5" t="str">
        <f>IFERROR(__xludf.DUMMYFUNCTION("GOOGLETRANSLATE(B21251,""en"",""de"")"),"Immer mehr Turner werden von einem Strahl auf ungleiche Stangen springen.")</f>
        <v>Immer mehr Turner werden von einem Strahl auf ungleiche Stangen springen.</v>
      </c>
    </row>
    <row r="21252">
      <c r="A21252" s="4" t="s">
        <v>26758</v>
      </c>
      <c r="B21252" s="4" t="s">
        <v>26761</v>
      </c>
      <c r="C21252" s="5" t="str">
        <f>IFERROR(__xludf.DUMMYFUNCTION("GOOGLETRANSLATE(B21252,""en"",""de"")"),"Mehrere Frau werden von Rücken an Rücken gezeigt, die diese Tricks ausführen.")</f>
        <v>Mehrere Frau werden von Rücken an Rücken gezeigt, die diese Tricks ausführen.</v>
      </c>
    </row>
    <row r="21253">
      <c r="A21253" s="4" t="s">
        <v>26762</v>
      </c>
      <c r="B21253" s="4" t="s">
        <v>26763</v>
      </c>
      <c r="C21253" s="5" t="str">
        <f>IFERROR(__xludf.DUMMYFUNCTION("GOOGLETRANSLATE(B21253,""en"",""de"")"),"Eine weibliche Balletttänzerin befindet sich alleine in einem Studioraum, in dem sie einen lila Trikot mit einem angeschlossenen Rock trägt.")</f>
        <v>Eine weibliche Balletttänzerin befindet sich alleine in einem Studioraum, in dem sie einen lila Trikot mit einem angeschlossenen Rock trägt.</v>
      </c>
    </row>
    <row r="21254">
      <c r="A21254" s="4" t="s">
        <v>26762</v>
      </c>
      <c r="B21254" s="4" t="s">
        <v>26764</v>
      </c>
      <c r="C21254" s="5" t="str">
        <f>IFERROR(__xludf.DUMMYFUNCTION("GOOGLETRANSLATE(B21254,""en"",""de"")"),"Sie beginnt anmutig im Raum zu tanzen und macht eine Reihe von Kurven und tritt auf der Spitze ihrer Zehen.")</f>
        <v>Sie beginnt anmutig im Raum zu tanzen und macht eine Reihe von Kurven und tritt auf der Spitze ihrer Zehen.</v>
      </c>
    </row>
    <row r="21255">
      <c r="A21255" s="4" t="s">
        <v>26762</v>
      </c>
      <c r="B21255" s="4" t="s">
        <v>26765</v>
      </c>
      <c r="C21255" s="5" t="str">
        <f>IFERROR(__xludf.DUMMYFUNCTION("GOOGLETRANSLATE(B21255,""en"",""de"")"),"Schließlich beginnt sie eine Reihe von winzigen Rückwärtsstufen und Endzahlen in der Position, in der sie angefangen hat.")</f>
        <v>Schließlich beginnt sie eine Reihe von winzigen Rückwärtsstufen und Endzahlen in der Position, in der sie angefangen hat.</v>
      </c>
    </row>
    <row r="21256">
      <c r="A21256" s="4" t="s">
        <v>26766</v>
      </c>
      <c r="B21256" s="4" t="s">
        <v>26767</v>
      </c>
      <c r="C21256" s="5" t="str">
        <f>IFERROR(__xludf.DUMMYFUNCTION("GOOGLETRANSLATE(B21256,""en"",""de"")"),"Ein Mann am Straßenrand, der auf einem echten Trommel -Set abtrennt.")</f>
        <v>Ein Mann am Straßenrand, der auf einem echten Trommel -Set abtrennt.</v>
      </c>
    </row>
    <row r="21257">
      <c r="A21257" s="4" t="s">
        <v>26766</v>
      </c>
      <c r="B21257" s="4" t="s">
        <v>26768</v>
      </c>
      <c r="C21257" s="5" t="str">
        <f>IFERROR(__xludf.DUMMYFUNCTION("GOOGLETRANSLATE(B21257,""en"",""de"")"),"Die Leute stehen herum und warten auf ihn.")</f>
        <v>Die Leute stehen herum und warten auf ihn.</v>
      </c>
    </row>
    <row r="21258">
      <c r="A21258" s="4" t="s">
        <v>26766</v>
      </c>
      <c r="B21258" s="4" t="s">
        <v>26769</v>
      </c>
      <c r="C21258" s="5" t="str">
        <f>IFERROR(__xludf.DUMMYFUNCTION("GOOGLETRANSLATE(B21258,""en"",""de"")"),"Autos gehen vorbei und er trommelt einfach weiter wie normal.")</f>
        <v>Autos gehen vorbei und er trommelt einfach weiter wie normal.</v>
      </c>
    </row>
    <row r="21259">
      <c r="A21259" s="4" t="s">
        <v>26766</v>
      </c>
      <c r="B21259" s="4" t="s">
        <v>26770</v>
      </c>
      <c r="C21259" s="5" t="str">
        <f>IFERROR(__xludf.DUMMYFUNCTION("GOOGLETRANSLATE(B21259,""en"",""de"")"),"Er staut mit den Becken und allem aus.")</f>
        <v>Er staut mit den Becken und allem aus.</v>
      </c>
    </row>
    <row r="21260">
      <c r="A21260" s="4" t="s">
        <v>26771</v>
      </c>
      <c r="B21260" s="4" t="s">
        <v>26772</v>
      </c>
      <c r="C21260" s="5" t="str">
        <f>IFERROR(__xludf.DUMMYFUNCTION("GOOGLETRANSLATE(B21260,""en"",""de"")"),"Eine Frau stylt die Haare einer Schaufensterpuppe.")</f>
        <v>Eine Frau stylt die Haare einer Schaufensterpuppe.</v>
      </c>
    </row>
    <row r="21261">
      <c r="A21261" s="4" t="s">
        <v>26771</v>
      </c>
      <c r="B21261" s="4" t="s">
        <v>26773</v>
      </c>
      <c r="C21261" s="5" t="str">
        <f>IFERROR(__xludf.DUMMYFUNCTION("GOOGLETRANSLATE(B21261,""en"",""de"")"),"Sie rollt die Haare in Lockener auf dem Kopf des Mannequin.")</f>
        <v>Sie rollt die Haare in Lockener auf dem Kopf des Mannequin.</v>
      </c>
    </row>
    <row r="21262">
      <c r="A21262" s="4" t="s">
        <v>26771</v>
      </c>
      <c r="B21262" s="4" t="s">
        <v>26774</v>
      </c>
      <c r="C21262" s="5" t="str">
        <f>IFERROR(__xludf.DUMMYFUNCTION("GOOGLETRANSLATE(B21262,""en"",""de"")"),"Sie nimmt die Curlers aus den Haaren und stiles sie.")</f>
        <v>Sie nimmt die Curlers aus den Haaren und stiles sie.</v>
      </c>
    </row>
    <row r="21263">
      <c r="A21263" s="4" t="s">
        <v>26775</v>
      </c>
      <c r="B21263" s="4" t="s">
        <v>26776</v>
      </c>
      <c r="C21263" s="5" t="str">
        <f>IFERROR(__xludf.DUMMYFUNCTION("GOOGLETRANSLATE(B21263,""en"",""de"")"),"Filmstreifen scheinen über den Bildschirm zu rollen.")</f>
        <v>Filmstreifen scheinen über den Bildschirm zu rollen.</v>
      </c>
    </row>
    <row r="21264">
      <c r="A21264" s="4" t="s">
        <v>26775</v>
      </c>
      <c r="B21264" s="4" t="s">
        <v>26777</v>
      </c>
      <c r="C21264" s="5" t="str">
        <f>IFERROR(__xludf.DUMMYFUNCTION("GOOGLETRANSLATE(B21264,""en"",""de"")"),"Ein Mann verwendet an der Seite eines Gebäudes eine Teleskopstange.")</f>
        <v>Ein Mann verwendet an der Seite eines Gebäudes eine Teleskopstange.</v>
      </c>
    </row>
    <row r="21265">
      <c r="A21265" s="4" t="s">
        <v>26775</v>
      </c>
      <c r="B21265" s="4" t="s">
        <v>26778</v>
      </c>
      <c r="C21265" s="5" t="str">
        <f>IFERROR(__xludf.DUMMYFUNCTION("GOOGLETRANSLATE(B21265,""en"",""de"")"),"Er streckt es nach oben und reinigt dann die Seite des Gebäudes damit.")</f>
        <v>Er streckt es nach oben und reinigt dann die Seite des Gebäudes damit.</v>
      </c>
    </row>
    <row r="21266">
      <c r="A21266" s="4" t="s">
        <v>26775</v>
      </c>
      <c r="B21266" s="4" t="s">
        <v>26779</v>
      </c>
      <c r="C21266" s="5" t="str">
        <f>IFERROR(__xludf.DUMMYFUNCTION("GOOGLETRANSLATE(B21266,""en"",""de"")"),"Er benutzt es, um die Fenster zu reinigen, die am höchsten sind.")</f>
        <v>Er benutzt es, um die Fenster zu reinigen, die am höchsten sind.</v>
      </c>
    </row>
    <row r="21267">
      <c r="A21267" s="4" t="s">
        <v>26780</v>
      </c>
      <c r="B21267" s="4" t="s">
        <v>26781</v>
      </c>
      <c r="C21267" s="5" t="str">
        <f>IFERROR(__xludf.DUMMYFUNCTION("GOOGLETRANSLATE(B21267,""en"",""de"")"),"Der Mann in roter Jacke Ski am Hang.")</f>
        <v>Der Mann in roter Jacke Ski am Hang.</v>
      </c>
    </row>
    <row r="21268">
      <c r="A21268" s="4" t="s">
        <v>26780</v>
      </c>
      <c r="B21268" s="4" t="s">
        <v>26782</v>
      </c>
      <c r="C21268" s="5" t="str">
        <f>IFERROR(__xludf.DUMMYFUNCTION("GOOGLETRANSLATE(B21268,""en"",""de"")"),"Der Mann, der in den Hang fährt mit den Knien, die sich biegen.")</f>
        <v>Der Mann, der in den Hang fährt mit den Knien, die sich biegen.</v>
      </c>
    </row>
    <row r="21269">
      <c r="A21269" s="4" t="s">
        <v>26780</v>
      </c>
      <c r="B21269" s="4" t="s">
        <v>26783</v>
      </c>
      <c r="C21269" s="5" t="str">
        <f>IFERROR(__xludf.DUMMYFUNCTION("GOOGLETRANSLATE(B21269,""en"",""de"")"),"Der Mann fährt den Berg hinunter.")</f>
        <v>Der Mann fährt den Berg hinunter.</v>
      </c>
    </row>
    <row r="21270">
      <c r="A21270" s="4" t="s">
        <v>26784</v>
      </c>
      <c r="B21270" s="4" t="s">
        <v>26785</v>
      </c>
      <c r="C21270" s="5" t="str">
        <f>IFERROR(__xludf.DUMMYFUNCTION("GOOGLETRANSLATE(B21270,""en"",""de"")"),"Wir sehen eine Person vor einem Schuh, der eine Dose mit Pinsel hält.")</f>
        <v>Wir sehen eine Person vor einem Schuh, der eine Dose mit Pinsel hält.</v>
      </c>
    </row>
    <row r="21271">
      <c r="A21271" s="4" t="s">
        <v>26784</v>
      </c>
      <c r="B21271" s="4" t="s">
        <v>26786</v>
      </c>
      <c r="C21271" s="5" t="str">
        <f>IFERROR(__xludf.DUMMYFUNCTION("GOOGLETRANSLATE(B21271,""en"",""de"")"),"Der Mann nimmt das Oberteil ab und sprüht die Schuhe.")</f>
        <v>Der Mann nimmt das Oberteil ab und sprüht die Schuhe.</v>
      </c>
    </row>
    <row r="21272">
      <c r="A21272" s="4" t="s">
        <v>26784</v>
      </c>
      <c r="B21272" s="4" t="s">
        <v>26787</v>
      </c>
      <c r="C21272" s="5" t="str">
        <f>IFERROR(__xludf.DUMMYFUNCTION("GOOGLETRANSLATE(B21272,""en"",""de"")"),"Der Mann benutzt die Bürste am Schuh, um den Schuh zu reiben.")</f>
        <v>Der Mann benutzt die Bürste am Schuh, um den Schuh zu reiben.</v>
      </c>
    </row>
    <row r="21273">
      <c r="A21273" s="4" t="s">
        <v>26784</v>
      </c>
      <c r="B21273" s="4" t="s">
        <v>26788</v>
      </c>
      <c r="C21273" s="5" t="str">
        <f>IFERROR(__xludf.DUMMYFUNCTION("GOOGLETRANSLATE(B21273,""en"",""de"")"),"Der Mann legt das Oberteil zurück in die Dose.")</f>
        <v>Der Mann legt das Oberteil zurück in die Dose.</v>
      </c>
    </row>
    <row r="21274">
      <c r="A21274" s="4" t="s">
        <v>26784</v>
      </c>
      <c r="B21274" s="4" t="s">
        <v>26789</v>
      </c>
      <c r="C21274" s="5" t="str">
        <f>IFERROR(__xludf.DUMMYFUNCTION("GOOGLETRANSLATE(B21274,""en"",""de"")"),"Der Mann steht auf und packt die Kamera.")</f>
        <v>Der Mann steht auf und packt die Kamera.</v>
      </c>
    </row>
    <row r="21275">
      <c r="A21275" s="4" t="s">
        <v>26790</v>
      </c>
      <c r="B21275" s="4" t="s">
        <v>26791</v>
      </c>
      <c r="C21275" s="5" t="str">
        <f>IFERROR(__xludf.DUMMYFUNCTION("GOOGLETRANSLATE(B21275,""en"",""de"")"),"Die Menschen fliegen Drachen auf Gras.")</f>
        <v>Die Menschen fliegen Drachen auf Gras.</v>
      </c>
    </row>
    <row r="21276">
      <c r="A21276" s="4" t="s">
        <v>26790</v>
      </c>
      <c r="B21276" s="4" t="s">
        <v>26792</v>
      </c>
      <c r="C21276" s="5" t="str">
        <f>IFERROR(__xludf.DUMMYFUNCTION("GOOGLETRANSLATE(B21276,""en"",""de"")"),"Die Drachen sind am Himmel gezeigt.")</f>
        <v>Die Drachen sind am Himmel gezeigt.</v>
      </c>
    </row>
    <row r="21277">
      <c r="A21277" s="4" t="s">
        <v>26790</v>
      </c>
      <c r="B21277" s="4" t="s">
        <v>26793</v>
      </c>
      <c r="C21277" s="5" t="str">
        <f>IFERROR(__xludf.DUMMYFUNCTION("GOOGLETRANSLATE(B21277,""en"",""de"")"),"Eine Frau hält einen lila Regenschirm.")</f>
        <v>Eine Frau hält einen lila Regenschirm.</v>
      </c>
    </row>
    <row r="21278">
      <c r="A21278" s="4" t="s">
        <v>26790</v>
      </c>
      <c r="B21278" s="4" t="s">
        <v>26794</v>
      </c>
      <c r="C21278" s="5" t="str">
        <f>IFERROR(__xludf.DUMMYFUNCTION("GOOGLETRANSLATE(B21278,""en"",""de"")"),"Die Leute gehen in einem Park herum.")</f>
        <v>Die Leute gehen in einem Park herum.</v>
      </c>
    </row>
    <row r="21279">
      <c r="A21279" s="4" t="s">
        <v>26795</v>
      </c>
      <c r="B21279" s="4" t="s">
        <v>26796</v>
      </c>
      <c r="C21279" s="5" t="str">
        <f>IFERROR(__xludf.DUMMYFUNCTION("GOOGLETRANSLATE(B21279,""en"",""de"")"),"Ein weißer Teller sitzt auf einem weißen Tisch in einer Küche.")</f>
        <v>Ein weißer Teller sitzt auf einem weißen Tisch in einer Küche.</v>
      </c>
    </row>
    <row r="21280">
      <c r="A21280" s="4" t="s">
        <v>26795</v>
      </c>
      <c r="B21280" s="4" t="s">
        <v>26797</v>
      </c>
      <c r="C21280" s="5" t="str">
        <f>IFERROR(__xludf.DUMMYFUNCTION("GOOGLETRANSLATE(B21280,""en"",""de"")"),"Ein Kind legt die Türkeischeiben auf zwei Stück Weißbrot und fügt dann ein Stück Käse hinzu.")</f>
        <v>Ein Kind legt die Türkeischeiben auf zwei Stück Weißbrot und fügt dann ein Stück Käse hinzu.</v>
      </c>
    </row>
    <row r="21281">
      <c r="A21281" s="4" t="s">
        <v>26795</v>
      </c>
      <c r="B21281" s="4" t="s">
        <v>26798</v>
      </c>
      <c r="C21281" s="5" t="str">
        <f>IFERROR(__xludf.DUMMYFUNCTION("GOOGLETRANSLATE(B21281,""en"",""de"")"),"Schließlich fügt sie eine Schicht Wunderpeitsche hinzu.")</f>
        <v>Schließlich fügt sie eine Schicht Wunderpeitsche hinzu.</v>
      </c>
    </row>
    <row r="21282">
      <c r="A21282" s="4" t="s">
        <v>26795</v>
      </c>
      <c r="B21282" s="4" t="s">
        <v>26799</v>
      </c>
      <c r="C21282" s="5" t="str">
        <f>IFERROR(__xludf.DUMMYFUNCTION("GOOGLETRANSLATE(B21282,""en"",""de"")"),"Sie beugt sich vor und nimmt einen großen Bissen des Sandwichs.")</f>
        <v>Sie beugt sich vor und nimmt einen großen Bissen des Sandwichs.</v>
      </c>
    </row>
    <row r="21283">
      <c r="A21283" s="4" t="s">
        <v>26800</v>
      </c>
      <c r="B21283" s="4" t="s">
        <v>26801</v>
      </c>
      <c r="C21283" s="5" t="str">
        <f>IFERROR(__xludf.DUMMYFUNCTION("GOOGLETRANSLATE(B21283,""en"",""de"")"),"Zwei Frauen sind auf einem Gericht mit Sprungseilen.")</f>
        <v>Zwei Frauen sind auf einem Gericht mit Sprungseilen.</v>
      </c>
    </row>
    <row r="21284">
      <c r="A21284" s="4" t="s">
        <v>26800</v>
      </c>
      <c r="B21284" s="4" t="s">
        <v>26802</v>
      </c>
      <c r="C21284" s="5" t="str">
        <f>IFERROR(__xludf.DUMMYFUNCTION("GOOGLETRANSLATE(B21284,""en"",""de"")"),"Sie machen mehrere Stunts, während sie die Seile springen.")</f>
        <v>Sie machen mehrere Stunts, während sie die Seile springen.</v>
      </c>
    </row>
    <row r="21285">
      <c r="A21285" s="4" t="s">
        <v>26800</v>
      </c>
      <c r="B21285" s="4" t="s">
        <v>26803</v>
      </c>
      <c r="C21285" s="5" t="str">
        <f>IFERROR(__xludf.DUMMYFUNCTION("GOOGLETRANSLATE(B21285,""en"",""de"")"),"Sie drehen sich im Einklang rückwärts und seitlich vorwärts.")</f>
        <v>Sie drehen sich im Einklang rückwärts und seitlich vorwärts.</v>
      </c>
    </row>
    <row r="21286">
      <c r="A21286" s="4" t="s">
        <v>26804</v>
      </c>
      <c r="B21286" s="4" t="s">
        <v>26805</v>
      </c>
      <c r="C21286" s="5" t="str">
        <f>IFERROR(__xludf.DUMMYFUNCTION("GOOGLETRANSLATE(B21286,""en"",""de"")"),"Ein Turner sitzt vor einem Strahl und führt eine Routine mit einer anderen Person durch, die an seine untere Hälfte befestigt ist.")</f>
        <v>Ein Turner sitzt vor einem Strahl und führt eine Routine mit einer anderen Person durch, die an seine untere Hälfte befestigt ist.</v>
      </c>
    </row>
    <row r="21287">
      <c r="A21287" s="4" t="s">
        <v>26804</v>
      </c>
      <c r="B21287" s="4" t="s">
        <v>26806</v>
      </c>
      <c r="C21287" s="5" t="str">
        <f>IFERROR(__xludf.DUMMYFUNCTION("GOOGLETRANSLATE(B21287,""en"",""de"")"),"Die beiden anwesend sind ein Turner in einer Bar und enden damit, dass sie mit den Armen abspringen.")</f>
        <v>Die beiden anwesend sind ein Turner in einer Bar und enden damit, dass sie mit den Armen abspringen.</v>
      </c>
    </row>
    <row r="21288">
      <c r="A21288" s="4" t="s">
        <v>26807</v>
      </c>
      <c r="B21288" s="4" t="s">
        <v>26808</v>
      </c>
      <c r="C21288" s="5" t="str">
        <f>IFERROR(__xludf.DUMMYFUNCTION("GOOGLETRANSLATE(B21288,""en"",""de"")"),"Ein männlicher Stylist spricht, während er die Haare einer Frau glättet.")</f>
        <v>Ein männlicher Stylist spricht, während er die Haare einer Frau glättet.</v>
      </c>
    </row>
    <row r="21289">
      <c r="A21289" s="4" t="s">
        <v>26807</v>
      </c>
      <c r="B21289" s="4" t="s">
        <v>26809</v>
      </c>
      <c r="C21289" s="5" t="str">
        <f>IFERROR(__xludf.DUMMYFUNCTION("GOOGLETRANSLATE(B21289,""en"",""de"")"),"Dann zeigt er, wie man ihre Haare schneidet und stymt und sie während des gesamten Zeitpunkts schneidet.")</f>
        <v>Dann zeigt er, wie man ihre Haare schneidet und stymt und sie während des gesamten Zeitpunkts schneidet.</v>
      </c>
    </row>
    <row r="21290">
      <c r="A21290" s="4" t="s">
        <v>26807</v>
      </c>
      <c r="B21290" s="4" t="s">
        <v>26810</v>
      </c>
      <c r="C21290" s="5" t="str">
        <f>IFERROR(__xludf.DUMMYFUNCTION("GOOGLETRANSLATE(B21290,""en"",""de"")"),"Wenn er fertig ist, bläst er sie Haartrockner und gibt ihr das letzte Styling.")</f>
        <v>Wenn er fertig ist, bläst er sie Haartrockner und gibt ihr das letzte Styling.</v>
      </c>
    </row>
    <row r="21291">
      <c r="A21291" s="4" t="s">
        <v>26811</v>
      </c>
      <c r="B21291" s="4" t="s">
        <v>26812</v>
      </c>
      <c r="C21291" s="5" t="str">
        <f>IFERROR(__xludf.DUMMYFUNCTION("GOOGLETRANSLATE(B21291,""en"",""de"")"),"Wir sehen Finger vor der Kamera.")</f>
        <v>Wir sehen Finger vor der Kamera.</v>
      </c>
    </row>
    <row r="21292">
      <c r="A21292" s="4" t="s">
        <v>26811</v>
      </c>
      <c r="B21292" s="4" t="s">
        <v>26813</v>
      </c>
      <c r="C21292" s="5" t="str">
        <f>IFERROR(__xludf.DUMMYFUNCTION("GOOGLETRANSLATE(B21292,""en"",""de"")"),"Ein Mann in Green geht zu einem Kürbishof.")</f>
        <v>Ein Mann in Green geht zu einem Kürbishof.</v>
      </c>
    </row>
    <row r="21293">
      <c r="A21293" s="4" t="s">
        <v>26811</v>
      </c>
      <c r="B21293" s="4" t="s">
        <v>26814</v>
      </c>
      <c r="C21293" s="5" t="str">
        <f>IFERROR(__xludf.DUMMYFUNCTION("GOOGLETRANSLATE(B21293,""en"",""de"")"),"Das Licht geht aus und der Raum ist dunkel.")</f>
        <v>Das Licht geht aus und der Raum ist dunkel.</v>
      </c>
    </row>
    <row r="21294">
      <c r="A21294" s="4" t="s">
        <v>26811</v>
      </c>
      <c r="B21294" s="4" t="s">
        <v>26815</v>
      </c>
      <c r="C21294" s="5" t="str">
        <f>IFERROR(__xludf.DUMMYFUNCTION("GOOGLETRANSLATE(B21294,""en"",""de"")"),"Der Mann in Green geht in die Mitte des Hofes und schlägt den Ball hin und her.")</f>
        <v>Der Mann in Green geht in die Mitte des Hofes und schlägt den Ball hin und her.</v>
      </c>
    </row>
    <row r="21295">
      <c r="A21295" s="4" t="s">
        <v>26811</v>
      </c>
      <c r="B21295" s="4" t="s">
        <v>26816</v>
      </c>
      <c r="C21295" s="5" t="str">
        <f>IFERROR(__xludf.DUMMYFUNCTION("GOOGLETRANSLATE(B21295,""en"",""de"")"),"Der Mann endet und geht zur Kamera.")</f>
        <v>Der Mann endet und geht zur Kamera.</v>
      </c>
    </row>
    <row r="21296">
      <c r="A21296" s="4" t="s">
        <v>26817</v>
      </c>
      <c r="B21296" s="4" t="s">
        <v>26818</v>
      </c>
      <c r="C21296" s="5" t="str">
        <f>IFERROR(__xludf.DUMMYFUNCTION("GOOGLETRANSLATE(B21296,""en"",""de"")"),"Ein kleines Kind sitzt auf dem Boden und greift mit seinen Händen Eis.")</f>
        <v>Ein kleines Kind sitzt auf dem Boden und greift mit seinen Händen Eis.</v>
      </c>
    </row>
    <row r="21297">
      <c r="A21297" s="4" t="s">
        <v>26817</v>
      </c>
      <c r="B21297" s="4" t="s">
        <v>26819</v>
      </c>
      <c r="C21297" s="5" t="str">
        <f>IFERROR(__xludf.DUMMYFUNCTION("GOOGLETRANSLATE(B21297,""en"",""de"")"),"Das Kind schnappt sich dann einen Löffel und benutzt weiterhin seine Hände, um zu essen.")</f>
        <v>Das Kind schnappt sich dann einen Löffel und benutzt weiterhin seine Hände, um zu essen.</v>
      </c>
    </row>
    <row r="21298">
      <c r="A21298" s="4" t="s">
        <v>26820</v>
      </c>
      <c r="B21298" s="4" t="s">
        <v>26821</v>
      </c>
      <c r="C21298" s="5" t="str">
        <f>IFERROR(__xludf.DUMMYFUNCTION("GOOGLETRANSLATE(B21298,""en"",""de"")"),"Eine Frau spricht mit der Kamera und führt in ihr ein Glas Honig.")</f>
        <v>Eine Frau spricht mit der Kamera und führt in ihr ein Glas Honig.</v>
      </c>
    </row>
    <row r="21299">
      <c r="A21299" s="4" t="s">
        <v>26820</v>
      </c>
      <c r="B21299" s="4" t="s">
        <v>26822</v>
      </c>
      <c r="C21299" s="5" t="str">
        <f>IFERROR(__xludf.DUMMYFUNCTION("GOOGLETRANSLATE(B21299,""en"",""de"")"),"Sie spricht weiter und führt in ihren reibenden Honig im Gesicht.")</f>
        <v>Sie spricht weiter und führt in ihren reibenden Honig im Gesicht.</v>
      </c>
    </row>
    <row r="21300">
      <c r="A21300" s="4" t="s">
        <v>26820</v>
      </c>
      <c r="B21300" s="4" t="s">
        <v>26823</v>
      </c>
      <c r="C21300" s="5" t="str">
        <f>IFERROR(__xludf.DUMMYFUNCTION("GOOGLETRANSLATE(B21300,""en"",""de"")"),"Sie trocknet von der Maske aus und spricht weiter, während sie zur Kamera lächelt.")</f>
        <v>Sie trocknet von der Maske aus und spricht weiter, während sie zur Kamera lächelt.</v>
      </c>
    </row>
    <row r="21301">
      <c r="A21301" s="4" t="s">
        <v>26824</v>
      </c>
      <c r="B21301" s="4" t="s">
        <v>26825</v>
      </c>
      <c r="C21301" s="5" t="str">
        <f>IFERROR(__xludf.DUMMYFUNCTION("GOOGLETRANSLATE(B21301,""en"",""de"")"),"Es wird eine Ansicht von einem Mann gezeigt, der ein Paddel aus einem Zaun entfernt.")</f>
        <v>Es wird eine Ansicht von einem Mann gezeigt, der ein Paddel aus einem Zaun entfernt.</v>
      </c>
    </row>
    <row r="21302">
      <c r="A21302" s="4" t="s">
        <v>26824</v>
      </c>
      <c r="B21302" s="4" t="s">
        <v>26826</v>
      </c>
      <c r="C21302" s="5" t="str">
        <f>IFERROR(__xludf.DUMMYFUNCTION("GOOGLETRANSLATE(B21302,""en"",""de"")"),"Wir sehen sein Gesicht, als er spricht, bevor er einen sehr dünnen Strom in offene Wasser kreist.")</f>
        <v>Wir sehen sein Gesicht, als er spricht, bevor er einen sehr dünnen Strom in offene Wasser kreist.</v>
      </c>
    </row>
    <row r="21303">
      <c r="A21303" s="4" t="s">
        <v>26824</v>
      </c>
      <c r="B21303" s="4" t="s">
        <v>26827</v>
      </c>
      <c r="C21303" s="5" t="str">
        <f>IFERROR(__xludf.DUMMYFUNCTION("GOOGLETRANSLATE(B21303,""en"",""de"")"),"Er benutzt sein Telefon, als eine andere Person ankommt, und dann Videos, die andere den Durchgang abschießen.")</f>
        <v>Er benutzt sein Telefon, als eine andere Person ankommt, und dann Videos, die andere den Durchgang abschießen.</v>
      </c>
    </row>
    <row r="21304">
      <c r="A21304" s="4" t="s">
        <v>26828</v>
      </c>
      <c r="B21304" s="4" t="s">
        <v>26829</v>
      </c>
      <c r="C21304" s="5" t="str">
        <f>IFERROR(__xludf.DUMMYFUNCTION("GOOGLETRANSLATE(B21304,""en"",""de"")"),"Die Leute fahren Spinbikes in einem Fitnessstudio.")</f>
        <v>Die Leute fahren Spinbikes in einem Fitnessstudio.</v>
      </c>
    </row>
    <row r="21305">
      <c r="A21305" s="4" t="s">
        <v>26828</v>
      </c>
      <c r="B21305" s="4" t="s">
        <v>26830</v>
      </c>
      <c r="C21305" s="5" t="str">
        <f>IFERROR(__xludf.DUMMYFUNCTION("GOOGLETRANSLATE(B21305,""en"",""de"")"),"Zwei Frauen arbeiten an Trainingsrädern.")</f>
        <v>Zwei Frauen arbeiten an Trainingsrädern.</v>
      </c>
    </row>
    <row r="21306">
      <c r="A21306" s="4" t="s">
        <v>26828</v>
      </c>
      <c r="B21306" s="4" t="s">
        <v>26831</v>
      </c>
      <c r="C21306" s="5" t="str">
        <f>IFERROR(__xludf.DUMMYFUNCTION("GOOGLETRANSLATE(B21306,""en"",""de"")"),"Gelbe Wörter kommen auf den Bildschirm.")</f>
        <v>Gelbe Wörter kommen auf den Bildschirm.</v>
      </c>
    </row>
    <row r="21307">
      <c r="A21307" s="4" t="s">
        <v>26832</v>
      </c>
      <c r="B21307" s="4" t="s">
        <v>26833</v>
      </c>
      <c r="C21307" s="5" t="str">
        <f>IFERROR(__xludf.DUMMYFUNCTION("GOOGLETRANSLATE(B21307,""en"",""de"")"),"Es wird ein Countdown von Text gezeigt, der in Clips von Sumo -Wrestlern führt, die beeindruckende Würfe durchführen.")</f>
        <v>Es wird ein Countdown von Text gezeigt, der in Clips von Sumo -Wrestlern führt, die beeindruckende Würfe durchführen.</v>
      </c>
    </row>
    <row r="21308">
      <c r="A21308" s="4" t="s">
        <v>26832</v>
      </c>
      <c r="B21308" s="4" t="s">
        <v>26834</v>
      </c>
      <c r="C21308" s="5" t="str">
        <f>IFERROR(__xludf.DUMMYFUNCTION("GOOGLETRANSLATE(B21308,""en"",""de"")"),"Das Video zählt weiter nach unten, da mehr Schüsse von Sumo -Wrestlern gezeigt werden, die gegenseitig kämpfen und Menschen nebenbei beobachten.")</f>
        <v>Das Video zählt weiter nach unten, da mehr Schüsse von Sumo -Wrestlern gezeigt werden, die gegenseitig kämpfen und Menschen nebenbei beobachten.</v>
      </c>
    </row>
    <row r="21309">
      <c r="A21309" s="4" t="s">
        <v>26835</v>
      </c>
      <c r="B21309" s="4" t="s">
        <v>26836</v>
      </c>
      <c r="C21309" s="5" t="str">
        <f>IFERROR(__xludf.DUMMYFUNCTION("GOOGLETRANSLATE(B21309,""en"",""de"")"),"Eine Person in einem Möbelgeschäft spricht über beliebte Möbel aus zurückgewonnenem Holz.")</f>
        <v>Eine Person in einem Möbelgeschäft spricht über beliebte Möbel aus zurückgewonnenem Holz.</v>
      </c>
    </row>
    <row r="21310">
      <c r="A21310" s="4" t="s">
        <v>26835</v>
      </c>
      <c r="B21310" s="4" t="s">
        <v>26837</v>
      </c>
      <c r="C21310" s="5" t="str">
        <f>IFERROR(__xludf.DUMMYFUNCTION("GOOGLETRANSLATE(B21310,""en"",""de"")"),"Er zeigt rustikale, zeitgenössische und traditionelle Möbel, die in seinem Laden enthalten sind.")</f>
        <v>Er zeigt rustikale, zeitgenössische und traditionelle Möbel, die in seinem Laden enthalten sind.</v>
      </c>
    </row>
    <row r="21311">
      <c r="A21311" s="4" t="s">
        <v>26835</v>
      </c>
      <c r="B21311" s="4" t="s">
        <v>26838</v>
      </c>
      <c r="C21311" s="5" t="str">
        <f>IFERROR(__xludf.DUMMYFUNCTION("GOOGLETRANSLATE(B21311,""en"",""de"")"),"Er zeigt das hochwertige zurückgewonnene Holz und die verschiedenen Möbel daraus.")</f>
        <v>Er zeigt das hochwertige zurückgewonnene Holz und die verschiedenen Möbel daraus.</v>
      </c>
    </row>
    <row r="21312">
      <c r="A21312" s="4" t="s">
        <v>26839</v>
      </c>
      <c r="B21312" s="4" t="s">
        <v>26840</v>
      </c>
      <c r="C21312" s="5" t="str">
        <f>IFERROR(__xludf.DUMMYFUNCTION("GOOGLETRANSLATE(B21312,""en"",""de"")"),"Wir sehen einen Titel in der oberen linken Ecke.")</f>
        <v>Wir sehen einen Titel in der oberen linken Ecke.</v>
      </c>
    </row>
    <row r="21313">
      <c r="A21313" s="4" t="s">
        <v>26839</v>
      </c>
      <c r="B21313" s="4" t="s">
        <v>539</v>
      </c>
      <c r="C21313" s="5" t="str">
        <f>IFERROR(__xludf.DUMMYFUNCTION("GOOGLETRANSLATE(B21313,""en"",""de"")"),"Ein Mann spricht mit der Kamera.")</f>
        <v>Ein Mann spricht mit der Kamera.</v>
      </c>
    </row>
    <row r="21314">
      <c r="A21314" s="4" t="s">
        <v>26839</v>
      </c>
      <c r="B21314" s="4" t="s">
        <v>26841</v>
      </c>
      <c r="C21314" s="5" t="str">
        <f>IFERROR(__xludf.DUMMYFUNCTION("GOOGLETRANSLATE(B21314,""en"",""de"")"),"Der Mann bohrt die Schränke auseinander und wischt sie ab und malt sie.")</f>
        <v>Der Mann bohrt die Schränke auseinander und wischt sie ab und malt sie.</v>
      </c>
    </row>
    <row r="21315">
      <c r="A21315" s="4" t="s">
        <v>26839</v>
      </c>
      <c r="B21315" s="4" t="s">
        <v>26842</v>
      </c>
      <c r="C21315" s="5" t="str">
        <f>IFERROR(__xludf.DUMMYFUNCTION("GOOGLETRANSLATE(B21315,""en"",""de"")"),"Die Schränke trocken und der Mann wischt sie ab.")</f>
        <v>Die Schränke trocken und der Mann wischt sie ab.</v>
      </c>
    </row>
    <row r="21316">
      <c r="A21316" s="4" t="s">
        <v>26839</v>
      </c>
      <c r="B21316" s="4" t="s">
        <v>26843</v>
      </c>
      <c r="C21316" s="5" t="str">
        <f>IFERROR(__xludf.DUMMYFUNCTION("GOOGLETRANSLATE(B21316,""en"",""de"")"),"Wir sehen eine Person, die ein Produkt über die Farbe anwendet.")</f>
        <v>Wir sehen eine Person, die ein Produkt über die Farbe anwendet.</v>
      </c>
    </row>
    <row r="21317">
      <c r="A21317" s="4" t="s">
        <v>26839</v>
      </c>
      <c r="B21317" s="4" t="s">
        <v>26844</v>
      </c>
      <c r="C21317" s="5" t="str">
        <f>IFERROR(__xludf.DUMMYFUNCTION("GOOGLETRANSLATE(B21317,""en"",""de"")"),"Wir sehen, wie die Kabinettsgesichter die Schränke zurücklegen.")</f>
        <v>Wir sehen, wie die Kabinettsgesichter die Schränke zurücklegen.</v>
      </c>
    </row>
    <row r="21318">
      <c r="A21318" s="4" t="s">
        <v>26839</v>
      </c>
      <c r="B21318" s="4" t="s">
        <v>26690</v>
      </c>
      <c r="C21318" s="5" t="str">
        <f>IFERROR(__xludf.DUMMYFUNCTION("GOOGLETRANSLATE(B21318,""en"",""de"")"),"Wir sehen die Endkredite auf einem schwarzen Bildschirm.")</f>
        <v>Wir sehen die Endkredite auf einem schwarzen Bildschirm.</v>
      </c>
    </row>
    <row r="21319">
      <c r="A21319" s="4" t="s">
        <v>26845</v>
      </c>
      <c r="B21319" s="4" t="s">
        <v>26846</v>
      </c>
      <c r="C21319" s="5" t="str">
        <f>IFERROR(__xludf.DUMMYFUNCTION("GOOGLETRANSLATE(B21319,""en"",""de"")"),"Die Santa Cruz Nomad Bike Company zeigt, wie ein Fahrrad installiert wird.")</f>
        <v>Die Santa Cruz Nomad Bike Company zeigt, wie ein Fahrrad installiert wird.</v>
      </c>
    </row>
    <row r="21320">
      <c r="A21320" s="4" t="s">
        <v>26845</v>
      </c>
      <c r="B21320" s="4" t="s">
        <v>26847</v>
      </c>
      <c r="C21320" s="5" t="str">
        <f>IFERROR(__xludf.DUMMYFUNCTION("GOOGLETRANSLATE(B21320,""en"",""de"")"),"Der Vertreter des Unternehmens stellt das Fahrradteil Stück für Stück zusammen.")</f>
        <v>Der Vertreter des Unternehmens stellt das Fahrradteil Stück für Stück zusammen.</v>
      </c>
    </row>
    <row r="21321">
      <c r="A21321" s="4" t="s">
        <v>26845</v>
      </c>
      <c r="B21321" s="4" t="s">
        <v>26848</v>
      </c>
      <c r="C21321" s="5" t="str">
        <f>IFERROR(__xludf.DUMMYFUNCTION("GOOGLETRANSLATE(B21321,""en"",""de"")"),"Er beginnt mit dem Hauptkörper und geht dann, um die Räder, den Griff und die Pedale zu befestigen.")</f>
        <v>Er beginnt mit dem Hauptkörper und geht dann, um die Räder, den Griff und die Pedale zu befestigen.</v>
      </c>
    </row>
    <row r="21322">
      <c r="A21322" s="4" t="s">
        <v>26845</v>
      </c>
      <c r="B21322" s="4" t="s">
        <v>26849</v>
      </c>
      <c r="C21322" s="5" t="str">
        <f>IFERROR(__xludf.DUMMYFUNCTION("GOOGLETRANSLATE(B21322,""en"",""de"")"),"Dann geht er vor und findet die Gummirreifen.")</f>
        <v>Dann geht er vor und findet die Gummirreifen.</v>
      </c>
    </row>
    <row r="21323">
      <c r="A21323" s="4" t="s">
        <v>26845</v>
      </c>
      <c r="B21323" s="4" t="s">
        <v>26850</v>
      </c>
      <c r="C21323" s="5" t="str">
        <f>IFERROR(__xludf.DUMMYFUNCTION("GOOGLETRANSLATE(B21323,""en"",""de"")"),"Danach repariert er die Griffe des Fahrrads mit schwarzen Gummiplatten.")</f>
        <v>Danach repariert er die Griffe des Fahrrads mit schwarzen Gummiplatten.</v>
      </c>
    </row>
    <row r="21324">
      <c r="A21324" s="4" t="s">
        <v>26845</v>
      </c>
      <c r="B21324" s="4" t="s">
        <v>26851</v>
      </c>
      <c r="C21324" s="5" t="str">
        <f>IFERROR(__xludf.DUMMYFUNCTION("GOOGLETRANSLATE(B21324,""en"",""de"")"),"Er verstärkt schließlich alle Teile und stellt sicher, dass das Fahrrad bereit ist.")</f>
        <v>Er verstärkt schließlich alle Teile und stellt sicher, dass das Fahrrad bereit ist.</v>
      </c>
    </row>
    <row r="21325">
      <c r="A21325" s="4" t="s">
        <v>26845</v>
      </c>
      <c r="B21325" s="4" t="s">
        <v>26852</v>
      </c>
      <c r="C21325" s="5" t="str">
        <f>IFERROR(__xludf.DUMMYFUNCTION("GOOGLETRANSLATE(B21325,""en"",""de"")"),"Wenn er fertig ist, steigt er auf das Fahrrad und fährt es.")</f>
        <v>Wenn er fertig ist, steigt er auf das Fahrrad und fährt es.</v>
      </c>
    </row>
    <row r="21326">
      <c r="A21326" s="4" t="s">
        <v>26853</v>
      </c>
      <c r="B21326" s="4" t="s">
        <v>26854</v>
      </c>
      <c r="C21326" s="5" t="str">
        <f>IFERROR(__xludf.DUMMYFUNCTION("GOOGLETRANSLATE(B21326,""en"",""de"")"),"Eine Person sitzt vor einem Schreibtisch, der eine Gitarre in seinen Händen hält.")</f>
        <v>Eine Person sitzt vor einem Schreibtisch, der eine Gitarre in seinen Händen hält.</v>
      </c>
    </row>
    <row r="21327">
      <c r="A21327" s="4" t="s">
        <v>26853</v>
      </c>
      <c r="B21327" s="4" t="s">
        <v>26855</v>
      </c>
      <c r="C21327" s="5" t="str">
        <f>IFERROR(__xludf.DUMMYFUNCTION("GOOGLETRANSLATE(B21327,""en"",""de"")"),"Der Mann beginnt dann das Instrument zu spielen, um seine Hände auf und ab zu bewegen.")</f>
        <v>Der Mann beginnt dann das Instrument zu spielen, um seine Hände auf und ab zu bewegen.</v>
      </c>
    </row>
    <row r="21328">
      <c r="A21328" s="4" t="s">
        <v>26853</v>
      </c>
      <c r="B21328" s="4" t="s">
        <v>26856</v>
      </c>
      <c r="C21328" s="5" t="str">
        <f>IFERROR(__xludf.DUMMYFUNCTION("GOOGLETRANSLATE(B21328,""en"",""de"")"),"Die Person spielt weiter auf der Gitarre und schaut in die Ferne.")</f>
        <v>Die Person spielt weiter auf der Gitarre und schaut in die Ferne.</v>
      </c>
    </row>
    <row r="21329">
      <c r="A21329" s="4" t="s">
        <v>26857</v>
      </c>
      <c r="B21329" s="4" t="s">
        <v>26858</v>
      </c>
      <c r="C21329" s="5" t="str">
        <f>IFERROR(__xludf.DUMMYFUNCTION("GOOGLETRANSLATE(B21329,""en"",""de"")"),"Eine Person fährt einen schneebedeckten Hügel hinunter, gefolgt von einem Mann, der an einer Maschine arbeitet und Papier herauszieht.")</f>
        <v>Eine Person fährt einen schneebedeckten Hügel hinunter, gefolgt von einem Mann, der an einer Maschine arbeitet und Papier herauszieht.</v>
      </c>
    </row>
    <row r="21330">
      <c r="A21330" s="4" t="s">
        <v>26857</v>
      </c>
      <c r="B21330" s="4" t="s">
        <v>26859</v>
      </c>
      <c r="C21330" s="5" t="str">
        <f>IFERROR(__xludf.DUMMYFUNCTION("GOOGLETRANSLATE(B21330,""en"",""de"")"),"Die Kamera zoomt auf der Maschine und der Mann nimmt einen Ski und führt den Ski über die Maschine.")</f>
        <v>Die Kamera zoomt auf der Maschine und der Mann nimmt einen Ski und führt den Ski über die Maschine.</v>
      </c>
    </row>
    <row r="21331">
      <c r="A21331" s="4" t="s">
        <v>26857</v>
      </c>
      <c r="B21331" s="4" t="s">
        <v>26860</v>
      </c>
      <c r="C21331" s="5" t="str">
        <f>IFERROR(__xludf.DUMMYFUNCTION("GOOGLETRANSLATE(B21331,""en"",""de"")"),"Er zeigt den Ski, während er sie weiterhin auf der Maschine benutzt und zeigt, wie sie aussehen.")</f>
        <v>Er zeigt den Ski, während er sie weiterhin auf der Maschine benutzt und zeigt, wie sie aussehen.</v>
      </c>
    </row>
    <row r="21332">
      <c r="A21332" s="4" t="s">
        <v>26861</v>
      </c>
      <c r="B21332" s="4" t="s">
        <v>26862</v>
      </c>
      <c r="C21332" s="5" t="str">
        <f>IFERROR(__xludf.DUMMYFUNCTION("GOOGLETRANSLATE(B21332,""en"",""de"")"),"Das Video öffnet sich mit einem Intro -Segment für ein BMX -Rennen.")</f>
        <v>Das Video öffnet sich mit einem Intro -Segment für ein BMX -Rennen.</v>
      </c>
    </row>
    <row r="21333">
      <c r="A21333" s="4" t="s">
        <v>26861</v>
      </c>
      <c r="B21333" s="4" t="s">
        <v>26863</v>
      </c>
      <c r="C21333" s="5" t="str">
        <f>IFERROR(__xludf.DUMMYFUNCTION("GOOGLETRANSLATE(B21333,""en"",""de"")"),"Die Rennfahrer werden am Tor angezeigt, um sich auf das Rennen vorzubereiten.")</f>
        <v>Die Rennfahrer werden am Tor angezeigt, um sich auf das Rennen vorzubereiten.</v>
      </c>
    </row>
    <row r="21334">
      <c r="A21334" s="4" t="s">
        <v>26861</v>
      </c>
      <c r="B21334" s="4" t="s">
        <v>26864</v>
      </c>
      <c r="C21334" s="5" t="str">
        <f>IFERROR(__xludf.DUMMYFUNCTION("GOOGLETRANSLATE(B21334,""en"",""de"")"),"Mehrere Rennfahrer werden mit ihren Namen auf dem Bildschirm vorgestellt.")</f>
        <v>Mehrere Rennfahrer werden mit ihren Namen auf dem Bildschirm vorgestellt.</v>
      </c>
    </row>
    <row r="21335">
      <c r="A21335" s="4" t="s">
        <v>26861</v>
      </c>
      <c r="B21335" s="4" t="s">
        <v>26865</v>
      </c>
      <c r="C21335" s="5" t="str">
        <f>IFERROR(__xludf.DUMMYFUNCTION("GOOGLETRANSLATE(B21335,""en"",""de"")"),"Das Rennen beginnt und die Rennfahrer rennen um die Strecke.")</f>
        <v>Das Rennen beginnt und die Rennfahrer rennen um die Strecke.</v>
      </c>
    </row>
    <row r="21336">
      <c r="A21336" s="4" t="s">
        <v>26866</v>
      </c>
      <c r="B21336" s="4" t="s">
        <v>26867</v>
      </c>
      <c r="C21336" s="5" t="str">
        <f>IFERROR(__xludf.DUMMYFUNCTION("GOOGLETRANSLATE(B21336,""en"",""de"")"),"Das Video beginnt mit dem jährlichen BMX -Bimer -Event, bei dem mehrere Teilnehmer gesammelt werden, um ihre Wettbewerbsveranstaltung zu beginnen.")</f>
        <v>Das Video beginnt mit dem jährlichen BMX -Bimer -Event, bei dem mehrere Teilnehmer gesammelt werden, um ihre Wettbewerbsveranstaltung zu beginnen.</v>
      </c>
    </row>
    <row r="21337">
      <c r="A21337" s="4" t="s">
        <v>26866</v>
      </c>
      <c r="B21337" s="4" t="s">
        <v>26868</v>
      </c>
      <c r="C21337" s="5" t="str">
        <f>IFERROR(__xludf.DUMMYFUNCTION("GOOGLETRANSLATE(B21337,""en"",""de"")"),"Mehrere Biker beginnen mit dem Fahrrad auf ihren Fahrrädern auf gekrümmten Hängen in der Open -Air -Arena.")</f>
        <v>Mehrere Biker beginnen mit dem Fahrrad auf ihren Fahrrädern auf gekrümmten Hängen in der Open -Air -Arena.</v>
      </c>
    </row>
    <row r="21338">
      <c r="A21338" s="4" t="s">
        <v>26866</v>
      </c>
      <c r="B21338" s="4" t="s">
        <v>26869</v>
      </c>
      <c r="C21338" s="5" t="str">
        <f>IFERROR(__xludf.DUMMYFUNCTION("GOOGLETRANSLATE(B21338,""en"",""de"")"),"Die Biker gehen holprige und hügelige Hänge in ihren Zahnrädern und Helmen.")</f>
        <v>Die Biker gehen holprige und hügelige Hänge in ihren Zahnrädern und Helmen.</v>
      </c>
    </row>
    <row r="21339">
      <c r="A21339" s="4" t="s">
        <v>26866</v>
      </c>
      <c r="B21339" s="4" t="s">
        <v>26870</v>
      </c>
      <c r="C21339" s="5" t="str">
        <f>IFERROR(__xludf.DUMMYFUNCTION("GOOGLETRANSLATE(B21339,""en"",""de"")"),"Es gibt mehrere Biker, die ein Rennen von der Spitze des Fahrradhangs beginnen.")</f>
        <v>Es gibt mehrere Biker, die ein Rennen von der Spitze des Fahrradhangs beginnen.</v>
      </c>
    </row>
    <row r="21340">
      <c r="A21340" s="4" t="s">
        <v>26866</v>
      </c>
      <c r="B21340" s="4" t="s">
        <v>26871</v>
      </c>
      <c r="C21340" s="5" t="str">
        <f>IFERROR(__xludf.DUMMYFUNCTION("GOOGLETRANSLATE(B21340,""en"",""de"")"),"Sie zeigen ihre Stunts und Fähigkeiten, während sie den Hindernisparcours der Fahrradarena beschleunigen.")</f>
        <v>Sie zeigen ihre Stunts und Fähigkeiten, während sie den Hindernisparcours der Fahrradarena beschleunigen.</v>
      </c>
    </row>
    <row r="21341">
      <c r="A21341" s="4" t="s">
        <v>26872</v>
      </c>
      <c r="B21341" s="4" t="s">
        <v>26873</v>
      </c>
      <c r="C21341" s="5" t="str">
        <f>IFERROR(__xludf.DUMMYFUNCTION("GOOGLETRANSLATE(B21341,""en"",""de"")"),"Zwei nebeneinander Videos werden von einem Mann in Zeitlupe gezeigt, der Frisbee spielt und Tricks mit einem Hund macht.")</f>
        <v>Zwei nebeneinander Videos werden von einem Mann in Zeitlupe gezeigt, der Frisbee spielt und Tricks mit einem Hund macht.</v>
      </c>
    </row>
    <row r="21342">
      <c r="A21342" s="4" t="s">
        <v>26872</v>
      </c>
      <c r="B21342" s="4" t="s">
        <v>26874</v>
      </c>
      <c r="C21342" s="5" t="str">
        <f>IFERROR(__xludf.DUMMYFUNCTION("GOOGLETRANSLATE(B21342,""en"",""de"")"),"Der gleiche Mann wird erneut gezeigt, wie er mit seinem Hund, der in Echtzeit sowie Zeitlupe gezeigt wird, verschiedene Tricks durchführt.")</f>
        <v>Der gleiche Mann wird erneut gezeigt, wie er mit seinem Hund, der in Echtzeit sowie Zeitlupe gezeigt wird, verschiedene Tricks durchführt.</v>
      </c>
    </row>
    <row r="21343">
      <c r="A21343" s="4" t="s">
        <v>26875</v>
      </c>
      <c r="B21343" s="4" t="s">
        <v>26876</v>
      </c>
      <c r="C21343" s="5" t="str">
        <f>IFERROR(__xludf.DUMMYFUNCTION("GOOGLETRANSLATE(B21343,""en"",""de"")"),"Die Menschen sind in einem Boot, während eine Person am Rücken und Waterboard befestigt ist.")</f>
        <v>Die Menschen sind in einem Boot, während eine Person am Rücken und Waterboard befestigt ist.</v>
      </c>
    </row>
    <row r="21344">
      <c r="A21344" s="4" t="s">
        <v>26875</v>
      </c>
      <c r="B21344" s="4" t="s">
        <v>26877</v>
      </c>
      <c r="C21344" s="5" t="str">
        <f>IFERROR(__xludf.DUMMYFUNCTION("GOOGLETRANSLATE(B21344,""en"",""de"")"),"Als ein großer Spritzer Wasser in die Luft fliegt, erscheinen weiße Worte in der Mitte des Bildschirms, die ""Wipeout Bay of Plenty"" sagen.")</f>
        <v>Als ein großer Spritzer Wasser in die Luft fliegt, erscheinen weiße Worte in der Mitte des Bildschirms, die "Wipeout Bay of Plenty" sagen.</v>
      </c>
    </row>
    <row r="21345">
      <c r="A21345" s="4" t="s">
        <v>26875</v>
      </c>
      <c r="B21345" s="4" t="s">
        <v>26878</v>
      </c>
      <c r="C21345" s="5" t="str">
        <f>IFERROR(__xludf.DUMMYFUNCTION("GOOGLETRANSLATE(B21345,""en"",""de"")"),"Die Person wird aus verschiedenen Winkeln gezeigt, und dann mehrmals hart ins Wasser.")</f>
        <v>Die Person wird aus verschiedenen Winkeln gezeigt, und dann mehrmals hart ins Wasser.</v>
      </c>
    </row>
    <row r="21346">
      <c r="A21346" s="4" t="s">
        <v>26879</v>
      </c>
      <c r="B21346" s="4" t="s">
        <v>26880</v>
      </c>
      <c r="C21346" s="5" t="str">
        <f>IFERROR(__xludf.DUMMYFUNCTION("GOOGLETRANSLATE(B21346,""en"",""de"")"),"Ein junges Mädchen wird gesehen, wie sie sich die Haare streift und Produkt in ihr Haar sprüht.")</f>
        <v>Ein junges Mädchen wird gesehen, wie sie sich die Haare streift und Produkt in ihr Haar sprüht.</v>
      </c>
    </row>
    <row r="21347">
      <c r="A21347" s="4" t="s">
        <v>26879</v>
      </c>
      <c r="B21347" s="4" t="s">
        <v>26881</v>
      </c>
      <c r="C21347" s="5" t="str">
        <f>IFERROR(__xludf.DUMMYFUNCTION("GOOGLETRANSLATE(B21347,""en"",""de"")"),"Sie nimmt ihre Haare in Teile und beginnt ihre Haare zu flechten.")</f>
        <v>Sie nimmt ihre Haare in Teile und beginnt ihre Haare zu flechten.</v>
      </c>
    </row>
    <row r="21348">
      <c r="A21348" s="4" t="s">
        <v>26879</v>
      </c>
      <c r="B21348" s="4" t="s">
        <v>26882</v>
      </c>
      <c r="C21348" s="5" t="str">
        <f>IFERROR(__xludf.DUMMYFUNCTION("GOOGLETRANSLATE(B21348,""en"",""de"")"),"Sie beendet das Haar und endet mit einem Bild des Geflechts.")</f>
        <v>Sie beendet das Haar und endet mit einem Bild des Geflechts.</v>
      </c>
    </row>
    <row r="21349">
      <c r="A21349" s="4" t="s">
        <v>26883</v>
      </c>
      <c r="B21349" s="4" t="s">
        <v>26884</v>
      </c>
      <c r="C21349" s="5" t="str">
        <f>IFERROR(__xludf.DUMMYFUNCTION("GOOGLETRANSLATE(B21349,""en"",""de"")"),"Ein Lagerfeuer ist von Steinen umgeben.")</f>
        <v>Ein Lagerfeuer ist von Steinen umgeben.</v>
      </c>
    </row>
    <row r="21350">
      <c r="A21350" s="4" t="s">
        <v>26883</v>
      </c>
      <c r="B21350" s="4" t="s">
        <v>26885</v>
      </c>
      <c r="C21350" s="5" t="str">
        <f>IFERROR(__xludf.DUMMYFUNCTION("GOOGLETRANSLATE(B21350,""en"",""de"")"),"Eine Person fügt dem Lagerfeuer gebräunte Blätter hinzu.")</f>
        <v>Eine Person fügt dem Lagerfeuer gebräunte Blätter hinzu.</v>
      </c>
    </row>
    <row r="21351">
      <c r="A21351" s="4" t="s">
        <v>26883</v>
      </c>
      <c r="B21351" s="4" t="s">
        <v>26886</v>
      </c>
      <c r="C21351" s="5" t="str">
        <f>IFERROR(__xludf.DUMMYFUNCTION("GOOGLETRANSLATE(B21351,""en"",""de"")"),"Eine Person benutzt einen Stock, um die Blätter im Feuer zu bewegen.")</f>
        <v>Eine Person benutzt einen Stock, um die Blätter im Feuer zu bewegen.</v>
      </c>
    </row>
    <row r="21352">
      <c r="A21352" s="4" t="s">
        <v>26883</v>
      </c>
      <c r="B21352" s="4" t="s">
        <v>26887</v>
      </c>
      <c r="C21352" s="5" t="str">
        <f>IFERROR(__xludf.DUMMYFUNCTION("GOOGLETRANSLATE(B21352,""en"",""de"")"),"Eine Person bewegt sich rückwärts vom Feuer entfernt.")</f>
        <v>Eine Person bewegt sich rückwärts vom Feuer entfernt.</v>
      </c>
    </row>
    <row r="21353">
      <c r="A21353" s="4" t="s">
        <v>26883</v>
      </c>
      <c r="B21353" s="4" t="s">
        <v>26888</v>
      </c>
      <c r="C21353" s="5" t="str">
        <f>IFERROR(__xludf.DUMMYFUNCTION("GOOGLETRANSLATE(B21353,""en"",""de"")"),"Eine Person bewegt sich vorwärts ins Feuer.")</f>
        <v>Eine Person bewegt sich vorwärts ins Feuer.</v>
      </c>
    </row>
    <row r="21354">
      <c r="A21354" s="4" t="s">
        <v>26889</v>
      </c>
      <c r="B21354" s="4" t="s">
        <v>26890</v>
      </c>
      <c r="C21354" s="5" t="str">
        <f>IFERROR(__xludf.DUMMYFUNCTION("GOOGLETRANSLATE(B21354,""en"",""de"")"),"Zwei Menschen kämpfen am Boden.")</f>
        <v>Zwei Menschen kämpfen am Boden.</v>
      </c>
    </row>
    <row r="21355">
      <c r="A21355" s="4" t="s">
        <v>26889</v>
      </c>
      <c r="B21355" s="4" t="s">
        <v>26891</v>
      </c>
      <c r="C21355" s="5" t="str">
        <f>IFERROR(__xludf.DUMMYFUNCTION("GOOGLETRANSLATE(B21355,""en"",""de"")"),"Die Leute sitzen um sie herum und beobachten.")</f>
        <v>Die Leute sitzen um sie herum und beobachten.</v>
      </c>
    </row>
    <row r="21356">
      <c r="A21356" s="4" t="s">
        <v>26889</v>
      </c>
      <c r="B21356" s="4" t="s">
        <v>26892</v>
      </c>
      <c r="C21356" s="5" t="str">
        <f>IFERROR(__xludf.DUMMYFUNCTION("GOOGLETRANSLATE(B21356,""en"",""de"")"),"Die Leute sitzen auf Stühlen, die Schlagzeug spielen.")</f>
        <v>Die Leute sitzen auf Stühlen, die Schlagzeug spielen.</v>
      </c>
    </row>
    <row r="21357">
      <c r="A21357" s="4" t="s">
        <v>26893</v>
      </c>
      <c r="B21357" s="4" t="s">
        <v>26894</v>
      </c>
      <c r="C21357" s="5" t="str">
        <f>IFERROR(__xludf.DUMMYFUNCTION("GOOGLETRANSLATE(B21357,""en"",""de"")"),"Eine Person geht auf ein lindgrünes Brett in einem Gewässer.")</f>
        <v>Eine Person geht auf ein lindgrünes Brett in einem Gewässer.</v>
      </c>
    </row>
    <row r="21358">
      <c r="A21358" s="4" t="s">
        <v>26893</v>
      </c>
      <c r="B21358" s="4" t="s">
        <v>26895</v>
      </c>
      <c r="C21358" s="5" t="str">
        <f>IFERROR(__xludf.DUMMYFUNCTION("GOOGLETRANSLATE(B21358,""en"",""de"")"),"Die Person macht ein paar Drehungen.")</f>
        <v>Die Person macht ein paar Drehungen.</v>
      </c>
    </row>
    <row r="21359">
      <c r="A21359" s="4" t="s">
        <v>26896</v>
      </c>
      <c r="B21359" s="4" t="s">
        <v>26897</v>
      </c>
      <c r="C21359" s="5" t="str">
        <f>IFERROR(__xludf.DUMMYFUNCTION("GOOGLETRANSLATE(B21359,""en"",""de"")"),"Ein großer Mann macht hinter den Nacken -Schulterpressen.")</f>
        <v>Ein großer Mann macht hinter den Nacken -Schulterpressen.</v>
      </c>
    </row>
    <row r="21360">
      <c r="A21360" s="4" t="s">
        <v>26896</v>
      </c>
      <c r="B21360" s="4" t="s">
        <v>26898</v>
      </c>
      <c r="C21360" s="5" t="str">
        <f>IFERROR(__xludf.DUMMYFUNCTION("GOOGLETRANSLATE(B21360,""en"",""de"")"),"Er hält den Atem an und stellt sich dann auf und beginnt zu laufen.")</f>
        <v>Er hält den Atem an und stellt sich dann auf und beginnt zu laufen.</v>
      </c>
    </row>
    <row r="21361">
      <c r="A21361" s="4" t="s">
        <v>26896</v>
      </c>
      <c r="B21361" s="4" t="s">
        <v>26899</v>
      </c>
      <c r="C21361" s="5" t="str">
        <f>IFERROR(__xludf.DUMMYFUNCTION("GOOGLETRANSLATE(B21361,""en"",""de"")"),"Er steigt wieder auf die Bank und macht noch ein paar PF, die Schulterdrücke wieder.")</f>
        <v>Er steigt wieder auf die Bank und macht noch ein paar PF, die Schulterdrücke wieder.</v>
      </c>
    </row>
    <row r="21362">
      <c r="A21362" s="4" t="s">
        <v>26896</v>
      </c>
      <c r="B21362" s="4" t="s">
        <v>26900</v>
      </c>
      <c r="C21362" s="5" t="str">
        <f>IFERROR(__xludf.DUMMYFUNCTION("GOOGLETRANSLATE(B21362,""en"",""de"")"),"Dann geht er nach draußen und übt sich drehen und werfen.")</f>
        <v>Dann geht er nach draußen und übt sich drehen und werfen.</v>
      </c>
    </row>
    <row r="21363">
      <c r="A21363" s="4" t="s">
        <v>26901</v>
      </c>
      <c r="B21363" s="4" t="s">
        <v>26902</v>
      </c>
      <c r="C21363" s="5" t="str">
        <f>IFERROR(__xludf.DUMMYFUNCTION("GOOGLETRANSLATE(B21363,""en"",""de"")"),"Ein Junge steht draußen auf dem Eis und fischt aus einem kleinen Loch im Eis.")</f>
        <v>Ein Junge steht draußen auf dem Eis und fischt aus einem kleinen Loch im Eis.</v>
      </c>
    </row>
    <row r="21364">
      <c r="A21364" s="4" t="s">
        <v>26901</v>
      </c>
      <c r="B21364" s="4" t="s">
        <v>26903</v>
      </c>
      <c r="C21364" s="5" t="str">
        <f>IFERROR(__xludf.DUMMYFUNCTION("GOOGLETRANSLATE(B21364,""en"",""de"")"),"Der Junge kämpft darum, den Fisch herauszuholen, und jemand kommt und nimmt ihn für ihn heraus.")</f>
        <v>Der Junge kämpft darum, den Fisch herauszuholen, und jemand kommt und nimmt ihn für ihn heraus.</v>
      </c>
    </row>
    <row r="21365">
      <c r="A21365" s="4" t="s">
        <v>26901</v>
      </c>
      <c r="B21365" s="4" t="s">
        <v>26904</v>
      </c>
      <c r="C21365" s="5" t="str">
        <f>IFERROR(__xludf.DUMMYFUNCTION("GOOGLETRANSLATE(B21365,""en"",""de"")"),"Jetzt sind vier Männer sichtbar und alle beginnen, aus dem Eisteich zu fischen.")</f>
        <v>Jetzt sind vier Männer sichtbar und alle beginnen, aus dem Eisteich zu fischen.</v>
      </c>
    </row>
    <row r="21366">
      <c r="A21366" s="4" t="s">
        <v>26901</v>
      </c>
      <c r="B21366" s="4" t="s">
        <v>26905</v>
      </c>
      <c r="C21366" s="5" t="str">
        <f>IFERROR(__xludf.DUMMYFUNCTION("GOOGLETRANSLATE(B21366,""en"",""de"")"),"Schließlich greift ein Mann einen Stuhl und fängt an zu fischen und seinen Fisch von seiner Linie zu nehmen.")</f>
        <v>Schließlich greift ein Mann einen Stuhl und fängt an zu fischen und seinen Fisch von seiner Linie zu nehmen.</v>
      </c>
    </row>
    <row r="21367">
      <c r="A21367" s="4" t="s">
        <v>26906</v>
      </c>
      <c r="B21367" s="4" t="s">
        <v>26907</v>
      </c>
      <c r="C21367" s="5" t="str">
        <f>IFERROR(__xludf.DUMMYFUNCTION("GOOGLETRANSLATE(B21367,""en"",""de"")"),"Ein Intro führt zu einer Gruppe von Cheerleadern, die mehrere Schritte durchführen, wenn ein Team und Mädchen vor der Kamera interviewt werden.")</f>
        <v>Ein Intro führt zu einer Gruppe von Cheerleadern, die mehrere Schritte durchführen, wenn ein Team und Mädchen vor der Kamera interviewt werden.</v>
      </c>
    </row>
    <row r="21368">
      <c r="A21368" s="4" t="s">
        <v>26906</v>
      </c>
      <c r="B21368" s="4" t="s">
        <v>26908</v>
      </c>
      <c r="C21368" s="5" t="str">
        <f>IFERROR(__xludf.DUMMYFUNCTION("GOOGLETRANSLATE(B21368,""en"",""de"")"),"Sie führen eine Routine aus, die durch mehrere Videos und Bilder gezeigt wird, und zeigen weiterhin verschiedene Tricks hinter der Bühne und auf der Bühne.")</f>
        <v>Sie führen eine Routine aus, die durch mehrere Videos und Bilder gezeigt wird, und zeigen weiterhin verschiedene Tricks hinter der Bühne und auf der Bühne.</v>
      </c>
    </row>
    <row r="21369">
      <c r="A21369" s="4" t="s">
        <v>26906</v>
      </c>
      <c r="B21369" s="4" t="s">
        <v>26909</v>
      </c>
      <c r="C21369" s="5" t="str">
        <f>IFERROR(__xludf.DUMMYFUNCTION("GOOGLETRANSLATE(B21369,""en"",""de"")"),"Die Mädchen sprechen mit ihrem Trainer miteinander zurück und viele Menschen interagieren im Publikum mit ihnen.")</f>
        <v>Die Mädchen sprechen mit ihrem Trainer miteinander zurück und viele Menschen interagieren im Publikum mit ihnen.</v>
      </c>
    </row>
    <row r="21370">
      <c r="A21370" s="4" t="s">
        <v>26910</v>
      </c>
      <c r="B21370" s="4" t="s">
        <v>26911</v>
      </c>
      <c r="C21370" s="5" t="str">
        <f>IFERROR(__xludf.DUMMYFUNCTION("GOOGLETRANSLATE(B21370,""en"",""de"")"),"Eine Person ist gesehen, wie sie auf Rollschaufeln herumfährt und auf einer Stange einen Schleifen durchführt.")</f>
        <v>Eine Person ist gesehen, wie sie auf Rollschaufeln herumfährt und auf einer Stange einen Schleifen durchführt.</v>
      </c>
    </row>
    <row r="21371">
      <c r="A21371" s="4" t="s">
        <v>26910</v>
      </c>
      <c r="B21371" s="4" t="s">
        <v>26912</v>
      </c>
      <c r="C21371" s="5" t="str">
        <f>IFERROR(__xludf.DUMMYFUNCTION("GOOGLETRANSLATE(B21371,""en"",""de"")"),"Es werden mehrere weitere Clips angezeigt, die Mahls mit Rollblättern sowie andere Flips und Tricks durchführen.")</f>
        <v>Es werden mehrere weitere Clips angezeigt, die Mahls mit Rollblättern sowie andere Flips und Tricks durchführen.</v>
      </c>
    </row>
    <row r="21372">
      <c r="A21372" s="4" t="s">
        <v>26913</v>
      </c>
      <c r="B21372" s="4" t="s">
        <v>26914</v>
      </c>
      <c r="C21372" s="5" t="str">
        <f>IFERROR(__xludf.DUMMYFUNCTION("GOOGLETRANSLATE(B21372,""en"",""de"")"),"Frau hält einen Haartrockner und stirbt ein kleines Kinderhaar.")</f>
        <v>Frau hält einen Haartrockner und stirbt ein kleines Kinderhaar.</v>
      </c>
    </row>
    <row r="21373">
      <c r="A21373" s="4" t="s">
        <v>26913</v>
      </c>
      <c r="B21373" s="4" t="s">
        <v>26915</v>
      </c>
      <c r="C21373" s="5" t="str">
        <f>IFERROR(__xludf.DUMMYFUNCTION("GOOGLETRANSLATE(B21373,""en"",""de"")"),"Das kleine Kind im Rücken steht und lacht.")</f>
        <v>Das kleine Kind im Rücken steht und lacht.</v>
      </c>
    </row>
    <row r="21374">
      <c r="A21374" s="4" t="s">
        <v>26916</v>
      </c>
      <c r="B21374" s="4" t="s">
        <v>26917</v>
      </c>
      <c r="C21374" s="5" t="str">
        <f>IFERROR(__xludf.DUMMYFUNCTION("GOOGLETRANSLATE(B21374,""en"",""de"")"),"Der Mensch steht in einem Raum, der die Jalousien öffnet.")</f>
        <v>Der Mensch steht in einem Raum, der die Jalousien öffnet.</v>
      </c>
    </row>
    <row r="21375">
      <c r="A21375" s="4" t="s">
        <v>26916</v>
      </c>
      <c r="B21375" s="4" t="s">
        <v>26918</v>
      </c>
      <c r="C21375" s="5" t="str">
        <f>IFERROR(__xludf.DUMMYFUNCTION("GOOGLETRANSLATE(B21375,""en"",""de"")"),"Männer fahren mit vielen Menschen auf der Straße auf Gehwegen auf der Straße.")</f>
        <v>Männer fahren mit vielen Menschen auf der Straße auf Gehwegen auf der Straße.</v>
      </c>
    </row>
    <row r="21376">
      <c r="A21376" s="4" t="s">
        <v>26919</v>
      </c>
      <c r="B21376" s="4" t="s">
        <v>26920</v>
      </c>
      <c r="C21376" s="5" t="str">
        <f>IFERROR(__xludf.DUMMYFUNCTION("GOOGLETRANSLATE(B21376,""en"",""de"")"),"Ein kleines Kind wird gesehen, wie ein Elliptikum ein Computervideo vor ihr verwendet wird.")</f>
        <v>Ein kleines Kind wird gesehen, wie ein Elliptikum ein Computervideo vor ihr verwendet wird.</v>
      </c>
    </row>
    <row r="21377">
      <c r="A21377" s="4" t="s">
        <v>26919</v>
      </c>
      <c r="B21377" s="4" t="s">
        <v>26921</v>
      </c>
      <c r="C21377" s="5" t="str">
        <f>IFERROR(__xludf.DUMMYFUNCTION("GOOGLETRANSLATE(B21377,""en"",""de"")"),"Das Mädchen steuert die Bewegungen auf dem Video mit der Maschine, während die Kamera in den Bereich und aus dem Bereich herausfährt.")</f>
        <v>Das Mädchen steuert die Bewegungen auf dem Video mit der Maschine, während die Kamera in den Bereich und aus dem Bereich herausfährt.</v>
      </c>
    </row>
    <row r="21378">
      <c r="A21378" s="4" t="s">
        <v>26922</v>
      </c>
      <c r="B21378" s="4" t="s">
        <v>26923</v>
      </c>
      <c r="C21378" s="5" t="str">
        <f>IFERROR(__xludf.DUMMYFUNCTION("GOOGLETRANSLATE(B21378,""en"",""de"")"),"Die Leute rennen auf eine Bühne.")</f>
        <v>Die Leute rennen auf eine Bühne.</v>
      </c>
    </row>
    <row r="21379">
      <c r="A21379" s="4" t="s">
        <v>26922</v>
      </c>
      <c r="B21379" s="4" t="s">
        <v>26924</v>
      </c>
      <c r="C21379" s="5" t="str">
        <f>IFERROR(__xludf.DUMMYFUNCTION("GOOGLETRANSLATE(B21379,""en"",""de"")"),"Sie beginnen zu tanzen und auf der Bühne zu trainieren.")</f>
        <v>Sie beginnen zu tanzen und auf der Bühne zu trainieren.</v>
      </c>
    </row>
    <row r="21380">
      <c r="A21380" s="4" t="s">
        <v>26922</v>
      </c>
      <c r="B21380" s="4" t="s">
        <v>26925</v>
      </c>
      <c r="C21380" s="5" t="str">
        <f>IFERROR(__xludf.DUMMYFUNCTION("GOOGLETRANSLATE(B21380,""en"",""de"")"),"Ein Publikum beobachtet sie auftreten.")</f>
        <v>Ein Publikum beobachtet sie auftreten.</v>
      </c>
    </row>
    <row r="21381">
      <c r="A21381" s="4" t="s">
        <v>26926</v>
      </c>
      <c r="B21381" s="4" t="s">
        <v>26927</v>
      </c>
      <c r="C21381" s="5" t="str">
        <f>IFERROR(__xludf.DUMMYFUNCTION("GOOGLETRANSLATE(B21381,""en"",""de"")"),"Ein Mann, der einen lila Pullover trägt, zeigt, wie man Gartenschere benutzt.")</f>
        <v>Ein Mann, der einen lila Pullover trägt, zeigt, wie man Gartenschere benutzt.</v>
      </c>
    </row>
    <row r="21382">
      <c r="A21382" s="4" t="s">
        <v>26926</v>
      </c>
      <c r="B21382" s="4" t="s">
        <v>26928</v>
      </c>
      <c r="C21382" s="5" t="str">
        <f>IFERROR(__xludf.DUMMYFUNCTION("GOOGLETRANSLATE(B21382,""en"",""de"")"),"Er schneidet die Hecken und Büsche im Hof ​​ab.")</f>
        <v>Er schneidet die Hecken und Büsche im Hof ​​ab.</v>
      </c>
    </row>
    <row r="21383">
      <c r="A21383" s="4" t="s">
        <v>26926</v>
      </c>
      <c r="B21383" s="4" t="s">
        <v>26929</v>
      </c>
      <c r="C21383" s="5" t="str">
        <f>IFERROR(__xludf.DUMMYFUNCTION("GOOGLETRANSLATE(B21383,""en"",""de"")"),"Er zeigt, wie die Scheren effektiv in schwer zu erreichen zu erreichen.")</f>
        <v>Er zeigt, wie die Scheren effektiv in schwer zu erreichen zu erreichen.</v>
      </c>
    </row>
    <row r="21384">
      <c r="A21384" s="4" t="s">
        <v>26930</v>
      </c>
      <c r="B21384" s="4" t="s">
        <v>26931</v>
      </c>
      <c r="C21384" s="5" t="str">
        <f>IFERROR(__xludf.DUMMYFUNCTION("GOOGLETRANSLATE(B21384,""en"",""de"")"),"Auf einem Dach liegt eine Rolle der Schindeln.")</f>
        <v>Auf einem Dach liegt eine Rolle der Schindeln.</v>
      </c>
    </row>
    <row r="21385">
      <c r="A21385" s="4" t="s">
        <v>26930</v>
      </c>
      <c r="B21385" s="4" t="s">
        <v>26932</v>
      </c>
      <c r="C21385" s="5" t="str">
        <f>IFERROR(__xludf.DUMMYFUNCTION("GOOGLETRANSLATE(B21385,""en"",""de"")"),"Ein Mann hält ein Blatt der Schindeln auf.")</f>
        <v>Ein Mann hält ein Blatt der Schindeln auf.</v>
      </c>
    </row>
    <row r="21386">
      <c r="A21386" s="4" t="s">
        <v>26930</v>
      </c>
      <c r="B21386" s="4" t="s">
        <v>26933</v>
      </c>
      <c r="C21386" s="5" t="str">
        <f>IFERROR(__xludf.DUMMYFUNCTION("GOOGLETRANSLATE(B21386,""en"",""de"")"),"Er verwendet Zange, um beschädigte Schindeln zu entfernen, bevor er sie durch neue ersetzt.")</f>
        <v>Er verwendet Zange, um beschädigte Schindeln zu entfernen, bevor er sie durch neue ersetzt.</v>
      </c>
    </row>
    <row r="21387">
      <c r="A21387" s="4" t="s">
        <v>26934</v>
      </c>
      <c r="B21387" s="4" t="s">
        <v>26935</v>
      </c>
      <c r="C21387" s="5" t="str">
        <f>IFERROR(__xludf.DUMMYFUNCTION("GOOGLETRANSLATE(B21387,""en"",""de"")"),"Drei Männer wenden Gips an die Decke eines unfertigen Raums an, während ein anderer Mann zuschaut.")</f>
        <v>Drei Männer wenden Gips an die Decke eines unfertigen Raums an, während ein anderer Mann zuschaut.</v>
      </c>
    </row>
    <row r="21388">
      <c r="A21388" s="4" t="s">
        <v>26934</v>
      </c>
      <c r="B21388" s="4" t="s">
        <v>26936</v>
      </c>
      <c r="C21388" s="5" t="str">
        <f>IFERROR(__xludf.DUMMYFUNCTION("GOOGLETRANSLATE(B21388,""en"",""de"")"),"Einer der Männer steigt eine Leiter, um die Decke zu erreichen.")</f>
        <v>Einer der Männer steigt eine Leiter, um die Decke zu erreichen.</v>
      </c>
    </row>
    <row r="21389">
      <c r="A21389" s="4" t="s">
        <v>26934</v>
      </c>
      <c r="B21389" s="4" t="s">
        <v>26937</v>
      </c>
      <c r="C21389" s="5" t="str">
        <f>IFERROR(__xludf.DUMMYFUNCTION("GOOGLETRANSLATE(B21389,""en"",""de"")"),"Ein Mann spielt einen kurzen Tanz.")</f>
        <v>Ein Mann spielt einen kurzen Tanz.</v>
      </c>
    </row>
    <row r="21390">
      <c r="A21390" s="4" t="s">
        <v>26934</v>
      </c>
      <c r="B21390" s="4" t="s">
        <v>26938</v>
      </c>
      <c r="C21390" s="5" t="str">
        <f>IFERROR(__xludf.DUMMYFUNCTION("GOOGLETRANSLATE(B21390,""en"",""de"")"),"Die Kamera bewegt sich, um zu zeigen, dass der Mann tanzt und ein anderer der Männer Stelzen verwendet, um die Decke zu erreichen.")</f>
        <v>Die Kamera bewegt sich, um zu zeigen, dass der Mann tanzt und ein anderer der Männer Stelzen verwendet, um die Decke zu erreichen.</v>
      </c>
    </row>
    <row r="21391">
      <c r="A21391" s="4" t="s">
        <v>26939</v>
      </c>
      <c r="B21391" s="4" t="s">
        <v>26940</v>
      </c>
      <c r="C21391" s="5" t="str">
        <f>IFERROR(__xludf.DUMMYFUNCTION("GOOGLETRANSLATE(B21391,""en"",""de"")"),"Wir sehen einen Titelbildschirm für das Video.")</f>
        <v>Wir sehen einen Titelbildschirm für das Video.</v>
      </c>
    </row>
    <row r="21392">
      <c r="A21392" s="4" t="s">
        <v>26939</v>
      </c>
      <c r="B21392" s="4" t="s">
        <v>26941</v>
      </c>
      <c r="C21392" s="5" t="str">
        <f>IFERROR(__xludf.DUMMYFUNCTION("GOOGLETRANSLATE(B21392,""en"",""de"")"),"Wir sehen dann kleine Jungen in ein paar Turnhallen Fußball spielen.")</f>
        <v>Wir sehen dann kleine Jungen in ein paar Turnhallen Fußball spielen.</v>
      </c>
    </row>
    <row r="21393">
      <c r="A21393" s="4" t="s">
        <v>26939</v>
      </c>
      <c r="B21393" s="4" t="s">
        <v>26942</v>
      </c>
      <c r="C21393" s="5" t="str">
        <f>IFERROR(__xludf.DUMMYFUNCTION("GOOGLETRANSLATE(B21393,""en"",""de"")"),"Wir beobachten, wie der Junge im weißen Hemd ein Tor erzielt.")</f>
        <v>Wir beobachten, wie der Junge im weißen Hemd ein Tor erzielt.</v>
      </c>
    </row>
    <row r="21394">
      <c r="A21394" s="4" t="s">
        <v>26939</v>
      </c>
      <c r="B21394" s="4" t="s">
        <v>26943</v>
      </c>
      <c r="C21394" s="5" t="str">
        <f>IFERROR(__xludf.DUMMYFUNCTION("GOOGLETRANSLATE(B21394,""en"",""de"")"),"Wir sehen, dass ein Junge ein Tor erzielt und der Torwart erreicht den Ball, aber vermisst.")</f>
        <v>Wir sehen, dass ein Junge ein Tor erzielt und der Torwart erreicht den Ball, aber vermisst.</v>
      </c>
    </row>
    <row r="21395">
      <c r="A21395" s="4" t="s">
        <v>26939</v>
      </c>
      <c r="B21395" s="4" t="s">
        <v>26944</v>
      </c>
      <c r="C21395" s="5" t="str">
        <f>IFERROR(__xludf.DUMMYFUNCTION("GOOGLETRANSLATE(B21395,""en"",""de"")"),"Wir sehen, dass der Junge in White ein Tor erzielt und seine Teamkollegen ihn umarmen.")</f>
        <v>Wir sehen, dass der Junge in White ein Tor erzielt und seine Teamkollegen ihn umarmen.</v>
      </c>
    </row>
    <row r="21396">
      <c r="A21396" s="4" t="s">
        <v>26939</v>
      </c>
      <c r="B21396" s="4" t="s">
        <v>26945</v>
      </c>
      <c r="C21396" s="5" t="str">
        <f>IFERROR(__xludf.DUMMYFUNCTION("GOOGLETRANSLATE(B21396,""en"",""de"")"),"3:10 Die White Ream Nummer 10 Punkte und ein Teamkollege gibt ihm eine hohe fünf.")</f>
        <v>3:10 Die White Ream Nummer 10 Punkte und ein Teamkollege gibt ihm eine hohe fünf.</v>
      </c>
    </row>
    <row r="21397">
      <c r="A21397" s="4" t="s">
        <v>26946</v>
      </c>
      <c r="B21397" s="4" t="s">
        <v>26947</v>
      </c>
      <c r="C21397" s="5" t="str">
        <f>IFERROR(__xludf.DUMMYFUNCTION("GOOGLETRANSLATE(B21397,""en"",""de"")"),"Eine Frau wird gezeigt und spielt mit ihren Haaren.")</f>
        <v>Eine Frau wird gezeigt und spielt mit ihren Haaren.</v>
      </c>
    </row>
    <row r="21398">
      <c r="A21398" s="4" t="s">
        <v>26946</v>
      </c>
      <c r="B21398" s="4" t="s">
        <v>26948</v>
      </c>
      <c r="C21398" s="5" t="str">
        <f>IFERROR(__xludf.DUMMYFUNCTION("GOOGLETRANSLATE(B21398,""en"",""de"")"),"Ein Salonkünstler erscheint und seine Werkzeuge werden auf einem Tisch angezeigt.")</f>
        <v>Ein Salonkünstler erscheint und seine Werkzeuge werden auf einem Tisch angezeigt.</v>
      </c>
    </row>
    <row r="21399">
      <c r="A21399" s="4" t="s">
        <v>26946</v>
      </c>
      <c r="B21399" s="4" t="s">
        <v>26949</v>
      </c>
      <c r="C21399" s="5" t="str">
        <f>IFERROR(__xludf.DUMMYFUNCTION("GOOGLETRANSLATE(B21399,""en"",""de"")"),"Die Frau bläst sie vor dem Posten sie Haartrocknungen und wird Schritt für Schritt gezeigt, um Locken in ihren Haaren mit seinen Werkzeugen zu erzeugen.")</f>
        <v>Die Frau bläst sie vor dem Posten sie Haartrocknungen und wird Schritt für Schritt gezeigt, um Locken in ihren Haaren mit seinen Werkzeugen zu erzeugen.</v>
      </c>
    </row>
    <row r="21400">
      <c r="A21400" s="4" t="s">
        <v>26946</v>
      </c>
      <c r="B21400" s="4" t="s">
        <v>26950</v>
      </c>
      <c r="C21400" s="5" t="str">
        <f>IFERROR(__xludf.DUMMYFUNCTION("GOOGLETRANSLATE(B21400,""en"",""de"")"),"Sie passt und streift ihr Haar und zeigt dann das Endergebnis.")</f>
        <v>Sie passt und streift ihr Haar und zeigt dann das Endergebnis.</v>
      </c>
    </row>
    <row r="21401">
      <c r="A21401" s="4" t="s">
        <v>26951</v>
      </c>
      <c r="B21401" s="4" t="s">
        <v>26952</v>
      </c>
      <c r="C21401" s="5" t="str">
        <f>IFERROR(__xludf.DUMMYFUNCTION("GOOGLETRANSLATE(B21401,""en"",""de"")"),"Ein Mann benutzt ein Blattgebläse, um die Blätter vom Gras zu blasen.")</f>
        <v>Ein Mann benutzt ein Blattgebläse, um die Blätter vom Gras zu blasen.</v>
      </c>
    </row>
    <row r="21402">
      <c r="A21402" s="4" t="s">
        <v>26951</v>
      </c>
      <c r="B21402" s="4" t="s">
        <v>26953</v>
      </c>
      <c r="C21402" s="5" t="str">
        <f>IFERROR(__xludf.DUMMYFUNCTION("GOOGLETRANSLATE(B21402,""en"",""de"")"),"Ein Auto fährt mit anständiger Geschwindigkeit auf der Straße vorbei.")</f>
        <v>Ein Auto fährt mit anständiger Geschwindigkeit auf der Straße vorbei.</v>
      </c>
    </row>
    <row r="21403">
      <c r="A21403" s="4" t="s">
        <v>26951</v>
      </c>
      <c r="B21403" s="4" t="s">
        <v>26954</v>
      </c>
      <c r="C21403" s="5" t="str">
        <f>IFERROR(__xludf.DUMMYFUNCTION("GOOGLETRANSLATE(B21403,""en"",""de"")"),"Er bläst die Blätter weiterhin gedankenlos.")</f>
        <v>Er bläst die Blätter weiterhin gedankenlos.</v>
      </c>
    </row>
    <row r="21404">
      <c r="A21404" s="4" t="s">
        <v>26951</v>
      </c>
      <c r="B21404" s="4" t="s">
        <v>26955</v>
      </c>
      <c r="C21404" s="5" t="str">
        <f>IFERROR(__xludf.DUMMYFUNCTION("GOOGLETRANSLATE(B21404,""en"",""de"")"),"Die Blätter fallen alle auf der Straße und lassen das Gras so viel besser aussehen.")</f>
        <v>Die Blätter fallen alle auf der Straße und lassen das Gras so viel besser aussehen.</v>
      </c>
    </row>
    <row r="21405">
      <c r="A21405" s="4" t="s">
        <v>26956</v>
      </c>
      <c r="B21405" s="4" t="s">
        <v>26957</v>
      </c>
      <c r="C21405" s="5" t="str">
        <f>IFERROR(__xludf.DUMMYFUNCTION("GOOGLETRANSLATE(B21405,""en"",""de"")"),"Mehrere Menschen sind auf dem Surfbrett mit Drachen an der Spitze herumgefahren.")</f>
        <v>Mehrere Menschen sind auf dem Surfbrett mit Drachen an der Spitze herumgefahren.</v>
      </c>
    </row>
    <row r="21406">
      <c r="A21406" s="4" t="s">
        <v>26956</v>
      </c>
      <c r="B21406" s="4" t="s">
        <v>26958</v>
      </c>
      <c r="C21406" s="5" t="str">
        <f>IFERROR(__xludf.DUMMYFUNCTION("GOOGLETRANSLATE(B21406,""en"",""de"")"),"Sie reiten weiter herum und ein kleines Kind wird aus der Nähe gesehen.")</f>
        <v>Sie reiten weiter herum und ein kleines Kind wird aus der Nähe gesehen.</v>
      </c>
    </row>
    <row r="21407">
      <c r="A21407" s="4" t="s">
        <v>26956</v>
      </c>
      <c r="B21407" s="4" t="s">
        <v>26959</v>
      </c>
      <c r="C21407" s="5" t="str">
        <f>IFERROR(__xludf.DUMMYFUNCTION("GOOGLETRANSLATE(B21407,""en"",""de"")"),"Weitere Schüsse werden gezeigt, dass sie umeinander herumfahren und am Wasser entlang reiten.")</f>
        <v>Weitere Schüsse werden gezeigt, dass sie umeinander herumfahren und am Wasser entlang reiten.</v>
      </c>
    </row>
    <row r="21408">
      <c r="A21408" s="4" t="s">
        <v>26960</v>
      </c>
      <c r="B21408" s="4" t="s">
        <v>26961</v>
      </c>
      <c r="C21408" s="5" t="str">
        <f>IFERROR(__xludf.DUMMYFUNCTION("GOOGLETRANSLATE(B21408,""en"",""de"")"),"Eine Person wird gesehen, die sich beim Sprechen mit der Kamera vorbereitet und führt zu ihm und macht Push -Ups.")</f>
        <v>Eine Person wird gesehen, die sich beim Sprechen mit der Kamera vorbereitet und führt zu ihm und macht Push -Ups.</v>
      </c>
    </row>
    <row r="21409">
      <c r="A21409" s="4" t="s">
        <v>26960</v>
      </c>
      <c r="B21409" s="4" t="s">
        <v>26962</v>
      </c>
      <c r="C21409" s="5" t="str">
        <f>IFERROR(__xludf.DUMMYFUNCTION("GOOGLETRANSLATE(B21409,""en"",""de"")"),"Der Mann geht einen Flur hinunter, wobei eine Frau vorgestellt wird, und führt in die beiden Ping -Pongs.")</f>
        <v>Der Mann geht einen Flur hinunter, wobei eine Frau vorgestellt wird, und führt in die beiden Ping -Pongs.</v>
      </c>
    </row>
    <row r="21410">
      <c r="A21410" s="4" t="s">
        <v>26960</v>
      </c>
      <c r="B21410" s="4" t="s">
        <v>26963</v>
      </c>
      <c r="C21410" s="5" t="str">
        <f>IFERROR(__xludf.DUMMYFUNCTION("GOOGLETRANSLATE(B21410,""en"",""de"")"),"Die beiden spielen weiter und führen in den Mann, der einen Basketball hochhält, und die Frau schockierte.")</f>
        <v>Die beiden spielen weiter und führen in den Mann, der einen Basketball hochhält, und die Frau schockierte.</v>
      </c>
    </row>
    <row r="21411">
      <c r="A21411" s="4" t="s">
        <v>26964</v>
      </c>
      <c r="B21411" s="4" t="s">
        <v>26965</v>
      </c>
      <c r="C21411" s="5" t="str">
        <f>IFERROR(__xludf.DUMMYFUNCTION("GOOGLETRANSLATE(B21411,""en"",""de"")"),"Draußen in einem Eimer gibt es etwas Holz und jemand kommt heraus und beginnt etwas darauf zu blasen.")</f>
        <v>Draußen in einem Eimer gibt es etwas Holz und jemand kommt heraus und beginnt etwas darauf zu blasen.</v>
      </c>
    </row>
    <row r="21412">
      <c r="A21412" s="4" t="s">
        <v>26964</v>
      </c>
      <c r="B21412" s="4" t="s">
        <v>26966</v>
      </c>
      <c r="C21412" s="5" t="str">
        <f>IFERROR(__xludf.DUMMYFUNCTION("GOOGLETRANSLATE(B21412,""en"",""de"")"),"Er bläst mit einer Art Feuerfeuer, das wie ein Gartenwerkzeug aussieht.")</f>
        <v>Er bläst mit einer Art Feuerfeuer, das wie ein Gartenwerkzeug aussieht.</v>
      </c>
    </row>
    <row r="21413">
      <c r="A21413" s="4" t="s">
        <v>26964</v>
      </c>
      <c r="B21413" s="4" t="s">
        <v>26967</v>
      </c>
      <c r="C21413" s="5" t="str">
        <f>IFERROR(__xludf.DUMMYFUNCTION("GOOGLETRANSLATE(B21413,""en"",""de"")"),"Es fängt gut und der Wald brennt schnell.")</f>
        <v>Es fängt gut und der Wald brennt schnell.</v>
      </c>
    </row>
    <row r="21414">
      <c r="A21414" s="4" t="s">
        <v>26964</v>
      </c>
      <c r="B21414" s="4" t="s">
        <v>26968</v>
      </c>
      <c r="C21414" s="5" t="str">
        <f>IFERROR(__xludf.DUMMYFUNCTION("GOOGLETRANSLATE(B21414,""en"",""de"")"),"Das Feuer stirbt ein wenig, brennt aber immer noch.")</f>
        <v>Das Feuer stirbt ein wenig, brennt aber immer noch.</v>
      </c>
    </row>
    <row r="21415">
      <c r="A21415" s="4" t="s">
        <v>26969</v>
      </c>
      <c r="B21415" s="4" t="s">
        <v>26970</v>
      </c>
      <c r="C21415" s="5" t="str">
        <f>IFERROR(__xludf.DUMMYFUNCTION("GOOGLETRANSLATE(B21415,""en"",""de"")"),"Eine Frau zeigt, wie man eine geflochtene Frisur kreiert, die eine junge Frau als Model für den Stil in einem Tutorial mit Tutorial verwendet.")</f>
        <v>Eine Frau zeigt, wie man eine geflochtene Frisur kreiert, die eine junge Frau als Model für den Stil in einem Tutorial mit Tutorial verwendet.</v>
      </c>
    </row>
    <row r="21416">
      <c r="A21416" s="4" t="s">
        <v>26969</v>
      </c>
      <c r="B21416" s="4" t="s">
        <v>26971</v>
      </c>
      <c r="C21416" s="5" t="str">
        <f>IFERROR(__xludf.DUMMYFUNCTION("GOOGLETRANSLATE(B21416,""en"",""de"")"),"Der Friseur beginnt zunächst das Haar in vier Abschnitten mit einem Kamm, bevor sie jeden Abschnitt flechten und eine Haarnadel an den Enden jedes Geflechts schneiden.")</f>
        <v>Der Friseur beginnt zunächst das Haar in vier Abschnitten mit einem Kamm, bevor sie jeden Abschnitt flechten und eine Haarnadel an den Enden jedes Geflechts schneiden.</v>
      </c>
    </row>
    <row r="21417">
      <c r="A21417" s="4" t="s">
        <v>26969</v>
      </c>
      <c r="B21417" s="4" t="s">
        <v>26972</v>
      </c>
      <c r="C21417" s="5" t="str">
        <f>IFERROR(__xludf.DUMMYFUNCTION("GOOGLETRANSLATE(B21417,""en"",""de"")"),"Die Frau zieht dann jedes Geflecht über die Front der Modelle.")</f>
        <v>Die Frau zieht dann jedes Geflecht über die Front der Modelle.</v>
      </c>
    </row>
    <row r="21418">
      <c r="A21418" s="4" t="s">
        <v>26969</v>
      </c>
      <c r="B21418" s="4" t="s">
        <v>26973</v>
      </c>
      <c r="C21418" s="5" t="str">
        <f>IFERROR(__xludf.DUMMYFUNCTION("GOOGLETRANSLATE(B21418,""en"",""de"")"),"Das Modell zeigt den Look, während Sie auf dem Stuhl sitzen, und die Kamera fängt ihre Frisur aus verschiedenen Winkeln vor und das Bild von drei Frauen auf einem Sofa mit einem Fly -Away -Heliumballon erscheint.")</f>
        <v>Das Modell zeigt den Look, während Sie auf dem Stuhl sitzen, und die Kamera fängt ihre Frisur aus verschiedenen Winkeln vor und das Bild von drei Frauen auf einem Sofa mit einem Fly -Away -Heliumballon erscheint.</v>
      </c>
    </row>
    <row r="21419">
      <c r="A21419" s="4" t="s">
        <v>26974</v>
      </c>
      <c r="B21419" s="4" t="s">
        <v>26975</v>
      </c>
      <c r="C21419" s="5" t="str">
        <f>IFERROR(__xludf.DUMMYFUNCTION("GOOGLETRANSLATE(B21419,""en"",""de"")"),"Eine Frau trägt ein weißes Gewand und einen schwarzen Gürtel.")</f>
        <v>Eine Frau trägt ein weißes Gewand und einen schwarzen Gürtel.</v>
      </c>
    </row>
    <row r="21420">
      <c r="A21420" s="4" t="s">
        <v>26974</v>
      </c>
      <c r="B21420" s="4" t="s">
        <v>26976</v>
      </c>
      <c r="C21420" s="5" t="str">
        <f>IFERROR(__xludf.DUMMYFUNCTION("GOOGLETRANSLATE(B21420,""en"",""de"")"),"Sie bewegt sich Karate in ihrem Zimmer.")</f>
        <v>Sie bewegt sich Karate in ihrem Zimmer.</v>
      </c>
    </row>
    <row r="21421">
      <c r="A21421" s="4" t="s">
        <v>26974</v>
      </c>
      <c r="B21421" s="4" t="s">
        <v>26977</v>
      </c>
      <c r="C21421" s="5" t="str">
        <f>IFERROR(__xludf.DUMMYFUNCTION("GOOGLETRANSLATE(B21421,""en"",""de"")"),"Sie tritt mehrmals ihre Beine hoch.")</f>
        <v>Sie tritt mehrmals ihre Beine hoch.</v>
      </c>
    </row>
    <row r="21422">
      <c r="A21422" s="4" t="s">
        <v>26974</v>
      </c>
      <c r="B21422" s="4" t="s">
        <v>26978</v>
      </c>
      <c r="C21422" s="5" t="str">
        <f>IFERROR(__xludf.DUMMYFUNCTION("GOOGLETRANSLATE(B21422,""en"",""de"")"),"Sie endet und steht rechts mit ihren Armen an der Seite und den Schleifen auf.")</f>
        <v>Sie endet und steht rechts mit ihren Armen an der Seite und den Schleifen auf.</v>
      </c>
    </row>
    <row r="21423">
      <c r="A21423" s="4" t="s">
        <v>26979</v>
      </c>
      <c r="B21423" s="4" t="s">
        <v>26980</v>
      </c>
      <c r="C21423" s="5" t="str">
        <f>IFERROR(__xludf.DUMMYFUNCTION("GOOGLETRANSLATE(B21423,""en"",""de"")"),"Ein Mann in einem weißen Labormantel spricht mit der Kamera und zeigt verschiedene Werkzeuge in einem Labor.")</f>
        <v>Ein Mann in einem weißen Labormantel spricht mit der Kamera und zeigt verschiedene Werkzeuge in einem Labor.</v>
      </c>
    </row>
    <row r="21424">
      <c r="A21424" s="4" t="s">
        <v>26979</v>
      </c>
      <c r="B21424" s="4" t="s">
        <v>26981</v>
      </c>
      <c r="C21424" s="5" t="str">
        <f>IFERROR(__xludf.DUMMYFUNCTION("GOOGLETRANSLATE(B21424,""en"",""de"")"),"Das Handtuch sitzt in einer Spüle und der Mann zeigt die richtigen Handwaschwerkzeuge.")</f>
        <v>Das Handtuch sitzt in einer Spüle und der Mann zeigt die richtigen Handwaschwerkzeuge.</v>
      </c>
    </row>
    <row r="21425">
      <c r="A21425" s="4" t="s">
        <v>26979</v>
      </c>
      <c r="B21425" s="4" t="s">
        <v>26982</v>
      </c>
      <c r="C21425" s="5" t="str">
        <f>IFERROR(__xludf.DUMMYFUNCTION("GOOGLETRANSLATE(B21425,""en"",""de"")"),"Er setzt seine Hände mit Seife unter die Spüle und wäscht seine Hand gründlich.")</f>
        <v>Er setzt seine Hände mit Seife unter die Spüle und wäscht seine Hand gründlich.</v>
      </c>
    </row>
    <row r="21426">
      <c r="A21426" s="4" t="s">
        <v>26979</v>
      </c>
      <c r="B21426" s="4" t="s">
        <v>26983</v>
      </c>
      <c r="C21426" s="5" t="str">
        <f>IFERROR(__xludf.DUMMYFUNCTION("GOOGLETRANSLATE(B21426,""en"",""de"")"),"Er trocknet seine Hände und spricht weiter mit der Kamera, wie wichtig dies wichtig ist.")</f>
        <v>Er trocknet seine Hände und spricht weiter mit der Kamera, wie wichtig dies wichtig ist.</v>
      </c>
    </row>
    <row r="21427">
      <c r="A21427" s="4" t="s">
        <v>26984</v>
      </c>
      <c r="B21427" s="4" t="s">
        <v>26985</v>
      </c>
      <c r="C21427" s="5" t="str">
        <f>IFERROR(__xludf.DUMMYFUNCTION("GOOGLETRANSLATE(B21427,""en"",""de"")"),"Wir sehen Krankenschwestern, die Kindern Aufnahmen geben.")</f>
        <v>Wir sehen Krankenschwestern, die Kindern Aufnahmen geben.</v>
      </c>
    </row>
    <row r="21428">
      <c r="A21428" s="4" t="s">
        <v>26984</v>
      </c>
      <c r="B21428" s="4" t="s">
        <v>26986</v>
      </c>
      <c r="C21428" s="5" t="str">
        <f>IFERROR(__xludf.DUMMYFUNCTION("GOOGLETRANSLATE(B21428,""en"",""de"")"),"Wir sehen ein Labor mit einem Wissenschaftler.")</f>
        <v>Wir sehen ein Labor mit einem Wissenschaftler.</v>
      </c>
    </row>
    <row r="21429">
      <c r="A21429" s="4" t="s">
        <v>26984</v>
      </c>
      <c r="B21429" s="4" t="s">
        <v>26987</v>
      </c>
      <c r="C21429" s="5" t="str">
        <f>IFERROR(__xludf.DUMMYFUNCTION("GOOGLETRANSLATE(B21429,""en"",""de"")"),"Wir sehen eine Person in einer MRT und wir sehen einen Arzt, der sich die Ergebnisse ansieht.")</f>
        <v>Wir sehen eine Person in einer MRT und wir sehen einen Arzt, der sich die Ergebnisse ansieht.</v>
      </c>
    </row>
    <row r="21430">
      <c r="A21430" s="4" t="s">
        <v>26984</v>
      </c>
      <c r="B21430" s="4" t="s">
        <v>26988</v>
      </c>
      <c r="C21430" s="5" t="str">
        <f>IFERROR(__xludf.DUMMYFUNCTION("GOOGLETRANSLATE(B21430,""en"",""de"")"),"Kaffee wird in eine weiße Tasse gegossen.")</f>
        <v>Kaffee wird in eine weiße Tasse gegossen.</v>
      </c>
    </row>
    <row r="21431">
      <c r="A21431" s="4" t="s">
        <v>26984</v>
      </c>
      <c r="B21431" s="4" t="s">
        <v>26989</v>
      </c>
      <c r="C21431" s="5" t="str">
        <f>IFERROR(__xludf.DUMMYFUNCTION("GOOGLETRANSLATE(B21431,""en"",""de"")"),"Kaffeebohnen verschütten sich gegenseitig.")</f>
        <v>Kaffeebohnen verschütten sich gegenseitig.</v>
      </c>
    </row>
    <row r="21432">
      <c r="A21432" s="4" t="s">
        <v>26984</v>
      </c>
      <c r="B21432" s="4" t="s">
        <v>26990</v>
      </c>
      <c r="C21432" s="5" t="str">
        <f>IFERROR(__xludf.DUMMYFUNCTION("GOOGLETRANSLATE(B21432,""en"",""de"")"),"Wir sehen Leute, die Kaffee in einem Café machen.")</f>
        <v>Wir sehen Leute, die Kaffee in einem Café machen.</v>
      </c>
    </row>
    <row r="21433">
      <c r="A21433" s="4" t="s">
        <v>26991</v>
      </c>
      <c r="B21433" s="4" t="s">
        <v>21372</v>
      </c>
      <c r="C21433" s="5" t="str">
        <f>IFERROR(__xludf.DUMMYFUNCTION("GOOGLETRANSLATE(B21433,""en"",""de"")"),"Eine Frau in einem schwarzen Hemd spricht mit der Kamera.")</f>
        <v>Eine Frau in einem schwarzen Hemd spricht mit der Kamera.</v>
      </c>
    </row>
    <row r="21434">
      <c r="A21434" s="4" t="s">
        <v>26991</v>
      </c>
      <c r="B21434" s="4" t="s">
        <v>26992</v>
      </c>
      <c r="C21434" s="5" t="str">
        <f>IFERROR(__xludf.DUMMYFUNCTION("GOOGLETRANSLATE(B21434,""en"",""de"")"),"Die Szene wechselt in ein paar junge Leute, die Holzstücke in einen offenen Bereich im Freien tragen.")</f>
        <v>Die Szene wechselt in ein paar junge Leute, die Holzstücke in einen offenen Bereich im Freien tragen.</v>
      </c>
    </row>
    <row r="21435">
      <c r="A21435" s="4" t="s">
        <v>26991</v>
      </c>
      <c r="B21435" s="4" t="s">
        <v>26993</v>
      </c>
      <c r="C21435" s="5" t="str">
        <f>IFERROR(__xludf.DUMMYFUNCTION("GOOGLETRANSLATE(B21435,""en"",""de"")"),"Sie beginnen, das Holz zu hacken, haben aber zuerst Probleme, die Axt herauszuholen.")</f>
        <v>Sie beginnen, das Holz zu hacken, haben aber zuerst Probleme, die Axt herauszuholen.</v>
      </c>
    </row>
    <row r="21436">
      <c r="A21436" s="4" t="s">
        <v>26991</v>
      </c>
      <c r="B21436" s="4" t="s">
        <v>26994</v>
      </c>
      <c r="C21436" s="5" t="str">
        <f>IFERROR(__xludf.DUMMYFUNCTION("GOOGLETRANSLATE(B21436,""en"",""de"")"),"Eine Frau bekommt endlich die Axt heraus und sie fangen an, das Holz zu hacken.")</f>
        <v>Eine Frau bekommt endlich die Axt heraus und sie fangen an, das Holz zu hacken.</v>
      </c>
    </row>
    <row r="21437">
      <c r="A21437" s="4" t="s">
        <v>26991</v>
      </c>
      <c r="B21437" s="4" t="s">
        <v>26995</v>
      </c>
      <c r="C21437" s="5" t="str">
        <f>IFERROR(__xludf.DUMMYFUNCTION("GOOGLETRANSLATE(B21437,""en"",""de"")"),"Die Kamera schwenkt zu den Zuschauern als Frau in einem Kopftuch, schüttelt erfolgreich das Holz und schleudert.")</f>
        <v>Die Kamera schwenkt zu den Zuschauern als Frau in einem Kopftuch, schüttelt erfolgreich das Holz und schleudert.</v>
      </c>
    </row>
    <row r="21438">
      <c r="A21438" s="4" t="s">
        <v>26991</v>
      </c>
      <c r="B21438" s="4" t="s">
        <v>26996</v>
      </c>
      <c r="C21438" s="5" t="str">
        <f>IFERROR(__xludf.DUMMYFUNCTION("GOOGLETRANSLATE(B21438,""en"",""de"")"),"Die Szene kehrt zu der Frau zurück, die zu Beginn des Videos war.")</f>
        <v>Die Szene kehrt zu der Frau zurück, die zu Beginn des Videos war.</v>
      </c>
    </row>
    <row r="21439">
      <c r="A21439" s="4" t="s">
        <v>26991</v>
      </c>
      <c r="B21439" s="4" t="s">
        <v>26997</v>
      </c>
      <c r="C21439" s="5" t="str">
        <f>IFERROR(__xludf.DUMMYFUNCTION("GOOGLETRANSLATE(B21439,""en"",""de"")"),"Das Video endet mit den Frauen rund um den Holz, als etwas fällt.")</f>
        <v>Das Video endet mit den Frauen rund um den Holz, als etwas fällt.</v>
      </c>
    </row>
    <row r="21440">
      <c r="A21440" s="4" t="s">
        <v>26998</v>
      </c>
      <c r="B21440" s="4" t="s">
        <v>26999</v>
      </c>
      <c r="C21440" s="5" t="str">
        <f>IFERROR(__xludf.DUMMYFUNCTION("GOOGLETRANSLATE(B21440,""en"",""de"")"),"Eine Person zieht eine Sicherheitsbrille an und geht durch ein Tor in einen Innenhof.")</f>
        <v>Eine Person zieht eine Sicherheitsbrille an und geht durch ein Tor in einen Innenhof.</v>
      </c>
    </row>
    <row r="21441">
      <c r="A21441" s="4" t="s">
        <v>26998</v>
      </c>
      <c r="B21441" s="4" t="s">
        <v>27000</v>
      </c>
      <c r="C21441" s="5" t="str">
        <f>IFERROR(__xludf.DUMMYFUNCTION("GOOGLETRANSLATE(B21441,""en"",""de"")"),"Die Person bläst die Blätter mit einem Elektrobauer aus einer Auffahrt.")</f>
        <v>Die Person bläst die Blätter mit einem Elektrobauer aus einer Auffahrt.</v>
      </c>
    </row>
    <row r="21442">
      <c r="A21442" s="4" t="s">
        <v>26998</v>
      </c>
      <c r="B21442" s="4" t="s">
        <v>27001</v>
      </c>
      <c r="C21442" s="5" t="str">
        <f>IFERROR(__xludf.DUMMYFUNCTION("GOOGLETRANSLATE(B21442,""en"",""de"")"),"Die Person bläst die Blätter aus einem Grasbereich mit dem Gebläse.")</f>
        <v>Die Person bläst die Blätter aus einem Grasbereich mit dem Gebläse.</v>
      </c>
    </row>
    <row r="21443">
      <c r="A21443" s="4" t="s">
        <v>26998</v>
      </c>
      <c r="B21443" s="4" t="s">
        <v>27002</v>
      </c>
      <c r="C21443" s="5" t="str">
        <f>IFERROR(__xludf.DUMMYFUNCTION("GOOGLETRANSLATE(B21443,""en"",""de"")"),"Das Gebläse ist aus der Nähe mit verschiedenen Anhängen und Einstellungen zu sehen.")</f>
        <v>Das Gebläse ist aus der Nähe mit verschiedenen Anhängen und Einstellungen zu sehen.</v>
      </c>
    </row>
    <row r="21444">
      <c r="A21444" s="4" t="s">
        <v>27003</v>
      </c>
      <c r="B21444" s="4" t="s">
        <v>27004</v>
      </c>
      <c r="C21444" s="5" t="str">
        <f>IFERROR(__xludf.DUMMYFUNCTION("GOOGLETRANSLATE(B21444,""en"",""de"")"),"Ein Mann tritt auf einen am Strand gezogenen Quadrat und dreht den Körper hin und her.")</f>
        <v>Ein Mann tritt auf einen am Strand gezogenen Quadrat und dreht den Körper hin und her.</v>
      </c>
    </row>
    <row r="21445">
      <c r="A21445" s="4" t="s">
        <v>27003</v>
      </c>
      <c r="B21445" s="4" t="s">
        <v>27005</v>
      </c>
      <c r="C21445" s="5" t="str">
        <f>IFERROR(__xludf.DUMMYFUNCTION("GOOGLETRANSLATE(B21445,""en"",""de"")"),"Dann tritt der Mann auf das Dreieck und führt Handbewegungen aus, nachdem der Mann die Hände mithilfe der Hände miteinander verbindet.")</f>
        <v>Dann tritt der Mann auf das Dreieck und führt Handbewegungen aus, nachdem der Mann die Hände mithilfe der Hände miteinander verbindet.</v>
      </c>
    </row>
    <row r="21446">
      <c r="A21446" s="4" t="s">
        <v>27006</v>
      </c>
      <c r="B21446" s="4" t="s">
        <v>27007</v>
      </c>
      <c r="C21446" s="5" t="str">
        <f>IFERROR(__xludf.DUMMYFUNCTION("GOOGLETRANSLATE(B21446,""en"",""de"")"),"Ein Mann, der eine Schürze trägt, lacht über einen Tisch.")</f>
        <v>Ein Mann, der eine Schürze trägt, lacht über einen Tisch.</v>
      </c>
    </row>
    <row r="21447">
      <c r="A21447" s="4" t="s">
        <v>27006</v>
      </c>
      <c r="B21447" s="4" t="s">
        <v>27008</v>
      </c>
      <c r="C21447" s="5" t="str">
        <f>IFERROR(__xludf.DUMMYFUNCTION("GOOGLETRANSLATE(B21447,""en"",""de"")"),"Er wird mit einer großen Schüssel und mehreren rissigen Eiern gezeigt.")</f>
        <v>Er wird mit einer großen Schüssel und mehreren rissigen Eiern gezeigt.</v>
      </c>
    </row>
    <row r="21448">
      <c r="A21448" s="4" t="s">
        <v>27006</v>
      </c>
      <c r="B21448" s="4" t="s">
        <v>27009</v>
      </c>
      <c r="C21448" s="5" t="str">
        <f>IFERROR(__xludf.DUMMYFUNCTION("GOOGLETRANSLATE(B21448,""en"",""de"")"),"Er spricht mit einer Gruppe von Menschen darüber, was er mit den Eiern anfangen soll.")</f>
        <v>Er spricht mit einer Gruppe von Menschen darüber, was er mit den Eiern anfangen soll.</v>
      </c>
    </row>
    <row r="21449">
      <c r="A21449" s="4" t="s">
        <v>27006</v>
      </c>
      <c r="B21449" s="4" t="s">
        <v>27010</v>
      </c>
      <c r="C21449" s="5" t="str">
        <f>IFERROR(__xludf.DUMMYFUNCTION("GOOGLETRANSLATE(B21449,""en"",""de"")"),"Er schafft ein Omelett und platziert sie dann.")</f>
        <v>Er schafft ein Omelett und platziert sie dann.</v>
      </c>
    </row>
    <row r="21450">
      <c r="A21450" s="4" t="s">
        <v>27011</v>
      </c>
      <c r="B21450" s="4" t="s">
        <v>27012</v>
      </c>
      <c r="C21450" s="5" t="str">
        <f>IFERROR(__xludf.DUMMYFUNCTION("GOOGLETRANSLATE(B21450,""en"",""de"")"),"Eine Gruppe von Männern spielt Volleyball am Strand, 3 auf der einen Seite und 2 auf der anderen Seite.")</f>
        <v>Eine Gruppe von Männern spielt Volleyball am Strand, 3 auf der einen Seite und 2 auf der anderen Seite.</v>
      </c>
    </row>
    <row r="21451">
      <c r="A21451" s="4" t="s">
        <v>27011</v>
      </c>
      <c r="B21451" s="4" t="s">
        <v>27013</v>
      </c>
      <c r="C21451" s="5" t="str">
        <f>IFERROR(__xludf.DUMMYFUNCTION("GOOGLETRANSLATE(B21451,""en"",""de"")"),"Ein Team versucht zu dienen und stürzt ins Netz.")</f>
        <v>Ein Team versucht zu dienen und stürzt ins Netz.</v>
      </c>
    </row>
    <row r="21452">
      <c r="A21452" s="4" t="s">
        <v>27011</v>
      </c>
      <c r="B21452" s="4" t="s">
        <v>27014</v>
      </c>
      <c r="C21452" s="5" t="str">
        <f>IFERROR(__xludf.DUMMYFUNCTION("GOOGLETRANSLATE(B21452,""en"",""de"")"),"Das andere (Shorthanded) Team sendet einen eigenen Aufschlag, einen einfachen Lob, aber das gegnerische Team kehrt aus den Grenzen zurück.")</f>
        <v>Das andere (Shorthanded) Team sendet einen eigenen Aufschlag, einen einfachen Lob, aber das gegnerische Team kehrt aus den Grenzen zurück.</v>
      </c>
    </row>
    <row r="21453">
      <c r="A21453" s="4" t="s">
        <v>27015</v>
      </c>
      <c r="B21453" s="4" t="s">
        <v>27016</v>
      </c>
      <c r="C21453" s="5" t="str">
        <f>IFERROR(__xludf.DUMMYFUNCTION("GOOGLETRANSLATE(B21453,""en"",""de"")"),"Menschen fahren Stoßstangenautos in einem Karneval.")</f>
        <v>Menschen fahren Stoßstangenautos in einem Karneval.</v>
      </c>
    </row>
    <row r="21454">
      <c r="A21454" s="4" t="s">
        <v>27015</v>
      </c>
      <c r="B21454" s="4" t="s">
        <v>27017</v>
      </c>
      <c r="C21454" s="5" t="str">
        <f>IFERROR(__xludf.DUMMYFUNCTION("GOOGLETRANSLATE(B21454,""en"",""de"")"),"Ein alter Mann fährt ein kleines Stoßfängerauto.")</f>
        <v>Ein alter Mann fährt ein kleines Stoßfängerauto.</v>
      </c>
    </row>
    <row r="21455">
      <c r="A21455" s="4" t="s">
        <v>27015</v>
      </c>
      <c r="B21455" s="4" t="s">
        <v>27018</v>
      </c>
      <c r="C21455" s="5" t="str">
        <f>IFERROR(__xludf.DUMMYFUNCTION("GOOGLETRANSLATE(B21455,""en"",""de"")"),"Mehrere Personen stecken mit anderen Stoßfängerautos fest.")</f>
        <v>Mehrere Personen stecken mit anderen Stoßfängerautos fest.</v>
      </c>
    </row>
    <row r="21456">
      <c r="A21456" s="4" t="s">
        <v>27015</v>
      </c>
      <c r="B21456" s="4" t="s">
        <v>27019</v>
      </c>
      <c r="C21456" s="5" t="str">
        <f>IFERROR(__xludf.DUMMYFUNCTION("GOOGLETRANSLATE(B21456,""en"",""de"")"),"Es gibt viele Leute im Karneval.")</f>
        <v>Es gibt viele Leute im Karneval.</v>
      </c>
    </row>
    <row r="21457">
      <c r="A21457" s="4" t="s">
        <v>27020</v>
      </c>
      <c r="B21457" s="4" t="s">
        <v>27021</v>
      </c>
      <c r="C21457" s="5" t="str">
        <f>IFERROR(__xludf.DUMMYFUNCTION("GOOGLETRANSLATE(B21457,""en"",""de"")"),"Ein Mädchen und ein Mann üben in einem Fitnessstudio Boxen.")</f>
        <v>Ein Mädchen und ein Mann üben in einem Fitnessstudio Boxen.</v>
      </c>
    </row>
    <row r="21458">
      <c r="A21458" s="4" t="s">
        <v>27020</v>
      </c>
      <c r="B21458" s="4" t="s">
        <v>27022</v>
      </c>
      <c r="C21458" s="5" t="str">
        <f>IFERROR(__xludf.DUMMYFUNCTION("GOOGLETRANSLATE(B21458,""en"",""de"")"),"Im Hintergrund schwingt ein Schlagsack.")</f>
        <v>Im Hintergrund schwingt ein Schlagsack.</v>
      </c>
    </row>
    <row r="21459">
      <c r="A21459" s="4" t="s">
        <v>27020</v>
      </c>
      <c r="B21459" s="4" t="s">
        <v>27023</v>
      </c>
      <c r="C21459" s="5" t="str">
        <f>IFERROR(__xludf.DUMMYFUNCTION("GOOGLETRANSLATE(B21459,""en"",""de"")"),"Das Mädchen und das Mann bewegen sich um den Boden, um sich gegenseitig zu schwingen.")</f>
        <v>Das Mädchen und das Mann bewegen sich um den Boden, um sich gegenseitig zu schwingen.</v>
      </c>
    </row>
    <row r="21460">
      <c r="A21460" s="4" t="s">
        <v>27024</v>
      </c>
      <c r="B21460" s="4" t="s">
        <v>27025</v>
      </c>
      <c r="C21460" s="5" t="str">
        <f>IFERROR(__xludf.DUMMYFUNCTION("GOOGLETRANSLATE(B21460,""en"",""de"")"),"Kinder üben Gymnastik in einem Raum.")</f>
        <v>Kinder üben Gymnastik in einem Raum.</v>
      </c>
    </row>
    <row r="21461">
      <c r="A21461" s="4" t="s">
        <v>27024</v>
      </c>
      <c r="B21461" s="4" t="s">
        <v>27026</v>
      </c>
      <c r="C21461" s="5" t="str">
        <f>IFERROR(__xludf.DUMMYFUNCTION("GOOGLETRANSLATE(B21461,""en"",""de"")"),"Eine Frau hilft einem Kind, einen Flip zu machen.")</f>
        <v>Eine Frau hilft einem Kind, einen Flip zu machen.</v>
      </c>
    </row>
    <row r="21462">
      <c r="A21462" s="4" t="s">
        <v>27024</v>
      </c>
      <c r="B21462" s="4" t="s">
        <v>27027</v>
      </c>
      <c r="C21462" s="5" t="str">
        <f>IFERROR(__xludf.DUMMYFUNCTION("GOOGLETRANSLATE(B21462,""en"",""de"")"),"Einige Kinder beginnen von einer Wand.")</f>
        <v>Einige Kinder beginnen von einer Wand.</v>
      </c>
    </row>
    <row r="21463">
      <c r="A21463" s="4" t="s">
        <v>27024</v>
      </c>
      <c r="B21463" s="4" t="s">
        <v>27028</v>
      </c>
      <c r="C21463" s="5" t="str">
        <f>IFERROR(__xludf.DUMMYFUNCTION("GOOGLETRANSLATE(B21463,""en"",""de"")"),"Einige andere Kinder machen mehr Flips.")</f>
        <v>Einige andere Kinder machen mehr Flips.</v>
      </c>
    </row>
    <row r="21464">
      <c r="A21464" s="4" t="s">
        <v>27029</v>
      </c>
      <c r="B21464" s="4" t="s">
        <v>27030</v>
      </c>
      <c r="C21464" s="5" t="str">
        <f>IFERROR(__xludf.DUMMYFUNCTION("GOOGLETRANSLATE(B21464,""en"",""de"")"),"Ein Mann, der einen Hut trägt, spricht auf einer Bühne.")</f>
        <v>Ein Mann, der einen Hut trägt, spricht auf einer Bühne.</v>
      </c>
    </row>
    <row r="21465">
      <c r="A21465" s="4" t="s">
        <v>27029</v>
      </c>
      <c r="B21465" s="4" t="s">
        <v>27031</v>
      </c>
      <c r="C21465" s="5" t="str">
        <f>IFERROR(__xludf.DUMMYFUNCTION("GOOGLETRANSLATE(B21465,""en"",""de"")"),"Eine Frau tritt ein und sie beginnt zu tanzen.")</f>
        <v>Eine Frau tritt ein und sie beginnt zu tanzen.</v>
      </c>
    </row>
    <row r="21466">
      <c r="A21466" s="4" t="s">
        <v>27029</v>
      </c>
      <c r="B21466" s="4" t="s">
        <v>27032</v>
      </c>
      <c r="C21466" s="5" t="str">
        <f>IFERROR(__xludf.DUMMYFUNCTION("GOOGLETRANSLATE(B21466,""en"",""de"")"),"Die Frau zündet einen Hula -Reifen in Brand und tanzt mit dem Reifen.")</f>
        <v>Die Frau zündet einen Hula -Reifen in Brand und tanzt mit dem Reifen.</v>
      </c>
    </row>
    <row r="21467">
      <c r="A21467" s="4" t="s">
        <v>27033</v>
      </c>
      <c r="B21467" s="4" t="s">
        <v>27034</v>
      </c>
      <c r="C21467" s="5" t="str">
        <f>IFERROR(__xludf.DUMMYFUNCTION("GOOGLETRANSLATE(B21467,""en"",""de"")"),"Ein Junge setzt einen Rubix -Würfel zusammen und lässt ihn aufgeregt fallen.")</f>
        <v>Ein Junge setzt einen Rubix -Würfel zusammen und lässt ihn aufgeregt fallen.</v>
      </c>
    </row>
    <row r="21468">
      <c r="A21468" s="4" t="s">
        <v>27033</v>
      </c>
      <c r="B21468" s="4" t="s">
        <v>27035</v>
      </c>
      <c r="C21468" s="5" t="str">
        <f>IFERROR(__xludf.DUMMYFUNCTION("GOOGLETRANSLATE(B21468,""en"",""de"")"),"Er springt auf und klatscht so glücklich darüber in die Hände.")</f>
        <v>Er springt auf und klatscht so glücklich darüber in die Hände.</v>
      </c>
    </row>
    <row r="21469">
      <c r="A21469" s="4" t="s">
        <v>27033</v>
      </c>
      <c r="B21469" s="4" t="s">
        <v>27036</v>
      </c>
      <c r="C21469" s="5" t="str">
        <f>IFERROR(__xludf.DUMMYFUNCTION("GOOGLETRANSLATE(B21469,""en"",""de"")"),"Ein anderer Junge macht es nur mit seinen Füßen.")</f>
        <v>Ein anderer Junge macht es nur mit seinen Füßen.</v>
      </c>
    </row>
    <row r="21470">
      <c r="A21470" s="4" t="s">
        <v>27033</v>
      </c>
      <c r="B21470" s="4" t="s">
        <v>27037</v>
      </c>
      <c r="C21470" s="5" t="str">
        <f>IFERROR(__xludf.DUMMYFUNCTION("GOOGLETRANSLATE(B21470,""en"",""de"")"),"Es ist ein Wettbewerb, das Publikum beobachtet, wie die Menschen zeitlich festgelegt sind.")</f>
        <v>Es ist ein Wettbewerb, das Publikum beobachtet, wie die Menschen zeitlich festgelegt sind.</v>
      </c>
    </row>
    <row r="21471">
      <c r="A21471" s="4" t="s">
        <v>27038</v>
      </c>
      <c r="B21471" s="4" t="s">
        <v>27039</v>
      </c>
      <c r="C21471" s="5" t="str">
        <f>IFERROR(__xludf.DUMMYFUNCTION("GOOGLETRANSLATE(B21471,""en"",""de"")"),"Bildschirme erscheinen mit weißen Wörtern auf ihnen, die Ereignisse beschreiben, die kurz vor dem Spiel kommen.")</f>
        <v>Bildschirme erscheinen mit weißen Wörtern auf ihnen, die Ereignisse beschreiben, die kurz vor dem Spiel kommen.</v>
      </c>
    </row>
    <row r="21472">
      <c r="A21472" s="4" t="s">
        <v>27038</v>
      </c>
      <c r="B21472" s="4" t="s">
        <v>27040</v>
      </c>
      <c r="C21472" s="5" t="str">
        <f>IFERROR(__xludf.DUMMYFUNCTION("GOOGLETRANSLATE(B21472,""en"",""de"")"),"Ein Standbild wird dann gezeigt, bevor ein Mann versucht, mehrere Stabhochsprung zu machen.")</f>
        <v>Ein Standbild wird dann gezeigt, bevor ein Mann versucht, mehrere Stabhochsprung zu machen.</v>
      </c>
    </row>
    <row r="21473">
      <c r="A21473" s="4" t="s">
        <v>27038</v>
      </c>
      <c r="B21473" s="4" t="s">
        <v>27041</v>
      </c>
      <c r="C21473" s="5" t="str">
        <f>IFERROR(__xludf.DUMMYFUNCTION("GOOGLETRANSLATE(B21473,""en"",""de"")"),"Ein anderer schwarzer Bildschirm erscheint und eine andere Person versucht, den Sprung zu machen, aber auch er trifft auf die Stange.")</f>
        <v>Ein anderer schwarzer Bildschirm erscheint und eine andere Person versucht, den Sprung zu machen, aber auch er trifft auf die Stange.</v>
      </c>
    </row>
    <row r="21474">
      <c r="A21474" s="4" t="s">
        <v>27038</v>
      </c>
      <c r="B21474" s="4" t="s">
        <v>27042</v>
      </c>
      <c r="C21474" s="5" t="str">
        <f>IFERROR(__xludf.DUMMYFUNCTION("GOOGLETRANSLATE(B21474,""en"",""de"")"),"Sobald er fertig ist, versucht ein anderer Mann dies zu tun, aber er ist auch nicht erfolgreich.")</f>
        <v>Sobald er fertig ist, versucht ein anderer Mann dies zu tun, aber er ist auch nicht erfolgreich.</v>
      </c>
    </row>
    <row r="21475">
      <c r="A21475" s="4" t="s">
        <v>27043</v>
      </c>
      <c r="B21475" s="4" t="s">
        <v>27044</v>
      </c>
      <c r="C21475" s="5" t="str">
        <f>IFERROR(__xludf.DUMMYFUNCTION("GOOGLETRANSLATE(B21475,""en"",""de"")"),"Eine Frau spricht mit der Kamera, während er vor einem weißen Hintergrund steht.")</f>
        <v>Eine Frau spricht mit der Kamera, während er vor einem weißen Hintergrund steht.</v>
      </c>
    </row>
    <row r="21476">
      <c r="A21476" s="4" t="s">
        <v>27043</v>
      </c>
      <c r="B21476" s="4" t="s">
        <v>27045</v>
      </c>
      <c r="C21476" s="5" t="str">
        <f>IFERROR(__xludf.DUMMYFUNCTION("GOOGLETRANSLATE(B21476,""en"",""de"")"),"Sie hält einen Hula -Hoop hoch, während sie spricht.")</f>
        <v>Sie hält einen Hula -Hoop hoch, während sie spricht.</v>
      </c>
    </row>
    <row r="21477">
      <c r="A21477" s="4" t="s">
        <v>27043</v>
      </c>
      <c r="B21477" s="4" t="s">
        <v>27046</v>
      </c>
      <c r="C21477" s="5" t="str">
        <f>IFERROR(__xludf.DUMMYFUNCTION("GOOGLETRANSLATE(B21477,""en"",""de"")"),"Sie zeigt dann, wie man den Hula -Hoop benutzt, während sie Übungen und Yoga -Posen macht und manchmal Teile ihres Körpers in den Reifen einfügt.")</f>
        <v>Sie zeigt dann, wie man den Hula -Hoop benutzt, während sie Übungen und Yoga -Posen macht und manchmal Teile ihres Körpers in den Reifen einfügt.</v>
      </c>
    </row>
    <row r="21478">
      <c r="A21478" s="4" t="s">
        <v>27047</v>
      </c>
      <c r="B21478" s="4" t="s">
        <v>27048</v>
      </c>
      <c r="C21478" s="5" t="str">
        <f>IFERROR(__xludf.DUMMYFUNCTION("GOOGLETRANSLATE(B21478,""en"",""de"")"),"Die Leute gehen an der Kamera vorbei.")</f>
        <v>Die Leute gehen an der Kamera vorbei.</v>
      </c>
    </row>
    <row r="21479">
      <c r="A21479" s="4" t="s">
        <v>27047</v>
      </c>
      <c r="B21479" s="4" t="s">
        <v>27049</v>
      </c>
      <c r="C21479" s="5" t="str">
        <f>IFERROR(__xludf.DUMMYFUNCTION("GOOGLETRANSLATE(B21479,""en"",""de"")"),"Die Kamera zoomt ein, um den Leuten zu zeigen, die im Pool schwimmen und Volleyball im Pool spielen.")</f>
        <v>Die Kamera zoomt ein, um den Leuten zu zeigen, die im Pool schwimmen und Volleyball im Pool spielen.</v>
      </c>
    </row>
    <row r="21480">
      <c r="A21480" s="4" t="s">
        <v>27047</v>
      </c>
      <c r="B21480" s="4" t="s">
        <v>27050</v>
      </c>
      <c r="C21480" s="5" t="str">
        <f>IFERROR(__xludf.DUMMYFUNCTION("GOOGLETRANSLATE(B21480,""en"",""de"")"),"Eine Person steigt aus dem Pool und geht weg.")</f>
        <v>Eine Person steigt aus dem Pool und geht weg.</v>
      </c>
    </row>
    <row r="21481">
      <c r="A21481" s="4" t="s">
        <v>27047</v>
      </c>
      <c r="B21481" s="4" t="s">
        <v>27051</v>
      </c>
      <c r="C21481" s="5" t="str">
        <f>IFERROR(__xludf.DUMMYFUNCTION("GOOGLETRANSLATE(B21481,""en"",""de"")"),"Eine Person wirft den Ball auf ein Gesicht.")</f>
        <v>Eine Person wirft den Ball auf ein Gesicht.</v>
      </c>
    </row>
    <row r="21482">
      <c r="A21482" s="4" t="s">
        <v>27047</v>
      </c>
      <c r="B21482" s="4" t="s">
        <v>27052</v>
      </c>
      <c r="C21482" s="5" t="str">
        <f>IFERROR(__xludf.DUMMYFUNCTION("GOOGLETRANSLATE(B21482,""en"",""de"")"),"Die Leute werfen die Bälle so weit, dass sie aus dem Pool gehen.")</f>
        <v>Die Leute werfen die Bälle so weit, dass sie aus dem Pool gehen.</v>
      </c>
    </row>
    <row r="21483">
      <c r="A21483" s="4" t="s">
        <v>27053</v>
      </c>
      <c r="B21483" s="4" t="s">
        <v>27054</v>
      </c>
      <c r="C21483" s="5" t="str">
        <f>IFERROR(__xludf.DUMMYFUNCTION("GOOGLETRANSLATE(B21483,""en"",""de"")"),"Ein Intro beginnt mit dem Titel How to schneiden das Gras.")</f>
        <v>Ein Intro beginnt mit dem Titel How to schneiden das Gras.</v>
      </c>
    </row>
    <row r="21484">
      <c r="A21484" s="4" t="s">
        <v>27053</v>
      </c>
      <c r="B21484" s="4" t="s">
        <v>27055</v>
      </c>
      <c r="C21484" s="5" t="str">
        <f>IFERROR(__xludf.DUMMYFUNCTION("GOOGLETRANSLATE(B21484,""en"",""de"")"),"Ein Mann geht mit lustiger Kleidung aus und zeigt mit einem Rasenmäher zur Kamera.")</f>
        <v>Ein Mann geht mit lustiger Kleidung aus und zeigt mit einem Rasenmäher zur Kamera.</v>
      </c>
    </row>
    <row r="21485">
      <c r="A21485" s="4" t="s">
        <v>27053</v>
      </c>
      <c r="B21485" s="4" t="s">
        <v>27056</v>
      </c>
      <c r="C21485" s="5" t="str">
        <f>IFERROR(__xludf.DUMMYFUNCTION("GOOGLETRANSLATE(B21485,""en"",""de"")"),"Der Mann geht dann herum und bläst die Blätter ab und trägt immer noch das lustige Outfit.")</f>
        <v>Der Mann geht dann herum und bläst die Blätter ab und trägt immer noch das lustige Outfit.</v>
      </c>
    </row>
    <row r="21486">
      <c r="A21486" s="4" t="s">
        <v>27057</v>
      </c>
      <c r="B21486" s="4" t="s">
        <v>27058</v>
      </c>
      <c r="C21486" s="5" t="str">
        <f>IFERROR(__xludf.DUMMYFUNCTION("GOOGLETRANSLATE(B21486,""en"",""de"")"),"Eine Frau in der weißen Karate -Uniform demonstriert eine Routine auf der Matte für Richter während des Ereignisses.")</f>
        <v>Eine Frau in der weißen Karate -Uniform demonstriert eine Routine auf der Matte für Richter während des Ereignisses.</v>
      </c>
    </row>
    <row r="21487">
      <c r="A21487" s="4" t="s">
        <v>27057</v>
      </c>
      <c r="B21487" s="4" t="s">
        <v>27059</v>
      </c>
      <c r="C21487" s="5" t="str">
        <f>IFERROR(__xludf.DUMMYFUNCTION("GOOGLETRANSLATE(B21487,""en"",""de"")"),"Die Frau bockt und geht von der Matte.")</f>
        <v>Die Frau bockt und geht von der Matte.</v>
      </c>
    </row>
    <row r="21488">
      <c r="A21488" s="4" t="s">
        <v>27057</v>
      </c>
      <c r="B21488" s="4" t="s">
        <v>27060</v>
      </c>
      <c r="C21488" s="5" t="str">
        <f>IFERROR(__xludf.DUMMYFUNCTION("GOOGLETRANSLATE(B21488,""en"",""de"")"),"Eine Frau in schwarzer Uniform schüttelt mit Richtern die Hand.")</f>
        <v>Eine Frau in schwarzer Uniform schüttelt mit Richtern die Hand.</v>
      </c>
    </row>
    <row r="21489">
      <c r="A21489" s="4" t="s">
        <v>27057</v>
      </c>
      <c r="B21489" s="4" t="s">
        <v>27061</v>
      </c>
      <c r="C21489" s="5" t="str">
        <f>IFERROR(__xludf.DUMMYFUNCTION("GOOGLETRANSLATE(B21489,""en"",""de"")"),"Eine Frau in weißer Uniform geht auf und begrüßt Richter, die ihre Hände schütteln.")</f>
        <v>Eine Frau in weißer Uniform geht auf und begrüßt Richter, die ihre Hände schütteln.</v>
      </c>
    </row>
    <row r="21490">
      <c r="A21490" s="4" t="s">
        <v>27062</v>
      </c>
      <c r="B21490" s="4" t="s">
        <v>27063</v>
      </c>
      <c r="C21490" s="5" t="str">
        <f>IFERROR(__xludf.DUMMYFUNCTION("GOOGLETRANSLATE(B21490,""en"",""de"")"),"Es gibt Leute, die zusammen mit Drachen auf einem riesigen Parkplatz fliegen, auf dem mehrere Autos und Mini -Transporter geparkt sind.")</f>
        <v>Es gibt Leute, die zusammen mit Drachen auf einem riesigen Parkplatz fliegen, auf dem mehrere Autos und Mini -Transporter geparkt sind.</v>
      </c>
    </row>
    <row r="21491">
      <c r="A21491" s="4" t="s">
        <v>27062</v>
      </c>
      <c r="B21491" s="4" t="s">
        <v>27064</v>
      </c>
      <c r="C21491" s="5" t="str">
        <f>IFERROR(__xludf.DUMMYFUNCTION("GOOGLETRANSLATE(B21491,""en"",""de"")"),"Es gibt einen Mann in einem blauen, gestreiften Hemd mit einem anderen Mann in einem braunen Hemd, der sich darauf vorbereitet, ihren orangefarbenen Drachen zu fliegen.")</f>
        <v>Es gibt einen Mann in einem blauen, gestreiften Hemd mit einem anderen Mann in einem braunen Hemd, der sich darauf vorbereitet, ihren orangefarbenen Drachen zu fliegen.</v>
      </c>
    </row>
    <row r="21492">
      <c r="A21492" s="4" t="s">
        <v>27062</v>
      </c>
      <c r="B21492" s="4" t="s">
        <v>27065</v>
      </c>
      <c r="C21492" s="5" t="str">
        <f>IFERROR(__xludf.DUMMYFUNCTION("GOOGLETRANSLATE(B21492,""en"",""de"")"),"Sie ziehen die Saiten aus der Spule und fingen an, den Drachen zu fliegen.")</f>
        <v>Sie ziehen die Saiten aus der Spule und fingen an, den Drachen zu fliegen.</v>
      </c>
    </row>
    <row r="21493">
      <c r="A21493" s="4" t="s">
        <v>27066</v>
      </c>
      <c r="B21493" s="4" t="s">
        <v>27067</v>
      </c>
      <c r="C21493" s="5" t="str">
        <f>IFERROR(__xludf.DUMMYFUNCTION("GOOGLETRANSLATE(B21493,""en"",""de"")"),"Zwei Jungen polieren Schuhe mit Pinsel.")</f>
        <v>Zwei Jungen polieren Schuhe mit Pinsel.</v>
      </c>
    </row>
    <row r="21494">
      <c r="A21494" s="4" t="s">
        <v>27066</v>
      </c>
      <c r="B21494" s="4" t="s">
        <v>27068</v>
      </c>
      <c r="C21494" s="5" t="str">
        <f>IFERROR(__xludf.DUMMYFUNCTION("GOOGLETRANSLATE(B21494,""en"",""de"")"),"Dann nimmt ein Junge einen Schuh zum Spielen.")</f>
        <v>Dann nimmt ein Junge einen Schuh zum Spielen.</v>
      </c>
    </row>
    <row r="21495">
      <c r="A21495" s="4" t="s">
        <v>27066</v>
      </c>
      <c r="B21495" s="4" t="s">
        <v>27069</v>
      </c>
      <c r="C21495" s="5" t="str">
        <f>IFERROR(__xludf.DUMMYFUNCTION("GOOGLETRANSLATE(B21495,""en"",""de"")"),"Ein kleiner Junge steckte sein Bein in einen großen Schuh und poliert sich mit einem Pinsel.")</f>
        <v>Ein kleiner Junge steckte sein Bein in einen großen Schuh und poliert sich mit einem Pinsel.</v>
      </c>
    </row>
    <row r="21496">
      <c r="A21496" s="4" t="s">
        <v>27066</v>
      </c>
      <c r="B21496" s="4" t="s">
        <v>27070</v>
      </c>
      <c r="C21496" s="5" t="str">
        <f>IFERROR(__xludf.DUMMYFUNCTION("GOOGLETRANSLATE(B21496,""en"",""de"")"),"Dann steckte der andere Junge seine Hand in den Schuh, um ihn zu polieren.")</f>
        <v>Dann steckte der andere Junge seine Hand in den Schuh, um ihn zu polieren.</v>
      </c>
    </row>
    <row r="21497">
      <c r="A21497" s="4" t="s">
        <v>27071</v>
      </c>
      <c r="B21497" s="4" t="s">
        <v>27072</v>
      </c>
      <c r="C21497" s="5" t="str">
        <f>IFERROR(__xludf.DUMMYFUNCTION("GOOGLETRANSLATE(B21497,""en"",""de"")"),"Zwei Männer befinden sich auf einem Racquetballplatz in Indoor.")</f>
        <v>Zwei Männer befinden sich auf einem Racquetballplatz in Indoor.</v>
      </c>
    </row>
    <row r="21498">
      <c r="A21498" s="4" t="s">
        <v>27071</v>
      </c>
      <c r="B21498" s="4" t="s">
        <v>2779</v>
      </c>
      <c r="C21498" s="5" t="str">
        <f>IFERROR(__xludf.DUMMYFUNCTION("GOOGLETRANSLATE(B21498,""en"",""de"")"),"Sie schlugen den Ball gegen die Wand hin und her.")</f>
        <v>Sie schlugen den Ball gegen die Wand hin und her.</v>
      </c>
    </row>
    <row r="21499">
      <c r="A21499" s="4" t="s">
        <v>27071</v>
      </c>
      <c r="B21499" s="4" t="s">
        <v>27073</v>
      </c>
      <c r="C21499" s="5" t="str">
        <f>IFERROR(__xludf.DUMMYFUNCTION("GOOGLETRANSLATE(B21499,""en"",""de"")"),"Sie holen den Ball ab und konkurrieren weiter.")</f>
        <v>Sie holen den Ball ab und konkurrieren weiter.</v>
      </c>
    </row>
    <row r="21500">
      <c r="A21500" s="4" t="s">
        <v>27074</v>
      </c>
      <c r="B21500" s="4" t="s">
        <v>27075</v>
      </c>
      <c r="C21500" s="5" t="str">
        <f>IFERROR(__xludf.DUMMYFUNCTION("GOOGLETRANSLATE(B21500,""en"",""de"")"),"Der Mann, der schwarze Shorts trägt, läuft auf Rennstrecke und macht einen Speerwurf.")</f>
        <v>Der Mann, der schwarze Shorts trägt, läuft auf Rennstrecke und macht einen Speerwurf.</v>
      </c>
    </row>
    <row r="21501">
      <c r="A21501" s="4" t="s">
        <v>27074</v>
      </c>
      <c r="B21501" s="4" t="s">
        <v>27076</v>
      </c>
      <c r="C21501" s="5" t="str">
        <f>IFERROR(__xludf.DUMMYFUNCTION("GOOGLETRANSLATE(B21501,""en"",""de"")"),"Männer sitzen auf einer Seite der Rennstrecke.")</f>
        <v>Männer sitzen auf einer Seite der Rennstrecke.</v>
      </c>
    </row>
    <row r="21502">
      <c r="A21502" s="4" t="s">
        <v>27074</v>
      </c>
      <c r="B21502" s="4" t="s">
        <v>27077</v>
      </c>
      <c r="C21502" s="5" t="str">
        <f>IFERROR(__xludf.DUMMYFUNCTION("GOOGLETRANSLATE(B21502,""en"",""de"")"),"Der Mensch steht in einem staubigen Diamanten hinter dem grünen Netz.")</f>
        <v>Der Mensch steht in einem staubigen Diamanten hinter dem grünen Netz.</v>
      </c>
    </row>
    <row r="21503">
      <c r="A21503" s="4" t="s">
        <v>27074</v>
      </c>
      <c r="B21503" s="4" t="s">
        <v>27078</v>
      </c>
      <c r="C21503" s="5" t="str">
        <f>IFERROR(__xludf.DUMMYFUNCTION("GOOGLETRANSLATE(B21503,""en"",""de"")"),"Die Männer stehen neben einem grünen Netz und beobachten den Speer.")</f>
        <v>Die Männer stehen neben einem grünen Netz und beobachten den Speer.</v>
      </c>
    </row>
    <row r="21504">
      <c r="A21504" s="4" t="s">
        <v>27074</v>
      </c>
      <c r="B21504" s="4" t="s">
        <v>27079</v>
      </c>
      <c r="C21504" s="5" t="str">
        <f>IFERROR(__xludf.DUMMYFUNCTION("GOOGLETRANSLATE(B21504,""en"",""de"")"),"Schiedsrichter, die grüne Hemden tragen, stehen auf dem Feld.")</f>
        <v>Schiedsrichter, die grüne Hemden tragen, stehen auf dem Feld.</v>
      </c>
    </row>
    <row r="21505">
      <c r="A21505" s="4" t="s">
        <v>27080</v>
      </c>
      <c r="B21505" s="4" t="s">
        <v>27081</v>
      </c>
      <c r="C21505" s="5" t="str">
        <f>IFERROR(__xludf.DUMMYFUNCTION("GOOGLETRANSLATE(B21505,""en"",""de"")"),"Frau ist in einer Küche und spricht mit der Kamera und zeigt, wie man Kekse vorbereitet.")</f>
        <v>Frau ist in einer Küche und spricht mit der Kamera und zeigt, wie man Kekse vorbereitet.</v>
      </c>
    </row>
    <row r="21506">
      <c r="A21506" s="4" t="s">
        <v>27080</v>
      </c>
      <c r="B21506" s="4" t="s">
        <v>27082</v>
      </c>
      <c r="C21506" s="5" t="str">
        <f>IFERROR(__xludf.DUMMYFUNCTION("GOOGLETRANSLATE(B21506,""en"",""de"")"),"Frau mischt Zutaten von einer Küchenhilfe und macht sie in einer Pfanne und am Ofen.")</f>
        <v>Frau mischt Zutaten von einer Küchenhilfe und macht sie in einer Pfanne und am Ofen.</v>
      </c>
    </row>
    <row r="21507">
      <c r="A21507" s="4" t="s">
        <v>27083</v>
      </c>
      <c r="B21507" s="4" t="s">
        <v>27084</v>
      </c>
      <c r="C21507" s="5" t="str">
        <f>IFERROR(__xludf.DUMMYFUNCTION("GOOGLETRANSLATE(B21507,""en"",""de"")"),"Eine Frau wird gesehen, wie sie in die Ferne schaut, während sie eine Zigarette raucht.")</f>
        <v>Eine Frau wird gesehen, wie sie in die Ferne schaut, während sie eine Zigarette raucht.</v>
      </c>
    </row>
    <row r="21508">
      <c r="A21508" s="4" t="s">
        <v>27083</v>
      </c>
      <c r="B21508" s="4" t="s">
        <v>27085</v>
      </c>
      <c r="C21508" s="5" t="str">
        <f>IFERROR(__xludf.DUMMYFUNCTION("GOOGLETRANSLATE(B21508,""en"",""de"")"),"Sie spricht mit jemandem aus dem Rahmen, während sie Puffs aus ihrer Zigarette nimmt.")</f>
        <v>Sie spricht mit jemandem aus dem Rahmen, während sie Puffs aus ihrer Zigarette nimmt.</v>
      </c>
    </row>
    <row r="21509">
      <c r="A21509" s="4" t="s">
        <v>27083</v>
      </c>
      <c r="B21509" s="4" t="s">
        <v>27086</v>
      </c>
      <c r="C21509" s="5" t="str">
        <f>IFERROR(__xludf.DUMMYFUNCTION("GOOGLETRANSLATE(B21509,""en"",""de"")"),"Sie raucht weiter, während die Kamera ihre Bewegungen einfängt.")</f>
        <v>Sie raucht weiter, während die Kamera ihre Bewegungen einfängt.</v>
      </c>
    </row>
    <row r="21510">
      <c r="A21510" s="4" t="s">
        <v>27087</v>
      </c>
      <c r="B21510" s="4" t="s">
        <v>27088</v>
      </c>
      <c r="C21510" s="5" t="str">
        <f>IFERROR(__xludf.DUMMYFUNCTION("GOOGLETRANSLATE(B21510,""en"",""de"")"),"Eine Frau wird gesehen, wie sie zwei Reifen um ihre Hände dreht, während sie zur Kamera zurückblickt und spricht.")</f>
        <v>Eine Frau wird gesehen, wie sie zwei Reifen um ihre Hände dreht, während sie zur Kamera zurückblickt und spricht.</v>
      </c>
    </row>
    <row r="21511">
      <c r="A21511" s="4" t="s">
        <v>27087</v>
      </c>
      <c r="B21511" s="4" t="s">
        <v>27089</v>
      </c>
      <c r="C21511" s="5" t="str">
        <f>IFERROR(__xludf.DUMMYFUNCTION("GOOGLETRANSLATE(B21511,""en"",""de"")"),"Sie dreht sich weiter um die Reifen, während sie zwischengezogen ist, um sie zu halten und zu sprechen.")</f>
        <v>Sie dreht sich weiter um die Reifen, während sie zwischengezogen ist, um sie zu halten und zu sprechen.</v>
      </c>
    </row>
    <row r="21512">
      <c r="A21512" s="4" t="s">
        <v>27090</v>
      </c>
      <c r="B21512" s="4" t="s">
        <v>27091</v>
      </c>
      <c r="C21512" s="5" t="str">
        <f>IFERROR(__xludf.DUMMYFUNCTION("GOOGLETRANSLATE(B21512,""en"",""de"")"),"Eine Gruppe von Zuschauern wird in einem Fitnessstudio versammelt.")</f>
        <v>Eine Gruppe von Zuschauern wird in einem Fitnessstudio versammelt.</v>
      </c>
    </row>
    <row r="21513">
      <c r="A21513" s="4" t="s">
        <v>27090</v>
      </c>
      <c r="B21513" s="4" t="s">
        <v>27092</v>
      </c>
      <c r="C21513" s="5" t="str">
        <f>IFERROR(__xludf.DUMMYFUNCTION("GOOGLETRANSLATE(B21513,""en"",""de"")"),"Ein Mann und seine Teamkollegen schieben einen Puck.")</f>
        <v>Ein Mann und seine Teamkollegen schieben einen Puck.</v>
      </c>
    </row>
    <row r="21514">
      <c r="A21514" s="4" t="s">
        <v>27090</v>
      </c>
      <c r="B21514" s="4" t="s">
        <v>27093</v>
      </c>
      <c r="C21514" s="5" t="str">
        <f>IFERROR(__xludf.DUMMYFUNCTION("GOOGLETRANSLATE(B21514,""en"",""de"")"),"Sie engagieren sich in ein Spiel des Curlings auf dem Eis.")</f>
        <v>Sie engagieren sich in ein Spiel des Curlings auf dem Eis.</v>
      </c>
    </row>
    <row r="21515">
      <c r="A21515" s="4" t="s">
        <v>27094</v>
      </c>
      <c r="B21515" s="4" t="s">
        <v>27095</v>
      </c>
      <c r="C21515" s="5" t="str">
        <f>IFERROR(__xludf.DUMMYFUNCTION("GOOGLETRANSLATE(B21515,""en"",""de"")"),"Die Kamera vergrößert mehrere Spieler und führt zu einer kleinen Gruppe von Menschen, die Fußball gegeneinander spielen.")</f>
        <v>Die Kamera vergrößert mehrere Spieler und führt zu einer kleinen Gruppe von Menschen, die Fußball gegeneinander spielen.</v>
      </c>
    </row>
    <row r="21516">
      <c r="A21516" s="4" t="s">
        <v>27094</v>
      </c>
      <c r="B21516" s="4" t="s">
        <v>27096</v>
      </c>
      <c r="C21516" s="5" t="str">
        <f>IFERROR(__xludf.DUMMYFUNCTION("GOOGLETRANSLATE(B21516,""en"",""de"")"),"Trainer und Zuschauer reagieren, als sie das Spiel beobachten und die Spieler den Ball weiter auf und ab treten.")</f>
        <v>Trainer und Zuschauer reagieren, als sie das Spiel beobachten und die Spieler den Ball weiter auf und ab treten.</v>
      </c>
    </row>
    <row r="21517">
      <c r="A21517" s="4" t="s">
        <v>27097</v>
      </c>
      <c r="B21517" s="4" t="s">
        <v>27098</v>
      </c>
      <c r="C21517" s="5" t="str">
        <f>IFERROR(__xludf.DUMMYFUNCTION("GOOGLETRANSLATE(B21517,""en"",""de"")"),"Eine kleine Gruppe von Menschen steht auf jeder Seite eines Seils, das ihre Hände hochlegt.")</f>
        <v>Eine kleine Gruppe von Menschen steht auf jeder Seite eines Seils, das ihre Hände hochlegt.</v>
      </c>
    </row>
    <row r="21518">
      <c r="A21518" s="4" t="s">
        <v>27097</v>
      </c>
      <c r="B21518" s="4" t="s">
        <v>27099</v>
      </c>
      <c r="C21518" s="5" t="str">
        <f>IFERROR(__xludf.DUMMYFUNCTION("GOOGLETRANSLATE(B21518,""en"",""de"")"),"Die Männer greifen dann am Seil und ziehen sich gegeneinander.")</f>
        <v>Die Männer greifen dann am Seil und ziehen sich gegeneinander.</v>
      </c>
    </row>
    <row r="21519">
      <c r="A21519" s="4" t="s">
        <v>27097</v>
      </c>
      <c r="B21519" s="4" t="s">
        <v>27100</v>
      </c>
      <c r="C21519" s="5" t="str">
        <f>IFERROR(__xludf.DUMMYFUNCTION("GOOGLETRANSLATE(B21519,""en"",""de"")"),"Männer beobachten nebenbei, wenn ein Team gewinnt.")</f>
        <v>Männer beobachten nebenbei, wenn ein Team gewinnt.</v>
      </c>
    </row>
    <row r="21520">
      <c r="A21520" s="4" t="s">
        <v>27101</v>
      </c>
      <c r="B21520" s="4" t="s">
        <v>27102</v>
      </c>
      <c r="C21520" s="5" t="str">
        <f>IFERROR(__xludf.DUMMYFUNCTION("GOOGLETRANSLATE(B21520,""en"",""de"")"),"Eine große Gruppe von Menschen steht in einem Indoor -Fitnessstudio hintereinander.")</f>
        <v>Eine große Gruppe von Menschen steht in einem Indoor -Fitnessstudio hintereinander.</v>
      </c>
    </row>
    <row r="21521">
      <c r="A21521" s="4" t="s">
        <v>27101</v>
      </c>
      <c r="B21521" s="4" t="s">
        <v>27103</v>
      </c>
      <c r="C21521" s="5" t="str">
        <f>IFERROR(__xludf.DUMMYFUNCTION("GOOGLETRANSLATE(B21521,""en"",""de"")"),"Die Gruppe beginnt dann miteinander zu tanzen und die gleichen Bewegungen auszuführen.")</f>
        <v>Die Gruppe beginnt dann miteinander zu tanzen und die gleichen Bewegungen auszuführen.</v>
      </c>
    </row>
    <row r="21522">
      <c r="A21522" s="4" t="s">
        <v>27101</v>
      </c>
      <c r="B21522" s="4" t="s">
        <v>27104</v>
      </c>
      <c r="C21522" s="5" t="str">
        <f>IFERROR(__xludf.DUMMYFUNCTION("GOOGLETRANSLATE(B21522,""en"",""de"")"),"Die Leute tanzen weiter im Raum, während die Kamera ihre Bewegungen aufzeichnet.")</f>
        <v>Die Leute tanzen weiter im Raum, während die Kamera ihre Bewegungen aufzeichnet.</v>
      </c>
    </row>
    <row r="21523">
      <c r="A21523" s="4" t="s">
        <v>27105</v>
      </c>
      <c r="B21523" s="4" t="s">
        <v>539</v>
      </c>
      <c r="C21523" s="5" t="str">
        <f>IFERROR(__xludf.DUMMYFUNCTION("GOOGLETRANSLATE(B21523,""en"",""de"")"),"Ein Mann spricht mit der Kamera.")</f>
        <v>Ein Mann spricht mit der Kamera.</v>
      </c>
    </row>
    <row r="21524">
      <c r="A21524" s="4" t="s">
        <v>27105</v>
      </c>
      <c r="B21524" s="4" t="s">
        <v>27106</v>
      </c>
      <c r="C21524" s="5" t="str">
        <f>IFERROR(__xludf.DUMMYFUNCTION("GOOGLETRANSLATE(B21524,""en"",""de"")"),"Mehrere Teammitglieder aus Volleyballspielen werden interviewt.")</f>
        <v>Mehrere Teammitglieder aus Volleyballspielen werden interviewt.</v>
      </c>
    </row>
    <row r="21525">
      <c r="A21525" s="4" t="s">
        <v>27105</v>
      </c>
      <c r="B21525" s="4" t="s">
        <v>27107</v>
      </c>
      <c r="C21525" s="5" t="str">
        <f>IFERROR(__xludf.DUMMYFUNCTION("GOOGLETRANSLATE(B21525,""en"",""de"")"),"Sie spielen am Strand und treten den Ball.")</f>
        <v>Sie spielen am Strand und treten den Ball.</v>
      </c>
    </row>
    <row r="21526">
      <c r="A21526" s="4" t="s">
        <v>27108</v>
      </c>
      <c r="B21526" s="4" t="s">
        <v>27109</v>
      </c>
      <c r="C21526" s="5" t="str">
        <f>IFERROR(__xludf.DUMMYFUNCTION("GOOGLETRANSLATE(B21526,""en"",""de"")"),"Ein Mann konkurriert um die Lösung eines Puzzlewürfels.")</f>
        <v>Ein Mann konkurriert um die Lösung eines Puzzlewürfels.</v>
      </c>
    </row>
    <row r="21527">
      <c r="A21527" s="4" t="s">
        <v>27108</v>
      </c>
      <c r="B21527" s="4" t="s">
        <v>27110</v>
      </c>
      <c r="C21527" s="5" t="str">
        <f>IFERROR(__xludf.DUMMYFUNCTION("GOOGLETRANSLATE(B21527,""en"",""de"")"),"Eine Person ist hinter dem Mann vorbei.")</f>
        <v>Eine Person ist hinter dem Mann vorbei.</v>
      </c>
    </row>
    <row r="21528">
      <c r="A21528" s="4" t="s">
        <v>27108</v>
      </c>
      <c r="B21528" s="4" t="s">
        <v>27111</v>
      </c>
      <c r="C21528" s="5" t="str">
        <f>IFERROR(__xludf.DUMMYFUNCTION("GOOGLETRANSLATE(B21528,""en"",""de"")"),"Eine Hand erstreckt sich ein Blatt vor dem Spieler.")</f>
        <v>Eine Hand erstreckt sich ein Blatt vor dem Spieler.</v>
      </c>
    </row>
    <row r="21529">
      <c r="A21529" s="4" t="s">
        <v>27108</v>
      </c>
      <c r="B21529" s="4" t="s">
        <v>27112</v>
      </c>
      <c r="C21529" s="5" t="str">
        <f>IFERROR(__xludf.DUMMYFUNCTION("GOOGLETRANSLATE(B21529,""en"",""de"")"),"Nach dem Ende legt der Mann seine Brille auf.")</f>
        <v>Nach dem Ende legt der Mann seine Brille auf.</v>
      </c>
    </row>
    <row r="21530">
      <c r="A21530" s="4" t="s">
        <v>27113</v>
      </c>
      <c r="B21530" s="4" t="s">
        <v>6958</v>
      </c>
      <c r="C21530" s="5" t="str">
        <f>IFERROR(__xludf.DUMMYFUNCTION("GOOGLETRANSLATE(B21530,""en"",""de"")"),"Wir sehen einen weißen Öffnungsbildschirm.")</f>
        <v>Wir sehen einen weißen Öffnungsbildschirm.</v>
      </c>
    </row>
    <row r="21531">
      <c r="A21531" s="4" t="s">
        <v>27113</v>
      </c>
      <c r="B21531" s="4" t="s">
        <v>27114</v>
      </c>
      <c r="C21531" s="5" t="str">
        <f>IFERROR(__xludf.DUMMYFUNCTION("GOOGLETRANSLATE(B21531,""en"",""de"")"),"Wir sehen zwei Männer sitzen und dann den Kopf schütteln.")</f>
        <v>Wir sehen zwei Männer sitzen und dann den Kopf schütteln.</v>
      </c>
    </row>
    <row r="21532">
      <c r="A21532" s="4" t="s">
        <v>27113</v>
      </c>
      <c r="B21532" s="4" t="s">
        <v>27115</v>
      </c>
      <c r="C21532" s="5" t="str">
        <f>IFERROR(__xludf.DUMMYFUNCTION("GOOGLETRANSLATE(B21532,""en"",""de"")"),"Wir sehen Werkzeuge und Tipps für Krocket.")</f>
        <v>Wir sehen Werkzeuge und Tipps für Krocket.</v>
      </c>
    </row>
    <row r="21533">
      <c r="A21533" s="4" t="s">
        <v>27113</v>
      </c>
      <c r="B21533" s="4" t="s">
        <v>27116</v>
      </c>
      <c r="C21533" s="5" t="str">
        <f>IFERROR(__xludf.DUMMYFUNCTION("GOOGLETRANSLATE(B21533,""en"",""de"")"),"Die beiden Männer streiten sich über das Spiel.")</f>
        <v>Die beiden Männer streiten sich über das Spiel.</v>
      </c>
    </row>
    <row r="21534">
      <c r="A21534" s="4" t="s">
        <v>27113</v>
      </c>
      <c r="B21534" s="4" t="s">
        <v>27117</v>
      </c>
      <c r="C21534" s="5" t="str">
        <f>IFERROR(__xludf.DUMMYFUNCTION("GOOGLETRANSLATE(B21534,""en"",""de"")"),"Wir sehen die Männer, die Krocket spielen.")</f>
        <v>Wir sehen die Männer, die Krocket spielen.</v>
      </c>
    </row>
    <row r="21535">
      <c r="A21535" s="4" t="s">
        <v>27113</v>
      </c>
      <c r="B21535" s="4" t="s">
        <v>27118</v>
      </c>
      <c r="C21535" s="5" t="str">
        <f>IFERROR(__xludf.DUMMYFUNCTION("GOOGLETRANSLATE(B21535,""en"",""de"")"),"Wir sehen ein Diagramm auf dem Bildschirm.")</f>
        <v>Wir sehen ein Diagramm auf dem Bildschirm.</v>
      </c>
    </row>
    <row r="21536">
      <c r="A21536" s="4" t="s">
        <v>27113</v>
      </c>
      <c r="B21536" s="4" t="s">
        <v>27119</v>
      </c>
      <c r="C21536" s="5" t="str">
        <f>IFERROR(__xludf.DUMMYFUNCTION("GOOGLETRANSLATE(B21536,""en"",""de"")"),"Der Mann hat seinen Fuß auf einem roten Ball.")</f>
        <v>Der Mann hat seinen Fuß auf einem roten Ball.</v>
      </c>
    </row>
    <row r="21537">
      <c r="A21537" s="4" t="s">
        <v>27113</v>
      </c>
      <c r="B21537" s="4" t="s">
        <v>27120</v>
      </c>
      <c r="C21537" s="5" t="str">
        <f>IFERROR(__xludf.DUMMYFUNCTION("GOOGLETRANSLATE(B21537,""en"",""de"")"),"Wir sehen einen Mann lachen und tanzen, während ein anderer verärgert ist.")</f>
        <v>Wir sehen einen Mann lachen und tanzen, während ein anderer verärgert ist.</v>
      </c>
    </row>
    <row r="21538">
      <c r="A21538" s="4" t="s">
        <v>27113</v>
      </c>
      <c r="B21538" s="4" t="s">
        <v>777</v>
      </c>
      <c r="C21538" s="5" t="str">
        <f>IFERROR(__xludf.DUMMYFUNCTION("GOOGLETRANSLATE(B21538,""en"",""de"")"),"Wir sehen den End -Titelbildschirm.")</f>
        <v>Wir sehen den End -Titelbildschirm.</v>
      </c>
    </row>
    <row r="21539">
      <c r="A21539" s="4" t="s">
        <v>27121</v>
      </c>
      <c r="B21539" s="4" t="s">
        <v>27122</v>
      </c>
      <c r="C21539" s="5" t="str">
        <f>IFERROR(__xludf.DUMMYFUNCTION("GOOGLETRANSLATE(B21539,""en"",""de"")"),"Ein Mann sitzt in einem Kajak, während er mit der Kamera spricht und ein Paddel hält.")</f>
        <v>Ein Mann sitzt in einem Kajak, während er mit der Kamera spricht und ein Paddel hält.</v>
      </c>
    </row>
    <row r="21540">
      <c r="A21540" s="4" t="s">
        <v>27121</v>
      </c>
      <c r="B21540" s="4" t="s">
        <v>27123</v>
      </c>
      <c r="C21540" s="5" t="str">
        <f>IFERROR(__xludf.DUMMYFUNCTION("GOOGLETRANSLATE(B21540,""en"",""de"")"),"Der Mann bewegt sich dann auf dem Kajak herum und zeigt, wie man sich richtig bewegt.")</f>
        <v>Der Mann bewegt sich dann auf dem Kajak herum und zeigt, wie man sich richtig bewegt.</v>
      </c>
    </row>
    <row r="21541">
      <c r="A21541" s="4" t="s">
        <v>27121</v>
      </c>
      <c r="B21541" s="4" t="s">
        <v>27124</v>
      </c>
      <c r="C21541" s="5" t="str">
        <f>IFERROR(__xludf.DUMMYFUNCTION("GOOGLETRANSLATE(B21541,""en"",""de"")"),"Er dreht sich weiter herum, während er zur Kamera aufsieht.")</f>
        <v>Er dreht sich weiter herum, während er zur Kamera aufsieht.</v>
      </c>
    </row>
    <row r="21542">
      <c r="A21542" s="4" t="s">
        <v>27125</v>
      </c>
      <c r="B21542" s="4" t="s">
        <v>27126</v>
      </c>
      <c r="C21542" s="5" t="str">
        <f>IFERROR(__xludf.DUMMYFUNCTION("GOOGLETRANSLATE(B21542,""en"",""de"")"),"Ein Mann in Sonnenbrillen steht vor einem Gebäude.")</f>
        <v>Ein Mann in Sonnenbrillen steht vor einem Gebäude.</v>
      </c>
    </row>
    <row r="21543">
      <c r="A21543" s="4" t="s">
        <v>27125</v>
      </c>
      <c r="B21543" s="4" t="s">
        <v>27127</v>
      </c>
      <c r="C21543" s="5" t="str">
        <f>IFERROR(__xludf.DUMMYFUNCTION("GOOGLETRANSLATE(B21543,""en"",""de"")"),"Er ist dann in einem Aufzug zu sehen und benimmt sich seltsam, während er mit verschiedenen Menschen die Luft schlägt.")</f>
        <v>Er ist dann in einem Aufzug zu sehen und benimmt sich seltsam, während er mit verschiedenen Menschen die Luft schlägt.</v>
      </c>
    </row>
    <row r="21544">
      <c r="A21544" s="4" t="s">
        <v>27125</v>
      </c>
      <c r="B21544" s="4" t="s">
        <v>27128</v>
      </c>
      <c r="C21544" s="5" t="str">
        <f>IFERROR(__xludf.DUMMYFUNCTION("GOOGLETRANSLATE(B21544,""en"",""de"")"),"Er versucht absichtlich, sie zu erschrecken und zu beunruhigen.")</f>
        <v>Er versucht absichtlich, sie zu erschrecken und zu beunruhigen.</v>
      </c>
    </row>
    <row r="21545">
      <c r="A21545" s="4" t="s">
        <v>27129</v>
      </c>
      <c r="B21545" s="4" t="s">
        <v>27130</v>
      </c>
      <c r="C21545" s="5" t="str">
        <f>IFERROR(__xludf.DUMMYFUNCTION("GOOGLETRANSLATE(B21545,""en"",""de"")"),"Vier Mädchen schauen in die Kamera.")</f>
        <v>Vier Mädchen schauen in die Kamera.</v>
      </c>
    </row>
    <row r="21546">
      <c r="A21546" s="4" t="s">
        <v>27129</v>
      </c>
      <c r="B21546" s="4" t="s">
        <v>27131</v>
      </c>
      <c r="C21546" s="5" t="str">
        <f>IFERROR(__xludf.DUMMYFUNCTION("GOOGLETRANSLATE(B21546,""en"",""de"")"),"Ein Mädchen im Vordergrund winken mit einer Flasche Mundwasser.")</f>
        <v>Ein Mädchen im Vordergrund winken mit einer Flasche Mundwasser.</v>
      </c>
    </row>
    <row r="21547">
      <c r="A21547" s="4" t="s">
        <v>27129</v>
      </c>
      <c r="B21547" s="4" t="s">
        <v>27132</v>
      </c>
      <c r="C21547" s="5" t="str">
        <f>IFERROR(__xludf.DUMMYFUNCTION("GOOGLETRANSLATE(B21547,""en"",""de"")"),"Das Mädchen nimmt dann eine Tasse Mundwasser und trinkt es.")</f>
        <v>Das Mädchen nimmt dann eine Tasse Mundwasser und trinkt es.</v>
      </c>
    </row>
    <row r="21548">
      <c r="A21548" s="4" t="s">
        <v>27129</v>
      </c>
      <c r="B21548" s="4" t="s">
        <v>27133</v>
      </c>
      <c r="C21548" s="5" t="str">
        <f>IFERROR(__xludf.DUMMYFUNCTION("GOOGLETRANSLATE(B21548,""en"",""de"")"),"Die Mundwäsche wird herumgegangen, bis alle Mädchen daraus trinken.")</f>
        <v>Die Mundwäsche wird herumgegangen, bis alle Mädchen daraus trinken.</v>
      </c>
    </row>
    <row r="21549">
      <c r="A21549" s="4" t="s">
        <v>27134</v>
      </c>
      <c r="B21549" s="4" t="s">
        <v>27135</v>
      </c>
      <c r="C21549" s="5" t="str">
        <f>IFERROR(__xludf.DUMMYFUNCTION("GOOGLETRANSLATE(B21549,""en"",""de"")"),"Mehrere Menschen gehen in einen Raum, der Känguru -Schuhe trägt und herumhüpfen.")</f>
        <v>Mehrere Menschen gehen in einen Raum, der Känguru -Schuhe trägt und herumhüpfen.</v>
      </c>
    </row>
    <row r="21550">
      <c r="A21550" s="4" t="s">
        <v>27134</v>
      </c>
      <c r="B21550" s="4" t="s">
        <v>27136</v>
      </c>
      <c r="C21550" s="5" t="str">
        <f>IFERROR(__xludf.DUMMYFUNCTION("GOOGLETRANSLATE(B21550,""en"",""de"")"),"Auf der linken Seite des Raumes befindet sich eine Stange auf zwei Stangen, die ungefähr fünf Fuß hoch ist, die jede Person abwechselt.")</f>
        <v>Auf der linken Seite des Raumes befindet sich eine Stange auf zwei Stangen, die ungefähr fünf Fuß hoch ist, die jede Person abwechselt.</v>
      </c>
    </row>
    <row r="21551">
      <c r="A21551" s="4" t="s">
        <v>27137</v>
      </c>
      <c r="B21551" s="4" t="s">
        <v>27138</v>
      </c>
      <c r="C21551" s="5" t="str">
        <f>IFERROR(__xludf.DUMMYFUNCTION("GOOGLETRANSLATE(B21551,""en"",""de"")"),"Skifahrer reiten einen Skipauf.")</f>
        <v>Skifahrer reiten einen Skipauf.</v>
      </c>
    </row>
    <row r="21552">
      <c r="A21552" s="4" t="s">
        <v>27137</v>
      </c>
      <c r="B21552" s="4" t="s">
        <v>27139</v>
      </c>
      <c r="C21552" s="5" t="str">
        <f>IFERROR(__xludf.DUMMYFUNCTION("GOOGLETRANSLATE(B21552,""en"",""de"")"),"Ein Mann in gelben Skiern einen Hang hinunter.")</f>
        <v>Ein Mann in gelben Skiern einen Hang hinunter.</v>
      </c>
    </row>
    <row r="21553">
      <c r="A21553" s="4" t="s">
        <v>27137</v>
      </c>
      <c r="B21553" s="4" t="s">
        <v>27140</v>
      </c>
      <c r="C21553" s="5" t="str">
        <f>IFERROR(__xludf.DUMMYFUNCTION("GOOGLETRANSLATE(B21553,""en"",""de"")"),"Mehrere Tricks werden von Skifahrern durchgeführt.")</f>
        <v>Mehrere Tricks werden von Skifahrern durchgeführt.</v>
      </c>
    </row>
    <row r="21554">
      <c r="A21554" s="4" t="s">
        <v>27137</v>
      </c>
      <c r="B21554" s="4" t="s">
        <v>27141</v>
      </c>
      <c r="C21554" s="5" t="str">
        <f>IFERROR(__xludf.DUMMYFUNCTION("GOOGLETRANSLATE(B21554,""en"",""de"")"),"Sie springen über mehrere Rampen.")</f>
        <v>Sie springen über mehrere Rampen.</v>
      </c>
    </row>
    <row r="21555">
      <c r="A21555" s="4" t="s">
        <v>27142</v>
      </c>
      <c r="B21555" s="4" t="s">
        <v>27143</v>
      </c>
      <c r="C21555" s="5" t="str">
        <f>IFERROR(__xludf.DUMMYFUNCTION("GOOGLETRANSLATE(B21555,""en"",""de"")"),"Litauaner Zinaida Sendriute wirft den Diskus 64 Meter, um ihren dritten Wurf zu führen, und winkt zur Kamera, als sie losgeht.")</f>
        <v>Litauaner Zinaida Sendriute wirft den Diskus 64 Meter, um ihren dritten Wurf zu führen, und winkt zur Kamera, als sie losgeht.</v>
      </c>
    </row>
    <row r="21556">
      <c r="A21556" s="4" t="s">
        <v>27142</v>
      </c>
      <c r="B21556" s="4" t="s">
        <v>27144</v>
      </c>
      <c r="C21556" s="5" t="str">
        <f>IFERROR(__xludf.DUMMYFUNCTION("GOOGLETRANSLATE(B21556,""en"",""de"")"),"Der kubanische Yarelis Barrios kommt als nächstes und entfesselt einen mächtigen 67 -Meter -Wurf mit einem donnernden Schrei.")</f>
        <v>Der kubanische Yarelis Barrios kommt als nächstes und entfesselt einen mächtigen 67 -Meter -Wurf mit einem donnernden Schrei.</v>
      </c>
    </row>
    <row r="21557">
      <c r="A21557" s="4" t="s">
        <v>27142</v>
      </c>
      <c r="B21557" s="4" t="s">
        <v>27145</v>
      </c>
      <c r="C21557" s="5" t="str">
        <f>IFERROR(__xludf.DUMMYFUNCTION("GOOGLETRANSLATE(B21557,""en"",""de"")"),"Der kroatische Sandra Perkovic streckt beide früheren Werfer mit einem 69 -Meter -Wurf heraus, um die Führung zu beanspruchen.")</f>
        <v>Der kroatische Sandra Perkovic streckt beide früheren Werfer mit einem 69 -Meter -Wurf heraus, um die Führung zu beanspruchen.</v>
      </c>
    </row>
    <row r="21558">
      <c r="A21558" s="4" t="s">
        <v>27146</v>
      </c>
      <c r="B21558" s="4" t="s">
        <v>27147</v>
      </c>
      <c r="C21558" s="5" t="str">
        <f>IFERROR(__xludf.DUMMYFUNCTION("GOOGLETRANSLATE(B21558,""en"",""de"")"),"Ein sportlicher Mann ist zu sehen, der sich in einen Kreis tritt und ein Objekt in die Ferne bringt.")</f>
        <v>Ein sportlicher Mann ist zu sehen, der sich in einen Kreis tritt und ein Objekt in die Ferne bringt.</v>
      </c>
    </row>
    <row r="21559">
      <c r="A21559" s="4" t="s">
        <v>27146</v>
      </c>
      <c r="B21559" s="4" t="s">
        <v>27148</v>
      </c>
      <c r="C21559" s="5" t="str">
        <f>IFERROR(__xludf.DUMMYFUNCTION("GOOGLETRANSLATE(B21559,""en"",""de"")"),"Sein Wurf wird erneut gezeigt, während andere seinen Wurf an die Seite messen.")</f>
        <v>Sein Wurf wird erneut gezeigt, während andere seinen Wurf an die Seite messen.</v>
      </c>
    </row>
    <row r="21560">
      <c r="A21560" s="4" t="s">
        <v>27146</v>
      </c>
      <c r="B21560" s="4" t="s">
        <v>27149</v>
      </c>
      <c r="C21560" s="5" t="str">
        <f>IFERROR(__xludf.DUMMYFUNCTION("GOOGLETRANSLATE(B21560,""en"",""de"")"),"Der Mann schnappt sich eine Flagge und geht um die Arena.")</f>
        <v>Der Mann schnappt sich eine Flagge und geht um die Arena.</v>
      </c>
    </row>
    <row r="21561">
      <c r="A21561" s="4" t="s">
        <v>27150</v>
      </c>
      <c r="B21561" s="4" t="s">
        <v>27151</v>
      </c>
      <c r="C21561" s="5" t="str">
        <f>IFERROR(__xludf.DUMMYFUNCTION("GOOGLETRANSLATE(B21561,""en"",""de"")"),"Ein großer Bildschirm wird angezeigt, gefolgt von einer Band, die auf der Bühne spielt.")</f>
        <v>Ein großer Bildschirm wird angezeigt, gefolgt von einer Band, die auf der Bühne spielt.</v>
      </c>
    </row>
    <row r="21562">
      <c r="A21562" s="4" t="s">
        <v>27150</v>
      </c>
      <c r="B21562" s="4" t="s">
        <v>27152</v>
      </c>
      <c r="C21562" s="5" t="str">
        <f>IFERROR(__xludf.DUMMYFUNCTION("GOOGLETRANSLATE(B21562,""en"",""de"")"),"Ein Mann, der ein Mickey -Kostüm trägt und Schlagzeug spielt.")</f>
        <v>Ein Mann, der ein Mickey -Kostüm trägt und Schlagzeug spielt.</v>
      </c>
    </row>
    <row r="21563">
      <c r="A21563" s="4" t="s">
        <v>27150</v>
      </c>
      <c r="B21563" s="4" t="s">
        <v>27153</v>
      </c>
      <c r="C21563" s="5" t="str">
        <f>IFERROR(__xludf.DUMMYFUNCTION("GOOGLETRANSLATE(B21563,""en"",""de"")"),"Der Mann spielt weiter Schlagzeug und endet mit dem Schließen des Vorhangs.")</f>
        <v>Der Mann spielt weiter Schlagzeug und endet mit dem Schließen des Vorhangs.</v>
      </c>
    </row>
    <row r="21564">
      <c r="A21564" s="4" t="s">
        <v>27154</v>
      </c>
      <c r="B21564" s="4" t="s">
        <v>27155</v>
      </c>
      <c r="C21564" s="5" t="str">
        <f>IFERROR(__xludf.DUMMYFUNCTION("GOOGLETRANSLATE(B21564,""en"",""de"")"),"Wir sehen einen geschnitzten Kürbis und einen Titelbildschirm.")</f>
        <v>Wir sehen einen geschnitzten Kürbis und einen Titelbildschirm.</v>
      </c>
    </row>
    <row r="21565">
      <c r="A21565" s="4" t="s">
        <v>27154</v>
      </c>
      <c r="B21565" s="4" t="s">
        <v>27156</v>
      </c>
      <c r="C21565" s="5" t="str">
        <f>IFERROR(__xludf.DUMMYFUNCTION("GOOGLETRANSLATE(B21565,""en"",""de"")"),"Ein Mann zeichnet ein Gesicht auf einen Kürbis.")</f>
        <v>Ein Mann zeichnet ein Gesicht auf einen Kürbis.</v>
      </c>
    </row>
    <row r="21566">
      <c r="A21566" s="4" t="s">
        <v>27154</v>
      </c>
      <c r="B21566" s="4" t="s">
        <v>27157</v>
      </c>
      <c r="C21566" s="5" t="str">
        <f>IFERROR(__xludf.DUMMYFUNCTION("GOOGLETRANSLATE(B21566,""en"",""de"")"),"Ein Mann schnitzt dann einen Kürbis in einen knurrenden alten Mann.")</f>
        <v>Ein Mann schnitzt dann einen Kürbis in einen knurrenden alten Mann.</v>
      </c>
    </row>
    <row r="21567">
      <c r="A21567" s="4" t="s">
        <v>27154</v>
      </c>
      <c r="B21567" s="4" t="s">
        <v>27158</v>
      </c>
      <c r="C21567" s="5" t="str">
        <f>IFERROR(__xludf.DUMMYFUNCTION("GOOGLETRANSLATE(B21567,""en"",""de"")"),"Der Mann nimmt ein Bild des Kürbis mit einem Telefon.")</f>
        <v>Der Mann nimmt ein Bild des Kürbis mit einem Telefon.</v>
      </c>
    </row>
    <row r="21568">
      <c r="A21568" s="4" t="s">
        <v>27154</v>
      </c>
      <c r="B21568" s="4" t="s">
        <v>27159</v>
      </c>
      <c r="C21568" s="5" t="str">
        <f>IFERROR(__xludf.DUMMYFUNCTION("GOOGLETRANSLATE(B21568,""en"",""de"")"),"Der Mann neigt den Kürbis wieder ins Licht.")</f>
        <v>Der Mann neigt den Kürbis wieder ins Licht.</v>
      </c>
    </row>
    <row r="21569">
      <c r="A21569" s="4" t="s">
        <v>27154</v>
      </c>
      <c r="B21569" s="4" t="s">
        <v>27160</v>
      </c>
      <c r="C21569" s="5" t="str">
        <f>IFERROR(__xludf.DUMMYFUNCTION("GOOGLETRANSLATE(B21569,""en"",""de"")"),"Wir sehen immer noch Aufnahmen des geschnitzten Kürbis.")</f>
        <v>Wir sehen immer noch Aufnahmen des geschnitzten Kürbis.</v>
      </c>
    </row>
    <row r="21570">
      <c r="A21570" s="4" t="s">
        <v>27154</v>
      </c>
      <c r="B21570" s="4" t="s">
        <v>27161</v>
      </c>
      <c r="C21570" s="5" t="str">
        <f>IFERROR(__xludf.DUMMYFUNCTION("GOOGLETRANSLATE(B21570,""en"",""de"")"),"Wir sehen den Endbildschirm mit einer Website.")</f>
        <v>Wir sehen den Endbildschirm mit einer Website.</v>
      </c>
    </row>
    <row r="21571">
      <c r="A21571" s="4" t="s">
        <v>27162</v>
      </c>
      <c r="B21571" s="4" t="s">
        <v>27163</v>
      </c>
      <c r="C21571" s="5" t="str">
        <f>IFERROR(__xludf.DUMMYFUNCTION("GOOGLETRANSLATE(B21571,""en"",""de"")"),"Ein Mann steht auf einer Leiter und arbeitet auf einem Dach, während die Kamera seine Bewegungen einfängt.")</f>
        <v>Ein Mann steht auf einer Leiter und arbeitet auf einem Dach, während die Kamera seine Bewegungen einfängt.</v>
      </c>
    </row>
    <row r="21572">
      <c r="A21572" s="4" t="s">
        <v>27162</v>
      </c>
      <c r="B21572" s="4" t="s">
        <v>27164</v>
      </c>
      <c r="C21572" s="5" t="str">
        <f>IFERROR(__xludf.DUMMYFUNCTION("GOOGLETRANSLATE(B21572,""en"",""de"")"),"Der Mann springt dann das Dach hinunter und bewegt sich zurück und den vierten Platz.")</f>
        <v>Der Mann springt dann das Dach hinunter und bewegt sich zurück und den vierten Platz.</v>
      </c>
    </row>
    <row r="21573">
      <c r="A21573" s="4" t="s">
        <v>27165</v>
      </c>
      <c r="B21573" s="4" t="s">
        <v>27166</v>
      </c>
      <c r="C21573" s="5" t="str">
        <f>IFERROR(__xludf.DUMMYFUNCTION("GOOGLETRANSLATE(B21573,""en"",""de"")"),"Ein kleiner Junge sitzt vor einem Drum -Set.")</f>
        <v>Ein kleiner Junge sitzt vor einem Drum -Set.</v>
      </c>
    </row>
    <row r="21574">
      <c r="A21574" s="4" t="s">
        <v>27165</v>
      </c>
      <c r="B21574" s="4" t="s">
        <v>27167</v>
      </c>
      <c r="C21574" s="5" t="str">
        <f>IFERROR(__xludf.DUMMYFUNCTION("GOOGLETRANSLATE(B21574,""en"",""de"")"),"Er spielt schnell vor ihm das Schlagzeug.")</f>
        <v>Er spielt schnell vor ihm das Schlagzeug.</v>
      </c>
    </row>
    <row r="21575">
      <c r="A21575" s="4" t="s">
        <v>27165</v>
      </c>
      <c r="B21575" s="4" t="s">
        <v>27168</v>
      </c>
      <c r="C21575" s="5" t="str">
        <f>IFERROR(__xludf.DUMMYFUNCTION("GOOGLETRANSLATE(B21575,""en"",""de"")"),"Er trifft auch mehrmals die Becken.")</f>
        <v>Er trifft auch mehrmals die Becken.</v>
      </c>
    </row>
    <row r="21576">
      <c r="A21576" s="4" t="s">
        <v>27169</v>
      </c>
      <c r="B21576" s="4" t="s">
        <v>27170</v>
      </c>
      <c r="C21576" s="5" t="str">
        <f>IFERROR(__xludf.DUMMYFUNCTION("GOOGLETRANSLATE(B21576,""en"",""de"")"),"Wir sehen eine Dame in einem Tanzkostüm.")</f>
        <v>Wir sehen eine Dame in einem Tanzkostüm.</v>
      </c>
    </row>
    <row r="21577">
      <c r="A21577" s="4" t="s">
        <v>27169</v>
      </c>
      <c r="B21577" s="4" t="s">
        <v>27171</v>
      </c>
      <c r="C21577" s="5" t="str">
        <f>IFERROR(__xludf.DUMMYFUNCTION("GOOGLETRANSLATE(B21577,""en"",""de"")"),"Sie zeigt auf ihre Hüften und Taille.")</f>
        <v>Sie zeigt auf ihre Hüften und Taille.</v>
      </c>
    </row>
    <row r="21578">
      <c r="A21578" s="4" t="s">
        <v>27169</v>
      </c>
      <c r="B21578" s="4" t="s">
        <v>27172</v>
      </c>
      <c r="C21578" s="5" t="str">
        <f>IFERROR(__xludf.DUMMYFUNCTION("GOOGLETRANSLATE(B21578,""en"",""de"")"),"Sie beginnt langsam zu tanzen.")</f>
        <v>Sie beginnt langsam zu tanzen.</v>
      </c>
    </row>
    <row r="21579">
      <c r="A21579" s="4" t="s">
        <v>27169</v>
      </c>
      <c r="B21579" s="4" t="s">
        <v>27173</v>
      </c>
      <c r="C21579" s="5" t="str">
        <f>IFERROR(__xludf.DUMMYFUNCTION("GOOGLETRANSLATE(B21579,""en"",""de"")"),"Sie nimmt die Geschwindigkeit auf und dreht die Hände.")</f>
        <v>Sie nimmt die Geschwindigkeit auf und dreht die Hände.</v>
      </c>
    </row>
    <row r="21580">
      <c r="A21580" s="4" t="s">
        <v>27169</v>
      </c>
      <c r="B21580" s="4" t="s">
        <v>27174</v>
      </c>
      <c r="C21580" s="5" t="str">
        <f>IFERROR(__xludf.DUMMYFUNCTION("GOOGLETRANSLATE(B21580,""en"",""de"")"),"Sie geht langsamer, dann geht sie wieder schnell.")</f>
        <v>Sie geht langsamer, dann geht sie wieder schnell.</v>
      </c>
    </row>
    <row r="21581">
      <c r="A21581" s="4" t="s">
        <v>27169</v>
      </c>
      <c r="B21581" s="4" t="s">
        <v>27175</v>
      </c>
      <c r="C21581" s="5" t="str">
        <f>IFERROR(__xludf.DUMMYFUNCTION("GOOGLETRANSLATE(B21581,""en"",""de"")"),"Die Dame beendet ihren Tanz, stoppt und schleift.")</f>
        <v>Die Dame beendet ihren Tanz, stoppt und schleift.</v>
      </c>
    </row>
    <row r="21582">
      <c r="A21582" s="4" t="s">
        <v>27176</v>
      </c>
      <c r="B21582" s="4" t="s">
        <v>27177</v>
      </c>
      <c r="C21582" s="5" t="str">
        <f>IFERROR(__xludf.DUMMYFUNCTION("GOOGLETRANSLATE(B21582,""en"",""de"")"),"Ein Mann steht an einem Schreibtisch mit einigen Trainern über etwas.")</f>
        <v>Ein Mann steht an einem Schreibtisch mit einigen Trainern über etwas.</v>
      </c>
    </row>
    <row r="21583">
      <c r="A21583" s="4" t="s">
        <v>27176</v>
      </c>
      <c r="B21583" s="4" t="s">
        <v>27178</v>
      </c>
      <c r="C21583" s="5" t="str">
        <f>IFERROR(__xludf.DUMMYFUNCTION("GOOGLETRANSLATE(B21583,""en"",""de"")"),"Er beginnt rückwärts zu gehen und sich bereit zu machen, mit dem Laufen zu beginnen.")</f>
        <v>Er beginnt rückwärts zu gehen und sich bereit zu machen, mit dem Laufen zu beginnen.</v>
      </c>
    </row>
    <row r="21584">
      <c r="A21584" s="4" t="s">
        <v>27176</v>
      </c>
      <c r="B21584" s="4" t="s">
        <v>27179</v>
      </c>
      <c r="C21584" s="5" t="str">
        <f>IFERROR(__xludf.DUMMYFUNCTION("GOOGLETRANSLATE(B21584,""en"",""de"")"),"Er beginnt zu rennen und baut ziemlich schnell die Geschwindigkeit auf.")</f>
        <v>Er beginnt zu rennen und baut ziemlich schnell die Geschwindigkeit auf.</v>
      </c>
    </row>
    <row r="21585">
      <c r="A21585" s="4" t="s">
        <v>27176</v>
      </c>
      <c r="B21585" s="4" t="s">
        <v>27180</v>
      </c>
      <c r="C21585" s="5" t="str">
        <f>IFERROR(__xludf.DUMMYFUNCTION("GOOGLETRANSLATE(B21585,""en"",""de"")"),"Er landet in den Sand und wenn er fertig ist und der Mann hinter sich kommt, um den Sand herauszuholen.")</f>
        <v>Er landet in den Sand und wenn er fertig ist und der Mann hinter sich kommt, um den Sand herauszuholen.</v>
      </c>
    </row>
    <row r="21586">
      <c r="A21586" s="4" t="s">
        <v>27181</v>
      </c>
      <c r="B21586" s="4" t="s">
        <v>27182</v>
      </c>
      <c r="C21586" s="5" t="str">
        <f>IFERROR(__xludf.DUMMYFUNCTION("GOOGLETRANSLATE(B21586,""en"",""de"")"),"Eine Kamera zeigt ein kleines Kind, das ein Spielplatz mit einem Hund hinten, der hinten wandert.")</f>
        <v>Eine Kamera zeigt ein kleines Kind, das ein Spielplatz mit einem Hund hinten, der hinten wandert.</v>
      </c>
    </row>
    <row r="21587">
      <c r="A21587" s="4" t="s">
        <v>27181</v>
      </c>
      <c r="B21587" s="4" t="s">
        <v>27183</v>
      </c>
      <c r="C21587" s="5" t="str">
        <f>IFERROR(__xludf.DUMMYFUNCTION("GOOGLETRANSLATE(B21587,""en"",""de"")"),"Das Kind klettert eine Treppe hinauf und gleitet einen Rutschen hinunter.")</f>
        <v>Das Kind klettert eine Treppe hinauf und gleitet einen Rutschen hinunter.</v>
      </c>
    </row>
    <row r="21588">
      <c r="A21588" s="4" t="s">
        <v>27184</v>
      </c>
      <c r="B21588" s="4" t="s">
        <v>27185</v>
      </c>
      <c r="C21588" s="5" t="str">
        <f>IFERROR(__xludf.DUMMYFUNCTION("GOOGLETRANSLATE(B21588,""en"",""de"")"),"Ein junger Mann paddelt ein Kanu einen Fluss hinunter.")</f>
        <v>Ein junger Mann paddelt ein Kanu einen Fluss hinunter.</v>
      </c>
    </row>
    <row r="21589">
      <c r="A21589" s="4" t="s">
        <v>27184</v>
      </c>
      <c r="B21589" s="4" t="s">
        <v>27186</v>
      </c>
      <c r="C21589" s="5" t="str">
        <f>IFERROR(__xludf.DUMMYFUNCTION("GOOGLETRANSLATE(B21589,""en"",""de"")"),"Er spricht mit der Kamera, als er sich nähert.")</f>
        <v>Er spricht mit der Kamera, als er sich nähert.</v>
      </c>
    </row>
    <row r="21590">
      <c r="A21590" s="4" t="s">
        <v>27184</v>
      </c>
      <c r="B21590" s="4" t="s">
        <v>27187</v>
      </c>
      <c r="C21590" s="5" t="str">
        <f>IFERROR(__xludf.DUMMYFUNCTION("GOOGLETRANSLATE(B21590,""en"",""de"")"),"Er steigt aus und spricht weiter über Kanufahren.")</f>
        <v>Er steigt aus und spricht weiter über Kanufahren.</v>
      </c>
    </row>
    <row r="21591">
      <c r="A21591" s="4" t="s">
        <v>27188</v>
      </c>
      <c r="B21591" s="4" t="s">
        <v>27189</v>
      </c>
      <c r="C21591" s="5" t="str">
        <f>IFERROR(__xludf.DUMMYFUNCTION("GOOGLETRANSLATE(B21591,""en"",""de"")"),"Eine Frau bewegt einen Hula -Hoop vor der Kamera.")</f>
        <v>Eine Frau bewegt einen Hula -Hoop vor der Kamera.</v>
      </c>
    </row>
    <row r="21592">
      <c r="A21592" s="4" t="s">
        <v>27188</v>
      </c>
      <c r="B21592" s="4" t="s">
        <v>27190</v>
      </c>
      <c r="C21592" s="5" t="str">
        <f>IFERROR(__xludf.DUMMYFUNCTION("GOOGLETRANSLATE(B21592,""en"",""de"")"),"Das Mädchen spricht dann mit der Kamera und führt in sie und dreht sich in einem Hula -Reifen.")</f>
        <v>Das Mädchen spricht dann mit der Kamera und führt in sie und dreht sich in einem Hula -Reifen.</v>
      </c>
    </row>
    <row r="21593">
      <c r="A21593" s="4" t="s">
        <v>27188</v>
      </c>
      <c r="B21593" s="4" t="s">
        <v>27191</v>
      </c>
      <c r="C21593" s="5" t="str">
        <f>IFERROR(__xludf.DUMMYFUNCTION("GOOGLETRANSLATE(B21593,""en"",""de"")"),"Die Frau spricht weiterhin mit der Kamera, während er den Reifen dreht und zeigt, wie man richtige Bewegungen ausführt.")</f>
        <v>Die Frau spricht weiterhin mit der Kamera, während er den Reifen dreht und zeigt, wie man richtige Bewegungen ausführt.</v>
      </c>
    </row>
    <row r="21594">
      <c r="A21594" s="4" t="s">
        <v>27192</v>
      </c>
      <c r="B21594" s="4" t="s">
        <v>27193</v>
      </c>
      <c r="C21594" s="5" t="str">
        <f>IFERROR(__xludf.DUMMYFUNCTION("GOOGLETRANSLATE(B21594,""en"",""de"")"),"Mehrere Männer waren in Lacrosse -Ausrüstung auf ein Feld.")</f>
        <v>Mehrere Männer waren in Lacrosse -Ausrüstung auf ein Feld.</v>
      </c>
    </row>
    <row r="21595">
      <c r="A21595" s="4" t="s">
        <v>27192</v>
      </c>
      <c r="B21595" s="4" t="s">
        <v>27194</v>
      </c>
      <c r="C21595" s="5" t="str">
        <f>IFERROR(__xludf.DUMMYFUNCTION("GOOGLETRANSLATE(B21595,""en"",""de"")"),"Die gegnerischen Teams werden in mehreren Clips gezeigt, die den Ball kämpfen und in die Tore des anderen schlagen.")</f>
        <v>Die gegnerischen Teams werden in mehreren Clips gezeigt, die den Ball kämpfen und in die Tore des anderen schlagen.</v>
      </c>
    </row>
    <row r="21596">
      <c r="A21596" s="4" t="s">
        <v>27195</v>
      </c>
      <c r="B21596" s="4" t="s">
        <v>27196</v>
      </c>
      <c r="C21596" s="5" t="str">
        <f>IFERROR(__xludf.DUMMYFUNCTION("GOOGLETRANSLATE(B21596,""en"",""de"")"),"Es werden mehrere Clips gezeigt, von denen Menschen schwere Gewichte anheben und auf eine Strecke springen.")</f>
        <v>Es werden mehrere Clips gezeigt, von denen Menschen schwere Gewichte anheben und auf eine Strecke springen.</v>
      </c>
    </row>
    <row r="21597">
      <c r="A21597" s="4" t="s">
        <v>27195</v>
      </c>
      <c r="B21597" s="4" t="s">
        <v>27197</v>
      </c>
      <c r="C21597" s="5" t="str">
        <f>IFERROR(__xludf.DUMMYFUNCTION("GOOGLETRANSLATE(B21597,""en"",""de"")"),"Menschen sind gesehen, wie sie über Stangen springen, mit Gewichten hocken und verschiedene andere Übungen durchführen.")</f>
        <v>Menschen sind gesehen, wie sie über Stangen springen, mit Gewichten hocken und verschiedene andere Übungen durchführen.</v>
      </c>
    </row>
    <row r="21598">
      <c r="A21598" s="4" t="s">
        <v>27195</v>
      </c>
      <c r="B21598" s="4" t="s">
        <v>27198</v>
      </c>
      <c r="C21598" s="5" t="str">
        <f>IFERROR(__xludf.DUMMYFUNCTION("GOOGLETRANSLATE(B21598,""en"",""de"")"),"Am Ende werden mehr Menschen über eine Stange springen.")</f>
        <v>Am Ende werden mehr Menschen über eine Stange springen.</v>
      </c>
    </row>
    <row r="21599">
      <c r="A21599" s="4" t="s">
        <v>27199</v>
      </c>
      <c r="B21599" s="4" t="s">
        <v>27200</v>
      </c>
      <c r="C21599" s="5" t="str">
        <f>IFERROR(__xludf.DUMMYFUNCTION("GOOGLETRANSLATE(B21599,""en"",""de"")"),"Mehrere Männer aus verschiedenen Orten sind draußen auf einem großen Feld, das Cricket spielt.")</f>
        <v>Mehrere Männer aus verschiedenen Orten sind draußen auf einem großen Feld, das Cricket spielt.</v>
      </c>
    </row>
    <row r="21600">
      <c r="A21600" s="4" t="s">
        <v>27199</v>
      </c>
      <c r="B21600" s="4" t="s">
        <v>27201</v>
      </c>
      <c r="C21600" s="5" t="str">
        <f>IFERROR(__xludf.DUMMYFUNCTION("GOOGLETRANSLATE(B21600,""en"",""de"")"),"Männer kommen in die Mitte des Feldes und stehen um ein kleines Rechteck und schlagen den Ball extrem weit.")</f>
        <v>Männer kommen in die Mitte des Feldes und stehen um ein kleines Rechteck und schlagen den Ball extrem weit.</v>
      </c>
    </row>
    <row r="21601">
      <c r="A21601" s="4" t="s">
        <v>27199</v>
      </c>
      <c r="B21601" s="4" t="s">
        <v>27202</v>
      </c>
      <c r="C21601" s="5" t="str">
        <f>IFERROR(__xludf.DUMMYFUNCTION("GOOGLETRANSLATE(B21601,""en"",""de"")"),"Während der Ball ins Außenfeld geht, springen die Teamkollegen auf und ab und jubeln nach ihrem Team.")</f>
        <v>Während der Ball ins Außenfeld geht, springen die Teamkollegen auf und ab und jubeln nach ihrem Team.</v>
      </c>
    </row>
    <row r="21602">
      <c r="A21602" s="4" t="s">
        <v>27199</v>
      </c>
      <c r="B21602" s="4" t="s">
        <v>27203</v>
      </c>
      <c r="C21602" s="5" t="str">
        <f>IFERROR(__xludf.DUMMYFUNCTION("GOOGLETRANSLATE(B21602,""en"",""de"")"),"Schließlich wird ein Mann gezeigt, der einen großen Silberpreis hält.")</f>
        <v>Schließlich wird ein Mann gezeigt, der einen großen Silberpreis hält.</v>
      </c>
    </row>
    <row r="21603">
      <c r="A21603" s="4" t="s">
        <v>27204</v>
      </c>
      <c r="B21603" s="4" t="s">
        <v>27205</v>
      </c>
      <c r="C21603" s="5" t="str">
        <f>IFERROR(__xludf.DUMMYFUNCTION("GOOGLETRANSLATE(B21603,""en"",""de"")"),"Ein Mann schießt einen Basketball in einen Reifen.")</f>
        <v>Ein Mann schießt einen Basketball in einen Reifen.</v>
      </c>
    </row>
    <row r="21604">
      <c r="A21604" s="4" t="s">
        <v>27204</v>
      </c>
      <c r="B21604" s="4" t="s">
        <v>27206</v>
      </c>
      <c r="C21604" s="5" t="str">
        <f>IFERROR(__xludf.DUMMYFUNCTION("GOOGLETRANSLATE(B21604,""en"",""de"")"),"Ein anderer Mann beginnt einen Basketball in den Reifen zu schießen.")</f>
        <v>Ein anderer Mann beginnt einen Basketball in den Reifen zu schießen.</v>
      </c>
    </row>
    <row r="21605">
      <c r="A21605" s="4" t="s">
        <v>27204</v>
      </c>
      <c r="B21605" s="4" t="s">
        <v>27207</v>
      </c>
      <c r="C21605" s="5" t="str">
        <f>IFERROR(__xludf.DUMMYFUNCTION("GOOGLETRANSLATE(B21605,""en"",""de"")"),"Der erste Mann beobachtet den zweiten Mann.")</f>
        <v>Der erste Mann beobachtet den zweiten Mann.</v>
      </c>
    </row>
    <row r="21606">
      <c r="A21606" s="4" t="s">
        <v>27208</v>
      </c>
      <c r="B21606" s="4" t="s">
        <v>27209</v>
      </c>
      <c r="C21606" s="5" t="str">
        <f>IFERROR(__xludf.DUMMYFUNCTION("GOOGLETRANSLATE(B21606,""en"",""de"")"),"Wir sehen Kinder, die Dodge Ball in einem Trampolinpark spielen.")</f>
        <v>Wir sehen Kinder, die Dodge Ball in einem Trampolinpark spielen.</v>
      </c>
    </row>
    <row r="21607">
      <c r="A21607" s="4" t="s">
        <v>27208</v>
      </c>
      <c r="B21607" s="4" t="s">
        <v>27210</v>
      </c>
      <c r="C21607" s="5" t="str">
        <f>IFERROR(__xludf.DUMMYFUNCTION("GOOGLETRANSLATE(B21607,""en"",""de"")"),"Wir sehen einen Jungen mit dem Ball geschlagen und ihn zurückwerfen.")</f>
        <v>Wir sehen einen Jungen mit dem Ball geschlagen und ihn zurückwerfen.</v>
      </c>
    </row>
    <row r="21608">
      <c r="A21608" s="4" t="s">
        <v>27208</v>
      </c>
      <c r="B21608" s="4" t="s">
        <v>27211</v>
      </c>
      <c r="C21608" s="5" t="str">
        <f>IFERROR(__xludf.DUMMYFUNCTION("GOOGLETRANSLATE(B21608,""en"",""de"")"),"Wir sehen, wie ein Junge in Grün den Ball hart wirft.")</f>
        <v>Wir sehen, wie ein Junge in Grün den Ball hart wirft.</v>
      </c>
    </row>
    <row r="21609">
      <c r="A21609" s="4" t="s">
        <v>27208</v>
      </c>
      <c r="B21609" s="4" t="s">
        <v>27212</v>
      </c>
      <c r="C21609" s="5" t="str">
        <f>IFERROR(__xludf.DUMMYFUNCTION("GOOGLETRANSLATE(B21609,""en"",""de"")"),"Der Junge im gestreiften Hemd schließt sich dem Spiel an und der Junge in Red ist raus.")</f>
        <v>Der Junge im gestreiften Hemd schließt sich dem Spiel an und der Junge in Red ist raus.</v>
      </c>
    </row>
    <row r="21610">
      <c r="A21610" s="4" t="s">
        <v>27208</v>
      </c>
      <c r="B21610" s="4" t="s">
        <v>27213</v>
      </c>
      <c r="C21610" s="5" t="str">
        <f>IFERROR(__xludf.DUMMYFUNCTION("GOOGLETRANSLATE(B21610,""en"",""de"")"),"Ein Mädchen geht an der Kamera vorbei mit ihrer Hand.")</f>
        <v>Ein Mädchen geht an der Kamera vorbei mit ihrer Hand.</v>
      </c>
    </row>
    <row r="21611">
      <c r="A21611" s="4" t="s">
        <v>27208</v>
      </c>
      <c r="B21611" s="4" t="s">
        <v>27214</v>
      </c>
      <c r="C21611" s="5" t="str">
        <f>IFERROR(__xludf.DUMMYFUNCTION("GOOGLETRANSLATE(B21611,""en"",""de"")"),"Ein Junge in einem gelben Hemd geht zur Kamera.")</f>
        <v>Ein Junge in einem gelben Hemd geht zur Kamera.</v>
      </c>
    </row>
    <row r="21612">
      <c r="A21612" s="4" t="s">
        <v>27215</v>
      </c>
      <c r="B21612" s="4" t="s">
        <v>27216</v>
      </c>
      <c r="C21612" s="5" t="str">
        <f>IFERROR(__xludf.DUMMYFUNCTION("GOOGLETRANSLATE(B21612,""en"",""de"")"),"Alte Videos werden von Track -Treffen gezeigt.")</f>
        <v>Alte Videos werden von Track -Treffen gezeigt.</v>
      </c>
    </row>
    <row r="21613">
      <c r="A21613" s="4" t="s">
        <v>27215</v>
      </c>
      <c r="B21613" s="4" t="s">
        <v>27217</v>
      </c>
      <c r="C21613" s="5" t="str">
        <f>IFERROR(__xludf.DUMMYFUNCTION("GOOGLETRANSLATE(B21613,""en"",""de"")"),"Ein Mann wird mehrmals gezeigt, wenn er einen Diskus wirft.")</f>
        <v>Ein Mann wird mehrmals gezeigt, wenn er einen Diskus wirft.</v>
      </c>
    </row>
    <row r="21614">
      <c r="A21614" s="4" t="s">
        <v>27215</v>
      </c>
      <c r="B21614" s="4" t="s">
        <v>27218</v>
      </c>
      <c r="C21614" s="5" t="str">
        <f>IFERROR(__xludf.DUMMYFUNCTION("GOOGLETRANSLATE(B21614,""en"",""de"")"),"Er dreht sich in Kreise und wirft dann die Scheibe so weit er kann.")</f>
        <v>Er dreht sich in Kreise und wirft dann die Scheibe so weit er kann.</v>
      </c>
    </row>
    <row r="21615">
      <c r="A21615" s="4" t="s">
        <v>27219</v>
      </c>
      <c r="B21615" s="4" t="s">
        <v>27220</v>
      </c>
      <c r="C21615" s="5" t="str">
        <f>IFERROR(__xludf.DUMMYFUNCTION("GOOGLETRANSLATE(B21615,""en"",""de"")"),"Turner trennen Routinen mit Flips und Spins auf einer Matte in einem Fitnessstudio.")</f>
        <v>Turner trennen Routinen mit Flips und Spins auf einer Matte in einem Fitnessstudio.</v>
      </c>
    </row>
    <row r="21616">
      <c r="A21616" s="4" t="s">
        <v>27219</v>
      </c>
      <c r="B21616" s="4" t="s">
        <v>27221</v>
      </c>
      <c r="C21616" s="5" t="str">
        <f>IFERROR(__xludf.DUMMYFUNCTION("GOOGLETRANSLATE(B21616,""en"",""de"")"),"Männer schwingt im Rahmen seiner taumelnden Routine zur Hand.")</f>
        <v>Männer schwingt im Rahmen seiner taumelnden Routine zur Hand.</v>
      </c>
    </row>
    <row r="21617">
      <c r="A21617" s="4" t="s">
        <v>27219</v>
      </c>
      <c r="B21617" s="4" t="s">
        <v>27222</v>
      </c>
      <c r="C21617" s="5" t="str">
        <f>IFERROR(__xludf.DUMMYFUNCTION("GOOGLETRANSLATE(B21617,""en"",""de"")"),"Der Mann fällt auf den Boden, während er an den Ringen schwingt.")</f>
        <v>Der Mann fällt auf den Boden, während er an den Ringen schwingt.</v>
      </c>
    </row>
    <row r="21618">
      <c r="A21618" s="4" t="s">
        <v>27219</v>
      </c>
      <c r="B21618" s="4" t="s">
        <v>27223</v>
      </c>
      <c r="C21618" s="5" t="str">
        <f>IFERROR(__xludf.DUMMYFUNCTION("GOOGLETRANSLATE(B21618,""en"",""de"")"),"Der Turner spielt ein bisschen herum und wartet darauf, dass eine andere Person die Matte räumt.")</f>
        <v>Der Turner spielt ein bisschen herum und wartet darauf, dass eine andere Person die Matte räumt.</v>
      </c>
    </row>
    <row r="21619">
      <c r="A21619" s="4" t="s">
        <v>27224</v>
      </c>
      <c r="B21619" s="4" t="s">
        <v>27225</v>
      </c>
      <c r="C21619" s="5" t="str">
        <f>IFERROR(__xludf.DUMMYFUNCTION("GOOGLETRANSLATE(B21619,""en"",""de"")"),"Ein kleiner Junge befindet sich in einem Garagenzimmer.")</f>
        <v>Ein kleiner Junge befindet sich in einem Garagenzimmer.</v>
      </c>
    </row>
    <row r="21620">
      <c r="A21620" s="4" t="s">
        <v>27224</v>
      </c>
      <c r="B21620" s="4" t="s">
        <v>27226</v>
      </c>
      <c r="C21620" s="5" t="str">
        <f>IFERROR(__xludf.DUMMYFUNCTION("GOOGLETRANSLATE(B21620,""en"",""de"")"),"Er spielt ein großes Drum -Set, während er Kopfhörer trägt.")</f>
        <v>Er spielt ein großes Drum -Set, während er Kopfhörer trägt.</v>
      </c>
    </row>
    <row r="21621">
      <c r="A21621" s="4" t="s">
        <v>27224</v>
      </c>
      <c r="B21621" s="4" t="s">
        <v>27227</v>
      </c>
      <c r="C21621" s="5" t="str">
        <f>IFERROR(__xludf.DUMMYFUNCTION("GOOGLETRANSLATE(B21621,""en"",""de"")"),"Er trifft die Becken und Trommeln hart mit den Stöcken.")</f>
        <v>Er trifft die Becken und Trommeln hart mit den Stöcken.</v>
      </c>
    </row>
    <row r="21622">
      <c r="A21622" s="4" t="s">
        <v>27228</v>
      </c>
      <c r="B21622" s="4" t="s">
        <v>27229</v>
      </c>
      <c r="C21622" s="5" t="str">
        <f>IFERROR(__xludf.DUMMYFUNCTION("GOOGLETRANSLATE(B21622,""en"",""de"")"),"Ein Intro führt in mehrere Schüsse von Skateboardern, die in einer großen Stadt auf Schienen herumfähren.")</f>
        <v>Ein Intro führt in mehrere Schüsse von Skateboardern, die in einer großen Stadt auf Schienen herumfähren.</v>
      </c>
    </row>
    <row r="21623">
      <c r="A21623" s="4" t="s">
        <v>27228</v>
      </c>
      <c r="B21623" s="4" t="s">
        <v>27230</v>
      </c>
      <c r="C21623" s="5" t="str">
        <f>IFERROR(__xludf.DUMMYFUNCTION("GOOGLETRANSLATE(B21623,""en"",""de"")"),"Die Kamera folgt diesen Grenzen genau, wenn sie Tricks auf Treppen und über Bänken durchführen.")</f>
        <v>Die Kamera folgt diesen Grenzen genau, wenn sie Tricks auf Treppen und über Bänken durchführen.</v>
      </c>
    </row>
    <row r="21624">
      <c r="A21624" s="4" t="s">
        <v>27228</v>
      </c>
      <c r="B21624" s="4" t="s">
        <v>27231</v>
      </c>
      <c r="C21624" s="5" t="str">
        <f>IFERROR(__xludf.DUMMYFUNCTION("GOOGLETRANSLATE(B21624,""en"",""de"")"),"Die Männer fahren weiter an und endet mit einer Polizeifrau, die lächelt und die Kamera einen Daumen hinaufgibt.")</f>
        <v>Die Männer fahren weiter an und endet mit einer Polizeifrau, die lächelt und die Kamera einen Daumen hinaufgibt.</v>
      </c>
    </row>
    <row r="21625">
      <c r="A21625" s="4" t="s">
        <v>27232</v>
      </c>
      <c r="B21625" s="4" t="s">
        <v>27233</v>
      </c>
      <c r="C21625" s="5" t="str">
        <f>IFERROR(__xludf.DUMMYFUNCTION("GOOGLETRANSLATE(B21625,""en"",""de"")"),"Eine Produktionsgrafik wird zusammen mit einem Link für mehr Medien gezeigt.")</f>
        <v>Eine Produktionsgrafik wird zusammen mit einem Link für mehr Medien gezeigt.</v>
      </c>
    </row>
    <row r="21626">
      <c r="A21626" s="4" t="s">
        <v>27232</v>
      </c>
      <c r="B21626" s="4" t="s">
        <v>27234</v>
      </c>
      <c r="C21626" s="5" t="str">
        <f>IFERROR(__xludf.DUMMYFUNCTION("GOOGLETRANSLATE(B21626,""en"",""de"")"),"Dies verblasst zu einem Mann, der anfängt, das Saxophon in seinem Wohnzimmer bis zu einem Mikrofon zu spielen.")</f>
        <v>Dies verblasst zu einem Mann, der anfängt, das Saxophon in seinem Wohnzimmer bis zu einem Mikrofon zu spielen.</v>
      </c>
    </row>
    <row r="21627">
      <c r="A21627" s="4" t="s">
        <v>27232</v>
      </c>
      <c r="B21627" s="4" t="s">
        <v>27235</v>
      </c>
      <c r="C21627" s="5" t="str">
        <f>IFERROR(__xludf.DUMMYFUNCTION("GOOGLETRANSLATE(B21627,""en"",""de"")"),"Der Mann trägt jetzt eine Sonnenbrille, während er spielt und zur Musik ist.")</f>
        <v>Der Mann trägt jetzt eine Sonnenbrille, während er spielt und zur Musik ist.</v>
      </c>
    </row>
    <row r="21628">
      <c r="A21628" s="4" t="s">
        <v>27232</v>
      </c>
      <c r="B21628" s="4" t="s">
        <v>27236</v>
      </c>
      <c r="C21628" s="5" t="str">
        <f>IFERROR(__xludf.DUMMYFUNCTION("GOOGLETRANSLATE(B21628,""en"",""de"")"),"Der Mann wird ohne Sonnenbrille zurück gezeigt.")</f>
        <v>Der Mann wird ohne Sonnenbrille zurück gezeigt.</v>
      </c>
    </row>
    <row r="21629">
      <c r="A21629" s="4" t="s">
        <v>27232</v>
      </c>
      <c r="B21629" s="4" t="s">
        <v>27237</v>
      </c>
      <c r="C21629" s="5" t="str">
        <f>IFERROR(__xludf.DUMMYFUNCTION("GOOGLETRANSLATE(B21629,""en"",""de"")"),"Ein weiteres Fenster, in dem der Darsteller angezeigt wird, wird in der Ecke des Videos angezeigt.")</f>
        <v>Ein weiteres Fenster, in dem der Darsteller angezeigt wird, wird in der Ecke des Videos angezeigt.</v>
      </c>
    </row>
    <row r="21630">
      <c r="A21630" s="4" t="s">
        <v>27238</v>
      </c>
      <c r="B21630" s="4" t="s">
        <v>27239</v>
      </c>
      <c r="C21630" s="5" t="str">
        <f>IFERROR(__xludf.DUMMYFUNCTION("GOOGLETRANSLATE(B21630,""en"",""de"")"),"Eine Gruppe junger Männer sitzt an Tischen an einem Rubiks Cube -Wettbewerb.")</f>
        <v>Eine Gruppe junger Männer sitzt an Tischen an einem Rubiks Cube -Wettbewerb.</v>
      </c>
    </row>
    <row r="21631">
      <c r="A21631" s="4" t="s">
        <v>27238</v>
      </c>
      <c r="B21631" s="4" t="s">
        <v>27240</v>
      </c>
      <c r="C21631" s="5" t="str">
        <f>IFERROR(__xludf.DUMMYFUNCTION("GOOGLETRANSLATE(B21631,""en"",""de"")"),"Ein offizieller Beamter entfernt einen Papierschild aus einem Rubiks -Würfel vor einem jungen Mann am Ende eines Tisches, wonach der Konkurrent den Würfel löst und feiert, indem er seine Hände auf den Tisch schlägt.")</f>
        <v>Ein offizieller Beamter entfernt einen Papierschild aus einem Rubiks -Würfel vor einem jungen Mann am Ende eines Tisches, wonach der Konkurrent den Würfel löst und feiert, indem er seine Hände auf den Tisch schlägt.</v>
      </c>
    </row>
    <row r="21632">
      <c r="A21632" s="4" t="s">
        <v>27238</v>
      </c>
      <c r="B21632" s="4" t="s">
        <v>27241</v>
      </c>
      <c r="C21632" s="5" t="str">
        <f>IFERROR(__xludf.DUMMYFUNCTION("GOOGLETRANSLATE(B21632,""en"",""de"")"),"Ein offizieller Aufstieg einer Tasse, um einen Rubiks -Würfel zu enthüllen, den derselbe Mann dann löst.")</f>
        <v>Ein offizieller Aufstieg einer Tasse, um einen Rubiks -Würfel zu enthüllen, den derselbe Mann dann löst.</v>
      </c>
    </row>
    <row r="21633">
      <c r="A21633" s="4" t="s">
        <v>27238</v>
      </c>
      <c r="B21633" s="4" t="s">
        <v>27242</v>
      </c>
      <c r="C21633" s="5" t="str">
        <f>IFERROR(__xludf.DUMMYFUNCTION("GOOGLETRANSLATE(B21633,""en"",""de"")"),"Ein junger Mann, der ein beige Hemd trägt, löst einen Würfel und drückt seine Hände in sein Gesicht, bevor er aufsteht.")</f>
        <v>Ein junger Mann, der ein beige Hemd trägt, löst einen Würfel und drückt seine Hände in sein Gesicht, bevor er aufsteht.</v>
      </c>
    </row>
    <row r="21634">
      <c r="A21634" s="4" t="s">
        <v>27238</v>
      </c>
      <c r="B21634" s="4" t="s">
        <v>27243</v>
      </c>
      <c r="C21634" s="5" t="str">
        <f>IFERROR(__xludf.DUMMYFUNCTION("GOOGLETRANSLATE(B21634,""en"",""de"")"),"Ein offizieller Beamter entfernt ein Stück Papier von oben auf einem Würfel, während der junge Mann im schwarzen Sweatshirt einen weiteren Würfel löst.")</f>
        <v>Ein offizieller Beamter entfernt ein Stück Papier von oben auf einem Würfel, während der junge Mann im schwarzen Sweatshirt einen weiteren Würfel löst.</v>
      </c>
    </row>
    <row r="21635">
      <c r="A21635" s="4" t="s">
        <v>27238</v>
      </c>
      <c r="B21635" s="4" t="s">
        <v>27244</v>
      </c>
      <c r="C21635" s="5" t="str">
        <f>IFERROR(__xludf.DUMMYFUNCTION("GOOGLETRANSLATE(B21635,""en"",""de"")"),"Der junge Mann löst zwei weitere Würfel vor einem Beamten, bevor er aufsteht.")</f>
        <v>Der junge Mann löst zwei weitere Würfel vor einem Beamten, bevor er aufsteht.</v>
      </c>
    </row>
    <row r="21636">
      <c r="A21636" s="4" t="s">
        <v>27245</v>
      </c>
      <c r="B21636" s="4" t="s">
        <v>27246</v>
      </c>
      <c r="C21636" s="5" t="str">
        <f>IFERROR(__xludf.DUMMYFUNCTION("GOOGLETRANSLATE(B21636,""en"",""de"")"),"Eine große Farbkugelarena wird mit einer Gruppe von Menschen gezeigt, die zur Seite stehen.")</f>
        <v>Eine große Farbkugelarena wird mit einer Gruppe von Menschen gezeigt, die zur Seite stehen.</v>
      </c>
    </row>
    <row r="21637">
      <c r="A21637" s="4" t="s">
        <v>27245</v>
      </c>
      <c r="B21637" s="4" t="s">
        <v>27247</v>
      </c>
      <c r="C21637" s="5" t="str">
        <f>IFERROR(__xludf.DUMMYFUNCTION("GOOGLETRANSLATE(B21637,""en"",""de"")"),"Die Leute rennen dann auf dem Kurs herum, schossen Waffen aufeinander.")</f>
        <v>Die Leute rennen dann auf dem Kurs herum, schossen Waffen aufeinander.</v>
      </c>
    </row>
    <row r="21638">
      <c r="A21638" s="4" t="s">
        <v>27245</v>
      </c>
      <c r="B21638" s="4" t="s">
        <v>27248</v>
      </c>
      <c r="C21638" s="5" t="str">
        <f>IFERROR(__xludf.DUMMYFUNCTION("GOOGLETRANSLATE(B21638,""en"",""de"")"),"Die Leute rennen weiter herum und stoppen mich am Ende, um miteinander zu sprechen.")</f>
        <v>Die Leute rennen weiter herum und stoppen mich am Ende, um miteinander zu sprechen.</v>
      </c>
    </row>
    <row r="21639">
      <c r="A21639" s="4" t="s">
        <v>27249</v>
      </c>
      <c r="B21639" s="4" t="s">
        <v>27250</v>
      </c>
      <c r="C21639" s="5" t="str">
        <f>IFERROR(__xludf.DUMMYFUNCTION("GOOGLETRANSLATE(B21639,""en"",""de"")"),"Einige Kinder im Unterricht beginnen im Begriff, den Arm Wrestling zu beginnen, sie bringen ihre Arme an, um zu beginnen.")</f>
        <v>Einige Kinder im Unterricht beginnen im Begriff, den Arm Wrestling zu beginnen, sie bringen ihre Arme an, um zu beginnen.</v>
      </c>
    </row>
    <row r="21640">
      <c r="A21640" s="4" t="s">
        <v>27249</v>
      </c>
      <c r="B21640" s="4" t="s">
        <v>27251</v>
      </c>
      <c r="C21640" s="5" t="str">
        <f>IFERROR(__xludf.DUMMYFUNCTION("GOOGLETRANSLATE(B21640,""en"",""de"")"),"Das andere Kind auf der Seite spürt auf einem der Wrestler -Muskeln.")</f>
        <v>Das andere Kind auf der Seite spürt auf einem der Wrestler -Muskeln.</v>
      </c>
    </row>
    <row r="21641">
      <c r="A21641" s="4" t="s">
        <v>27249</v>
      </c>
      <c r="B21641" s="4" t="s">
        <v>27252</v>
      </c>
      <c r="C21641" s="5" t="str">
        <f>IFERROR(__xludf.DUMMYFUNCTION("GOOGLETRANSLATE(B21641,""en"",""de"")"),"Er schreibt die Dinge auf, die Punkte behalten und was nicht.")</f>
        <v>Er schreibt die Dinge auf, die Punkte behalten und was nicht.</v>
      </c>
    </row>
    <row r="21642">
      <c r="A21642" s="4" t="s">
        <v>27249</v>
      </c>
      <c r="B21642" s="4" t="s">
        <v>27253</v>
      </c>
      <c r="C21642" s="5" t="str">
        <f>IFERROR(__xludf.DUMMYFUNCTION("GOOGLETRANSLATE(B21642,""en"",""de"")"),"Der weibliche Arm Wrestler gewinnt und bringt die anderen Jungs den Arm.")</f>
        <v>Der weibliche Arm Wrestler gewinnt und bringt die anderen Jungs den Arm.</v>
      </c>
    </row>
    <row r="21643">
      <c r="A21643" s="4" t="s">
        <v>27254</v>
      </c>
      <c r="B21643" s="4" t="s">
        <v>27255</v>
      </c>
      <c r="C21643" s="5" t="str">
        <f>IFERROR(__xludf.DUMMYFUNCTION("GOOGLETRANSLATE(B21643,""en"",""de"")"),"Ein Mann schneidet eine Laubwand im Freien ab, während er Shorts und ein Paar Geräusch -Storning -Kopfhörer mit einem motorisierten Baumwerkzeug trägt.")</f>
        <v>Ein Mann schneidet eine Laubwand im Freien ab, während er Shorts und ein Paar Geräusch -Storning -Kopfhörer mit einem motorisierten Baumwerkzeug trägt.</v>
      </c>
    </row>
    <row r="21644">
      <c r="A21644" s="4" t="s">
        <v>27254</v>
      </c>
      <c r="B21644" s="4" t="s">
        <v>27256</v>
      </c>
      <c r="C21644" s="5" t="str">
        <f>IFERROR(__xludf.DUMMYFUNCTION("GOOGLETRANSLATE(B21644,""en"",""de"")"),"Der Mann macht eine Pause und klettert dann mit einer Leiter und benutzt das Werkzeug mit einem verlängerten Arm, um die Oberseite der Wand von der Oberseite der Leiter zu schneiden.")</f>
        <v>Der Mann macht eine Pause und klettert dann mit einer Leiter und benutzt das Werkzeug mit einem verlängerten Arm, um die Oberseite der Wand von der Oberseite der Leiter zu schneiden.</v>
      </c>
    </row>
    <row r="21645">
      <c r="A21645" s="4" t="s">
        <v>27254</v>
      </c>
      <c r="B21645" s="4" t="s">
        <v>27257</v>
      </c>
      <c r="C21645" s="5" t="str">
        <f>IFERROR(__xludf.DUMMYFUNCTION("GOOGLETRANSLATE(B21645,""en"",""de"")"),"Der Mann bewegt dann die Leiter über die Länge der Wand, um das Laub weiter zu schneiden.")</f>
        <v>Der Mann bewegt dann die Leiter über die Länge der Wand, um das Laub weiter zu schneiden.</v>
      </c>
    </row>
    <row r="21646">
      <c r="A21646" s="4" t="s">
        <v>27258</v>
      </c>
      <c r="B21646" s="4" t="s">
        <v>27259</v>
      </c>
      <c r="C21646" s="5" t="str">
        <f>IFERROR(__xludf.DUMMYFUNCTION("GOOGLETRANSLATE(B21646,""en"",""de"")"),"Ein Mann spricht mit der Kamera einen Volleyball und führt in Schüsse, in denen er den Ball schlägt.")</f>
        <v>Ein Mann spricht mit der Kamera einen Volleyball und führt in Schüsse, in denen er den Ball schlägt.</v>
      </c>
    </row>
    <row r="21647">
      <c r="A21647" s="4" t="s">
        <v>27258</v>
      </c>
      <c r="B21647" s="4" t="s">
        <v>27260</v>
      </c>
      <c r="C21647" s="5" t="str">
        <f>IFERROR(__xludf.DUMMYFUNCTION("GOOGLETRANSLATE(B21647,""en"",""de"")"),"Er spricht weiter mit der Kamera, während er den Ball hält und in die Ferne schaut.")</f>
        <v>Er spricht weiter mit der Kamera, während er den Ball hält und in die Ferne schaut.</v>
      </c>
    </row>
    <row r="21648">
      <c r="A21648" s="4" t="s">
        <v>27261</v>
      </c>
      <c r="B21648" s="4" t="s">
        <v>27262</v>
      </c>
      <c r="C21648" s="5" t="str">
        <f>IFERROR(__xludf.DUMMYFUNCTION("GOOGLETRANSLATE(B21648,""en"",""de"")"),"Eine Person wird auf Skiern gezeigt, die hinter einem Boot auf Wasser fährt und verschiedene Tricks durchführen.")</f>
        <v>Eine Person wird auf Skiern gezeigt, die hinter einem Boot auf Wasser fährt und verschiedene Tricks durchführen.</v>
      </c>
    </row>
    <row r="21649">
      <c r="A21649" s="4" t="s">
        <v>27261</v>
      </c>
      <c r="B21649" s="4" t="s">
        <v>27263</v>
      </c>
      <c r="C21649" s="5" t="str">
        <f>IFERROR(__xludf.DUMMYFUNCTION("GOOGLETRANSLATE(B21649,""en"",""de"")"),"Der Mann macht weiterhin verschiedene Tricks auf den Skiern und das Boot bewegt sich viel schneller.")</f>
        <v>Der Mann macht weiterhin verschiedene Tricks auf den Skiern und das Boot bewegt sich viel schneller.</v>
      </c>
    </row>
    <row r="21650">
      <c r="A21650" s="4" t="s">
        <v>27264</v>
      </c>
      <c r="B21650" s="4" t="s">
        <v>27265</v>
      </c>
      <c r="C21650" s="5" t="str">
        <f>IFERROR(__xludf.DUMMYFUNCTION("GOOGLETRANSLATE(B21650,""en"",""de"")"),"Eine Person wird gesehen, wie auf einem Rasenmäher herumfährt, das das Gras in einem großen Feld schneidet.")</f>
        <v>Eine Person wird gesehen, wie auf einem Rasenmäher herumfährt, das das Gras in einem großen Feld schneidet.</v>
      </c>
    </row>
    <row r="21651">
      <c r="A21651" s="4" t="s">
        <v>27264</v>
      </c>
      <c r="B21651" s="4" t="s">
        <v>27266</v>
      </c>
      <c r="C21651" s="5" t="str">
        <f>IFERROR(__xludf.DUMMYFUNCTION("GOOGLETRANSLATE(B21651,""en"",""de"")"),"Der Junge nähert sich näher an die Kamera, während er immer noch herumfährt und das Gras schneidet.")</f>
        <v>Der Junge nähert sich näher an die Kamera, während er immer noch herumfährt und das Gras schneidet.</v>
      </c>
    </row>
    <row r="21652">
      <c r="A21652" s="4" t="s">
        <v>27267</v>
      </c>
      <c r="B21652" s="4" t="s">
        <v>27268</v>
      </c>
      <c r="C21652" s="5" t="str">
        <f>IFERROR(__xludf.DUMMYFUNCTION("GOOGLETRANSLATE(B21652,""en"",""de"")"),"Es werden zwei Ballsaaltänze gezeigt, die eine Routine in einem großen Auditorium durchführen.")</f>
        <v>Es werden zwei Ballsaaltänze gezeigt, die eine Routine in einem großen Auditorium durchführen.</v>
      </c>
    </row>
    <row r="21653">
      <c r="A21653" s="4" t="s">
        <v>27267</v>
      </c>
      <c r="B21653" s="4" t="s">
        <v>27269</v>
      </c>
      <c r="C21653" s="5" t="str">
        <f>IFERROR(__xludf.DUMMYFUNCTION("GOOGLETRANSLATE(B21653,""en"",""de"")"),"Das Paar dreht sich mehrmals, während das Publikum sie laut anfeuert.")</f>
        <v>Das Paar dreht sich mehrmals, während das Publikum sie laut anfeuert.</v>
      </c>
    </row>
    <row r="21654">
      <c r="A21654" s="4" t="s">
        <v>27267</v>
      </c>
      <c r="B21654" s="4" t="s">
        <v>27270</v>
      </c>
      <c r="C21654" s="5" t="str">
        <f>IFERROR(__xludf.DUMMYFUNCTION("GOOGLETRANSLATE(B21654,""en"",""de"")"),"Sie führen ihre Tanzroutine und mehrere Personen weiter mit Telefonen und Kameras auf.")</f>
        <v>Sie führen ihre Tanzroutine und mehrere Personen weiter mit Telefonen und Kameras auf.</v>
      </c>
    </row>
    <row r="21655">
      <c r="A21655" s="4" t="s">
        <v>27267</v>
      </c>
      <c r="B21655" s="4" t="s">
        <v>27271</v>
      </c>
      <c r="C21655" s="5" t="str">
        <f>IFERROR(__xludf.DUMMYFUNCTION("GOOGLETRANSLATE(B21655,""en"",""de"")"),"Das Paar macht einen letzten Dreh und schleust schließlich.")</f>
        <v>Das Paar macht einen letzten Dreh und schleust schließlich.</v>
      </c>
    </row>
    <row r="21656">
      <c r="A21656" s="4" t="s">
        <v>27272</v>
      </c>
      <c r="B21656" s="4" t="s">
        <v>27273</v>
      </c>
      <c r="C21656" s="5" t="str">
        <f>IFERROR(__xludf.DUMMYFUNCTION("GOOGLETRANSLATE(B21656,""en"",""de"")"),"Ein Mann wird gezeigt, wie er seinen Rasen mit einem Push -Mäher mäht.")</f>
        <v>Ein Mann wird gezeigt, wie er seinen Rasen mit einem Push -Mäher mäht.</v>
      </c>
    </row>
    <row r="21657">
      <c r="A21657" s="4" t="s">
        <v>27272</v>
      </c>
      <c r="B21657" s="4" t="s">
        <v>27274</v>
      </c>
      <c r="C21657" s="5" t="str">
        <f>IFERROR(__xludf.DUMMYFUNCTION("GOOGLETRANSLATE(B21657,""en"",""de"")"),"Er dreht sich um und geht hin und her und hinterlässt Markierungen auf dem Rasen.")</f>
        <v>Er dreht sich um und geht hin und her und hinterlässt Markierungen auf dem Rasen.</v>
      </c>
    </row>
    <row r="21658">
      <c r="A21658" s="4" t="s">
        <v>27272</v>
      </c>
      <c r="B21658" s="4" t="s">
        <v>27275</v>
      </c>
      <c r="C21658" s="5" t="str">
        <f>IFERROR(__xludf.DUMMYFUNCTION("GOOGLETRANSLATE(B21658,""en"",""de"")"),"Ein Mann spricht in der Ecke des Bildschirms über den Prozess.")</f>
        <v>Ein Mann spricht in der Ecke des Bildschirms über den Prozess.</v>
      </c>
    </row>
    <row r="21659">
      <c r="A21659" s="4" t="s">
        <v>27276</v>
      </c>
      <c r="B21659" s="4" t="s">
        <v>27277</v>
      </c>
      <c r="C21659" s="5" t="str">
        <f>IFERROR(__xludf.DUMMYFUNCTION("GOOGLETRANSLATE(B21659,""en"",""de"")"),"Ein olympisches Logo ist mit den 5 Ringen zu sehen.")</f>
        <v>Ein olympisches Logo ist mit den 5 Ringen zu sehen.</v>
      </c>
    </row>
    <row r="21660">
      <c r="A21660" s="4" t="s">
        <v>27276</v>
      </c>
      <c r="B21660" s="4" t="s">
        <v>27278</v>
      </c>
      <c r="C21660" s="5" t="str">
        <f>IFERROR(__xludf.DUMMYFUNCTION("GOOGLETRANSLATE(B21660,""en"",""de"")"),"Ein kleiner Junge, der gestreiftes Hemd in einem Fitnessstudio trägt, hebt eine Gewichtsbar über dem Kopf.")</f>
        <v>Ein kleiner Junge, der gestreiftes Hemd in einem Fitnessstudio trägt, hebt eine Gewichtsbar über dem Kopf.</v>
      </c>
    </row>
    <row r="21661">
      <c r="A21661" s="4" t="s">
        <v>27276</v>
      </c>
      <c r="B21661" s="4" t="s">
        <v>27279</v>
      </c>
      <c r="C21661" s="5" t="str">
        <f>IFERROR(__xludf.DUMMYFUNCTION("GOOGLETRANSLATE(B21661,""en"",""de"")"),"Ein junger Mann in blauen Shorts hebt in einem überfüllten Fitnessstudio eine Gewichtsbar über dem Kopf.")</f>
        <v>Ein junger Mann in blauen Shorts hebt in einem überfüllten Fitnessstudio eine Gewichtsbar über dem Kopf.</v>
      </c>
    </row>
    <row r="21662">
      <c r="A21662" s="4" t="s">
        <v>27276</v>
      </c>
      <c r="B21662" s="4" t="s">
        <v>27280</v>
      </c>
      <c r="C21662" s="5" t="str">
        <f>IFERROR(__xludf.DUMMYFUNCTION("GOOGLETRANSLATE(B21662,""en"",""de"")"),"Professionelle Athleten in Wettbewerben erheben große, stark gewichtete Balken für die Beurteilung.")</f>
        <v>Professionelle Athleten in Wettbewerben erheben große, stark gewichtete Balken für die Beurteilung.</v>
      </c>
    </row>
    <row r="21663">
      <c r="A21663" s="4" t="s">
        <v>27281</v>
      </c>
      <c r="B21663" s="4" t="s">
        <v>27282</v>
      </c>
      <c r="C21663" s="5" t="str">
        <f>IFERROR(__xludf.DUMMYFUNCTION("GOOGLETRANSLATE(B21663,""en"",""de"")"),"Ein Mann steht allein im Fitnessstudio und spricht mit der Kamera.")</f>
        <v>Ein Mann steht allein im Fitnessstudio und spricht mit der Kamera.</v>
      </c>
    </row>
    <row r="21664">
      <c r="A21664" s="4" t="s">
        <v>27281</v>
      </c>
      <c r="B21664" s="4" t="s">
        <v>27283</v>
      </c>
      <c r="C21664" s="5" t="str">
        <f>IFERROR(__xludf.DUMMYFUNCTION("GOOGLETRANSLATE(B21664,""en"",""de"")"),"Dann legt er seine Faust auf und beginnt das Schattenboxen, als er sich durch den Raum bewegt.")</f>
        <v>Dann legt er seine Faust auf und beginnt das Schattenboxen, als er sich durch den Raum bewegt.</v>
      </c>
    </row>
    <row r="21665">
      <c r="A21665" s="4" t="s">
        <v>27281</v>
      </c>
      <c r="B21665" s="4" t="s">
        <v>27284</v>
      </c>
      <c r="C21665" s="5" t="str">
        <f>IFERROR(__xludf.DUMMYFUNCTION("GOOGLETRANSLATE(B21665,""en"",""de"")"),"Als nächstes fügt er seine Füße hinzu und beginnt, die Luft zu treten und dreht sich, als ob jemand ihn schlägt.")</f>
        <v>Als nächstes fügt er seine Füße hinzu und beginnt, die Luft zu treten und dreht sich, als ob jemand ihn schlägt.</v>
      </c>
    </row>
    <row r="21666">
      <c r="A21666" s="4" t="s">
        <v>27281</v>
      </c>
      <c r="B21666" s="4" t="s">
        <v>27285</v>
      </c>
      <c r="C21666" s="5" t="str">
        <f>IFERROR(__xludf.DUMMYFUNCTION("GOOGLETRANSLATE(B21666,""en"",""de"")"),"Schließlich kommt er leicht aus dem Atem auf den Bildschirm zurück, um das Video zu beenden.")</f>
        <v>Schließlich kommt er leicht aus dem Atem auf den Bildschirm zurück, um das Video zu beenden.</v>
      </c>
    </row>
    <row r="21667">
      <c r="A21667" s="4" t="s">
        <v>27286</v>
      </c>
      <c r="B21667" s="4" t="s">
        <v>27287</v>
      </c>
      <c r="C21667" s="5" t="str">
        <f>IFERROR(__xludf.DUMMYFUNCTION("GOOGLETRANSLATE(B21667,""en"",""de"")"),"Eine kleine Gruppe von Menschen sitzt im Stoßfänger Auto und fängt an, gegeneinander zu krachen.")</f>
        <v>Eine kleine Gruppe von Menschen sitzt im Stoßfänger Auto und fängt an, gegeneinander zu krachen.</v>
      </c>
    </row>
    <row r="21668">
      <c r="A21668" s="4" t="s">
        <v>27286</v>
      </c>
      <c r="B21668" s="4" t="s">
        <v>27288</v>
      </c>
      <c r="C21668" s="5" t="str">
        <f>IFERROR(__xludf.DUMMYFUNCTION("GOOGLETRANSLATE(B21668,""en"",""de"")"),"Die Kamera folgt um eine Frau, die er nicht zu bewegen scheine, und andere an der Seite anweisen, wie man fährt, wenn andere in sie abstürzen.")</f>
        <v>Die Kamera folgt um eine Frau, die er nicht zu bewegen scheine, und andere an der Seite anweisen, wie man fährt, wenn andere in sie abstürzen.</v>
      </c>
    </row>
    <row r="21669">
      <c r="A21669" s="4" t="s">
        <v>27289</v>
      </c>
      <c r="B21669" s="4" t="s">
        <v>27290</v>
      </c>
      <c r="C21669" s="5" t="str">
        <f>IFERROR(__xludf.DUMMYFUNCTION("GOOGLETRANSLATE(B21669,""en"",""de"")"),"Ein Mann spricht mit der Kamera vor einem großen Pool, während er seine Hände mit Begeisterung benutzt.")</f>
        <v>Ein Mann spricht mit der Kamera vor einem großen Pool, während er seine Hände mit Begeisterung benutzt.</v>
      </c>
    </row>
    <row r="21670">
      <c r="A21670" s="4" t="s">
        <v>27289</v>
      </c>
      <c r="B21670" s="4" t="s">
        <v>27291</v>
      </c>
      <c r="C21670" s="5" t="str">
        <f>IFERROR(__xludf.DUMMYFUNCTION("GOOGLETRANSLATE(B21670,""en"",""de"")"),"Der Mann spricht weiterhin, während er seine Hände und Pfannen an den Mann benutzt, der durch den Pool schwimmt und zurück zum Reden.")</f>
        <v>Der Mann spricht weiterhin, während er seine Hände und Pfannen an den Mann benutzt, der durch den Pool schwimmt und zurück zum Reden.</v>
      </c>
    </row>
    <row r="21671">
      <c r="A21671" s="4" t="s">
        <v>27292</v>
      </c>
      <c r="B21671" s="4" t="s">
        <v>27293</v>
      </c>
      <c r="C21671" s="5" t="str">
        <f>IFERROR(__xludf.DUMMYFUNCTION("GOOGLETRANSLATE(B21671,""en"",""de"")"),"Wir sehen eine Arena von Out Doors.")</f>
        <v>Wir sehen eine Arena von Out Doors.</v>
      </c>
    </row>
    <row r="21672">
      <c r="A21672" s="4" t="s">
        <v>27292</v>
      </c>
      <c r="B21672" s="4" t="s">
        <v>27294</v>
      </c>
      <c r="C21672" s="5" t="str">
        <f>IFERROR(__xludf.DUMMYFUNCTION("GOOGLETRANSLATE(B21672,""en"",""de"")"),"Wir sehen Menschen auf Trampolin, die Flips in der Arena durchführen.")</f>
        <v>Wir sehen Menschen auf Trampolin, die Flips in der Arena durchführen.</v>
      </c>
    </row>
    <row r="21673">
      <c r="A21673" s="4" t="s">
        <v>27292</v>
      </c>
      <c r="B21673" s="4" t="s">
        <v>27295</v>
      </c>
      <c r="C21673" s="5" t="str">
        <f>IFERROR(__xludf.DUMMYFUNCTION("GOOGLETRANSLATE(B21673,""en"",""de"")"),"Wir sehen eine Person, die nach dem Flippen fast fallen.")</f>
        <v>Wir sehen eine Person, die nach dem Flippen fast fallen.</v>
      </c>
    </row>
    <row r="21674">
      <c r="A21674" s="4" t="s">
        <v>27292</v>
      </c>
      <c r="B21674" s="4" t="s">
        <v>27296</v>
      </c>
      <c r="C21674" s="5" t="str">
        <f>IFERROR(__xludf.DUMMYFUNCTION("GOOGLETRANSLATE(B21674,""en"",""de"")"),"Die Person landet und fällt fast.")</f>
        <v>Die Person landet und fällt fast.</v>
      </c>
    </row>
    <row r="21675">
      <c r="A21675" s="4" t="s">
        <v>27292</v>
      </c>
      <c r="B21675" s="4" t="s">
        <v>27297</v>
      </c>
      <c r="C21675" s="5" t="str">
        <f>IFERROR(__xludf.DUMMYFUNCTION("GOOGLETRANSLATE(B21675,""en"",""de"")"),"Eine Person dreht sich mehrmals auf einen Streifen auf dem Boden.")</f>
        <v>Eine Person dreht sich mehrmals auf einen Streifen auf dem Boden.</v>
      </c>
    </row>
    <row r="21676">
      <c r="A21676" s="4" t="s">
        <v>27292</v>
      </c>
      <c r="B21676" s="4" t="s">
        <v>27298</v>
      </c>
      <c r="C21676" s="5" t="str">
        <f>IFERROR(__xludf.DUMMYFUNCTION("GOOGLETRANSLATE(B21676,""en"",""de"")"),"Wir sehen, wie ein Mann in Zeitlupe auf dem Trampolin springt und landet.")</f>
        <v>Wir sehen, wie ein Mann in Zeitlupe auf dem Trampolin springt und landet.</v>
      </c>
    </row>
    <row r="21677">
      <c r="A21677" s="4" t="s">
        <v>27292</v>
      </c>
      <c r="B21677" s="4" t="s">
        <v>11124</v>
      </c>
      <c r="C21677" s="5" t="str">
        <f>IFERROR(__xludf.DUMMYFUNCTION("GOOGLETRANSLATE(B21677,""en"",""de"")"),"Wir sehen die Endtitelbildschirme.")</f>
        <v>Wir sehen die Endtitelbildschirme.</v>
      </c>
    </row>
    <row r="21678">
      <c r="A21678" s="4" t="s">
        <v>27299</v>
      </c>
      <c r="B21678" s="4" t="s">
        <v>27300</v>
      </c>
      <c r="C21678" s="5" t="str">
        <f>IFERROR(__xludf.DUMMYFUNCTION("GOOGLETRANSLATE(B21678,""en"",""de"")"),"Wir sehen einen animierten Öffnungsbildschirm.")</f>
        <v>Wir sehen einen animierten Öffnungsbildschirm.</v>
      </c>
    </row>
    <row r="21679">
      <c r="A21679" s="4" t="s">
        <v>27299</v>
      </c>
      <c r="B21679" s="4" t="s">
        <v>27301</v>
      </c>
      <c r="C21679" s="5" t="str">
        <f>IFERROR(__xludf.DUMMYFUNCTION("GOOGLETRANSLATE(B21679,""en"",""de"")"),"Ein Mann fährt dann aus seinem Auto.")</f>
        <v>Ein Mann fährt dann aus seinem Auto.</v>
      </c>
    </row>
    <row r="21680">
      <c r="A21680" s="4" t="s">
        <v>27299</v>
      </c>
      <c r="B21680" s="4" t="s">
        <v>27302</v>
      </c>
      <c r="C21680" s="5" t="str">
        <f>IFERROR(__xludf.DUMMYFUNCTION("GOOGLETRANSLATE(B21680,""en"",""de"")"),"Wir sehen einen Mann Rollerblading auf einem Platz und einen Skatepark.")</f>
        <v>Wir sehen einen Mann Rollerblading auf einem Platz und einen Skatepark.</v>
      </c>
    </row>
    <row r="21681">
      <c r="A21681" s="4" t="s">
        <v>27299</v>
      </c>
      <c r="B21681" s="4" t="s">
        <v>27303</v>
      </c>
      <c r="C21681" s="5" t="str">
        <f>IFERROR(__xludf.DUMMYFUNCTION("GOOGLETRANSLATE(B21681,""en"",""de"")"),"Wir sehen die Füße des Mannes in den Klingen, dann das Gesicht eines Mannes.")</f>
        <v>Wir sehen die Füße des Mannes in den Klingen, dann das Gesicht eines Mannes.</v>
      </c>
    </row>
    <row r="21682">
      <c r="A21682" s="4" t="s">
        <v>27299</v>
      </c>
      <c r="B21682" s="4" t="s">
        <v>27304</v>
      </c>
      <c r="C21682" s="5" t="str">
        <f>IFERROR(__xludf.DUMMYFUNCTION("GOOGLETRANSLATE(B21682,""en"",""de"")"),"Wir sehen den Mann auf einem erhöhten Bürgersteig stehen und dann auf dem Geländer skaten.")</f>
        <v>Wir sehen den Mann auf einem erhöhten Bürgersteig stehen und dann auf dem Geländer skaten.</v>
      </c>
    </row>
    <row r="21683">
      <c r="A21683" s="4" t="s">
        <v>27299</v>
      </c>
      <c r="B21683" s="4" t="s">
        <v>27305</v>
      </c>
      <c r="C21683" s="5" t="str">
        <f>IFERROR(__xludf.DUMMYFUNCTION("GOOGLETRANSLATE(B21683,""en"",""de"")"),"Wir sehen, wie der Mann über eine Bank lockt und dann eine Sonnenbrille anzieht.")</f>
        <v>Wir sehen, wie der Mann über eine Bank lockt und dann eine Sonnenbrille anzieht.</v>
      </c>
    </row>
    <row r="21684">
      <c r="A21684" s="4" t="s">
        <v>27299</v>
      </c>
      <c r="B21684" s="4" t="s">
        <v>27306</v>
      </c>
      <c r="C21684" s="5" t="str">
        <f>IFERROR(__xludf.DUMMYFUNCTION("GOOGLETRANSLATE(B21684,""en"",""de"")"),"Wir sehen den Mann und klicken auf eine Schaltfläche und ein Auto bläst in die Luft.")</f>
        <v>Wir sehen den Mann und klicken auf eine Schaltfläche und ein Auto bläst in die Luft.</v>
      </c>
    </row>
    <row r="21685">
      <c r="A21685" s="4" t="s">
        <v>27299</v>
      </c>
      <c r="B21685" s="4" t="s">
        <v>5107</v>
      </c>
      <c r="C21685" s="5" t="str">
        <f>IFERROR(__xludf.DUMMYFUNCTION("GOOGLETRANSLATE(B21685,""en"",""de"")"),"Wir sehen dann den Ende des Endtitels.")</f>
        <v>Wir sehen dann den Ende des Endtitels.</v>
      </c>
    </row>
    <row r="21686">
      <c r="A21686" s="4" t="s">
        <v>27307</v>
      </c>
      <c r="B21686" s="4" t="s">
        <v>27308</v>
      </c>
      <c r="C21686" s="5" t="str">
        <f>IFERROR(__xludf.DUMMYFUNCTION("GOOGLETRANSLATE(B21686,""en"",""de"")"),"Ein Mann dient einen Tennisball über den Platz.")</f>
        <v>Ein Mann dient einen Tennisball über den Platz.</v>
      </c>
    </row>
    <row r="21687">
      <c r="A21687" s="4" t="s">
        <v>27307</v>
      </c>
      <c r="B21687" s="4" t="s">
        <v>27309</v>
      </c>
      <c r="C21687" s="5" t="str">
        <f>IFERROR(__xludf.DUMMYFUNCTION("GOOGLETRANSLATE(B21687,""en"",""de"")"),"Der Mann dreht sich um, um mit der Kamera zu sprechen.")</f>
        <v>Der Mann dreht sich um, um mit der Kamera zu sprechen.</v>
      </c>
    </row>
    <row r="21688">
      <c r="A21688" s="4" t="s">
        <v>27310</v>
      </c>
      <c r="B21688" s="4" t="s">
        <v>27311</v>
      </c>
      <c r="C21688" s="5" t="str">
        <f>IFERROR(__xludf.DUMMYFUNCTION("GOOGLETRANSLATE(B21688,""en"",""de"")"),"Ein Wrestler, der oben auf einer Leiter steht, mit einem anderen Mann auf der Leiter mit ihm, aber vor ihm, springt von der Oberseite von der Leiter und nimmt die andere Person mit.")</f>
        <v>Ein Wrestler, der oben auf einer Leiter steht, mit einem anderen Mann auf der Leiter mit ihm, aber vor ihm, springt von der Oberseite von der Leiter und nimmt die andere Person mit.</v>
      </c>
    </row>
    <row r="21689">
      <c r="A21689" s="4" t="s">
        <v>27310</v>
      </c>
      <c r="B21689" s="4" t="s">
        <v>27312</v>
      </c>
      <c r="C21689" s="5" t="str">
        <f>IFERROR(__xludf.DUMMYFUNCTION("GOOGLETRANSLATE(B21689,""en"",""de"")"),"Ein Mann in einem Wrestling Costumer steht mitten in einem Ring mit einem Schiedsrichter und den Menschen im Publikum an der Spitze einer Leiter.")</f>
        <v>Ein Mann in einem Wrestling Costumer steht mitten in einem Ring mit einem Schiedsrichter und den Menschen im Publikum an der Spitze einer Leiter.</v>
      </c>
    </row>
    <row r="21690">
      <c r="A21690" s="4" t="s">
        <v>27310</v>
      </c>
      <c r="B21690" s="4" t="s">
        <v>27313</v>
      </c>
      <c r="C21690" s="5" t="str">
        <f>IFERROR(__xludf.DUMMYFUNCTION("GOOGLETRANSLATE(B21690,""en"",""de"")"),"Der Mann springt von der Leiter, während die Leute im Publikum für ihn klatschen und der andere Mann ebenfalls abfällt.")</f>
        <v>Der Mann springt von der Leiter, während die Leute im Publikum für ihn klatschen und der andere Mann ebenfalls abfällt.</v>
      </c>
    </row>
    <row r="21691">
      <c r="A21691" s="4" t="s">
        <v>27314</v>
      </c>
      <c r="B21691" s="4" t="s">
        <v>27315</v>
      </c>
      <c r="C21691" s="5" t="str">
        <f>IFERROR(__xludf.DUMMYFUNCTION("GOOGLETRANSLATE(B21691,""en"",""de"")"),"Die Menschen segeln in einem felsigen Fluss auf aufblasbaren einzelnen Booten.")</f>
        <v>Die Menschen segeln in einem felsigen Fluss auf aufblasbaren einzelnen Booten.</v>
      </c>
    </row>
    <row r="21692">
      <c r="A21692" s="4" t="s">
        <v>27314</v>
      </c>
      <c r="B21692" s="4" t="s">
        <v>27316</v>
      </c>
      <c r="C21692" s="5" t="str">
        <f>IFERROR(__xludf.DUMMYFUNCTION("GOOGLETRANSLATE(B21692,""en"",""de"")"),"Die Boote gehen schwierig zwischen den Felsen.")</f>
        <v>Die Boote gehen schwierig zwischen den Felsen.</v>
      </c>
    </row>
    <row r="21693">
      <c r="A21693" s="4" t="s">
        <v>27314</v>
      </c>
      <c r="B21693" s="4" t="s">
        <v>27317</v>
      </c>
      <c r="C21693" s="5" t="str">
        <f>IFERROR(__xludf.DUMMYFUNCTION("GOOGLETRANSLATE(B21693,""en"",""de"")"),"Dann treten die Menschen in schwierigeren Gewässern ein.")</f>
        <v>Dann treten die Menschen in schwierigeren Gewässern ein.</v>
      </c>
    </row>
    <row r="21694">
      <c r="A21694" s="4" t="s">
        <v>27318</v>
      </c>
      <c r="B21694" s="4" t="s">
        <v>27319</v>
      </c>
      <c r="C21694" s="5" t="str">
        <f>IFERROR(__xludf.DUMMYFUNCTION("GOOGLETRANSLATE(B21694,""en"",""de"")"),"Kinder stehen in der Öffnung eines Cartoons.")</f>
        <v>Kinder stehen in der Öffnung eines Cartoons.</v>
      </c>
    </row>
    <row r="21695">
      <c r="A21695" s="4" t="s">
        <v>27318</v>
      </c>
      <c r="B21695" s="4" t="s">
        <v>27320</v>
      </c>
      <c r="C21695" s="5" t="str">
        <f>IFERROR(__xludf.DUMMYFUNCTION("GOOGLETRANSLATE(B21695,""en"",""de"")"),"Die Frau spricht vor einem Mikropon vor einem großen Publikum.")</f>
        <v>Die Frau spricht vor einem Mikropon vor einem großen Publikum.</v>
      </c>
    </row>
    <row r="21696">
      <c r="A21696" s="4" t="s">
        <v>27318</v>
      </c>
      <c r="B21696" s="4" t="s">
        <v>27321</v>
      </c>
      <c r="C21696" s="5" t="str">
        <f>IFERROR(__xludf.DUMMYFUNCTION("GOOGLETRANSLATE(B21696,""en"",""de"")"),"Mmen befinden sich mitten in einer Arena in einem großen Stadion, das zwischen ihnen kämpft.")</f>
        <v>Mmen befinden sich mitten in einer Arena in einem großen Stadion, das zwischen ihnen kämpft.</v>
      </c>
    </row>
    <row r="21697">
      <c r="A21697" s="4" t="s">
        <v>27322</v>
      </c>
      <c r="B21697" s="4" t="s">
        <v>27323</v>
      </c>
      <c r="C21697" s="5" t="str">
        <f>IFERROR(__xludf.DUMMYFUNCTION("GOOGLETRANSLATE(B21697,""en"",""de"")"),"Ein Mann betritt die Bühne, um sich einer Band anzuschließen.")</f>
        <v>Ein Mann betritt die Bühne, um sich einer Band anzuschließen.</v>
      </c>
    </row>
    <row r="21698">
      <c r="A21698" s="4" t="s">
        <v>27322</v>
      </c>
      <c r="B21698" s="4" t="s">
        <v>27324</v>
      </c>
      <c r="C21698" s="5" t="str">
        <f>IFERROR(__xludf.DUMMYFUNCTION("GOOGLETRANSLATE(B21698,""en"",""de"")"),"Ein Mann spielt vor einer Band mit einer Mundharmonika.")</f>
        <v>Ein Mann spielt vor einer Band mit einer Mundharmonika.</v>
      </c>
    </row>
    <row r="21699">
      <c r="A21699" s="4" t="s">
        <v>27322</v>
      </c>
      <c r="B21699" s="4" t="s">
        <v>27325</v>
      </c>
      <c r="C21699" s="5" t="str">
        <f>IFERROR(__xludf.DUMMYFUNCTION("GOOGLETRANSLATE(B21699,""en"",""de"")"),"Der Keyboarder spielt während des Songs ein temperamentvolles Solo.")</f>
        <v>Der Keyboarder spielt während des Songs ein temperamentvolles Solo.</v>
      </c>
    </row>
    <row r="21700">
      <c r="A21700" s="4" t="s">
        <v>27322</v>
      </c>
      <c r="B21700" s="4" t="s">
        <v>27326</v>
      </c>
      <c r="C21700" s="5" t="str">
        <f>IFERROR(__xludf.DUMMYFUNCTION("GOOGLETRANSLATE(B21700,""en"",""de"")"),"Der Mann gratuliert und gibt dem Keyboarder am Ende des Songs eine hohe fünf.")</f>
        <v>Der Mann gratuliert und gibt dem Keyboarder am Ende des Songs eine hohe fünf.</v>
      </c>
    </row>
    <row r="21701">
      <c r="A21701" s="4" t="s">
        <v>27327</v>
      </c>
      <c r="B21701" s="4" t="s">
        <v>27328</v>
      </c>
      <c r="C21701" s="5" t="str">
        <f>IFERROR(__xludf.DUMMYFUNCTION("GOOGLETRANSLATE(B21701,""en"",""de"")"),"Ein Mann in Tan Khakis und ein Hemd nach unten fegen einen Boden mit einem breiten Besen.")</f>
        <v>Ein Mann in Tan Khakis und ein Hemd nach unten fegen einen Boden mit einem breiten Besen.</v>
      </c>
    </row>
    <row r="21702">
      <c r="A21702" s="4" t="s">
        <v>27327</v>
      </c>
      <c r="B21702" s="4" t="s">
        <v>27329</v>
      </c>
      <c r="C21702" s="5" t="str">
        <f>IFERROR(__xludf.DUMMYFUNCTION("GOOGLETRANSLATE(B21702,""en"",""de"")"),"Ein Mann geht und fegt einen Boden, der links vom Raum geht und den breiten Besen vor sich drückt.")</f>
        <v>Ein Mann geht und fegt einen Boden, der links vom Raum geht und den breiten Besen vor sich drückt.</v>
      </c>
    </row>
    <row r="21703">
      <c r="A21703" s="4" t="s">
        <v>27327</v>
      </c>
      <c r="B21703" s="4" t="s">
        <v>27330</v>
      </c>
      <c r="C21703" s="5" t="str">
        <f>IFERROR(__xludf.DUMMYFUNCTION("GOOGLETRANSLATE(B21703,""en"",""de"")"),"Der Mann geht dann mit dem gleichen breiten Besen zur rechten Seite des Raumes.")</f>
        <v>Der Mann geht dann mit dem gleichen breiten Besen zur rechten Seite des Raumes.</v>
      </c>
    </row>
    <row r="21704">
      <c r="A21704" s="4" t="s">
        <v>27327</v>
      </c>
      <c r="B21704" s="4" t="s">
        <v>27331</v>
      </c>
      <c r="C21704" s="5" t="str">
        <f>IFERROR(__xludf.DUMMYFUNCTION("GOOGLETRANSLATE(B21704,""en"",""de"")"),"Der Mann beendet dann das Fegen, lockt den Besen in der Ecke des Raumes und steht vor der Wand vor einem Fenster.")</f>
        <v>Der Mann beendet dann das Fegen, lockt den Besen in der Ecke des Raumes und steht vor der Wand vor einem Fenster.</v>
      </c>
    </row>
    <row r="21705">
      <c r="A21705" s="4" t="s">
        <v>27332</v>
      </c>
      <c r="B21705" s="4" t="s">
        <v>27333</v>
      </c>
      <c r="C21705" s="5" t="str">
        <f>IFERROR(__xludf.DUMMYFUNCTION("GOOGLETRANSLATE(B21705,""en"",""de"")"),"Ein kleines Kind steht bereit, einen Stangen zu halten, und rennt dann eine lange Strecke hinunter und wirft die Stange.")</f>
        <v>Ein kleines Kind steht bereit, einen Stangen zu halten, und rennt dann eine lange Strecke hinunter und wirft die Stange.</v>
      </c>
    </row>
    <row r="21706">
      <c r="A21706" s="4" t="s">
        <v>27332</v>
      </c>
      <c r="B21706" s="4" t="s">
        <v>27334</v>
      </c>
      <c r="C21706" s="5" t="str">
        <f>IFERROR(__xludf.DUMMYFUNCTION("GOOGLETRANSLATE(B21706,""en"",""de"")"),"Er geht um die Strecke zurück, wenn eine andere Person fallen gesehen wird und den Stock wirft.")</f>
        <v>Er geht um die Strecke zurück, wenn eine andere Person fallen gesehen wird und den Stock wirft.</v>
      </c>
    </row>
    <row r="21707">
      <c r="A21707" s="4" t="s">
        <v>27332</v>
      </c>
      <c r="B21707" s="4" t="s">
        <v>27335</v>
      </c>
      <c r="C21707" s="5" t="str">
        <f>IFERROR(__xludf.DUMMYFUNCTION("GOOGLETRANSLATE(B21707,""en"",""de"")"),"Schließlich tritt ein letzter Junge auf die Strecke, um den Speer zu werfen, und geht dann zu den anderen zurück.")</f>
        <v>Schließlich tritt ein letzter Junge auf die Strecke, um den Speer zu werfen, und geht dann zu den anderen zurück.</v>
      </c>
    </row>
    <row r="21708">
      <c r="A21708" s="4" t="s">
        <v>27336</v>
      </c>
      <c r="B21708" s="4" t="s">
        <v>27337</v>
      </c>
      <c r="C21708" s="5" t="str">
        <f>IFERROR(__xludf.DUMMYFUNCTION("GOOGLETRANSLATE(B21708,""en"",""de"")"),"Auf dem Bildschirm wird ein Intro mit Text angezeigt, gefolgt von zwei Zeichentrickfiguren.")</f>
        <v>Auf dem Bildschirm wird ein Intro mit Text angezeigt, gefolgt von zwei Zeichentrickfiguren.</v>
      </c>
    </row>
    <row r="21709">
      <c r="A21709" s="4" t="s">
        <v>27336</v>
      </c>
      <c r="B21709" s="4" t="s">
        <v>27338</v>
      </c>
      <c r="C21709" s="5" t="str">
        <f>IFERROR(__xludf.DUMMYFUNCTION("GOOGLETRANSLATE(B21709,""en"",""de"")"),"Die Charaktere sprechen miteinander und führen sie in sie und spielen ein Spiel.")</f>
        <v>Die Charaktere sprechen miteinander und führen sie in sie und spielen ein Spiel.</v>
      </c>
    </row>
    <row r="21710">
      <c r="A21710" s="4" t="s">
        <v>27336</v>
      </c>
      <c r="B21710" s="4" t="s">
        <v>27339</v>
      </c>
      <c r="C21710" s="5" t="str">
        <f>IFERROR(__xludf.DUMMYFUNCTION("GOOGLETRANSLATE(B21710,""en"",""de"")"),"Ein Charakter verliert das Spiel und verschwindet dann.")</f>
        <v>Ein Charakter verliert das Spiel und verschwindet dann.</v>
      </c>
    </row>
    <row r="21711">
      <c r="A21711" s="4" t="s">
        <v>27340</v>
      </c>
      <c r="B21711" s="4" t="s">
        <v>27341</v>
      </c>
      <c r="C21711" s="5" t="str">
        <f>IFERROR(__xludf.DUMMYFUNCTION("GOOGLETRANSLATE(B21711,""en"",""de"")"),"Wir sehen einen jungen Mann in einem Nachrichtenstudio.")</f>
        <v>Wir sehen einen jungen Mann in einem Nachrichtenstudio.</v>
      </c>
    </row>
    <row r="21712">
      <c r="A21712" s="4" t="s">
        <v>27340</v>
      </c>
      <c r="B21712" s="4" t="s">
        <v>27342</v>
      </c>
      <c r="C21712" s="5" t="str">
        <f>IFERROR(__xludf.DUMMYFUNCTION("GOOGLETRANSLATE(B21712,""en"",""de"")"),"Wir sehen einen Mann mit einem stationären Fahrrad und sehen ein Foto von dem Mann, der einen Kuchen hält.")</f>
        <v>Wir sehen einen Mann mit einem stationären Fahrrad und sehen ein Foto von dem Mann, der einen Kuchen hält.</v>
      </c>
    </row>
    <row r="21713">
      <c r="A21713" s="4" t="s">
        <v>27340</v>
      </c>
      <c r="B21713" s="4" t="s">
        <v>27343</v>
      </c>
      <c r="C21713" s="5" t="str">
        <f>IFERROR(__xludf.DUMMYFUNCTION("GOOGLETRANSLATE(B21713,""en"",""de"")"),"Wir sehen, dass der Mann mit Szenen des Mannes geschnitten wird, der trainiert.")</f>
        <v>Wir sehen, dass der Mann mit Szenen des Mannes geschnitten wird, der trainiert.</v>
      </c>
    </row>
    <row r="21714">
      <c r="A21714" s="4" t="s">
        <v>27340</v>
      </c>
      <c r="B21714" s="4" t="s">
        <v>27344</v>
      </c>
      <c r="C21714" s="5" t="str">
        <f>IFERROR(__xludf.DUMMYFUNCTION("GOOGLETRANSLATE(B21714,""en"",""de"")"),"Wir sehen den Mann im Bild wieder den Kuchen und sehen den Mann im Hemd, der nicht mehr passt und zu groß ist.")</f>
        <v>Wir sehen den Mann im Bild wieder den Kuchen und sehen den Mann im Hemd, der nicht mehr passt und zu groß ist.</v>
      </c>
    </row>
    <row r="21715">
      <c r="A21715" s="4" t="s">
        <v>27340</v>
      </c>
      <c r="B21715" s="4" t="s">
        <v>27345</v>
      </c>
      <c r="C21715" s="5" t="str">
        <f>IFERROR(__xludf.DUMMYFUNCTION("GOOGLETRANSLATE(B21715,""en"",""de"")"),"Wir sehen den Mann wieder trainieren.")</f>
        <v>Wir sehen den Mann wieder trainieren.</v>
      </c>
    </row>
    <row r="21716">
      <c r="A21716" s="4" t="s">
        <v>27340</v>
      </c>
      <c r="B21716" s="4" t="s">
        <v>27346</v>
      </c>
      <c r="C21716" s="5" t="str">
        <f>IFERROR(__xludf.DUMMYFUNCTION("GOOGLETRANSLATE(B21716,""en"",""de"")"),"Wir sehen drei Nachrichtensender im Studio.")</f>
        <v>Wir sehen drei Nachrichtensender im Studio.</v>
      </c>
    </row>
    <row r="21717">
      <c r="A21717" s="4" t="s">
        <v>27347</v>
      </c>
      <c r="B21717" s="4" t="s">
        <v>27348</v>
      </c>
      <c r="C21717" s="5" t="str">
        <f>IFERROR(__xludf.DUMMYFUNCTION("GOOGLETRANSLATE(B21717,""en"",""de"")"),"Ein Pilates -Ausbilder auf Skates erklärt, wie Sie Ihre Risikoschützer festschnallen und zeigt, dass Sie Knieschalter benötigen, um Ihre Knie zu schützen.")</f>
        <v>Ein Pilates -Ausbilder auf Skates erklärt, wie Sie Ihre Risikoschützer festschnallen und zeigt, dass Sie Knieschalter benötigen, um Ihre Knie zu schützen.</v>
      </c>
    </row>
    <row r="21718">
      <c r="A21718" s="4" t="s">
        <v>27347</v>
      </c>
      <c r="B21718" s="4" t="s">
        <v>27349</v>
      </c>
      <c r="C21718" s="5" t="str">
        <f>IFERROR(__xludf.DUMMYFUNCTION("GOOGLETRANSLATE(B21718,""en"",""de"")"),"Die Dame erklärt dann die Skates -Bewegung und wie man die Pausen auf der Rückseite der Schlittschuhe benutzt.")</f>
        <v>Die Dame erklärt dann die Skates -Bewegung und wie man die Pausen auf der Rückseite der Schlittschuhe benutzt.</v>
      </c>
    </row>
    <row r="21719">
      <c r="A21719" s="4" t="s">
        <v>27347</v>
      </c>
      <c r="B21719" s="4" t="s">
        <v>27350</v>
      </c>
      <c r="C21719" s="5" t="str">
        <f>IFERROR(__xludf.DUMMYFUNCTION("GOOGLETRANSLATE(B21719,""en"",""de"")"),"Schließlich zeigt die Dame Ihnen den richtigen Weg, um Spaß zu haben.")</f>
        <v>Schließlich zeigt die Dame Ihnen den richtigen Weg, um Spaß zu haben.</v>
      </c>
    </row>
    <row r="21720">
      <c r="A21720" s="4" t="s">
        <v>27351</v>
      </c>
      <c r="B21720" s="4" t="s">
        <v>27352</v>
      </c>
      <c r="C21720" s="5" t="str">
        <f>IFERROR(__xludf.DUMMYFUNCTION("GOOGLETRANSLATE(B21720,""en"",""de"")"),"Kinder sitzen in Stoßfänger.")</f>
        <v>Kinder sitzen in Stoßfänger.</v>
      </c>
    </row>
    <row r="21721">
      <c r="A21721" s="4" t="s">
        <v>27351</v>
      </c>
      <c r="B21721" s="4" t="s">
        <v>27353</v>
      </c>
      <c r="C21721" s="5" t="str">
        <f>IFERROR(__xludf.DUMMYFUNCTION("GOOGLETRANSLATE(B21721,""en"",""de"")"),"Sie stürzen ineinander.")</f>
        <v>Sie stürzen ineinander.</v>
      </c>
    </row>
    <row r="21722">
      <c r="A21722" s="4" t="s">
        <v>27351</v>
      </c>
      <c r="B21722" s="4" t="s">
        <v>27354</v>
      </c>
      <c r="C21722" s="5" t="str">
        <f>IFERROR(__xludf.DUMMYFUNCTION("GOOGLETRANSLATE(B21722,""en"",""de"")"),"Sie halten an und steigen aus ihren Autos.")</f>
        <v>Sie halten an und steigen aus ihren Autos.</v>
      </c>
    </row>
    <row r="21723">
      <c r="A21723" s="4" t="s">
        <v>27355</v>
      </c>
      <c r="B21723" s="4" t="s">
        <v>27356</v>
      </c>
      <c r="C21723" s="5" t="str">
        <f>IFERROR(__xludf.DUMMYFUNCTION("GOOGLETRANSLATE(B21723,""en"",""de"")"),"Ein starker junger Mann steht in einem großen offenen grünen Feld und bereitet sich darauf vor, einen Schuss zu werfen.")</f>
        <v>Ein starker junger Mann steht in einem großen offenen grünen Feld und bereitet sich darauf vor, einen Schuss zu werfen.</v>
      </c>
    </row>
    <row r="21724">
      <c r="A21724" s="4" t="s">
        <v>27355</v>
      </c>
      <c r="B21724" s="4" t="s">
        <v>27357</v>
      </c>
      <c r="C21724" s="5" t="str">
        <f>IFERROR(__xludf.DUMMYFUNCTION("GOOGLETRANSLATE(B21724,""en"",""de"")"),"Sobald er den Ball wirft, rennt ein Mann die Distanz und er geht zum Zelt und nimmt das Band sein Handgelenk.")</f>
        <v>Sobald er den Ball wirft, rennt ein Mann die Distanz und er geht zum Zelt und nimmt das Band sein Handgelenk.</v>
      </c>
    </row>
    <row r="21725">
      <c r="A21725" s="4" t="s">
        <v>27355</v>
      </c>
      <c r="B21725" s="4" t="s">
        <v>27358</v>
      </c>
      <c r="C21725" s="5" t="str">
        <f>IFERROR(__xludf.DUMMYFUNCTION("GOOGLETRANSLATE(B21725,""en"",""de"")"),"Ein anderer Mann, der etwas kürzer ist und größer ist, nähert sich dem Kreis und tut dasselbe, gefolgt von einer anderen Person.")</f>
        <v>Ein anderer Mann, der etwas kürzer ist und größer ist, nähert sich dem Kreis und tut dasselbe, gefolgt von einer anderen Person.</v>
      </c>
    </row>
    <row r="21726">
      <c r="A21726" s="4" t="s">
        <v>27355</v>
      </c>
      <c r="B21726" s="4" t="s">
        <v>27359</v>
      </c>
      <c r="C21726" s="5" t="str">
        <f>IFERROR(__xludf.DUMMYFUNCTION("GOOGLETRANSLATE(B21726,""en"",""de"")"),"Alle drei Männer sind fertig und dort werden die Punktzahlen gezeigt.")</f>
        <v>Alle drei Männer sind fertig und dort werden die Punktzahlen gezeigt.</v>
      </c>
    </row>
    <row r="21727">
      <c r="A21727" s="4" t="s">
        <v>27360</v>
      </c>
      <c r="B21727" s="4" t="s">
        <v>27361</v>
      </c>
      <c r="C21727" s="5" t="str">
        <f>IFERROR(__xludf.DUMMYFUNCTION("GOOGLETRANSLATE(B21727,""en"",""de"")"),"Drei Männer diskutieren das Thema des Spielens von Wasserball mit Kajaks.")</f>
        <v>Drei Männer diskutieren das Thema des Spielens von Wasserball mit Kajaks.</v>
      </c>
    </row>
    <row r="21728">
      <c r="A21728" s="4" t="s">
        <v>27360</v>
      </c>
      <c r="B21728" s="4" t="s">
        <v>27362</v>
      </c>
      <c r="C21728" s="5" t="str">
        <f>IFERROR(__xludf.DUMMYFUNCTION("GOOGLETRANSLATE(B21728,""en"",""de"")"),"Die Szene ändert sich, um ein Wasserball mit Kajaks zu zeigen.")</f>
        <v>Die Szene ändert sich, um ein Wasserball mit Kajaks zu zeigen.</v>
      </c>
    </row>
    <row r="21729">
      <c r="A21729" s="4" t="s">
        <v>27360</v>
      </c>
      <c r="B21729" s="4" t="s">
        <v>27363</v>
      </c>
      <c r="C21729" s="5" t="str">
        <f>IFERROR(__xludf.DUMMYFUNCTION("GOOGLETRANSLATE(B21729,""en"",""de"")"),"Zwei Boote stürzen ab, als zwei Männer versuchen, sich zum Ball zu paddeln, die Männer kommentieren die Szene, sie sehen schwer verletzt aus.")</f>
        <v>Zwei Boote stürzen ab, als zwei Männer versuchen, sich zum Ball zu paddeln, die Männer kommentieren die Szene, sie sehen schwer verletzt aus.</v>
      </c>
    </row>
    <row r="21730">
      <c r="A21730" s="4" t="s">
        <v>27360</v>
      </c>
      <c r="B21730" s="4" t="s">
        <v>27364</v>
      </c>
      <c r="C21730" s="5" t="str">
        <f>IFERROR(__xludf.DUMMYFUNCTION("GOOGLETRANSLATE(B21730,""en"",""de"")"),"Das Display wechselt zurück zu den Männern, die über das Wasserball sprechen, sie sind sehr fasziniert und schockiert.")</f>
        <v>Das Display wechselt zurück zu den Männern, die über das Wasserball sprechen, sie sind sehr fasziniert und schockiert.</v>
      </c>
    </row>
    <row r="21731">
      <c r="A21731" s="4" t="s">
        <v>27360</v>
      </c>
      <c r="B21731" s="4" t="s">
        <v>27365</v>
      </c>
      <c r="C21731" s="5" t="str">
        <f>IFERROR(__xludf.DUMMYFUNCTION("GOOGLETRANSLATE(B21731,""en"",""de"")"),"Die Szene kehrt zum Wasserpolo -Unfall zurück, das Show -Banner schließt das Video.")</f>
        <v>Die Szene kehrt zum Wasserpolo -Unfall zurück, das Show -Banner schließt das Video.</v>
      </c>
    </row>
    <row r="21732">
      <c r="A21732" s="4" t="s">
        <v>27366</v>
      </c>
      <c r="B21732" s="4" t="s">
        <v>27367</v>
      </c>
      <c r="C21732" s="5" t="str">
        <f>IFERROR(__xludf.DUMMYFUNCTION("GOOGLETRANSLATE(B21732,""en"",""de"")"),"Eine Frau spielt Schlagzeug und singt auf der Bühne.")</f>
        <v>Eine Frau spielt Schlagzeug und singt auf der Bühne.</v>
      </c>
    </row>
    <row r="21733">
      <c r="A21733" s="4" t="s">
        <v>27366</v>
      </c>
      <c r="B21733" s="4" t="s">
        <v>27368</v>
      </c>
      <c r="C21733" s="5" t="str">
        <f>IFERROR(__xludf.DUMMYFUNCTION("GOOGLETRANSLATE(B21733,""en"",""de"")"),"Die Kamera zieht die Szene zurück.")</f>
        <v>Die Kamera zieht die Szene zurück.</v>
      </c>
    </row>
    <row r="21734">
      <c r="A21734" s="4" t="s">
        <v>27366</v>
      </c>
      <c r="B21734" s="4" t="s">
        <v>27369</v>
      </c>
      <c r="C21734" s="5" t="str">
        <f>IFERROR(__xludf.DUMMYFUNCTION("GOOGLETRANSLATE(B21734,""en"",""de"")"),"Die Frau endet und steht auf.")</f>
        <v>Die Frau endet und steht auf.</v>
      </c>
    </row>
    <row r="21735">
      <c r="A21735" s="4" t="s">
        <v>27370</v>
      </c>
      <c r="B21735" s="4" t="s">
        <v>27371</v>
      </c>
      <c r="C21735" s="5" t="str">
        <f>IFERROR(__xludf.DUMMYFUNCTION("GOOGLETRANSLATE(B21735,""en"",""de"")"),"Wir sehen einen grünen Titelbildschirm.")</f>
        <v>Wir sehen einen grünen Titelbildschirm.</v>
      </c>
    </row>
    <row r="21736">
      <c r="A21736" s="4" t="s">
        <v>27370</v>
      </c>
      <c r="B21736" s="4" t="s">
        <v>27372</v>
      </c>
      <c r="C21736" s="5" t="str">
        <f>IFERROR(__xludf.DUMMYFUNCTION("GOOGLETRANSLATE(B21736,""en"",""de"")"),"Eine Dame in einem Badezimmer spricht mit der Kamera.")</f>
        <v>Eine Dame in einem Badezimmer spricht mit der Kamera.</v>
      </c>
    </row>
    <row r="21737">
      <c r="A21737" s="4" t="s">
        <v>27370</v>
      </c>
      <c r="B21737" s="4" t="s">
        <v>27373</v>
      </c>
      <c r="C21737" s="5" t="str">
        <f>IFERROR(__xludf.DUMMYFUNCTION("GOOGLETRANSLATE(B21737,""en"",""de"")"),"Wir sehen, wie sie Backpulver und Essig auf ihrem Waschbecken abfließt und spricht und bewegt ihre Hände, während die Lösung schädigt.")</f>
        <v>Wir sehen, wie sie Backpulver und Essig auf ihrem Waschbecken abfließt und spricht und bewegt ihre Hände, während die Lösung schädigt.</v>
      </c>
    </row>
    <row r="21738">
      <c r="A21738" s="4" t="s">
        <v>27370</v>
      </c>
      <c r="B21738" s="4" t="s">
        <v>27374</v>
      </c>
      <c r="C21738" s="5" t="str">
        <f>IFERROR(__xludf.DUMMYFUNCTION("GOOGLETRANSLATE(B21738,""en"",""de"")"),"Die Dame dreht das Wasser ein, um die Lösung den Abfluss hinunterzuspülen.")</f>
        <v>Die Dame dreht das Wasser ein, um die Lösung den Abfluss hinunterzuspülen.</v>
      </c>
    </row>
    <row r="21739">
      <c r="A21739" s="4" t="s">
        <v>27375</v>
      </c>
      <c r="B21739" s="4" t="s">
        <v>27376</v>
      </c>
      <c r="C21739" s="5" t="str">
        <f>IFERROR(__xludf.DUMMYFUNCTION("GOOGLETRANSLATE(B21739,""en"",""de"")"),"Ein Werbespot für Fensterreinigung zeigt alle Materialien und Techniken, die ein Hausfenster reinigen müssen.")</f>
        <v>Ein Werbespot für Fensterreinigung zeigt alle Materialien und Techniken, die ein Hausfenster reinigen müssen.</v>
      </c>
    </row>
    <row r="21740">
      <c r="A21740" s="4" t="s">
        <v>27375</v>
      </c>
      <c r="B21740" s="4" t="s">
        <v>27377</v>
      </c>
      <c r="C21740" s="5" t="str">
        <f>IFERROR(__xludf.DUMMYFUNCTION("GOOGLETRANSLATE(B21740,""en"",""de"")"),"Der Werbespot beginnt mit einer Nahaufnahme eines zweistöckigen Hauses und dem Inneren des Hauses, einschließlich einer Reihe großer Fenster.")</f>
        <v>Der Werbespot beginnt mit einer Nahaufnahme eines zweistöckigen Hauses und dem Inneren des Hauses, einschließlich einer Reihe großer Fenster.</v>
      </c>
    </row>
    <row r="21741">
      <c r="A21741" s="4" t="s">
        <v>27375</v>
      </c>
      <c r="B21741" s="4" t="s">
        <v>27378</v>
      </c>
      <c r="C21741" s="5" t="str">
        <f>IFERROR(__xludf.DUMMYFUNCTION("GOOGLETRANSLATE(B21741,""en"",""de"")"),"Bilder einer Person, die ein Fenster, eine Seife, einen Eimer und einen Schwamm reinigt, werden zusammen mit einer Tafel mit Zutaten gezeigt, die zum Reinigen eines Fensters benötigt werden.")</f>
        <v>Bilder einer Person, die ein Fenster, eine Seife, einen Eimer und einen Schwamm reinigt, werden zusammen mit einer Tafel mit Zutaten gezeigt, die zum Reinigen eines Fensters benötigt werden.</v>
      </c>
    </row>
    <row r="21742">
      <c r="A21742" s="4" t="s">
        <v>27375</v>
      </c>
      <c r="B21742" s="4" t="s">
        <v>27379</v>
      </c>
      <c r="C21742" s="5" t="str">
        <f>IFERROR(__xludf.DUMMYFUNCTION("GOOGLETRANSLATE(B21742,""en"",""de"")"),"Eine Person reinigt ein Fenster mit allen Werkzeugen, einschließlich des Entfernens von Bildschirmen zum Reinigen und Entfernen von Aufklebern an Fenstern.")</f>
        <v>Eine Person reinigt ein Fenster mit allen Werkzeugen, einschließlich des Entfernens von Bildschirmen zum Reinigen und Entfernen von Aufklebern an Fenstern.</v>
      </c>
    </row>
    <row r="21743">
      <c r="A21743" s="4" t="s">
        <v>27380</v>
      </c>
      <c r="B21743" s="4" t="s">
        <v>27381</v>
      </c>
      <c r="C21743" s="5" t="str">
        <f>IFERROR(__xludf.DUMMYFUNCTION("GOOGLETRANSLATE(B21743,""en"",""de"")"),"Ein Mann redet, als er in einer Küche steht.")</f>
        <v>Ein Mann redet, als er in einer Küche steht.</v>
      </c>
    </row>
    <row r="21744">
      <c r="A21744" s="4" t="s">
        <v>27380</v>
      </c>
      <c r="B21744" s="4" t="s">
        <v>27382</v>
      </c>
      <c r="C21744" s="5" t="str">
        <f>IFERROR(__xludf.DUMMYFUNCTION("GOOGLETRANSLATE(B21744,""en"",""de"")"),"Der Mann kocht Milch und fügt frische Vanille hinzu und gießt die Lösung mit anderen Zutaten in eine Schüssel.")</f>
        <v>Der Mann kocht Milch und fügt frische Vanille hinzu und gießt die Lösung mit anderen Zutaten in eine Schüssel.</v>
      </c>
    </row>
    <row r="21745">
      <c r="A21745" s="4" t="s">
        <v>27380</v>
      </c>
      <c r="B21745" s="4" t="s">
        <v>27383</v>
      </c>
      <c r="C21745" s="5" t="str">
        <f>IFERROR(__xludf.DUMMYFUNCTION("GOOGLETRANSLATE(B21745,""en"",""de"")"),"Der Mann kocht den Pudding und gießt in eine Schüssel und friert ein, um Eis zu machen.")</f>
        <v>Der Mann kocht den Pudding und gießt in eine Schüssel und friert ein, um Eis zu machen.</v>
      </c>
    </row>
    <row r="21746">
      <c r="A21746" s="4" t="s">
        <v>27380</v>
      </c>
      <c r="B21746" s="4" t="s">
        <v>27384</v>
      </c>
      <c r="C21746" s="5" t="str">
        <f>IFERROR(__xludf.DUMMYFUNCTION("GOOGLETRANSLATE(B21746,""en"",""de"")"),"Der Mann schneidet und kocht Rubarb in Zucker auf dem Herd.")</f>
        <v>Der Mann schneidet und kocht Rubarb in Zucker auf dem Herd.</v>
      </c>
    </row>
    <row r="21747">
      <c r="A21747" s="4" t="s">
        <v>27380</v>
      </c>
      <c r="B21747" s="4" t="s">
        <v>27385</v>
      </c>
      <c r="C21747" s="5" t="str">
        <f>IFERROR(__xludf.DUMMYFUNCTION("GOOGLETRANSLATE(B21747,""en"",""de"")"),"Er isst das Eis über dem gekochten Rubarb.")</f>
        <v>Er isst das Eis über dem gekochten Rubarb.</v>
      </c>
    </row>
    <row r="21748">
      <c r="A21748" s="4" t="s">
        <v>27380</v>
      </c>
      <c r="B21748" s="4" t="s">
        <v>27386</v>
      </c>
      <c r="C21748" s="5" t="str">
        <f>IFERROR(__xludf.DUMMYFUNCTION("GOOGLETRANSLATE(B21748,""en"",""de"")"),"Wir sehen einen Schuss von London und verblassen.")</f>
        <v>Wir sehen einen Schuss von London und verblassen.</v>
      </c>
    </row>
    <row r="21749">
      <c r="A21749" s="4" t="s">
        <v>27387</v>
      </c>
      <c r="B21749" s="4" t="s">
        <v>27388</v>
      </c>
      <c r="C21749" s="5" t="str">
        <f>IFERROR(__xludf.DUMMYFUNCTION("GOOGLETRANSLATE(B21749,""en"",""de"")"),"Es werden mehrere Clips aus verschiedenen Menschen gezeigt, die miteinander fechten.")</f>
        <v>Es werden mehrere Clips aus verschiedenen Menschen gezeigt, die miteinander fechten.</v>
      </c>
    </row>
    <row r="21750">
      <c r="A21750" s="4" t="s">
        <v>27387</v>
      </c>
      <c r="B21750" s="4" t="s">
        <v>27389</v>
      </c>
      <c r="C21750" s="5" t="str">
        <f>IFERROR(__xludf.DUMMYFUNCTION("GOOGLETRANSLATE(B21750,""en"",""de"")"),"Die Leute bewegen sich weiterhin zurück und viertes, während die Kamera die Leute spielt.")</f>
        <v>Die Leute bewegen sich weiterhin zurück und viertes, während die Kamera die Leute spielt.</v>
      </c>
    </row>
    <row r="21751">
      <c r="A21751" s="4" t="s">
        <v>27390</v>
      </c>
      <c r="B21751" s="4" t="s">
        <v>27391</v>
      </c>
      <c r="C21751" s="5" t="str">
        <f>IFERROR(__xludf.DUMMYFUNCTION("GOOGLETRANSLATE(B21751,""en"",""de"")"),"Eine Person befindet sich im Krankorb auf einem Dach einer Scheune, während ein Mann auf dem Lastwagen steht und ein Seil hält.")</f>
        <v>Eine Person befindet sich im Krankorb auf einem Dach einer Scheune, während ein Mann auf dem Lastwagen steht und ein Seil hält.</v>
      </c>
    </row>
    <row r="21752">
      <c r="A21752" s="4" t="s">
        <v>27390</v>
      </c>
      <c r="B21752" s="4" t="s">
        <v>27392</v>
      </c>
      <c r="C21752" s="5" t="str">
        <f>IFERROR(__xludf.DUMMYFUNCTION("GOOGLETRANSLATE(B21752,""en"",""de"")"),"Rauch kommt in der Nähe eines Tisches.")</f>
        <v>Rauch kommt in der Nähe eines Tisches.</v>
      </c>
    </row>
    <row r="21753">
      <c r="A21753" s="4" t="s">
        <v>27390</v>
      </c>
      <c r="B21753" s="4" t="s">
        <v>27393</v>
      </c>
      <c r="C21753" s="5" t="str">
        <f>IFERROR(__xludf.DUMMYFUNCTION("GOOGLETRANSLATE(B21753,""en"",""de"")"),"Die Leute stehen vor der Scheune, auch zwei Frauen und zwei Kinder stehen vor der Scheune.")</f>
        <v>Die Leute stehen vor der Scheune, auch zwei Frauen und zwei Kinder stehen vor der Scheune.</v>
      </c>
    </row>
    <row r="21754">
      <c r="A21754" s="4" t="s">
        <v>27394</v>
      </c>
      <c r="B21754" s="4" t="s">
        <v>27395</v>
      </c>
      <c r="C21754" s="5" t="str">
        <f>IFERROR(__xludf.DUMMYFUNCTION("GOOGLETRANSLATE(B21754,""en"",""de"")"),"Verschiedene Schüsse werden von schneebedeckten Bergen gezeigt, die zwischen den Schüssen von Menschen wechseln, die Skifahren und Snowboarden den Berg hinunter wechseln.")</f>
        <v>Verschiedene Schüsse werden von schneebedeckten Bergen gezeigt, die zwischen den Schüssen von Menschen wechseln, die Skifahren und Snowboarden den Berg hinunter wechseln.</v>
      </c>
    </row>
    <row r="21755">
      <c r="A21755" s="4" t="s">
        <v>27394</v>
      </c>
      <c r="B21755" s="4" t="s">
        <v>27396</v>
      </c>
      <c r="C21755" s="5" t="str">
        <f>IFERROR(__xludf.DUMMYFUNCTION("GOOGLETRANSLATE(B21755,""en"",""de"")"),"Die Menschen werden gesehen, wie sie verschiedene Flips und Tricks den Berg hinunter durchführen, während die Kamera sie aus vielen Winkeln und dem Berg erfasst.")</f>
        <v>Die Menschen werden gesehen, wie sie verschiedene Flips und Tricks den Berg hinunter durchführen, während die Kamera sie aus vielen Winkeln und dem Berg erfasst.</v>
      </c>
    </row>
    <row r="21756">
      <c r="A21756" s="4" t="s">
        <v>27397</v>
      </c>
      <c r="B21756" s="4" t="s">
        <v>27398</v>
      </c>
      <c r="C21756" s="5" t="str">
        <f>IFERROR(__xludf.DUMMYFUNCTION("GOOGLETRANSLATE(B21756,""en"",""de"")"),"Wir betreten einen Raum und sehen einen Jungen, der ein Hemd auf ein Bügelbrett legt.")</f>
        <v>Wir betreten einen Raum und sehen einen Jungen, der ein Hemd auf ein Bügelbrett legt.</v>
      </c>
    </row>
    <row r="21757">
      <c r="A21757" s="4" t="s">
        <v>27397</v>
      </c>
      <c r="B21757" s="4" t="s">
        <v>27399</v>
      </c>
      <c r="C21757" s="5" t="str">
        <f>IFERROR(__xludf.DUMMYFUNCTION("GOOGLETRANSLATE(B21757,""en"",""de"")"),"Der Junge fängt an, das Tanktop mit einem Unplugged -Bügeleisen zu bügeln.")</f>
        <v>Der Junge fängt an, das Tanktop mit einem Unplugged -Bügeleisen zu bügeln.</v>
      </c>
    </row>
    <row r="21758">
      <c r="A21758" s="4" t="s">
        <v>27397</v>
      </c>
      <c r="B21758" s="4" t="s">
        <v>27400</v>
      </c>
      <c r="C21758" s="5" t="str">
        <f>IFERROR(__xludf.DUMMYFUNCTION("GOOGLETRANSLATE(B21758,""en"",""de"")"),"Der kleine Junge feiern ein graues Hemd und sitzt das Eisen auf dem Brett daneben.")</f>
        <v>Der kleine Junge feiern ein graues Hemd und sitzt das Eisen auf dem Brett daneben.</v>
      </c>
    </row>
    <row r="21759">
      <c r="A21759" s="4" t="s">
        <v>27397</v>
      </c>
      <c r="B21759" s="4" t="s">
        <v>27401</v>
      </c>
      <c r="C21759" s="5" t="str">
        <f>IFERROR(__xludf.DUMMYFUNCTION("GOOGLETRANSLATE(B21759,""en"",""de"")"),"Der kleine Junge geht lächelnd weg.")</f>
        <v>Der kleine Junge geht lächelnd weg.</v>
      </c>
    </row>
    <row r="21760">
      <c r="A21760" s="4" t="s">
        <v>27397</v>
      </c>
      <c r="B21760" s="4" t="s">
        <v>27402</v>
      </c>
      <c r="C21760" s="5" t="str">
        <f>IFERROR(__xludf.DUMMYFUNCTION("GOOGLETRANSLATE(B21760,""en"",""de"")"),"Der Junge zeigt zwei Finger und geht mit dem Eisen durch den Raum.")</f>
        <v>Der Junge zeigt zwei Finger und geht mit dem Eisen durch den Raum.</v>
      </c>
    </row>
    <row r="21761">
      <c r="A21761" s="4" t="s">
        <v>27403</v>
      </c>
      <c r="B21761" s="4" t="s">
        <v>27404</v>
      </c>
      <c r="C21761" s="5" t="str">
        <f>IFERROR(__xludf.DUMMYFUNCTION("GOOGLETRANSLATE(B21761,""en"",""de"")"),"Ein Mann in einer Jacke spricht vor dem Haus, während Männer auf dem Dach stehen.")</f>
        <v>Ein Mann in einer Jacke spricht vor dem Haus, während Männer auf dem Dach stehen.</v>
      </c>
    </row>
    <row r="21762">
      <c r="A21762" s="4" t="s">
        <v>27403</v>
      </c>
      <c r="B21762" s="4" t="s">
        <v>27405</v>
      </c>
      <c r="C21762" s="5" t="str">
        <f>IFERROR(__xludf.DUMMYFUNCTION("GOOGLETRANSLATE(B21762,""en"",""de"")"),"Ein Mann wirft Schindeln vom Dach im Hintergrund.")</f>
        <v>Ein Mann wirft Schindeln vom Dach im Hintergrund.</v>
      </c>
    </row>
    <row r="21763">
      <c r="A21763" s="4" t="s">
        <v>27403</v>
      </c>
      <c r="B21763" s="4" t="s">
        <v>27406</v>
      </c>
      <c r="C21763" s="5" t="str">
        <f>IFERROR(__xludf.DUMMYFUNCTION("GOOGLETRANSLATE(B21763,""en"",""de"")"),"Die Männer werfen die Schindeln weiter vom Dach.")</f>
        <v>Die Männer werfen die Schindeln weiter vom Dach.</v>
      </c>
    </row>
    <row r="21764">
      <c r="A21764" s="4" t="s">
        <v>27403</v>
      </c>
      <c r="B21764" s="4" t="s">
        <v>27407</v>
      </c>
      <c r="C21764" s="5" t="str">
        <f>IFERROR(__xludf.DUMMYFUNCTION("GOOGLETRANSLATE(B21764,""en"",""de"")"),"Der Mann, der die Kamera hält, dreht sich und steigt die Leiter und steht auf dem Dach.")</f>
        <v>Der Mann, der die Kamera hält, dreht sich und steigt die Leiter und steht auf dem Dach.</v>
      </c>
    </row>
    <row r="21765">
      <c r="A21765" s="4" t="s">
        <v>27403</v>
      </c>
      <c r="B21765" s="4" t="s">
        <v>27408</v>
      </c>
      <c r="C21765" s="5" t="str">
        <f>IFERROR(__xludf.DUMMYFUNCTION("GOOGLETRANSLATE(B21765,""en"",""de"")"),"Der Mann dreht die Kamera auf sich selbst und redet weiter.")</f>
        <v>Der Mann dreht die Kamera auf sich selbst und redet weiter.</v>
      </c>
    </row>
    <row r="21766">
      <c r="A21766" s="4" t="s">
        <v>27409</v>
      </c>
      <c r="B21766" s="4" t="s">
        <v>27410</v>
      </c>
      <c r="C21766" s="5" t="str">
        <f>IFERROR(__xludf.DUMMYFUNCTION("GOOGLETRANSLATE(B21766,""en"",""de"")"),"Eine Gruppe von Freunden sitzt auf Schlitten oben auf dem Hügel.")</f>
        <v>Eine Gruppe von Freunden sitzt auf Schlitten oben auf dem Hügel.</v>
      </c>
    </row>
    <row r="21767">
      <c r="A21767" s="4" t="s">
        <v>27409</v>
      </c>
      <c r="B21767" s="4" t="s">
        <v>27411</v>
      </c>
      <c r="C21767" s="5" t="str">
        <f>IFERROR(__xludf.DUMMYFUNCTION("GOOGLETRANSLATE(B21767,""en"",""de"")"),"Die beiden Freunde werden den Hügel hinuntergeschoben und rutschen nach unten.")</f>
        <v>Die beiden Freunde werden den Hügel hinuntergeschoben und rutschen nach unten.</v>
      </c>
    </row>
    <row r="21768">
      <c r="A21768" s="4" t="s">
        <v>27409</v>
      </c>
      <c r="B21768" s="4" t="s">
        <v>27412</v>
      </c>
      <c r="C21768" s="5" t="str">
        <f>IFERROR(__xludf.DUMMYFUNCTION("GOOGLETRANSLATE(B21768,""en"",""de"")"),"Die beiden Freunde werden von Gummimatten am Fuße des Hügels gestoppt.")</f>
        <v>Die beiden Freunde werden von Gummimatten am Fuße des Hügels gestoppt.</v>
      </c>
    </row>
    <row r="21769">
      <c r="A21769" s="4" t="s">
        <v>27413</v>
      </c>
      <c r="B21769" s="4" t="s">
        <v>27414</v>
      </c>
      <c r="C21769" s="5" t="str">
        <f>IFERROR(__xludf.DUMMYFUNCTION("GOOGLETRANSLATE(B21769,""en"",""de"")"),"Ein Aurora Borealis ist über einer nördlichen Landschaft zu sehen.")</f>
        <v>Ein Aurora Borealis ist über einer nördlichen Landschaft zu sehen.</v>
      </c>
    </row>
    <row r="21770">
      <c r="A21770" s="4" t="s">
        <v>27413</v>
      </c>
      <c r="B21770" s="4" t="s">
        <v>27415</v>
      </c>
      <c r="C21770" s="5" t="str">
        <f>IFERROR(__xludf.DUMMYFUNCTION("GOOGLETRANSLATE(B21770,""en"",""de"")"),"Ein Mann schaufelt Schnee aus seiner Veranda mit einer Schneeschaufel.")</f>
        <v>Ein Mann schaufelt Schnee aus seiner Veranda mit einer Schneeschaufel.</v>
      </c>
    </row>
    <row r="21771">
      <c r="A21771" s="4" t="s">
        <v>27413</v>
      </c>
      <c r="B21771" s="4" t="s">
        <v>27416</v>
      </c>
      <c r="C21771" s="5" t="str">
        <f>IFERROR(__xludf.DUMMYFUNCTION("GOOGLETRANSLATE(B21771,""en"",""de"")"),"Der Mann schaufelt Schnee aus einer Treppe mit einer Schneeschaufel.")</f>
        <v>Der Mann schaufelt Schnee aus einer Treppe mit einer Schneeschaufel.</v>
      </c>
    </row>
    <row r="21772">
      <c r="A21772" s="4" t="s">
        <v>27413</v>
      </c>
      <c r="B21772" s="4" t="s">
        <v>27417</v>
      </c>
      <c r="C21772" s="5" t="str">
        <f>IFERROR(__xludf.DUMMYFUNCTION("GOOGLETRANSLATE(B21772,""en"",""de"")"),"Der Mann beendet den Job und zeigt seine Muskeln.")</f>
        <v>Der Mann beendet den Job und zeigt seine Muskeln.</v>
      </c>
    </row>
    <row r="21773">
      <c r="A21773" s="4" t="s">
        <v>27418</v>
      </c>
      <c r="B21773" s="4" t="s">
        <v>27419</v>
      </c>
      <c r="C21773" s="5" t="str">
        <f>IFERROR(__xludf.DUMMYFUNCTION("GOOGLETRANSLATE(B21773,""en"",""de"")"),"Ein kleines Mädchen überquert die Affenbars.")</f>
        <v>Ein kleines Mädchen überquert die Affenbars.</v>
      </c>
    </row>
    <row r="21774">
      <c r="A21774" s="4" t="s">
        <v>27418</v>
      </c>
      <c r="B21774" s="4" t="s">
        <v>27420</v>
      </c>
      <c r="C21774" s="5" t="str">
        <f>IFERROR(__xludf.DUMMYFUNCTION("GOOGLETRANSLATE(B21774,""en"",""de"")"),"Eine Frau hilft ihr, unter ihr zu stehen.")</f>
        <v>Eine Frau hilft ihr, unter ihr zu stehen.</v>
      </c>
    </row>
    <row r="21775">
      <c r="A21775" s="4" t="s">
        <v>27418</v>
      </c>
      <c r="B21775" s="4" t="s">
        <v>27421</v>
      </c>
      <c r="C21775" s="5" t="str">
        <f>IFERROR(__xludf.DUMMYFUNCTION("GOOGLETRANSLATE(B21775,""en"",""de"")"),"Das Mädchen fällt und die Frau erwischt sie.")</f>
        <v>Das Mädchen fällt und die Frau erwischt sie.</v>
      </c>
    </row>
    <row r="21776">
      <c r="A21776" s="4" t="s">
        <v>27422</v>
      </c>
      <c r="B21776" s="4" t="s">
        <v>27423</v>
      </c>
      <c r="C21776" s="5" t="str">
        <f>IFERROR(__xludf.DUMMYFUNCTION("GOOGLETRANSLATE(B21776,""en"",""de"")"),"Ein Athlet steht im Kreis und dreht sich um und herum.")</f>
        <v>Ein Athlet steht im Kreis und dreht sich um und herum.</v>
      </c>
    </row>
    <row r="21777">
      <c r="A21777" s="4" t="s">
        <v>27422</v>
      </c>
      <c r="B21777" s="4" t="s">
        <v>27424</v>
      </c>
      <c r="C21777" s="5" t="str">
        <f>IFERROR(__xludf.DUMMYFUNCTION("GOOGLETRANSLATE(B21777,""en"",""de"")"),"Sie wirft ein Objekt in die Ferne aus und wird in Zeitlupe wieder angezeigt.")</f>
        <v>Sie wirft ein Objekt in die Ferne aus und wird in Zeitlupe wieder angezeigt.</v>
      </c>
    </row>
    <row r="21778">
      <c r="A21778" s="4" t="s">
        <v>27422</v>
      </c>
      <c r="B21778" s="4" t="s">
        <v>27425</v>
      </c>
      <c r="C21778" s="5" t="str">
        <f>IFERROR(__xludf.DUMMYFUNCTION("GOOGLETRANSLATE(B21778,""en"",""de"")"),"Sie geht zurück, während sie jubelt und andere eine Flagge hochhalten.")</f>
        <v>Sie geht zurück, während sie jubelt und andere eine Flagge hochhalten.</v>
      </c>
    </row>
    <row r="21779">
      <c r="A21779" s="4" t="s">
        <v>27426</v>
      </c>
      <c r="B21779" s="4" t="s">
        <v>27427</v>
      </c>
      <c r="C21779" s="5" t="str">
        <f>IFERROR(__xludf.DUMMYFUNCTION("GOOGLETRANSLATE(B21779,""en"",""de"")"),"Zwei weiße Stifte sind in der Wand mit einem rotem Bett an der Seite und jemand, der es mit einem großen Holzblock schlägt.")</f>
        <v>Zwei weiße Stifte sind in der Wand mit einem rotem Bett an der Seite und jemand, der es mit einem großen Holzblock schlägt.</v>
      </c>
    </row>
    <row r="21780">
      <c r="A21780" s="4" t="s">
        <v>27426</v>
      </c>
      <c r="B21780" s="4" t="s">
        <v>27428</v>
      </c>
      <c r="C21780" s="5" t="str">
        <f>IFERROR(__xludf.DUMMYFUNCTION("GOOGLETRANSLATE(B21780,""en"",""de"")"),"Ein weiterer Winkel wird gezeigt und die Person macht 21 Schüsse an die Kugeln.")</f>
        <v>Ein weiterer Winkel wird gezeigt und die Person macht 21 Schüsse an die Kugeln.</v>
      </c>
    </row>
    <row r="21781">
      <c r="A21781" s="4" t="s">
        <v>27426</v>
      </c>
      <c r="B21781" s="4" t="s">
        <v>27429</v>
      </c>
      <c r="C21781" s="5" t="str">
        <f>IFERROR(__xludf.DUMMYFUNCTION("GOOGLETRANSLATE(B21781,""en"",""de"")"),"Für den 22. Schuss steht ein Mann in einem großen Feld weißer Stifte und beginnt alle drei Kugeln gleichzeitig in verschiedene Richtungen zu schlagen.")</f>
        <v>Für den 22. Schuss steht ein Mann in einem großen Feld weißer Stifte und beginnt alle drei Kugeln gleichzeitig in verschiedene Richtungen zu schlagen.</v>
      </c>
    </row>
    <row r="21782">
      <c r="A21782" s="4" t="s">
        <v>27430</v>
      </c>
      <c r="B21782" s="4" t="s">
        <v>27431</v>
      </c>
      <c r="C21782" s="5" t="str">
        <f>IFERROR(__xludf.DUMMYFUNCTION("GOOGLETRANSLATE(B21782,""en"",""de"")"),"Eine Frau reinigt den Teppich und den Boden mit einem Vakuum, nachdem das Vakuum Schmutz vom Teppich aufnimmt.")</f>
        <v>Eine Frau reinigt den Teppich und den Boden mit einem Vakuum, nachdem das Vakuum Schmutz vom Teppich aufnimmt.</v>
      </c>
    </row>
    <row r="21783">
      <c r="A21783" s="4" t="s">
        <v>27430</v>
      </c>
      <c r="B21783" s="4" t="s">
        <v>27432</v>
      </c>
      <c r="C21783" s="5" t="str">
        <f>IFERROR(__xludf.DUMMYFUNCTION("GOOGLETRANSLATE(B21783,""en"",""de"")"),"Dann nimmt die Frau den Kanister des Vakuums heraus und reinigt weiterhin den Boden, die Wand, das Sofa und den Boden.")</f>
        <v>Dann nimmt die Frau den Kanister des Vakuums heraus und reinigt weiterhin den Boden, die Wand, das Sofa und den Boden.</v>
      </c>
    </row>
    <row r="21784">
      <c r="A21784" s="4" t="s">
        <v>27430</v>
      </c>
      <c r="B21784" s="4" t="s">
        <v>27433</v>
      </c>
      <c r="C21784" s="5" t="str">
        <f>IFERROR(__xludf.DUMMYFUNCTION("GOOGLETRANSLATE(B21784,""en"",""de"")"),"Danach reinigt die Frau die Bildrahmen und hebt Haare aus einem Kissen auf.")</f>
        <v>Danach reinigt die Frau die Bildrahmen und hebt Haare aus einem Kissen auf.</v>
      </c>
    </row>
    <row r="21785">
      <c r="A21785" s="4" t="s">
        <v>27430</v>
      </c>
      <c r="B21785" s="4" t="s">
        <v>27434</v>
      </c>
      <c r="C21785" s="5" t="str">
        <f>IFERROR(__xludf.DUMMYFUNCTION("GOOGLETRANSLATE(B21785,""en"",""de"")"),"Als nächstes wirkt die Frau den Draht des Kanisters zurück und lässt den Müll in die Mülldose fallen.")</f>
        <v>Als nächstes wirkt die Frau den Draht des Kanisters zurück und lässt den Müll in die Mülldose fallen.</v>
      </c>
    </row>
    <row r="21786">
      <c r="A21786" s="4" t="s">
        <v>27435</v>
      </c>
      <c r="B21786" s="4" t="s">
        <v>27436</v>
      </c>
      <c r="C21786" s="5" t="str">
        <f>IFERROR(__xludf.DUMMYFUNCTION("GOOGLETRANSLATE(B21786,""en"",""de"")"),"Ein Mann sitzt an mehreren Tischen und schälen Kartoffeln, während sich die Kamera schnell umsieht.")</f>
        <v>Ein Mann sitzt an mehreren Tischen und schälen Kartoffeln, während sich die Kamera schnell umsieht.</v>
      </c>
    </row>
    <row r="21787">
      <c r="A21787" s="4" t="s">
        <v>27435</v>
      </c>
      <c r="B21787" s="4" t="s">
        <v>27437</v>
      </c>
      <c r="C21787" s="5" t="str">
        <f>IFERROR(__xludf.DUMMYFUNCTION("GOOGLETRANSLATE(B21787,""en"",""de"")"),"Eine andere Person schält Kartoffeln und der Mann geht zurück zum Tisch, um sich weiter zu schälen.")</f>
        <v>Eine andere Person schält Kartoffeln und der Mann geht zurück zum Tisch, um sich weiter zu schälen.</v>
      </c>
    </row>
    <row r="21788">
      <c r="A21788" s="4" t="s">
        <v>27438</v>
      </c>
      <c r="B21788" s="4" t="s">
        <v>27439</v>
      </c>
      <c r="C21788" s="5" t="str">
        <f>IFERROR(__xludf.DUMMYFUNCTION("GOOGLETRANSLATE(B21788,""en"",""de"")"),"Zwei Männer filmen sich in einem Arm -Wrestling -Match, von dem jemand sie zu machen bat.")</f>
        <v>Zwei Männer filmen sich in einem Arm -Wrestling -Match, von dem jemand sie zu machen bat.</v>
      </c>
    </row>
    <row r="21789">
      <c r="A21789" s="4" t="s">
        <v>27438</v>
      </c>
      <c r="B21789" s="4" t="s">
        <v>27440</v>
      </c>
      <c r="C21789" s="5" t="str">
        <f>IFERROR(__xludf.DUMMYFUNCTION("GOOGLETRANSLATE(B21789,""en"",""de"")"),"Zwei Männer sitzen in einem Raum nebeneinander, während ein Mann einen Laptop vorliest, und sie greifen beide die Hand, um zu bewegt, was passieren wird.")</f>
        <v>Zwei Männer sitzen in einem Raum nebeneinander, während ein Mann einen Laptop vorliest, und sie greifen beide die Hand, um zu bewegt, was passieren wird.</v>
      </c>
    </row>
    <row r="21790">
      <c r="A21790" s="4" t="s">
        <v>27438</v>
      </c>
      <c r="B21790" s="4" t="s">
        <v>27441</v>
      </c>
      <c r="C21790" s="5" t="str">
        <f>IFERROR(__xludf.DUMMYFUNCTION("GOOGLETRANSLATE(B21790,""en"",""de"")"),"Ein Mann stellt die Kamera auf, um das Match zu filmen.")</f>
        <v>Ein Mann stellt die Kamera auf, um das Match zu filmen.</v>
      </c>
    </row>
    <row r="21791">
      <c r="A21791" s="4" t="s">
        <v>27438</v>
      </c>
      <c r="B21791" s="4" t="s">
        <v>27442</v>
      </c>
      <c r="C21791" s="5" t="str">
        <f>IFERROR(__xludf.DUMMYFUNCTION("GOOGLETRANSLATE(B21791,""en"",""de"")"),"Die Männer bereiten sich an der Ecke eines Tisches vor, schnappen sich die Hände und Countdown von drei.")</f>
        <v>Die Männer bereiten sich an der Ecke eines Tisches vor, schnappen sich die Hände und Countdown von drei.</v>
      </c>
    </row>
    <row r="21792">
      <c r="A21792" s="4" t="s">
        <v>27438</v>
      </c>
      <c r="B21792" s="4" t="s">
        <v>27443</v>
      </c>
      <c r="C21792" s="5" t="str">
        <f>IFERROR(__xludf.DUMMYFUNCTION("GOOGLETRANSLATE(B21792,""en"",""de"")"),"Die beiden Männer Arm ringen als Witze und lachen dabei.")</f>
        <v>Die beiden Männer Arm ringen als Witze und lachen dabei.</v>
      </c>
    </row>
    <row r="21793">
      <c r="A21793" s="4" t="s">
        <v>27438</v>
      </c>
      <c r="B21793" s="4" t="s">
        <v>27444</v>
      </c>
      <c r="C21793" s="5" t="str">
        <f>IFERROR(__xludf.DUMMYFUNCTION("GOOGLETRANSLATE(B21793,""en"",""de"")"),"Ein Mann gibt auf und beide Männer reden und lachen über das Match.")</f>
        <v>Ein Mann gibt auf und beide Männer reden und lachen über das Match.</v>
      </c>
    </row>
    <row r="21794">
      <c r="A21794" s="4" t="s">
        <v>27438</v>
      </c>
      <c r="B21794" s="4" t="s">
        <v>27445</v>
      </c>
      <c r="C21794" s="5" t="str">
        <f>IFERROR(__xludf.DUMMYFUNCTION("GOOGLETRANSLATE(B21794,""en"",""de"")"),"Ein Mann grunzt und wirft seine Hände im Sieg hoch.")</f>
        <v>Ein Mann grunzt und wirft seine Hände im Sieg hoch.</v>
      </c>
    </row>
    <row r="21795">
      <c r="A21795" s="4" t="s">
        <v>27446</v>
      </c>
      <c r="B21795" s="4" t="s">
        <v>27447</v>
      </c>
      <c r="C21795" s="5" t="str">
        <f>IFERROR(__xludf.DUMMYFUNCTION("GOOGLETRANSLATE(B21795,""en"",""de"")"),"Ein junges Mädchen bewegt sich schnell um ein Pferd, das seine Seiten bürstet.")</f>
        <v>Ein junges Mädchen bewegt sich schnell um ein Pferd, das seine Seiten bürstet.</v>
      </c>
    </row>
    <row r="21796">
      <c r="A21796" s="4" t="s">
        <v>27446</v>
      </c>
      <c r="B21796" s="4" t="s">
        <v>27448</v>
      </c>
      <c r="C21796" s="5" t="str">
        <f>IFERROR(__xludf.DUMMYFUNCTION("GOOGLETRANSLATE(B21796,""en"",""de"")"),"Sie bürstet das ganze Pferd, während ein anderes Pferd in und aus dem Rahmen geht.")</f>
        <v>Sie bürstet das ganze Pferd, während ein anderes Pferd in und aus dem Rahmen geht.</v>
      </c>
    </row>
    <row r="21797">
      <c r="A21797" s="4" t="s">
        <v>27446</v>
      </c>
      <c r="B21797" s="4" t="s">
        <v>27449</v>
      </c>
      <c r="C21797" s="5" t="str">
        <f>IFERROR(__xludf.DUMMYFUNCTION("GOOGLETRANSLATE(B21797,""en"",""de"")"),"Sie streift das Pferd weiter, während die Kamera ihre Bewegungen einfängt.")</f>
        <v>Sie streift das Pferd weiter, während die Kamera ihre Bewegungen einfängt.</v>
      </c>
    </row>
    <row r="21798">
      <c r="A21798" s="4" t="s">
        <v>27450</v>
      </c>
      <c r="B21798" s="4" t="s">
        <v>27451</v>
      </c>
      <c r="C21798" s="5" t="str">
        <f>IFERROR(__xludf.DUMMYFUNCTION("GOOGLETRANSLATE(B21798,""en"",""de"")"),"Frauen stehen in einem Holzplatz in einem überdachten Fitnessstudio, der Voleyball spielt, während die Öffentlichkeit in Teraces das Spiel beobachtet.")</f>
        <v>Frauen stehen in einem Holzplatz in einem überdachten Fitnessstudio, der Voleyball spielt, während die Öffentlichkeit in Teraces das Spiel beobachtet.</v>
      </c>
    </row>
    <row r="21799">
      <c r="A21799" s="4" t="s">
        <v>27450</v>
      </c>
      <c r="B21799" s="4" t="s">
        <v>27452</v>
      </c>
      <c r="C21799" s="5" t="str">
        <f>IFERROR(__xludf.DUMMYFUNCTION("GOOGLETRANSLATE(B21799,""en"",""de"")"),"Der Ball trifft eine Frau für das rote Team und die Leute rennen zu ihr.")</f>
        <v>Der Ball trifft eine Frau für das rote Team und die Leute rennen zu ihr.</v>
      </c>
    </row>
    <row r="21800">
      <c r="A21800" s="4" t="s">
        <v>27453</v>
      </c>
      <c r="B21800" s="4" t="s">
        <v>4683</v>
      </c>
      <c r="C21800" s="5" t="str">
        <f>IFERROR(__xludf.DUMMYFUNCTION("GOOGLETRANSLATE(B21800,""en"",""de"")"),"Die Menschen stehen in einem Schwimmbad.")</f>
        <v>Die Menschen stehen in einem Schwimmbad.</v>
      </c>
    </row>
    <row r="21801">
      <c r="A21801" s="4" t="s">
        <v>27453</v>
      </c>
      <c r="B21801" s="4" t="s">
        <v>27454</v>
      </c>
      <c r="C21801" s="5" t="str">
        <f>IFERROR(__xludf.DUMMYFUNCTION("GOOGLETRANSLATE(B21801,""en"",""de"")"),"Sie spielen ein Spiel Wasserball.")</f>
        <v>Sie spielen ein Spiel Wasserball.</v>
      </c>
    </row>
    <row r="21802">
      <c r="A21802" s="4" t="s">
        <v>27453</v>
      </c>
      <c r="B21802" s="4" t="s">
        <v>27455</v>
      </c>
      <c r="C21802" s="5" t="str">
        <f>IFERROR(__xludf.DUMMYFUNCTION("GOOGLETRANSLATE(B21802,""en"",""de"")"),"Eine Frau wirft den Ball ins Netz und er wird vom Torwart erwischt.")</f>
        <v>Eine Frau wirft den Ball ins Netz und er wird vom Torwart erwischt.</v>
      </c>
    </row>
    <row r="21803">
      <c r="A21803" s="4" t="s">
        <v>27456</v>
      </c>
      <c r="B21803" s="4" t="s">
        <v>27457</v>
      </c>
      <c r="C21803" s="5" t="str">
        <f>IFERROR(__xludf.DUMMYFUNCTION("GOOGLETRANSLATE(B21803,""en"",""de"")"),"Ein Mann ist draußen im Guten mit einer Axt, die versucht, einen Baum zu fällen.")</f>
        <v>Ein Mann ist draußen im Guten mit einer Axt, die versucht, einen Baum zu fällen.</v>
      </c>
    </row>
    <row r="21804">
      <c r="A21804" s="4" t="s">
        <v>27456</v>
      </c>
      <c r="B21804" s="4" t="s">
        <v>27458</v>
      </c>
      <c r="C21804" s="5" t="str">
        <f>IFERROR(__xludf.DUMMYFUNCTION("GOOGLETRANSLATE(B21804,""en"",""de"")"),"Schließlich kommt der Baum herunter und der Mann beginnt mit der Axt auf den Baum zu schlagen.")</f>
        <v>Schließlich kommt der Baum herunter und der Mann beginnt mit der Axt auf den Baum zu schlagen.</v>
      </c>
    </row>
    <row r="21805">
      <c r="A21805" s="4" t="s">
        <v>27459</v>
      </c>
      <c r="B21805" s="4" t="s">
        <v>27460</v>
      </c>
      <c r="C21805" s="5" t="str">
        <f>IFERROR(__xludf.DUMMYFUNCTION("GOOGLETRANSLATE(B21805,""en"",""de"")"),"BMX Biker geht eine Strecke hinunter und übt alleine auf seiner Spur.")</f>
        <v>BMX Biker geht eine Strecke hinunter und übt alleine auf seiner Spur.</v>
      </c>
    </row>
    <row r="21806">
      <c r="A21806" s="4" t="s">
        <v>27459</v>
      </c>
      <c r="B21806" s="4" t="s">
        <v>27461</v>
      </c>
      <c r="C21806" s="5" t="str">
        <f>IFERROR(__xludf.DUMMYFUNCTION("GOOGLETRANSLATE(B21806,""en"",""de"")"),"Dann gibt es auch einen anderen Biker, sie rennen wahrscheinlich, sie gehen sehr schnell die Strecke hinunter und schlagen hohe Beulen, die sie hoch in die Luft gehen lassen.")</f>
        <v>Dann gibt es auch einen anderen Biker, sie rennen wahrscheinlich, sie gehen sehr schnell die Strecke hinunter und schlagen hohe Beulen, die sie hoch in die Luft gehen lassen.</v>
      </c>
    </row>
    <row r="21807">
      <c r="A21807" s="4" t="s">
        <v>27459</v>
      </c>
      <c r="B21807" s="4" t="s">
        <v>27462</v>
      </c>
      <c r="C21807" s="5" t="str">
        <f>IFERROR(__xludf.DUMMYFUNCTION("GOOGLETRANSLATE(B21807,""en"",""de"")"),"Die Strecke öffnet sich wieder und sie beginnen ein weiteres Rennen.")</f>
        <v>Die Strecke öffnet sich wieder und sie beginnen ein weiteres Rennen.</v>
      </c>
    </row>
    <row r="21808">
      <c r="A21808" s="4" t="s">
        <v>27459</v>
      </c>
      <c r="B21808" s="4" t="s">
        <v>27463</v>
      </c>
      <c r="C21808" s="5" t="str">
        <f>IFERROR(__xludf.DUMMYFUNCTION("GOOGLETRANSLATE(B21808,""en"",""de"")"),"Zwei Biker tanzen herum, bevor sie wieder auf ihre Fahrräder steigen, um für ein weiteres kleines Rennen wieder auf die Strecke zu kommen.")</f>
        <v>Zwei Biker tanzen herum, bevor sie wieder auf ihre Fahrräder steigen, um für ein weiteres kleines Rennen wieder auf die Strecke zu kommen.</v>
      </c>
    </row>
    <row r="21809">
      <c r="A21809" s="4" t="s">
        <v>27464</v>
      </c>
      <c r="B21809" s="4" t="s">
        <v>27465</v>
      </c>
      <c r="C21809" s="5" t="str">
        <f>IFERROR(__xludf.DUMMYFUNCTION("GOOGLETRANSLATE(B21809,""en"",""de"")"),"Ein Mann befindet sich unter einem Wohnmobil und versucht, das Rad zu reparieren, während ein Mann außen hilft.")</f>
        <v>Ein Mann befindet sich unter einem Wohnmobil und versucht, das Rad zu reparieren, während ein Mann außen hilft.</v>
      </c>
    </row>
    <row r="21810">
      <c r="A21810" s="4" t="s">
        <v>27464</v>
      </c>
      <c r="B21810" s="4" t="s">
        <v>27466</v>
      </c>
      <c r="C21810" s="5" t="str">
        <f>IFERROR(__xludf.DUMMYFUNCTION("GOOGLETRANSLATE(B21810,""en"",""de"")"),"Das Rad wird dann abgenommen und die andere Gruppe von Menschen dreht sich um, um das Problem zu finden.")</f>
        <v>Das Rad wird dann abgenommen und die andere Gruppe von Menschen dreht sich um, um das Problem zu finden.</v>
      </c>
    </row>
    <row r="21811">
      <c r="A21811" s="4" t="s">
        <v>27464</v>
      </c>
      <c r="B21811" s="4" t="s">
        <v>27467</v>
      </c>
      <c r="C21811" s="5" t="str">
        <f>IFERROR(__xludf.DUMMYFUNCTION("GOOGLETRANSLATE(B21811,""en"",""de"")"),"Während sie sprechen, bleibt der Mann unter dem Wohnmobil und beginnt zu lächeln, als er das Rig hält.")</f>
        <v>Während sie sprechen, bleibt der Mann unter dem Wohnmobil und beginnt zu lächeln, als er das Rig hält.</v>
      </c>
    </row>
    <row r="21812">
      <c r="A21812" s="4" t="s">
        <v>27468</v>
      </c>
      <c r="B21812" s="4" t="s">
        <v>27469</v>
      </c>
      <c r="C21812" s="5" t="str">
        <f>IFERROR(__xludf.DUMMYFUNCTION("GOOGLETRANSLATE(B21812,""en"",""de"")"),"Ein Mann serviert einen Ball, um mit einem Partner Kürbis zu spielen.")</f>
        <v>Ein Mann serviert einen Ball, um mit einem Partner Kürbis zu spielen.</v>
      </c>
    </row>
    <row r="21813">
      <c r="A21813" s="4" t="s">
        <v>27468</v>
      </c>
      <c r="B21813" s="4" t="s">
        <v>27470</v>
      </c>
      <c r="C21813" s="5" t="str">
        <f>IFERROR(__xludf.DUMMYFUNCTION("GOOGLETRANSLATE(B21813,""en"",""de"")"),"Die Männer schlugen den Ball an die Wand.")</f>
        <v>Die Männer schlugen den Ball an die Wand.</v>
      </c>
    </row>
    <row r="21814">
      <c r="A21814" s="4" t="s">
        <v>27468</v>
      </c>
      <c r="B21814" s="4" t="s">
        <v>27471</v>
      </c>
      <c r="C21814" s="5" t="str">
        <f>IFERROR(__xludf.DUMMYFUNCTION("GOOGLETRANSLATE(B21814,""en"",""de"")"),"Der Mann springt den Ball auf den Boden.")</f>
        <v>Der Mann springt den Ball auf den Boden.</v>
      </c>
    </row>
    <row r="21815">
      <c r="A21815" s="4" t="s">
        <v>27472</v>
      </c>
      <c r="B21815" s="4" t="s">
        <v>27473</v>
      </c>
      <c r="C21815" s="5" t="str">
        <f>IFERROR(__xludf.DUMMYFUNCTION("GOOGLETRANSLATE(B21815,""en"",""de"")"),"Ein Mann, der einen Speer hält, rennt eine Strecke hinunter.")</f>
        <v>Ein Mann, der einen Speer hält, rennt eine Strecke hinunter.</v>
      </c>
    </row>
    <row r="21816">
      <c r="A21816" s="4" t="s">
        <v>27472</v>
      </c>
      <c r="B21816" s="4" t="s">
        <v>27474</v>
      </c>
      <c r="C21816" s="5" t="str">
        <f>IFERROR(__xludf.DUMMYFUNCTION("GOOGLETRANSLATE(B21816,""en"",""de"")"),"Der Mann wirft den Speer.")</f>
        <v>Der Mann wirft den Speer.</v>
      </c>
    </row>
    <row r="21817">
      <c r="A21817" s="4" t="s">
        <v>27472</v>
      </c>
      <c r="B21817" s="4" t="s">
        <v>27475</v>
      </c>
      <c r="C21817" s="5" t="str">
        <f>IFERROR(__xludf.DUMMYFUNCTION("GOOGLETRANSLATE(B21817,""en"",""de"")"),"Der Mann fällt zu Boden.")</f>
        <v>Der Mann fällt zu Boden.</v>
      </c>
    </row>
    <row r="21818">
      <c r="A21818" s="4" t="s">
        <v>27472</v>
      </c>
      <c r="B21818" s="4" t="s">
        <v>27476</v>
      </c>
      <c r="C21818" s="5" t="str">
        <f>IFERROR(__xludf.DUMMYFUNCTION("GOOGLETRANSLATE(B21818,""en"",""de"")"),"Wir sehen den Speer durch die Luft fliegen.")</f>
        <v>Wir sehen den Speer durch die Luft fliegen.</v>
      </c>
    </row>
    <row r="21819">
      <c r="A21819" s="4" t="s">
        <v>27472</v>
      </c>
      <c r="B21819" s="4" t="s">
        <v>27477</v>
      </c>
      <c r="C21819" s="5" t="str">
        <f>IFERROR(__xludf.DUMMYFUNCTION("GOOGLETRANSLATE(B21819,""en"",""de"")"),"Wir sehen, dass Menschen die Entfernung des Speers messen.")</f>
        <v>Wir sehen, dass Menschen die Entfernung des Speers messen.</v>
      </c>
    </row>
    <row r="21820">
      <c r="A21820" s="4" t="s">
        <v>27472</v>
      </c>
      <c r="B21820" s="4" t="s">
        <v>27478</v>
      </c>
      <c r="C21820" s="5" t="str">
        <f>IFERROR(__xludf.DUMMYFUNCTION("GOOGLETRANSLATE(B21820,""en"",""de"")"),"Der Mann pumpt die Arme und wir sehen glückliche Menschen in der Menge.")</f>
        <v>Der Mann pumpt die Arme und wir sehen glückliche Menschen in der Menge.</v>
      </c>
    </row>
    <row r="21821">
      <c r="A21821" s="4" t="s">
        <v>27472</v>
      </c>
      <c r="B21821" s="4" t="s">
        <v>27479</v>
      </c>
      <c r="C21821" s="5" t="str">
        <f>IFERROR(__xludf.DUMMYFUNCTION("GOOGLETRANSLATE(B21821,""en"",""de"")"),"Wir sehen dann eine Antwort auf den Wurf des Mannes.")</f>
        <v>Wir sehen dann eine Antwort auf den Wurf des Mannes.</v>
      </c>
    </row>
    <row r="21822">
      <c r="A21822" s="4" t="s">
        <v>27480</v>
      </c>
      <c r="B21822" s="4" t="s">
        <v>27481</v>
      </c>
      <c r="C21822" s="5" t="str">
        <f>IFERROR(__xludf.DUMMYFUNCTION("GOOGLETRANSLATE(B21822,""en"",""de"")"),"Eine Gruppe von Baton -Twirlern übt ihre Routine für einen bevorstehenden Wettbewerb.")</f>
        <v>Eine Gruppe von Baton -Twirlern übt ihre Routine für einen bevorstehenden Wettbewerb.</v>
      </c>
    </row>
    <row r="21823">
      <c r="A21823" s="4" t="s">
        <v>27480</v>
      </c>
      <c r="B21823" s="4" t="s">
        <v>27482</v>
      </c>
      <c r="C21823" s="5" t="str">
        <f>IFERROR(__xludf.DUMMYFUNCTION("GOOGLETRANSLATE(B21823,""en"",""de"")"),"Der Nachrichtensender kommentiert die Ereignisse.")</f>
        <v>Der Nachrichtensender kommentiert die Ereignisse.</v>
      </c>
    </row>
    <row r="21824">
      <c r="A21824" s="4" t="s">
        <v>27480</v>
      </c>
      <c r="B21824" s="4" t="s">
        <v>27483</v>
      </c>
      <c r="C21824" s="5" t="str">
        <f>IFERROR(__xludf.DUMMYFUNCTION("GOOGLETRANSLATE(B21824,""en"",""de"")"),"Der Trainer wird dann befragt, woran die Mädchen arbeiten.")</f>
        <v>Der Trainer wird dann befragt, woran die Mädchen arbeiten.</v>
      </c>
    </row>
    <row r="21825">
      <c r="A21825" s="4" t="s">
        <v>27480</v>
      </c>
      <c r="B21825" s="4" t="s">
        <v>27484</v>
      </c>
      <c r="C21825" s="5" t="str">
        <f>IFERROR(__xludf.DUMMYFUNCTION("GOOGLETRANSLATE(B21825,""en"",""de"")"),"Mehrere Wirbel werden für ihren Standpunkt befragt, warum sie so hart arbeiten.")</f>
        <v>Mehrere Wirbel werden für ihren Standpunkt befragt, warum sie so hart arbeiten.</v>
      </c>
    </row>
    <row r="21826">
      <c r="A21826" s="4" t="s">
        <v>27480</v>
      </c>
      <c r="B21826" s="4" t="s">
        <v>27485</v>
      </c>
      <c r="C21826" s="5" t="str">
        <f>IFERROR(__xludf.DUMMYFUNCTION("GOOGLETRANSLATE(B21826,""en"",""de"")"),"Der Trainer gibt an, was sie an dem Prozess liebt und was am wichtigsten ist.")</f>
        <v>Der Trainer gibt an, was sie an dem Prozess liebt und was am wichtigsten ist.</v>
      </c>
    </row>
    <row r="21827">
      <c r="A21827" s="4" t="s">
        <v>27480</v>
      </c>
      <c r="B21827" s="4" t="s">
        <v>27486</v>
      </c>
      <c r="C21827" s="5" t="str">
        <f>IFERROR(__xludf.DUMMYFUNCTION("GOOGLETRANSLATE(B21827,""en"",""de"")"),"Der Kommentator kündigt an, wo der Wettbewerb Hilfe sein wird, und gibt ihren Namen an.")</f>
        <v>Der Kommentator kündigt an, wo der Wettbewerb Hilfe sein wird, und gibt ihren Namen an.</v>
      </c>
    </row>
    <row r="21828">
      <c r="A21828" s="4" t="s">
        <v>27487</v>
      </c>
      <c r="B21828" s="4" t="s">
        <v>27488</v>
      </c>
      <c r="C21828" s="5" t="str">
        <f>IFERROR(__xludf.DUMMYFUNCTION("GOOGLETRANSLATE(B21828,""en"",""de"")"),"Drei Menschen gehen auf einer Brücke auf einer Lagune.")</f>
        <v>Drei Menschen gehen auf einer Brücke auf einer Lagune.</v>
      </c>
    </row>
    <row r="21829">
      <c r="A21829" s="4" t="s">
        <v>27487</v>
      </c>
      <c r="B21829" s="4" t="s">
        <v>27489</v>
      </c>
      <c r="C21829" s="5" t="str">
        <f>IFERROR(__xludf.DUMMYFUNCTION("GOOGLETRANSLATE(B21829,""en"",""de"")"),"Wir sehen einen Mann auf einem Boot und eine Dame, die Tauchausrüstung anzieht.")</f>
        <v>Wir sehen einen Mann auf einem Boot und eine Dame, die Tauchausrüstung anzieht.</v>
      </c>
    </row>
    <row r="21830">
      <c r="A21830" s="4" t="s">
        <v>27487</v>
      </c>
      <c r="B21830" s="4" t="s">
        <v>27490</v>
      </c>
      <c r="C21830" s="5" t="str">
        <f>IFERROR(__xludf.DUMMYFUNCTION("GOOGLETRANSLATE(B21830,""en"",""de"")"),"Der Mann und die Frau schauen sich das Leben im Meer an.")</f>
        <v>Der Mann und die Frau schauen sich das Leben im Meer an.</v>
      </c>
    </row>
    <row r="21831">
      <c r="A21831" s="4" t="s">
        <v>27487</v>
      </c>
      <c r="B21831" s="4" t="s">
        <v>27491</v>
      </c>
      <c r="C21831" s="5" t="str">
        <f>IFERROR(__xludf.DUMMYFUNCTION("GOOGLETRANSLATE(B21831,""en"",""de"")"),"Wir sehen einen Mann, der ein Unterwassertier hält, das er an eine Dame hält.")</f>
        <v>Wir sehen einen Mann, der ein Unterwassertier hält, das er an eine Dame hält.</v>
      </c>
    </row>
    <row r="21832">
      <c r="A21832" s="4" t="s">
        <v>27487</v>
      </c>
      <c r="B21832" s="4" t="s">
        <v>27492</v>
      </c>
      <c r="C21832" s="5" t="str">
        <f>IFERROR(__xludf.DUMMYFUNCTION("GOOGLETRANSLATE(B21832,""en"",""de"")"),"Wir sehen einen Mann und eine Dame auf einer tropischen Terrasse, die redet und lacht.")</f>
        <v>Wir sehen einen Mann und eine Dame auf einer tropischen Terrasse, die redet und lacht.</v>
      </c>
    </row>
    <row r="21833">
      <c r="A21833" s="4" t="s">
        <v>27493</v>
      </c>
      <c r="B21833" s="4" t="s">
        <v>27494</v>
      </c>
      <c r="C21833" s="5" t="str">
        <f>IFERROR(__xludf.DUMMYFUNCTION("GOOGLETRANSLATE(B21833,""en"",""de"")"),"Eine Frau wird sich vorwärts beugen, während sie auf einem Bett sitzt und eine Bürste in ihren Händen hält.")</f>
        <v>Eine Frau wird sich vorwärts beugen, während sie auf einem Bett sitzt und eine Bürste in ihren Händen hält.</v>
      </c>
    </row>
    <row r="21834">
      <c r="A21834" s="4" t="s">
        <v>27493</v>
      </c>
      <c r="B21834" s="4" t="s">
        <v>27495</v>
      </c>
      <c r="C21834" s="5" t="str">
        <f>IFERROR(__xludf.DUMMYFUNCTION("GOOGLETRANSLATE(B21834,""en"",""de"")"),"Sie leitet dann immer wieder die Bürste durch ihre Haare.")</f>
        <v>Sie leitet dann immer wieder die Bürste durch ihre Haare.</v>
      </c>
    </row>
    <row r="21835">
      <c r="A21835" s="4" t="s">
        <v>27493</v>
      </c>
      <c r="B21835" s="4" t="s">
        <v>27496</v>
      </c>
      <c r="C21835" s="5" t="str">
        <f>IFERROR(__xludf.DUMMYFUNCTION("GOOGLETRANSLATE(B21835,""en"",""de"")"),"Sie fährt weiter durch ihre Haare und endet, indem sie zur Kamera lächelt.")</f>
        <v>Sie fährt weiter durch ihre Haare und endet, indem sie zur Kamera lächelt.</v>
      </c>
    </row>
    <row r="21836">
      <c r="A21836" s="4" t="s">
        <v>27497</v>
      </c>
      <c r="B21836" s="4" t="s">
        <v>1487</v>
      </c>
      <c r="C21836" s="5" t="str">
        <f>IFERROR(__xludf.DUMMYFUNCTION("GOOGLETRANSLATE(B21836,""en"",""de"")"),"Wir sehen einen Öffnungsbildschirm.")</f>
        <v>Wir sehen einen Öffnungsbildschirm.</v>
      </c>
    </row>
    <row r="21837">
      <c r="A21837" s="4" t="s">
        <v>27497</v>
      </c>
      <c r="B21837" s="4" t="s">
        <v>27498</v>
      </c>
      <c r="C21837" s="5" t="str">
        <f>IFERROR(__xludf.DUMMYFUNCTION("GOOGLETRANSLATE(B21837,""en"",""de"")"),"Wir sehen eine Dame in einem Köche in einer Küche, die redet.")</f>
        <v>Wir sehen eine Dame in einem Köche in einer Küche, die redet.</v>
      </c>
    </row>
    <row r="21838">
      <c r="A21838" s="4" t="s">
        <v>27497</v>
      </c>
      <c r="B21838" s="4" t="s">
        <v>27499</v>
      </c>
      <c r="C21838" s="5" t="str">
        <f>IFERROR(__xludf.DUMMYFUNCTION("GOOGLETRANSLATE(B21838,""en"",""de"")"),"Eine Dame schärft ein Messer auf einer Stange.")</f>
        <v>Eine Dame schärft ein Messer auf einer Stange.</v>
      </c>
    </row>
    <row r="21839">
      <c r="A21839" s="4" t="s">
        <v>27497</v>
      </c>
      <c r="B21839" s="4" t="s">
        <v>27500</v>
      </c>
      <c r="C21839" s="5" t="str">
        <f>IFERROR(__xludf.DUMMYFUNCTION("GOOGLETRANSLATE(B21839,""en"",""de"")"),"Die Dame legt Wasser auf einen schwarzen Spitzerblock.")</f>
        <v>Die Dame legt Wasser auf einen schwarzen Spitzerblock.</v>
      </c>
    </row>
    <row r="21840">
      <c r="A21840" s="4" t="s">
        <v>27497</v>
      </c>
      <c r="B21840" s="4" t="s">
        <v>27501</v>
      </c>
      <c r="C21840" s="5" t="str">
        <f>IFERROR(__xludf.DUMMYFUNCTION("GOOGLETRANSLATE(B21840,""en"",""de"")"),"Die Dame schärft dann das Messer.")</f>
        <v>Die Dame schärft dann das Messer.</v>
      </c>
    </row>
    <row r="21841">
      <c r="A21841" s="4" t="s">
        <v>27497</v>
      </c>
      <c r="B21841" s="4" t="s">
        <v>27502</v>
      </c>
      <c r="C21841" s="5" t="str">
        <f>IFERROR(__xludf.DUMMYFUNCTION("GOOGLETRANSLATE(B21841,""en"",""de"")"),"Sie kehrt dann zur Stange zurück.")</f>
        <v>Sie kehrt dann zur Stange zurück.</v>
      </c>
    </row>
    <row r="21842">
      <c r="A21842" s="4" t="s">
        <v>27497</v>
      </c>
      <c r="B21842" s="4" t="s">
        <v>27503</v>
      </c>
      <c r="C21842" s="5" t="str">
        <f>IFERROR(__xludf.DUMMYFUNCTION("GOOGLETRANSLATE(B21842,""en"",""de"")"),"Dann zurück zum schwarzen Block.")</f>
        <v>Dann zurück zum schwarzen Block.</v>
      </c>
    </row>
    <row r="21843">
      <c r="A21843" s="4" t="s">
        <v>27497</v>
      </c>
      <c r="B21843" s="4" t="s">
        <v>27504</v>
      </c>
      <c r="C21843" s="5" t="str">
        <f>IFERROR(__xludf.DUMMYFUNCTION("GOOGLETRANSLATE(B21843,""en"",""de"")"),"Wir sehen einen schließenden Titelbildschirm.")</f>
        <v>Wir sehen einen schließenden Titelbildschirm.</v>
      </c>
    </row>
    <row r="21844">
      <c r="A21844" s="4" t="s">
        <v>27505</v>
      </c>
      <c r="B21844" s="4" t="s">
        <v>27506</v>
      </c>
      <c r="C21844" s="5" t="str">
        <f>IFERROR(__xludf.DUMMYFUNCTION("GOOGLETRANSLATE(B21844,""en"",""de"")"),"Ein Kind steht auf einem Stuhl, der eine Tasse mit Wasser im Waschbecken füllt.")</f>
        <v>Ein Kind steht auf einem Stuhl, der eine Tasse mit Wasser im Waschbecken füllt.</v>
      </c>
    </row>
    <row r="21845">
      <c r="A21845" s="4" t="s">
        <v>27505</v>
      </c>
      <c r="B21845" s="4" t="s">
        <v>27507</v>
      </c>
      <c r="C21845" s="5" t="str">
        <f>IFERROR(__xludf.DUMMYFUNCTION("GOOGLETRANSLATE(B21845,""en"",""de"")"),"Das Kind legt lila Handschuhe auf.")</f>
        <v>Das Kind legt lila Handschuhe auf.</v>
      </c>
    </row>
    <row r="21846">
      <c r="A21846" s="4" t="s">
        <v>27505</v>
      </c>
      <c r="B21846" s="4" t="s">
        <v>27508</v>
      </c>
      <c r="C21846" s="5" t="str">
        <f>IFERROR(__xludf.DUMMYFUNCTION("GOOGLETRANSLATE(B21846,""en"",""de"")"),"Sie nehmen die Handschuhe aus und stellen sie in die Spüle.")</f>
        <v>Sie nehmen die Handschuhe aus und stellen sie in die Spüle.</v>
      </c>
    </row>
    <row r="21847">
      <c r="A21847" s="4" t="s">
        <v>27509</v>
      </c>
      <c r="B21847" s="4" t="s">
        <v>27510</v>
      </c>
      <c r="C21847" s="5" t="str">
        <f>IFERROR(__xludf.DUMMYFUNCTION("GOOGLETRANSLATE(B21847,""en"",""de"")"),"Ein Mann wackelt mit den Zehen, während er barfuß in einem Raum sitzt.")</f>
        <v>Ein Mann wackelt mit den Zehen, während er barfuß in einem Raum sitzt.</v>
      </c>
    </row>
    <row r="21848">
      <c r="A21848" s="4" t="s">
        <v>27509</v>
      </c>
      <c r="B21848" s="4" t="s">
        <v>27511</v>
      </c>
      <c r="C21848" s="5" t="str">
        <f>IFERROR(__xludf.DUMMYFUNCTION("GOOGLETRANSLATE(B21848,""en"",""de"")"),"Der Mann zieht seine Schuhe an und bindet die Schnürsenkel.")</f>
        <v>Der Mann zieht seine Schuhe an und bindet die Schnürsenkel.</v>
      </c>
    </row>
    <row r="21849">
      <c r="A21849" s="4" t="s">
        <v>27509</v>
      </c>
      <c r="B21849" s="4" t="s">
        <v>27512</v>
      </c>
      <c r="C21849" s="5" t="str">
        <f>IFERROR(__xludf.DUMMYFUNCTION("GOOGLETRANSLATE(B21849,""en"",""de"")"),"Der Mann tanzt seine Füße herum, während er sitzt.")</f>
        <v>Der Mann tanzt seine Füße herum, während er sitzt.</v>
      </c>
    </row>
    <row r="21850">
      <c r="A21850" s="4" t="s">
        <v>27513</v>
      </c>
      <c r="B21850" s="4" t="s">
        <v>27514</v>
      </c>
      <c r="C21850" s="5" t="str">
        <f>IFERROR(__xludf.DUMMYFUNCTION("GOOGLETRANSLATE(B21850,""en"",""de"")"),"Drei Männer präsentieren ein Lehrvideo für Slikhaar Studios.")</f>
        <v>Drei Männer präsentieren ein Lehrvideo für Slikhaar Studios.</v>
      </c>
    </row>
    <row r="21851">
      <c r="A21851" s="4" t="s">
        <v>27513</v>
      </c>
      <c r="B21851" s="4" t="s">
        <v>27515</v>
      </c>
      <c r="C21851" s="5" t="str">
        <f>IFERROR(__xludf.DUMMYFUNCTION("GOOGLETRANSLATE(B21851,""en"",""de"")"),"Der Mann in der Mitte demonstriert eine Frisur an der Person, die das blaue Hemd trägt.")</f>
        <v>Der Mann in der Mitte demonstriert eine Frisur an der Person, die das blaue Hemd trägt.</v>
      </c>
    </row>
    <row r="21852">
      <c r="A21852" s="4" t="s">
        <v>27513</v>
      </c>
      <c r="B21852" s="4" t="s">
        <v>27516</v>
      </c>
      <c r="C21852" s="5" t="str">
        <f>IFERROR(__xludf.DUMMYFUNCTION("GOOGLETRANSLATE(B21852,""en"",""de"")"),"Der Mann im blauen Hemd sitzt auf dem Stuhl neben dem Waschbecken.")</f>
        <v>Der Mann im blauen Hemd sitzt auf dem Stuhl neben dem Waschbecken.</v>
      </c>
    </row>
    <row r="21853">
      <c r="A21853" s="4" t="s">
        <v>27513</v>
      </c>
      <c r="B21853" s="4" t="s">
        <v>27517</v>
      </c>
      <c r="C21853" s="5" t="str">
        <f>IFERROR(__xludf.DUMMYFUNCTION("GOOGLETRANSLATE(B21853,""en"",""de"")"),"Der andere Mann beginnt sich die Haare zu waschen.")</f>
        <v>Der andere Mann beginnt sich die Haare zu waschen.</v>
      </c>
    </row>
    <row r="21854">
      <c r="A21854" s="4" t="s">
        <v>27513</v>
      </c>
      <c r="B21854" s="4" t="s">
        <v>27518</v>
      </c>
      <c r="C21854" s="5" t="str">
        <f>IFERROR(__xludf.DUMMYFUNCTION("GOOGLETRANSLATE(B21854,""en"",""de"")"),"Er schrubbt im Shampoo und wäscht es dann ab.")</f>
        <v>Er schrubbt im Shampoo und wäscht es dann ab.</v>
      </c>
    </row>
    <row r="21855">
      <c r="A21855" s="4" t="s">
        <v>27513</v>
      </c>
      <c r="B21855" s="4" t="s">
        <v>27519</v>
      </c>
      <c r="C21855" s="5" t="str">
        <f>IFERROR(__xludf.DUMMYFUNCTION("GOOGLETRANSLATE(B21855,""en"",""de"")"),"Dann kämmt er es und trocknet seine Haare, nachdem er es mit Gel gestylt hat.")</f>
        <v>Dann kämmt er es und trocknet seine Haare, nachdem er es mit Gel gestylt hat.</v>
      </c>
    </row>
    <row r="21856">
      <c r="A21856" s="4" t="s">
        <v>27513</v>
      </c>
      <c r="B21856" s="4" t="s">
        <v>27520</v>
      </c>
      <c r="C21856" s="5" t="str">
        <f>IFERROR(__xludf.DUMMYFUNCTION("GOOGLETRANSLATE(B21856,""en"",""de"")"),"Er benutzt einen elektrischen Clipper, um die Koteletten und die Schläfen zu pflegen.")</f>
        <v>Er benutzt einen elektrischen Clipper, um die Koteletten und die Schläfen zu pflegen.</v>
      </c>
    </row>
    <row r="21857">
      <c r="A21857" s="4" t="s">
        <v>27513</v>
      </c>
      <c r="B21857" s="4" t="s">
        <v>27521</v>
      </c>
      <c r="C21857" s="5" t="str">
        <f>IFERROR(__xludf.DUMMYFUNCTION("GOOGLETRANSLATE(B21857,""en"",""de"")"),"Er schneidet auch den Rücken und die Seiten seines Kopfes mit den Clippers ab.")</f>
        <v>Er schneidet auch den Rücken und die Seiten seines Kopfes mit den Clippers ab.</v>
      </c>
    </row>
    <row r="21858">
      <c r="A21858" s="4" t="s">
        <v>27513</v>
      </c>
      <c r="B21858" s="4" t="s">
        <v>27522</v>
      </c>
      <c r="C21858" s="5" t="str">
        <f>IFERROR(__xludf.DUMMYFUNCTION("GOOGLETRANSLATE(B21858,""en"",""de"")"),"Er benutzt eine Schere, um das Haar zu schneiden und es fertig auszusehen.")</f>
        <v>Er benutzt eine Schere, um das Haar zu schneiden und es fertig auszusehen.</v>
      </c>
    </row>
    <row r="21859">
      <c r="A21859" s="4" t="s">
        <v>27513</v>
      </c>
      <c r="B21859" s="4" t="s">
        <v>27523</v>
      </c>
      <c r="C21859" s="5" t="str">
        <f>IFERROR(__xludf.DUMMYFUNCTION("GOOGLETRANSLATE(B21859,""en"",""de"")"),"Das Modell verwendet ein Haargel, um seine Haare nach dem Haarschnitt zu stylen.")</f>
        <v>Das Modell verwendet ein Haargel, um seine Haare nach dem Haarschnitt zu stylen.</v>
      </c>
    </row>
    <row r="21860">
      <c r="A21860" s="4" t="s">
        <v>27513</v>
      </c>
      <c r="B21860" s="4" t="s">
        <v>27524</v>
      </c>
      <c r="C21860" s="5" t="str">
        <f>IFERROR(__xludf.DUMMYFUNCTION("GOOGLETRANSLATE(B21860,""en"",""de"")"),"Der Moderator der Show erklärt dann, wie das Haar geschnitten und gestylt wurde, und gibt Informationen über seine Website.")</f>
        <v>Der Moderator der Show erklärt dann, wie das Haar geschnitten und gestylt wurde, und gibt Informationen über seine Website.</v>
      </c>
    </row>
    <row r="21861">
      <c r="A21861" s="4" t="s">
        <v>27525</v>
      </c>
      <c r="B21861" s="4" t="s">
        <v>27526</v>
      </c>
      <c r="C21861" s="5" t="str">
        <f>IFERROR(__xludf.DUMMYFUNCTION("GOOGLETRANSLATE(B21861,""en"",""de"")"),"Eine Frau steht vor einem elliptischen Trainer und redet vor einem elliptischen Trainer.")</f>
        <v>Eine Frau steht vor einem elliptischen Trainer und redet vor einem elliptischen Trainer.</v>
      </c>
    </row>
    <row r="21862">
      <c r="A21862" s="4" t="s">
        <v>27525</v>
      </c>
      <c r="B21862" s="4" t="s">
        <v>27527</v>
      </c>
      <c r="C21862" s="5" t="str">
        <f>IFERROR(__xludf.DUMMYFUNCTION("GOOGLETRANSLATE(B21862,""en"",""de"")"),"Sie dreht sich durch eine Broschüre, bevor sie zum Trainer geht.")</f>
        <v>Sie dreht sich durch eine Broschüre, bevor sie zum Trainer geht.</v>
      </c>
    </row>
    <row r="21863">
      <c r="A21863" s="4" t="s">
        <v>27525</v>
      </c>
      <c r="B21863" s="4" t="s">
        <v>27528</v>
      </c>
      <c r="C21863" s="5" t="str">
        <f>IFERROR(__xludf.DUMMYFUNCTION("GOOGLETRANSLATE(B21863,""en"",""de"")"),"Sie beginnt zu demonstrieren, wie man den Trainer auf den Gebrauch vorbereitet.")</f>
        <v>Sie beginnt zu demonstrieren, wie man den Trainer auf den Gebrauch vorbereitet.</v>
      </c>
    </row>
    <row r="21864">
      <c r="A21864" s="4" t="s">
        <v>27525</v>
      </c>
      <c r="B21864" s="4" t="s">
        <v>27529</v>
      </c>
      <c r="C21864" s="5" t="str">
        <f>IFERROR(__xludf.DUMMYFUNCTION("GOOGLETRANSLATE(B21864,""en"",""de"")"),"Sie klettert auf den Trainer und zeigt, wie es verwendet wird, indem er mit ihren Füßen treten.")</f>
        <v>Sie klettert auf den Trainer und zeigt, wie es verwendet wird, indem er mit ihren Füßen treten.</v>
      </c>
    </row>
    <row r="21865">
      <c r="A21865" s="4" t="s">
        <v>27525</v>
      </c>
      <c r="B21865" s="4" t="s">
        <v>27530</v>
      </c>
      <c r="C21865" s="5" t="str">
        <f>IFERROR(__xludf.DUMMYFUNCTION("GOOGLETRANSLATE(B21865,""en"",""de"")"),"Anschließend wird eine Nahaufnahme des Anzeigebildschirms angezeigt.")</f>
        <v>Anschließend wird eine Nahaufnahme des Anzeigebildschirms angezeigt.</v>
      </c>
    </row>
    <row r="21866">
      <c r="A21866" s="4" t="s">
        <v>27525</v>
      </c>
      <c r="B21866" s="4" t="s">
        <v>27531</v>
      </c>
      <c r="C21866" s="5" t="str">
        <f>IFERROR(__xludf.DUMMYFUNCTION("GOOGLETRANSLATE(B21866,""en"",""de"")"),"Der Trainer ist gefaltet, um die Verdichtung und einfache Lagerung zu zeigen.")</f>
        <v>Der Trainer ist gefaltet, um die Verdichtung und einfache Lagerung zu zeigen.</v>
      </c>
    </row>
    <row r="21867">
      <c r="A21867" s="4" t="s">
        <v>27532</v>
      </c>
      <c r="B21867" s="4" t="s">
        <v>27533</v>
      </c>
      <c r="C21867" s="5" t="str">
        <f>IFERROR(__xludf.DUMMYFUNCTION("GOOGLETRANSLATE(B21867,""en"",""de"")"),"Ein grauer Hasen steht auf einem Bett auf einem schwarzen Handtuch, das etwas in der Hand frisst.")</f>
        <v>Ein grauer Hasen steht auf einem Bett auf einem schwarzen Handtuch, das etwas in der Hand frisst.</v>
      </c>
    </row>
    <row r="21868">
      <c r="A21868" s="4" t="s">
        <v>27532</v>
      </c>
      <c r="B21868" s="4" t="s">
        <v>27534</v>
      </c>
      <c r="C21868" s="5" t="str">
        <f>IFERROR(__xludf.DUMMYFUNCTION("GOOGLETRANSLATE(B21868,""en"",""de"")"),"Während er isst, beginnt der Hase seine Ohren zu greifen und schüttelt den Kopf.")</f>
        <v>Während er isst, beginnt der Hase seine Ohren zu greifen und schüttelt den Kopf.</v>
      </c>
    </row>
    <row r="21869">
      <c r="A21869" s="4" t="s">
        <v>27532</v>
      </c>
      <c r="B21869" s="4" t="s">
        <v>27535</v>
      </c>
      <c r="C21869" s="5" t="str">
        <f>IFERROR(__xludf.DUMMYFUNCTION("GOOGLETRANSLATE(B21869,""en"",""de"")"),"Der Hasen kämpft mehr und biegt immer wieder etwas, bevor er nach draußen schaut.")</f>
        <v>Der Hasen kämpft mehr und biegt immer wieder etwas, bevor er nach draußen schaut.</v>
      </c>
    </row>
    <row r="21870">
      <c r="A21870" s="4" t="s">
        <v>27536</v>
      </c>
      <c r="B21870" s="4" t="s">
        <v>27537</v>
      </c>
      <c r="C21870" s="5" t="str">
        <f>IFERROR(__xludf.DUMMYFUNCTION("GOOGLETRANSLATE(B21870,""en"",""de"")"),"Ein kleines Kind sitzt vor einem Fooseball -Tisch, als man ihr den Ball gibt und sie ins Spiel steckt.")</f>
        <v>Ein kleines Kind sitzt vor einem Fooseball -Tisch, als man ihr den Ball gibt und sie ins Spiel steckt.</v>
      </c>
    </row>
    <row r="21871">
      <c r="A21871" s="4" t="s">
        <v>27536</v>
      </c>
      <c r="B21871" s="4" t="s">
        <v>27538</v>
      </c>
      <c r="C21871" s="5" t="str">
        <f>IFERROR(__xludf.DUMMYFUNCTION("GOOGLETRANSLATE(B21871,""en"",""de"")"),"Der Mann hilft dem Mädchen dann, auf dem Tisch zu spielen, indem er die Stangen rundum bewegt und die Menschen schiebt.")</f>
        <v>Der Mann hilft dem Mädchen dann, auf dem Tisch zu spielen, indem er die Stangen rundum bewegt und die Menschen schiebt.</v>
      </c>
    </row>
    <row r="21872">
      <c r="A21872" s="4" t="s">
        <v>27539</v>
      </c>
      <c r="B21872" s="4" t="s">
        <v>27540</v>
      </c>
      <c r="C21872" s="5" t="str">
        <f>IFERROR(__xludf.DUMMYFUNCTION("GOOGLETRANSLATE(B21872,""en"",""de"")"),"Athleten rennen eine Strecke hinunter und werfen einen Speer über das Feld.")</f>
        <v>Athleten rennen eine Strecke hinunter und werfen einen Speer über das Feld.</v>
      </c>
    </row>
    <row r="21873">
      <c r="A21873" s="4" t="s">
        <v>27539</v>
      </c>
      <c r="B21873" s="4" t="s">
        <v>27541</v>
      </c>
      <c r="C21873" s="5" t="str">
        <f>IFERROR(__xludf.DUMMYFUNCTION("GOOGLETRANSLATE(B21873,""en"",""de"")"),"Ein Schiedsrichter läuft aus, um die Speerposition zu überprüfen.")</f>
        <v>Ein Schiedsrichter läuft aus, um die Speerposition zu überprüfen.</v>
      </c>
    </row>
    <row r="21874">
      <c r="A21874" s="4" t="s">
        <v>27539</v>
      </c>
      <c r="B21874" s="4" t="s">
        <v>27542</v>
      </c>
      <c r="C21874" s="5" t="str">
        <f>IFERROR(__xludf.DUMMYFUNCTION("GOOGLETRANSLATE(B21874,""en"",""de"")"),"Eine Leader -Board zeigt zahlreiche Sportler.")</f>
        <v>Eine Leader -Board zeigt zahlreiche Sportler.</v>
      </c>
    </row>
    <row r="21875">
      <c r="A21875" s="4" t="s">
        <v>27543</v>
      </c>
      <c r="B21875" s="4" t="s">
        <v>27544</v>
      </c>
      <c r="C21875" s="5" t="str">
        <f>IFERROR(__xludf.DUMMYFUNCTION("GOOGLETRANSLATE(B21875,""en"",""de"")"),"Ein Feldhockeyspieler dribbelt einen Ball auf das Feld zwischen seinen Beinen.")</f>
        <v>Ein Feldhockeyspieler dribbelt einen Ball auf das Feld zwischen seinen Beinen.</v>
      </c>
    </row>
    <row r="21876">
      <c r="A21876" s="4" t="s">
        <v>27543</v>
      </c>
      <c r="B21876" s="4" t="s">
        <v>27545</v>
      </c>
      <c r="C21876" s="5" t="str">
        <f>IFERROR(__xludf.DUMMYFUNCTION("GOOGLETRANSLATE(B21876,""en"",""de"")"),"Das Feldhockey spielt den Ball vor ihm hin und her.")</f>
        <v>Das Feldhockey spielt den Ball vor ihm hin und her.</v>
      </c>
    </row>
    <row r="21877">
      <c r="A21877" s="4" t="s">
        <v>27543</v>
      </c>
      <c r="B21877" s="4" t="s">
        <v>27546</v>
      </c>
      <c r="C21877" s="5" t="str">
        <f>IFERROR(__xludf.DUMMYFUNCTION("GOOGLETRANSLATE(B21877,""en"",""de"")"),"Der Feldhockeyspieler schlägt auf, während er den Ball in der Luft jongliert und auf seinem Stock ausbalanciert.")</f>
        <v>Der Feldhockeyspieler schlägt auf, während er den Ball in der Luft jongliert und auf seinem Stock ausbalanciert.</v>
      </c>
    </row>
    <row r="21878">
      <c r="A21878" s="4" t="s">
        <v>27543</v>
      </c>
      <c r="B21878" s="4" t="s">
        <v>27547</v>
      </c>
      <c r="C21878" s="5" t="str">
        <f>IFERROR(__xludf.DUMMYFUNCTION("GOOGLETRANSLATE(B21878,""en"",""de"")"),"Die Spieler dribbeln durch eine Reihe von Zapfen und schießen das Ziel.")</f>
        <v>Die Spieler dribbeln durch eine Reihe von Zapfen und schießen das Ziel.</v>
      </c>
    </row>
    <row r="21879">
      <c r="A21879" s="4" t="s">
        <v>27548</v>
      </c>
      <c r="B21879" s="4" t="s">
        <v>27549</v>
      </c>
      <c r="C21879" s="5" t="str">
        <f>IFERROR(__xludf.DUMMYFUNCTION("GOOGLETRANSLATE(B21879,""en"",""de"")"),"Die Leute fahren ein Auto mit Flößen auf dem Rücken.")</f>
        <v>Die Leute fahren ein Auto mit Flößen auf dem Rücken.</v>
      </c>
    </row>
    <row r="21880">
      <c r="A21880" s="4" t="s">
        <v>27548</v>
      </c>
      <c r="B21880" s="4" t="s">
        <v>27550</v>
      </c>
      <c r="C21880" s="5" t="str">
        <f>IFERROR(__xludf.DUMMYFUNCTION("GOOGLETRANSLATE(B21880,""en"",""de"")"),"Sie steigen in die Flöße und raften einen Fluss hinunter.")</f>
        <v>Sie steigen in die Flöße und raften einen Fluss hinunter.</v>
      </c>
    </row>
    <row r="21881">
      <c r="A21881" s="4" t="s">
        <v>27548</v>
      </c>
      <c r="B21881" s="4" t="s">
        <v>27551</v>
      </c>
      <c r="C21881" s="5" t="str">
        <f>IFERROR(__xludf.DUMMYFUNCTION("GOOGLETRANSLATE(B21881,""en"",""de"")"),"Sie gehen zu einem Hot Dog -Stand und holen Essen.")</f>
        <v>Sie gehen zu einem Hot Dog -Stand und holen Essen.</v>
      </c>
    </row>
    <row r="21882">
      <c r="A21882" s="4" t="s">
        <v>27548</v>
      </c>
      <c r="B21882" s="4" t="s">
        <v>27552</v>
      </c>
      <c r="C21882" s="5" t="str">
        <f>IFERROR(__xludf.DUMMYFUNCTION("GOOGLETRANSLATE(B21882,""en"",""de"")"),"Sie raften weiter den Fluss hinunter.")</f>
        <v>Sie raften weiter den Fluss hinunter.</v>
      </c>
    </row>
    <row r="21883">
      <c r="A21883" s="4" t="s">
        <v>27553</v>
      </c>
      <c r="B21883" s="4" t="s">
        <v>27554</v>
      </c>
      <c r="C21883" s="5" t="str">
        <f>IFERROR(__xludf.DUMMYFUNCTION("GOOGLETRANSLATE(B21883,""en"",""de"")"),"Ein Mann taucht auf dem Bildschirm mit einer Kampfkunstuniform auf und zeigt den Menschen, wie man einen Nebenkick macht.")</f>
        <v>Ein Mann taucht auf dem Bildschirm mit einer Kampfkunstuniform auf und zeigt den Menschen, wie man einen Nebenkick macht.</v>
      </c>
    </row>
    <row r="21884">
      <c r="A21884" s="4" t="s">
        <v>27553</v>
      </c>
      <c r="B21884" s="4" t="s">
        <v>27555</v>
      </c>
      <c r="C21884" s="5" t="str">
        <f>IFERROR(__xludf.DUMMYFUNCTION("GOOGLETRANSLATE(B21884,""en"",""de"")"),"Er schwankt von einer Seite zur Seite, um zu zeigen, wie Sie Ihr Gleichgewicht kontrollieren können.")</f>
        <v>Er schwankt von einer Seite zur Seite, um zu zeigen, wie Sie Ihr Gleichgewicht kontrollieren können.</v>
      </c>
    </row>
    <row r="21885">
      <c r="A21885" s="4" t="s">
        <v>27553</v>
      </c>
      <c r="B21885" s="4" t="s">
        <v>27556</v>
      </c>
      <c r="C21885" s="5" t="str">
        <f>IFERROR(__xludf.DUMMYFUNCTION("GOOGLETRANSLATE(B21885,""en"",""de"")"),"Er hebt die Knie, einen, nachdem er sich von links nach rechts abwechselte, um zu zeigen, wie man den Kick beginnt.")</f>
        <v>Er hebt die Knie, einen, nachdem er sich von links nach rechts abwechselte, um zu zeigen, wie man den Kick beginnt.</v>
      </c>
    </row>
    <row r="21886">
      <c r="A21886" s="4" t="s">
        <v>27553</v>
      </c>
      <c r="B21886" s="4" t="s">
        <v>27557</v>
      </c>
      <c r="C21886" s="5" t="str">
        <f>IFERROR(__xludf.DUMMYFUNCTION("GOOGLETRANSLATE(B21886,""en"",""de"")"),"Er zeigt weiterhin, wie man den Side -Kick mit einem Nachfolger beendet.")</f>
        <v>Er zeigt weiterhin, wie man den Side -Kick mit einem Nachfolger beendet.</v>
      </c>
    </row>
    <row r="21887">
      <c r="A21887" s="4" t="s">
        <v>27553</v>
      </c>
      <c r="B21887" s="4" t="s">
        <v>27558</v>
      </c>
      <c r="C21887" s="5" t="str">
        <f>IFERROR(__xludf.DUMMYFUNCTION("GOOGLETRANSLATE(B21887,""en"",""de"")"),"Dann zeigt er, wie man aus mehreren Blickwinkeln den Tritt macht.")</f>
        <v>Dann zeigt er, wie man aus mehreren Blickwinkeln den Tritt macht.</v>
      </c>
    </row>
    <row r="21888">
      <c r="A21888" s="4" t="s">
        <v>27559</v>
      </c>
      <c r="B21888" s="4" t="s">
        <v>27560</v>
      </c>
      <c r="C21888" s="5" t="str">
        <f>IFERROR(__xludf.DUMMYFUNCTION("GOOGLETRANSLATE(B21888,""en"",""de"")"),"Wir sehen einen öffnenden weißen Bildschirm.")</f>
        <v>Wir sehen einen öffnenden weißen Bildschirm.</v>
      </c>
    </row>
    <row r="21889">
      <c r="A21889" s="4" t="s">
        <v>27559</v>
      </c>
      <c r="B21889" s="4" t="s">
        <v>27561</v>
      </c>
      <c r="C21889" s="5" t="str">
        <f>IFERROR(__xludf.DUMMYFUNCTION("GOOGLETRANSLATE(B21889,""en"",""de"")"),"Wir sehen dann einen Mann, der eine Fahrradbremse schiebt und sie anpasst.")</f>
        <v>Wir sehen dann einen Mann, der eine Fahrradbremse schiebt und sie anpasst.</v>
      </c>
    </row>
    <row r="21890">
      <c r="A21890" s="4" t="s">
        <v>27559</v>
      </c>
      <c r="B21890" s="4" t="s">
        <v>27562</v>
      </c>
      <c r="C21890" s="5" t="str">
        <f>IFERROR(__xludf.DUMMYFUNCTION("GOOGLETRANSLATE(B21890,""en"",""de"")"),"Der Mann zieht eine Schnur auf das Fahrrad in der Nähe des Reifens.")</f>
        <v>Der Mann zieht eine Schnur auf das Fahrrad in der Nähe des Reifens.</v>
      </c>
    </row>
    <row r="21891">
      <c r="A21891" s="4" t="s">
        <v>27559</v>
      </c>
      <c r="B21891" s="4" t="s">
        <v>27563</v>
      </c>
      <c r="C21891" s="5" t="str">
        <f>IFERROR(__xludf.DUMMYFUNCTION("GOOGLETRANSLATE(B21891,""en"",""de"")"),"Die Männer passen dann den Backhebel erneut an.")</f>
        <v>Die Männer passen dann den Backhebel erneut an.</v>
      </c>
    </row>
    <row r="21892">
      <c r="A21892" s="4" t="s">
        <v>27559</v>
      </c>
      <c r="B21892" s="4" t="s">
        <v>27564</v>
      </c>
      <c r="C21892" s="5" t="str">
        <f>IFERROR(__xludf.DUMMYFUNCTION("GOOGLETRANSLATE(B21892,""en"",""de"")"),"Wir sehen dann den Mann mit der Kamera sprechen.")</f>
        <v>Wir sehen dann den Mann mit der Kamera sprechen.</v>
      </c>
    </row>
    <row r="21893">
      <c r="A21893" s="4" t="s">
        <v>27559</v>
      </c>
      <c r="B21893" s="4" t="s">
        <v>777</v>
      </c>
      <c r="C21893" s="5" t="str">
        <f>IFERROR(__xludf.DUMMYFUNCTION("GOOGLETRANSLATE(B21893,""en"",""de"")"),"Wir sehen den End -Titelbildschirm.")</f>
        <v>Wir sehen den End -Titelbildschirm.</v>
      </c>
    </row>
    <row r="21894">
      <c r="A21894" s="4" t="s">
        <v>27565</v>
      </c>
      <c r="B21894" s="4" t="s">
        <v>27566</v>
      </c>
      <c r="C21894" s="5" t="str">
        <f>IFERROR(__xludf.DUMMYFUNCTION("GOOGLETRANSLATE(B21894,""en"",""de"")"),"Frau, die auf einem Stuhl sitzt, hält eine Tasse im Mund des Hundes, damit der Nebel die Tasse lecken kann.")</f>
        <v>Frau, die auf einem Stuhl sitzt, hält eine Tasse im Mund des Hundes, damit der Nebel die Tasse lecken kann.</v>
      </c>
    </row>
    <row r="21895">
      <c r="A21895" s="4" t="s">
        <v>27565</v>
      </c>
      <c r="B21895" s="4" t="s">
        <v>27567</v>
      </c>
      <c r="C21895" s="5" t="str">
        <f>IFERROR(__xludf.DUMMYFUNCTION("GOOGLETRANSLATE(B21895,""en"",""de"")"),"Schwarzer Hund steht in einem lebendigen Wasser, der Wasser aus einer Tasse leckt.")</f>
        <v>Schwarzer Hund steht in einem lebendigen Wasser, der Wasser aus einer Tasse leckt.</v>
      </c>
    </row>
    <row r="21896">
      <c r="A21896" s="4" t="s">
        <v>27565</v>
      </c>
      <c r="B21896" s="4" t="s">
        <v>27568</v>
      </c>
      <c r="C21896" s="5" t="str">
        <f>IFERROR(__xludf.DUMMYFUNCTION("GOOGLETRANSLATE(B21896,""en"",""de"")"),"Eine Frau steht mit einem schwarzen Hund in einem weißen Teppich in einem Lebensunterhalt.")</f>
        <v>Eine Frau steht mit einem schwarzen Hund in einem weißen Teppich in einem Lebensunterhalt.</v>
      </c>
    </row>
    <row r="21897">
      <c r="A21897" s="4" t="s">
        <v>27569</v>
      </c>
      <c r="B21897" s="4" t="s">
        <v>27570</v>
      </c>
      <c r="C21897" s="5" t="str">
        <f>IFERROR(__xludf.DUMMYFUNCTION("GOOGLETRANSLATE(B21897,""en"",""de"")"),"Ein Junge schwingt in einem Park über Affenbars.")</f>
        <v>Ein Junge schwingt in einem Park über Affenbars.</v>
      </c>
    </row>
    <row r="21898">
      <c r="A21898" s="4" t="s">
        <v>27569</v>
      </c>
      <c r="B21898" s="4" t="s">
        <v>27571</v>
      </c>
      <c r="C21898" s="5" t="str">
        <f>IFERROR(__xludf.DUMMYFUNCTION("GOOGLETRANSLATE(B21898,""en"",""de"")"),"Ein Mann tut etwas hinter ihm.")</f>
        <v>Ein Mann tut etwas hinter ihm.</v>
      </c>
    </row>
    <row r="21899">
      <c r="A21899" s="4" t="s">
        <v>27569</v>
      </c>
      <c r="B21899" s="4" t="s">
        <v>27572</v>
      </c>
      <c r="C21899" s="5" t="str">
        <f>IFERROR(__xludf.DUMMYFUNCTION("GOOGLETRANSLATE(B21899,""en"",""de"")"),"Der Junge macht sich den ganzen Weg durch.")</f>
        <v>Der Junge macht sich den ganzen Weg durch.</v>
      </c>
    </row>
    <row r="21900">
      <c r="A21900" s="4" t="s">
        <v>27573</v>
      </c>
      <c r="B21900" s="4" t="s">
        <v>27574</v>
      </c>
      <c r="C21900" s="5" t="str">
        <f>IFERROR(__xludf.DUMMYFUNCTION("GOOGLETRANSLATE(B21900,""en"",""de"")"),"Eine große Gruppe von Menschen ist in einer großen Turnhalle zusammen zu sehen.")</f>
        <v>Eine große Gruppe von Menschen ist in einer großen Turnhalle zusammen zu sehen.</v>
      </c>
    </row>
    <row r="21901">
      <c r="A21901" s="4" t="s">
        <v>27573</v>
      </c>
      <c r="B21901" s="4" t="s">
        <v>27575</v>
      </c>
      <c r="C21901" s="5" t="str">
        <f>IFERROR(__xludf.DUMMYFUNCTION("GOOGLETRANSLATE(B21901,""en"",""de"")"),"Die Leute bewegen sich auf und ab auf einem Strahl, der ihre Beine hochtrennt und herumbewegt.")</f>
        <v>Die Leute bewegen sich auf und ab auf einem Strahl, der ihre Beine hochtrennt und herumbewegt.</v>
      </c>
    </row>
    <row r="21902">
      <c r="A21902" s="4" t="s">
        <v>27573</v>
      </c>
      <c r="B21902" s="4" t="s">
        <v>27576</v>
      </c>
      <c r="C21902" s="5" t="str">
        <f>IFERROR(__xludf.DUMMYFUNCTION("GOOGLETRANSLATE(B21902,""en"",""de"")"),"Die Leute bewegen sich weiterhin um das Brett, während die Kamera ihre Bewegungen erfasst.")</f>
        <v>Die Leute bewegen sich weiterhin um das Brett, während die Kamera ihre Bewegungen erfasst.</v>
      </c>
    </row>
    <row r="21903">
      <c r="A21903" s="4" t="s">
        <v>27577</v>
      </c>
      <c r="B21903" s="4" t="s">
        <v>27578</v>
      </c>
      <c r="C21903" s="5" t="str">
        <f>IFERROR(__xludf.DUMMYFUNCTION("GOOGLETRANSLATE(B21903,""en"",""de"")"),"Es gibt viele Menschen in einem geöffneten Hofbereich und sie scheinen größtenteils ältere Menschen zu sein, die eine Art Sport spielen.")</f>
        <v>Es gibt viele Menschen in einem geöffneten Hofbereich und sie scheinen größtenteils ältere Menschen zu sein, die eine Art Sport spielen.</v>
      </c>
    </row>
    <row r="21904">
      <c r="A21904" s="4" t="s">
        <v>27577</v>
      </c>
      <c r="B21904" s="4" t="s">
        <v>27579</v>
      </c>
      <c r="C21904" s="5" t="str">
        <f>IFERROR(__xludf.DUMMYFUNCTION("GOOGLETRANSLATE(B21904,""en"",""de"")"),"Ein Mann und eine Frau gehen zusammen über den Platz und stehen an, einen Mann mit einem Stock zu beobachten, der etwas über den Platz mit seinem Stock trifft.")</f>
        <v>Ein Mann und eine Frau gehen zusammen über den Platz und stehen an, einen Mann mit einem Stock zu beobachten, der etwas über den Platz mit seinem Stock trifft.</v>
      </c>
    </row>
    <row r="21905">
      <c r="A21905" s="4" t="s">
        <v>27577</v>
      </c>
      <c r="B21905" s="4" t="s">
        <v>27580</v>
      </c>
      <c r="C21905" s="5" t="str">
        <f>IFERROR(__xludf.DUMMYFUNCTION("GOOGLETRANSLATE(B21905,""en"",""de"")"),"Ein anderer Mann geht dann zum Gerichtshof, um sich an der Reihe zu nehmen, während der Mann, der gerade eine Kurve hatte, aus seinem Weg bewegt.")</f>
        <v>Ein anderer Mann geht dann zum Gerichtshof, um sich an der Reihe zu nehmen, während der Mann, der gerade eine Kurve hatte, aus seinem Weg bewegt.</v>
      </c>
    </row>
    <row r="21906">
      <c r="A21906" s="4" t="s">
        <v>27581</v>
      </c>
      <c r="B21906" s="4" t="s">
        <v>27582</v>
      </c>
      <c r="C21906" s="5" t="str">
        <f>IFERROR(__xludf.DUMMYFUNCTION("GOOGLETRANSLATE(B21906,""en"",""de"")"),"Ein Mann legt Schweißausrüstung an.")</f>
        <v>Ein Mann legt Schweißausrüstung an.</v>
      </c>
    </row>
    <row r="21907">
      <c r="A21907" s="4" t="s">
        <v>27581</v>
      </c>
      <c r="B21907" s="4" t="s">
        <v>27583</v>
      </c>
      <c r="C21907" s="5" t="str">
        <f>IFERROR(__xludf.DUMMYFUNCTION("GOOGLETRANSLATE(B21907,""en"",""de"")"),"Der Mann beginnt etwas auf einem Metalltisch zu schweißen.")</f>
        <v>Der Mann beginnt etwas auf einem Metalltisch zu schweißen.</v>
      </c>
    </row>
    <row r="21908">
      <c r="A21908" s="4" t="s">
        <v>27581</v>
      </c>
      <c r="B21908" s="4" t="s">
        <v>27584</v>
      </c>
      <c r="C21908" s="5" t="str">
        <f>IFERROR(__xludf.DUMMYFUNCTION("GOOGLETRANSLATE(B21908,""en"",""de"")"),"Er stoppt das Schweißen, hebt seine Gesichtsmaske und passt die Dinge im Tisch an.")</f>
        <v>Er stoppt das Schweißen, hebt seine Gesichtsmaske und passt die Dinge im Tisch an.</v>
      </c>
    </row>
    <row r="21909">
      <c r="A21909" s="4" t="s">
        <v>27581</v>
      </c>
      <c r="B21909" s="4" t="s">
        <v>27585</v>
      </c>
      <c r="C21909" s="5" t="str">
        <f>IFERROR(__xludf.DUMMYFUNCTION("GOOGLETRANSLATE(B21909,""en"",""de"")"),"Dann senkt er seine Gesichtsmaske und beginnt erneut zu schweißen.")</f>
        <v>Dann senkt er seine Gesichtsmaske und beginnt erneut zu schweißen.</v>
      </c>
    </row>
    <row r="21910">
      <c r="A21910" s="4" t="s">
        <v>27581</v>
      </c>
      <c r="B21910" s="4" t="s">
        <v>27586</v>
      </c>
      <c r="C21910" s="5" t="str">
        <f>IFERROR(__xludf.DUMMYFUNCTION("GOOGLETRANSLATE(B21910,""en"",""de"")"),"Er stoppt und hebt seine Maske wieder.")</f>
        <v>Er stoppt und hebt seine Maske wieder.</v>
      </c>
    </row>
    <row r="21911">
      <c r="A21911" s="4" t="s">
        <v>27581</v>
      </c>
      <c r="B21911" s="4" t="s">
        <v>27587</v>
      </c>
      <c r="C21911" s="5" t="str">
        <f>IFERROR(__xludf.DUMMYFUNCTION("GOOGLETRANSLATE(B21911,""en"",""de"")"),"Er verwendet ein Werkzeug, um etwas auf den Tisch zu schlagen, bevor er es schleife.")</f>
        <v>Er verwendet ein Werkzeug, um etwas auf den Tisch zu schlagen, bevor er es schleife.</v>
      </c>
    </row>
    <row r="21912">
      <c r="A21912" s="4" t="s">
        <v>27581</v>
      </c>
      <c r="B21912" s="4" t="s">
        <v>27588</v>
      </c>
      <c r="C21912" s="5" t="str">
        <f>IFERROR(__xludf.DUMMYFUNCTION("GOOGLETRANSLATE(B21912,""en"",""de"")"),"Der Mann zieht seine Handschuhe aus, während er zur Kamera geht.")</f>
        <v>Der Mann zieht seine Handschuhe aus, während er zur Kamera geht.</v>
      </c>
    </row>
    <row r="21913">
      <c r="A21913" s="4" t="s">
        <v>27581</v>
      </c>
      <c r="B21913" s="4" t="s">
        <v>27589</v>
      </c>
      <c r="C21913" s="5" t="str">
        <f>IFERROR(__xludf.DUMMYFUNCTION("GOOGLETRANSLATE(B21913,""en"",""de"")"),"Er bringt die Kamera auf den Tisch, um die Arbeit zu zeigen, die er geleistet hat.")</f>
        <v>Er bringt die Kamera auf den Tisch, um die Arbeit zu zeigen, die er geleistet hat.</v>
      </c>
    </row>
    <row r="21914">
      <c r="A21914" s="4" t="s">
        <v>27590</v>
      </c>
      <c r="B21914" s="4" t="s">
        <v>27591</v>
      </c>
      <c r="C21914" s="5" t="str">
        <f>IFERROR(__xludf.DUMMYFUNCTION("GOOGLETRANSLATE(B21914,""en"",""de"")"),"Eine Frau gießt Zutaten in einen Mixer.")</f>
        <v>Eine Frau gießt Zutaten in einen Mixer.</v>
      </c>
    </row>
    <row r="21915">
      <c r="A21915" s="4" t="s">
        <v>27590</v>
      </c>
      <c r="B21915" s="4" t="s">
        <v>27592</v>
      </c>
      <c r="C21915" s="5" t="str">
        <f>IFERROR(__xludf.DUMMYFUNCTION("GOOGLETRANSLATE(B21915,""en"",""de"")"),"Sie macht dann den Teig in Kugeln und legt sie auf ein Keksblatt.")</f>
        <v>Sie macht dann den Teig in Kugeln und legt sie auf ein Keksblatt.</v>
      </c>
    </row>
    <row r="21916">
      <c r="A21916" s="4" t="s">
        <v>27590</v>
      </c>
      <c r="B21916" s="4" t="s">
        <v>27593</v>
      </c>
      <c r="C21916" s="5" t="str">
        <f>IFERROR(__xludf.DUMMYFUNCTION("GOOGLETRANSLATE(B21916,""en"",""de"")"),"Sie legt sie in den Ofen.")</f>
        <v>Sie legt sie in den Ofen.</v>
      </c>
    </row>
    <row r="21917">
      <c r="A21917" s="4" t="s">
        <v>27594</v>
      </c>
      <c r="B21917" s="4" t="s">
        <v>27595</v>
      </c>
      <c r="C21917" s="5" t="str">
        <f>IFERROR(__xludf.DUMMYFUNCTION("GOOGLETRANSLATE(B21917,""en"",""de"")"),"Ein Mann sitzt auf dem Boden und hat eine Skate -Show auf einem Fuß und ein Beinprothese für den anderen.")</f>
        <v>Ein Mann sitzt auf dem Boden und hat eine Skate -Show auf einem Fuß und ein Beinprothese für den anderen.</v>
      </c>
    </row>
    <row r="21918">
      <c r="A21918" s="4" t="s">
        <v>27594</v>
      </c>
      <c r="B21918" s="4" t="s">
        <v>27596</v>
      </c>
      <c r="C21918" s="5" t="str">
        <f>IFERROR(__xludf.DUMMYFUNCTION("GOOGLETRANSLATE(B21918,""en"",""de"")"),"Der Mann legt dann die Rollschaufel über seine Prothese und folgt dann mit dem anderen Fuß.")</f>
        <v>Der Mann legt dann die Rollschaufel über seine Prothese und folgt dann mit dem anderen Fuß.</v>
      </c>
    </row>
    <row r="21919">
      <c r="A21919" s="4" t="s">
        <v>27594</v>
      </c>
      <c r="B21919" s="4" t="s">
        <v>27597</v>
      </c>
      <c r="C21919" s="5" t="str">
        <f>IFERROR(__xludf.DUMMYFUNCTION("GOOGLETRANSLATE(B21919,""en"",""de"")"),"Sobald sie beide sind, rockt er ins Gras und jemand hilft ihm, wenn er aufsteht.")</f>
        <v>Sobald sie beide sind, rockt er ins Gras und jemand hilft ihm, wenn er aufsteht.</v>
      </c>
    </row>
    <row r="21920">
      <c r="A21920" s="4" t="s">
        <v>27594</v>
      </c>
      <c r="B21920" s="4" t="s">
        <v>27598</v>
      </c>
      <c r="C21920" s="5" t="str">
        <f>IFERROR(__xludf.DUMMYFUNCTION("GOOGLETRANSLATE(B21920,""en"",""de"")"),"Nachdem er konstant ist, steht er auf und steigt Rollerblading über den Bürgersteig hinunter, bevor er zurückkommt und auf dem Bürgersteig sitzt.")</f>
        <v>Nachdem er konstant ist, steht er auf und steigt Rollerblading über den Bürgersteig hinunter, bevor er zurückkommt und auf dem Bürgersteig sitzt.</v>
      </c>
    </row>
    <row r="21921">
      <c r="A21921" s="4" t="s">
        <v>27599</v>
      </c>
      <c r="B21921" s="4" t="s">
        <v>27600</v>
      </c>
      <c r="C21921" s="5" t="str">
        <f>IFERROR(__xludf.DUMMYFUNCTION("GOOGLETRANSLATE(B21921,""en"",""de"")"),"Mehrere Gegenstände werden auf einem Tisch gesehen, gefolgt von einer Person, die jeden Gegenstand der Kamera präsentiert.")</f>
        <v>Mehrere Gegenstände werden auf einem Tisch gesehen, gefolgt von einer Person, die jeden Gegenstand der Kamera präsentiert.</v>
      </c>
    </row>
    <row r="21922">
      <c r="A21922" s="4" t="s">
        <v>27599</v>
      </c>
      <c r="B21922" s="4" t="s">
        <v>27601</v>
      </c>
      <c r="C21922" s="5" t="str">
        <f>IFERROR(__xludf.DUMMYFUNCTION("GOOGLETRANSLATE(B21922,""en"",""de"")"),"Die Person taucht eine Bürste in Wasser ein, gefolgt von einem Reiniger und rieb einen Lappen über die Bürste.")</f>
        <v>Die Person taucht eine Bürste in Wasser ein, gefolgt von einem Reiniger und rieb einen Lappen über die Bürste.</v>
      </c>
    </row>
    <row r="21923">
      <c r="A21923" s="4" t="s">
        <v>27599</v>
      </c>
      <c r="B21923" s="4" t="s">
        <v>27602</v>
      </c>
      <c r="C21923" s="5" t="str">
        <f>IFERROR(__xludf.DUMMYFUNCTION("GOOGLETRANSLATE(B21923,""en"",""de"")"),"Die Person schrubbt die Schuhe mit der Bürste und wischt sich mit einem Lappen von der Seite ab.")</f>
        <v>Die Person schrubbt die Schuhe mit der Bürste und wischt sich mit einem Lappen von der Seite ab.</v>
      </c>
    </row>
    <row r="21924">
      <c r="A21924" s="4" t="s">
        <v>27599</v>
      </c>
      <c r="B21924" s="4" t="s">
        <v>27603</v>
      </c>
      <c r="C21924" s="5" t="str">
        <f>IFERROR(__xludf.DUMMYFUNCTION("GOOGLETRANSLATE(B21924,""en"",""de"")"),"Er wartet eine gewisse Zeit und reibt die Schuhe erneut und präsentiert sie.")</f>
        <v>Er wartet eine gewisse Zeit und reibt die Schuhe erneut und präsentiert sie.</v>
      </c>
    </row>
    <row r="21925">
      <c r="A21925" s="4" t="s">
        <v>27604</v>
      </c>
      <c r="B21925" s="4" t="s">
        <v>27605</v>
      </c>
      <c r="C21925" s="5" t="str">
        <f>IFERROR(__xludf.DUMMYFUNCTION("GOOGLETRANSLATE(B21925,""en"",""de"")"),"Der Mensch geht in einem Casino und beobachtet das Popel und die Maschinen.")</f>
        <v>Der Mensch geht in einem Casino und beobachtet das Popel und die Maschinen.</v>
      </c>
    </row>
    <row r="21926">
      <c r="A21926" s="4" t="s">
        <v>27604</v>
      </c>
      <c r="B21926" s="4" t="s">
        <v>27606</v>
      </c>
      <c r="C21926" s="5" t="str">
        <f>IFERROR(__xludf.DUMMYFUNCTION("GOOGLETRANSLATE(B21926,""en"",""de"")"),"Frau sitzt in einem schwarzen Jacktisch und spricht mit Männern.")</f>
        <v>Frau sitzt in einem schwarzen Jacktisch und spricht mit Männern.</v>
      </c>
    </row>
    <row r="21927">
      <c r="A21927" s="4" t="s">
        <v>27604</v>
      </c>
      <c r="B21927" s="4" t="s">
        <v>27607</v>
      </c>
      <c r="C21927" s="5" t="str">
        <f>IFERROR(__xludf.DUMMYFUNCTION("GOOGLETRANSLATE(B21927,""en"",""de"")"),"Frau lächelt und streckt ihren Arm hinter ihrem Rücken.")</f>
        <v>Frau lächelt und streckt ihren Arm hinter ihrem Rücken.</v>
      </c>
    </row>
    <row r="21928">
      <c r="A21928" s="4" t="s">
        <v>27604</v>
      </c>
      <c r="B21928" s="4" t="s">
        <v>27608</v>
      </c>
      <c r="C21928" s="5" t="str">
        <f>IFERROR(__xludf.DUMMYFUNCTION("GOOGLETRANSLATE(B21928,""en"",""de"")"),"Man sitzt in einem Tisch und spielt schwarze Jack in einem Casino.")</f>
        <v>Man sitzt in einem Tisch und spielt schwarze Jack in einem Casino.</v>
      </c>
    </row>
    <row r="21929">
      <c r="A21929" s="4" t="s">
        <v>27609</v>
      </c>
      <c r="B21929" s="4" t="s">
        <v>27610</v>
      </c>
      <c r="C21929" s="5" t="str">
        <f>IFERROR(__xludf.DUMMYFUNCTION("GOOGLETRANSLATE(B21929,""en"",""de"")"),"Ein Vorarbeiter trägt blau gefärbte Handschuhe, bevor er mit dem Schweißen von Metall beginnt.")</f>
        <v>Ein Vorarbeiter trägt blau gefärbte Handschuhe, bevor er mit dem Schweißen von Metall beginnt.</v>
      </c>
    </row>
    <row r="21930">
      <c r="A21930" s="4" t="s">
        <v>27609</v>
      </c>
      <c r="B21930" s="4" t="s">
        <v>27611</v>
      </c>
      <c r="C21930" s="5" t="str">
        <f>IFERROR(__xludf.DUMMYFUNCTION("GOOGLETRANSLATE(B21930,""en"",""de"")"),"Er schweißt das Metall mit seiner Taschenlampe und dem Schutzausrüstung weiter.")</f>
        <v>Er schweißt das Metall mit seiner Taschenlampe und dem Schutzausrüstung weiter.</v>
      </c>
    </row>
    <row r="21931">
      <c r="A21931" s="4" t="s">
        <v>27609</v>
      </c>
      <c r="B21931" s="4" t="s">
        <v>27612</v>
      </c>
      <c r="C21931" s="5" t="str">
        <f>IFERROR(__xludf.DUMMYFUNCTION("GOOGLETRANSLATE(B21931,""en"",""de"")"),"Er beschützt das Metall sehr lange.")</f>
        <v>Er beschützt das Metall sehr lange.</v>
      </c>
    </row>
    <row r="21932">
      <c r="A21932" s="4" t="s">
        <v>27609</v>
      </c>
      <c r="B21932" s="4" t="s">
        <v>27613</v>
      </c>
      <c r="C21932" s="5" t="str">
        <f>IFERROR(__xludf.DUMMYFUNCTION("GOOGLETRANSLATE(B21932,""en"",""de"")"),"Schaltet dann die Schweißbrenner aus und legt die Ausrüstung weg.")</f>
        <v>Schaltet dann die Schweißbrenner aus und legt die Ausrüstung weg.</v>
      </c>
    </row>
    <row r="21933">
      <c r="A21933" s="4" t="s">
        <v>27614</v>
      </c>
      <c r="B21933" s="4" t="s">
        <v>27615</v>
      </c>
      <c r="C21933" s="5" t="str">
        <f>IFERROR(__xludf.DUMMYFUNCTION("GOOGLETRANSLATE(B21933,""en"",""de"")"),"Ein junger Mann in einem braunen Hoodie und einer Frachthose steht auf einer Straße in einem bewaldeten Gebiet und legt die Zuschauer an, während er am Ende eines Skateboards festhält.")</f>
        <v>Ein junger Mann in einem braunen Hoodie und einer Frachthose steht auf einer Straße in einem bewaldeten Gebiet und legt die Zuschauer an, während er am Ende eines Skateboards festhält.</v>
      </c>
    </row>
    <row r="21934">
      <c r="A21934" s="4" t="s">
        <v>27614</v>
      </c>
      <c r="B21934" s="4" t="s">
        <v>27616</v>
      </c>
      <c r="C21934" s="5" t="str">
        <f>IFERROR(__xludf.DUMMYFUNCTION("GOOGLETRANSLATE(B21934,""en"",""de"")"),"Nachdem er eine Haltung auf dem Brett gezeigt hat, nimmt er ihn auf und geht mehrere Meter zurück und legt das Skateboard auf den Boden, um es mit einem Fuß am Ende zu kleben.")</f>
        <v>Nachdem er eine Haltung auf dem Brett gezeigt hat, nimmt er ihn auf und geht mehrere Meter zurück und legt das Skateboard auf den Boden, um es mit einem Fuß am Ende zu kleben.</v>
      </c>
    </row>
    <row r="21935">
      <c r="A21935" s="4" t="s">
        <v>27614</v>
      </c>
      <c r="B21935" s="4" t="s">
        <v>27617</v>
      </c>
      <c r="C21935" s="5" t="str">
        <f>IFERROR(__xludf.DUMMYFUNCTION("GOOGLETRANSLATE(B21935,""en"",""de"")"),"Er legt es flach ab und beginnt, vor Brett vorwärts zu fahren.")</f>
        <v>Er legt es flach ab und beginnt, vor Brett vorwärts zu fahren.</v>
      </c>
    </row>
    <row r="21936">
      <c r="A21936" s="4" t="s">
        <v>27614</v>
      </c>
      <c r="B21936" s="4" t="s">
        <v>27618</v>
      </c>
      <c r="C21936" s="5" t="str">
        <f>IFERROR(__xludf.DUMMYFUNCTION("GOOGLETRANSLATE(B21936,""en"",""de"")"),"Er dreht sich auf dem Brett herum, macht einen schwierigen Schritt und kehrt dann zurück zu dem Ort, an dem er anfing zu skaten.")</f>
        <v>Er dreht sich auf dem Brett herum, macht einen schwierigen Schritt und kehrt dann zurück zu dem Ort, an dem er anfing zu skaten.</v>
      </c>
    </row>
    <row r="21937">
      <c r="A21937" s="4" t="s">
        <v>27614</v>
      </c>
      <c r="B21937" s="4" t="s">
        <v>27619</v>
      </c>
      <c r="C21937" s="5" t="str">
        <f>IFERROR(__xludf.DUMMYFUNCTION("GOOGLETRANSLATE(B21937,""en"",""de"")"),"60 Nachdem er ein wenig länger gesprochen und auf das Brett gestikuliert wurde, wiederholt er den Umzug erneut und geht erneut zu der Stelle, von der er angefangen hat.")</f>
        <v>60 Nachdem er ein wenig länger gesprochen und auf das Brett gestikuliert wurde, wiederholt er den Umzug erneut und geht erneut zu der Stelle, von der er angefangen hat.</v>
      </c>
    </row>
    <row r="21938">
      <c r="A21938" s="4" t="s">
        <v>27620</v>
      </c>
      <c r="B21938" s="4" t="s">
        <v>27621</v>
      </c>
      <c r="C21938" s="5" t="str">
        <f>IFERROR(__xludf.DUMMYFUNCTION("GOOGLETRANSLATE(B21938,""en"",""de"")"),"Ein Mädchen macht Rückenflips auf einer blauen Matte.")</f>
        <v>Ein Mädchen macht Rückenflips auf einer blauen Matte.</v>
      </c>
    </row>
    <row r="21939">
      <c r="A21939" s="4" t="s">
        <v>27620</v>
      </c>
      <c r="B21939" s="4" t="s">
        <v>27622</v>
      </c>
      <c r="C21939" s="5" t="str">
        <f>IFERROR(__xludf.DUMMYFUNCTION("GOOGLETRANSLATE(B21939,""en"",""de"")"),"Ein Mädchen macht die Spaltungen in der Luft.")</f>
        <v>Ein Mädchen macht die Spaltungen in der Luft.</v>
      </c>
    </row>
    <row r="21940">
      <c r="A21940" s="4" t="s">
        <v>27620</v>
      </c>
      <c r="B21940" s="4" t="s">
        <v>27623</v>
      </c>
      <c r="C21940" s="5" t="str">
        <f>IFERROR(__xludf.DUMMYFUNCTION("GOOGLETRANSLATE(B21940,""en"",""de"")"),"Die Leute legen sich neben sie auf die Matte.")</f>
        <v>Die Leute legen sich neben sie auf die Matte.</v>
      </c>
    </row>
    <row r="21941">
      <c r="A21941" s="4" t="s">
        <v>27620</v>
      </c>
      <c r="B21941" s="4" t="s">
        <v>27624</v>
      </c>
      <c r="C21941" s="5" t="str">
        <f>IFERROR(__xludf.DUMMYFUNCTION("GOOGLETRANSLATE(B21941,""en"",""de"")"),"Sie macht mehrere Flips auf einem Trampolin.")</f>
        <v>Sie macht mehrere Flips auf einem Trampolin.</v>
      </c>
    </row>
    <row r="21942">
      <c r="A21942" s="4" t="s">
        <v>27625</v>
      </c>
      <c r="B21942" s="4" t="s">
        <v>27626</v>
      </c>
      <c r="C21942" s="5" t="str">
        <f>IFERROR(__xludf.DUMMYFUNCTION("GOOGLETRANSLATE(B21942,""en"",""de"")"),"Wir sehen ein Fitnesscenter -Zeichen.")</f>
        <v>Wir sehen ein Fitnesscenter -Zeichen.</v>
      </c>
    </row>
    <row r="21943">
      <c r="A21943" s="4" t="s">
        <v>27625</v>
      </c>
      <c r="B21943" s="4" t="s">
        <v>27627</v>
      </c>
      <c r="C21943" s="5" t="str">
        <f>IFERROR(__xludf.DUMMYFUNCTION("GOOGLETRANSLATE(B21943,""en"",""de"")"),"Wir sehen dann einen Mann, der mit der Kamera spricht und auf einem Übungsball liegt und liegt.")</f>
        <v>Wir sehen dann einen Mann, der mit der Kamera spricht und auf einem Übungsball liegt und liegt.</v>
      </c>
    </row>
    <row r="21944">
      <c r="A21944" s="4" t="s">
        <v>27625</v>
      </c>
      <c r="B21944" s="4" t="s">
        <v>27628</v>
      </c>
      <c r="C21944" s="5" t="str">
        <f>IFERROR(__xludf.DUMMYFUNCTION("GOOGLETRANSLATE(B21944,""en"",""de"")"),"Der Mann spielt auf dem Ball und redet.")</f>
        <v>Der Mann spielt auf dem Ball und redet.</v>
      </c>
    </row>
    <row r="21945">
      <c r="A21945" s="4" t="s">
        <v>27625</v>
      </c>
      <c r="B21945" s="4" t="s">
        <v>27629</v>
      </c>
      <c r="C21945" s="5" t="str">
        <f>IFERROR(__xludf.DUMMYFUNCTION("GOOGLETRANSLATE(B21945,""en"",""de"")"),"Der Mann setzt sich auf und spricht mit der Kamera.")</f>
        <v>Der Mann setzt sich auf und spricht mit der Kamera.</v>
      </c>
    </row>
    <row r="21946">
      <c r="A21946" s="4" t="s">
        <v>27625</v>
      </c>
      <c r="B21946" s="4" t="s">
        <v>27630</v>
      </c>
      <c r="C21946" s="5" t="str">
        <f>IFERROR(__xludf.DUMMYFUNCTION("GOOGLETRANSLATE(B21946,""en"",""de"")"),"Der Endbildschirm ist auf einem schwarzen Hintergrund zu sehen.")</f>
        <v>Der Endbildschirm ist auf einem schwarzen Hintergrund zu sehen.</v>
      </c>
    </row>
    <row r="21947">
      <c r="A21947" s="4" t="s">
        <v>27631</v>
      </c>
      <c r="B21947" s="4" t="s">
        <v>27632</v>
      </c>
      <c r="C21947" s="5" t="str">
        <f>IFERROR(__xludf.DUMMYFUNCTION("GOOGLETRANSLATE(B21947,""en"",""de"")"),"Zutaten werden zubereitet und in eine große Rührschüssel gegossen.")</f>
        <v>Zutaten werden zubereitet und in eine große Rührschüssel gegossen.</v>
      </c>
    </row>
    <row r="21948">
      <c r="A21948" s="4" t="s">
        <v>27631</v>
      </c>
      <c r="B21948" s="4" t="s">
        <v>27633</v>
      </c>
      <c r="C21948" s="5" t="str">
        <f>IFERROR(__xludf.DUMMYFUNCTION("GOOGLETRANSLATE(B21948,""en"",""de"")"),"Eine Frau wäscht eine Schüssel in einem Spülbecken mit einem Schwamm.")</f>
        <v>Eine Frau wäscht eine Schüssel in einem Spülbecken mit einem Schwamm.</v>
      </c>
    </row>
    <row r="21949">
      <c r="A21949" s="4" t="s">
        <v>27631</v>
      </c>
      <c r="B21949" s="4" t="s">
        <v>27634</v>
      </c>
      <c r="C21949" s="5" t="str">
        <f>IFERROR(__xludf.DUMMYFUNCTION("GOOGLETRANSLATE(B21949,""en"",""de"")"),"Die Frau riecht die Schüssel, um sicherzustellen, dass sie sauber ist.")</f>
        <v>Die Frau riecht die Schüssel, um sicherzustellen, dass sie sauber ist.</v>
      </c>
    </row>
    <row r="21950">
      <c r="A21950" s="4" t="s">
        <v>27631</v>
      </c>
      <c r="B21950" s="4" t="s">
        <v>27635</v>
      </c>
      <c r="C21950" s="5" t="str">
        <f>IFERROR(__xludf.DUMMYFUNCTION("GOOGLETRANSLATE(B21950,""en"",""de"")"),"Die Frau stellt die Schüssel in eine Schüsselreinsmaschine und zeigt die richtige Platzierung.")</f>
        <v>Die Frau stellt die Schüssel in eine Schüsselreinsmaschine und zeigt die richtige Platzierung.</v>
      </c>
    </row>
    <row r="21951">
      <c r="A21951" s="4" t="s">
        <v>27631</v>
      </c>
      <c r="B21951" s="4" t="s">
        <v>27636</v>
      </c>
      <c r="C21951" s="5" t="str">
        <f>IFERROR(__xludf.DUMMYFUNCTION("GOOGLETRANSLATE(B21951,""en"",""de"")"),"Eine Frau wäscht einen Teller in einem Spülbecken mit einem Schwamm.")</f>
        <v>Eine Frau wäscht einen Teller in einem Spülbecken mit einem Schwamm.</v>
      </c>
    </row>
    <row r="21952">
      <c r="A21952" s="4" t="s">
        <v>27631</v>
      </c>
      <c r="B21952" s="4" t="s">
        <v>27637</v>
      </c>
      <c r="C21952" s="5" t="str">
        <f>IFERROR(__xludf.DUMMYFUNCTION("GOOGLETRANSLATE(B21952,""en"",""de"")"),"Die Frau riecht den Teller, um sicherzustellen, dass er sauber ist.")</f>
        <v>Die Frau riecht den Teller, um sicherzustellen, dass er sauber ist.</v>
      </c>
    </row>
    <row r="21953">
      <c r="A21953" s="4" t="s">
        <v>27631</v>
      </c>
      <c r="B21953" s="4" t="s">
        <v>27638</v>
      </c>
      <c r="C21953" s="5" t="str">
        <f>IFERROR(__xludf.DUMMYFUNCTION("GOOGLETRANSLATE(B21953,""en"",""de"")"),"Die Frau legt den Teller in eine Schüsselreinsmaschine und zeigt die richtige Platzierung.")</f>
        <v>Die Frau legt den Teller in eine Schüsselreinsmaschine und zeigt die richtige Platzierung.</v>
      </c>
    </row>
    <row r="21954">
      <c r="A21954" s="4" t="s">
        <v>27631</v>
      </c>
      <c r="B21954" s="4" t="s">
        <v>27639</v>
      </c>
      <c r="C21954" s="5" t="str">
        <f>IFERROR(__xludf.DUMMYFUNCTION("GOOGLETRANSLATE(B21954,""en"",""de"")"),"Eine Frau wäscht Glasbecher in einem Spülbecken mit einem Schwamm.")</f>
        <v>Eine Frau wäscht Glasbecher in einem Spülbecken mit einem Schwamm.</v>
      </c>
    </row>
    <row r="21955">
      <c r="A21955" s="4" t="s">
        <v>27631</v>
      </c>
      <c r="B21955" s="4" t="s">
        <v>27640</v>
      </c>
      <c r="C21955" s="5" t="str">
        <f>IFERROR(__xludf.DUMMYFUNCTION("GOOGLETRANSLATE(B21955,""en"",""de"")"),"Die Frau riecht die Glasbecher, um sicherzustellen, dass sie sauber sind.")</f>
        <v>Die Frau riecht die Glasbecher, um sicherzustellen, dass sie sauber sind.</v>
      </c>
    </row>
    <row r="21956">
      <c r="A21956" s="4" t="s">
        <v>27631</v>
      </c>
      <c r="B21956" s="4" t="s">
        <v>27641</v>
      </c>
      <c r="C21956" s="5" t="str">
        <f>IFERROR(__xludf.DUMMYFUNCTION("GOOGLETRANSLATE(B21956,""en"",""de"")"),"Die Frau legt die Glasbecher in eine Schüsselreinsmaschine und zeigt die richtige Platzierung.")</f>
        <v>Die Frau legt die Glasbecher in eine Schüsselreinsmaschine und zeigt die richtige Platzierung.</v>
      </c>
    </row>
    <row r="21957">
      <c r="A21957" s="4" t="s">
        <v>27631</v>
      </c>
      <c r="B21957" s="4" t="s">
        <v>27642</v>
      </c>
      <c r="C21957" s="5" t="str">
        <f>IFERROR(__xludf.DUMMYFUNCTION("GOOGLETRANSLATE(B21957,""en"",""de"")"),"End Credits sind für den Film zu sehen.")</f>
        <v>End Credits sind für den Film zu sehen.</v>
      </c>
    </row>
    <row r="21958">
      <c r="A21958" s="4" t="s">
        <v>27643</v>
      </c>
      <c r="B21958" s="4" t="s">
        <v>27644</v>
      </c>
      <c r="C21958" s="5" t="str">
        <f>IFERROR(__xludf.DUMMYFUNCTION("GOOGLETRANSLATE(B21958,""en"",""de"")"),"Eine Einführung erscheint auf dem Bildschirm für ein Video über das Galloppieren am Strand.")</f>
        <v>Eine Einführung erscheint auf dem Bildschirm für ein Video über das Galloppieren am Strand.</v>
      </c>
    </row>
    <row r="21959">
      <c r="A21959" s="4" t="s">
        <v>27643</v>
      </c>
      <c r="B21959" s="4" t="s">
        <v>27645</v>
      </c>
      <c r="C21959" s="5" t="str">
        <f>IFERROR(__xludf.DUMMYFUNCTION("GOOGLETRANSLATE(B21959,""en"",""de"")"),"Es werden mehrere Bilder von Menschen gezeigt, die auf dem Pferderücken entlang des Strandes fahren.")</f>
        <v>Es werden mehrere Bilder von Menschen gezeigt, die auf dem Pferderücken entlang des Strandes fahren.</v>
      </c>
    </row>
    <row r="21960">
      <c r="A21960" s="4" t="s">
        <v>27643</v>
      </c>
      <c r="B21960" s="4" t="s">
        <v>27646</v>
      </c>
      <c r="C21960" s="5" t="str">
        <f>IFERROR(__xludf.DUMMYFUNCTION("GOOGLETRANSLATE(B21960,""en"",""de"")"),"Die Bilder werden zu einem Video mehrerer Personen, die die Sanddünen entlang gehen.")</f>
        <v>Die Bilder werden zu einem Video mehrerer Personen, die die Sanddünen entlang gehen.</v>
      </c>
    </row>
    <row r="21961">
      <c r="A21961" s="4" t="s">
        <v>27643</v>
      </c>
      <c r="B21961" s="4" t="s">
        <v>27647</v>
      </c>
      <c r="C21961" s="5" t="str">
        <f>IFERROR(__xludf.DUMMYFUNCTION("GOOGLETRANSLATE(B21961,""en"",""de"")"),"Das Video wechselt dann zwischen Bildern und Video von Menschen, die die Strandfahrt genießen.")</f>
        <v>Das Video wechselt dann zwischen Bildern und Video von Menschen, die die Strandfahrt genießen.</v>
      </c>
    </row>
    <row r="21962">
      <c r="A21962" s="4" t="s">
        <v>27643</v>
      </c>
      <c r="B21962" s="4" t="s">
        <v>27648</v>
      </c>
      <c r="C21962" s="5" t="str">
        <f>IFERROR(__xludf.DUMMYFUNCTION("GOOGLETRANSLATE(B21962,""en"",""de"")"),"Das Video endet mit dem angezeigten Text, der weitere Informationen zur Reise zeigt.")</f>
        <v>Das Video endet mit dem angezeigten Text, der weitere Informationen zur Reise zeigt.</v>
      </c>
    </row>
    <row r="21963">
      <c r="A21963" s="4" t="s">
        <v>27649</v>
      </c>
      <c r="B21963" s="4" t="s">
        <v>27650</v>
      </c>
      <c r="C21963" s="5" t="str">
        <f>IFERROR(__xludf.DUMMYFUNCTION("GOOGLETRANSLATE(B21963,""en"",""de"")"),"Eine Frau demonstriert, wie man in einer Bar an einer Bar -Arbeitsplatte vor einer mit Alkohol gefüllten Arbeitsplatte ein gemischtes Getränk macht.")</f>
        <v>Eine Frau demonstriert, wie man in einer Bar an einer Bar -Arbeitsplatte vor einer mit Alkohol gefüllten Arbeitsplatte ein gemischtes Getränk macht.</v>
      </c>
    </row>
    <row r="21964">
      <c r="A21964" s="4" t="s">
        <v>27649</v>
      </c>
      <c r="B21964" s="4" t="s">
        <v>27651</v>
      </c>
      <c r="C21964" s="5" t="str">
        <f>IFERROR(__xludf.DUMMYFUNCTION("GOOGLETRANSLATE(B21964,""en"",""de"")"),"Die Frau spricht mit der Kamera und zieht eine Flasche Alkohol neben einem Masonglas heraus, das mit einer Scheibe Zitrone und Minze vorbereitet ist.")</f>
        <v>Die Frau spricht mit der Kamera und zieht eine Flasche Alkohol neben einem Masonglas heraus, das mit einer Scheibe Zitrone und Minze vorbereitet ist.</v>
      </c>
    </row>
    <row r="21965">
      <c r="A21965" s="4" t="s">
        <v>27649</v>
      </c>
      <c r="B21965" s="4" t="s">
        <v>27652</v>
      </c>
      <c r="C21965" s="5" t="str">
        <f>IFERROR(__xludf.DUMMYFUNCTION("GOOGLETRANSLATE(B21965,""en"",""de"")"),"Die Frau gießt Eis in das Glas und ein paar Schüsse Alkohol und gießt dann Limonade in das Glas mit einem Minzzweig und Zitronenkeil am Rand.")</f>
        <v>Die Frau gießt Eis in das Glas und ein paar Schüsse Alkohol und gießt dann Limonade in das Glas mit einem Minzzweig und Zitronenkeil am Rand.</v>
      </c>
    </row>
    <row r="21966">
      <c r="A21966" s="4" t="s">
        <v>27649</v>
      </c>
      <c r="B21966" s="4" t="s">
        <v>27653</v>
      </c>
      <c r="C21966" s="5" t="str">
        <f>IFERROR(__xludf.DUMMYFUNCTION("GOOGLETRANSLATE(B21966,""en"",""de"")"),"Die Frau nimmt einen Schluck des Getränks, bevor die Szene verblasst.")</f>
        <v>Die Frau nimmt einen Schluck des Getränks, bevor die Szene verblasst.</v>
      </c>
    </row>
    <row r="21967">
      <c r="A21967" s="4" t="s">
        <v>27654</v>
      </c>
      <c r="B21967" s="4" t="s">
        <v>27655</v>
      </c>
      <c r="C21967" s="5" t="str">
        <f>IFERROR(__xludf.DUMMYFUNCTION("GOOGLETRANSLATE(B21967,""en"",""de"")"),"Ein Mann ist draußen in seinem Garten.")</f>
        <v>Ein Mann ist draußen in seinem Garten.</v>
      </c>
    </row>
    <row r="21968">
      <c r="A21968" s="4" t="s">
        <v>27654</v>
      </c>
      <c r="B21968" s="4" t="s">
        <v>27656</v>
      </c>
      <c r="C21968" s="5" t="str">
        <f>IFERROR(__xludf.DUMMYFUNCTION("GOOGLETRANSLATE(B21968,""en"",""de"")"),"Er benutzt eine Druckwaschmaschine, um die Blätter von seinem Rasen zu waschen.")</f>
        <v>Er benutzt eine Druckwaschmaschine, um die Blätter von seinem Rasen zu waschen.</v>
      </c>
    </row>
    <row r="21969">
      <c r="A21969" s="4" t="s">
        <v>27654</v>
      </c>
      <c r="B21969" s="4" t="s">
        <v>27657</v>
      </c>
      <c r="C21969" s="5" t="str">
        <f>IFERROR(__xludf.DUMMYFUNCTION("GOOGLETRANSLATE(B21969,""en"",""de"")"),"Er sprüht sie auf und ab und schob sie eine Steigung hinunter.")</f>
        <v>Er sprüht sie auf und ab und schob sie eine Steigung hinunter.</v>
      </c>
    </row>
    <row r="21970">
      <c r="A21970" s="4" t="s">
        <v>27658</v>
      </c>
      <c r="B21970" s="4" t="s">
        <v>27659</v>
      </c>
      <c r="C21970" s="5" t="str">
        <f>IFERROR(__xludf.DUMMYFUNCTION("GOOGLETRANSLATE(B21970,""en"",""de"")"),"Ein Mann füllt einen Topf mit Wasser und fügt Salz und Öl hinzu und kocht dann das Wasser, während er spricht.")</f>
        <v>Ein Mann füllt einen Topf mit Wasser und fügt Salz und Öl hinzu und kocht dann das Wasser, während er spricht.</v>
      </c>
    </row>
    <row r="21971">
      <c r="A21971" s="4" t="s">
        <v>27658</v>
      </c>
      <c r="B21971" s="4" t="s">
        <v>27660</v>
      </c>
      <c r="C21971" s="5" t="str">
        <f>IFERROR(__xludf.DUMMYFUNCTION("GOOGLETRANSLATE(B21971,""en"",""de"")"),"Dann steckt der Mann die Spaghetti in den Bowling -Topf.")</f>
        <v>Dann steckt der Mann die Spaghetti in den Bowling -Topf.</v>
      </c>
    </row>
    <row r="21972">
      <c r="A21972" s="4" t="s">
        <v>27658</v>
      </c>
      <c r="B21972" s="4" t="s">
        <v>27661</v>
      </c>
      <c r="C21972" s="5" t="str">
        <f>IFERROR(__xludf.DUMMYFUNCTION("GOOGLETRANSLATE(B21972,""en"",""de"")"),"Danach schmeckt der Mann die Spaghetti und entwässert sie.")</f>
        <v>Danach schmeckt der Mann die Spaghetti und entwässert sie.</v>
      </c>
    </row>
    <row r="21973">
      <c r="A21973" s="4" t="s">
        <v>27658</v>
      </c>
      <c r="B21973" s="4" t="s">
        <v>27662</v>
      </c>
      <c r="C21973" s="5" t="str">
        <f>IFERROR(__xludf.DUMMYFUNCTION("GOOGLETRANSLATE(B21973,""en"",""de"")"),"Als nächstes fügt der Mann geriebenen Käse und Öl auf den Spaghetti hinzu.")</f>
        <v>Als nächstes fügt der Mann geriebenen Käse und Öl auf den Spaghetti hinzu.</v>
      </c>
    </row>
    <row r="21974">
      <c r="A21974" s="4" t="s">
        <v>27663</v>
      </c>
      <c r="B21974" s="4" t="s">
        <v>27664</v>
      </c>
      <c r="C21974" s="5" t="str">
        <f>IFERROR(__xludf.DUMMYFUNCTION("GOOGLETRANSLATE(B21974,""en"",""de"")"),"Es gibt 3 Männer und 1 Frau.")</f>
        <v>Es gibt 3 Männer und 1 Frau.</v>
      </c>
    </row>
    <row r="21975">
      <c r="A21975" s="4" t="s">
        <v>27663</v>
      </c>
      <c r="B21975" s="4" t="s">
        <v>27665</v>
      </c>
      <c r="C21975" s="5" t="str">
        <f>IFERROR(__xludf.DUMMYFUNCTION("GOOGLETRANSLATE(B21975,""en"",""de"")"),"Jeder von ihnen zeigt und erzählt Ihnen ihre Art des Bowlings, um Streiks zu verdienen und perfekte Punktzahlen auf der High -Anzeigetafel zu erzielen.")</f>
        <v>Jeder von ihnen zeigt und erzählt Ihnen ihre Art des Bowlings, um Streiks zu verdienen und perfekte Punktzahlen auf der High -Anzeigetafel zu erzielen.</v>
      </c>
    </row>
    <row r="21976">
      <c r="A21976" s="4" t="s">
        <v>27666</v>
      </c>
      <c r="B21976" s="4" t="s">
        <v>27667</v>
      </c>
      <c r="C21976" s="5" t="str">
        <f>IFERROR(__xludf.DUMMYFUNCTION("GOOGLETRANSLATE(B21976,""en"",""de"")"),"Wir sehen den Titel für Kyla Ross in den parallelen Bars.")</f>
        <v>Wir sehen den Titel für Kyla Ross in den parallelen Bars.</v>
      </c>
    </row>
    <row r="21977">
      <c r="A21977" s="4" t="s">
        <v>27666</v>
      </c>
      <c r="B21977" s="4" t="s">
        <v>27668</v>
      </c>
      <c r="C21977" s="5" t="str">
        <f>IFERROR(__xludf.DUMMYFUNCTION("GOOGLETRANSLATE(B21977,""en"",""de"")"),"Die Mädchen heben sich und senkt dann die Arme.")</f>
        <v>Die Mädchen heben sich und senkt dann die Arme.</v>
      </c>
    </row>
    <row r="21978">
      <c r="A21978" s="4" t="s">
        <v>27666</v>
      </c>
      <c r="B21978" s="4" t="s">
        <v>27669</v>
      </c>
      <c r="C21978" s="5" t="str">
        <f>IFERROR(__xludf.DUMMYFUNCTION("GOOGLETRANSLATE(B21978,""en"",""de"")"),"Kyla springt dann auf die kurze Stange.")</f>
        <v>Kyla springt dann auf die kurze Stange.</v>
      </c>
    </row>
    <row r="21979">
      <c r="A21979" s="4" t="s">
        <v>27666</v>
      </c>
      <c r="B21979" s="4" t="s">
        <v>27670</v>
      </c>
      <c r="C21979" s="5" t="str">
        <f>IFERROR(__xludf.DUMMYFUNCTION("GOOGLETRANSLATE(B21979,""en"",""de"")"),"Sie überträgt in die hohe Bar und dann zurück zum kurzen.")</f>
        <v>Sie überträgt in die hohe Bar und dann zurück zum kurzen.</v>
      </c>
    </row>
    <row r="21980">
      <c r="A21980" s="4" t="s">
        <v>27666</v>
      </c>
      <c r="B21980" s="4" t="s">
        <v>27671</v>
      </c>
      <c r="C21980" s="5" t="str">
        <f>IFERROR(__xludf.DUMMYFUNCTION("GOOGLETRANSLATE(B21980,""en"",""de"")"),"Sie dreht sich zurück zum großen und dreht sich.")</f>
        <v>Sie dreht sich zurück zum großen und dreht sich.</v>
      </c>
    </row>
    <row r="21981">
      <c r="A21981" s="4" t="s">
        <v>27666</v>
      </c>
      <c r="B21981" s="4" t="s">
        <v>27672</v>
      </c>
      <c r="C21981" s="5" t="str">
        <f>IFERROR(__xludf.DUMMYFUNCTION("GOOGLETRANSLATE(B21981,""en"",""de"")"),"Sie dreht sich in die kurze Bar, dann zurück zum großen und dreht sich.")</f>
        <v>Sie dreht sich in die kurze Bar, dann zurück zum großen und dreht sich.</v>
      </c>
    </row>
    <row r="21982">
      <c r="A21982" s="4" t="s">
        <v>27666</v>
      </c>
      <c r="B21982" s="4" t="s">
        <v>27673</v>
      </c>
      <c r="C21982" s="5" t="str">
        <f>IFERROR(__xludf.DUMMYFUNCTION("GOOGLETRANSLATE(B21982,""en"",""de"")"),"Sie steigt und umarmt ihren Trainer.")</f>
        <v>Sie steigt und umarmt ihren Trainer.</v>
      </c>
    </row>
    <row r="21983">
      <c r="A21983" s="4" t="s">
        <v>27666</v>
      </c>
      <c r="B21983" s="4" t="s">
        <v>27674</v>
      </c>
      <c r="C21983" s="5" t="str">
        <f>IFERROR(__xludf.DUMMYFUNCTION("GOOGLETRANSLATE(B21983,""en"",""de"")"),"Wir sehen ihr Endergebnis auf einem schwarzen Bildschirm.")</f>
        <v>Wir sehen ihr Endergebnis auf einem schwarzen Bildschirm.</v>
      </c>
    </row>
    <row r="21984">
      <c r="A21984" s="4" t="s">
        <v>27675</v>
      </c>
      <c r="B21984" s="4" t="s">
        <v>27676</v>
      </c>
      <c r="C21984" s="5" t="str">
        <f>IFERROR(__xludf.DUMMYFUNCTION("GOOGLETRANSLATE(B21984,""en"",""de"")"),"Eine Frau in einem weißen Tanktop fährt mit einem Trainingsrad in einem Raum.")</f>
        <v>Eine Frau in einem weißen Tanktop fährt mit einem Trainingsrad in einem Raum.</v>
      </c>
    </row>
    <row r="21985">
      <c r="A21985" s="4" t="s">
        <v>27675</v>
      </c>
      <c r="B21985" s="4" t="s">
        <v>27677</v>
      </c>
      <c r="C21985" s="5" t="str">
        <f>IFERROR(__xludf.DUMMYFUNCTION("GOOGLETRANSLATE(B21985,""en"",""de"")"),"Sie macht Push -Ups auf einer schwarzen Matte.")</f>
        <v>Sie macht Push -Ups auf einer schwarzen Matte.</v>
      </c>
    </row>
    <row r="21986">
      <c r="A21986" s="4" t="s">
        <v>27675</v>
      </c>
      <c r="B21986" s="4" t="s">
        <v>27678</v>
      </c>
      <c r="C21986" s="5" t="str">
        <f>IFERROR(__xludf.DUMMYFUNCTION("GOOGLETRANSLATE(B21986,""en"",""de"")"),"Sie fährt wieder mit dem Trainingrad.")</f>
        <v>Sie fährt wieder mit dem Trainingrad.</v>
      </c>
    </row>
    <row r="21987">
      <c r="A21987" s="4" t="s">
        <v>27675</v>
      </c>
      <c r="B21987" s="4" t="s">
        <v>27679</v>
      </c>
      <c r="C21987" s="5" t="str">
        <f>IFERROR(__xludf.DUMMYFUNCTION("GOOGLETRANSLATE(B21987,""en"",""de"")"),"Sie hebt Gewicht an ihren Seiten auf und ab.")</f>
        <v>Sie hebt Gewicht an ihren Seiten auf und ab.</v>
      </c>
    </row>
    <row r="21988">
      <c r="A21988" s="4" t="s">
        <v>27675</v>
      </c>
      <c r="B21988" s="4" t="s">
        <v>27680</v>
      </c>
      <c r="C21988" s="5" t="str">
        <f>IFERROR(__xludf.DUMMYFUNCTION("GOOGLETRANSLATE(B21988,""en"",""de"")"),"Sie fährt wieder auf dem Trainingrad.")</f>
        <v>Sie fährt wieder auf dem Trainingrad.</v>
      </c>
    </row>
    <row r="21989">
      <c r="A21989" s="4" t="s">
        <v>27681</v>
      </c>
      <c r="B21989" s="4" t="s">
        <v>27682</v>
      </c>
      <c r="C21989" s="5" t="str">
        <f>IFERROR(__xludf.DUMMYFUNCTION("GOOGLETRANSLATE(B21989,""en"",""de"")"),"Ein Mann zeigt, wie man ein Freund Bologna -Sandwich in seiner Küche kocht.")</f>
        <v>Ein Mann zeigt, wie man ein Freund Bologna -Sandwich in seiner Küche kocht.</v>
      </c>
    </row>
    <row r="21990">
      <c r="A21990" s="4" t="s">
        <v>27681</v>
      </c>
      <c r="B21990" s="4" t="s">
        <v>27683</v>
      </c>
      <c r="C21990" s="5" t="str">
        <f>IFERROR(__xludf.DUMMYFUNCTION("GOOGLETRANSLATE(B21990,""en"",""de"")"),"Er nimmt zwei Scheiben Sandwichbrot und steckt sie in den Toaster.")</f>
        <v>Er nimmt zwei Scheiben Sandwichbrot und steckt sie in den Toaster.</v>
      </c>
    </row>
    <row r="21991">
      <c r="A21991" s="4" t="s">
        <v>27681</v>
      </c>
      <c r="B21991" s="4" t="s">
        <v>27684</v>
      </c>
      <c r="C21991" s="5" t="str">
        <f>IFERROR(__xludf.DUMMYFUNCTION("GOOGLETRANSLATE(B21991,""en"",""de"")"),"Dann nimmt er ein wenig Butter und Bologna in eine Pfanne und frittiert sie.")</f>
        <v>Dann nimmt er ein wenig Butter und Bologna in eine Pfanne und frittiert sie.</v>
      </c>
    </row>
    <row r="21992">
      <c r="A21992" s="4" t="s">
        <v>27681</v>
      </c>
      <c r="B21992" s="4" t="s">
        <v>27685</v>
      </c>
      <c r="C21992" s="5" t="str">
        <f>IFERROR(__xludf.DUMMYFUNCTION("GOOGLETRANSLATE(B21992,""en"",""de"")"),"Er dreht die Bologna um, um sie auf beiden Seiten zu braten.")</f>
        <v>Er dreht die Bologna um, um sie auf beiden Seiten zu braten.</v>
      </c>
    </row>
    <row r="21993">
      <c r="A21993" s="4" t="s">
        <v>27681</v>
      </c>
      <c r="B21993" s="4" t="s">
        <v>27686</v>
      </c>
      <c r="C21993" s="5" t="str">
        <f>IFERROR(__xludf.DUMMYFUNCTION("GOOGLETRANSLATE(B21993,""en"",""de"")"),"Dann nimmt er zwei Scheiben amerikanischer Käse.")</f>
        <v>Dann nimmt er zwei Scheiben amerikanischer Käse.</v>
      </c>
    </row>
    <row r="21994">
      <c r="A21994" s="4" t="s">
        <v>27681</v>
      </c>
      <c r="B21994" s="4" t="s">
        <v>27687</v>
      </c>
      <c r="C21994" s="5" t="str">
        <f>IFERROR(__xludf.DUMMYFUNCTION("GOOGLETRANSLATE(B21994,""en"",""de"")"),"Er nimmt die Bologna aus der Pfanne und legt sie zusammen mit den Käsescheiben auf den Toast.")</f>
        <v>Er nimmt die Bologna aus der Pfanne und legt sie zusammen mit den Käsescheiben auf den Toast.</v>
      </c>
    </row>
    <row r="21995">
      <c r="A21995" s="4" t="s">
        <v>27681</v>
      </c>
      <c r="B21995" s="4" t="s">
        <v>27688</v>
      </c>
      <c r="C21995" s="5" t="str">
        <f>IFERROR(__xludf.DUMMYFUNCTION("GOOGLETRANSLATE(B21995,""en"",""de"")"),"Er zeigt das fertige Sandwich mit Bologna und Käse.")</f>
        <v>Er zeigt das fertige Sandwich mit Bologna und Käse.</v>
      </c>
    </row>
    <row r="21996">
      <c r="A21996" s="4" t="s">
        <v>27689</v>
      </c>
      <c r="B21996" s="4" t="s">
        <v>27690</v>
      </c>
      <c r="C21996" s="5" t="str">
        <f>IFERROR(__xludf.DUMMYFUNCTION("GOOGLETRANSLATE(B21996,""en"",""de"")"),"Ein Mann sitzt auf einer Gewichtsmaschine und greift auf Griffstangen.")</f>
        <v>Ein Mann sitzt auf einer Gewichtsmaschine und greift auf Griffstangen.</v>
      </c>
    </row>
    <row r="21997">
      <c r="A21997" s="4" t="s">
        <v>27689</v>
      </c>
      <c r="B21997" s="4" t="s">
        <v>27691</v>
      </c>
      <c r="C21997" s="5" t="str">
        <f>IFERROR(__xludf.DUMMYFUNCTION("GOOGLETRANSLATE(B21997,""en"",""de"")"),"Er zieht den Lenker zurück und den vierten Platz, während sich der Sitz bewegt, auf dem er sich ständig bewegt.")</f>
        <v>Er zieht den Lenker zurück und den vierten Platz, während sich der Sitz bewegt, auf dem er sich ständig bewegt.</v>
      </c>
    </row>
    <row r="21998">
      <c r="A21998" s="4" t="s">
        <v>27689</v>
      </c>
      <c r="B21998" s="4" t="s">
        <v>27692</v>
      </c>
      <c r="C21998" s="5" t="str">
        <f>IFERROR(__xludf.DUMMYFUNCTION("GOOGLETRANSLATE(B21998,""en"",""de"")"),"Er führt dieses Set mehrmals durch und macht schließlich eine Pause, um den Anweisungen enden zu lassen.")</f>
        <v>Er führt dieses Set mehrmals durch und macht schließlich eine Pause, um den Anweisungen enden zu lassen.</v>
      </c>
    </row>
    <row r="21999">
      <c r="A21999" s="4" t="s">
        <v>27693</v>
      </c>
      <c r="B21999" s="4" t="s">
        <v>27694</v>
      </c>
      <c r="C21999" s="5" t="str">
        <f>IFERROR(__xludf.DUMMYFUNCTION("GOOGLETRANSLATE(B21999,""en"",""de"")"),"Ein kahlköpfiger Mann im grauen Hemd steht auf dem Spielplatz, er ging zu den Affenstangen und fing an, sich hinauf und ab zu ziehen.")</f>
        <v>Ein kahlköpfiger Mann im grauen Hemd steht auf dem Spielplatz, er ging zu den Affenstangen und fing an, sich hinauf und ab zu ziehen.</v>
      </c>
    </row>
    <row r="22000">
      <c r="A22000" s="4" t="s">
        <v>27693</v>
      </c>
      <c r="B22000" s="4" t="s">
        <v>27695</v>
      </c>
      <c r="C22000" s="5" t="str">
        <f>IFERROR(__xludf.DUMMYFUNCTION("GOOGLETRANSLATE(B22000,""en"",""de"")"),"Er ging zurück in die Affenbar und zog sich hinauf und ab.")</f>
        <v>Er ging zurück in die Affenbar und zog sich hinauf und ab.</v>
      </c>
    </row>
    <row r="22001">
      <c r="A22001" s="4" t="s">
        <v>27696</v>
      </c>
      <c r="B22001" s="4" t="s">
        <v>27697</v>
      </c>
      <c r="C22001" s="5" t="str">
        <f>IFERROR(__xludf.DUMMYFUNCTION("GOOGLETRANSLATE(B22001,""en"",""de"")"),"Eine Frau spricht, während er ein Saxophon hält.")</f>
        <v>Eine Frau spricht, während er ein Saxophon hält.</v>
      </c>
    </row>
    <row r="22002">
      <c r="A22002" s="4" t="s">
        <v>27696</v>
      </c>
      <c r="B22002" s="4" t="s">
        <v>27698</v>
      </c>
      <c r="C22002" s="5" t="str">
        <f>IFERROR(__xludf.DUMMYFUNCTION("GOOGLETRANSLATE(B22002,""en"",""de"")"),"Sie beginnt das Saxophon zu spielen.")</f>
        <v>Sie beginnt das Saxophon zu spielen.</v>
      </c>
    </row>
    <row r="22003">
      <c r="A22003" s="4" t="s">
        <v>27699</v>
      </c>
      <c r="B22003" s="4" t="s">
        <v>1251</v>
      </c>
      <c r="C22003" s="5" t="str">
        <f>IFERROR(__xludf.DUMMYFUNCTION("GOOGLETRANSLATE(B22003,""en"",""de"")"),"Die Credits des Clips werden angezeigt.")</f>
        <v>Die Credits des Clips werden angezeigt.</v>
      </c>
    </row>
    <row r="22004">
      <c r="A22004" s="4" t="s">
        <v>27699</v>
      </c>
      <c r="B22004" s="4" t="s">
        <v>27700</v>
      </c>
      <c r="C22004" s="5" t="str">
        <f>IFERROR(__xludf.DUMMYFUNCTION("GOOGLETRANSLATE(B22004,""en"",""de"")"),"Ein Mann hebt einen Metallkugel über seinem Kopf, dreht sich mit einer Metallkugel und gibt den Metallball frei.")</f>
        <v>Ein Mann hebt einen Metallkugel über seinem Kopf, dreht sich mit einer Metallkugel und gibt den Metallball frei.</v>
      </c>
    </row>
    <row r="22005">
      <c r="A22005" s="4" t="s">
        <v>27699</v>
      </c>
      <c r="B22005" s="4" t="s">
        <v>27701</v>
      </c>
      <c r="C22005" s="5" t="str">
        <f>IFERROR(__xludf.DUMMYFUNCTION("GOOGLETRANSLATE(B22005,""en"",""de"")"),"Ein Typ jubelt nach dem Freilassen des Metallballs.")</f>
        <v>Ein Typ jubelt nach dem Freilassen des Metallballs.</v>
      </c>
    </row>
    <row r="22006">
      <c r="A22006" s="4" t="s">
        <v>27699</v>
      </c>
      <c r="B22006" s="4" t="s">
        <v>27702</v>
      </c>
      <c r="C22006" s="5" t="str">
        <f>IFERROR(__xludf.DUMMYFUNCTION("GOOGLETRANSLATE(B22006,""en"",""de"")"),"Das Score -Board wird angezeigt.")</f>
        <v>Das Score -Board wird angezeigt.</v>
      </c>
    </row>
    <row r="22007">
      <c r="A22007" s="4" t="s">
        <v>27703</v>
      </c>
      <c r="B22007" s="4" t="s">
        <v>27704</v>
      </c>
      <c r="C22007" s="5" t="str">
        <f>IFERROR(__xludf.DUMMYFUNCTION("GOOGLETRANSLATE(B22007,""en"",""de"")"),"Ein kleiner Junge fährt mit einem Auto und spielt mit seinem Handy.")</f>
        <v>Ein kleiner Junge fährt mit einem Auto und spielt mit seinem Handy.</v>
      </c>
    </row>
    <row r="22008">
      <c r="A22008" s="4" t="s">
        <v>27703</v>
      </c>
      <c r="B22008" s="4" t="s">
        <v>27705</v>
      </c>
      <c r="C22008" s="5" t="str">
        <f>IFERROR(__xludf.DUMMYFUNCTION("GOOGLETRANSLATE(B22008,""en"",""de"")"),"Er beginnt ein Gespräch mit einem älteren Mann, der ihn im Auto aufzeichnet.")</f>
        <v>Er beginnt ein Gespräch mit einem älteren Mann, der ihn im Auto aufzeichnet.</v>
      </c>
    </row>
    <row r="22009">
      <c r="A22009" s="4" t="s">
        <v>27706</v>
      </c>
      <c r="B22009" s="4" t="s">
        <v>27707</v>
      </c>
      <c r="C22009" s="5" t="str">
        <f>IFERROR(__xludf.DUMMYFUNCTION("GOOGLETRANSLATE(B22009,""en"",""de"")"),"Ein Mann rennt auf einem professionellen Stadion aus und wirft einen Ball auf einen Teig.")</f>
        <v>Ein Mann rennt auf einem professionellen Stadion aus und wirft einen Ball auf einen Teig.</v>
      </c>
    </row>
    <row r="22010">
      <c r="A22010" s="4" t="s">
        <v>27706</v>
      </c>
      <c r="B22010" s="4" t="s">
        <v>27708</v>
      </c>
      <c r="C22010" s="5" t="str">
        <f>IFERROR(__xludf.DUMMYFUNCTION("GOOGLETRANSLATE(B22010,""en"",""de"")"),"Zwei Frauen, die das Spiel beobachten, wie der Schlag mit seiner Planke den Ball besiegt hat.")</f>
        <v>Zwei Frauen, die das Spiel beobachten, wie der Schlag mit seiner Planke den Ball besiegt hat.</v>
      </c>
    </row>
    <row r="22011">
      <c r="A22011" s="4" t="s">
        <v>27706</v>
      </c>
      <c r="B22011" s="4" t="s">
        <v>27709</v>
      </c>
      <c r="C22011" s="5" t="str">
        <f>IFERROR(__xludf.DUMMYFUNCTION("GOOGLETRANSLATE(B22011,""en"",""de"")"),"Eine der Frauen setzt ihre nackte Truhe der Kamera aus, eine schwarze Balken wird überlagert.")</f>
        <v>Eine der Frauen setzt ihre nackte Truhe der Kamera aus, eine schwarze Balken wird überlagert.</v>
      </c>
    </row>
    <row r="22012">
      <c r="A22012" s="4" t="s">
        <v>27706</v>
      </c>
      <c r="B22012" s="4" t="s">
        <v>27710</v>
      </c>
      <c r="C22012" s="5" t="str">
        <f>IFERROR(__xludf.DUMMYFUNCTION("GOOGLETRANSLATE(B22012,""en"",""de"")"),"Die Kamera kehrt auf dem Feld zur Aktion zurück.")</f>
        <v>Die Kamera kehrt auf dem Feld zur Aktion zurück.</v>
      </c>
    </row>
    <row r="22013">
      <c r="A22013" s="4" t="s">
        <v>27711</v>
      </c>
      <c r="B22013" s="4" t="s">
        <v>27712</v>
      </c>
      <c r="C22013" s="5" t="str">
        <f>IFERROR(__xludf.DUMMYFUNCTION("GOOGLETRANSLATE(B22013,""en"",""de"")"),"Ein Dirt Clodden Rodea wird gezeigt, als ein Mann auf einem Pferd von einem Tor freigesetzt wird.")</f>
        <v>Ein Dirt Clodden Rodea wird gezeigt, als ein Mann auf einem Pferd von einem Tor freigesetzt wird.</v>
      </c>
    </row>
    <row r="22014">
      <c r="A22014" s="4" t="s">
        <v>27711</v>
      </c>
      <c r="B22014" s="4" t="s">
        <v>27713</v>
      </c>
      <c r="C22014" s="5" t="str">
        <f>IFERROR(__xludf.DUMMYFUNCTION("GOOGLETRANSLATE(B22014,""en"",""de"")"),"Er seilt ein Kalb, steigt ab, um es zu binden.")</f>
        <v>Er seilt ein Kalb, steigt ab, um es zu binden.</v>
      </c>
    </row>
    <row r="22015">
      <c r="A22015" s="4" t="s">
        <v>27711</v>
      </c>
      <c r="B22015" s="4" t="s">
        <v>27714</v>
      </c>
      <c r="C22015" s="5" t="str">
        <f>IFERROR(__xludf.DUMMYFUNCTION("GOOGLETRANSLATE(B22015,""en"",""de"")"),"Ein anderer Mann fährt momentan auf dem Bildschirm.")</f>
        <v>Ein anderer Mann fährt momentan auf dem Bildschirm.</v>
      </c>
    </row>
    <row r="22016">
      <c r="A22016" s="4" t="s">
        <v>27715</v>
      </c>
      <c r="B22016" s="4" t="s">
        <v>27716</v>
      </c>
      <c r="C22016" s="5" t="str">
        <f>IFERROR(__xludf.DUMMYFUNCTION("GOOGLETRANSLATE(B22016,""en"",""de"")"),"Ein Mann steht mit einer Frau in einem Badezimmer und schaut zurück, um mit der Kamera zu sprechen.")</f>
        <v>Ein Mann steht mit einer Frau in einem Badezimmer und schaut zurück, um mit der Kamera zu sprechen.</v>
      </c>
    </row>
    <row r="22017">
      <c r="A22017" s="4" t="s">
        <v>27715</v>
      </c>
      <c r="B22017" s="4" t="s">
        <v>27717</v>
      </c>
      <c r="C22017" s="5" t="str">
        <f>IFERROR(__xludf.DUMMYFUNCTION("GOOGLETRANSLATE(B22017,""en"",""de"")"),"Der Mann bewegt sich dann rund um das Badezimmer und spricht weiter und die Kamera zoomt ein.")</f>
        <v>Der Mann bewegt sich dann rund um das Badezimmer und spricht weiter und die Kamera zoomt ein.</v>
      </c>
    </row>
    <row r="22018">
      <c r="A22018" s="4" t="s">
        <v>27718</v>
      </c>
      <c r="B22018" s="4" t="s">
        <v>27719</v>
      </c>
      <c r="C22018" s="5" t="str">
        <f>IFERROR(__xludf.DUMMYFUNCTION("GOOGLETRANSLATE(B22018,""en"",""de"")"),"Ein Mann spricht mit der Kamera, während er vor Trainingsausrüstung steht.")</f>
        <v>Ein Mann spricht mit der Kamera, während er vor Trainingsausrüstung steht.</v>
      </c>
    </row>
    <row r="22019">
      <c r="A22019" s="4" t="s">
        <v>27718</v>
      </c>
      <c r="B22019" s="4" t="s">
        <v>27720</v>
      </c>
      <c r="C22019" s="5" t="str">
        <f>IFERROR(__xludf.DUMMYFUNCTION("GOOGLETRANSLATE(B22019,""en"",""de"")"),"Er spricht weiter und führt in Clips der Füße einer Person auf der Maschine.")</f>
        <v>Er spricht weiter und führt in Clips der Füße einer Person auf der Maschine.</v>
      </c>
    </row>
    <row r="22020">
      <c r="A22020" s="4" t="s">
        <v>27718</v>
      </c>
      <c r="B22020" s="4" t="s">
        <v>27721</v>
      </c>
      <c r="C22020" s="5" t="str">
        <f>IFERROR(__xludf.DUMMYFUNCTION("GOOGLETRANSLATE(B22020,""en"",""de"")"),"Der Mann, der die Maschine kontinuierlich benutzt, während er auf seinen Körper zeigt und seine Beine zeigt.")</f>
        <v>Der Mann, der die Maschine kontinuierlich benutzt, während er auf seinen Körper zeigt und seine Beine zeigt.</v>
      </c>
    </row>
    <row r="22021">
      <c r="A22021" s="4" t="s">
        <v>27722</v>
      </c>
      <c r="B22021" s="4" t="s">
        <v>27723</v>
      </c>
      <c r="C22021" s="5" t="str">
        <f>IFERROR(__xludf.DUMMYFUNCTION("GOOGLETRANSLATE(B22021,""en"",""de"")"),"Ein Satz schwarzer Stiefel befindet sich auf einem kleinen Tisch zusammen mit einem Flaschenöl und einem Lappen vor einer Frau.")</f>
        <v>Ein Satz schwarzer Stiefel befindet sich auf einem kleinen Tisch zusammen mit einem Flaschenöl und einem Lappen vor einer Frau.</v>
      </c>
    </row>
    <row r="22022">
      <c r="A22022" s="4" t="s">
        <v>27722</v>
      </c>
      <c r="B22022" s="4" t="s">
        <v>27724</v>
      </c>
      <c r="C22022" s="5" t="str">
        <f>IFERROR(__xludf.DUMMYFUNCTION("GOOGLETRANSLATE(B22022,""en"",""de"")"),"Die Frau greift dann nach dem Lappen und legt Olivenöl darauf und beginnt die Stiefel zu polieren.")</f>
        <v>Die Frau greift dann nach dem Lappen und legt Olivenöl darauf und beginnt die Stiefel zu polieren.</v>
      </c>
    </row>
    <row r="22023">
      <c r="A22023" s="4" t="s">
        <v>27722</v>
      </c>
      <c r="B22023" s="4" t="s">
        <v>27725</v>
      </c>
      <c r="C22023" s="5" t="str">
        <f>IFERROR(__xludf.DUMMYFUNCTION("GOOGLETRANSLATE(B22023,""en"",""de"")"),"Sie pausiert dann mit den Lumpen und beginnt zu reden.")</f>
        <v>Sie pausiert dann mit den Lumpen und beginnt zu reden.</v>
      </c>
    </row>
    <row r="22024">
      <c r="A22024" s="4" t="s">
        <v>27726</v>
      </c>
      <c r="B22024" s="4" t="s">
        <v>27727</v>
      </c>
      <c r="C22024" s="5" t="str">
        <f>IFERROR(__xludf.DUMMYFUNCTION("GOOGLETRANSLATE(B22024,""en"",""de"")"),"Eine Person geht in den Rahmen und spielt an einem Satz Bongo -Schlagzeug.")</f>
        <v>Eine Person geht in den Rahmen und spielt an einem Satz Bongo -Schlagzeug.</v>
      </c>
    </row>
    <row r="22025">
      <c r="A22025" s="4" t="s">
        <v>27726</v>
      </c>
      <c r="B22025" s="4" t="s">
        <v>27728</v>
      </c>
      <c r="C22025" s="5" t="str">
        <f>IFERROR(__xludf.DUMMYFUNCTION("GOOGLETRANSLATE(B22025,""en"",""de"")"),"Der Mann spielt weiter am Schlagzeug, während sich die Kamera nicht bewegt und endet damit, dass er sie einmal schlägt und weggeht.")</f>
        <v>Der Mann spielt weiter am Schlagzeug, während sich die Kamera nicht bewegt und endet damit, dass er sie einmal schlägt und weggeht.</v>
      </c>
    </row>
    <row r="22026">
      <c r="A22026" s="4" t="s">
        <v>27729</v>
      </c>
      <c r="B22026" s="4" t="s">
        <v>27730</v>
      </c>
      <c r="C22026" s="5" t="str">
        <f>IFERROR(__xludf.DUMMYFUNCTION("GOOGLETRANSLATE(B22026,""en"",""de"")"),"Ein junger Rollschuh von einer Rampe auf eine andere Rampe.")</f>
        <v>Ein junger Rollschuh von einer Rampe auf eine andere Rampe.</v>
      </c>
    </row>
    <row r="22027">
      <c r="A22027" s="4" t="s">
        <v>27729</v>
      </c>
      <c r="B22027" s="4" t="s">
        <v>27731</v>
      </c>
      <c r="C22027" s="5" t="str">
        <f>IFERROR(__xludf.DUMMYFUNCTION("GOOGLETRANSLATE(B22027,""en"",""de"")"),"Der Junge beschleunigt sich auf eine Rampe und springt davon und landet auf dem Zement.")</f>
        <v>Der Junge beschleunigt sich auf eine Rampe und springt davon und landet auf dem Zement.</v>
      </c>
    </row>
    <row r="22028">
      <c r="A22028" s="4" t="s">
        <v>27729</v>
      </c>
      <c r="B22028" s="4" t="s">
        <v>27732</v>
      </c>
      <c r="C22028" s="5" t="str">
        <f>IFERROR(__xludf.DUMMYFUNCTION("GOOGLETRANSLATE(B22028,""en"",""de"")"),"Später, die Boy Roller -Klingen auf eine andere Rampe.")</f>
        <v>Später, die Boy Roller -Klingen auf eine andere Rampe.</v>
      </c>
    </row>
    <row r="22029">
      <c r="A22029" s="4" t="s">
        <v>27729</v>
      </c>
      <c r="B22029" s="4" t="s">
        <v>27733</v>
      </c>
      <c r="C22029" s="5" t="str">
        <f>IFERROR(__xludf.DUMMYFUNCTION("GOOGLETRANSLATE(B22029,""en"",""de"")"),"Der Junge ist in einem anderen Outfit zu sehen und spielt am Ende seines Rollenblatts Spins.")</f>
        <v>Der Junge ist in einem anderen Outfit zu sehen und spielt am Ende seines Rollenblatts Spins.</v>
      </c>
    </row>
    <row r="22030">
      <c r="A22030" s="4" t="s">
        <v>27729</v>
      </c>
      <c r="B22030" s="4" t="s">
        <v>27734</v>
      </c>
      <c r="C22030" s="5" t="str">
        <f>IFERROR(__xludf.DUMMYFUNCTION("GOOGLETRANSLATE(B22030,""en"",""de"")"),"Der Boy Roller Blades Criss Cross -Stil um einige orangefarbene Kegel.")</f>
        <v>Der Boy Roller Blades Criss Cross -Stil um einige orangefarbene Kegel.</v>
      </c>
    </row>
    <row r="22031">
      <c r="A22031" s="4" t="s">
        <v>27729</v>
      </c>
      <c r="B22031" s="4" t="s">
        <v>27735</v>
      </c>
      <c r="C22031" s="5" t="str">
        <f>IFERROR(__xludf.DUMMYFUNCTION("GOOGLETRANSLATE(B22031,""en"",""de"")"),"Der Junge macht es wieder, diesmal webt ein und aus den Zapfen heraus.")</f>
        <v>Der Junge macht es wieder, diesmal webt ein und aus den Zapfen heraus.</v>
      </c>
    </row>
    <row r="22032">
      <c r="A22032" s="4" t="s">
        <v>27736</v>
      </c>
      <c r="B22032" s="4" t="s">
        <v>27737</v>
      </c>
      <c r="C22032" s="5" t="str">
        <f>IFERROR(__xludf.DUMMYFUNCTION("GOOGLETRANSLATE(B22032,""en"",""de"")"),"Ein Mann verwendet ein Schweißwerkzeug auf einem Haufen zufälliger Metall im Innenbereich.")</f>
        <v>Ein Mann verwendet ein Schweißwerkzeug auf einem Haufen zufälliger Metall im Innenbereich.</v>
      </c>
    </row>
    <row r="22033">
      <c r="A22033" s="4" t="s">
        <v>27736</v>
      </c>
      <c r="B22033" s="4" t="s">
        <v>27738</v>
      </c>
      <c r="C22033" s="5" t="str">
        <f>IFERROR(__xludf.DUMMYFUNCTION("GOOGLETRANSLATE(B22033,""en"",""de"")"),"Ein anderer Mann hält einen Schild hoch, um sich zu schützen.")</f>
        <v>Ein anderer Mann hält einen Schild hoch, um sich zu schützen.</v>
      </c>
    </row>
    <row r="22034">
      <c r="A22034" s="4" t="s">
        <v>27736</v>
      </c>
      <c r="B22034" s="4" t="s">
        <v>27739</v>
      </c>
      <c r="C22034" s="5" t="str">
        <f>IFERROR(__xludf.DUMMYFUNCTION("GOOGLETRANSLATE(B22034,""en"",""de"")"),"Der Mann hält einen Schild vor seinem Gesicht, als er beschweißt.")</f>
        <v>Der Mann hält einen Schild vor seinem Gesicht, als er beschweißt.</v>
      </c>
    </row>
    <row r="22035">
      <c r="A22035" s="4" t="s">
        <v>27740</v>
      </c>
      <c r="B22035" s="4" t="s">
        <v>27741</v>
      </c>
      <c r="C22035" s="5" t="str">
        <f>IFERROR(__xludf.DUMMYFUNCTION("GOOGLETRANSLATE(B22035,""en"",""de"")"),"Ein Mann zeigt, wie man einen speziellen Hundekragen und einen Spezialhund an einem Hund verwendet, der sowohl einen gefüllten Spielzeughund als auch echte Hunde verwendet.")</f>
        <v>Ein Mann zeigt, wie man einen speziellen Hundekragen und einen Spezialhund an einem Hund verwendet, der sowohl einen gefüllten Spielzeughund als auch echte Hunde verwendet.</v>
      </c>
    </row>
    <row r="22036">
      <c r="A22036" s="4" t="s">
        <v>27740</v>
      </c>
      <c r="B22036" s="4" t="s">
        <v>27742</v>
      </c>
      <c r="C22036" s="5" t="str">
        <f>IFERROR(__xludf.DUMMYFUNCTION("GOOGLETRANSLATE(B22036,""en"",""de"")"),"Ein Mann, der vor einem Holzzaun steht, hält einen ausgestopften Hund mit einem roten Kragen/Geschirr und hält den Hund auf, während er redet und Merkmale des Kragengurtes zeigt.")</f>
        <v>Ein Mann, der vor einem Holzzaun steht, hält einen ausgestopften Hund mit einem roten Kragen/Geschirr und hält den Hund auf, während er redet und Merkmale des Kragengurtes zeigt.</v>
      </c>
    </row>
    <row r="22037">
      <c r="A22037" s="4" t="s">
        <v>27740</v>
      </c>
      <c r="B22037" s="4" t="s">
        <v>27743</v>
      </c>
      <c r="C22037" s="5" t="str">
        <f>IFERROR(__xludf.DUMMYFUNCTION("GOOGLETRANSLATE(B22037,""en"",""de"")"),"Zwei Hände werden vorgestellt, die den roten Kragen für sich selbst halten und die Merkmale des Kragengurtes mit noch Grafiken demonstrieren, um das Hand -Showcase zu begleiten.")</f>
        <v>Zwei Hände werden vorgestellt, die den roten Kragen für sich selbst halten und die Merkmale des Kragengurtes mit noch Grafiken demonstrieren, um das Hand -Showcase zu begleiten.</v>
      </c>
    </row>
    <row r="22038">
      <c r="A22038" s="4" t="s">
        <v>27740</v>
      </c>
      <c r="B22038" s="4" t="s">
        <v>27744</v>
      </c>
      <c r="C22038" s="5" t="str">
        <f>IFERROR(__xludf.DUMMYFUNCTION("GOOGLETRANSLATE(B22038,""en"",""de"")"),"Der Mann steht jetzt mit einem echten Hund und demonstriert, wie man den wahren Hund den Geschirr aufsetzt, und geht dann wieder mit dem gefüllten Hund demonstriert, bevor er schließlich damit endet in den letzten Schuss.")</f>
        <v>Der Mann steht jetzt mit einem echten Hund und demonstriert, wie man den wahren Hund den Geschirr aufsetzt, und geht dann wieder mit dem gefüllten Hund demonstriert, bevor er schließlich damit endet in den letzten Schuss.</v>
      </c>
    </row>
    <row r="22039">
      <c r="A22039" s="4" t="s">
        <v>27745</v>
      </c>
      <c r="B22039" s="4" t="s">
        <v>27746</v>
      </c>
      <c r="C22039" s="5" t="str">
        <f>IFERROR(__xludf.DUMMYFUNCTION("GOOGLETRANSLATE(B22039,""en"",""de"")"),"Eine Kamera vergrößert einen Garten, der einen Volkswagon und andere verschiedene Gegenstände enthält.")</f>
        <v>Eine Kamera vergrößert einen Garten, der einen Volkswagon und andere verschiedene Gegenstände enthält.</v>
      </c>
    </row>
    <row r="22040">
      <c r="A22040" s="4" t="s">
        <v>27745</v>
      </c>
      <c r="B22040" s="4" t="s">
        <v>27747</v>
      </c>
      <c r="C22040" s="5" t="str">
        <f>IFERROR(__xludf.DUMMYFUNCTION("GOOGLETRANSLATE(B22040,""en"",""de"")"),"Ein Mann wird gezeigt, dass Skier in schnellem Tempo zusammenfasst.")</f>
        <v>Ein Mann wird gezeigt, dass Skier in schnellem Tempo zusammenfasst.</v>
      </c>
    </row>
    <row r="22041">
      <c r="A22041" s="4" t="s">
        <v>27745</v>
      </c>
      <c r="B22041" s="4" t="s">
        <v>27748</v>
      </c>
      <c r="C22041" s="5" t="str">
        <f>IFERROR(__xludf.DUMMYFUNCTION("GOOGLETRANSLATE(B22041,""en"",""de"")"),"Der Mann beendet die Skier und lässt seinen Hut auf den Skiern.")</f>
        <v>Der Mann beendet die Skier und lässt seinen Hut auf den Skiern.</v>
      </c>
    </row>
    <row r="22042">
      <c r="A22042" s="4" t="s">
        <v>27749</v>
      </c>
      <c r="B22042" s="4" t="s">
        <v>27750</v>
      </c>
      <c r="C22042" s="5" t="str">
        <f>IFERROR(__xludf.DUMMYFUNCTION("GOOGLETRANSLATE(B22042,""en"",""de"")"),"Eine Unterwasseransicht auf blaues Wasser erscheint am tiefen Ende des Pools.")</f>
        <v>Eine Unterwasseransicht auf blaues Wasser erscheint am tiefen Ende des Pools.</v>
      </c>
    </row>
    <row r="22043">
      <c r="A22043" s="4" t="s">
        <v>27749</v>
      </c>
      <c r="B22043" s="4" t="s">
        <v>27751</v>
      </c>
      <c r="C22043" s="5" t="str">
        <f>IFERROR(__xludf.DUMMYFUNCTION("GOOGLETRANSLATE(B22043,""en"",""de"")"),"In Zeitlupe spritzt jemand ins Wasser.")</f>
        <v>In Zeitlupe spritzt jemand ins Wasser.</v>
      </c>
    </row>
    <row r="22044">
      <c r="A22044" s="4" t="s">
        <v>27749</v>
      </c>
      <c r="B22044" s="4" t="s">
        <v>27752</v>
      </c>
      <c r="C22044" s="5" t="str">
        <f>IFERROR(__xludf.DUMMYFUNCTION("GOOGLETRANSLATE(B22044,""en"",""de"")"),"Verschiedene Clips von Männern scheinen unterschiedliche Tauchgänge in den Pool und aus verschiedenen Höhen zu machen.")</f>
        <v>Verschiedene Clips von Männern scheinen unterschiedliche Tauchgänge in den Pool und aus verschiedenen Höhen zu machen.</v>
      </c>
    </row>
    <row r="22045">
      <c r="A22045" s="4" t="s">
        <v>27749</v>
      </c>
      <c r="B22045" s="4" t="s">
        <v>27753</v>
      </c>
      <c r="C22045" s="5" t="str">
        <f>IFERROR(__xludf.DUMMYFUNCTION("GOOGLETRANSLATE(B22045,""en"",""de"")"),"Ein Mann geht zuerst in die Wasserfüße, landet am Boden des tiefen Pools, fällt dann ab, um einen Schub hoch zu machen, und schießt dann schnell hoch.")</f>
        <v>Ein Mann geht zuerst in die Wasserfüße, landet am Boden des tiefen Pools, fällt dann ab, um einen Schub hoch zu machen, und schießt dann schnell hoch.</v>
      </c>
    </row>
    <row r="22046">
      <c r="A22046" s="4" t="s">
        <v>27749</v>
      </c>
      <c r="B22046" s="4" t="s">
        <v>27754</v>
      </c>
      <c r="C22046" s="5" t="str">
        <f>IFERROR(__xludf.DUMMYFUNCTION("GOOGLETRANSLATE(B22046,""en"",""de"")"),"Ein Jungs springt auf das Tauchbrett, aber anstatt zu tauchen, verliert er seinen Fuß und fällt ins Wasser.")</f>
        <v>Ein Jungs springt auf das Tauchbrett, aber anstatt zu tauchen, verliert er seinen Fuß und fällt ins Wasser.</v>
      </c>
    </row>
    <row r="22047">
      <c r="A22047" s="4" t="s">
        <v>27749</v>
      </c>
      <c r="B22047" s="4" t="s">
        <v>27755</v>
      </c>
      <c r="C22047" s="5" t="str">
        <f>IFERROR(__xludf.DUMMYFUNCTION("GOOGLETRANSLATE(B22047,""en"",""de"")"),"Ein Junge steht an einer Wand, die einen Knopf drückt und in eine Gegensprechanlage spricht, dann bleibt stehen und lacht.")</f>
        <v>Ein Junge steht an einer Wand, die einen Knopf drückt und in eine Gegensprechanlage spricht, dann bleibt stehen und lacht.</v>
      </c>
    </row>
    <row r="22048">
      <c r="A22048" s="4" t="s">
        <v>27756</v>
      </c>
      <c r="B22048" s="4" t="s">
        <v>27757</v>
      </c>
      <c r="C22048" s="5" t="str">
        <f>IFERROR(__xludf.DUMMYFUNCTION("GOOGLETRANSLATE(B22048,""en"",""de"")"),"Ein Mann und eine Frau tanzen auf einem Dach auf einem Gebäude in einer Stadt.")</f>
        <v>Ein Mann und eine Frau tanzen auf einem Dach auf einem Gebäude in einer Stadt.</v>
      </c>
    </row>
    <row r="22049">
      <c r="A22049" s="4" t="s">
        <v>27756</v>
      </c>
      <c r="B22049" s="4" t="s">
        <v>27758</v>
      </c>
      <c r="C22049" s="5" t="str">
        <f>IFERROR(__xludf.DUMMYFUNCTION("GOOGLETRANSLATE(B22049,""en"",""de"")"),"Er hebt die Frau in die Luft.")</f>
        <v>Er hebt die Frau in die Luft.</v>
      </c>
    </row>
    <row r="22050">
      <c r="A22050" s="4" t="s">
        <v>27756</v>
      </c>
      <c r="B22050" s="4" t="s">
        <v>27759</v>
      </c>
      <c r="C22050" s="5" t="str">
        <f>IFERROR(__xludf.DUMMYFUNCTION("GOOGLETRANSLATE(B22050,""en"",""de"")"),"Die Kamera schwenkt zu einem hohen Gebäude im Hintergrund.")</f>
        <v>Die Kamera schwenkt zu einem hohen Gebäude im Hintergrund.</v>
      </c>
    </row>
    <row r="22051">
      <c r="A22051" s="4" t="s">
        <v>27760</v>
      </c>
      <c r="B22051" s="4" t="s">
        <v>27761</v>
      </c>
      <c r="C22051" s="5" t="str">
        <f>IFERROR(__xludf.DUMMYFUNCTION("GOOGLETRANSLATE(B22051,""en"",""de"")"),"Ein Intro führt zu einem Bauchtänzer, der eine Routine vor einem Spiegel durchführt.")</f>
        <v>Ein Intro führt zu einem Bauchtänzer, der eine Routine vor einem Spiegel durchführt.</v>
      </c>
    </row>
    <row r="22052">
      <c r="A22052" s="4" t="s">
        <v>27760</v>
      </c>
      <c r="B22052" s="4" t="s">
        <v>27762</v>
      </c>
      <c r="C22052" s="5" t="str">
        <f>IFERROR(__xludf.DUMMYFUNCTION("GOOGLETRANSLATE(B22052,""en"",""de"")"),"Sie tanzt weiter herum, während sie sich rund um den Boden bewegt und sich die Haare peitscht und ihren Rock griff.")</f>
        <v>Sie tanzt weiter herum, während sie sich rund um den Boden bewegt und sich die Haare peitscht und ihren Rock griff.</v>
      </c>
    </row>
    <row r="22053">
      <c r="A22053" s="4" t="s">
        <v>27760</v>
      </c>
      <c r="B22053" s="4" t="s">
        <v>27763</v>
      </c>
      <c r="C22053" s="5" t="str">
        <f>IFERROR(__xludf.DUMMYFUNCTION("GOOGLETRANSLATE(B22053,""en"",""de"")"),"Sie setzt sich auf den Boden und schaut in den Spiegel.")</f>
        <v>Sie setzt sich auf den Boden und schaut in den Spiegel.</v>
      </c>
    </row>
    <row r="22054">
      <c r="A22054" s="4" t="s">
        <v>27764</v>
      </c>
      <c r="B22054" s="4" t="s">
        <v>27765</v>
      </c>
      <c r="C22054" s="5" t="str">
        <f>IFERROR(__xludf.DUMMYFUNCTION("GOOGLETRANSLATE(B22054,""en"",""de"")"),"Eine Frau spricht mit der Kamera, während sie sich an einem Akkordeon festhält.")</f>
        <v>Eine Frau spricht mit der Kamera, während sie sich an einem Akkordeon festhält.</v>
      </c>
    </row>
    <row r="22055">
      <c r="A22055" s="4" t="s">
        <v>27764</v>
      </c>
      <c r="B22055" s="4" t="s">
        <v>27766</v>
      </c>
      <c r="C22055" s="5" t="str">
        <f>IFERROR(__xludf.DUMMYFUNCTION("GOOGLETRANSLATE(B22055,""en"",""de"")"),"Sie beginnt das Instrument langsam zu bewegen, während sie zur Kamera schaut.")</f>
        <v>Sie beginnt das Instrument langsam zu bewegen, während sie zur Kamera schaut.</v>
      </c>
    </row>
    <row r="22056">
      <c r="A22056" s="4" t="s">
        <v>27764</v>
      </c>
      <c r="B22056" s="4" t="s">
        <v>27767</v>
      </c>
      <c r="C22056" s="5" t="str">
        <f>IFERROR(__xludf.DUMMYFUNCTION("GOOGLETRANSLATE(B22056,""en"",""de"")"),"Sie spielt weiterhin das Akkordeon, während sie spricht und wegsieht.")</f>
        <v>Sie spielt weiterhin das Akkordeon, während sie spricht und wegsieht.</v>
      </c>
    </row>
    <row r="22057">
      <c r="A22057" s="4" t="s">
        <v>27768</v>
      </c>
      <c r="B22057" s="4" t="s">
        <v>27769</v>
      </c>
      <c r="C22057" s="5" t="str">
        <f>IFERROR(__xludf.DUMMYFUNCTION("GOOGLETRANSLATE(B22057,""en"",""de"")"),"Ein junger Teenager steht mit einem Tennisball und einem Schläger außerhalb des Hauses.")</f>
        <v>Ein junger Teenager steht mit einem Tennisball und einem Schläger außerhalb des Hauses.</v>
      </c>
    </row>
    <row r="22058">
      <c r="A22058" s="4" t="s">
        <v>27768</v>
      </c>
      <c r="B22058" s="4" t="s">
        <v>27770</v>
      </c>
      <c r="C22058" s="5" t="str">
        <f>IFERROR(__xludf.DUMMYFUNCTION("GOOGLETRANSLATE(B22058,""en"",""de"")"),"Er geht zum Tennisplatz und beginnt über das Tennisspiel zu sprechen.")</f>
        <v>Er geht zum Tennisplatz und beginnt über das Tennisspiel zu sprechen.</v>
      </c>
    </row>
    <row r="22059">
      <c r="A22059" s="4" t="s">
        <v>27768</v>
      </c>
      <c r="B22059" s="4" t="s">
        <v>27771</v>
      </c>
      <c r="C22059" s="5" t="str">
        <f>IFERROR(__xludf.DUMMYFUNCTION("GOOGLETRANSLATE(B22059,""en"",""de"")"),"Er macht einige Strecken für ein wenig, aber und macht sich dann bereit, den Ball auf die andere Seite des Platzes zu schlagen.")</f>
        <v>Er macht einige Strecken für ein wenig, aber und macht sich dann bereit, den Ball auf die andere Seite des Platzes zu schlagen.</v>
      </c>
    </row>
    <row r="22060">
      <c r="A22060" s="4" t="s">
        <v>27768</v>
      </c>
      <c r="B22060" s="4" t="s">
        <v>27772</v>
      </c>
      <c r="C22060" s="5" t="str">
        <f>IFERROR(__xludf.DUMMYFUNCTION("GOOGLETRANSLATE(B22060,""en"",""de"")"),"Er spricht darüber auf dem Platz und geht dann nach Hause, um nach Hause zu gehen.")</f>
        <v>Er spricht darüber auf dem Platz und geht dann nach Hause, um nach Hause zu gehen.</v>
      </c>
    </row>
    <row r="22061">
      <c r="A22061" s="4" t="s">
        <v>27773</v>
      </c>
      <c r="B22061" s="4" t="s">
        <v>27774</v>
      </c>
      <c r="C22061" s="5" t="str">
        <f>IFERROR(__xludf.DUMMYFUNCTION("GOOGLETRANSLATE(B22061,""en"",""de"")"),"Eine Szene von Sanddünen, die zu einer Küste von Strand führen.")</f>
        <v>Eine Szene von Sanddünen, die zu einer Küste von Strand führen.</v>
      </c>
    </row>
    <row r="22062">
      <c r="A22062" s="4" t="s">
        <v>27773</v>
      </c>
      <c r="B22062" s="4" t="s">
        <v>27775</v>
      </c>
      <c r="C22062" s="5" t="str">
        <f>IFERROR(__xludf.DUMMYFUNCTION("GOOGLETRANSLATE(B22062,""en"",""de"")"),"Ein Mädchen in einer blauen Bluse geht und posiert im Sand.")</f>
        <v>Ein Mädchen in einer blauen Bluse geht und posiert im Sand.</v>
      </c>
    </row>
    <row r="22063">
      <c r="A22063" s="4" t="s">
        <v>27773</v>
      </c>
      <c r="B22063" s="4" t="s">
        <v>27776</v>
      </c>
      <c r="C22063" s="5" t="str">
        <f>IFERROR(__xludf.DUMMYFUNCTION("GOOGLETRANSLATE(B22063,""en"",""de"")"),"Ein Mann, der einen Safari -Hut trägt, führt eine Gruppe von Kamele mit Fahrern in einer einzigen Datei.")</f>
        <v>Ein Mann, der einen Safari -Hut trägt, führt eine Gruppe von Kamele mit Fahrern in einer einzigen Datei.</v>
      </c>
    </row>
    <row r="22064">
      <c r="A22064" s="4" t="s">
        <v>27773</v>
      </c>
      <c r="B22064" s="4" t="s">
        <v>27777</v>
      </c>
      <c r="C22064" s="5" t="str">
        <f>IFERROR(__xludf.DUMMYFUNCTION("GOOGLETRANSLATE(B22064,""en"",""de"")"),"Die Kamera schwenkt eine Nahaufnahme der Kamele, die mit ihren Reiten im Sand liegen.")</f>
        <v>Die Kamera schwenkt eine Nahaufnahme der Kamele, die mit ihren Reiten im Sand liegen.</v>
      </c>
    </row>
    <row r="22065">
      <c r="A22065" s="4" t="s">
        <v>27773</v>
      </c>
      <c r="B22065" s="4" t="s">
        <v>27778</v>
      </c>
      <c r="C22065" s="5" t="str">
        <f>IFERROR(__xludf.DUMMYFUNCTION("GOOGLETRANSLATE(B22065,""en"",""de"")"),"Ein Fahrer erfasst den Blick auf die Sanddünen, die zum Ozean führen.")</f>
        <v>Ein Fahrer erfasst den Blick auf die Sanddünen, die zum Ozean führen.</v>
      </c>
    </row>
    <row r="22066">
      <c r="A22066" s="4" t="s">
        <v>27773</v>
      </c>
      <c r="B22066" s="4" t="s">
        <v>27779</v>
      </c>
      <c r="C22066" s="5" t="str">
        <f>IFERROR(__xludf.DUMMYFUNCTION("GOOGLETRANSLATE(B22066,""en"",""de"")"),"Der Kamelwagen kommt in ein Camp am Strand.")</f>
        <v>Der Kamelwagen kommt in ein Camp am Strand.</v>
      </c>
    </row>
    <row r="22067">
      <c r="A22067" s="4" t="s">
        <v>27780</v>
      </c>
      <c r="B22067" s="4" t="s">
        <v>27781</v>
      </c>
      <c r="C22067" s="5" t="str">
        <f>IFERROR(__xludf.DUMMYFUNCTION("GOOGLETRANSLATE(B22067,""en"",""de"")"),"Ein Junge spricht Rasiercreme in seine Hand aus einer Dose in seinem Badezimmer.")</f>
        <v>Ein Junge spricht Rasiercreme in seine Hand aus einer Dose in seinem Badezimmer.</v>
      </c>
    </row>
    <row r="22068">
      <c r="A22068" s="4" t="s">
        <v>27780</v>
      </c>
      <c r="B22068" s="4" t="s">
        <v>27782</v>
      </c>
      <c r="C22068" s="5" t="str">
        <f>IFERROR(__xludf.DUMMYFUNCTION("GOOGLETRANSLATE(B22068,""en"",""de"")"),"Der Junge legt die Rasiercreme auf sein Gesicht.")</f>
        <v>Der Junge legt die Rasiercreme auf sein Gesicht.</v>
      </c>
    </row>
    <row r="22069">
      <c r="A22069" s="4" t="s">
        <v>27780</v>
      </c>
      <c r="B22069" s="4" t="s">
        <v>27783</v>
      </c>
      <c r="C22069" s="5" t="str">
        <f>IFERROR(__xludf.DUMMYFUNCTION("GOOGLETRANSLATE(B22069,""en"",""de"")"),"Ein Mann hat Rasiercreme im Gesicht und liest ein Etikett auf einer unter Druck stehenden Dose und diskutiert es.")</f>
        <v>Ein Mann hat Rasiercreme im Gesicht und liest ein Etikett auf einer unter Druck stehenden Dose und diskutiert es.</v>
      </c>
    </row>
    <row r="22070">
      <c r="A22070" s="4" t="s">
        <v>27780</v>
      </c>
      <c r="B22070" s="4" t="s">
        <v>27784</v>
      </c>
      <c r="C22070" s="5" t="str">
        <f>IFERROR(__xludf.DUMMYFUNCTION("GOOGLETRANSLATE(B22070,""en"",""de"")"),"Ein Mann reibt sein glattes Gesicht.")</f>
        <v>Ein Mann reibt sein glattes Gesicht.</v>
      </c>
    </row>
    <row r="22071">
      <c r="A22071" s="4" t="s">
        <v>27780</v>
      </c>
      <c r="B22071" s="4" t="s">
        <v>27785</v>
      </c>
      <c r="C22071" s="5" t="str">
        <f>IFERROR(__xludf.DUMMYFUNCTION("GOOGLETRANSLATE(B22071,""en"",""de"")"),"Der Mann hält eine Metallöldose hoch.")</f>
        <v>Der Mann hält eine Metallöldose hoch.</v>
      </c>
    </row>
    <row r="22072">
      <c r="A22072" s="4" t="s">
        <v>27780</v>
      </c>
      <c r="B22072" s="4" t="s">
        <v>27786</v>
      </c>
      <c r="C22072" s="5" t="str">
        <f>IFERROR(__xludf.DUMMYFUNCTION("GOOGLETRANSLATE(B22072,""en"",""de"")"),"Der Mann wendet einen Medikamenten -Tropfen mit Flüssigkeit auf einen Rasierer an und zeigt, wie man sie benutzt.")</f>
        <v>Der Mann wendet einen Medikamenten -Tropfen mit Flüssigkeit auf einen Rasierer an und zeigt, wie man sie benutzt.</v>
      </c>
    </row>
    <row r="22073">
      <c r="A22073" s="4" t="s">
        <v>27787</v>
      </c>
      <c r="B22073" s="4" t="s">
        <v>27788</v>
      </c>
      <c r="C22073" s="5" t="str">
        <f>IFERROR(__xludf.DUMMYFUNCTION("GOOGLETRANSLATE(B22073,""en"",""de"")"),"Eine Person lässt ihre Hände in ein Waschbecken voller schmutziges Wasser stecken und ihr Gesicht gegen das Wasser drücken.")</f>
        <v>Eine Person lässt ihre Hände in ein Waschbecken voller schmutziges Wasser stecken und ihr Gesicht gegen das Wasser drücken.</v>
      </c>
    </row>
    <row r="22074">
      <c r="A22074" s="4" t="s">
        <v>27787</v>
      </c>
      <c r="B22074" s="4" t="s">
        <v>27789</v>
      </c>
      <c r="C22074" s="5" t="str">
        <f>IFERROR(__xludf.DUMMYFUNCTION("GOOGLETRANSLATE(B22074,""en"",""de"")"),"Der Mann wischt weiter den Schlamm aus seinem Gesicht, als der Schlamm in das Waschbecken tropft.")</f>
        <v>Der Mann wischt weiter den Schlamm aus seinem Gesicht, als der Schlamm in das Waschbecken tropft.</v>
      </c>
    </row>
    <row r="22075">
      <c r="A22075" s="4" t="s">
        <v>27790</v>
      </c>
      <c r="B22075" s="4" t="s">
        <v>27791</v>
      </c>
      <c r="C22075" s="5" t="str">
        <f>IFERROR(__xludf.DUMMYFUNCTION("GOOGLETRANSLATE(B22075,""en"",""de"")"),"Elmo von der Sesame Street präsentiert, wie man zusammen mit Sänger Bruno Mars Zähne putzt.")</f>
        <v>Elmo von der Sesame Street präsentiert, wie man zusammen mit Sänger Bruno Mars Zähne putzt.</v>
      </c>
    </row>
    <row r="22076">
      <c r="A22076" s="4" t="s">
        <v>27790</v>
      </c>
      <c r="B22076" s="4" t="s">
        <v>27792</v>
      </c>
      <c r="C22076" s="5" t="str">
        <f>IFERROR(__xludf.DUMMYFUNCTION("GOOGLETRANSLATE(B22076,""en"",""de"")"),"Elmo zieht eine Zahnbürste heraus und beginnt zu tanzen, während Bruno Mars seine Zähne auf dem Spiegel putzt.")</f>
        <v>Elmo zieht eine Zahnbürste heraus und beginnt zu tanzen, während Bruno Mars seine Zähne auf dem Spiegel putzt.</v>
      </c>
    </row>
    <row r="22077">
      <c r="A22077" s="4" t="s">
        <v>27790</v>
      </c>
      <c r="B22077" s="4" t="s">
        <v>27793</v>
      </c>
      <c r="C22077" s="5" t="str">
        <f>IFERROR(__xludf.DUMMYFUNCTION("GOOGLETRANSLATE(B22077,""en"",""de"")"),"Elmo singt mit, als Bruno Mars seine Zähne und die mehrfarbigen Lichter am Spiegel flackern.")</f>
        <v>Elmo singt mit, als Bruno Mars seine Zähne und die mehrfarbigen Lichter am Spiegel flackern.</v>
      </c>
    </row>
    <row r="22078">
      <c r="A22078" s="4" t="s">
        <v>27790</v>
      </c>
      <c r="B22078" s="4" t="s">
        <v>27794</v>
      </c>
      <c r="C22078" s="5" t="str">
        <f>IFERROR(__xludf.DUMMYFUNCTION("GOOGLETRANSLATE(B22078,""en"",""de"")"),"Elmo und Bruno Mars tanzen weiterhin mit, da sie den kleinen Kindern die Wichtigkeit des Zähneputzens beibringen.")</f>
        <v>Elmo und Bruno Mars tanzen weiterhin mit, da sie den kleinen Kindern die Wichtigkeit des Zähneputzens beibringen.</v>
      </c>
    </row>
    <row r="22079">
      <c r="A22079" s="4" t="s">
        <v>27795</v>
      </c>
      <c r="B22079" s="4" t="s">
        <v>27796</v>
      </c>
      <c r="C22079" s="5" t="str">
        <f>IFERROR(__xludf.DUMMYFUNCTION("GOOGLETRANSLATE(B22079,""en"",""de"")"),"Ein kleines Kind wird gesehen, wie sie mit den Händen an den Hüften steht und zwischen einem hop -schottischen Umriss hinunter springt.")</f>
        <v>Ein kleines Kind wird gesehen, wie sie mit den Händen an den Hüften steht und zwischen einem hop -schottischen Umriss hinunter springt.</v>
      </c>
    </row>
    <row r="22080">
      <c r="A22080" s="4" t="s">
        <v>27795</v>
      </c>
      <c r="B22080" s="4" t="s">
        <v>27797</v>
      </c>
      <c r="C22080" s="5" t="str">
        <f>IFERROR(__xludf.DUMMYFUNCTION("GOOGLETRANSLATE(B22080,""en"",""de"")"),"Sie springt den ganzen Weg nach unten und spricht am Ende mit der Kamera.")</f>
        <v>Sie springt den ganzen Weg nach unten und spricht am Ende mit der Kamera.</v>
      </c>
    </row>
    <row r="22081">
      <c r="A22081" s="4" t="s">
        <v>27798</v>
      </c>
      <c r="B22081" s="4" t="s">
        <v>27799</v>
      </c>
      <c r="C22081" s="5" t="str">
        <f>IFERROR(__xludf.DUMMYFUNCTION("GOOGLETRANSLATE(B22081,""en"",""de"")"),"Zwei Teams auf Pferden fahren auf einem Feld herum.")</f>
        <v>Zwei Teams auf Pferden fahren auf einem Feld herum.</v>
      </c>
    </row>
    <row r="22082">
      <c r="A22082" s="4" t="s">
        <v>27798</v>
      </c>
      <c r="B22082" s="4" t="s">
        <v>27800</v>
      </c>
      <c r="C22082" s="5" t="str">
        <f>IFERROR(__xludf.DUMMYFUNCTION("GOOGLETRANSLATE(B22082,""en"",""de"")"),"Mit Cricket -Fledermäusen schlugen sie einen Ball hin und her.")</f>
        <v>Mit Cricket -Fledermäusen schlugen sie einen Ball hin und her.</v>
      </c>
    </row>
    <row r="22083">
      <c r="A22083" s="4" t="s">
        <v>27798</v>
      </c>
      <c r="B22083" s="4" t="s">
        <v>27801</v>
      </c>
      <c r="C22083" s="5" t="str">
        <f>IFERROR(__xludf.DUMMYFUNCTION("GOOGLETRANSLATE(B22083,""en"",""de"")"),"Ein Team macht endlich ein Ziel.")</f>
        <v>Ein Team macht endlich ein Ziel.</v>
      </c>
    </row>
    <row r="22084">
      <c r="A22084" s="4" t="s">
        <v>27798</v>
      </c>
      <c r="B22084" s="4" t="s">
        <v>27802</v>
      </c>
      <c r="C22084" s="5" t="str">
        <f>IFERROR(__xludf.DUMMYFUNCTION("GOOGLETRANSLATE(B22084,""en"",""de"")"),"Das Torteam fährt dann im Sieg herum.")</f>
        <v>Das Torteam fährt dann im Sieg herum.</v>
      </c>
    </row>
    <row r="22085">
      <c r="A22085" s="4" t="s">
        <v>27803</v>
      </c>
      <c r="B22085" s="4" t="s">
        <v>27804</v>
      </c>
      <c r="C22085" s="5" t="str">
        <f>IFERROR(__xludf.DUMMYFUNCTION("GOOGLETRANSLATE(B22085,""en"",""de"")"),"Ein Mann zeigt auf einige Produkte für die Verwendung von Wachskiern.")</f>
        <v>Ein Mann zeigt auf einige Produkte für die Verwendung von Wachskiern.</v>
      </c>
    </row>
    <row r="22086">
      <c r="A22086" s="4" t="s">
        <v>27803</v>
      </c>
      <c r="B22086" s="4" t="s">
        <v>27805</v>
      </c>
      <c r="C22086" s="5" t="str">
        <f>IFERROR(__xludf.DUMMYFUNCTION("GOOGLETRANSLATE(B22086,""en"",""de"")"),"Der Mann reinigt den Ski mit einem Handtuch.")</f>
        <v>Der Mann reinigt den Ski mit einem Handtuch.</v>
      </c>
    </row>
    <row r="22087">
      <c r="A22087" s="4" t="s">
        <v>27803</v>
      </c>
      <c r="B22087" s="4" t="s">
        <v>27806</v>
      </c>
      <c r="C22087" s="5" t="str">
        <f>IFERROR(__xludf.DUMMYFUNCTION("GOOGLETRANSLATE(B22087,""en"",""de"")"),"Der Mann schnappt sich eines der Produkte und reibt über den gesamten Ski und lässt das Produkt eine Weile dort sitzen.")</f>
        <v>Der Mann schnappt sich eines der Produkte und reibt über den gesamten Ski und lässt das Produkt eine Weile dort sitzen.</v>
      </c>
    </row>
    <row r="22088">
      <c r="A22088" s="4" t="s">
        <v>27803</v>
      </c>
      <c r="B22088" s="4" t="s">
        <v>27807</v>
      </c>
      <c r="C22088" s="5" t="str">
        <f>IFERROR(__xludf.DUMMYFUNCTION("GOOGLETRANSLATE(B22088,""en"",""de"")"),"Nach einiger Zeit greift der Mann ein anderes Produkt und reibt sich über den gesamten Ski.")</f>
        <v>Nach einiger Zeit greift der Mann ein anderes Produkt und reibt sich über den gesamten Ski.</v>
      </c>
    </row>
    <row r="22089">
      <c r="A22089" s="4" t="s">
        <v>27808</v>
      </c>
      <c r="B22089" s="4" t="s">
        <v>27809</v>
      </c>
      <c r="C22089" s="5" t="str">
        <f>IFERROR(__xludf.DUMMYFUNCTION("GOOGLETRANSLATE(B22089,""en"",""de"")"),"Eine Frau wird eine Stange in eine Basis steckt.")</f>
        <v>Eine Frau wird eine Stange in eine Basis steckt.</v>
      </c>
    </row>
    <row r="22090">
      <c r="A22090" s="4" t="s">
        <v>27808</v>
      </c>
      <c r="B22090" s="4" t="s">
        <v>27810</v>
      </c>
      <c r="C22090" s="5" t="str">
        <f>IFERROR(__xludf.DUMMYFUNCTION("GOOGLETRANSLATE(B22090,""en"",""de"")"),"Sie legt dann einen Rock über die Stange auf den Boden.")</f>
        <v>Sie legt dann einen Rock über die Stange auf den Boden.</v>
      </c>
    </row>
    <row r="22091">
      <c r="A22091" s="4" t="s">
        <v>27808</v>
      </c>
      <c r="B22091" s="4" t="s">
        <v>27811</v>
      </c>
      <c r="C22091" s="5" t="str">
        <f>IFERROR(__xludf.DUMMYFUNCTION("GOOGLETRANSLATE(B22091,""en"",""de"")"),"Sie legt einen falschen Weihnachtsbaum auf die Stange.")</f>
        <v>Sie legt einen falschen Weihnachtsbaum auf die Stange.</v>
      </c>
    </row>
    <row r="22092">
      <c r="A22092" s="4" t="s">
        <v>27808</v>
      </c>
      <c r="B22092" s="4" t="s">
        <v>27812</v>
      </c>
      <c r="C22092" s="5" t="str">
        <f>IFERROR(__xludf.DUMMYFUNCTION("GOOGLETRANSLATE(B22092,""en"",""de"")"),"Eine Nahaufnahme des Bogens des Weihnachtsbaums wird gezeigt.")</f>
        <v>Eine Nahaufnahme des Bogens des Weihnachtsbaums wird gezeigt.</v>
      </c>
    </row>
    <row r="22093">
      <c r="A22093" s="4" t="s">
        <v>27808</v>
      </c>
      <c r="B22093" s="4" t="s">
        <v>27813</v>
      </c>
      <c r="C22093" s="5" t="str">
        <f>IFERROR(__xludf.DUMMYFUNCTION("GOOGLETRANSLATE(B22093,""en"",""de"")"),"Sie repariert den Bogen auf dem Baum.")</f>
        <v>Sie repariert den Bogen auf dem Baum.</v>
      </c>
    </row>
    <row r="22094">
      <c r="A22094" s="4" t="s">
        <v>27814</v>
      </c>
      <c r="B22094" s="4" t="s">
        <v>27815</v>
      </c>
      <c r="C22094" s="5" t="str">
        <f>IFERROR(__xludf.DUMMYFUNCTION("GOOGLETRANSLATE(B22094,""en"",""de"")"),"Eine weiße Wand im Inneren eines Raumes wird gezeigt.")</f>
        <v>Eine weiße Wand im Inneren eines Raumes wird gezeigt.</v>
      </c>
    </row>
    <row r="22095">
      <c r="A22095" s="4" t="s">
        <v>27814</v>
      </c>
      <c r="B22095" s="4" t="s">
        <v>27816</v>
      </c>
      <c r="C22095" s="5" t="str">
        <f>IFERROR(__xludf.DUMMYFUNCTION("GOOGLETRANSLATE(B22095,""en"",""de"")"),"Eine Hand hält eine beleuchtete Übereinstimmung mit einer Kerze.")</f>
        <v>Eine Hand hält eine beleuchtete Übereinstimmung mit einer Kerze.</v>
      </c>
    </row>
    <row r="22096">
      <c r="A22096" s="4" t="s">
        <v>27814</v>
      </c>
      <c r="B22096" s="4" t="s">
        <v>27817</v>
      </c>
      <c r="C22096" s="5" t="str">
        <f>IFERROR(__xludf.DUMMYFUNCTION("GOOGLETRANSLATE(B22096,""en"",""de"")"),"Ein Mann setzt die Kerze neben ein Waschbecken und beginnt, Geschirr zu waschen.")</f>
        <v>Ein Mann setzt die Kerze neben ein Waschbecken und beginnt, Geschirr zu waschen.</v>
      </c>
    </row>
    <row r="22097">
      <c r="A22097" s="4" t="s">
        <v>27818</v>
      </c>
      <c r="B22097" s="4" t="s">
        <v>27819</v>
      </c>
      <c r="C22097" s="5" t="str">
        <f>IFERROR(__xludf.DUMMYFUNCTION("GOOGLETRANSLATE(B22097,""en"",""de"")"),"Eine Nahaufnahme von Menschen, die geschwungen sind, wird von Menschen gezeigt, die durch eine Arena herumlaufen.")</f>
        <v>Eine Nahaufnahme von Menschen, die geschwungen sind, wird von Menschen gezeigt, die durch eine Arena herumlaufen.</v>
      </c>
    </row>
    <row r="22098">
      <c r="A22098" s="4" t="s">
        <v>27818</v>
      </c>
      <c r="B22098" s="4" t="s">
        <v>27820</v>
      </c>
      <c r="C22098" s="5" t="str">
        <f>IFERROR(__xludf.DUMMYFUNCTION("GOOGLETRANSLATE(B22098,""en"",""de"")"),"Zwei Wrestler biegen sich dann nach und gehen ein wenig um die Grube herum, gefolgt voneinander.")</f>
        <v>Zwei Wrestler biegen sich dann nach und gehen ein wenig um die Grube herum, gefolgt voneinander.</v>
      </c>
    </row>
    <row r="22099">
      <c r="A22099" s="4" t="s">
        <v>27818</v>
      </c>
      <c r="B22099" s="4" t="s">
        <v>27821</v>
      </c>
      <c r="C22099" s="5" t="str">
        <f>IFERROR(__xludf.DUMMYFUNCTION("GOOGLETRANSLATE(B22099,""en"",""de"")"),"Ein Mann wirft den anderen nach unten und führt in Klammern der Stadt.")</f>
        <v>Ein Mann wirft den anderen nach unten und führt in Klammern der Stadt.</v>
      </c>
    </row>
    <row r="22100">
      <c r="A22100" s="4" t="s">
        <v>27822</v>
      </c>
      <c r="B22100" s="4" t="s">
        <v>27823</v>
      </c>
      <c r="C22100" s="5" t="str">
        <f>IFERROR(__xludf.DUMMYFUNCTION("GOOGLETRANSLATE(B22100,""en"",""de"")"),"Eine Person fährt einen Schlitten einen Hügel hinunter, gefolgt von mehreren Personen, die den Hügel hinaufklettern und wieder nach unten rutschen.")</f>
        <v>Eine Person fährt einen Schlitten einen Hügel hinunter, gefolgt von mehreren Personen, die den Hügel hinaufklettern und wieder nach unten rutschen.</v>
      </c>
    </row>
    <row r="22101">
      <c r="A22101" s="4" t="s">
        <v>27822</v>
      </c>
      <c r="B22101" s="4" t="s">
        <v>27824</v>
      </c>
      <c r="C22101" s="5" t="str">
        <f>IFERROR(__xludf.DUMMYFUNCTION("GOOGLETRANSLATE(B22101,""en"",""de"")"),"Ein Erwachsener und ein Kind reiten nach unten, als die Person das Kind aus dem Schlitten zieht, gefolgt von mehr Menschen, die nach unten reiten und wieder hochgehen.")</f>
        <v>Ein Erwachsener und ein Kind reiten nach unten, als die Person das Kind aus dem Schlitten zieht, gefolgt von mehr Menschen, die nach unten reiten und wieder hochgehen.</v>
      </c>
    </row>
    <row r="22102">
      <c r="A22102" s="4" t="s">
        <v>27825</v>
      </c>
      <c r="B22102" s="4" t="s">
        <v>27826</v>
      </c>
      <c r="C22102" s="5" t="str">
        <f>IFERROR(__xludf.DUMMYFUNCTION("GOOGLETRANSLATE(B22102,""en"",""de"")"),"Ein Kleinkind malt ihre Lippen mit einem Lippenstift.")</f>
        <v>Ein Kleinkind malt ihre Lippen mit einem Lippenstift.</v>
      </c>
    </row>
    <row r="22103">
      <c r="A22103" s="4" t="s">
        <v>27825</v>
      </c>
      <c r="B22103" s="4" t="s">
        <v>27827</v>
      </c>
      <c r="C22103" s="5" t="str">
        <f>IFERROR(__xludf.DUMMYFUNCTION("GOOGLETRANSLATE(B22103,""en"",""de"")"),"Dann weckt das Kleinkind auf einem blauen Spiegel auf die Augenlider.")</f>
        <v>Dann weckt das Kleinkind auf einem blauen Spiegel auf die Augenlider.</v>
      </c>
    </row>
    <row r="22104">
      <c r="A22104" s="4" t="s">
        <v>27825</v>
      </c>
      <c r="B22104" s="4" t="s">
        <v>27828</v>
      </c>
      <c r="C22104" s="5" t="str">
        <f>IFERROR(__xludf.DUMMYFUNCTION("GOOGLETRANSLATE(B22104,""en"",""de"")"),"Als nächstes macht die Toddle mehr Make -up aus einer Palette, um sich weiter auf ihre Augenlider zu bewerben.")</f>
        <v>Als nächstes macht die Toddle mehr Make -up aus einer Palette, um sich weiter auf ihre Augenlider zu bewerben.</v>
      </c>
    </row>
    <row r="22105">
      <c r="A22105" s="4" t="s">
        <v>27829</v>
      </c>
      <c r="B22105" s="4" t="s">
        <v>27830</v>
      </c>
      <c r="C22105" s="5" t="str">
        <f>IFERROR(__xludf.DUMMYFUNCTION("GOOGLETRANSLATE(B22105,""en"",""de"")"),"Ein Mann überquert eine lockere Linie.")</f>
        <v>Ein Mann überquert eine lockere Linie.</v>
      </c>
    </row>
    <row r="22106">
      <c r="A22106" s="4" t="s">
        <v>27829</v>
      </c>
      <c r="B22106" s="4" t="s">
        <v>27831</v>
      </c>
      <c r="C22106" s="5" t="str">
        <f>IFERROR(__xludf.DUMMYFUNCTION("GOOGLETRANSLATE(B22106,""en"",""de"")"),"Er steckt etwas in den Kofferraum eines Autos.")</f>
        <v>Er steckt etwas in den Kofferraum eines Autos.</v>
      </c>
    </row>
    <row r="22107">
      <c r="A22107" s="4" t="s">
        <v>27829</v>
      </c>
      <c r="B22107" s="4" t="s">
        <v>27832</v>
      </c>
      <c r="C22107" s="5" t="str">
        <f>IFERROR(__xludf.DUMMYFUNCTION("GOOGLETRANSLATE(B22107,""en"",""de"")"),"Er überquert die lockere Linie auf die andere Seite.")</f>
        <v>Er überquert die lockere Linie auf die andere Seite.</v>
      </c>
    </row>
    <row r="22108">
      <c r="A22108" s="4" t="s">
        <v>27833</v>
      </c>
      <c r="B22108" s="4" t="s">
        <v>27834</v>
      </c>
      <c r="C22108" s="5" t="str">
        <f>IFERROR(__xludf.DUMMYFUNCTION("GOOGLETRANSLATE(B22108,""en"",""de"")"),"Eine Nahaufnahme eines Rasenmähers ist zu sehen, bei dem die Schuhe einer Person hinter sich gehen.")</f>
        <v>Eine Nahaufnahme eines Rasenmähers ist zu sehen, bei dem die Schuhe einer Person hinter sich gehen.</v>
      </c>
    </row>
    <row r="22109">
      <c r="A22109" s="4" t="s">
        <v>27833</v>
      </c>
      <c r="B22109" s="4" t="s">
        <v>27835</v>
      </c>
      <c r="C22109" s="5" t="str">
        <f>IFERROR(__xludf.DUMMYFUNCTION("GOOGLETRANSLATE(B22109,""en"",""de"")"),"Eine Kamera schwenkt aus einem Schmutzloch und zeigt einen Mann, der es neben einem Baum platziert.")</f>
        <v>Eine Kamera schwenkt aus einem Schmutzloch und zeigt einen Mann, der es neben einem Baum platziert.</v>
      </c>
    </row>
    <row r="22110">
      <c r="A22110" s="4" t="s">
        <v>27833</v>
      </c>
      <c r="B22110" s="4" t="s">
        <v>27836</v>
      </c>
      <c r="C22110" s="5" t="str">
        <f>IFERROR(__xludf.DUMMYFUNCTION("GOOGLETRANSLATE(B22110,""en"",""de"")"),"Die Kamera schwenkt um den Baum und zeigt den Mann, der auf dem Schmutz eingeht.")</f>
        <v>Die Kamera schwenkt um den Baum und zeigt den Mann, der auf dem Schmutz eingeht.</v>
      </c>
    </row>
    <row r="22111">
      <c r="A22111" s="4" t="s">
        <v>27837</v>
      </c>
      <c r="B22111" s="4" t="s">
        <v>27838</v>
      </c>
      <c r="C22111" s="5" t="str">
        <f>IFERROR(__xludf.DUMMYFUNCTION("GOOGLETRANSLATE(B22111,""en"",""de"")"),"Ein Mann, der in einem Kajak sitzt und sich mit seinen Paddeln um wirbelndes Wasser drückt, um sie zu unterstützen.")</f>
        <v>Ein Mann, der in einem Kajak sitzt und sich mit seinen Paddeln um wirbelndes Wasser drückt, um sie zu unterstützen.</v>
      </c>
    </row>
    <row r="22112">
      <c r="A22112" s="4" t="s">
        <v>27837</v>
      </c>
      <c r="B22112" s="4" t="s">
        <v>27839</v>
      </c>
      <c r="C22112" s="5" t="str">
        <f>IFERROR(__xludf.DUMMYFUNCTION("GOOGLETRANSLATE(B22112,""en"",""de"")"),"Der Mann dreht sich mehrmals im Wasser und versucht sich zu befreien, und er tut es schließlich.")</f>
        <v>Der Mann dreht sich mehrmals im Wasser und versucht sich zu befreien, und er tut es schließlich.</v>
      </c>
    </row>
    <row r="22113">
      <c r="A22113" s="4" t="s">
        <v>27840</v>
      </c>
      <c r="B22113" s="4" t="s">
        <v>27841</v>
      </c>
      <c r="C22113" s="5" t="str">
        <f>IFERROR(__xludf.DUMMYFUNCTION("GOOGLETRANSLATE(B22113,""en"",""de"")"),"Ein Mann spricht in der Kamera, während ein anderer Mann mit Schal hinter ihm ist, dann gingen sie in das Gebäude und saßen auf zwei Sofas. Eine Frau kam herüber, um ihnen Wasser zu geben.")</f>
        <v>Ein Mann spricht in der Kamera, während ein anderer Mann mit Schal hinter ihm ist, dann gingen sie in das Gebäude und saßen auf zwei Sofas. Eine Frau kam herüber, um ihnen Wasser zu geben.</v>
      </c>
    </row>
    <row r="22114">
      <c r="A22114" s="4" t="s">
        <v>27840</v>
      </c>
      <c r="B22114" s="4" t="s">
        <v>27842</v>
      </c>
      <c r="C22114" s="5" t="str">
        <f>IFERROR(__xludf.DUMMYFUNCTION("GOOGLETRANSLATE(B22114,""en"",""de"")"),"Der Mann im Pullover überprüfte sein Handy und erhielt zwei Schläger in die Tasche, gab dem einen Mann, der stand stehende den Ball auf den Schläger.")</f>
        <v>Der Mann im Pullover überprüfte sein Handy und erhielt zwei Schläger in die Tasche, gab dem einen Mann, der stand stehende den Ball auf den Schläger.</v>
      </c>
    </row>
    <row r="22115">
      <c r="A22115" s="4" t="s">
        <v>27840</v>
      </c>
      <c r="B22115" s="4" t="s">
        <v>27843</v>
      </c>
      <c r="C22115" s="5" t="str">
        <f>IFERROR(__xludf.DUMMYFUNCTION("GOOGLETRANSLATE(B22115,""en"",""de"")"),"Die beiden Männer begannen, Tennis zu spielen, während sie sitzen.")</f>
        <v>Die beiden Männer begannen, Tennis zu spielen, während sie sitzen.</v>
      </c>
    </row>
    <row r="22116">
      <c r="A22116" s="4" t="s">
        <v>27840</v>
      </c>
      <c r="B22116" s="4" t="s">
        <v>27844</v>
      </c>
      <c r="C22116" s="5" t="str">
        <f>IFERROR(__xludf.DUMMYFUNCTION("GOOGLETRANSLATE(B22116,""en"",""de"")"),"Dann bewegten sie die Sofas und fingen an, an der Wand zu spielen, dann in der Gegend, in der Menschen arbeiteten.")</f>
        <v>Dann bewegten sie die Sofas und fingen an, an der Wand zu spielen, dann in der Gegend, in der Menschen arbeiteten.</v>
      </c>
    </row>
    <row r="22117">
      <c r="A22117" s="4" t="s">
        <v>27840</v>
      </c>
      <c r="B22117" s="4" t="s">
        <v>27845</v>
      </c>
      <c r="C22117" s="5" t="str">
        <f>IFERROR(__xludf.DUMMYFUNCTION("GOOGLETRANSLATE(B22117,""en"",""de"")"),"Ein kahlköpfiger Mann ging auf die Treppe hinunter und ging zu den beiden Männern, die Tennis an der Wand spielten.")</f>
        <v>Ein kahlköpfiger Mann ging auf die Treppe hinunter und ging zu den beiden Männern, die Tennis an der Wand spielten.</v>
      </c>
    </row>
    <row r="22118">
      <c r="A22118" s="4" t="s">
        <v>27846</v>
      </c>
      <c r="B22118" s="4" t="s">
        <v>27847</v>
      </c>
      <c r="C22118" s="5" t="str">
        <f>IFERROR(__xludf.DUMMYFUNCTION("GOOGLETRANSLATE(B22118,""en"",""de"")"),"Eine Frau ist gesehen, wie sie mit einem Mann trainiert und führt zu ihr, um mit der Kamera zu sprechen.")</f>
        <v>Eine Frau ist gesehen, wie sie mit einem Mann trainiert und führt zu ihr, um mit der Kamera zu sprechen.</v>
      </c>
    </row>
    <row r="22119">
      <c r="A22119" s="4" t="s">
        <v>27846</v>
      </c>
      <c r="B22119" s="4" t="s">
        <v>27848</v>
      </c>
      <c r="C22119" s="5" t="str">
        <f>IFERROR(__xludf.DUMMYFUNCTION("GOOGLETRANSLATE(B22119,""en"",""de"")"),"Sie tritt dann zurück und viertens auf einem Brett, das ihre Beine herum bewegt und weiter mit der Kamera spricht.")</f>
        <v>Sie tritt dann zurück und viertens auf einem Brett, das ihre Beine herum bewegt und weiter mit der Kamera spricht.</v>
      </c>
    </row>
    <row r="22120">
      <c r="A22120" s="4" t="s">
        <v>27846</v>
      </c>
      <c r="B22120" s="4" t="s">
        <v>27849</v>
      </c>
      <c r="C22120" s="5" t="str">
        <f>IFERROR(__xludf.DUMMYFUNCTION("GOOGLETRANSLATE(B22120,""en"",""de"")"),"Sie hüpft dann um die Kamera und biss und endet, indem sie immer noch mit der Kamera spricht.")</f>
        <v>Sie hüpft dann um die Kamera und biss und endet, indem sie immer noch mit der Kamera spricht.</v>
      </c>
    </row>
    <row r="22121">
      <c r="A22121" s="4" t="s">
        <v>27850</v>
      </c>
      <c r="B22121" s="4" t="s">
        <v>27851</v>
      </c>
      <c r="C22121" s="5" t="str">
        <f>IFERROR(__xludf.DUMMYFUNCTION("GOOGLETRANSLATE(B22121,""en"",""de"")"),"Eine Frau, die Küsse in die Kamera bläst und dann ihre Kontaktlinsen einfügt.")</f>
        <v>Eine Frau, die Küsse in die Kamera bläst und dann ihre Kontaktlinsen einfügt.</v>
      </c>
    </row>
    <row r="22122">
      <c r="A22122" s="4" t="s">
        <v>27850</v>
      </c>
      <c r="B22122" s="4" t="s">
        <v>27852</v>
      </c>
      <c r="C22122" s="5" t="str">
        <f>IFERROR(__xludf.DUMMYFUNCTION("GOOGLETRANSLATE(B22122,""en"",""de"")"),"Sie beginnt, Lidschatten auf ihre Augenlider zu legen und ihn hineinzurieben.")</f>
        <v>Sie beginnt, Lidschatten auf ihre Augenlider zu legen und ihn hineinzurieben.</v>
      </c>
    </row>
    <row r="22123">
      <c r="A22123" s="4" t="s">
        <v>27850</v>
      </c>
      <c r="B22123" s="4" t="s">
        <v>27853</v>
      </c>
      <c r="C22123" s="5" t="str">
        <f>IFERROR(__xludf.DUMMYFUNCTION("GOOGLETRANSLATE(B22123,""en"",""de"")"),"Sie fügt ihren Augen Wimpernverlängerungen hinzu.")</f>
        <v>Sie fügt ihren Augen Wimpernverlängerungen hinzu.</v>
      </c>
    </row>
    <row r="22124">
      <c r="A22124" s="4" t="s">
        <v>27850</v>
      </c>
      <c r="B22124" s="4" t="s">
        <v>27854</v>
      </c>
      <c r="C22124" s="5" t="str">
        <f>IFERROR(__xludf.DUMMYFUNCTION("GOOGLETRANSLATE(B22124,""en"",""de"")"),"Dann beginnt sie, ihr gesamtes Gesicht nach und nach zu konturieren, wenn sie mitgeht.")</f>
        <v>Dann beginnt sie, ihr gesamtes Gesicht nach und nach zu konturieren, wenn sie mitgeht.</v>
      </c>
    </row>
    <row r="22125">
      <c r="A22125" s="4" t="s">
        <v>27855</v>
      </c>
      <c r="B22125" s="4" t="s">
        <v>27856</v>
      </c>
      <c r="C22125" s="5" t="str">
        <f>IFERROR(__xludf.DUMMYFUNCTION("GOOGLETRANSLATE(B22125,""en"",""de"")"),"Eine Gruppe von Cheerleadern spielt einen Turm, dann springen die Cheerleader nach unten.")</f>
        <v>Eine Gruppe von Cheerleadern spielt einen Turm, dann springen die Cheerleader nach unten.</v>
      </c>
    </row>
    <row r="22126">
      <c r="A22126" s="4" t="s">
        <v>27855</v>
      </c>
      <c r="B22126" s="4" t="s">
        <v>27857</v>
      </c>
      <c r="C22126" s="5" t="str">
        <f>IFERROR(__xludf.DUMMYFUNCTION("GOOGLETRANSLATE(B22126,""en"",""de"")"),"Danach springen die Cheerleader, flip und macht Wagenräder.")</f>
        <v>Danach springen die Cheerleader, flip und macht Wagenräder.</v>
      </c>
    </row>
    <row r="22127">
      <c r="A22127" s="4" t="s">
        <v>27855</v>
      </c>
      <c r="B22127" s="4" t="s">
        <v>27858</v>
      </c>
      <c r="C22127" s="5" t="str">
        <f>IFERROR(__xludf.DUMMYFUNCTION("GOOGLETRANSLATE(B22127,""en"",""de"")"),"Als nächstes bilden die Cheerleader menschliche Türme und tanzen zusammen.")</f>
        <v>Als nächstes bilden die Cheerleader menschliche Türme und tanzen zusammen.</v>
      </c>
    </row>
    <row r="22128">
      <c r="A22128" s="4" t="s">
        <v>27859</v>
      </c>
      <c r="B22128" s="4" t="s">
        <v>27860</v>
      </c>
      <c r="C22128" s="5" t="str">
        <f>IFERROR(__xludf.DUMMYFUNCTION("GOOGLETRANSLATE(B22128,""en"",""de"")"),"Eine Frau arbeitet an einer elliptischen Maschine.")</f>
        <v>Eine Frau arbeitet an einer elliptischen Maschine.</v>
      </c>
    </row>
    <row r="22129">
      <c r="A22129" s="4" t="s">
        <v>27859</v>
      </c>
      <c r="B22129" s="4" t="s">
        <v>27861</v>
      </c>
      <c r="C22129" s="5" t="str">
        <f>IFERROR(__xludf.DUMMYFUNCTION("GOOGLETRANSLATE(B22129,""en"",""de"")"),"Die Frau sitzt auf einer Couch in Fersen.")</f>
        <v>Die Frau sitzt auf einer Couch in Fersen.</v>
      </c>
    </row>
    <row r="22130">
      <c r="A22130" s="4" t="s">
        <v>27859</v>
      </c>
      <c r="B22130" s="4" t="s">
        <v>27862</v>
      </c>
      <c r="C22130" s="5" t="str">
        <f>IFERROR(__xludf.DUMMYFUNCTION("GOOGLETRANSLATE(B22130,""en"",""de"")"),"Sie trainiert weiter auf der Maschine.")</f>
        <v>Sie trainiert weiter auf der Maschine.</v>
      </c>
    </row>
    <row r="22131">
      <c r="A22131" s="4" t="s">
        <v>27863</v>
      </c>
      <c r="B22131" s="4" t="s">
        <v>27864</v>
      </c>
      <c r="C22131" s="5" t="str">
        <f>IFERROR(__xludf.DUMMYFUNCTION("GOOGLETRANSLATE(B22131,""en"",""de"")"),"Ein Mädchen sitzt im Sand.")</f>
        <v>Ein Mädchen sitzt im Sand.</v>
      </c>
    </row>
    <row r="22132">
      <c r="A22132" s="4" t="s">
        <v>27863</v>
      </c>
      <c r="B22132" s="4" t="s">
        <v>27865</v>
      </c>
      <c r="C22132" s="5" t="str">
        <f>IFERROR(__xludf.DUMMYFUNCTION("GOOGLETRANSLATE(B22132,""en"",""de"")"),"Sie steckt Sand in einen blauen Eimer vor sie.")</f>
        <v>Sie steckt Sand in einen blauen Eimer vor sie.</v>
      </c>
    </row>
    <row r="22133">
      <c r="A22133" s="4" t="s">
        <v>27863</v>
      </c>
      <c r="B22133" s="4" t="s">
        <v>27866</v>
      </c>
      <c r="C22133" s="5" t="str">
        <f>IFERROR(__xludf.DUMMYFUNCTION("GOOGLETRANSLATE(B22133,""en"",""de"")"),"Zwei Leute gehen am Strand vor ihr entlang.")</f>
        <v>Zwei Leute gehen am Strand vor ihr entlang.</v>
      </c>
    </row>
    <row r="22134">
      <c r="A22134" s="4" t="s">
        <v>27867</v>
      </c>
      <c r="B22134" s="4" t="s">
        <v>27868</v>
      </c>
      <c r="C22134" s="5" t="str">
        <f>IFERROR(__xludf.DUMMYFUNCTION("GOOGLETRANSLATE(B22134,""en"",""de"")"),"Ein Mann betritt einen Raum und legt seine Hand auf eine Leiter, während er redet.")</f>
        <v>Ein Mann betritt einen Raum und legt seine Hand auf eine Leiter, während er redet.</v>
      </c>
    </row>
    <row r="22135">
      <c r="A22135" s="4" t="s">
        <v>27867</v>
      </c>
      <c r="B22135" s="4" t="s">
        <v>27869</v>
      </c>
      <c r="C22135" s="5" t="str">
        <f>IFERROR(__xludf.DUMMYFUNCTION("GOOGLETRANSLATE(B22135,""en"",""de"")"),"Wir sehen einen Mann, der orangefarbene Fliesen auf einen Boden legt.")</f>
        <v>Wir sehen einen Mann, der orangefarbene Fliesen auf einen Boden legt.</v>
      </c>
    </row>
    <row r="22136">
      <c r="A22136" s="4" t="s">
        <v>27867</v>
      </c>
      <c r="B22136" s="4" t="s">
        <v>27870</v>
      </c>
      <c r="C22136" s="5" t="str">
        <f>IFERROR(__xludf.DUMMYFUNCTION("GOOGLETRANSLATE(B22136,""en"",""de"")"),"Wir sehen, wie ein Mann eine Dusche fliegert.")</f>
        <v>Wir sehen, wie ein Mann eine Dusche fliegert.</v>
      </c>
    </row>
    <row r="22137">
      <c r="A22137" s="4" t="s">
        <v>27867</v>
      </c>
      <c r="B22137" s="4" t="s">
        <v>27871</v>
      </c>
      <c r="C22137" s="5" t="str">
        <f>IFERROR(__xludf.DUMMYFUNCTION("GOOGLETRANSLATE(B22137,""en"",""de"")"),"Wir sehen, wie der Mann die Fliesen wieder auf einen Boden legt.")</f>
        <v>Wir sehen, wie der Mann die Fliesen wieder auf einen Boden legt.</v>
      </c>
    </row>
    <row r="22138">
      <c r="A22138" s="4" t="s">
        <v>27867</v>
      </c>
      <c r="B22138" s="4" t="s">
        <v>27872</v>
      </c>
      <c r="C22138" s="5" t="str">
        <f>IFERROR(__xludf.DUMMYFUNCTION("GOOGLETRANSLATE(B22138,""en"",""de"")"),"Wir kehren zu dem Mann zurück, der in der Nähe der Leiter spricht, und eine Website wird auf dem Bildschirm angezeigt.")</f>
        <v>Wir kehren zu dem Mann zurück, der in der Nähe der Leiter spricht, und eine Website wird auf dem Bildschirm angezeigt.</v>
      </c>
    </row>
    <row r="22139">
      <c r="A22139" s="4" t="s">
        <v>27873</v>
      </c>
      <c r="B22139" s="4" t="s">
        <v>27874</v>
      </c>
      <c r="C22139" s="5" t="str">
        <f>IFERROR(__xludf.DUMMYFUNCTION("GOOGLETRANSLATE(B22139,""en"",""de"")"),"Ein Nachrichtenmann in einem Anzug spricht.")</f>
        <v>Ein Nachrichtenmann in einem Anzug spricht.</v>
      </c>
    </row>
    <row r="22140">
      <c r="A22140" s="4" t="s">
        <v>27873</v>
      </c>
      <c r="B22140" s="4" t="s">
        <v>27875</v>
      </c>
      <c r="C22140" s="5" t="str">
        <f>IFERROR(__xludf.DUMMYFUNCTION("GOOGLETRANSLATE(B22140,""en"",""de"")"),"Ältere Frauen stehen hinter Nähmaschinen, die Decken nähen.")</f>
        <v>Ältere Frauen stehen hinter Nähmaschinen, die Decken nähen.</v>
      </c>
    </row>
    <row r="22141">
      <c r="A22141" s="4" t="s">
        <v>27876</v>
      </c>
      <c r="B22141" s="4" t="s">
        <v>27877</v>
      </c>
      <c r="C22141" s="5" t="str">
        <f>IFERROR(__xludf.DUMMYFUNCTION("GOOGLETRANSLATE(B22141,""en"",""de"")"),"Ein paar Menschen setzen sich mit Lebensweste in den indischen Stil, um einen Mann in einem Float -Boot zu beobachten.")</f>
        <v>Ein paar Menschen setzen sich mit Lebensweste in den indischen Stil, um einen Mann in einem Float -Boot zu beobachten.</v>
      </c>
    </row>
    <row r="22142">
      <c r="A22142" s="4" t="s">
        <v>27876</v>
      </c>
      <c r="B22142" s="4" t="s">
        <v>27878</v>
      </c>
      <c r="C22142" s="5" t="str">
        <f>IFERROR(__xludf.DUMMYFUNCTION("GOOGLETRANSLATE(B22142,""en"",""de"")"),"Sie bekommen das Boot mit Paddeln und einigen anderen neben ihnen in einem Kajak.")</f>
        <v>Sie bekommen das Boot mit Paddeln und einigen anderen neben ihnen in einem Kajak.</v>
      </c>
    </row>
    <row r="22143">
      <c r="A22143" s="4" t="s">
        <v>27876</v>
      </c>
      <c r="B22143" s="4" t="s">
        <v>27879</v>
      </c>
      <c r="C22143" s="5" t="str">
        <f>IFERROR(__xludf.DUMMYFUNCTION("GOOGLETRANSLATE(B22143,""en"",""de"")"),"Sie verwenden das Paddel, um das Boot zu steuern, werden aber vom sehr braunen Wasser bespritzt.")</f>
        <v>Sie verwenden das Paddel, um das Boot zu steuern, werden aber vom sehr braunen Wasser bespritzt.</v>
      </c>
    </row>
    <row r="22144">
      <c r="A22144" s="4" t="s">
        <v>27876</v>
      </c>
      <c r="B22144" s="4" t="s">
        <v>27880</v>
      </c>
      <c r="C22144" s="5" t="str">
        <f>IFERROR(__xludf.DUMMYFUNCTION("GOOGLETRANSLATE(B22144,""en"",""de"")"),"Ein weiteres kleines Boot kommt und stößt in sie, sie paddeln, bis sie kurz vor dem Land greifen.")</f>
        <v>Ein weiteres kleines Boot kommt und stößt in sie, sie paddeln, bis sie kurz vor dem Land greifen.</v>
      </c>
    </row>
    <row r="22145">
      <c r="A22145" s="4" t="s">
        <v>27881</v>
      </c>
      <c r="B22145" s="4" t="s">
        <v>27882</v>
      </c>
      <c r="C22145" s="5" t="str">
        <f>IFERROR(__xludf.DUMMYFUNCTION("GOOGLETRANSLATE(B22145,""en"",""de"")"),"Zwei Kekse werden auf einer Platte angezeigt.")</f>
        <v>Zwei Kekse werden auf einer Platte angezeigt.</v>
      </c>
    </row>
    <row r="22146">
      <c r="A22146" s="4" t="s">
        <v>27881</v>
      </c>
      <c r="B22146" s="4" t="s">
        <v>27883</v>
      </c>
      <c r="C22146" s="5" t="str">
        <f>IFERROR(__xludf.DUMMYFUNCTION("GOOGLETRANSLATE(B22146,""en"",""de"")"),"Die Zutaten werden einzeln in eine Schüssel gemischt und Eier, Zucker und Butter hinzufügen.")</f>
        <v>Die Zutaten werden einzeln in eine Schüssel gemischt und Eier, Zucker und Butter hinzufügen.</v>
      </c>
    </row>
    <row r="22147">
      <c r="A22147" s="4" t="s">
        <v>27881</v>
      </c>
      <c r="B22147" s="4" t="s">
        <v>27884</v>
      </c>
      <c r="C22147" s="5" t="str">
        <f>IFERROR(__xludf.DUMMYFUNCTION("GOOGLETRANSLATE(B22147,""en"",""de"")"),"Die Kekse werden aus dem Teig geschnitten.")</f>
        <v>Die Kekse werden aus dem Teig geschnitten.</v>
      </c>
    </row>
    <row r="22148">
      <c r="A22148" s="4" t="s">
        <v>27881</v>
      </c>
      <c r="B22148" s="4" t="s">
        <v>27885</v>
      </c>
      <c r="C22148" s="5" t="str">
        <f>IFERROR(__xludf.DUMMYFUNCTION("GOOGLETRANSLATE(B22148,""en"",""de"")"),"Sie werden dann gebacken und versammelt.")</f>
        <v>Sie werden dann gebacken und versammelt.</v>
      </c>
    </row>
    <row r="22149">
      <c r="A22149" s="4" t="s">
        <v>27886</v>
      </c>
      <c r="B22149" s="4" t="s">
        <v>27887</v>
      </c>
      <c r="C22149" s="5" t="str">
        <f>IFERROR(__xludf.DUMMYFUNCTION("GOOGLETRANSLATE(B22149,""en"",""de"")"),"Die Leute spielen eine Ping -Pong.")</f>
        <v>Die Leute spielen eine Ping -Pong.</v>
      </c>
    </row>
    <row r="22150">
      <c r="A22150" s="4" t="s">
        <v>27886</v>
      </c>
      <c r="B22150" s="4" t="s">
        <v>27888</v>
      </c>
      <c r="C22150" s="5" t="str">
        <f>IFERROR(__xludf.DUMMYFUNCTION("GOOGLETRANSLATE(B22150,""en"",""de"")"),"Die Leute stehen neben dem Tisch und beobachten.")</f>
        <v>Die Leute stehen neben dem Tisch und beobachten.</v>
      </c>
    </row>
    <row r="22151">
      <c r="A22151" s="4" t="s">
        <v>27886</v>
      </c>
      <c r="B22151" s="4" t="s">
        <v>27889</v>
      </c>
      <c r="C22151" s="5" t="str">
        <f>IFERROR(__xludf.DUMMYFUNCTION("GOOGLETRANSLATE(B22151,""en"",""de"")"),"Sie spielen weiter und zwei der Männer High Five.")</f>
        <v>Sie spielen weiter und zwei der Männer High Five.</v>
      </c>
    </row>
    <row r="22152">
      <c r="A22152" s="4" t="s">
        <v>27890</v>
      </c>
      <c r="B22152" s="4" t="s">
        <v>27891</v>
      </c>
      <c r="C22152" s="5" t="str">
        <f>IFERROR(__xludf.DUMMYFUNCTION("GOOGLETRANSLATE(B22152,""en"",""de"")"),"Eine Person fährt auf einem Fahrrad eine Straße hinunter mit einem mit ihm gebundenen Hund.")</f>
        <v>Eine Person fährt auf einem Fahrrad eine Straße hinunter mit einem mit ihm gebundenen Hund.</v>
      </c>
    </row>
    <row r="22153">
      <c r="A22153" s="4" t="s">
        <v>27890</v>
      </c>
      <c r="B22153" s="4" t="s">
        <v>27892</v>
      </c>
      <c r="C22153" s="5" t="str">
        <f>IFERROR(__xludf.DUMMYFUNCTION("GOOGLETRANSLATE(B22153,""en"",""de"")"),"Die Kamera wird in verschiedenen Winkeln gezeigt. Der Mann fährt mit dem Hund mit dem Fahrrad.")</f>
        <v>Die Kamera wird in verschiedenen Winkeln gezeigt. Der Mann fährt mit dem Hund mit dem Fahrrad.</v>
      </c>
    </row>
    <row r="22154">
      <c r="A22154" s="4" t="s">
        <v>27890</v>
      </c>
      <c r="B22154" s="4" t="s">
        <v>27893</v>
      </c>
      <c r="C22154" s="5" t="str">
        <f>IFERROR(__xludf.DUMMYFUNCTION("GOOGLETRANSLATE(B22154,""en"",""de"")"),"Der Mann reitet weiter mit dem Hund herum.")</f>
        <v>Der Mann reitet weiter mit dem Hund herum.</v>
      </c>
    </row>
    <row r="22155">
      <c r="A22155" s="4" t="s">
        <v>27894</v>
      </c>
      <c r="B22155" s="4" t="s">
        <v>27895</v>
      </c>
      <c r="C22155" s="5" t="str">
        <f>IFERROR(__xludf.DUMMYFUNCTION("GOOGLETRANSLATE(B22155,""en"",""de"")"),"Ein Mann mit Pfeife hält die Mitte des Seils.")</f>
        <v>Ein Mann mit Pfeife hält die Mitte des Seils.</v>
      </c>
    </row>
    <row r="22156">
      <c r="A22156" s="4" t="s">
        <v>27894</v>
      </c>
      <c r="B22156" s="4" t="s">
        <v>27896</v>
      </c>
      <c r="C22156" s="5" t="str">
        <f>IFERROR(__xludf.DUMMYFUNCTION("GOOGLETRANSLATE(B22156,""en"",""de"")"),"Zwei Männer ziehen an jedem Ende des Seils in ihre eigene Richtung über den Schlamm.")</f>
        <v>Zwei Männer ziehen an jedem Ende des Seils in ihre eigene Richtung über den Schlamm.</v>
      </c>
    </row>
    <row r="22157">
      <c r="A22157" s="4" t="s">
        <v>27894</v>
      </c>
      <c r="B22157" s="4" t="s">
        <v>27897</v>
      </c>
      <c r="C22157" s="5" t="str">
        <f>IFERROR(__xludf.DUMMYFUNCTION("GOOGLETRANSLATE(B22157,""en"",""de"")"),"Das rote Seil lehnt sich in Blau auf den Mann zu, als er fast auf dem Boden sitzt.")</f>
        <v>Das rote Seil lehnt sich in Blau auf den Mann zu, als er fast auf dem Boden sitzt.</v>
      </c>
    </row>
    <row r="22158">
      <c r="A22158" s="4" t="s">
        <v>27894</v>
      </c>
      <c r="B22158" s="4" t="s">
        <v>27898</v>
      </c>
      <c r="C22158" s="5" t="str">
        <f>IFERROR(__xludf.DUMMYFUNCTION("GOOGLETRANSLATE(B22158,""en"",""de"")"),"Der Schiedsrichter ist auf seinem Knie beobachtet.")</f>
        <v>Der Schiedsrichter ist auf seinem Knie beobachtet.</v>
      </c>
    </row>
    <row r="22159">
      <c r="A22159" s="4" t="s">
        <v>27894</v>
      </c>
      <c r="B22159" s="4" t="s">
        <v>27899</v>
      </c>
      <c r="C22159" s="5" t="str">
        <f>IFERROR(__xludf.DUMMYFUNCTION("GOOGLETRANSLATE(B22159,""en"",""de"")"),"Der Konkurrent atmet kurze Atemzüge, als er anstarrt.")</f>
        <v>Der Konkurrent atmet kurze Atemzüge, als er anstarrt.</v>
      </c>
    </row>
    <row r="22160">
      <c r="A22160" s="4" t="s">
        <v>27894</v>
      </c>
      <c r="B22160" s="4" t="s">
        <v>27900</v>
      </c>
      <c r="C22160" s="5" t="str">
        <f>IFERROR(__xludf.DUMMYFUNCTION("GOOGLETRANSLATE(B22160,""en"",""de"")"),"Ein Mann mit einem Bart verblasst und grinst.")</f>
        <v>Ein Mann mit einem Bart verblasst und grinst.</v>
      </c>
    </row>
    <row r="22161">
      <c r="A22161" s="4" t="s">
        <v>27894</v>
      </c>
      <c r="B22161" s="4" t="s">
        <v>27901</v>
      </c>
      <c r="C22161" s="5" t="str">
        <f>IFERROR(__xludf.DUMMYFUNCTION("GOOGLETRANSLATE(B22161,""en"",""de"")"),"Jeder Mann zieht weiter, als er sich im Schlamm zurücklehnt.")</f>
        <v>Jeder Mann zieht weiter, als er sich im Schlamm zurücklehnt.</v>
      </c>
    </row>
    <row r="22162">
      <c r="A22162" s="4" t="s">
        <v>27894</v>
      </c>
      <c r="B22162" s="4" t="s">
        <v>27902</v>
      </c>
      <c r="C22162" s="5" t="str">
        <f>IFERROR(__xludf.DUMMYFUNCTION("GOOGLETRANSLATE(B22162,""en"",""de"")"),"Es zeigt, dass 6 Minuten vergangen sind, als sie weiterhin ziehen.")</f>
        <v>Es zeigt, dass 6 Minuten vergangen sind, als sie weiterhin ziehen.</v>
      </c>
    </row>
    <row r="22163">
      <c r="A22163" s="4" t="s">
        <v>27894</v>
      </c>
      <c r="B22163" s="4" t="s">
        <v>27903</v>
      </c>
      <c r="C22163" s="5" t="str">
        <f>IFERROR(__xludf.DUMMYFUNCTION("GOOGLETRANSLATE(B22163,""en"",""de"")"),"Es zeigt 8 Minuten und 30 Sekunden sind vergangen.")</f>
        <v>Es zeigt 8 Minuten und 30 Sekunden sind vergangen.</v>
      </c>
    </row>
    <row r="22164">
      <c r="A22164" s="4" t="s">
        <v>27894</v>
      </c>
      <c r="B22164" s="4" t="s">
        <v>27904</v>
      </c>
      <c r="C22164" s="5" t="str">
        <f>IFERROR(__xludf.DUMMYFUNCTION("GOOGLETRANSLATE(B22164,""en"",""de"")"),"Der Mann in Rot steht auf und rennt rückwärts und zieht den anderen Mann über die Linie.")</f>
        <v>Der Mann in Rot steht auf und rennt rückwärts und zieht den anderen Mann über die Linie.</v>
      </c>
    </row>
    <row r="22165">
      <c r="A22165" s="4" t="s">
        <v>27894</v>
      </c>
      <c r="B22165" s="4" t="s">
        <v>27905</v>
      </c>
      <c r="C22165" s="5" t="str">
        <f>IFERROR(__xludf.DUMMYFUNCTION("GOOGLETRANSLATE(B22165,""en"",""de"")"),"Die beiden Männer schütteln die Hände und umarmen sich und gehen weg.")</f>
        <v>Die beiden Männer schütteln die Hände und umarmen sich und gehen weg.</v>
      </c>
    </row>
    <row r="22166">
      <c r="A22166" s="4" t="s">
        <v>27894</v>
      </c>
      <c r="B22166" s="4" t="s">
        <v>27906</v>
      </c>
      <c r="C22166" s="5" t="str">
        <f>IFERROR(__xludf.DUMMYFUNCTION("GOOGLETRANSLATE(B22166,""en"",""de"")"),"Der Mann in Blau setzt seine Arme um zwei Männer und geht weg.")</f>
        <v>Der Mann in Blau setzt seine Arme um zwei Männer und geht weg.</v>
      </c>
    </row>
    <row r="22167">
      <c r="A22167" s="4" t="s">
        <v>27907</v>
      </c>
      <c r="B22167" s="4" t="s">
        <v>27908</v>
      </c>
      <c r="C22167" s="5" t="str">
        <f>IFERROR(__xludf.DUMMYFUNCTION("GOOGLETRANSLATE(B22167,""en"",""de"")"),"Die Menschen stehen auf einem Schneehügel.")</f>
        <v>Die Menschen stehen auf einem Schneehügel.</v>
      </c>
    </row>
    <row r="22168">
      <c r="A22168" s="4" t="s">
        <v>27907</v>
      </c>
      <c r="B22168" s="4" t="s">
        <v>4423</v>
      </c>
      <c r="C22168" s="5" t="str">
        <f>IFERROR(__xludf.DUMMYFUNCTION("GOOGLETRANSLATE(B22168,""en"",""de"")"),"Die Menschen snowboarden einen Schneehügel hinunter.")</f>
        <v>Die Menschen snowboarden einen Schneehügel hinunter.</v>
      </c>
    </row>
    <row r="22169">
      <c r="A22169" s="4" t="s">
        <v>27907</v>
      </c>
      <c r="B22169" s="4" t="s">
        <v>27909</v>
      </c>
      <c r="C22169" s="5" t="str">
        <f>IFERROR(__xludf.DUMMYFUNCTION("GOOGLETRANSLATE(B22169,""en"",""de"")"),"Die Leute fahren einen Hügel hinunter.")</f>
        <v>Die Leute fahren einen Hügel hinunter.</v>
      </c>
    </row>
    <row r="22170">
      <c r="A22170" s="4" t="s">
        <v>27907</v>
      </c>
      <c r="B22170" s="4" t="s">
        <v>27910</v>
      </c>
      <c r="C22170" s="5" t="str">
        <f>IFERROR(__xludf.DUMMYFUNCTION("GOOGLETRANSLATE(B22170,""en"",""de"")"),"Die Skiiers halten unten an und reden.")</f>
        <v>Die Skiiers halten unten an und reden.</v>
      </c>
    </row>
    <row r="22171">
      <c r="A22171" s="4" t="s">
        <v>27911</v>
      </c>
      <c r="B22171" s="4" t="s">
        <v>27912</v>
      </c>
      <c r="C22171" s="5" t="str">
        <f>IFERROR(__xludf.DUMMYFUNCTION("GOOGLETRANSLATE(B22171,""en"",""de"")"),"Eine Gruppe von Männern wird auf einen aufblasbaren Hot Dog gezogen, der einen schnellen Dreh macht, was dazu führt, dass sie fallen.")</f>
        <v>Eine Gruppe von Männern wird auf einen aufblasbaren Hot Dog gezogen, der einen schnellen Dreh macht, was dazu führt, dass sie fallen.</v>
      </c>
    </row>
    <row r="22172">
      <c r="A22172" s="4" t="s">
        <v>27911</v>
      </c>
      <c r="B22172" s="4" t="s">
        <v>27913</v>
      </c>
      <c r="C22172" s="5" t="str">
        <f>IFERROR(__xludf.DUMMYFUNCTION("GOOGLETRANSLATE(B22172,""en"",""de"")"),"Menschen auf Wasserskiern und Zwischenrohre haben komische Abstürze, während sie im Wasser mitgezogen werden.")</f>
        <v>Menschen auf Wasserskiern und Zwischenrohre haben komische Abstürze, während sie im Wasser mitgezogen werden.</v>
      </c>
    </row>
    <row r="22173">
      <c r="A22173" s="4" t="s">
        <v>27911</v>
      </c>
      <c r="B22173" s="4" t="s">
        <v>27914</v>
      </c>
      <c r="C22173" s="5" t="str">
        <f>IFERROR(__xludf.DUMMYFUNCTION("GOOGLETRANSLATE(B22173,""en"",""de"")"),"Ein Junge auf den Skiern hält an einem Schleppseil am Dock und wird über das Wasser gezogen.")</f>
        <v>Ein Junge auf den Skiern hält an einem Schleppseil am Dock und wird über das Wasser gezogen.</v>
      </c>
    </row>
    <row r="22174">
      <c r="A22174" s="4" t="s">
        <v>27911</v>
      </c>
      <c r="B22174" s="4" t="s">
        <v>27915</v>
      </c>
      <c r="C22174" s="5" t="str">
        <f>IFERROR(__xludf.DUMMYFUNCTION("GOOGLETRANSLATE(B22174,""en"",""de"")"),"Eine große Gruppe auf Zwischenrohren wird auf Tauge -Seilen im Wasser gezogen, dann eine große Welle getroffen und in die Luft flippt.")</f>
        <v>Eine große Gruppe auf Zwischenrohren wird auf Tauge -Seilen im Wasser gezogen, dann eine große Welle getroffen und in die Luft flippt.</v>
      </c>
    </row>
    <row r="22175">
      <c r="A22175" s="4" t="s">
        <v>27911</v>
      </c>
      <c r="B22175" s="4" t="s">
        <v>27916</v>
      </c>
      <c r="C22175" s="5" t="str">
        <f>IFERROR(__xludf.DUMMYFUNCTION("GOOGLETRANSLATE(B22175,""en"",""de"")"),"Ein Mann auf einem Boot springt nach einem Gegenstand mit dem Boot, das sich immer noch bewegte.")</f>
        <v>Ein Mann auf einem Boot springt nach einem Gegenstand mit dem Boot, das sich immer noch bewegte.</v>
      </c>
    </row>
    <row r="22176">
      <c r="A22176" s="4" t="s">
        <v>27917</v>
      </c>
      <c r="B22176" s="4" t="s">
        <v>27918</v>
      </c>
      <c r="C22176" s="5" t="str">
        <f>IFERROR(__xludf.DUMMYFUNCTION("GOOGLETRANSLATE(B22176,""en"",""de"")"),"Ein Mann legt sich in Meereswasser zurück, als er an einer Bar festhält.")</f>
        <v>Ein Mann legt sich in Meereswasser zurück, als er an einer Bar festhält.</v>
      </c>
    </row>
    <row r="22177">
      <c r="A22177" s="4" t="s">
        <v>27917</v>
      </c>
      <c r="B22177" s="4" t="s">
        <v>27919</v>
      </c>
      <c r="C22177" s="5" t="str">
        <f>IFERROR(__xludf.DUMMYFUNCTION("GOOGLETRANSLATE(B22177,""en"",""de"")"),"Er ist Drogen mit einem Boot voller Menschen.")</f>
        <v>Er ist Drogen mit einem Boot voller Menschen.</v>
      </c>
    </row>
    <row r="22178">
      <c r="A22178" s="4" t="s">
        <v>27917</v>
      </c>
      <c r="B22178" s="4" t="s">
        <v>27920</v>
      </c>
      <c r="C22178" s="5" t="str">
        <f>IFERROR(__xludf.DUMMYFUNCTION("GOOGLETRANSLATE(B22178,""en"",""de"")"),"Er gewinnt sein Gleichgewicht und fährt schnell hinter dem Boot.")</f>
        <v>Er gewinnt sein Gleichgewicht und fährt schnell hinter dem Boot.</v>
      </c>
    </row>
    <row r="22179">
      <c r="A22179" s="4" t="s">
        <v>27921</v>
      </c>
      <c r="B22179" s="4" t="s">
        <v>27922</v>
      </c>
      <c r="C22179" s="5" t="str">
        <f>IFERROR(__xludf.DUMMYFUNCTION("GOOGLETRANSLATE(B22179,""en"",""de"")"),"Mehrere Menschen werden gefangen genommen, um einen Weihnachtsbaum in einem Wohnzimmer in einem schnellen, Speed ​​-Motion -Video zu dekorieren.")</f>
        <v>Mehrere Menschen werden gefangen genommen, um einen Weihnachtsbaum in einem Wohnzimmer in einem schnellen, Speed ​​-Motion -Video zu dekorieren.</v>
      </c>
    </row>
    <row r="22180">
      <c r="A22180" s="4" t="s">
        <v>27921</v>
      </c>
      <c r="B22180" s="4" t="s">
        <v>27923</v>
      </c>
      <c r="C22180" s="5" t="str">
        <f>IFERROR(__xludf.DUMMYFUNCTION("GOOGLETRANSLATE(B22180,""en"",""de"")"),"Ein Weihnachtsbaum steht in einem Wohnzimmer nicht dekoriert.")</f>
        <v>Ein Weihnachtsbaum steht in einem Wohnzimmer nicht dekoriert.</v>
      </c>
    </row>
    <row r="22181">
      <c r="A22181" s="4" t="s">
        <v>27921</v>
      </c>
      <c r="B22181" s="4" t="s">
        <v>27924</v>
      </c>
      <c r="C22181" s="5" t="str">
        <f>IFERROR(__xludf.DUMMYFUNCTION("GOOGLETRANSLATE(B22181,""en"",""de"")"),"Zwei Menschen dekorieren den Baum mit einem leichten Kabel.")</f>
        <v>Zwei Menschen dekorieren den Baum mit einem leichten Kabel.</v>
      </c>
    </row>
    <row r="22182">
      <c r="A22182" s="4" t="s">
        <v>27921</v>
      </c>
      <c r="B22182" s="4" t="s">
        <v>27925</v>
      </c>
      <c r="C22182" s="5" t="str">
        <f>IFERROR(__xludf.DUMMYFUNCTION("GOOGLETRANSLATE(B22182,""en"",""de"")"),"Drei Menschen dekorieren den Baum mit blauen und silbernen Bällen.")</f>
        <v>Drei Menschen dekorieren den Baum mit blauen und silbernen Bällen.</v>
      </c>
    </row>
    <row r="22183">
      <c r="A22183" s="4" t="s">
        <v>27921</v>
      </c>
      <c r="B22183" s="4" t="s">
        <v>27926</v>
      </c>
      <c r="C22183" s="5" t="str">
        <f>IFERROR(__xludf.DUMMYFUNCTION("GOOGLETRANSLATE(B22183,""en"",""de"")"),"Die Baumlichter werden eingeschaltet und umwickelte Geschenke werden unter den Baum gelegt, während die Menschen unter dem Baum sitzen und ein Hund beiläufig am Baum am Baum geht.")</f>
        <v>Die Baumlichter werden eingeschaltet und umwickelte Geschenke werden unter den Baum gelegt, während die Menschen unter dem Baum sitzen und ein Hund beiläufig am Baum am Baum geht.</v>
      </c>
    </row>
    <row r="22184">
      <c r="A22184" s="4" t="s">
        <v>27927</v>
      </c>
      <c r="B22184" s="4" t="s">
        <v>1251</v>
      </c>
      <c r="C22184" s="5" t="str">
        <f>IFERROR(__xludf.DUMMYFUNCTION("GOOGLETRANSLATE(B22184,""en"",""de"")"),"Die Credits des Clips werden angezeigt.")</f>
        <v>Die Credits des Clips werden angezeigt.</v>
      </c>
    </row>
    <row r="22185">
      <c r="A22185" s="4" t="s">
        <v>27927</v>
      </c>
      <c r="B22185" s="4" t="s">
        <v>27928</v>
      </c>
      <c r="C22185" s="5" t="str">
        <f>IFERROR(__xludf.DUMMYFUNCTION("GOOGLETRANSLATE(B22185,""en"",""de"")"),"Ein Typ steht, gestikuliert und unterrichtet in einem Fitnessstudio.")</f>
        <v>Ein Typ steht, gestikuliert und unterrichtet in einem Fitnessstudio.</v>
      </c>
    </row>
    <row r="22186">
      <c r="A22186" s="4" t="s">
        <v>27927</v>
      </c>
      <c r="B22186" s="4" t="s">
        <v>27929</v>
      </c>
      <c r="C22186" s="5" t="str">
        <f>IFERROR(__xludf.DUMMYFUNCTION("GOOGLETRANSLATE(B22186,""en"",""de"")"),"Ein Mann demonstriert einen Gymnastikstunt auf einer Handplattform.")</f>
        <v>Ein Mann demonstriert einen Gymnastikstunt auf einer Handplattform.</v>
      </c>
    </row>
    <row r="22187">
      <c r="A22187" s="4" t="s">
        <v>27927</v>
      </c>
      <c r="B22187" s="4" t="s">
        <v>27930</v>
      </c>
      <c r="C22187" s="5" t="str">
        <f>IFERROR(__xludf.DUMMYFUNCTION("GOOGLETRANSLATE(B22187,""en"",""de"")"),"Der Mann posiert mit seinen Händen in der Luft.")</f>
        <v>Der Mann posiert mit seinen Händen in der Luft.</v>
      </c>
    </row>
    <row r="22188">
      <c r="A22188" s="4" t="s">
        <v>27927</v>
      </c>
      <c r="B22188" s="4" t="s">
        <v>573</v>
      </c>
      <c r="C22188" s="5" t="str">
        <f>IFERROR(__xludf.DUMMYFUNCTION("GOOGLETRANSLATE(B22188,""en"",""de"")"),"Die Credits des Videos werden angezeigt.")</f>
        <v>Die Credits des Videos werden angezeigt.</v>
      </c>
    </row>
    <row r="22189">
      <c r="A22189" s="4" t="s">
        <v>27931</v>
      </c>
      <c r="B22189" s="4" t="s">
        <v>27932</v>
      </c>
      <c r="C22189" s="5" t="str">
        <f>IFERROR(__xludf.DUMMYFUNCTION("GOOGLETRANSLATE(B22189,""en"",""de"")"),"Es gibt einen Mann, der einen schwarzen Pullover gekleidet ist, der die Geige in einer Kirche spielt.")</f>
        <v>Es gibt einen Mann, der einen schwarzen Pullover gekleidet ist, der die Geige in einer Kirche spielt.</v>
      </c>
    </row>
    <row r="22190">
      <c r="A22190" s="4" t="s">
        <v>27931</v>
      </c>
      <c r="B22190" s="4" t="s">
        <v>27933</v>
      </c>
      <c r="C22190" s="5" t="str">
        <f>IFERROR(__xludf.DUMMYFUNCTION("GOOGLETRANSLATE(B22190,""en"",""de"")"),"Neben ihm steht eine Frau, die auch schwarz gekleidet ist und eine Geige in ihren Händen hält.")</f>
        <v>Neben ihm steht eine Frau, die auch schwarz gekleidet ist und eine Geige in ihren Händen hält.</v>
      </c>
    </row>
    <row r="22191">
      <c r="A22191" s="4" t="s">
        <v>27931</v>
      </c>
      <c r="B22191" s="4" t="s">
        <v>27934</v>
      </c>
      <c r="C22191" s="5" t="str">
        <f>IFERROR(__xludf.DUMMYFUNCTION("GOOGLETRANSLATE(B22191,""en"",""de"")"),"Es gibt eine Statue von Jesus Christus direkt hinter ihnen.")</f>
        <v>Es gibt eine Statue von Jesus Christus direkt hinter ihnen.</v>
      </c>
    </row>
    <row r="22192">
      <c r="A22192" s="4" t="s">
        <v>27931</v>
      </c>
      <c r="B22192" s="4" t="s">
        <v>27935</v>
      </c>
      <c r="C22192" s="5" t="str">
        <f>IFERROR(__xludf.DUMMYFUNCTION("GOOGLETRANSLATE(B22192,""en"",""de"")"),"Nachdem der Mann aufgehört hat, die Geige zu spielen, tritt die Frau mit und beginnt ihre Geige zu spielen.")</f>
        <v>Nachdem der Mann aufgehört hat, die Geige zu spielen, tritt die Frau mit und beginnt ihre Geige zu spielen.</v>
      </c>
    </row>
    <row r="22193">
      <c r="A22193" s="4" t="s">
        <v>27931</v>
      </c>
      <c r="B22193" s="4" t="s">
        <v>27936</v>
      </c>
      <c r="C22193" s="5" t="str">
        <f>IFERROR(__xludf.DUMMYFUNCTION("GOOGLETRANSLATE(B22193,""en"",""de"")"),"Es gibt ein paar Leute in der ersten Reihe, die die Frau spielen sehen.")</f>
        <v>Es gibt ein paar Leute in der ersten Reihe, die die Frau spielen sehen.</v>
      </c>
    </row>
    <row r="22194">
      <c r="A22194" s="4" t="s">
        <v>27937</v>
      </c>
      <c r="B22194" s="4" t="s">
        <v>27938</v>
      </c>
      <c r="C22194" s="5" t="str">
        <f>IFERROR(__xludf.DUMMYFUNCTION("GOOGLETRANSLATE(B22194,""en"",""de"")"),"Eine Gruppe von Männern auf Eseln spielt eine Form von Polo auf einem Dirt -Feld.")</f>
        <v>Eine Gruppe von Männern auf Eseln spielt eine Form von Polo auf einem Dirt -Feld.</v>
      </c>
    </row>
    <row r="22195">
      <c r="A22195" s="4" t="s">
        <v>27937</v>
      </c>
      <c r="B22195" s="4" t="s">
        <v>27939</v>
      </c>
      <c r="C22195" s="5" t="str">
        <f>IFERROR(__xludf.DUMMYFUNCTION("GOOGLETRANSLATE(B22195,""en"",""de"")"),"Die Kamera schwenkt zu Leuten, die das Spiel beobachten.")</f>
        <v>Die Kamera schwenkt zu Leuten, die das Spiel beobachten.</v>
      </c>
    </row>
    <row r="22196">
      <c r="A22196" s="4" t="s">
        <v>27937</v>
      </c>
      <c r="B22196" s="4" t="s">
        <v>27940</v>
      </c>
      <c r="C22196" s="5" t="str">
        <f>IFERROR(__xludf.DUMMYFUNCTION("GOOGLETRANSLATE(B22196,""en"",""de"")"),"Die Kamera kehrt zu den Leuten zurück, die mit den Eseln fahren.")</f>
        <v>Die Kamera kehrt zu den Leuten zurück, die mit den Eseln fahren.</v>
      </c>
    </row>
    <row r="22197">
      <c r="A22197" s="4" t="s">
        <v>27941</v>
      </c>
      <c r="B22197" s="4" t="s">
        <v>27942</v>
      </c>
      <c r="C22197" s="5" t="str">
        <f>IFERROR(__xludf.DUMMYFUNCTION("GOOGLETRANSLATE(B22197,""en"",""de"")"),"Eine Nahaufnahme eines Score -Boards wird angezeigt, gefolgt von einem Mann, der einen schweren Satz Gewichte hebt.")</f>
        <v>Eine Nahaufnahme eines Score -Boards wird angezeigt, gefolgt von einem Mann, der einen schweren Satz Gewichte hebt.</v>
      </c>
    </row>
    <row r="22198">
      <c r="A22198" s="4" t="s">
        <v>27941</v>
      </c>
      <c r="B22198" s="4" t="s">
        <v>27943</v>
      </c>
      <c r="C22198" s="5" t="str">
        <f>IFERROR(__xludf.DUMMYFUNCTION("GOOGLETRANSLATE(B22198,""en"",""de"")"),"Der Mann hebt es über seinen Kopf und seine Punktzahl danach.")</f>
        <v>Der Mann hebt es über seinen Kopf und seine Punktzahl danach.</v>
      </c>
    </row>
    <row r="22199">
      <c r="A22199" s="4" t="s">
        <v>27941</v>
      </c>
      <c r="B22199" s="4" t="s">
        <v>27944</v>
      </c>
      <c r="C22199" s="5" t="str">
        <f>IFERROR(__xludf.DUMMYFUNCTION("GOOGLETRANSLATE(B22199,""en"",""de"")"),"Er macht das noch mehrmals.")</f>
        <v>Er macht das noch mehrmals.</v>
      </c>
    </row>
    <row r="22200">
      <c r="A22200" s="4" t="s">
        <v>27945</v>
      </c>
      <c r="B22200" s="4" t="s">
        <v>27946</v>
      </c>
      <c r="C22200" s="5" t="str">
        <f>IFERROR(__xludf.DUMMYFUNCTION("GOOGLETRANSLATE(B22200,""en"",""de"")"),"Mehrere Hunde sind in einem Park.")</f>
        <v>Mehrere Hunde sind in einem Park.</v>
      </c>
    </row>
    <row r="22201">
      <c r="A22201" s="4" t="s">
        <v>27945</v>
      </c>
      <c r="B22201" s="4" t="s">
        <v>27947</v>
      </c>
      <c r="C22201" s="5" t="str">
        <f>IFERROR(__xludf.DUMMYFUNCTION("GOOGLETRANSLATE(B22201,""en"",""de"")"),"Ihre Besitzer sprechen über die.")</f>
        <v>Ihre Besitzer sprechen über die.</v>
      </c>
    </row>
    <row r="22202">
      <c r="A22202" s="4" t="s">
        <v>27945</v>
      </c>
      <c r="B22202" s="4" t="s">
        <v>27948</v>
      </c>
      <c r="C22202" s="5" t="str">
        <f>IFERROR(__xludf.DUMMYFUNCTION("GOOGLETRANSLATE(B22202,""en"",""de"")"),"Mehrere Anbieter sind in Zelten eingerichtet.")</f>
        <v>Mehrere Anbieter sind in Zelten eingerichtet.</v>
      </c>
    </row>
    <row r="22203">
      <c r="A22203" s="4" t="s">
        <v>27945</v>
      </c>
      <c r="B22203" s="4" t="s">
        <v>27949</v>
      </c>
      <c r="C22203" s="5" t="str">
        <f>IFERROR(__xludf.DUMMYFUNCTION("GOOGLETRANSLATE(B22203,""en"",""de"")"),"Die eigenen Hunde gehen herum.")</f>
        <v>Die eigenen Hunde gehen herum.</v>
      </c>
    </row>
    <row r="22204">
      <c r="A22204" s="4" t="s">
        <v>27950</v>
      </c>
      <c r="B22204" s="4" t="s">
        <v>27951</v>
      </c>
      <c r="C22204" s="5" t="str">
        <f>IFERROR(__xludf.DUMMYFUNCTION("GOOGLETRANSLATE(B22204,""en"",""de"")"),"Ein Mann sitzt hinter einem Laptop.")</f>
        <v>Ein Mann sitzt hinter einem Laptop.</v>
      </c>
    </row>
    <row r="22205">
      <c r="A22205" s="4" t="s">
        <v>27950</v>
      </c>
      <c r="B22205" s="4" t="s">
        <v>27952</v>
      </c>
      <c r="C22205" s="5" t="str">
        <f>IFERROR(__xludf.DUMMYFUNCTION("GOOGLETRANSLATE(B22205,""en"",""de"")"),"Er nimmt einen Kontakt aus seinem Auge.")</f>
        <v>Er nimmt einen Kontakt aus seinem Auge.</v>
      </c>
    </row>
    <row r="22206">
      <c r="A22206" s="4" t="s">
        <v>27950</v>
      </c>
      <c r="B22206" s="4" t="s">
        <v>27953</v>
      </c>
      <c r="C22206" s="5" t="str">
        <f>IFERROR(__xludf.DUMMYFUNCTION("GOOGLETRANSLATE(B22206,""en"",""de"")"),"Er reibt sich das Auge, bevor er es wieder einsetzt.")</f>
        <v>Er reibt sich das Auge, bevor er es wieder einsetzt.</v>
      </c>
    </row>
    <row r="22207">
      <c r="A22207" s="4" t="s">
        <v>27954</v>
      </c>
      <c r="B22207" s="4" t="s">
        <v>27955</v>
      </c>
      <c r="C22207" s="5" t="str">
        <f>IFERROR(__xludf.DUMMYFUNCTION("GOOGLETRANSLATE(B22207,""en"",""de"")"),"Eine Gruppe von Menschen lernt, wie man Rollerblade ist.")</f>
        <v>Eine Gruppe von Menschen lernt, wie man Rollerblade ist.</v>
      </c>
    </row>
    <row r="22208">
      <c r="A22208" s="4" t="s">
        <v>27954</v>
      </c>
      <c r="B22208" s="4" t="s">
        <v>27956</v>
      </c>
      <c r="C22208" s="5" t="str">
        <f>IFERROR(__xludf.DUMMYFUNCTION("GOOGLETRANSLATE(B22208,""en"",""de"")"),"Einige Peeopel gehen in Gruppen, aber im Allgemeinen sind sie langsam und unangenehm.")</f>
        <v>Einige Peeopel gehen in Gruppen, aber im Allgemeinen sind sie langsam und unangenehm.</v>
      </c>
    </row>
    <row r="22209">
      <c r="A22209" s="4" t="s">
        <v>27957</v>
      </c>
      <c r="B22209" s="4" t="s">
        <v>27958</v>
      </c>
      <c r="C22209" s="5" t="str">
        <f>IFERROR(__xludf.DUMMYFUNCTION("GOOGLETRANSLATE(B22209,""en"",""de"")"),"Eine Frau spricht in ihrer Küche.")</f>
        <v>Eine Frau spricht in ihrer Küche.</v>
      </c>
    </row>
    <row r="22210">
      <c r="A22210" s="4" t="s">
        <v>27957</v>
      </c>
      <c r="B22210" s="4" t="s">
        <v>27959</v>
      </c>
      <c r="C22210" s="5" t="str">
        <f>IFERROR(__xludf.DUMMYFUNCTION("GOOGLETRANSLATE(B22210,""en"",""de"")"),"Sie füllt eine Schüssel mit Butter, Mehl und Zucker und fügt Eier hinzu.")</f>
        <v>Sie füllt eine Schüssel mit Butter, Mehl und Zucker und fügt Eier hinzu.</v>
      </c>
    </row>
    <row r="22211">
      <c r="A22211" s="4" t="s">
        <v>27957</v>
      </c>
      <c r="B22211" s="4" t="s">
        <v>27960</v>
      </c>
      <c r="C22211" s="5" t="str">
        <f>IFERROR(__xludf.DUMMYFUNCTION("GOOGLETRANSLATE(B22211,""en"",""de"")"),"Sie schafft einen Teig und macht und backt dann eine Reihe von Keksen.")</f>
        <v>Sie schafft einen Teig und macht und backt dann eine Reihe von Keksen.</v>
      </c>
    </row>
    <row r="22212">
      <c r="A22212" s="4" t="s">
        <v>27961</v>
      </c>
      <c r="B22212" s="4" t="s">
        <v>27962</v>
      </c>
      <c r="C22212" s="5" t="str">
        <f>IFERROR(__xludf.DUMMYFUNCTION("GOOGLETRANSLATE(B22212,""en"",""de"")"),"Ein Mädchen überquert die Affenbars.")</f>
        <v>Ein Mädchen überquert die Affenbars.</v>
      </c>
    </row>
    <row r="22213">
      <c r="A22213" s="4" t="s">
        <v>27961</v>
      </c>
      <c r="B22213" s="4" t="s">
        <v>27963</v>
      </c>
      <c r="C22213" s="5" t="str">
        <f>IFERROR(__xludf.DUMMYFUNCTION("GOOGLETRANSLATE(B22213,""en"",""de"")"),"Ein Mädchen in einem gelben Hemd steht auf dem Boden und beobachtet.")</f>
        <v>Ein Mädchen in einem gelben Hemd steht auf dem Boden und beobachtet.</v>
      </c>
    </row>
    <row r="22214">
      <c r="A22214" s="4" t="s">
        <v>27961</v>
      </c>
      <c r="B22214" s="4" t="s">
        <v>27964</v>
      </c>
      <c r="C22214" s="5" t="str">
        <f>IFERROR(__xludf.DUMMYFUNCTION("GOOGLETRANSLATE(B22214,""en"",""de"")"),"Ein Mädchen auf einem blauen Hemd steht auf einem Spielplatz.")</f>
        <v>Ein Mädchen auf einem blauen Hemd steht auf einem Spielplatz.</v>
      </c>
    </row>
    <row r="22215">
      <c r="A22215" s="4" t="s">
        <v>27965</v>
      </c>
      <c r="B22215" s="4" t="s">
        <v>27966</v>
      </c>
      <c r="C22215" s="5" t="str">
        <f>IFERROR(__xludf.DUMMYFUNCTION("GOOGLETRANSLATE(B22215,""en"",""de"")"),"Eine Frau sitzt in einem Kanu, als ein Mann sie mitschreibt und nach hinten steigt.")</f>
        <v>Eine Frau sitzt in einem Kanu, als ein Mann sie mitschreibt und nach hinten steigt.</v>
      </c>
    </row>
    <row r="22216">
      <c r="A22216" s="4" t="s">
        <v>27965</v>
      </c>
      <c r="B22216" s="4" t="s">
        <v>27967</v>
      </c>
      <c r="C22216" s="5" t="str">
        <f>IFERROR(__xludf.DUMMYFUNCTION("GOOGLETRANSLATE(B22216,""en"",""de"")"),"Der Mann ist gesehen, wie er herumfährt und auf ihre Umgebung schaut, während der Mann hinter Paddel.")</f>
        <v>Der Mann ist gesehen, wie er herumfährt und auf ihre Umgebung schaut, während der Mann hinter Paddel.</v>
      </c>
    </row>
    <row r="22217">
      <c r="A22217" s="4" t="s">
        <v>27965</v>
      </c>
      <c r="B22217" s="4" t="s">
        <v>27968</v>
      </c>
      <c r="C22217" s="5" t="str">
        <f>IFERROR(__xludf.DUMMYFUNCTION("GOOGLETRANSLATE(B22217,""en"",""de"")"),"Die Frau sitzt weiter und sieht sie an den Bäumen und Sehenswürdigkeiten um.")</f>
        <v>Die Frau sitzt weiter und sieht sie an den Bäumen und Sehenswürdigkeiten um.</v>
      </c>
    </row>
    <row r="22218">
      <c r="A22218" s="4" t="s">
        <v>27969</v>
      </c>
      <c r="B22218" s="4" t="s">
        <v>27970</v>
      </c>
      <c r="C22218" s="5" t="str">
        <f>IFERROR(__xludf.DUMMYFUNCTION("GOOGLETRANSLATE(B22218,""en"",""de"")"),"Ein Mann bekommt sein Ohr von einer anderen Person durchbohrt, die nur seine Hände im Rahmen hat.")</f>
        <v>Ein Mann bekommt sein Ohr von einer anderen Person durchbohrt, die nur seine Hände im Rahmen hat.</v>
      </c>
    </row>
    <row r="22219">
      <c r="A22219" s="4" t="s">
        <v>27969</v>
      </c>
      <c r="B22219" s="4" t="s">
        <v>27971</v>
      </c>
      <c r="C22219" s="5" t="str">
        <f>IFERROR(__xludf.DUMMYFUNCTION("GOOGLETRANSLATE(B22219,""en"",""de"")"),"Der zweite Individuum schiebt einen Wagen hinter die erste Person.")</f>
        <v>Der zweite Individuum schiebt einen Wagen hinter die erste Person.</v>
      </c>
    </row>
    <row r="22220">
      <c r="A22220" s="4" t="s">
        <v>27969</v>
      </c>
      <c r="B22220" s="4" t="s">
        <v>27972</v>
      </c>
      <c r="C22220" s="5" t="str">
        <f>IFERROR(__xludf.DUMMYFUNCTION("GOOGLETRANSLATE(B22220,""en"",""de"")"),"Die Kamera konzentriert sich auf die erste Person.")</f>
        <v>Die Kamera konzentriert sich auf die erste Person.</v>
      </c>
    </row>
    <row r="22221">
      <c r="A22221" s="4" t="s">
        <v>27969</v>
      </c>
      <c r="B22221" s="4" t="s">
        <v>27973</v>
      </c>
      <c r="C22221" s="5" t="str">
        <f>IFERROR(__xludf.DUMMYFUNCTION("GOOGLETRANSLATE(B22221,""en"",""de"")"),"Die zweite Person durchbohrt das andere Ohr des ersten Mannes.")</f>
        <v>Die zweite Person durchbohrt das andere Ohr des ersten Mannes.</v>
      </c>
    </row>
    <row r="22222">
      <c r="A22222" s="4" t="s">
        <v>27974</v>
      </c>
      <c r="B22222" s="4" t="s">
        <v>1487</v>
      </c>
      <c r="C22222" s="5" t="str">
        <f>IFERROR(__xludf.DUMMYFUNCTION("GOOGLETRANSLATE(B22222,""en"",""de"")"),"Wir sehen einen Öffnungsbildschirm.")</f>
        <v>Wir sehen einen Öffnungsbildschirm.</v>
      </c>
    </row>
    <row r="22223">
      <c r="A22223" s="4" t="s">
        <v>27974</v>
      </c>
      <c r="B22223" s="4" t="s">
        <v>27975</v>
      </c>
      <c r="C22223" s="5" t="str">
        <f>IFERROR(__xludf.DUMMYFUNCTION("GOOGLETRANSLATE(B22223,""en"",""de"")"),"Wir sehen eine Dame, die Kleidung von Hand im Freien wäscht.")</f>
        <v>Wir sehen eine Dame, die Kleidung von Hand im Freien wäscht.</v>
      </c>
    </row>
    <row r="22224">
      <c r="A22224" s="4" t="s">
        <v>27974</v>
      </c>
      <c r="B22224" s="4" t="s">
        <v>27976</v>
      </c>
      <c r="C22224" s="5" t="str">
        <f>IFERROR(__xludf.DUMMYFUNCTION("GOOGLETRANSLATE(B22224,""en"",""de"")"),"Die Dame gießt Wasser auf die Kleidung aus einer Schüssel.")</f>
        <v>Die Dame gießt Wasser auf die Kleidung aus einer Schüssel.</v>
      </c>
    </row>
    <row r="22225">
      <c r="A22225" s="4" t="s">
        <v>27974</v>
      </c>
      <c r="B22225" s="4" t="s">
        <v>27977</v>
      </c>
      <c r="C22225" s="5" t="str">
        <f>IFERROR(__xludf.DUMMYFUNCTION("GOOGLETRANSLATE(B22225,""en"",""de"")"),"Die Dame schiebt sich die Haare zurück.")</f>
        <v>Die Dame schiebt sich die Haare zurück.</v>
      </c>
    </row>
    <row r="22226">
      <c r="A22226" s="4" t="s">
        <v>27974</v>
      </c>
      <c r="B22226" s="4" t="s">
        <v>27978</v>
      </c>
      <c r="C22226" s="5" t="str">
        <f>IFERROR(__xludf.DUMMYFUNCTION("GOOGLETRANSLATE(B22226,""en"",""de"")"),"Die Dame gießt mehr Wasser auf die Kleidung.")</f>
        <v>Die Dame gießt mehr Wasser auf die Kleidung.</v>
      </c>
    </row>
    <row r="22227">
      <c r="A22227" s="4" t="s">
        <v>27974</v>
      </c>
      <c r="B22227" s="4" t="s">
        <v>2892</v>
      </c>
      <c r="C22227" s="5" t="str">
        <f>IFERROR(__xludf.DUMMYFUNCTION("GOOGLETRANSLATE(B22227,""en"",""de"")"),"Wir sehen den Schluss -Titelbildschirm.")</f>
        <v>Wir sehen den Schluss -Titelbildschirm.</v>
      </c>
    </row>
    <row r="22228">
      <c r="A22228" s="4" t="s">
        <v>27979</v>
      </c>
      <c r="B22228" s="4" t="s">
        <v>27980</v>
      </c>
      <c r="C22228" s="5" t="str">
        <f>IFERROR(__xludf.DUMMYFUNCTION("GOOGLETRANSLATE(B22228,""en"",""de"")"),"Ein Mann kratzt draußen das Eis von den Fenstern seines Autos.")</f>
        <v>Ein Mann kratzt draußen das Eis von den Fenstern seines Autos.</v>
      </c>
    </row>
    <row r="22229">
      <c r="A22229" s="4" t="s">
        <v>27979</v>
      </c>
      <c r="B22229" s="4" t="s">
        <v>27981</v>
      </c>
      <c r="C22229" s="5" t="str">
        <f>IFERROR(__xludf.DUMMYFUNCTION("GOOGLETRANSLATE(B22229,""en"",""de"")"),"Sobald er fertig ist, legt er das Werkzeug in den hinteren Teil seines Sitzes und steigt ins Auto.")</f>
        <v>Sobald er fertig ist, legt er das Werkzeug in den hinteren Teil seines Sitzes und steigt ins Auto.</v>
      </c>
    </row>
    <row r="22230">
      <c r="A22230" s="4" t="s">
        <v>27982</v>
      </c>
      <c r="B22230" s="4" t="s">
        <v>27983</v>
      </c>
      <c r="C22230" s="5" t="str">
        <f>IFERROR(__xludf.DUMMYFUNCTION("GOOGLETRANSLATE(B22230,""en"",""de"")"),"Eine Person lässt sich in der Nähe etwas trinken, gefolgt von ihm, gefolgt von ihm auf einem Berg.")</f>
        <v>Eine Person lässt sich in der Nähe etwas trinken, gefolgt von ihm, gefolgt von ihm auf einem Berg.</v>
      </c>
    </row>
    <row r="22231">
      <c r="A22231" s="4" t="s">
        <v>27982</v>
      </c>
      <c r="B22231" s="4" t="s">
        <v>27984</v>
      </c>
      <c r="C22231" s="5" t="str">
        <f>IFERROR(__xludf.DUMMYFUNCTION("GOOGLETRANSLATE(B22231,""en"",""de"")"),"Es werden mehr Aufnahmen von dem Mann gezeigt, der etwas trinkt und mit anderen spricht.")</f>
        <v>Es werden mehr Aufnahmen von dem Mann gezeigt, der etwas trinkt und mit anderen spricht.</v>
      </c>
    </row>
    <row r="22232">
      <c r="A22232" s="4" t="s">
        <v>27982</v>
      </c>
      <c r="B22232" s="4" t="s">
        <v>27985</v>
      </c>
      <c r="C22232" s="5" t="str">
        <f>IFERROR(__xludf.DUMMYFUNCTION("GOOGLETRANSLATE(B22232,""en"",""de"")"),"Der Mann hat ein weiteres Getränk und spielt Pool, gefolgt von einem Bild von ihnen.")</f>
        <v>Der Mann hat ein weiteres Getränk und spielt Pool, gefolgt von einem Bild von ihnen.</v>
      </c>
    </row>
    <row r="22233">
      <c r="A22233" s="4" t="s">
        <v>27986</v>
      </c>
      <c r="B22233" s="4" t="s">
        <v>27987</v>
      </c>
      <c r="C22233" s="5" t="str">
        <f>IFERROR(__xludf.DUMMYFUNCTION("GOOGLETRANSLATE(B22233,""en"",""de"")"),"Eine Dame sitzt und spielt Klavier.")</f>
        <v>Eine Dame sitzt und spielt Klavier.</v>
      </c>
    </row>
    <row r="22234">
      <c r="A22234" s="4" t="s">
        <v>27986</v>
      </c>
      <c r="B22234" s="4" t="s">
        <v>27988</v>
      </c>
      <c r="C22234" s="5" t="str">
        <f>IFERROR(__xludf.DUMMYFUNCTION("GOOGLETRANSLATE(B22234,""en"",""de"")"),"Ein Typ steht und spielt ein Saxophon.")</f>
        <v>Ein Typ steht und spielt ein Saxophon.</v>
      </c>
    </row>
    <row r="22235">
      <c r="A22235" s="4" t="s">
        <v>27986</v>
      </c>
      <c r="B22235" s="4" t="s">
        <v>27989</v>
      </c>
      <c r="C22235" s="5" t="str">
        <f>IFERROR(__xludf.DUMMYFUNCTION("GOOGLETRANSLATE(B22235,""en"",""de"")"),"Die Dame und der Typ treten zusammen auf derselben Bühne auf.")</f>
        <v>Die Dame und der Typ treten zusammen auf derselben Bühne auf.</v>
      </c>
    </row>
    <row r="22236">
      <c r="A22236" s="4" t="s">
        <v>27986</v>
      </c>
      <c r="B22236" s="4" t="s">
        <v>27990</v>
      </c>
      <c r="C22236" s="5" t="str">
        <f>IFERROR(__xludf.DUMMYFUNCTION("GOOGLETRANSLATE(B22236,""en"",""de"")"),"Die Dame und der Kerl hören auf zu spielen.")</f>
        <v>Die Dame und der Kerl hören auf zu spielen.</v>
      </c>
    </row>
    <row r="22237">
      <c r="A22237" s="4" t="s">
        <v>27991</v>
      </c>
      <c r="B22237" s="4" t="s">
        <v>27992</v>
      </c>
      <c r="C22237" s="5" t="str">
        <f>IFERROR(__xludf.DUMMYFUNCTION("GOOGLETRANSLATE(B22237,""en"",""de"")"),"Ein Mann und ein kleiner Junge spielen Badminton in einem Innenplatz.")</f>
        <v>Ein Mann und ein kleiner Junge spielen Badminton in einem Innenplatz.</v>
      </c>
    </row>
    <row r="22238">
      <c r="A22238" s="4" t="s">
        <v>27991</v>
      </c>
      <c r="B22238" s="4" t="s">
        <v>27993</v>
      </c>
      <c r="C22238" s="5" t="str">
        <f>IFERROR(__xludf.DUMMYFUNCTION("GOOGLETRANSLATE(B22238,""en"",""de"")"),"Der kleine Junge dient und kehrt den Ball gut zurück.")</f>
        <v>Der kleine Junge dient und kehrt den Ball gut zurück.</v>
      </c>
    </row>
    <row r="22239">
      <c r="A22239" s="4" t="s">
        <v>27991</v>
      </c>
      <c r="B22239" s="4" t="s">
        <v>27994</v>
      </c>
      <c r="C22239" s="5" t="str">
        <f>IFERROR(__xludf.DUMMYFUNCTION("GOOGLETRANSLATE(B22239,""en"",""de"")"),"Der kleine Junge vermisst einen Ball, der im Netz endet, dann erholt der Mann den Ball und sie spielen weiter.")</f>
        <v>Der kleine Junge vermisst einen Ball, der im Netz endet, dann erholt der Mann den Ball und sie spielen weiter.</v>
      </c>
    </row>
    <row r="22240">
      <c r="A22240" s="4" t="s">
        <v>27995</v>
      </c>
      <c r="B22240" s="4" t="s">
        <v>27996</v>
      </c>
      <c r="C22240" s="5" t="str">
        <f>IFERROR(__xludf.DUMMYFUNCTION("GOOGLETRANSLATE(B22240,""en"",""de"")"),"Zwei junge Motorradfahrer sitzen auf den Fahrrädern und winken auf einem Dirt Trail.")</f>
        <v>Zwei junge Motorradfahrer sitzen auf den Fahrrädern und winken auf einem Dirt Trail.</v>
      </c>
    </row>
    <row r="22241">
      <c r="A22241" s="4" t="s">
        <v>27995</v>
      </c>
      <c r="B22241" s="4" t="s">
        <v>27997</v>
      </c>
      <c r="C22241" s="5" t="str">
        <f>IFERROR(__xludf.DUMMYFUNCTION("GOOGLETRANSLATE(B22241,""en"",""de"")"),"Die Jungen fahren mit ihren Fahrrädern über Sprünge auf den Wegen.")</f>
        <v>Die Jungen fahren mit ihren Fahrrädern über Sprünge auf den Wegen.</v>
      </c>
    </row>
    <row r="22242">
      <c r="A22242" s="4" t="s">
        <v>27995</v>
      </c>
      <c r="B22242" s="4" t="s">
        <v>27998</v>
      </c>
      <c r="C22242" s="5" t="str">
        <f>IFERROR(__xludf.DUMMYFUNCTION("GOOGLETRANSLATE(B22242,""en"",""de"")"),"Ein junger Fahrer springt mit einer Rampe und klammert sich mit den Füßen.")</f>
        <v>Ein junger Fahrer springt mit einer Rampe und klammert sich mit den Füßen.</v>
      </c>
    </row>
    <row r="22243">
      <c r="A22243" s="4" t="s">
        <v>27995</v>
      </c>
      <c r="B22243" s="4" t="s">
        <v>27999</v>
      </c>
      <c r="C22243" s="5" t="str">
        <f>IFERROR(__xludf.DUMMYFUNCTION("GOOGLETRANSLATE(B22243,""en"",""de"")"),"Der Junge heilt Klicks und tritt seine Füße mitten in der Luft an die Seite des Motorrads.")</f>
        <v>Der Junge heilt Klicks und tritt seine Füße mitten in der Luft an die Seite des Motorrads.</v>
      </c>
    </row>
    <row r="22244">
      <c r="A22244" s="4" t="s">
        <v>28000</v>
      </c>
      <c r="B22244" s="4" t="s">
        <v>28001</v>
      </c>
      <c r="C22244" s="5" t="str">
        <f>IFERROR(__xludf.DUMMYFUNCTION("GOOGLETRANSLATE(B22244,""en"",""de"")"),"Ein junges Mädchen mit unordentlichem, lockigem Haar steht vor dem Waschbecken und reinigt ein Gericht mit einem blauen Schwamm.")</f>
        <v>Ein junges Mädchen mit unordentlichem, lockigem Haar steht vor dem Waschbecken und reinigt ein Gericht mit einem blauen Schwamm.</v>
      </c>
    </row>
    <row r="22245">
      <c r="A22245" s="4" t="s">
        <v>28000</v>
      </c>
      <c r="B22245" s="4" t="s">
        <v>28002</v>
      </c>
      <c r="C22245" s="5" t="str">
        <f>IFERROR(__xludf.DUMMYFUNCTION("GOOGLETRANSLATE(B22245,""en"",""de"")"),"Sie spült dann die Spitze des Telleres und gibt ihn jemandem, der hinter ihr steht.")</f>
        <v>Sie spült dann die Spitze des Telleres und gibt ihn jemandem, der hinter ihr steht.</v>
      </c>
    </row>
    <row r="22246">
      <c r="A22246" s="4" t="s">
        <v>28000</v>
      </c>
      <c r="B22246" s="4" t="s">
        <v>28003</v>
      </c>
      <c r="C22246" s="5" t="str">
        <f>IFERROR(__xludf.DUMMYFUNCTION("GOOGLETRANSLATE(B22246,""en"",""de"")"),"Als sie sich das nächste Gericht schnappt, kommt jemand vorbei und steckt ein weiteres Gericht in die Spüle, während sie weiter Wasser in den Behälter und aus dem Behälter entsetzt.")</f>
        <v>Als sie sich das nächste Gericht schnappt, kommt jemand vorbei und steckt ein weiteres Gericht in die Spüle, während sie weiter Wasser in den Behälter und aus dem Behälter entsetzt.</v>
      </c>
    </row>
    <row r="22247">
      <c r="A22247" s="4" t="s">
        <v>28004</v>
      </c>
      <c r="B22247" s="4" t="s">
        <v>28005</v>
      </c>
      <c r="C22247" s="5" t="str">
        <f>IFERROR(__xludf.DUMMYFUNCTION("GOOGLETRANSLATE(B22247,""en"",""de"")"),"Ein Mann sitzt hin und spielt ein Saxophon.")</f>
        <v>Ein Mann sitzt hin und spielt ein Saxophon.</v>
      </c>
    </row>
    <row r="22248">
      <c r="A22248" s="4" t="s">
        <v>28004</v>
      </c>
      <c r="B22248" s="4" t="s">
        <v>28006</v>
      </c>
      <c r="C22248" s="5" t="str">
        <f>IFERROR(__xludf.DUMMYFUNCTION("GOOGLETRANSLATE(B22248,""en"",""de"")"),"Er hört auf, das Saxophon zu spielen und spricht.")</f>
        <v>Er hört auf, das Saxophon zu spielen und spricht.</v>
      </c>
    </row>
    <row r="22249">
      <c r="A22249" s="4" t="s">
        <v>28004</v>
      </c>
      <c r="B22249" s="4" t="s">
        <v>28007</v>
      </c>
      <c r="C22249" s="5" t="str">
        <f>IFERROR(__xludf.DUMMYFUNCTION("GOOGLETRANSLATE(B22249,""en"",""de"")"),"Er steht auf und spielt weiterhin Saxophon.")</f>
        <v>Er steht auf und spielt weiterhin Saxophon.</v>
      </c>
    </row>
    <row r="22250">
      <c r="A22250" s="4" t="s">
        <v>28008</v>
      </c>
      <c r="B22250" s="4" t="s">
        <v>28009</v>
      </c>
      <c r="C22250" s="5" t="str">
        <f>IFERROR(__xludf.DUMMYFUNCTION("GOOGLETRANSLATE(B22250,""en"",""de"")"),"Ein farbenfrohes Intro mit vielen blinkenden Wörtern blitzt zusammen mit einem Logo und einem Banner mit einer fremden Sprache.")</f>
        <v>Ein farbenfrohes Intro mit vielen blinkenden Wörtern blitzt zusammen mit einem Logo und einem Banner mit einer fremden Sprache.</v>
      </c>
    </row>
    <row r="22251">
      <c r="A22251" s="4" t="s">
        <v>28008</v>
      </c>
      <c r="B22251" s="4" t="s">
        <v>28010</v>
      </c>
      <c r="C22251" s="5" t="str">
        <f>IFERROR(__xludf.DUMMYFUNCTION("GOOGLETRANSLATE(B22251,""en"",""de"")"),"Eine Frau, die in orange und rotem Kleid und Schal gekleidet ist und redet, hat sie weißes Papier in ihren Händen.")</f>
        <v>Eine Frau, die in orange und rotem Kleid und Schal gekleidet ist und redet, hat sie weißes Papier in ihren Händen.</v>
      </c>
    </row>
    <row r="22252">
      <c r="A22252" s="4" t="s">
        <v>28008</v>
      </c>
      <c r="B22252" s="4" t="s">
        <v>28011</v>
      </c>
      <c r="C22252" s="5" t="str">
        <f>IFERROR(__xludf.DUMMYFUNCTION("GOOGLETRANSLATE(B22252,""en"",""de"")"),"Die Frau wird nicht mehr gezeigt und es blinken verschiedene Bilder, bei denen es sich anscheinend um Speed ​​-Autowäsche handelt.")</f>
        <v>Die Frau wird nicht mehr gezeigt und es blinken verschiedene Bilder, bei denen es sich anscheinend um Speed ​​-Autowäsche handelt.</v>
      </c>
    </row>
    <row r="22253">
      <c r="A22253" s="4" t="s">
        <v>28008</v>
      </c>
      <c r="B22253" s="4" t="s">
        <v>28012</v>
      </c>
      <c r="C22253" s="5" t="str">
        <f>IFERROR(__xludf.DUMMYFUNCTION("GOOGLETRANSLATE(B22253,""en"",""de"")"),"Ein paar kurze Videoclips beginnen und alle finden in der Speed ​​Car Wash Company statt, in der Autos fahren, Produkte gezeigt werden, ein Mann ein Auto wäscht und verschiedene Menschen entweder zusammen oder alleine sprechen.")</f>
        <v>Ein paar kurze Videoclips beginnen und alle finden in der Speed ​​Car Wash Company statt, in der Autos fahren, Produkte gezeigt werden, ein Mann ein Auto wäscht und verschiedene Menschen entweder zusammen oder alleine sprechen.</v>
      </c>
    </row>
    <row r="22254">
      <c r="A22254" s="4" t="s">
        <v>28008</v>
      </c>
      <c r="B22254" s="4" t="s">
        <v>28013</v>
      </c>
      <c r="C22254" s="5" t="str">
        <f>IFERROR(__xludf.DUMMYFUNCTION("GOOGLETRANSLATE(B22254,""en"",""de"")"),"Die Frau von zuvor, die in einem orange und roten Kleid gekleidet ist, erscheint wieder und hält immer noch das weiße Papier, während sie spricht.")</f>
        <v>Die Frau von zuvor, die in einem orange und roten Kleid gekleidet ist, erscheint wieder und hält immer noch das weiße Papier, während sie spricht.</v>
      </c>
    </row>
    <row r="22255">
      <c r="A22255" s="4" t="s">
        <v>28008</v>
      </c>
      <c r="B22255" s="4" t="s">
        <v>28014</v>
      </c>
      <c r="C22255" s="5" t="str">
        <f>IFERROR(__xludf.DUMMYFUNCTION("GOOGLETRANSLATE(B22255,""en"",""de"")"),"Blinkende Wörter erscheinen, nachdem die Frau gesprochen hat und bis zum Ende fortgesetzt wird.")</f>
        <v>Blinkende Wörter erscheinen, nachdem die Frau gesprochen hat und bis zum Ende fortgesetzt wird.</v>
      </c>
    </row>
    <row r="22256">
      <c r="A22256" s="4" t="s">
        <v>28015</v>
      </c>
      <c r="B22256" s="4" t="s">
        <v>28016</v>
      </c>
      <c r="C22256" s="5" t="str">
        <f>IFERROR(__xludf.DUMMYFUNCTION("GOOGLETRANSLATE(B22256,""en"",""de"")"),"An einem Strand wird ein Pier gezeigt, an dem Menschen neben ihm gehen.")</f>
        <v>An einem Strand wird ein Pier gezeigt, an dem Menschen neben ihm gehen.</v>
      </c>
    </row>
    <row r="22257">
      <c r="A22257" s="4" t="s">
        <v>28015</v>
      </c>
      <c r="B22257" s="4" t="s">
        <v>28017</v>
      </c>
      <c r="C22257" s="5" t="str">
        <f>IFERROR(__xludf.DUMMYFUNCTION("GOOGLETRANSLATE(B22257,""en"",""de"")"),"Viele Bilder werden von einer Frau gezeigt, die ein Paar Skates zusammenbindet.")</f>
        <v>Viele Bilder werden von einer Frau gezeigt, die ein Paar Skates zusammenbindet.</v>
      </c>
    </row>
    <row r="22258">
      <c r="A22258" s="4" t="s">
        <v>28015</v>
      </c>
      <c r="B22258" s="4" t="s">
        <v>28018</v>
      </c>
      <c r="C22258" s="5" t="str">
        <f>IFERROR(__xludf.DUMMYFUNCTION("GOOGLETRANSLATE(B22258,""en"",""de"")"),"Sie schließt und wir sehen Fahrräder, Leute, die sie reiten, Palmen und Ferris -Räder.")</f>
        <v>Sie schließt und wir sehen Fahrräder, Leute, die sie reiten, Palmen und Ferris -Räder.</v>
      </c>
    </row>
    <row r="22259">
      <c r="A22259" s="4" t="s">
        <v>28015</v>
      </c>
      <c r="B22259" s="4" t="s">
        <v>28019</v>
      </c>
      <c r="C22259" s="5" t="str">
        <f>IFERROR(__xludf.DUMMYFUNCTION("GOOGLETRANSLATE(B22259,""en"",""de"")"),"Wir folgen der Frau, während sie neben Surfbrettern und anderen Menschen schließt.")</f>
        <v>Wir folgen der Frau, während sie neben Surfbrettern und anderen Menschen schließt.</v>
      </c>
    </row>
    <row r="22260">
      <c r="A22260" s="4" t="s">
        <v>28020</v>
      </c>
      <c r="B22260" s="4" t="s">
        <v>28021</v>
      </c>
      <c r="C22260" s="5" t="str">
        <f>IFERROR(__xludf.DUMMYFUNCTION("GOOGLETRANSLATE(B22260,""en"",""de"")"),"Ein Mann und eine Frau tanzen in einem Restaurant voller Menschen.")</f>
        <v>Ein Mann und eine Frau tanzen in einem Restaurant voller Menschen.</v>
      </c>
    </row>
    <row r="22261">
      <c r="A22261" s="4" t="s">
        <v>28020</v>
      </c>
      <c r="B22261" s="4" t="s">
        <v>28022</v>
      </c>
      <c r="C22261" s="5" t="str">
        <f>IFERROR(__xludf.DUMMYFUNCTION("GOOGLETRANSLATE(B22261,""en"",""de"")"),"Die Frau nähert sich einem jungen Mann und berührt sein Gesicht, dann wird der Mann wütend und schiebt die Frau, die auf seinen Armen endet, und sie tanzen weiter.")</f>
        <v>Die Frau nähert sich einem jungen Mann und berührt sein Gesicht, dann wird der Mann wütend und schiebt die Frau, die auf seinen Armen endet, und sie tanzen weiter.</v>
      </c>
    </row>
    <row r="22262">
      <c r="A22262" s="4" t="s">
        <v>28020</v>
      </c>
      <c r="B22262" s="4" t="s">
        <v>28023</v>
      </c>
      <c r="C22262" s="5" t="str">
        <f>IFERROR(__xludf.DUMMYFUNCTION("GOOGLETRANSLATE(B22262,""en"",""de"")"),"Ein Feuer erscheint auf dem Boden.")</f>
        <v>Ein Feuer erscheint auf dem Boden.</v>
      </c>
    </row>
    <row r="22263">
      <c r="A22263" s="4" t="s">
        <v>28020</v>
      </c>
      <c r="B22263" s="4" t="s">
        <v>28024</v>
      </c>
      <c r="C22263" s="5" t="str">
        <f>IFERROR(__xludf.DUMMYFUNCTION("GOOGLETRANSLATE(B22263,""en"",""de"")"),"Ein Mann legt zwei Brotstöcke in die Nase, während eine Frau überrascht zugeht.")</f>
        <v>Ein Mann legt zwei Brotstöcke in die Nase, während eine Frau überrascht zugeht.</v>
      </c>
    </row>
    <row r="22264">
      <c r="A22264" s="4" t="s">
        <v>28020</v>
      </c>
      <c r="B22264" s="4" t="s">
        <v>28025</v>
      </c>
      <c r="C22264" s="5" t="str">
        <f>IFERROR(__xludf.DUMMYFUNCTION("GOOGLETRANSLATE(B22264,""en"",""de"")"),"Der Mann hilft einer Frau hilft eine Zigarette, dann dreht er und nimmt als roter Tischtuch, um Tricks zu machen. Der Mann und die Frau tanzen weiter, bis sie sich küssen, während Flüssigkeit aus Flaschen kommt und der Mond am Ende erscheint.")</f>
        <v>Der Mann hilft einer Frau hilft eine Zigarette, dann dreht er und nimmt als roter Tischtuch, um Tricks zu machen. Der Mann und die Frau tanzen weiter, bis sie sich küssen, während Flüssigkeit aus Flaschen kommt und der Mond am Ende erscheint.</v>
      </c>
    </row>
    <row r="22265">
      <c r="A22265" s="4" t="s">
        <v>28026</v>
      </c>
      <c r="B22265" s="4" t="s">
        <v>28027</v>
      </c>
      <c r="C22265" s="5" t="str">
        <f>IFERROR(__xludf.DUMMYFUNCTION("GOOGLETRANSLATE(B22265,""en"",""de"")"),"Ein kleines Mädchen wischt Wasser über ihr Gesicht.")</f>
        <v>Ein kleines Mädchen wischt Wasser über ihr Gesicht.</v>
      </c>
    </row>
    <row r="22266">
      <c r="A22266" s="4" t="s">
        <v>28026</v>
      </c>
      <c r="B22266" s="4" t="s">
        <v>28028</v>
      </c>
      <c r="C22266" s="5" t="str">
        <f>IFERROR(__xludf.DUMMYFUNCTION("GOOGLETRANSLATE(B22266,""en"",""de"")"),"Sie schaut in die Kamera und lächelt, als sie ihr Gesicht weiter wäscht.")</f>
        <v>Sie schaut in die Kamera und lächelt, als sie ihr Gesicht weiter wäscht.</v>
      </c>
    </row>
    <row r="22267">
      <c r="A22267" s="4" t="s">
        <v>28026</v>
      </c>
      <c r="B22267" s="4" t="s">
        <v>28029</v>
      </c>
      <c r="C22267" s="5" t="str">
        <f>IFERROR(__xludf.DUMMYFUNCTION("GOOGLETRANSLATE(B22267,""en"",""de"")"),"Sie streckt ihre Zunge leicht in die Kamera.")</f>
        <v>Sie streckt ihre Zunge leicht in die Kamera.</v>
      </c>
    </row>
    <row r="22268">
      <c r="A22268" s="4" t="s">
        <v>28030</v>
      </c>
      <c r="B22268" s="4" t="s">
        <v>28031</v>
      </c>
      <c r="C22268" s="5" t="str">
        <f>IFERROR(__xludf.DUMMYFUNCTION("GOOGLETRANSLATE(B22268,""en"",""de"")"),"Die Leute haben Spaß daran, mit Farbkugel auf interessante Weise zu spielen.")</f>
        <v>Die Leute haben Spaß daran, mit Farbkugel auf interessante Weise zu spielen.</v>
      </c>
    </row>
    <row r="22269">
      <c r="A22269" s="4" t="s">
        <v>28030</v>
      </c>
      <c r="B22269" s="4" t="s">
        <v>28032</v>
      </c>
      <c r="C22269" s="5" t="str">
        <f>IFERROR(__xludf.DUMMYFUNCTION("GOOGLETRANSLATE(B22269,""en"",""de"")"),"Es gibt Menschen auf Motorrädern und in der Luft in den Fallschirmen haben nur einen großen Tag.")</f>
        <v>Es gibt Menschen auf Motorrädern und in der Luft in den Fallschirmen haben nur einen großen Tag.</v>
      </c>
    </row>
    <row r="22270">
      <c r="A22270" s="4" t="s">
        <v>28030</v>
      </c>
      <c r="B22270" s="4" t="s">
        <v>28033</v>
      </c>
      <c r="C22270" s="5" t="str">
        <f>IFERROR(__xludf.DUMMYFUNCTION("GOOGLETRANSLATE(B22270,""en"",""de"")"),"Ein Mann scheint einen Paint Ball Rocket Launcher zu haben und einen Mann damit zu schießen.")</f>
        <v>Ein Mann scheint einen Paint Ball Rocket Launcher zu haben und einen Mann damit zu schießen.</v>
      </c>
    </row>
    <row r="22271">
      <c r="A22271" s="4" t="s">
        <v>28030</v>
      </c>
      <c r="B22271" s="4" t="s">
        <v>28034</v>
      </c>
      <c r="C22271" s="5" t="str">
        <f>IFERROR(__xludf.DUMMYFUNCTION("GOOGLETRANSLATE(B22271,""en"",""de"")"),"Es gibt auch Leute auf Motorschlittschulen.")</f>
        <v>Es gibt auch Leute auf Motorschlittschulen.</v>
      </c>
    </row>
    <row r="22272">
      <c r="A22272" s="4" t="s">
        <v>28030</v>
      </c>
      <c r="B22272" s="4" t="s">
        <v>28035</v>
      </c>
      <c r="C22272" s="5" t="str">
        <f>IFERROR(__xludf.DUMMYFUNCTION("GOOGLETRANSLATE(B22272,""en"",""de"")"),"Sie zeigen, dass eine Gruppe von Menschen es auf einen kleinen Hügel geschafft hat, um dort Flagge zu pflanzen, und viele der Teamkollegen wurden besiegt.")</f>
        <v>Sie zeigen, dass eine Gruppe von Menschen es auf einen kleinen Hügel geschafft hat, um dort Flagge zu pflanzen, und viele der Teamkollegen wurden besiegt.</v>
      </c>
    </row>
    <row r="22273">
      <c r="A22273" s="4" t="s">
        <v>28036</v>
      </c>
      <c r="B22273" s="4" t="s">
        <v>28037</v>
      </c>
      <c r="C22273" s="5" t="str">
        <f>IFERROR(__xludf.DUMMYFUNCTION("GOOGLETRANSLATE(B22273,""en"",""de"")"),"Zwei Mädchen in einem roten Hemd und schwarzen Spanxs biegen sich auf ein Volleyballspiel vor.")</f>
        <v>Zwei Mädchen in einem roten Hemd und schwarzen Spanxs biegen sich auf ein Volleyballspiel vor.</v>
      </c>
    </row>
    <row r="22274">
      <c r="A22274" s="4" t="s">
        <v>28036</v>
      </c>
      <c r="B22274" s="4" t="s">
        <v>28038</v>
      </c>
      <c r="C22274" s="5" t="str">
        <f>IFERROR(__xludf.DUMMYFUNCTION("GOOGLETRANSLATE(B22274,""en"",""de"")"),"Das andere Team wird auf der anderen Seite des Netzes gezeigt und dient dem Ball.")</f>
        <v>Das andere Team wird auf der anderen Seite des Netzes gezeigt und dient dem Ball.</v>
      </c>
    </row>
    <row r="22275">
      <c r="A22275" s="4" t="s">
        <v>28036</v>
      </c>
      <c r="B22275" s="4" t="s">
        <v>28039</v>
      </c>
      <c r="C22275" s="5" t="str">
        <f>IFERROR(__xludf.DUMMYFUNCTION("GOOGLETRANSLATE(B22275,""en"",""de"")"),"Beide Mädchen beginnen zu spielen, schlägt den Ball zurück und das Mädchen jubelt, als sie einen Punkt gewinnen.")</f>
        <v>Beide Mädchen beginnen zu spielen, schlägt den Ball zurück und das Mädchen jubelt, als sie einen Punkt gewinnen.</v>
      </c>
    </row>
    <row r="22276">
      <c r="A22276" s="4" t="s">
        <v>28040</v>
      </c>
      <c r="B22276" s="4" t="s">
        <v>28041</v>
      </c>
      <c r="C22276" s="5" t="str">
        <f>IFERROR(__xludf.DUMMYFUNCTION("GOOGLETRANSLATE(B22276,""en"",""de"")"),"Es gibt viele verschiedene Teams, die sehr schnell in einem sehr großen Gewässer im Freien rudern, umgeben von vielen Bäumen und vielen Gebäuden.")</f>
        <v>Es gibt viele verschiedene Teams, die sehr schnell in einem sehr großen Gewässer im Freien rudern, umgeben von vielen Bäumen und vielen Gebäuden.</v>
      </c>
    </row>
    <row r="22277">
      <c r="A22277" s="4" t="s">
        <v>28040</v>
      </c>
      <c r="B22277" s="4" t="s">
        <v>28042</v>
      </c>
      <c r="C22277" s="5" t="str">
        <f>IFERROR(__xludf.DUMMYFUNCTION("GOOGLETRANSLATE(B22277,""en"",""de"")"),"Jetzt liegt der Fokus auf Kanus, die nur eine Frau haben, und sie rennen auf einer anderen, genau wie die Teams, aber sie sind allein und sie haben Zahlen hinter sich.")</f>
        <v>Jetzt liegt der Fokus auf Kanus, die nur eine Frau haben, und sie rennen auf einer anderen, genau wie die Teams, aber sie sind allein und sie haben Zahlen hinter sich.</v>
      </c>
    </row>
    <row r="22278">
      <c r="A22278" s="4" t="s">
        <v>28040</v>
      </c>
      <c r="B22278" s="4" t="s">
        <v>28043</v>
      </c>
      <c r="C22278" s="5" t="str">
        <f>IFERROR(__xludf.DUMMYFUNCTION("GOOGLETRANSLATE(B22278,""en"",""de"")"),"Jetzt zeigen sie Kanus mit zwei Männern und rudern auch sehr schnell und dann beginnen Teams von 4 Männern zu fahren.")</f>
        <v>Jetzt zeigen sie Kanus mit zwei Männern und rudern auch sehr schnell und dann beginnen Teams von 4 Männern zu fahren.</v>
      </c>
    </row>
    <row r="22279">
      <c r="A22279" s="4" t="s">
        <v>28040</v>
      </c>
      <c r="B22279" s="4" t="s">
        <v>28044</v>
      </c>
      <c r="C22279" s="5" t="str">
        <f>IFERROR(__xludf.DUMMYFUNCTION("GOOGLETRANSLATE(B22279,""en"",""de"")"),"Wenn sie gefahren sind, werden sie jetzt gezeigt, als sie zu einem Mann und einer Frau gehen, die Medaillen auf Bändern um Männer und Frauen platziert, die auf ihn zugehen.")</f>
        <v>Wenn sie gefahren sind, werden sie jetzt gezeigt, als sie zu einem Mann und einer Frau gehen, die Medaillen auf Bändern um Männer und Frauen platziert, die auf ihn zugehen.</v>
      </c>
    </row>
    <row r="22280">
      <c r="A22280" s="4" t="s">
        <v>28040</v>
      </c>
      <c r="B22280" s="4" t="s">
        <v>28045</v>
      </c>
      <c r="C22280" s="5" t="str">
        <f>IFERROR(__xludf.DUMMYFUNCTION("GOOGLETRANSLATE(B22280,""en"",""de"")"),"Wenn die Medaillen alle vergeben wurden, beginnen die Liste der Gewinner auf verschiedenen Bildschirmen anzuzeigen.")</f>
        <v>Wenn die Medaillen alle vergeben wurden, beginnen die Liste der Gewinner auf verschiedenen Bildschirmen anzuzeigen.</v>
      </c>
    </row>
    <row r="22281">
      <c r="A22281" s="4" t="s">
        <v>28046</v>
      </c>
      <c r="B22281" s="4" t="s">
        <v>28047</v>
      </c>
      <c r="C22281" s="5" t="str">
        <f>IFERROR(__xludf.DUMMYFUNCTION("GOOGLETRANSLATE(B22281,""en"",""de"")"),"Zwei Menschen fahren im Winter einen sehr kalten und schneebedeckten Berghang hinunter.")</f>
        <v>Zwei Menschen fahren im Winter einen sehr kalten und schneebedeckten Berghang hinunter.</v>
      </c>
    </row>
    <row r="22282">
      <c r="A22282" s="4" t="s">
        <v>28046</v>
      </c>
      <c r="B22282" s="4" t="s">
        <v>28048</v>
      </c>
      <c r="C22282" s="5" t="str">
        <f>IFERROR(__xludf.DUMMYFUNCTION("GOOGLETRANSLATE(B22282,""en"",""de"")"),"Nach links und rechts gehen und anfangen, beim Gehen etwas mehr Geschwindigkeit aufzubauen.")</f>
        <v>Nach links und rechts gehen und anfangen, beim Gehen etwas mehr Geschwindigkeit aufzubauen.</v>
      </c>
    </row>
    <row r="22283">
      <c r="A22283" s="4" t="s">
        <v>28046</v>
      </c>
      <c r="B22283" s="4" t="s">
        <v>28049</v>
      </c>
      <c r="C22283" s="5" t="str">
        <f>IFERROR(__xludf.DUMMYFUNCTION("GOOGLETRANSLATE(B22283,""en"",""de"")"),"Einer von ihnen fällt und bewegt sich immer noch den Hang hinunter in einen anderen Skifahrer, wodurch er auch hinunterfällt.")</f>
        <v>Einer von ihnen fällt und bewegt sich immer noch den Hang hinunter in einen anderen Skifahrer, wodurch er auch hinunterfällt.</v>
      </c>
    </row>
    <row r="22284">
      <c r="A22284" s="4" t="s">
        <v>28046</v>
      </c>
      <c r="B22284" s="4" t="s">
        <v>28050</v>
      </c>
      <c r="C22284" s="5" t="str">
        <f>IFERROR(__xludf.DUMMYFUNCTION("GOOGLETRANSLATE(B22284,""en"",""de"")"),"Sie versuchen, die Hände zu greifen, und sie werden endlich zum Stillstand kommen.")</f>
        <v>Sie versuchen, die Hände zu greifen, und sie werden endlich zum Stillstand kommen.</v>
      </c>
    </row>
    <row r="22285">
      <c r="A22285" s="4" t="s">
        <v>28051</v>
      </c>
      <c r="B22285" s="4" t="s">
        <v>28052</v>
      </c>
      <c r="C22285" s="5" t="str">
        <f>IFERROR(__xludf.DUMMYFUNCTION("GOOGLETRANSLATE(B22285,""en"",""de"")"),"Wir sehen, wie Green auf einem schwarzen Titelbildschirm schreibt.")</f>
        <v>Wir sehen, wie Green auf einem schwarzen Titelbildschirm schreibt.</v>
      </c>
    </row>
    <row r="22286">
      <c r="A22286" s="4" t="s">
        <v>28051</v>
      </c>
      <c r="B22286" s="4" t="s">
        <v>28053</v>
      </c>
      <c r="C22286" s="5" t="str">
        <f>IFERROR(__xludf.DUMMYFUNCTION("GOOGLETRANSLATE(B22286,""en"",""de"")"),"Eine Dame in einem schwarz -weißen BH von Spitzen sitzt in einem schwarzen Raum unter hellen Lichtern, der eine Zigarette raucht.")</f>
        <v>Eine Dame in einem schwarz -weißen BH von Spitzen sitzt in einem schwarzen Raum unter hellen Lichtern, der eine Zigarette raucht.</v>
      </c>
    </row>
    <row r="22287">
      <c r="A22287" s="4" t="s">
        <v>28051</v>
      </c>
      <c r="B22287" s="4" t="s">
        <v>27977</v>
      </c>
      <c r="C22287" s="5" t="str">
        <f>IFERROR(__xludf.DUMMYFUNCTION("GOOGLETRANSLATE(B22287,""en"",""de"")"),"Die Dame schiebt sich die Haare zurück.")</f>
        <v>Die Dame schiebt sich die Haare zurück.</v>
      </c>
    </row>
    <row r="22288">
      <c r="A22288" s="4" t="s">
        <v>28051</v>
      </c>
      <c r="B22288" s="4" t="s">
        <v>28054</v>
      </c>
      <c r="C22288" s="5" t="str">
        <f>IFERROR(__xludf.DUMMYFUNCTION("GOOGLETRANSLATE(B22288,""en"",""de"")"),"Die Dame passt ihre Position auf dem Stuhl und schaut nach unten.")</f>
        <v>Die Dame passt ihre Position auf dem Stuhl und schaut nach unten.</v>
      </c>
    </row>
    <row r="22289">
      <c r="A22289" s="4" t="s">
        <v>28051</v>
      </c>
      <c r="B22289" s="4" t="s">
        <v>5107</v>
      </c>
      <c r="C22289" s="5" t="str">
        <f>IFERROR(__xludf.DUMMYFUNCTION("GOOGLETRANSLATE(B22289,""en"",""de"")"),"Wir sehen dann den Ende des Endtitels.")</f>
        <v>Wir sehen dann den Ende des Endtitels.</v>
      </c>
    </row>
    <row r="22290">
      <c r="A22290" s="4" t="s">
        <v>28055</v>
      </c>
      <c r="B22290" s="4" t="s">
        <v>28056</v>
      </c>
      <c r="C22290" s="5" t="str">
        <f>IFERROR(__xludf.DUMMYFUNCTION("GOOGLETRANSLATE(B22290,""en"",""de"")"),"Eine Person, die eine Maske trägt, spielt das Akkordeon.")</f>
        <v>Eine Person, die eine Maske trägt, spielt das Akkordeon.</v>
      </c>
    </row>
    <row r="22291">
      <c r="A22291" s="4" t="s">
        <v>28055</v>
      </c>
      <c r="B22291" s="4" t="s">
        <v>28057</v>
      </c>
      <c r="C22291" s="5" t="str">
        <f>IFERROR(__xludf.DUMMYFUNCTION("GOOGLETRANSLATE(B22291,""en"",""de"")"),"Eine Frau winkt zur Person mit der Kamera.")</f>
        <v>Eine Frau winkt zur Person mit der Kamera.</v>
      </c>
    </row>
    <row r="22292">
      <c r="A22292" s="4" t="s">
        <v>28058</v>
      </c>
      <c r="B22292" s="4" t="s">
        <v>28059</v>
      </c>
      <c r="C22292" s="5" t="str">
        <f>IFERROR(__xludf.DUMMYFUNCTION("GOOGLETRANSLATE(B22292,""en"",""de"")"),"Es wird eine Nahaufnahme des Schnees gezeigt, der zu einem Mann führt, der Schlagzeug spielt.")</f>
        <v>Es wird eine Nahaufnahme des Schnees gezeigt, der zu einem Mann führt, der Schlagzeug spielt.</v>
      </c>
    </row>
    <row r="22293">
      <c r="A22293" s="4" t="s">
        <v>28058</v>
      </c>
      <c r="B22293" s="4" t="s">
        <v>28060</v>
      </c>
      <c r="C22293" s="5" t="str">
        <f>IFERROR(__xludf.DUMMYFUNCTION("GOOGLETRANSLATE(B22293,""en"",""de"")"),"Der Mann beugt sich über eine Reihe von Trommeln im Schnee, während die Kamera ums Leben kommt.")</f>
        <v>Der Mann beugt sich über eine Reihe von Trommeln im Schnee, während die Kamera ums Leben kommt.</v>
      </c>
    </row>
    <row r="22294">
      <c r="A22294" s="4" t="s">
        <v>28058</v>
      </c>
      <c r="B22294" s="4" t="s">
        <v>28061</v>
      </c>
      <c r="C22294" s="5" t="str">
        <f>IFERROR(__xludf.DUMMYFUNCTION("GOOGLETRANSLATE(B22294,""en"",""de"")"),"Der Mann spielt immer noch Schlagzeug und hält an, um wegzugehen und in die Kamera zu schauen.")</f>
        <v>Der Mann spielt immer noch Schlagzeug und hält an, um wegzugehen und in die Kamera zu schauen.</v>
      </c>
    </row>
    <row r="22295">
      <c r="A22295" s="4" t="s">
        <v>28062</v>
      </c>
      <c r="B22295" s="4" t="s">
        <v>28063</v>
      </c>
      <c r="C22295" s="5" t="str">
        <f>IFERROR(__xludf.DUMMYFUNCTION("GOOGLETRANSLATE(B22295,""en"",""de"")"),"Ein Mann malt einen Raum.")</f>
        <v>Ein Mann malt einen Raum.</v>
      </c>
    </row>
    <row r="22296">
      <c r="A22296" s="4" t="s">
        <v>28062</v>
      </c>
      <c r="B22296" s="4" t="s">
        <v>28064</v>
      </c>
      <c r="C22296" s="5" t="str">
        <f>IFERROR(__xludf.DUMMYFUNCTION("GOOGLETRANSLATE(B22296,""en"",""de"")"),"Er steht auf vielen Leitern, um die Wände zu erreichen.")</f>
        <v>Er steht auf vielen Leitern, um die Wände zu erreichen.</v>
      </c>
    </row>
    <row r="22297">
      <c r="A22297" s="4" t="s">
        <v>28062</v>
      </c>
      <c r="B22297" s="4" t="s">
        <v>28065</v>
      </c>
      <c r="C22297" s="5" t="str">
        <f>IFERROR(__xludf.DUMMYFUNCTION("GOOGLETRANSLATE(B22297,""en"",""de"")"),"Er posiert vor einem Kamin.")</f>
        <v>Er posiert vor einem Kamin.</v>
      </c>
    </row>
    <row r="22298">
      <c r="A22298" s="4" t="s">
        <v>28066</v>
      </c>
      <c r="B22298" s="4" t="s">
        <v>28067</v>
      </c>
      <c r="C22298" s="5" t="str">
        <f>IFERROR(__xludf.DUMMYFUNCTION("GOOGLETRANSLATE(B22298,""en"",""de"")"),"Eine Kamera erfasst mehrere Aufnahmen von Standorten sowie Menschen, die draußen trinken und feiern.")</f>
        <v>Eine Kamera erfasst mehrere Aufnahmen von Standorten sowie Menschen, die draußen trinken und feiern.</v>
      </c>
    </row>
    <row r="22299">
      <c r="A22299" s="4" t="s">
        <v>28066</v>
      </c>
      <c r="B22299" s="4" t="s">
        <v>28068</v>
      </c>
      <c r="C22299" s="5" t="str">
        <f>IFERROR(__xludf.DUMMYFUNCTION("GOOGLETRANSLATE(B22299,""en"",""de"")"),"Ein Mann zieht ein Unkraut heraus und eine Drohne wird in der Ferne fliegen.")</f>
        <v>Ein Mann zieht ein Unkraut heraus und eine Drohne wird in der Ferne fliegen.</v>
      </c>
    </row>
    <row r="22300">
      <c r="A22300" s="4" t="s">
        <v>28066</v>
      </c>
      <c r="B22300" s="4" t="s">
        <v>28069</v>
      </c>
      <c r="C22300" s="5" t="str">
        <f>IFERROR(__xludf.DUMMYFUNCTION("GOOGLETRANSLATE(B22300,""en"",""de"")"),"Die Leute versuchen, die Drohne zu treffen, und fahren dann auf einem Golfwagen um andere Menschen herum.")</f>
        <v>Die Leute versuchen, die Drohne zu treffen, und fahren dann auf einem Golfwagen um andere Menschen herum.</v>
      </c>
    </row>
    <row r="22301">
      <c r="A22301" s="4" t="s">
        <v>28066</v>
      </c>
      <c r="B22301" s="4" t="s">
        <v>28070</v>
      </c>
      <c r="C22301" s="5" t="str">
        <f>IFERROR(__xludf.DUMMYFUNCTION("GOOGLETRANSLATE(B22301,""en"",""de"")"),"Ein Mann taucht in einem Guerilla -Anzug auf und die Drohne fliegt über Leute, die Spiele spielen und herumreiten.")</f>
        <v>Ein Mann taucht in einem Guerilla -Anzug auf und die Drohne fliegt über Leute, die Spiele spielen und herumreiten.</v>
      </c>
    </row>
    <row r="22302">
      <c r="A22302" s="4" t="s">
        <v>28071</v>
      </c>
      <c r="B22302" s="4" t="s">
        <v>28072</v>
      </c>
      <c r="C22302" s="5" t="str">
        <f>IFERROR(__xludf.DUMMYFUNCTION("GOOGLETRANSLATE(B22302,""en"",""de"")"),"Ein Mädchen in weißem Oberteil und Blue Jeans bürstet das Fell des Pferdes auf der einen Seite, dann bewegte sie sich auf die andere Seite und wischte dann sein Bein.")</f>
        <v>Ein Mädchen in weißem Oberteil und Blue Jeans bürstet das Fell des Pferdes auf der einen Seite, dann bewegte sie sich auf die andere Seite und wischte dann sein Bein.</v>
      </c>
    </row>
    <row r="22303">
      <c r="A22303" s="4" t="s">
        <v>28071</v>
      </c>
      <c r="B22303" s="4" t="s">
        <v>28073</v>
      </c>
      <c r="C22303" s="5" t="str">
        <f>IFERROR(__xludf.DUMMYFUNCTION("GOOGLETRANSLATE(B22303,""en"",""de"")"),"Die Dame nahm eine schwarze Flasche und sprühte den Körper des Pferdes, wischte dann den Schmutz von den Huffenschuhen ab und legte dann auf die Füße des Pferdes.")</f>
        <v>Die Dame nahm eine schwarze Flasche und sprühte den Körper des Pferdes, wischte dann den Schmutz von den Huffenschuhen ab und legte dann auf die Füße des Pferdes.</v>
      </c>
    </row>
    <row r="22304">
      <c r="A22304" s="4" t="s">
        <v>28074</v>
      </c>
      <c r="B22304" s="4" t="s">
        <v>28075</v>
      </c>
      <c r="C22304" s="5" t="str">
        <f>IFERROR(__xludf.DUMMYFUNCTION("GOOGLETRANSLATE(B22304,""en"",""de"")"),"Ein kleiner Junge arrangiert ein Hemd auf dem Boden.")</f>
        <v>Ein kleiner Junge arrangiert ein Hemd auf dem Boden.</v>
      </c>
    </row>
    <row r="22305">
      <c r="A22305" s="4" t="s">
        <v>28074</v>
      </c>
      <c r="B22305" s="4" t="s">
        <v>28076</v>
      </c>
      <c r="C22305" s="5" t="str">
        <f>IFERROR(__xludf.DUMMYFUNCTION("GOOGLETRANSLATE(B22305,""en"",""de"")"),"Er greift und bügelt und bügelt das Hemd.")</f>
        <v>Er greift und bügelt und bügelt das Hemd.</v>
      </c>
    </row>
    <row r="22306">
      <c r="A22306" s="4" t="s">
        <v>28074</v>
      </c>
      <c r="B22306" s="4" t="s">
        <v>28077</v>
      </c>
      <c r="C22306" s="5" t="str">
        <f>IFERROR(__xludf.DUMMYFUNCTION("GOOGLETRANSLATE(B22306,""en"",""de"")"),"Er legt das Eisen fest und sieht sich im Raum um.")</f>
        <v>Er legt das Eisen fest und sieht sich im Raum um.</v>
      </c>
    </row>
    <row r="22307">
      <c r="A22307" s="4" t="s">
        <v>28078</v>
      </c>
      <c r="B22307" s="4" t="s">
        <v>28079</v>
      </c>
      <c r="C22307" s="5" t="str">
        <f>IFERROR(__xludf.DUMMYFUNCTION("GOOGLETRANSLATE(B22307,""en"",""de"")"),"Ein junger Mann steht in einem dunklen Raum mit zwei Maraca und spricht mit der Kamera.")</f>
        <v>Ein junger Mann steht in einem dunklen Raum mit zwei Maraca und spricht mit der Kamera.</v>
      </c>
    </row>
    <row r="22308">
      <c r="A22308" s="4" t="s">
        <v>28078</v>
      </c>
      <c r="B22308" s="4" t="s">
        <v>28080</v>
      </c>
      <c r="C22308" s="5" t="str">
        <f>IFERROR(__xludf.DUMMYFUNCTION("GOOGLETRANSLATE(B22308,""en"",""de"")"),"Ein anderer Mann schimpft ihn und zieht schließlich ihre Hemden aus.")</f>
        <v>Ein anderer Mann schimpft ihn und zieht schließlich ihre Hemden aus.</v>
      </c>
    </row>
    <row r="22309">
      <c r="A22309" s="4" t="s">
        <v>28078</v>
      </c>
      <c r="B22309" s="4" t="s">
        <v>28081</v>
      </c>
      <c r="C22309" s="5" t="str">
        <f>IFERROR(__xludf.DUMMYFUNCTION("GOOGLETRANSLATE(B22309,""en"",""de"")"),"Sie gehen ins Badezimmer und reiben Rasierschaum über ihre Beine.")</f>
        <v>Sie gehen ins Badezimmer und reiben Rasierschaum über ihre Beine.</v>
      </c>
    </row>
    <row r="22310">
      <c r="A22310" s="4" t="s">
        <v>28078</v>
      </c>
      <c r="B22310" s="4" t="s">
        <v>28082</v>
      </c>
      <c r="C22310" s="5" t="str">
        <f>IFERROR(__xludf.DUMMYFUNCTION("GOOGLETRANSLATE(B22310,""en"",""de"")"),"Sie beginnen sich die Beine zu rasieren und halten einen Rasiermesser in die Kamera.")</f>
        <v>Sie beginnen sich die Beine zu rasieren und halten einen Rasiermesser in die Kamera.</v>
      </c>
    </row>
    <row r="22311">
      <c r="A22311" s="4" t="s">
        <v>28083</v>
      </c>
      <c r="B22311" s="4" t="s">
        <v>28084</v>
      </c>
      <c r="C22311" s="5" t="str">
        <f>IFERROR(__xludf.DUMMYFUNCTION("GOOGLETRANSLATE(B22311,""en"",""de"")"),"Ein Mann geht nach draußen, steckt seinen Rasenmäher ein und macht sich bereit zu mähen.")</f>
        <v>Ein Mann geht nach draußen, steckt seinen Rasenmäher ein und macht sich bereit zu mähen.</v>
      </c>
    </row>
    <row r="22312">
      <c r="A22312" s="4" t="s">
        <v>28083</v>
      </c>
      <c r="B22312" s="4" t="s">
        <v>28085</v>
      </c>
      <c r="C22312" s="5" t="str">
        <f>IFERROR(__xludf.DUMMYFUNCTION("GOOGLETRANSLATE(B22312,""en"",""de"")"),"Er beginnt, seinen Rasen beiläufig über das ganze Gras zu mähen.")</f>
        <v>Er beginnt, seinen Rasen beiläufig über das ganze Gras zu mähen.</v>
      </c>
    </row>
    <row r="22313">
      <c r="A22313" s="4" t="s">
        <v>28083</v>
      </c>
      <c r="B22313" s="4" t="s">
        <v>28086</v>
      </c>
      <c r="C22313" s="5" t="str">
        <f>IFERROR(__xludf.DUMMYFUNCTION("GOOGLETRANSLATE(B22313,""en"",""de"")"),"Sein Hund kommt nach draußen und beginnt ihm ein wenig zu folgen, während er näher am Haus ist.")</f>
        <v>Sein Hund kommt nach draußen und beginnt ihm ein wenig zu folgen, während er näher am Haus ist.</v>
      </c>
    </row>
    <row r="22314">
      <c r="A22314" s="4" t="s">
        <v>28083</v>
      </c>
      <c r="B22314" s="4" t="s">
        <v>28087</v>
      </c>
      <c r="C22314" s="5" t="str">
        <f>IFERROR(__xludf.DUMMYFUNCTION("GOOGLETRANSLATE(B22314,""en"",""de"")"),"Der Hof sieht langsam wirklich sehr schön aus, sobald er komplett fertig ist, sieht der Hof toll, schön und glatt aus.")</f>
        <v>Der Hof sieht langsam wirklich sehr schön aus, sobald er komplett fertig ist, sieht der Hof toll, schön und glatt aus.</v>
      </c>
    </row>
    <row r="22315">
      <c r="A22315" s="4" t="s">
        <v>28088</v>
      </c>
      <c r="B22315" s="4" t="s">
        <v>28089</v>
      </c>
      <c r="C22315" s="5" t="str">
        <f>IFERROR(__xludf.DUMMYFUNCTION("GOOGLETRANSLATE(B22315,""en"",""de"")"),"Ein Mann steht in einer Küche und redet.")</f>
        <v>Ein Mann steht in einer Küche und redet.</v>
      </c>
    </row>
    <row r="22316">
      <c r="A22316" s="4" t="s">
        <v>28088</v>
      </c>
      <c r="B22316" s="4" t="s">
        <v>28090</v>
      </c>
      <c r="C22316" s="5" t="str">
        <f>IFERROR(__xludf.DUMMYFUNCTION("GOOGLETRANSLATE(B22316,""en"",""de"")"),"Er verwendet ein Vakuum, um den Boden zu reinigen.")</f>
        <v>Er verwendet ein Vakuum, um den Boden zu reinigen.</v>
      </c>
    </row>
    <row r="22317">
      <c r="A22317" s="4" t="s">
        <v>28088</v>
      </c>
      <c r="B22317" s="4" t="s">
        <v>28091</v>
      </c>
      <c r="C22317" s="5" t="str">
        <f>IFERROR(__xludf.DUMMYFUNCTION("GOOGLETRANSLATE(B22317,""en"",""de"")"),"Er entfernt den Filter aus dem Vakuum.")</f>
        <v>Er entfernt den Filter aus dem Vakuum.</v>
      </c>
    </row>
    <row r="22318">
      <c r="A22318" s="4" t="s">
        <v>28088</v>
      </c>
      <c r="B22318" s="4" t="s">
        <v>28092</v>
      </c>
      <c r="C22318" s="5" t="str">
        <f>IFERROR(__xludf.DUMMYFUNCTION("GOOGLETRANSLATE(B22318,""en"",""de"")"),"Danach spricht er noch mehr.")</f>
        <v>Danach spricht er noch mehr.</v>
      </c>
    </row>
    <row r="22319">
      <c r="A22319" s="4" t="s">
        <v>28093</v>
      </c>
      <c r="B22319" s="4" t="s">
        <v>28094</v>
      </c>
      <c r="C22319" s="5" t="str">
        <f>IFERROR(__xludf.DUMMYFUNCTION("GOOGLETRANSLATE(B22319,""en"",""de"")"),"Ein Mann mittleren Alters spricht, während er einen Mopp hält.")</f>
        <v>Ein Mann mittleren Alters spricht, während er einen Mopp hält.</v>
      </c>
    </row>
    <row r="22320">
      <c r="A22320" s="4" t="s">
        <v>28093</v>
      </c>
      <c r="B22320" s="4" t="s">
        <v>28095</v>
      </c>
      <c r="C22320" s="5" t="str">
        <f>IFERROR(__xludf.DUMMYFUNCTION("GOOGLETRANSLATE(B22320,""en"",""de"")"),"Der Mann wirft ein Mop -Pad auf den Boden und legt den Mopp darauf und hebt das Pad auf.")</f>
        <v>Der Mann wirft ein Mop -Pad auf den Boden und legt den Mopp darauf und hebt das Pad auf.</v>
      </c>
    </row>
    <row r="22321">
      <c r="A22321" s="4" t="s">
        <v>28093</v>
      </c>
      <c r="B22321" s="4" t="s">
        <v>28096</v>
      </c>
      <c r="C22321" s="5" t="str">
        <f>IFERROR(__xludf.DUMMYFUNCTION("GOOGLETRANSLATE(B22321,""en"",""de"")"),"Der Mann geht durch den Raum und wischt den Boden.")</f>
        <v>Der Mann geht durch den Raum und wischt den Boden.</v>
      </c>
    </row>
    <row r="22322">
      <c r="A22322" s="4" t="s">
        <v>28093</v>
      </c>
      <c r="B22322" s="4" t="s">
        <v>28097</v>
      </c>
      <c r="C22322" s="5" t="str">
        <f>IFERROR(__xludf.DUMMYFUNCTION("GOOGLETRANSLATE(B22322,""en"",""de"")"),"Der gleiche Mann steht in einer Küche.")</f>
        <v>Der gleiche Mann steht in einer Küche.</v>
      </c>
    </row>
    <row r="22323">
      <c r="A22323" s="4" t="s">
        <v>28093</v>
      </c>
      <c r="B22323" s="4" t="s">
        <v>28098</v>
      </c>
      <c r="C22323" s="5" t="str">
        <f>IFERROR(__xludf.DUMMYFUNCTION("GOOGLETRANSLATE(B22323,""en"",""de"")"),"Der Mann fährt Wasser über das Mop -Pad und strahlt es dann aus.")</f>
        <v>Der Mann fährt Wasser über das Mop -Pad und strahlt es dann aus.</v>
      </c>
    </row>
    <row r="22324">
      <c r="A22324" s="4" t="s">
        <v>28093</v>
      </c>
      <c r="B22324" s="4" t="s">
        <v>28099</v>
      </c>
      <c r="C22324" s="5" t="str">
        <f>IFERROR(__xludf.DUMMYFUNCTION("GOOGLETRANSLATE(B22324,""en"",""de"")"),"Der Mann wirft das Mop -Pad erneut auf den Boden und nimmt ihn mit dem Mopp auf.")</f>
        <v>Der Mann wirft das Mop -Pad erneut auf den Boden und nimmt ihn mit dem Mopp auf.</v>
      </c>
    </row>
    <row r="22325">
      <c r="A22325" s="4" t="s">
        <v>28093</v>
      </c>
      <c r="B22325" s="4" t="s">
        <v>28100</v>
      </c>
      <c r="C22325" s="5" t="str">
        <f>IFERROR(__xludf.DUMMYFUNCTION("GOOGLETRANSLATE(B22325,""en"",""de"")"),"Der Mann macht den Boden um die Möbel.")</f>
        <v>Der Mann macht den Boden um die Möbel.</v>
      </c>
    </row>
    <row r="22326">
      <c r="A22326" s="4" t="s">
        <v>28101</v>
      </c>
      <c r="B22326" s="4" t="s">
        <v>28102</v>
      </c>
      <c r="C22326" s="5" t="str">
        <f>IFERROR(__xludf.DUMMYFUNCTION("GOOGLETRANSLATE(B22326,""en"",""de"")"),"Ein älterer Mann benutzt einen elliptischen Trainer in einem Fitnessstudio.")</f>
        <v>Ein älterer Mann benutzt einen elliptischen Trainer in einem Fitnessstudio.</v>
      </c>
    </row>
    <row r="22327">
      <c r="A22327" s="4" t="s">
        <v>28101</v>
      </c>
      <c r="B22327" s="4" t="s">
        <v>28103</v>
      </c>
      <c r="C22327" s="5" t="str">
        <f>IFERROR(__xludf.DUMMYFUNCTION("GOOGLETRANSLATE(B22327,""en"",""de"")"),"Er pedelt und drückt hin und her, während er mit der Person mit der Kamera spricht.")</f>
        <v>Er pedelt und drückt hin und her, während er mit der Person mit der Kamera spricht.</v>
      </c>
    </row>
    <row r="22328">
      <c r="A22328" s="4" t="s">
        <v>28104</v>
      </c>
      <c r="B22328" s="4" t="s">
        <v>28105</v>
      </c>
      <c r="C22328" s="5" t="str">
        <f>IFERROR(__xludf.DUMMYFUNCTION("GOOGLETRANSLATE(B22328,""en"",""de"")"),"Eine Gruppe schwebt träge auf Gezeiten in einem Fluss.")</f>
        <v>Eine Gruppe schwebt träge auf Gezeiten in einem Fluss.</v>
      </c>
    </row>
    <row r="22329">
      <c r="A22329" s="4" t="s">
        <v>28104</v>
      </c>
      <c r="B22329" s="4" t="s">
        <v>28106</v>
      </c>
      <c r="C22329" s="5" t="str">
        <f>IFERROR(__xludf.DUMMYFUNCTION("GOOGLETRANSLATE(B22329,""en"",""de"")"),"Die Menschen halten die Hände, also bleiben sie zusammen.")</f>
        <v>Die Menschen halten die Hände, also bleiben sie zusammen.</v>
      </c>
    </row>
    <row r="22330">
      <c r="A22330" s="4" t="s">
        <v>28104</v>
      </c>
      <c r="B22330" s="4" t="s">
        <v>28107</v>
      </c>
      <c r="C22330" s="5" t="str">
        <f>IFERROR(__xludf.DUMMYFUNCTION("GOOGLETRANSLATE(B22330,""en"",""de"")"),"Sie schweben im Regen durch die Stromschnellen das Wasser hinunter.")</f>
        <v>Sie schweben im Regen durch die Stromschnellen das Wasser hinunter.</v>
      </c>
    </row>
    <row r="22331">
      <c r="A22331" s="4" t="s">
        <v>28108</v>
      </c>
      <c r="B22331" s="4" t="s">
        <v>4448</v>
      </c>
      <c r="C22331" s="5" t="str">
        <f>IFERROR(__xludf.DUMMYFUNCTION("GOOGLETRANSLATE(B22331,""en"",""de"")"),"Wir sehen den Öffnungsbildschirm.")</f>
        <v>Wir sehen den Öffnungsbildschirm.</v>
      </c>
    </row>
    <row r="22332">
      <c r="A22332" s="4" t="s">
        <v>28108</v>
      </c>
      <c r="B22332" s="4" t="s">
        <v>28109</v>
      </c>
      <c r="C22332" s="5" t="str">
        <f>IFERROR(__xludf.DUMMYFUNCTION("GOOGLETRANSLATE(B22332,""en"",""de"")"),"Wir sehen den Ozean und eine Insel im Wasser.")</f>
        <v>Wir sehen den Ozean und eine Insel im Wasser.</v>
      </c>
    </row>
    <row r="22333">
      <c r="A22333" s="4" t="s">
        <v>28108</v>
      </c>
      <c r="B22333" s="4" t="s">
        <v>28110</v>
      </c>
      <c r="C22333" s="5" t="str">
        <f>IFERROR(__xludf.DUMMYFUNCTION("GOOGLETRANSLATE(B22333,""en"",""de"")"),"Wir sehen eine Person, die im Wasser kittiert.")</f>
        <v>Wir sehen eine Person, die im Wasser kittiert.</v>
      </c>
    </row>
    <row r="22334">
      <c r="A22334" s="4" t="s">
        <v>28108</v>
      </c>
      <c r="B22334" s="4" t="s">
        <v>28111</v>
      </c>
      <c r="C22334" s="5" t="str">
        <f>IFERROR(__xludf.DUMMYFUNCTION("GOOGLETRANSLATE(B22334,""en"",""de"")"),"Wir sehen dann zwei Leute, die Kitesurfen kitten.")</f>
        <v>Wir sehen dann zwei Leute, die Kitesurfen kitten.</v>
      </c>
    </row>
    <row r="22335">
      <c r="A22335" s="4" t="s">
        <v>28108</v>
      </c>
      <c r="B22335" s="4" t="s">
        <v>28112</v>
      </c>
      <c r="C22335" s="5" t="str">
        <f>IFERROR(__xludf.DUMMYFUNCTION("GOOGLETRANSLATE(B22335,""en"",""de"")"),"Wir kehren nur zu einer Person zurück.")</f>
        <v>Wir kehren nur zu einer Person zurück.</v>
      </c>
    </row>
    <row r="22336">
      <c r="A22336" s="4" t="s">
        <v>28108</v>
      </c>
      <c r="B22336" s="4" t="s">
        <v>28113</v>
      </c>
      <c r="C22336" s="5" t="str">
        <f>IFERROR(__xludf.DUMMYFUNCTION("GOOGLETRANSLATE(B22336,""en"",""de"")"),"Wir sehen die Insel von oben.")</f>
        <v>Wir sehen die Insel von oben.</v>
      </c>
    </row>
    <row r="22337">
      <c r="A22337" s="4" t="s">
        <v>28108</v>
      </c>
      <c r="B22337" s="4" t="s">
        <v>28114</v>
      </c>
      <c r="C22337" s="5" t="str">
        <f>IFERROR(__xludf.DUMMYFUNCTION("GOOGLETRANSLATE(B22337,""en"",""de"")"),"Wir kehren zum Surfer im Wasser zurück.")</f>
        <v>Wir kehren zum Surfer im Wasser zurück.</v>
      </c>
    </row>
    <row r="22338">
      <c r="A22338" s="4" t="s">
        <v>28108</v>
      </c>
      <c r="B22338" s="4" t="s">
        <v>10150</v>
      </c>
      <c r="C22338" s="5" t="str">
        <f>IFERROR(__xludf.DUMMYFUNCTION("GOOGLETRANSLATE(B22338,""en"",""de"")"),"Wir sehen dann den Schließbildbildschirm.")</f>
        <v>Wir sehen dann den Schließbildbildschirm.</v>
      </c>
    </row>
    <row r="22339">
      <c r="A22339" s="4" t="s">
        <v>28115</v>
      </c>
      <c r="B22339" s="4" t="s">
        <v>28116</v>
      </c>
      <c r="C22339" s="5" t="str">
        <f>IFERROR(__xludf.DUMMYFUNCTION("GOOGLETRANSLATE(B22339,""en"",""de"")"),"Ein Mann bekommt ein Haus, während ein Hund ihm folgt.")</f>
        <v>Ein Mann bekommt ein Haus, während ein Hund ihm folgt.</v>
      </c>
    </row>
    <row r="22340">
      <c r="A22340" s="4" t="s">
        <v>28115</v>
      </c>
      <c r="B22340" s="4" t="s">
        <v>28117</v>
      </c>
      <c r="C22340" s="5" t="str">
        <f>IFERROR(__xludf.DUMMYFUNCTION("GOOGLETRANSLATE(B22340,""en"",""de"")"),"Dann steigt ein Kleinkind aus dem Haus und steht an der Grenze des Schwimmbades und fällt ins Wasser.")</f>
        <v>Dann steigt ein Kleinkind aus dem Haus und steht an der Grenze des Schwimmbades und fällt ins Wasser.</v>
      </c>
    </row>
    <row r="22341">
      <c r="A22341" s="4" t="s">
        <v>28115</v>
      </c>
      <c r="B22341" s="4" t="s">
        <v>28118</v>
      </c>
      <c r="C22341" s="5" t="str">
        <f>IFERROR(__xludf.DUMMYFUNCTION("GOOGLETRANSLATE(B22341,""en"",""de"")"),"Das Baby schwimmt Gesicht nach oben, dann kommt ein Mann und nimmt das Baby.")</f>
        <v>Das Baby schwimmt Gesicht nach oben, dann kommt ein Mann und nimmt das Baby.</v>
      </c>
    </row>
    <row r="22342">
      <c r="A22342" s="4" t="s">
        <v>28115</v>
      </c>
      <c r="B22342" s="4" t="s">
        <v>28119</v>
      </c>
      <c r="C22342" s="5" t="str">
        <f>IFERROR(__xludf.DUMMYFUNCTION("GOOGLETRANSLATE(B22342,""en"",""de"")"),"Eine Frau setzt ein Baby in den Schwimmbad, und das Baby schwimmt schnell, um den Rand des Schwimmbades zu erreichen.")</f>
        <v>Eine Frau setzt ein Baby in den Schwimmbad, und das Baby schwimmt schnell, um den Rand des Schwimmbades zu erreichen.</v>
      </c>
    </row>
    <row r="22343">
      <c r="A22343" s="4" t="s">
        <v>28115</v>
      </c>
      <c r="B22343" s="4" t="s">
        <v>28120</v>
      </c>
      <c r="C22343" s="5" t="str">
        <f>IFERROR(__xludf.DUMMYFUNCTION("GOOGLETRANSLATE(B22343,""en"",""de"")"),"Eine Frau stellt das Baby in den Schwimmbad, das schwingt und schwimmt.")</f>
        <v>Eine Frau stellt das Baby in den Schwimmbad, das schwingt und schwimmt.</v>
      </c>
    </row>
    <row r="22344">
      <c r="A22344" s="4" t="s">
        <v>28121</v>
      </c>
      <c r="B22344" s="4" t="s">
        <v>28122</v>
      </c>
      <c r="C22344" s="5" t="str">
        <f>IFERROR(__xludf.DUMMYFUNCTION("GOOGLETRANSLATE(B22344,""en"",""de"")"),"Zwei Frauen stehen vor einer Kamera, die Frau im roten Hemd spricht.")</f>
        <v>Zwei Frauen stehen vor einer Kamera, die Frau im roten Hemd spricht.</v>
      </c>
    </row>
    <row r="22345">
      <c r="A22345" s="4" t="s">
        <v>28121</v>
      </c>
      <c r="B22345" s="4" t="s">
        <v>28123</v>
      </c>
      <c r="C22345" s="5" t="str">
        <f>IFERROR(__xludf.DUMMYFUNCTION("GOOGLETRANSLATE(B22345,""en"",""de"")"),"Die Frauen stellten beide etwas aus einer Tasse in den Mund.")</f>
        <v>Die Frauen stellten beide etwas aus einer Tasse in den Mund.</v>
      </c>
    </row>
    <row r="22346">
      <c r="A22346" s="4" t="s">
        <v>28121</v>
      </c>
      <c r="B22346" s="4" t="s">
        <v>28124</v>
      </c>
      <c r="C22346" s="5" t="str">
        <f>IFERROR(__xludf.DUMMYFUNCTION("GOOGLETRANSLATE(B22346,""en"",""de"")"),"Die Frau in Red beginnt zu tanzen.")</f>
        <v>Die Frau in Red beginnt zu tanzen.</v>
      </c>
    </row>
    <row r="22347">
      <c r="A22347" s="4" t="s">
        <v>28121</v>
      </c>
      <c r="B22347" s="4" t="s">
        <v>28125</v>
      </c>
      <c r="C22347" s="5" t="str">
        <f>IFERROR(__xludf.DUMMYFUNCTION("GOOGLETRANSLATE(B22347,""en"",""de"")"),"Die Frau in Schwarz macht ein Gesicht zur Kamera.")</f>
        <v>Die Frau in Schwarz macht ein Gesicht zur Kamera.</v>
      </c>
    </row>
    <row r="22348">
      <c r="A22348" s="4" t="s">
        <v>28121</v>
      </c>
      <c r="B22348" s="4" t="s">
        <v>28126</v>
      </c>
      <c r="C22348" s="5" t="str">
        <f>IFERROR(__xludf.DUMMYFUNCTION("GOOGLETRANSLATE(B22348,""en"",""de"")"),"Beide Mädchen beugen sich etwas vor der Kamera.")</f>
        <v>Beide Mädchen beugen sich etwas vor der Kamera.</v>
      </c>
    </row>
    <row r="22349">
      <c r="A22349" s="4" t="s">
        <v>28121</v>
      </c>
      <c r="B22349" s="4" t="s">
        <v>28127</v>
      </c>
      <c r="C22349" s="5" t="str">
        <f>IFERROR(__xludf.DUMMYFUNCTION("GOOGLETRANSLATE(B22349,""en"",""de"")"),"Die Frau in Rot hört auf zu tanzen und beginnt zu lachen und die Frau in Schwarz tut dies ebenfalls.")</f>
        <v>Die Frau in Rot hört auf zu tanzen und beginnt zu lachen und die Frau in Schwarz tut dies ebenfalls.</v>
      </c>
    </row>
    <row r="22350">
      <c r="A22350" s="4" t="s">
        <v>28121</v>
      </c>
      <c r="B22350" s="4" t="s">
        <v>28128</v>
      </c>
      <c r="C22350" s="5" t="str">
        <f>IFERROR(__xludf.DUMMYFUNCTION("GOOGLETRANSLATE(B22350,""en"",""de"")"),"Es scheint, dass beide Frauen entweder schlucken oder ausspucken, was im Mund war.")</f>
        <v>Es scheint, dass beide Frauen entweder schlucken oder ausspucken, was im Mund war.</v>
      </c>
    </row>
    <row r="22351">
      <c r="A22351" s="4" t="s">
        <v>28129</v>
      </c>
      <c r="B22351" s="4" t="s">
        <v>28130</v>
      </c>
      <c r="C22351" s="5" t="str">
        <f>IFERROR(__xludf.DUMMYFUNCTION("GOOGLETRANSLATE(B22351,""en"",""de"")"),"Ein kleines Kind wird gesehen, wie er mit der Kamera spricht, während er Ofen -Mits trägt und einen Stock hält.")</f>
        <v>Ein kleines Kind wird gesehen, wie er mit der Kamera spricht, während er Ofen -Mits trägt und einen Stock hält.</v>
      </c>
    </row>
    <row r="22352">
      <c r="A22352" s="4" t="s">
        <v>28129</v>
      </c>
      <c r="B22352" s="4" t="s">
        <v>28131</v>
      </c>
      <c r="C22352" s="5" t="str">
        <f>IFERROR(__xludf.DUMMYFUNCTION("GOOGLETRANSLATE(B22352,""en"",""de"")"),"Der Junge öffnet sich dann und Ofentür und zieht einen Teller mit Keksen heraus.")</f>
        <v>Der Junge öffnet sich dann und Ofentür und zieht einen Teller mit Keksen heraus.</v>
      </c>
    </row>
    <row r="22353">
      <c r="A22353" s="4" t="s">
        <v>28129</v>
      </c>
      <c r="B22353" s="4" t="s">
        <v>28132</v>
      </c>
      <c r="C22353" s="5" t="str">
        <f>IFERROR(__xludf.DUMMYFUNCTION("GOOGLETRANSLATE(B22353,""en"",""de"")"),"Er benutzt den Stock, um das Gestell zurückzudrängen und schließt den Ofen, während er zur Kamera wellt.")</f>
        <v>Er benutzt den Stock, um das Gestell zurückzudrängen und schließt den Ofen, während er zur Kamera wellt.</v>
      </c>
    </row>
    <row r="22354">
      <c r="A22354" s="4" t="s">
        <v>28133</v>
      </c>
      <c r="B22354" s="4" t="s">
        <v>28134</v>
      </c>
      <c r="C22354" s="5" t="str">
        <f>IFERROR(__xludf.DUMMYFUNCTION("GOOGLETRANSLATE(B22354,""en"",""de"")"),"Ein Mann in einem gelben Hemd hat seine Hände hinter seinem Kopf.")</f>
        <v>Ein Mann in einem gelben Hemd hat seine Hände hinter seinem Kopf.</v>
      </c>
    </row>
    <row r="22355">
      <c r="A22355" s="4" t="s">
        <v>28133</v>
      </c>
      <c r="B22355" s="4" t="s">
        <v>28135</v>
      </c>
      <c r="C22355" s="5" t="str">
        <f>IFERROR(__xludf.DUMMYFUNCTION("GOOGLETRANSLATE(B22355,""en"",""de"")"),"Er rennt eine Strecke hinunter und wirft einen Speer.")</f>
        <v>Er rennt eine Strecke hinunter und wirft einen Speer.</v>
      </c>
    </row>
    <row r="22356">
      <c r="A22356" s="4" t="s">
        <v>28133</v>
      </c>
      <c r="B22356" s="4" t="s">
        <v>28136</v>
      </c>
      <c r="C22356" s="5" t="str">
        <f>IFERROR(__xludf.DUMMYFUNCTION("GOOGLETRANSLATE(B22356,""en"",""de"")"),"Er stolpert und fällt nach vorne.")</f>
        <v>Er stolpert und fällt nach vorne.</v>
      </c>
    </row>
    <row r="22357">
      <c r="A22357" s="4" t="s">
        <v>28133</v>
      </c>
      <c r="B22357" s="4" t="s">
        <v>28137</v>
      </c>
      <c r="C22357" s="5" t="str">
        <f>IFERROR(__xludf.DUMMYFUNCTION("GOOGLETRANSLATE(B22357,""en"",""de"")"),"Eine Aufnahme des Feldes ist Shows, bei denen viele Menschen darauf laufen.")</f>
        <v>Eine Aufnahme des Feldes ist Shows, bei denen viele Menschen darauf laufen.</v>
      </c>
    </row>
    <row r="22358">
      <c r="A22358" s="4" t="s">
        <v>28138</v>
      </c>
      <c r="B22358" s="4" t="s">
        <v>28139</v>
      </c>
      <c r="C22358" s="5" t="str">
        <f>IFERROR(__xludf.DUMMYFUNCTION("GOOGLETRANSLATE(B22358,""en"",""de"")"),"Turner dehnen sich und bereiten sich auf eine Routine vor.")</f>
        <v>Turner dehnen sich und bereiten sich auf eine Routine vor.</v>
      </c>
    </row>
    <row r="22359">
      <c r="A22359" s="4" t="s">
        <v>28138</v>
      </c>
      <c r="B22359" s="4" t="s">
        <v>28140</v>
      </c>
      <c r="C22359" s="5" t="str">
        <f>IFERROR(__xludf.DUMMYFUNCTION("GOOGLETRANSLATE(B22359,""en"",""de"")"),"Sie machen ein paar Dinge mit ihren Hemden aus.")</f>
        <v>Sie machen ein paar Dinge mit ihren Hemden aus.</v>
      </c>
    </row>
    <row r="22360">
      <c r="A22360" s="4" t="s">
        <v>28141</v>
      </c>
      <c r="B22360" s="4" t="s">
        <v>28142</v>
      </c>
      <c r="C22360" s="5" t="str">
        <f>IFERROR(__xludf.DUMMYFUNCTION("GOOGLETRANSLATE(B22360,""en"",""de"")"),"Zwei Wrestler sind in einem Ring zu sehen, der zum anderen übergeht.")</f>
        <v>Zwei Wrestler sind in einem Ring zu sehen, der zum anderen übergeht.</v>
      </c>
    </row>
    <row r="22361">
      <c r="A22361" s="4" t="s">
        <v>28141</v>
      </c>
      <c r="B22361" s="4" t="s">
        <v>28143</v>
      </c>
      <c r="C22361" s="5" t="str">
        <f>IFERROR(__xludf.DUMMYFUNCTION("GOOGLETRANSLATE(B22361,""en"",""de"")"),"Ein Wrestler packt den anderen und dreht ihn über seine Schultern, dann trifft ein Schiedsrichter die Seite, um auszuschalten.")</f>
        <v>Ein Wrestler packt den anderen und dreht ihn über seine Schultern, dann trifft ein Schiedsrichter die Seite, um auszuschalten.</v>
      </c>
    </row>
    <row r="22362">
      <c r="A22362" s="4" t="s">
        <v>28144</v>
      </c>
      <c r="B22362" s="4" t="s">
        <v>28145</v>
      </c>
      <c r="C22362" s="5" t="str">
        <f>IFERROR(__xludf.DUMMYFUNCTION("GOOGLETRANSLATE(B22362,""en"",""de"")"),"Eine Frau sitzt auf einer Matte auf dem Boden.")</f>
        <v>Eine Frau sitzt auf einer Matte auf dem Boden.</v>
      </c>
    </row>
    <row r="22363">
      <c r="A22363" s="4" t="s">
        <v>28144</v>
      </c>
      <c r="B22363" s="4" t="s">
        <v>28146</v>
      </c>
      <c r="C22363" s="5" t="str">
        <f>IFERROR(__xludf.DUMMYFUNCTION("GOOGLETRANSLATE(B22363,""en"",""de"")"),"Ein Mann spricht darüber, wie man einen Bowflex benutzt.")</f>
        <v>Ein Mann spricht darüber, wie man einen Bowflex benutzt.</v>
      </c>
    </row>
    <row r="22364">
      <c r="A22364" s="4" t="s">
        <v>28144</v>
      </c>
      <c r="B22364" s="4" t="s">
        <v>28147</v>
      </c>
      <c r="C22364" s="5" t="str">
        <f>IFERROR(__xludf.DUMMYFUNCTION("GOOGLETRANSLATE(B22364,""en"",""de"")"),"Sie legt sich hin und macht Sit Ups, während er weiter spricht.")</f>
        <v>Sie legt sich hin und macht Sit Ups, während er weiter spricht.</v>
      </c>
    </row>
    <row r="22365">
      <c r="A22365" s="4" t="s">
        <v>28148</v>
      </c>
      <c r="B22365" s="4" t="s">
        <v>28149</v>
      </c>
      <c r="C22365" s="5" t="str">
        <f>IFERROR(__xludf.DUMMYFUNCTION("GOOGLETRANSLATE(B22365,""en"",""de"")"),"Ein Flachbildfernseher sitzt auf einem Stand, der die Fernsehsendung Raw zeigt.")</f>
        <v>Ein Flachbildfernseher sitzt auf einem Stand, der die Fernsehsendung Raw zeigt.</v>
      </c>
    </row>
    <row r="22366">
      <c r="A22366" s="4" t="s">
        <v>28148</v>
      </c>
      <c r="B22366" s="4" t="s">
        <v>28150</v>
      </c>
      <c r="C22366" s="5" t="str">
        <f>IFERROR(__xludf.DUMMYFUNCTION("GOOGLETRANSLATE(B22366,""en"",""de"")"),"In der Show ringen zwei Männer, die sich jeweils auf dem Boden bewegen.")</f>
        <v>In der Show ringen zwei Männer, die sich jeweils auf dem Boden bewegen.</v>
      </c>
    </row>
    <row r="22367">
      <c r="A22367" s="4" t="s">
        <v>28148</v>
      </c>
      <c r="B22367" s="4" t="s">
        <v>28151</v>
      </c>
      <c r="C22367" s="5" t="str">
        <f>IFERROR(__xludf.DUMMYFUNCTION("GOOGLETRANSLATE(B22367,""en"",""de"")"),"Der dicke Mann nimmt dann den dünnen Kerl auf, lässt ihn fallen und steht über ihm.")</f>
        <v>Der dicke Mann nimmt dann den dünnen Kerl auf, lässt ihn fallen und steht über ihm.</v>
      </c>
    </row>
    <row r="22368">
      <c r="A22368" s="4" t="s">
        <v>28152</v>
      </c>
      <c r="B22368" s="4" t="s">
        <v>28153</v>
      </c>
      <c r="C22368" s="5" t="str">
        <f>IFERROR(__xludf.DUMMYFUNCTION("GOOGLETRANSLATE(B22368,""en"",""de"")"),"Eine Person hält einen mit Schaum bedeckten Hund und hält eine Flasche Shampoo in einem Hof.")</f>
        <v>Eine Person hält einen mit Schaum bedeckten Hund und hält eine Flasche Shampoo in einem Hof.</v>
      </c>
    </row>
    <row r="22369">
      <c r="A22369" s="4" t="s">
        <v>28152</v>
      </c>
      <c r="B22369" s="4" t="s">
        <v>28154</v>
      </c>
      <c r="C22369" s="5" t="str">
        <f>IFERROR(__xludf.DUMMYFUNCTION("GOOGLETRANSLATE(B22369,""en"",""de"")"),"Wir sehen die Person neben dem Hund stehen und ihn mit dem Shampoo waschen.")</f>
        <v>Wir sehen die Person neben dem Hund stehen und ihn mit dem Shampoo waschen.</v>
      </c>
    </row>
    <row r="22370">
      <c r="A22370" s="4" t="s">
        <v>28152</v>
      </c>
      <c r="B22370" s="4" t="s">
        <v>28155</v>
      </c>
      <c r="C22370" s="5" t="str">
        <f>IFERROR(__xludf.DUMMYFUNCTION("GOOGLETRANSLATE(B22370,""en"",""de"")"),"Eine Person winkt mit der Hand vor den Hund.")</f>
        <v>Eine Person winkt mit der Hand vor den Hund.</v>
      </c>
    </row>
    <row r="22371">
      <c r="A22371" s="4" t="s">
        <v>28152</v>
      </c>
      <c r="B22371" s="4" t="s">
        <v>28156</v>
      </c>
      <c r="C22371" s="5" t="str">
        <f>IFERROR(__xludf.DUMMYFUNCTION("GOOGLETRANSLATE(B22371,""en"",""de"")"),"Die Kamera schwenkt und wir sehen einen anderen Hund auf dem Boden.")</f>
        <v>Die Kamera schwenkt und wir sehen einen anderen Hund auf dem Boden.</v>
      </c>
    </row>
    <row r="22372">
      <c r="A22372" s="4" t="s">
        <v>28157</v>
      </c>
      <c r="B22372" s="4" t="s">
        <v>28158</v>
      </c>
      <c r="C22372" s="5" t="str">
        <f>IFERROR(__xludf.DUMMYFUNCTION("GOOGLETRANSLATE(B22372,""en"",""de"")"),"Ein weißer Bildschirm erscheint mit einem Bild von einem Globus und einem Banner um ihn herum mit gelben Wörtern, die ""Abada-Capoeira"" sagen, und folgt mit verschiedenen weißen Bildschirmen, auf denen schwarz auf jedem einzelnen Bildschirm geschrieben w"&amp;"ird.")</f>
        <v>Ein weißer Bildschirm erscheint mit einem Bild von einem Globus und einem Banner um ihn herum mit gelben Wörtern, die "Abada-Capoeira" sagen, und folgt mit verschiedenen weißen Bildschirmen, auf denen schwarz auf jedem einzelnen Bildschirm geschrieben wird.</v>
      </c>
    </row>
    <row r="22373">
      <c r="A22373" s="4" t="s">
        <v>28157</v>
      </c>
      <c r="B22373" s="4" t="s">
        <v>28159</v>
      </c>
      <c r="C22373" s="5" t="str">
        <f>IFERROR(__xludf.DUMMYFUNCTION("GOOGLETRANSLATE(B22373,""en"",""de"")"),"Menschen, die sowohl Kinder als auch Erwachsene umfassen, werden in einem Raum versammelt und sehen einen Film an, der an einer großen Wand projiziert wird.")</f>
        <v>Menschen, die sowohl Kinder als auch Erwachsene umfassen, werden in einem Raum versammelt und sehen einen Film an, der an einer großen Wand projiziert wird.</v>
      </c>
    </row>
    <row r="22374">
      <c r="A22374" s="4" t="s">
        <v>28157</v>
      </c>
      <c r="B22374" s="4" t="s">
        <v>28160</v>
      </c>
      <c r="C22374" s="5" t="str">
        <f>IFERROR(__xludf.DUMMYFUNCTION("GOOGLETRANSLATE(B22374,""en"",""de"")"),"Jetzt gibt es Menschen, die in Weiß gekleidet sind und sich in einem Raum mit blauen Matten am Boden befinden, und verschiedene Menschen, darunter sowohl Erwachsene als auch Kinder .")</f>
        <v>Jetzt gibt es Menschen, die in Weiß gekleidet sind und sich in einem Raum mit blauen Matten am Boden befinden, und verschiedene Menschen, darunter sowohl Erwachsene als auch Kinder .</v>
      </c>
    </row>
    <row r="22375">
      <c r="A22375" s="4" t="s">
        <v>28157</v>
      </c>
      <c r="B22375" s="4" t="s">
        <v>28161</v>
      </c>
      <c r="C22375" s="5" t="str">
        <f>IFERROR(__xludf.DUMMYFUNCTION("GOOGLETRANSLATE(B22375,""en"",""de"")"),"Wenn sie mit dem Tanzen fertig sind, stapeln sich viele Kinder auf und um einen erwachsenen Mann und machen ein Gruppenbild.")</f>
        <v>Wenn sie mit dem Tanzen fertig sind, stapeln sich viele Kinder auf und um einen erwachsenen Mann und machen ein Gruppenbild.</v>
      </c>
    </row>
    <row r="22376">
      <c r="A22376" s="4" t="s">
        <v>28157</v>
      </c>
      <c r="B22376" s="4" t="s">
        <v>28162</v>
      </c>
      <c r="C22376" s="5" t="str">
        <f>IFERROR(__xludf.DUMMYFUNCTION("GOOGLETRANSLATE(B22376,""en"",""de"")"),"Outro erscheint und es ist der Globus, weiße Bildschirme mit schwarzen Wörtern auf jedem und dann Logos.")</f>
        <v>Outro erscheint und es ist der Globus, weiße Bildschirme mit schwarzen Wörtern auf jedem und dann Logos.</v>
      </c>
    </row>
    <row r="22377">
      <c r="A22377" s="4" t="s">
        <v>28163</v>
      </c>
      <c r="B22377" s="4" t="s">
        <v>28164</v>
      </c>
      <c r="C22377" s="5" t="str">
        <f>IFERROR(__xludf.DUMMYFUNCTION("GOOGLETRANSLATE(B22377,""en"",""de"")"),"Zwei Schwester Kleinkinder betreten eine Küche, dann waschen ein Kleinkind das Geschirr im Waschbecken.")</f>
        <v>Zwei Schwester Kleinkinder betreten eine Küche, dann waschen ein Kleinkind das Geschirr im Waschbecken.</v>
      </c>
    </row>
    <row r="22378">
      <c r="A22378" s="4" t="s">
        <v>28163</v>
      </c>
      <c r="B22378" s="4" t="s">
        <v>28165</v>
      </c>
      <c r="C22378" s="5" t="str">
        <f>IFERROR(__xludf.DUMMYFUNCTION("GOOGLETRANSLATE(B22378,""en"",""de"")"),"Die Mutter legt Gerichte auf das Waschbecken und öffnet den Geschirrspüler.")</f>
        <v>Die Mutter legt Gerichte auf das Waschbecken und öffnet den Geschirrspüler.</v>
      </c>
    </row>
    <row r="22379">
      <c r="A22379" s="4" t="s">
        <v>28163</v>
      </c>
      <c r="B22379" s="4" t="s">
        <v>28166</v>
      </c>
      <c r="C22379" s="5" t="str">
        <f>IFERROR(__xludf.DUMMYFUNCTION("GOOGLETRANSLATE(B22379,""en"",""de"")"),"Die Kleinkindschwester hilft bei der Spülmaschine und klettert dann mit dem Hochstuhl und hilft dabei, das Geschirr zu waschen und das Kleinkind lädt den Geschirrspüler.")</f>
        <v>Die Kleinkindschwester hilft bei der Spülmaschine und klettert dann mit dem Hochstuhl und hilft dabei, das Geschirr zu waschen und das Kleinkind lädt den Geschirrspüler.</v>
      </c>
    </row>
    <row r="22380">
      <c r="A22380" s="4" t="s">
        <v>28163</v>
      </c>
      <c r="B22380" s="4" t="s">
        <v>28167</v>
      </c>
      <c r="C22380" s="5" t="str">
        <f>IFERROR(__xludf.DUMMYFUNCTION("GOOGLETRANSLATE(B22380,""en"",""de"")"),"Die Mutter steht in der Nähe des Kühlschranks und trinkt Tee und SMS.")</f>
        <v>Die Mutter steht in der Nähe des Kühlschranks und trinkt Tee und SMS.</v>
      </c>
    </row>
    <row r="22381">
      <c r="A22381" s="4" t="s">
        <v>28163</v>
      </c>
      <c r="B22381" s="4" t="s">
        <v>28168</v>
      </c>
      <c r="C22381" s="5" t="str">
        <f>IFERROR(__xludf.DUMMYFUNCTION("GOOGLETRANSLATE(B22381,""en"",""de"")"),"Die Schwester Kleinkind geht den Stuhl hinunter und verlässt die Küche.")</f>
        <v>Die Schwester Kleinkind geht den Stuhl hinunter und verlässt die Küche.</v>
      </c>
    </row>
    <row r="22382">
      <c r="A22382" s="4" t="s">
        <v>28163</v>
      </c>
      <c r="B22382" s="4" t="s">
        <v>28169</v>
      </c>
      <c r="C22382" s="5" t="str">
        <f>IFERROR(__xludf.DUMMYFUNCTION("GOOGLETRANSLATE(B22382,""en"",""de"")"),"Dann geht das Kleinkind den Stuhl hinunter, dann schließt sie sich und schaltet die Geschirrspüler ein.")</f>
        <v>Dann geht das Kleinkind den Stuhl hinunter, dann schließt sie sich und schaltet die Geschirrspüler ein.</v>
      </c>
    </row>
    <row r="22383">
      <c r="A22383" s="4" t="s">
        <v>28170</v>
      </c>
      <c r="B22383" s="4" t="s">
        <v>28171</v>
      </c>
      <c r="C22383" s="5" t="str">
        <f>IFERROR(__xludf.DUMMYFUNCTION("GOOGLETRANSLATE(B22383,""en"",""de"")"),"Ein Seil ist zwischen zwei Bäumen aufgereiht.")</f>
        <v>Ein Seil ist zwischen zwei Bäumen aufgereiht.</v>
      </c>
    </row>
    <row r="22384">
      <c r="A22384" s="4" t="s">
        <v>28170</v>
      </c>
      <c r="B22384" s="4" t="s">
        <v>28172</v>
      </c>
      <c r="C22384" s="5" t="str">
        <f>IFERROR(__xludf.DUMMYFUNCTION("GOOGLETRANSLATE(B22384,""en"",""de"")"),"Ein Mann geht auf dem Seil.")</f>
        <v>Ein Mann geht auf dem Seil.</v>
      </c>
    </row>
    <row r="22385">
      <c r="A22385" s="4" t="s">
        <v>28170</v>
      </c>
      <c r="B22385" s="4" t="s">
        <v>28173</v>
      </c>
      <c r="C22385" s="5" t="str">
        <f>IFERROR(__xludf.DUMMYFUNCTION("GOOGLETRANSLATE(B22385,""en"",""de"")"),"Er fällt mehrmals vom Seil.")</f>
        <v>Er fällt mehrmals vom Seil.</v>
      </c>
    </row>
    <row r="22386">
      <c r="A22386" s="4" t="s">
        <v>28170</v>
      </c>
      <c r="B22386" s="4" t="s">
        <v>28174</v>
      </c>
      <c r="C22386" s="5" t="str">
        <f>IFERROR(__xludf.DUMMYFUNCTION("GOOGLETRANSLATE(B22386,""en"",""de"")"),"Schließlich ist er in der Lage, auszugleichen und geht hin und her.")</f>
        <v>Schließlich ist er in der Lage, auszugleichen und geht hin und her.</v>
      </c>
    </row>
    <row r="22387">
      <c r="A22387" s="4" t="s">
        <v>28175</v>
      </c>
      <c r="B22387" s="4" t="s">
        <v>28176</v>
      </c>
      <c r="C22387" s="5" t="str">
        <f>IFERROR(__xludf.DUMMYFUNCTION("GOOGLETRANSLATE(B22387,""en"",""de"")"),"Ein kleiner Junge wirft Pfeile auf ein Brett.")</f>
        <v>Ein kleiner Junge wirft Pfeile auf ein Brett.</v>
      </c>
    </row>
    <row r="22388">
      <c r="A22388" s="4" t="s">
        <v>28175</v>
      </c>
      <c r="B22388" s="4" t="s">
        <v>28177</v>
      </c>
      <c r="C22388" s="5" t="str">
        <f>IFERROR(__xludf.DUMMYFUNCTION("GOOGLETRANSLATE(B22388,""en"",""de"")"),"Er geht zum Ziel und sieht sich an, wo die Darts getroffen werden.")</f>
        <v>Er geht zum Ziel und sieht sich an, wo die Darts getroffen werden.</v>
      </c>
    </row>
    <row r="22389">
      <c r="A22389" s="4" t="s">
        <v>28178</v>
      </c>
      <c r="B22389" s="4" t="s">
        <v>28179</v>
      </c>
      <c r="C22389" s="5" t="str">
        <f>IFERROR(__xludf.DUMMYFUNCTION("GOOGLETRANSLATE(B22389,""en"",""de"")"),"Ein Mädchen steht in einem Raum, der mehrere Pfeile aus ihrem Rudel herausnimmt und mit ihrem Pfeil sie freigibt.")</f>
        <v>Ein Mädchen steht in einem Raum, der mehrere Pfeile aus ihrem Rudel herausnimmt und mit ihrem Pfeil sie freigibt.</v>
      </c>
    </row>
    <row r="22390">
      <c r="A22390" s="4" t="s">
        <v>28178</v>
      </c>
      <c r="B22390" s="4" t="s">
        <v>28180</v>
      </c>
      <c r="C22390" s="5" t="str">
        <f>IFERROR(__xludf.DUMMYFUNCTION("GOOGLETRANSLATE(B22390,""en"",""de"")"),"Sie bewegt sich dann durch das Fitnessstudio, holt tief Luft und geht weiter.")</f>
        <v>Sie bewegt sich dann durch das Fitnessstudio, holt tief Luft und geht weiter.</v>
      </c>
    </row>
    <row r="22391">
      <c r="A22391" s="4" t="s">
        <v>28178</v>
      </c>
      <c r="B22391" s="4" t="s">
        <v>28181</v>
      </c>
      <c r="C22391" s="5" t="str">
        <f>IFERROR(__xludf.DUMMYFUNCTION("GOOGLETRANSLATE(B22391,""en"",""de"")"),"Nachdem sie sich wieder bewegt hat, werden zwei Teppiche an der Wand hängen und sie zielt weiterhin auf ihr Ziel, bis alle ihre Bögen verschwunden sind.")</f>
        <v>Nachdem sie sich wieder bewegt hat, werden zwei Teppiche an der Wand hängen und sie zielt weiterhin auf ihr Ziel, bis alle ihre Bögen verschwunden sind.</v>
      </c>
    </row>
    <row r="22392">
      <c r="A22392" s="4" t="s">
        <v>28182</v>
      </c>
      <c r="B22392" s="4" t="s">
        <v>28183</v>
      </c>
      <c r="C22392" s="5" t="str">
        <f>IFERROR(__xludf.DUMMYFUNCTION("GOOGLETRANSLATE(B22392,""en"",""de"")"),"Ein Mädchen geht auf eine Matte und verbeugt sich vor den Richtern.")</f>
        <v>Ein Mädchen geht auf eine Matte und verbeugt sich vor den Richtern.</v>
      </c>
    </row>
    <row r="22393">
      <c r="A22393" s="4" t="s">
        <v>28182</v>
      </c>
      <c r="B22393" s="4" t="s">
        <v>28184</v>
      </c>
      <c r="C22393" s="5" t="str">
        <f>IFERROR(__xludf.DUMMYFUNCTION("GOOGLETRANSLATE(B22393,""en"",""de"")"),"Sie führt mehrere Kampfkunstbewegungen mit einem großen Holzstock durch.")</f>
        <v>Sie führt mehrere Kampfkunstbewegungen mit einem großen Holzstock durch.</v>
      </c>
    </row>
    <row r="22394">
      <c r="A22394" s="4" t="s">
        <v>28182</v>
      </c>
      <c r="B22394" s="4" t="s">
        <v>28185</v>
      </c>
      <c r="C22394" s="5" t="str">
        <f>IFERROR(__xludf.DUMMYFUNCTION("GOOGLETRANSLATE(B22394,""en"",""de"")"),"Wenn sie fertig ist, bläst ein Mann eine Pfeife.")</f>
        <v>Wenn sie fertig ist, bläst ein Mann eine Pfeife.</v>
      </c>
    </row>
    <row r="22395">
      <c r="A22395" s="4" t="s">
        <v>28186</v>
      </c>
      <c r="B22395" s="4" t="s">
        <v>28187</v>
      </c>
      <c r="C22395" s="5" t="str">
        <f>IFERROR(__xludf.DUMMYFUNCTION("GOOGLETRANSLATE(B22395,""en"",""de"")"),"Es wird gezeigt, dass eine Frau mit der Kamera spricht, die ein Vakuum mit einem Vakuum innehat, und anschließend in einem schnellen Tempo ihren Staubsaugen auf ihrem Boden steckt.")</f>
        <v>Es wird gezeigt, dass eine Frau mit der Kamera spricht, die ein Vakuum mit einem Vakuum innehat, und anschließend in einem schnellen Tempo ihren Staubsaugen auf ihrem Boden steckt.</v>
      </c>
    </row>
    <row r="22396">
      <c r="A22396" s="4" t="s">
        <v>28186</v>
      </c>
      <c r="B22396" s="4" t="s">
        <v>28188</v>
      </c>
      <c r="C22396" s="5" t="str">
        <f>IFERROR(__xludf.DUMMYFUNCTION("GOOGLETRANSLATE(B22396,""en"",""de"")"),"Sie sehnt sich rund um die Gegend, während sie immer noch mit der Kamera spricht und schließlich zu einer Nahaufnahme des Vakuums übergeht.")</f>
        <v>Sie sehnt sich rund um die Gegend, während sie immer noch mit der Kamera spricht und schließlich zu einer Nahaufnahme des Vakuums übergeht.</v>
      </c>
    </row>
    <row r="22397">
      <c r="A22397" s="4" t="s">
        <v>28189</v>
      </c>
      <c r="B22397" s="4" t="s">
        <v>28190</v>
      </c>
      <c r="C22397" s="5" t="str">
        <f>IFERROR(__xludf.DUMMYFUNCTION("GOOGLETRANSLATE(B22397,""en"",""de"")"),"Es gibt einige Männer, die in einem Keller Darts spielen, in dem zwei Dartbretter an der Wand gehängt werden.")</f>
        <v>Es gibt einige Männer, die in einem Keller Darts spielen, in dem zwei Dartbretter an der Wand gehängt werden.</v>
      </c>
    </row>
    <row r="22398">
      <c r="A22398" s="4" t="s">
        <v>28189</v>
      </c>
      <c r="B22398" s="4" t="s">
        <v>28191</v>
      </c>
      <c r="C22398" s="5" t="str">
        <f>IFERROR(__xludf.DUMMYFUNCTION("GOOGLETRANSLATE(B22398,""en"",""de"")"),"Einer der Männer, die ein grünes Hemd tragen, zielt auf das Pfeilbrett mit einem Pfeil, um ein Brett des Bullens zu treffen.")</f>
        <v>Einer der Männer, die ein grünes Hemd tragen, zielt auf das Pfeilbrett mit einem Pfeil, um ein Brett des Bullens zu treffen.</v>
      </c>
    </row>
    <row r="22399">
      <c r="A22399" s="4" t="s">
        <v>28189</v>
      </c>
      <c r="B22399" s="4" t="s">
        <v>28192</v>
      </c>
      <c r="C22399" s="5" t="str">
        <f>IFERROR(__xludf.DUMMYFUNCTION("GOOGLETRANSLATE(B22399,""en"",""de"")"),"Ein anderer Mann trifft auch den Dart auf das andere Dart -Board.")</f>
        <v>Ein anderer Mann trifft auch den Dart auf das andere Dart -Board.</v>
      </c>
    </row>
    <row r="22400">
      <c r="A22400" s="4" t="s">
        <v>28189</v>
      </c>
      <c r="B22400" s="4" t="s">
        <v>28193</v>
      </c>
      <c r="C22400" s="5" t="str">
        <f>IFERROR(__xludf.DUMMYFUNCTION("GOOGLETRANSLATE(B22400,""en"",""de"")"),"Der Mann in Green schießt einen weiteren Pfeil und entfernen ihn dann aus dem Dartbrett.")</f>
        <v>Der Mann in Green schießt einen weiteren Pfeil und entfernen ihn dann aus dem Dartbrett.</v>
      </c>
    </row>
    <row r="22401">
      <c r="A22401" s="4" t="s">
        <v>28194</v>
      </c>
      <c r="B22401" s="4" t="s">
        <v>28195</v>
      </c>
      <c r="C22401" s="5" t="str">
        <f>IFERROR(__xludf.DUMMYFUNCTION("GOOGLETRANSLATE(B22401,""en"",""de"")"),"In einem Raum wird eine Gruppe von Menschen versammelt.")</f>
        <v>In einem Raum wird eine Gruppe von Menschen versammelt.</v>
      </c>
    </row>
    <row r="22402">
      <c r="A22402" s="4" t="s">
        <v>28194</v>
      </c>
      <c r="B22402" s="4" t="s">
        <v>28196</v>
      </c>
      <c r="C22402" s="5" t="str">
        <f>IFERROR(__xludf.DUMMYFUNCTION("GOOGLETRANSLATE(B22402,""en"",""de"")"),"Sie gehen zusammen zurück und vorwärts.")</f>
        <v>Sie gehen zusammen zurück und vorwärts.</v>
      </c>
    </row>
    <row r="22403">
      <c r="A22403" s="4" t="s">
        <v>28194</v>
      </c>
      <c r="B22403" s="4" t="s">
        <v>28197</v>
      </c>
      <c r="C22403" s="5" t="str">
        <f>IFERROR(__xludf.DUMMYFUNCTION("GOOGLETRANSLATE(B22403,""en"",""de"")"),"Sie tanzen als eine Form von Aerobic.")</f>
        <v>Sie tanzen als eine Form von Aerobic.</v>
      </c>
    </row>
    <row r="22404">
      <c r="A22404" s="4" t="s">
        <v>28198</v>
      </c>
      <c r="B22404" s="4" t="s">
        <v>28199</v>
      </c>
      <c r="C22404" s="5" t="str">
        <f>IFERROR(__xludf.DUMMYFUNCTION("GOOGLETRANSLATE(B22404,""en"",""de"")"),"Es werden mehrere Schüsse von Menschen, die um Pferde führen, gezeigt und man bindet ein Pferd an Stangen und schritt einen Rasiermesser hinunter.")</f>
        <v>Es werden mehrere Schüsse von Menschen, die um Pferde führen, gezeigt und man bindet ein Pferd an Stangen und schritt einen Rasiermesser hinunter.</v>
      </c>
    </row>
    <row r="22405">
      <c r="A22405" s="4" t="s">
        <v>28198</v>
      </c>
      <c r="B22405" s="4" t="s">
        <v>28200</v>
      </c>
      <c r="C22405" s="5" t="str">
        <f>IFERROR(__xludf.DUMMYFUNCTION("GOOGLETRANSLATE(B22405,""en"",""de"")"),"Die Frau schneidet dann die Pferdemähne und reibt die Pferde, während die Kamera herum schwenkt.")</f>
        <v>Die Frau schneidet dann die Pferdemähne und reibt die Pferde, während die Kamera herum schwenkt.</v>
      </c>
    </row>
    <row r="22406">
      <c r="A22406" s="4" t="s">
        <v>28198</v>
      </c>
      <c r="B22406" s="4" t="s">
        <v>28201</v>
      </c>
      <c r="C22406" s="5" t="str">
        <f>IFERROR(__xludf.DUMMYFUNCTION("GOOGLETRANSLATE(B22406,""en"",""de"")"),"Die Frau löst das Pferd und endet mit der Sprechung mit der Kamera.")</f>
        <v>Die Frau löst das Pferd und endet mit der Sprechung mit der Kamera.</v>
      </c>
    </row>
    <row r="22407">
      <c r="A22407" s="4" t="s">
        <v>28202</v>
      </c>
      <c r="B22407" s="4" t="s">
        <v>28203</v>
      </c>
      <c r="C22407" s="5" t="str">
        <f>IFERROR(__xludf.DUMMYFUNCTION("GOOGLETRANSLATE(B22407,""en"",""de"")"),"Eine kleine Wasserausstrahlung wird im Freien zwischen dem Wald und den Felsen gezeigt und erzeugt kleine Wellen.")</f>
        <v>Eine kleine Wasserausstrahlung wird im Freien zwischen dem Wald und den Felsen gezeigt und erzeugt kleine Wellen.</v>
      </c>
    </row>
    <row r="22408">
      <c r="A22408" s="4" t="s">
        <v>28202</v>
      </c>
      <c r="B22408" s="4" t="s">
        <v>28204</v>
      </c>
      <c r="C22408" s="5" t="str">
        <f>IFERROR(__xludf.DUMMYFUNCTION("GOOGLETRANSLATE(B22408,""en"",""de"")"),"Plötzlich kommt eine Person das Wasserkajakfahren herunter.")</f>
        <v>Plötzlich kommt eine Person das Wasserkajakfahren herunter.</v>
      </c>
    </row>
    <row r="22409">
      <c r="A22409" s="4" t="s">
        <v>28202</v>
      </c>
      <c r="B22409" s="4" t="s">
        <v>28205</v>
      </c>
      <c r="C22409" s="5" t="str">
        <f>IFERROR(__xludf.DUMMYFUNCTION("GOOGLETRANSLATE(B22409,""en"",""de"")"),"Sobald er nach unten kommt, dreht sich der Kajakfahrer um und die Wellen waschen weiter gegen die Felsen.")</f>
        <v>Sobald er nach unten kommt, dreht sich der Kajakfahrer um und die Wellen waschen weiter gegen die Felsen.</v>
      </c>
    </row>
    <row r="22410">
      <c r="A22410" s="4" t="s">
        <v>28206</v>
      </c>
      <c r="B22410" s="4" t="s">
        <v>28207</v>
      </c>
      <c r="C22410" s="5" t="str">
        <f>IFERROR(__xludf.DUMMYFUNCTION("GOOGLETRANSLATE(B22410,""en"",""de"")"),"Ein Tischfußball -Set ist ohne Spieler zu sehen, die aus Lego -Blöcken hergestellt wurden.")</f>
        <v>Ein Tischfußball -Set ist ohne Spieler zu sehen, die aus Lego -Blöcken hergestellt wurden.</v>
      </c>
    </row>
    <row r="22411">
      <c r="A22411" s="4" t="s">
        <v>28206</v>
      </c>
      <c r="B22411" s="4" t="s">
        <v>28208</v>
      </c>
      <c r="C22411" s="5" t="str">
        <f>IFERROR(__xludf.DUMMYFUNCTION("GOOGLETRANSLATE(B22411,""en"",""de"")"),"Ein Ball wird aus einem Gehäuse abgegeben.")</f>
        <v>Ein Ball wird aus einem Gehäuse abgegeben.</v>
      </c>
    </row>
    <row r="22412">
      <c r="A22412" s="4" t="s">
        <v>28206</v>
      </c>
      <c r="B22412" s="4" t="s">
        <v>28209</v>
      </c>
      <c r="C22412" s="5" t="str">
        <f>IFERROR(__xludf.DUMMYFUNCTION("GOOGLETRANSLATE(B22412,""en"",""de"")"),"Zwei Jungen spielen ein Tischfußballspiel.")</f>
        <v>Zwei Jungen spielen ein Tischfußballspiel.</v>
      </c>
    </row>
    <row r="22413">
      <c r="A22413" s="4" t="s">
        <v>28206</v>
      </c>
      <c r="B22413" s="4" t="s">
        <v>28210</v>
      </c>
      <c r="C22413" s="5" t="str">
        <f>IFERROR(__xludf.DUMMYFUNCTION("GOOGLETRANSLATE(B22413,""en"",""de"")"),"Ein Pflicht erzielt ein Tor und der Ball wird aus dem Slot abgerufen.")</f>
        <v>Ein Pflicht erzielt ein Tor und der Ball wird aus dem Slot abgerufen.</v>
      </c>
    </row>
    <row r="22414">
      <c r="A22414" s="4" t="s">
        <v>28206</v>
      </c>
      <c r="B22414" s="4" t="s">
        <v>28211</v>
      </c>
      <c r="C22414" s="5" t="str">
        <f>IFERROR(__xludf.DUMMYFUNCTION("GOOGLETRANSLATE(B22414,""en"",""de"")"),"Ein Ball fällt in eine quadratische Rutsche.")</f>
        <v>Ein Ball fällt in eine quadratische Rutsche.</v>
      </c>
    </row>
    <row r="22415">
      <c r="A22415" s="4" t="s">
        <v>28212</v>
      </c>
      <c r="B22415" s="4" t="s">
        <v>28213</v>
      </c>
      <c r="C22415" s="5" t="str">
        <f>IFERROR(__xludf.DUMMYFUNCTION("GOOGLETRANSLATE(B22415,""en"",""de"")"),"Eine Frau in Red übt, in den Sand zu springen, sie rennt ein wenig und springt wieder in den Sand.")</f>
        <v>Eine Frau in Red übt, in den Sand zu springen, sie rennt ein wenig und springt wieder in den Sand.</v>
      </c>
    </row>
    <row r="22416">
      <c r="A22416" s="4" t="s">
        <v>28212</v>
      </c>
      <c r="B22416" s="4" t="s">
        <v>28214</v>
      </c>
      <c r="C22416" s="5" t="str">
        <f>IFERROR(__xludf.DUMMYFUNCTION("GOOGLETRANSLATE(B22416,""en"",""de"")"),"Dann fängt sie an, von weiterem hinten zu versuchen, zu sprinten und in den Sand zu springen.")</f>
        <v>Dann fängt sie an, von weiterem hinten zu versuchen, zu sprinten und in den Sand zu springen.</v>
      </c>
    </row>
    <row r="22417">
      <c r="A22417" s="4" t="s">
        <v>28212</v>
      </c>
      <c r="B22417" s="4" t="s">
        <v>28215</v>
      </c>
      <c r="C22417" s="5" t="str">
        <f>IFERROR(__xludf.DUMMYFUNCTION("GOOGLETRANSLATE(B22417,""en"",""de"")"),"Sie beginnt als nächstes über kleine Bestände und dann kommt ein anderer Mann mit, um mit ihr zu üben.")</f>
        <v>Sie beginnt als nächstes über kleine Bestände und dann kommt ein anderer Mann mit, um mit ihr zu üben.</v>
      </c>
    </row>
    <row r="22418">
      <c r="A22418" s="4" t="s">
        <v>28212</v>
      </c>
      <c r="B22418" s="4" t="s">
        <v>28216</v>
      </c>
      <c r="C22418" s="5" t="str">
        <f>IFERROR(__xludf.DUMMYFUNCTION("GOOGLETRANSLATE(B22418,""en"",""de"")"),"Dann beginnt ein echtes Rennen und jeder rast mit.")</f>
        <v>Dann beginnt ein echtes Rennen und jeder rast mit.</v>
      </c>
    </row>
    <row r="22419">
      <c r="A22419" s="4" t="s">
        <v>28217</v>
      </c>
      <c r="B22419" s="4" t="s">
        <v>27016</v>
      </c>
      <c r="C22419" s="5" t="str">
        <f>IFERROR(__xludf.DUMMYFUNCTION("GOOGLETRANSLATE(B22419,""en"",""de"")"),"Menschen fahren Stoßstangenautos in einem Karneval.")</f>
        <v>Menschen fahren Stoßstangenautos in einem Karneval.</v>
      </c>
    </row>
    <row r="22420">
      <c r="A22420" s="4" t="s">
        <v>28217</v>
      </c>
      <c r="B22420" s="4" t="s">
        <v>28218</v>
      </c>
      <c r="C22420" s="5" t="str">
        <f>IFERROR(__xludf.DUMMYFUNCTION("GOOGLETRANSLATE(B22420,""en"",""de"")"),"Ein Teenager, der einen roten Tasse trägt, wird von anderen Autos getroffen.")</f>
        <v>Ein Teenager, der einen roten Tasse trägt, wird von anderen Autos getroffen.</v>
      </c>
    </row>
    <row r="22421">
      <c r="A22421" s="4" t="s">
        <v>28217</v>
      </c>
      <c r="B22421" s="4" t="s">
        <v>28219</v>
      </c>
      <c r="C22421" s="5" t="str">
        <f>IFERROR(__xludf.DUMMYFUNCTION("GOOGLETRANSLATE(B22421,""en"",""de"")"),"Die Leute drehen sich herum und reiten und stoßen dann weiter.")</f>
        <v>Die Leute drehen sich herum und reiten und stoßen dann weiter.</v>
      </c>
    </row>
    <row r="22422">
      <c r="A22422" s="4" t="s">
        <v>28217</v>
      </c>
      <c r="B22422" s="4" t="s">
        <v>28220</v>
      </c>
      <c r="C22422" s="5" t="str">
        <f>IFERROR(__xludf.DUMMYFUNCTION("GOOGLETRANSLATE(B22422,""en"",""de"")"),"Dann drehen sich die Leute, ohne zu schlagen und dann weiter zu fahren und Autos zu stoßen.")</f>
        <v>Dann drehen sich die Leute, ohne zu schlagen und dann weiter zu fahren und Autos zu stoßen.</v>
      </c>
    </row>
    <row r="22423">
      <c r="A22423" s="4" t="s">
        <v>28217</v>
      </c>
      <c r="B22423" s="4" t="s">
        <v>28221</v>
      </c>
      <c r="C22423" s="5" t="str">
        <f>IFERROR(__xludf.DUMMYFUNCTION("GOOGLETRANSLATE(B22423,""en"",""de"")"),"Ein Junge, der weißes Hemd trägt, dreht sich herum und wird von mehreren Autos getroffen.")</f>
        <v>Ein Junge, der weißes Hemd trägt, dreht sich herum und wird von mehreren Autos getroffen.</v>
      </c>
    </row>
    <row r="22424">
      <c r="A22424" s="4" t="s">
        <v>28222</v>
      </c>
      <c r="B22424" s="4" t="s">
        <v>22365</v>
      </c>
      <c r="C22424" s="5" t="str">
        <f>IFERROR(__xludf.DUMMYFUNCTION("GOOGLETRANSLATE(B22424,""en"",""de"")"),"Eine Einführung kommt auf den Bildschirm, um ein Video zum Skifahren zu erhalten.")</f>
        <v>Eine Einführung kommt auf den Bildschirm, um ein Video zum Skifahren zu erhalten.</v>
      </c>
    </row>
    <row r="22425">
      <c r="A22425" s="4" t="s">
        <v>28222</v>
      </c>
      <c r="B22425" s="4" t="s">
        <v>28223</v>
      </c>
      <c r="C22425" s="5" t="str">
        <f>IFERROR(__xludf.DUMMYFUNCTION("GOOGLETRANSLATE(B22425,""en"",""de"")"),"Ein Mann präsentiert die Videos mit den Themen, die er abdecken wird, sowie die Ausrüstung, die zum Skifahren benötigt wird.")</f>
        <v>Ein Mann präsentiert die Videos mit den Themen, die er abdecken wird, sowie die Ausrüstung, die zum Skifahren benötigt wird.</v>
      </c>
    </row>
    <row r="22426">
      <c r="A22426" s="4" t="s">
        <v>28222</v>
      </c>
      <c r="B22426" s="4" t="s">
        <v>28224</v>
      </c>
      <c r="C22426" s="5" t="str">
        <f>IFERROR(__xludf.DUMMYFUNCTION("GOOGLETRANSLATE(B22426,""en"",""de"")"),"Während des gesamten Videos werden mehrere Personen gezeigt, wie sie einige Schlüsselkonzepte der Ski -Lektion demonstrieren.")</f>
        <v>Während des gesamten Videos werden mehrere Personen gezeigt, wie sie einige Schlüsselkonzepte der Ski -Lektion demonstrieren.</v>
      </c>
    </row>
    <row r="22427">
      <c r="A22427" s="4" t="s">
        <v>28222</v>
      </c>
      <c r="B22427" s="4" t="s">
        <v>28225</v>
      </c>
      <c r="C22427" s="5" t="str">
        <f>IFERROR(__xludf.DUMMYFUNCTION("GOOGLETRANSLATE(B22427,""en"",""de"")"),"Das Video endet mit den Schlusskrediten für das Segment.")</f>
        <v>Das Video endet mit den Schlusskrediten für das Segment.</v>
      </c>
    </row>
    <row r="22428">
      <c r="A22428" s="4" t="s">
        <v>28226</v>
      </c>
      <c r="B22428" s="4" t="s">
        <v>28227</v>
      </c>
      <c r="C22428" s="5" t="str">
        <f>IFERROR(__xludf.DUMMYFUNCTION("GOOGLETRANSLATE(B22428,""en"",""de"")"),"Eine Frau hält eine Pose auf einer Bühne und führt in einen anderen Mann, der auf der Bühne geht.")</f>
        <v>Eine Frau hält eine Pose auf einer Bühne und führt in einen anderen Mann, der auf der Bühne geht.</v>
      </c>
    </row>
    <row r="22429">
      <c r="A22429" s="4" t="s">
        <v>28226</v>
      </c>
      <c r="B22429" s="4" t="s">
        <v>28228</v>
      </c>
      <c r="C22429" s="5" t="str">
        <f>IFERROR(__xludf.DUMMYFUNCTION("GOOGLETRANSLATE(B22429,""en"",""de"")"),"Der Mann und die Frau führen dann zusammen eine Tanzroutine auf der Bühne durch, während sie sich gegenseitig ansehen.")</f>
        <v>Der Mann und die Frau führen dann zusammen eine Tanzroutine auf der Bühne durch, während sie sich gegenseitig ansehen.</v>
      </c>
    </row>
    <row r="22430">
      <c r="A22430" s="4" t="s">
        <v>28226</v>
      </c>
      <c r="B22430" s="4" t="s">
        <v>28229</v>
      </c>
      <c r="C22430" s="5" t="str">
        <f>IFERROR(__xludf.DUMMYFUNCTION("GOOGLETRANSLATE(B22430,""en"",""de"")"),"Die beiden tanzen weiter und enden mit einem Bogen und dem Publikum applaudieren.")</f>
        <v>Die beiden tanzen weiter und enden mit einem Bogen und dem Publikum applaudieren.</v>
      </c>
    </row>
    <row r="22431">
      <c r="A22431" s="4" t="s">
        <v>28230</v>
      </c>
      <c r="B22431" s="4" t="s">
        <v>28231</v>
      </c>
      <c r="C22431" s="5" t="str">
        <f>IFERROR(__xludf.DUMMYFUNCTION("GOOGLETRANSLATE(B22431,""en"",""de"")"),"Es wird eine Nahaufnahme eines Dart -Boards gesehen, das zu Darts führt, die erscheint.")</f>
        <v>Es wird eine Nahaufnahme eines Dart -Boards gesehen, das zu Darts führt, die erscheint.</v>
      </c>
    </row>
    <row r="22432">
      <c r="A22432" s="4" t="s">
        <v>28230</v>
      </c>
      <c r="B22432" s="4" t="s">
        <v>28232</v>
      </c>
      <c r="C22432" s="5" t="str">
        <f>IFERROR(__xludf.DUMMYFUNCTION("GOOGLETRANSLATE(B22432,""en"",""de"")"),"Die Hand einer Person nimmt die Darts ab und es werden mehr Pfeile auf das Board schlagen.")</f>
        <v>Die Hand einer Person nimmt die Darts ab und es werden mehr Pfeile auf das Board schlagen.</v>
      </c>
    </row>
    <row r="22433">
      <c r="A22433" s="4" t="s">
        <v>28230</v>
      </c>
      <c r="B22433" s="4" t="s">
        <v>28233</v>
      </c>
      <c r="C22433" s="5" t="str">
        <f>IFERROR(__xludf.DUMMYFUNCTION("GOOGLETRANSLATE(B22433,""en"",""de"")"),"Dies geschieht noch mehrmals, während die Kamera ihre Bewegungen erfasst.")</f>
        <v>Dies geschieht noch mehrmals, während die Kamera ihre Bewegungen erfasst.</v>
      </c>
    </row>
    <row r="22434">
      <c r="A22434" s="4" t="s">
        <v>28234</v>
      </c>
      <c r="B22434" s="4" t="s">
        <v>28235</v>
      </c>
      <c r="C22434" s="5" t="str">
        <f>IFERROR(__xludf.DUMMYFUNCTION("GOOGLETRANSLATE(B22434,""en"",""de"")"),"Es gibt zwei Männer, die Foos Ball mit zwei Jungen in einem Wohnzimmer spielen.")</f>
        <v>Es gibt zwei Männer, die Foos Ball mit zwei Jungen in einem Wohnzimmer spielen.</v>
      </c>
    </row>
    <row r="22435">
      <c r="A22435" s="4" t="s">
        <v>28234</v>
      </c>
      <c r="B22435" s="4" t="s">
        <v>28236</v>
      </c>
      <c r="C22435" s="5" t="str">
        <f>IFERROR(__xludf.DUMMYFUNCTION("GOOGLETRANSLATE(B22435,""en"",""de"")"),"Es gibt einen großen dekorierten Weihnachtsbaum dahinter.")</f>
        <v>Es gibt einen großen dekorierten Weihnachtsbaum dahinter.</v>
      </c>
    </row>
    <row r="22436">
      <c r="A22436" s="4" t="s">
        <v>28234</v>
      </c>
      <c r="B22436" s="4" t="s">
        <v>28237</v>
      </c>
      <c r="C22436" s="5" t="str">
        <f>IFERROR(__xludf.DUMMYFUNCTION("GOOGLETRANSLATE(B22436,""en"",""de"")"),"Mit einem kleinen Mädchen sitzt eine Frau im Wohnzimmer.")</f>
        <v>Mit einem kleinen Mädchen sitzt eine Frau im Wohnzimmer.</v>
      </c>
    </row>
    <row r="22437">
      <c r="A22437" s="4" t="s">
        <v>28234</v>
      </c>
      <c r="B22437" s="4" t="s">
        <v>28238</v>
      </c>
      <c r="C22437" s="5" t="str">
        <f>IFERROR(__xludf.DUMMYFUNCTION("GOOGLETRANSLATE(B22437,""en"",""de"")"),"Die Jungen spielen mit den Männern Foos Ball.")</f>
        <v>Die Jungen spielen mit den Männern Foos Ball.</v>
      </c>
    </row>
    <row r="22438">
      <c r="A22438" s="4" t="s">
        <v>28234</v>
      </c>
      <c r="B22438" s="4" t="s">
        <v>28239</v>
      </c>
      <c r="C22438" s="5" t="str">
        <f>IFERROR(__xludf.DUMMYFUNCTION("GOOGLETRANSLATE(B22438,""en"",""de"")"),"Sie lachen und amüsieren sich, während sie weiter spielen.")</f>
        <v>Sie lachen und amüsieren sich, während sie weiter spielen.</v>
      </c>
    </row>
    <row r="22439">
      <c r="A22439" s="4" t="s">
        <v>28240</v>
      </c>
      <c r="B22439" s="4" t="s">
        <v>28241</v>
      </c>
      <c r="C22439" s="5" t="str">
        <f>IFERROR(__xludf.DUMMYFUNCTION("GOOGLETRANSLATE(B22439,""en"",""de"")"),"Eine große Arena ist zu sehen, bei der eine Person vorbeikommt und auf die Kamera zeigt.")</f>
        <v>Eine große Arena ist zu sehen, bei der eine Person vorbeikommt und auf die Kamera zeigt.</v>
      </c>
    </row>
    <row r="22440">
      <c r="A22440" s="4" t="s">
        <v>28240</v>
      </c>
      <c r="B22440" s="4" t="s">
        <v>28242</v>
      </c>
      <c r="C22440" s="5" t="str">
        <f>IFERROR(__xludf.DUMMYFUNCTION("GOOGLETRANSLATE(B22440,""en"",""de"")"),"Es werden mehrere Schüsse von dem Athleten gezeigt, das Fußball spielt, und führt zu ihm im Stehen.")</f>
        <v>Es werden mehrere Schüsse von dem Athleten gezeigt, das Fußball spielt, und führt zu ihm im Stehen.</v>
      </c>
    </row>
    <row r="22441">
      <c r="A22441" s="4" t="s">
        <v>28240</v>
      </c>
      <c r="B22441" s="4" t="s">
        <v>28243</v>
      </c>
      <c r="C22441" s="5" t="str">
        <f>IFERROR(__xludf.DUMMYFUNCTION("GOOGLETRANSLATE(B22441,""en"",""de"")"),"Der Mann rennt dann das Feld hinunter und springt in eine Sandgrube und sein Sprung wird wieder gezeigt.")</f>
        <v>Der Mann rennt dann das Feld hinunter und springt in eine Sandgrube und sein Sprung wird wieder gezeigt.</v>
      </c>
    </row>
    <row r="22442">
      <c r="A22442" s="4" t="s">
        <v>28244</v>
      </c>
      <c r="B22442" s="4" t="s">
        <v>28245</v>
      </c>
      <c r="C22442" s="5" t="str">
        <f>IFERROR(__xludf.DUMMYFUNCTION("GOOGLETRANSLATE(B22442,""en"",""de"")"),"Ein Mann hält ein scharfes Messer in den Händen, während die Kamera zoomt und der Mann auf zwei Kisten zeigt.")</f>
        <v>Ein Mann hält ein scharfes Messer in den Händen, während die Kamera zoomt und der Mann auf zwei Kisten zeigt.</v>
      </c>
    </row>
    <row r="22443">
      <c r="A22443" s="4" t="s">
        <v>28244</v>
      </c>
      <c r="B22443" s="4" t="s">
        <v>28246</v>
      </c>
      <c r="C22443" s="5" t="str">
        <f>IFERROR(__xludf.DUMMYFUNCTION("GOOGLETRANSLATE(B22443,""en"",""de"")"),"Dann gleitet er das Messer entlang der Kisten und zeigt das geschärfte Messer der Kamera.")</f>
        <v>Dann gleitet er das Messer entlang der Kisten und zeigt das geschärfte Messer der Kamera.</v>
      </c>
    </row>
    <row r="22444">
      <c r="A22444" s="4" t="s">
        <v>28244</v>
      </c>
      <c r="B22444" s="4" t="s">
        <v>28247</v>
      </c>
      <c r="C22444" s="5" t="str">
        <f>IFERROR(__xludf.DUMMYFUNCTION("GOOGLETRANSLATE(B22444,""en"",""de"")"),"Er endet, indem er das Messer hält und zur Kamera lächelt.")</f>
        <v>Er endet, indem er das Messer hält und zur Kamera lächelt.</v>
      </c>
    </row>
    <row r="22445">
      <c r="A22445" s="4" t="s">
        <v>28248</v>
      </c>
      <c r="B22445" s="4" t="s">
        <v>28249</v>
      </c>
      <c r="C22445" s="5" t="str">
        <f>IFERROR(__xludf.DUMMYFUNCTION("GOOGLETRANSLATE(B22445,""en"",""de"")"),"Ein Mann wird gesehen, der in die Ferne schaut und führt in ihn, der mit der Kamera spricht.")</f>
        <v>Ein Mann wird gesehen, der in die Ferne schaut und führt in ihn, der mit der Kamera spricht.</v>
      </c>
    </row>
    <row r="22446">
      <c r="A22446" s="4" t="s">
        <v>28248</v>
      </c>
      <c r="B22446" s="4" t="s">
        <v>28250</v>
      </c>
      <c r="C22446" s="5" t="str">
        <f>IFERROR(__xludf.DUMMYFUNCTION("GOOGLETRANSLATE(B22446,""en"",""de"")"),"Der Mann spricht weiterhin mit der Kamera und geht dann hinter ein Set von Trommeln.")</f>
        <v>Der Mann spricht weiterhin mit der Kamera und geht dann hinter ein Set von Trommeln.</v>
      </c>
    </row>
    <row r="22447">
      <c r="A22447" s="4" t="s">
        <v>28248</v>
      </c>
      <c r="B22447" s="4" t="s">
        <v>28251</v>
      </c>
      <c r="C22447" s="5" t="str">
        <f>IFERROR(__xludf.DUMMYFUNCTION("GOOGLETRANSLATE(B22447,""en"",""de"")"),"Der Mann spielt kontinuierlich das Schlagzeug und endet, indem er mit der Kamera spricht.")</f>
        <v>Der Mann spielt kontinuierlich das Schlagzeug und endet, indem er mit der Kamera spricht.</v>
      </c>
    </row>
    <row r="22448">
      <c r="A22448" s="4" t="s">
        <v>28252</v>
      </c>
      <c r="B22448" s="4" t="s">
        <v>28253</v>
      </c>
      <c r="C22448" s="5" t="str">
        <f>IFERROR(__xludf.DUMMYFUNCTION("GOOGLETRANSLATE(B22448,""en"",""de"")"),"Ein junges Mädchen wird gezeigt, wie er auf einem Schaukeln zurück und viertes schwingt und in die Kamera lächelt.")</f>
        <v>Ein junges Mädchen wird gezeigt, wie er auf einem Schaukeln zurück und viertes schwingt und in die Kamera lächelt.</v>
      </c>
    </row>
    <row r="22449">
      <c r="A22449" s="4" t="s">
        <v>28252</v>
      </c>
      <c r="B22449" s="4" t="s">
        <v>28254</v>
      </c>
      <c r="C22449" s="5" t="str">
        <f>IFERROR(__xludf.DUMMYFUNCTION("GOOGLETRANSLATE(B22449,""en"",""de"")"),"Sie geht weiter zurück und viertens, während die Kamera sie fängt, die Kamera zu schreien.")</f>
        <v>Sie geht weiter zurück und viertens, während die Kamera sie fängt, die Kamera zu schreien.</v>
      </c>
    </row>
    <row r="22450">
      <c r="A22450" s="4" t="s">
        <v>28255</v>
      </c>
      <c r="B22450" s="4" t="s">
        <v>28256</v>
      </c>
      <c r="C22450" s="5" t="str">
        <f>IFERROR(__xludf.DUMMYFUNCTION("GOOGLETRANSLATE(B22450,""en"",""de"")"),"Eine Person in Scheiben und gemahlenen Knoblauch und hackte Parsley.")</f>
        <v>Eine Person in Scheiben und gemahlenen Knoblauch und hackte Parsley.</v>
      </c>
    </row>
    <row r="22451">
      <c r="A22451" s="4" t="s">
        <v>28255</v>
      </c>
      <c r="B22451" s="4" t="s">
        <v>28257</v>
      </c>
      <c r="C22451" s="5" t="str">
        <f>IFERROR(__xludf.DUMMYFUNCTION("GOOGLETRANSLATE(B22451,""en"",""de"")"),"Dann fügt die Person den Knoblauch im heißen Öl in einer Pfanne hinzu.")</f>
        <v>Dann fügt die Person den Knoblauch im heißen Öl in einer Pfanne hinzu.</v>
      </c>
    </row>
    <row r="22452">
      <c r="A22452" s="4" t="s">
        <v>28255</v>
      </c>
      <c r="B22452" s="4" t="s">
        <v>28258</v>
      </c>
      <c r="C22452" s="5" t="str">
        <f>IFERROR(__xludf.DUMMYFUNCTION("GOOGLETRANSLATE(B22452,""en"",""de"")"),"Die Person kocht und entleert die Nudeln, steckt dann die Nudeln in den Topf und fügt Hühnerbrühe, den gekochten Knoblauch, Petersilie, Salz, Pfeffer und Käse hinzu.")</f>
        <v>Die Person kocht und entleert die Nudeln, steckt dann die Nudeln in den Topf und fügt Hühnerbrühe, den gekochten Knoblauch, Petersilie, Salz, Pfeffer und Käse hinzu.</v>
      </c>
    </row>
    <row r="22453">
      <c r="A22453" s="4" t="s">
        <v>28255</v>
      </c>
      <c r="B22453" s="4" t="s">
        <v>28259</v>
      </c>
      <c r="C22453" s="5" t="str">
        <f>IFERROR(__xludf.DUMMYFUNCTION("GOOGLETRANSLATE(B22453,""en"",""de"")"),"Als nächstes macht die Person gebratenes Hühnchen und serviert dann die Nudeln mit dem Huhn.")</f>
        <v>Als nächstes macht die Person gebratenes Hühnchen und serviert dann die Nudeln mit dem Huhn.</v>
      </c>
    </row>
    <row r="22454">
      <c r="A22454" s="4" t="s">
        <v>28260</v>
      </c>
      <c r="B22454" s="4" t="s">
        <v>28261</v>
      </c>
      <c r="C22454" s="5" t="str">
        <f>IFERROR(__xludf.DUMMYFUNCTION("GOOGLETRANSLATE(B22454,""en"",""de"")"),"Verschiedene Menschen genießen es, zusammen eine Tasse Tee zu trinken.")</f>
        <v>Verschiedene Menschen genießen es, zusammen eine Tasse Tee zu trinken.</v>
      </c>
    </row>
    <row r="22455">
      <c r="A22455" s="4" t="s">
        <v>28260</v>
      </c>
      <c r="B22455" s="4" t="s">
        <v>28262</v>
      </c>
      <c r="C22455" s="5" t="str">
        <f>IFERROR(__xludf.DUMMYFUNCTION("GOOGLETRANSLATE(B22455,""en"",""de"")"),"Eine Frau mischt den Halten einer gefetteten Pfanne und fügt dann eine gelbe Butter in eine Schüssel hinzu.")</f>
        <v>Eine Frau mischt den Halten einer gefetteten Pfanne und fügt dann eine gelbe Butter in eine Schüssel hinzu.</v>
      </c>
    </row>
    <row r="22456">
      <c r="A22456" s="4" t="s">
        <v>28260</v>
      </c>
      <c r="B22456" s="4" t="s">
        <v>28263</v>
      </c>
      <c r="C22456" s="5" t="str">
        <f>IFERROR(__xludf.DUMMYFUNCTION("GOOGLETRANSLATE(B22456,""en"",""de"")"),"Mehl wird in die Schüssel hinzugefügt und alles wird miteinander vermischt.")</f>
        <v>Mehl wird in die Schüssel hinzugefügt und alles wird miteinander vermischt.</v>
      </c>
    </row>
    <row r="22457">
      <c r="A22457" s="4" t="s">
        <v>28260</v>
      </c>
      <c r="B22457" s="4" t="s">
        <v>28264</v>
      </c>
      <c r="C22457" s="5" t="str">
        <f>IFERROR(__xludf.DUMMYFUNCTION("GOOGLETRANSLATE(B22457,""en"",""de"")"),"Eier werden der Mischung hinzugefügt und mit einem Mixer eingemischt.")</f>
        <v>Eier werden der Mischung hinzugefügt und mit einem Mixer eingemischt.</v>
      </c>
    </row>
    <row r="22458">
      <c r="A22458" s="4" t="s">
        <v>28260</v>
      </c>
      <c r="B22458" s="4" t="s">
        <v>28265</v>
      </c>
      <c r="C22458" s="5" t="str">
        <f>IFERROR(__xludf.DUMMYFUNCTION("GOOGLETRANSLATE(B22458,""en"",""de"")"),"Die Frau fügt der Schüssel einen flüssigen Extrakt sowie zusätzliches Mehl pulverisiert.")</f>
        <v>Die Frau fügt der Schüssel einen flüssigen Extrakt sowie zusätzliches Mehl pulverisiert.</v>
      </c>
    </row>
    <row r="22459">
      <c r="A22459" s="4" t="s">
        <v>28260</v>
      </c>
      <c r="B22459" s="4" t="s">
        <v>28266</v>
      </c>
      <c r="C22459" s="5" t="str">
        <f>IFERROR(__xludf.DUMMYFUNCTION("GOOGLETRANSLATE(B22459,""en"",""de"")"),"Die Frau fügt der Mischung gewürzte Früchte hinzu und rührt sie mit einem Spatel.")</f>
        <v>Die Frau fügt der Mischung gewürzte Früchte hinzu und rührt sie mit einem Spatel.</v>
      </c>
    </row>
    <row r="22460">
      <c r="A22460" s="4" t="s">
        <v>28260</v>
      </c>
      <c r="B22460" s="4" t="s">
        <v>28267</v>
      </c>
      <c r="C22460" s="5" t="str">
        <f>IFERROR(__xludf.DUMMYFUNCTION("GOOGLETRANSLATE(B22460,""en"",""de"")"),"Der Wirt gießt die Zutaten in eine Pfanne und kocht sie in einem Ofen.")</f>
        <v>Der Wirt gießt die Zutaten in eine Pfanne und kocht sie in einem Ofen.</v>
      </c>
    </row>
    <row r="22461">
      <c r="A22461" s="4" t="s">
        <v>28260</v>
      </c>
      <c r="B22461" s="4" t="s">
        <v>28268</v>
      </c>
      <c r="C22461" s="5" t="str">
        <f>IFERROR(__xludf.DUMMYFUNCTION("GOOGLETRANSLATE(B22461,""en"",""de"")"),"Die Frauen genießen zusammen einen Bissen des Gerichts.")</f>
        <v>Die Frauen genießen zusammen einen Bissen des Gerichts.</v>
      </c>
    </row>
    <row r="22462">
      <c r="A22462" s="4" t="s">
        <v>28260</v>
      </c>
      <c r="B22462" s="4" t="s">
        <v>28269</v>
      </c>
      <c r="C22462" s="5" t="str">
        <f>IFERROR(__xludf.DUMMYFUNCTION("GOOGLETRANSLATE(B22462,""en"",""de"")"),"Der Gastgeber gießt eine Tasse Tee zum Genießen.")</f>
        <v>Der Gastgeber gießt eine Tasse Tee zum Genießen.</v>
      </c>
    </row>
    <row r="22463">
      <c r="A22463" s="4" t="s">
        <v>28270</v>
      </c>
      <c r="B22463" s="4" t="s">
        <v>28271</v>
      </c>
      <c r="C22463" s="5" t="str">
        <f>IFERROR(__xludf.DUMMYFUNCTION("GOOGLETRANSLATE(B22463,""en"",""de"")"),"Eine Frau reibt sich sehr gut an der Hand.")</f>
        <v>Eine Frau reibt sich sehr gut an der Hand.</v>
      </c>
    </row>
    <row r="22464">
      <c r="A22464" s="4" t="s">
        <v>28270</v>
      </c>
      <c r="B22464" s="4" t="s">
        <v>28272</v>
      </c>
      <c r="C22464" s="5" t="str">
        <f>IFERROR(__xludf.DUMMYFUNCTION("GOOGLETRANSLATE(B22464,""en"",""de"")"),"Dann spügt die Frau ihre Hände mit Wasser aus.")</f>
        <v>Dann spügt die Frau ihre Hände mit Wasser aus.</v>
      </c>
    </row>
    <row r="22465">
      <c r="A22465" s="4" t="s">
        <v>28273</v>
      </c>
      <c r="B22465" s="4" t="s">
        <v>28274</v>
      </c>
      <c r="C22465" s="5" t="str">
        <f>IFERROR(__xludf.DUMMYFUNCTION("GOOGLETRANSLATE(B22465,""en"",""de"")"),"Die Leute spielen Hockey auf einer Eisbahn.")</f>
        <v>Die Leute spielen Hockey auf einer Eisbahn.</v>
      </c>
    </row>
    <row r="22466">
      <c r="A22466" s="4" t="s">
        <v>28273</v>
      </c>
      <c r="B22466" s="4" t="s">
        <v>28275</v>
      </c>
      <c r="C22466" s="5" t="str">
        <f>IFERROR(__xludf.DUMMYFUNCTION("GOOGLETRANSLATE(B22466,""en"",""de"")"),"Ein Schiedsrichter schlägt zu den Menschen.")</f>
        <v>Ein Schiedsrichter schlägt zu den Menschen.</v>
      </c>
    </row>
    <row r="22467">
      <c r="A22467" s="4" t="s">
        <v>28273</v>
      </c>
      <c r="B22467" s="4" t="s">
        <v>28276</v>
      </c>
      <c r="C22467" s="5" t="str">
        <f>IFERROR(__xludf.DUMMYFUNCTION("GOOGLETRANSLATE(B22467,""en"",""de"")"),"Sie spielen weiterhin das Hockeyspiel.")</f>
        <v>Sie spielen weiterhin das Hockeyspiel.</v>
      </c>
    </row>
    <row r="22468">
      <c r="A22468" s="4" t="s">
        <v>28277</v>
      </c>
      <c r="B22468" s="4" t="s">
        <v>28278</v>
      </c>
      <c r="C22468" s="5" t="str">
        <f>IFERROR(__xludf.DUMMYFUNCTION("GOOGLETRANSLATE(B22468,""en"",""de"")"),"Zwei Jungen sind im Hof ​​und spielen Ball.")</f>
        <v>Zwei Jungen sind im Hof ​​und spielen Ball.</v>
      </c>
    </row>
    <row r="22469">
      <c r="A22469" s="4" t="s">
        <v>28277</v>
      </c>
      <c r="B22469" s="4" t="s">
        <v>28279</v>
      </c>
      <c r="C22469" s="5" t="str">
        <f>IFERROR(__xludf.DUMMYFUNCTION("GOOGLETRANSLATE(B22469,""en"",""de"")"),"Einer steht vor dem Netz und geht mit Lacrosse -Stöcken zum anderen.")</f>
        <v>Einer steht vor dem Netz und geht mit Lacrosse -Stöcken zum anderen.</v>
      </c>
    </row>
    <row r="22470">
      <c r="A22470" s="4" t="s">
        <v>28277</v>
      </c>
      <c r="B22470" s="4" t="s">
        <v>28280</v>
      </c>
      <c r="C22470" s="5" t="str">
        <f>IFERROR(__xludf.DUMMYFUNCTION("GOOGLETRANSLATE(B22470,""en"",""de"")"),"Die Jungen passieren weiterhin das Ballbad und das vierte zueinander.")</f>
        <v>Die Jungen passieren weiterhin das Ballbad und das vierte zueinander.</v>
      </c>
    </row>
    <row r="22471">
      <c r="A22471" s="4" t="s">
        <v>28277</v>
      </c>
      <c r="B22471" s="4" t="s">
        <v>28281</v>
      </c>
      <c r="C22471" s="5" t="str">
        <f>IFERROR(__xludf.DUMMYFUNCTION("GOOGLETRANSLATE(B22471,""en"",""de"")"),"Ein Junge wirft den Ball auf die Straße, während der andere danach läuft.")</f>
        <v>Ein Junge wirft den Ball auf die Straße, während der andere danach läuft.</v>
      </c>
    </row>
    <row r="22472">
      <c r="A22472" s="4" t="s">
        <v>28277</v>
      </c>
      <c r="B22472" s="4" t="s">
        <v>28282</v>
      </c>
      <c r="C22472" s="5" t="str">
        <f>IFERROR(__xludf.DUMMYFUNCTION("GOOGLETRANSLATE(B22472,""en"",""de"")"),"Ein anderer Junge kommt mit einer Perücke herein und die Jungen fangen an, sich gegenseitig zu ringen.")</f>
        <v>Ein anderer Junge kommt mit einer Perücke herein und die Jungen fangen an, sich gegenseitig zu ringen.</v>
      </c>
    </row>
    <row r="22473">
      <c r="A22473" s="4" t="s">
        <v>28277</v>
      </c>
      <c r="B22473" s="4" t="s">
        <v>28283</v>
      </c>
      <c r="C22473" s="5" t="str">
        <f>IFERROR(__xludf.DUMMYFUNCTION("GOOGLETRANSLATE(B22473,""en"",""de"")"),"Die Jungs tun dann so, als ob der Junge mit der Perücke geschlagen hat.")</f>
        <v>Die Jungs tun dann so, als ob der Junge mit der Perücke geschlagen hat.</v>
      </c>
    </row>
    <row r="22474">
      <c r="A22474" s="4" t="s">
        <v>28277</v>
      </c>
      <c r="B22474" s="4" t="s">
        <v>28284</v>
      </c>
      <c r="C22474" s="5" t="str">
        <f>IFERROR(__xludf.DUMMYFUNCTION("GOOGLETRANSLATE(B22474,""en"",""de"")"),"Die Jungen ringen sich weiter gegenseitig, während sie sich die Objekte greifen und weglaufen.")</f>
        <v>Die Jungen ringen sich weiter gegenseitig, während sie sich die Objekte greifen und weglaufen.</v>
      </c>
    </row>
    <row r="22475">
      <c r="A22475" s="4" t="s">
        <v>28285</v>
      </c>
      <c r="B22475" s="4" t="s">
        <v>28286</v>
      </c>
      <c r="C22475" s="5" t="str">
        <f>IFERROR(__xludf.DUMMYFUNCTION("GOOGLETRANSLATE(B22475,""en"",""de"")"),"Die Leute fahren mit Fahrrädern um einen Dirt Trail.")</f>
        <v>Die Leute fahren mit Fahrrädern um einen Dirt Trail.</v>
      </c>
    </row>
    <row r="22476">
      <c r="A22476" s="4" t="s">
        <v>28285</v>
      </c>
      <c r="B22476" s="4" t="s">
        <v>28287</v>
      </c>
      <c r="C22476" s="5" t="str">
        <f>IFERROR(__xludf.DUMMYFUNCTION("GOOGLETRANSLATE(B22476,""en"",""de"")"),"Sie gehen mehrmals über einen Hügel.")</f>
        <v>Sie gehen mehrmals über einen Hügel.</v>
      </c>
    </row>
    <row r="22477">
      <c r="A22477" s="4" t="s">
        <v>28285</v>
      </c>
      <c r="B22477" s="4" t="s">
        <v>28288</v>
      </c>
      <c r="C22477" s="5" t="str">
        <f>IFERROR(__xludf.DUMMYFUNCTION("GOOGLETRANSLATE(B22477,""en"",""de"")"),"Der Junge trägt einen Helm.")</f>
        <v>Der Junge trägt einen Helm.</v>
      </c>
    </row>
    <row r="22478">
      <c r="A22478" s="4" t="s">
        <v>28289</v>
      </c>
      <c r="B22478" s="4" t="s">
        <v>28290</v>
      </c>
      <c r="C22478" s="5" t="str">
        <f>IFERROR(__xludf.DUMMYFUNCTION("GOOGLETRANSLATE(B22478,""en"",""de"")"),"Eine Person schweißt ein kleines quadratisches Metallobjekt.")</f>
        <v>Eine Person schweißt ein kleines quadratisches Metallobjekt.</v>
      </c>
    </row>
    <row r="22479">
      <c r="A22479" s="4" t="s">
        <v>28289</v>
      </c>
      <c r="B22479" s="4" t="s">
        <v>28291</v>
      </c>
      <c r="C22479" s="5" t="str">
        <f>IFERROR(__xludf.DUMMYFUNCTION("GOOGLETRANSLATE(B22479,""en"",""de"")"),"Eine Flamme verlässt ein Röhrchen und ein Licht funkelt die Schweißmaschine.")</f>
        <v>Eine Flamme verlässt ein Röhrchen und ein Licht funkelt die Schweißmaschine.</v>
      </c>
    </row>
    <row r="22480">
      <c r="A22480" s="4" t="s">
        <v>28289</v>
      </c>
      <c r="B22480" s="4" t="s">
        <v>28292</v>
      </c>
      <c r="C22480" s="5" t="str">
        <f>IFERROR(__xludf.DUMMYFUNCTION("GOOGLETRANSLATE(B22480,""en"",""de"")"),"Zwei Männer schweißen zu großen Zylindern.")</f>
        <v>Zwei Männer schweißen zu großen Zylindern.</v>
      </c>
    </row>
    <row r="22481">
      <c r="A22481" s="4" t="s">
        <v>28293</v>
      </c>
      <c r="B22481" s="4" t="s">
        <v>28294</v>
      </c>
      <c r="C22481" s="5" t="str">
        <f>IFERROR(__xludf.DUMMYFUNCTION("GOOGLETRANSLATE(B22481,""en"",""de"")"),"Ein Mann entfernt Schnee auf einem Auto mit einer Schneebruchs.")</f>
        <v>Ein Mann entfernt Schnee auf einem Auto mit einer Schneebruchs.</v>
      </c>
    </row>
    <row r="22482">
      <c r="A22482" s="4" t="s">
        <v>28293</v>
      </c>
      <c r="B22482" s="4" t="s">
        <v>28295</v>
      </c>
      <c r="C22482" s="5" t="str">
        <f>IFERROR(__xludf.DUMMYFUNCTION("GOOGLETRANSLATE(B22482,""en"",""de"")"),"Dann schreibt der Mann über den Schnee, der das Fenster eines Autos bedeckt, und eine Frau, die Winterkleidung trägt.")</f>
        <v>Dann schreibt der Mann über den Schnee, der das Fenster eines Autos bedeckt, und eine Frau, die Winterkleidung trägt.</v>
      </c>
    </row>
    <row r="22483">
      <c r="A22483" s="4" t="s">
        <v>28293</v>
      </c>
      <c r="B22483" s="4" t="s">
        <v>28296</v>
      </c>
      <c r="C22483" s="5" t="str">
        <f>IFERROR(__xludf.DUMMYFUNCTION("GOOGLETRANSLATE(B22483,""en"",""de"")"),"Dann entfernt der Mann den Schnee auf seinem Auto weiter.")</f>
        <v>Dann entfernt der Mann den Schnee auf seinem Auto weiter.</v>
      </c>
    </row>
    <row r="22484">
      <c r="A22484" s="4" t="s">
        <v>28297</v>
      </c>
      <c r="B22484" s="4" t="s">
        <v>28298</v>
      </c>
      <c r="C22484" s="5" t="str">
        <f>IFERROR(__xludf.DUMMYFUNCTION("GOOGLETRANSLATE(B22484,""en"",""de"")"),"Ein Mann im Badeanzug und seine Frau schwebt einen Fluss auf Gezeiten.")</f>
        <v>Ein Mann im Badeanzug und seine Frau schwebt einen Fluss auf Gezeiten.</v>
      </c>
    </row>
    <row r="22485">
      <c r="A22485" s="4" t="s">
        <v>28297</v>
      </c>
      <c r="B22485" s="4" t="s">
        <v>28299</v>
      </c>
      <c r="C22485" s="5" t="str">
        <f>IFERROR(__xludf.DUMMYFUNCTION("GOOGLETRANSLATE(B22485,""en"",""de"")"),"Der Mann fällt von seinem Gespräch und geht zum Wasserrand.")</f>
        <v>Der Mann fällt von seinem Gespräch und geht zum Wasserrand.</v>
      </c>
    </row>
    <row r="22486">
      <c r="A22486" s="4" t="s">
        <v>28297</v>
      </c>
      <c r="B22486" s="4" t="s">
        <v>28300</v>
      </c>
      <c r="C22486" s="5" t="str">
        <f>IFERROR(__xludf.DUMMYFUNCTION("GOOGLETRANSLATE(B22486,""en"",""de"")"),"Der Mann, der jetzt eine Schwimmweste trägt, schwebt seine Frau mitten in einer großen Gruppe einen Fluss hinunter.")</f>
        <v>Der Mann, der jetzt eine Schwimmweste trägt, schwebt seine Frau mitten in einer großen Gruppe einen Fluss hinunter.</v>
      </c>
    </row>
    <row r="22487">
      <c r="A22487" s="4" t="s">
        <v>28297</v>
      </c>
      <c r="B22487" s="4" t="s">
        <v>28301</v>
      </c>
      <c r="C22487" s="5" t="str">
        <f>IFERROR(__xludf.DUMMYFUNCTION("GOOGLETRANSLATE(B22487,""en"",""de"")"),"Eine Gruppe von hinten schwimmt neben dem Mann und der Frau, während sie sich in der Nähe der Seite des Flusses langsamer verlangsamen.")</f>
        <v>Eine Gruppe von hinten schwimmt neben dem Mann und der Frau, während sie sich in der Nähe der Seite des Flusses langsamer verlangsamen.</v>
      </c>
    </row>
    <row r="22488">
      <c r="A22488" s="4" t="s">
        <v>28302</v>
      </c>
      <c r="B22488" s="4" t="s">
        <v>28303</v>
      </c>
      <c r="C22488" s="5" t="str">
        <f>IFERROR(__xludf.DUMMYFUNCTION("GOOGLETRANSLATE(B22488,""en"",""de"")"),"Eine Frau schneidet die Enden von einer Süßkartoffel auf einem Schneidebrett mit einem Messer.")</f>
        <v>Eine Frau schneidet die Enden von einer Süßkartoffel auf einem Schneidebrett mit einem Messer.</v>
      </c>
    </row>
    <row r="22489">
      <c r="A22489" s="4" t="s">
        <v>28302</v>
      </c>
      <c r="B22489" s="4" t="s">
        <v>28304</v>
      </c>
      <c r="C22489" s="5" t="str">
        <f>IFERROR(__xludf.DUMMYFUNCTION("GOOGLETRANSLATE(B22489,""en"",""de"")"),"Die Frau benutzt ein Schälwerkzeug, um eine Süßkartoffel über dem Schneidebrett zu häuten.")</f>
        <v>Die Frau benutzt ein Schälwerkzeug, um eine Süßkartoffel über dem Schneidebrett zu häuten.</v>
      </c>
    </row>
    <row r="22490">
      <c r="A22490" s="4" t="s">
        <v>28305</v>
      </c>
      <c r="B22490" s="4" t="s">
        <v>28306</v>
      </c>
      <c r="C22490" s="5" t="str">
        <f>IFERROR(__xludf.DUMMYFUNCTION("GOOGLETRANSLATE(B22490,""en"",""de"")"),"Wir sehen einen Mann und eine Frau, die zusammen tanzt.")</f>
        <v>Wir sehen einen Mann und eine Frau, die zusammen tanzt.</v>
      </c>
    </row>
    <row r="22491">
      <c r="A22491" s="4" t="s">
        <v>28305</v>
      </c>
      <c r="B22491" s="4" t="s">
        <v>28307</v>
      </c>
      <c r="C22491" s="5" t="str">
        <f>IFERROR(__xludf.DUMMYFUNCTION("GOOGLETRANSLATE(B22491,""en"",""de"")"),"Der Mann dreht die Frau hin und her.")</f>
        <v>Der Mann dreht die Frau hin und her.</v>
      </c>
    </row>
    <row r="22492">
      <c r="A22492" s="4" t="s">
        <v>28305</v>
      </c>
      <c r="B22492" s="4" t="s">
        <v>28308</v>
      </c>
      <c r="C22492" s="5" t="str">
        <f>IFERROR(__xludf.DUMMYFUNCTION("GOOGLETRANSLATE(B22492,""en"",""de"")"),"Der Bildschirm dreht einen grünen Farbton.")</f>
        <v>Der Bildschirm dreht einen grünen Farbton.</v>
      </c>
    </row>
    <row r="22493">
      <c r="A22493" s="4" t="s">
        <v>28305</v>
      </c>
      <c r="B22493" s="4" t="s">
        <v>28309</v>
      </c>
      <c r="C22493" s="5" t="str">
        <f>IFERROR(__xludf.DUMMYFUNCTION("GOOGLETRANSLATE(B22493,""en"",""de"")"),"Die Dame nimmt ihr Haar aus einem Ponyschwanz.")</f>
        <v>Die Dame nimmt ihr Haar aus einem Ponyschwanz.</v>
      </c>
    </row>
    <row r="22494">
      <c r="A22494" s="4" t="s">
        <v>28305</v>
      </c>
      <c r="B22494" s="4" t="s">
        <v>28310</v>
      </c>
      <c r="C22494" s="5" t="str">
        <f>IFERROR(__xludf.DUMMYFUNCTION("GOOGLETRANSLATE(B22494,""en"",""de"")"),"Der Bildschirm dreht einen blauen Farbton.")</f>
        <v>Der Bildschirm dreht einen blauen Farbton.</v>
      </c>
    </row>
    <row r="22495">
      <c r="A22495" s="4" t="s">
        <v>28305</v>
      </c>
      <c r="B22495" s="4" t="s">
        <v>28311</v>
      </c>
      <c r="C22495" s="5" t="str">
        <f>IFERROR(__xludf.DUMMYFUNCTION("GOOGLETRANSLATE(B22495,""en"",""de"")"),"Eine Person betritt den Raum dann.")</f>
        <v>Eine Person betritt den Raum dann.</v>
      </c>
    </row>
    <row r="22496">
      <c r="A22496" s="4" t="s">
        <v>28305</v>
      </c>
      <c r="B22496" s="4" t="s">
        <v>28312</v>
      </c>
      <c r="C22496" s="5" t="str">
        <f>IFERROR(__xludf.DUMMYFUNCTION("GOOGLETRANSLATE(B22496,""en"",""de"")"),"Die Leute beginnen wieder zu schauen.")</f>
        <v>Die Leute beginnen wieder zu schauen.</v>
      </c>
    </row>
    <row r="22497">
      <c r="A22497" s="4" t="s">
        <v>28305</v>
      </c>
      <c r="B22497" s="4" t="s">
        <v>28313</v>
      </c>
      <c r="C22497" s="5" t="str">
        <f>IFERROR(__xludf.DUMMYFUNCTION("GOOGLETRANSLATE(B22497,""en"",""de"")"),"Die Person kehrt zurück und bewegt sich nach links.")</f>
        <v>Die Person kehrt zurück und bewegt sich nach links.</v>
      </c>
    </row>
    <row r="22498">
      <c r="A22498" s="4" t="s">
        <v>28305</v>
      </c>
      <c r="B22498" s="4" t="s">
        <v>28314</v>
      </c>
      <c r="C22498" s="5" t="str">
        <f>IFERROR(__xludf.DUMMYFUNCTION("GOOGLETRANSLATE(B22498,""en"",""de"")"),"Die Farbe wird wieder normal.")</f>
        <v>Die Farbe wird wieder normal.</v>
      </c>
    </row>
    <row r="22499">
      <c r="A22499" s="4" t="s">
        <v>28305</v>
      </c>
      <c r="B22499" s="4" t="s">
        <v>28315</v>
      </c>
      <c r="C22499" s="5" t="str">
        <f>IFERROR(__xludf.DUMMYFUNCTION("GOOGLETRANSLATE(B22499,""en"",""de"")"),"Der Mann hört auf und die Frau ist verärgert.")</f>
        <v>Der Mann hört auf und die Frau ist verärgert.</v>
      </c>
    </row>
    <row r="22500">
      <c r="A22500" s="4" t="s">
        <v>28316</v>
      </c>
      <c r="B22500" s="4" t="s">
        <v>28317</v>
      </c>
      <c r="C22500" s="5" t="str">
        <f>IFERROR(__xludf.DUMMYFUNCTION("GOOGLETRANSLATE(B22500,""en"",""de"")"),"Ein Intro erscheint auf einem dunklen Bildschirm mit roten und weißen Spezialeffekten, und die Wörter ""Milwaukee Open"" und ""Beste Spiele"" zeigen sich auf separaten Bildschirmen.")</f>
        <v>Ein Intro erscheint auf einem dunklen Bildschirm mit roten und weißen Spezialeffekten, und die Wörter "Milwaukee Open" und "Beste Spiele" zeigen sich auf separaten Bildschirmen.</v>
      </c>
    </row>
    <row r="22501">
      <c r="A22501" s="4" t="s">
        <v>28316</v>
      </c>
      <c r="B22501" s="4" t="s">
        <v>28318</v>
      </c>
      <c r="C22501" s="5" t="str">
        <f>IFERROR(__xludf.DUMMYFUNCTION("GOOGLETRANSLATE(B22501,""en"",""de"")"),"Clips verschiedener Menschen, sowohl Männer als auch Frauen, befinden sich im Freien an Stränden und tragen Strandkleidung, während sie in verschiedenen Spielen Sandvolleyball spielen, während viele Zuschauer sie beobachten und sie anfeuern.")</f>
        <v>Clips verschiedener Menschen, sowohl Männer als auch Frauen, befinden sich im Freien an Stränden und tragen Strandkleidung, während sie in verschiedenen Spielen Sandvolleyball spielen, während viele Zuschauer sie beobachten und sie anfeuern.</v>
      </c>
    </row>
    <row r="22502">
      <c r="A22502" s="4" t="s">
        <v>28316</v>
      </c>
      <c r="B22502" s="4" t="s">
        <v>28319</v>
      </c>
      <c r="C22502" s="5" t="str">
        <f>IFERROR(__xludf.DUMMYFUNCTION("GOOGLETRANSLATE(B22502,""en"",""de"")"),"Die Clips enden und das Outro erscheint und sieht genauso aus wie das Intro und endet mit den Worten ""Beste Theaterstücken"" und ""Milwaukee Open"" auf zwei verschiedenen Bildschirmen.")</f>
        <v>Die Clips enden und das Outro erscheint und sieht genauso aus wie das Intro und endet mit den Worten "Beste Theaterstücken" und "Milwaukee Open" auf zwei verschiedenen Bildschirmen.</v>
      </c>
    </row>
    <row r="22503">
      <c r="A22503" s="4" t="s">
        <v>28320</v>
      </c>
      <c r="B22503" s="4" t="s">
        <v>20552</v>
      </c>
      <c r="C22503" s="5" t="str">
        <f>IFERROR(__xludf.DUMMYFUNCTION("GOOGLETRANSLATE(B22503,""en"",""de"")"),"Zwei Leute spielen Tennis auf einem Platz.")</f>
        <v>Zwei Leute spielen Tennis auf einem Platz.</v>
      </c>
    </row>
    <row r="22504">
      <c r="A22504" s="4" t="s">
        <v>28320</v>
      </c>
      <c r="B22504" s="4" t="s">
        <v>28321</v>
      </c>
      <c r="C22504" s="5" t="str">
        <f>IFERROR(__xludf.DUMMYFUNCTION("GOOGLETRANSLATE(B22504,""en"",""de"")"),"Eine Person in einem gelben Hemd steht draußen und beobachtet.")</f>
        <v>Eine Person in einem gelben Hemd steht draußen und beobachtet.</v>
      </c>
    </row>
    <row r="22505">
      <c r="A22505" s="4" t="s">
        <v>28320</v>
      </c>
      <c r="B22505" s="4" t="s">
        <v>28322</v>
      </c>
      <c r="C22505" s="5" t="str">
        <f>IFERROR(__xludf.DUMMYFUNCTION("GOOGLETRANSLATE(B22505,""en"",""de"")"),"Eine Frau öffnet die Tür und geht raus.")</f>
        <v>Eine Frau öffnet die Tür und geht raus.</v>
      </c>
    </row>
    <row r="22506">
      <c r="A22506" s="4" t="s">
        <v>28323</v>
      </c>
      <c r="B22506" s="4" t="s">
        <v>28324</v>
      </c>
      <c r="C22506" s="5" t="str">
        <f>IFERROR(__xludf.DUMMYFUNCTION("GOOGLETRANSLATE(B22506,""en"",""de"")"),"Eine große Gruppe von Menschen wird in einem Übungskurs gemeinsam eine Routine durchführen, während sie sich auf einem Strahl auf und ab bewegt.")</f>
        <v>Eine große Gruppe von Menschen wird in einem Übungskurs gemeinsam eine Routine durchführen, während sie sich auf einem Strahl auf und ab bewegt.</v>
      </c>
    </row>
    <row r="22507">
      <c r="A22507" s="4" t="s">
        <v>28323</v>
      </c>
      <c r="B22507" s="4" t="s">
        <v>28325</v>
      </c>
      <c r="C22507" s="5" t="str">
        <f>IFERROR(__xludf.DUMMYFUNCTION("GOOGLETRANSLATE(B22507,""en"",""de"")"),"Die Menschen bewegen sich weiterhin umeinander, während sie ihre Arme auf den Strahl hinauf und runter bewegten und enden, indem sie sich aneinander hält und durch den Raum herumgeht.")</f>
        <v>Die Menschen bewegen sich weiterhin umeinander, während sie ihre Arme auf den Strahl hinauf und runter bewegten und enden, indem sie sich aneinander hält und durch den Raum herumgeht.</v>
      </c>
    </row>
    <row r="22508">
      <c r="A22508" s="4" t="s">
        <v>28326</v>
      </c>
      <c r="B22508" s="4" t="s">
        <v>28327</v>
      </c>
      <c r="C22508" s="5" t="str">
        <f>IFERROR(__xludf.DUMMYFUNCTION("GOOGLETRANSLATE(B22508,""en"",""de"")"),"Die Leute spielen schwarze Jack um einen Tisch.")</f>
        <v>Die Leute spielen schwarze Jack um einen Tisch.</v>
      </c>
    </row>
    <row r="22509">
      <c r="A22509" s="4" t="s">
        <v>28326</v>
      </c>
      <c r="B22509" s="4" t="s">
        <v>28328</v>
      </c>
      <c r="C22509" s="5" t="str">
        <f>IFERROR(__xludf.DUMMYFUNCTION("GOOGLETRANSLATE(B22509,""en"",""de"")"),"Händler ist Dealnig die Karten und die Token für die Frauen.")</f>
        <v>Händler ist Dealnig die Karten und die Token für die Frauen.</v>
      </c>
    </row>
    <row r="22510">
      <c r="A22510" s="4" t="s">
        <v>28326</v>
      </c>
      <c r="B22510" s="4" t="s">
        <v>28329</v>
      </c>
      <c r="C22510" s="5" t="str">
        <f>IFERROR(__xludf.DUMMYFUNCTION("GOOGLETRANSLATE(B22510,""en"",""de"")"),"Der Mensch stammt aus einem Tisch und geht in einem Raum.")</f>
        <v>Der Mensch stammt aus einem Tisch und geht in einem Raum.</v>
      </c>
    </row>
    <row r="22511">
      <c r="A22511" s="4" t="s">
        <v>28330</v>
      </c>
      <c r="B22511" s="4" t="s">
        <v>28331</v>
      </c>
      <c r="C22511" s="5" t="str">
        <f>IFERROR(__xludf.DUMMYFUNCTION("GOOGLETRANSLATE(B22511,""en"",""de"")"),"Eine Person ist gesehen, wie er einen Hof kreiert und inneht, um seine Hand in seine Tasche zu stecken.")</f>
        <v>Eine Person ist gesehen, wie er einen Hof kreiert und inneht, um seine Hand in seine Tasche zu stecken.</v>
      </c>
    </row>
    <row r="22512">
      <c r="A22512" s="4" t="s">
        <v>28330</v>
      </c>
      <c r="B22512" s="4" t="s">
        <v>28332</v>
      </c>
      <c r="C22512" s="5" t="str">
        <f>IFERROR(__xludf.DUMMYFUNCTION("GOOGLETRANSLATE(B22512,""en"",""de"")"),"Ein anderer Mann kommt mit einem Blattgebläse herein, der die Blätter herumschiebt.")</f>
        <v>Ein anderer Mann kommt mit einem Blattgebläse herein, der die Blätter herumschiebt.</v>
      </c>
    </row>
    <row r="22513">
      <c r="A22513" s="4" t="s">
        <v>28330</v>
      </c>
      <c r="B22513" s="4" t="s">
        <v>28333</v>
      </c>
      <c r="C22513" s="5" t="str">
        <f>IFERROR(__xludf.DUMMYFUNCTION("GOOGLETRANSLATE(B22513,""en"",""de"")"),"Der Mann rechne mehr Blätter und der Blattgebläse -Mann kommt wieder herein.")</f>
        <v>Der Mann rechne mehr Blätter und der Blattgebläse -Mann kommt wieder herein.</v>
      </c>
    </row>
    <row r="22514">
      <c r="A22514" s="4" t="s">
        <v>28334</v>
      </c>
      <c r="B22514" s="4" t="s">
        <v>28335</v>
      </c>
      <c r="C22514" s="5" t="str">
        <f>IFERROR(__xludf.DUMMYFUNCTION("GOOGLETRANSLATE(B22514,""en"",""de"")"),"Wir sehen den Unterwasser -Meeresboden.")</f>
        <v>Wir sehen den Unterwasser -Meeresboden.</v>
      </c>
    </row>
    <row r="22515">
      <c r="A22515" s="4" t="s">
        <v>28334</v>
      </c>
      <c r="B22515" s="4" t="s">
        <v>28336</v>
      </c>
      <c r="C22515" s="5" t="str">
        <f>IFERROR(__xludf.DUMMYFUNCTION("GOOGLETRANSLATE(B22515,""en"",""de"")"),"Zwei Personen schwimmen vor der Kamera.")</f>
        <v>Zwei Personen schwimmen vor der Kamera.</v>
      </c>
    </row>
    <row r="22516">
      <c r="A22516" s="4" t="s">
        <v>28334</v>
      </c>
      <c r="B22516" s="4" t="s">
        <v>28337</v>
      </c>
      <c r="C22516" s="5" t="str">
        <f>IFERROR(__xludf.DUMMYFUNCTION("GOOGLETRANSLATE(B22516,""en"",""de"")"),"Wir sehen einen Mann, der eine Kamera hält.")</f>
        <v>Wir sehen einen Mann, der eine Kamera hält.</v>
      </c>
    </row>
    <row r="22517">
      <c r="A22517" s="4" t="s">
        <v>28334</v>
      </c>
      <c r="B22517" s="4" t="s">
        <v>28338</v>
      </c>
      <c r="C22517" s="5" t="str">
        <f>IFERROR(__xludf.DUMMYFUNCTION("GOOGLETRANSLATE(B22517,""en"",""de"")"),"Wir sehen eine Flosse in die Kamera eintreten.")</f>
        <v>Wir sehen eine Flosse in die Kamera eintreten.</v>
      </c>
    </row>
    <row r="22518">
      <c r="A22518" s="4" t="s">
        <v>28334</v>
      </c>
      <c r="B22518" s="4" t="s">
        <v>28339</v>
      </c>
      <c r="C22518" s="5" t="str">
        <f>IFERROR(__xludf.DUMMYFUNCTION("GOOGLETRANSLATE(B22518,""en"",""de"")"),"Die Kamera dreht sich wild.")</f>
        <v>Die Kamera dreht sich wild.</v>
      </c>
    </row>
    <row r="22519">
      <c r="A22519" s="4" t="s">
        <v>28334</v>
      </c>
      <c r="B22519" s="4" t="s">
        <v>28340</v>
      </c>
      <c r="C22519" s="5" t="str">
        <f>IFERROR(__xludf.DUMMYFUNCTION("GOOGLETRANSLATE(B22519,""en"",""de"")"),"Blasen steigen aus einem Röhrchen.")</f>
        <v>Blasen steigen aus einem Röhrchen.</v>
      </c>
    </row>
    <row r="22520">
      <c r="A22520" s="4" t="s">
        <v>28334</v>
      </c>
      <c r="B22520" s="4" t="s">
        <v>28341</v>
      </c>
      <c r="C22520" s="5" t="str">
        <f>IFERROR(__xludf.DUMMYFUNCTION("GOOGLETRANSLATE(B22520,""en"",""de"")"),"Ein Mann gibt einer anderen Person das Mundstück.")</f>
        <v>Ein Mann gibt einer anderen Person das Mundstück.</v>
      </c>
    </row>
    <row r="22521">
      <c r="A22521" s="4" t="s">
        <v>28342</v>
      </c>
      <c r="B22521" s="4" t="s">
        <v>28343</v>
      </c>
      <c r="C22521" s="5" t="str">
        <f>IFERROR(__xludf.DUMMYFUNCTION("GOOGLETRANSLATE(B22521,""en"",""de"")"),"Zwei Menschen sind gesehen, die vor einem Brett um einen Hof herumlaufen.")</f>
        <v>Zwei Menschen sind gesehen, die vor einem Brett um einen Hof herumlaufen.</v>
      </c>
    </row>
    <row r="22522">
      <c r="A22522" s="4" t="s">
        <v>28342</v>
      </c>
      <c r="B22522" s="4" t="s">
        <v>28344</v>
      </c>
      <c r="C22522" s="5" t="str">
        <f>IFERROR(__xludf.DUMMYFUNCTION("GOOGLETRANSLATE(B22522,""en"",""de"")"),"Ein anderer Mann kommt herein und die Gruppe wird gesehen, wie sie einen Zaun auflegen.")</f>
        <v>Ein anderer Mann kommt herein und die Gruppe wird gesehen, wie sie einen Zaun auflegen.</v>
      </c>
    </row>
    <row r="22523">
      <c r="A22523" s="4" t="s">
        <v>28342</v>
      </c>
      <c r="B22523" s="4" t="s">
        <v>28345</v>
      </c>
      <c r="C22523" s="5" t="str">
        <f>IFERROR(__xludf.DUMMYFUNCTION("GOOGLETRANSLATE(B22523,""en"",""de"")"),"Die Männer legen weiterhin Bretter auf den Zaun und enden, indem sie ihn der Kamera präsentieren.")</f>
        <v>Die Männer legen weiterhin Bretter auf den Zaun und enden, indem sie ihn der Kamera präsentieren.</v>
      </c>
    </row>
    <row r="22524">
      <c r="A22524" s="4" t="s">
        <v>28346</v>
      </c>
      <c r="B22524" s="4" t="s">
        <v>28347</v>
      </c>
      <c r="C22524" s="5" t="str">
        <f>IFERROR(__xludf.DUMMYFUNCTION("GOOGLETRANSLATE(B22524,""en"",""de"")"),"Ein Mann sitzt hinter einem Tisch, der einen Rubik -Würfel absolviert.")</f>
        <v>Ein Mann sitzt hinter einem Tisch, der einen Rubik -Würfel absolviert.</v>
      </c>
    </row>
    <row r="22525">
      <c r="A22525" s="4" t="s">
        <v>28346</v>
      </c>
      <c r="B22525" s="4" t="s">
        <v>28348</v>
      </c>
      <c r="C22525" s="5" t="str">
        <f>IFERROR(__xludf.DUMMYFUNCTION("GOOGLETRANSLATE(B22525,""en"",""de"")"),"Eine Person in einem blauen Hemd steht neben dem Tisch und hält eine Stoppuhr.")</f>
        <v>Eine Person in einem blauen Hemd steht neben dem Tisch und hält eine Stoppuhr.</v>
      </c>
    </row>
    <row r="22526">
      <c r="A22526" s="4" t="s">
        <v>28346</v>
      </c>
      <c r="B22526" s="4" t="s">
        <v>28349</v>
      </c>
      <c r="C22526" s="5" t="str">
        <f>IFERROR(__xludf.DUMMYFUNCTION("GOOGLETRANSLATE(B22526,""en"",""de"")"),"Der Mann vervollständigt den Rubik -Würfel und setzt ihn ab.")</f>
        <v>Der Mann vervollständigt den Rubik -Würfel und setzt ihn ab.</v>
      </c>
    </row>
    <row r="22527">
      <c r="A22527" s="4" t="s">
        <v>28346</v>
      </c>
      <c r="B22527" s="4" t="s">
        <v>28350</v>
      </c>
      <c r="C22527" s="5" t="str">
        <f>IFERROR(__xludf.DUMMYFUNCTION("GOOGLETRANSLATE(B22527,""en"",""de"")"),"Er umarmt eine Person, die neben ihm aufgeht.")</f>
        <v>Er umarmt eine Person, die neben ihm aufgeht.</v>
      </c>
    </row>
    <row r="22528">
      <c r="A22528" s="4" t="s">
        <v>28351</v>
      </c>
      <c r="B22528" s="4" t="s">
        <v>28352</v>
      </c>
      <c r="C22528" s="5" t="str">
        <f>IFERROR(__xludf.DUMMYFUNCTION("GOOGLETRANSLATE(B22528,""en"",""de"")"),"Zwei Männer sind im Freien auf einem Bürgersteig und spielen mit bloßen Händen Schlagzeug.")</f>
        <v>Zwei Männer sind im Freien auf einem Bürgersteig und spielen mit bloßen Händen Schlagzeug.</v>
      </c>
    </row>
    <row r="22529">
      <c r="A22529" s="4" t="s">
        <v>28351</v>
      </c>
      <c r="B22529" s="4" t="s">
        <v>28353</v>
      </c>
      <c r="C22529" s="5" t="str">
        <f>IFERROR(__xludf.DUMMYFUNCTION("GOOGLETRANSLATE(B22529,""en"",""de"")"),"Eine große Menge überquert den Bürgersteig, als sie die Show vervollständigen, und der Mann auf der linken Seite steht aufrecht.")</f>
        <v>Eine große Menge überquert den Bürgersteig, als sie die Show vervollständigen, und der Mann auf der linken Seite steht aufrecht.</v>
      </c>
    </row>
    <row r="22530">
      <c r="A22530" s="4" t="s">
        <v>28354</v>
      </c>
      <c r="B22530" s="4" t="s">
        <v>28355</v>
      </c>
      <c r="C22530" s="5" t="str">
        <f>IFERROR(__xludf.DUMMYFUNCTION("GOOGLETRANSLATE(B22530,""en"",""de"")"),"Eine Gruppe von Menschen richtet sich zu Beginn eines Spiels in einem Fitnessstudio an einer Wand vor einem Set von Bällen.")</f>
        <v>Eine Gruppe von Menschen richtet sich zu Beginn eines Spiels in einem Fitnessstudio an einer Wand vor einem Set von Bällen.</v>
      </c>
    </row>
    <row r="22531">
      <c r="A22531" s="4" t="s">
        <v>28354</v>
      </c>
      <c r="B22531" s="4" t="s">
        <v>28356</v>
      </c>
      <c r="C22531" s="5" t="str">
        <f>IFERROR(__xludf.DUMMYFUNCTION("GOOGLETRANSLATE(B22531,""en"",""de"")"),"Die Gruppe rennt auf, um die Bälle abzurufen.")</f>
        <v>Die Gruppe rennt auf, um die Bälle abzurufen.</v>
      </c>
    </row>
    <row r="22532">
      <c r="A22532" s="4" t="s">
        <v>28354</v>
      </c>
      <c r="B22532" s="4" t="s">
        <v>28357</v>
      </c>
      <c r="C22532" s="5" t="str">
        <f>IFERROR(__xludf.DUMMYFUNCTION("GOOGLETRANSLATE(B22532,""en"",""de"")"),"Die Gruppe umrundet Bälle mit einem gegnerischen Team in einem Dodge Ball -Spiel.")</f>
        <v>Die Gruppe umrundet Bälle mit einem gegnerischen Team in einem Dodge Ball -Spiel.</v>
      </c>
    </row>
    <row r="22533">
      <c r="A22533" s="4" t="s">
        <v>28354</v>
      </c>
      <c r="B22533" s="4" t="s">
        <v>28358</v>
      </c>
      <c r="C22533" s="5" t="str">
        <f>IFERROR(__xludf.DUMMYFUNCTION("GOOGLETRANSLATE(B22533,""en"",""de"")"),"Ein Mann wird mehrmals getroffen, als er auf dem Platz vorwärts rennt und Bälle zurückholt.")</f>
        <v>Ein Mann wird mehrmals getroffen, als er auf dem Platz vorwärts rennt und Bälle zurückholt.</v>
      </c>
    </row>
    <row r="22534">
      <c r="A22534" s="4" t="s">
        <v>28359</v>
      </c>
      <c r="B22534" s="4" t="s">
        <v>28360</v>
      </c>
      <c r="C22534" s="5" t="str">
        <f>IFERROR(__xludf.DUMMYFUNCTION("GOOGLETRANSLATE(B22534,""en"",""de"")"),"Wir sehen Männer auf einer Bühne auf einer Slack -Linie, während zwei andere Männer die Veranstaltung filmen.")</f>
        <v>Wir sehen Männer auf einer Bühne auf einer Slack -Linie, während zwei andere Männer die Veranstaltung filmen.</v>
      </c>
    </row>
    <row r="22535">
      <c r="A22535" s="4" t="s">
        <v>28359</v>
      </c>
      <c r="B22535" s="4" t="s">
        <v>28361</v>
      </c>
      <c r="C22535" s="5" t="str">
        <f>IFERROR(__xludf.DUMMYFUNCTION("GOOGLETRANSLATE(B22535,""en"",""de"")"),"Sie wechseln und ein anderer Mann geht dann durch die Slackline, die die Slackline abfließt.")</f>
        <v>Sie wechseln und ein anderer Mann geht dann durch die Slackline, die die Slackline abfließt.</v>
      </c>
    </row>
    <row r="22536">
      <c r="A22536" s="4" t="s">
        <v>28359</v>
      </c>
      <c r="B22536" s="4" t="s">
        <v>28362</v>
      </c>
      <c r="C22536" s="5" t="str">
        <f>IFERROR(__xludf.DUMMYFUNCTION("GOOGLETRANSLATE(B22536,""en"",""de"")"),"Die Männer wechseln erneut und der erste Mann ist auf der Slackline.")</f>
        <v>Die Männer wechseln erneut und der erste Mann ist auf der Slackline.</v>
      </c>
    </row>
    <row r="22537">
      <c r="A22537" s="4" t="s">
        <v>28359</v>
      </c>
      <c r="B22537" s="4" t="s">
        <v>28363</v>
      </c>
      <c r="C22537" s="5" t="str">
        <f>IFERROR(__xludf.DUMMYFUNCTION("GOOGLETRANSLATE(B22537,""en"",""de"")"),"Der Mann fällt von der Slackline auf seinen Hintern.")</f>
        <v>Der Mann fällt von der Slackline auf seinen Hintern.</v>
      </c>
    </row>
    <row r="22538">
      <c r="A22538" s="4" t="s">
        <v>28359</v>
      </c>
      <c r="B22538" s="4" t="s">
        <v>28364</v>
      </c>
      <c r="C22538" s="5" t="str">
        <f>IFERROR(__xludf.DUMMYFUNCTION("GOOGLETRANSLATE(B22538,""en"",""de"")"),"Der zweite Mann springt und fließt ab.")</f>
        <v>Der zweite Mann springt und fließt ab.</v>
      </c>
    </row>
    <row r="22539">
      <c r="A22539" s="4" t="s">
        <v>28359</v>
      </c>
      <c r="B22539" s="4" t="s">
        <v>28365</v>
      </c>
      <c r="C22539" s="5" t="str">
        <f>IFERROR(__xludf.DUMMYFUNCTION("GOOGLETRANSLATE(B22539,""en"",""de"")"),"Der erste Mann hüpft und fließt ab.")</f>
        <v>Der erste Mann hüpft und fließt ab.</v>
      </c>
    </row>
    <row r="22540">
      <c r="A22540" s="4" t="s">
        <v>28359</v>
      </c>
      <c r="B22540" s="4" t="s">
        <v>28366</v>
      </c>
      <c r="C22540" s="5" t="str">
        <f>IFERROR(__xludf.DUMMYFUNCTION("GOOGLETRANSLATE(B22540,""en"",""de"")"),"Die Männer klatschen und nehmen die Slackline von der Bühne.")</f>
        <v>Die Männer klatschen und nehmen die Slackline von der Bühne.</v>
      </c>
    </row>
    <row r="22541">
      <c r="A22541" s="4" t="s">
        <v>28367</v>
      </c>
      <c r="B22541" s="4" t="s">
        <v>28368</v>
      </c>
      <c r="C22541" s="5" t="str">
        <f>IFERROR(__xludf.DUMMYFUNCTION("GOOGLETRANSLATE(B22541,""en"",""de"")"),"Eine Nahaufnahme einer Uhr wird gezeigt, gefolgt von einer Person, die Kaffee sowie die Außenseite eines Gebäudes herstellt und ausgieß.")</f>
        <v>Eine Nahaufnahme einer Uhr wird gezeigt, gefolgt von einer Person, die Kaffee sowie die Außenseite eines Gebäudes herstellt und ausgieß.</v>
      </c>
    </row>
    <row r="22542">
      <c r="A22542" s="4" t="s">
        <v>28367</v>
      </c>
      <c r="B22542" s="4" t="s">
        <v>28369</v>
      </c>
      <c r="C22542" s="5" t="str">
        <f>IFERROR(__xludf.DUMMYFUNCTION("GOOGLETRANSLATE(B22542,""en"",""de"")"),"Eine Frau richtet ihre Schlüssel ein, schreibt auf ein Brett und führt in ihre Pflege und streichelt die Hunde.")</f>
        <v>Eine Frau richtet ihre Schlüssel ein, schreibt auf ein Brett und führt in ihre Pflege und streichelt die Hunde.</v>
      </c>
    </row>
    <row r="22543">
      <c r="A22543" s="4" t="s">
        <v>28367</v>
      </c>
      <c r="B22543" s="4" t="s">
        <v>28370</v>
      </c>
      <c r="C22543" s="5" t="str">
        <f>IFERROR(__xludf.DUMMYFUNCTION("GOOGLETRANSLATE(B22543,""en"",""de"")"),"Die Frau, die die Tiere aus verschiedenen Ansichten und danach gezeigte Tiere pflegt, werden mehrere Clips gezeigt.")</f>
        <v>Die Frau, die die Tiere aus verschiedenen Ansichten und danach gezeigte Tiere pflegt, werden mehrere Clips gezeigt.</v>
      </c>
    </row>
    <row r="22544">
      <c r="A22544" s="4" t="s">
        <v>28371</v>
      </c>
      <c r="B22544" s="4" t="s">
        <v>28372</v>
      </c>
      <c r="C22544" s="5" t="str">
        <f>IFERROR(__xludf.DUMMYFUNCTION("GOOGLETRANSLATE(B22544,""en"",""de"")"),"Ein Mädchen, das eine Brille trägt, spricht mit der Kamera, die dazu führt, dass sie sie abnimmt und sie an ihrer Kamera hält.")</f>
        <v>Ein Mädchen, das eine Brille trägt, spricht mit der Kamera, die dazu führt, dass sie sie abnimmt und sie an ihrer Kamera hält.</v>
      </c>
    </row>
    <row r="22545">
      <c r="A22545" s="4" t="s">
        <v>28371</v>
      </c>
      <c r="B22545" s="4" t="s">
        <v>28373</v>
      </c>
      <c r="C22545" s="5" t="str">
        <f>IFERROR(__xludf.DUMMYFUNCTION("GOOGLETRANSLATE(B22545,""en"",""de"")"),"Sie hält dann verschiedene Gegenstände hoch und hält ihr Auge offen, um für beide Augen eine Kontaktlinse zu setzen.")</f>
        <v>Sie hält dann verschiedene Gegenstände hoch und hält ihr Auge offen, um für beide Augen eine Kontaktlinse zu setzen.</v>
      </c>
    </row>
    <row r="22546">
      <c r="A22546" s="4" t="s">
        <v>28374</v>
      </c>
      <c r="B22546" s="4" t="s">
        <v>1487</v>
      </c>
      <c r="C22546" s="5" t="str">
        <f>IFERROR(__xludf.DUMMYFUNCTION("GOOGLETRANSLATE(B22546,""en"",""de"")"),"Wir sehen einen Öffnungsbildschirm.")</f>
        <v>Wir sehen einen Öffnungsbildschirm.</v>
      </c>
    </row>
    <row r="22547">
      <c r="A22547" s="4" t="s">
        <v>28374</v>
      </c>
      <c r="B22547" s="4" t="s">
        <v>28375</v>
      </c>
      <c r="C22547" s="5" t="str">
        <f>IFERROR(__xludf.DUMMYFUNCTION("GOOGLETRANSLATE(B22547,""en"",""de"")"),"Wir sehen einen Mann, der ein Dritt über einer Bergkette läuft.")</f>
        <v>Wir sehen einen Mann, der ein Dritt über einer Bergkette läuft.</v>
      </c>
    </row>
    <row r="22548">
      <c r="A22548" s="4" t="s">
        <v>28374</v>
      </c>
      <c r="B22548" s="4" t="s">
        <v>28376</v>
      </c>
      <c r="C22548" s="5" t="str">
        <f>IFERROR(__xludf.DUMMYFUNCTION("GOOGLETRANSLATE(B22548,""en"",""de"")"),"Wir sehen ein Bild im Bild in der oberen linken Ecke.")</f>
        <v>Wir sehen ein Bild im Bild in der oberen linken Ecke.</v>
      </c>
    </row>
    <row r="22549">
      <c r="A22549" s="4" t="s">
        <v>28374</v>
      </c>
      <c r="B22549" s="4" t="s">
        <v>28377</v>
      </c>
      <c r="C22549" s="5" t="str">
        <f>IFERROR(__xludf.DUMMYFUNCTION("GOOGLETRANSLATE(B22549,""en"",""de"")"),"Wir sehen den Mann, der einen Selfie -Stock hält.")</f>
        <v>Wir sehen den Mann, der einen Selfie -Stock hält.</v>
      </c>
    </row>
    <row r="22550">
      <c r="A22550" s="4" t="s">
        <v>28374</v>
      </c>
      <c r="B22550" s="4" t="s">
        <v>28378</v>
      </c>
      <c r="C22550" s="5" t="str">
        <f>IFERROR(__xludf.DUMMYFUNCTION("GOOGLETRANSLATE(B22550,""en"",""de"")"),"Der Mann erreicht die andere Seite und dreht sich um.")</f>
        <v>Der Mann erreicht die andere Seite und dreht sich um.</v>
      </c>
    </row>
    <row r="22551">
      <c r="A22551" s="4" t="s">
        <v>28374</v>
      </c>
      <c r="B22551" s="4" t="s">
        <v>28379</v>
      </c>
      <c r="C22551" s="5" t="str">
        <f>IFERROR(__xludf.DUMMYFUNCTION("GOOGLETRANSLATE(B22551,""en"",""de"")"),"Der End -Titelbildschirm wird geladen.")</f>
        <v>Der End -Titelbildschirm wird geladen.</v>
      </c>
    </row>
    <row r="22552">
      <c r="A22552" s="4" t="s">
        <v>28380</v>
      </c>
      <c r="B22552" s="4" t="s">
        <v>28381</v>
      </c>
      <c r="C22552" s="5" t="str">
        <f>IFERROR(__xludf.DUMMYFUNCTION("GOOGLETRANSLATE(B22552,""en"",""de"")"),"Es werden mehrere Schüsse gezeigt, wie ein Promi auf dem roten Teppich spaziert, sowie eine Frau, die ein Nachrichtensegment veranstaltet und Bilder neben sich gezeigt werden.")</f>
        <v>Es werden mehrere Schüsse gezeigt, wie ein Promi auf dem roten Teppich spaziert, sowie eine Frau, die ein Nachrichtensegment veranstaltet und Bilder neben sich gezeigt werden.</v>
      </c>
    </row>
    <row r="22553">
      <c r="A22553" s="4" t="s">
        <v>28380</v>
      </c>
      <c r="B22553" s="4" t="s">
        <v>28382</v>
      </c>
      <c r="C22553" s="5" t="str">
        <f>IFERROR(__xludf.DUMMYFUNCTION("GOOGLETRANSLATE(B22553,""en"",""de"")"),"Weitere Bilder werden ebenso gezeigt wie das Promi -Skifahren und Snowboarden und endet damit, dass Männer die Berühmtheit in ein Gebäude und mehr Bilder begleiten, während die Frau spricht.")</f>
        <v>Weitere Bilder werden ebenso gezeigt wie das Promi -Skifahren und Snowboarden und endet damit, dass Männer die Berühmtheit in ein Gebäude und mehr Bilder begleiten, während die Frau spricht.</v>
      </c>
    </row>
    <row r="22554">
      <c r="A22554" s="4" t="s">
        <v>28383</v>
      </c>
      <c r="B22554" s="4" t="s">
        <v>28384</v>
      </c>
      <c r="C22554" s="5" t="str">
        <f>IFERROR(__xludf.DUMMYFUNCTION("GOOGLETRANSLATE(B22554,""en"",""de"")"),"Ein großes Blaskapell steht zusammen vor einem großen Gebäude, in dem andere herumstehen.")</f>
        <v>Ein großes Blaskapell steht zusammen vor einem großen Gebäude, in dem andere herumstehen.</v>
      </c>
    </row>
    <row r="22555">
      <c r="A22555" s="4" t="s">
        <v>28383</v>
      </c>
      <c r="B22555" s="4" t="s">
        <v>28385</v>
      </c>
      <c r="C22555" s="5" t="str">
        <f>IFERROR(__xludf.DUMMYFUNCTION("GOOGLETRANSLATE(B22555,""en"",""de"")"),"Weitere Aufnahmen werden von der Gruppe gezeigt, die sich um einander stellt, während die Kamera herumnimmt.")</f>
        <v>Weitere Aufnahmen werden von der Gruppe gezeigt, die sich um einander stellt, während die Kamera herumnimmt.</v>
      </c>
    </row>
    <row r="22556">
      <c r="A22556" s="4" t="s">
        <v>28386</v>
      </c>
      <c r="B22556" s="4" t="s">
        <v>28387</v>
      </c>
      <c r="C22556" s="5" t="str">
        <f>IFERROR(__xludf.DUMMYFUNCTION("GOOGLETRANSLATE(B22556,""en"",""de"")"),"Ein Intro führt in zwei Frauen vor der Kamera, eines stehend und spricht, und das andere sitzt und beobachtet.")</f>
        <v>Ein Intro führt in zwei Frauen vor der Kamera, eines stehend und spricht, und das andere sitzt und beobachtet.</v>
      </c>
    </row>
    <row r="22557">
      <c r="A22557" s="4" t="s">
        <v>28386</v>
      </c>
      <c r="B22557" s="4" t="s">
        <v>28388</v>
      </c>
      <c r="C22557" s="5" t="str">
        <f>IFERROR(__xludf.DUMMYFUNCTION("GOOGLETRANSLATE(B22557,""en"",""de"")"),"Die Frau stehend hält eine Bürste und beginnt, die Haare der Frau zu bürsten.")</f>
        <v>Die Frau stehend hält eine Bürste und beginnt, die Haare der Frau zu bürsten.</v>
      </c>
    </row>
    <row r="22558">
      <c r="A22558" s="4" t="s">
        <v>28386</v>
      </c>
      <c r="B22558" s="4" t="s">
        <v>28389</v>
      </c>
      <c r="C22558" s="5" t="str">
        <f>IFERROR(__xludf.DUMMYFUNCTION("GOOGLETRANSLATE(B22558,""en"",""de"")"),"Sie beendet die Haare der Frau und schaut zurück in die Kamera lächelnd.")</f>
        <v>Sie beendet die Haare der Frau und schaut zurück in die Kamera lächelnd.</v>
      </c>
    </row>
    <row r="22559">
      <c r="A22559" s="4" t="s">
        <v>28390</v>
      </c>
      <c r="B22559" s="4" t="s">
        <v>28391</v>
      </c>
      <c r="C22559" s="5" t="str">
        <f>IFERROR(__xludf.DUMMYFUNCTION("GOOGLETRANSLATE(B22559,""en"",""de"")"),"Eine Frau hilft einem kleinen Jungen, während eines Kickballspiels einen Ball zu treten.")</f>
        <v>Eine Frau hilft einem kleinen Jungen, während eines Kickballspiels einen Ball zu treten.</v>
      </c>
    </row>
    <row r="22560">
      <c r="A22560" s="4" t="s">
        <v>28390</v>
      </c>
      <c r="B22560" s="4" t="s">
        <v>28392</v>
      </c>
      <c r="C22560" s="5" t="str">
        <f>IFERROR(__xludf.DUMMYFUNCTION("GOOGLETRANSLATE(B22560,""en"",""de"")"),"Jedes Mal, wenn der Ball die Basis erreicht, hat ein anderes Kind eine Reihe zu treten.")</f>
        <v>Jedes Mal, wenn der Ball die Basis erreicht, hat ein anderes Kind eine Reihe zu treten.</v>
      </c>
    </row>
    <row r="22561">
      <c r="A22561" s="4" t="s">
        <v>28393</v>
      </c>
      <c r="B22561" s="4" t="s">
        <v>28394</v>
      </c>
      <c r="C22561" s="5" t="str">
        <f>IFERROR(__xludf.DUMMYFUNCTION("GOOGLETRANSLATE(B22561,""en"",""de"")"),"Ein Mann rennt mit einer Stange und einem Sprüngen hoch, dann springt die Leute mehrmals.")</f>
        <v>Ein Mann rennt mit einer Stange und einem Sprüngen hoch, dann springt die Leute mehrmals.</v>
      </c>
    </row>
    <row r="22562">
      <c r="A22562" s="4" t="s">
        <v>28393</v>
      </c>
      <c r="B22562" s="4" t="s">
        <v>28395</v>
      </c>
      <c r="C22562" s="5" t="str">
        <f>IFERROR(__xludf.DUMMYFUNCTION("GOOGLETRANSLATE(B22562,""en"",""de"")"),"Zwei Männer boxen, dann versammeln sich die Menschen, Männer Fallschirm und ein Mann tauchen im Wasser.")</f>
        <v>Zwei Männer boxen, dann versammeln sich die Menschen, Männer Fallschirm und ein Mann tauchen im Wasser.</v>
      </c>
    </row>
    <row r="22563">
      <c r="A22563" s="4" t="s">
        <v>28393</v>
      </c>
      <c r="B22563" s="4" t="s">
        <v>28396</v>
      </c>
      <c r="C22563" s="5" t="str">
        <f>IFERROR(__xludf.DUMMYFUNCTION("GOOGLETRANSLATE(B22563,""en"",""de"")"),"Menschen mit militärischen Kleidern, dann machen sie andere Aktivitäten.")</f>
        <v>Menschen mit militärischen Kleidern, dann machen sie andere Aktivitäten.</v>
      </c>
    </row>
    <row r="22564">
      <c r="A22564" s="4" t="s">
        <v>28393</v>
      </c>
      <c r="B22564" s="4" t="s">
        <v>28397</v>
      </c>
      <c r="C22564" s="5" t="str">
        <f>IFERROR(__xludf.DUMMYFUNCTION("GOOGLETRANSLATE(B22564,""en"",""de"")"),"Menschen üben Stabhochsprung, Klettern und andere Aktivitäten.")</f>
        <v>Menschen üben Stabhochsprung, Klettern und andere Aktivitäten.</v>
      </c>
    </row>
    <row r="22565">
      <c r="A22565" s="4" t="s">
        <v>28398</v>
      </c>
      <c r="B22565" s="4" t="s">
        <v>28399</v>
      </c>
      <c r="C22565" s="5" t="str">
        <f>IFERROR(__xludf.DUMMYFUNCTION("GOOGLETRANSLATE(B22565,""en"",""de"")"),"Zwei Männer rennen auf einer Strecke, während eine große Menge von Zuschauern und Drücken Sie beobachtet.")</f>
        <v>Zwei Männer rennen auf einer Strecke, während eine große Menge von Zuschauern und Drücken Sie beobachtet.</v>
      </c>
    </row>
    <row r="22566">
      <c r="A22566" s="4" t="s">
        <v>28398</v>
      </c>
      <c r="B22566" s="4" t="s">
        <v>28400</v>
      </c>
      <c r="C22566" s="5" t="str">
        <f>IFERROR(__xludf.DUMMYFUNCTION("GOOGLETRANSLATE(B22566,""en"",""de"")"),"Ein Mann im Gras im Hintergrund läuft einen Moment mit den Männern.")</f>
        <v>Ein Mann im Gras im Hintergrund läuft einen Moment mit den Männern.</v>
      </c>
    </row>
    <row r="22567">
      <c r="A22567" s="4" t="s">
        <v>28398</v>
      </c>
      <c r="B22567" s="4" t="s">
        <v>28401</v>
      </c>
      <c r="C22567" s="5" t="str">
        <f>IFERROR(__xludf.DUMMYFUNCTION("GOOGLETRANSLATE(B22567,""en"",""de"")"),"Der Mann auf der Innenspur der Strecke läuft sehr schnell und springt dann in eine Sandgrube.")</f>
        <v>Der Mann auf der Innenspur der Strecke läuft sehr schnell und springt dann in eine Sandgrube.</v>
      </c>
    </row>
    <row r="22568">
      <c r="A22568" s="4" t="s">
        <v>28398</v>
      </c>
      <c r="B22568" s="4" t="s">
        <v>28402</v>
      </c>
      <c r="C22568" s="5" t="str">
        <f>IFERROR(__xludf.DUMMYFUNCTION("GOOGLETRANSLATE(B22568,""en"",""de"")"),"Der andere Mann rennt an der Sandgrube vorbei.")</f>
        <v>Der andere Mann rennt an der Sandgrube vorbei.</v>
      </c>
    </row>
    <row r="22569">
      <c r="A22569" s="4" t="s">
        <v>28398</v>
      </c>
      <c r="B22569" s="4" t="s">
        <v>28403</v>
      </c>
      <c r="C22569" s="5" t="str">
        <f>IFERROR(__xludf.DUMMYFUNCTION("GOOGLETRANSLATE(B22569,""en"",""de"")"),"Der Mann, der aus der Sandgrube sprang und zur Seite geht.")</f>
        <v>Der Mann, der aus der Sandgrube sprang und zur Seite geht.</v>
      </c>
    </row>
    <row r="22570">
      <c r="A22570" s="4" t="s">
        <v>28404</v>
      </c>
      <c r="B22570" s="4" t="s">
        <v>28405</v>
      </c>
      <c r="C22570" s="5" t="str">
        <f>IFERROR(__xludf.DUMMYFUNCTION("GOOGLETRANSLATE(B22570,""en"",""de"")"),"In einem Zaun sitzen Männer auf Pferden und warten.")</f>
        <v>In einem Zaun sitzen Männer auf Pferden und warten.</v>
      </c>
    </row>
    <row r="22571">
      <c r="A22571" s="4" t="s">
        <v>28404</v>
      </c>
      <c r="B22571" s="4" t="s">
        <v>28406</v>
      </c>
      <c r="C22571" s="5" t="str">
        <f>IFERROR(__xludf.DUMMYFUNCTION("GOOGLETRANSLATE(B22571,""en"",""de"")"),"Einer der Männer beginnt, einem Stier auf seinem Pferd nachzujagen.")</f>
        <v>Einer der Männer beginnt, einem Stier auf seinem Pferd nachzujagen.</v>
      </c>
    </row>
    <row r="22572">
      <c r="A22572" s="4" t="s">
        <v>28404</v>
      </c>
      <c r="B22572" s="4" t="s">
        <v>28407</v>
      </c>
      <c r="C22572" s="5" t="str">
        <f>IFERROR(__xludf.DUMMYFUNCTION("GOOGLETRANSLATE(B22572,""en"",""de"")"),"Er steigt von seinem Pferd aus und bringt den Stier runter und geht zurück zu seinem Pferd.")</f>
        <v>Er steigt von seinem Pferd aus und bringt den Stier runter und geht zurück zu seinem Pferd.</v>
      </c>
    </row>
    <row r="22573">
      <c r="A22573" s="4" t="s">
        <v>28404</v>
      </c>
      <c r="B22573" s="4" t="s">
        <v>28408</v>
      </c>
      <c r="C22573" s="5" t="str">
        <f>IFERROR(__xludf.DUMMYFUNCTION("GOOGLETRANSLATE(B22573,""en"",""de"")"),"Er steigt wieder auf das Pferd, als der Bulle nur besiegt auf dem Boden liegt.")</f>
        <v>Er steigt wieder auf das Pferd, als der Bulle nur besiegt auf dem Boden liegt.</v>
      </c>
    </row>
    <row r="22574">
      <c r="A22574" s="4" t="s">
        <v>28409</v>
      </c>
      <c r="B22574" s="4" t="s">
        <v>28410</v>
      </c>
      <c r="C22574" s="5" t="str">
        <f>IFERROR(__xludf.DUMMYFUNCTION("GOOGLETRANSLATE(B22574,""en"",""de"")"),"Die Männer diskutieren ein Projekt am Tisch.")</f>
        <v>Die Männer diskutieren ein Projekt am Tisch.</v>
      </c>
    </row>
    <row r="22575">
      <c r="A22575" s="4" t="s">
        <v>28409</v>
      </c>
      <c r="B22575" s="4" t="s">
        <v>28411</v>
      </c>
      <c r="C22575" s="5" t="str">
        <f>IFERROR(__xludf.DUMMYFUNCTION("GOOGLETRANSLATE(B22575,""en"",""de"")"),"Zwei Männer sitzen zusammen an einem Tisch und lesen aus einem Dokument.")</f>
        <v>Zwei Männer sitzen zusammen an einem Tisch und lesen aus einem Dokument.</v>
      </c>
    </row>
    <row r="22576">
      <c r="A22576" s="4" t="s">
        <v>28409</v>
      </c>
      <c r="B22576" s="4" t="s">
        <v>28412</v>
      </c>
      <c r="C22576" s="5" t="str">
        <f>IFERROR(__xludf.DUMMYFUNCTION("GOOGLETRANSLATE(B22576,""en"",""de"")"),"Die beiden Männer spielen eine Rockpapierschere.")</f>
        <v>Die beiden Männer spielen eine Rockpapierschere.</v>
      </c>
    </row>
    <row r="22577">
      <c r="A22577" s="4" t="s">
        <v>28413</v>
      </c>
      <c r="B22577" s="4" t="s">
        <v>28414</v>
      </c>
      <c r="C22577" s="5" t="str">
        <f>IFERROR(__xludf.DUMMYFUNCTION("GOOGLETRANSLATE(B22577,""en"",""de"")"),"In der Küchenspüle waschen ein kleines Mädchen Geschirr und Löffel.")</f>
        <v>In der Küchenspüle waschen ein kleines Mädchen Geschirr und Löffel.</v>
      </c>
    </row>
    <row r="22578">
      <c r="A22578" s="4" t="s">
        <v>28413</v>
      </c>
      <c r="B22578" s="4" t="s">
        <v>28415</v>
      </c>
      <c r="C22578" s="5" t="str">
        <f>IFERROR(__xludf.DUMMYFUNCTION("GOOGLETRANSLATE(B22578,""en"",""de"")"),"Sie verwendet ein blaues Schrubben und viel Gerichtseife und wäscht das Glas und die Löffel, während der Wasserhahn laufen.")</f>
        <v>Sie verwendet ein blaues Schrubben und viel Gerichtseife und wäscht das Glas und die Löffel, während der Wasserhahn laufen.</v>
      </c>
    </row>
    <row r="22579">
      <c r="A22579" s="4" t="s">
        <v>28413</v>
      </c>
      <c r="B22579" s="4" t="s">
        <v>28416</v>
      </c>
      <c r="C22579" s="5" t="str">
        <f>IFERROR(__xludf.DUMMYFUNCTION("GOOGLETRANSLATE(B22579,""en"",""de"")"),"Sie hat ihre Hände mit Seifenschaum bedeckt, als sie die Löffel und Messer unter dem Wasserhahn wäscht.")</f>
        <v>Sie hat ihre Hände mit Seifenschaum bedeckt, als sie die Löffel und Messer unter dem Wasserhahn wäscht.</v>
      </c>
    </row>
    <row r="22580">
      <c r="A22580" s="4" t="s">
        <v>28413</v>
      </c>
      <c r="B22580" s="4" t="s">
        <v>28417</v>
      </c>
      <c r="C22580" s="5" t="str">
        <f>IFERROR(__xludf.DUMMYFUNCTION("GOOGLETRANSLATE(B22580,""en"",""de"")"),"Dann wäscht sie einen Pizzaschneider und löffelte gründlich mit Seife und Wasser.")</f>
        <v>Dann wäscht sie einen Pizzaschneider und löffelte gründlich mit Seife und Wasser.</v>
      </c>
    </row>
    <row r="22581">
      <c r="A22581" s="4" t="s">
        <v>28418</v>
      </c>
      <c r="B22581" s="4" t="s">
        <v>28419</v>
      </c>
      <c r="C22581" s="5" t="str">
        <f>IFERROR(__xludf.DUMMYFUNCTION("GOOGLETRANSLATE(B22581,""en"",""de"")"),"Ein Mann spielt ein Spiel Shuffleboard.")</f>
        <v>Ein Mann spielt ein Spiel Shuffleboard.</v>
      </c>
    </row>
    <row r="22582">
      <c r="A22582" s="4" t="s">
        <v>28418</v>
      </c>
      <c r="B22582" s="4" t="s">
        <v>28420</v>
      </c>
      <c r="C22582" s="5" t="str">
        <f>IFERROR(__xludf.DUMMYFUNCTION("GOOGLETRANSLATE(B22582,""en"",""de"")"),"Ein Mann fällt auf den Shuffleboard.")</f>
        <v>Ein Mann fällt auf den Shuffleboard.</v>
      </c>
    </row>
    <row r="22583">
      <c r="A22583" s="4" t="s">
        <v>28418</v>
      </c>
      <c r="B22583" s="4" t="s">
        <v>28421</v>
      </c>
      <c r="C22583" s="5" t="str">
        <f>IFERROR(__xludf.DUMMYFUNCTION("GOOGLETRANSLATE(B22583,""en"",""de"")"),"Eine Scheibe wird auf den Boden fallen.")</f>
        <v>Eine Scheibe wird auf den Boden fallen.</v>
      </c>
    </row>
    <row r="22584">
      <c r="A22584" s="4" t="s">
        <v>28422</v>
      </c>
      <c r="B22584" s="4" t="s">
        <v>28423</v>
      </c>
      <c r="C22584" s="5" t="str">
        <f>IFERROR(__xludf.DUMMYFUNCTION("GOOGLETRANSLATE(B22584,""en"",""de"")"),"Ein Mädchen spricht auf dem Bürgersteig, dann geht sie zu einem Hopscotch.")</f>
        <v>Ein Mädchen spricht auf dem Bürgersteig, dann geht sie zu einem Hopscotch.</v>
      </c>
    </row>
    <row r="22585">
      <c r="A22585" s="4" t="s">
        <v>28422</v>
      </c>
      <c r="B22585" s="4" t="s">
        <v>28424</v>
      </c>
      <c r="C22585" s="5" t="str">
        <f>IFERROR(__xludf.DUMMYFUNCTION("GOOGLETRANSLATE(B22585,""en"",""de"")"),"Das Mädchen steht auf dem Hopscotch, dann springt sie Hopscotch, während sie redet.")</f>
        <v>Das Mädchen steht auf dem Hopscotch, dann springt sie Hopscotch, während sie redet.</v>
      </c>
    </row>
    <row r="22586">
      <c r="A22586" s="4" t="s">
        <v>28425</v>
      </c>
      <c r="B22586" s="4" t="s">
        <v>28426</v>
      </c>
      <c r="C22586" s="5" t="str">
        <f>IFERROR(__xludf.DUMMYFUNCTION("GOOGLETRANSLATE(B22586,""en"",""de"")"),"Ein Mann gibt Tipps zum körperlichen Training im Freien.")</f>
        <v>Ein Mann gibt Tipps zum körperlichen Training im Freien.</v>
      </c>
    </row>
    <row r="22587">
      <c r="A22587" s="4" t="s">
        <v>28425</v>
      </c>
      <c r="B22587" s="4" t="s">
        <v>28427</v>
      </c>
      <c r="C22587" s="5" t="str">
        <f>IFERROR(__xludf.DUMMYFUNCTION("GOOGLETRANSLATE(B22587,""en"",""de"")"),"Er demonstriert auf den Affenstangen, die mit der Oberkörperstärke hin und her gehen.")</f>
        <v>Er demonstriert auf den Affenstangen, die mit der Oberkörperstärke hin und her gehen.</v>
      </c>
    </row>
    <row r="22588">
      <c r="A22588" s="4" t="s">
        <v>28428</v>
      </c>
      <c r="B22588" s="4" t="s">
        <v>28429</v>
      </c>
      <c r="C22588" s="5" t="str">
        <f>IFERROR(__xludf.DUMMYFUNCTION("GOOGLETRANSLATE(B22588,""en"",""de"")"),"Ein Nachrichtenbericht über körperliche Fitness wird angegeben.")</f>
        <v>Ein Nachrichtenbericht über körperliche Fitness wird angegeben.</v>
      </c>
    </row>
    <row r="22589">
      <c r="A22589" s="4" t="s">
        <v>28428</v>
      </c>
      <c r="B22589" s="4" t="s">
        <v>28430</v>
      </c>
      <c r="C22589" s="5" t="str">
        <f>IFERROR(__xludf.DUMMYFUNCTION("GOOGLETRANSLATE(B22589,""en"",""de"")"),"Einige Menschen diskutieren die Vorteile von Hulahooping und führen dann eine Demonstration.")</f>
        <v>Einige Menschen diskutieren die Vorteile von Hulahooping und führen dann eine Demonstration.</v>
      </c>
    </row>
    <row r="22590">
      <c r="A22590" s="4" t="s">
        <v>28431</v>
      </c>
      <c r="B22590" s="4" t="s">
        <v>28432</v>
      </c>
      <c r="C22590" s="5" t="str">
        <f>IFERROR(__xludf.DUMMYFUNCTION("GOOGLETRANSLATE(B22590,""en"",""de"")"),"Eine Frau hält ein Getränk auf der Bühne und spricht sowohl in ein Mikrofon als auch in das Publikum.")</f>
        <v>Eine Frau hält ein Getränk auf der Bühne und spricht sowohl in ein Mikrofon als auch in das Publikum.</v>
      </c>
    </row>
    <row r="22591">
      <c r="A22591" s="4" t="s">
        <v>28431</v>
      </c>
      <c r="B22591" s="4" t="s">
        <v>28433</v>
      </c>
      <c r="C22591" s="5" t="str">
        <f>IFERROR(__xludf.DUMMYFUNCTION("GOOGLETRANSLATE(B22591,""en"",""de"")"),"Die Frau spricht weiter und sieht sich das Publikum um, während sie Schlucke von ihrem Getränk nimmt und es niederlegt.")</f>
        <v>Die Frau spricht weiter und sieht sich das Publikum um, während sie Schlucke von ihrem Getränk nimmt und es niederlegt.</v>
      </c>
    </row>
    <row r="22592">
      <c r="A22592" s="4" t="s">
        <v>28431</v>
      </c>
      <c r="B22592" s="4" t="s">
        <v>28434</v>
      </c>
      <c r="C22592" s="5" t="str">
        <f>IFERROR(__xludf.DUMMYFUNCTION("GOOGLETRANSLATE(B22592,""en"",""de"")"),"Schließlich nimmt sie eine Gitarre auf und greift von vorne ein Bild und tritt ein.")</f>
        <v>Schließlich nimmt sie eine Gitarre auf und greift von vorne ein Bild und tritt ein.</v>
      </c>
    </row>
    <row r="22593">
      <c r="A22593" s="4" t="s">
        <v>28435</v>
      </c>
      <c r="B22593" s="4" t="s">
        <v>28436</v>
      </c>
      <c r="C22593" s="5" t="str">
        <f>IFERROR(__xludf.DUMMYFUNCTION("GOOGLETRANSLATE(B22593,""en"",""de"")"),"Eine große Gruppe von Menschen steht hintereinander, andere an den Seiten zuschauen und führt in die Gruppe, die eine Straße hinunterfährt.")</f>
        <v>Eine große Gruppe von Menschen steht hintereinander, andere an den Seiten zuschauen und führt in die Gruppe, die eine Straße hinunterfährt.</v>
      </c>
    </row>
    <row r="22594">
      <c r="A22594" s="4" t="s">
        <v>28435</v>
      </c>
      <c r="B22594" s="4" t="s">
        <v>28437</v>
      </c>
      <c r="C22594" s="5" t="str">
        <f>IFERROR(__xludf.DUMMYFUNCTION("GOOGLETRANSLATE(B22594,""en"",""de"")"),"Die große Gruppe von Kindern rennt nacheinander weiter die Straße hinunter, während die Leute immer noch an den Seiten zuschauen.")</f>
        <v>Die große Gruppe von Kindern rennt nacheinander weiter die Straße hinunter, während die Leute immer noch an den Seiten zuschauen.</v>
      </c>
    </row>
    <row r="22595">
      <c r="A22595" s="4" t="s">
        <v>28438</v>
      </c>
      <c r="B22595" s="4" t="s">
        <v>28439</v>
      </c>
      <c r="C22595" s="5" t="str">
        <f>IFERROR(__xludf.DUMMYFUNCTION("GOOGLETRANSLATE(B22595,""en"",""de"")"),"Ein Mann sitzt vor einer Frau, die anfängt, ein Klavier zu spielen.")</f>
        <v>Ein Mann sitzt vor einer Frau, die anfängt, ein Klavier zu spielen.</v>
      </c>
    </row>
    <row r="22596">
      <c r="A22596" s="4" t="s">
        <v>28438</v>
      </c>
      <c r="B22596" s="4" t="s">
        <v>28440</v>
      </c>
      <c r="C22596" s="5" t="str">
        <f>IFERROR(__xludf.DUMMYFUNCTION("GOOGLETRANSLATE(B22596,""en"",""de"")"),"Ein anderer Mann sitzt neben ihr ein Akkordeon.")</f>
        <v>Ein anderer Mann sitzt neben ihr ein Akkordeon.</v>
      </c>
    </row>
    <row r="22597">
      <c r="A22597" s="4" t="s">
        <v>28438</v>
      </c>
      <c r="B22597" s="4" t="s">
        <v>28441</v>
      </c>
      <c r="C22597" s="5" t="str">
        <f>IFERROR(__xludf.DUMMYFUNCTION("GOOGLETRANSLATE(B22597,""en"",""de"")"),"Der Mann und die Frau spielen zusammen, während er lächelte und nickt und endet, indem sie anhalten und der Mann applaudiert.")</f>
        <v>Der Mann und die Frau spielen zusammen, während er lächelte und nickt und endet, indem sie anhalten und der Mann applaudiert.</v>
      </c>
    </row>
    <row r="22598">
      <c r="A22598" s="4" t="s">
        <v>28442</v>
      </c>
      <c r="B22598" s="4" t="s">
        <v>28443</v>
      </c>
      <c r="C22598" s="5" t="str">
        <f>IFERROR(__xludf.DUMMYFUNCTION("GOOGLETRANSLATE(B22598,""en"",""de"")"),"Ein Mann sitzt hinter drei Trommeln.")</f>
        <v>Ein Mann sitzt hinter drei Trommeln.</v>
      </c>
    </row>
    <row r="22599">
      <c r="A22599" s="4" t="s">
        <v>28442</v>
      </c>
      <c r="B22599" s="4" t="s">
        <v>28444</v>
      </c>
      <c r="C22599" s="5" t="str">
        <f>IFERROR(__xludf.DUMMYFUNCTION("GOOGLETRANSLATE(B22599,""en"",""de"")"),"Er beginnt vor ihm Schlagzeug zu spielen.")</f>
        <v>Er beginnt vor ihm Schlagzeug zu spielen.</v>
      </c>
    </row>
    <row r="22600">
      <c r="A22600" s="4" t="s">
        <v>28442</v>
      </c>
      <c r="B22600" s="4" t="s">
        <v>28445</v>
      </c>
      <c r="C22600" s="5" t="str">
        <f>IFERROR(__xludf.DUMMYFUNCTION("GOOGLETRANSLATE(B22600,""en"",""de"")"),"Er beendet das Spielen und Bilder werden auf dem Bildschirm angezeigt.")</f>
        <v>Er beendet das Spielen und Bilder werden auf dem Bildschirm angezeigt.</v>
      </c>
    </row>
    <row r="22601">
      <c r="A22601" s="4" t="s">
        <v>28446</v>
      </c>
      <c r="B22601" s="4" t="s">
        <v>28447</v>
      </c>
      <c r="C22601" s="5" t="str">
        <f>IFERROR(__xludf.DUMMYFUNCTION("GOOGLETRANSLATE(B22601,""en"",""de"")"),"Eine große Gruppe von Menschen steht in einem großen Gymnasium und spielt miteinander ein Dodge -Ball.")</f>
        <v>Eine große Gruppe von Menschen steht in einem großen Gymnasium und spielt miteinander ein Dodge -Ball.</v>
      </c>
    </row>
    <row r="22602">
      <c r="A22602" s="4" t="s">
        <v>28446</v>
      </c>
      <c r="B22602" s="4" t="s">
        <v>28448</v>
      </c>
      <c r="C22602" s="5" t="str">
        <f>IFERROR(__xludf.DUMMYFUNCTION("GOOGLETRANSLATE(B22602,""en"",""de"")"),"Ein Mann führt einen beeindruckenden Flip durch, der dazu führt, dass ein Mann mit der Kamera spricht und mehr Aufnahmen von beeindruckendem Völkerballspiel zeigt.")</f>
        <v>Ein Mann führt einen beeindruckenden Flip durch, der dazu führt, dass ein Mann mit der Kamera spricht und mehr Aufnahmen von beeindruckendem Völkerballspiel zeigt.</v>
      </c>
    </row>
    <row r="22603">
      <c r="A22603" s="4" t="s">
        <v>28449</v>
      </c>
      <c r="B22603" s="4" t="s">
        <v>28450</v>
      </c>
      <c r="C22603" s="5" t="str">
        <f>IFERROR(__xludf.DUMMYFUNCTION("GOOGLETRANSLATE(B22603,""en"",""de"")"),"Ein männlicher Athlet legt Pulver auf seine Hände.")</f>
        <v>Ein männlicher Athlet legt Pulver auf seine Hände.</v>
      </c>
    </row>
    <row r="22604">
      <c r="A22604" s="4" t="s">
        <v>28449</v>
      </c>
      <c r="B22604" s="4" t="s">
        <v>28451</v>
      </c>
      <c r="C22604" s="5" t="str">
        <f>IFERROR(__xludf.DUMMYFUNCTION("GOOGLETRANSLATE(B22604,""en"",""de"")"),"Er steigt im Fitnessstudio an.")</f>
        <v>Er steigt im Fitnessstudio an.</v>
      </c>
    </row>
    <row r="22605">
      <c r="A22605" s="4" t="s">
        <v>28449</v>
      </c>
      <c r="B22605" s="4" t="s">
        <v>28452</v>
      </c>
      <c r="C22605" s="5" t="str">
        <f>IFERROR(__xludf.DUMMYFUNCTION("GOOGLETRANSLATE(B22605,""en"",""de"")"),"Er dreht und dreht sich mehrmals vor dem Absetzen.")</f>
        <v>Er dreht und dreht sich mehrmals vor dem Absetzen.</v>
      </c>
    </row>
    <row r="22606">
      <c r="A22606" s="4" t="s">
        <v>28453</v>
      </c>
      <c r="B22606" s="4" t="s">
        <v>28454</v>
      </c>
      <c r="C22606" s="5" t="str">
        <f>IFERROR(__xludf.DUMMYFUNCTION("GOOGLETRANSLATE(B22606,""en"",""de"")"),"Ein Schuss von Menschen wird aus mehreren Blickwinkeln gezeigt und führt zu verschiedenen Schüssen von Menschen, die Skier reiten und Tricks machen.")</f>
        <v>Ein Schuss von Menschen wird aus mehreren Blickwinkeln gezeigt und führt zu verschiedenen Schüssen von Menschen, die Skier reiten und Tricks machen.</v>
      </c>
    </row>
    <row r="22607">
      <c r="A22607" s="4" t="s">
        <v>28453</v>
      </c>
      <c r="B22607" s="4" t="s">
        <v>28455</v>
      </c>
      <c r="C22607" s="5" t="str">
        <f>IFERROR(__xludf.DUMMYFUNCTION("GOOGLETRANSLATE(B22607,""en"",""de"")"),"Weitere Nahaufnahmen von Wasserläufern werden gezeigt, während der Boot in der Umgebung wandelt.")</f>
        <v>Weitere Nahaufnahmen von Wasserläufern werden gezeigt, während der Boot in der Umgebung wandelt.</v>
      </c>
    </row>
    <row r="22608">
      <c r="A22608" s="4" t="s">
        <v>28456</v>
      </c>
      <c r="B22608" s="4" t="s">
        <v>28457</v>
      </c>
      <c r="C22608" s="5" t="str">
        <f>IFERROR(__xludf.DUMMYFUNCTION("GOOGLETRANSLATE(B22608,""en"",""de"")"),"Ein Mann rennt eine Strecke hinunter.")</f>
        <v>Ein Mann rennt eine Strecke hinunter.</v>
      </c>
    </row>
    <row r="22609">
      <c r="A22609" s="4" t="s">
        <v>28456</v>
      </c>
      <c r="B22609" s="4" t="s">
        <v>28458</v>
      </c>
      <c r="C22609" s="5" t="str">
        <f>IFERROR(__xludf.DUMMYFUNCTION("GOOGLETRANSLATE(B22609,""en"",""de"")"),"Er springt auf eine blaue Matte.")</f>
        <v>Er springt auf eine blaue Matte.</v>
      </c>
    </row>
    <row r="22610">
      <c r="A22610" s="4" t="s">
        <v>28456</v>
      </c>
      <c r="B22610" s="4" t="s">
        <v>28459</v>
      </c>
      <c r="C22610" s="5" t="str">
        <f>IFERROR(__xludf.DUMMYFUNCTION("GOOGLETRANSLATE(B22610,""en"",""de"")"),"Er springt über eine hohe Bar und landet auf der blauen Matte.")</f>
        <v>Er springt über eine hohe Bar und landet auf der blauen Matte.</v>
      </c>
    </row>
    <row r="22611">
      <c r="A22611" s="4" t="s">
        <v>28460</v>
      </c>
      <c r="B22611" s="4" t="s">
        <v>28461</v>
      </c>
      <c r="C22611" s="5" t="str">
        <f>IFERROR(__xludf.DUMMYFUNCTION("GOOGLETRANSLATE(B22611,""en"",""de"")"),"Eine Frau bürstet und trocknet ihr Haar.")</f>
        <v>Eine Frau bürstet und trocknet ihr Haar.</v>
      </c>
    </row>
    <row r="22612">
      <c r="A22612" s="4" t="s">
        <v>28460</v>
      </c>
      <c r="B22612" s="4" t="s">
        <v>28462</v>
      </c>
      <c r="C22612" s="5" t="str">
        <f>IFERROR(__xludf.DUMMYFUNCTION("GOOGLETRANSLATE(B22612,""en"",""de"")"),"Die Frau legt den Föhn nieder und streift ihre Haare erneut.")</f>
        <v>Die Frau legt den Föhn nieder und streift ihre Haare erneut.</v>
      </c>
    </row>
    <row r="22613">
      <c r="A22613" s="4" t="s">
        <v>28463</v>
      </c>
      <c r="B22613" s="4" t="s">
        <v>28464</v>
      </c>
      <c r="C22613" s="5" t="str">
        <f>IFERROR(__xludf.DUMMYFUNCTION("GOOGLETRANSLATE(B22613,""en"",""de"")"),"Ein Kind lächelt in die Kamera.")</f>
        <v>Ein Kind lächelt in die Kamera.</v>
      </c>
    </row>
    <row r="22614">
      <c r="A22614" s="4" t="s">
        <v>28463</v>
      </c>
      <c r="B22614" s="4" t="s">
        <v>28465</v>
      </c>
      <c r="C22614" s="5" t="str">
        <f>IFERROR(__xludf.DUMMYFUNCTION("GOOGLETRANSLATE(B22614,""en"",""de"")"),"Das Kind übt Feldhockey mit Hindernissen am Boden aus.")</f>
        <v>Das Kind übt Feldhockey mit Hindernissen am Boden aus.</v>
      </c>
    </row>
    <row r="22615">
      <c r="A22615" s="4" t="s">
        <v>28463</v>
      </c>
      <c r="B22615" s="4" t="s">
        <v>28466</v>
      </c>
      <c r="C22615" s="5" t="str">
        <f>IFERROR(__xludf.DUMMYFUNCTION("GOOGLETRANSLATE(B22615,""en"",""de"")"),"Das Kind geht von der Kamera weg.")</f>
        <v>Das Kind geht von der Kamera weg.</v>
      </c>
    </row>
    <row r="22616">
      <c r="A22616" s="4" t="s">
        <v>28467</v>
      </c>
      <c r="B22616" s="4" t="s">
        <v>28468</v>
      </c>
      <c r="C22616" s="5" t="str">
        <f>IFERROR(__xludf.DUMMYFUNCTION("GOOGLETRANSLATE(B22616,""en"",""de"")"),"Wir sehen zwei Männer in einem Fernsehstudio reden.")</f>
        <v>Wir sehen zwei Männer in einem Fernsehstudio reden.</v>
      </c>
    </row>
    <row r="22617">
      <c r="A22617" s="4" t="s">
        <v>28467</v>
      </c>
      <c r="B22617" s="4" t="s">
        <v>28469</v>
      </c>
      <c r="C22617" s="5" t="str">
        <f>IFERROR(__xludf.DUMMYFUNCTION("GOOGLETRANSLATE(B22617,""en"",""de"")"),"Wir sehen Leute, die ein Innenfußballspiel spielen.")</f>
        <v>Wir sehen Leute, die ein Innenfußballspiel spielen.</v>
      </c>
    </row>
    <row r="22618">
      <c r="A22618" s="4" t="s">
        <v>28467</v>
      </c>
      <c r="B22618" s="4" t="s">
        <v>28470</v>
      </c>
      <c r="C22618" s="5" t="str">
        <f>IFERROR(__xludf.DUMMYFUNCTION("GOOGLETRANSLATE(B22618,""en"",""de"")"),"Ein Mann in Schwarz rennt mit seinen Armen in der Luft.")</f>
        <v>Ein Mann in Schwarz rennt mit seinen Armen in der Luft.</v>
      </c>
    </row>
    <row r="22619">
      <c r="A22619" s="4" t="s">
        <v>28467</v>
      </c>
      <c r="B22619" s="4" t="s">
        <v>28471</v>
      </c>
      <c r="C22619" s="5" t="str">
        <f>IFERROR(__xludf.DUMMYFUNCTION("GOOGLETRANSLATE(B22619,""en"",""de"")"),"Ein Mann in gelben Folien auf dem Boden.")</f>
        <v>Ein Mann in gelben Folien auf dem Boden.</v>
      </c>
    </row>
    <row r="22620">
      <c r="A22620" s="4" t="s">
        <v>28467</v>
      </c>
      <c r="B22620" s="4" t="s">
        <v>28472</v>
      </c>
      <c r="C22620" s="5" t="str">
        <f>IFERROR(__xludf.DUMMYFUNCTION("GOOGLETRANSLATE(B22620,""en"",""de"")"),"Die 10 in Gelb wirft einen Wutanfall.")</f>
        <v>Die 10 in Gelb wirft einen Wutanfall.</v>
      </c>
    </row>
    <row r="22621">
      <c r="A22621" s="4" t="s">
        <v>28467</v>
      </c>
      <c r="B22621" s="4" t="s">
        <v>28473</v>
      </c>
      <c r="C22621" s="5" t="str">
        <f>IFERROR(__xludf.DUMMYFUNCTION("GOOGLETRANSLATE(B22621,""en"",""de"")"),"Das gelbe Team umarmt sich alle.")</f>
        <v>Das gelbe Team umarmt sich alle.</v>
      </c>
    </row>
    <row r="22622">
      <c r="A22622" s="4" t="s">
        <v>28467</v>
      </c>
      <c r="B22622" s="4" t="s">
        <v>28474</v>
      </c>
      <c r="C22622" s="5" t="str">
        <f>IFERROR(__xludf.DUMMYFUNCTION("GOOGLETRANSLATE(B22622,""en"",""de"")"),"Wir kehren zu den Männern im Studio zurück.")</f>
        <v>Wir kehren zu den Männern im Studio zurück.</v>
      </c>
    </row>
    <row r="22623">
      <c r="A22623" s="4" t="s">
        <v>28475</v>
      </c>
      <c r="B22623" s="4" t="s">
        <v>28476</v>
      </c>
      <c r="C22623" s="5" t="str">
        <f>IFERROR(__xludf.DUMMYFUNCTION("GOOGLETRANSLATE(B22623,""en"",""de"")"),"Ein Mann ist draußen mit zwei Hunden am Leinen.")</f>
        <v>Ein Mann ist draußen mit zwei Hunden am Leinen.</v>
      </c>
    </row>
    <row r="22624">
      <c r="A22624" s="4" t="s">
        <v>28475</v>
      </c>
      <c r="B22624" s="4" t="s">
        <v>28477</v>
      </c>
      <c r="C22624" s="5" t="str">
        <f>IFERROR(__xludf.DUMMYFUNCTION("GOOGLETRANSLATE(B22624,""en"",""de"")"),"Er macht eine Show mit den ausgebildeten Hunden.")</f>
        <v>Er macht eine Show mit den ausgebildeten Hunden.</v>
      </c>
    </row>
    <row r="22625">
      <c r="A22625" s="4" t="s">
        <v>28475</v>
      </c>
      <c r="B22625" s="4" t="s">
        <v>28478</v>
      </c>
      <c r="C22625" s="5" t="str">
        <f>IFERROR(__xludf.DUMMYFUNCTION("GOOGLETRANSLATE(B22625,""en"",""de"")"),"Er wirft Frisbees und die kleine Menge klatscht für die darstellenden Hunde.")</f>
        <v>Er wirft Frisbees und die kleine Menge klatscht für die darstellenden Hunde.</v>
      </c>
    </row>
    <row r="22626">
      <c r="A22626" s="4" t="s">
        <v>28479</v>
      </c>
      <c r="B22626" s="4" t="s">
        <v>28480</v>
      </c>
      <c r="C22626" s="5" t="str">
        <f>IFERROR(__xludf.DUMMYFUNCTION("GOOGLETRANSLATE(B22626,""en"",""de"")"),"Ein Mann steht über einem Dach eines Hauses und stellt das Dach auf.")</f>
        <v>Ein Mann steht über einem Dach eines Hauses und stellt das Dach auf.</v>
      </c>
    </row>
    <row r="22627">
      <c r="A22627" s="4" t="s">
        <v>28479</v>
      </c>
      <c r="B22627" s="4" t="s">
        <v>28481</v>
      </c>
      <c r="C22627" s="5" t="str">
        <f>IFERROR(__xludf.DUMMYFUNCTION("GOOGLETRANSLATE(B22627,""en"",""de"")"),"Dann hält der Mann den Griff eines Werkzeugs mit einer Hand.")</f>
        <v>Dann hält der Mann den Griff eines Werkzeugs mit einer Hand.</v>
      </c>
    </row>
    <row r="22628">
      <c r="A22628" s="4" t="s">
        <v>28479</v>
      </c>
      <c r="B22628" s="4" t="s">
        <v>28482</v>
      </c>
      <c r="C22628" s="5" t="str">
        <f>IFERROR(__xludf.DUMMYFUNCTION("GOOGLETRANSLATE(B22628,""en"",""de"")"),"Der Mann hält den Griff mit zwei Händen, dann hält er das Werkzeug weiterhin mit einer Hand.")</f>
        <v>Der Mann hält den Griff mit zwei Händen, dann hält er das Werkzeug weiterhin mit einer Hand.</v>
      </c>
    </row>
    <row r="22629">
      <c r="A22629" s="4" t="s">
        <v>28483</v>
      </c>
      <c r="B22629" s="4" t="s">
        <v>28484</v>
      </c>
      <c r="C22629" s="5" t="str">
        <f>IFERROR(__xludf.DUMMYFUNCTION("GOOGLETRANSLATE(B22629,""en"",""de"")"),"Die Hände einer Person werden versucht, einen Rubix -Würfel zu lösen, während das Ende eines Tisches angezeigt wird.")</f>
        <v>Die Hände einer Person werden versucht, einen Rubix -Würfel zu lösen, während das Ende eines Tisches angezeigt wird.</v>
      </c>
    </row>
    <row r="22630">
      <c r="A22630" s="4" t="s">
        <v>28483</v>
      </c>
      <c r="B22630" s="4" t="s">
        <v>28485</v>
      </c>
      <c r="C22630" s="5" t="str">
        <f>IFERROR(__xludf.DUMMYFUNCTION("GOOGLETRANSLATE(B22630,""en"",""de"")"),"Die Person fährt fort, bis sie den Würfel beendet und dann seine Zeit auf dem Bildschirm zeigt.")</f>
        <v>Die Person fährt fort, bis sie den Würfel beendet und dann seine Zeit auf dem Bildschirm zeigt.</v>
      </c>
    </row>
    <row r="22631">
      <c r="A22631" s="4" t="s">
        <v>28486</v>
      </c>
      <c r="B22631" s="4" t="s">
        <v>28487</v>
      </c>
      <c r="C22631" s="5" t="str">
        <f>IFERROR(__xludf.DUMMYFUNCTION("GOOGLETRANSLATE(B22631,""en"",""de"")"),"Eine Gruppe junger Mädchen trägt rosa Tutus, steht auf einer Bühne und macht ihre Ballerina -Routine.")</f>
        <v>Eine Gruppe junger Mädchen trägt rosa Tutus, steht auf einer Bühne und macht ihre Ballerina -Routine.</v>
      </c>
    </row>
    <row r="22632">
      <c r="A22632" s="4" t="s">
        <v>28486</v>
      </c>
      <c r="B22632" s="4" t="s">
        <v>28488</v>
      </c>
      <c r="C22632" s="5" t="str">
        <f>IFERROR(__xludf.DUMMYFUNCTION("GOOGLETRANSLATE(B22632,""en"",""de"")"),"Eines der Mädchen geht von den anderen aus der Synchronisierung und beginnt ihre Füße zu bewegen, während sie ihre Routine macht und alles andere Mädchen nur auf den Füßen stehen und sich nur ihre Arme bewegen.")</f>
        <v>Eines der Mädchen geht von den anderen aus der Synchronisierung und beginnt ihre Füße zu bewegen, während sie ihre Routine macht und alles andere Mädchen nur auf den Füßen stehen und sich nur ihre Arme bewegen.</v>
      </c>
    </row>
    <row r="22633">
      <c r="A22633" s="4" t="s">
        <v>28486</v>
      </c>
      <c r="B22633" s="4" t="s">
        <v>28489</v>
      </c>
      <c r="C22633" s="5" t="str">
        <f>IFERROR(__xludf.DUMMYFUNCTION("GOOGLETRANSLATE(B22633,""en"",""de"")"),"Die Mädchen fangen jetzt an zu singen, während sie weiter tanzen, und das gleiche Mädchen, das ihr eigenes Ding aus Synchronisation machte, tanzt weiterhin ihr eigenes Tanzen von der Mehrheit der jungen Mädchen.")</f>
        <v>Die Mädchen fangen jetzt an zu singen, während sie weiter tanzen, und das gleiche Mädchen, das ihr eigenes Ding aus Synchronisation machte, tanzt weiterhin ihr eigenes Tanzen von der Mehrheit der jungen Mädchen.</v>
      </c>
    </row>
    <row r="22634">
      <c r="A22634" s="4" t="s">
        <v>28486</v>
      </c>
      <c r="B22634" s="4" t="s">
        <v>28490</v>
      </c>
      <c r="C22634" s="5" t="str">
        <f>IFERROR(__xludf.DUMMYFUNCTION("GOOGLETRANSLATE(B22634,""en"",""de"")"),"Der Tanz endet und einige der Mädchen machen einen Knicks und dann gehen sie alle von der Bühne.")</f>
        <v>Der Tanz endet und einige der Mädchen machen einen Knicks und dann gehen sie alle von der Bühne.</v>
      </c>
    </row>
    <row r="22635">
      <c r="A22635" s="4" t="s">
        <v>28491</v>
      </c>
      <c r="B22635" s="4" t="s">
        <v>28492</v>
      </c>
      <c r="C22635" s="5" t="str">
        <f>IFERROR(__xludf.DUMMYFUNCTION("GOOGLETRANSLATE(B22635,""en"",""de"")"),"Ein Mann in einer Filmmaske sitzt durch einen Treppenflug.")</f>
        <v>Ein Mann in einer Filmmaske sitzt durch einen Treppenflug.</v>
      </c>
    </row>
    <row r="22636">
      <c r="A22636" s="4" t="s">
        <v>28491</v>
      </c>
      <c r="B22636" s="4" t="s">
        <v>28493</v>
      </c>
      <c r="C22636" s="5" t="str">
        <f>IFERROR(__xludf.DUMMYFUNCTION("GOOGLETRANSLATE(B22636,""en"",""de"")"),"Er spielt einen Akkordeianer für die Menschen, die vorbeikommen.")</f>
        <v>Er spielt einen Akkordeianer für die Menschen, die vorbeikommen.</v>
      </c>
    </row>
    <row r="22637">
      <c r="A22637" s="4" t="s">
        <v>28491</v>
      </c>
      <c r="B22637" s="4" t="s">
        <v>28494</v>
      </c>
      <c r="C22637" s="5" t="str">
        <f>IFERROR(__xludf.DUMMYFUNCTION("GOOGLETRANSLATE(B22637,""en"",""de"")"),"Ein paar Pause, um zuzuhören, und dann weitermachen.")</f>
        <v>Ein paar Pause, um zuzuhören, und dann weitermachen.</v>
      </c>
    </row>
    <row r="22638">
      <c r="A22638" s="4" t="s">
        <v>28495</v>
      </c>
      <c r="B22638" s="4" t="s">
        <v>28496</v>
      </c>
      <c r="C22638" s="5" t="str">
        <f>IFERROR(__xludf.DUMMYFUNCTION("GOOGLETRANSLATE(B22638,""en"",""de"")"),"Eine Frau demonstriert auf einem Spielzeugbaby, wie man ein Baby wickelt und das Gesicht eines Babys mit Wattekugeln und nassen Handtüchern wäscht.")</f>
        <v>Eine Frau demonstriert auf einem Spielzeugbaby, wie man ein Baby wickelt und das Gesicht eines Babys mit Wattekugeln und nassen Handtüchern wäscht.</v>
      </c>
    </row>
    <row r="22639">
      <c r="A22639" s="4" t="s">
        <v>28495</v>
      </c>
      <c r="B22639" s="4" t="s">
        <v>28497</v>
      </c>
      <c r="C22639" s="5" t="str">
        <f>IFERROR(__xludf.DUMMYFUNCTION("GOOGLETRANSLATE(B22639,""en"",""de"")"),"Eine Frau steht vor einem Spielzeugbaby und spricht mit der Kamera.")</f>
        <v>Eine Frau steht vor einem Spielzeugbaby und spricht mit der Kamera.</v>
      </c>
    </row>
    <row r="22640">
      <c r="A22640" s="4" t="s">
        <v>28495</v>
      </c>
      <c r="B22640" s="4" t="s">
        <v>28498</v>
      </c>
      <c r="C22640" s="5" t="str">
        <f>IFERROR(__xludf.DUMMYFUNCTION("GOOGLETRANSLATE(B22640,""en"",""de"")"),"Die Frau wickelt das Baby in einer weißen Decke und beginnt dann, mit Wasser getränkte Baumwollkugeln von einem nahe gelegenen Wasserbehälter auf die Augen, die Nase und das Gesicht des Babys aufzutragen.")</f>
        <v>Die Frau wickelt das Baby in einer weißen Decke und beginnt dann, mit Wasser getränkte Baumwollkugeln von einem nahe gelegenen Wasserbehälter auf die Augen, die Nase und das Gesicht des Babys aufzutragen.</v>
      </c>
    </row>
    <row r="22641">
      <c r="A22641" s="4" t="s">
        <v>28495</v>
      </c>
      <c r="B22641" s="4" t="s">
        <v>28499</v>
      </c>
      <c r="C22641" s="5" t="str">
        <f>IFERROR(__xludf.DUMMYFUNCTION("GOOGLETRANSLATE(B22641,""en"",""de"")"),"Die Frau endet und spricht wieder mit der Kamera.")</f>
        <v>Die Frau endet und spricht wieder mit der Kamera.</v>
      </c>
    </row>
    <row r="22642">
      <c r="A22642" s="4" t="s">
        <v>28500</v>
      </c>
      <c r="B22642" s="4" t="s">
        <v>28501</v>
      </c>
      <c r="C22642" s="5" t="str">
        <f>IFERROR(__xludf.DUMMYFUNCTION("GOOGLETRANSLATE(B22642,""en"",""de"")"),"Eine Frau spricht mit der Kamera und beginnt, einen Gegenstand zu entbinden.")</f>
        <v>Eine Frau spricht mit der Kamera und beginnt, einen Gegenstand zu entbinden.</v>
      </c>
    </row>
    <row r="22643">
      <c r="A22643" s="4" t="s">
        <v>28500</v>
      </c>
      <c r="B22643" s="4" t="s">
        <v>28502</v>
      </c>
      <c r="C22643" s="5" t="str">
        <f>IFERROR(__xludf.DUMMYFUNCTION("GOOGLETRANSLATE(B22643,""en"",""de"")"),"Sie zieht die Paneele heraus und legt Sonnenbrille an und zeigt der Kamera eine Pfanne von Gegenständen.")</f>
        <v>Sie zieht die Paneele heraus und legt Sonnenbrille an und zeigt der Kamera eine Pfanne von Gegenständen.</v>
      </c>
    </row>
    <row r="22644">
      <c r="A22644" s="4" t="s">
        <v>28500</v>
      </c>
      <c r="B22644" s="4" t="s">
        <v>28503</v>
      </c>
      <c r="C22644" s="5" t="str">
        <f>IFERROR(__xludf.DUMMYFUNCTION("GOOGLETRANSLATE(B22644,""en"",""de"")"),"Sie spricht weiter mit der Kamera und zieht die Objekte aus, um gebackene Kekse zu präsentieren.")</f>
        <v>Sie spricht weiter mit der Kamera und zieht die Objekte aus, um gebackene Kekse zu präsentieren.</v>
      </c>
    </row>
    <row r="22645">
      <c r="A22645" s="4" t="s">
        <v>28500</v>
      </c>
      <c r="B22645" s="4" t="s">
        <v>28504</v>
      </c>
      <c r="C22645" s="5" t="str">
        <f>IFERROR(__xludf.DUMMYFUNCTION("GOOGLETRANSLATE(B22645,""en"",""de"")"),"Die Kekse sind wieder auf einem Tablett zu sehen und sie bricht sie auf, um zu sehen.")</f>
        <v>Die Kekse sind wieder auf einem Tablett zu sehen und sie bricht sie auf, um zu sehen.</v>
      </c>
    </row>
    <row r="22646">
      <c r="A22646" s="4" t="s">
        <v>28505</v>
      </c>
      <c r="B22646" s="4" t="s">
        <v>28506</v>
      </c>
      <c r="C22646" s="5" t="str">
        <f>IFERROR(__xludf.DUMMYFUNCTION("GOOGLETRANSLATE(B22646,""en"",""de"")"),"Ein kleiner Junge beugt sich über ein Pinsel in einen blauen Eimer.")</f>
        <v>Ein kleiner Junge beugt sich über ein Pinsel in einen blauen Eimer.</v>
      </c>
    </row>
    <row r="22647">
      <c r="A22647" s="4" t="s">
        <v>28505</v>
      </c>
      <c r="B22647" s="4" t="s">
        <v>28507</v>
      </c>
      <c r="C22647" s="5" t="str">
        <f>IFERROR(__xludf.DUMMYFUNCTION("GOOGLETRANSLATE(B22647,""en"",""de"")"),"Er malt den Zaun vor ihm.")</f>
        <v>Er malt den Zaun vor ihm.</v>
      </c>
    </row>
    <row r="22648">
      <c r="A22648" s="4" t="s">
        <v>28505</v>
      </c>
      <c r="B22648" s="4" t="s">
        <v>28508</v>
      </c>
      <c r="C22648" s="5" t="str">
        <f>IFERROR(__xludf.DUMMYFUNCTION("GOOGLETRANSLATE(B22648,""en"",""de"")"),"Er geht zur Kamera.")</f>
        <v>Er geht zur Kamera.</v>
      </c>
    </row>
    <row r="22649">
      <c r="A22649" s="4" t="s">
        <v>28509</v>
      </c>
      <c r="B22649" s="4" t="s">
        <v>28510</v>
      </c>
      <c r="C22649" s="5" t="str">
        <f>IFERROR(__xludf.DUMMYFUNCTION("GOOGLETRANSLATE(B22649,""en"",""de"")"),"Zwei Mädchen bewegten sich schnell im Raum, während sie sich um den Platz wechseln und in eine Kamera schauen.")</f>
        <v>Zwei Mädchen bewegten sich schnell im Raum, während sie sich um den Platz wechseln und in eine Kamera schauen.</v>
      </c>
    </row>
    <row r="22650">
      <c r="A22650" s="4" t="s">
        <v>28509</v>
      </c>
      <c r="B22650" s="4" t="s">
        <v>28511</v>
      </c>
      <c r="C22650" s="5" t="str">
        <f>IFERROR(__xludf.DUMMYFUNCTION("GOOGLETRANSLATE(B22650,""en"",""de"")"),"Das jüngere Mädchen lacht gegen die Kamera, während er Make -up aufnimmt und die anderen sich schnell bewegt.")</f>
        <v>Das jüngere Mädchen lacht gegen die Kamera, während er Make -up aufnimmt und die anderen sich schnell bewegt.</v>
      </c>
    </row>
    <row r="22651">
      <c r="A22651" s="4" t="s">
        <v>28512</v>
      </c>
      <c r="B22651" s="4" t="s">
        <v>28513</v>
      </c>
      <c r="C22651" s="5" t="str">
        <f>IFERROR(__xludf.DUMMYFUNCTION("GOOGLETRANSLATE(B22651,""en"",""de"")"),"Ein junges Mädchen spricht mit der Kamera, während er an einem Tisch sitzt, und führt in sie einen Kontaktfall.")</f>
        <v>Ein junges Mädchen spricht mit der Kamera, während er an einem Tisch sitzt, und führt in sie einen Kontaktfall.</v>
      </c>
    </row>
    <row r="22652">
      <c r="A22652" s="4" t="s">
        <v>28512</v>
      </c>
      <c r="B22652" s="4" t="s">
        <v>28514</v>
      </c>
      <c r="C22652" s="5" t="str">
        <f>IFERROR(__xludf.DUMMYFUNCTION("GOOGLETRANSLATE(B22652,""en"",""de"")"),"Das Mädchen hält dann ihr Auge offen und nimmt den Kontakt heraus, gefolgt von ihr, das ihn in Flüssigkeit taucht und ihn wieder eingibt, während sie immer noch spricht.")</f>
        <v>Das Mädchen hält dann ihr Auge offen und nimmt den Kontakt heraus, gefolgt von ihr, das ihn in Flüssigkeit taucht und ihn wieder eingibt, während sie immer noch spricht.</v>
      </c>
    </row>
    <row r="22653">
      <c r="A22653" s="4" t="s">
        <v>28515</v>
      </c>
      <c r="B22653" s="4" t="s">
        <v>28516</v>
      </c>
      <c r="C22653" s="5" t="str">
        <f>IFERROR(__xludf.DUMMYFUNCTION("GOOGLETRANSLATE(B22653,""en"",""de"")"),"Eine Frau rollt über eine Straße mit Menschen, die hinter ihr überqueren.")</f>
        <v>Eine Frau rollt über eine Straße mit Menschen, die hinter ihr überqueren.</v>
      </c>
    </row>
    <row r="22654">
      <c r="A22654" s="4" t="s">
        <v>28515</v>
      </c>
      <c r="B22654" s="4" t="s">
        <v>28517</v>
      </c>
      <c r="C22654" s="5" t="str">
        <f>IFERROR(__xludf.DUMMYFUNCTION("GOOGLETRANSLATE(B22654,""en"",""de"")"),"Sie geht allein über die Straße zurück.")</f>
        <v>Sie geht allein über die Straße zurück.</v>
      </c>
    </row>
    <row r="22655">
      <c r="A22655" s="4" t="s">
        <v>28515</v>
      </c>
      <c r="B22655" s="4" t="s">
        <v>28518</v>
      </c>
      <c r="C22655" s="5" t="str">
        <f>IFERROR(__xludf.DUMMYFUNCTION("GOOGLETRANSLATE(B22655,""en"",""de"")"),"Eine Frau in einem grauen Pullover spricht mit der Kamera auf dem Bürgersteig.")</f>
        <v>Eine Frau in einem grauen Pullover spricht mit der Kamera auf dem Bürgersteig.</v>
      </c>
    </row>
    <row r="22656">
      <c r="A22656" s="4" t="s">
        <v>28515</v>
      </c>
      <c r="B22656" s="4" t="s">
        <v>28519</v>
      </c>
      <c r="C22656" s="5" t="str">
        <f>IFERROR(__xludf.DUMMYFUNCTION("GOOGLETRANSLATE(B22656,""en"",""de"")"),"Ein Mann in einem schwarzen Hut spricht mit der Kamera vor einem blauen Gebäude.")</f>
        <v>Ein Mann in einem schwarzen Hut spricht mit der Kamera vor einem blauen Gebäude.</v>
      </c>
    </row>
    <row r="22657">
      <c r="A22657" s="4" t="s">
        <v>28515</v>
      </c>
      <c r="B22657" s="4" t="s">
        <v>28520</v>
      </c>
      <c r="C22657" s="5" t="str">
        <f>IFERROR(__xludf.DUMMYFUNCTION("GOOGLETRANSLATE(B22657,""en"",""de"")"),"Ein Mann in einem schwarzen Hemd setzt sich und redet.")</f>
        <v>Ein Mann in einem schwarzen Hemd setzt sich und redet.</v>
      </c>
    </row>
    <row r="22658">
      <c r="A22658" s="4" t="s">
        <v>28515</v>
      </c>
      <c r="B22658" s="4" t="s">
        <v>28521</v>
      </c>
      <c r="C22658" s="5" t="str">
        <f>IFERROR(__xludf.DUMMYFUNCTION("GOOGLETRANSLATE(B22658,""en"",""de"")"),"Es geht zurück zum Mann in einem schwarzen Hut, der spricht.")</f>
        <v>Es geht zurück zum Mann in einem schwarzen Hut, der spricht.</v>
      </c>
    </row>
    <row r="22659">
      <c r="A22659" s="4" t="s">
        <v>28515</v>
      </c>
      <c r="B22659" s="4" t="s">
        <v>28522</v>
      </c>
      <c r="C22659" s="5" t="str">
        <f>IFERROR(__xludf.DUMMYFUNCTION("GOOGLETRANSLATE(B22659,""en"",""de"")"),"Es geht zurück zum Mann im schwarzen Hemd und redet.")</f>
        <v>Es geht zurück zum Mann im schwarzen Hemd und redet.</v>
      </c>
    </row>
    <row r="22660">
      <c r="A22660" s="4" t="s">
        <v>28515</v>
      </c>
      <c r="B22660" s="4" t="s">
        <v>28523</v>
      </c>
      <c r="C22660" s="5" t="str">
        <f>IFERROR(__xludf.DUMMYFUNCTION("GOOGLETRANSLATE(B22660,""en"",""de"")"),"Das Mädchen ist auf Rollschaufeln gebeugt und zieht etwas aus einer Bank.")</f>
        <v>Das Mädchen ist auf Rollschaufeln gebeugt und zieht etwas aus einer Bank.</v>
      </c>
    </row>
    <row r="22661">
      <c r="A22661" s="4" t="s">
        <v>28515</v>
      </c>
      <c r="B22661" s="4" t="s">
        <v>28524</v>
      </c>
      <c r="C22661" s="5" t="str">
        <f>IFERROR(__xludf.DUMMYFUNCTION("GOOGLETRANSLATE(B22661,""en"",""de"")"),"Sie macht Tricks auf der Bank.")</f>
        <v>Sie macht Tricks auf der Bank.</v>
      </c>
    </row>
    <row r="22662">
      <c r="A22662" s="4" t="s">
        <v>28515</v>
      </c>
      <c r="B22662" s="4" t="s">
        <v>28525</v>
      </c>
      <c r="C22662" s="5" t="str">
        <f>IFERROR(__xludf.DUMMYFUNCTION("GOOGLETRANSLATE(B22662,""en"",""de"")"),"Eine Frau in einem braunen Hut spricht.")</f>
        <v>Eine Frau in einem braunen Hut spricht.</v>
      </c>
    </row>
    <row r="22663">
      <c r="A22663" s="4" t="s">
        <v>28515</v>
      </c>
      <c r="B22663" s="4" t="s">
        <v>28526</v>
      </c>
      <c r="C22663" s="5" t="str">
        <f>IFERROR(__xludf.DUMMYFUNCTION("GOOGLETRANSLATE(B22663,""en"",""de"")"),"Ein Mann mit Mohawk spricht.")</f>
        <v>Ein Mann mit Mohawk spricht.</v>
      </c>
    </row>
    <row r="22664">
      <c r="A22664" s="4" t="s">
        <v>28515</v>
      </c>
      <c r="B22664" s="4" t="s">
        <v>28527</v>
      </c>
      <c r="C22664" s="5" t="str">
        <f>IFERROR(__xludf.DUMMYFUNCTION("GOOGLETRANSLATE(B22664,""en"",""de"")"),"Das Mädchen macht mehr Tricks an ihren Rollschaufeln.")</f>
        <v>Das Mädchen macht mehr Tricks an ihren Rollschaufeln.</v>
      </c>
    </row>
    <row r="22665">
      <c r="A22665" s="4" t="s">
        <v>28515</v>
      </c>
      <c r="B22665" s="4" t="s">
        <v>18302</v>
      </c>
      <c r="C22665" s="5" t="str">
        <f>IFERROR(__xludf.DUMMYFUNCTION("GOOGLETRANSLATE(B22665,""en"",""de"")"),"Eine Frau in einem rosa Hemd redet.")</f>
        <v>Eine Frau in einem rosa Hemd redet.</v>
      </c>
    </row>
    <row r="22666">
      <c r="A22666" s="4" t="s">
        <v>28515</v>
      </c>
      <c r="B22666" s="4" t="s">
        <v>28528</v>
      </c>
      <c r="C22666" s="5" t="str">
        <f>IFERROR(__xludf.DUMMYFUNCTION("GOOGLETRANSLATE(B22666,""en"",""de"")"),"Drei Kinder sitzen auf einer Bank in Rollschuhen und reden.")</f>
        <v>Drei Kinder sitzen auf einer Bank in Rollschuhen und reden.</v>
      </c>
    </row>
    <row r="22667">
      <c r="A22667" s="4" t="s">
        <v>28515</v>
      </c>
      <c r="B22667" s="4" t="s">
        <v>28529</v>
      </c>
      <c r="C22667" s="5" t="str">
        <f>IFERROR(__xludf.DUMMYFUNCTION("GOOGLETRANSLATE(B22667,""en"",""de"")"),"Das Mädchen auf Rollerblättern macht einen weiteren Trick.")</f>
        <v>Das Mädchen auf Rollerblättern macht einen weiteren Trick.</v>
      </c>
    </row>
    <row r="22668">
      <c r="A22668" s="4" t="s">
        <v>28515</v>
      </c>
      <c r="B22668" s="4" t="s">
        <v>28530</v>
      </c>
      <c r="C22668" s="5" t="str">
        <f>IFERROR(__xludf.DUMMYFUNCTION("GOOGLETRANSLATE(B22668,""en"",""de"")"),"Eine ältere Frau spricht mit der Kamera.")</f>
        <v>Eine ältere Frau spricht mit der Kamera.</v>
      </c>
    </row>
    <row r="22669">
      <c r="A22669" s="4" t="s">
        <v>28531</v>
      </c>
      <c r="B22669" s="4" t="s">
        <v>28532</v>
      </c>
      <c r="C22669" s="5" t="str">
        <f>IFERROR(__xludf.DUMMYFUNCTION("GOOGLETRANSLATE(B22669,""en"",""de"")"),"Ein Junge zeichnet mit Kreide auf Beton, während er sich mit den Problemen des Familienlebens und der Schule befasst.")</f>
        <v>Ein Junge zeichnet mit Kreide auf Beton, während er sich mit den Problemen des Familienlebens und der Schule befasst.</v>
      </c>
    </row>
    <row r="22670">
      <c r="A22670" s="4" t="s">
        <v>28531</v>
      </c>
      <c r="B22670" s="4" t="s">
        <v>28533</v>
      </c>
      <c r="C22670" s="5" t="str">
        <f>IFERROR(__xludf.DUMMYFUNCTION("GOOGLETRANSLATE(B22670,""en"",""de"")"),"Er beendet Hopscotch -Kisten auf dem Beton, als er auf die Quadrate springt und beginnt zu tanzen, nur um an das Mobbing in der Schule erinnert zu werden.")</f>
        <v>Er beendet Hopscotch -Kisten auf dem Beton, als er auf die Quadrate springt und beginnt zu tanzen, nur um an das Mobbing in der Schule erinnert zu werden.</v>
      </c>
    </row>
    <row r="22671">
      <c r="A22671" s="4" t="s">
        <v>28531</v>
      </c>
      <c r="B22671" s="4" t="s">
        <v>28534</v>
      </c>
      <c r="C22671" s="5" t="str">
        <f>IFERROR(__xludf.DUMMYFUNCTION("GOOGLETRANSLATE(B22671,""en"",""de"")"),"Der junge Mann ist jetzt zu sehen, wie er tanzt und eine Routine durchläuft.")</f>
        <v>Der junge Mann ist jetzt zu sehen, wie er tanzt und eine Routine durchläuft.</v>
      </c>
    </row>
    <row r="22672">
      <c r="A22672" s="4" t="s">
        <v>28531</v>
      </c>
      <c r="B22672" s="4" t="s">
        <v>28535</v>
      </c>
      <c r="C22672" s="5" t="str">
        <f>IFERROR(__xludf.DUMMYFUNCTION("GOOGLETRANSLATE(B22672,""en"",""de"")"),"Zurück zu Hause mit seiner unruhigen Familie, die er isst und Tag träumt vom Tanzen, wenn die Szene auf ihn tanzt.")</f>
        <v>Zurück zu Hause mit seiner unruhigen Familie, die er isst und Tag träumt vom Tanzen, wenn die Szene auf ihn tanzt.</v>
      </c>
    </row>
    <row r="22673">
      <c r="A22673" s="4" t="s">
        <v>28531</v>
      </c>
      <c r="B22673" s="4" t="s">
        <v>28536</v>
      </c>
      <c r="C22673" s="5" t="str">
        <f>IFERROR(__xludf.DUMMYFUNCTION("GOOGLETRANSLATE(B22673,""en"",""de"")"),"Er hört auf zu tanzen, um sich die Hopscotch -Quadrate anzusehen, die jetzt verblasst und abgenutzt sind.")</f>
        <v>Er hört auf zu tanzen, um sich die Hopscotch -Quadrate anzusehen, die jetzt verblasst und abgenutzt sind.</v>
      </c>
    </row>
    <row r="22674">
      <c r="A22674" s="4" t="s">
        <v>28531</v>
      </c>
      <c r="B22674" s="4" t="s">
        <v>28537</v>
      </c>
      <c r="C22674" s="5" t="str">
        <f>IFERROR(__xludf.DUMMYFUNCTION("GOOGLETRANSLATE(B22674,""en"",""de"")"),"Im Klassenzimmer als Lehrer geht er durch die Reihen von Schreibtischen, er bemerkt den jungen Mann, der an seinem Schreibtisch schläft, als er einen Herrscher benutzt, um ihn auf den Kopf zu tippen, um ihn zu wecken.")</f>
        <v>Im Klassenzimmer als Lehrer geht er durch die Reihen von Schreibtischen, er bemerkt den jungen Mann, der an seinem Schreibtisch schläft, als er einen Herrscher benutzt, um ihn auf den Kopf zu tippen, um ihn zu wecken.</v>
      </c>
    </row>
    <row r="22675">
      <c r="A22675" s="4" t="s">
        <v>28531</v>
      </c>
      <c r="B22675" s="4" t="s">
        <v>28538</v>
      </c>
      <c r="C22675" s="5" t="str">
        <f>IFERROR(__xludf.DUMMYFUNCTION("GOOGLETRANSLATE(B22675,""en"",""de"")"),"Der Jungen bemerkt eine Notiz an seinem Schreibtisch, die ein Bild von den Hopscotch -Quadräten aufweist, auf der ""Teach Me"" heißt, gefolgt von einem Smiley -Gesicht.")</f>
        <v>Der Jungen bemerkt eine Notiz an seinem Schreibtisch, die ein Bild von den Hopscotch -Quadräten aufweist, auf der "Teach Me" heißt, gefolgt von einem Smiley -Gesicht.</v>
      </c>
    </row>
    <row r="22676">
      <c r="A22676" s="4" t="s">
        <v>28531</v>
      </c>
      <c r="B22676" s="4" t="s">
        <v>28539</v>
      </c>
      <c r="C22676" s="5" t="str">
        <f>IFERROR(__xludf.DUMMYFUNCTION("GOOGLETRANSLATE(B22676,""en"",""de"")"),"Die Credits rollen als Beton und die Kreidespuren der Hopscotch -Quadrate.")</f>
        <v>Die Credits rollen als Beton und die Kreidespuren der Hopscotch -Quadrate.</v>
      </c>
    </row>
    <row r="22677">
      <c r="A22677" s="4" t="s">
        <v>28540</v>
      </c>
      <c r="B22677" s="4" t="s">
        <v>8286</v>
      </c>
      <c r="C22677" s="5" t="str">
        <f>IFERROR(__xludf.DUMMYFUNCTION("GOOGLETRANSLATE(B22677,""en"",""de"")"),"Eine Frau steht hinter einem Tisch.")</f>
        <v>Eine Frau steht hinter einem Tisch.</v>
      </c>
    </row>
    <row r="22678">
      <c r="A22678" s="4" t="s">
        <v>28540</v>
      </c>
      <c r="B22678" s="4" t="s">
        <v>28541</v>
      </c>
      <c r="C22678" s="5" t="str">
        <f>IFERROR(__xludf.DUMMYFUNCTION("GOOGLETRANSLATE(B22678,""en"",""de"")"),"Sie öffnet einen weißen Mülleimer und gießt Wasser und Seife hinein.")</f>
        <v>Sie öffnet einen weißen Mülleimer und gießt Wasser und Seife hinein.</v>
      </c>
    </row>
    <row r="22679">
      <c r="A22679" s="4" t="s">
        <v>28540</v>
      </c>
      <c r="B22679" s="4" t="s">
        <v>28542</v>
      </c>
      <c r="C22679" s="5" t="str">
        <f>IFERROR(__xludf.DUMMYFUNCTION("GOOGLETRANSLATE(B22679,""en"",""de"")"),"Sie schließt es dann und dreht die Oberseite.")</f>
        <v>Sie schließt es dann und dreht die Oberseite.</v>
      </c>
    </row>
    <row r="22680">
      <c r="A22680" s="4" t="s">
        <v>28540</v>
      </c>
      <c r="B22680" s="4" t="s">
        <v>28543</v>
      </c>
      <c r="C22680" s="5" t="str">
        <f>IFERROR(__xludf.DUMMYFUNCTION("GOOGLETRANSLATE(B22680,""en"",""de"")"),"Sie hängt die Kleidung aus einem Holzregal zum Trocknen.")</f>
        <v>Sie hängt die Kleidung aus einem Holzregal zum Trocknen.</v>
      </c>
    </row>
    <row r="22681">
      <c r="A22681" s="4" t="s">
        <v>28544</v>
      </c>
      <c r="B22681" s="4" t="s">
        <v>28545</v>
      </c>
      <c r="C22681" s="5" t="str">
        <f>IFERROR(__xludf.DUMMYFUNCTION("GOOGLETRANSLATE(B22681,""en"",""de"")"),"Es gibt mehrere Arbeiter auf einem Dach, das an der Reparatur des Daches arbeitet.")</f>
        <v>Es gibt mehrere Arbeiter auf einem Dach, das an der Reparatur des Daches arbeitet.</v>
      </c>
    </row>
    <row r="22682">
      <c r="A22682" s="4" t="s">
        <v>28544</v>
      </c>
      <c r="B22682" s="4" t="s">
        <v>28546</v>
      </c>
      <c r="C22682" s="5" t="str">
        <f>IFERROR(__xludf.DUMMYFUNCTION("GOOGLETRANSLATE(B22682,""en"",""de"")"),"Sie entfernen die alten Schindeln mit Hilfe von Dachbuchsen.")</f>
        <v>Sie entfernen die alten Schindeln mit Hilfe von Dachbuchsen.</v>
      </c>
    </row>
    <row r="22683">
      <c r="A22683" s="4" t="s">
        <v>28544</v>
      </c>
      <c r="B22683" s="4" t="s">
        <v>28547</v>
      </c>
      <c r="C22683" s="5" t="str">
        <f>IFERROR(__xludf.DUMMYFUNCTION("GOOGLETRANSLATE(B22683,""en"",""de"")"),"Sie entfernen weiterhin die Schindeln, während sie auf dem Dach stehen.")</f>
        <v>Sie entfernen weiterhin die Schindeln, während sie auf dem Dach stehen.</v>
      </c>
    </row>
    <row r="22684">
      <c r="A22684" s="4" t="s">
        <v>28548</v>
      </c>
      <c r="B22684" s="4" t="s">
        <v>28549</v>
      </c>
      <c r="C22684" s="5" t="str">
        <f>IFERROR(__xludf.DUMMYFUNCTION("GOOGLETRANSLATE(B22684,""en"",""de"")"),"Ein Mann geht zu einer Reihe paralleler Bars.")</f>
        <v>Ein Mann geht zu einer Reihe paralleler Bars.</v>
      </c>
    </row>
    <row r="22685">
      <c r="A22685" s="4" t="s">
        <v>28548</v>
      </c>
      <c r="B22685" s="4" t="s">
        <v>28550</v>
      </c>
      <c r="C22685" s="5" t="str">
        <f>IFERROR(__xludf.DUMMYFUNCTION("GOOGLETRANSLATE(B22685,""en"",""de"")"),"Der Mann führt in einem professionellen Ort Akrobatik an den Bars durch.")</f>
        <v>Der Mann führt in einem professionellen Ort Akrobatik an den Bars durch.</v>
      </c>
    </row>
    <row r="22686">
      <c r="A22686" s="4" t="s">
        <v>28548</v>
      </c>
      <c r="B22686" s="4" t="s">
        <v>28551</v>
      </c>
      <c r="C22686" s="5" t="str">
        <f>IFERROR(__xludf.DUMMYFUNCTION("GOOGLETRANSLATE(B22686,""en"",""de"")"),"Der Mann springt erfolgreich von den Bars und landet auf seinen Füßen.")</f>
        <v>Der Mann springt erfolgreich von den Bars und landet auf seinen Füßen.</v>
      </c>
    </row>
    <row r="22687">
      <c r="A22687" s="4" t="s">
        <v>28552</v>
      </c>
      <c r="B22687" s="4" t="s">
        <v>28553</v>
      </c>
      <c r="C22687" s="5" t="str">
        <f>IFERROR(__xludf.DUMMYFUNCTION("GOOGLETRANSLATE(B22687,""en"",""de"")"),"Der Mann im weißen Hemd schlägt die Bongo -Trommel.")</f>
        <v>Der Mann im weißen Hemd schlägt die Bongo -Trommel.</v>
      </c>
    </row>
    <row r="22688">
      <c r="A22688" s="4" t="s">
        <v>28552</v>
      </c>
      <c r="B22688" s="4" t="s">
        <v>28554</v>
      </c>
      <c r="C22688" s="5" t="str">
        <f>IFERROR(__xludf.DUMMYFUNCTION("GOOGLETRANSLATE(B22688,""en"",""de"")"),"An der Theke sitzt der Mann hinter der Theke.")</f>
        <v>An der Theke sitzt der Mann hinter der Theke.</v>
      </c>
    </row>
    <row r="22689">
      <c r="A22689" s="4" t="s">
        <v>28552</v>
      </c>
      <c r="B22689" s="4" t="s">
        <v>28555</v>
      </c>
      <c r="C22689" s="5" t="str">
        <f>IFERROR(__xludf.DUMMYFUNCTION("GOOGLETRANSLATE(B22689,""en"",""de"")"),"Der Mann, der Bongo spielte, schlug eine Trommel, dann den nächsten, dann schlug er das Schlagzeug schnell.")</f>
        <v>Der Mann, der Bongo spielte, schlug eine Trommel, dann den nächsten, dann schlug er das Schlagzeug schnell.</v>
      </c>
    </row>
    <row r="22690">
      <c r="A22690" s="4" t="s">
        <v>28556</v>
      </c>
      <c r="B22690" s="4" t="s">
        <v>28557</v>
      </c>
      <c r="C22690" s="5" t="str">
        <f>IFERROR(__xludf.DUMMYFUNCTION("GOOGLETRANSLATE(B22690,""en"",""de"")"),"Ein Mann positioniert eine Kamera und betritt dann einen Raum durch eine Glaswand mit drei Wänden.")</f>
        <v>Ein Mann positioniert eine Kamera und betritt dann einen Raum durch eine Glaswand mit drei Wänden.</v>
      </c>
    </row>
    <row r="22691">
      <c r="A22691" s="4" t="s">
        <v>28556</v>
      </c>
      <c r="B22691" s="4" t="s">
        <v>28558</v>
      </c>
      <c r="C22691" s="5" t="str">
        <f>IFERROR(__xludf.DUMMYFUNCTION("GOOGLETRANSLATE(B22691,""en"",""de"")"),"Als er den Raum betritt, erscheint ein anderer Mann mit einem Schläger in der Hand und sie schlagen den Ball gegen die Wand.")</f>
        <v>Als er den Raum betritt, erscheint ein anderer Mann mit einem Schläger in der Hand und sie schlagen den Ball gegen die Wand.</v>
      </c>
    </row>
    <row r="22692">
      <c r="A22692" s="4" t="s">
        <v>28556</v>
      </c>
      <c r="B22692" s="4" t="s">
        <v>28559</v>
      </c>
      <c r="C22692" s="5" t="str">
        <f>IFERROR(__xludf.DUMMYFUNCTION("GOOGLETRANSLATE(B22692,""en"",""de"")"),"Die beiden gehen hin und her, schlagen den Ball und stehen schließlich an, wenn keiner der Männer in der Lage ist, zum Ball zu gelangen.")</f>
        <v>Die beiden gehen hin und her, schlagen den Ball und stehen schließlich an, wenn keiner der Männer in der Lage ist, zum Ball zu gelangen.</v>
      </c>
    </row>
    <row r="22693">
      <c r="A22693" s="4" t="s">
        <v>28560</v>
      </c>
      <c r="B22693" s="4" t="s">
        <v>28561</v>
      </c>
      <c r="C22693" s="5" t="str">
        <f>IFERROR(__xludf.DUMMYFUNCTION("GOOGLETRANSLATE(B22693,""en"",""de"")"),"Die Leute sitzen in einem Studio miteinander.")</f>
        <v>Die Leute sitzen in einem Studio miteinander.</v>
      </c>
    </row>
    <row r="22694">
      <c r="A22694" s="4" t="s">
        <v>28560</v>
      </c>
      <c r="B22694" s="4" t="s">
        <v>28562</v>
      </c>
      <c r="C22694" s="5" t="str">
        <f>IFERROR(__xludf.DUMMYFUNCTION("GOOGLETRANSLATE(B22694,""en"",""de"")"),"Der Mensch ist am Strand und macht Tricks mit einem kleinen Kind und die Leute im Studio sprechen über das Video.")</f>
        <v>Der Mensch ist am Strand und macht Tricks mit einem kleinen Kind und die Leute im Studio sprechen über das Video.</v>
      </c>
    </row>
    <row r="22695">
      <c r="A22695" s="4" t="s">
        <v>28560</v>
      </c>
      <c r="B22695" s="4" t="s">
        <v>28563</v>
      </c>
      <c r="C22695" s="5" t="str">
        <f>IFERROR(__xludf.DUMMYFUNCTION("GOOGLETRANSLATE(B22695,""en"",""de"")"),"Die Seite eines Cheerleaders wird auf dem Bildschirm angezeigt und das Video des Mädchens im Strand, der Tricks macht.")</f>
        <v>Die Seite eines Cheerleaders wird auf dem Bildschirm angezeigt und das Video des Mädchens im Strand, der Tricks macht.</v>
      </c>
    </row>
    <row r="22696">
      <c r="A22696" s="4" t="s">
        <v>28560</v>
      </c>
      <c r="B22696" s="4" t="s">
        <v>28564</v>
      </c>
      <c r="C22696" s="5" t="str">
        <f>IFERROR(__xludf.DUMMYFUNCTION("GOOGLETRANSLATE(B22696,""en"",""de"")"),"Der Mann ist in einem Wohnzimmer mit einem kleinen Mädchen und macht Tricks mit ihr und am Strand, dann wird ein Video von Mann und dem Mädchen, das mit einer Kamera spricht, gezeigt, während die Leute im Stuio weiter reden und ihre Videos zeigen.")</f>
        <v>Der Mann ist in einem Wohnzimmer mit einem kleinen Mädchen und macht Tricks mit ihr und am Strand, dann wird ein Video von Mann und dem Mädchen, das mit einer Kamera spricht, gezeigt, während die Leute im Stuio weiter reden und ihre Videos zeigen.</v>
      </c>
    </row>
    <row r="22697">
      <c r="A22697" s="4" t="s">
        <v>28565</v>
      </c>
      <c r="B22697" s="4" t="s">
        <v>28566</v>
      </c>
      <c r="C22697" s="5" t="str">
        <f>IFERROR(__xludf.DUMMYFUNCTION("GOOGLETRANSLATE(B22697,""en"",""de"")"),"Menschen werden in einer Tanzhalle interagieren.")</f>
        <v>Menschen werden in einer Tanzhalle interagieren.</v>
      </c>
    </row>
    <row r="22698">
      <c r="A22698" s="4" t="s">
        <v>28565</v>
      </c>
      <c r="B22698" s="4" t="s">
        <v>28567</v>
      </c>
      <c r="C22698" s="5" t="str">
        <f>IFERROR(__xludf.DUMMYFUNCTION("GOOGLETRANSLATE(B22698,""en"",""de"")"),"Eine Frau raucht und atmet schwarzer Rauch aus.")</f>
        <v>Eine Frau raucht und atmet schwarzer Rauch aus.</v>
      </c>
    </row>
    <row r="22699">
      <c r="A22699" s="4" t="s">
        <v>28565</v>
      </c>
      <c r="B22699" s="4" t="s">
        <v>28568</v>
      </c>
      <c r="C22699" s="5" t="str">
        <f>IFERROR(__xludf.DUMMYFUNCTION("GOOGLETRANSLATE(B22699,""en"",""de"")"),"Ein Mann nähert sich einem Tisch und legt Nahrung darauf.")</f>
        <v>Ein Mann nähert sich einem Tisch und legt Nahrung darauf.</v>
      </c>
    </row>
    <row r="22700">
      <c r="A22700" s="4" t="s">
        <v>28565</v>
      </c>
      <c r="B22700" s="4" t="s">
        <v>28569</v>
      </c>
      <c r="C22700" s="5" t="str">
        <f>IFERROR(__xludf.DUMMYFUNCTION("GOOGLETRANSLATE(B22700,""en"",""de"")"),"Zwei Kinder essen unter dem Tisch.")</f>
        <v>Zwei Kinder essen unter dem Tisch.</v>
      </c>
    </row>
    <row r="22701">
      <c r="A22701" s="4" t="s">
        <v>28565</v>
      </c>
      <c r="B22701" s="4" t="s">
        <v>28570</v>
      </c>
      <c r="C22701" s="5" t="str">
        <f>IFERROR(__xludf.DUMMYFUNCTION("GOOGLETRANSLATE(B22701,""en"",""de"")"),"Zwei Menschen, die zusammen küssen.")</f>
        <v>Zwei Menschen, die zusammen küssen.</v>
      </c>
    </row>
    <row r="22702">
      <c r="A22702" s="4" t="s">
        <v>28565</v>
      </c>
      <c r="B22702" s="4" t="s">
        <v>28571</v>
      </c>
      <c r="C22702" s="5" t="str">
        <f>IFERROR(__xludf.DUMMYFUNCTION("GOOGLETRANSLATE(B22702,""en"",""de"")"),"Die Frau raucht und der schwarze Rauch verschwindet.")</f>
        <v>Die Frau raucht und der schwarze Rauch verschwindet.</v>
      </c>
    </row>
    <row r="22703">
      <c r="A22703" s="4" t="s">
        <v>28572</v>
      </c>
      <c r="B22703" s="4" t="s">
        <v>28573</v>
      </c>
      <c r="C22703" s="5" t="str">
        <f>IFERROR(__xludf.DUMMYFUNCTION("GOOGLETRANSLATE(B22703,""en"",""de"")"),"Eine Nahaufnahme eines Kaffeetränks wird gezeigt, gefolgt von einem Mann, der aus der Tasse trinkt.")</f>
        <v>Eine Nahaufnahme eines Kaffeetränks wird gezeigt, gefolgt von einem Mann, der aus der Tasse trinkt.</v>
      </c>
    </row>
    <row r="22704">
      <c r="A22704" s="4" t="s">
        <v>28572</v>
      </c>
      <c r="B22704" s="4" t="s">
        <v>28574</v>
      </c>
      <c r="C22704" s="5" t="str">
        <f>IFERROR(__xludf.DUMMYFUNCTION("GOOGLETRANSLATE(B22704,""en"",""de"")"),"Die Kamera schwenkt nach mehr Menschen mit Getränken in ihren Händen.")</f>
        <v>Die Kamera schwenkt nach mehr Menschen mit Getränken in ihren Händen.</v>
      </c>
    </row>
    <row r="22705">
      <c r="A22705" s="4" t="s">
        <v>28572</v>
      </c>
      <c r="B22705" s="4" t="s">
        <v>28575</v>
      </c>
      <c r="C22705" s="5" t="str">
        <f>IFERROR(__xludf.DUMMYFUNCTION("GOOGLETRANSLATE(B22705,""en"",""de"")"),"Ein Ma schaut auf seinen Schoß mit dem Getränk immer noch vor ihm.")</f>
        <v>Ein Ma schaut auf seinen Schoß mit dem Getränk immer noch vor ihm.</v>
      </c>
    </row>
    <row r="22706">
      <c r="A22706" s="4" t="s">
        <v>28576</v>
      </c>
      <c r="B22706" s="4" t="s">
        <v>28577</v>
      </c>
      <c r="C22706" s="5" t="str">
        <f>IFERROR(__xludf.DUMMYFUNCTION("GOOGLETRANSLATE(B22706,""en"",""de"")"),"Es wird ein großes grüne Feld gezeigt, wenn zwei Teams auf einen Ball zusteuern, der mit einem Stock mit einem Netz am Ende einen Netz hat.")</f>
        <v>Es wird ein großes grüne Feld gezeigt, wenn zwei Teams auf einen Ball zusteuern, der mit einem Stock mit einem Netz am Ende einen Netz hat.</v>
      </c>
    </row>
    <row r="22707">
      <c r="A22707" s="4" t="s">
        <v>28576</v>
      </c>
      <c r="B22707" s="4" t="s">
        <v>28578</v>
      </c>
      <c r="C22707" s="5" t="str">
        <f>IFERROR(__xludf.DUMMYFUNCTION("GOOGLETRANSLATE(B22707,""en"",""de"")"),"Im Laufe des Spiels trifft ein Spieler auf zwei andere Menschen und dreht sich letztendlich verletzt über ihre Schultern.")</f>
        <v>Im Laufe des Spiels trifft ein Spieler auf zwei andere Menschen und dreht sich letztendlich verletzt über ihre Schultern.</v>
      </c>
    </row>
    <row r="22708">
      <c r="A22708" s="4" t="s">
        <v>28576</v>
      </c>
      <c r="B22708" s="4" t="s">
        <v>28579</v>
      </c>
      <c r="C22708" s="5" t="str">
        <f>IFERROR(__xludf.DUMMYFUNCTION("GOOGLETRANSLATE(B22708,""en"",""de"")"),"Er liegt auf dem Boden und mehrere Wiederholungen des Vorfalls werden gezeigt.")</f>
        <v>Er liegt auf dem Boden und mehrere Wiederholungen des Vorfalls werden gezeigt.</v>
      </c>
    </row>
    <row r="22709">
      <c r="A22709" s="4" t="s">
        <v>28576</v>
      </c>
      <c r="B22709" s="4" t="s">
        <v>28580</v>
      </c>
      <c r="C22709" s="5" t="str">
        <f>IFERROR(__xludf.DUMMYFUNCTION("GOOGLETRANSLATE(B22709,""en"",""de"")"),"Als nächstes werden einige Standbilder anderer Teams, die sich auf den Start vorbereiten und sich vorbereiten, gezeigt, dass sie an verschiedenen Orten Spiele spielen.")</f>
        <v>Als nächstes werden einige Standbilder anderer Teams, die sich auf den Start vorbereiten und sich vorbereiten, gezeigt, dass sie an verschiedenen Orten Spiele spielen.</v>
      </c>
    </row>
    <row r="22710">
      <c r="A22710" s="4" t="s">
        <v>28581</v>
      </c>
      <c r="B22710" s="4" t="s">
        <v>28582</v>
      </c>
      <c r="C22710" s="5" t="str">
        <f>IFERROR(__xludf.DUMMYFUNCTION("GOOGLETRANSLATE(B22710,""en"",""de"")"),"Die Kamera vergrößert eine Babykuh mit verschiedenen Titelseiten auf dem Bildschirm.")</f>
        <v>Die Kamera vergrößert eine Babykuh mit verschiedenen Titelseiten auf dem Bildschirm.</v>
      </c>
    </row>
    <row r="22711">
      <c r="A22711" s="4" t="s">
        <v>28581</v>
      </c>
      <c r="B22711" s="4" t="s">
        <v>28583</v>
      </c>
      <c r="C22711" s="5" t="str">
        <f>IFERROR(__xludf.DUMMYFUNCTION("GOOGLETRANSLATE(B22711,""en"",""de"")"),"Eine Gruppe von Männern rennt um ein Kalb herum, während andere ihn festhalten.")</f>
        <v>Eine Gruppe von Männern rennt um ein Kalb herum, während andere ihn festhalten.</v>
      </c>
    </row>
    <row r="22712">
      <c r="A22712" s="4" t="s">
        <v>28581</v>
      </c>
      <c r="B22712" s="4" t="s">
        <v>28584</v>
      </c>
      <c r="C22712" s="5" t="str">
        <f>IFERROR(__xludf.DUMMYFUNCTION("GOOGLETRANSLATE(B22712,""en"",""de"")"),"Ein betrunkener Mann versucht, mit einem Stier zu interagieren, und wird in die Luft gedreht.")</f>
        <v>Ein betrunkener Mann versucht, mit einem Stier zu interagieren, und wird in die Luft gedreht.</v>
      </c>
    </row>
    <row r="22713">
      <c r="A22713" s="4" t="s">
        <v>28581</v>
      </c>
      <c r="B22713" s="4" t="s">
        <v>28585</v>
      </c>
      <c r="C22713" s="5" t="str">
        <f>IFERROR(__xludf.DUMMYFUNCTION("GOOGLETRANSLATE(B22713,""en"",""de"")"),"Mehrere Männer ziehen ihn raus, während ein Tourist versucht, den Stier einzusetzen.")</f>
        <v>Mehrere Männer ziehen ihn raus, während ein Tourist versucht, den Stier einzusetzen.</v>
      </c>
    </row>
    <row r="22714">
      <c r="A22714" s="4" t="s">
        <v>28581</v>
      </c>
      <c r="B22714" s="4" t="s">
        <v>28586</v>
      </c>
      <c r="C22714" s="5" t="str">
        <f>IFERROR(__xludf.DUMMYFUNCTION("GOOGLETRANSLATE(B22714,""en"",""de"")"),"Der Stier packt ihn fast, aber der Junge schafft es auf den Zaun und wirft die rote Decke auf den Stier.")</f>
        <v>Der Stier packt ihn fast, aber der Junge schafft es auf den Zaun und wirft die rote Decke auf den Stier.</v>
      </c>
    </row>
    <row r="22715">
      <c r="A22715" s="4" t="s">
        <v>28587</v>
      </c>
      <c r="B22715" s="4" t="s">
        <v>28588</v>
      </c>
      <c r="C22715" s="5" t="str">
        <f>IFERROR(__xludf.DUMMYFUNCTION("GOOGLETRANSLATE(B22715,""en"",""de"")"),"Eine Frau in Trackhosen und ihre Töchter waschen einen kleinen Hund mit Seife und Wasser in einem Eimer auf einer Terrasse.")</f>
        <v>Eine Frau in Trackhosen und ihre Töchter waschen einen kleinen Hund mit Seife und Wasser in einem Eimer auf einer Terrasse.</v>
      </c>
    </row>
    <row r="22716">
      <c r="A22716" s="4" t="s">
        <v>28587</v>
      </c>
      <c r="B22716" s="4" t="s">
        <v>28589</v>
      </c>
      <c r="C22716" s="5" t="str">
        <f>IFERROR(__xludf.DUMMYFUNCTION("GOOGLETRANSLATE(B22716,""en"",""de"")"),"Eine Frau gießt eine Tasse auf den Hund, um die Seife zu entfernen.")</f>
        <v>Eine Frau gießt eine Tasse auf den Hund, um die Seife zu entfernen.</v>
      </c>
    </row>
    <row r="22717">
      <c r="A22717" s="4" t="s">
        <v>28590</v>
      </c>
      <c r="B22717" s="4" t="s">
        <v>28591</v>
      </c>
      <c r="C22717" s="5" t="str">
        <f>IFERROR(__xludf.DUMMYFUNCTION("GOOGLETRANSLATE(B22717,""en"",""de"")"),"Ein Feld wird mit etwa zehn Männern gezeigt, die in der Mitte stehen und ein Mann rennt und einen Ball auf einen Mann wirft, der ein Paddel hält.")</f>
        <v>Ein Feld wird mit etwa zehn Männern gezeigt, die in der Mitte stehen und ein Mann rennt und einen Ball auf einen Mann wirft, der ein Paddel hält.</v>
      </c>
    </row>
    <row r="22718">
      <c r="A22718" s="4" t="s">
        <v>28590</v>
      </c>
      <c r="B22718" s="4" t="s">
        <v>28592</v>
      </c>
      <c r="C22718" s="5" t="str">
        <f>IFERROR(__xludf.DUMMYFUNCTION("GOOGLETRANSLATE(B22718,""en"",""de"")"),"Weitere Spiele werden gezeigt und die gleichen genauen Aktionen werden in verschiedenen Teams wiederholt.")</f>
        <v>Weitere Spiele werden gezeigt und die gleichen genauen Aktionen werden in verschiedenen Teams wiederholt.</v>
      </c>
    </row>
    <row r="22719">
      <c r="A22719" s="4" t="s">
        <v>28590</v>
      </c>
      <c r="B22719" s="4" t="s">
        <v>28593</v>
      </c>
      <c r="C22719" s="5" t="str">
        <f>IFERROR(__xludf.DUMMYFUNCTION("GOOGLETRANSLATE(B22719,""en"",""de"")"),"Dann wird ein Mann mit kurzen schwarzen Haaren gezeigt und seine Teamkollegen beginnen ihm zu gratulieren, und es werden mehr Teams gezeigt, wie sie das Spiel spielen.")</f>
        <v>Dann wird ein Mann mit kurzen schwarzen Haaren gezeigt und seine Teamkollegen beginnen ihm zu gratulieren, und es werden mehr Teams gezeigt, wie sie das Spiel spielen.</v>
      </c>
    </row>
    <row r="22720">
      <c r="A22720" s="4" t="s">
        <v>28594</v>
      </c>
      <c r="B22720" s="4" t="s">
        <v>28595</v>
      </c>
      <c r="C22720" s="5" t="str">
        <f>IFERROR(__xludf.DUMMYFUNCTION("GOOGLETRANSLATE(B22720,""en"",""de"")"),"Der Mensch hält einen Hammer, der das Dach einer Garage repariert.")</f>
        <v>Der Mensch hält einen Hammer, der das Dach einer Garage repariert.</v>
      </c>
    </row>
    <row r="22721">
      <c r="A22721" s="4" t="s">
        <v>28594</v>
      </c>
      <c r="B22721" s="4" t="s">
        <v>28596</v>
      </c>
      <c r="C22721" s="5" t="str">
        <f>IFERROR(__xludf.DUMMYFUNCTION("GOOGLETRANSLATE(B22721,""en"",""de"")"),"Der Mensch steht auf dem Dach und fügt eine schwarze Mischung hinzu.")</f>
        <v>Der Mensch steht auf dem Dach und fügt eine schwarze Mischung hinzu.</v>
      </c>
    </row>
    <row r="22722">
      <c r="A22722" s="4" t="s">
        <v>28597</v>
      </c>
      <c r="B22722" s="4" t="s">
        <v>28598</v>
      </c>
      <c r="C22722" s="5" t="str">
        <f>IFERROR(__xludf.DUMMYFUNCTION("GOOGLETRANSLATE(B22722,""en"",""de"")"),"Der Mann sitzt auf einem Tisch und isst ein Sandwich in einem RStaurant, der mit einem anderen Mann spricht.")</f>
        <v>Der Mann sitzt auf einem Tisch und isst ein Sandwich in einem RStaurant, der mit einem anderen Mann spricht.</v>
      </c>
    </row>
    <row r="22723">
      <c r="A22723" s="4" t="s">
        <v>28597</v>
      </c>
      <c r="B22723" s="4" t="s">
        <v>28599</v>
      </c>
      <c r="C22723" s="5" t="str">
        <f>IFERROR(__xludf.DUMMYFUNCTION("GOOGLETRANSLATE(B22723,""en"",""de"")"),"Der Mann beobachtet den Mann, während er isst und mit ihm redet.")</f>
        <v>Der Mann beobachtet den Mann, während er isst und mit ihm redet.</v>
      </c>
    </row>
    <row r="22724">
      <c r="A22724" s="4" t="s">
        <v>28597</v>
      </c>
      <c r="B22724" s="4" t="s">
        <v>28600</v>
      </c>
      <c r="C22724" s="5" t="str">
        <f>IFERROR(__xludf.DUMMYFUNCTION("GOOGLETRANSLATE(B22724,""en"",""de"")"),"Beide Männer stehen und spielen Rockpapierschere und der Mann trifft den Mann, der zu Boden fällt.")</f>
        <v>Beide Männer stehen und spielen Rockpapierschere und der Mann trifft den Mann, der zu Boden fällt.</v>
      </c>
    </row>
    <row r="22725">
      <c r="A22725" s="4" t="s">
        <v>28597</v>
      </c>
      <c r="B22725" s="4" t="s">
        <v>28601</v>
      </c>
      <c r="C22725" s="5" t="str">
        <f>IFERROR(__xludf.DUMMYFUNCTION("GOOGLETRANSLATE(B22725,""en"",""de"")"),"Der Mann sitzt auf dem Stuhl und spricht mit dem Mann auf dem Boden und wirft ihm das Sandwich.")</f>
        <v>Der Mann sitzt auf dem Stuhl und spricht mit dem Mann auf dem Boden und wirft ihm das Sandwich.</v>
      </c>
    </row>
    <row r="22726">
      <c r="A22726" s="4" t="s">
        <v>28597</v>
      </c>
      <c r="B22726" s="4" t="s">
        <v>28602</v>
      </c>
      <c r="C22726" s="5" t="str">
        <f>IFERROR(__xludf.DUMMYFUNCTION("GOOGLETRANSLATE(B22726,""en"",""de"")"),"Der Mensch geht zu einem Schreibtisch und sitzt vor dem Computer -Trinkwasser und der andere Mann liegt auf dem Boden und versucht zu sprechen.")</f>
        <v>Der Mensch geht zu einem Schreibtisch und sitzt vor dem Computer -Trinkwasser und der andere Mann liegt auf dem Boden und versucht zu sprechen.</v>
      </c>
    </row>
    <row r="22727">
      <c r="A22727" s="4" t="s">
        <v>28597</v>
      </c>
      <c r="B22727" s="4" t="s">
        <v>28603</v>
      </c>
      <c r="C22727" s="5" t="str">
        <f>IFERROR(__xludf.DUMMYFUNCTION("GOOGLETRANSLATE(B22727,""en"",""de"")"),"Anoher -Mann, der vor dem Mann im Schreibtisch steht.")</f>
        <v>Anoher -Mann, der vor dem Mann im Schreibtisch steht.</v>
      </c>
    </row>
    <row r="22728">
      <c r="A22728" s="4" t="s">
        <v>28597</v>
      </c>
      <c r="B22728" s="4" t="s">
        <v>28604</v>
      </c>
      <c r="C22728" s="5" t="str">
        <f>IFERROR(__xludf.DUMMYFUNCTION("GOOGLETRANSLATE(B22728,""en"",""de"")"),"Der Mensch steht und spricht mit dem Mann auf dem Boden und schlägt ihn erneut und der Mann spuckte Blut.")</f>
        <v>Der Mensch steht und spricht mit dem Mann auf dem Boden und schlägt ihn erneut und der Mann spuckte Blut.</v>
      </c>
    </row>
    <row r="22729">
      <c r="A22729" s="4" t="s">
        <v>28605</v>
      </c>
      <c r="B22729" s="4" t="s">
        <v>28606</v>
      </c>
      <c r="C22729" s="5" t="str">
        <f>IFERROR(__xludf.DUMMYFUNCTION("GOOGLETRANSLATE(B22729,""en"",""de"")"),"Ein Mann in seiner Gerichtsschale hat eine sehr einzigartige Möglichkeit, seine Gerichte mit sehr schneller Geschwindigkeit zu machen.")</f>
        <v>Ein Mann in seiner Gerichtsschale hat eine sehr einzigartige Möglichkeit, seine Gerichte mit sehr schneller Geschwindigkeit zu machen.</v>
      </c>
    </row>
    <row r="22730">
      <c r="A22730" s="4" t="s">
        <v>28605</v>
      </c>
      <c r="B22730" s="4" t="s">
        <v>28607</v>
      </c>
      <c r="C22730" s="5" t="str">
        <f>IFERROR(__xludf.DUMMYFUNCTION("GOOGLETRANSLATE(B22730,""en"",""de"")"),"Er wirft alle Teller nacheinander sehr schnell.")</f>
        <v>Er wirft alle Teller nacheinander sehr schnell.</v>
      </c>
    </row>
    <row r="22731">
      <c r="A22731" s="4" t="s">
        <v>28605</v>
      </c>
      <c r="B22731" s="4" t="s">
        <v>28608</v>
      </c>
      <c r="C22731" s="5" t="str">
        <f>IFERROR(__xludf.DUMMYFUNCTION("GOOGLETRANSLATE(B22731,""en"",""de"")"),"Sie alle landen in die Spüle übereinander, nachdem er sie abgewischt hat, einige von ihnen fallen ein bisschen heraus.")</f>
        <v>Sie alle landen in die Spüle übereinander, nachdem er sie abgewischt hat, einige von ihnen fallen ein bisschen heraus.</v>
      </c>
    </row>
    <row r="22732">
      <c r="A22732" s="4" t="s">
        <v>28605</v>
      </c>
      <c r="B22732" s="4" t="s">
        <v>28609</v>
      </c>
      <c r="C22732" s="5" t="str">
        <f>IFERROR(__xludf.DUMMYFUNCTION("GOOGLETRANSLATE(B22732,""en"",""de"")"),"Er schiebt sie alle ins Wasser.")</f>
        <v>Er schiebt sie alle ins Wasser.</v>
      </c>
    </row>
    <row r="22733">
      <c r="A22733" s="4" t="s">
        <v>28610</v>
      </c>
      <c r="B22733" s="4" t="s">
        <v>4448</v>
      </c>
      <c r="C22733" s="5" t="str">
        <f>IFERROR(__xludf.DUMMYFUNCTION("GOOGLETRANSLATE(B22733,""en"",""de"")"),"Wir sehen den Öffnungsbildschirm.")</f>
        <v>Wir sehen den Öffnungsbildschirm.</v>
      </c>
    </row>
    <row r="22734">
      <c r="A22734" s="4" t="s">
        <v>28610</v>
      </c>
      <c r="B22734" s="4" t="s">
        <v>28611</v>
      </c>
      <c r="C22734" s="5" t="str">
        <f>IFERROR(__xludf.DUMMYFUNCTION("GOOGLETRANSLATE(B22734,""en"",""de"")"),"Die Leute setzen ihre Vorräte an und reiten in Flößen einen Fluss hinunter.")</f>
        <v>Die Leute setzen ihre Vorräte an und reiten in Flößen einen Fluss hinunter.</v>
      </c>
    </row>
    <row r="22735">
      <c r="A22735" s="4" t="s">
        <v>28610</v>
      </c>
      <c r="B22735" s="4" t="s">
        <v>28612</v>
      </c>
      <c r="C22735" s="5" t="str">
        <f>IFERROR(__xludf.DUMMYFUNCTION("GOOGLETRANSLATE(B22735,""en"",""de"")"),"Wir sehen den Standortnamen und die Resort -Aufnahmen der Restaurants, Badezimmer und vielem mehr.")</f>
        <v>Wir sehen den Standortnamen und die Resort -Aufnahmen der Restaurants, Badezimmer und vielem mehr.</v>
      </c>
    </row>
    <row r="22736">
      <c r="A22736" s="4" t="s">
        <v>28610</v>
      </c>
      <c r="B22736" s="4" t="s">
        <v>28613</v>
      </c>
      <c r="C22736" s="5" t="str">
        <f>IFERROR(__xludf.DUMMYFUNCTION("GOOGLETRANSLATE(B22736,""en"",""de"")"),"Wir sehen, wie Menschen im Freien tanzen und Spiele spielen und in einem Raum in Gruppen mit Luftballons und Tanzen spielen.")</f>
        <v>Wir sehen, wie Menschen im Freien tanzen und Spiele spielen und in einem Raum in Gruppen mit Luftballons und Tanzen spielen.</v>
      </c>
    </row>
    <row r="22737">
      <c r="A22737" s="4" t="s">
        <v>28610</v>
      </c>
      <c r="B22737" s="4" t="s">
        <v>28614</v>
      </c>
      <c r="C22737" s="5" t="str">
        <f>IFERROR(__xludf.DUMMYFUNCTION("GOOGLETRANSLATE(B22737,""en"",""de"")"),"Wir sehen Menschen im Dschungel.")</f>
        <v>Wir sehen Menschen im Dschungel.</v>
      </c>
    </row>
    <row r="22738">
      <c r="A22738" s="4" t="s">
        <v>28615</v>
      </c>
      <c r="B22738" s="4" t="s">
        <v>28616</v>
      </c>
      <c r="C22738" s="5" t="str">
        <f>IFERROR(__xludf.DUMMYFUNCTION("GOOGLETRANSLATE(B22738,""en"",""de"")"),"Ein Mann in einer silbernen Jacke repariert einen Speichen auf dem Reifen seines Fahrrads.")</f>
        <v>Ein Mann in einer silbernen Jacke repariert einen Speichen auf dem Reifen seines Fahrrads.</v>
      </c>
    </row>
    <row r="22739">
      <c r="A22739" s="4" t="s">
        <v>28615</v>
      </c>
      <c r="B22739" s="4" t="s">
        <v>28617</v>
      </c>
      <c r="C22739" s="5" t="str">
        <f>IFERROR(__xludf.DUMMYFUNCTION("GOOGLETRANSLATE(B22739,""en"",""de"")"),"Er dreht das Rad des Reifens.")</f>
        <v>Er dreht das Rad des Reifens.</v>
      </c>
    </row>
    <row r="22740">
      <c r="A22740" s="4" t="s">
        <v>28615</v>
      </c>
      <c r="B22740" s="4" t="s">
        <v>28618</v>
      </c>
      <c r="C22740" s="5" t="str">
        <f>IFERROR(__xludf.DUMMYFUNCTION("GOOGLETRANSLATE(B22740,""en"",""de"")"),"Er nimmt den Reifen vom Fahrrad und legt es gegen das Gebäude.")</f>
        <v>Er nimmt den Reifen vom Fahrrad und legt es gegen das Gebäude.</v>
      </c>
    </row>
    <row r="22741">
      <c r="A22741" s="4" t="s">
        <v>28615</v>
      </c>
      <c r="B22741" s="4" t="s">
        <v>28619</v>
      </c>
      <c r="C22741" s="5" t="str">
        <f>IFERROR(__xludf.DUMMYFUNCTION("GOOGLETRANSLATE(B22741,""en"",""de"")"),"Er benutzt ein Werkzeug, um die Sprache des Reifens zu reparieren.")</f>
        <v>Er benutzt ein Werkzeug, um die Sprache des Reifens zu reparieren.</v>
      </c>
    </row>
    <row r="22742">
      <c r="A22742" s="4" t="s">
        <v>28615</v>
      </c>
      <c r="B22742" s="4" t="s">
        <v>28620</v>
      </c>
      <c r="C22742" s="5" t="str">
        <f>IFERROR(__xludf.DUMMYFUNCTION("GOOGLETRANSLATE(B22742,""en"",""de"")"),"Er legt den Reifen wieder auf das Fahrrad und dreht es.")</f>
        <v>Er legt den Reifen wieder auf das Fahrrad und dreht es.</v>
      </c>
    </row>
    <row r="22743">
      <c r="A22743" s="4" t="s">
        <v>28621</v>
      </c>
      <c r="B22743" s="4" t="s">
        <v>28622</v>
      </c>
      <c r="C22743" s="5" t="str">
        <f>IFERROR(__xludf.DUMMYFUNCTION("GOOGLETRANSLATE(B22743,""en"",""de"")"),"Eine Person läuft auf ein Platz und schießt einen Basketball.")</f>
        <v>Eine Person läuft auf ein Platz und schießt einen Basketball.</v>
      </c>
    </row>
    <row r="22744">
      <c r="A22744" s="4" t="s">
        <v>28621</v>
      </c>
      <c r="B22744" s="4" t="s">
        <v>28623</v>
      </c>
      <c r="C22744" s="5" t="str">
        <f>IFERROR(__xludf.DUMMYFUNCTION("GOOGLETRANSLATE(B22744,""en"",""de"")"),"Der Mann wird in mehreren Clips gezeigt und bewertet einen Korb.")</f>
        <v>Der Mann wird in mehreren Clips gezeigt und bewertet einen Korb.</v>
      </c>
    </row>
    <row r="22745">
      <c r="A22745" s="4" t="s">
        <v>28621</v>
      </c>
      <c r="B22745" s="4" t="s">
        <v>28624</v>
      </c>
      <c r="C22745" s="5" t="str">
        <f>IFERROR(__xludf.DUMMYFUNCTION("GOOGLETRANSLATE(B22745,""en"",""de"")"),"Der Mann schießt weiterhin immer wieder Reifen.")</f>
        <v>Der Mann schießt weiterhin immer wieder Reifen.</v>
      </c>
    </row>
    <row r="22746">
      <c r="A22746" s="4" t="s">
        <v>28625</v>
      </c>
      <c r="B22746" s="4" t="s">
        <v>28626</v>
      </c>
      <c r="C22746" s="5" t="str">
        <f>IFERROR(__xludf.DUMMYFUNCTION("GOOGLETRANSLATE(B22746,""en"",""de"")"),"Ein Junge sitzt an einer Küchentheke und passt die Kamera an.")</f>
        <v>Ein Junge sitzt an einer Küchentheke und passt die Kamera an.</v>
      </c>
    </row>
    <row r="22747">
      <c r="A22747" s="4" t="s">
        <v>28625</v>
      </c>
      <c r="B22747" s="4" t="s">
        <v>28627</v>
      </c>
      <c r="C22747" s="5" t="str">
        <f>IFERROR(__xludf.DUMMYFUNCTION("GOOGLETRANSLATE(B22747,""en"",""de"")"),"Sein Freund bewegt die Kamera zurück, damit sie sichtbarer sind.")</f>
        <v>Sein Freund bewegt die Kamera zurück, damit sie sichtbarer sind.</v>
      </c>
    </row>
    <row r="22748">
      <c r="A22748" s="4" t="s">
        <v>28625</v>
      </c>
      <c r="B22748" s="4" t="s">
        <v>28628</v>
      </c>
      <c r="C22748" s="5" t="str">
        <f>IFERROR(__xludf.DUMMYFUNCTION("GOOGLETRANSLATE(B22748,""en"",""de"")"),"Die beiden Jungen ringen dann und der linke Junge gewinnt beide Male.")</f>
        <v>Die beiden Jungen ringen dann und der linke Junge gewinnt beide Male.</v>
      </c>
    </row>
    <row r="22749">
      <c r="A22749" s="4" t="s">
        <v>28625</v>
      </c>
      <c r="B22749" s="4" t="s">
        <v>28629</v>
      </c>
      <c r="C22749" s="5" t="str">
        <f>IFERROR(__xludf.DUMMYFUNCTION("GOOGLETRANSLATE(B22749,""en"",""de"")"),"Der rechte Junge geht weg und der linke Junge greift nach der Kamera.")</f>
        <v>Der rechte Junge geht weg und der linke Junge greift nach der Kamera.</v>
      </c>
    </row>
    <row r="22750">
      <c r="A22750" s="4" t="s">
        <v>28630</v>
      </c>
      <c r="B22750" s="4" t="s">
        <v>28631</v>
      </c>
      <c r="C22750" s="5" t="str">
        <f>IFERROR(__xludf.DUMMYFUNCTION("GOOGLETRANSLATE(B22750,""en"",""de"")"),"Zwei Frauen rennen in einem Raum herum und führt zu einem, der zur Kamera spricht.")</f>
        <v>Zwei Frauen rennen in einem Raum herum und führt zu einem, der zur Kamera spricht.</v>
      </c>
    </row>
    <row r="22751">
      <c r="A22751" s="4" t="s">
        <v>28630</v>
      </c>
      <c r="B22751" s="4" t="s">
        <v>28632</v>
      </c>
      <c r="C22751" s="5" t="str">
        <f>IFERROR(__xludf.DUMMYFUNCTION("GOOGLETRANSLATE(B22751,""en"",""de"")"),"Die Leute schlugen einen Tennisball durch den Raum, während sie tanzten und miteinander jubelten.")</f>
        <v>Die Leute schlugen einen Tennisball durch den Raum, während sie tanzten und miteinander jubelten.</v>
      </c>
    </row>
    <row r="22752">
      <c r="A22752" s="4" t="s">
        <v>28630</v>
      </c>
      <c r="B22752" s="4" t="s">
        <v>28633</v>
      </c>
      <c r="C22752" s="5" t="str">
        <f>IFERROR(__xludf.DUMMYFUNCTION("GOOGLETRANSLATE(B22752,""en"",""de"")"),"Die Leute schlagen weiterhin den Ball, während sie miteinander spielen.")</f>
        <v>Die Leute schlagen weiterhin den Ball, während sie miteinander spielen.</v>
      </c>
    </row>
    <row r="22753">
      <c r="A22753" s="4" t="s">
        <v>28634</v>
      </c>
      <c r="B22753" s="4" t="s">
        <v>28635</v>
      </c>
      <c r="C22753" s="5" t="str">
        <f>IFERROR(__xludf.DUMMYFUNCTION("GOOGLETRANSLATE(B22753,""en"",""de"")"),"Ein Mann in Schweißkleidung schweißt ein Stück Metall auf ein anderes Stück Metall vor der Kamera.")</f>
        <v>Ein Mann in Schweißkleidung schweißt ein Stück Metall auf ein anderes Stück Metall vor der Kamera.</v>
      </c>
    </row>
    <row r="22754">
      <c r="A22754" s="4" t="s">
        <v>28634</v>
      </c>
      <c r="B22754" s="4" t="s">
        <v>28636</v>
      </c>
      <c r="C22754" s="5" t="str">
        <f>IFERROR(__xludf.DUMMYFUNCTION("GOOGLETRANSLATE(B22754,""en"",""de"")"),"Ein Mann, der Schutzkleidung und ein Metallschweißhut trägt, steht vor einem Stück Metall, das einen langen Streifen auf dem Gesicht fehlt.")</f>
        <v>Ein Mann, der Schutzkleidung und ein Metallschweißhut trägt, steht vor einem Stück Metall, das einen langen Streifen auf dem Gesicht fehlt.</v>
      </c>
    </row>
    <row r="22755">
      <c r="A22755" s="4" t="s">
        <v>28634</v>
      </c>
      <c r="B22755" s="4" t="s">
        <v>28637</v>
      </c>
      <c r="C22755" s="5" t="str">
        <f>IFERROR(__xludf.DUMMYFUNCTION("GOOGLETRANSLATE(B22755,""en"",""de"")"),"Der Mann beginnt zu schweißen, dass große Funken von weißem Licht erzeugt werden.")</f>
        <v>Der Mann beginnt zu schweißen, dass große Funken von weißem Licht erzeugt werden.</v>
      </c>
    </row>
    <row r="22756">
      <c r="A22756" s="4" t="s">
        <v>28634</v>
      </c>
      <c r="B22756" s="4" t="s">
        <v>28638</v>
      </c>
      <c r="C22756" s="5" t="str">
        <f>IFERROR(__xludf.DUMMYFUNCTION("GOOGLETRANSLATE(B22756,""en"",""de"")"),"Wenn das Schweißstopp auf den fertigen Produkt aufweist, wurde ein Streifen an der ehemals nackten Stelle geschweißt und der Schweißer testet ihn mit einem harten Instrument.")</f>
        <v>Wenn das Schweißstopp auf den fertigen Produkt aufweist, wurde ein Streifen an der ehemals nackten Stelle geschweißt und der Schweißer testet ihn mit einem harten Instrument.</v>
      </c>
    </row>
    <row r="22757">
      <c r="A22757" s="4" t="s">
        <v>28639</v>
      </c>
      <c r="B22757" s="4" t="s">
        <v>28640</v>
      </c>
      <c r="C22757" s="5" t="str">
        <f>IFERROR(__xludf.DUMMYFUNCTION("GOOGLETRANSLATE(B22757,""en"",""de"")"),"Eine Frau fährt ein Fahrrad nach draußen.")</f>
        <v>Eine Frau fährt ein Fahrrad nach draußen.</v>
      </c>
    </row>
    <row r="22758">
      <c r="A22758" s="4" t="s">
        <v>28639</v>
      </c>
      <c r="B22758" s="4" t="s">
        <v>28641</v>
      </c>
      <c r="C22758" s="5" t="str">
        <f>IFERROR(__xludf.DUMMYFUNCTION("GOOGLETRANSLATE(B22758,""en"",""de"")"),"Sie wird dann gezeigt, wie sie eine Geige spielt.")</f>
        <v>Sie wird dann gezeigt, wie sie eine Geige spielt.</v>
      </c>
    </row>
    <row r="22759">
      <c r="A22759" s="4" t="s">
        <v>28639</v>
      </c>
      <c r="B22759" s="4" t="s">
        <v>28642</v>
      </c>
      <c r="C22759" s="5" t="str">
        <f>IFERROR(__xludf.DUMMYFUNCTION("GOOGLETRANSLATE(B22759,""en"",""de"")"),"Sie Roller Blades draußen.")</f>
        <v>Sie Roller Blades draußen.</v>
      </c>
    </row>
    <row r="22760">
      <c r="A22760" s="4" t="s">
        <v>28639</v>
      </c>
      <c r="B22760" s="4" t="s">
        <v>28643</v>
      </c>
      <c r="C22760" s="5" t="str">
        <f>IFERROR(__xludf.DUMMYFUNCTION("GOOGLETRANSLATE(B22760,""en"",""de"")"),"Und dann macht sie sich auf ein Dach.")</f>
        <v>Und dann macht sie sich auf ein Dach.</v>
      </c>
    </row>
    <row r="22761">
      <c r="A22761" s="4" t="s">
        <v>28644</v>
      </c>
      <c r="B22761" s="4" t="s">
        <v>28645</v>
      </c>
      <c r="C22761" s="5" t="str">
        <f>IFERROR(__xludf.DUMMYFUNCTION("GOOGLETRANSLATE(B22761,""en"",""de"")"),"Eine Person springt und landet im Sand.")</f>
        <v>Eine Person springt und landet im Sand.</v>
      </c>
    </row>
    <row r="22762">
      <c r="A22762" s="4" t="s">
        <v>28644</v>
      </c>
      <c r="B22762" s="4" t="s">
        <v>28646</v>
      </c>
      <c r="C22762" s="5" t="str">
        <f>IFERROR(__xludf.DUMMYFUNCTION("GOOGLETRANSLATE(B22762,""en"",""de"")"),"Ein Mann rennt schnell und springt hoch, um im Sand zu landen, dann stand und springt zu seinem Sit, während die Leute im Stadion gehen.")</f>
        <v>Ein Mann rennt schnell und springt hoch, um im Sand zu landen, dann stand und springt zu seinem Sit, während die Leute im Stadion gehen.</v>
      </c>
    </row>
    <row r="22763">
      <c r="A22763" s="4" t="s">
        <v>28644</v>
      </c>
      <c r="B22763" s="4" t="s">
        <v>28647</v>
      </c>
      <c r="C22763" s="5" t="str">
        <f>IFERROR(__xludf.DUMMYFUNCTION("GOOGLETRANSLATE(B22763,""en"",""de"")"),"Ein Mann spricht in einem eleganten Raum.")</f>
        <v>Ein Mann spricht in einem eleganten Raum.</v>
      </c>
    </row>
    <row r="22764">
      <c r="A22764" s="4" t="s">
        <v>28644</v>
      </c>
      <c r="B22764" s="4" t="s">
        <v>28648</v>
      </c>
      <c r="C22764" s="5" t="str">
        <f>IFERROR(__xludf.DUMMYFUNCTION("GOOGLETRANSLATE(B22764,""en"",""de"")"),"Ein Mann passt vor der Menge an der Menge, springt dann und beugen sich auf dem Boden, um zu feiern.")</f>
        <v>Ein Mann passt vor der Menge an der Menge, springt dann und beugen sich auf dem Boden, um zu feiern.</v>
      </c>
    </row>
    <row r="22765">
      <c r="A22765" s="4" t="s">
        <v>28644</v>
      </c>
      <c r="B22765" s="4" t="s">
        <v>28649</v>
      </c>
      <c r="C22765" s="5" t="str">
        <f>IFERROR(__xludf.DUMMYFUNCTION("GOOGLETRANSLATE(B22765,""en"",""de"")"),"Drei Athleten stehen auf dem Podium, dann rennt ein Mann und springt auf den Sand.")</f>
        <v>Drei Athleten stehen auf dem Podium, dann rennt ein Mann und springt auf den Sand.</v>
      </c>
    </row>
    <row r="22766">
      <c r="A22766" s="4" t="s">
        <v>28650</v>
      </c>
      <c r="B22766" s="4" t="s">
        <v>28651</v>
      </c>
      <c r="C22766" s="5" t="str">
        <f>IFERROR(__xludf.DUMMYFUNCTION("GOOGLETRANSLATE(B22766,""en"",""de"")"),"Die Leute sitzen am Sand am Strand.")</f>
        <v>Die Leute sitzen am Sand am Strand.</v>
      </c>
    </row>
    <row r="22767">
      <c r="A22767" s="4" t="s">
        <v>28650</v>
      </c>
      <c r="B22767" s="4" t="s">
        <v>28652</v>
      </c>
      <c r="C22767" s="5" t="str">
        <f>IFERROR(__xludf.DUMMYFUNCTION("GOOGLETRANSLATE(B22767,""en"",""de"")"),"Menschen surfen auf großen Wellen im Wasser.")</f>
        <v>Menschen surfen auf großen Wellen im Wasser.</v>
      </c>
    </row>
    <row r="22768">
      <c r="A22768" s="4" t="s">
        <v>28650</v>
      </c>
      <c r="B22768" s="4" t="s">
        <v>28653</v>
      </c>
      <c r="C22768" s="5" t="str">
        <f>IFERROR(__xludf.DUMMYFUNCTION("GOOGLETRANSLATE(B22768,""en"",""de"")"),"Ein Junge legt ein Handtuch auf den Sand des Strandes.")</f>
        <v>Ein Junge legt ein Handtuch auf den Sand des Strandes.</v>
      </c>
    </row>
    <row r="22769">
      <c r="A22769" s="4" t="s">
        <v>28650</v>
      </c>
      <c r="B22769" s="4" t="s">
        <v>28654</v>
      </c>
      <c r="C22769" s="5" t="str">
        <f>IFERROR(__xludf.DUMMYFUNCTION("GOOGLETRANSLATE(B22769,""en"",""de"")"),"Die Menschen surfen weiter auf den großen Wasserwellen.")</f>
        <v>Die Menschen surfen weiter auf den großen Wasserwellen.</v>
      </c>
    </row>
    <row r="22770">
      <c r="A22770" s="4" t="s">
        <v>28655</v>
      </c>
      <c r="B22770" s="4" t="s">
        <v>28656</v>
      </c>
      <c r="C22770" s="5" t="str">
        <f>IFERROR(__xludf.DUMMYFUNCTION("GOOGLETRANSLATE(B22770,""en"",""de"")"),"Ein Mann, der ein schwarzes Hemd trägt, hält einen Übungsball über einem anderen Mann, der ein hellblaues Hemd trägt, Sit-ups auf einer geneigten Bank.")</f>
        <v>Ein Mann, der ein schwarzes Hemd trägt, hält einen Übungsball über einem anderen Mann, der ein hellblaues Hemd trägt, Sit-ups auf einer geneigten Bank.</v>
      </c>
    </row>
    <row r="22771">
      <c r="A22771" s="4" t="s">
        <v>28655</v>
      </c>
      <c r="B22771" s="4" t="s">
        <v>28657</v>
      </c>
      <c r="C22771" s="5" t="str">
        <f>IFERROR(__xludf.DUMMYFUNCTION("GOOGLETRANSLATE(B22771,""en"",""de"")"),"Der Mann, der das schwarze Hemd trägt, lässt den Ball auf den Boden fallen und hockt nach unten und hohe Fähren, die der Mann die Sit-ups durchführt.")</f>
        <v>Der Mann, der das schwarze Hemd trägt, lässt den Ball auf den Boden fallen und hockt nach unten und hohe Fähren, die der Mann die Sit-ups durchführt.</v>
      </c>
    </row>
    <row r="22772">
      <c r="A22772" s="4" t="s">
        <v>28658</v>
      </c>
      <c r="B22772" s="4" t="s">
        <v>28659</v>
      </c>
      <c r="C22772" s="5" t="str">
        <f>IFERROR(__xludf.DUMMYFUNCTION("GOOGLETRANSLATE(B22772,""en"",""de"")"),"Ein Mann sitzt auf einem Felsen an einem schnell fließenden Fluss.")</f>
        <v>Ein Mann sitzt auf einem Felsen an einem schnell fließenden Fluss.</v>
      </c>
    </row>
    <row r="22773">
      <c r="A22773" s="4" t="s">
        <v>28658</v>
      </c>
      <c r="B22773" s="4" t="s">
        <v>28660</v>
      </c>
      <c r="C22773" s="5" t="str">
        <f>IFERROR(__xludf.DUMMYFUNCTION("GOOGLETRANSLATE(B22773,""en"",""de"")"),"Ein anderer Mann segelt an ihm in einem Floß vorbei und versucht, mit der starken Strömung und den Wellen Schritt zu halten.")</f>
        <v>Ein anderer Mann segelt an ihm in einem Floß vorbei und versucht, mit der starken Strömung und den Wellen Schritt zu halten.</v>
      </c>
    </row>
    <row r="22774">
      <c r="A22774" s="4" t="s">
        <v>28658</v>
      </c>
      <c r="B22774" s="4" t="s">
        <v>28661</v>
      </c>
      <c r="C22774" s="5" t="str">
        <f>IFERROR(__xludf.DUMMYFUNCTION("GOOGLETRANSLATE(B22774,""en"",""de"")"),"Auf den Felsen sitzen mehrere andere Leute, die den Sparren vorbeigehen.")</f>
        <v>Auf den Felsen sitzen mehrere andere Leute, die den Sparren vorbeigehen.</v>
      </c>
    </row>
    <row r="22775">
      <c r="A22775" s="4" t="s">
        <v>28658</v>
      </c>
      <c r="B22775" s="4" t="s">
        <v>28662</v>
      </c>
      <c r="C22775" s="5" t="str">
        <f>IFERROR(__xludf.DUMMYFUNCTION("GOOGLETRANSLATE(B22775,""en"",""de"")"),"Sie sitzen auf den Felsen mit ihren Lebenswesten neben ihnen.")</f>
        <v>Sie sitzen auf den Felsen mit ihren Lebenswesten neben ihnen.</v>
      </c>
    </row>
    <row r="22776">
      <c r="A22776" s="4" t="s">
        <v>28663</v>
      </c>
      <c r="B22776" s="4" t="s">
        <v>28664</v>
      </c>
      <c r="C22776" s="5" t="str">
        <f>IFERROR(__xludf.DUMMYFUNCTION("GOOGLETRANSLATE(B22776,""en"",""de"")"),"Eine Kamera schwenkt aus Schokoladenkeksen und Milch und führt zu einer Frau, die spricht.")</f>
        <v>Eine Kamera schwenkt aus Schokoladenkeksen und Milch und führt zu einer Frau, die spricht.</v>
      </c>
    </row>
    <row r="22777">
      <c r="A22777" s="4" t="s">
        <v>28663</v>
      </c>
      <c r="B22777" s="4" t="s">
        <v>28665</v>
      </c>
      <c r="C22777" s="5" t="str">
        <f>IFERROR(__xludf.DUMMYFUNCTION("GOOGLETRANSLATE(B22777,""en"",""de"")"),"Die Frau mischt verschiedene Zutaten in einer Schüssel und führt in ihre Teigklumpen in eine Pfanne.")</f>
        <v>Die Frau mischt verschiedene Zutaten in einer Schüssel und führt in ihre Teigklumpen in eine Pfanne.</v>
      </c>
    </row>
    <row r="22778">
      <c r="A22778" s="4" t="s">
        <v>28663</v>
      </c>
      <c r="B22778" s="4" t="s">
        <v>28666</v>
      </c>
      <c r="C22778" s="5" t="str">
        <f>IFERROR(__xludf.DUMMYFUNCTION("GOOGLETRANSLATE(B22778,""en"",""de"")"),"Sie steckt die Pfanne in den Ofen und nimmt sie heraus, um ihre Schokoladenschiff -Kekse zu zeigen.")</f>
        <v>Sie steckt die Pfanne in den Ofen und nimmt sie heraus, um ihre Schokoladenschiff -Kekse zu zeigen.</v>
      </c>
    </row>
    <row r="22779">
      <c r="A22779" s="4" t="s">
        <v>28667</v>
      </c>
      <c r="B22779" s="4" t="s">
        <v>28668</v>
      </c>
      <c r="C22779" s="5" t="str">
        <f>IFERROR(__xludf.DUMMYFUNCTION("GOOGLETRANSLATE(B22779,""en"",""de"")"),"Eine Frau steht vor der Kamera, die sich am Feuer festhält.")</f>
        <v>Eine Frau steht vor der Kamera, die sich am Feuer festhält.</v>
      </c>
    </row>
    <row r="22780">
      <c r="A22780" s="4" t="s">
        <v>28667</v>
      </c>
      <c r="B22780" s="4" t="s">
        <v>28669</v>
      </c>
      <c r="C22780" s="5" t="str">
        <f>IFERROR(__xludf.DUMMYFUNCTION("GOOGLETRANSLATE(B22780,""en"",""de"")"),"Eine andere Frau tritt neben dem ersten und die beiden beginnen miteinander eine Feuerroutine durchzuführen.")</f>
        <v>Eine andere Frau tritt neben dem ersten und die beiden beginnen miteinander eine Feuerroutine durchzuführen.</v>
      </c>
    </row>
    <row r="22781">
      <c r="A22781" s="4" t="s">
        <v>28667</v>
      </c>
      <c r="B22781" s="4" t="s">
        <v>28670</v>
      </c>
      <c r="C22781" s="5" t="str">
        <f>IFERROR(__xludf.DUMMYFUNCTION("GOOGLETRANSLATE(B22781,""en"",""de"")"),"Ein Mann gibt ihnen Objekte zum Licht und die Frau tanzt weiter und dreht sich mit dem Feuer herum.")</f>
        <v>Ein Mann gibt ihnen Objekte zum Licht und die Frau tanzt weiter und dreht sich mit dem Feuer herum.</v>
      </c>
    </row>
    <row r="22782">
      <c r="A22782" s="4" t="s">
        <v>28671</v>
      </c>
      <c r="B22782" s="4" t="s">
        <v>28672</v>
      </c>
      <c r="C22782" s="5" t="str">
        <f>IFERROR(__xludf.DUMMYFUNCTION("GOOGLETRANSLATE(B22782,""en"",""de"")"),"Ein Mann und eine Frau stehen an einer Theke mit einer Ananas.")</f>
        <v>Ein Mann und eine Frau stehen an einer Theke mit einer Ananas.</v>
      </c>
    </row>
    <row r="22783">
      <c r="A22783" s="4" t="s">
        <v>28671</v>
      </c>
      <c r="B22783" s="4" t="s">
        <v>28673</v>
      </c>
      <c r="C22783" s="5" t="str">
        <f>IFERROR(__xludf.DUMMYFUNCTION("GOOGLETRANSLATE(B22783,""en"",""de"")"),"Der Mann riss die Oberseite der Ananas.")</f>
        <v>Der Mann riss die Oberseite der Ananas.</v>
      </c>
    </row>
    <row r="22784">
      <c r="A22784" s="4" t="s">
        <v>28671</v>
      </c>
      <c r="B22784" s="4" t="s">
        <v>28674</v>
      </c>
      <c r="C22784" s="5" t="str">
        <f>IFERROR(__xludf.DUMMYFUNCTION("GOOGLETRANSLATE(B22784,""en"",""de"")"),"Der Mann schnitt das Oberteil von der Ananas.")</f>
        <v>Der Mann schnitt das Oberteil von der Ananas.</v>
      </c>
    </row>
    <row r="22785">
      <c r="A22785" s="4" t="s">
        <v>28671</v>
      </c>
      <c r="B22785" s="4" t="s">
        <v>28675</v>
      </c>
      <c r="C22785" s="5" t="str">
        <f>IFERROR(__xludf.DUMMYFUNCTION("GOOGLETRANSLATE(B22785,""en"",""de"")"),"Der Mann schnitt die Ananas in zwei Hälften.")</f>
        <v>Der Mann schnitt die Ananas in zwei Hälften.</v>
      </c>
    </row>
    <row r="22786">
      <c r="A22786" s="4" t="s">
        <v>28671</v>
      </c>
      <c r="B22786" s="4" t="s">
        <v>28676</v>
      </c>
      <c r="C22786" s="5" t="str">
        <f>IFERROR(__xludf.DUMMYFUNCTION("GOOGLETRANSLATE(B22786,""en"",""de"")"),"Der Mann schnitt die Haut von der Ananas.")</f>
        <v>Der Mann schnitt die Haut von der Ananas.</v>
      </c>
    </row>
    <row r="22787">
      <c r="A22787" s="4" t="s">
        <v>28677</v>
      </c>
      <c r="B22787" s="4" t="s">
        <v>28678</v>
      </c>
      <c r="C22787" s="5" t="str">
        <f>IFERROR(__xludf.DUMMYFUNCTION("GOOGLETRANSLATE(B22787,""en"",""de"")"),"Eine Person ist mit einem anderen Mann in den Rücken eines Kajaks und paddelt allein in das Wasser.")</f>
        <v>Eine Person ist mit einem anderen Mann in den Rücken eines Kajaks und paddelt allein in das Wasser.</v>
      </c>
    </row>
    <row r="22788">
      <c r="A22788" s="4" t="s">
        <v>28677</v>
      </c>
      <c r="B22788" s="4" t="s">
        <v>28679</v>
      </c>
      <c r="C22788" s="5" t="str">
        <f>IFERROR(__xludf.DUMMYFUNCTION("GOOGLETRANSLATE(B22788,""en"",""de"")"),"Die Kamera schwenkt in der Gegend und zoomt nach dem Wasser und dem vierten Platz nach Menschen am Strand.")</f>
        <v>Die Kamera schwenkt in der Gegend und zoomt nach dem Wasser und dem vierten Platz nach Menschen am Strand.</v>
      </c>
    </row>
    <row r="22789">
      <c r="A22789" s="4" t="s">
        <v>28680</v>
      </c>
      <c r="B22789" s="4" t="s">
        <v>28681</v>
      </c>
      <c r="C22789" s="5" t="str">
        <f>IFERROR(__xludf.DUMMYFUNCTION("GOOGLETRANSLATE(B22789,""en"",""de"")"),"Ein Parkplatz wird gezeigt, und ein Mann auf Rollschaufeln hebt den Hügel hinunter.")</f>
        <v>Ein Parkplatz wird gezeigt, und ein Mann auf Rollschaufeln hebt den Hügel hinunter.</v>
      </c>
    </row>
    <row r="22790">
      <c r="A22790" s="4" t="s">
        <v>28680</v>
      </c>
      <c r="B22790" s="4" t="s">
        <v>28682</v>
      </c>
      <c r="C22790" s="5" t="str">
        <f>IFERROR(__xludf.DUMMYFUNCTION("GOOGLETRANSLATE(B22790,""en"",""de"")"),"Er geht auf seinen Schlittschuhen um scharfe Kurven.")</f>
        <v>Er geht auf seinen Schlittschuhen um scharfe Kurven.</v>
      </c>
    </row>
    <row r="22791">
      <c r="A22791" s="4" t="s">
        <v>28680</v>
      </c>
      <c r="B22791" s="4" t="s">
        <v>28683</v>
      </c>
      <c r="C22791" s="5" t="str">
        <f>IFERROR(__xludf.DUMMYFUNCTION("GOOGLETRANSLATE(B22791,""en"",""de"")"),"Er nimmt mehrere Land- und Waldstraßen, bevor er auf einem Parkplatz zu einer Stelle rollt.")</f>
        <v>Er nimmt mehrere Land- und Waldstraßen, bevor er auf einem Parkplatz zu einer Stelle rollt.</v>
      </c>
    </row>
    <row r="22792">
      <c r="A22792" s="4" t="s">
        <v>28684</v>
      </c>
      <c r="B22792" s="4" t="s">
        <v>28685</v>
      </c>
      <c r="C22792" s="5" t="str">
        <f>IFERROR(__xludf.DUMMYFUNCTION("GOOGLETRANSLATE(B22792,""en"",""de"")"),"Ein Mädchen demonstriert mehrere Gymnastik- und Becherbewegungen in einem Wohnzimmer und auf einem grünen Rasen mit einer Reihe von Wohnhäusern als Hintergrund.")</f>
        <v>Ein Mädchen demonstriert mehrere Gymnastik- und Becherbewegungen in einem Wohnzimmer und auf einem grünen Rasen mit einer Reihe von Wohnhäusern als Hintergrund.</v>
      </c>
    </row>
    <row r="22793">
      <c r="A22793" s="4" t="s">
        <v>28684</v>
      </c>
      <c r="B22793" s="4" t="s">
        <v>28686</v>
      </c>
      <c r="C22793" s="5" t="str">
        <f>IFERROR(__xludf.DUMMYFUNCTION("GOOGLETRANSLATE(B22793,""en"",""de"")"),"Ein Mädchen demonstriert einen Salth -Umzug im Wohnzimmer vor zwei Sofas.")</f>
        <v>Ein Mädchen demonstriert einen Salth -Umzug im Wohnzimmer vor zwei Sofas.</v>
      </c>
    </row>
    <row r="22794">
      <c r="A22794" s="4" t="s">
        <v>28684</v>
      </c>
      <c r="B22794" s="4" t="s">
        <v>28687</v>
      </c>
      <c r="C22794" s="5" t="str">
        <f>IFERROR(__xludf.DUMMYFUNCTION("GOOGLETRANSLATE(B22794,""en"",""de"")"),"Das Mädchen zeigt dann weiter fortgeschrittene Backflip -Gymnastikbewegungen in einem Grasfeld mit Häusern in einer Wohnviertel als Hintergrund.")</f>
        <v>Das Mädchen zeigt dann weiter fortgeschrittene Backflip -Gymnastikbewegungen in einem Grasfeld mit Häusern in einer Wohnviertel als Hintergrund.</v>
      </c>
    </row>
    <row r="22795">
      <c r="A22795" s="4" t="s">
        <v>28688</v>
      </c>
      <c r="B22795" s="4" t="s">
        <v>28689</v>
      </c>
      <c r="C22795" s="5" t="str">
        <f>IFERROR(__xludf.DUMMYFUNCTION("GOOGLETRANSLATE(B22795,""en"",""de"")"),"Eine kleine Gruppe von Menschen schwimmt in einem Pool schwimmen und führt zu verschiedenen Clips von Kindern, die lernen, wie man schwimmt.")</f>
        <v>Eine kleine Gruppe von Menschen schwimmt in einem Pool schwimmen und führt zu verschiedenen Clips von Kindern, die lernen, wie man schwimmt.</v>
      </c>
    </row>
    <row r="22796">
      <c r="A22796" s="4" t="s">
        <v>28688</v>
      </c>
      <c r="B22796" s="4" t="s">
        <v>28690</v>
      </c>
      <c r="C22796" s="5" t="str">
        <f>IFERROR(__xludf.DUMMYFUNCTION("GOOGLETRANSLATE(B22796,""en"",""de"")"),"Ein Mann hilft ihnen, im Wasser zu üben und von einem Tauchbrett zu springen.")</f>
        <v>Ein Mann hilft ihnen, im Wasser zu üben und von einem Tauchbrett zu springen.</v>
      </c>
    </row>
    <row r="22797">
      <c r="A22797" s="4" t="s">
        <v>28688</v>
      </c>
      <c r="B22797" s="4" t="s">
        <v>28691</v>
      </c>
      <c r="C22797" s="5" t="str">
        <f>IFERROR(__xludf.DUMMYFUNCTION("GOOGLETRANSLATE(B22797,""en"",""de"")"),"Weitere Aufnahmen von Kindern, die schwimmen, und führt zu einem Mädchen, das Objekte unter Wasser greift und mit einem anderen schwimmt.")</f>
        <v>Weitere Aufnahmen von Kindern, die schwimmen, und führt zu einem Mädchen, das Objekte unter Wasser greift und mit einem anderen schwimmt.</v>
      </c>
    </row>
    <row r="22798">
      <c r="A22798" s="4" t="s">
        <v>28692</v>
      </c>
      <c r="B22798" s="4" t="s">
        <v>28693</v>
      </c>
      <c r="C22798" s="5" t="str">
        <f>IFERROR(__xludf.DUMMYFUNCTION("GOOGLETRANSLATE(B22798,""en"",""de"")"),"Der Junge dient dem Shuttlecock, aber er traf ins Netz.")</f>
        <v>Der Junge dient dem Shuttlecock, aber er traf ins Netz.</v>
      </c>
    </row>
    <row r="22799">
      <c r="A22799" s="4" t="s">
        <v>28692</v>
      </c>
      <c r="B22799" s="4" t="s">
        <v>28694</v>
      </c>
      <c r="C22799" s="5" t="str">
        <f>IFERROR(__xludf.DUMMYFUNCTION("GOOGLETRANSLATE(B22799,""en"",""de"")"),"Der ältere Mann dient dem Ball und das Kind hat ihn verpasst.")</f>
        <v>Der ältere Mann dient dem Ball und das Kind hat ihn verpasst.</v>
      </c>
    </row>
    <row r="22800">
      <c r="A22800" s="4" t="s">
        <v>28692</v>
      </c>
      <c r="B22800" s="4" t="s">
        <v>28695</v>
      </c>
      <c r="C22800" s="5" t="str">
        <f>IFERROR(__xludf.DUMMYFUNCTION("GOOGLETRANSLATE(B22800,""en"",""de"")"),"Eine ältere Frau im grauen Hemd serviert den Ball und das Mädchen in Red traf ihn.")</f>
        <v>Eine ältere Frau im grauen Hemd serviert den Ball und das Mädchen in Red traf ihn.</v>
      </c>
    </row>
    <row r="22801">
      <c r="A22801" s="4" t="s">
        <v>28696</v>
      </c>
      <c r="B22801" s="4" t="s">
        <v>28697</v>
      </c>
      <c r="C22801" s="5" t="str">
        <f>IFERROR(__xludf.DUMMYFUNCTION("GOOGLETRANSLATE(B22801,""en"",""de"")"),"Ein Mann skateboarden, er springt auf höhere Ebenen auf.")</f>
        <v>Ein Mann skateboarden, er springt auf höhere Ebenen auf.</v>
      </c>
    </row>
    <row r="22802">
      <c r="A22802" s="4" t="s">
        <v>28696</v>
      </c>
      <c r="B22802" s="4" t="s">
        <v>28698</v>
      </c>
      <c r="C22802" s="5" t="str">
        <f>IFERROR(__xludf.DUMMYFUNCTION("GOOGLETRANSLATE(B22802,""en"",""de"")"),"Er tritt auf, um etwas Geschwindigkeit aufzubauen und macht einige coole Tricks.")</f>
        <v>Er tritt auf, um etwas Geschwindigkeit aufzubauen und macht einige coole Tricks.</v>
      </c>
    </row>
    <row r="22803">
      <c r="A22803" s="4" t="s">
        <v>28696</v>
      </c>
      <c r="B22803" s="4" t="s">
        <v>28699</v>
      </c>
      <c r="C22803" s="5" t="str">
        <f>IFERROR(__xludf.DUMMYFUNCTION("GOOGLETRANSLATE(B22803,""en"",""de"")"),"Er steigt aus und springt dann wieder auf das Brett und macht überall mehr Tricks.")</f>
        <v>Er steigt aus und springt dann wieder auf das Brett und macht überall mehr Tricks.</v>
      </c>
    </row>
    <row r="22804">
      <c r="A22804" s="4" t="s">
        <v>28696</v>
      </c>
      <c r="B22804" s="4" t="s">
        <v>28700</v>
      </c>
      <c r="C22804" s="5" t="str">
        <f>IFERROR(__xludf.DUMMYFUNCTION("GOOGLETRANSLATE(B22804,""en"",""de"")"),"Er springt auf eine Schiene und steigt dann wieder hin und setzt sich auf dem Brett und Wellen.")</f>
        <v>Er springt auf eine Schiene und steigt dann wieder hin und setzt sich auf dem Brett und Wellen.</v>
      </c>
    </row>
    <row r="22805">
      <c r="A22805" s="4" t="s">
        <v>28701</v>
      </c>
      <c r="B22805" s="4" t="s">
        <v>28702</v>
      </c>
      <c r="C22805" s="5" t="str">
        <f>IFERROR(__xludf.DUMMYFUNCTION("GOOGLETRANSLATE(B22805,""en"",""de"")"),"Ein Baseballspieler steht auf einem Stück Schmutz mit einem anderen hinter ihm.")</f>
        <v>Ein Baseballspieler steht auf einem Stück Schmutz mit einem anderen hinter ihm.</v>
      </c>
    </row>
    <row r="22806">
      <c r="A22806" s="4" t="s">
        <v>28701</v>
      </c>
      <c r="B22806" s="4" t="s">
        <v>28703</v>
      </c>
      <c r="C22806" s="5" t="str">
        <f>IFERROR(__xludf.DUMMYFUNCTION("GOOGLETRANSLATE(B22806,""en"",""de"")"),"Der Mann beginnt dann einen Ball zu schlagen.")</f>
        <v>Der Mann beginnt dann einen Ball zu schlagen.</v>
      </c>
    </row>
    <row r="22807">
      <c r="A22807" s="4" t="s">
        <v>28701</v>
      </c>
      <c r="B22807" s="4" t="s">
        <v>28704</v>
      </c>
      <c r="C22807" s="5" t="str">
        <f>IFERROR(__xludf.DUMMYFUNCTION("GOOGLETRANSLATE(B22807,""en"",""de"")"),"Der Mann schlägt in Zeitlupe den Ball.")</f>
        <v>Der Mann schlägt in Zeitlupe den Ball.</v>
      </c>
    </row>
    <row r="22808">
      <c r="A22808" s="4" t="s">
        <v>28705</v>
      </c>
      <c r="B22808" s="4" t="s">
        <v>28706</v>
      </c>
      <c r="C22808" s="5" t="str">
        <f>IFERROR(__xludf.DUMMYFUNCTION("GOOGLETRANSLATE(B22808,""en"",""de"")"),"Eine Person macht Spaghetti mit Mehl, Eiern, einem Mixer und einer Nudelpresse von Grund auf neu.")</f>
        <v>Eine Person macht Spaghetti mit Mehl, Eiern, einem Mixer und einer Nudelpresse von Grund auf neu.</v>
      </c>
    </row>
    <row r="22809">
      <c r="A22809" s="4" t="s">
        <v>28705</v>
      </c>
      <c r="B22809" s="4" t="s">
        <v>28707</v>
      </c>
      <c r="C22809" s="5" t="str">
        <f>IFERROR(__xludf.DUMMYFUNCTION("GOOGLETRANSLATE(B22809,""en"",""de"")"),"Eine Hand mischt Mehl in einer Schüssel, fügt Eier hinzu und mischt beide Zutaten mit einem Mixer.")</f>
        <v>Eine Hand mischt Mehl in einer Schüssel, fügt Eier hinzu und mischt beide Zutaten mit einem Mixer.</v>
      </c>
    </row>
    <row r="22810">
      <c r="A22810" s="4" t="s">
        <v>28705</v>
      </c>
      <c r="B22810" s="4" t="s">
        <v>28708</v>
      </c>
      <c r="C22810" s="5" t="str">
        <f>IFERROR(__xludf.DUMMYFUNCTION("GOOGLETRANSLATE(B22810,""en"",""de"")"),"Die Hände nehmen dann den resultierenden Teigball und kneten sie, bedeckt ihn in Saran Wrap und schneidet ihn in Stücke, bevor er flach mit einem Rollstift rollt.")</f>
        <v>Die Hände nehmen dann den resultierenden Teigball und kneten sie, bedeckt ihn in Saran Wrap und schneidet ihn in Stücke, bevor er flach mit einem Rollstift rollt.</v>
      </c>
    </row>
    <row r="22811">
      <c r="A22811" s="4" t="s">
        <v>28705</v>
      </c>
      <c r="B22811" s="4" t="s">
        <v>28709</v>
      </c>
      <c r="C22811" s="5" t="str">
        <f>IFERROR(__xludf.DUMMYFUNCTION("GOOGLETRANSLATE(B22811,""en"",""de"")"),"Die Person nimmt dann den abgeflachten Teig und steckt ihn in einen Drucker, staubt ihn mit Mehl und stellt ihn in einen Behälter und dann eine Spaghetti -Presse, die viele Spaghetti -Stränge produziert.")</f>
        <v>Die Person nimmt dann den abgeflachten Teig und steckt ihn in einen Drucker, staubt ihn mit Mehl und stellt ihn in einen Behälter und dann eine Spaghetti -Presse, die viele Spaghetti -Stränge produziert.</v>
      </c>
    </row>
    <row r="22812">
      <c r="A22812" s="4" t="s">
        <v>28710</v>
      </c>
      <c r="B22812" s="4" t="s">
        <v>28711</v>
      </c>
      <c r="C22812" s="5" t="str">
        <f>IFERROR(__xludf.DUMMYFUNCTION("GOOGLETRANSLATE(B22812,""en"",""de"")"),"Ein Mann und eine Frau stehen draußen im Schnee und reden.")</f>
        <v>Ein Mann und eine Frau stehen draußen im Schnee und reden.</v>
      </c>
    </row>
    <row r="22813">
      <c r="A22813" s="4" t="s">
        <v>28710</v>
      </c>
      <c r="B22813" s="4" t="s">
        <v>28712</v>
      </c>
      <c r="C22813" s="5" t="str">
        <f>IFERROR(__xludf.DUMMYFUNCTION("GOOGLETRANSLATE(B22813,""en"",""de"")"),"Der Mann reinigt den Schnee vom Auto.")</f>
        <v>Der Mann reinigt den Schnee vom Auto.</v>
      </c>
    </row>
    <row r="22814">
      <c r="A22814" s="4" t="s">
        <v>28710</v>
      </c>
      <c r="B22814" s="4" t="s">
        <v>28713</v>
      </c>
      <c r="C22814" s="5" t="str">
        <f>IFERROR(__xludf.DUMMYFUNCTION("GOOGLETRANSLATE(B22814,""en"",""de"")"),"Das Mädchen trägt einen Pelzmantel und spricht mit der Kamera.")</f>
        <v>Das Mädchen trägt einen Pelzmantel und spricht mit der Kamera.</v>
      </c>
    </row>
    <row r="22815">
      <c r="A22815" s="4" t="s">
        <v>28710</v>
      </c>
      <c r="B22815" s="4" t="s">
        <v>28714</v>
      </c>
      <c r="C22815" s="5" t="str">
        <f>IFERROR(__xludf.DUMMYFUNCTION("GOOGLETRANSLATE(B22815,""en"",""de"")"),"Der Mann streift weiter den Schnee aus dem Auto.")</f>
        <v>Der Mann streift weiter den Schnee aus dem Auto.</v>
      </c>
    </row>
    <row r="22816">
      <c r="A22816" s="4" t="s">
        <v>28710</v>
      </c>
      <c r="B22816" s="4" t="s">
        <v>28715</v>
      </c>
      <c r="C22816" s="5" t="str">
        <f>IFERROR(__xludf.DUMMYFUNCTION("GOOGLETRANSLATE(B22816,""en"",""de"")"),"Sie sitzen im Auto und reden.")</f>
        <v>Sie sitzen im Auto und reden.</v>
      </c>
    </row>
    <row r="22817">
      <c r="A22817" s="4" t="s">
        <v>28716</v>
      </c>
      <c r="B22817" s="4" t="s">
        <v>28717</v>
      </c>
      <c r="C22817" s="5" t="str">
        <f>IFERROR(__xludf.DUMMYFUNCTION("GOOGLETRANSLATE(B22817,""en"",""de"")"),"Es wird ein Drehbuch zur Angst vor dem Singen auf der Bühne gezeigt.")</f>
        <v>Es wird ein Drehbuch zur Angst vor dem Singen auf der Bühne gezeigt.</v>
      </c>
    </row>
    <row r="22818">
      <c r="A22818" s="4" t="s">
        <v>28716</v>
      </c>
      <c r="B22818" s="4" t="s">
        <v>28718</v>
      </c>
      <c r="C22818" s="5" t="str">
        <f>IFERROR(__xludf.DUMMYFUNCTION("GOOGLETRANSLATE(B22818,""en"",""de"")"),"Eine Frau in einem grünen Hemd singt, während sie das Geschirr in ihrem Spülbecken macht.")</f>
        <v>Eine Frau in einem grünen Hemd singt, während sie das Geschirr in ihrem Spülbecken macht.</v>
      </c>
    </row>
    <row r="22819">
      <c r="A22819" s="4" t="s">
        <v>28716</v>
      </c>
      <c r="B22819" s="4" t="s">
        <v>28719</v>
      </c>
      <c r="C22819" s="5" t="str">
        <f>IFERROR(__xludf.DUMMYFUNCTION("GOOGLETRANSLATE(B22819,""en"",""de"")"),"Sie wäscht weiterhin die Löffel und Gabeln mit einem blauen Peel und Seife, während sie in hoher Tonhöhe und Ton singt.")</f>
        <v>Sie wäscht weiterhin die Löffel und Gabeln mit einem blauen Peel und Seife, während sie in hoher Tonhöhe und Ton singt.</v>
      </c>
    </row>
    <row r="22820">
      <c r="A22820" s="4" t="s">
        <v>28716</v>
      </c>
      <c r="B22820" s="4" t="s">
        <v>28720</v>
      </c>
      <c r="C22820" s="5" t="str">
        <f>IFERROR(__xludf.DUMMYFUNCTION("GOOGLETRANSLATE(B22820,""en"",""de"")"),"Sie wäscht weiterhin ein großes Messer und legt dann die nassen Utensilien auf ein Trockenständer.")</f>
        <v>Sie wäscht weiterhin ein großes Messer und legt dann die nassen Utensilien auf ein Trockenständer.</v>
      </c>
    </row>
    <row r="22821">
      <c r="A22821" s="4" t="s">
        <v>28716</v>
      </c>
      <c r="B22821" s="4" t="s">
        <v>28721</v>
      </c>
      <c r="C22821" s="5" t="str">
        <f>IFERROR(__xludf.DUMMYFUNCTION("GOOGLETRANSLATE(B22821,""en"",""de"")"),"Sie wäscht einige Brillen und schrubbt sie gründlich mit dem gleichen Schwamm.")</f>
        <v>Sie wäscht einige Brillen und schrubbt sie gründlich mit dem gleichen Schwamm.</v>
      </c>
    </row>
    <row r="22822">
      <c r="A22822" s="4" t="s">
        <v>28716</v>
      </c>
      <c r="B22822" s="4" t="s">
        <v>28722</v>
      </c>
      <c r="C22822" s="5" t="str">
        <f>IFERROR(__xludf.DUMMYFUNCTION("GOOGLETRANSLATE(B22822,""en"",""de"")"),"Legen Sie das Glas auf das Trockenständer.")</f>
        <v>Legen Sie das Glas auf das Trockenständer.</v>
      </c>
    </row>
    <row r="22823">
      <c r="A22823" s="4" t="s">
        <v>28723</v>
      </c>
      <c r="B22823" s="4" t="s">
        <v>28724</v>
      </c>
      <c r="C22823" s="5" t="str">
        <f>IFERROR(__xludf.DUMMYFUNCTION("GOOGLETRANSLATE(B22823,""en"",""de"")"),"Ein Mann rappt zusammen mit einem Lied.")</f>
        <v>Ein Mann rappt zusammen mit einem Lied.</v>
      </c>
    </row>
    <row r="22824">
      <c r="A22824" s="4" t="s">
        <v>28723</v>
      </c>
      <c r="B22824" s="4" t="s">
        <v>28725</v>
      </c>
      <c r="C22824" s="5" t="str">
        <f>IFERROR(__xludf.DUMMYFUNCTION("GOOGLETRANSLATE(B22824,""en"",""de"")"),"Der Typ bekommt auch ein Tattoo.")</f>
        <v>Der Typ bekommt auch ein Tattoo.</v>
      </c>
    </row>
    <row r="22825">
      <c r="A22825" s="4" t="s">
        <v>28726</v>
      </c>
      <c r="B22825" s="4" t="s">
        <v>28727</v>
      </c>
      <c r="C22825" s="5" t="str">
        <f>IFERROR(__xludf.DUMMYFUNCTION("GOOGLETRANSLATE(B22825,""en"",""de"")"),"Eine große Gruppe von Menschen spielt ein Fußballspiel an einem großen Sandstrand.")</f>
        <v>Eine große Gruppe von Menschen spielt ein Fußballspiel an einem großen Sandstrand.</v>
      </c>
    </row>
    <row r="22826">
      <c r="A22826" s="4" t="s">
        <v>28726</v>
      </c>
      <c r="B22826" s="4" t="s">
        <v>28728</v>
      </c>
      <c r="C22826" s="5" t="str">
        <f>IFERROR(__xludf.DUMMYFUNCTION("GOOGLETRANSLATE(B22826,""en"",""de"")"),"Viele Leute sehen am Rande an, während die Kinder den Ball zurück und vierten zueinander verlaufen.")</f>
        <v>Viele Leute sehen am Rande an, während die Kinder den Ball zurück und vierten zueinander verlaufen.</v>
      </c>
    </row>
    <row r="22827">
      <c r="A22827" s="4" t="s">
        <v>28726</v>
      </c>
      <c r="B22827" s="4" t="s">
        <v>28729</v>
      </c>
      <c r="C22827" s="5" t="str">
        <f>IFERROR(__xludf.DUMMYFUNCTION("GOOGLETRANSLATE(B22827,""en"",""de"")"),"Das Spiel geht weiter, während die Kinder das Feld auf und ab bewegen und mehrere Tore versuchen, die am Ende verpasst werden.")</f>
        <v>Das Spiel geht weiter, während die Kinder das Feld auf und ab bewegen und mehrere Tore versuchen, die am Ende verpasst werden.</v>
      </c>
    </row>
    <row r="22828">
      <c r="A22828" s="4" t="s">
        <v>28730</v>
      </c>
      <c r="B22828" s="4" t="s">
        <v>28731</v>
      </c>
      <c r="C22828" s="5" t="str">
        <f>IFERROR(__xludf.DUMMYFUNCTION("GOOGLETRANSLATE(B22828,""en"",""de"")"),"Ein junges blondes Mädchen springt nach draußen.")</f>
        <v>Ein junges blondes Mädchen springt nach draußen.</v>
      </c>
    </row>
    <row r="22829">
      <c r="A22829" s="4" t="s">
        <v>28730</v>
      </c>
      <c r="B22829" s="4" t="s">
        <v>28732</v>
      </c>
      <c r="C22829" s="5" t="str">
        <f>IFERROR(__xludf.DUMMYFUNCTION("GOOGLETRANSLATE(B22829,""en"",""de"")"),"Sie hält ein Sprungseil und dreht das Sprungseil vor sich.")</f>
        <v>Sie hält ein Sprungseil und dreht das Sprungseil vor sich.</v>
      </c>
    </row>
    <row r="22830">
      <c r="A22830" s="4" t="s">
        <v>28730</v>
      </c>
      <c r="B22830" s="4" t="s">
        <v>28733</v>
      </c>
      <c r="C22830" s="5" t="str">
        <f>IFERROR(__xludf.DUMMYFUNCTION("GOOGLETRANSLATE(B22830,""en"",""de"")"),"Sie spielt wieder dasselbe.")</f>
        <v>Sie spielt wieder dasselbe.</v>
      </c>
    </row>
    <row r="22831">
      <c r="A22831" s="4" t="s">
        <v>28730</v>
      </c>
      <c r="B22831" s="4" t="s">
        <v>28734</v>
      </c>
      <c r="C22831" s="5" t="str">
        <f>IFERROR(__xludf.DUMMYFUNCTION("GOOGLETRANSLATE(B22831,""en"",""de"")"),"Sie dreht das Sprungseil noch einmal und fängt es mit ihren Füßen.")</f>
        <v>Sie dreht das Sprungseil noch einmal und fängt es mit ihren Füßen.</v>
      </c>
    </row>
    <row r="22832">
      <c r="A22832" s="4" t="s">
        <v>28730</v>
      </c>
      <c r="B22832" s="4" t="s">
        <v>28735</v>
      </c>
      <c r="C22832" s="5" t="str">
        <f>IFERROR(__xludf.DUMMYFUNCTION("GOOGLETRANSLATE(B22832,""en"",""de"")"),"Sie macht es noch einmal.")</f>
        <v>Sie macht es noch einmal.</v>
      </c>
    </row>
    <row r="22833">
      <c r="A22833" s="4" t="s">
        <v>28730</v>
      </c>
      <c r="B22833" s="4" t="s">
        <v>28736</v>
      </c>
      <c r="C22833" s="5" t="str">
        <f>IFERROR(__xludf.DUMMYFUNCTION("GOOGLETRANSLATE(B22833,""en"",""de"")"),"Sie dreht das Sprungseil und vervollständigt einen vollen Sprung.")</f>
        <v>Sie dreht das Sprungseil und vervollständigt einen vollen Sprung.</v>
      </c>
    </row>
    <row r="22834">
      <c r="A22834" s="4" t="s">
        <v>28730</v>
      </c>
      <c r="B22834" s="4" t="s">
        <v>28737</v>
      </c>
      <c r="C22834" s="5" t="str">
        <f>IFERROR(__xludf.DUMMYFUNCTION("GOOGLETRANSLATE(B22834,""en"",""de"")"),"Sie geht und macht es wieder.")</f>
        <v>Sie geht und macht es wieder.</v>
      </c>
    </row>
    <row r="22835">
      <c r="A22835" s="4" t="s">
        <v>28730</v>
      </c>
      <c r="B22835" s="4" t="s">
        <v>28738</v>
      </c>
      <c r="C22835" s="5" t="str">
        <f>IFERROR(__xludf.DUMMYFUNCTION("GOOGLETRANSLATE(B22835,""en"",""de"")"),"Sie springt mehrmals Seile.")</f>
        <v>Sie springt mehrmals Seile.</v>
      </c>
    </row>
    <row r="22836">
      <c r="A22836" s="4" t="s">
        <v>28730</v>
      </c>
      <c r="B22836" s="4" t="s">
        <v>28739</v>
      </c>
      <c r="C22836" s="5" t="str">
        <f>IFERROR(__xludf.DUMMYFUNCTION("GOOGLETRANSLATE(B22836,""en"",""de"")"),"Sie macht es wieder und springt immer und immer wieder.")</f>
        <v>Sie macht es wieder und springt immer und immer wieder.</v>
      </c>
    </row>
    <row r="22837">
      <c r="A22837" s="4" t="s">
        <v>28730</v>
      </c>
      <c r="B22837" s="4" t="s">
        <v>28740</v>
      </c>
      <c r="C22837" s="5" t="str">
        <f>IFERROR(__xludf.DUMMYFUNCTION("GOOGLETRANSLATE(B22837,""en"",""de"")"),"Sie spricht mit der Kamera.")</f>
        <v>Sie spricht mit der Kamera.</v>
      </c>
    </row>
    <row r="22838">
      <c r="A22838" s="4" t="s">
        <v>28741</v>
      </c>
      <c r="B22838" s="4" t="s">
        <v>28742</v>
      </c>
      <c r="C22838" s="5" t="str">
        <f>IFERROR(__xludf.DUMMYFUNCTION("GOOGLETRANSLATE(B22838,""en"",""de"")"),"Eine schwarze männliche Majorette beginnt mit seinem Schlagstock durch die Drum -Linie.")</f>
        <v>Eine schwarze männliche Majorette beginnt mit seinem Schlagstock durch die Drum -Linie.</v>
      </c>
    </row>
    <row r="22839">
      <c r="A22839" s="4" t="s">
        <v>28741</v>
      </c>
      <c r="B22839" s="4" t="s">
        <v>28743</v>
      </c>
      <c r="C22839" s="5" t="str">
        <f>IFERROR(__xludf.DUMMYFUNCTION("GOOGLETRANSLATE(B22839,""en"",""de"")"),"Als er sich auf den Weg zur Vorderseite der Band macht, dreht er den Staffelstab und bewegt sich über das Feld und nimmt seine Hose aus.")</f>
        <v>Als er sich auf den Weg zur Vorderseite der Band macht, dreht er den Staffelstab und bewegt sich über das Feld und nimmt seine Hose aus.</v>
      </c>
    </row>
    <row r="22840">
      <c r="A22840" s="4" t="s">
        <v>28741</v>
      </c>
      <c r="B22840" s="4" t="s">
        <v>28744</v>
      </c>
      <c r="C22840" s="5" t="str">
        <f>IFERROR(__xludf.DUMMYFUNCTION("GOOGLETRANSLATE(B22840,""en"",""de"")"),"Unter seiner Hose befindet sich ein Paar funkelnde Shorts und tanzt weiter, macht Wendungen, Tricks, Tritte, Splits und Poping, während die Band spielt.")</f>
        <v>Unter seiner Hose befindet sich ein Paar funkelnde Shorts und tanzt weiter, macht Wendungen, Tricks, Tritte, Splits und Poping, während die Band spielt.</v>
      </c>
    </row>
    <row r="22841">
      <c r="A22841" s="4" t="s">
        <v>28745</v>
      </c>
      <c r="B22841" s="4" t="s">
        <v>28746</v>
      </c>
      <c r="C22841" s="5" t="str">
        <f>IFERROR(__xludf.DUMMYFUNCTION("GOOGLETRANSLATE(B22841,""en"",""de"")"),"Eine Frau, die in einem rosa Tanktop und grauen Strumpfhosen gekleidet ist, zeigt sich in einem Fitness -Fitnessstudio.")</f>
        <v>Eine Frau, die in einem rosa Tanktop und grauen Strumpfhosen gekleidet ist, zeigt sich in einem Fitness -Fitnessstudio.</v>
      </c>
    </row>
    <row r="22842">
      <c r="A22842" s="4" t="s">
        <v>28745</v>
      </c>
      <c r="B22842" s="4" t="s">
        <v>28747</v>
      </c>
      <c r="C22842" s="5" t="str">
        <f>IFERROR(__xludf.DUMMYFUNCTION("GOOGLETRANSLATE(B22842,""en"",""de"")"),"Sie zeigt die verschiedenen Übungen mit dem Fahrrad.")</f>
        <v>Sie zeigt die verschiedenen Übungen mit dem Fahrrad.</v>
      </c>
    </row>
    <row r="22843">
      <c r="A22843" s="4" t="s">
        <v>28745</v>
      </c>
      <c r="B22843" s="4" t="s">
        <v>28748</v>
      </c>
      <c r="C22843" s="5" t="str">
        <f>IFERROR(__xludf.DUMMYFUNCTION("GOOGLETRANSLATE(B22843,""en"",""de"")"),"Sie zeigt auch Magenknirschen und dehnt sich, während sie sich auf den Boden legt.")</f>
        <v>Sie zeigt auch Magenknirschen und dehnt sich, während sie sich auf den Boden legt.</v>
      </c>
    </row>
    <row r="22844">
      <c r="A22844" s="4" t="s">
        <v>28745</v>
      </c>
      <c r="B22844" s="4" t="s">
        <v>28749</v>
      </c>
      <c r="C22844" s="5" t="str">
        <f>IFERROR(__xludf.DUMMYFUNCTION("GOOGLETRANSLATE(B22844,""en"",""de"")"),"Sie motiviert ihr Team, weiterzufahren, während sie sie ermutigt, schneller zu werden.")</f>
        <v>Sie motiviert ihr Team, weiterzufahren, während sie sie ermutigt, schneller zu werden.</v>
      </c>
    </row>
    <row r="22845">
      <c r="A22845" s="4" t="s">
        <v>28750</v>
      </c>
      <c r="B22845" s="4" t="s">
        <v>28751</v>
      </c>
      <c r="C22845" s="5" t="str">
        <f>IFERROR(__xludf.DUMMYFUNCTION("GOOGLETRANSLATE(B22845,""en"",""de"")"),"Ein Mann und eine Frauen stellen sich in die Kamera vor und sprechen miteinander, während der Mann hinter einem Bongo -Set mit vier Sets sitzt und die Frauen auf der anderen Seite eine Wasserflasche halten.")</f>
        <v>Ein Mann und eine Frauen stellen sich in die Kamera vor und sprechen miteinander, während der Mann hinter einem Bongo -Set mit vier Sets sitzt und die Frauen auf der anderen Seite eine Wasserflasche halten.</v>
      </c>
    </row>
    <row r="22846">
      <c r="A22846" s="4" t="s">
        <v>28750</v>
      </c>
      <c r="B22846" s="4" t="s">
        <v>28752</v>
      </c>
      <c r="C22846" s="5" t="str">
        <f>IFERROR(__xludf.DUMMYFUNCTION("GOOGLETRANSLATE(B22846,""en"",""de"")"),"Während das Gespräch kommt, nähert sich eine andere Frau der Frau und nimmt ihre Wasserflasche weg.")</f>
        <v>Während das Gespräch kommt, nähert sich eine andere Frau der Frau und nimmt ihre Wasserflasche weg.</v>
      </c>
    </row>
    <row r="22847">
      <c r="A22847" s="4" t="s">
        <v>28750</v>
      </c>
      <c r="B22847" s="4" t="s">
        <v>28753</v>
      </c>
      <c r="C22847" s="5" t="str">
        <f>IFERROR(__xludf.DUMMYFUNCTION("GOOGLETRANSLATE(B22847,""en"",""de"")"),"Danach beginnt der Mann die Bongos und die Frau zu tanzen.")</f>
        <v>Danach beginnt der Mann die Bongos und die Frau zu tanzen.</v>
      </c>
    </row>
    <row r="22848">
      <c r="A22848" s="4" t="s">
        <v>28750</v>
      </c>
      <c r="B22848" s="4" t="s">
        <v>28754</v>
      </c>
      <c r="C22848" s="5" t="str">
        <f>IFERROR(__xludf.DUMMYFUNCTION("GOOGLETRANSLATE(B22848,""en"",""de"")"),"Als die Frau einen Mann auf einem Fahrrad aufgeht und anfängt zu beobachten, was los ist.")</f>
        <v>Als die Frau einen Mann auf einem Fahrrad aufgeht und anfängt zu beobachten, was los ist.</v>
      </c>
    </row>
    <row r="22849">
      <c r="A22849" s="4" t="s">
        <v>28750</v>
      </c>
      <c r="B22849" s="4" t="s">
        <v>28755</v>
      </c>
      <c r="C22849" s="5" t="str">
        <f>IFERROR(__xludf.DUMMYFUNCTION("GOOGLETRANSLATE(B22849,""en"",""de"")"),"Am Ende, während die Frau aufhört zu tanzen und anfängt zu klatschen und der Mann, der das Bongos spielt, hört auf zu spielen und macht einen letzten Klatschen.")</f>
        <v>Am Ende, während die Frau aufhört zu tanzen und anfängt zu klatschen und der Mann, der das Bongos spielt, hört auf zu spielen und macht einen letzten Klatschen.</v>
      </c>
    </row>
    <row r="22850">
      <c r="A22850" s="4" t="s">
        <v>28756</v>
      </c>
      <c r="B22850" s="4" t="s">
        <v>28757</v>
      </c>
      <c r="C22850" s="5" t="str">
        <f>IFERROR(__xludf.DUMMYFUNCTION("GOOGLETRANSLATE(B22850,""en"",""de"")"),"Wir sehen einen Mann, der Capoiera auf einem Platz aufführt.")</f>
        <v>Wir sehen einen Mann, der Capoiera auf einem Platz aufführt.</v>
      </c>
    </row>
    <row r="22851">
      <c r="A22851" s="4" t="s">
        <v>28756</v>
      </c>
      <c r="B22851" s="4" t="s">
        <v>28758</v>
      </c>
      <c r="C22851" s="5" t="str">
        <f>IFERROR(__xludf.DUMMYFUNCTION("GOOGLETRANSLATE(B22851,""en"",""de"")"),"Der Mann wird von einem zweiten Mann und der Praxis zusammen begleitet.")</f>
        <v>Der Mann wird von einem zweiten Mann und der Praxis zusammen begleitet.</v>
      </c>
    </row>
    <row r="22852">
      <c r="A22852" s="4" t="s">
        <v>28756</v>
      </c>
      <c r="B22852" s="4" t="s">
        <v>28759</v>
      </c>
      <c r="C22852" s="5" t="str">
        <f>IFERROR(__xludf.DUMMYFUNCTION("GOOGLETRANSLATE(B22852,""en"",""de"")"),"Der erste Mann geht und ein anderer Mann springt hinein.")</f>
        <v>Der erste Mann geht und ein anderer Mann springt hinein.</v>
      </c>
    </row>
    <row r="22853">
      <c r="A22853" s="4" t="s">
        <v>28756</v>
      </c>
      <c r="B22853" s="4" t="s">
        <v>28760</v>
      </c>
      <c r="C22853" s="5" t="str">
        <f>IFERROR(__xludf.DUMMYFUNCTION("GOOGLETRANSLATE(B22853,""en"",""de"")"),"Die beiden Männer beenden und schütteln und umarmen.")</f>
        <v>Die beiden Männer beenden und schütteln und umarmen.</v>
      </c>
    </row>
    <row r="22854">
      <c r="A22854" s="4" t="s">
        <v>28756</v>
      </c>
      <c r="B22854" s="4" t="s">
        <v>28761</v>
      </c>
      <c r="C22854" s="5" t="str">
        <f>IFERROR(__xludf.DUMMYFUNCTION("GOOGLETRANSLATE(B22854,""en"",""de"")"),"Beide Männer kehren aus dem Ring zurück und ein neuer Mann tritt ein.")</f>
        <v>Beide Männer kehren aus dem Ring zurück und ein neuer Mann tritt ein.</v>
      </c>
    </row>
    <row r="22855">
      <c r="A22855" s="4" t="s">
        <v>28762</v>
      </c>
      <c r="B22855" s="4" t="s">
        <v>28763</v>
      </c>
      <c r="C22855" s="5" t="str">
        <f>IFERROR(__xludf.DUMMYFUNCTION("GOOGLETRANSLATE(B22855,""en"",""de"")"),"Ein kleiner Junge schiebt einen Staubsauger in die Küche eines Hauses.")</f>
        <v>Ein kleiner Junge schiebt einen Staubsauger in die Küche eines Hauses.</v>
      </c>
    </row>
    <row r="22856">
      <c r="A22856" s="4" t="s">
        <v>28762</v>
      </c>
      <c r="B22856" s="4" t="s">
        <v>28764</v>
      </c>
      <c r="C22856" s="5" t="str">
        <f>IFERROR(__xludf.DUMMYFUNCTION("GOOGLETRANSLATE(B22856,""en"",""de"")"),"Die Mutter zeigt mit ihrer Hand unter die Möbel und fuhren dann den Jungen.")</f>
        <v>Die Mutter zeigt mit ihrer Hand unter die Möbel und fuhren dann den Jungen.</v>
      </c>
    </row>
    <row r="22857">
      <c r="A22857" s="4" t="s">
        <v>28762</v>
      </c>
      <c r="B22857" s="4" t="s">
        <v>28765</v>
      </c>
      <c r="C22857" s="5" t="str">
        <f>IFERROR(__xludf.DUMMYFUNCTION("GOOGLETRANSLATE(B22857,""en"",""de"")"),"Der Junge schiebt den Staubsauger in den Flur und setzt die Gegend ab.")</f>
        <v>Der Junge schiebt den Staubsauger in den Flur und setzt die Gegend ab.</v>
      </c>
    </row>
    <row r="22858">
      <c r="A22858" s="4" t="s">
        <v>28766</v>
      </c>
      <c r="B22858" s="4" t="s">
        <v>28767</v>
      </c>
      <c r="C22858" s="5" t="str">
        <f>IFERROR(__xludf.DUMMYFUNCTION("GOOGLETRANSLATE(B22858,""en"",""de"")"),"Ein Mann erklärt und zeigt, wie man Schneebretthügel dreht.")</f>
        <v>Ein Mann erklärt und zeigt, wie man Schneebretthügel dreht.</v>
      </c>
    </row>
    <row r="22859">
      <c r="A22859" s="4" t="s">
        <v>28766</v>
      </c>
      <c r="B22859" s="4" t="s">
        <v>28768</v>
      </c>
      <c r="C22859" s="5" t="str">
        <f>IFERROR(__xludf.DUMMYFUNCTION("GOOGLETRANSLATE(B22859,""en"",""de"")"),"Dann führt der Mann mit einem Schneeskateboard Toäside durch.")</f>
        <v>Dann führt der Mann mit einem Schneeskateboard Toäside durch.</v>
      </c>
    </row>
    <row r="22860">
      <c r="A22860" s="4" t="s">
        <v>28766</v>
      </c>
      <c r="B22860" s="4" t="s">
        <v>28769</v>
      </c>
      <c r="C22860" s="5" t="str">
        <f>IFERROR(__xludf.DUMMYFUNCTION("GOOGLETRANSLATE(B22860,""en"",""de"")"),"Der Mann erklärt weiter und führt eine Kurve durch.")</f>
        <v>Der Mann erklärt weiter und führt eine Kurve durch.</v>
      </c>
    </row>
    <row r="22861">
      <c r="A22861" s="4" t="s">
        <v>28766</v>
      </c>
      <c r="B22861" s="4" t="s">
        <v>28770</v>
      </c>
      <c r="C22861" s="5" t="str">
        <f>IFERROR(__xludf.DUMMYFUNCTION("GOOGLETRANSLATE(B22861,""en"",""de"")"),"Ein Kleinkind Ski auf dem Schnee.")</f>
        <v>Ein Kleinkind Ski auf dem Schnee.</v>
      </c>
    </row>
    <row r="22862">
      <c r="A22862" s="4" t="s">
        <v>28771</v>
      </c>
      <c r="B22862" s="4" t="s">
        <v>28772</v>
      </c>
      <c r="C22862" s="5" t="str">
        <f>IFERROR(__xludf.DUMMYFUNCTION("GOOGLETRANSLATE(B22862,""en"",""de"")"),"Eine Frau steht und redet in einer Küche.")</f>
        <v>Eine Frau steht und redet in einer Küche.</v>
      </c>
    </row>
    <row r="22863">
      <c r="A22863" s="4" t="s">
        <v>28771</v>
      </c>
      <c r="B22863" s="4" t="s">
        <v>28773</v>
      </c>
      <c r="C22863" s="5" t="str">
        <f>IFERROR(__xludf.DUMMYFUNCTION("GOOGLETRANSLATE(B22863,""en"",""de"")"),"Sie verwendet einen kleinen Staubsauger.")</f>
        <v>Sie verwendet einen kleinen Staubsauger.</v>
      </c>
    </row>
    <row r="22864">
      <c r="A22864" s="4" t="s">
        <v>28771</v>
      </c>
      <c r="B22864" s="4" t="s">
        <v>28774</v>
      </c>
      <c r="C22864" s="5" t="str">
        <f>IFERROR(__xludf.DUMMYFUNCTION("GOOGLETRANSLATE(B22864,""en"",""de"")"),"Sie zeigt, wie man das Vakuum benutzt, während sie spricht.")</f>
        <v>Sie zeigt, wie man das Vakuum benutzt, während sie spricht.</v>
      </c>
    </row>
    <row r="22865">
      <c r="A22865" s="4" t="s">
        <v>28775</v>
      </c>
      <c r="B22865" s="4" t="s">
        <v>28776</v>
      </c>
      <c r="C22865" s="5" t="str">
        <f>IFERROR(__xludf.DUMMYFUNCTION("GOOGLETRANSLATE(B22865,""en"",""de"")"),"Frau ist in einer Küche und spricht Cheddar -Käse in dicke Stücke, schneidet das Brot, dann legte sie Butter in eine Pfanne und das Brotlaib in die Pfanne mit dem Käse oben, damit der Käse in der Pfanne geschmolzen werden kann, sagt Frau das ist falsch.")</f>
        <v>Frau ist in einer Küche und spricht Cheddar -Käse in dicke Stücke, schneidet das Brot, dann legte sie Butter in eine Pfanne und das Brotlaib in die Pfanne mit dem Käse oben, damit der Käse in der Pfanne geschmolzen werden kann, sagt Frau das ist falsch.</v>
      </c>
    </row>
    <row r="22866">
      <c r="A22866" s="4" t="s">
        <v>28775</v>
      </c>
      <c r="B22866" s="4" t="s">
        <v>28777</v>
      </c>
      <c r="C22866" s="5" t="str">
        <f>IFERROR(__xludf.DUMMYFUNCTION("GOOGLETRANSLATE(B22866,""en"",""de"")"),"Frau zeigt eine saubere Pfanne, legte die Butter auf das Brot und raste den Käse ein, legte sie dann als Sandwich und in die Pfanne mit einem Deckel, bis das Brot lecker ist.")</f>
        <v>Frau zeigt eine saubere Pfanne, legte die Butter auf das Brot und raste den Käse ein, legte sie dann als Sandwich und in die Pfanne mit einem Deckel, bis das Brot lecker ist.</v>
      </c>
    </row>
    <row r="22867">
      <c r="A22867" s="4" t="s">
        <v>28775</v>
      </c>
      <c r="B22867" s="4" t="s">
        <v>28778</v>
      </c>
      <c r="C22867" s="5" t="str">
        <f>IFERROR(__xludf.DUMMYFUNCTION("GOOGLETRANSLATE(B22867,""en"",""de"")"),"Frau serviert das Brot in einem blauen Gericht und schneiden in zwei Teile.")</f>
        <v>Frau serviert das Brot in einem blauen Gericht und schneiden in zwei Teile.</v>
      </c>
    </row>
    <row r="22868">
      <c r="A22868" s="4" t="s">
        <v>28779</v>
      </c>
      <c r="B22868" s="4" t="s">
        <v>28780</v>
      </c>
      <c r="C22868" s="5" t="str">
        <f>IFERROR(__xludf.DUMMYFUNCTION("GOOGLETRANSLATE(B22868,""en"",""de"")"),"Ein Mann steht vor einem Feuer, das eine Axt hochhält, und schneidet ein Stück Holz.")</f>
        <v>Ein Mann steht vor einem Feuer, das eine Axt hochhält, und schneidet ein Stück Holz.</v>
      </c>
    </row>
    <row r="22869">
      <c r="A22869" s="4" t="s">
        <v>28779</v>
      </c>
      <c r="B22869" s="4" t="s">
        <v>28781</v>
      </c>
      <c r="C22869" s="5" t="str">
        <f>IFERROR(__xludf.DUMMYFUNCTION("GOOGLETRANSLATE(B22869,""en"",""de"")"),"Ein anderer Mann hält die Holzstücke hoch, während der Mann weiterhin das Holz schneidet und der andere Mann das Holz bewegt.")</f>
        <v>Ein anderer Mann hält die Holzstücke hoch, während der Mann weiterhin das Holz schneidet und der andere Mann das Holz bewegt.</v>
      </c>
    </row>
    <row r="22870">
      <c r="A22870" s="4" t="s">
        <v>28782</v>
      </c>
      <c r="B22870" s="4" t="s">
        <v>28783</v>
      </c>
      <c r="C22870" s="5" t="str">
        <f>IFERROR(__xludf.DUMMYFUNCTION("GOOGLETRANSLATE(B22870,""en"",""de"")"),"Eine Person in White rennt in Richtung der ersten Basis, die Kickball spielt.")</f>
        <v>Eine Person in White rennt in Richtung der ersten Basis, die Kickball spielt.</v>
      </c>
    </row>
    <row r="22871">
      <c r="A22871" s="4" t="s">
        <v>28782</v>
      </c>
      <c r="B22871" s="4" t="s">
        <v>28784</v>
      </c>
      <c r="C22871" s="5" t="str">
        <f>IFERROR(__xludf.DUMMYFUNCTION("GOOGLETRANSLATE(B22871,""en"",""de"")"),"Der Mann wird von einer Frau, die Rot trägt, markiert.")</f>
        <v>Der Mann wird von einer Frau, die Rot trägt, markiert.</v>
      </c>
    </row>
    <row r="22872">
      <c r="A22872" s="4" t="s">
        <v>28785</v>
      </c>
      <c r="B22872" s="4" t="s">
        <v>28786</v>
      </c>
      <c r="C22872" s="5" t="str">
        <f>IFERROR(__xludf.DUMMYFUNCTION("GOOGLETRANSLATE(B22872,""en"",""de"")"),"Wir sehen einen Öffnungsbildschirm und einen Mann trinken aus einer Tasse.")</f>
        <v>Wir sehen einen Öffnungsbildschirm und einen Mann trinken aus einer Tasse.</v>
      </c>
    </row>
    <row r="22873">
      <c r="A22873" s="4" t="s">
        <v>28785</v>
      </c>
      <c r="B22873" s="4" t="s">
        <v>28787</v>
      </c>
      <c r="C22873" s="5" t="str">
        <f>IFERROR(__xludf.DUMMYFUNCTION("GOOGLETRANSLATE(B22873,""en"",""de"")"),"Der Mann malt die Nägel einer Dame in einem Esszimmer.")</f>
        <v>Der Mann malt die Nägel einer Dame in einem Esszimmer.</v>
      </c>
    </row>
    <row r="22874">
      <c r="A22874" s="4" t="s">
        <v>28785</v>
      </c>
      <c r="B22874" s="4" t="s">
        <v>28788</v>
      </c>
      <c r="C22874" s="5" t="str">
        <f>IFERROR(__xludf.DUMMYFUNCTION("GOOGLETRANSLATE(B22874,""en"",""de"")"),"Die Dame zeigt uns ihre Fingernägel.")</f>
        <v>Die Dame zeigt uns ihre Fingernägel.</v>
      </c>
    </row>
    <row r="22875">
      <c r="A22875" s="4" t="s">
        <v>28785</v>
      </c>
      <c r="B22875" s="4" t="s">
        <v>28789</v>
      </c>
      <c r="C22875" s="5" t="str">
        <f>IFERROR(__xludf.DUMMYFUNCTION("GOOGLETRANSLATE(B22875,""en"",""de"")"),"Der Mann trinkt aus seiner Tasse.")</f>
        <v>Der Mann trinkt aus seiner Tasse.</v>
      </c>
    </row>
    <row r="22876">
      <c r="A22876" s="4" t="s">
        <v>28785</v>
      </c>
      <c r="B22876" s="4" t="s">
        <v>28790</v>
      </c>
      <c r="C22876" s="5" t="str">
        <f>IFERROR(__xludf.DUMMYFUNCTION("GOOGLETRANSLATE(B22876,""en"",""de"")"),"Der Mann lehnt sich zurück und lacht.")</f>
        <v>Der Mann lehnt sich zurück und lacht.</v>
      </c>
    </row>
    <row r="22877">
      <c r="A22877" s="4" t="s">
        <v>28785</v>
      </c>
      <c r="B22877" s="4" t="s">
        <v>28791</v>
      </c>
      <c r="C22877" s="5" t="str">
        <f>IFERROR(__xludf.DUMMYFUNCTION("GOOGLETRANSLATE(B22877,""en"",""de"")"),"Wir sehen einen Endbildschirm.")</f>
        <v>Wir sehen einen Endbildschirm.</v>
      </c>
    </row>
    <row r="22878">
      <c r="A22878" s="4" t="s">
        <v>28792</v>
      </c>
      <c r="B22878" s="4" t="s">
        <v>28793</v>
      </c>
      <c r="C22878" s="5" t="str">
        <f>IFERROR(__xludf.DUMMYFUNCTION("GOOGLETRANSLATE(B22878,""en"",""de"")"),"Ein sportlicher Mann hält eine Diskussion und beginnt sich in Zeitlupe herumzudrehen.")</f>
        <v>Ein sportlicher Mann hält eine Diskussion und beginnt sich in Zeitlupe herumzudrehen.</v>
      </c>
    </row>
    <row r="22879">
      <c r="A22879" s="4" t="s">
        <v>28792</v>
      </c>
      <c r="B22879" s="4" t="s">
        <v>28794</v>
      </c>
      <c r="C22879" s="5" t="str">
        <f>IFERROR(__xludf.DUMMYFUNCTION("GOOGLETRANSLATE(B22879,""en"",""de"")"),"Der Mann wirft das Objekt dann in die Entfernung und geht langsam zurück, während sie sich in Zeitlupe bewegt.")</f>
        <v>Der Mann wirft das Objekt dann in die Entfernung und geht langsam zurück, während sie sich in Zeitlupe bewegt.</v>
      </c>
    </row>
    <row r="22880">
      <c r="A22880" s="4" t="s">
        <v>28795</v>
      </c>
      <c r="B22880" s="4" t="s">
        <v>28796</v>
      </c>
      <c r="C22880" s="5" t="str">
        <f>IFERROR(__xludf.DUMMYFUNCTION("GOOGLETRANSLATE(B22880,""en"",""de"")"),"Ein Rasenmäher ist an ein weißes Seil gebunden.")</f>
        <v>Ein Rasenmäher ist an ein weißes Seil gebunden.</v>
      </c>
    </row>
    <row r="22881">
      <c r="A22881" s="4" t="s">
        <v>28795</v>
      </c>
      <c r="B22881" s="4" t="s">
        <v>28797</v>
      </c>
      <c r="C22881" s="5" t="str">
        <f>IFERROR(__xludf.DUMMYFUNCTION("GOOGLETRANSLATE(B22881,""en"",""de"")"),"Es ist eingeschaltet und beginnt im Kreis um das Seil, das den Rasen mäht.")</f>
        <v>Es ist eingeschaltet und beginnt im Kreis um das Seil, das den Rasen mäht.</v>
      </c>
    </row>
    <row r="22882">
      <c r="A22882" s="4" t="s">
        <v>28798</v>
      </c>
      <c r="B22882" s="4" t="s">
        <v>28799</v>
      </c>
      <c r="C22882" s="5" t="str">
        <f>IFERROR(__xludf.DUMMYFUNCTION("GOOGLETRANSLATE(B22882,""en"",""de"")"),"Eine Aufnahme eines Spielplatzes wird mit verschiedenen Kindern gezeigt, die auf dem Spielplatz spielen und eine Rutsche hinunterfahren.")</f>
        <v>Eine Aufnahme eines Spielplatzes wird mit verschiedenen Kindern gezeigt, die auf dem Spielplatz spielen und eine Rutsche hinunterfahren.</v>
      </c>
    </row>
    <row r="22883">
      <c r="A22883" s="4" t="s">
        <v>28798</v>
      </c>
      <c r="B22883" s="4" t="s">
        <v>28800</v>
      </c>
      <c r="C22883" s="5" t="str">
        <f>IFERROR(__xludf.DUMMYFUNCTION("GOOGLETRANSLATE(B22883,""en"",""de"")"),"Weitere Aufnahmen von Kindern, die schwingen und auf Seite nach unten hängen sowie ein Lenkrad bewegen und nach oben klettern.")</f>
        <v>Weitere Aufnahmen von Kindern, die schwingen und auf Seite nach unten hängen sowie ein Lenkrad bewegen und nach oben klettern.</v>
      </c>
    </row>
    <row r="22884">
      <c r="A22884" s="4" t="s">
        <v>28801</v>
      </c>
      <c r="B22884" s="4" t="s">
        <v>28802</v>
      </c>
      <c r="C22884" s="5" t="str">
        <f>IFERROR(__xludf.DUMMYFUNCTION("GOOGLETRANSLATE(B22884,""en"",""de"")"),"Ein Team von Schwimmern ist zusammengekauert.")</f>
        <v>Ein Team von Schwimmern ist zusammengekauert.</v>
      </c>
    </row>
    <row r="22885">
      <c r="A22885" s="4" t="s">
        <v>28801</v>
      </c>
      <c r="B22885" s="4" t="s">
        <v>28803</v>
      </c>
      <c r="C22885" s="5" t="str">
        <f>IFERROR(__xludf.DUMMYFUNCTION("GOOGLETRANSLATE(B22885,""en"",""de"")"),"Das Team kommt in den Pool.")</f>
        <v>Das Team kommt in den Pool.</v>
      </c>
    </row>
    <row r="22886">
      <c r="A22886" s="4" t="s">
        <v>28801</v>
      </c>
      <c r="B22886" s="4" t="s">
        <v>28804</v>
      </c>
      <c r="C22886" s="5" t="str">
        <f>IFERROR(__xludf.DUMMYFUNCTION("GOOGLETRANSLATE(B22886,""en"",""de"")"),"Zwei Teams spielen gegeneinander Wasserball.")</f>
        <v>Zwei Teams spielen gegeneinander Wasserball.</v>
      </c>
    </row>
    <row r="22887">
      <c r="A22887" s="4" t="s">
        <v>28801</v>
      </c>
      <c r="B22887" s="4" t="s">
        <v>28805</v>
      </c>
      <c r="C22887" s="5" t="str">
        <f>IFERROR(__xludf.DUMMYFUNCTION("GOOGLETRANSLATE(B22887,""en"",""de"")"),"Eine Menge schaut von den Tribünen zu.")</f>
        <v>Eine Menge schaut von den Tribünen zu.</v>
      </c>
    </row>
    <row r="22888">
      <c r="A22888" s="4" t="s">
        <v>28806</v>
      </c>
      <c r="B22888" s="4" t="s">
        <v>28807</v>
      </c>
      <c r="C22888" s="5" t="str">
        <f>IFERROR(__xludf.DUMMYFUNCTION("GOOGLETRANSLATE(B22888,""en"",""de"")"),"Wir sehen eine Anzeigetafel in einem Spiel.")</f>
        <v>Wir sehen eine Anzeigetafel in einem Spiel.</v>
      </c>
    </row>
    <row r="22889">
      <c r="A22889" s="4" t="s">
        <v>28806</v>
      </c>
      <c r="B22889" s="4" t="s">
        <v>28808</v>
      </c>
      <c r="C22889" s="5" t="str">
        <f>IFERROR(__xludf.DUMMYFUNCTION("GOOGLETRANSLATE(B22889,""en"",""de"")"),"Mädchen rennen auf das Feld und schütteln dem anderen Team die Hand.")</f>
        <v>Mädchen rennen auf das Feld und schütteln dem anderen Team die Hand.</v>
      </c>
    </row>
    <row r="22890">
      <c r="A22890" s="4" t="s">
        <v>28806</v>
      </c>
      <c r="B22890" s="4" t="s">
        <v>28809</v>
      </c>
      <c r="C22890" s="5" t="str">
        <f>IFERROR(__xludf.DUMMYFUNCTION("GOOGLETRANSLATE(B22890,""en"",""de"")"),"Wir sehen Mädchen im Innenbereich Volleyball.")</f>
        <v>Wir sehen Mädchen im Innenbereich Volleyball.</v>
      </c>
    </row>
    <row r="22891">
      <c r="A22891" s="4" t="s">
        <v>28806</v>
      </c>
      <c r="B22891" s="4" t="s">
        <v>28810</v>
      </c>
      <c r="C22891" s="5" t="str">
        <f>IFERROR(__xludf.DUMMYFUNCTION("GOOGLETRANSLATE(B22891,""en"",""de"")"),"Die Mädchen auf der linken Seite machen einen Schuss und das Team umarmt.")</f>
        <v>Die Mädchen auf der linken Seite machen einen Schuss und das Team umarmt.</v>
      </c>
    </row>
    <row r="22892">
      <c r="A22892" s="4" t="s">
        <v>28806</v>
      </c>
      <c r="B22892" s="4" t="s">
        <v>28811</v>
      </c>
      <c r="C22892" s="5" t="str">
        <f>IFERROR(__xludf.DUMMYFUNCTION("GOOGLETRANSLATE(B22892,""en"",""de"")"),"Wir sehen die Anzeigetafel und die Leute am Rande sprechen.")</f>
        <v>Wir sehen die Anzeigetafel und die Leute am Rande sprechen.</v>
      </c>
    </row>
    <row r="22893">
      <c r="A22893" s="4" t="s">
        <v>28806</v>
      </c>
      <c r="B22893" s="4" t="s">
        <v>28812</v>
      </c>
      <c r="C22893" s="5" t="str">
        <f>IFERROR(__xludf.DUMMYFUNCTION("GOOGLETRANSLATE(B22893,""en"",""de"")"),"Wir sehen einen Schuss in Zeitlupe und die Mädchen umarmen.")</f>
        <v>Wir sehen einen Schuss in Zeitlupe und die Mädchen umarmen.</v>
      </c>
    </row>
    <row r="22894">
      <c r="A22894" s="4" t="s">
        <v>28806</v>
      </c>
      <c r="B22894" s="4" t="s">
        <v>28813</v>
      </c>
      <c r="C22894" s="5" t="str">
        <f>IFERROR(__xludf.DUMMYFUNCTION("GOOGLETRANSLATE(B22894,""en"",""de"")"),"Das Spiel ist vorbei und die Mädchen schütteln alle die Hand.")</f>
        <v>Das Spiel ist vorbei und die Mädchen schütteln alle die Hand.</v>
      </c>
    </row>
    <row r="22895">
      <c r="A22895" s="4" t="s">
        <v>28814</v>
      </c>
      <c r="B22895" s="4" t="s">
        <v>28815</v>
      </c>
      <c r="C22895" s="5" t="str">
        <f>IFERROR(__xludf.DUMMYFUNCTION("GOOGLETRANSLATE(B22895,""en"",""de"")"),"Zwei Männer befinden sich in einem Pool, das auf Tauchausrüstung aufgreift.")</f>
        <v>Zwei Männer befinden sich in einem Pool, das auf Tauchausrüstung aufgreift.</v>
      </c>
    </row>
    <row r="22896">
      <c r="A22896" s="4" t="s">
        <v>28814</v>
      </c>
      <c r="B22896" s="4" t="s">
        <v>28816</v>
      </c>
      <c r="C22896" s="5" t="str">
        <f>IFERROR(__xludf.DUMMYFUNCTION("GOOGLETRANSLATE(B22896,""en"",""de"")"),"Der Mann in Red steckt die Verschnaufpause in den Mund und schwimmt dann nach hinten auf seinem Rücken.")</f>
        <v>Der Mann in Red steckt die Verschnaufpause in den Mund und schwimmt dann nach hinten auf seinem Rücken.</v>
      </c>
    </row>
    <row r="22897">
      <c r="A22897" s="4" t="s">
        <v>28814</v>
      </c>
      <c r="B22897" s="4" t="s">
        <v>28817</v>
      </c>
      <c r="C22897" s="5" t="str">
        <f>IFERROR(__xludf.DUMMYFUNCTION("GOOGLETRANSLATE(B22897,""en"",""de"")"),"Wir sehen, dass der Mann in Rot und Blau eine Lösung auf ihre Schutzbrille legt, bevor wir sie anprobieren.")</f>
        <v>Wir sehen, dass der Mann in Rot und Blau eine Lösung auf ihre Schutzbrille legt, bevor wir sie anprobieren.</v>
      </c>
    </row>
    <row r="22898">
      <c r="A22898" s="4" t="s">
        <v>28814</v>
      </c>
      <c r="B22898" s="4" t="s">
        <v>28818</v>
      </c>
      <c r="C22898" s="5" t="str">
        <f>IFERROR(__xludf.DUMMYFUNCTION("GOOGLETRANSLATE(B22898,""en"",""de"")"),"Der Mann in Rot steckt den Röhrchen in den Mund und dann die Verschnaufpause, bevor er unter Wasser geht.")</f>
        <v>Der Mann in Rot steckt den Röhrchen in den Mund und dann die Verschnaufpause, bevor er unter Wasser geht.</v>
      </c>
    </row>
    <row r="22899">
      <c r="A22899" s="4" t="s">
        <v>28814</v>
      </c>
      <c r="B22899" s="4" t="s">
        <v>28819</v>
      </c>
      <c r="C22899" s="5" t="str">
        <f>IFERROR(__xludf.DUMMYFUNCTION("GOOGLETRANSLATE(B22899,""en"",""de"")"),"Wir sehen dann eine Anmeldung verkehrt herum im Wasser.")</f>
        <v>Wir sehen dann eine Anmeldung verkehrt herum im Wasser.</v>
      </c>
    </row>
    <row r="22900">
      <c r="A22900" s="4" t="s">
        <v>28820</v>
      </c>
      <c r="B22900" s="4" t="s">
        <v>28821</v>
      </c>
      <c r="C22900" s="5" t="str">
        <f>IFERROR(__xludf.DUMMYFUNCTION("GOOGLETRANSLATE(B22900,""en"",""de"")"),"Ein kleines Mädchen sitzt neben all ihr Spielzeug, das sehr unordentlich ein Eis isst.")</f>
        <v>Ein kleines Mädchen sitzt neben all ihr Spielzeug, das sehr unordentlich ein Eis isst.</v>
      </c>
    </row>
    <row r="22901">
      <c r="A22901" s="4" t="s">
        <v>28820</v>
      </c>
      <c r="B22901" s="4" t="s">
        <v>28822</v>
      </c>
      <c r="C22901" s="5" t="str">
        <f>IFERROR(__xludf.DUMMYFUNCTION("GOOGLETRANSLATE(B22901,""en"",""de"")"),"Ihre Mutter nimmt ihr das Eis weg und sie beginnt zu weinen.")</f>
        <v>Ihre Mutter nimmt ihr das Eis weg und sie beginnt zu weinen.</v>
      </c>
    </row>
    <row r="22902">
      <c r="A22902" s="4" t="s">
        <v>28820</v>
      </c>
      <c r="B22902" s="4" t="s">
        <v>28823</v>
      </c>
      <c r="C22902" s="5" t="str">
        <f>IFERROR(__xludf.DUMMYFUNCTION("GOOGLETRANSLATE(B22902,""en"",""de"")"),"Ihre Mutter gibt ihr das Eis zurück und sie ist wieder glücklich, es zurück zu essen.")</f>
        <v>Ihre Mutter gibt ihr das Eis zurück und sie ist wieder glücklich, es zurück zu essen.</v>
      </c>
    </row>
    <row r="22903">
      <c r="A22903" s="4" t="s">
        <v>28820</v>
      </c>
      <c r="B22903" s="4" t="s">
        <v>28824</v>
      </c>
      <c r="C22903" s="5" t="str">
        <f>IFERROR(__xludf.DUMMYFUNCTION("GOOGLETRANSLATE(B22903,""en"",""de"")"),"Sie spielt mit ihren Spielsachen mit ihren klebrigen Eisfingern und ihrem Eis in der anderen Hand.")</f>
        <v>Sie spielt mit ihren Spielsachen mit ihren klebrigen Eisfingern und ihrem Eis in der anderen Hand.</v>
      </c>
    </row>
    <row r="22904">
      <c r="A22904" s="4" t="s">
        <v>28825</v>
      </c>
      <c r="B22904" s="4" t="s">
        <v>28826</v>
      </c>
      <c r="C22904" s="5" t="str">
        <f>IFERROR(__xludf.DUMMYFUNCTION("GOOGLETRANSLATE(B22904,""en"",""de"")"),"Wir sehen, wie ein Mann auf einem Büroplatz tanzt.")</f>
        <v>Wir sehen, wie ein Mann auf einem Büroplatz tanzt.</v>
      </c>
    </row>
    <row r="22905">
      <c r="A22905" s="4" t="s">
        <v>28825</v>
      </c>
      <c r="B22905" s="4" t="s">
        <v>28827</v>
      </c>
      <c r="C22905" s="5" t="str">
        <f>IFERROR(__xludf.DUMMYFUNCTION("GOOGLETRANSLATE(B22905,""en"",""de"")"),"Wir wechseln und sehen verschiedene Männer, die auf Office Plazas und Lobbys tanzen.")</f>
        <v>Wir wechseln und sehen verschiedene Männer, die auf Office Plazas und Lobbys tanzen.</v>
      </c>
    </row>
    <row r="22906">
      <c r="A22906" s="4" t="s">
        <v>28825</v>
      </c>
      <c r="B22906" s="4" t="s">
        <v>28828</v>
      </c>
      <c r="C22906" s="5" t="str">
        <f>IFERROR(__xludf.DUMMYFUNCTION("GOOGLETRANSLATE(B22906,""en"",""de"")"),"Wir sehen, dass der Mann einen Handstand macht.")</f>
        <v>Wir sehen, dass der Mann einen Handstand macht.</v>
      </c>
    </row>
    <row r="22907">
      <c r="A22907" s="4" t="s">
        <v>28825</v>
      </c>
      <c r="B22907" s="4" t="s">
        <v>28829</v>
      </c>
      <c r="C22907" s="5" t="str">
        <f>IFERROR(__xludf.DUMMYFUNCTION("GOOGLETRANSLATE(B22907,""en"",""de"")"),"Wir sehen einen Mann abheben und seine Jacke auf die Kamera werfen.")</f>
        <v>Wir sehen einen Mann abheben und seine Jacke auf die Kamera werfen.</v>
      </c>
    </row>
    <row r="22908">
      <c r="A22908" s="4" t="s">
        <v>28825</v>
      </c>
      <c r="B22908" s="4" t="s">
        <v>28830</v>
      </c>
      <c r="C22908" s="5" t="str">
        <f>IFERROR(__xludf.DUMMYFUNCTION("GOOGLETRANSLATE(B22908,""en"",""de"")"),"Wir sehen den schwarzen Schlussbildschirm.")</f>
        <v>Wir sehen den schwarzen Schlussbildschirm.</v>
      </c>
    </row>
    <row r="22909">
      <c r="A22909" s="4" t="s">
        <v>28831</v>
      </c>
      <c r="B22909" s="4" t="s">
        <v>28832</v>
      </c>
      <c r="C22909" s="5" t="str">
        <f>IFERROR(__xludf.DUMMYFUNCTION("GOOGLETRANSLATE(B22909,""en"",""de"")"),"Ein Mann, der einen schwarzen Baseballhut und ein schwarzes Hemd trägt, spielt eine akustische Gitarre.")</f>
        <v>Ein Mann, der einen schwarzen Baseballhut und ein schwarzes Hemd trägt, spielt eine akustische Gitarre.</v>
      </c>
    </row>
    <row r="22910">
      <c r="A22910" s="4" t="s">
        <v>28831</v>
      </c>
      <c r="B22910" s="4" t="s">
        <v>28833</v>
      </c>
      <c r="C22910" s="5" t="str">
        <f>IFERROR(__xludf.DUMMYFUNCTION("GOOGLETRANSLATE(B22910,""en"",""de"")"),"Er spielt gestern das Beatles -Song auf seiner Gitarre.")</f>
        <v>Er spielt gestern das Beatles -Song auf seiner Gitarre.</v>
      </c>
    </row>
    <row r="22911">
      <c r="A22911" s="4" t="s">
        <v>28831</v>
      </c>
      <c r="B22911" s="4" t="s">
        <v>28834</v>
      </c>
      <c r="C22911" s="5" t="str">
        <f>IFERROR(__xludf.DUMMYFUNCTION("GOOGLETRANSLATE(B22911,""en"",""de"")"),"Er spielt, bis das gesamte Lied vorbei ist, stoppt und lächelt in die Kamera.")</f>
        <v>Er spielt, bis das gesamte Lied vorbei ist, stoppt und lächelt in die Kamera.</v>
      </c>
    </row>
    <row r="22912">
      <c r="A22912" s="4" t="s">
        <v>28835</v>
      </c>
      <c r="B22912" s="4" t="s">
        <v>28836</v>
      </c>
      <c r="C22912" s="5" t="str">
        <f>IFERROR(__xludf.DUMMYFUNCTION("GOOGLETRANSLATE(B22912,""en"",""de"")"),"Eine Gruppe von Menschen transportiert ein Boot auf den Kopf.")</f>
        <v>Eine Gruppe von Menschen transportiert ein Boot auf den Kopf.</v>
      </c>
    </row>
    <row r="22913">
      <c r="A22913" s="4" t="s">
        <v>28835</v>
      </c>
      <c r="B22913" s="4" t="s">
        <v>28837</v>
      </c>
      <c r="C22913" s="5" t="str">
        <f>IFERROR(__xludf.DUMMYFUNCTION("GOOGLETRANSLATE(B22913,""en"",""de"")"),"Die Leute springen rückwärts auf den Fluss und schwimmen auf dem Rücken.")</f>
        <v>Die Leute springen rückwärts auf den Fluss und schwimmen auf dem Rücken.</v>
      </c>
    </row>
    <row r="22914">
      <c r="A22914" s="4" t="s">
        <v>28835</v>
      </c>
      <c r="B22914" s="4" t="s">
        <v>28838</v>
      </c>
      <c r="C22914" s="5" t="str">
        <f>IFERROR(__xludf.DUMMYFUNCTION("GOOGLETRANSLATE(B22914,""en"",""de"")"),"Dann flocken Menschen in einem Boot das abgehackte Wasser eines Flusses hinunter, während sie paddeln.")</f>
        <v>Dann flocken Menschen in einem Boot das abgehackte Wasser eines Flusses hinunter, während sie paddeln.</v>
      </c>
    </row>
    <row r="22915">
      <c r="A22915" s="4" t="s">
        <v>28835</v>
      </c>
      <c r="B22915" s="4" t="s">
        <v>28839</v>
      </c>
      <c r="C22915" s="5" t="str">
        <f>IFERROR(__xludf.DUMMYFUNCTION("GOOGLETRANSLATE(B22915,""en"",""de"")"),"Die Leute in zwei Booten treffen sich und beginnen sich gegenseitig Wasser mit den Rudern zu werfen, dann springen einige Sparren ins Wasser.")</f>
        <v>Die Leute in zwei Booten treffen sich und beginnen sich gegenseitig Wasser mit den Rudern zu werfen, dann springen einige Sparren ins Wasser.</v>
      </c>
    </row>
    <row r="22916">
      <c r="A22916" s="4" t="s">
        <v>28835</v>
      </c>
      <c r="B22916" s="4" t="s">
        <v>28840</v>
      </c>
      <c r="C22916" s="5" t="str">
        <f>IFERROR(__xludf.DUMMYFUNCTION("GOOGLETRANSLATE(B22916,""en"",""de"")"),"Personen springen von einem Balkon auf den Felsen bis zum Wasser, während andere Menschen weiter rafting.")</f>
        <v>Personen springen von einem Balkon auf den Felsen bis zum Wasser, während andere Menschen weiter rafting.</v>
      </c>
    </row>
    <row r="22917">
      <c r="A22917" s="4" t="s">
        <v>28841</v>
      </c>
      <c r="B22917" s="4" t="s">
        <v>28842</v>
      </c>
      <c r="C22917" s="5" t="str">
        <f>IFERROR(__xludf.DUMMYFUNCTION("GOOGLETRANSLATE(B22917,""en"",""de"")"),"Ein kleines Mädchen steht hinter einem Mann in einem Badezimmer, der an einem Waschbecken steht.")</f>
        <v>Ein kleines Mädchen steht hinter einem Mann in einem Badezimmer, der an einem Waschbecken steht.</v>
      </c>
    </row>
    <row r="22918">
      <c r="A22918" s="4" t="s">
        <v>28841</v>
      </c>
      <c r="B22918" s="4" t="s">
        <v>28843</v>
      </c>
      <c r="C22918" s="5" t="str">
        <f>IFERROR(__xludf.DUMMYFUNCTION("GOOGLETRANSLATE(B22918,""en"",""de"")"),"Der Mann dreht sich um, schnappt sich das Handtuch und trocknet sich selbst, während das Mädchen immer noch auf dem Boden steht, und legt dann das Handtuch zurück, wenn er fertig ist.")</f>
        <v>Der Mann dreht sich um, schnappt sich das Handtuch und trocknet sich selbst, während das Mädchen immer noch auf dem Boden steht, und legt dann das Handtuch zurück, wenn er fertig ist.</v>
      </c>
    </row>
    <row r="22919">
      <c r="A22919" s="4" t="s">
        <v>28841</v>
      </c>
      <c r="B22919" s="4" t="s">
        <v>28844</v>
      </c>
      <c r="C22919" s="5" t="str">
        <f>IFERROR(__xludf.DUMMYFUNCTION("GOOGLETRANSLATE(B22919,""en"",""de"")"),"Der Mann nimmt dann das kleine Mädchen auf und beginnt, ihr Gesicht auszuwaschen, und während das kleine Mädchen ihre Zähne putzt, während sie ihr Gesicht reinigen lässt.")</f>
        <v>Der Mann nimmt dann das kleine Mädchen auf und beginnt, ihr Gesicht auszuwaschen, und während das kleine Mädchen ihre Zähne putzt, während sie ihr Gesicht reinigen lässt.</v>
      </c>
    </row>
    <row r="22920">
      <c r="A22920" s="4" t="s">
        <v>28845</v>
      </c>
      <c r="B22920" s="4" t="s">
        <v>28846</v>
      </c>
      <c r="C22920" s="5" t="str">
        <f>IFERROR(__xludf.DUMMYFUNCTION("GOOGLETRANSLATE(B22920,""en"",""de"")"),"Ein Mann spricht vor zwei großen Fenstern.")</f>
        <v>Ein Mann spricht vor zwei großen Fenstern.</v>
      </c>
    </row>
    <row r="22921">
      <c r="A22921" s="4" t="s">
        <v>28845</v>
      </c>
      <c r="B22921" s="4" t="s">
        <v>28847</v>
      </c>
      <c r="C22921" s="5" t="str">
        <f>IFERROR(__xludf.DUMMYFUNCTION("GOOGLETRANSLATE(B22921,""en"",""de"")"),"Zwei Männer knien auf den Boden.")</f>
        <v>Zwei Männer knien auf den Boden.</v>
      </c>
    </row>
    <row r="22922">
      <c r="A22922" s="4" t="s">
        <v>28845</v>
      </c>
      <c r="B22922" s="4" t="s">
        <v>28848</v>
      </c>
      <c r="C22922" s="5" t="str">
        <f>IFERROR(__xludf.DUMMYFUNCTION("GOOGLETRANSLATE(B22922,""en"",""de"")"),"Der Mann spricht wieder vor den Fenstern.")</f>
        <v>Der Mann spricht wieder vor den Fenstern.</v>
      </c>
    </row>
    <row r="22923">
      <c r="A22923" s="4" t="s">
        <v>28845</v>
      </c>
      <c r="B22923" s="4" t="s">
        <v>28849</v>
      </c>
      <c r="C22923" s="5" t="str">
        <f>IFERROR(__xludf.DUMMYFUNCTION("GOOGLETRANSLATE(B22923,""en"",""de"")"),"Zwei Männer sitzen in einem Zug und reden.")</f>
        <v>Zwei Männer sitzen in einem Zug und reden.</v>
      </c>
    </row>
    <row r="22924">
      <c r="A22924" s="4" t="s">
        <v>28845</v>
      </c>
      <c r="B22924" s="4" t="s">
        <v>28850</v>
      </c>
      <c r="C22924" s="5" t="str">
        <f>IFERROR(__xludf.DUMMYFUNCTION("GOOGLETRANSLATE(B22924,""en"",""de"")"),"Ein Mann in einem schwarzen Mantel geht die Straße entlang.")</f>
        <v>Ein Mann in einem schwarzen Mantel geht die Straße entlang.</v>
      </c>
    </row>
    <row r="22925">
      <c r="A22925" s="4" t="s">
        <v>28845</v>
      </c>
      <c r="B22925" s="4" t="s">
        <v>28851</v>
      </c>
      <c r="C22925" s="5" t="str">
        <f>IFERROR(__xludf.DUMMYFUNCTION("GOOGLETRANSLATE(B22925,""en"",""de"")"),"Er hält ein weißes Papier in der Hand und schreibt darauf.")</f>
        <v>Er hält ein weißes Papier in der Hand und schreibt darauf.</v>
      </c>
    </row>
    <row r="22926">
      <c r="A22926" s="4" t="s">
        <v>28845</v>
      </c>
      <c r="B22926" s="4" t="s">
        <v>28852</v>
      </c>
      <c r="C22926" s="5" t="str">
        <f>IFERROR(__xludf.DUMMYFUNCTION("GOOGLETRANSLATE(B22926,""en"",""de"")"),"Er geht dann mit anderen Menschen auf einer Brücke hinauf.")</f>
        <v>Er geht dann mit anderen Menschen auf einer Brücke hinauf.</v>
      </c>
    </row>
    <row r="22927">
      <c r="A22927" s="4" t="s">
        <v>28845</v>
      </c>
      <c r="B22927" s="4" t="s">
        <v>28853</v>
      </c>
      <c r="C22927" s="5" t="str">
        <f>IFERROR(__xludf.DUMMYFUNCTION("GOOGLETRANSLATE(B22927,""en"",""de"")"),"Er wird auf der Brücke genutzt.")</f>
        <v>Er wird auf der Brücke genutzt.</v>
      </c>
    </row>
    <row r="22928">
      <c r="A22928" s="4" t="s">
        <v>28845</v>
      </c>
      <c r="B22928" s="4" t="s">
        <v>28854</v>
      </c>
      <c r="C22928" s="5" t="str">
        <f>IFERROR(__xludf.DUMMYFUNCTION("GOOGLETRANSLATE(B22928,""en"",""de"")"),"Er springt von der Brücke und Bungee Jumps.")</f>
        <v>Er springt von der Brücke und Bungee Jumps.</v>
      </c>
    </row>
    <row r="22929">
      <c r="A22929" s="4" t="s">
        <v>28845</v>
      </c>
      <c r="B22929" s="4" t="s">
        <v>28855</v>
      </c>
      <c r="C22929" s="5" t="str">
        <f>IFERROR(__xludf.DUMMYFUNCTION("GOOGLETRANSLATE(B22929,""en"",""de"")"),"Ein Mann in einer Orangenweste bringt ihn ins Boot.")</f>
        <v>Ein Mann in einer Orangenweste bringt ihn ins Boot.</v>
      </c>
    </row>
    <row r="22930">
      <c r="A22930" s="4" t="s">
        <v>28845</v>
      </c>
      <c r="B22930" s="4" t="s">
        <v>28856</v>
      </c>
      <c r="C22930" s="5" t="str">
        <f>IFERROR(__xludf.DUMMYFUNCTION("GOOGLETRANSLATE(B22930,""en"",""de"")"),"Ein Mann, der eine Kamera hält, steht auf dem Bürgersteig und beobachtet einen anderen Mann aus und fällt und rennt hinüber, um ihm zu helfen.")</f>
        <v>Ein Mann, der eine Kamera hält, steht auf dem Bürgersteig und beobachtet einen anderen Mann aus und fällt und rennt hinüber, um ihm zu helfen.</v>
      </c>
    </row>
    <row r="22931">
      <c r="A22931" s="4" t="s">
        <v>28857</v>
      </c>
      <c r="B22931" s="4" t="s">
        <v>28858</v>
      </c>
      <c r="C22931" s="5" t="str">
        <f>IFERROR(__xludf.DUMMYFUNCTION("GOOGLETRANSLATE(B22931,""en"",""de"")"),"Ein Mann wird im Wasser gezeigt, einen Helm trägt, ein Paddel hält und in einem Kajak sitzt.")</f>
        <v>Ein Mann wird im Wasser gezeigt, einen Helm trägt, ein Paddel hält und in einem Kajak sitzt.</v>
      </c>
    </row>
    <row r="22932">
      <c r="A22932" s="4" t="s">
        <v>28857</v>
      </c>
      <c r="B22932" s="4" t="s">
        <v>28859</v>
      </c>
      <c r="C22932" s="5" t="str">
        <f>IFERROR(__xludf.DUMMYFUNCTION("GOOGLETRANSLATE(B22932,""en"",""de"")"),"Er spricht mit der Kamera darüber, wie man das Kajak benutzt.")</f>
        <v>Er spricht mit der Kamera darüber, wie man das Kajak benutzt.</v>
      </c>
    </row>
    <row r="22933">
      <c r="A22933" s="4" t="s">
        <v>28857</v>
      </c>
      <c r="B22933" s="4" t="s">
        <v>28860</v>
      </c>
      <c r="C22933" s="5" t="str">
        <f>IFERROR(__xludf.DUMMYFUNCTION("GOOGLETRANSLATE(B22933,""en"",""de"")"),"Er zeigt mehrere rockige und paddelnde Bewegungen und dreht das Kajak am Ende einmal um.")</f>
        <v>Er zeigt mehrere rockige und paddelnde Bewegungen und dreht das Kajak am Ende einmal um.</v>
      </c>
    </row>
    <row r="22934">
      <c r="A22934" s="4" t="s">
        <v>28861</v>
      </c>
      <c r="B22934" s="4" t="s">
        <v>28862</v>
      </c>
      <c r="C22934" s="5" t="str">
        <f>IFERROR(__xludf.DUMMYFUNCTION("GOOGLETRANSLATE(B22934,""en"",""de"")"),"Eine Gruppe spielt Fußball auf einem Feld.")</f>
        <v>Eine Gruppe spielt Fußball auf einem Feld.</v>
      </c>
    </row>
    <row r="22935">
      <c r="A22935" s="4" t="s">
        <v>28861</v>
      </c>
      <c r="B22935" s="4" t="s">
        <v>28863</v>
      </c>
      <c r="C22935" s="5" t="str">
        <f>IFERROR(__xludf.DUMMYFUNCTION("GOOGLETRANSLATE(B22935,""en"",""de"")"),"Die Mädchen jagen den Ball, schlugen ihn mit Stöcken und versuchten, ihn in das Tor zu bringen.")</f>
        <v>Die Mädchen jagen den Ball, schlugen ihn mit Stöcken und versuchten, ihn in das Tor zu bringen.</v>
      </c>
    </row>
    <row r="22936">
      <c r="A22936" s="4" t="s">
        <v>28864</v>
      </c>
      <c r="B22936" s="4" t="s">
        <v>28865</v>
      </c>
      <c r="C22936" s="5" t="str">
        <f>IFERROR(__xludf.DUMMYFUNCTION("GOOGLETRANSLATE(B22936,""en"",""de"")"),"Ein Mann reinigt einen Platz im Spülbecken mit einem Schwamm und einer Flasche Clorox Cleaner in einer schwarzen und weißen Werbespot.")</f>
        <v>Ein Mann reinigt einen Platz im Spülbecken mit einem Schwamm und einer Flasche Clorox Cleaner in einer schwarzen und weißen Werbespot.</v>
      </c>
    </row>
    <row r="22937">
      <c r="A22937" s="4" t="s">
        <v>28864</v>
      </c>
      <c r="B22937" s="4" t="s">
        <v>28866</v>
      </c>
      <c r="C22937" s="5" t="str">
        <f>IFERROR(__xludf.DUMMYFUNCTION("GOOGLETRANSLATE(B22937,""en"",""de"")"),"Ein Schuss einer Vorstadtstadt wird mit einer Nahaufnahme des Stadtnamens auf einem Stadtschild gezeigt.")</f>
        <v>Ein Schuss einer Vorstadtstadt wird mit einer Nahaufnahme des Stadtnamens auf einem Stadtschild gezeigt.</v>
      </c>
    </row>
    <row r="22938">
      <c r="A22938" s="4" t="s">
        <v>28864</v>
      </c>
      <c r="B22938" s="4" t="s">
        <v>28867</v>
      </c>
      <c r="C22938" s="5" t="str">
        <f>IFERROR(__xludf.DUMMYFUNCTION("GOOGLETRANSLATE(B22938,""en"",""de"")"),"Ein Mann in einer Schürze steht vor einem Spülbecken, das Geschirr in einen Abfluss weglegt.")</f>
        <v>Ein Mann in einer Schürze steht vor einem Spülbecken, das Geschirr in einen Abfluss weglegt.</v>
      </c>
    </row>
    <row r="22939">
      <c r="A22939" s="4" t="s">
        <v>28864</v>
      </c>
      <c r="B22939" s="4" t="s">
        <v>28868</v>
      </c>
      <c r="C22939" s="5" t="str">
        <f>IFERROR(__xludf.DUMMYFUNCTION("GOOGLETRANSLATE(B22939,""en"",""de"")"),"Der Mann reinigt einen Platz in der Spüle mit einer Flasche Clorox und einem Schwamm, bevor eine Marketingvorlage mit Beschriftung und Nahaufnahme der Flasche Clorox erscheint.")</f>
        <v>Der Mann reinigt einen Platz in der Spüle mit einer Flasche Clorox und einem Schwamm, bevor eine Marketingvorlage mit Beschriftung und Nahaufnahme der Flasche Clorox erscheint.</v>
      </c>
    </row>
    <row r="22940">
      <c r="A22940" s="4" t="s">
        <v>28869</v>
      </c>
      <c r="B22940" s="4" t="s">
        <v>28870</v>
      </c>
      <c r="C22940" s="5" t="str">
        <f>IFERROR(__xludf.DUMMYFUNCTION("GOOGLETRANSLATE(B22940,""en"",""de"")"),"Eine Frau hält das Rad der Yacht, die im Meer segelt, und ein Delphin schwimmt in der Nähe der Yacht.")</f>
        <v>Eine Frau hält das Rad der Yacht, die im Meer segelt, und ein Delphin schwimmt in der Nähe der Yacht.</v>
      </c>
    </row>
    <row r="22941">
      <c r="A22941" s="4" t="s">
        <v>28869</v>
      </c>
      <c r="B22941" s="4" t="s">
        <v>28871</v>
      </c>
      <c r="C22941" s="5" t="str">
        <f>IFERROR(__xludf.DUMMYFUNCTION("GOOGLETRANSLATE(B22941,""en"",""de"")"),"Dann spricht ein junger Männer und zeigt ab Zeit den Sonnenuntergang.")</f>
        <v>Dann spricht ein junger Männer und zeigt ab Zeit den Sonnenuntergang.</v>
      </c>
    </row>
    <row r="22942">
      <c r="A22942" s="4" t="s">
        <v>28869</v>
      </c>
      <c r="B22942" s="4" t="s">
        <v>28872</v>
      </c>
      <c r="C22942" s="5" t="str">
        <f>IFERROR(__xludf.DUMMYFUNCTION("GOOGLETRANSLATE(B22942,""en"",""de"")"),"Vier Leute tanzen in der Yacht und ein Junge tanzt gegen das Segel.")</f>
        <v>Vier Leute tanzen in der Yacht und ein Junge tanzt gegen das Segel.</v>
      </c>
    </row>
    <row r="22943">
      <c r="A22943" s="4" t="s">
        <v>28869</v>
      </c>
      <c r="B22943" s="4" t="s">
        <v>28873</v>
      </c>
      <c r="C22943" s="5" t="str">
        <f>IFERROR(__xludf.DUMMYFUNCTION("GOOGLETRANSLATE(B22943,""en"",""de"")"),"Die vier Menschen halten einen großen Fisch mit beiden Händen, während die Yacht weiter segelt.")</f>
        <v>Die vier Menschen halten einen großen Fisch mit beiden Händen, während die Yacht weiter segelt.</v>
      </c>
    </row>
    <row r="22944">
      <c r="A22944" s="4" t="s">
        <v>28874</v>
      </c>
      <c r="B22944" s="4" t="s">
        <v>28875</v>
      </c>
      <c r="C22944" s="5" t="str">
        <f>IFERROR(__xludf.DUMMYFUNCTION("GOOGLETRANSLATE(B22944,""en"",""de"")"),"Eine sehr bequem gekleidete Frau macht eine Übung auf einem Knie.")</f>
        <v>Eine sehr bequem gekleidete Frau macht eine Übung auf einem Knie.</v>
      </c>
    </row>
    <row r="22945">
      <c r="A22945" s="4" t="s">
        <v>28874</v>
      </c>
      <c r="B22945" s="4" t="s">
        <v>28876</v>
      </c>
      <c r="C22945" s="5" t="str">
        <f>IFERROR(__xludf.DUMMYFUNCTION("GOOGLETRANSLATE(B22945,""en"",""de"")"),"Sie legt ihren Arm in die Luft und starrt in die Ferne und hält ihn an Ort und Stelle.")</f>
        <v>Sie legt ihren Arm in die Luft und starrt in die Ferne und hält ihn an Ort und Stelle.</v>
      </c>
    </row>
    <row r="22946">
      <c r="A22946" s="4" t="s">
        <v>28874</v>
      </c>
      <c r="B22946" s="4" t="s">
        <v>28877</v>
      </c>
      <c r="C22946" s="5" t="str">
        <f>IFERROR(__xludf.DUMMYFUNCTION("GOOGLETRANSLATE(B22946,""en"",""de"")"),"Nachdem sie das für ein paar Minuten an Ort und Stelle gehalten hat, legt sie ihren Arm runter und tritt dann nach vorne.")</f>
        <v>Nachdem sie das für ein paar Minuten an Ort und Stelle gehalten hat, legt sie ihren Arm runter und tritt dann nach vorne.</v>
      </c>
    </row>
    <row r="22947">
      <c r="A22947" s="4" t="s">
        <v>28874</v>
      </c>
      <c r="B22947" s="4" t="s">
        <v>28878</v>
      </c>
      <c r="C22947" s="5" t="str">
        <f>IFERROR(__xludf.DUMMYFUNCTION("GOOGLETRANSLATE(B22947,""en"",""de"")"),"Sie bleibt weiterhin in dieser Position.")</f>
        <v>Sie bleibt weiterhin in dieser Position.</v>
      </c>
    </row>
    <row r="22948">
      <c r="A22948" s="4" t="s">
        <v>28879</v>
      </c>
      <c r="B22948" s="4" t="s">
        <v>28880</v>
      </c>
      <c r="C22948" s="5" t="str">
        <f>IFERROR(__xludf.DUMMYFUNCTION("GOOGLETRANSLATE(B22948,""en"",""de"")"),"Eine erste Ansicht ist, dass ein Mann mit einem Rasenmäher fährt.")</f>
        <v>Eine erste Ansicht ist, dass ein Mann mit einem Rasenmäher fährt.</v>
      </c>
    </row>
    <row r="22949">
      <c r="A22949" s="4" t="s">
        <v>28879</v>
      </c>
      <c r="B22949" s="4" t="s">
        <v>28881</v>
      </c>
      <c r="C22949" s="5" t="str">
        <f>IFERROR(__xludf.DUMMYFUNCTION("GOOGLETRANSLATE(B22949,""en"",""de"")"),"Er wechselt schnell abwechselnd und mäht den Rasen.")</f>
        <v>Er wechselt schnell abwechselnd und mäht den Rasen.</v>
      </c>
    </row>
    <row r="22950">
      <c r="A22950" s="4" t="s">
        <v>28879</v>
      </c>
      <c r="B22950" s="4" t="s">
        <v>28882</v>
      </c>
      <c r="C22950" s="5" t="str">
        <f>IFERROR(__xludf.DUMMYFUNCTION("GOOGLETRANSLATE(B22950,""en"",""de"")"),"Er fährt fort, bis der gesamte Hof gemischt ist.")</f>
        <v>Er fährt fort, bis der gesamte Hof gemischt ist.</v>
      </c>
    </row>
    <row r="22951">
      <c r="A22951" s="4" t="s">
        <v>28883</v>
      </c>
      <c r="B22951" s="4" t="s">
        <v>28884</v>
      </c>
      <c r="C22951" s="5" t="str">
        <f>IFERROR(__xludf.DUMMYFUNCTION("GOOGLETRANSLATE(B22951,""en"",""de"")"),"Ein Mädchen tritt auf einem Balancestrahl auf.")</f>
        <v>Ein Mädchen tritt auf einem Balancestrahl auf.</v>
      </c>
    </row>
    <row r="22952">
      <c r="A22952" s="4" t="s">
        <v>28883</v>
      </c>
      <c r="B22952" s="4" t="s">
        <v>28885</v>
      </c>
      <c r="C22952" s="5" t="str">
        <f>IFERROR(__xludf.DUMMYFUNCTION("GOOGLETRANSLATE(B22952,""en"",""de"")"),"Das Mädchen steht und führt zwei Flips durch.")</f>
        <v>Das Mädchen steht und führt zwei Flips durch.</v>
      </c>
    </row>
    <row r="22953">
      <c r="A22953" s="4" t="s">
        <v>28883</v>
      </c>
      <c r="B22953" s="4" t="s">
        <v>28886</v>
      </c>
      <c r="C22953" s="5" t="str">
        <f>IFERROR(__xludf.DUMMYFUNCTION("GOOGLETRANSLATE(B22953,""en"",""de"")"),"Das Mädchen springt zweimal in die Luft.")</f>
        <v>Das Mädchen springt zweimal in die Luft.</v>
      </c>
    </row>
    <row r="22954">
      <c r="A22954" s="4" t="s">
        <v>28883</v>
      </c>
      <c r="B22954" s="4" t="s">
        <v>28887</v>
      </c>
      <c r="C22954" s="5" t="str">
        <f>IFERROR(__xludf.DUMMYFUNCTION("GOOGLETRANSLATE(B22954,""en"",""de"")"),"Das Mädchen setzt sich hin und steigt dann wieder auf die Füße.")</f>
        <v>Das Mädchen setzt sich hin und steigt dann wieder auf die Füße.</v>
      </c>
    </row>
    <row r="22955">
      <c r="A22955" s="4" t="s">
        <v>28883</v>
      </c>
      <c r="B22955" s="4" t="s">
        <v>28888</v>
      </c>
      <c r="C22955" s="5" t="str">
        <f>IFERROR(__xludf.DUMMYFUNCTION("GOOGLETRANSLATE(B22955,""en"",""de"")"),"Das Mädchen dreht sich zweimal über den Strahl und steigt den Strahl ab.")</f>
        <v>Das Mädchen dreht sich zweimal über den Strahl und steigt den Strahl ab.</v>
      </c>
    </row>
    <row r="22956">
      <c r="A22956" s="4" t="s">
        <v>28883</v>
      </c>
      <c r="B22956" s="4" t="s">
        <v>28889</v>
      </c>
      <c r="C22956" s="5" t="str">
        <f>IFERROR(__xludf.DUMMYFUNCTION("GOOGLETRANSLATE(B22956,""en"",""de"")"),"Das Mädchen hebt die Arme und dreht sich zu High Five und umarmt eine Dame in der Nähe.")</f>
        <v>Das Mädchen hebt die Arme und dreht sich zu High Five und umarmt eine Dame in der Nähe.</v>
      </c>
    </row>
    <row r="22957">
      <c r="A22957" s="4" t="s">
        <v>28890</v>
      </c>
      <c r="B22957" s="4" t="s">
        <v>28891</v>
      </c>
      <c r="C22957" s="5" t="str">
        <f>IFERROR(__xludf.DUMMYFUNCTION("GOOGLETRANSLATE(B22957,""en"",""de"")"),"Eine kleine Gruppe von Kindern wird in Stoßstangenautos herumfährt, die gegenseitig gegeneinander krachen.")</f>
        <v>Eine kleine Gruppe von Kindern wird in Stoßstangenautos herumfährt, die gegenseitig gegeneinander krachen.</v>
      </c>
    </row>
    <row r="22958">
      <c r="A22958" s="4" t="s">
        <v>28890</v>
      </c>
      <c r="B22958" s="4" t="s">
        <v>28892</v>
      </c>
      <c r="C22958" s="5" t="str">
        <f>IFERROR(__xludf.DUMMYFUNCTION("GOOGLETRANSLATE(B22958,""en"",""de"")"),"Die Kinder bewegen sich rund um das Spiel und schlagen sich ineinander.")</f>
        <v>Die Kinder bewegen sich rund um das Spiel und schlagen sich ineinander.</v>
      </c>
    </row>
    <row r="22959">
      <c r="A22959" s="4" t="s">
        <v>28890</v>
      </c>
      <c r="B22959" s="4" t="s">
        <v>28893</v>
      </c>
      <c r="C22959" s="5" t="str">
        <f>IFERROR(__xludf.DUMMYFUNCTION("GOOGLETRANSLATE(B22959,""en"",""de"")"),"Das Spiel setzt sich damit fort, dass die Kinder spielen und ineinander krachen.")</f>
        <v>Das Spiel setzt sich damit fort, dass die Kinder spielen und ineinander krachen.</v>
      </c>
    </row>
    <row r="22960">
      <c r="A22960" s="4" t="s">
        <v>28894</v>
      </c>
      <c r="B22960" s="4" t="s">
        <v>28895</v>
      </c>
      <c r="C22960" s="5" t="str">
        <f>IFERROR(__xludf.DUMMYFUNCTION("GOOGLETRANSLATE(B22960,""en"",""de"")"),"Ein junger Mann trocknet beim Tanzen einen Topfdeckel.")</f>
        <v>Ein junger Mann trocknet beim Tanzen einen Topfdeckel.</v>
      </c>
    </row>
    <row r="22961">
      <c r="A22961" s="4" t="s">
        <v>28894</v>
      </c>
      <c r="B22961" s="4" t="s">
        <v>28896</v>
      </c>
      <c r="C22961" s="5" t="str">
        <f>IFERROR(__xludf.DUMMYFUNCTION("GOOGLETRANSLATE(B22961,""en"",""de"")"),"Auch ein Teenager wäscht eine Tasse Stahl und tanzt.")</f>
        <v>Auch ein Teenager wäscht eine Tasse Stahl und tanzt.</v>
      </c>
    </row>
    <row r="22962">
      <c r="A22962" s="4" t="s">
        <v>28894</v>
      </c>
      <c r="B22962" s="4" t="s">
        <v>28897</v>
      </c>
      <c r="C22962" s="5" t="str">
        <f>IFERROR(__xludf.DUMMYFUNCTION("GOOGLETRANSLATE(B22962,""en"",""de"")"),"Eine Frau tritt ein und verlässt dann die Küche.")</f>
        <v>Eine Frau tritt ein und verlässt dann die Küche.</v>
      </c>
    </row>
    <row r="22963">
      <c r="A22963" s="4" t="s">
        <v>28898</v>
      </c>
      <c r="B22963" s="4" t="s">
        <v>28899</v>
      </c>
      <c r="C22963" s="5" t="str">
        <f>IFERROR(__xludf.DUMMYFUNCTION("GOOGLETRANSLATE(B22963,""en"",""de"")"),"Ein junger Mann sitzt vor einem Backsteingebäude auf einem Pflanzer.")</f>
        <v>Ein junger Mann sitzt vor einem Backsteingebäude auf einem Pflanzer.</v>
      </c>
    </row>
    <row r="22964">
      <c r="A22964" s="4" t="s">
        <v>28898</v>
      </c>
      <c r="B22964" s="4" t="s">
        <v>28900</v>
      </c>
      <c r="C22964" s="5" t="str">
        <f>IFERROR(__xludf.DUMMYFUNCTION("GOOGLETRANSLATE(B22964,""en"",""de"")"),"Eine Grafik ist mit Cartoons zu sehen.")</f>
        <v>Eine Grafik ist mit Cartoons zu sehen.</v>
      </c>
    </row>
    <row r="22965">
      <c r="A22965" s="4" t="s">
        <v>28898</v>
      </c>
      <c r="B22965" s="4" t="s">
        <v>28901</v>
      </c>
      <c r="C22965" s="5" t="str">
        <f>IFERROR(__xludf.DUMMYFUNCTION("GOOGLETRANSLATE(B22965,""en"",""de"")"),"Der junge Mann sitzt auf einem Pflanzgefäß mit einem Skateboard auf seinem Schoß, der junge Mann dreht sein Brett und fährt Skateboard -Tricks auf Asphalt.")</f>
        <v>Der junge Mann sitzt auf einem Pflanzgefäß mit einem Skateboard auf seinem Schoß, der junge Mann dreht sein Brett und fährt Skateboard -Tricks auf Asphalt.</v>
      </c>
    </row>
    <row r="22966">
      <c r="A22966" s="4" t="s">
        <v>28898</v>
      </c>
      <c r="B22966" s="4" t="s">
        <v>28902</v>
      </c>
      <c r="C22966" s="5" t="str">
        <f>IFERROR(__xludf.DUMMYFUNCTION("GOOGLETRANSLATE(B22966,""en"",""de"")"),"Der junge Mann betreibt über einen orangefarbenen Sicherheitskegel.")</f>
        <v>Der junge Mann betreibt über einen orangefarbenen Sicherheitskegel.</v>
      </c>
    </row>
    <row r="22967">
      <c r="A22967" s="4" t="s">
        <v>28898</v>
      </c>
      <c r="B22967" s="4" t="s">
        <v>28903</v>
      </c>
      <c r="C22967" s="5" t="str">
        <f>IFERROR(__xludf.DUMMYFUNCTION("GOOGLETRANSLATE(B22967,""en"",""de"")"),"Der Skateboarder steht vom Sims und steht auf seinem Skateboard.")</f>
        <v>Der Skateboarder steht vom Sims und steht auf seinem Skateboard.</v>
      </c>
    </row>
    <row r="22968">
      <c r="A22968" s="4" t="s">
        <v>28904</v>
      </c>
      <c r="B22968" s="4" t="s">
        <v>28905</v>
      </c>
      <c r="C22968" s="5" t="str">
        <f>IFERROR(__xludf.DUMMYFUNCTION("GOOGLETRANSLATE(B22968,""en"",""de"")"),"Ein Mann spricht mit der Kamera, während er an einem Strand neben einer Schaufel steht.")</f>
        <v>Ein Mann spricht mit der Kamera, während er an einem Strand neben einer Schaufel steht.</v>
      </c>
    </row>
    <row r="22969">
      <c r="A22969" s="4" t="s">
        <v>28904</v>
      </c>
      <c r="B22969" s="4" t="s">
        <v>28906</v>
      </c>
      <c r="C22969" s="5" t="str">
        <f>IFERROR(__xludf.DUMMYFUNCTION("GOOGLETRANSLATE(B22969,""en"",""de"")"),"Der Mann beginnt dann, einen Haufen Schmutz zu schaufeln und zum Wasser zu gehen, um Eimer zu füllen.")</f>
        <v>Der Mann beginnt dann, einen Haufen Schmutz zu schaufeln und zum Wasser zu gehen, um Eimer zu füllen.</v>
      </c>
    </row>
    <row r="22970">
      <c r="A22970" s="4" t="s">
        <v>28904</v>
      </c>
      <c r="B22970" s="4" t="s">
        <v>28907</v>
      </c>
      <c r="C22970" s="5" t="str">
        <f>IFERROR(__xludf.DUMMYFUNCTION("GOOGLETRANSLATE(B22970,""en"",""de"")"),"Der Mann stapelt die Eimer und beginnt Sand um ihn herum zu legen und ihn in ein Schloss zu formen.")</f>
        <v>Der Mann stapelt die Eimer und beginnt Sand um ihn herum zu legen und ihn in ein Schloss zu formen.</v>
      </c>
    </row>
    <row r="22971">
      <c r="A22971" s="4" t="s">
        <v>28904</v>
      </c>
      <c r="B22971" s="4" t="s">
        <v>28908</v>
      </c>
      <c r="C22971" s="5" t="str">
        <f>IFERROR(__xludf.DUMMYFUNCTION("GOOGLETRANSLATE(B22971,""en"",""de"")"),"Er geht am Ende weg und zeigt das Schloss, das er gemacht hat.")</f>
        <v>Er geht am Ende weg und zeigt das Schloss, das er gemacht hat.</v>
      </c>
    </row>
    <row r="22972">
      <c r="A22972" s="4" t="s">
        <v>28909</v>
      </c>
      <c r="B22972" s="4" t="s">
        <v>28910</v>
      </c>
      <c r="C22972" s="5" t="str">
        <f>IFERROR(__xludf.DUMMYFUNCTION("GOOGLETRANSLATE(B22972,""en"",""de"")"),"Ein Intro führt zu mehreren Schüssen von Menschen, die mit einem Skateboard um verschiedene Bereiche fahren und in einem Maisfeld enden.")</f>
        <v>Ein Intro führt zu mehreren Schüssen von Menschen, die mit einem Skateboard um verschiedene Bereiche fahren und in einem Maisfeld enden.</v>
      </c>
    </row>
    <row r="22973">
      <c r="A22973" s="4" t="s">
        <v>28909</v>
      </c>
      <c r="B22973" s="4" t="s">
        <v>28911</v>
      </c>
      <c r="C22973" s="5" t="str">
        <f>IFERROR(__xludf.DUMMYFUNCTION("GOOGLETRANSLATE(B22973,""en"",""de"")"),"Sie landen in einem Haus und schwimmen in den Pool und machen Tricks auf ihren Brettern unter Wasser.")</f>
        <v>Sie landen in einem Haus und schwimmen in den Pool und machen Tricks auf ihren Brettern unter Wasser.</v>
      </c>
    </row>
    <row r="22974">
      <c r="A22974" s="4" t="s">
        <v>28909</v>
      </c>
      <c r="B22974" s="4" t="s">
        <v>28912</v>
      </c>
      <c r="C22974" s="5" t="str">
        <f>IFERROR(__xludf.DUMMYFUNCTION("GOOGLETRANSLATE(B22974,""en"",""de"")"),"Am Ende fährt sie dann wieder auf einer Straße und ein Boarder tastet Schmutz in die Kamera.")</f>
        <v>Am Ende fährt sie dann wieder auf einer Straße und ein Boarder tastet Schmutz in die Kamera.</v>
      </c>
    </row>
    <row r="22975">
      <c r="A22975" s="4" t="s">
        <v>28913</v>
      </c>
      <c r="B22975" s="4" t="s">
        <v>28914</v>
      </c>
      <c r="C22975" s="5" t="str">
        <f>IFERROR(__xludf.DUMMYFUNCTION("GOOGLETRANSLATE(B22975,""en"",""de"")"),"Ein kleines Kind wird in einem Park auf einen Schwung -Set eines Spielplatzes im Freien geschoben.")</f>
        <v>Ein kleines Kind wird in einem Park auf einen Schwung -Set eines Spielplatzes im Freien geschoben.</v>
      </c>
    </row>
    <row r="22976">
      <c r="A22976" s="4" t="s">
        <v>28913</v>
      </c>
      <c r="B22976" s="4" t="s">
        <v>28915</v>
      </c>
      <c r="C22976" s="5" t="str">
        <f>IFERROR(__xludf.DUMMYFUNCTION("GOOGLETRANSLATE(B22976,""en"",""de"")"),"Das Kind streckt ihre Hand aus.")</f>
        <v>Das Kind streckt ihre Hand aus.</v>
      </c>
    </row>
    <row r="22977">
      <c r="A22977" s="4" t="s">
        <v>28916</v>
      </c>
      <c r="B22977" s="4" t="s">
        <v>28917</v>
      </c>
      <c r="C22977" s="5" t="str">
        <f>IFERROR(__xludf.DUMMYFUNCTION("GOOGLETRANSLATE(B22977,""en"",""de"")"),"Drei Menschen stehen auf einem Rasen, der anfängt, Kampfkunstbewegungen auszuführen.")</f>
        <v>Drei Menschen stehen auf einem Rasen, der anfängt, Kampfkunstbewegungen auszuführen.</v>
      </c>
    </row>
    <row r="22978">
      <c r="A22978" s="4" t="s">
        <v>28916</v>
      </c>
      <c r="B22978" s="4" t="s">
        <v>28918</v>
      </c>
      <c r="C22978" s="5" t="str">
        <f>IFERROR(__xludf.DUMMYFUNCTION("GOOGLETRANSLATE(B22978,""en"",""de"")"),"Die Gruppe bewegt sich gleichzeitig, während sie von der Kamera wegblickt.")</f>
        <v>Die Gruppe bewegt sich gleichzeitig, während sie von der Kamera wegblickt.</v>
      </c>
    </row>
    <row r="22979">
      <c r="A22979" s="4" t="s">
        <v>28916</v>
      </c>
      <c r="B22979" s="4" t="s">
        <v>28919</v>
      </c>
      <c r="C22979" s="5" t="str">
        <f>IFERROR(__xludf.DUMMYFUNCTION("GOOGLETRANSLATE(B22979,""en"",""de"")"),"Sie bewegen ihre Arme und Beine weiter zusammen und enden, indem sie S -Pose halten.")</f>
        <v>Sie bewegen ihre Arme und Beine weiter zusammen und enden, indem sie S -Pose halten.</v>
      </c>
    </row>
    <row r="22980">
      <c r="A22980" s="4" t="s">
        <v>28920</v>
      </c>
      <c r="B22980" s="4" t="s">
        <v>28921</v>
      </c>
      <c r="C22980" s="5" t="str">
        <f>IFERROR(__xludf.DUMMYFUNCTION("GOOGLETRANSLATE(B22980,""en"",""de"")"),"Die Menschen rodeln einen schneebedeckten Hügel auf einer Innenröhre.")</f>
        <v>Die Menschen rodeln einen schneebedeckten Hügel auf einer Innenröhre.</v>
      </c>
    </row>
    <row r="22981">
      <c r="A22981" s="4" t="s">
        <v>28920</v>
      </c>
      <c r="B22981" s="4" t="s">
        <v>28922</v>
      </c>
      <c r="C22981" s="5" t="str">
        <f>IFERROR(__xludf.DUMMYFUNCTION("GOOGLETRANSLATE(B22981,""en"",""de"")"),"Sie halten am Fuße des Hügels an.")</f>
        <v>Sie halten am Fuße des Hügels an.</v>
      </c>
    </row>
    <row r="22982">
      <c r="A22982" s="4" t="s">
        <v>28920</v>
      </c>
      <c r="B22982" s="4" t="s">
        <v>28923</v>
      </c>
      <c r="C22982" s="5" t="str">
        <f>IFERROR(__xludf.DUMMYFUNCTION("GOOGLETRANSLATE(B22982,""en"",""de"")"),"Mehrere Röhren befinden sich auf einem Seil einen Hügel hinauf.")</f>
        <v>Mehrere Röhren befinden sich auf einem Seil einen Hügel hinauf.</v>
      </c>
    </row>
    <row r="22983">
      <c r="A22983" s="4" t="s">
        <v>28920</v>
      </c>
      <c r="B22983" s="4" t="s">
        <v>28924</v>
      </c>
      <c r="C22983" s="5" t="str">
        <f>IFERROR(__xludf.DUMMYFUNCTION("GOOGLETRANSLATE(B22983,""en"",""de"")"),"Die Menschen rodeln wieder einen Hügel auf einer Innenröhre.")</f>
        <v>Die Menschen rodeln wieder einen Hügel auf einer Innenröhre.</v>
      </c>
    </row>
    <row r="22984">
      <c r="A22984" s="4" t="s">
        <v>28925</v>
      </c>
      <c r="B22984" s="4" t="s">
        <v>28926</v>
      </c>
      <c r="C22984" s="5" t="str">
        <f>IFERROR(__xludf.DUMMYFUNCTION("GOOGLETRANSLATE(B22984,""en"",""de"")"),"Kinder sitzen auf Motorrädern und Eltern sind neben ihnen.")</f>
        <v>Kinder sitzen auf Motorrädern und Eltern sind neben ihnen.</v>
      </c>
    </row>
    <row r="22985">
      <c r="A22985" s="4" t="s">
        <v>28925</v>
      </c>
      <c r="B22985" s="4" t="s">
        <v>28927</v>
      </c>
      <c r="C22985" s="5" t="str">
        <f>IFERROR(__xludf.DUMMYFUNCTION("GOOGLETRANSLATE(B22985,""en"",""de"")"),"Ein Mann trägt ein Kind, eine Frau applaudiert und ein Mann macht Fotos.")</f>
        <v>Ein Mann trägt ein Kind, eine Frau applaudiert und ein Mann macht Fotos.</v>
      </c>
    </row>
    <row r="22986">
      <c r="A22986" s="4" t="s">
        <v>28925</v>
      </c>
      <c r="B22986" s="4" t="s">
        <v>28928</v>
      </c>
      <c r="C22986" s="5" t="str">
        <f>IFERROR(__xludf.DUMMYFUNCTION("GOOGLETRANSLATE(B22986,""en"",""de"")"),"Ein Kleinkind steht auf dem Heu und greift nach dem Bein einer Frau.")</f>
        <v>Ein Kleinkind steht auf dem Heu und greift nach dem Bein einer Frau.</v>
      </c>
    </row>
    <row r="22987">
      <c r="A22987" s="4" t="s">
        <v>28925</v>
      </c>
      <c r="B22987" s="4" t="s">
        <v>28929</v>
      </c>
      <c r="C22987" s="5" t="str">
        <f>IFERROR(__xludf.DUMMYFUNCTION("GOOGLETRANSLATE(B22987,""en"",""de"")"),"Dann schieben Männer die Motorräder mit den Kindern, während ein Mann Notizen macht.")</f>
        <v>Dann schieben Männer die Motorräder mit den Kindern, während ein Mann Notizen macht.</v>
      </c>
    </row>
    <row r="22988">
      <c r="A22988" s="4" t="s">
        <v>28925</v>
      </c>
      <c r="B22988" s="4" t="s">
        <v>28930</v>
      </c>
      <c r="C22988" s="5" t="str">
        <f>IFERROR(__xludf.DUMMYFUNCTION("GOOGLETRANSLATE(B22988,""en"",""de"")"),"Dann die Kinderlinie an der Startlinie und dann laufen.")</f>
        <v>Dann die Kinderlinie an der Startlinie und dann laufen.</v>
      </c>
    </row>
    <row r="22989">
      <c r="A22989" s="4" t="s">
        <v>28931</v>
      </c>
      <c r="B22989" s="4" t="s">
        <v>28932</v>
      </c>
      <c r="C22989" s="5" t="str">
        <f>IFERROR(__xludf.DUMMYFUNCTION("GOOGLETRANSLATE(B22989,""en"",""de"")"),"Ein Mann sitzt auf einer Couch und spielt eine Mundharmonika.")</f>
        <v>Ein Mann sitzt auf einer Couch und spielt eine Mundharmonika.</v>
      </c>
    </row>
    <row r="22990">
      <c r="A22990" s="4" t="s">
        <v>28931</v>
      </c>
      <c r="B22990" s="4" t="s">
        <v>28933</v>
      </c>
      <c r="C22990" s="5" t="str">
        <f>IFERROR(__xludf.DUMMYFUNCTION("GOOGLETRANSLATE(B22990,""en"",""de"")"),"Er senkt es aus seinem Mund, wenn er fertig ist.")</f>
        <v>Er senkt es aus seinem Mund, wenn er fertig ist.</v>
      </c>
    </row>
    <row r="22991">
      <c r="A22991" s="4" t="s">
        <v>28934</v>
      </c>
      <c r="B22991" s="4" t="s">
        <v>25231</v>
      </c>
      <c r="C22991" s="5" t="str">
        <f>IFERROR(__xludf.DUMMYFUNCTION("GOOGLETRANSLATE(B22991,""en"",""de"")"),"Ein Mann in einem schwarzen Hemd redet.")</f>
        <v>Ein Mann in einem schwarzen Hemd redet.</v>
      </c>
    </row>
    <row r="22992">
      <c r="A22992" s="4" t="s">
        <v>28934</v>
      </c>
      <c r="B22992" s="4" t="s">
        <v>28935</v>
      </c>
      <c r="C22992" s="5" t="str">
        <f>IFERROR(__xludf.DUMMYFUNCTION("GOOGLETRANSLATE(B22992,""en"",""de"")"),"Mehrere Menschen knien auf eine rote Matte und machen Strecken.")</f>
        <v>Mehrere Menschen knien auf eine rote Matte und machen Strecken.</v>
      </c>
    </row>
    <row r="22993">
      <c r="A22993" s="4" t="s">
        <v>28936</v>
      </c>
      <c r="B22993" s="4" t="s">
        <v>28937</v>
      </c>
      <c r="C22993" s="5" t="str">
        <f>IFERROR(__xludf.DUMMYFUNCTION("GOOGLETRANSLATE(B22993,""en"",""de"")"),"Ein Mädchen kniet auf einem Pad mit Armen in der Luft.")</f>
        <v>Ein Mädchen kniet auf einem Pad mit Armen in der Luft.</v>
      </c>
    </row>
    <row r="22994">
      <c r="A22994" s="4" t="s">
        <v>28936</v>
      </c>
      <c r="B22994" s="4" t="s">
        <v>28938</v>
      </c>
      <c r="C22994" s="5" t="str">
        <f>IFERROR(__xludf.DUMMYFUNCTION("GOOGLETRANSLATE(B22994,""en"",""de"")"),"Sie lehnt sich zurück und lässt ihre Arme die Wand berühren.")</f>
        <v>Sie lehnt sich zurück und lässt ihre Arme die Wand berühren.</v>
      </c>
    </row>
    <row r="22995">
      <c r="A22995" s="4" t="s">
        <v>28936</v>
      </c>
      <c r="B22995" s="4" t="s">
        <v>28939</v>
      </c>
      <c r="C22995" s="5" t="str">
        <f>IFERROR(__xludf.DUMMYFUNCTION("GOOGLETRANSLATE(B22995,""en"",""de"")"),"Sie wiederholt die Aktion noch einmal.")</f>
        <v>Sie wiederholt die Aktion noch einmal.</v>
      </c>
    </row>
    <row r="22996">
      <c r="A22996" s="4" t="s">
        <v>28940</v>
      </c>
      <c r="B22996" s="4" t="s">
        <v>28941</v>
      </c>
      <c r="C22996" s="5" t="str">
        <f>IFERROR(__xludf.DUMMYFUNCTION("GOOGLETRANSLATE(B22996,""en"",""de"")"),"Eine Person wird gesehen, die auf einem Dach kniet und Objekte an Ort und Stelle hält, um abzuhämmen.")</f>
        <v>Eine Person wird gesehen, die auf einem Dach kniet und Objekte an Ort und Stelle hält, um abzuhämmen.</v>
      </c>
    </row>
    <row r="22997">
      <c r="A22997" s="4" t="s">
        <v>28940</v>
      </c>
      <c r="B22997" s="4" t="s">
        <v>28942</v>
      </c>
      <c r="C22997" s="5" t="str">
        <f>IFERROR(__xludf.DUMMYFUNCTION("GOOGLETRANSLATE(B22997,""en"",""de"")"),"Der Mann legt dann mehr Fliesen, während er die Seiten hämmert und die Fliesen an die Kamera präsentiert.")</f>
        <v>Der Mann legt dann mehr Fliesen, während er die Seiten hämmert und die Fliesen an die Kamera präsentiert.</v>
      </c>
    </row>
    <row r="22998">
      <c r="A22998" s="4" t="s">
        <v>28943</v>
      </c>
      <c r="B22998" s="4" t="s">
        <v>28944</v>
      </c>
      <c r="C22998" s="5" t="str">
        <f>IFERROR(__xludf.DUMMYFUNCTION("GOOGLETRANSLATE(B22998,""en"",""de"")"),"Eine Frau in Trainingskleidung und eine Jacke geht in einen Flur hinunter und hält an, um darüber zu sprechen, was hinter der Tür ist.")</f>
        <v>Eine Frau in Trainingskleidung und eine Jacke geht in einen Flur hinunter und hält an, um darüber zu sprechen, was hinter der Tür ist.</v>
      </c>
    </row>
    <row r="22999">
      <c r="A22999" s="4" t="s">
        <v>28943</v>
      </c>
      <c r="B22999" s="4" t="s">
        <v>28945</v>
      </c>
      <c r="C22999" s="5" t="str">
        <f>IFERROR(__xludf.DUMMYFUNCTION("GOOGLETRANSLATE(B22999,""en"",""de"")"),"Sobald sie die Tür geöffnet hat, schwenkt die Kamera viele Trainingsmaschinen und die Frau spricht mit dem Programmdirektor.")</f>
        <v>Sobald sie die Tür geöffnet hat, schwenkt die Kamera viele Trainingsmaschinen und die Frau spricht mit dem Programmdirektor.</v>
      </c>
    </row>
    <row r="23000">
      <c r="A23000" s="4" t="s">
        <v>28943</v>
      </c>
      <c r="B23000" s="4" t="s">
        <v>28946</v>
      </c>
      <c r="C23000" s="5" t="str">
        <f>IFERROR(__xludf.DUMMYFUNCTION("GOOGLETRANSLATE(B23000,""en"",""de"")"),"Nachdem sie fertig sind, beginnt die junge Frau mit dem Rest der Klasse zu trainieren, während der Trainer geht, indem sie sicherstellt, dass sie richtig trainieren.")</f>
        <v>Nachdem sie fertig sind, beginnt die junge Frau mit dem Rest der Klasse zu trainieren, während der Trainer geht, indem sie sicherstellt, dass sie richtig trainieren.</v>
      </c>
    </row>
    <row r="23001">
      <c r="A23001" s="4" t="s">
        <v>28943</v>
      </c>
      <c r="B23001" s="4" t="s">
        <v>28947</v>
      </c>
      <c r="C23001" s="5" t="str">
        <f>IFERROR(__xludf.DUMMYFUNCTION("GOOGLETRANSLATE(B23001,""en"",""de"")"),"Schließlich ist das Training fertig und jeder beginnt sich gegenseitig hoch und die Frau beginnt wieder zu reden.")</f>
        <v>Schließlich ist das Training fertig und jeder beginnt sich gegenseitig hoch und die Frau beginnt wieder zu reden.</v>
      </c>
    </row>
    <row r="23002">
      <c r="A23002" s="4" t="s">
        <v>28948</v>
      </c>
      <c r="B23002" s="4" t="s">
        <v>28949</v>
      </c>
      <c r="C23002" s="5" t="str">
        <f>IFERROR(__xludf.DUMMYFUNCTION("GOOGLETRANSLATE(B23002,""en"",""de"")"),"Eine Kamera schwenkt um eine Gruppe von Menschen, die sich mit einem Kreis umeinander drehen.")</f>
        <v>Eine Kamera schwenkt um eine Gruppe von Menschen, die sich mit einem Kreis umeinander drehen.</v>
      </c>
    </row>
    <row r="23003">
      <c r="A23003" s="4" t="s">
        <v>28948</v>
      </c>
      <c r="B23003" s="4" t="s">
        <v>28950</v>
      </c>
      <c r="C23003" s="5" t="str">
        <f>IFERROR(__xludf.DUMMYFUNCTION("GOOGLETRANSLATE(B23003,""en"",""de"")"),"Ein Mann, der das drehende Mädchen herumschiebt und herum und zoomt auf eine Pinata.")</f>
        <v>Ein Mann, der das drehende Mädchen herumschiebt und herum und zoomt auf eine Pinata.</v>
      </c>
    </row>
    <row r="23004">
      <c r="A23004" s="4" t="s">
        <v>28948</v>
      </c>
      <c r="B23004" s="4" t="s">
        <v>28951</v>
      </c>
      <c r="C23004" s="5" t="str">
        <f>IFERROR(__xludf.DUMMYFUNCTION("GOOGLETRANSLATE(B23004,""en"",""de"")"),"Das Mädchen schwingt die Augen mit verbundenen Pinata und ein Mann springt nach unten, um ein Stück gefallene Süßigkeiten zu schnappen.")</f>
        <v>Das Mädchen schwingt die Augen mit verbundenen Pinata und ein Mann springt nach unten, um ein Stück gefallene Süßigkeiten zu schnappen.</v>
      </c>
    </row>
    <row r="23005">
      <c r="A23005" s="4" t="s">
        <v>28948</v>
      </c>
      <c r="B23005" s="4" t="s">
        <v>28952</v>
      </c>
      <c r="C23005" s="5" t="str">
        <f>IFERROR(__xludf.DUMMYFUNCTION("GOOGLETRANSLATE(B23005,""en"",""de"")"),"Das Mädchen bricht die Pinata auf und mehrere Leute rennen herunter, um sich die Süßigkeiten zu schnappen.")</f>
        <v>Das Mädchen bricht die Pinata auf und mehrere Leute rennen herunter, um sich die Süßigkeiten zu schnappen.</v>
      </c>
    </row>
    <row r="23006">
      <c r="A23006" s="4" t="s">
        <v>28953</v>
      </c>
      <c r="B23006" s="4" t="s">
        <v>28954</v>
      </c>
      <c r="C23006" s="5" t="str">
        <f>IFERROR(__xludf.DUMMYFUNCTION("GOOGLETRANSLATE(B23006,""en"",""de"")"),"Eine Frau malt ein Bild auf einer Leinwand.")</f>
        <v>Eine Frau malt ein Bild auf einer Leinwand.</v>
      </c>
    </row>
    <row r="23007">
      <c r="A23007" s="4" t="s">
        <v>28953</v>
      </c>
      <c r="B23007" s="4" t="s">
        <v>28955</v>
      </c>
      <c r="C23007" s="5" t="str">
        <f>IFERROR(__xludf.DUMMYFUNCTION("GOOGLETRANSLATE(B23007,""en"",""de"")"),"Sie hat orange und gelbe Farbe auf einem Brett vor sich.")</f>
        <v>Sie hat orange und gelbe Farbe auf einem Brett vor sich.</v>
      </c>
    </row>
    <row r="23008">
      <c r="A23008" s="4" t="s">
        <v>28953</v>
      </c>
      <c r="B23008" s="4" t="s">
        <v>28956</v>
      </c>
      <c r="C23008" s="5" t="str">
        <f>IFERROR(__xludf.DUMMYFUNCTION("GOOGLETRANSLATE(B23008,""en"",""de"")"),"Sie malt zwei Blumen auf die Leinwand.")</f>
        <v>Sie malt zwei Blumen auf die Leinwand.</v>
      </c>
    </row>
    <row r="23009">
      <c r="A23009" s="4" t="s">
        <v>28957</v>
      </c>
      <c r="B23009" s="4" t="s">
        <v>28958</v>
      </c>
      <c r="C23009" s="5" t="str">
        <f>IFERROR(__xludf.DUMMYFUNCTION("GOOGLETRANSLATE(B23009,""en"",""de"")"),"Ein Mann und eine Frau sprechen bei Übungen mit einer Kamera.")</f>
        <v>Ein Mann und eine Frau sprechen bei Übungen mit einer Kamera.</v>
      </c>
    </row>
    <row r="23010">
      <c r="A23010" s="4" t="s">
        <v>28957</v>
      </c>
      <c r="B23010" s="4" t="s">
        <v>28959</v>
      </c>
      <c r="C23010" s="5" t="str">
        <f>IFERROR(__xludf.DUMMYFUNCTION("GOOGLETRANSLATE(B23010,""en"",""de"")"),"Das Mädchen spricht über Ausrüstung und wie man sie benutzt.")</f>
        <v>Das Mädchen spricht über Ausrüstung und wie man sie benutzt.</v>
      </c>
    </row>
    <row r="23011">
      <c r="A23011" s="4" t="s">
        <v>28957</v>
      </c>
      <c r="B23011" s="4" t="s">
        <v>28960</v>
      </c>
      <c r="C23011" s="5" t="str">
        <f>IFERROR(__xludf.DUMMYFUNCTION("GOOGLETRANSLATE(B23011,""en"",""de"")"),"Sie bereitet die Ausrüstung vor und hilft dem Mann, die Übung auszuführen.")</f>
        <v>Sie bereitet die Ausrüstung vor und hilft dem Mann, die Übung auszuführen.</v>
      </c>
    </row>
    <row r="23012">
      <c r="A23012" s="4" t="s">
        <v>28961</v>
      </c>
      <c r="B23012" s="4" t="s">
        <v>28962</v>
      </c>
      <c r="C23012" s="5" t="str">
        <f>IFERROR(__xludf.DUMMYFUNCTION("GOOGLETRANSLATE(B23012,""en"",""de"")"),"Menschen, die am Straßenrand auf Skateboards und mit geparkten Autos in einer Seite stehen.")</f>
        <v>Menschen, die am Straßenrand auf Skateboards und mit geparkten Autos in einer Seite stehen.</v>
      </c>
    </row>
    <row r="23013">
      <c r="A23013" s="4" t="s">
        <v>28961</v>
      </c>
      <c r="B23013" s="4" t="s">
        <v>28963</v>
      </c>
      <c r="C23013" s="5" t="str">
        <f>IFERROR(__xludf.DUMMYFUNCTION("GOOGLETRANSLATE(B23013,""en"",""de"")"),"Jungen machen Tricks, die Skateboards im feuchten Asphalt reiten, der einen Hügel hinuntergeht.")</f>
        <v>Jungen machen Tricks, die Skateboards im feuchten Asphalt reiten, der einen Hügel hinuntergeht.</v>
      </c>
    </row>
    <row r="23014">
      <c r="A23014" s="4" t="s">
        <v>28961</v>
      </c>
      <c r="B23014" s="4" t="s">
        <v>28964</v>
      </c>
      <c r="C23014" s="5" t="str">
        <f>IFERROR(__xludf.DUMMYFUNCTION("GOOGLETRANSLATE(B23014,""en"",""de"")"),"Jungen werden unter einem Zelt im Bürgersteig versammelt und tricken im Skateboard Tricks, die den Wey Asphalt und das nasse Gras zeigen.")</f>
        <v>Jungen werden unter einem Zelt im Bürgersteig versammelt und tricken im Skateboard Tricks, die den Wey Asphalt und das nasse Gras zeigen.</v>
      </c>
    </row>
    <row r="23015">
      <c r="A23015" s="4" t="s">
        <v>28965</v>
      </c>
      <c r="B23015" s="4" t="s">
        <v>28966</v>
      </c>
      <c r="C23015" s="5" t="str">
        <f>IFERROR(__xludf.DUMMYFUNCTION("GOOGLETRANSLATE(B23015,""en"",""de"")"),"Eine Kamera mit einer Bildunterschrift wird gezeigt und führt zu mehreren Personen, die von einer Brücke springen.")</f>
        <v>Eine Kamera mit einer Bildunterschrift wird gezeigt und führt zu mehreren Personen, die von einer Brücke springen.</v>
      </c>
    </row>
    <row r="23016">
      <c r="A23016" s="4" t="s">
        <v>28965</v>
      </c>
      <c r="B23016" s="4" t="s">
        <v>28967</v>
      </c>
      <c r="C23016" s="5" t="str">
        <f>IFERROR(__xludf.DUMMYFUNCTION("GOOGLETRANSLATE(B23016,""en"",""de"")"),"Eine weitere Aufnahme von Menschen, die einen Fluss auf Röhren hinunterfahren, wird von großen Gruppen von Menschen in den Sandbänken gezeigt.")</f>
        <v>Eine weitere Aufnahme von Menschen, die einen Fluss auf Röhren hinunterfahren, wird von großen Gruppen von Menschen in den Sandbänken gezeigt.</v>
      </c>
    </row>
    <row r="23017">
      <c r="A23017" s="4" t="s">
        <v>28965</v>
      </c>
      <c r="B23017" s="4" t="s">
        <v>28968</v>
      </c>
      <c r="C23017" s="5" t="str">
        <f>IFERROR(__xludf.DUMMYFUNCTION("GOOGLETRANSLATE(B23017,""en"",""de"")"),"Der Kameramann packt einen weiteren Röhrchen und springt im Wasser, während er immer noch nach unten schwimmt und einen Knallballon fängt.")</f>
        <v>Der Kameramann packt einen weiteren Röhrchen und springt im Wasser, während er immer noch nach unten schwimmt und einen Knallballon fängt.</v>
      </c>
    </row>
    <row r="23018">
      <c r="A23018" s="4" t="s">
        <v>28969</v>
      </c>
      <c r="B23018" s="4" t="s">
        <v>28970</v>
      </c>
      <c r="C23018" s="5" t="str">
        <f>IFERROR(__xludf.DUMMYFUNCTION("GOOGLETRANSLATE(B23018,""en"",""de"")"),"Der Mensch sitzt auf Akayak und hält eine Reihe und zeigt die kortekluge Art des Ruderns.")</f>
        <v>Der Mensch sitzt auf Akayak und hält eine Reihe und zeigt die kortekluge Art des Ruderns.</v>
      </c>
    </row>
    <row r="23019">
      <c r="A23019" s="4" t="s">
        <v>28969</v>
      </c>
      <c r="B23019" s="4" t="s">
        <v>28971</v>
      </c>
      <c r="C23019" s="5" t="str">
        <f>IFERROR(__xludf.DUMMYFUNCTION("GOOGLETRANSLATE(B23019,""en"",""de"")"),"Die Leute sind in einem Kajak am See.")</f>
        <v>Die Leute sind in einem Kajak am See.</v>
      </c>
    </row>
    <row r="23020">
      <c r="A23020" s="4" t="s">
        <v>28969</v>
      </c>
      <c r="B23020" s="4" t="s">
        <v>28972</v>
      </c>
      <c r="C23020" s="5" t="str">
        <f>IFERROR(__xludf.DUMMYFUNCTION("GOOGLETRANSLATE(B23020,""en"",""de"")"),"Die Leute sind auf Rapids Kajakfahren.")</f>
        <v>Die Leute sind auf Rapids Kajakfahren.</v>
      </c>
    </row>
    <row r="23021">
      <c r="A23021" s="4" t="s">
        <v>28969</v>
      </c>
      <c r="B23021" s="4" t="s">
        <v>28973</v>
      </c>
      <c r="C23021" s="5" t="str">
        <f>IFERROR(__xludf.DUMMYFUNCTION("GOOGLETRANSLATE(B23021,""en"",""de"")"),"Männer schwimmen am See am Kajak und spazieren im Seen am See.")</f>
        <v>Männer schwimmen am See am Kajak und spazieren im Seen am See.</v>
      </c>
    </row>
    <row r="23022">
      <c r="A23022" s="4" t="s">
        <v>28974</v>
      </c>
      <c r="B23022" s="4" t="s">
        <v>28975</v>
      </c>
      <c r="C23022" s="5" t="str">
        <f>IFERROR(__xludf.DUMMYFUNCTION("GOOGLETRANSLATE(B23022,""en"",""de"")"),"Es wird gezeigt, dass eine Frau auf einer elliptischen und lächelnd in die Ferne trainiert.")</f>
        <v>Es wird gezeigt, dass eine Frau auf einer elliptischen und lächelnd in die Ferne trainiert.</v>
      </c>
    </row>
    <row r="23023">
      <c r="A23023" s="4" t="s">
        <v>28974</v>
      </c>
      <c r="B23023" s="4" t="s">
        <v>28976</v>
      </c>
      <c r="C23023" s="5" t="str">
        <f>IFERROR(__xludf.DUMMYFUNCTION("GOOGLETRANSLATE(B23023,""en"",""de"")"),"Das Video zeigt verschiedene Vorteile, die die Maschine tun kann, während die Frau weiter funktioniert.")</f>
        <v>Das Video zeigt verschiedene Vorteile, die die Maschine tun kann, während die Frau weiter funktioniert.</v>
      </c>
    </row>
    <row r="23024">
      <c r="A23024" s="4" t="s">
        <v>28974</v>
      </c>
      <c r="B23024" s="4" t="s">
        <v>28977</v>
      </c>
      <c r="C23024" s="5" t="str">
        <f>IFERROR(__xludf.DUMMYFUNCTION("GOOGLETRANSLATE(B23024,""en"",""de"")"),"Sie tritt schließlich wieder auf die Maschine und trainiert weiter auf der Maschine.")</f>
        <v>Sie tritt schließlich wieder auf die Maschine und trainiert weiter auf der Maschine.</v>
      </c>
    </row>
    <row r="23025">
      <c r="A23025" s="4" t="s">
        <v>28978</v>
      </c>
      <c r="B23025" s="4" t="s">
        <v>28979</v>
      </c>
      <c r="C23025" s="5" t="str">
        <f>IFERROR(__xludf.DUMMYFUNCTION("GOOGLETRANSLATE(B23025,""en"",""de"")"),"Wir sehen eine Dame, die Treppe hinuntergeht.")</f>
        <v>Wir sehen eine Dame, die Treppe hinuntergeht.</v>
      </c>
    </row>
    <row r="23026">
      <c r="A23026" s="4" t="s">
        <v>28978</v>
      </c>
      <c r="B23026" s="4" t="s">
        <v>28980</v>
      </c>
      <c r="C23026" s="5" t="str">
        <f>IFERROR(__xludf.DUMMYFUNCTION("GOOGLETRANSLATE(B23026,""en"",""de"")"),"Sie betritt einen Raum mit Kindern, nimmt ihren Mantel aus und beginnt zu tanzen.")</f>
        <v>Sie betritt einen Raum mit Kindern, nimmt ihren Mantel aus und beginnt zu tanzen.</v>
      </c>
    </row>
    <row r="23027">
      <c r="A23027" s="4" t="s">
        <v>28978</v>
      </c>
      <c r="B23027" s="4" t="s">
        <v>28981</v>
      </c>
      <c r="C23027" s="5" t="str">
        <f>IFERROR(__xludf.DUMMYFUNCTION("GOOGLETRANSLATE(B23027,""en"",""de"")"),"Ein Mann tritt ein und die Dame und der Mann führen einen ausgefallenen Tanz aus, während die Kinder zuschauen.")</f>
        <v>Ein Mann tritt ein und die Dame und der Mann führen einen ausgefallenen Tanz aus, während die Kinder zuschauen.</v>
      </c>
    </row>
    <row r="23028">
      <c r="A23028" s="4" t="s">
        <v>28978</v>
      </c>
      <c r="B23028" s="4" t="s">
        <v>28982</v>
      </c>
      <c r="C23028" s="5" t="str">
        <f>IFERROR(__xludf.DUMMYFUNCTION("GOOGLETRANSLATE(B23028,""en"",""de"")"),"Der Mann wirft seinen Mantel durch den Raum.")</f>
        <v>Der Mann wirft seinen Mantel durch den Raum.</v>
      </c>
    </row>
    <row r="23029">
      <c r="A23029" s="4" t="s">
        <v>28978</v>
      </c>
      <c r="B23029" s="4" t="s">
        <v>28983</v>
      </c>
      <c r="C23029" s="5" t="str">
        <f>IFERROR(__xludf.DUMMYFUNCTION("GOOGLETRANSLATE(B23029,""en"",""de"")"),"Die Dame umarmt den Mann von hinten.")</f>
        <v>Die Dame umarmt den Mann von hinten.</v>
      </c>
    </row>
    <row r="23030">
      <c r="A23030" s="4" t="s">
        <v>28978</v>
      </c>
      <c r="B23030" s="4" t="s">
        <v>28984</v>
      </c>
      <c r="C23030" s="5" t="str">
        <f>IFERROR(__xludf.DUMMYFUNCTION("GOOGLETRANSLATE(B23030,""en"",""de"")"),"Die Dame versucht zu gehen und der Mann packt sie und zieht sie zurück.")</f>
        <v>Die Dame versucht zu gehen und der Mann packt sie und zieht sie zurück.</v>
      </c>
    </row>
    <row r="23031">
      <c r="A23031" s="4" t="s">
        <v>28978</v>
      </c>
      <c r="B23031" s="4" t="s">
        <v>28985</v>
      </c>
      <c r="C23031" s="5" t="str">
        <f>IFERROR(__xludf.DUMMYFUNCTION("GOOGLETRANSLATE(B23031,""en"",""de"")"),"Sie beenden und der Mann schüttelt die Hände der Kinder.")</f>
        <v>Sie beenden und der Mann schüttelt die Hände der Kinder.</v>
      </c>
    </row>
    <row r="23032">
      <c r="A23032" s="4" t="s">
        <v>28978</v>
      </c>
      <c r="B23032" s="4" t="s">
        <v>28986</v>
      </c>
      <c r="C23032" s="5" t="str">
        <f>IFERROR(__xludf.DUMMYFUNCTION("GOOGLETRANSLATE(B23032,""en"",""de"")"),"Die Dame zieht ihren Mantel an, als ein Mädchen mit ihr spricht und den Raum verlässt.")</f>
        <v>Die Dame zieht ihren Mantel an, als ein Mädchen mit ihr spricht und den Raum verlässt.</v>
      </c>
    </row>
    <row r="23033">
      <c r="A23033" s="4" t="s">
        <v>28987</v>
      </c>
      <c r="B23033" s="4" t="s">
        <v>28988</v>
      </c>
      <c r="C23033" s="5" t="str">
        <f>IFERROR(__xludf.DUMMYFUNCTION("GOOGLETRANSLATE(B23033,""en"",""de"")"),"Ein Mann spricht mit der Kamera und führt in ihn ein Stück Papier und zwei Objekte.")</f>
        <v>Ein Mann spricht mit der Kamera und führt in ihn ein Stück Papier und zwei Objekte.</v>
      </c>
    </row>
    <row r="23034">
      <c r="A23034" s="4" t="s">
        <v>28987</v>
      </c>
      <c r="B23034" s="4" t="s">
        <v>28989</v>
      </c>
      <c r="C23034" s="5" t="str">
        <f>IFERROR(__xludf.DUMMYFUNCTION("GOOGLETRANSLATE(B23034,""en"",""de"")"),"Er legt die Objekte auf ein Brett und schärft ein Messer entlang des Objekts.")</f>
        <v>Er legt die Objekte auf ein Brett und schärft ein Messer entlang des Objekts.</v>
      </c>
    </row>
    <row r="23035">
      <c r="A23035" s="4" t="s">
        <v>28987</v>
      </c>
      <c r="B23035" s="4" t="s">
        <v>28990</v>
      </c>
      <c r="C23035" s="5" t="str">
        <f>IFERROR(__xludf.DUMMYFUNCTION("GOOGLETRANSLATE(B23035,""en"",""de"")"),"Er spricht weiter mit der Kamera, während er die Klinge schärft und auf das Objekt zeigt.")</f>
        <v>Er spricht weiter mit der Kamera, während er die Klinge schärft und auf das Objekt zeigt.</v>
      </c>
    </row>
    <row r="23036">
      <c r="A23036" s="4" t="s">
        <v>28991</v>
      </c>
      <c r="B23036" s="4" t="s">
        <v>28992</v>
      </c>
      <c r="C23036" s="5" t="str">
        <f>IFERROR(__xludf.DUMMYFUNCTION("GOOGLETRANSLATE(B23036,""en"",""de"")"),"Ein Kleinkind hält einen Lacrosse -Stock, dann fängt er einen Ball mit dem Lacrosse -Stick und wirft auf den Boden.")</f>
        <v>Ein Kleinkind hält einen Lacrosse -Stock, dann fängt er einen Ball mit dem Lacrosse -Stick und wirft auf den Boden.</v>
      </c>
    </row>
    <row r="23037">
      <c r="A23037" s="4" t="s">
        <v>28991</v>
      </c>
      <c r="B23037" s="4" t="s">
        <v>28993</v>
      </c>
      <c r="C23037" s="5" t="str">
        <f>IFERROR(__xludf.DUMMYFUNCTION("GOOGLETRANSLATE(B23037,""en"",""de"")"),"Dann versucht das Kleinkind, einen weiteren Ball zu fangen, aber es rollt unter einem Stuhl.")</f>
        <v>Dann versucht das Kleinkind, einen weiteren Ball zu fangen, aber es rollt unter einem Stuhl.</v>
      </c>
    </row>
    <row r="23038">
      <c r="A23038" s="4" t="s">
        <v>28991</v>
      </c>
      <c r="B23038" s="4" t="s">
        <v>28994</v>
      </c>
      <c r="C23038" s="5" t="str">
        <f>IFERROR(__xludf.DUMMYFUNCTION("GOOGLETRANSLATE(B23038,""en"",""de"")"),"Als nächstes fängt das Kleinkind einen Ball und wirft auf den Boden und der Ball springt.")</f>
        <v>Als nächstes fängt das Kleinkind einen Ball und wirft auf den Boden und der Ball springt.</v>
      </c>
    </row>
    <row r="23039">
      <c r="A23039" s="4" t="s">
        <v>28991</v>
      </c>
      <c r="B23039" s="4" t="s">
        <v>28995</v>
      </c>
      <c r="C23039" s="5" t="str">
        <f>IFERROR(__xludf.DUMMYFUNCTION("GOOGLETRANSLATE(B23039,""en"",""de"")"),"Danach fängt das Kleinkind den springenden Ball und wirft in den Hinterhof, dann tritt das Kleinkind einen Schritt nach unten.")</f>
        <v>Danach fängt das Kleinkind den springenden Ball und wirft in den Hinterhof, dann tritt das Kleinkind einen Schritt nach unten.</v>
      </c>
    </row>
    <row r="23040">
      <c r="A23040" s="4" t="s">
        <v>28996</v>
      </c>
      <c r="B23040" s="4" t="s">
        <v>28997</v>
      </c>
      <c r="C23040" s="5" t="str">
        <f>IFERROR(__xludf.DUMMYFUNCTION("GOOGLETRANSLATE(B23040,""en"",""de"")"),"Wir sehen eine Dame, die kleine Kartoffeln schält.")</f>
        <v>Wir sehen eine Dame, die kleine Kartoffeln schält.</v>
      </c>
    </row>
    <row r="23041">
      <c r="A23041" s="4" t="s">
        <v>28996</v>
      </c>
      <c r="B23041" s="4" t="s">
        <v>28998</v>
      </c>
      <c r="C23041" s="5" t="str">
        <f>IFERROR(__xludf.DUMMYFUNCTION("GOOGLETRANSLATE(B23041,""en"",""de"")"),"Die Dame schält ihre zweite Kartoffel.")</f>
        <v>Die Dame schält ihre zweite Kartoffel.</v>
      </c>
    </row>
    <row r="23042">
      <c r="A23042" s="4" t="s">
        <v>28996</v>
      </c>
      <c r="B23042" s="4" t="s">
        <v>28999</v>
      </c>
      <c r="C23042" s="5" t="str">
        <f>IFERROR(__xludf.DUMMYFUNCTION("GOOGLETRANSLATE(B23042,""en"",""de"")"),"Die Dame geht weiter zu ihren dritten Kartoffeln.")</f>
        <v>Die Dame geht weiter zu ihren dritten Kartoffeln.</v>
      </c>
    </row>
    <row r="23043">
      <c r="A23043" s="4" t="s">
        <v>28996</v>
      </c>
      <c r="B23043" s="4" t="s">
        <v>29000</v>
      </c>
      <c r="C23043" s="5" t="str">
        <f>IFERROR(__xludf.DUMMYFUNCTION("GOOGLETRANSLATE(B23043,""en"",""de"")"),"Wir zoomen und sehen die Damen Gesicht.")</f>
        <v>Wir zoomen und sehen die Damen Gesicht.</v>
      </c>
    </row>
    <row r="23044">
      <c r="A23044" s="4" t="s">
        <v>28996</v>
      </c>
      <c r="B23044" s="4" t="s">
        <v>29001</v>
      </c>
      <c r="C23044" s="5" t="str">
        <f>IFERROR(__xludf.DUMMYFUNCTION("GOOGLETRANSLATE(B23044,""en"",""de"")"),"Die Dame schält ihre vierte und fünfte Kartoffel.")</f>
        <v>Die Dame schält ihre vierte und fünfte Kartoffel.</v>
      </c>
    </row>
    <row r="23045">
      <c r="A23045" s="4" t="s">
        <v>29002</v>
      </c>
      <c r="B23045" s="4" t="s">
        <v>29003</v>
      </c>
      <c r="C23045" s="5" t="str">
        <f>IFERROR(__xludf.DUMMYFUNCTION("GOOGLETRANSLATE(B23045,""en"",""de"")"),"Zwei Leute spielen Badminton, während jemand sie mit einer Videokamera aufzeichnet.")</f>
        <v>Zwei Leute spielen Badminton, während jemand sie mit einer Videokamera aufzeichnet.</v>
      </c>
    </row>
    <row r="23046">
      <c r="A23046" s="4" t="s">
        <v>29002</v>
      </c>
      <c r="B23046" s="4" t="s">
        <v>29004</v>
      </c>
      <c r="C23046" s="5" t="str">
        <f>IFERROR(__xludf.DUMMYFUNCTION("GOOGLETRANSLATE(B23046,""en"",""de"")"),"Ein Mann verletzt sich, als die anderen Leute ihn beobachten, wie er über ihn lacht.")</f>
        <v>Ein Mann verletzt sich, als die anderen Leute ihn beobachten, wie er über ihn lacht.</v>
      </c>
    </row>
    <row r="23047">
      <c r="A23047" s="4" t="s">
        <v>29002</v>
      </c>
      <c r="B23047" s="4" t="s">
        <v>29005</v>
      </c>
      <c r="C23047" s="5" t="str">
        <f>IFERROR(__xludf.DUMMYFUNCTION("GOOGLETRANSLATE(B23047,""en"",""de"")"),"Die Leute, die Badminton spielten, gehen über und sprechen mit anderen Leuten, die auf Gartenstühlen sitzen.")</f>
        <v>Die Leute, die Badminton spielten, gehen über und sprechen mit anderen Leuten, die auf Gartenstühlen sitzen.</v>
      </c>
    </row>
    <row r="23048">
      <c r="A23048" s="4" t="s">
        <v>29002</v>
      </c>
      <c r="B23048" s="4" t="s">
        <v>29006</v>
      </c>
      <c r="C23048" s="5" t="str">
        <f>IFERROR(__xludf.DUMMYFUNCTION("GOOGLETRANSLATE(B23048,""en"",""de"")"),"Der Junge geht ins Haus, während die Leute weiter lachen.")</f>
        <v>Der Junge geht ins Haus, während die Leute weiter lachen.</v>
      </c>
    </row>
    <row r="23049">
      <c r="A23049" s="4" t="s">
        <v>29007</v>
      </c>
      <c r="B23049" s="4" t="s">
        <v>29008</v>
      </c>
      <c r="C23049" s="5" t="str">
        <f>IFERROR(__xludf.DUMMYFUNCTION("GOOGLETRANSLATE(B23049,""en"",""de"")"),"Wir sehen eine Eröffnungsszene mit einem Bild.")</f>
        <v>Wir sehen eine Eröffnungsszene mit einem Bild.</v>
      </c>
    </row>
    <row r="23050">
      <c r="A23050" s="4" t="s">
        <v>29007</v>
      </c>
      <c r="B23050" s="4" t="s">
        <v>29009</v>
      </c>
      <c r="C23050" s="5" t="str">
        <f>IFERROR(__xludf.DUMMYFUNCTION("GOOGLETRANSLATE(B23050,""en"",""de"")"),"Wir sehen dann einen See mit Enten und Felsen.")</f>
        <v>Wir sehen dann einen See mit Enten und Felsen.</v>
      </c>
    </row>
    <row r="23051">
      <c r="A23051" s="4" t="s">
        <v>29007</v>
      </c>
      <c r="B23051" s="4" t="s">
        <v>29010</v>
      </c>
      <c r="C23051" s="5" t="str">
        <f>IFERROR(__xludf.DUMMYFUNCTION("GOOGLETRANSLATE(B23051,""en"",""de"")"),"Die Menschen paddeln im See in einem Kanu.")</f>
        <v>Die Menschen paddeln im See in einem Kanu.</v>
      </c>
    </row>
    <row r="23052">
      <c r="A23052" s="4" t="s">
        <v>29007</v>
      </c>
      <c r="B23052" s="4" t="s">
        <v>29011</v>
      </c>
      <c r="C23052" s="5" t="str">
        <f>IFERROR(__xludf.DUMMYFUNCTION("GOOGLETRANSLATE(B23052,""en"",""de"")"),"Wir sehen eine Brücke und die Menschen gehen unter der Brücke.")</f>
        <v>Wir sehen eine Brücke und die Menschen gehen unter der Brücke.</v>
      </c>
    </row>
    <row r="23053">
      <c r="A23053" s="4" t="s">
        <v>29007</v>
      </c>
      <c r="B23053" s="4" t="s">
        <v>29012</v>
      </c>
      <c r="C23053" s="5" t="str">
        <f>IFERROR(__xludf.DUMMYFUNCTION("GOOGLETRANSLATE(B23053,""en"",""de"")"),"Wir sehen, wie ein hohes Gras in der Brise weht, während die Bootsfahrer vorbeifahren.")</f>
        <v>Wir sehen, wie ein hohes Gras in der Brise weht, während die Bootsfahrer vorbeifahren.</v>
      </c>
    </row>
    <row r="23054">
      <c r="A23054" s="4" t="s">
        <v>29007</v>
      </c>
      <c r="B23054" s="4" t="s">
        <v>29013</v>
      </c>
      <c r="C23054" s="5" t="str">
        <f>IFERROR(__xludf.DUMMYFUNCTION("GOOGLETRANSLATE(B23054,""en"",""de"")"),"Die Bootsfahrer kommen am Ufer an.")</f>
        <v>Die Bootsfahrer kommen am Ufer an.</v>
      </c>
    </row>
    <row r="23055">
      <c r="A23055" s="4" t="s">
        <v>29007</v>
      </c>
      <c r="B23055" s="4" t="s">
        <v>10150</v>
      </c>
      <c r="C23055" s="5" t="str">
        <f>IFERROR(__xludf.DUMMYFUNCTION("GOOGLETRANSLATE(B23055,""en"",""de"")"),"Wir sehen dann den Schließbildbildschirm.")</f>
        <v>Wir sehen dann den Schließbildbildschirm.</v>
      </c>
    </row>
    <row r="23056">
      <c r="A23056" s="4" t="s">
        <v>29014</v>
      </c>
      <c r="B23056" s="4" t="s">
        <v>29015</v>
      </c>
      <c r="C23056" s="5" t="str">
        <f>IFERROR(__xludf.DUMMYFUNCTION("GOOGLETRANSLATE(B23056,""en"",""de"")"),"Eine Anzeigetafel und ein großer Videobildschirm werden angezeigt.")</f>
        <v>Eine Anzeigetafel und ein großer Videobildschirm werden angezeigt.</v>
      </c>
    </row>
    <row r="23057">
      <c r="A23057" s="4" t="s">
        <v>29014</v>
      </c>
      <c r="B23057" s="4" t="s">
        <v>29016</v>
      </c>
      <c r="C23057" s="5" t="str">
        <f>IFERROR(__xludf.DUMMYFUNCTION("GOOGLETRANSLATE(B23057,""en"",""de"")"),"Biker starten eine sehr hohe Rampe auf eine Dirt Bike -Strecke.")</f>
        <v>Biker starten eine sehr hohe Rampe auf eine Dirt Bike -Strecke.</v>
      </c>
    </row>
    <row r="23058">
      <c r="A23058" s="4" t="s">
        <v>29014</v>
      </c>
      <c r="B23058" s="4" t="s">
        <v>29017</v>
      </c>
      <c r="C23058" s="5" t="str">
        <f>IFERROR(__xludf.DUMMYFUNCTION("GOOGLETRANSLATE(B23058,""en"",""de"")"),"Die Biker rennen um die holprige Strecke.")</f>
        <v>Die Biker rennen um die holprige Strecke.</v>
      </c>
    </row>
    <row r="23059">
      <c r="A23059" s="4" t="s">
        <v>29018</v>
      </c>
      <c r="B23059" s="4" t="s">
        <v>29019</v>
      </c>
      <c r="C23059" s="5" t="str">
        <f>IFERROR(__xludf.DUMMYFUNCTION("GOOGLETRANSLATE(B23059,""en"",""de"")"),"Eine Nahaufnahme der Füße einer Person ist in einer Röhre entlang des Flusses zu sehen.")</f>
        <v>Eine Nahaufnahme der Füße einer Person ist in einer Röhre entlang des Flusses zu sehen.</v>
      </c>
    </row>
    <row r="23060">
      <c r="A23060" s="4" t="s">
        <v>29018</v>
      </c>
      <c r="B23060" s="4" t="s">
        <v>29020</v>
      </c>
      <c r="C23060" s="5" t="str">
        <f>IFERROR(__xludf.DUMMYFUNCTION("GOOGLETRANSLATE(B23060,""en"",""de"")"),"Einige weitere Menschen werden in Röhren den Fluss hinunter fahren, während andere nebenbei zuschauen.")</f>
        <v>Einige weitere Menschen werden in Röhren den Fluss hinunter fahren, während andere nebenbei zuschauen.</v>
      </c>
    </row>
    <row r="23061">
      <c r="A23061" s="4" t="s">
        <v>29018</v>
      </c>
      <c r="B23061" s="4" t="s">
        <v>29021</v>
      </c>
      <c r="C23061" s="5" t="str">
        <f>IFERROR(__xludf.DUMMYFUNCTION("GOOGLETRANSLATE(B23061,""en"",""de"")"),"Die Person reitet weiter den Fluss hinunter an anderen.")</f>
        <v>Die Person reitet weiter den Fluss hinunter an anderen.</v>
      </c>
    </row>
    <row r="23062">
      <c r="A23062" s="4" t="s">
        <v>29022</v>
      </c>
      <c r="B23062" s="4" t="s">
        <v>29023</v>
      </c>
      <c r="C23062" s="5" t="str">
        <f>IFERROR(__xludf.DUMMYFUNCTION("GOOGLETRANSLATE(B23062,""en"",""de"")"),"Ein Mann steht hinter einem kleinen Kind, das mit verbundenen Augen verbunden ist.")</f>
        <v>Ein Mann steht hinter einem kleinen Kind, das mit verbundenen Augen verbunden ist.</v>
      </c>
    </row>
    <row r="23063">
      <c r="A23063" s="4" t="s">
        <v>29022</v>
      </c>
      <c r="B23063" s="4" t="s">
        <v>29024</v>
      </c>
      <c r="C23063" s="5" t="str">
        <f>IFERROR(__xludf.DUMMYFUNCTION("GOOGLETRANSLATE(B23063,""en"",""de"")"),"Dann werden mehrere Clips von Menschen gezeigt, die bei Pinatas herumschwingen und kläglich scheitern.")</f>
        <v>Dann werden mehrere Clips von Menschen gezeigt, die bei Pinatas herumschwingen und kläglich scheitern.</v>
      </c>
    </row>
    <row r="23064">
      <c r="A23064" s="4" t="s">
        <v>29022</v>
      </c>
      <c r="B23064" s="4" t="s">
        <v>29025</v>
      </c>
      <c r="C23064" s="5" t="str">
        <f>IFERROR(__xludf.DUMMYFUNCTION("GOOGLETRANSLATE(B23064,""en"",""de"")"),"Weitere Clips werden von Menschen gezeigt, die bei Pinatas herumschwingen und endet, wobei sie andere Menschen schlagen.")</f>
        <v>Weitere Clips werden von Menschen gezeigt, die bei Pinatas herumschwingen und endet, wobei sie andere Menschen schlagen.</v>
      </c>
    </row>
    <row r="23065">
      <c r="A23065" s="4" t="s">
        <v>29026</v>
      </c>
      <c r="B23065" s="4" t="s">
        <v>29027</v>
      </c>
      <c r="C23065" s="5" t="str">
        <f>IFERROR(__xludf.DUMMYFUNCTION("GOOGLETRANSLATE(B23065,""en"",""de"")"),"Die helle Sonne ist am Himmel und zeigt einen schneebedeckten Berg und viele mit Schnee bedeckte Kiefern.")</f>
        <v>Die helle Sonne ist am Himmel und zeigt einen schneebedeckten Berg und viele mit Schnee bedeckte Kiefern.</v>
      </c>
    </row>
    <row r="23066">
      <c r="A23066" s="4" t="s">
        <v>29026</v>
      </c>
      <c r="B23066" s="4" t="s">
        <v>29028</v>
      </c>
      <c r="C23066" s="5" t="str">
        <f>IFERROR(__xludf.DUMMYFUNCTION("GOOGLETRANSLATE(B23066,""en"",""de"")"),"Ein Snowboarder läuft im Schnee zwei Stangen.")</f>
        <v>Ein Snowboarder läuft im Schnee zwei Stangen.</v>
      </c>
    </row>
    <row r="23067">
      <c r="A23067" s="4" t="s">
        <v>29026</v>
      </c>
      <c r="B23067" s="4" t="s">
        <v>29029</v>
      </c>
      <c r="C23067" s="5" t="str">
        <f>IFERROR(__xludf.DUMMYFUNCTION("GOOGLETRANSLATE(B23067,""en"",""de"")"),"Kabinen hängen an Drähten und ein Snowboarder fährt den schneebedeckten Hang hinunter, wobei andere Snowboarder dahinter stehen.")</f>
        <v>Kabinen hängen an Drähten und ein Snowboarder fährt den schneebedeckten Hang hinunter, wobei andere Snowboarder dahinter stehen.</v>
      </c>
    </row>
    <row r="23068">
      <c r="A23068" s="4" t="s">
        <v>29026</v>
      </c>
      <c r="B23068" s="4" t="s">
        <v>29030</v>
      </c>
      <c r="C23068" s="5" t="str">
        <f>IFERROR(__xludf.DUMMYFUNCTION("GOOGLETRANSLATE(B23068,""en"",""de"")"),"Männer gehen in einem schneebedeckten Hang, der die Stangen hält und andere Snowboarder rutschen.")</f>
        <v>Männer gehen in einem schneebedeckten Hang, der die Stangen hält und andere Snowboarder rutschen.</v>
      </c>
    </row>
    <row r="23069">
      <c r="A23069" s="4" t="s">
        <v>29026</v>
      </c>
      <c r="B23069" s="4" t="s">
        <v>29031</v>
      </c>
      <c r="C23069" s="5" t="str">
        <f>IFERROR(__xludf.DUMMYFUNCTION("GOOGLETRANSLATE(B23069,""en"",""de"")"),"Frauen befinden sich auf einem hängenden Stuhl und unter den Kindern fahren die Neigung und spielen in einem Schneeburg.")</f>
        <v>Frauen befinden sich auf einem hängenden Stuhl und unter den Kindern fahren die Neigung und spielen in einem Schneeburg.</v>
      </c>
    </row>
    <row r="23070">
      <c r="A23070" s="4" t="s">
        <v>29026</v>
      </c>
      <c r="B23070" s="4" t="s">
        <v>29032</v>
      </c>
      <c r="C23070" s="5" t="str">
        <f>IFERROR(__xludf.DUMMYFUNCTION("GOOGLETRANSLATE(B23070,""en"",""de"")"),"Die Menschen gehen im schneebedeckten Berg und im Snowboarden.")</f>
        <v>Die Menschen gehen im schneebedeckten Berg und im Snowboarden.</v>
      </c>
    </row>
    <row r="23071">
      <c r="A23071" s="4" t="s">
        <v>29026</v>
      </c>
      <c r="B23071" s="4" t="s">
        <v>29033</v>
      </c>
      <c r="C23071" s="5" t="str">
        <f>IFERROR(__xludf.DUMMYFUNCTION("GOOGLETRANSLATE(B23071,""en"",""de"")"),"WMOAN tritt mit einem Mann in eine Höhle ein und serviert Wein und ein älteres Paar röstet.")</f>
        <v>WMOAN tritt mit einem Mann in eine Höhle ein und serviert Wein und ein älteres Paar röstet.</v>
      </c>
    </row>
    <row r="23072">
      <c r="A23072" s="4" t="s">
        <v>29026</v>
      </c>
      <c r="B23072" s="4" t="s">
        <v>29034</v>
      </c>
      <c r="C23072" s="5" t="str">
        <f>IFERROR(__xludf.DUMMYFUNCTION("GOOGLETRANSLATE(B23072,""en"",""de"")"),"Viele Leute warten und sitzen mit den Snowboards auf ihren Taschen auf einer Seite. Die Leute gehen den Berg hinunter, während die Tage vergangen.")</f>
        <v>Viele Leute warten und sitzen mit den Snowboards auf ihren Taschen auf einer Seite. Die Leute gehen den Berg hinunter, während die Tage vergangen.</v>
      </c>
    </row>
    <row r="23073">
      <c r="A23073" s="4" t="s">
        <v>29035</v>
      </c>
      <c r="B23073" s="4" t="s">
        <v>29036</v>
      </c>
      <c r="C23073" s="5" t="str">
        <f>IFERROR(__xludf.DUMMYFUNCTION("GOOGLETRANSLATE(B23073,""en"",""de"")"),"Mehrere professionelle Männer setzen alle Arten von Skiern Wachs.")</f>
        <v>Mehrere professionelle Männer setzen alle Arten von Skiern Wachs.</v>
      </c>
    </row>
    <row r="23074">
      <c r="A23074" s="4" t="s">
        <v>29035</v>
      </c>
      <c r="B23074" s="4" t="s">
        <v>29037</v>
      </c>
      <c r="C23074" s="5" t="str">
        <f>IFERROR(__xludf.DUMMYFUNCTION("GOOGLETRANSLATE(B23074,""en"",""de"")"),"Während sie weiterhin Wachs platzieren, verwenden sie Werkzeuge, um die Skier zu mahlen und zu glätten.")</f>
        <v>Während sie weiterhin Wachs platzieren, verwenden sie Werkzeuge, um die Skier zu mahlen und zu glätten.</v>
      </c>
    </row>
    <row r="23075">
      <c r="A23075" s="4" t="s">
        <v>29035</v>
      </c>
      <c r="B23075" s="4" t="s">
        <v>29038</v>
      </c>
      <c r="C23075" s="5" t="str">
        <f>IFERROR(__xludf.DUMMYFUNCTION("GOOGLETRANSLATE(B23075,""en"",""de"")"),"Schließlich glättet die Verwendung von Tüchern durch die Arbeiter die Skiern.")</f>
        <v>Schließlich glättet die Verwendung von Tüchern durch die Arbeiter die Skiern.</v>
      </c>
    </row>
    <row r="23076">
      <c r="A23076" s="4" t="s">
        <v>29039</v>
      </c>
      <c r="B23076" s="4" t="s">
        <v>29040</v>
      </c>
      <c r="C23076" s="5" t="str">
        <f>IFERROR(__xludf.DUMMYFUNCTION("GOOGLETRANSLATE(B23076,""en"",""de"")"),"Eine militärische Prozession trägt einen Sarg und durchläuft eine Bestattungszeremonie.")</f>
        <v>Eine militärische Prozession trägt einen Sarg und durchläuft eine Bestattungszeremonie.</v>
      </c>
    </row>
    <row r="23077">
      <c r="A23077" s="4" t="s">
        <v>29039</v>
      </c>
      <c r="B23077" s="4" t="s">
        <v>29041</v>
      </c>
      <c r="C23077" s="5" t="str">
        <f>IFERROR(__xludf.DUMMYFUNCTION("GOOGLETRANSLATE(B23077,""en"",""de"")"),"Ein Nachrichtensprecher spricht in einem Nachrichtenredaktionen.")</f>
        <v>Ein Nachrichtensprecher spricht in einem Nachrichtenredaktionen.</v>
      </c>
    </row>
    <row r="23078">
      <c r="A23078" s="4" t="s">
        <v>29039</v>
      </c>
      <c r="B23078" s="4" t="s">
        <v>29042</v>
      </c>
      <c r="C23078" s="5" t="str">
        <f>IFERROR(__xludf.DUMMYFUNCTION("GOOGLETRANSLATE(B23078,""en"",""de"")"),"Ein Sarg und wird von einem Wagen zusammen mit Military Personell getragen.")</f>
        <v>Ein Sarg und wird von einem Wagen zusammen mit Military Personell getragen.</v>
      </c>
    </row>
    <row r="23079">
      <c r="A23079" s="4" t="s">
        <v>29039</v>
      </c>
      <c r="B23079" s="4" t="s">
        <v>29043</v>
      </c>
      <c r="C23079" s="5" t="str">
        <f>IFERROR(__xludf.DUMMYFUNCTION("GOOGLETRANSLATE(B23079,""en"",""de"")"),"Ein Militärmann präsentiert einem Gast eine Flagge.")</f>
        <v>Ein Militärmann präsentiert einem Gast eine Flagge.</v>
      </c>
    </row>
    <row r="23080">
      <c r="A23080" s="4" t="s">
        <v>29039</v>
      </c>
      <c r="B23080" s="4" t="s">
        <v>29044</v>
      </c>
      <c r="C23080" s="5" t="str">
        <f>IFERROR(__xludf.DUMMYFUNCTION("GOOGLETRANSLATE(B23080,""en"",""de"")"),"Ein Mann mit einer Beinprothese und einer Frau reitet Pferde mit Trainern mit einem Trainer neben sich.")</f>
        <v>Ein Mann mit einer Beinprothese und einer Frau reitet Pferde mit Trainern mit einem Trainer neben sich.</v>
      </c>
    </row>
    <row r="23081">
      <c r="A23081" s="4" t="s">
        <v>29039</v>
      </c>
      <c r="B23081" s="4" t="s">
        <v>29045</v>
      </c>
      <c r="C23081" s="5" t="str">
        <f>IFERROR(__xludf.DUMMYFUNCTION("GOOGLETRANSLATE(B23081,""en"",""de"")"),"Ein Journalist fährt mit einem Mann im Fußballtrikot auf einem Bürgersteig.")</f>
        <v>Ein Journalist fährt mit einem Mann im Fußballtrikot auf einem Bürgersteig.</v>
      </c>
    </row>
    <row r="23082">
      <c r="A23082" s="4" t="s">
        <v>29039</v>
      </c>
      <c r="B23082" s="4" t="s">
        <v>29046</v>
      </c>
      <c r="C23082" s="5" t="str">
        <f>IFERROR(__xludf.DUMMYFUNCTION("GOOGLETRANSLATE(B23082,""en"",""de"")"),"Ein Pferdetrainer spricht in der Nähe eines Waldgebiets.")</f>
        <v>Ein Pferdetrainer spricht in der Nähe eines Waldgebiets.</v>
      </c>
    </row>
    <row r="23083">
      <c r="A23083" s="4" t="s">
        <v>29039</v>
      </c>
      <c r="B23083" s="4" t="s">
        <v>29047</v>
      </c>
      <c r="C23083" s="5" t="str">
        <f>IFERROR(__xludf.DUMMYFUNCTION("GOOGLETRANSLATE(B23083,""en"",""de"")"),"Der Mann in einem Trikot hält das Pferd an, als er sich der Trauer Prozession nähert.")</f>
        <v>Der Mann in einem Trikot hält das Pferd an, als er sich der Trauer Prozession nähert.</v>
      </c>
    </row>
    <row r="23084">
      <c r="A23084" s="4" t="s">
        <v>29048</v>
      </c>
      <c r="B23084" s="4" t="s">
        <v>29049</v>
      </c>
      <c r="C23084" s="5" t="str">
        <f>IFERROR(__xludf.DUMMYFUNCTION("GOOGLETRANSLATE(B23084,""en"",""de"")"),"Es gibt einen Mann, der auf dem Mikrofon spricht, um bekannt zu geben, wer aufsteigt.")</f>
        <v>Es gibt einen Mann, der auf dem Mikrofon spricht, um bekannt zu geben, wer aufsteigt.</v>
      </c>
    </row>
    <row r="23085">
      <c r="A23085" s="4" t="s">
        <v>29048</v>
      </c>
      <c r="B23085" s="4" t="s">
        <v>29050</v>
      </c>
      <c r="C23085" s="5" t="str">
        <f>IFERROR(__xludf.DUMMYFUNCTION("GOOGLETRANSLATE(B23085,""en"",""de"")"),"Nächst viele verschiedene Leute gehen auf die Bühne, um zu tanzen.")</f>
        <v>Nächst viele verschiedene Leute gehen auf die Bühne, um zu tanzen.</v>
      </c>
    </row>
    <row r="23086">
      <c r="A23086" s="4" t="s">
        <v>29051</v>
      </c>
      <c r="B23086" s="4" t="s">
        <v>29052</v>
      </c>
      <c r="C23086" s="5" t="str">
        <f>IFERROR(__xludf.DUMMYFUNCTION("GOOGLETRANSLATE(B23086,""en"",""de"")"),"Mehrere Clips von einer Person, die auf Rollblättern städt.")</f>
        <v>Mehrere Clips von einer Person, die auf Rollblättern städt.</v>
      </c>
    </row>
    <row r="23087">
      <c r="A23087" s="4" t="s">
        <v>29051</v>
      </c>
      <c r="B23087" s="4" t="s">
        <v>29053</v>
      </c>
      <c r="C23087" s="5" t="str">
        <f>IFERROR(__xludf.DUMMYFUNCTION("GOOGLETRANSLATE(B23087,""en"",""de"")"),"Die Person fährt weiter auf den Straßen und dann wird der Text über dem Bildschirm angezeigt.")</f>
        <v>Die Person fährt weiter auf den Straßen und dann wird der Text über dem Bildschirm angezeigt.</v>
      </c>
    </row>
    <row r="23088">
      <c r="A23088" s="4" t="s">
        <v>29054</v>
      </c>
      <c r="B23088" s="4" t="s">
        <v>29055</v>
      </c>
      <c r="C23088" s="5" t="str">
        <f>IFERROR(__xludf.DUMMYFUNCTION("GOOGLETRANSLATE(B23088,""en"",""de"")"),"Ein junges Mädchen wird auf einem großen Fitnessstudio -Boden gezeigt, das Flips und Tricks mit einem Stab und mehreren Richtern beobachtet.")</f>
        <v>Ein junges Mädchen wird auf einem großen Fitnessstudio -Boden gezeigt, das Flips und Tricks mit einem Stab und mehreren Richtern beobachtet.</v>
      </c>
    </row>
    <row r="23089">
      <c r="A23089" s="4" t="s">
        <v>29054</v>
      </c>
      <c r="B23089" s="4" t="s">
        <v>29056</v>
      </c>
      <c r="C23089" s="5" t="str">
        <f>IFERROR(__xludf.DUMMYFUNCTION("GOOGLETRANSLATE(B23089,""en"",""de"")"),"Sie bewegt sich weiter entlang des Bodens, während sie Mädchen hinter sich übt.")</f>
        <v>Sie bewegt sich weiter entlang des Bodens, während sie Mädchen hinter sich übt.</v>
      </c>
    </row>
    <row r="23090">
      <c r="A23090" s="4" t="s">
        <v>29054</v>
      </c>
      <c r="B23090" s="4" t="s">
        <v>29057</v>
      </c>
      <c r="C23090" s="5" t="str">
        <f>IFERROR(__xludf.DUMMYFUNCTION("GOOGLETRANSLATE(B23090,""en"",""de"")"),"Sie beendet ihre Routine und steht vor den Richtern und hört ihre Ergebnisse.")</f>
        <v>Sie beendet ihre Routine und steht vor den Richtern und hört ihre Ergebnisse.</v>
      </c>
    </row>
    <row r="23091">
      <c r="A23091" s="4" t="s">
        <v>29058</v>
      </c>
      <c r="B23091" s="4" t="s">
        <v>29059</v>
      </c>
      <c r="C23091" s="5" t="str">
        <f>IFERROR(__xludf.DUMMYFUNCTION("GOOGLETRANSLATE(B23091,""en"",""de"")"),"Ein Surfer, der einen feuchten Anzug trägt, nimmt ab und reitet eine Welle im Meer.")</f>
        <v>Ein Surfer, der einen feuchten Anzug trägt, nimmt ab und reitet eine Welle im Meer.</v>
      </c>
    </row>
    <row r="23092">
      <c r="A23092" s="4" t="s">
        <v>29058</v>
      </c>
      <c r="B23092" s="4" t="s">
        <v>29060</v>
      </c>
      <c r="C23092" s="5" t="str">
        <f>IFERROR(__xludf.DUMMYFUNCTION("GOOGLETRANSLATE(B23092,""en"",""de"")"),"Zwei Surfer werden von einem Siegel im Meer begrüßt, das auf sein Brett springt und mit ihnen spielt.")</f>
        <v>Zwei Surfer werden von einem Siegel im Meer begrüßt, das auf sein Brett springt und mit ihnen spielt.</v>
      </c>
    </row>
    <row r="23093">
      <c r="A23093" s="4" t="s">
        <v>29058</v>
      </c>
      <c r="B23093" s="4" t="s">
        <v>29061</v>
      </c>
      <c r="C23093" s="5" t="str">
        <f>IFERROR(__xludf.DUMMYFUNCTION("GOOGLETRANSLATE(B23093,""en"",""de"")"),"Der Surfer, der einen feuchten Anzug trägt, nimmt eine Welle ab, die das Siegel zurücklässt.")</f>
        <v>Der Surfer, der einen feuchten Anzug trägt, nimmt eine Welle ab, die das Siegel zurücklässt.</v>
      </c>
    </row>
    <row r="23094">
      <c r="A23094" s="4" t="s">
        <v>29062</v>
      </c>
      <c r="B23094" s="4" t="s">
        <v>29063</v>
      </c>
      <c r="C23094" s="5" t="str">
        <f>IFERROR(__xludf.DUMMYFUNCTION("GOOGLETRANSLATE(B23094,""en"",""de"")"),"Ein Mann ist in einem Raum, zeigt und spricht über Fliesen.")</f>
        <v>Ein Mann ist in einem Raum, zeigt und spricht über Fliesen.</v>
      </c>
    </row>
    <row r="23095">
      <c r="A23095" s="4" t="s">
        <v>29062</v>
      </c>
      <c r="B23095" s="4" t="s">
        <v>29064</v>
      </c>
      <c r="C23095" s="5" t="str">
        <f>IFERROR(__xludf.DUMMYFUNCTION("GOOGLETRANSLATE(B23095,""en"",""de"")"),"Er legt die Fliesen einzeln in die Wand.")</f>
        <v>Er legt die Fliesen einzeln in die Wand.</v>
      </c>
    </row>
    <row r="23096">
      <c r="A23096" s="4" t="s">
        <v>29062</v>
      </c>
      <c r="B23096" s="4" t="s">
        <v>29065</v>
      </c>
      <c r="C23096" s="5" t="str">
        <f>IFERROR(__xludf.DUMMYFUNCTION("GOOGLETRANSLATE(B23096,""en"",""de"")"),"Der Mann schließt die Konstruktion ab und schaltet dann die Kamera aus.")</f>
        <v>Der Mann schließt die Konstruktion ab und schaltet dann die Kamera aus.</v>
      </c>
    </row>
    <row r="23097">
      <c r="A23097" s="4" t="s">
        <v>29066</v>
      </c>
      <c r="B23097" s="4" t="s">
        <v>29067</v>
      </c>
      <c r="C23097" s="5" t="str">
        <f>IFERROR(__xludf.DUMMYFUNCTION("GOOGLETRANSLATE(B23097,""en"",""de"")"),"Eine Seite mit einem Video, das youtube ähnlich aussieht, wird angezeigt.")</f>
        <v>Eine Seite mit einem Video, das youtube ähnlich aussieht, wird angezeigt.</v>
      </c>
    </row>
    <row r="23098">
      <c r="A23098" s="4" t="s">
        <v>29066</v>
      </c>
      <c r="B23098" s="4" t="s">
        <v>29068</v>
      </c>
      <c r="C23098" s="5" t="str">
        <f>IFERROR(__xludf.DUMMYFUNCTION("GOOGLETRANSLATE(B23098,""en"",""de"")"),"Eine sitzende Frau spricht mit der Kamera, durchsetzt von Szenen von Personen, die Schweißen zeigten.")</f>
        <v>Eine sitzende Frau spricht mit der Kamera, durchsetzt von Szenen von Personen, die Schweißen zeigten.</v>
      </c>
    </row>
    <row r="23099">
      <c r="A23099" s="4" t="s">
        <v>29066</v>
      </c>
      <c r="B23099" s="4" t="s">
        <v>17268</v>
      </c>
      <c r="C23099" s="5" t="str">
        <f>IFERROR(__xludf.DUMMYFUNCTION("GOOGLETRANSLATE(B23099,""en"",""de"")"),"Ein Mann spricht mit der Kamera.")</f>
        <v>Ein Mann spricht mit der Kamera.</v>
      </c>
    </row>
    <row r="23100">
      <c r="A23100" s="4" t="s">
        <v>29066</v>
      </c>
      <c r="B23100" s="4" t="s">
        <v>29069</v>
      </c>
      <c r="C23100" s="5" t="str">
        <f>IFERROR(__xludf.DUMMYFUNCTION("GOOGLETRANSLATE(B23100,""en"",""de"")"),"Die YouTube -Seite mit einem Video wird erneut angezeigt.")</f>
        <v>Die YouTube -Seite mit einem Video wird erneut angezeigt.</v>
      </c>
    </row>
    <row r="23101">
      <c r="A23101" s="4" t="s">
        <v>29070</v>
      </c>
      <c r="B23101" s="4" t="s">
        <v>29071</v>
      </c>
      <c r="C23101" s="5" t="str">
        <f>IFERROR(__xludf.DUMMYFUNCTION("GOOGLETRANSLATE(B23101,""en"",""de"")"),"Ein Caster aus dem Nahen Osten spricht über ein aktuelles Ereignis in einer anderen Sprache.")</f>
        <v>Ein Caster aus dem Nahen Osten spricht über ein aktuelles Ereignis in einer anderen Sprache.</v>
      </c>
    </row>
    <row r="23102">
      <c r="A23102" s="4" t="s">
        <v>29070</v>
      </c>
      <c r="B23102" s="4" t="s">
        <v>29072</v>
      </c>
      <c r="C23102" s="5" t="str">
        <f>IFERROR(__xludf.DUMMYFUNCTION("GOOGLETRANSLATE(B23102,""en"",""de"")"),"Die Szene wechselt, um eine Gruppe von Menschen bei einer Art Event zu zeigen.")</f>
        <v>Die Szene wechselt, um eine Gruppe von Menschen bei einer Art Event zu zeigen.</v>
      </c>
    </row>
    <row r="23103">
      <c r="A23103" s="4" t="s">
        <v>29070</v>
      </c>
      <c r="B23103" s="4" t="s">
        <v>29073</v>
      </c>
      <c r="C23103" s="5" t="str">
        <f>IFERROR(__xludf.DUMMYFUNCTION("GOOGLETRANSLATE(B23103,""en"",""de"")"),"Den Menschen auf der Veranstaltung werden Polierschuhe gezeigt.")</f>
        <v>Den Menschen auf der Veranstaltung werden Polierschuhe gezeigt.</v>
      </c>
    </row>
    <row r="23104">
      <c r="A23104" s="4" t="s">
        <v>29070</v>
      </c>
      <c r="B23104" s="4" t="s">
        <v>29074</v>
      </c>
      <c r="C23104" s="5" t="str">
        <f>IFERROR(__xludf.DUMMYFUNCTION("GOOGLETRANSLATE(B23104,""en"",""de"")"),"Ein Mann in einem roten Hemd wird interviewt, während er anderen auf der Veranstaltung auf dem geteilten Bildschirm zeigt.")</f>
        <v>Ein Mann in einem roten Hemd wird interviewt, während er anderen auf der Veranstaltung auf dem geteilten Bildschirm zeigt.</v>
      </c>
    </row>
    <row r="23105">
      <c r="A23105" s="4" t="s">
        <v>29070</v>
      </c>
      <c r="B23105" s="4" t="s">
        <v>29075</v>
      </c>
      <c r="C23105" s="5" t="str">
        <f>IFERROR(__xludf.DUMMYFUNCTION("GOOGLETRANSLATE(B23105,""en"",""de"")"),"Die Szene wechselt zurück zum Ereignis, wobei der Nachrichtensender über das Filmmaterial spricht.")</f>
        <v>Die Szene wechselt zurück zum Ereignis, wobei der Nachrichtensender über das Filmmaterial spricht.</v>
      </c>
    </row>
    <row r="23106">
      <c r="A23106" s="4" t="s">
        <v>29076</v>
      </c>
      <c r="B23106" s="4" t="s">
        <v>29077</v>
      </c>
      <c r="C23106" s="5" t="str">
        <f>IFERROR(__xludf.DUMMYFUNCTION("GOOGLETRANSLATE(B23106,""en"",""de"")"),"Frau steht neben einem Pferd, der eine Bürste hält, die die Haare des Pferdes kämmt.")</f>
        <v>Frau steht neben einem Pferd, der eine Bürste hält, die die Haare des Pferdes kämmt.</v>
      </c>
    </row>
    <row r="23107">
      <c r="A23107" s="4" t="s">
        <v>29076</v>
      </c>
      <c r="B23107" s="4" t="s">
        <v>29078</v>
      </c>
      <c r="C23107" s="5" t="str">
        <f>IFERROR(__xludf.DUMMYFUNCTION("GOOGLETRANSLATE(B23107,""en"",""de"")"),"Litle Kid streichelt das Pferd.")</f>
        <v>Litle Kid streichelt das Pferd.</v>
      </c>
    </row>
    <row r="23108">
      <c r="A23108" s="4" t="s">
        <v>29076</v>
      </c>
      <c r="B23108" s="4" t="s">
        <v>29079</v>
      </c>
      <c r="C23108" s="5" t="str">
        <f>IFERROR(__xludf.DUMMYFUNCTION("GOOGLETRANSLATE(B23108,""en"",""de"")"),"Frau geht zur Strecke.")</f>
        <v>Frau geht zur Strecke.</v>
      </c>
    </row>
    <row r="23109">
      <c r="A23109" s="4" t="s">
        <v>29080</v>
      </c>
      <c r="B23109" s="4" t="s">
        <v>29081</v>
      </c>
      <c r="C23109" s="5" t="str">
        <f>IFERROR(__xludf.DUMMYFUNCTION("GOOGLETRANSLATE(B23109,""en"",""de"")"),"Ein Mädchen wird gesehen, wie sie ihre Arme verschränkt und Hula immer wieder heimt.")</f>
        <v>Ein Mädchen wird gesehen, wie sie ihre Arme verschränkt und Hula immer wieder heimt.</v>
      </c>
    </row>
    <row r="23110">
      <c r="A23110" s="4" t="s">
        <v>29080</v>
      </c>
      <c r="B23110" s="4" t="s">
        <v>29082</v>
      </c>
      <c r="C23110" s="5" t="str">
        <f>IFERROR(__xludf.DUMMYFUNCTION("GOOGLETRANSLATE(B23110,""en"",""de"")"),"Sie hob ständig Hula, während sie ihre Beine rundum bewegt und verschiedene Sprünge und Tricks macht.")</f>
        <v>Sie hob ständig Hula, während sie ihre Beine rundum bewegt und verschiedene Sprünge und Tricks macht.</v>
      </c>
    </row>
    <row r="23111">
      <c r="A23111" s="4" t="s">
        <v>29083</v>
      </c>
      <c r="B23111" s="4" t="s">
        <v>29084</v>
      </c>
      <c r="C23111" s="5" t="str">
        <f>IFERROR(__xludf.DUMMYFUNCTION("GOOGLETRANSLATE(B23111,""en"",""de"")"),"Ein Mann namens Andrei nähert sich der Bühne.")</f>
        <v>Ein Mann namens Andrei nähert sich der Bühne.</v>
      </c>
    </row>
    <row r="23112">
      <c r="A23112" s="4" t="s">
        <v>29083</v>
      </c>
      <c r="B23112" s="4" t="s">
        <v>29085</v>
      </c>
      <c r="C23112" s="5" t="str">
        <f>IFERROR(__xludf.DUMMYFUNCTION("GOOGLETRANSLATE(B23112,""en"",""de"")"),"Er verdunkelt seine Hände in Vorbereitung.")</f>
        <v>Er verdunkelt seine Hände in Vorbereitung.</v>
      </c>
    </row>
    <row r="23113">
      <c r="A23113" s="4" t="s">
        <v>29083</v>
      </c>
      <c r="B23113" s="4" t="s">
        <v>29086</v>
      </c>
      <c r="C23113" s="5" t="str">
        <f>IFERROR(__xludf.DUMMYFUNCTION("GOOGLETRANSLATE(B23113,""en"",""de"")"),"Er legt seine Hände auf das Gewicht.")</f>
        <v>Er legt seine Hände auf das Gewicht.</v>
      </c>
    </row>
    <row r="23114">
      <c r="A23114" s="4" t="s">
        <v>29083</v>
      </c>
      <c r="B23114" s="4" t="s">
        <v>29087</v>
      </c>
      <c r="C23114" s="5" t="str">
        <f>IFERROR(__xludf.DUMMYFUNCTION("GOOGLETRANSLATE(B23114,""en"",""de"")"),"Er bereitet seinen Körper darauf vor, das schwere Gewicht zu heben.")</f>
        <v>Er bereitet seinen Körper darauf vor, das schwere Gewicht zu heben.</v>
      </c>
    </row>
    <row r="23115">
      <c r="A23115" s="4" t="s">
        <v>29083</v>
      </c>
      <c r="B23115" s="4" t="s">
        <v>29088</v>
      </c>
      <c r="C23115" s="5" t="str">
        <f>IFERROR(__xludf.DUMMYFUNCTION("GOOGLETRANSLATE(B23115,""en"",""de"")"),"Er zieht hoch, lässt aber das Gewicht fallen und fällt ab.")</f>
        <v>Er zieht hoch, lässt aber das Gewicht fallen und fällt ab.</v>
      </c>
    </row>
    <row r="23116">
      <c r="A23116" s="4" t="s">
        <v>29083</v>
      </c>
      <c r="B23116" s="4" t="s">
        <v>29089</v>
      </c>
      <c r="C23116" s="5" t="str">
        <f>IFERROR(__xludf.DUMMYFUNCTION("GOOGLETRANSLATE(B23116,""en"",""de"")"),"Der andere Konkurrent freut sich über ihren Sieg.")</f>
        <v>Der andere Konkurrent freut sich über ihren Sieg.</v>
      </c>
    </row>
    <row r="23117">
      <c r="A23117" s="4" t="s">
        <v>29090</v>
      </c>
      <c r="B23117" s="4" t="s">
        <v>29091</v>
      </c>
      <c r="C23117" s="5" t="str">
        <f>IFERROR(__xludf.DUMMYFUNCTION("GOOGLETRANSLATE(B23117,""en"",""de"")"),"Der klare Himmel wird gezeigt, bevor eine Gruppe von Mädchen ein Spielefeldhockey spielen scheint.")</f>
        <v>Der klare Himmel wird gezeigt, bevor eine Gruppe von Mädchen ein Spielefeldhockey spielen scheint.</v>
      </c>
    </row>
    <row r="23118">
      <c r="A23118" s="4" t="s">
        <v>29090</v>
      </c>
      <c r="B23118" s="4" t="s">
        <v>29092</v>
      </c>
      <c r="C23118" s="5" t="str">
        <f>IFERROR(__xludf.DUMMYFUNCTION("GOOGLETRANSLATE(B23118,""en"",""de"")"),"Die beiden Teams treten im Gebäude gegeneinander an, da zwischen den Theaterstücken Standbilder gezeigt werden.")</f>
        <v>Die beiden Teams treten im Gebäude gegeneinander an, da zwischen den Theaterstücken Standbilder gezeigt werden.</v>
      </c>
    </row>
    <row r="23119">
      <c r="A23119" s="4" t="s">
        <v>29090</v>
      </c>
      <c r="B23119" s="4" t="s">
        <v>29093</v>
      </c>
      <c r="C23119" s="5" t="str">
        <f>IFERROR(__xludf.DUMMYFUNCTION("GOOGLETRANSLATE(B23119,""en"",""de"")"),"Als ein Team fast ein Ziel erzielt, wird ein männlicher Fotograf an der Ecke des Tores gezeigt, und dann erscheint am Ende des Videos ein Mädchen, das ein lustiges Gesicht macht.")</f>
        <v>Als ein Team fast ein Ziel erzielt, wird ein männlicher Fotograf an der Ecke des Tores gezeigt, und dann erscheint am Ende des Videos ein Mädchen, das ein lustiges Gesicht macht.</v>
      </c>
    </row>
    <row r="23120">
      <c r="A23120" s="4" t="s">
        <v>29094</v>
      </c>
      <c r="B23120" s="4" t="s">
        <v>29095</v>
      </c>
      <c r="C23120" s="5" t="str">
        <f>IFERROR(__xludf.DUMMYFUNCTION("GOOGLETRANSLATE(B23120,""en"",""de"")"),"Zwei Männer spielen in der Mitte eines Menschenkreises eine Kapoerie.")</f>
        <v>Zwei Männer spielen in der Mitte eines Menschenkreises eine Kapoerie.</v>
      </c>
    </row>
    <row r="23121">
      <c r="A23121" s="4" t="s">
        <v>29094</v>
      </c>
      <c r="B23121" s="4" t="s">
        <v>29096</v>
      </c>
      <c r="C23121" s="5" t="str">
        <f>IFERROR(__xludf.DUMMYFUNCTION("GOOGLETRANSLATE(B23121,""en"",""de"")"),"Sie treten auf, während alle klatschen.")</f>
        <v>Sie treten auf, während alle klatschen.</v>
      </c>
    </row>
    <row r="23122">
      <c r="A23122" s="4" t="s">
        <v>29094</v>
      </c>
      <c r="B23122" s="4" t="s">
        <v>29097</v>
      </c>
      <c r="C23122" s="5" t="str">
        <f>IFERROR(__xludf.DUMMYFUNCTION("GOOGLETRANSLATE(B23122,""en"",""de"")"),"Sie machen eine kurze Pause und gehen ein wenig herum, bevor sie ihre Leistung erneut beginnen.")</f>
        <v>Sie machen eine kurze Pause und gehen ein wenig herum, bevor sie ihre Leistung erneut beginnen.</v>
      </c>
    </row>
    <row r="23123">
      <c r="A23123" s="4" t="s">
        <v>29094</v>
      </c>
      <c r="B23123" s="4" t="s">
        <v>29098</v>
      </c>
      <c r="C23123" s="5" t="str">
        <f>IFERROR(__xludf.DUMMYFUNCTION("GOOGLETRANSLATE(B23123,""en"",""de"")"),"Die Leute klatschen auf einen festgelegten Rhythmus.")</f>
        <v>Die Leute klatschen auf einen festgelegten Rhythmus.</v>
      </c>
    </row>
    <row r="23124">
      <c r="A23124" s="4" t="s">
        <v>29094</v>
      </c>
      <c r="B23124" s="4" t="s">
        <v>29099</v>
      </c>
      <c r="C23124" s="5" t="str">
        <f>IFERROR(__xludf.DUMMYFUNCTION("GOOGLETRANSLATE(B23124,""en"",""de"")"),"Das dauert lange.")</f>
        <v>Das dauert lange.</v>
      </c>
    </row>
    <row r="23125">
      <c r="A23125" s="4" t="s">
        <v>29100</v>
      </c>
      <c r="B23125" s="4" t="s">
        <v>29101</v>
      </c>
      <c r="C23125" s="5" t="str">
        <f>IFERROR(__xludf.DUMMYFUNCTION("GOOGLETRANSLATE(B23125,""en"",""de"")"),"Heller Text wird auf dem Bildschirm angezeigt.")</f>
        <v>Heller Text wird auf dem Bildschirm angezeigt.</v>
      </c>
    </row>
    <row r="23126">
      <c r="A23126" s="4" t="s">
        <v>29100</v>
      </c>
      <c r="B23126" s="4" t="s">
        <v>29102</v>
      </c>
      <c r="C23126" s="5" t="str">
        <f>IFERROR(__xludf.DUMMYFUNCTION("GOOGLETRANSLATE(B23126,""en"",""de"")"),"Ein Kunststück wird an der Wand angezeigt, und wir werden mehrere Nahaufnahmen der Farbe gezeigt.")</f>
        <v>Ein Kunststück wird an der Wand angezeigt, und wir werden mehrere Nahaufnahmen der Farbe gezeigt.</v>
      </c>
    </row>
    <row r="23127">
      <c r="A23127" s="4" t="s">
        <v>29100</v>
      </c>
      <c r="B23127" s="4" t="s">
        <v>29103</v>
      </c>
      <c r="C23127" s="5" t="str">
        <f>IFERROR(__xludf.DUMMYFUNCTION("GOOGLETRANSLATE(B23127,""en"",""de"")"),"Peruser of Art gehen durch die Galerie und betrachten das Gemälde.")</f>
        <v>Peruser of Art gehen durch die Galerie und betrachten das Gemälde.</v>
      </c>
    </row>
    <row r="23128">
      <c r="A23128" s="4" t="s">
        <v>29100</v>
      </c>
      <c r="B23128" s="4" t="s">
        <v>29104</v>
      </c>
      <c r="C23128" s="5" t="str">
        <f>IFERROR(__xludf.DUMMYFUNCTION("GOOGLETRANSLATE(B23128,""en"",""de"")"),"Wir schließen dann mit jemandem, der ein Foto macht und weggeht.")</f>
        <v>Wir schließen dann mit jemandem, der ein Foto macht und weggeht.</v>
      </c>
    </row>
    <row r="23129">
      <c r="A23129" s="4" t="s">
        <v>29105</v>
      </c>
      <c r="B23129" s="4" t="s">
        <v>29106</v>
      </c>
      <c r="C23129" s="5" t="str">
        <f>IFERROR(__xludf.DUMMYFUNCTION("GOOGLETRANSLATE(B23129,""en"",""de"")"),"Ein Mann zeigt eine Armbrust und ein Messer und andere Jagdausrüstung.")</f>
        <v>Ein Mann zeigt eine Armbrust und ein Messer und andere Jagdausrüstung.</v>
      </c>
    </row>
    <row r="23130">
      <c r="A23130" s="4" t="s">
        <v>29105</v>
      </c>
      <c r="B23130" s="4" t="s">
        <v>29107</v>
      </c>
      <c r="C23130" s="5" t="str">
        <f>IFERROR(__xludf.DUMMYFUNCTION("GOOGLETRANSLATE(B23130,""en"",""de"")"),"Der Mann spricht mit der Kamera und zeigt einen Jagdbogen.")</f>
        <v>Der Mann spricht mit der Kamera und zeigt einen Jagdbogen.</v>
      </c>
    </row>
    <row r="23131">
      <c r="A23131" s="4" t="s">
        <v>29105</v>
      </c>
      <c r="B23131" s="4" t="s">
        <v>29108</v>
      </c>
      <c r="C23131" s="5" t="str">
        <f>IFERROR(__xludf.DUMMYFUNCTION("GOOGLETRANSLATE(B23131,""en"",""de"")"),"Der Bogen wird ausführlich dargestellt.")</f>
        <v>Der Bogen wird ausführlich dargestellt.</v>
      </c>
    </row>
    <row r="23132">
      <c r="A23132" s="4" t="s">
        <v>29105</v>
      </c>
      <c r="B23132" s="4" t="s">
        <v>29109</v>
      </c>
      <c r="C23132" s="5" t="str">
        <f>IFERROR(__xludf.DUMMYFUNCTION("GOOGLETRANSLATE(B23132,""en"",""de"")"),"Ein anderer Mann wird im Freien mit dem Jagdbogen gezeigt, um ein Ziel zu schießen.")</f>
        <v>Ein anderer Mann wird im Freien mit dem Jagdbogen gezeigt, um ein Ziel zu schießen.</v>
      </c>
    </row>
    <row r="23133">
      <c r="A23133" s="4" t="s">
        <v>29105</v>
      </c>
      <c r="B23133" s="4" t="s">
        <v>29110</v>
      </c>
      <c r="C23133" s="5" t="str">
        <f>IFERROR(__xludf.DUMMYFUNCTION("GOOGLETRANSLATE(B23133,""en"",""de"")"),"Der Mann spricht wieder mit der Kamera im Innenbereich und zeigt den Jagdbogen.")</f>
        <v>Der Mann spricht wieder mit der Kamera im Innenbereich und zeigt den Jagdbogen.</v>
      </c>
    </row>
    <row r="23134">
      <c r="A23134" s="4" t="s">
        <v>29111</v>
      </c>
      <c r="B23134" s="4" t="s">
        <v>29112</v>
      </c>
      <c r="C23134" s="5" t="str">
        <f>IFERROR(__xludf.DUMMYFUNCTION("GOOGLETRANSLATE(B23134,""en"",""de"")"),"Ein Mann ist auf einem Tauchbrett und beginnt einmal auf das Brett zu springen.")</f>
        <v>Ein Mann ist auf einem Tauchbrett und beginnt einmal auf das Brett zu springen.</v>
      </c>
    </row>
    <row r="23135">
      <c r="A23135" s="4" t="s">
        <v>29111</v>
      </c>
      <c r="B23135" s="4" t="s">
        <v>29113</v>
      </c>
      <c r="C23135" s="5" t="str">
        <f>IFERROR(__xludf.DUMMYFUNCTION("GOOGLETRANSLATE(B23135,""en"",""de"")"),"Der Mann geht in die Luft und macht einen Vorwärtsroll in der Luft.")</f>
        <v>Der Mann geht in die Luft und macht einen Vorwärtsroll in der Luft.</v>
      </c>
    </row>
    <row r="23136">
      <c r="A23136" s="4" t="s">
        <v>29111</v>
      </c>
      <c r="B23136" s="4" t="s">
        <v>29114</v>
      </c>
      <c r="C23136" s="5" t="str">
        <f>IFERROR(__xludf.DUMMYFUNCTION("GOOGLETRANSLATE(B23136,""en"",""de"")"),"Der Mann steigt dann von der Spitze seines Sprungs ins Wasser hin.")</f>
        <v>Der Mann steigt dann von der Spitze seines Sprungs ins Wasser hin.</v>
      </c>
    </row>
    <row r="23137">
      <c r="A23137" s="4" t="s">
        <v>29111</v>
      </c>
      <c r="B23137" s="4" t="s">
        <v>29115</v>
      </c>
      <c r="C23137" s="5" t="str">
        <f>IFERROR(__xludf.DUMMYFUNCTION("GOOGLETRANSLATE(B23137,""en"",""de"")"),"Der Mann landet ins Wasser, während es spritzt und sich an die Oberfläche zurückzieht.")</f>
        <v>Der Mann landet ins Wasser, während es spritzt und sich an die Oberfläche zurückzieht.</v>
      </c>
    </row>
    <row r="23138">
      <c r="A23138" s="4" t="s">
        <v>29116</v>
      </c>
      <c r="B23138" s="4" t="s">
        <v>29117</v>
      </c>
      <c r="C23138" s="5" t="str">
        <f>IFERROR(__xludf.DUMMYFUNCTION("GOOGLETRANSLATE(B23138,""en"",""de"")"),"Die Frau mit Sonnenbrille, blaue Jacke schob das runde Rettungsbuoy auf den Schnee und sprang darauf.")</f>
        <v>Die Frau mit Sonnenbrille, blaue Jacke schob das runde Rettungsbuoy auf den Schnee und sprang darauf.</v>
      </c>
    </row>
    <row r="23139">
      <c r="A23139" s="4" t="s">
        <v>29116</v>
      </c>
      <c r="B23139" s="4" t="s">
        <v>29118</v>
      </c>
      <c r="C23139" s="5" t="str">
        <f>IFERROR(__xludf.DUMMYFUNCTION("GOOGLETRANSLATE(B23139,""en"",""de"")"),"Das Rettungsbuoy rutscht weiter auf den Schnee, die Frau schaut in der Kamera, sie kam an den orangefarbenen Flaggen vorbei und mehrere Personen, die auf der Seite des Weges stehen.")</f>
        <v>Das Rettungsbuoy rutscht weiter auf den Schnee, die Frau schaut in der Kamera, sie kam an den orangefarbenen Flaggen vorbei und mehrere Personen, die auf der Seite des Weges stehen.</v>
      </c>
    </row>
    <row r="23140">
      <c r="A23140" s="4" t="s">
        <v>29119</v>
      </c>
      <c r="B23140" s="4" t="s">
        <v>1251</v>
      </c>
      <c r="C23140" s="5" t="str">
        <f>IFERROR(__xludf.DUMMYFUNCTION("GOOGLETRANSLATE(B23140,""en"",""de"")"),"Die Credits des Clips werden angezeigt.")</f>
        <v>Die Credits des Clips werden angezeigt.</v>
      </c>
    </row>
    <row r="23141">
      <c r="A23141" s="4" t="s">
        <v>29119</v>
      </c>
      <c r="B23141" s="4" t="s">
        <v>29120</v>
      </c>
      <c r="C23141" s="5" t="str">
        <f>IFERROR(__xludf.DUMMYFUNCTION("GOOGLETRANSLATE(B23141,""en"",""de"")"),"Ein Typ spricht beim Gegenwesen.")</f>
        <v>Ein Typ spricht beim Gegenwesen.</v>
      </c>
    </row>
    <row r="23142">
      <c r="A23142" s="4" t="s">
        <v>29119</v>
      </c>
      <c r="B23142" s="4" t="s">
        <v>29121</v>
      </c>
      <c r="C23142" s="5" t="str">
        <f>IFERROR(__xludf.DUMMYFUNCTION("GOOGLETRANSLATE(B23142,""en"",""de"")"),"Die Zutaten, um ein Gericht herzustellen, werden gezeigt.")</f>
        <v>Die Zutaten, um ein Gericht herzustellen, werden gezeigt.</v>
      </c>
    </row>
    <row r="23143">
      <c r="A23143" s="4" t="s">
        <v>29119</v>
      </c>
      <c r="B23143" s="4" t="s">
        <v>29122</v>
      </c>
      <c r="C23143" s="5" t="str">
        <f>IFERROR(__xludf.DUMMYFUNCTION("GOOGLETRANSLATE(B23143,""en"",""de"")"),"Der Typ steckt Butter, Öl und trockene Zutaten in eine Pfanne.")</f>
        <v>Der Typ steckt Butter, Öl und trockene Zutaten in eine Pfanne.</v>
      </c>
    </row>
    <row r="23144">
      <c r="A23144" s="4" t="s">
        <v>29119</v>
      </c>
      <c r="B23144" s="4" t="s">
        <v>29123</v>
      </c>
      <c r="C23144" s="5" t="str">
        <f>IFERROR(__xludf.DUMMYFUNCTION("GOOGLETRANSLATE(B23144,""en"",""de"")"),"Der Typ fügt Nudeln in die Pfanne hinzu.")</f>
        <v>Der Typ fügt Nudeln in die Pfanne hinzu.</v>
      </c>
    </row>
    <row r="23145">
      <c r="A23145" s="4" t="s">
        <v>29119</v>
      </c>
      <c r="B23145" s="4" t="s">
        <v>573</v>
      </c>
      <c r="C23145" s="5" t="str">
        <f>IFERROR(__xludf.DUMMYFUNCTION("GOOGLETRANSLATE(B23145,""en"",""de"")"),"Die Credits des Videos werden angezeigt.")</f>
        <v>Die Credits des Videos werden angezeigt.</v>
      </c>
    </row>
    <row r="23146">
      <c r="A23146" s="4" t="s">
        <v>29124</v>
      </c>
      <c r="B23146" s="4" t="s">
        <v>29125</v>
      </c>
      <c r="C23146" s="5" t="str">
        <f>IFERROR(__xludf.DUMMYFUNCTION("GOOGLETRANSLATE(B23146,""en"",""de"")"),"Eine Gruppe von Menschen steht auf einem Hof, als man einen Ball trifft und ein anderer genau zusieht.")</f>
        <v>Eine Gruppe von Menschen steht auf einem Hof, als man einen Ball trifft und ein anderer genau zusieht.</v>
      </c>
    </row>
    <row r="23147">
      <c r="A23147" s="4" t="s">
        <v>29124</v>
      </c>
      <c r="B23147" s="4" t="s">
        <v>29126</v>
      </c>
      <c r="C23147" s="5" t="str">
        <f>IFERROR(__xludf.DUMMYFUNCTION("GOOGLETRANSLATE(B23147,""en"",""de"")"),"Ein anderer Mann geht in den Rahmen und schlägt den Ball und die anderen Leute hinter ihm spielen weiter.")</f>
        <v>Ein anderer Mann geht in den Rahmen und schlägt den Ball und die anderen Leute hinter ihm spielen weiter.</v>
      </c>
    </row>
    <row r="23148">
      <c r="A23148" s="4" t="s">
        <v>29127</v>
      </c>
      <c r="B23148" s="4" t="s">
        <v>29128</v>
      </c>
      <c r="C23148" s="5" t="str">
        <f>IFERROR(__xludf.DUMMYFUNCTION("GOOGLETRANSLATE(B23148,""en"",""de"")"),"Eine Kamera schwenkt über ein Dach und zeigt mehrere Personen, die arbeiten und ein Mann interviewt wird.")</f>
        <v>Eine Kamera schwenkt über ein Dach und zeigt mehrere Personen, die arbeiten und ein Mann interviewt wird.</v>
      </c>
    </row>
    <row r="23149">
      <c r="A23149" s="4" t="s">
        <v>29127</v>
      </c>
      <c r="B23149" s="4" t="s">
        <v>29129</v>
      </c>
      <c r="C23149" s="5" t="str">
        <f>IFERROR(__xludf.DUMMYFUNCTION("GOOGLETRANSLATE(B23149,""en"",""de"")"),"Ein Mann spricht ein Dach hinunter und zeigt das mehrmals verwendete Produkt und die Oberseite des Daches.")</f>
        <v>Ein Mann spricht ein Dach hinunter und zeigt das mehrmals verwendete Produkt und die Oberseite des Daches.</v>
      </c>
    </row>
    <row r="23150">
      <c r="A23150" s="4" t="s">
        <v>29127</v>
      </c>
      <c r="B23150" s="4" t="s">
        <v>29130</v>
      </c>
      <c r="C23150" s="5" t="str">
        <f>IFERROR(__xludf.DUMMYFUNCTION("GOOGLETRANSLATE(B23150,""en"",""de"")"),"Ein anderer Mann wird interviewt und zeigt mehr Männer, die auf dem Dach arbeiten.")</f>
        <v>Ein anderer Mann wird interviewt und zeigt mehr Männer, die auf dem Dach arbeiten.</v>
      </c>
    </row>
    <row r="23151">
      <c r="A23151" s="4" t="s">
        <v>29131</v>
      </c>
      <c r="B23151" s="4" t="s">
        <v>29132</v>
      </c>
      <c r="C23151" s="5" t="str">
        <f>IFERROR(__xludf.DUMMYFUNCTION("GOOGLETRANSLATE(B23151,""en"",""de"")"),"Eine Person steckt ein Kleidungsstück in einen Eimer, dann fügt sie Waschmittel und Wasser hinzu.")</f>
        <v>Eine Person steckt ein Kleidungsstück in einen Eimer, dann fügt sie Waschmittel und Wasser hinzu.</v>
      </c>
    </row>
    <row r="23152">
      <c r="A23152" s="4" t="s">
        <v>29131</v>
      </c>
      <c r="B23152" s="4" t="s">
        <v>29133</v>
      </c>
      <c r="C23152" s="5" t="str">
        <f>IFERROR(__xludf.DUMMYFUNCTION("GOOGLETRANSLATE(B23152,""en"",""de"")"),"Dann wäscht der Mann das Tuch mit seiner Hand und gießt dann mehrmals Wasser und spüelt sich aus.")</f>
        <v>Dann wäscht der Mann das Tuch mit seiner Hand und gießt dann mehrmals Wasser und spüelt sich aus.</v>
      </c>
    </row>
    <row r="23153">
      <c r="A23153" s="4" t="s">
        <v>29131</v>
      </c>
      <c r="B23153" s="4" t="s">
        <v>29134</v>
      </c>
      <c r="C23153" s="5" t="str">
        <f>IFERROR(__xludf.DUMMYFUNCTION("GOOGLETRANSLATE(B23153,""en"",""de"")"),"Als nächstes trägt die Person das Kleidungsstück, um an einem Seil hängen und trocknen.")</f>
        <v>Als nächstes trägt die Person das Kleidungsstück, um an einem Seil hängen und trocknen.</v>
      </c>
    </row>
    <row r="23154">
      <c r="A23154" s="4" t="s">
        <v>29135</v>
      </c>
      <c r="B23154" s="4" t="s">
        <v>29136</v>
      </c>
      <c r="C23154" s="5" t="str">
        <f>IFERROR(__xludf.DUMMYFUNCTION("GOOGLETRANSLATE(B23154,""en"",""de"")"),"Ein großer Fluss ist zu sehen, gefolgt von einer Person, die in einer Röhre hinunterfährt.")</f>
        <v>Ein großer Fluss ist zu sehen, gefolgt von einer Person, die in einer Röhre hinunterfährt.</v>
      </c>
    </row>
    <row r="23155">
      <c r="A23155" s="4" t="s">
        <v>29135</v>
      </c>
      <c r="B23155" s="4" t="s">
        <v>29137</v>
      </c>
      <c r="C23155" s="5" t="str">
        <f>IFERROR(__xludf.DUMMYFUNCTION("GOOGLETRANSLATE(B23155,""en"",""de"")"),"Eine andere Person ist ebenfalls in einer Röhre zu sehen.")</f>
        <v>Eine andere Person ist ebenfalls in einer Röhre zu sehen.</v>
      </c>
    </row>
    <row r="23156">
      <c r="A23156" s="4" t="s">
        <v>29135</v>
      </c>
      <c r="B23156" s="4" t="s">
        <v>29138</v>
      </c>
      <c r="C23156" s="5" t="str">
        <f>IFERROR(__xludf.DUMMYFUNCTION("GOOGLETRANSLATE(B23156,""en"",""de"")"),"Die beiden reiten zusammen den Fluss hinunter und passieren andere Menschen, die neben dem Fluss sitzen.")</f>
        <v>Die beiden reiten zusammen den Fluss hinunter und passieren andere Menschen, die neben dem Fluss sitzen.</v>
      </c>
    </row>
    <row r="23157">
      <c r="A23157" s="4" t="s">
        <v>29139</v>
      </c>
      <c r="B23157" s="4" t="s">
        <v>29140</v>
      </c>
      <c r="C23157" s="5" t="str">
        <f>IFERROR(__xludf.DUMMYFUNCTION("GOOGLETRANSLATE(B23157,""en"",""de"")"),"Ein Mann spricht mit der Kamera, während er ein großes Akkordeon in seinen Händen hält.")</f>
        <v>Ein Mann spricht mit der Kamera, während er ein großes Akkordeon in seinen Händen hält.</v>
      </c>
    </row>
    <row r="23158">
      <c r="A23158" s="4" t="s">
        <v>29139</v>
      </c>
      <c r="B23158" s="4" t="s">
        <v>29141</v>
      </c>
      <c r="C23158" s="5" t="str">
        <f>IFERROR(__xludf.DUMMYFUNCTION("GOOGLETRANSLATE(B23158,""en"",""de"")"),"Der Mann zeigt dann, wie man das Instrument richtig spielt, während er seine Hände auf und ab bewegt.")</f>
        <v>Der Mann zeigt dann, wie man das Instrument richtig spielt, während er seine Hände auf und ab bewegt.</v>
      </c>
    </row>
    <row r="23159">
      <c r="A23159" s="4" t="s">
        <v>29142</v>
      </c>
      <c r="B23159" s="4" t="s">
        <v>29143</v>
      </c>
      <c r="C23159" s="5" t="str">
        <f>IFERROR(__xludf.DUMMYFUNCTION("GOOGLETRANSLATE(B23159,""en"",""de"")"),"Ein weißhaariger Mann sitzt an einem aufrechten Klavier und beginnt in einer Lobby zu spielen, während die Leute vorbeikommen.")</f>
        <v>Ein weißhaariger Mann sitzt an einem aufrechten Klavier und beginnt in einer Lobby zu spielen, während die Leute vorbeikommen.</v>
      </c>
    </row>
    <row r="23160">
      <c r="A23160" s="4" t="s">
        <v>29142</v>
      </c>
      <c r="B23160" s="4" t="s">
        <v>29144</v>
      </c>
      <c r="C23160" s="5" t="str">
        <f>IFERROR(__xludf.DUMMYFUNCTION("GOOGLETRANSLATE(B23160,""en"",""de"")"),"Der Kameramann zoomt in den Händen auf den Händen, während er spielt und zoomt zurück.")</f>
        <v>Der Kameramann zoomt in den Händen auf den Händen, während er spielt und zoomt zurück.</v>
      </c>
    </row>
    <row r="23161">
      <c r="A23161" s="4" t="s">
        <v>29145</v>
      </c>
      <c r="B23161" s="4" t="s">
        <v>29146</v>
      </c>
      <c r="C23161" s="5" t="str">
        <f>IFERROR(__xludf.DUMMYFUNCTION("GOOGLETRANSLATE(B23161,""en"",""de"")"),"Ein Intro führt zu einem großen Mann, der ein Santa -Kostüm trägt und eine lange Straße zwischen den Menschen hinunterschließt.")</f>
        <v>Ein Intro führt zu einem großen Mann, der ein Santa -Kostüm trägt und eine lange Straße zwischen den Menschen hinunterschließt.</v>
      </c>
    </row>
    <row r="23162">
      <c r="A23162" s="4" t="s">
        <v>29145</v>
      </c>
      <c r="B23162" s="4" t="s">
        <v>29147</v>
      </c>
      <c r="C23162" s="5" t="str">
        <f>IFERROR(__xludf.DUMMYFUNCTION("GOOGLETRANSLATE(B23162,""en"",""de"")"),"Die Kamera folgt ihm, die durch die Stadt reitet und verschiedene Tricks und Manöver mit Autos und Menschen ausführt.")</f>
        <v>Die Kamera folgt ihm, die durch die Stadt reitet und verschiedene Tricks und Manöver mit Autos und Menschen ausführt.</v>
      </c>
    </row>
    <row r="23163">
      <c r="A23163" s="4" t="s">
        <v>29148</v>
      </c>
      <c r="B23163" s="4" t="s">
        <v>29149</v>
      </c>
      <c r="C23163" s="5" t="str">
        <f>IFERROR(__xludf.DUMMYFUNCTION("GOOGLETRANSLATE(B23163,""en"",""de"")"),"Zwei Männer gingen über den Fußballtisch, ein Mann zählte den Würfel nebenbei.")</f>
        <v>Zwei Männer gingen über den Fußballtisch, ein Mann zählte den Würfel nebenbei.</v>
      </c>
    </row>
    <row r="23164">
      <c r="A23164" s="4" t="s">
        <v>29148</v>
      </c>
      <c r="B23164" s="4" t="s">
        <v>29150</v>
      </c>
      <c r="C23164" s="5" t="str">
        <f>IFERROR(__xludf.DUMMYFUNCTION("GOOGLETRANSLATE(B23164,""en"",""de"")"),"Die Spieler drehen und schieben und ziehen die Stangen, während sie auf dem Tisch spielen.")</f>
        <v>Die Spieler drehen und schieben und ziehen die Stangen, während sie auf dem Tisch spielen.</v>
      </c>
    </row>
    <row r="23165">
      <c r="A23165" s="4" t="s">
        <v>29148</v>
      </c>
      <c r="B23165" s="4" t="s">
        <v>29151</v>
      </c>
      <c r="C23165" s="5" t="str">
        <f>IFERROR(__xludf.DUMMYFUNCTION("GOOGLETRANSLATE(B23165,""en"",""de"")"),"Die Kameramänner machen Fotos dahinter.")</f>
        <v>Die Kameramänner machen Fotos dahinter.</v>
      </c>
    </row>
    <row r="23166">
      <c r="A23166" s="4" t="s">
        <v>29152</v>
      </c>
      <c r="B23166" s="4" t="s">
        <v>29153</v>
      </c>
      <c r="C23166" s="5" t="str">
        <f>IFERROR(__xludf.DUMMYFUNCTION("GOOGLETRANSLATE(B23166,""en"",""de"")"),"Mehreren Männern werden Bowling gezeigt, während ein Publikum weitergeht.")</f>
        <v>Mehreren Männern werden Bowling gezeigt, während ein Publikum weitergeht.</v>
      </c>
    </row>
    <row r="23167">
      <c r="A23167" s="4" t="s">
        <v>29152</v>
      </c>
      <c r="B23167" s="4" t="s">
        <v>29154</v>
      </c>
      <c r="C23167" s="5" t="str">
        <f>IFERROR(__xludf.DUMMYFUNCTION("GOOGLETRANSLATE(B23167,""en"",""de"")"),"Die Bowler bowlen nacheinander.")</f>
        <v>Die Bowler bowlen nacheinander.</v>
      </c>
    </row>
    <row r="23168">
      <c r="A23168" s="4" t="s">
        <v>29152</v>
      </c>
      <c r="B23168" s="4" t="s">
        <v>29155</v>
      </c>
      <c r="C23168" s="5" t="str">
        <f>IFERROR(__xludf.DUMMYFUNCTION("GOOGLETRANSLATE(B23168,""en"",""de"")"),"Die Spieler und das Publikum jubeln einen der Spieler.")</f>
        <v>Die Spieler und das Publikum jubeln einen der Spieler.</v>
      </c>
    </row>
    <row r="23169">
      <c r="A23169" s="4" t="s">
        <v>29156</v>
      </c>
      <c r="B23169" s="4" t="s">
        <v>29157</v>
      </c>
      <c r="C23169" s="5" t="str">
        <f>IFERROR(__xludf.DUMMYFUNCTION("GOOGLETRANSLATE(B23169,""en"",""de"")"),"Ein Mann verwendet ein Paar Hedge -Trimmer auf Bäumen.")</f>
        <v>Ein Mann verwendet ein Paar Hedge -Trimmer auf Bäumen.</v>
      </c>
    </row>
    <row r="23170">
      <c r="A23170" s="4" t="s">
        <v>29156</v>
      </c>
      <c r="B23170" s="4" t="s">
        <v>29158</v>
      </c>
      <c r="C23170" s="5" t="str">
        <f>IFERROR(__xludf.DUMMYFUNCTION("GOOGLETRANSLATE(B23170,""en"",""de"")"),"Er spricht mit der Kamera, während er geht.")</f>
        <v>Er spricht mit der Kamera, während er geht.</v>
      </c>
    </row>
    <row r="23171">
      <c r="A23171" s="4" t="s">
        <v>29156</v>
      </c>
      <c r="B23171" s="4" t="s">
        <v>29159</v>
      </c>
      <c r="C23171" s="5" t="str">
        <f>IFERROR(__xludf.DUMMYFUNCTION("GOOGLETRANSLATE(B23171,""en"",""de"")"),"Er schneidet die Bäume mit den Scheren ab.")</f>
        <v>Er schneidet die Bäume mit den Scheren ab.</v>
      </c>
    </row>
    <row r="23172">
      <c r="A23172" s="4" t="s">
        <v>29160</v>
      </c>
      <c r="B23172" s="4" t="s">
        <v>29161</v>
      </c>
      <c r="C23172" s="5" t="str">
        <f>IFERROR(__xludf.DUMMYFUNCTION("GOOGLETRANSLATE(B23172,""en"",""de"")"),"Eine Person sammelt Mops und Reinigungsmaterialien auf einem harten Boden.")</f>
        <v>Eine Person sammelt Mops und Reinigungsmaterialien auf einem harten Boden.</v>
      </c>
    </row>
    <row r="23173">
      <c r="A23173" s="4" t="s">
        <v>29160</v>
      </c>
      <c r="B23173" s="4" t="s">
        <v>29162</v>
      </c>
      <c r="C23173" s="5" t="str">
        <f>IFERROR(__xludf.DUMMYFUNCTION("GOOGLETRANSLATE(B23173,""en"",""de"")"),"Die Person reinigt den harten Boden mit einem Staubmop.")</f>
        <v>Die Person reinigt den harten Boden mit einem Staubmop.</v>
      </c>
    </row>
    <row r="23174">
      <c r="A23174" s="4" t="s">
        <v>29160</v>
      </c>
      <c r="B23174" s="4" t="s">
        <v>29163</v>
      </c>
      <c r="C23174" s="5" t="str">
        <f>IFERROR(__xludf.DUMMYFUNCTION("GOOGLETRANSLATE(B23174,""en"",""de"")"),"Dann steckt die Person eine Tasse Waschmittel in einen Wasserströme, feucht dann ein Tuch und befestigt sich an einem Griff, um den Boden zu wischen.")</f>
        <v>Dann steckt die Person eine Tasse Waschmittel in einen Wasserströme, feucht dann ein Tuch und befestigt sich an einem Griff, um den Boden zu wischen.</v>
      </c>
    </row>
    <row r="23175">
      <c r="A23175" s="4" t="s">
        <v>29160</v>
      </c>
      <c r="B23175" s="4" t="s">
        <v>29164</v>
      </c>
      <c r="C23175" s="5" t="str">
        <f>IFERROR(__xludf.DUMMYFUNCTION("GOOGLETRANSLATE(B23175,""en"",""de"")"),"Die Person entfernt Flecken auf dem Boden mit einem Tuch mit einer speziellen Lösung.")</f>
        <v>Die Person entfernt Flecken auf dem Boden mit einem Tuch mit einer speziellen Lösung.</v>
      </c>
    </row>
    <row r="23176">
      <c r="A23176" s="4" t="s">
        <v>29165</v>
      </c>
      <c r="B23176" s="4" t="s">
        <v>29166</v>
      </c>
      <c r="C23176" s="5" t="str">
        <f>IFERROR(__xludf.DUMMYFUNCTION("GOOGLETRANSLATE(B23176,""en"",""de"")"),"Eine Person nimmt zwei Stöcke am Schlagzeug, ein Stock hält mit einer Hand und der anderen mit seinem Fuß, dann spielt die Person mit einer Hand und das Schlagzeug fällt.")</f>
        <v>Eine Person nimmt zwei Stöcke am Schlagzeug, ein Stock hält mit einer Hand und der anderen mit seinem Fuß, dann spielt die Person mit einer Hand und das Schlagzeug fällt.</v>
      </c>
    </row>
    <row r="23177">
      <c r="A23177" s="4" t="s">
        <v>29165</v>
      </c>
      <c r="B23177" s="4" t="s">
        <v>29167</v>
      </c>
      <c r="C23177" s="5" t="str">
        <f>IFERROR(__xludf.DUMMYFUNCTION("GOOGLETRANSLATE(B23177,""en"",""de"")"),"Die Person spielt mit Hand und Füßen, und das Gesicht von einem Gorilla erscheint.")</f>
        <v>Die Person spielt mit Hand und Füßen, und das Gesicht von einem Gorilla erscheint.</v>
      </c>
    </row>
    <row r="23178">
      <c r="A23178" s="4" t="s">
        <v>29165</v>
      </c>
      <c r="B23178" s="4" t="s">
        <v>29168</v>
      </c>
      <c r="C23178" s="5" t="str">
        <f>IFERROR(__xludf.DUMMYFUNCTION("GOOGLETRANSLATE(B23178,""en"",""de"")"),"Dann legt die Person Senf in eine Trommel und ein Ei auf andere Trommel und Trommeln.")</f>
        <v>Dann legt die Person Senf in eine Trommel und ein Ei auf andere Trommel und Trommeln.</v>
      </c>
    </row>
    <row r="23179">
      <c r="A23179" s="4" t="s">
        <v>29165</v>
      </c>
      <c r="B23179" s="4" t="s">
        <v>29169</v>
      </c>
      <c r="C23179" s="5" t="str">
        <f>IFERROR(__xludf.DUMMYFUNCTION("GOOGLETRANSLATE(B23179,""en"",""de"")"),"Danach setzt die Person eine Tortilla und Trommeln, dann gebraten und Ei.")</f>
        <v>Danach setzt die Person eine Tortilla und Trommeln, dann gebraten und Ei.</v>
      </c>
    </row>
    <row r="23180">
      <c r="A23180" s="4" t="s">
        <v>29165</v>
      </c>
      <c r="B23180" s="4" t="s">
        <v>29170</v>
      </c>
      <c r="C23180" s="5" t="str">
        <f>IFERROR(__xludf.DUMMYFUNCTION("GOOGLETRANSLATE(B23180,""en"",""de"")"),"Als nächstes zerstört die Person die Trommeln.")</f>
        <v>Als nächstes zerstört die Person die Trommeln.</v>
      </c>
    </row>
    <row r="23181">
      <c r="A23181" s="4" t="s">
        <v>29171</v>
      </c>
      <c r="B23181" s="4" t="s">
        <v>29172</v>
      </c>
      <c r="C23181" s="5" t="str">
        <f>IFERROR(__xludf.DUMMYFUNCTION("GOOGLETRANSLATE(B23181,""en"",""de"")"),"Das Video beginnt mit mehreren Aufnahmen einer Person, die Tricks auf einem Skateboard macht, während viele Leute ihn an den Seiten beobachten.")</f>
        <v>Das Video beginnt mit mehreren Aufnahmen einer Person, die Tricks auf einem Skateboard macht, während viele Leute ihn an den Seiten beobachten.</v>
      </c>
    </row>
    <row r="23182">
      <c r="A23182" s="4" t="s">
        <v>29171</v>
      </c>
      <c r="B23182" s="4" t="s">
        <v>29173</v>
      </c>
      <c r="C23182" s="5" t="str">
        <f>IFERROR(__xludf.DUMMYFUNCTION("GOOGLETRANSLATE(B23182,""en"",""de"")"),"Er versucht viele weitere Tricks, die ihn nicht auf dem Brett landen lassen, und er geht jedes Mal danach um die Schüssel.")</f>
        <v>Er versucht viele weitere Tricks, die ihn nicht auf dem Brett landen lassen, und er geht jedes Mal danach um die Schüssel.</v>
      </c>
    </row>
    <row r="23183">
      <c r="A23183" s="4" t="s">
        <v>29174</v>
      </c>
      <c r="B23183" s="4" t="s">
        <v>29175</v>
      </c>
      <c r="C23183" s="5" t="str">
        <f>IFERROR(__xludf.DUMMYFUNCTION("GOOGLETRANSLATE(B23183,""en"",""de"")"),"Eine Frau steht auf einer Bühne mit einem einzigen Licht und beginnt eine Tanzroutine.")</f>
        <v>Eine Frau steht auf einer Bühne mit einem einzigen Licht und beginnt eine Tanzroutine.</v>
      </c>
    </row>
    <row r="23184">
      <c r="A23184" s="4" t="s">
        <v>29174</v>
      </c>
      <c r="B23184" s="4" t="s">
        <v>29176</v>
      </c>
      <c r="C23184" s="5" t="str">
        <f>IFERROR(__xludf.DUMMYFUNCTION("GOOGLETRANSLATE(B23184,""en"",""de"")"),"Das Licht ist auf der Frau zu sehen, die auf einer beleuchteten Bühne in sie führt und eine Bauchtanzroutine durchführt.")</f>
        <v>Das Licht ist auf der Frau zu sehen, die auf einer beleuchteten Bühne in sie führt und eine Bauchtanzroutine durchführt.</v>
      </c>
    </row>
    <row r="23185">
      <c r="A23185" s="4" t="s">
        <v>29174</v>
      </c>
      <c r="B23185" s="4" t="s">
        <v>29177</v>
      </c>
      <c r="C23185" s="5" t="str">
        <f>IFERROR(__xludf.DUMMYFUNCTION("GOOGLETRANSLATE(B23185,""en"",""de"")"),"Die Bühne wird wieder dunkel und die Frau tanzt weiter auf der Bühne und hält eine Pose.")</f>
        <v>Die Bühne wird wieder dunkel und die Frau tanzt weiter auf der Bühne und hält eine Pose.</v>
      </c>
    </row>
    <row r="23186">
      <c r="A23186" s="4" t="s">
        <v>29178</v>
      </c>
      <c r="B23186" s="4" t="s">
        <v>29179</v>
      </c>
      <c r="C23186" s="5" t="str">
        <f>IFERROR(__xludf.DUMMYFUNCTION("GOOGLETRANSLATE(B23186,""en"",""de"")"),"Ein Kind schaufelt den Schnee in einem Hof ​​und wirft ihn in die Einfahrt.")</f>
        <v>Ein Kind schaufelt den Schnee in einem Hof ​​und wirft ihn in die Einfahrt.</v>
      </c>
    </row>
    <row r="23187">
      <c r="A23187" s="4" t="s">
        <v>29178</v>
      </c>
      <c r="B23187" s="4" t="s">
        <v>29180</v>
      </c>
      <c r="C23187" s="5" t="str">
        <f>IFERROR(__xludf.DUMMYFUNCTION("GOOGLETRANSLATE(B23187,""en"",""de"")"),"Das Mädchen lässt ihre Schaufel und Schaufel in den Schnee.")</f>
        <v>Das Mädchen lässt ihre Schaufel und Schaufel in den Schnee.</v>
      </c>
    </row>
    <row r="23188">
      <c r="A23188" s="4" t="s">
        <v>29178</v>
      </c>
      <c r="B23188" s="4" t="s">
        <v>29181</v>
      </c>
      <c r="C23188" s="5" t="str">
        <f>IFERROR(__xludf.DUMMYFUNCTION("GOOGLETRANSLATE(B23188,""en"",""de"")"),"Das Kind geht zu ihrer Familie im Hof.")</f>
        <v>Das Kind geht zu ihrer Familie im Hof.</v>
      </c>
    </row>
    <row r="23189">
      <c r="A23189" s="4" t="s">
        <v>29182</v>
      </c>
      <c r="B23189" s="4" t="s">
        <v>29183</v>
      </c>
      <c r="C23189" s="5" t="str">
        <f>IFERROR(__xludf.DUMMYFUNCTION("GOOGLETRANSLATE(B23189,""en"",""de"")"),"Mehrere Menschen sind auf Pferden auf einem Rodeo.")</f>
        <v>Mehrere Menschen sind auf Pferden auf einem Rodeo.</v>
      </c>
    </row>
    <row r="23190">
      <c r="A23190" s="4" t="s">
        <v>29182</v>
      </c>
      <c r="B23190" s="4" t="s">
        <v>29184</v>
      </c>
      <c r="C23190" s="5" t="str">
        <f>IFERROR(__xludf.DUMMYFUNCTION("GOOGLETRANSLATE(B23190,""en"",""de"")"),"Ein Mann kommt aus dem Tor und seilt ein Kalb.")</f>
        <v>Ein Mann kommt aus dem Tor und seilt ein Kalb.</v>
      </c>
    </row>
    <row r="23191">
      <c r="A23191" s="4" t="s">
        <v>29182</v>
      </c>
      <c r="B23191" s="4" t="s">
        <v>29185</v>
      </c>
      <c r="C23191" s="5" t="str">
        <f>IFERROR(__xludf.DUMMYFUNCTION("GOOGLETRANSLATE(B23191,""en"",""de"")"),"Das Kalb fällt zu Boden, während er eingerichtet ist.")</f>
        <v>Das Kalb fällt zu Boden, während er eingerichtet ist.</v>
      </c>
    </row>
    <row r="23192">
      <c r="A23192" s="4" t="s">
        <v>29182</v>
      </c>
      <c r="B23192" s="4" t="s">
        <v>29186</v>
      </c>
      <c r="C23192" s="5" t="str">
        <f>IFERROR(__xludf.DUMMYFUNCTION("GOOGLETRANSLATE(B23192,""en"",""de"")"),"Er versucht zu stehen, aber ein anderer Mann packt ihn.")</f>
        <v>Er versucht zu stehen, aber ein anderer Mann packt ihn.</v>
      </c>
    </row>
    <row r="23193">
      <c r="A23193" s="4" t="s">
        <v>29187</v>
      </c>
      <c r="B23193" s="4" t="s">
        <v>29188</v>
      </c>
      <c r="C23193" s="5" t="str">
        <f>IFERROR(__xludf.DUMMYFUNCTION("GOOGLETRANSLATE(B23193,""en"",""de"")"),"Viele Menschen tragen rote Leben Jacken und sind in einem Bus und halten Flöße.")</f>
        <v>Viele Menschen tragen rote Leben Jacken und sind in einem Bus und halten Flöße.</v>
      </c>
    </row>
    <row r="23194">
      <c r="A23194" s="4" t="s">
        <v>29187</v>
      </c>
      <c r="B23194" s="4" t="s">
        <v>29189</v>
      </c>
      <c r="C23194" s="5" t="str">
        <f>IFERROR(__xludf.DUMMYFUNCTION("GOOGLETRANSLATE(B23194,""en"",""de"")"),"Menschen paddeln im Fluss.")</f>
        <v>Menschen paddeln im Fluss.</v>
      </c>
    </row>
    <row r="23195">
      <c r="A23195" s="4" t="s">
        <v>29190</v>
      </c>
      <c r="B23195" s="4" t="s">
        <v>29191</v>
      </c>
      <c r="C23195" s="5" t="str">
        <f>IFERROR(__xludf.DUMMYFUNCTION("GOOGLETRANSLATE(B23195,""en"",""de"")"),"Der männliche Athlet -Bogen hob dann die Arme und ging dann zu den Stangen.")</f>
        <v>Der männliche Athlet -Bogen hob dann die Arme und ging dann zu den Stangen.</v>
      </c>
    </row>
    <row r="23196">
      <c r="A23196" s="4" t="s">
        <v>29190</v>
      </c>
      <c r="B23196" s="4" t="s">
        <v>29192</v>
      </c>
      <c r="C23196" s="5" t="str">
        <f>IFERROR(__xludf.DUMMYFUNCTION("GOOGLETRANSLATE(B23196,""en"",""de"")"),"Der Athlet sprang auf die Stangen und balancierte auf den beiden Stangen, stand auf seinen Armen, fiel dann fallend und drehte sich.")</f>
        <v>Der Athlet sprang auf die Stangen und balancierte auf den beiden Stangen, stand auf seinen Armen, fiel dann fallend und drehte sich.</v>
      </c>
    </row>
    <row r="23197">
      <c r="A23197" s="4" t="s">
        <v>29190</v>
      </c>
      <c r="B23197" s="4" t="s">
        <v>29193</v>
      </c>
      <c r="C23197" s="5" t="str">
        <f>IFERROR(__xludf.DUMMYFUNCTION("GOOGLETRANSLATE(B23197,""en"",""de"")"),"Als der Athlet mit seiner Nummer fertig ist, sprang er von der Stange und landete auf den Füßen auf der Matte.")</f>
        <v>Als der Athlet mit seiner Nummer fertig ist, sprang er von der Stange und landete auf den Füßen auf der Matte.</v>
      </c>
    </row>
    <row r="23198">
      <c r="A23198" s="4" t="s">
        <v>29194</v>
      </c>
      <c r="B23198" s="4" t="s">
        <v>29195</v>
      </c>
      <c r="C23198" s="5" t="str">
        <f>IFERROR(__xludf.DUMMYFUNCTION("GOOGLETRANSLATE(B23198,""en"",""de"")"),"Eine Reihe von Schlagzeuger steht vor einem Orchester.")</f>
        <v>Eine Reihe von Schlagzeuger steht vor einem Orchester.</v>
      </c>
    </row>
    <row r="23199">
      <c r="A23199" s="4" t="s">
        <v>29194</v>
      </c>
      <c r="B23199" s="4" t="s">
        <v>29196</v>
      </c>
      <c r="C23199" s="5" t="str">
        <f>IFERROR(__xludf.DUMMYFUNCTION("GOOGLETRANSLATE(B23199,""en"",""de"")"),"Die Schlagzeuger halten ihre Drumsticks vor ihrem Gesicht.")</f>
        <v>Die Schlagzeuger halten ihre Drumsticks vor ihrem Gesicht.</v>
      </c>
    </row>
    <row r="23200">
      <c r="A23200" s="4" t="s">
        <v>29194</v>
      </c>
      <c r="B23200" s="4" t="s">
        <v>29197</v>
      </c>
      <c r="C23200" s="5" t="str">
        <f>IFERROR(__xludf.DUMMYFUNCTION("GOOGLETRANSLATE(B23200,""en"",""de"")"),"Sie schlugen jeweils ihre Trommeln.")</f>
        <v>Sie schlugen jeweils ihre Trommeln.</v>
      </c>
    </row>
    <row r="23201">
      <c r="A23201" s="4" t="s">
        <v>29194</v>
      </c>
      <c r="B23201" s="4" t="s">
        <v>29198</v>
      </c>
      <c r="C23201" s="5" t="str">
        <f>IFERROR(__xludf.DUMMYFUNCTION("GOOGLETRANSLATE(B23201,""en"",""de"")"),"Nach jeder Notiz erhöhen die Schlagzeuger ihre Drumsticks wieder vor ihren Gesichtern.")</f>
        <v>Nach jeder Notiz erhöhen die Schlagzeuger ihre Drumsticks wieder vor ihren Gesichtern.</v>
      </c>
    </row>
    <row r="23202">
      <c r="A23202" s="4" t="s">
        <v>29199</v>
      </c>
      <c r="B23202" s="4" t="s">
        <v>29200</v>
      </c>
      <c r="C23202" s="5" t="str">
        <f>IFERROR(__xludf.DUMMYFUNCTION("GOOGLETRANSLATE(B23202,""en"",""de"")"),"Ein Mann steht auf einer Leiter und spricht mit der Kamera.")</f>
        <v>Ein Mann steht auf einer Leiter und spricht mit der Kamera.</v>
      </c>
    </row>
    <row r="23203">
      <c r="A23203" s="4" t="s">
        <v>29199</v>
      </c>
      <c r="B23203" s="4" t="s">
        <v>29201</v>
      </c>
      <c r="C23203" s="5" t="str">
        <f>IFERROR(__xludf.DUMMYFUNCTION("GOOGLETRANSLATE(B23203,""en"",""de"")"),"Er hält verschiedene Werkzeuge und beginnt sie zusammenzusetzen.")</f>
        <v>Er hält verschiedene Werkzeuge und beginnt sie zusammenzusetzen.</v>
      </c>
    </row>
    <row r="23204">
      <c r="A23204" s="4" t="s">
        <v>29199</v>
      </c>
      <c r="B23204" s="4" t="s">
        <v>29202</v>
      </c>
      <c r="C23204" s="5" t="str">
        <f>IFERROR(__xludf.DUMMYFUNCTION("GOOGLETRANSLATE(B23204,""en"",""de"")"),"Dann reinigt er ein Fenster mit den Werkzeugen und zieht die Leiter an.")</f>
        <v>Dann reinigt er ein Fenster mit den Werkzeugen und zieht die Leiter an.</v>
      </c>
    </row>
    <row r="23205">
      <c r="A23205" s="4" t="s">
        <v>29203</v>
      </c>
      <c r="B23205" s="4" t="s">
        <v>29204</v>
      </c>
      <c r="C23205" s="5" t="str">
        <f>IFERROR(__xludf.DUMMYFUNCTION("GOOGLETRANSLATE(B23205,""en"",""de"")"),"Eine Person, die eine blaue Jacke und einen orangefarbenen Helm trägt, befindet sich auf einem umgestürzten Floß im Wasser.")</f>
        <v>Eine Person, die eine blaue Jacke und einen orangefarbenen Helm trägt, befindet sich auf einem umgestürzten Floß im Wasser.</v>
      </c>
    </row>
    <row r="23206">
      <c r="A23206" s="4" t="s">
        <v>29203</v>
      </c>
      <c r="B23206" s="4" t="s">
        <v>29205</v>
      </c>
      <c r="C23206" s="5" t="str">
        <f>IFERROR(__xludf.DUMMYFUNCTION("GOOGLETRANSLATE(B23206,""en"",""de"")"),"Das Floß kippt vollständig um, als er versucht, sich auf den Weg zu machen.")</f>
        <v>Das Floß kippt vollständig um, als er versucht, sich auf den Weg zu machen.</v>
      </c>
    </row>
    <row r="23207">
      <c r="A23207" s="4" t="s">
        <v>29203</v>
      </c>
      <c r="B23207" s="4" t="s">
        <v>29206</v>
      </c>
      <c r="C23207" s="5" t="str">
        <f>IFERROR(__xludf.DUMMYFUNCTION("GOOGLETRANSLATE(B23207,""en"",""de"")"),"Dann glättet der Mann das Floß und setzt sich direkt im Floß zusammen.")</f>
        <v>Dann glättet der Mann das Floß und setzt sich direkt im Floß zusammen.</v>
      </c>
    </row>
    <row r="23208">
      <c r="A23208" s="4" t="s">
        <v>29207</v>
      </c>
      <c r="B23208" s="4" t="s">
        <v>29208</v>
      </c>
      <c r="C23208" s="5" t="str">
        <f>IFERROR(__xludf.DUMMYFUNCTION("GOOGLETRANSLATE(B23208,""en"",""de"")"),"Ein Mann wird gesehen, wie er auf einem Pferd reitet, während er ein Seil schwingt und sich ein Kalb schnappt.")</f>
        <v>Ein Mann wird gesehen, wie er auf einem Pferd reitet, während er ein Seil schwingt und sich ein Kalb schnappt.</v>
      </c>
    </row>
    <row r="23209">
      <c r="A23209" s="4" t="s">
        <v>29207</v>
      </c>
      <c r="B23209" s="4" t="s">
        <v>29209</v>
      </c>
      <c r="C23209" s="5" t="str">
        <f>IFERROR(__xludf.DUMMYFUNCTION("GOOGLETRANSLATE(B23209,""en"",""de"")"),"Die Person verbindet das Kalb, während andere auf Pferden und die Männer das Tier entfernen.")</f>
        <v>Die Person verbindet das Kalb, während andere auf Pferden und die Männer das Tier entfernen.</v>
      </c>
    </row>
    <row r="23210">
      <c r="A23210" s="4" t="s">
        <v>29210</v>
      </c>
      <c r="B23210" s="4" t="s">
        <v>29211</v>
      </c>
      <c r="C23210" s="5" t="str">
        <f>IFERROR(__xludf.DUMMYFUNCTION("GOOGLETRANSLATE(B23210,""en"",""de"")"),"Eine Frau hält ein Baby am Strand.")</f>
        <v>Eine Frau hält ein Baby am Strand.</v>
      </c>
    </row>
    <row r="23211">
      <c r="A23211" s="4" t="s">
        <v>29210</v>
      </c>
      <c r="B23211" s="4" t="s">
        <v>29212</v>
      </c>
      <c r="C23211" s="5" t="str">
        <f>IFERROR(__xludf.DUMMYFUNCTION("GOOGLETRANSLATE(B23211,""en"",""de"")"),"Sie setzt das Baby auf ein Handtuch und fängt an, Sonnenschutzmittel auf das Baby zu reiben.")</f>
        <v>Sie setzt das Baby auf ein Handtuch und fängt an, Sonnenschutzmittel auf das Baby zu reiben.</v>
      </c>
    </row>
    <row r="23212">
      <c r="A23212" s="4" t="s">
        <v>29210</v>
      </c>
      <c r="B23212" s="4" t="s">
        <v>29213</v>
      </c>
      <c r="C23212" s="5" t="str">
        <f>IFERROR(__xludf.DUMMYFUNCTION("GOOGLETRANSLATE(B23212,""en"",""de"")"),"Sie nimmt das Baby auf und küsst es.")</f>
        <v>Sie nimmt das Baby auf und küsst es.</v>
      </c>
    </row>
    <row r="23213">
      <c r="A23213" s="4" t="s">
        <v>29214</v>
      </c>
      <c r="B23213" s="4" t="s">
        <v>29215</v>
      </c>
      <c r="C23213" s="5" t="str">
        <f>IFERROR(__xludf.DUMMYFUNCTION("GOOGLETRANSLATE(B23213,""en"",""de"")"),"Eine Werbetafel wird an einer Wand angezeigt.")</f>
        <v>Eine Werbetafel wird an einer Wand angezeigt.</v>
      </c>
    </row>
    <row r="23214">
      <c r="A23214" s="4" t="s">
        <v>29214</v>
      </c>
      <c r="B23214" s="4" t="s">
        <v>29216</v>
      </c>
      <c r="C23214" s="5" t="str">
        <f>IFERROR(__xludf.DUMMYFUNCTION("GOOGLETRANSLATE(B23214,""en"",""de"")"),"Kinder rennen auf die Bühne und bilden sich.")</f>
        <v>Kinder rennen auf die Bühne und bilden sich.</v>
      </c>
    </row>
    <row r="23215">
      <c r="A23215" s="4" t="s">
        <v>29214</v>
      </c>
      <c r="B23215" s="4" t="s">
        <v>29217</v>
      </c>
      <c r="C23215" s="5" t="str">
        <f>IFERROR(__xludf.DUMMYFUNCTION("GOOGLETRANSLATE(B23215,""en"",""de"")"),"Ein Banner befindet sich vor der Bühne.")</f>
        <v>Ein Banner befindet sich vor der Bühne.</v>
      </c>
    </row>
    <row r="23216">
      <c r="A23216" s="4" t="s">
        <v>29214</v>
      </c>
      <c r="B23216" s="4" t="s">
        <v>29218</v>
      </c>
      <c r="C23216" s="5" t="str">
        <f>IFERROR(__xludf.DUMMYFUNCTION("GOOGLETRANSLATE(B23216,""en"",""de"")"),"Die Kinder fangen auf der Bühne an.")</f>
        <v>Die Kinder fangen auf der Bühne an.</v>
      </c>
    </row>
    <row r="23217">
      <c r="A23217" s="4" t="s">
        <v>29214</v>
      </c>
      <c r="B23217" s="4" t="s">
        <v>29219</v>
      </c>
      <c r="C23217" s="5" t="str">
        <f>IFERROR(__xludf.DUMMYFUNCTION("GOOGLETRANSLATE(B23217,""en"",""de"")"),"Die Kinder vorne halten das Banner hoch.")</f>
        <v>Die Kinder vorne halten das Banner hoch.</v>
      </c>
    </row>
    <row r="23218">
      <c r="A23218" s="4" t="s">
        <v>29214</v>
      </c>
      <c r="B23218" s="4" t="s">
        <v>29220</v>
      </c>
      <c r="C23218" s="5" t="str">
        <f>IFERROR(__xludf.DUMMYFUNCTION("GOOGLETRANSLATE(B23218,""en"",""de"")"),"Sie rennen von der Bühne.")</f>
        <v>Sie rennen von der Bühne.</v>
      </c>
    </row>
    <row r="23219">
      <c r="A23219" s="4" t="s">
        <v>29221</v>
      </c>
      <c r="B23219" s="4" t="s">
        <v>29222</v>
      </c>
      <c r="C23219" s="5" t="str">
        <f>IFERROR(__xludf.DUMMYFUNCTION("GOOGLETRANSLATE(B23219,""en"",""de"")"),"Ein Baby sitzt an einem Restauranttisch.")</f>
        <v>Ein Baby sitzt an einem Restauranttisch.</v>
      </c>
    </row>
    <row r="23220">
      <c r="A23220" s="4" t="s">
        <v>29221</v>
      </c>
      <c r="B23220" s="4" t="s">
        <v>29223</v>
      </c>
      <c r="C23220" s="5" t="str">
        <f>IFERROR(__xludf.DUMMYFUNCTION("GOOGLETRANSLATE(B23220,""en"",""de"")"),"Er isst eine Vanille -Eiskegel.")</f>
        <v>Er isst eine Vanille -Eiskegel.</v>
      </c>
    </row>
    <row r="23221">
      <c r="A23221" s="4" t="s">
        <v>29221</v>
      </c>
      <c r="B23221" s="4" t="s">
        <v>29224</v>
      </c>
      <c r="C23221" s="5" t="str">
        <f>IFERROR(__xludf.DUMMYFUNCTION("GOOGLETRANSLATE(B23221,""en"",""de"")"),"Er nimmt eine Serviette und wischt sich den Mund ab, bevor er die Serviette zurückgibt und weiter isst.")</f>
        <v>Er nimmt eine Serviette und wischt sich den Mund ab, bevor er die Serviette zurückgibt und weiter isst.</v>
      </c>
    </row>
    <row r="23222">
      <c r="A23222" s="4" t="s">
        <v>29225</v>
      </c>
      <c r="B23222" s="4" t="s">
        <v>29226</v>
      </c>
      <c r="C23222" s="5" t="str">
        <f>IFERROR(__xludf.DUMMYFUNCTION("GOOGLETRANSLATE(B23222,""en"",""de"")"),"Ein kleines Mädchen wird angeleitet, als sie an einer Station ein Kamel montiert.")</f>
        <v>Ein kleines Mädchen wird angeleitet, als sie an einer Station ein Kamel montiert.</v>
      </c>
    </row>
    <row r="23223">
      <c r="A23223" s="4" t="s">
        <v>29225</v>
      </c>
      <c r="B23223" s="4" t="s">
        <v>29227</v>
      </c>
      <c r="C23223" s="5" t="str">
        <f>IFERROR(__xludf.DUMMYFUNCTION("GOOGLETRANSLATE(B23223,""en"",""de"")"),"Ein Mann hilft ihr, während er das Kamel herumführt.")</f>
        <v>Ein Mann hilft ihr, während er das Kamel herumführt.</v>
      </c>
    </row>
    <row r="23224">
      <c r="A23224" s="4" t="s">
        <v>29225</v>
      </c>
      <c r="B23224" s="4" t="s">
        <v>29228</v>
      </c>
      <c r="C23224" s="5" t="str">
        <f>IFERROR(__xludf.DUMMYFUNCTION("GOOGLETRANSLATE(B23224,""en"",""de"")"),"Das Mädchen lächelt, als sie das Kamel um den Stift reitet.")</f>
        <v>Das Mädchen lächelt, als sie das Kamel um den Stift reitet.</v>
      </c>
    </row>
    <row r="23225">
      <c r="A23225" s="4" t="s">
        <v>29229</v>
      </c>
      <c r="B23225" s="4" t="s">
        <v>29230</v>
      </c>
      <c r="C23225" s="5" t="str">
        <f>IFERROR(__xludf.DUMMYFUNCTION("GOOGLETRANSLATE(B23225,""en"",""de"")"),"Das junge Mädchen spricht mit der Kamera.")</f>
        <v>Das junge Mädchen spricht mit der Kamera.</v>
      </c>
    </row>
    <row r="23226">
      <c r="A23226" s="4" t="s">
        <v>29229</v>
      </c>
      <c r="B23226" s="4" t="s">
        <v>29231</v>
      </c>
      <c r="C23226" s="5" t="str">
        <f>IFERROR(__xludf.DUMMYFUNCTION("GOOGLETRANSLATE(B23226,""en"",""de"")"),"Das Mädchen hält einen Haarblockler.")</f>
        <v>Das Mädchen hält einen Haarblockler.</v>
      </c>
    </row>
    <row r="23227">
      <c r="A23227" s="4" t="s">
        <v>29229</v>
      </c>
      <c r="B23227" s="4" t="s">
        <v>29232</v>
      </c>
      <c r="C23227" s="5" t="str">
        <f>IFERROR(__xludf.DUMMYFUNCTION("GOOGLETRANSLATE(B23227,""en"",""de"")"),"Die junge Frau gibt anderen Mädchen Tipps, wie sie ihre Haare kräuseln können.")</f>
        <v>Die junge Frau gibt anderen Mädchen Tipps, wie sie ihre Haare kräuseln können.</v>
      </c>
    </row>
    <row r="23228">
      <c r="A23228" s="4" t="s">
        <v>29229</v>
      </c>
      <c r="B23228" s="4" t="s">
        <v>29233</v>
      </c>
      <c r="C23228" s="5" t="str">
        <f>IFERROR(__xludf.DUMMYFUNCTION("GOOGLETRANSLATE(B23228,""en"",""de"")"),"Am Ende des Videos bittet das Mädchen, das Video zu mögen.")</f>
        <v>Am Ende des Videos bittet das Mädchen, das Video zu mögen.</v>
      </c>
    </row>
    <row r="23229">
      <c r="A23229" s="4" t="s">
        <v>29234</v>
      </c>
      <c r="B23229" s="4" t="s">
        <v>29235</v>
      </c>
      <c r="C23229" s="5" t="str">
        <f>IFERROR(__xludf.DUMMYFUNCTION("GOOGLETRANSLATE(B23229,""en"",""de"")"),"Eine Kamera zeigt eine Person, die auf einem Fahrrad mit schneller Geschwindigkeit um eine Schmutzstrecke fährt.")</f>
        <v>Eine Kamera zeigt eine Person, die auf einem Fahrrad mit schneller Geschwindigkeit um eine Schmutzstrecke fährt.</v>
      </c>
    </row>
    <row r="23230">
      <c r="A23230" s="4" t="s">
        <v>29234</v>
      </c>
      <c r="B23230" s="4" t="s">
        <v>29236</v>
      </c>
      <c r="C23230" s="5" t="str">
        <f>IFERROR(__xludf.DUMMYFUNCTION("GOOGLETRANSLATE(B23230,""en"",""de"")"),"Es werden einige weitere Aufnahmen von Menschen gezeigt, die auf dem Dirt -Track auf Fahrrädern reiten, während die Kamera sie aus mehreren Blickwinkeln erfasst.")</f>
        <v>Es werden einige weitere Aufnahmen von Menschen gezeigt, die auf dem Dirt -Track auf Fahrrädern reiten, während die Kamera sie aus mehreren Blickwinkeln erfasst.</v>
      </c>
    </row>
    <row r="23231">
      <c r="A23231" s="4" t="s">
        <v>29237</v>
      </c>
      <c r="B23231" s="4" t="s">
        <v>29238</v>
      </c>
      <c r="C23231" s="5" t="str">
        <f>IFERROR(__xludf.DUMMYFUNCTION("GOOGLETRANSLATE(B23231,""en"",""de"")"),"Ein junger Mann spricht aus verschiedenen Blickwinkeln mit der Kamera und benutzt dann einen Rasierer, um seine Haare zu schneiden.")</f>
        <v>Ein junger Mann spricht aus verschiedenen Blickwinkeln mit der Kamera und benutzt dann einen Rasierer, um seine Haare zu schneiden.</v>
      </c>
    </row>
    <row r="23232">
      <c r="A23232" s="4" t="s">
        <v>29237</v>
      </c>
      <c r="B23232" s="4" t="s">
        <v>29239</v>
      </c>
      <c r="C23232" s="5" t="str">
        <f>IFERROR(__xludf.DUMMYFUNCTION("GOOGLETRANSLATE(B23232,""en"",""de"")"),"Er schneidet weiterhin die Haare, während er mit der Kamera spricht und lacht.")</f>
        <v>Er schneidet weiterhin die Haare, während er mit der Kamera spricht und lacht.</v>
      </c>
    </row>
    <row r="23233">
      <c r="A23233" s="4" t="s">
        <v>29237</v>
      </c>
      <c r="B23233" s="4" t="s">
        <v>29240</v>
      </c>
      <c r="C23233" s="5" t="str">
        <f>IFERROR(__xludf.DUMMYFUNCTION("GOOGLETRANSLATE(B23233,""en"",""de"")"),"Er beendet seine Haare, während er in die Kamera schaut, und hat sein Spiegelbild hinter einem Duschvorhang gezeigt.")</f>
        <v>Er beendet seine Haare, während er in die Kamera schaut, und hat sein Spiegelbild hinter einem Duschvorhang gezeigt.</v>
      </c>
    </row>
    <row r="23234">
      <c r="A23234" s="4" t="s">
        <v>29241</v>
      </c>
      <c r="B23234" s="4" t="s">
        <v>29242</v>
      </c>
      <c r="C23234" s="5" t="str">
        <f>IFERROR(__xludf.DUMMYFUNCTION("GOOGLETRANSLATE(B23234,""en"",""de"")"),"Zwei Personen boxen in einem Ring.")</f>
        <v>Zwei Personen boxen in einem Ring.</v>
      </c>
    </row>
    <row r="23235">
      <c r="A23235" s="4" t="s">
        <v>29241</v>
      </c>
      <c r="B23235" s="4" t="s">
        <v>29243</v>
      </c>
      <c r="C23235" s="5" t="str">
        <f>IFERROR(__xludf.DUMMYFUNCTION("GOOGLETRANSLATE(B23235,""en"",""de"")"),"Ein Mann in einem schwarzen Hemd schafft den Kampf.")</f>
        <v>Ein Mann in einem schwarzen Hemd schafft den Kampf.</v>
      </c>
    </row>
    <row r="23236">
      <c r="A23236" s="4" t="s">
        <v>29241</v>
      </c>
      <c r="B23236" s="4" t="s">
        <v>29244</v>
      </c>
      <c r="C23236" s="5" t="str">
        <f>IFERROR(__xludf.DUMMYFUNCTION("GOOGLETRANSLATE(B23236,""en"",""de"")"),"Eine Frau hält eine Kamera, die Fotos von ihnen kämpft.")</f>
        <v>Eine Frau hält eine Kamera, die Fotos von ihnen kämpft.</v>
      </c>
    </row>
    <row r="23237">
      <c r="A23237" s="4" t="s">
        <v>29245</v>
      </c>
      <c r="B23237" s="4" t="s">
        <v>29246</v>
      </c>
      <c r="C23237" s="5" t="str">
        <f>IFERROR(__xludf.DUMMYFUNCTION("GOOGLETRANSLATE(B23237,""en"",""de"")"),"Die Videos wechseln in einen Countdown verschiedener Menschen, die auf der Straße durch Bullenangriffe verletzt werden.")</f>
        <v>Die Videos wechseln in einen Countdown verschiedener Menschen, die auf der Straße durch Bullenangriffe verletzt werden.</v>
      </c>
    </row>
    <row r="23238">
      <c r="A23238" s="4" t="s">
        <v>29245</v>
      </c>
      <c r="B23238" s="4" t="s">
        <v>29247</v>
      </c>
      <c r="C23238" s="5" t="str">
        <f>IFERROR(__xludf.DUMMYFUNCTION("GOOGLETRANSLATE(B23238,""en"",""de"")"),"Viele verschiedene Menschen sind gesehen, wie ein Stier sie umdreht und sie verletzt.")</f>
        <v>Viele verschiedene Menschen sind gesehen, wie ein Stier sie umdreht und sie verletzt.</v>
      </c>
    </row>
    <row r="23239">
      <c r="A23239" s="4" t="s">
        <v>29248</v>
      </c>
      <c r="B23239" s="4" t="s">
        <v>29249</v>
      </c>
      <c r="C23239" s="5" t="str">
        <f>IFERROR(__xludf.DUMMYFUNCTION("GOOGLETRANSLATE(B23239,""en"",""de"")"),"Es gibt eine Frau, die von 1967 als erste Frau spricht, die an einem Marathon teilnimmt.")</f>
        <v>Es gibt eine Frau, die von 1967 als erste Frau spricht, die an einem Marathon teilnimmt.</v>
      </c>
    </row>
    <row r="23240">
      <c r="A23240" s="4" t="s">
        <v>29248</v>
      </c>
      <c r="B23240" s="4" t="s">
        <v>29250</v>
      </c>
      <c r="C23240" s="5" t="str">
        <f>IFERROR(__xludf.DUMMYFUNCTION("GOOGLETRANSLATE(B23240,""en"",""de"")"),"Ein Bild der Teilnehmerin, als sie jung war, wird gezeigt.")</f>
        <v>Ein Bild der Teilnehmerin, als sie jung war, wird gezeigt.</v>
      </c>
    </row>
    <row r="23241">
      <c r="A23241" s="4" t="s">
        <v>29248</v>
      </c>
      <c r="B23241" s="4" t="s">
        <v>29251</v>
      </c>
      <c r="C23241" s="5" t="str">
        <f>IFERROR(__xludf.DUMMYFUNCTION("GOOGLETRANSLATE(B23241,""en"",""de"")"),"Sie spricht darüber, wie unterschiedlich die Marathons früher waren, als sie vor mindestens 50 Jahren Clips von Teilnehmern von einem Marathon zeigt.")</f>
        <v>Sie spricht darüber, wie unterschiedlich die Marathons früher waren, als sie vor mindestens 50 Jahren Clips von Teilnehmern von einem Marathon zeigt.</v>
      </c>
    </row>
    <row r="23242">
      <c r="A23242" s="4" t="s">
        <v>29248</v>
      </c>
      <c r="B23242" s="4" t="s">
        <v>29252</v>
      </c>
      <c r="C23242" s="5" t="str">
        <f>IFERROR(__xludf.DUMMYFUNCTION("GOOGLETRANSLATE(B23242,""en"",""de"")"),"Es gibt Bilder von männlichen Teilnehmern, die die Szene dominieren, in der sie die einzige Teilnehmerin war.")</f>
        <v>Es gibt Bilder von männlichen Teilnehmern, die die Szene dominieren, in der sie die einzige Teilnehmerin war.</v>
      </c>
    </row>
    <row r="23243">
      <c r="A23243" s="4" t="s">
        <v>29248</v>
      </c>
      <c r="B23243" s="4" t="s">
        <v>29253</v>
      </c>
      <c r="C23243" s="5" t="str">
        <f>IFERROR(__xludf.DUMMYFUNCTION("GOOGLETRANSLATE(B23243,""en"",""de"")"),"Sie spricht über ihre Erfahrungen, als sie mehr Bilder ihrer Teilnahme gegen alle Gewinnchancen zeigt.")</f>
        <v>Sie spricht über ihre Erfahrungen, als sie mehr Bilder ihrer Teilnahme gegen alle Gewinnchancen zeigt.</v>
      </c>
    </row>
    <row r="23244">
      <c r="A23244" s="4" t="s">
        <v>29248</v>
      </c>
      <c r="B23244" s="4" t="s">
        <v>29254</v>
      </c>
      <c r="C23244" s="5" t="str">
        <f>IFERROR(__xludf.DUMMYFUNCTION("GOOGLETRANSLATE(B23244,""en"",""de"")"),"Sie teilt auch Informationen darüber, wie sich die Dinge später verändert haben, als sie endlich frei teilnehmen durfte.")</f>
        <v>Sie teilt auch Informationen darüber, wie sich die Dinge später verändert haben, als sie endlich frei teilnehmen durfte.</v>
      </c>
    </row>
    <row r="23245">
      <c r="A23245" s="4" t="s">
        <v>29255</v>
      </c>
      <c r="B23245" s="4" t="s">
        <v>29256</v>
      </c>
      <c r="C23245" s="5" t="str">
        <f>IFERROR(__xludf.DUMMYFUNCTION("GOOGLETRANSLATE(B23245,""en"",""de"")"),"Eine Frau steht an einem Tisch und steckt Nahrung in eine große Pita auf einem Teller.")</f>
        <v>Eine Frau steht an einem Tisch und steckt Nahrung in eine große Pita auf einem Teller.</v>
      </c>
    </row>
    <row r="23246">
      <c r="A23246" s="4" t="s">
        <v>29255</v>
      </c>
      <c r="B23246" s="4" t="s">
        <v>29257</v>
      </c>
      <c r="C23246" s="5" t="str">
        <f>IFERROR(__xludf.DUMMYFUNCTION("GOOGLETRANSLATE(B23246,""en"",""de"")"),"Eine ältere Frau zeigt, wie man Zwiebeln, Paprika, Salat, Karotten, Tomaten usw. in Stücke schneidet.")</f>
        <v>Eine ältere Frau zeigt, wie man Zwiebeln, Paprika, Salat, Karotten, Tomaten usw. in Stücke schneidet.</v>
      </c>
    </row>
    <row r="23247">
      <c r="A23247" s="4" t="s">
        <v>29255</v>
      </c>
      <c r="B23247" s="4" t="s">
        <v>29258</v>
      </c>
      <c r="C23247" s="5" t="str">
        <f>IFERROR(__xludf.DUMMYFUNCTION("GOOGLETRANSLATE(B23247,""en"",""de"")"),"Das Gemüse befindet sich in einem Prozessor und püriert in eine Schüssel.")</f>
        <v>Das Gemüse befindet sich in einem Prozessor und püriert in eine Schüssel.</v>
      </c>
    </row>
    <row r="23248">
      <c r="A23248" s="4" t="s">
        <v>29255</v>
      </c>
      <c r="B23248" s="4" t="s">
        <v>29259</v>
      </c>
      <c r="C23248" s="5" t="str">
        <f>IFERROR(__xludf.DUMMYFUNCTION("GOOGLETRANSLATE(B23248,""en"",""de"")"),"Die Mischung wird gemischt und auf den Tisch gelegt, um auf den Tortillas serviert zu werden.")</f>
        <v>Die Mischung wird gemischt und auf den Tisch gelegt, um auf den Tortillas serviert zu werden.</v>
      </c>
    </row>
    <row r="23249">
      <c r="A23249" s="4" t="s">
        <v>29255</v>
      </c>
      <c r="B23249" s="4" t="s">
        <v>29260</v>
      </c>
      <c r="C23249" s="5" t="str">
        <f>IFERROR(__xludf.DUMMYFUNCTION("GOOGLETRANSLATE(B23249,""en"",""de"")"),"Die Frauen sitzen am Tisch und reden, während sie essen.")</f>
        <v>Die Frauen sitzen am Tisch und reden, während sie essen.</v>
      </c>
    </row>
    <row r="23250">
      <c r="A23250" s="4" t="s">
        <v>29261</v>
      </c>
      <c r="B23250" s="4" t="s">
        <v>29262</v>
      </c>
      <c r="C23250" s="5" t="str">
        <f>IFERROR(__xludf.DUMMYFUNCTION("GOOGLETRANSLATE(B23250,""en"",""de"")"),"Eine Gruppe von Schülern erstreckt sich im Fitnessstudio.")</f>
        <v>Eine Gruppe von Schülern erstreckt sich im Fitnessstudio.</v>
      </c>
    </row>
    <row r="23251">
      <c r="A23251" s="4" t="s">
        <v>29261</v>
      </c>
      <c r="B23251" s="4" t="s">
        <v>29263</v>
      </c>
      <c r="C23251" s="5" t="str">
        <f>IFERROR(__xludf.DUMMYFUNCTION("GOOGLETRANSLATE(B23251,""en"",""de"")"),"Eine Gruppe von Bandstudenten übt in einem Klassenzimmer und einem Fitnessstudio.")</f>
        <v>Eine Gruppe von Bandstudenten übt in einem Klassenzimmer und einem Fitnessstudio.</v>
      </c>
    </row>
    <row r="23252">
      <c r="A23252" s="4" t="s">
        <v>29261</v>
      </c>
      <c r="B23252" s="4" t="s">
        <v>29264</v>
      </c>
      <c r="C23252" s="5" t="str">
        <f>IFERROR(__xludf.DUMMYFUNCTION("GOOGLETRANSLATE(B23252,""en"",""de"")"),"Die Schulband spielt bei Outdoor -Events und Sportspielen.")</f>
        <v>Die Schulband spielt bei Outdoor -Events und Sportspielen.</v>
      </c>
    </row>
    <row r="23253">
      <c r="A23253" s="4" t="s">
        <v>29265</v>
      </c>
      <c r="B23253" s="4" t="s">
        <v>29266</v>
      </c>
      <c r="C23253" s="5" t="str">
        <f>IFERROR(__xludf.DUMMYFUNCTION("GOOGLETRANSLATE(B23253,""en"",""de"")"),"Wir sehen einen Nachrichtensprecher in einem Studio.")</f>
        <v>Wir sehen einen Nachrichtensprecher in einem Studio.</v>
      </c>
    </row>
    <row r="23254">
      <c r="A23254" s="4" t="s">
        <v>29265</v>
      </c>
      <c r="B23254" s="4" t="s">
        <v>29267</v>
      </c>
      <c r="C23254" s="5" t="str">
        <f>IFERROR(__xludf.DUMMYFUNCTION("GOOGLETRANSLATE(B23254,""en"",""de"")"),"Wir sehen einen Mann, der 2 manuelle Staubsauger betreibt.")</f>
        <v>Wir sehen einen Mann, der 2 manuelle Staubsauger betreibt.</v>
      </c>
    </row>
    <row r="23255">
      <c r="A23255" s="4" t="s">
        <v>29265</v>
      </c>
      <c r="B23255" s="4" t="s">
        <v>29268</v>
      </c>
      <c r="C23255" s="5" t="str">
        <f>IFERROR(__xludf.DUMMYFUNCTION("GOOGLETRANSLATE(B23255,""en"",""de"")"),"Wir sehen einige Vakuum im alten Stil.")</f>
        <v>Wir sehen einige Vakuum im alten Stil.</v>
      </c>
    </row>
    <row r="23256">
      <c r="A23256" s="4" t="s">
        <v>29265</v>
      </c>
      <c r="B23256" s="4" t="s">
        <v>29269</v>
      </c>
      <c r="C23256" s="5" t="str">
        <f>IFERROR(__xludf.DUMMYFUNCTION("GOOGLETRANSLATE(B23256,""en"",""de"")"),"Wir sehen einen schwarz -weißen Fernsehclip.")</f>
        <v>Wir sehen einen schwarz -weißen Fernsehclip.</v>
      </c>
    </row>
    <row r="23257">
      <c r="A23257" s="4" t="s">
        <v>29265</v>
      </c>
      <c r="B23257" s="4" t="s">
        <v>29270</v>
      </c>
      <c r="C23257" s="5" t="str">
        <f>IFERROR(__xludf.DUMMYFUNCTION("GOOGLETRANSLATE(B23257,""en"",""de"")"),"Wir sehen den Mann vakuum und immer noch aus dem Museum.")</f>
        <v>Wir sehen den Mann vakuum und immer noch aus dem Museum.</v>
      </c>
    </row>
    <row r="23258">
      <c r="A23258" s="4" t="s">
        <v>29265</v>
      </c>
      <c r="B23258" s="4" t="s">
        <v>29271</v>
      </c>
      <c r="C23258" s="5" t="str">
        <f>IFERROR(__xludf.DUMMYFUNCTION("GOOGLETRANSLATE(B23258,""en"",""de"")"),"Wir sehen eine Dame in Schwarz und Weiß und Farbe.")</f>
        <v>Wir sehen eine Dame in Schwarz und Weiß und Farbe.</v>
      </c>
    </row>
    <row r="23259">
      <c r="A23259" s="4" t="s">
        <v>29265</v>
      </c>
      <c r="B23259" s="4" t="s">
        <v>29272</v>
      </c>
      <c r="C23259" s="5" t="str">
        <f>IFERROR(__xludf.DUMMYFUNCTION("GOOGLETRANSLATE(B23259,""en"",""de"")"),"Wir sehen dann eine Fabrik und einen Mann reden.")</f>
        <v>Wir sehen dann eine Fabrik und einen Mann reden.</v>
      </c>
    </row>
    <row r="23260">
      <c r="A23260" s="4" t="s">
        <v>29265</v>
      </c>
      <c r="B23260" s="4" t="s">
        <v>29273</v>
      </c>
      <c r="C23260" s="5" t="str">
        <f>IFERROR(__xludf.DUMMYFUNCTION("GOOGLETRANSLATE(B23260,""en"",""de"")"),"Wir sehen den Mann reden und ihn in der Nähe eines Vakuums sehen.")</f>
        <v>Wir sehen den Mann reden und ihn in der Nähe eines Vakuums sehen.</v>
      </c>
    </row>
    <row r="23261">
      <c r="A23261" s="4" t="s">
        <v>29265</v>
      </c>
      <c r="B23261" s="4" t="s">
        <v>29274</v>
      </c>
      <c r="C23261" s="5" t="str">
        <f>IFERROR(__xludf.DUMMYFUNCTION("GOOGLETRANSLATE(B23261,""en"",""de"")"),"Wir sehen eine alte Druckanzeige.")</f>
        <v>Wir sehen eine alte Druckanzeige.</v>
      </c>
    </row>
    <row r="23262">
      <c r="A23262" s="4" t="s">
        <v>29265</v>
      </c>
      <c r="B23262" s="4" t="s">
        <v>29275</v>
      </c>
      <c r="C23262" s="5" t="str">
        <f>IFERROR(__xludf.DUMMYFUNCTION("GOOGLETRANSLATE(B23262,""en"",""de"")"),"Wir kehren zum Newscaster im Studio zurück.")</f>
        <v>Wir kehren zum Newscaster im Studio zurück.</v>
      </c>
    </row>
    <row r="23263">
      <c r="A23263" s="4" t="s">
        <v>29276</v>
      </c>
      <c r="B23263" s="4" t="s">
        <v>29277</v>
      </c>
      <c r="C23263" s="5" t="str">
        <f>IFERROR(__xludf.DUMMYFUNCTION("GOOGLETRANSLATE(B23263,""en"",""de"")"),"Eine Frau spricht mit der Kamera und führt in Klammern von ihr und einem weiteren Reitpferden in einem Wald und Strand.")</f>
        <v>Eine Frau spricht mit der Kamera und führt in Klammern von ihr und einem weiteren Reitpferden in einem Wald und Strand.</v>
      </c>
    </row>
    <row r="23264">
      <c r="A23264" s="4" t="s">
        <v>29276</v>
      </c>
      <c r="B23264" s="4" t="s">
        <v>29278</v>
      </c>
      <c r="C23264" s="5" t="str">
        <f>IFERROR(__xludf.DUMMYFUNCTION("GOOGLETRANSLATE(B23264,""en"",""de"")"),"Die Frauen rennen dann die Pferde am Strand entlang, während die Kamera sie aus mehreren Winkeln erfasst.")</f>
        <v>Die Frauen rennen dann die Pferde am Strand entlang, während die Kamera sie aus mehreren Winkeln erfasst.</v>
      </c>
    </row>
    <row r="23265">
      <c r="A23265" s="4" t="s">
        <v>29279</v>
      </c>
      <c r="B23265" s="4" t="s">
        <v>29280</v>
      </c>
      <c r="C23265" s="5" t="str">
        <f>IFERROR(__xludf.DUMMYFUNCTION("GOOGLETRANSLATE(B23265,""en"",""de"")"),"Zwei Männer werden in einem großen Kreis, der von anderen umgeben ist, eine Sumo -Bewegung durchführen.")</f>
        <v>Zwei Männer werden in einem großen Kreis, der von anderen umgeben ist, eine Sumo -Bewegung durchführen.</v>
      </c>
    </row>
    <row r="23266">
      <c r="A23266" s="4" t="s">
        <v>29279</v>
      </c>
      <c r="B23266" s="4" t="s">
        <v>29281</v>
      </c>
      <c r="C23266" s="5" t="str">
        <f>IFERROR(__xludf.DUMMYFUNCTION("GOOGLETRANSLATE(B23266,""en"",""de"")"),"Ein Mann gibt vor, gegen einen Sumo -Wrestler zu kämpfen und wird sehr leicht zur Seite gedrängt.")</f>
        <v>Ein Mann gibt vor, gegen einen Sumo -Wrestler zu kämpfen und wird sehr leicht zur Seite gedrängt.</v>
      </c>
    </row>
    <row r="23267">
      <c r="A23267" s="4" t="s">
        <v>29279</v>
      </c>
      <c r="B23267" s="4" t="s">
        <v>29282</v>
      </c>
      <c r="C23267" s="5" t="str">
        <f>IFERROR(__xludf.DUMMYFUNCTION("GOOGLETRANSLATE(B23267,""en"",""de"")"),"Der andere Mann versucht mit seinem Schuss wieder in Zeitlupe und stand alle mit ihren Armen zusammen.")</f>
        <v>Der andere Mann versucht mit seinem Schuss wieder in Zeitlupe und stand alle mit ihren Armen zusammen.</v>
      </c>
    </row>
    <row r="23268">
      <c r="A23268" s="4" t="s">
        <v>29283</v>
      </c>
      <c r="B23268" s="4" t="s">
        <v>29284</v>
      </c>
      <c r="C23268" s="5" t="str">
        <f>IFERROR(__xludf.DUMMYFUNCTION("GOOGLETRANSLATE(B23268,""en"",""de"")"),"Ein Mann und eine Frau stehen auf der Theke, während der Mann in der Kamera spricht.")</f>
        <v>Ein Mann und eine Frau stehen auf der Theke, während der Mann in der Kamera spricht.</v>
      </c>
    </row>
    <row r="23269">
      <c r="A23269" s="4" t="s">
        <v>29283</v>
      </c>
      <c r="B23269" s="4" t="s">
        <v>29285</v>
      </c>
      <c r="C23269" s="5" t="str">
        <f>IFERROR(__xludf.DUMMYFUNCTION("GOOGLETRANSLATE(B23269,""en"",""de"")"),"Ein Teller mit geschnittenem Ananas befindet sich auf einem Teller auf dem Tisch, da der Mann einige Trauben bekommt und auf das Hackbrett legt und in die Hälfte schnitt, sie dann auf die Ananasschnitte legte, er wischte sich die Hände ab und zeigte die T"&amp;"eller an der Kamera.")</f>
        <v>Ein Teller mit geschnittenem Ananas befindet sich auf einem Teller auf dem Tisch, da der Mann einige Trauben bekommt und auf das Hackbrett legt und in die Hälfte schnitt, sie dann auf die Ananasschnitte legte, er wischte sich die Hände ab und zeigte die Teller an der Kamera.</v>
      </c>
    </row>
    <row r="23270">
      <c r="A23270" s="4" t="s">
        <v>29286</v>
      </c>
      <c r="B23270" s="4" t="s">
        <v>29287</v>
      </c>
      <c r="C23270" s="5" t="str">
        <f>IFERROR(__xludf.DUMMYFUNCTION("GOOGLETRANSLATE(B23270,""en"",""de"")"),"Ein Kind schaut an einem Fenster an, während ein Mann im Freien Schnee schaufelt.")</f>
        <v>Ein Kind schaut an einem Fenster an, während ein Mann im Freien Schnee schaufelt.</v>
      </c>
    </row>
    <row r="23271">
      <c r="A23271" s="4" t="s">
        <v>29286</v>
      </c>
      <c r="B23271" s="4" t="s">
        <v>29288</v>
      </c>
      <c r="C23271" s="5" t="str">
        <f>IFERROR(__xludf.DUMMYFUNCTION("GOOGLETRANSLATE(B23271,""en"",""de"")"),"Er bewegt sich hin und her, nimmt Schnee auf und bewegt ihn von der Tür weg.")</f>
        <v>Er bewegt sich hin und her, nimmt Schnee auf und bewegt ihn von der Tür weg.</v>
      </c>
    </row>
    <row r="23272">
      <c r="A23272" s="4" t="s">
        <v>29289</v>
      </c>
      <c r="B23272" s="4" t="s">
        <v>29290</v>
      </c>
      <c r="C23272" s="5" t="str">
        <f>IFERROR(__xludf.DUMMYFUNCTION("GOOGLETRANSLATE(B23272,""en"",""de"")"),"Wir sehen Jalousien auf einem Fenster.")</f>
        <v>Wir sehen Jalousien auf einem Fenster.</v>
      </c>
    </row>
    <row r="23273">
      <c r="A23273" s="4" t="s">
        <v>29289</v>
      </c>
      <c r="B23273" s="4" t="s">
        <v>29291</v>
      </c>
      <c r="C23273" s="5" t="str">
        <f>IFERROR(__xludf.DUMMYFUNCTION("GOOGLETRANSLATE(B23273,""en"",""de"")"),"Eine Person legt in einem Tattoo -Salon tätowiert.")</f>
        <v>Eine Person legt in einem Tattoo -Salon tätowiert.</v>
      </c>
    </row>
    <row r="23274">
      <c r="A23274" s="4" t="s">
        <v>29289</v>
      </c>
      <c r="B23274" s="4" t="s">
        <v>29292</v>
      </c>
      <c r="C23274" s="5" t="str">
        <f>IFERROR(__xludf.DUMMYFUNCTION("GOOGLETRANSLATE(B23274,""en"",""de"")"),"Wir sind zurück und sehen den Tätowierer.")</f>
        <v>Wir sind zurück und sehen den Tätowierer.</v>
      </c>
    </row>
    <row r="23275">
      <c r="A23275" s="4" t="s">
        <v>29289</v>
      </c>
      <c r="B23275" s="4" t="s">
        <v>29293</v>
      </c>
      <c r="C23275" s="5" t="str">
        <f>IFERROR(__xludf.DUMMYFUNCTION("GOOGLETRANSLATE(B23275,""en"",""de"")"),"Die Dame schaut in ihr Handy und lächelt in die Kamera.")</f>
        <v>Die Dame schaut in ihr Handy und lächelt in die Kamera.</v>
      </c>
    </row>
    <row r="23276">
      <c r="A23276" s="4" t="s">
        <v>29289</v>
      </c>
      <c r="B23276" s="4" t="s">
        <v>29294</v>
      </c>
      <c r="C23276" s="5" t="str">
        <f>IFERROR(__xludf.DUMMYFUNCTION("GOOGLETRANSLATE(B23276,""en"",""de"")"),"Wir schwenken und sehen die Tätowierkünstlerarbeit.")</f>
        <v>Wir schwenken und sehen die Tätowierkünstlerarbeit.</v>
      </c>
    </row>
    <row r="23277">
      <c r="A23277" s="4" t="s">
        <v>29295</v>
      </c>
      <c r="B23277" s="4" t="s">
        <v>29296</v>
      </c>
      <c r="C23277" s="5" t="str">
        <f>IFERROR(__xludf.DUMMYFUNCTION("GOOGLETRANSLATE(B23277,""en"",""de"")"),"Eine große Gruppe von Menschen reitet auf Pferden und beginnt sich zu bewegen.")</f>
        <v>Eine große Gruppe von Menschen reitet auf Pferden und beginnt sich zu bewegen.</v>
      </c>
    </row>
    <row r="23278">
      <c r="A23278" s="4" t="s">
        <v>29295</v>
      </c>
      <c r="B23278" s="4" t="s">
        <v>29297</v>
      </c>
      <c r="C23278" s="5" t="str">
        <f>IFERROR(__xludf.DUMMYFUNCTION("GOOGLETRANSLATE(B23278,""en"",""de"")"),"Die Leute spielen ein Spiel auf den Pferden, während sie einen Ball jagen.")</f>
        <v>Die Leute spielen ein Spiel auf den Pferden, während sie einen Ball jagen.</v>
      </c>
    </row>
    <row r="23279">
      <c r="A23279" s="4" t="s">
        <v>29295</v>
      </c>
      <c r="B23279" s="4" t="s">
        <v>29298</v>
      </c>
      <c r="C23279" s="5" t="str">
        <f>IFERROR(__xludf.DUMMYFUNCTION("GOOGLETRANSLATE(B23279,""en"",""de"")"),"Die Männer spielen weiter und enden um eins, der vom Pferd springt.")</f>
        <v>Die Männer spielen weiter und enden um eins, der vom Pferd springt.</v>
      </c>
    </row>
    <row r="23280">
      <c r="A23280" s="4" t="s">
        <v>29299</v>
      </c>
      <c r="B23280" s="4" t="s">
        <v>29300</v>
      </c>
      <c r="C23280" s="5" t="str">
        <f>IFERROR(__xludf.DUMMYFUNCTION("GOOGLETRANSLATE(B23280,""en"",""de"")"),"Eine Frau in einem weißen Hemd spricht mit der Kamera.")</f>
        <v>Eine Frau in einem weißen Hemd spricht mit der Kamera.</v>
      </c>
    </row>
    <row r="23281">
      <c r="A23281" s="4" t="s">
        <v>29299</v>
      </c>
      <c r="B23281" s="4" t="s">
        <v>29301</v>
      </c>
      <c r="C23281" s="5" t="str">
        <f>IFERROR(__xludf.DUMMYFUNCTION("GOOGLETRANSLATE(B23281,""en"",""de"")"),"Ein Mann und die Frau beginnen zusammen zu tanzen.")</f>
        <v>Ein Mann und die Frau beginnen zusammen zu tanzen.</v>
      </c>
    </row>
    <row r="23282">
      <c r="A23282" s="4" t="s">
        <v>29299</v>
      </c>
      <c r="B23282" s="4" t="s">
        <v>29302</v>
      </c>
      <c r="C23282" s="5" t="str">
        <f>IFERROR(__xludf.DUMMYFUNCTION("GOOGLETRANSLATE(B23282,""en"",""de"")"),"Sie hebt ihren Arm und er verdreht sie herum.")</f>
        <v>Sie hebt ihren Arm und er verdreht sie herum.</v>
      </c>
    </row>
    <row r="23283">
      <c r="A23283" s="4" t="s">
        <v>29303</v>
      </c>
      <c r="B23283" s="4" t="s">
        <v>29304</v>
      </c>
      <c r="C23283" s="5" t="str">
        <f>IFERROR(__xludf.DUMMYFUNCTION("GOOGLETRANSLATE(B23283,""en"",""de"")"),"Zwei Männer, die Blau tragen, spielen im Ping Ping.")</f>
        <v>Zwei Männer, die Blau tragen, spielen im Ping Ping.</v>
      </c>
    </row>
    <row r="23284">
      <c r="A23284" s="4" t="s">
        <v>29303</v>
      </c>
      <c r="B23284" s="4" t="s">
        <v>29305</v>
      </c>
      <c r="C23284" s="5" t="str">
        <f>IFERROR(__xludf.DUMMYFUNCTION("GOOGLETRANSLATE(B23284,""en"",""de"")"),"Sie schlagen den Ball ziemlich schnell hin und her, ohne anzuhalten.")</f>
        <v>Sie schlagen den Ball ziemlich schnell hin und her, ohne anzuhalten.</v>
      </c>
    </row>
    <row r="23285">
      <c r="A23285" s="4" t="s">
        <v>29303</v>
      </c>
      <c r="B23285" s="4" t="s">
        <v>29306</v>
      </c>
      <c r="C23285" s="5" t="str">
        <f>IFERROR(__xludf.DUMMYFUNCTION("GOOGLETRANSLATE(B23285,""en"",""de"")"),"Einer von ihnen schlägt den Ball hoch und stoppt ihren Fortschritt, sie müssen von vorne anfangen.")</f>
        <v>Einer von ihnen schlägt den Ball hoch und stoppt ihren Fortschritt, sie müssen von vorne anfangen.</v>
      </c>
    </row>
    <row r="23286">
      <c r="A23286" s="4" t="s">
        <v>29303</v>
      </c>
      <c r="B23286" s="4" t="s">
        <v>29307</v>
      </c>
      <c r="C23286" s="5" t="str">
        <f>IFERROR(__xludf.DUMMYFUNCTION("GOOGLETRANSLATE(B23286,""en"",""de"")"),"Sie kehren wieder zum Spielen und fehlen es kaum einen Schlag.")</f>
        <v>Sie kehren wieder zum Spielen und fehlen es kaum einen Schlag.</v>
      </c>
    </row>
    <row r="23287">
      <c r="A23287" s="4" t="s">
        <v>29308</v>
      </c>
      <c r="B23287" s="4" t="s">
        <v>29309</v>
      </c>
      <c r="C23287" s="5" t="str">
        <f>IFERROR(__xludf.DUMMYFUNCTION("GOOGLETRANSLATE(B23287,""en"",""de"")"),"Ein Intro wird von zwei Personen und einem Mann gezeigt, der mit der Kamera spricht.")</f>
        <v>Ein Intro wird von zwei Personen und einem Mann gezeigt, der mit der Kamera spricht.</v>
      </c>
    </row>
    <row r="23288">
      <c r="A23288" s="4" t="s">
        <v>29308</v>
      </c>
      <c r="B23288" s="4" t="s">
        <v>29310</v>
      </c>
      <c r="C23288" s="5" t="str">
        <f>IFERROR(__xludf.DUMMYFUNCTION("GOOGLETRANSLATE(B23288,""en"",""de"")"),"Die Kamera sperrt mehr Menschen und zeigt, dass sie eine Übung durchführen, die ihre Beine zurück und den vierten Platz durchdringt.")</f>
        <v>Die Kamera sperrt mehr Menschen und zeigt, dass sie eine Übung durchführen, die ihre Beine zurück und den vierten Platz durchdringt.</v>
      </c>
    </row>
    <row r="23289">
      <c r="A23289" s="4" t="s">
        <v>29308</v>
      </c>
      <c r="B23289" s="4" t="s">
        <v>29311</v>
      </c>
      <c r="C23289" s="5" t="str">
        <f>IFERROR(__xludf.DUMMYFUNCTION("GOOGLETRANSLATE(B23289,""en"",""de"")"),"Die Menschen folgen dem Ausbilder weiter durch verschiedene Bewegungen, während er sie in die Übung führt.")</f>
        <v>Die Menschen folgen dem Ausbilder weiter durch verschiedene Bewegungen, während er sie in die Übung führt.</v>
      </c>
    </row>
    <row r="23290">
      <c r="A23290" s="4" t="s">
        <v>29312</v>
      </c>
      <c r="B23290" s="4" t="s">
        <v>29313</v>
      </c>
      <c r="C23290" s="5" t="str">
        <f>IFERROR(__xludf.DUMMYFUNCTION("GOOGLETRANSLATE(B23290,""en"",""de"")"),"Ein Mann ist in einer schwarzen Uniform gekleidet und nähert sich einem kleinen Kreis, der sich in der Mitte des Feldes befindet, umgeben von grünen Netzen.")</f>
        <v>Ein Mann ist in einer schwarzen Uniform gekleidet und nähert sich einem kleinen Kreis, der sich in der Mitte des Feldes befindet, umgeben von grünen Netzen.</v>
      </c>
    </row>
    <row r="23291">
      <c r="A23291" s="4" t="s">
        <v>29312</v>
      </c>
      <c r="B23291" s="4" t="s">
        <v>29314</v>
      </c>
      <c r="C23291" s="5" t="str">
        <f>IFERROR(__xludf.DUMMYFUNCTION("GOOGLETRANSLATE(B23291,""en"",""de"")"),"Die Menge ist geplant und dann wird der Mann gezeigt, der seinen Diskus wirft, als mehrere Leute auslaufen, um seine Entfernung zu verfolgen.")</f>
        <v>Die Menge ist geplant und dann wird der Mann gezeigt, der seinen Diskus wirft, als mehrere Leute auslaufen, um seine Entfernung zu verfolgen.</v>
      </c>
    </row>
    <row r="23292">
      <c r="A23292" s="4" t="s">
        <v>29312</v>
      </c>
      <c r="B23292" s="4" t="s">
        <v>29315</v>
      </c>
      <c r="C23292" s="5" t="str">
        <f>IFERROR(__xludf.DUMMYFUNCTION("GOOGLETRANSLATE(B23292,""en"",""de"")"),"Eine sofortige Wiederholung wird gespielt und die Vorderseite des Mannes des Mannes ist sichtbar.")</f>
        <v>Eine sofortige Wiederholung wird gespielt und die Vorderseite des Mannes des Mannes ist sichtbar.</v>
      </c>
    </row>
    <row r="23293">
      <c r="A23293" s="4" t="s">
        <v>29316</v>
      </c>
      <c r="B23293" s="4" t="s">
        <v>24280</v>
      </c>
      <c r="C23293" s="5" t="str">
        <f>IFERROR(__xludf.DUMMYFUNCTION("GOOGLETRANSLATE(B23293,""en"",""de"")"),"Wir sehen eine Reihe von Titelbildschirmen.")</f>
        <v>Wir sehen eine Reihe von Titelbildschirmen.</v>
      </c>
    </row>
    <row r="23294">
      <c r="A23294" s="4" t="s">
        <v>29316</v>
      </c>
      <c r="B23294" s="4" t="s">
        <v>29317</v>
      </c>
      <c r="C23294" s="5" t="str">
        <f>IFERROR(__xludf.DUMMYFUNCTION("GOOGLETRANSLATE(B23294,""en"",""de"")"),"Wir sehen einen Lockenstein und eine Grafik.")</f>
        <v>Wir sehen einen Lockenstein und eine Grafik.</v>
      </c>
    </row>
    <row r="23295">
      <c r="A23295" s="4" t="s">
        <v>29316</v>
      </c>
      <c r="B23295" s="4" t="s">
        <v>29318</v>
      </c>
      <c r="C23295" s="5" t="str">
        <f>IFERROR(__xludf.DUMMYFUNCTION("GOOGLETRANSLATE(B23295,""en"",""de"")"),"Wir sehen eine Person, die den Stein schiebt.")</f>
        <v>Wir sehen eine Person, die den Stein schiebt.</v>
      </c>
    </row>
    <row r="23296">
      <c r="A23296" s="4" t="s">
        <v>29316</v>
      </c>
      <c r="B23296" s="4" t="s">
        <v>29319</v>
      </c>
      <c r="C23296" s="5" t="str">
        <f>IFERROR(__xludf.DUMMYFUNCTION("GOOGLETRANSLATE(B23296,""en"",""de"")"),"Wir sehen den Stein in einer anderen Grafik.")</f>
        <v>Wir sehen den Stein in einer anderen Grafik.</v>
      </c>
    </row>
    <row r="23297">
      <c r="A23297" s="4" t="s">
        <v>29316</v>
      </c>
      <c r="B23297" s="4" t="s">
        <v>29320</v>
      </c>
      <c r="C23297" s="5" t="str">
        <f>IFERROR(__xludf.DUMMYFUNCTION("GOOGLETRANSLATE(B23297,""en"",""de"")"),"Wir sehen einen Mann den Stein schieben und die Leute fegen vor ihm.")</f>
        <v>Wir sehen einen Mann den Stein schieben und die Leute fegen vor ihm.</v>
      </c>
    </row>
    <row r="23298">
      <c r="A23298" s="4" t="s">
        <v>29321</v>
      </c>
      <c r="B23298" s="4" t="s">
        <v>29322</v>
      </c>
      <c r="C23298" s="5" t="str">
        <f>IFERROR(__xludf.DUMMYFUNCTION("GOOGLETRANSLATE(B23298,""en"",""de"")"),"Eine Nahaufnahme der Füße einer Person wird gezeigt, die auf einem Stuhl sitzen.")</f>
        <v>Eine Nahaufnahme der Füße einer Person wird gezeigt, die auf einem Stuhl sitzen.</v>
      </c>
    </row>
    <row r="23299">
      <c r="A23299" s="4" t="s">
        <v>29321</v>
      </c>
      <c r="B23299" s="4" t="s">
        <v>29323</v>
      </c>
      <c r="C23299" s="5" t="str">
        <f>IFERROR(__xludf.DUMMYFUNCTION("GOOGLETRANSLATE(B23299,""en"",""de"")"),"Die Person beugt sich dann vorwärts und beginnt Schuhe anzuziehen.")</f>
        <v>Die Person beugt sich dann vorwärts und beginnt Schuhe anzuziehen.</v>
      </c>
    </row>
    <row r="23300">
      <c r="A23300" s="4" t="s">
        <v>29321</v>
      </c>
      <c r="B23300" s="4" t="s">
        <v>29324</v>
      </c>
      <c r="C23300" s="5" t="str">
        <f>IFERROR(__xludf.DUMMYFUNCTION("GOOGLETRANSLATE(B23300,""en"",""de"")"),"Er beendet Schuhe an und steht auf, um wegzugehen.")</f>
        <v>Er beendet Schuhe an und steht auf, um wegzugehen.</v>
      </c>
    </row>
    <row r="23301">
      <c r="A23301" s="4" t="s">
        <v>29325</v>
      </c>
      <c r="B23301" s="4" t="s">
        <v>29326</v>
      </c>
      <c r="C23301" s="5" t="str">
        <f>IFERROR(__xludf.DUMMYFUNCTION("GOOGLETRANSLATE(B23301,""en"",""de"")"),"Ein Mann steht auf einem Feld.")</f>
        <v>Ein Mann steht auf einem Feld.</v>
      </c>
    </row>
    <row r="23302">
      <c r="A23302" s="4" t="s">
        <v>29325</v>
      </c>
      <c r="B23302" s="4" t="s">
        <v>29327</v>
      </c>
      <c r="C23302" s="5" t="str">
        <f>IFERROR(__xludf.DUMMYFUNCTION("GOOGLETRANSLATE(B23302,""en"",""de"")"),"Er tritt einen Ball in die Luft.")</f>
        <v>Er tritt einen Ball in die Luft.</v>
      </c>
    </row>
    <row r="23303">
      <c r="A23303" s="4" t="s">
        <v>29325</v>
      </c>
      <c r="B23303" s="4" t="s">
        <v>29328</v>
      </c>
      <c r="C23303" s="5" t="str">
        <f>IFERROR(__xludf.DUMMYFUNCTION("GOOGLETRANSLATE(B23303,""en"",""de"")"),"Er rennt zur ersten Basis.")</f>
        <v>Er rennt zur ersten Basis.</v>
      </c>
    </row>
    <row r="23304">
      <c r="A23304" s="4" t="s">
        <v>29329</v>
      </c>
      <c r="B23304" s="4" t="s">
        <v>29330</v>
      </c>
      <c r="C23304" s="5" t="str">
        <f>IFERROR(__xludf.DUMMYFUNCTION("GOOGLETRANSLATE(B23304,""en"",""de"")"),"Eine Frau steht hinter einem Tisch mit mehreren Kürbisschnitzteilen.")</f>
        <v>Eine Frau steht hinter einem Tisch mit mehreren Kürbisschnitzteilen.</v>
      </c>
    </row>
    <row r="23305">
      <c r="A23305" s="4" t="s">
        <v>29329</v>
      </c>
      <c r="B23305" s="4" t="s">
        <v>29331</v>
      </c>
      <c r="C23305" s="5" t="str">
        <f>IFERROR(__xludf.DUMMYFUNCTION("GOOGLETRANSLATE(B23305,""en"",""de"")"),"Sie zeigt den Inhalt der Bücher.")</f>
        <v>Sie zeigt den Inhalt der Bücher.</v>
      </c>
    </row>
    <row r="23306">
      <c r="A23306" s="4" t="s">
        <v>29329</v>
      </c>
      <c r="B23306" s="4" t="s">
        <v>29332</v>
      </c>
      <c r="C23306" s="5" t="str">
        <f>IFERROR(__xludf.DUMMYFUNCTION("GOOGLETRANSLATE(B23306,""en"",""de"")"),"Die Frau wählt ein Design und schnitzt ihn in den Kürbis.")</f>
        <v>Die Frau wählt ein Design und schnitzt ihn in den Kürbis.</v>
      </c>
    </row>
    <row r="23307">
      <c r="A23307" s="4" t="s">
        <v>29329</v>
      </c>
      <c r="B23307" s="4" t="s">
        <v>29333</v>
      </c>
      <c r="C23307" s="5" t="str">
        <f>IFERROR(__xludf.DUMMYFUNCTION("GOOGLETRANSLATE(B23307,""en"",""de"")"),"Sie legt dann Batterien in Teelicht, um hineinzugehen, und malt den Kürbis schwarz.")</f>
        <v>Sie legt dann Batterien in Teelicht, um hineinzugehen, und malt den Kürbis schwarz.</v>
      </c>
    </row>
    <row r="23308">
      <c r="A23308" s="4" t="s">
        <v>29334</v>
      </c>
      <c r="B23308" s="4" t="s">
        <v>29335</v>
      </c>
      <c r="C23308" s="5" t="str">
        <f>IFERROR(__xludf.DUMMYFUNCTION("GOOGLETRANSLATE(B23308,""en"",""de"")"),"Wir sehen eine Person, die blaue Scheiben auf einem Holztisch rutscht.")</f>
        <v>Wir sehen eine Person, die blaue Scheiben auf einem Holztisch rutscht.</v>
      </c>
    </row>
    <row r="23309">
      <c r="A23309" s="4" t="s">
        <v>29334</v>
      </c>
      <c r="B23309" s="4" t="s">
        <v>29336</v>
      </c>
      <c r="C23309" s="5" t="str">
        <f>IFERROR(__xludf.DUMMYFUNCTION("GOOGLETRANSLATE(B23309,""en"",""de"")"),"Der Mann bewegt sich zum anderen Ende des Tisches und die Kamera bewegt sich, um sie vom Ende zu sehen.")</f>
        <v>Der Mann bewegt sich zum anderen Ende des Tisches und die Kamera bewegt sich, um sie vom Ende zu sehen.</v>
      </c>
    </row>
    <row r="23310">
      <c r="A23310" s="4" t="s">
        <v>29334</v>
      </c>
      <c r="B23310" s="4" t="s">
        <v>29337</v>
      </c>
      <c r="C23310" s="5" t="str">
        <f>IFERROR(__xludf.DUMMYFUNCTION("GOOGLETRANSLATE(B23310,""en"",""de"")"),"Wir haben die Person, die ihr ganzes Blau schiebt, dann die roten Scheiben den Tisch hinunter.")</f>
        <v>Wir haben die Person, die ihr ganzes Blau schiebt, dann die roten Scheiben den Tisch hinunter.</v>
      </c>
    </row>
    <row r="23311">
      <c r="A23311" s="4" t="s">
        <v>29334</v>
      </c>
      <c r="B23311" s="4" t="s">
        <v>29338</v>
      </c>
      <c r="C23311" s="5" t="str">
        <f>IFERROR(__xludf.DUMMYFUNCTION("GOOGLETRANSLATE(B23311,""en"",""de"")"),"Wir sehen eine Hand und zeigen.")</f>
        <v>Wir sehen eine Hand und zeigen.</v>
      </c>
    </row>
    <row r="23312">
      <c r="A23312" s="4" t="s">
        <v>29334</v>
      </c>
      <c r="B23312" s="4" t="s">
        <v>29339</v>
      </c>
      <c r="C23312" s="5" t="str">
        <f>IFERROR(__xludf.DUMMYFUNCTION("GOOGLETRANSLATE(B23312,""en"",""de"")"),"Die Person schnappt sich eine blaue Scheibe und rutscht sie zweimal.")</f>
        <v>Die Person schnappt sich eine blaue Scheibe und rutscht sie zweimal.</v>
      </c>
    </row>
    <row r="23313">
      <c r="A23313" s="4" t="s">
        <v>29340</v>
      </c>
      <c r="B23313" s="4" t="s">
        <v>29341</v>
      </c>
      <c r="C23313" s="5" t="str">
        <f>IFERROR(__xludf.DUMMYFUNCTION("GOOGLETRANSLATE(B23313,""en"",""de"")"),"Ein Mann steht auf einer Straße vor einem Wald mit dem Fuß auf einem Skateboard auf einer Straße.")</f>
        <v>Ein Mann steht auf einer Straße vor einem Wald mit dem Fuß auf einem Skateboard auf einer Straße.</v>
      </c>
    </row>
    <row r="23314">
      <c r="A23314" s="4" t="s">
        <v>29340</v>
      </c>
      <c r="B23314" s="4" t="s">
        <v>29342</v>
      </c>
      <c r="C23314" s="5" t="str">
        <f>IFERROR(__xludf.DUMMYFUNCTION("GOOGLETRANSLATE(B23314,""en"",""de"")"),"Der Mann steigt dann auf den Skateboard und fängt an, sich darauf auszubalancieren.")</f>
        <v>Der Mann steigt dann auf den Skateboard und fängt an, sich darauf auszubalancieren.</v>
      </c>
    </row>
    <row r="23315">
      <c r="A23315" s="4" t="s">
        <v>29340</v>
      </c>
      <c r="B23315" s="4" t="s">
        <v>29343</v>
      </c>
      <c r="C23315" s="5" t="str">
        <f>IFERROR(__xludf.DUMMYFUNCTION("GOOGLETRANSLATE(B23315,""en"",""de"")"),"Danach nimmt er das Skateboard auf und bewegt sich ein paar Fuß zurück und beginnt mit dem Skateboard.")</f>
        <v>Danach nimmt er das Skateboard auf und bewegt sich ein paar Fuß zurück und beginnt mit dem Skateboard.</v>
      </c>
    </row>
    <row r="23316">
      <c r="A23316" s="4" t="s">
        <v>29340</v>
      </c>
      <c r="B23316" s="4" t="s">
        <v>29344</v>
      </c>
      <c r="C23316" s="5" t="str">
        <f>IFERROR(__xludf.DUMMYFUNCTION("GOOGLETRANSLATE(B23316,""en"",""de"")"),"Sobald er fertig ist, nimmt er das Skateboard auf und hält es wieder an seine Seite.")</f>
        <v>Sobald er fertig ist, nimmt er das Skateboard auf und hält es wieder an seine Seite.</v>
      </c>
    </row>
    <row r="23317">
      <c r="A23317" s="4" t="s">
        <v>29345</v>
      </c>
      <c r="B23317" s="4" t="s">
        <v>29346</v>
      </c>
      <c r="C23317" s="5" t="str">
        <f>IFERROR(__xludf.DUMMYFUNCTION("GOOGLETRANSLATE(B23317,""en"",""de"")"),"Eine Frau geht mit ihrer Tochter hinter sich aus einer Küche und zu einem Dampfer.")</f>
        <v>Eine Frau geht mit ihrer Tochter hinter sich aus einer Küche und zu einem Dampfer.</v>
      </c>
    </row>
    <row r="23318">
      <c r="A23318" s="4" t="s">
        <v>29345</v>
      </c>
      <c r="B23318" s="4" t="s">
        <v>29347</v>
      </c>
      <c r="C23318" s="5" t="str">
        <f>IFERROR(__xludf.DUMMYFUNCTION("GOOGLETRANSLATE(B23318,""en"",""de"")"),"Sie nimmt ihr Bügeleisen auf und beginnt eine Hose zu bügeln, während das Mädchen mit einem Kleid spielt, und die Frau hat das Eisen auf der Kleidung ruhen lassen.")</f>
        <v>Sie nimmt ihr Bügeleisen auf und beginnt eine Hose zu bügeln, während das Mädchen mit einem Kleid spielt, und die Frau hat das Eisen auf der Kleidung ruhen lassen.</v>
      </c>
    </row>
    <row r="23319">
      <c r="A23319" s="4" t="s">
        <v>29345</v>
      </c>
      <c r="B23319" s="4" t="s">
        <v>29348</v>
      </c>
      <c r="C23319" s="5" t="str">
        <f>IFERROR(__xludf.DUMMYFUNCTION("GOOGLETRANSLATE(B23319,""en"",""de"")"),"Sie feiern das Kleid für das Mädchen, während sie zuschaut.")</f>
        <v>Sie feiern das Kleid für das Mädchen, während sie zuschaut.</v>
      </c>
    </row>
    <row r="23320">
      <c r="A23320" s="4" t="s">
        <v>29349</v>
      </c>
      <c r="B23320" s="4" t="s">
        <v>29350</v>
      </c>
      <c r="C23320" s="5" t="str">
        <f>IFERROR(__xludf.DUMMYFUNCTION("GOOGLETRANSLATE(B23320,""en"",""de"")"),"Drei Mädchen stehen auf einer Klippe, die einen Birdie zueinander schlägt.")</f>
        <v>Drei Mädchen stehen auf einer Klippe, die einen Birdie zueinander schlägt.</v>
      </c>
    </row>
    <row r="23321">
      <c r="A23321" s="4" t="s">
        <v>29349</v>
      </c>
      <c r="B23321" s="4" t="s">
        <v>29351</v>
      </c>
      <c r="C23321" s="5" t="str">
        <f>IFERROR(__xludf.DUMMYFUNCTION("GOOGLETRANSLATE(B23321,""en"",""de"")"),"Die Kamera schwenkt um ihre Bewegungen, als sie den Birdie herumtreffen.")</f>
        <v>Die Kamera schwenkt um ihre Bewegungen, als sie den Birdie herumtreffen.</v>
      </c>
    </row>
    <row r="23322">
      <c r="A23322" s="4" t="s">
        <v>29349</v>
      </c>
      <c r="B23322" s="4" t="s">
        <v>29352</v>
      </c>
      <c r="C23322" s="5" t="str">
        <f>IFERROR(__xludf.DUMMYFUNCTION("GOOGLETRANSLATE(B23322,""en"",""de"")"),"Die Mädchen schlagen weiterhin den Birdie herum und zeigen am Ende ihren Hintern.")</f>
        <v>Die Mädchen schlagen weiterhin den Birdie herum und zeigen am Ende ihren Hintern.</v>
      </c>
    </row>
    <row r="23323">
      <c r="A23323" s="4" t="s">
        <v>29353</v>
      </c>
      <c r="B23323" s="4" t="s">
        <v>29354</v>
      </c>
      <c r="C23323" s="5" t="str">
        <f>IFERROR(__xludf.DUMMYFUNCTION("GOOGLETRANSLATE(B23323,""en"",""de"")"),"Eine Frau strickt und zeigt ihre Arbeit.")</f>
        <v>Eine Frau strickt und zeigt ihre Arbeit.</v>
      </c>
    </row>
    <row r="23324">
      <c r="A23324" s="4" t="s">
        <v>29353</v>
      </c>
      <c r="B23324" s="4" t="s">
        <v>29355</v>
      </c>
      <c r="C23324" s="5" t="str">
        <f>IFERROR(__xludf.DUMMYFUNCTION("GOOGLETRANSLATE(B23324,""en"",""de"")"),"Frauen stricken, während sie im Kreis sitzen und sich unterhalten.")</f>
        <v>Frauen stricken, während sie im Kreis sitzen und sich unterhalten.</v>
      </c>
    </row>
    <row r="23325">
      <c r="A23325" s="4" t="s">
        <v>29353</v>
      </c>
      <c r="B23325" s="4" t="s">
        <v>29356</v>
      </c>
      <c r="C23325" s="5" t="str">
        <f>IFERROR(__xludf.DUMMYFUNCTION("GOOGLETRANSLATE(B23325,""en"",""de"")"),"Ein Reporter spricht in dem Raum, in dem die Frauen stricken.")</f>
        <v>Ein Reporter spricht in dem Raum, in dem die Frauen stricken.</v>
      </c>
    </row>
    <row r="23326">
      <c r="A23326" s="4" t="s">
        <v>29357</v>
      </c>
      <c r="B23326" s="4" t="s">
        <v>29358</v>
      </c>
      <c r="C23326" s="5" t="str">
        <f>IFERROR(__xludf.DUMMYFUNCTION("GOOGLETRANSLATE(B23326,""en"",""de"")"),"Eine Frau bügelt ein braunes Hemd auf einem Bügelbrett.")</f>
        <v>Eine Frau bügelt ein braunes Hemd auf einem Bügelbrett.</v>
      </c>
    </row>
    <row r="23327">
      <c r="A23327" s="4" t="s">
        <v>29357</v>
      </c>
      <c r="B23327" s="4" t="s">
        <v>29359</v>
      </c>
      <c r="C23327" s="5" t="str">
        <f>IFERROR(__xludf.DUMMYFUNCTION("GOOGLETRANSLATE(B23327,""en"",""de"")"),"Sie schaut auf das Tag auf dem Hemd.")</f>
        <v>Sie schaut auf das Tag auf dem Hemd.</v>
      </c>
    </row>
    <row r="23328">
      <c r="A23328" s="4" t="s">
        <v>29357</v>
      </c>
      <c r="B23328" s="4" t="s">
        <v>29360</v>
      </c>
      <c r="C23328" s="5" t="str">
        <f>IFERROR(__xludf.DUMMYFUNCTION("GOOGLETRANSLATE(B23328,""en"",""de"")"),"Sie bügelt das Hemd auf dem Bügelbrett weiter.")</f>
        <v>Sie bügelt das Hemd auf dem Bügelbrett weiter.</v>
      </c>
    </row>
    <row r="23329">
      <c r="A23329" s="4" t="s">
        <v>29357</v>
      </c>
      <c r="B23329" s="4" t="s">
        <v>29361</v>
      </c>
      <c r="C23329" s="5" t="str">
        <f>IFERROR(__xludf.DUMMYFUNCTION("GOOGLETRANSLATE(B23329,""en"",""de"")"),"Sie hebt das Hemd hoch und legt es über das Bügelbrett.")</f>
        <v>Sie hebt das Hemd hoch und legt es über das Bügelbrett.</v>
      </c>
    </row>
    <row r="23330">
      <c r="A23330" s="4" t="s">
        <v>29357</v>
      </c>
      <c r="B23330" s="4" t="s">
        <v>29362</v>
      </c>
      <c r="C23330" s="5" t="str">
        <f>IFERROR(__xludf.DUMMYFUNCTION("GOOGLETRANSLATE(B23330,""en"",""de"")"),"Sie dreht das Hemd um und hält es hoch.")</f>
        <v>Sie dreht das Hemd um und hält es hoch.</v>
      </c>
    </row>
    <row r="23331">
      <c r="A23331" s="4" t="s">
        <v>29363</v>
      </c>
      <c r="B23331" s="4" t="s">
        <v>29364</v>
      </c>
      <c r="C23331" s="5" t="str">
        <f>IFERROR(__xludf.DUMMYFUNCTION("GOOGLETRANSLATE(B23331,""en"",""de"")"),"Ein Mann spricht mit der Kamera lächelnd und wechselt zu ihm, um eine Pfanne zu halten und Butter hineinzubreiten.")</f>
        <v>Ein Mann spricht mit der Kamera lächelnd und wechselt zu ihm, um eine Pfanne zu halten und Butter hineinzubreiten.</v>
      </c>
    </row>
    <row r="23332">
      <c r="A23332" s="4" t="s">
        <v>29363</v>
      </c>
      <c r="B23332" s="4" t="s">
        <v>29365</v>
      </c>
      <c r="C23332" s="5" t="str">
        <f>IFERROR(__xludf.DUMMYFUNCTION("GOOGLETRANSLATE(B23332,""en"",""de"")"),"Er gießt Ei in die Pfanne und schiebt es mit mehreren Gemüse herum.")</f>
        <v>Er gießt Ei in die Pfanne und schiebt es mit mehreren Gemüse herum.</v>
      </c>
    </row>
    <row r="23333">
      <c r="A23333" s="4" t="s">
        <v>29363</v>
      </c>
      <c r="B23333" s="4" t="s">
        <v>29366</v>
      </c>
      <c r="C23333" s="5" t="str">
        <f>IFERROR(__xludf.DUMMYFUNCTION("GOOGLETRANSLATE(B23333,""en"",""de"")"),"Er legt das Omelett auf einen Teller und isst einen großen Bissen.")</f>
        <v>Er legt das Omelett auf einen Teller und isst einen großen Bissen.</v>
      </c>
    </row>
    <row r="23334">
      <c r="A23334" s="4" t="s">
        <v>29367</v>
      </c>
      <c r="B23334" s="4" t="s">
        <v>29368</v>
      </c>
      <c r="C23334" s="5" t="str">
        <f>IFERROR(__xludf.DUMMYFUNCTION("GOOGLETRANSLATE(B23334,""en"",""de"")"),"Ein animierter Intro -Bildschirm hat viele kleine Weihnachtsbilder, die sich darauf bewegen und weiße Worte ""Dekorieren des Weihnachtsbaums"".")</f>
        <v>Ein animierter Intro -Bildschirm hat viele kleine Weihnachtsbilder, die sich darauf bewegen und weiße Worte "Dekorieren des Weihnachtsbaums".</v>
      </c>
    </row>
    <row r="23335">
      <c r="A23335" s="4" t="s">
        <v>29367</v>
      </c>
      <c r="B23335" s="4" t="s">
        <v>29369</v>
      </c>
      <c r="C23335" s="5" t="str">
        <f>IFERROR(__xludf.DUMMYFUNCTION("GOOGLETRANSLATE(B23335,""en"",""de"")"),"Die gleiche Animation spielt weiter und die weißen Worte, die jetzt erscheinen, sind ""mit mir, meine Schwester, Mutter &amp; Chris"".")</f>
        <v>Die gleiche Animation spielt weiter und die weißen Worte, die jetzt erscheinen, sind "mit mir, meine Schwester, Mutter &amp; Chris".</v>
      </c>
    </row>
    <row r="23336">
      <c r="A23336" s="4" t="s">
        <v>29367</v>
      </c>
      <c r="B23336" s="4" t="s">
        <v>29370</v>
      </c>
      <c r="C23336" s="5" t="str">
        <f>IFERROR(__xludf.DUMMYFUNCTION("GOOGLETRANSLATE(B23336,""en"",""de"")"),"In schneller Bewegung gibt es Menschen in einem Wohnheim und sie sind kurvenreiche Fäden aus weißen Weihnachtsbaumlichtern um einen sehr voll und angebauten Baum.")</f>
        <v>In schneller Bewegung gibt es Menschen in einem Wohnheim und sie sind kurvenreiche Fäden aus weißen Weihnachtsbaumlichtern um einen sehr voll und angebauten Baum.</v>
      </c>
    </row>
    <row r="23337">
      <c r="A23337" s="4" t="s">
        <v>29367</v>
      </c>
      <c r="B23337" s="4" t="s">
        <v>29371</v>
      </c>
      <c r="C23337" s="5" t="str">
        <f>IFERROR(__xludf.DUMMYFUNCTION("GOOGLETRANSLATE(B23337,""en"",""de"")"),"Wenn sie mit den Lichtern fertig sind, dekorieren Sie den Baum mit Ornamenten, bis alles mit Ornamenten gefüllt ist.")</f>
        <v>Wenn sie mit den Lichtern fertig sind, dekorieren Sie den Baum mit Ornamenten, bis alles mit Ornamenten gefüllt ist.</v>
      </c>
    </row>
    <row r="23338">
      <c r="A23338" s="4" t="s">
        <v>29367</v>
      </c>
      <c r="B23338" s="4" t="s">
        <v>29372</v>
      </c>
      <c r="C23338" s="5" t="str">
        <f>IFERROR(__xludf.DUMMYFUNCTION("GOOGLETRANSLATE(B23338,""en"",""de"")"),"Die Kamera wird abgeholt und der Mann versucht jetzt, einen weißen Stern auf den Baum zu legen, während Kinder herumhängen und reden.")</f>
        <v>Die Kamera wird abgeholt und der Mann versucht jetzt, einen weißen Stern auf den Baum zu legen, während Kinder herumhängen und reden.</v>
      </c>
    </row>
    <row r="23339">
      <c r="A23339" s="4" t="s">
        <v>29367</v>
      </c>
      <c r="B23339" s="4" t="s">
        <v>29373</v>
      </c>
      <c r="C23339" s="5" t="str">
        <f>IFERROR(__xludf.DUMMYFUNCTION("GOOGLETRANSLATE(B23339,""en"",""de"")"),"Der Stern ist jetzt auf dem Baum, die Kamera wird wieder unten gesetzt, eines der Mädchen umarmt den Baum.")</f>
        <v>Der Stern ist jetzt auf dem Baum, die Kamera wird wieder unten gesetzt, eines der Mädchen umarmt den Baum.</v>
      </c>
    </row>
    <row r="23340">
      <c r="A23340" s="4" t="s">
        <v>29374</v>
      </c>
      <c r="B23340" s="4" t="s">
        <v>29375</v>
      </c>
      <c r="C23340" s="5" t="str">
        <f>IFERROR(__xludf.DUMMYFUNCTION("GOOGLETRANSLATE(B23340,""en"",""de"")"),"Ein Mann steht in einem Fitnessstudio, als er mit der Kamera spricht.")</f>
        <v>Ein Mann steht in einem Fitnessstudio, als er mit der Kamera spricht.</v>
      </c>
    </row>
    <row r="23341">
      <c r="A23341" s="4" t="s">
        <v>29374</v>
      </c>
      <c r="B23341" s="4" t="s">
        <v>29376</v>
      </c>
      <c r="C23341" s="5" t="str">
        <f>IFERROR(__xludf.DUMMYFUNCTION("GOOGLETRANSLATE(B23341,""en"",""de"")"),"Er zeigte einen blauen Block auf dem Boden an, bevor er darüber trat und darüber kniete.")</f>
        <v>Er zeigte einen blauen Block auf dem Boden an, bevor er darüber trat und darüber kniete.</v>
      </c>
    </row>
    <row r="23342">
      <c r="A23342" s="4" t="s">
        <v>29374</v>
      </c>
      <c r="B23342" s="4" t="s">
        <v>29377</v>
      </c>
      <c r="C23342" s="5" t="str">
        <f>IFERROR(__xludf.DUMMYFUNCTION("GOOGLETRANSLATE(B23342,""en"",""de"")"),"Er beginnt das Schnur an der Ausrüstung zu ziehen und zeigt, wie es verwendet wird.")</f>
        <v>Er beginnt das Schnur an der Ausrüstung zu ziehen und zeigt, wie es verwendet wird.</v>
      </c>
    </row>
    <row r="23343">
      <c r="A23343" s="4" t="s">
        <v>29378</v>
      </c>
      <c r="B23343" s="4" t="s">
        <v>29379</v>
      </c>
      <c r="C23343" s="5" t="str">
        <f>IFERROR(__xludf.DUMMYFUNCTION("GOOGLETRANSLATE(B23343,""en"",""de"")"),"Ein Mann spricht hinter einer Bar und steht vor zahlreichen Alkoholflaschen.")</f>
        <v>Ein Mann spricht hinter einer Bar und steht vor zahlreichen Alkoholflaschen.</v>
      </c>
    </row>
    <row r="23344">
      <c r="A23344" s="4" t="s">
        <v>29378</v>
      </c>
      <c r="B23344" s="4" t="s">
        <v>29380</v>
      </c>
      <c r="C23344" s="5" t="str">
        <f>IFERROR(__xludf.DUMMYFUNCTION("GOOGLETRANSLATE(B23344,""en"",""de"")"),"Er gießt Flüssigkeiten über ein mit Eis gefülltes Glas.")</f>
        <v>Er gießt Flüssigkeiten über ein mit Eis gefülltes Glas.</v>
      </c>
    </row>
    <row r="23345">
      <c r="A23345" s="4" t="s">
        <v>29378</v>
      </c>
      <c r="B23345" s="4" t="s">
        <v>29381</v>
      </c>
      <c r="C23345" s="5" t="str">
        <f>IFERROR(__xludf.DUMMYFUNCTION("GOOGLETRANSLATE(B23345,""en"",""de"")"),"Dann garniert er das Endprodukt zum Servieren.")</f>
        <v>Dann garniert er das Endprodukt zum Servieren.</v>
      </c>
    </row>
    <row r="23346">
      <c r="A23346" s="4" t="s">
        <v>29382</v>
      </c>
      <c r="B23346" s="4" t="s">
        <v>29383</v>
      </c>
      <c r="C23346" s="5" t="str">
        <f>IFERROR(__xludf.DUMMYFUNCTION("GOOGLETRANSLATE(B23346,""en"",""de"")"),"Karate -Studenten spielen in einem Studio stehend und handgehaltene Trommeln.")</f>
        <v>Karate -Studenten spielen in einem Studio stehend und handgehaltene Trommeln.</v>
      </c>
    </row>
    <row r="23347">
      <c r="A23347" s="4" t="s">
        <v>29382</v>
      </c>
      <c r="B23347" s="4" t="s">
        <v>29384</v>
      </c>
      <c r="C23347" s="5" t="str">
        <f>IFERROR(__xludf.DUMMYFUNCTION("GOOGLETRANSLATE(B23347,""en"",""de"")"),"Karate -Studenten springen über ein Seil, das von anderen Studenten auf einer Matte gehalten wird.")</f>
        <v>Karate -Studenten springen über ein Seil, das von anderen Studenten auf einer Matte gehalten wird.</v>
      </c>
    </row>
    <row r="23348">
      <c r="A23348" s="4" t="s">
        <v>29382</v>
      </c>
      <c r="B23348" s="4" t="s">
        <v>29385</v>
      </c>
      <c r="C23348" s="5" t="str">
        <f>IFERROR(__xludf.DUMMYFUNCTION("GOOGLETRANSLATE(B23348,""en"",""de"")"),"Die Gruppe der Karate -Studenten übt Schläge, die in einer Linie stehen.")</f>
        <v>Die Gruppe der Karate -Studenten übt Schläge, die in einer Linie stehen.</v>
      </c>
    </row>
    <row r="23349">
      <c r="A23349" s="4" t="s">
        <v>29382</v>
      </c>
      <c r="B23349" s="4" t="s">
        <v>29386</v>
      </c>
      <c r="C23349" s="5" t="str">
        <f>IFERROR(__xludf.DUMMYFUNCTION("GOOGLETRANSLATE(B23349,""en"",""de"")"),"Eine Gruppe jüngerer Studentenpraxis gegen Gegner.")</f>
        <v>Eine Gruppe jüngerer Studentenpraxis gegen Gegner.</v>
      </c>
    </row>
    <row r="23350">
      <c r="A23350" s="4" t="s">
        <v>29382</v>
      </c>
      <c r="B23350" s="4" t="s">
        <v>29387</v>
      </c>
      <c r="C23350" s="5" t="str">
        <f>IFERROR(__xludf.DUMMYFUNCTION("GOOGLETRANSLATE(B23350,""en"",""de"")"),"Die Gruppen drehen sich in Kreisen, die sich gegenseitig die Hände halten.")</f>
        <v>Die Gruppen drehen sich in Kreisen, die sich gegenseitig die Hände halten.</v>
      </c>
    </row>
    <row r="23351">
      <c r="A23351" s="4" t="s">
        <v>29382</v>
      </c>
      <c r="B23351" s="4" t="s">
        <v>29388</v>
      </c>
      <c r="C23351" s="5" t="str">
        <f>IFERROR(__xludf.DUMMYFUNCTION("GOOGLETRANSLATE(B23351,""en"",""de"")"),"Die Gruppe steht im Kreis und springt zusammen auf und ab, während der Ausbilder beobachtet.")</f>
        <v>Die Gruppe steht im Kreis und springt zusammen auf und ab, während der Ausbilder beobachtet.</v>
      </c>
    </row>
    <row r="23352">
      <c r="A23352" s="4" t="s">
        <v>29389</v>
      </c>
      <c r="B23352" s="4" t="s">
        <v>29390</v>
      </c>
      <c r="C23352" s="5" t="str">
        <f>IFERROR(__xludf.DUMMYFUNCTION("GOOGLETRANSLATE(B23352,""en"",""de"")"),"Eine Frau spricht, als sie außerhalb von Pferdeställen steht.")</f>
        <v>Eine Frau spricht, als sie außerhalb von Pferdeställen steht.</v>
      </c>
    </row>
    <row r="23353">
      <c r="A23353" s="4" t="s">
        <v>29389</v>
      </c>
      <c r="B23353" s="4" t="s">
        <v>29391</v>
      </c>
      <c r="C23353" s="5" t="str">
        <f>IFERROR(__xludf.DUMMYFUNCTION("GOOGLETRANSLATE(B23353,""en"",""de"")"),"Sie spricht als Kunde, die eines ihrer Pferde in einem Schmutzfeld reitet.")</f>
        <v>Sie spricht als Kunde, die eines ihrer Pferde in einem Schmutzfeld reitet.</v>
      </c>
    </row>
    <row r="23354">
      <c r="A23354" s="4" t="s">
        <v>29389</v>
      </c>
      <c r="B23354" s="4" t="s">
        <v>29392</v>
      </c>
      <c r="C23354" s="5" t="str">
        <f>IFERROR(__xludf.DUMMYFUNCTION("GOOGLETRANSLATE(B23354,""en"",""de"")"),"Sie diskutiert die Form und Positionierung des Fahrers.")</f>
        <v>Sie diskutiert die Form und Positionierung des Fahrers.</v>
      </c>
    </row>
    <row r="23355">
      <c r="A23355" s="4" t="s">
        <v>29389</v>
      </c>
      <c r="B23355" s="4" t="s">
        <v>29393</v>
      </c>
      <c r="C23355" s="5" t="str">
        <f>IFERROR(__xludf.DUMMYFUNCTION("GOOGLETRANSLATE(B23355,""en"",""de"")"),"Der Fahrer nimmt das Pferd für einen Trab herum, während die Frau zuschaut.")</f>
        <v>Der Fahrer nimmt das Pferd für einen Trab herum, während die Frau zuschaut.</v>
      </c>
    </row>
    <row r="23356">
      <c r="A23356" s="4" t="s">
        <v>29394</v>
      </c>
      <c r="B23356" s="4" t="s">
        <v>29395</v>
      </c>
      <c r="C23356" s="5" t="str">
        <f>IFERROR(__xludf.DUMMYFUNCTION("GOOGLETRANSLATE(B23356,""en"",""de"")"),"Eine blonde Frau spricht in einem Nachrichtenraum vor einem großen Bildschirm.")</f>
        <v>Eine blonde Frau spricht in einem Nachrichtenraum vor einem großen Bildschirm.</v>
      </c>
    </row>
    <row r="23357">
      <c r="A23357" s="4" t="s">
        <v>29394</v>
      </c>
      <c r="B23357" s="4" t="s">
        <v>29396</v>
      </c>
      <c r="C23357" s="5" t="str">
        <f>IFERROR(__xludf.DUMMYFUNCTION("GOOGLETRANSLATE(B23357,""en"",""de"")"),"Boote zogen Menschen auf Wasserskiern.")</f>
        <v>Boote zogen Menschen auf Wasserskiern.</v>
      </c>
    </row>
    <row r="23358">
      <c r="A23358" s="4" t="s">
        <v>29394</v>
      </c>
      <c r="B23358" s="4" t="s">
        <v>29397</v>
      </c>
      <c r="C23358" s="5" t="str">
        <f>IFERROR(__xludf.DUMMYFUNCTION("GOOGLETRANSLATE(B23358,""en"",""de"")"),"Ein Mann wird gezeigt, der sich vorbereitet und dann durch das Wasser fährt.")</f>
        <v>Ein Mann wird gezeigt, der sich vorbereitet und dann durch das Wasser fährt.</v>
      </c>
    </row>
    <row r="23359">
      <c r="A23359" s="4" t="s">
        <v>29398</v>
      </c>
      <c r="B23359" s="4" t="s">
        <v>29399</v>
      </c>
      <c r="C23359" s="5" t="str">
        <f>IFERROR(__xludf.DUMMYFUNCTION("GOOGLETRANSLATE(B23359,""en"",""de"")"),"Mehrere Menschen wandern sich um ein Innenfeld mit einem Stangen, der über eine Bar gesperrt ist.")</f>
        <v>Mehrere Menschen wandern sich um ein Innenfeld mit einem Stangen, der über eine Bar gesperrt ist.</v>
      </c>
    </row>
    <row r="23360">
      <c r="A23360" s="4" t="s">
        <v>29398</v>
      </c>
      <c r="B23360" s="4" t="s">
        <v>29400</v>
      </c>
      <c r="C23360" s="5" t="str">
        <f>IFERROR(__xludf.DUMMYFUNCTION("GOOGLETRANSLATE(B23360,""en"",""de"")"),"Die gleiche Aufnahme wird wieder in Zeitlupe sowie mehrere andere Versuche des Jungen angezeigt.")</f>
        <v>Die gleiche Aufnahme wird wieder in Zeitlupe sowie mehrere andere Versuche des Jungen angezeigt.</v>
      </c>
    </row>
    <row r="23361">
      <c r="A23361" s="4" t="s">
        <v>29398</v>
      </c>
      <c r="B23361" s="4" t="s">
        <v>29401</v>
      </c>
      <c r="C23361" s="5" t="str">
        <f>IFERROR(__xludf.DUMMYFUNCTION("GOOGLETRANSLATE(B23361,""en"",""de"")"),"Er versucht den Sprung noch einmal, während die Leute ihn an den Seiten beobachten.")</f>
        <v>Er versucht den Sprung noch einmal, während die Leute ihn an den Seiten beobachten.</v>
      </c>
    </row>
    <row r="23362">
      <c r="A23362" s="4" t="s">
        <v>29402</v>
      </c>
      <c r="B23362" s="4" t="s">
        <v>29403</v>
      </c>
      <c r="C23362" s="5" t="str">
        <f>IFERROR(__xludf.DUMMYFUNCTION("GOOGLETRANSLATE(B23362,""en"",""de"")"),"Ein Mann steht neben einem Teich.")</f>
        <v>Ein Mann steht neben einem Teich.</v>
      </c>
    </row>
    <row r="23363">
      <c r="A23363" s="4" t="s">
        <v>29402</v>
      </c>
      <c r="B23363" s="4" t="s">
        <v>29404</v>
      </c>
      <c r="C23363" s="5" t="str">
        <f>IFERROR(__xludf.DUMMYFUNCTION("GOOGLETRANSLATE(B23363,""en"",""de"")"),"Er lädt einen Pfeil in den Bug.")</f>
        <v>Er lädt einen Pfeil in den Bug.</v>
      </c>
    </row>
    <row r="23364">
      <c r="A23364" s="4" t="s">
        <v>29402</v>
      </c>
      <c r="B23364" s="4" t="s">
        <v>29405</v>
      </c>
      <c r="C23364" s="5" t="str">
        <f>IFERROR(__xludf.DUMMYFUNCTION("GOOGLETRANSLATE(B23364,""en"",""de"")"),"Er schießt den Pfeil auf eine Keramikkatze und schlägt ihn ins Wasser, bevor er zu anderen Zielen übergeht.")</f>
        <v>Er schießt den Pfeil auf eine Keramikkatze und schlägt ihn ins Wasser, bevor er zu anderen Zielen übergeht.</v>
      </c>
    </row>
    <row r="23365">
      <c r="A23365" s="4" t="s">
        <v>29406</v>
      </c>
      <c r="B23365" s="4" t="s">
        <v>29407</v>
      </c>
      <c r="C23365" s="5" t="str">
        <f>IFERROR(__xludf.DUMMYFUNCTION("GOOGLETRANSLATE(B23365,""en"",""de"")"),"Eine Frau geht in den Rahmen und spricht mit der Kamera.")</f>
        <v>Eine Frau geht in den Rahmen und spricht mit der Kamera.</v>
      </c>
    </row>
    <row r="23366">
      <c r="A23366" s="4" t="s">
        <v>29406</v>
      </c>
      <c r="B23366" s="4" t="s">
        <v>29408</v>
      </c>
      <c r="C23366" s="5" t="str">
        <f>IFERROR(__xludf.DUMMYFUNCTION("GOOGLETRANSLATE(B23366,""en"",""de"")"),"Sie setzt sich auf Kisten, während sie andere hochhält und beginnt Fliesen auf den Boden.")</f>
        <v>Sie setzt sich auf Kisten, während sie andere hochhält und beginnt Fliesen auf den Boden.</v>
      </c>
    </row>
    <row r="23367">
      <c r="A23367" s="4" t="s">
        <v>29406</v>
      </c>
      <c r="B23367" s="4" t="s">
        <v>29409</v>
      </c>
      <c r="C23367" s="5" t="str">
        <f>IFERROR(__xludf.DUMMYFUNCTION("GOOGLETRANSLATE(B23367,""en"",""de"")"),"Sie nimmt andere auf, während sie mit der Kamera gesprochen hat, gefolgt von dem Boden und einem Kind, das mitspielt.")</f>
        <v>Sie nimmt andere auf, während sie mit der Kamera gesprochen hat, gefolgt von dem Boden und einem Kind, das mitspielt.</v>
      </c>
    </row>
    <row r="23368">
      <c r="A23368" s="4" t="s">
        <v>29410</v>
      </c>
      <c r="B23368" s="4" t="s">
        <v>29411</v>
      </c>
      <c r="C23368" s="5" t="str">
        <f>IFERROR(__xludf.DUMMYFUNCTION("GOOGLETRANSLATE(B23368,""en"",""de"")"),"Ein kleines Kind läuft auf einem Hinterhof auf einem großen Satz Stelzen herum.")</f>
        <v>Ein kleines Kind läuft auf einem Hinterhof auf einem großen Satz Stelzen herum.</v>
      </c>
    </row>
    <row r="23369">
      <c r="A23369" s="4" t="s">
        <v>29410</v>
      </c>
      <c r="B23369" s="4" t="s">
        <v>29412</v>
      </c>
      <c r="C23369" s="5" t="str">
        <f>IFERROR(__xludf.DUMMYFUNCTION("GOOGLETRANSLATE(B23369,""en"",""de"")"),"Der Junge hüpft weiter herum, während die Kamera ihn sowohl fängt und läuft.")</f>
        <v>Der Junge hüpft weiter herum, während die Kamera ihn sowohl fängt und läuft.</v>
      </c>
    </row>
    <row r="23370">
      <c r="A23370" s="4" t="s">
        <v>29413</v>
      </c>
      <c r="B23370" s="4" t="s">
        <v>29414</v>
      </c>
      <c r="C23370" s="5" t="str">
        <f>IFERROR(__xludf.DUMMYFUNCTION("GOOGLETRANSLATE(B23370,""en"",""de"")"),"Jungen laufen auf einem Feld und spielen ein Fußballspiel.")</f>
        <v>Jungen laufen auf einem Feld und spielen ein Fußballspiel.</v>
      </c>
    </row>
    <row r="23371">
      <c r="A23371" s="4" t="s">
        <v>29413</v>
      </c>
      <c r="B23371" s="4" t="s">
        <v>29415</v>
      </c>
      <c r="C23371" s="5" t="str">
        <f>IFERROR(__xludf.DUMMYFUNCTION("GOOGLETRANSLATE(B23371,""en"",""de"")"),"Dann spielen sie professionell auf einem Innenplatz, während ein Publikum zuschaut.")</f>
        <v>Dann spielen sie professionell auf einem Innenplatz, während ein Publikum zuschaut.</v>
      </c>
    </row>
    <row r="23372">
      <c r="A23372" s="4" t="s">
        <v>29413</v>
      </c>
      <c r="B23372" s="4" t="s">
        <v>29416</v>
      </c>
      <c r="C23372" s="5" t="str">
        <f>IFERROR(__xludf.DUMMYFUNCTION("GOOGLETRANSLATE(B23372,""en"",""de"")"),"Sie zeigen viele verschiedene Clips aus vielen verschiedenen Spielen, wie eine Memoiren von Videos.")</f>
        <v>Sie zeigen viele verschiedene Clips aus vielen verschiedenen Spielen, wie eine Memoiren von Videos.</v>
      </c>
    </row>
    <row r="23373">
      <c r="A23373" s="4" t="s">
        <v>29413</v>
      </c>
      <c r="B23373" s="4" t="s">
        <v>29417</v>
      </c>
      <c r="C23373" s="5" t="str">
        <f>IFERROR(__xludf.DUMMYFUNCTION("GOOGLETRANSLATE(B23373,""en"",""de"")"),"Nummer 12 ist die Grundlage für alle, er scheint ein sehr großer Fußballspieler zu sein.")</f>
        <v>Nummer 12 ist die Grundlage für alle, er scheint ein sehr großer Fußballspieler zu sein.</v>
      </c>
    </row>
    <row r="23374">
      <c r="A23374" s="4" t="s">
        <v>29418</v>
      </c>
      <c r="B23374" s="4" t="s">
        <v>29419</v>
      </c>
      <c r="C23374" s="5" t="str">
        <f>IFERROR(__xludf.DUMMYFUNCTION("GOOGLETRANSLATE(B23374,""en"",""de"")"),"Ein junges Mädchen spricht mit der Kamera und schaut in die Ferne.")</f>
        <v>Ein junges Mädchen spricht mit der Kamera und schaut in die Ferne.</v>
      </c>
    </row>
    <row r="23375">
      <c r="A23375" s="4" t="s">
        <v>29418</v>
      </c>
      <c r="B23375" s="4" t="s">
        <v>29420</v>
      </c>
      <c r="C23375" s="5" t="str">
        <f>IFERROR(__xludf.DUMMYFUNCTION("GOOGLETRANSLATE(B23375,""en"",""de"")"),"Sie spricht weiter und führt zu einer Frau, die ihr Haar schneidet.")</f>
        <v>Sie spricht weiter und führt zu einer Frau, die ihr Haar schneidet.</v>
      </c>
    </row>
    <row r="23376">
      <c r="A23376" s="4" t="s">
        <v>29418</v>
      </c>
      <c r="B23376" s="4" t="s">
        <v>29421</v>
      </c>
      <c r="C23376" s="5" t="str">
        <f>IFERROR(__xludf.DUMMYFUNCTION("GOOGLETRANSLATE(B23376,""en"",""de"")"),"Sie gibt dem Mädchen ihre Haare und zeigt ihren Schnitt am Ende.")</f>
        <v>Sie gibt dem Mädchen ihre Haare und zeigt ihren Schnitt am Ende.</v>
      </c>
    </row>
    <row r="23377">
      <c r="A23377" s="4" t="s">
        <v>29422</v>
      </c>
      <c r="B23377" s="4" t="s">
        <v>29423</v>
      </c>
      <c r="C23377" s="5" t="str">
        <f>IFERROR(__xludf.DUMMYFUNCTION("GOOGLETRANSLATE(B23377,""en"",""de"")"),"Mehrere Farben und Designs blinken über den Bildschirm.")</f>
        <v>Mehrere Farben und Designs blinken über den Bildschirm.</v>
      </c>
    </row>
    <row r="23378">
      <c r="A23378" s="4" t="s">
        <v>29422</v>
      </c>
      <c r="B23378" s="4" t="s">
        <v>29424</v>
      </c>
      <c r="C23378" s="5" t="str">
        <f>IFERROR(__xludf.DUMMYFUNCTION("GOOGLETRANSLATE(B23378,""en"",""de"")"),"Frauen versammeln sich auf der Bühne, während sie gerade auftreten werden.")</f>
        <v>Frauen versammeln sich auf der Bühne, während sie gerade auftreten werden.</v>
      </c>
    </row>
    <row r="23379">
      <c r="A23379" s="4" t="s">
        <v>29422</v>
      </c>
      <c r="B23379" s="4" t="s">
        <v>29425</v>
      </c>
      <c r="C23379" s="5" t="str">
        <f>IFERROR(__xludf.DUMMYFUNCTION("GOOGLETRANSLATE(B23379,""en"",""de"")"),"Die Frauen tanzen und springen und führen eine Zumba -Routine an.")</f>
        <v>Die Frauen tanzen und springen und führen eine Zumba -Routine an.</v>
      </c>
    </row>
    <row r="23380">
      <c r="A23380" s="4" t="s">
        <v>29426</v>
      </c>
      <c r="B23380" s="4" t="s">
        <v>29427</v>
      </c>
      <c r="C23380" s="5" t="str">
        <f>IFERROR(__xludf.DUMMYFUNCTION("GOOGLETRANSLATE(B23380,""en"",""de"")"),"Verschiedene Schüsse von Schildern werden ebenso gezeigt und Leute, die auf einem Feld herumlaufen und sich auf Ereignisse vorbereiten.")</f>
        <v>Verschiedene Schüsse von Schildern werden ebenso gezeigt und Leute, die auf einem Feld herumlaufen und sich auf Ereignisse vorbereiten.</v>
      </c>
    </row>
    <row r="23381">
      <c r="A23381" s="4" t="s">
        <v>29426</v>
      </c>
      <c r="B23381" s="4" t="s">
        <v>29428</v>
      </c>
      <c r="C23381" s="5" t="str">
        <f>IFERROR(__xludf.DUMMYFUNCTION("GOOGLETRANSLATE(B23381,""en"",""de"")"),"Viele Leute werden für die Kamera interviewt und zeigen, dass die Leute winken und sich an den Seiten vorbereiten.")</f>
        <v>Viele Leute werden für die Kamera interviewt und zeigen, dass die Leute winken und sich an den Seiten vorbereiten.</v>
      </c>
    </row>
    <row r="23382">
      <c r="A23382" s="4" t="s">
        <v>29426</v>
      </c>
      <c r="B23382" s="4" t="s">
        <v>29429</v>
      </c>
      <c r="C23382" s="5" t="str">
        <f>IFERROR(__xludf.DUMMYFUNCTION("GOOGLETRANSLATE(B23382,""en"",""de"")"),"Die Leute winken zur Kamera und stehen herum und hält Schilder, während sie mehr mit der Kamera sprechen und Spiele von Hopscotch zeigen.")</f>
        <v>Die Leute winken zur Kamera und stehen herum und hält Schilder, während sie mehr mit der Kamera sprechen und Spiele von Hopscotch zeigen.</v>
      </c>
    </row>
    <row r="23383">
      <c r="A23383" s="4" t="s">
        <v>29430</v>
      </c>
      <c r="B23383" s="4" t="s">
        <v>29431</v>
      </c>
      <c r="C23383" s="5" t="str">
        <f>IFERROR(__xludf.DUMMYFUNCTION("GOOGLETRANSLATE(B23383,""en"",""de"")"),"Ein Hund drückt einen Kinderwagen den Bürgersteig hinunter.")</f>
        <v>Ein Hund drückt einen Kinderwagen den Bürgersteig hinunter.</v>
      </c>
    </row>
    <row r="23384">
      <c r="A23384" s="4" t="s">
        <v>29430</v>
      </c>
      <c r="B23384" s="4" t="s">
        <v>29432</v>
      </c>
      <c r="C23384" s="5" t="str">
        <f>IFERROR(__xludf.DUMMYFUNCTION("GOOGLETRANSLATE(B23384,""en"",""de"")"),"Eine Person in Weiß passt an den Baum.")</f>
        <v>Eine Person in Weiß passt an den Baum.</v>
      </c>
    </row>
    <row r="23385">
      <c r="A23385" s="4" t="s">
        <v>29430</v>
      </c>
      <c r="B23385" s="4" t="s">
        <v>29433</v>
      </c>
      <c r="C23385" s="5" t="str">
        <f>IFERROR(__xludf.DUMMYFUNCTION("GOOGLETRANSLATE(B23385,""en"",""de"")"),"Der Hund passt an einem kleinen Baum.")</f>
        <v>Der Hund passt an einem kleinen Baum.</v>
      </c>
    </row>
    <row r="23386">
      <c r="A23386" s="4" t="s">
        <v>29434</v>
      </c>
      <c r="B23386" s="4" t="s">
        <v>29435</v>
      </c>
      <c r="C23386" s="5" t="str">
        <f>IFERROR(__xludf.DUMMYFUNCTION("GOOGLETRANSLATE(B23386,""en"",""de"")"),"Ein Mann fängt an, ein Stück Holz mit einer Axt zu hacken.")</f>
        <v>Ein Mann fängt an, ein Stück Holz mit einer Axt zu hacken.</v>
      </c>
    </row>
    <row r="23387">
      <c r="A23387" s="4" t="s">
        <v>29434</v>
      </c>
      <c r="B23387" s="4" t="s">
        <v>29436</v>
      </c>
      <c r="C23387" s="5" t="str">
        <f>IFERROR(__xludf.DUMMYFUNCTION("GOOGLETRANSLATE(B23387,""en"",""de"")"),"Er nimmt das Holz wieder hoch und wirft es in einen Stapel.")</f>
        <v>Er nimmt das Holz wieder hoch und wirft es in einen Stapel.</v>
      </c>
    </row>
    <row r="23388">
      <c r="A23388" s="4" t="s">
        <v>29434</v>
      </c>
      <c r="B23388" s="4" t="s">
        <v>29437</v>
      </c>
      <c r="C23388" s="5" t="str">
        <f>IFERROR(__xludf.DUMMYFUNCTION("GOOGLETRANSLATE(B23388,""en"",""de"")"),"Er nimmt ein neues Stück Holz auf und kocht das.")</f>
        <v>Er nimmt ein neues Stück Holz auf und kocht das.</v>
      </c>
    </row>
    <row r="23389">
      <c r="A23389" s="4" t="s">
        <v>29438</v>
      </c>
      <c r="B23389" s="4" t="s">
        <v>29439</v>
      </c>
      <c r="C23389" s="5" t="str">
        <f>IFERROR(__xludf.DUMMYFUNCTION("GOOGLETRANSLATE(B23389,""en"",""de"")"),"Eine Frau sitzt in einem Stuhl -Strickfaden, während die Kamera sie beobachtet.")</f>
        <v>Eine Frau sitzt in einem Stuhl -Strickfaden, während die Kamera sie beobachtet.</v>
      </c>
    </row>
    <row r="23390">
      <c r="A23390" s="4" t="s">
        <v>29438</v>
      </c>
      <c r="B23390" s="4" t="s">
        <v>29440</v>
      </c>
      <c r="C23390" s="5" t="str">
        <f>IFERROR(__xludf.DUMMYFUNCTION("GOOGLETRANSLATE(B23390,""en"",""de"")"),"Die Frau strickt weiter, während sie anhält, um in die Kamera zu schauen und Gesichter zu machen.")</f>
        <v>Die Frau strickt weiter, während sie anhält, um in die Kamera zu schauen und Gesichter zu machen.</v>
      </c>
    </row>
    <row r="23391">
      <c r="A23391" s="4" t="s">
        <v>29441</v>
      </c>
      <c r="B23391" s="4" t="s">
        <v>29442</v>
      </c>
      <c r="C23391" s="5" t="str">
        <f>IFERROR(__xludf.DUMMYFUNCTION("GOOGLETRANSLATE(B23391,""en"",""de"")"),"Ein Hummer stützt ein Boot eine Rampe hinunter.")</f>
        <v>Ein Hummer stützt ein Boot eine Rampe hinunter.</v>
      </c>
    </row>
    <row r="23392">
      <c r="A23392" s="4" t="s">
        <v>29441</v>
      </c>
      <c r="B23392" s="4" t="s">
        <v>29443</v>
      </c>
      <c r="C23392" s="5" t="str">
        <f>IFERROR(__xludf.DUMMYFUNCTION("GOOGLETRANSLATE(B23392,""en"",""de"")"),"Eine Person steigt hinter dem Boot ein.")</f>
        <v>Eine Person steigt hinter dem Boot ein.</v>
      </c>
    </row>
    <row r="23393">
      <c r="A23393" s="4" t="s">
        <v>29441</v>
      </c>
      <c r="B23393" s="4" t="s">
        <v>29444</v>
      </c>
      <c r="C23393" s="5" t="str">
        <f>IFERROR(__xludf.DUMMYFUNCTION("GOOGLETRANSLATE(B23393,""en"",""de"")"),"Die Leute sitzen auf dem Boot.")</f>
        <v>Die Leute sitzen auf dem Boot.</v>
      </c>
    </row>
    <row r="23394">
      <c r="A23394" s="4" t="s">
        <v>29445</v>
      </c>
      <c r="B23394" s="4" t="s">
        <v>29446</v>
      </c>
      <c r="C23394" s="5" t="str">
        <f>IFERROR(__xludf.DUMMYFUNCTION("GOOGLETRANSLATE(B23394,""en"",""de"")"),"Eine Frau sitzt am Boden einer Rutsche.")</f>
        <v>Eine Frau sitzt am Boden einer Rutsche.</v>
      </c>
    </row>
    <row r="23395">
      <c r="A23395" s="4" t="s">
        <v>29445</v>
      </c>
      <c r="B23395" s="4" t="s">
        <v>29447</v>
      </c>
      <c r="C23395" s="5" t="str">
        <f>IFERROR(__xludf.DUMMYFUNCTION("GOOGLETRANSLATE(B23395,""en"",""de"")"),"Sie passt ihre Kamera an.")</f>
        <v>Sie passt ihre Kamera an.</v>
      </c>
    </row>
    <row r="23396">
      <c r="A23396" s="4" t="s">
        <v>29445</v>
      </c>
      <c r="B23396" s="4" t="s">
        <v>29448</v>
      </c>
      <c r="C23396" s="5" t="str">
        <f>IFERROR(__xludf.DUMMYFUNCTION("GOOGLETRANSLATE(B23396,""en"",""de"")"),"Ein Kind rutscht die Rutsche hinunter und rennt von hinten in sie.")</f>
        <v>Ein Kind rutscht die Rutsche hinunter und rennt von hinten in sie.</v>
      </c>
    </row>
    <row r="23397">
      <c r="A23397" s="4" t="s">
        <v>29449</v>
      </c>
      <c r="B23397" s="4" t="s">
        <v>29450</v>
      </c>
      <c r="C23397" s="5" t="str">
        <f>IFERROR(__xludf.DUMMYFUNCTION("GOOGLETRANSLATE(B23397,""en"",""de"")"),"Ein kleines Kind ist gesehen, wie er auf einem Spielplatz klettert und dann eine Rutsche hinuntergeht.")</f>
        <v>Ein kleines Kind ist gesehen, wie er auf einem Spielplatz klettert und dann eine Rutsche hinuntergeht.</v>
      </c>
    </row>
    <row r="23398">
      <c r="A23398" s="4" t="s">
        <v>29449</v>
      </c>
      <c r="B23398" s="4" t="s">
        <v>29451</v>
      </c>
      <c r="C23398" s="5" t="str">
        <f>IFERROR(__xludf.DUMMYFUNCTION("GOOGLETRANSLATE(B23398,""en"",""de"")"),"Sie kehrt wieder nach oben zurück, gefolgt von einem weiteren, um die Rutsche hinunter und zurück zur Treppe zurück.")</f>
        <v>Sie kehrt wieder nach oben zurück, gefolgt von einem weiteren, um die Rutsche hinunter und zurück zur Treppe zurück.</v>
      </c>
    </row>
    <row r="23399">
      <c r="A23399" s="4" t="s">
        <v>29452</v>
      </c>
      <c r="B23399" s="4" t="s">
        <v>29453</v>
      </c>
      <c r="C23399" s="5" t="str">
        <f>IFERROR(__xludf.DUMMYFUNCTION("GOOGLETRANSLATE(B23399,""en"",""de"")"),"Eine Person steht auf einem Hügel mit Schnee, dann fährt die Person den Hügel hinunter und fällt.")</f>
        <v>Eine Person steht auf einem Hügel mit Schnee, dann fährt die Person den Hügel hinunter und fällt.</v>
      </c>
    </row>
    <row r="23400">
      <c r="A23400" s="4" t="s">
        <v>29452</v>
      </c>
      <c r="B23400" s="4" t="s">
        <v>29454</v>
      </c>
      <c r="C23400" s="5" t="str">
        <f>IFERROR(__xludf.DUMMYFUNCTION("GOOGLETRANSLATE(B23400,""en"",""de"")"),"Ein Skifahrer kommt auf einem Hügel hinunter über Steine ​​und fällt und rollt auf dem Schnee.")</f>
        <v>Ein Skifahrer kommt auf einem Hügel hinunter über Steine ​​und fällt und rollt auf dem Schnee.</v>
      </c>
    </row>
    <row r="23401">
      <c r="A23401" s="4" t="s">
        <v>29452</v>
      </c>
      <c r="B23401" s="4" t="s">
        <v>29455</v>
      </c>
      <c r="C23401" s="5" t="str">
        <f>IFERROR(__xludf.DUMMYFUNCTION("GOOGLETRANSLATE(B23401,""en"",""de"")"),"Dann andere Mannhimmel auf dem Hügel und flache Flächen, die mit Schnee bedeckt sind.")</f>
        <v>Dann andere Mannhimmel auf dem Hügel und flache Flächen, die mit Schnee bedeckt sind.</v>
      </c>
    </row>
    <row r="23402">
      <c r="A23402" s="4" t="s">
        <v>29452</v>
      </c>
      <c r="B23402" s="4" t="s">
        <v>29456</v>
      </c>
      <c r="C23402" s="5" t="str">
        <f>IFERROR(__xludf.DUMMYFUNCTION("GOOGLETRANSLATE(B23402,""en"",""de"")"),"Auch Skifahrer machen einen Flip in der Luft, während andere Leute zuschauen.")</f>
        <v>Auch Skifahrer machen einen Flip in der Luft, während andere Leute zuschauen.</v>
      </c>
    </row>
    <row r="23403">
      <c r="A23403" s="4" t="s">
        <v>29457</v>
      </c>
      <c r="B23403" s="4" t="s">
        <v>29458</v>
      </c>
      <c r="C23403" s="5" t="str">
        <f>IFERROR(__xludf.DUMMYFUNCTION("GOOGLETRANSLATE(B23403,""en"",""de"")"),"Zwei Männer spielen Kürbis auf einem Innenplatz.")</f>
        <v>Zwei Männer spielen Kürbis auf einem Innenplatz.</v>
      </c>
    </row>
    <row r="23404">
      <c r="A23404" s="4" t="s">
        <v>29457</v>
      </c>
      <c r="B23404" s="4" t="s">
        <v>29459</v>
      </c>
      <c r="C23404" s="5" t="str">
        <f>IFERROR(__xludf.DUMMYFUNCTION("GOOGLETRANSLATE(B23404,""en"",""de"")"),"Der linke Mann im weißen Hemd verfehlt den Ball und den Start von vorne.")</f>
        <v>Der linke Mann im weißen Hemd verfehlt den Ball und den Start von vorne.</v>
      </c>
    </row>
    <row r="23405">
      <c r="A23405" s="4" t="s">
        <v>29457</v>
      </c>
      <c r="B23405" s="4" t="s">
        <v>29460</v>
      </c>
      <c r="C23405" s="5" t="str">
        <f>IFERROR(__xludf.DUMMYFUNCTION("GOOGLETRANSLATE(B23405,""en"",""de"")"),"Wir sehen, dass der Mann im grauen Hemd den Ball Land verpasst, und pumpt seine Faust und sieht enttäuscht aus.")</f>
        <v>Wir sehen, dass der Mann im grauen Hemd den Ball Land verpasst, und pumpt seine Faust und sieht enttäuscht aus.</v>
      </c>
    </row>
    <row r="23406">
      <c r="A23406" s="4" t="s">
        <v>29461</v>
      </c>
      <c r="B23406" s="4" t="s">
        <v>29462</v>
      </c>
      <c r="C23406" s="5" t="str">
        <f>IFERROR(__xludf.DUMMYFUNCTION("GOOGLETRANSLATE(B23406,""en"",""de"")"),"Ein kleines Mädchen sitzt mit ihrem Vater auf dem Verandaboden, als er einen blauen Schmetterlings -Drachen für sie zusammenstellt.")</f>
        <v>Ein kleines Mädchen sitzt mit ihrem Vater auf dem Verandaboden, als er einen blauen Schmetterlings -Drachen für sie zusammenstellt.</v>
      </c>
    </row>
    <row r="23407">
      <c r="A23407" s="4" t="s">
        <v>29461</v>
      </c>
      <c r="B23407" s="4" t="s">
        <v>29463</v>
      </c>
      <c r="C23407" s="5" t="str">
        <f>IFERROR(__xludf.DUMMYFUNCTION("GOOGLETRANSLATE(B23407,""en"",""de"")"),"Nachdem er den Drachen fertiggestellt hat, gehen sie offen, um den Drachen zu fliegen.")</f>
        <v>Nachdem er den Drachen fertiggestellt hat, gehen sie offen, um den Drachen zu fliegen.</v>
      </c>
    </row>
    <row r="23408">
      <c r="A23408" s="4" t="s">
        <v>29461</v>
      </c>
      <c r="B23408" s="4" t="s">
        <v>29464</v>
      </c>
      <c r="C23408" s="5" t="str">
        <f>IFERROR(__xludf.DUMMYFUNCTION("GOOGLETRANSLATE(B23408,""en"",""de"")"),"Der Vater hält den Drachen in der Hand, während der Wind stark weht.")</f>
        <v>Der Vater hält den Drachen in der Hand, während der Wind stark weht.</v>
      </c>
    </row>
    <row r="23409">
      <c r="A23409" s="4" t="s">
        <v>29461</v>
      </c>
      <c r="B23409" s="4" t="s">
        <v>29465</v>
      </c>
      <c r="C23409" s="5" t="str">
        <f>IFERROR(__xludf.DUMMYFUNCTION("GOOGLETRANSLATE(B23409,""en"",""de"")"),"Das Mädchen hält die Kite -Schnur und fasst mit dem Drachen hoch in die Luft.")</f>
        <v>Das Mädchen hält die Kite -Schnur und fasst mit dem Drachen hoch in die Luft.</v>
      </c>
    </row>
    <row r="23410">
      <c r="A23410" s="4" t="s">
        <v>29466</v>
      </c>
      <c r="B23410" s="4" t="s">
        <v>29467</v>
      </c>
      <c r="C23410" s="5" t="str">
        <f>IFERROR(__xludf.DUMMYFUNCTION("GOOGLETRANSLATE(B23410,""en"",""de"")"),"Ein Koch erklärt, wie man ein Omelett mit Gemüse und Gewürzen kocht. Dann nimmt der Küchenchef ein Gericht und serviert das Omelett mit Salat und Zitrone.")</f>
        <v>Ein Koch erklärt, wie man ein Omelett mit Gemüse und Gewürzen kocht. Dann nimmt der Küchenchef ein Gericht und serviert das Omelett mit Salat und Zitrone.</v>
      </c>
    </row>
    <row r="23411">
      <c r="A23411" s="4" t="s">
        <v>29466</v>
      </c>
      <c r="B23411" s="4" t="s">
        <v>29468</v>
      </c>
      <c r="C23411" s="5" t="str">
        <f>IFERROR(__xludf.DUMMYFUNCTION("GOOGLETRANSLATE(B23411,""en"",""de"")"),"Ein Mann und eine Frau gehen hinter dem Koch im Restaurant vorbei.")</f>
        <v>Ein Mann und eine Frau gehen hinter dem Koch im Restaurant vorbei.</v>
      </c>
    </row>
    <row r="23412">
      <c r="A23412" s="4" t="s">
        <v>29466</v>
      </c>
      <c r="B23412" s="4" t="s">
        <v>29469</v>
      </c>
      <c r="C23412" s="5" t="str">
        <f>IFERROR(__xludf.DUMMYFUNCTION("GOOGLETRANSLATE(B23412,""en"",""de"")"),"Ein anderer Mann sitzt in einem Tisch, stand und geht weg.")</f>
        <v>Ein anderer Mann sitzt in einem Tisch, stand und geht weg.</v>
      </c>
    </row>
    <row r="23413">
      <c r="A23413" s="4" t="s">
        <v>29466</v>
      </c>
      <c r="B23413" s="4" t="s">
        <v>29470</v>
      </c>
      <c r="C23413" s="5" t="str">
        <f>IFERROR(__xludf.DUMMYFUNCTION("GOOGLETRANSLATE(B23413,""en"",""de"")"),"Eine andere Person betritt das Restaurant und biegt links ab.")</f>
        <v>Eine andere Person betritt das Restaurant und biegt links ab.</v>
      </c>
    </row>
    <row r="23414">
      <c r="A23414" s="4" t="s">
        <v>29471</v>
      </c>
      <c r="B23414" s="4" t="s">
        <v>29472</v>
      </c>
      <c r="C23414" s="5" t="str">
        <f>IFERROR(__xludf.DUMMYFUNCTION("GOOGLETRANSLATE(B23414,""en"",""de"")"),"Ein kleiner Junge ist in einem Hof ​​mit einem Blattgebläse.")</f>
        <v>Ein kleiner Junge ist in einem Hof ​​mit einem Blattgebläse.</v>
      </c>
    </row>
    <row r="23415">
      <c r="A23415" s="4" t="s">
        <v>29471</v>
      </c>
      <c r="B23415" s="4" t="s">
        <v>29473</v>
      </c>
      <c r="C23415" s="5" t="str">
        <f>IFERROR(__xludf.DUMMYFUNCTION("GOOGLETRANSLATE(B23415,""en"",""de"")"),"Ein kleines Mädchen schließt sich ihm bald an und harkte Blätter.")</f>
        <v>Ein kleines Mädchen schließt sich ihm bald an und harkte Blätter.</v>
      </c>
    </row>
    <row r="23416">
      <c r="A23416" s="4" t="s">
        <v>29474</v>
      </c>
      <c r="B23416" s="4" t="s">
        <v>29475</v>
      </c>
      <c r="C23416" s="5" t="str">
        <f>IFERROR(__xludf.DUMMYFUNCTION("GOOGLETRANSLATE(B23416,""en"",""de"")"),"Ein Mann wird gesehen, wie er sich über seine Hände gebogen wird, als ein anderer Mann rausgeht und mit ihm spricht.")</f>
        <v>Ein Mann wird gesehen, wie er sich über seine Hände gebogen wird, als ein anderer Mann rausgeht und mit ihm spricht.</v>
      </c>
    </row>
    <row r="23417">
      <c r="A23417" s="4" t="s">
        <v>29474</v>
      </c>
      <c r="B23417" s="4" t="s">
        <v>29476</v>
      </c>
      <c r="C23417" s="5" t="str">
        <f>IFERROR(__xludf.DUMMYFUNCTION("GOOGLETRANSLATE(B23417,""en"",""de"")"),"Der andere Mann beginnt dann, seine Hände mit Seife unter dem Wasserhahn zu waschen, während der andere Mann zuschaut.")</f>
        <v>Der andere Mann beginnt dann, seine Hände mit Seife unter dem Wasserhahn zu waschen, während der andere Mann zuschaut.</v>
      </c>
    </row>
    <row r="23418">
      <c r="A23418" s="4" t="s">
        <v>29474</v>
      </c>
      <c r="B23418" s="4" t="s">
        <v>29477</v>
      </c>
      <c r="C23418" s="5" t="str">
        <f>IFERROR(__xludf.DUMMYFUNCTION("GOOGLETRANSLATE(B23418,""en"",""de"")"),"Er beendet das Waschen, während der andere Mann einen dritten Mann verlässt und angibt, der aus dem Stand geht.")</f>
        <v>Er beendet das Waschen, während der andere Mann einen dritten Mann verlässt und angibt, der aus dem Stand geht.</v>
      </c>
    </row>
    <row r="23419">
      <c r="A23419" s="4" t="s">
        <v>29478</v>
      </c>
      <c r="B23419" s="4" t="s">
        <v>29479</v>
      </c>
      <c r="C23419" s="5" t="str">
        <f>IFERROR(__xludf.DUMMYFUNCTION("GOOGLETRANSLATE(B23419,""en"",""de"")"),"Die Leute spielen auf einer Party Bierpong.")</f>
        <v>Die Leute spielen auf einer Party Bierpong.</v>
      </c>
    </row>
    <row r="23420">
      <c r="A23420" s="4" t="s">
        <v>29478</v>
      </c>
      <c r="B23420" s="4" t="s">
        <v>29480</v>
      </c>
      <c r="C23420" s="5" t="str">
        <f>IFERROR(__xludf.DUMMYFUNCTION("GOOGLETRANSLATE(B23420,""en"",""de"")"),"Die Leute trinken Getränke vom Tisch.")</f>
        <v>Die Leute trinken Getränke vom Tisch.</v>
      </c>
    </row>
    <row r="23421">
      <c r="A23421" s="4" t="s">
        <v>29478</v>
      </c>
      <c r="B23421" s="4" t="s">
        <v>29481</v>
      </c>
      <c r="C23421" s="5" t="str">
        <f>IFERROR(__xludf.DUMMYFUNCTION("GOOGLETRANSLATE(B23421,""en"",""de"")"),"Ein Glas Bier wird gezeigt.")</f>
        <v>Ein Glas Bier wird gezeigt.</v>
      </c>
    </row>
    <row r="23422">
      <c r="A23422" s="4" t="s">
        <v>29482</v>
      </c>
      <c r="B23422" s="4" t="s">
        <v>29483</v>
      </c>
      <c r="C23422" s="5" t="str">
        <f>IFERROR(__xludf.DUMMYFUNCTION("GOOGLETRANSLATE(B23422,""en"",""de"")"),"Ein Mann wirft einen Pfeil auf ein Brett und führt zu einer Frau, die spricht.")</f>
        <v>Ein Mann wirft einen Pfeil auf ein Brett und führt zu einer Frau, die spricht.</v>
      </c>
    </row>
    <row r="23423">
      <c r="A23423" s="4" t="s">
        <v>29482</v>
      </c>
      <c r="B23423" s="4" t="s">
        <v>29484</v>
      </c>
      <c r="C23423" s="5" t="str">
        <f>IFERROR(__xludf.DUMMYFUNCTION("GOOGLETRANSLATE(B23423,""en"",""de"")"),"Der Mann wirft mehrere weitere Pfeile, während er sich die Zeit nimmt, mit der Frau zu sprechen.")</f>
        <v>Der Mann wirft mehrere weitere Pfeile, während er sich die Zeit nimmt, mit der Frau zu sprechen.</v>
      </c>
    </row>
    <row r="23424">
      <c r="A23424" s="4" t="s">
        <v>29482</v>
      </c>
      <c r="B23424" s="4" t="s">
        <v>29485</v>
      </c>
      <c r="C23424" s="5" t="str">
        <f>IFERROR(__xludf.DUMMYFUNCTION("GOOGLETRANSLATE(B23424,""en"",""de"")"),"Es werden mehr Menschen gezeigt, die Dart werfen, während die beiden weiter sprechen und der Mann auf das Brett zeigt.")</f>
        <v>Es werden mehr Menschen gezeigt, die Dart werfen, während die beiden weiter sprechen und der Mann auf das Brett zeigt.</v>
      </c>
    </row>
    <row r="23425">
      <c r="A23425" s="4" t="s">
        <v>29486</v>
      </c>
      <c r="B23425" s="4" t="s">
        <v>29487</v>
      </c>
      <c r="C23425" s="5" t="str">
        <f>IFERROR(__xludf.DUMMYFUNCTION("GOOGLETRANSLATE(B23425,""en"",""de"")"),"Die Kamera schwenkt um mehrere Gruppen von Menschen, die Kampfkünste umeinander durchführen und Menschen herumlaufen und zuschauen.")</f>
        <v>Die Kamera schwenkt um mehrere Gruppen von Menschen, die Kampfkünste umeinander durchführen und Menschen herumlaufen und zuschauen.</v>
      </c>
    </row>
    <row r="23426">
      <c r="A23426" s="4" t="s">
        <v>29486</v>
      </c>
      <c r="B23426" s="4" t="s">
        <v>29488</v>
      </c>
      <c r="C23426" s="5" t="str">
        <f>IFERROR(__xludf.DUMMYFUNCTION("GOOGLETRANSLATE(B23426,""en"",""de"")"),"Viele Schüsse werden von Menschen gezeigt, die tanzen und singen sowie Kampfkünste auf den Straßen aufführen und sich gegenseitig helfen.")</f>
        <v>Viele Schüsse werden von Menschen gezeigt, die tanzen und singen sowie Kampfkünste auf den Straßen aufführen und sich gegenseitig helfen.</v>
      </c>
    </row>
    <row r="23427">
      <c r="A23427" s="4" t="s">
        <v>29486</v>
      </c>
      <c r="B23427" s="4" t="s">
        <v>29489</v>
      </c>
      <c r="C23427" s="5" t="str">
        <f>IFERROR(__xludf.DUMMYFUNCTION("GOOGLETRANSLATE(B23427,""en"",""de"")"),"Die Leute spielen Instrumente, lesen die Nachrichten und spielen Kampfkünste auf der ganzen Straße.")</f>
        <v>Die Leute spielen Instrumente, lesen die Nachrichten und spielen Kampfkünste auf der ganzen Straße.</v>
      </c>
    </row>
    <row r="23428">
      <c r="A23428" s="4" t="s">
        <v>29490</v>
      </c>
      <c r="B23428" s="4" t="s">
        <v>29491</v>
      </c>
      <c r="C23428" s="5" t="str">
        <f>IFERROR(__xludf.DUMMYFUNCTION("GOOGLETRANSLATE(B23428,""en"",""de"")"),"Eine Person spielt Tam-Tam in einem Raum, der Mann spielt hauptsächlich auf dem Tam-tam auf dem vorderen Summen.")</f>
        <v>Eine Person spielt Tam-Tam in einem Raum, der Mann spielt hauptsächlich auf dem Tam-tam auf dem vorderen Summen.</v>
      </c>
    </row>
    <row r="23429">
      <c r="A23429" s="4" t="s">
        <v>29490</v>
      </c>
      <c r="B23429" s="4" t="s">
        <v>29492</v>
      </c>
      <c r="C23429" s="5" t="str">
        <f>IFERROR(__xludf.DUMMYFUNCTION("GOOGLETRANSLATE(B23429,""en"",""de"")"),"Eine Hand passieren vorne auf dem Bildschirm.")</f>
        <v>Eine Hand passieren vorne auf dem Bildschirm.</v>
      </c>
    </row>
    <row r="23430">
      <c r="A23430" s="4" t="s">
        <v>29490</v>
      </c>
      <c r="B23430" s="4" t="s">
        <v>29493</v>
      </c>
      <c r="C23430" s="5" t="str">
        <f>IFERROR(__xludf.DUMMYFUNCTION("GOOGLETRANSLATE(B23430,""en"",""de"")"),"Die Person streckt ihren Arm über den Tam-Tam.")</f>
        <v>Die Person streckt ihren Arm über den Tam-Tam.</v>
      </c>
    </row>
    <row r="23431">
      <c r="A23431" s="4" t="s">
        <v>29494</v>
      </c>
      <c r="B23431" s="4" t="s">
        <v>29495</v>
      </c>
      <c r="C23431" s="5" t="str">
        <f>IFERROR(__xludf.DUMMYFUNCTION("GOOGLETRANSLATE(B23431,""en"",""de"")"),"Ein Mann springt vom braunen Pferd und er lassos den Stier am Anfang zu Boden.")</f>
        <v>Ein Mann springt vom braunen Pferd und er lassos den Stier am Anfang zu Boden.</v>
      </c>
    </row>
    <row r="23432">
      <c r="A23432" s="4" t="s">
        <v>29494</v>
      </c>
      <c r="B23432" s="4" t="s">
        <v>29496</v>
      </c>
      <c r="C23432" s="5" t="str">
        <f>IFERROR(__xludf.DUMMYFUNCTION("GOOGLETRANSLATE(B23432,""en"",""de"")"),"Dann steigt er auf ein anderes Pferd und lassos einen Bullen, der größer ist als der letzte am Boden.")</f>
        <v>Dann steigt er auf ein anderes Pferd und lassos einen Bullen, der größer ist als der letzte am Boden.</v>
      </c>
    </row>
    <row r="23433">
      <c r="A23433" s="4" t="s">
        <v>29494</v>
      </c>
      <c r="B23433" s="4" t="s">
        <v>29497</v>
      </c>
      <c r="C23433" s="5" t="str">
        <f>IFERROR(__xludf.DUMMYFUNCTION("GOOGLETRANSLATE(B23433,""en"",""de"")"),"Als er die Beine des Stierbiers zusammenbindet, steht er auf und geht weg.")</f>
        <v>Als er die Beine des Stierbiers zusammenbindet, steht er auf und geht weg.</v>
      </c>
    </row>
    <row r="23434">
      <c r="A23434" s="4" t="s">
        <v>29498</v>
      </c>
      <c r="B23434" s="4" t="s">
        <v>29499</v>
      </c>
      <c r="C23434" s="5" t="str">
        <f>IFERROR(__xludf.DUMMYFUNCTION("GOOGLETRANSLATE(B23434,""en"",""de"")"),"Ein Cricket -Spiel wird zwischen zwei Teams vor einer Menge von Menschen gespielt.")</f>
        <v>Ein Cricket -Spiel wird zwischen zwei Teams vor einer Menge von Menschen gespielt.</v>
      </c>
    </row>
    <row r="23435">
      <c r="A23435" s="4" t="s">
        <v>29498</v>
      </c>
      <c r="B23435" s="4" t="s">
        <v>29500</v>
      </c>
      <c r="C23435" s="5" t="str">
        <f>IFERROR(__xludf.DUMMYFUNCTION("GOOGLETRANSLATE(B23435,""en"",""de"")"),"Das erste Stück wird gemacht und die Kommentatoren erzählen das Stück.")</f>
        <v>Das erste Stück wird gemacht und die Kommentatoren erzählen das Stück.</v>
      </c>
    </row>
    <row r="23436">
      <c r="A23436" s="4" t="s">
        <v>29498</v>
      </c>
      <c r="B23436" s="4" t="s">
        <v>29501</v>
      </c>
      <c r="C23436" s="5" t="str">
        <f>IFERROR(__xludf.DUMMYFUNCTION("GOOGLETRANSLATE(B23436,""en"",""de"")"),"Dann wird eine Wiederholung des vorherigen Stücks gestartet, während die Kommentatoren es erzählen.")</f>
        <v>Dann wird eine Wiederholung des vorherigen Stücks gestartet, während die Kommentatoren es erzählen.</v>
      </c>
    </row>
    <row r="23437">
      <c r="A23437" s="4" t="s">
        <v>29498</v>
      </c>
      <c r="B23437" s="4" t="s">
        <v>29502</v>
      </c>
      <c r="C23437" s="5" t="str">
        <f>IFERROR(__xludf.DUMMYFUNCTION("GOOGLETRANSLATE(B23437,""en"",""de"")"),"Die Kamera schneidet einen Mann, der über einen Fehler im Stück lacht.")</f>
        <v>Die Kamera schneidet einen Mann, der über einen Fehler im Stück lacht.</v>
      </c>
    </row>
    <row r="23438">
      <c r="A23438" s="4" t="s">
        <v>29503</v>
      </c>
      <c r="B23438" s="4" t="s">
        <v>29504</v>
      </c>
      <c r="C23438" s="5" t="str">
        <f>IFERROR(__xludf.DUMMYFUNCTION("GOOGLETRANSLATE(B23438,""en"",""de"")"),"Das Video führt zu mehreren Clips von Menschen, die an öffentlichen Orten Skateboard -Tricks ausführen.")</f>
        <v>Das Video führt zu mehreren Clips von Menschen, die an öffentlichen Orten Skateboard -Tricks ausführen.</v>
      </c>
    </row>
    <row r="23439">
      <c r="A23439" s="4" t="s">
        <v>29503</v>
      </c>
      <c r="B23439" s="4" t="s">
        <v>29505</v>
      </c>
      <c r="C23439" s="5" t="str">
        <f>IFERROR(__xludf.DUMMYFUNCTION("GOOGLETRANSLATE(B23439,""en"",""de"")"),"Es werden viele weitere Clips gezeigt, die auf Skateboards herumfähren, die Flips und Tricks machen.")</f>
        <v>Es werden viele weitere Clips gezeigt, die auf Skateboards herumfähren, die Flips und Tricks machen.</v>
      </c>
    </row>
    <row r="23440">
      <c r="A23440" s="4" t="s">
        <v>29506</v>
      </c>
      <c r="B23440" s="4" t="s">
        <v>29507</v>
      </c>
      <c r="C23440" s="5" t="str">
        <f>IFERROR(__xludf.DUMMYFUNCTION("GOOGLETRANSLATE(B23440,""en"",""de"")"),"Elefant geht in einem kleinen Wasser, der gut mit einem Ball spielt.")</f>
        <v>Elefant geht in einem kleinen Wasser, der gut mit einem Ball spielt.</v>
      </c>
    </row>
    <row r="23441">
      <c r="A23441" s="4" t="s">
        <v>29506</v>
      </c>
      <c r="B23441" s="4" t="s">
        <v>29508</v>
      </c>
      <c r="C23441" s="5" t="str">
        <f>IFERROR(__xludf.DUMMYFUNCTION("GOOGLETRANSLATE(B23441,""en"",""de"")"),"Frau spricht in der Kamera und der Elefant spielt wieder gut im Wasser, das mit dem Ball spielt.")</f>
        <v>Frau spricht in der Kamera und der Elefant spielt wieder gut im Wasser, das mit dem Ball spielt.</v>
      </c>
    </row>
    <row r="23442">
      <c r="A23442" s="4" t="s">
        <v>29506</v>
      </c>
      <c r="B23442" s="4" t="s">
        <v>29509</v>
      </c>
      <c r="C23442" s="5" t="str">
        <f>IFERROR(__xludf.DUMMYFUNCTION("GOOGLETRANSLATE(B23442,""en"",""de"")"),"Der kleine Elefant spielt mit einem großen blauen Ball.")</f>
        <v>Der kleine Elefant spielt mit einem großen blauen Ball.</v>
      </c>
    </row>
    <row r="23443">
      <c r="A23443" s="4" t="s">
        <v>29510</v>
      </c>
      <c r="B23443" s="4" t="s">
        <v>29511</v>
      </c>
      <c r="C23443" s="5" t="str">
        <f>IFERROR(__xludf.DUMMYFUNCTION("GOOGLETRANSLATE(B23443,""en"",""de"")"),"Ein Mädchen steht an einem Waschbecken, wäscht Geschirr und spielt im Wasser.")</f>
        <v>Ein Mädchen steht an einem Waschbecken, wäscht Geschirr und spielt im Wasser.</v>
      </c>
    </row>
    <row r="23444">
      <c r="A23444" s="4" t="s">
        <v>29510</v>
      </c>
      <c r="B23444" s="4" t="s">
        <v>29512</v>
      </c>
      <c r="C23444" s="5" t="str">
        <f>IFERROR(__xludf.DUMMYFUNCTION("GOOGLETRANSLATE(B23444,""en"",""de"")"),"Sie lächelt, als sie eine Plastikschüssel spült.")</f>
        <v>Sie lächelt, als sie eine Plastikschüssel spült.</v>
      </c>
    </row>
    <row r="23445">
      <c r="A23445" s="4" t="s">
        <v>29510</v>
      </c>
      <c r="B23445" s="4" t="s">
        <v>29513</v>
      </c>
      <c r="C23445" s="5" t="str">
        <f>IFERROR(__xludf.DUMMYFUNCTION("GOOGLETRANSLATE(B23445,""en"",""de"")"),"Sie geht in die Kamera und redet und lacht, bevor sie mit ihrem Bruder den Raum verlässt.")</f>
        <v>Sie geht in die Kamera und redet und lacht, bevor sie mit ihrem Bruder den Raum verlässt.</v>
      </c>
    </row>
    <row r="23446">
      <c r="A23446" s="4" t="s">
        <v>29514</v>
      </c>
      <c r="B23446" s="4" t="s">
        <v>1487</v>
      </c>
      <c r="C23446" s="5" t="str">
        <f>IFERROR(__xludf.DUMMYFUNCTION("GOOGLETRANSLATE(B23446,""en"",""de"")"),"Wir sehen einen Öffnungsbildschirm.")</f>
        <v>Wir sehen einen Öffnungsbildschirm.</v>
      </c>
    </row>
    <row r="23447">
      <c r="A23447" s="4" t="s">
        <v>29514</v>
      </c>
      <c r="B23447" s="4" t="s">
        <v>29515</v>
      </c>
      <c r="C23447" s="5" t="str">
        <f>IFERROR(__xludf.DUMMYFUNCTION("GOOGLETRANSLATE(B23447,""en"",""de"")"),"Ein Mann steckt einen Stapel Marshmallows in den Mund.")</f>
        <v>Ein Mann steckt einen Stapel Marshmallows in den Mund.</v>
      </c>
    </row>
    <row r="23448">
      <c r="A23448" s="4" t="s">
        <v>29514</v>
      </c>
      <c r="B23448" s="4" t="s">
        <v>29516</v>
      </c>
      <c r="C23448" s="5" t="str">
        <f>IFERROR(__xludf.DUMMYFUNCTION("GOOGLETRANSLATE(B23448,""en"",""de"")"),"Ein Mann lässt ein Lagerfeuer und Tipps auf dem Bildschirm blinken.")</f>
        <v>Ein Mann lässt ein Lagerfeuer und Tipps auf dem Bildschirm blinken.</v>
      </c>
    </row>
    <row r="23449">
      <c r="A23449" s="4" t="s">
        <v>29514</v>
      </c>
      <c r="B23449" s="4" t="s">
        <v>29517</v>
      </c>
      <c r="C23449" s="5" t="str">
        <f>IFERROR(__xludf.DUMMYFUNCTION("GOOGLETRANSLATE(B23449,""en"",""de"")"),"Der Mann gräbt ein Loch und sammelte Brennholz.")</f>
        <v>Der Mann gräbt ein Loch und sammelte Brennholz.</v>
      </c>
    </row>
    <row r="23450">
      <c r="A23450" s="4" t="s">
        <v>29514</v>
      </c>
      <c r="B23450" s="4" t="s">
        <v>29518</v>
      </c>
      <c r="C23450" s="5" t="str">
        <f>IFERROR(__xludf.DUMMYFUNCTION("GOOGLETRANSLATE(B23450,""en"",""de"")"),"Er steckt das Holz in ein Dreieck in die Grube und leuchtet außen.")</f>
        <v>Er steckt das Holz in ein Dreieck in die Grube und leuchtet außen.</v>
      </c>
    </row>
    <row r="23451">
      <c r="A23451" s="4" t="s">
        <v>29514</v>
      </c>
      <c r="B23451" s="4" t="s">
        <v>29519</v>
      </c>
      <c r="C23451" s="5" t="str">
        <f>IFERROR(__xludf.DUMMYFUNCTION("GOOGLETRANSLATE(B23451,""en"",""de"")"),"Der Mann zündet das Feuer an und fügt ein paar weitere Holzstücke hinzu.")</f>
        <v>Der Mann zündet das Feuer an und fügt ein paar weitere Holzstücke hinzu.</v>
      </c>
    </row>
    <row r="23452">
      <c r="A23452" s="4" t="s">
        <v>29514</v>
      </c>
      <c r="B23452" s="4" t="s">
        <v>777</v>
      </c>
      <c r="C23452" s="5" t="str">
        <f>IFERROR(__xludf.DUMMYFUNCTION("GOOGLETRANSLATE(B23452,""en"",""de"")"),"Wir sehen den End -Titelbildschirm.")</f>
        <v>Wir sehen den End -Titelbildschirm.</v>
      </c>
    </row>
    <row r="23453">
      <c r="A23453" s="4" t="s">
        <v>29520</v>
      </c>
      <c r="B23453" s="4" t="s">
        <v>29521</v>
      </c>
      <c r="C23453" s="5" t="str">
        <f>IFERROR(__xludf.DUMMYFUNCTION("GOOGLETRANSLATE(B23453,""en"",""de"")"),"Der Mensch steht vor einem Spiegel mit einer Kamera.")</f>
        <v>Der Mensch steht vor einem Spiegel mit einer Kamera.</v>
      </c>
    </row>
    <row r="23454">
      <c r="A23454" s="4" t="s">
        <v>29520</v>
      </c>
      <c r="B23454" s="4" t="s">
        <v>29522</v>
      </c>
      <c r="C23454" s="5" t="str">
        <f>IFERROR(__xludf.DUMMYFUNCTION("GOOGLETRANSLATE(B23454,""en"",""de"")"),"Frau tritt im Badezimmer ein, die eine weiße Katze und der Mann kny, damit die Katze auf dem Rücken stehen kann.")</f>
        <v>Frau tritt im Badezimmer ein, die eine weiße Katze und der Mann kny, damit die Katze auf dem Rücken stehen kann.</v>
      </c>
    </row>
    <row r="23455">
      <c r="A23455" s="4" t="s">
        <v>29520</v>
      </c>
      <c r="B23455" s="4" t="s">
        <v>29523</v>
      </c>
      <c r="C23455" s="5" t="str">
        <f>IFERROR(__xludf.DUMMYFUNCTION("GOOGLETRANSLATE(B23455,""en"",""de"")"),"Die Frau verlässt das Badezimmer und der Mann nimmt immer wieder Posen vor der Kamera auf und redet mit sich selbst im Spiegel.")</f>
        <v>Die Frau verlässt das Badezimmer und der Mann nimmt immer wieder Posen vor der Kamera auf und redet mit sich selbst im Spiegel.</v>
      </c>
    </row>
    <row r="23456">
      <c r="A23456" s="4" t="s">
        <v>29520</v>
      </c>
      <c r="B23456" s="4" t="s">
        <v>29524</v>
      </c>
      <c r="C23456" s="5" t="str">
        <f>IFERROR(__xludf.DUMMYFUNCTION("GOOGLETRANSLATE(B23456,""en"",""de"")"),"Der Mann tritt im Schlafzimmer ein und die Frau sitzt im Bett und hält die Katze.")</f>
        <v>Der Mann tritt im Schlafzimmer ein und die Frau sitzt im Bett und hält die Katze.</v>
      </c>
    </row>
    <row r="23457">
      <c r="A23457" s="4" t="s">
        <v>29520</v>
      </c>
      <c r="B23457" s="4" t="s">
        <v>29525</v>
      </c>
      <c r="C23457" s="5" t="str">
        <f>IFERROR(__xludf.DUMMYFUNCTION("GOOGLETRANSLATE(B23457,""en"",""de"")"),"Der Mann ist wieder im Badezimmer und hält ein Messer und die Frau tritt mit einem Rückenschal um den Kopf in den Raum ein.")</f>
        <v>Der Mann ist wieder im Badezimmer und hält ein Messer und die Frau tritt mit einem Rückenschal um den Kopf in den Raum ein.</v>
      </c>
    </row>
    <row r="23458">
      <c r="A23458" s="4" t="s">
        <v>29520</v>
      </c>
      <c r="B23458" s="4" t="s">
        <v>29526</v>
      </c>
      <c r="C23458" s="5" t="str">
        <f>IFERROR(__xludf.DUMMYFUNCTION("GOOGLETRANSLATE(B23458,""en"",""de"")"),"Sie fahren das Auto und werden auf einem schneebedeckten Parkplatz geparkt.")</f>
        <v>Sie fahren das Auto und werden auf einem schneebedeckten Parkplatz geparkt.</v>
      </c>
    </row>
    <row r="23459">
      <c r="A23459" s="4" t="s">
        <v>29520</v>
      </c>
      <c r="B23459" s="4" t="s">
        <v>29527</v>
      </c>
      <c r="C23459" s="5" t="str">
        <f>IFERROR(__xludf.DUMMYFUNCTION("GOOGLETRANSLATE(B23459,""en"",""de"")"),"Sie fließen in ein Restaurant ein und gehen und gehen wieder zum Auto.")</f>
        <v>Sie fließen in ein Restaurant ein und gehen und gehen wieder zum Auto.</v>
      </c>
    </row>
    <row r="23460">
      <c r="A23460" s="4" t="s">
        <v>29520</v>
      </c>
      <c r="B23460" s="4" t="s">
        <v>29528</v>
      </c>
      <c r="C23460" s="5" t="str">
        <f>IFERROR(__xludf.DUMMYFUNCTION("GOOGLETRANSLATE(B23460,""en"",""de"")"),"Die Frau steigt ins Auto und der Mann öffnet die Tür und schnappt sich eine kleine Bürste und reinigt die Windschutzscheibe, und die Frau macht dasselbe und spielt mit dem Mann.")</f>
        <v>Die Frau steigt ins Auto und der Mann öffnet die Tür und schnappt sich eine kleine Bürste und reinigt die Windschutzscheibe, und die Frau macht dasselbe und spielt mit dem Mann.</v>
      </c>
    </row>
    <row r="23461">
      <c r="A23461" s="4" t="s">
        <v>29529</v>
      </c>
      <c r="B23461" s="4" t="s">
        <v>29530</v>
      </c>
      <c r="C23461" s="5" t="str">
        <f>IFERROR(__xludf.DUMMYFUNCTION("GOOGLETRANSLATE(B23461,""en"",""de"")"),"Eine Frau schiebt einen Puck mit anderen über das Eis, gefolgt von einem Mann, der mit der Kamera spricht.")</f>
        <v>Eine Frau schiebt einen Puck mit anderen über das Eis, gefolgt von einem Mann, der mit der Kamera spricht.</v>
      </c>
    </row>
    <row r="23462">
      <c r="A23462" s="4" t="s">
        <v>29529</v>
      </c>
      <c r="B23462" s="4" t="s">
        <v>29531</v>
      </c>
      <c r="C23462" s="5" t="str">
        <f>IFERROR(__xludf.DUMMYFUNCTION("GOOGLETRANSLATE(B23462,""en"",""de"")"),"Weitere Clips werden von Menschen gezeigt, die sich auf dem Eis kräuseln, während der Mann weiterhin mit der Kamera spricht und das Spiel in Zeitlupe gezeigt wird.")</f>
        <v>Weitere Clips werden von Menschen gezeigt, die sich auf dem Eis kräuseln, während der Mann weiterhin mit der Kamera spricht und das Spiel in Zeitlupe gezeigt wird.</v>
      </c>
    </row>
    <row r="23463">
      <c r="A23463" s="4" t="s">
        <v>29532</v>
      </c>
      <c r="B23463" s="4" t="s">
        <v>29533</v>
      </c>
      <c r="C23463" s="5" t="str">
        <f>IFERROR(__xludf.DUMMYFUNCTION("GOOGLETRANSLATE(B23463,""en"",""de"")"),"Frau trägt ein rotes Hemd und steht in einem weißen Raum mit der Kamera.")</f>
        <v>Frau trägt ein rotes Hemd und steht in einem weißen Raum mit der Kamera.</v>
      </c>
    </row>
    <row r="23464">
      <c r="A23464" s="4" t="s">
        <v>29532</v>
      </c>
      <c r="B23464" s="4" t="s">
        <v>29534</v>
      </c>
      <c r="C23464" s="5" t="str">
        <f>IFERROR(__xludf.DUMMYFUNCTION("GOOGLETRANSLATE(B23464,""en"",""de"")"),"Frau fängt an, Salsa -Schritte auf einem hölzernen Hof zu tanzen.")</f>
        <v>Frau fängt an, Salsa -Schritte auf einem hölzernen Hof zu tanzen.</v>
      </c>
    </row>
    <row r="23465">
      <c r="A23465" s="4" t="s">
        <v>29532</v>
      </c>
      <c r="B23465" s="4" t="s">
        <v>29535</v>
      </c>
      <c r="C23465" s="5" t="str">
        <f>IFERROR(__xludf.DUMMYFUNCTION("GOOGLETRANSLATE(B23465,""en"",""de"")"),"Die Frau macht Samba -Stufen und schüttelt ihre Körperseite vor die Seite.")</f>
        <v>Die Frau macht Samba -Stufen und schüttelt ihre Körperseite vor die Seite.</v>
      </c>
    </row>
    <row r="23466">
      <c r="A23466" s="4" t="s">
        <v>29536</v>
      </c>
      <c r="B23466" s="4" t="s">
        <v>29537</v>
      </c>
      <c r="C23466" s="5" t="str">
        <f>IFERROR(__xludf.DUMMYFUNCTION("GOOGLETRANSLATE(B23466,""en"",""de"")"),"Ein Intro zeigt einen Hedge -Trimmer.")</f>
        <v>Ein Intro zeigt einen Hedge -Trimmer.</v>
      </c>
    </row>
    <row r="23467">
      <c r="A23467" s="4" t="s">
        <v>29536</v>
      </c>
      <c r="B23467" s="4" t="s">
        <v>29538</v>
      </c>
      <c r="C23467" s="5" t="str">
        <f>IFERROR(__xludf.DUMMYFUNCTION("GOOGLETRANSLATE(B23467,""en"",""de"")"),"Eine Frau, die über den Hedge -Trimmer sprechen.")</f>
        <v>Eine Frau, die über den Hedge -Trimmer sprechen.</v>
      </c>
    </row>
    <row r="23468">
      <c r="A23468" s="4" t="s">
        <v>29536</v>
      </c>
      <c r="B23468" s="4" t="s">
        <v>29539</v>
      </c>
      <c r="C23468" s="5" t="str">
        <f>IFERROR(__xludf.DUMMYFUNCTION("GOOGLETRANSLATE(B23468,""en"",""de"")"),"Das Produkt wird in Aktion gezeigt und einen Busch abschneidet.")</f>
        <v>Das Produkt wird in Aktion gezeigt und einen Busch abschneidet.</v>
      </c>
    </row>
    <row r="23469">
      <c r="A23469" s="4" t="s">
        <v>29536</v>
      </c>
      <c r="B23469" s="4" t="s">
        <v>29540</v>
      </c>
      <c r="C23469" s="5" t="str">
        <f>IFERROR(__xludf.DUMMYFUNCTION("GOOGLETRANSLATE(B23469,""en"",""de"")"),"Die Frau zeigt die Klinge und das Ladegerät.")</f>
        <v>Die Frau zeigt die Klinge und das Ladegerät.</v>
      </c>
    </row>
    <row r="23470">
      <c r="A23470" s="4" t="s">
        <v>29536</v>
      </c>
      <c r="B23470" s="4" t="s">
        <v>29541</v>
      </c>
      <c r="C23470" s="5" t="str">
        <f>IFERROR(__xludf.DUMMYFUNCTION("GOOGLETRANSLATE(B23470,""en"",""de"")"),"Wir sehen das Produkt erneut.")</f>
        <v>Wir sehen das Produkt erneut.</v>
      </c>
    </row>
    <row r="23471">
      <c r="A23471" s="4" t="s">
        <v>29536</v>
      </c>
      <c r="B23471" s="4" t="s">
        <v>29542</v>
      </c>
      <c r="C23471" s="5" t="str">
        <f>IFERROR(__xludf.DUMMYFUNCTION("GOOGLETRANSLATE(B23471,""en"",""de"")"),"Die Frau zeigt den Komfortgriff.")</f>
        <v>Die Frau zeigt den Komfortgriff.</v>
      </c>
    </row>
    <row r="23472">
      <c r="A23472" s="4" t="s">
        <v>29536</v>
      </c>
      <c r="B23472" s="4" t="s">
        <v>29543</v>
      </c>
      <c r="C23472" s="5" t="str">
        <f>IFERROR(__xludf.DUMMYFUNCTION("GOOGLETRANSLATE(B23472,""en"",""de"")"),"Die Frau spricht darüber, wie man das Produkt bestellt.")</f>
        <v>Die Frau spricht darüber, wie man das Produkt bestellt.</v>
      </c>
    </row>
    <row r="23473">
      <c r="A23473" s="4" t="s">
        <v>29544</v>
      </c>
      <c r="B23473" s="4" t="s">
        <v>29545</v>
      </c>
      <c r="C23473" s="5" t="str">
        <f>IFERROR(__xludf.DUMMYFUNCTION("GOOGLETRANSLATE(B23473,""en"",""de"")"),"Ein Mann wird gesehen, der am Wasser steht und eine Axt in einer Hand und einen Holzblock in der anderen hält.")</f>
        <v>Ein Mann wird gesehen, der am Wasser steht und eine Axt in einer Hand und einen Holzblock in der anderen hält.</v>
      </c>
    </row>
    <row r="23474">
      <c r="A23474" s="4" t="s">
        <v>29544</v>
      </c>
      <c r="B23474" s="4" t="s">
        <v>29546</v>
      </c>
      <c r="C23474" s="5" t="str">
        <f>IFERROR(__xludf.DUMMYFUNCTION("GOOGLETRANSLATE(B23474,""en"",""de"")"),"Der Mann schneidet weiter Holz, während die Kamera an andere Menschen im Raum und eine Frau, die mit der Kamera spricht.")</f>
        <v>Der Mann schneidet weiter Holz, während die Kamera an andere Menschen im Raum und eine Frau, die mit der Kamera spricht.</v>
      </c>
    </row>
    <row r="23475">
      <c r="A23475" s="4" t="s">
        <v>29547</v>
      </c>
      <c r="B23475" s="4" t="s">
        <v>29548</v>
      </c>
      <c r="C23475" s="5" t="str">
        <f>IFERROR(__xludf.DUMMYFUNCTION("GOOGLETRANSLATE(B23475,""en"",""de"")"),"Eine Sportlerin ist auf einem Feld und sie beginnt einen Schuss zu werfen.")</f>
        <v>Eine Sportlerin ist auf einem Feld und sie beginnt einen Schuss zu werfen.</v>
      </c>
    </row>
    <row r="23476">
      <c r="A23476" s="4" t="s">
        <v>29547</v>
      </c>
      <c r="B23476" s="4" t="s">
        <v>29549</v>
      </c>
      <c r="C23476" s="5" t="str">
        <f>IFERROR(__xludf.DUMMYFUNCTION("GOOGLETRANSLATE(B23476,""en"",""de"")"),"Die Dame dreht und dreht sich in Zeitlupe, während Wörter oben angezeigt werden, um jede Phase zu beschreiben, die erforderlich ist, um einen Schuss erfolgreich zu werfen.")</f>
        <v>Die Dame dreht und dreht sich in Zeitlupe, während Wörter oben angezeigt werden, um jede Phase zu beschreiben, die erforderlich ist, um einen Schuss erfolgreich zu werfen.</v>
      </c>
    </row>
    <row r="23477">
      <c r="A23477" s="4" t="s">
        <v>29550</v>
      </c>
      <c r="B23477" s="4" t="s">
        <v>29551</v>
      </c>
      <c r="C23477" s="5" t="str">
        <f>IFERROR(__xludf.DUMMYFUNCTION("GOOGLETRANSLATE(B23477,""en"",""de"")"),"Wir sehen einen Mann, der langsam Tai Chi ausführt.")</f>
        <v>Wir sehen einen Mann, der langsam Tai Chi ausführt.</v>
      </c>
    </row>
    <row r="23478">
      <c r="A23478" s="4" t="s">
        <v>29550</v>
      </c>
      <c r="B23478" s="4" t="s">
        <v>29552</v>
      </c>
      <c r="C23478" s="5" t="str">
        <f>IFERROR(__xludf.DUMMYFUNCTION("GOOGLETRANSLATE(B23478,""en"",""de"")"),"Ein weißes Banner strömt über den Boden.")</f>
        <v>Ein weißes Banner strömt über den Boden.</v>
      </c>
    </row>
    <row r="23479">
      <c r="A23479" s="4" t="s">
        <v>29550</v>
      </c>
      <c r="B23479" s="4" t="s">
        <v>29553</v>
      </c>
      <c r="C23479" s="5" t="str">
        <f>IFERROR(__xludf.DUMMYFUNCTION("GOOGLETRANSLATE(B23479,""en"",""de"")"),"Der Mann hebt seine Beine vor sich und tritt dann raus.")</f>
        <v>Der Mann hebt seine Beine vor sich und tritt dann raus.</v>
      </c>
    </row>
    <row r="23480">
      <c r="A23480" s="4" t="s">
        <v>29550</v>
      </c>
      <c r="B23480" s="4" t="s">
        <v>29554</v>
      </c>
      <c r="C23480" s="5" t="str">
        <f>IFERROR(__xludf.DUMMYFUNCTION("GOOGLETRANSLATE(B23480,""en"",""de"")"),"Der Mann bleibt stehen und steht still.")</f>
        <v>Der Mann bleibt stehen und steht still.</v>
      </c>
    </row>
    <row r="23481">
      <c r="A23481" s="4" t="s">
        <v>29555</v>
      </c>
      <c r="B23481" s="4" t="s">
        <v>29556</v>
      </c>
      <c r="C23481" s="5" t="str">
        <f>IFERROR(__xludf.DUMMYFUNCTION("GOOGLETRANSLATE(B23481,""en"",""de"")"),"Eine Frau wird gesehen, wie sie ein Übungsgerät zieht, während es darum kämpft, sie zu bewegen.")</f>
        <v>Eine Frau wird gesehen, wie sie ein Übungsgerät zieht, während es darum kämpft, sie zu bewegen.</v>
      </c>
    </row>
    <row r="23482">
      <c r="A23482" s="4" t="s">
        <v>29555</v>
      </c>
      <c r="B23482" s="4" t="s">
        <v>29557</v>
      </c>
      <c r="C23482" s="5" t="str">
        <f>IFERROR(__xludf.DUMMYFUNCTION("GOOGLETRANSLATE(B23482,""en"",""de"")"),"Sie bewegt die Matte unter sich und kann dann die Stange zurück und den vierten zu sich ziehen.")</f>
        <v>Sie bewegt die Matte unter sich und kann dann die Stange zurück und den vierten zu sich ziehen.</v>
      </c>
    </row>
    <row r="23483">
      <c r="A23483" s="4" t="s">
        <v>29558</v>
      </c>
      <c r="B23483" s="4" t="s">
        <v>29559</v>
      </c>
      <c r="C23483" s="5" t="str">
        <f>IFERROR(__xludf.DUMMYFUNCTION("GOOGLETRANSLATE(B23483,""en"",""de"")"),"Ein junger Mann bei einem Outdoor -Festival macht vor einer Menge Drehtricks.")</f>
        <v>Ein junger Mann bei einem Outdoor -Festival macht vor einer Menge Drehtricks.</v>
      </c>
    </row>
    <row r="23484">
      <c r="A23484" s="4" t="s">
        <v>29558</v>
      </c>
      <c r="B23484" s="4" t="s">
        <v>29560</v>
      </c>
      <c r="C23484" s="5" t="str">
        <f>IFERROR(__xludf.DUMMYFUNCTION("GOOGLETRANSLATE(B23484,""en"",""de"")"),"Der junge Mann macht verschiedene Tricks auf einem engen Seil, ein paar Fuß über den schwarzen Matten.")</f>
        <v>Der junge Mann macht verschiedene Tricks auf einem engen Seil, ein paar Fuß über den schwarzen Matten.</v>
      </c>
    </row>
    <row r="23485">
      <c r="A23485" s="4" t="s">
        <v>29558</v>
      </c>
      <c r="B23485" s="4" t="s">
        <v>29561</v>
      </c>
      <c r="C23485" s="5" t="str">
        <f>IFERROR(__xludf.DUMMYFUNCTION("GOOGLETRANSLATE(B23485,""en"",""de"")"),"Das steigt vom Seil und geht auf den Matten vom Boden und in Richtung seiner Gruppe.")</f>
        <v>Das steigt vom Seil und geht auf den Matten vom Boden und in Richtung seiner Gruppe.</v>
      </c>
    </row>
    <row r="23486">
      <c r="A23486" s="4" t="s">
        <v>29562</v>
      </c>
      <c r="B23486" s="4" t="s">
        <v>29563</v>
      </c>
      <c r="C23486" s="5" t="str">
        <f>IFERROR(__xludf.DUMMYFUNCTION("GOOGLETRANSLATE(B23486,""en"",""de"")"),"Eine Frau sitzt auf einem Stuhl, während ein Mann verschiedene Werkzeuge benutzt, um ihr Ohr zu durchbohren.")</f>
        <v>Eine Frau sitzt auf einem Stuhl, während ein Mann verschiedene Werkzeuge benutzt, um ihr Ohr zu durchbohren.</v>
      </c>
    </row>
    <row r="23487">
      <c r="A23487" s="4" t="s">
        <v>29562</v>
      </c>
      <c r="B23487" s="4" t="s">
        <v>29564</v>
      </c>
      <c r="C23487" s="5" t="str">
        <f>IFERROR(__xludf.DUMMYFUNCTION("GOOGLETRANSLATE(B23487,""en"",""de"")"),"Der Mann beendet das Piercing und das Mädchen beginnt sich am Ende zu drehen.")</f>
        <v>Der Mann beendet das Piercing und das Mädchen beginnt sich am Ende zu drehen.</v>
      </c>
    </row>
    <row r="23488">
      <c r="A23488" s="4" t="s">
        <v>29565</v>
      </c>
      <c r="B23488" s="4" t="s">
        <v>29566</v>
      </c>
      <c r="C23488" s="5" t="str">
        <f>IFERROR(__xludf.DUMMYFUNCTION("GOOGLETRANSLATE(B23488,""en"",""de"")"),"Der Mensch steht vor Kindern in einem Hof ​​und geht und zeigt, wie man einen Korb erzielt.")</f>
        <v>Der Mensch steht vor Kindern in einem Hof ​​und geht und zeigt, wie man einen Korb erzielt.</v>
      </c>
    </row>
    <row r="23489">
      <c r="A23489" s="4" t="s">
        <v>29565</v>
      </c>
      <c r="B23489" s="4" t="s">
        <v>29567</v>
      </c>
      <c r="C23489" s="5" t="str">
        <f>IFERROR(__xludf.DUMMYFUNCTION("GOOGLETRANSLATE(B23489,""en"",""de"")"),"Der Mann wirft den Ball mit jemandem auf der anderen Seite des Hofes und machte eine Auflage und die Kinder hinter ihm im Platz tun dasselbe.")</f>
        <v>Der Mann wirft den Ball mit jemandem auf der anderen Seite des Hofes und machte eine Auflage und die Kinder hinter ihm im Platz tun dasselbe.</v>
      </c>
    </row>
    <row r="23490">
      <c r="A23490" s="4" t="s">
        <v>29565</v>
      </c>
      <c r="B23490" s="4" t="s">
        <v>29568</v>
      </c>
      <c r="C23490" s="5" t="str">
        <f>IFERROR(__xludf.DUMMYFUNCTION("GOOGLETRANSLATE(B23490,""en"",""de"")"),"Der Trainer, der das Mädchen besiegt, um den Ball zu fangen und zu rennen.")</f>
        <v>Der Trainer, der das Mädchen besiegt, um den Ball zu fangen und zu rennen.</v>
      </c>
    </row>
    <row r="23491">
      <c r="A23491" s="4" t="s">
        <v>29565</v>
      </c>
      <c r="B23491" s="4" t="s">
        <v>29569</v>
      </c>
      <c r="C23491" s="5" t="str">
        <f>IFERROR(__xludf.DUMMYFUNCTION("GOOGLETRANSLATE(B23491,""en"",""de"")"),"Das Kind macht einen Wurf und erzielte dann einen Korb, und die Kinder hinter ihr machen weiterhin gleich.")</f>
        <v>Das Kind macht einen Wurf und erzielte dann einen Korb, und die Kinder hinter ihr machen weiterhin gleich.</v>
      </c>
    </row>
    <row r="23492">
      <c r="A23492" s="4" t="s">
        <v>29570</v>
      </c>
      <c r="B23492" s="4" t="s">
        <v>29571</v>
      </c>
      <c r="C23492" s="5" t="str">
        <f>IFERROR(__xludf.DUMMYFUNCTION("GOOGLETRANSLATE(B23492,""en"",""de"")"),"Die Sonne erhebt sich über die Hügel.")</f>
        <v>Die Sonne erhebt sich über die Hügel.</v>
      </c>
    </row>
    <row r="23493">
      <c r="A23493" s="4" t="s">
        <v>29570</v>
      </c>
      <c r="B23493" s="4" t="s">
        <v>29572</v>
      </c>
      <c r="C23493" s="5" t="str">
        <f>IFERROR(__xludf.DUMMYFUNCTION("GOOGLETRANSLATE(B23493,""en"",""de"")"),"Ein Mann in Shorts geht herum.")</f>
        <v>Ein Mann in Shorts geht herum.</v>
      </c>
    </row>
    <row r="23494">
      <c r="A23494" s="4" t="s">
        <v>29570</v>
      </c>
      <c r="B23494" s="4" t="s">
        <v>29573</v>
      </c>
      <c r="C23494" s="5" t="str">
        <f>IFERROR(__xludf.DUMMYFUNCTION("GOOGLETRANSLATE(B23494,""en"",""de"")"),"Er packt sein Brett und legt es ins Wasser.")</f>
        <v>Er packt sein Brett und legt es ins Wasser.</v>
      </c>
    </row>
    <row r="23495">
      <c r="A23495" s="4" t="s">
        <v>29570</v>
      </c>
      <c r="B23495" s="4" t="s">
        <v>29574</v>
      </c>
      <c r="C23495" s="5" t="str">
        <f>IFERROR(__xludf.DUMMYFUNCTION("GOOGLETRANSLATE(B23495,""en"",""de"")"),"Der Mann steigt durch die Brett und surft.")</f>
        <v>Der Mann steigt durch die Brett und surft.</v>
      </c>
    </row>
    <row r="23496">
      <c r="A23496" s="4" t="s">
        <v>29575</v>
      </c>
      <c r="B23496" s="4" t="s">
        <v>29576</v>
      </c>
      <c r="C23496" s="5" t="str">
        <f>IFERROR(__xludf.DUMMYFUNCTION("GOOGLETRANSLATE(B23496,""en"",""de"")"),"Ein Mann nimmt ein Gewicht über seinem Kopf und lässt ihn auf den Boden fallen.")</f>
        <v>Ein Mann nimmt ein Gewicht über seinem Kopf und lässt ihn auf den Boden fallen.</v>
      </c>
    </row>
    <row r="23497">
      <c r="A23497" s="4" t="s">
        <v>29575</v>
      </c>
      <c r="B23497" s="4" t="s">
        <v>29577</v>
      </c>
      <c r="C23497" s="5" t="str">
        <f>IFERROR(__xludf.DUMMYFUNCTION("GOOGLETRANSLATE(B23497,""en"",""de"")"),"Ein Mann nimmt eine Bar auf und hebt sie mehrmals auf.")</f>
        <v>Ein Mann nimmt eine Bar auf und hebt sie mehrmals auf.</v>
      </c>
    </row>
    <row r="23498">
      <c r="A23498" s="4" t="s">
        <v>29575</v>
      </c>
      <c r="B23498" s="4" t="s">
        <v>29578</v>
      </c>
      <c r="C23498" s="5" t="str">
        <f>IFERROR(__xludf.DUMMYFUNCTION("GOOGLETRANSLATE(B23498,""en"",""de"")"),"Ein Mann in einem schwarzen Hemd steht neben ihm.")</f>
        <v>Ein Mann in einem schwarzen Hemd steht neben ihm.</v>
      </c>
    </row>
    <row r="23499">
      <c r="A23499" s="4" t="s">
        <v>29575</v>
      </c>
      <c r="B23499" s="4" t="s">
        <v>29579</v>
      </c>
      <c r="C23499" s="5" t="str">
        <f>IFERROR(__xludf.DUMMYFUNCTION("GOOGLETRANSLATE(B23499,""en"",""de"")"),"Ein anderer Mann steht neben ihm und hebt eine Bar mit.")</f>
        <v>Ein anderer Mann steht neben ihm und hebt eine Bar mit.</v>
      </c>
    </row>
    <row r="23500">
      <c r="A23500" s="4" t="s">
        <v>29580</v>
      </c>
      <c r="B23500" s="4" t="s">
        <v>29581</v>
      </c>
      <c r="C23500" s="5" t="str">
        <f>IFERROR(__xludf.DUMMYFUNCTION("GOOGLETRANSLATE(B23500,""en"",""de"")"),"Es gibt ein kleines Mädchen, das langsam die Seite hinunterrutscht, um die Hand ihrer Mutter zu halten, als sie zum ersten Mal hinunterging.")</f>
        <v>Es gibt ein kleines Mädchen, das langsam die Seite hinunterrutscht, um die Hand ihrer Mutter zu halten, als sie zum ersten Mal hinunterging.</v>
      </c>
    </row>
    <row r="23501">
      <c r="A23501" s="4" t="s">
        <v>29580</v>
      </c>
      <c r="B23501" s="4" t="s">
        <v>29582</v>
      </c>
      <c r="C23501" s="5" t="str">
        <f>IFERROR(__xludf.DUMMYFUNCTION("GOOGLETRANSLATE(B23501,""en"",""de"")"),"Das zweite Mal ging sie ohne Hilfe auf ihren Bauch.")</f>
        <v>Das zweite Mal ging sie ohne Hilfe auf ihren Bauch.</v>
      </c>
    </row>
    <row r="23502">
      <c r="A23502" s="4" t="s">
        <v>29583</v>
      </c>
      <c r="B23502" s="4" t="s">
        <v>29584</v>
      </c>
      <c r="C23502" s="5" t="str">
        <f>IFERROR(__xludf.DUMMYFUNCTION("GOOGLETRANSLATE(B23502,""en"",""de"")"),"Im Winter gibt es zwei Campen für einen Eisfischereist.")</f>
        <v>Im Winter gibt es zwei Campen für einen Eisfischereist.</v>
      </c>
    </row>
    <row r="23503">
      <c r="A23503" s="4" t="s">
        <v>29583</v>
      </c>
      <c r="B23503" s="4" t="s">
        <v>29585</v>
      </c>
      <c r="C23503" s="5" t="str">
        <f>IFERROR(__xludf.DUMMYFUNCTION("GOOGLETRANSLATE(B23503,""en"",""de"")"),"Einer der Männer kommt mit einem Fisch in der Hand aus seinem Campingzelt.")</f>
        <v>Einer der Männer kommt mit einem Fisch in der Hand aus seinem Campingzelt.</v>
      </c>
    </row>
    <row r="23504">
      <c r="A23504" s="4" t="s">
        <v>29583</v>
      </c>
      <c r="B23504" s="4" t="s">
        <v>29586</v>
      </c>
      <c r="C23504" s="5" t="str">
        <f>IFERROR(__xludf.DUMMYFUNCTION("GOOGLETRANSLATE(B23504,""en"",""de"")"),"Die beiden Männer sitzen in ihrem Schichtzelt und fischen durch ein Loch im gefrorenen See.")</f>
        <v>Die beiden Männer sitzen in ihrem Schichtzelt und fischen durch ein Loch im gefrorenen See.</v>
      </c>
    </row>
    <row r="23505">
      <c r="A23505" s="4" t="s">
        <v>29583</v>
      </c>
      <c r="B23505" s="4" t="s">
        <v>29587</v>
      </c>
      <c r="C23505" s="5" t="str">
        <f>IFERROR(__xludf.DUMMYFUNCTION("GOOGLETRANSLATE(B23505,""en"",""de"")"),"Sie sitzen geduldig mit ihren Angelruten, bis sie mit mittlerer Größe von Fischen aus den Löchern herausfischen.")</f>
        <v>Sie sitzen geduldig mit ihren Angelruten, bis sie mit mittlerer Größe von Fischen aus den Löchern herausfischen.</v>
      </c>
    </row>
    <row r="23506">
      <c r="A23506" s="4" t="s">
        <v>29583</v>
      </c>
      <c r="B23506" s="4" t="s">
        <v>29588</v>
      </c>
      <c r="C23506" s="5" t="str">
        <f>IFERROR(__xludf.DUMMYFUNCTION("GOOGLETRANSLATE(B23506,""en"",""de"")"),"Sie zeigen die Art von Fisch, die sie gefunden haben, als sie es auf dem gefrorenen Boden legen.")</f>
        <v>Sie zeigen die Art von Fisch, die sie gefunden haben, als sie es auf dem gefrorenen Boden legen.</v>
      </c>
    </row>
    <row r="23507">
      <c r="A23507" s="4" t="s">
        <v>29583</v>
      </c>
      <c r="B23507" s="4" t="s">
        <v>29589</v>
      </c>
      <c r="C23507" s="5" t="str">
        <f>IFERROR(__xludf.DUMMYFUNCTION("GOOGLETRANSLATE(B23507,""en"",""de"")"),"Einer der Männer reinigt die Fischskalen.")</f>
        <v>Einer der Männer reinigt die Fischskalen.</v>
      </c>
    </row>
    <row r="23508">
      <c r="A23508" s="4" t="s">
        <v>29583</v>
      </c>
      <c r="B23508" s="4" t="s">
        <v>29590</v>
      </c>
      <c r="C23508" s="5" t="str">
        <f>IFERROR(__xludf.DUMMYFUNCTION("GOOGLETRANSLATE(B23508,""en"",""de"")"),"Dann schneiden sie den Fisch in kleine Stücke und reinigen sie vor ihrer Garage.")</f>
        <v>Dann schneiden sie den Fisch in kleine Stücke und reinigen sie vor ihrer Garage.</v>
      </c>
    </row>
    <row r="23509">
      <c r="A23509" s="4" t="s">
        <v>29583</v>
      </c>
      <c r="B23509" s="4" t="s">
        <v>29591</v>
      </c>
      <c r="C23509" s="5" t="str">
        <f>IFERROR(__xludf.DUMMYFUNCTION("GOOGLETRANSLATE(B23509,""en"",""de"")"),"Sie schärfen das Messer, um den Fisch zu schneiden, um mit Teig bedeckte gebratene Fisch zuzubereiten.")</f>
        <v>Sie schärfen das Messer, um den Fisch zu schneiden, um mit Teig bedeckte gebratene Fisch zuzubereiten.</v>
      </c>
    </row>
    <row r="23510">
      <c r="A23510" s="4" t="s">
        <v>29583</v>
      </c>
      <c r="B23510" s="4" t="s">
        <v>29592</v>
      </c>
      <c r="C23510" s="5" t="str">
        <f>IFERROR(__xludf.DUMMYFUNCTION("GOOGLETRANSLATE(B23510,""en"",""de"")"),"Die ganze Familie sitzt zusammen auf einem großen Esstisch und genießt ein köstliches gebratenes Fischmahl.")</f>
        <v>Die ganze Familie sitzt zusammen auf einem großen Esstisch und genießt ein köstliches gebratenes Fischmahl.</v>
      </c>
    </row>
    <row r="23511">
      <c r="A23511" s="4" t="s">
        <v>29593</v>
      </c>
      <c r="B23511" s="4" t="s">
        <v>29594</v>
      </c>
      <c r="C23511" s="5" t="str">
        <f>IFERROR(__xludf.DUMMYFUNCTION("GOOGLETRANSLATE(B23511,""en"",""de"")"),"Jungen und Mädchen stapfen in einem Gericht und praktizieren Cheerleader -Choreografie, und eine Frau spricht in einem Studio in Nachrichten.")</f>
        <v>Jungen und Mädchen stapfen in einem Gericht und praktizieren Cheerleader -Choreografie, und eine Frau spricht in einem Studio in Nachrichten.</v>
      </c>
    </row>
    <row r="23512">
      <c r="A23512" s="4" t="s">
        <v>29593</v>
      </c>
      <c r="B23512" s="4" t="s">
        <v>29595</v>
      </c>
      <c r="C23512" s="5" t="str">
        <f>IFERROR(__xludf.DUMMYFUNCTION("GOOGLETRANSLATE(B23512,""en"",""de"")"),"Die High Scoo -Musikszene ist Show und ein Mann, der übt, wird interviewt und Szenen von Bring It On wird gezeigt.")</f>
        <v>Die High Scoo -Musikszene ist Show und ein Mann, der übt, wird interviewt und Szenen von Bring It On wird gezeigt.</v>
      </c>
    </row>
    <row r="23513">
      <c r="A23513" s="4" t="s">
        <v>29596</v>
      </c>
      <c r="B23513" s="4" t="s">
        <v>29597</v>
      </c>
      <c r="C23513" s="5" t="str">
        <f>IFERROR(__xludf.DUMMYFUNCTION("GOOGLETRANSLATE(B23513,""en"",""de"")"),"Ein Mann spricht vor ein paar Grafiken.")</f>
        <v>Ein Mann spricht vor ein paar Grafiken.</v>
      </c>
    </row>
    <row r="23514">
      <c r="A23514" s="4" t="s">
        <v>29596</v>
      </c>
      <c r="B23514" s="4" t="s">
        <v>29598</v>
      </c>
      <c r="C23514" s="5" t="str">
        <f>IFERROR(__xludf.DUMMYFUNCTION("GOOGLETRANSLATE(B23514,""en"",""de"")"),"Sie demonstriert die Technik mit seinem Schläger.")</f>
        <v>Sie demonstriert die Technik mit seinem Schläger.</v>
      </c>
    </row>
    <row r="23515">
      <c r="A23515" s="4" t="s">
        <v>29596</v>
      </c>
      <c r="B23515" s="4" t="s">
        <v>29599</v>
      </c>
      <c r="C23515" s="5" t="str">
        <f>IFERROR(__xludf.DUMMYFUNCTION("GOOGLETRANSLATE(B23515,""en"",""de"")"),"Dann geht er in einen Raum und spielt mit einem Mann ein Racquetball -Spiel.")</f>
        <v>Dann geht er in einen Raum und spielt mit einem Mann ein Racquetball -Spiel.</v>
      </c>
    </row>
    <row r="23516">
      <c r="A23516" s="4" t="s">
        <v>29596</v>
      </c>
      <c r="B23516" s="4" t="s">
        <v>2779</v>
      </c>
      <c r="C23516" s="5" t="str">
        <f>IFERROR(__xludf.DUMMYFUNCTION("GOOGLETRANSLATE(B23516,""en"",""de"")"),"Sie schlugen den Ball gegen die Wand hin und her.")</f>
        <v>Sie schlugen den Ball gegen die Wand hin und her.</v>
      </c>
    </row>
    <row r="23517">
      <c r="A23517" s="4" t="s">
        <v>29596</v>
      </c>
      <c r="B23517" s="4" t="s">
        <v>29600</v>
      </c>
      <c r="C23517" s="5" t="str">
        <f>IFERROR(__xludf.DUMMYFUNCTION("GOOGLETRANSLATE(B23517,""en"",""de"")"),"Wenn sie fertig sind, geht er raus und bespricht noch etwas mehr.")</f>
        <v>Wenn sie fertig sind, geht er raus und bespricht noch etwas mehr.</v>
      </c>
    </row>
    <row r="23518">
      <c r="A23518" s="4" t="s">
        <v>29601</v>
      </c>
      <c r="B23518" s="4" t="s">
        <v>29602</v>
      </c>
      <c r="C23518" s="5" t="str">
        <f>IFERROR(__xludf.DUMMYFUNCTION("GOOGLETRANSLATE(B23518,""en"",""de"")"),"Eine Ballerina wird in einem Raum wirbeln und führt in die Frau, die zur Kamera spricht und mehrere Ballettbewegungen ausführt.")</f>
        <v>Eine Ballerina wird in einem Raum wirbeln und führt in die Frau, die zur Kamera spricht und mehrere Ballettbewegungen ausführt.</v>
      </c>
    </row>
    <row r="23519">
      <c r="A23519" s="4" t="s">
        <v>29601</v>
      </c>
      <c r="B23519" s="4" t="s">
        <v>29603</v>
      </c>
      <c r="C23519" s="5" t="str">
        <f>IFERROR(__xludf.DUMMYFUNCTION("GOOGLETRANSLATE(B23519,""en"",""de"")"),"Sie steht im Barre und dann alleine, um zu demonstrieren, wie man Ballettbewegungen richtig ausführt.")</f>
        <v>Sie steht im Barre und dann alleine, um zu demonstrieren, wie man Ballettbewegungen richtig ausführt.</v>
      </c>
    </row>
    <row r="23520">
      <c r="A23520" s="4" t="s">
        <v>29601</v>
      </c>
      <c r="B23520" s="4" t="s">
        <v>29604</v>
      </c>
      <c r="C23520" s="5" t="str">
        <f>IFERROR(__xludf.DUMMYFUNCTION("GOOGLETRANSLATE(B23520,""en"",""de"")"),"Sie bewegt ihre Arme auf und ab sowie ihre Beine und spricht ständig mit der Kamera.")</f>
        <v>Sie bewegt ihre Arme auf und ab sowie ihre Beine und spricht ständig mit der Kamera.</v>
      </c>
    </row>
    <row r="23521">
      <c r="A23521" s="4" t="s">
        <v>29605</v>
      </c>
      <c r="B23521" s="4" t="s">
        <v>29606</v>
      </c>
      <c r="C23521" s="5" t="str">
        <f>IFERROR(__xludf.DUMMYFUNCTION("GOOGLETRANSLATE(B23521,""en"",""de"")"),"Ein Set von Händen ist zu sehen, wie Pinsel in einen Stapel Stöcke steckt und dann Baumwoll in den Stapel legt.")</f>
        <v>Ein Set von Händen ist zu sehen, wie Pinsel in einen Stapel Stöcke steckt und dann Baumwoll in den Stapel legt.</v>
      </c>
    </row>
    <row r="23522">
      <c r="A23522" s="4" t="s">
        <v>29605</v>
      </c>
      <c r="B23522" s="4" t="s">
        <v>29607</v>
      </c>
      <c r="C23522" s="5" t="str">
        <f>IFERROR(__xludf.DUMMYFUNCTION("GOOGLETRANSLATE(B23522,""en"",""de"")"),"Dann zündet er ein Match an und schafft ein Feuer und beugt sich dann über das Feuer, um mehr hineinzuversetzen.")</f>
        <v>Dann zündet er ein Match an und schafft ein Feuer und beugt sich dann über das Feuer, um mehr hineinzuversetzen.</v>
      </c>
    </row>
    <row r="23523">
      <c r="A23523" s="4" t="s">
        <v>29605</v>
      </c>
      <c r="B23523" s="4" t="s">
        <v>29608</v>
      </c>
      <c r="C23523" s="5" t="str">
        <f>IFERROR(__xludf.DUMMYFUNCTION("GOOGLETRANSLATE(B23523,""en"",""de"")"),"Die Kamera schließt sich in der Grube ein und legt die Protokolle um die Seite.")</f>
        <v>Die Kamera schließt sich in der Grube ein und legt die Protokolle um die Seite.</v>
      </c>
    </row>
    <row r="23524">
      <c r="A23524" s="4" t="s">
        <v>29609</v>
      </c>
      <c r="B23524" s="4" t="s">
        <v>29610</v>
      </c>
      <c r="C23524" s="5" t="str">
        <f>IFERROR(__xludf.DUMMYFUNCTION("GOOGLETRANSLATE(B23524,""en"",""de"")"),"Zwei Männer spielen Foosball in einem dunklen Raum.")</f>
        <v>Zwei Männer spielen Foosball in einem dunklen Raum.</v>
      </c>
    </row>
    <row r="23525">
      <c r="A23525" s="4" t="s">
        <v>29609</v>
      </c>
      <c r="B23525" s="4" t="s">
        <v>29611</v>
      </c>
      <c r="C23525" s="5" t="str">
        <f>IFERROR(__xludf.DUMMYFUNCTION("GOOGLETRANSLATE(B23525,""en"",""de"")"),"Sie konkurrieren intensiv mit schnellem Tempo.")</f>
        <v>Sie konkurrieren intensiv mit schnellem Tempo.</v>
      </c>
    </row>
    <row r="23526">
      <c r="A23526" s="4" t="s">
        <v>29609</v>
      </c>
      <c r="B23526" s="4" t="s">
        <v>29612</v>
      </c>
      <c r="C23526" s="5" t="str">
        <f>IFERROR(__xludf.DUMMYFUNCTION("GOOGLETRANSLATE(B23526,""en"",""de"")"),"Der Mann des Roten Teams gewinnt alle viermal.")</f>
        <v>Der Mann des Roten Teams gewinnt alle viermal.</v>
      </c>
    </row>
    <row r="23527">
      <c r="A23527" s="4" t="s">
        <v>29609</v>
      </c>
      <c r="B23527" s="4" t="s">
        <v>29613</v>
      </c>
      <c r="C23527" s="5" t="str">
        <f>IFERROR(__xludf.DUMMYFUNCTION("GOOGLETRANSLATE(B23527,""en"",""de"")"),"Jedes Mal, wenn er gewinnt, tanzt er ein wenig jubelnder Tanz.")</f>
        <v>Jedes Mal, wenn er gewinnt, tanzt er ein wenig jubelnder Tanz.</v>
      </c>
    </row>
    <row r="23528">
      <c r="A23528" s="4" t="s">
        <v>29614</v>
      </c>
      <c r="B23528" s="4" t="s">
        <v>29615</v>
      </c>
      <c r="C23528" s="5" t="str">
        <f>IFERROR(__xludf.DUMMYFUNCTION("GOOGLETRANSLATE(B23528,""en"",""de"")"),"Eine Person benutzt die Toilette in einem Stand.")</f>
        <v>Eine Person benutzt die Toilette in einem Stand.</v>
      </c>
    </row>
    <row r="23529">
      <c r="A23529" s="4" t="s">
        <v>29614</v>
      </c>
      <c r="B23529" s="4" t="s">
        <v>29616</v>
      </c>
      <c r="C23529" s="5" t="str">
        <f>IFERROR(__xludf.DUMMYFUNCTION("GOOGLETRANSLATE(B23529,""en"",""de"")"),"Der Mann verlässt das Badezimmer, ohne seine Hände zu waschen.")</f>
        <v>Der Mann verlässt das Badezimmer, ohne seine Hände zu waschen.</v>
      </c>
    </row>
    <row r="23530">
      <c r="A23530" s="4" t="s">
        <v>29614</v>
      </c>
      <c r="B23530" s="4" t="s">
        <v>29617</v>
      </c>
      <c r="C23530" s="5" t="str">
        <f>IFERROR(__xludf.DUMMYFUNCTION("GOOGLETRANSLATE(B23530,""en"",""de"")"),"Der Mann isst aus Lebensmittelgerichten mit seinen Händen.")</f>
        <v>Der Mann isst aus Lebensmittelgerichten mit seinen Händen.</v>
      </c>
    </row>
    <row r="23531">
      <c r="A23531" s="4" t="s">
        <v>29614</v>
      </c>
      <c r="B23531" s="4" t="s">
        <v>29618</v>
      </c>
      <c r="C23531" s="5" t="str">
        <f>IFERROR(__xludf.DUMMYFUNCTION("GOOGLETRANSLATE(B23531,""en"",""de"")"),"Eine Frau spielt mit den Hunden.")</f>
        <v>Eine Frau spielt mit den Hunden.</v>
      </c>
    </row>
    <row r="23532">
      <c r="A23532" s="4" t="s">
        <v>29614</v>
      </c>
      <c r="B23532" s="4" t="s">
        <v>29619</v>
      </c>
      <c r="C23532" s="5" t="str">
        <f>IFERROR(__xludf.DUMMYFUNCTION("GOOGLETRANSLATE(B23532,""en"",""de"")"),"Eine Person wäscht ihre Hände mit Schaumstoffseife in einem Waschbecken.")</f>
        <v>Eine Person wäscht ihre Hände mit Schaumstoffseife in einem Waschbecken.</v>
      </c>
    </row>
    <row r="23533">
      <c r="A23533" s="4" t="s">
        <v>29614</v>
      </c>
      <c r="B23533" s="4" t="s">
        <v>29620</v>
      </c>
      <c r="C23533" s="5" t="str">
        <f>IFERROR(__xludf.DUMMYFUNCTION("GOOGLETRANSLATE(B23533,""en"",""de"")"),"Die Person benutzt ein Papiertuch, um seine Hände zu trocknen.")</f>
        <v>Die Person benutzt ein Papiertuch, um seine Hände zu trocknen.</v>
      </c>
    </row>
    <row r="23534">
      <c r="A23534" s="4" t="s">
        <v>29614</v>
      </c>
      <c r="B23534" s="4" t="s">
        <v>29621</v>
      </c>
      <c r="C23534" s="5" t="str">
        <f>IFERROR(__xludf.DUMMYFUNCTION("GOOGLETRANSLATE(B23534,""en"",""de"")"),"Eine Person wäscht ihre Hände in einem Waschbecken aus Edelstahl.")</f>
        <v>Eine Person wäscht ihre Hände in einem Waschbecken aus Edelstahl.</v>
      </c>
    </row>
    <row r="23535">
      <c r="A23535" s="4" t="s">
        <v>29622</v>
      </c>
      <c r="B23535" s="4" t="s">
        <v>29623</v>
      </c>
      <c r="C23535" s="5" t="str">
        <f>IFERROR(__xludf.DUMMYFUNCTION("GOOGLETRANSLATE(B23535,""en"",""de"")"),"Ein unordentliches Kind isst eine Eiskegel.")</f>
        <v>Ein unordentliches Kind isst eine Eiskegel.</v>
      </c>
    </row>
    <row r="23536">
      <c r="A23536" s="4" t="s">
        <v>29622</v>
      </c>
      <c r="B23536" s="4" t="s">
        <v>29624</v>
      </c>
      <c r="C23536" s="5" t="str">
        <f>IFERROR(__xludf.DUMMYFUNCTION("GOOGLETRANSLATE(B23536,""en"",""de"")"),"Er beißt die Eltern Eiskegel.")</f>
        <v>Er beißt die Eltern Eiskegel.</v>
      </c>
    </row>
    <row r="23537">
      <c r="A23537" s="4" t="s">
        <v>29622</v>
      </c>
      <c r="B23537" s="4" t="s">
        <v>29625</v>
      </c>
      <c r="C23537" s="5" t="str">
        <f>IFERROR(__xludf.DUMMYFUNCTION("GOOGLETRANSLATE(B23537,""en"",""de"")"),"Der Elternteil passt den Kegel für das Kind an.")</f>
        <v>Der Elternteil passt den Kegel für das Kind an.</v>
      </c>
    </row>
    <row r="23538">
      <c r="A23538" s="4" t="s">
        <v>29622</v>
      </c>
      <c r="B23538" s="4" t="s">
        <v>29626</v>
      </c>
      <c r="C23538" s="5" t="str">
        <f>IFERROR(__xludf.DUMMYFUNCTION("GOOGLETRANSLATE(B23538,""en"",""de"")"),"Das Elternteil wischt Eis aus dem Gesicht des Kindes.")</f>
        <v>Das Elternteil wischt Eis aus dem Gesicht des Kindes.</v>
      </c>
    </row>
    <row r="23539">
      <c r="A23539" s="4" t="s">
        <v>29627</v>
      </c>
      <c r="B23539" s="4" t="s">
        <v>29628</v>
      </c>
      <c r="C23539" s="5" t="str">
        <f>IFERROR(__xludf.DUMMYFUNCTION("GOOGLETRANSLATE(B23539,""en"",""de"")"),"Ein Angestellter der Strandpatrouille spricht darüber, wie man einen sicheren Tag am Strand hat.")</f>
        <v>Ein Angestellter der Strandpatrouille spricht darüber, wie man einen sicheren Tag am Strand hat.</v>
      </c>
    </row>
    <row r="23540">
      <c r="A23540" s="4" t="s">
        <v>29627</v>
      </c>
      <c r="B23540" s="4" t="s">
        <v>29629</v>
      </c>
      <c r="C23540" s="5" t="str">
        <f>IFERROR(__xludf.DUMMYFUNCTION("GOOGLETRANSLATE(B23540,""en"",""de"")"),"Sonnenschutzmittel wird angesprochen und er überblickt, wie und warum Sonnenschutzmittel richtig anwenden sollen.")</f>
        <v>Sonnenschutzmittel wird angesprochen und er überblickt, wie und warum Sonnenschutzmittel richtig anwenden sollen.</v>
      </c>
    </row>
    <row r="23541">
      <c r="A23541" s="4" t="s">
        <v>29627</v>
      </c>
      <c r="B23541" s="4" t="s">
        <v>29630</v>
      </c>
      <c r="C23541" s="5" t="str">
        <f>IFERROR(__xludf.DUMMYFUNCTION("GOOGLETRANSLATE(B23541,""en"",""de"")"),"Sonnenschutz -SPF -Wert wird mit einer Folie angesprochen, wie man auf den richtigen SPF achtet.")</f>
        <v>Sonnenschutz -SPF -Wert wird mit einer Folie angesprochen, wie man auf den richtigen SPF achtet.</v>
      </c>
    </row>
    <row r="23542">
      <c r="A23542" s="4" t="s">
        <v>29627</v>
      </c>
      <c r="B23542" s="4" t="s">
        <v>29631</v>
      </c>
      <c r="C23542" s="5" t="str">
        <f>IFERROR(__xludf.DUMMYFUNCTION("GOOGLETRANSLATE(B23542,""en"",""de"")"),"Er befasst sich mit den negativen Auswirkungen von Sonnenbränden, insbesondere mit Kindern.")</f>
        <v>Er befasst sich mit den negativen Auswirkungen von Sonnenbränden, insbesondere mit Kindern.</v>
      </c>
    </row>
    <row r="23543">
      <c r="A23543" s="4" t="s">
        <v>29627</v>
      </c>
      <c r="B23543" s="4" t="s">
        <v>29632</v>
      </c>
      <c r="C23543" s="5" t="str">
        <f>IFERROR(__xludf.DUMMYFUNCTION("GOOGLETRANSLATE(B23543,""en"",""de"")"),"Anschließend spricht er über verschiedene Arten von Sonnenschutzmitteln, um sicherzustellen, dass Sie sicher abgedeckt sind.")</f>
        <v>Anschließend spricht er über verschiedene Arten von Sonnenschutzmitteln, um sicherzustellen, dass Sie sicher abgedeckt sind.</v>
      </c>
    </row>
    <row r="23544">
      <c r="A23544" s="4" t="s">
        <v>29627</v>
      </c>
      <c r="B23544" s="4" t="s">
        <v>29633</v>
      </c>
      <c r="C23544" s="5" t="str">
        <f>IFERROR(__xludf.DUMMYFUNCTION("GOOGLETRANSLATE(B23544,""en"",""de"")"),"Kinder -Sonnenschutzsicherheit wird dann gesprochen und wie Sie Ihre Kinder richtig schützen.")</f>
        <v>Kinder -Sonnenschutzsicherheit wird dann gesprochen und wie Sie Ihre Kinder richtig schützen.</v>
      </c>
    </row>
    <row r="23545">
      <c r="A23545" s="4" t="s">
        <v>29627</v>
      </c>
      <c r="B23545" s="4" t="s">
        <v>29634</v>
      </c>
      <c r="C23545" s="5" t="str">
        <f>IFERROR(__xludf.DUMMYFUNCTION("GOOGLETRANSLATE(B23545,""en"",""de"")"),"Dann diskutiert er, was zu tun ist, wenn ein Sonnenbrand auftritt, wie er damit umgeht, um sich um Ihre Haut zu kümmern.")</f>
        <v>Dann diskutiert er, was zu tun ist, wenn ein Sonnenbrand auftritt, wie er damit umgeht, um sich um Ihre Haut zu kümmern.</v>
      </c>
    </row>
    <row r="23546">
      <c r="A23546" s="4" t="s">
        <v>29627</v>
      </c>
      <c r="B23546" s="4" t="s">
        <v>29635</v>
      </c>
      <c r="C23546" s="5" t="str">
        <f>IFERROR(__xludf.DUMMYFUNCTION("GOOGLETRANSLATE(B23546,""en"",""de"")"),"Es wird gezeigt, dass ein Rutsch uns aufmerksam macht, wann ein Sonnenbrand schlecht ist und medizinische Hilfe braucht.")</f>
        <v>Es wird gezeigt, dass ein Rutsch uns aufmerksam macht, wann ein Sonnenbrand schlecht ist und medizinische Hilfe braucht.</v>
      </c>
    </row>
    <row r="23547">
      <c r="A23547" s="4" t="s">
        <v>29627</v>
      </c>
      <c r="B23547" s="4" t="s">
        <v>29636</v>
      </c>
      <c r="C23547" s="5" t="str">
        <f>IFERROR(__xludf.DUMMYFUNCTION("GOOGLETRANSLATE(B23547,""en"",""de"")"),"Dann nimmt er einen weiteren Überblick darüber, wie Sie Sonnenschutzmittel verwenden, um Ihren Tag angenehm zu machen.")</f>
        <v>Dann nimmt er einen weiteren Überblick darüber, wie Sie Sonnenschutzmittel verwenden, um Ihren Tag angenehm zu machen.</v>
      </c>
    </row>
    <row r="23548">
      <c r="A23548" s="4" t="s">
        <v>29637</v>
      </c>
      <c r="B23548" s="4" t="s">
        <v>29638</v>
      </c>
      <c r="C23548" s="5" t="str">
        <f>IFERROR(__xludf.DUMMYFUNCTION("GOOGLETRANSLATE(B23548,""en"",""de"")"),"Es werden mehrere Kistenclips angezeigt und Leute, die sich auf einer Bühne bewegen und ein Publikum beobachtet.")</f>
        <v>Es werden mehrere Kistenclips angezeigt und Leute, die sich auf einer Bühne bewegen und ein Publikum beobachtet.</v>
      </c>
    </row>
    <row r="23549">
      <c r="A23549" s="4" t="s">
        <v>29637</v>
      </c>
      <c r="B23549" s="4" t="s">
        <v>29639</v>
      </c>
      <c r="C23549" s="5" t="str">
        <f>IFERROR(__xludf.DUMMYFUNCTION("GOOGLETRANSLATE(B23549,""en"",""de"")"),"Das Video führt zu mehreren Personen, die Fenster so schnell wie möglich waschen, während viele sie nebenbei beobachten.")</f>
        <v>Das Video führt zu mehreren Personen, die Fenster so schnell wie möglich waschen, während viele sie nebenbei beobachten.</v>
      </c>
    </row>
    <row r="23550">
      <c r="A23550" s="4" t="s">
        <v>29637</v>
      </c>
      <c r="B23550" s="4" t="s">
        <v>29640</v>
      </c>
      <c r="C23550" s="5" t="str">
        <f>IFERROR(__xludf.DUMMYFUNCTION("GOOGLETRANSLATE(B23550,""en"",""de"")"),"Viele Männer sprechen sowohl mit der Kamera als auch mit den Personen, die die Ergebnisse und mehr Fensterwaschen ankündigen.")</f>
        <v>Viele Männer sprechen sowohl mit der Kamera als auch mit den Personen, die die Ergebnisse und mehr Fensterwaschen ankündigen.</v>
      </c>
    </row>
    <row r="23551">
      <c r="A23551" s="4" t="s">
        <v>29641</v>
      </c>
      <c r="B23551" s="4" t="s">
        <v>29642</v>
      </c>
      <c r="C23551" s="5" t="str">
        <f>IFERROR(__xludf.DUMMYFUNCTION("GOOGLETRANSLATE(B23551,""en"",""de"")"),"Frau zeigt ihre Nägel mit einer süßen Maniküre und einigen Polituren hinter ihrer Hand.")</f>
        <v>Frau zeigt ihre Nägel mit einer süßen Maniküre und einigen Polituren hinter ihrer Hand.</v>
      </c>
    </row>
    <row r="23552">
      <c r="A23552" s="4" t="s">
        <v>29641</v>
      </c>
      <c r="B23552" s="4" t="s">
        <v>29643</v>
      </c>
      <c r="C23552" s="5" t="str">
        <f>IFERROR(__xludf.DUMMYFUNCTION("GOOGLETRANSLATE(B23552,""en"",""de"")"),"Frau hält einen rosa Politur und fängt an, ihren Nagel zu malen.")</f>
        <v>Frau hält einen rosa Politur und fängt an, ihren Nagel zu malen.</v>
      </c>
    </row>
    <row r="23553">
      <c r="A23553" s="4" t="s">
        <v>29641</v>
      </c>
      <c r="B23553" s="4" t="s">
        <v>29644</v>
      </c>
      <c r="C23553" s="5" t="str">
        <f>IFERROR(__xludf.DUMMYFUNCTION("GOOGLETRANSLATE(B23553,""en"",""de"")"),"Und mit einem kleinen Schwamm und einem kleinen Stecknadel den Nagel mit weißer blauem und lila Farbe malen.")</f>
        <v>Und mit einem kleinen Schwamm und einem kleinen Stecknadel den Nagel mit weißer blauem und lila Farbe malen.</v>
      </c>
    </row>
    <row r="23554">
      <c r="A23554" s="4" t="s">
        <v>29641</v>
      </c>
      <c r="B23554" s="4" t="s">
        <v>29645</v>
      </c>
      <c r="C23554" s="5" t="str">
        <f>IFERROR(__xludf.DUMMYFUNCTION("GOOGLETRANSLATE(B23554,""en"",""de"")"),"Mit einem kleinen Busch setze SOM WWHITE Punkte und reinige den Nagel.")</f>
        <v>Mit einem kleinen Busch setze SOM WWHITE Punkte und reinige den Nagel.</v>
      </c>
    </row>
    <row r="23555">
      <c r="A23555" s="4" t="s">
        <v>29641</v>
      </c>
      <c r="B23555" s="4" t="s">
        <v>29646</v>
      </c>
      <c r="C23555" s="5" t="str">
        <f>IFERROR(__xludf.DUMMYFUNCTION("GOOGLETRANSLATE(B23555,""en"",""de"")"),"Frau schnitt ein rotes Papier und malt mit frostiger grauer Lack.")</f>
        <v>Frau schnitt ein rotes Papier und malt mit frostiger grauer Lack.</v>
      </c>
    </row>
    <row r="23556">
      <c r="A23556" s="4" t="s">
        <v>29647</v>
      </c>
      <c r="B23556" s="4" t="s">
        <v>29648</v>
      </c>
      <c r="C23556" s="5" t="str">
        <f>IFERROR(__xludf.DUMMYFUNCTION("GOOGLETRANSLATE(B23556,""en"",""de"")"),"Auf einer Küchentheke befindet sich eine Shisha.")</f>
        <v>Auf einer Küchentheke befindet sich eine Shisha.</v>
      </c>
    </row>
    <row r="23557">
      <c r="A23557" s="4" t="s">
        <v>29647</v>
      </c>
      <c r="B23557" s="4" t="s">
        <v>29649</v>
      </c>
      <c r="C23557" s="5" t="str">
        <f>IFERROR(__xludf.DUMMYFUNCTION("GOOGLETRANSLATE(B23557,""en"",""de"")"),"Ein Mann, der ein schwarzes ärmelloses Hemd trägt, kommt dorthin und kniet nach unten, um die Shisha zu rauchen.")</f>
        <v>Ein Mann, der ein schwarzes ärmelloses Hemd trägt, kommt dorthin und kniet nach unten, um die Shisha zu rauchen.</v>
      </c>
    </row>
    <row r="23558">
      <c r="A23558" s="4" t="s">
        <v>29647</v>
      </c>
      <c r="B23558" s="4" t="s">
        <v>29650</v>
      </c>
      <c r="C23558" s="5" t="str">
        <f>IFERROR(__xludf.DUMMYFUNCTION("GOOGLETRANSLATE(B23558,""en"",""de"")"),"Er raucht die Shisha und bläst Rauch aus.")</f>
        <v>Er raucht die Shisha und bläst Rauch aus.</v>
      </c>
    </row>
    <row r="23559">
      <c r="A23559" s="4" t="s">
        <v>29647</v>
      </c>
      <c r="B23559" s="4" t="s">
        <v>29651</v>
      </c>
      <c r="C23559" s="5" t="str">
        <f>IFERROR(__xludf.DUMMYFUNCTION("GOOGLETRANSLATE(B23559,""en"",""de"")"),"Er nimmt ein paar Puffs der Shisha und atmet den Rauch aus.")</f>
        <v>Er nimmt ein paar Puffs der Shisha und atmet den Rauch aus.</v>
      </c>
    </row>
    <row r="23560">
      <c r="A23560" s="4" t="s">
        <v>29647</v>
      </c>
      <c r="B23560" s="4" t="s">
        <v>29652</v>
      </c>
      <c r="C23560" s="5" t="str">
        <f>IFERROR(__xludf.DUMMYFUNCTION("GOOGLETRANSLATE(B23560,""en"",""de"")"),"Er raucht weiter, indem er lange Puffs der Shisha nimmt und dann geht.")</f>
        <v>Er raucht weiter, indem er lange Puffs der Shisha nimmt und dann geht.</v>
      </c>
    </row>
    <row r="23561">
      <c r="A23561" s="4" t="s">
        <v>29653</v>
      </c>
      <c r="B23561" s="4" t="s">
        <v>29654</v>
      </c>
      <c r="C23561" s="5" t="str">
        <f>IFERROR(__xludf.DUMMYFUNCTION("GOOGLETRANSLATE(B23561,""en"",""de"")"),"Eine Nahaufnahme einer Tasche ist zu sehen, gefolgt von einer Frau, die in die Kamera schaut.")</f>
        <v>Eine Nahaufnahme einer Tasche ist zu sehen, gefolgt von einer Frau, die in die Kamera schaut.</v>
      </c>
    </row>
    <row r="23562">
      <c r="A23562" s="4" t="s">
        <v>29653</v>
      </c>
      <c r="B23562" s="4" t="s">
        <v>29655</v>
      </c>
      <c r="C23562" s="5" t="str">
        <f>IFERROR(__xludf.DUMMYFUNCTION("GOOGLETRANSLATE(B23562,""en"",""de"")"),"Sie hält ein Telefon hoch und spricht in den Spiegel.")</f>
        <v>Sie hält ein Telefon hoch und spricht in den Spiegel.</v>
      </c>
    </row>
    <row r="23563">
      <c r="A23563" s="4" t="s">
        <v>29653</v>
      </c>
      <c r="B23563" s="4" t="s">
        <v>29656</v>
      </c>
      <c r="C23563" s="5" t="str">
        <f>IFERROR(__xludf.DUMMYFUNCTION("GOOGLETRANSLATE(B23563,""en"",""de"")"),"Schließlich springt sie ein bisschen auf und ab und endet, indem sie die Kamera ausschaltet.")</f>
        <v>Schließlich springt sie ein bisschen auf und ab und endet, indem sie die Kamera ausschaltet.</v>
      </c>
    </row>
    <row r="23564">
      <c r="A23564" s="4" t="s">
        <v>29657</v>
      </c>
      <c r="B23564" s="4" t="s">
        <v>29658</v>
      </c>
      <c r="C23564" s="5" t="str">
        <f>IFERROR(__xludf.DUMMYFUNCTION("GOOGLETRANSLATE(B23564,""en"",""de"")"),"Ein Mann in einer überfüllten Garage mit vielen Werkzeugen spricht mit der Kamera, während er ein Stück Papier hält.")</f>
        <v>Ein Mann in einer überfüllten Garage mit vielen Werkzeugen spricht mit der Kamera, während er ein Stück Papier hält.</v>
      </c>
    </row>
    <row r="23565">
      <c r="A23565" s="4" t="s">
        <v>29657</v>
      </c>
      <c r="B23565" s="4" t="s">
        <v>29659</v>
      </c>
      <c r="C23565" s="5" t="str">
        <f>IFERROR(__xludf.DUMMYFUNCTION("GOOGLETRANSLATE(B23565,""en"",""de"")"),"Er klopft kontinuierlich auf ein Papier auf ein Eisenwerkzeug und streift das Papier gegen ein langes Stück Holz.")</f>
        <v>Er klopft kontinuierlich auf ein Papier auf ein Eisenwerkzeug und streift das Papier gegen ein langes Stück Holz.</v>
      </c>
    </row>
    <row r="23566">
      <c r="A23566" s="4" t="s">
        <v>29657</v>
      </c>
      <c r="B23566" s="4" t="s">
        <v>29660</v>
      </c>
      <c r="C23566" s="5" t="str">
        <f>IFERROR(__xludf.DUMMYFUNCTION("GOOGLETRANSLATE(B23566,""en"",""de"")"),"Er legt das Stück Papier nieder und nimmt das Eisenwerkzeug direkt in das Stück Holz.")</f>
        <v>Er legt das Stück Papier nieder und nimmt das Eisenwerkzeug direkt in das Stück Holz.</v>
      </c>
    </row>
    <row r="23567">
      <c r="A23567" s="4" t="s">
        <v>29657</v>
      </c>
      <c r="B23567" s="4" t="s">
        <v>29661</v>
      </c>
      <c r="C23567" s="5" t="str">
        <f>IFERROR(__xludf.DUMMYFUNCTION("GOOGLETRANSLATE(B23567,""en"",""de"")"),"Er nimmt ein Papiertuch auf und drückt das Eisen mit einer Hand gegen das Stück Holz, während er mit der anderen Hand ein Papiertuch über die gebügelten Bereiche des Bretts zieht.")</f>
        <v>Er nimmt ein Papiertuch auf und drückt das Eisen mit einer Hand gegen das Stück Holz, während er mit der anderen Hand ein Papiertuch über die gebügelten Bereiche des Bretts zieht.</v>
      </c>
    </row>
    <row r="23568">
      <c r="A23568" s="4" t="s">
        <v>29657</v>
      </c>
      <c r="B23568" s="4" t="s">
        <v>29662</v>
      </c>
      <c r="C23568" s="5" t="str">
        <f>IFERROR(__xludf.DUMMYFUNCTION("GOOGLETRANSLATE(B23568,""en"",""de"")"),"Er legt das Eisen nieder.")</f>
        <v>Er legt das Eisen nieder.</v>
      </c>
    </row>
    <row r="23569">
      <c r="A23569" s="4" t="s">
        <v>29657</v>
      </c>
      <c r="B23569" s="4" t="s">
        <v>29663</v>
      </c>
      <c r="C23569" s="5" t="str">
        <f>IFERROR(__xludf.DUMMYFUNCTION("GOOGLETRANSLATE(B23569,""en"",""de"")"),"Er nimmt das Papiertuch und reinigt schnell das Stück Holz.")</f>
        <v>Er nimmt das Papiertuch und reinigt schnell das Stück Holz.</v>
      </c>
    </row>
    <row r="23570">
      <c r="A23570" s="4" t="s">
        <v>29664</v>
      </c>
      <c r="B23570" s="4" t="s">
        <v>29665</v>
      </c>
      <c r="C23570" s="5" t="str">
        <f>IFERROR(__xludf.DUMMYFUNCTION("GOOGLETRANSLATE(B23570,""en"",""de"")"),"Ein Mann gießt eine Flüssigkeit auf einen Tisch.")</f>
        <v>Ein Mann gießt eine Flüssigkeit auf einen Tisch.</v>
      </c>
    </row>
    <row r="23571">
      <c r="A23571" s="4" t="s">
        <v>29664</v>
      </c>
      <c r="B23571" s="4" t="s">
        <v>29666</v>
      </c>
      <c r="C23571" s="5" t="str">
        <f>IFERROR(__xludf.DUMMYFUNCTION("GOOGLETRANSLATE(B23571,""en"",""de"")"),"Mit einem Pinsel bedeckt er den Tisch mit der Flüssigkeit.")</f>
        <v>Mit einem Pinsel bedeckt er den Tisch mit der Flüssigkeit.</v>
      </c>
    </row>
    <row r="23572">
      <c r="A23572" s="4" t="s">
        <v>29664</v>
      </c>
      <c r="B23572" s="4" t="s">
        <v>29667</v>
      </c>
      <c r="C23572" s="5" t="str">
        <f>IFERROR(__xludf.DUMMYFUNCTION("GOOGLETRANSLATE(B23572,""en"",""de"")"),"Er entfernt Lack aus der Spitze des Tisches.")</f>
        <v>Er entfernt Lack aus der Spitze des Tisches.</v>
      </c>
    </row>
    <row r="23573">
      <c r="A23573" s="4" t="s">
        <v>29664</v>
      </c>
      <c r="B23573" s="4" t="s">
        <v>29668</v>
      </c>
      <c r="C23573" s="5" t="str">
        <f>IFERROR(__xludf.DUMMYFUNCTION("GOOGLETRANSLATE(B23573,""en"",""de"")"),"Danach macht er eine leichte Tischschleife.")</f>
        <v>Danach macht er eine leichte Tischschleife.</v>
      </c>
    </row>
    <row r="23574">
      <c r="A23574" s="4" t="s">
        <v>29664</v>
      </c>
      <c r="B23574" s="4" t="s">
        <v>29669</v>
      </c>
      <c r="C23574" s="5" t="str">
        <f>IFERROR(__xludf.DUMMYFUNCTION("GOOGLETRANSLATE(B23574,""en"",""de"")"),"Mit einem Tackteppich entfernt er den Staub.")</f>
        <v>Mit einem Tackteppich entfernt er den Staub.</v>
      </c>
    </row>
    <row r="23575">
      <c r="A23575" s="4" t="s">
        <v>29664</v>
      </c>
      <c r="B23575" s="4" t="s">
        <v>29670</v>
      </c>
      <c r="C23575" s="5" t="str">
        <f>IFERROR(__xludf.DUMMYFUNCTION("GOOGLETRANSLATE(B23575,""en"",""de"")"),"Er trägt Handschuhe und wendet einen Fleck auf den Tisch.")</f>
        <v>Er trägt Handschuhe und wendet einen Fleck auf den Tisch.</v>
      </c>
    </row>
    <row r="23576">
      <c r="A23576" s="4" t="s">
        <v>29664</v>
      </c>
      <c r="B23576" s="4" t="s">
        <v>29671</v>
      </c>
      <c r="C23576" s="5" t="str">
        <f>IFERROR(__xludf.DUMMYFUNCTION("GOOGLETRANSLATE(B23576,""en"",""de"")"),"Schließlich poliert er den Tisch und zeigt sein Endergebnis.")</f>
        <v>Schließlich poliert er den Tisch und zeigt sein Endergebnis.</v>
      </c>
    </row>
    <row r="23577">
      <c r="A23577" s="4" t="s">
        <v>29672</v>
      </c>
      <c r="B23577" s="4" t="s">
        <v>29673</v>
      </c>
      <c r="C23577" s="5" t="str">
        <f>IFERROR(__xludf.DUMMYFUNCTION("GOOGLETRANSLATE(B23577,""en"",""de"")"),"Frau Smith gibt ein Interview über das Gewichtsheben. Sie spricht darüber, wie sie um 12 Uhr begonnen hat.")</f>
        <v>Frau Smith gibt ein Interview über das Gewichtsheben. Sie spricht darüber, wie sie um 12 Uhr begonnen hat.</v>
      </c>
    </row>
    <row r="23578">
      <c r="A23578" s="4" t="s">
        <v>29672</v>
      </c>
      <c r="B23578" s="4" t="s">
        <v>29674</v>
      </c>
      <c r="C23578" s="5" t="str">
        <f>IFERROR(__xludf.DUMMYFUNCTION("GOOGLETRANSLATE(B23578,""en"",""de"")"),"Der Trainer spricht kurz darüber, wie sie vor jedem Wettbewerb ruhen.")</f>
        <v>Der Trainer spricht kurz darüber, wie sie vor jedem Wettbewerb ruhen.</v>
      </c>
    </row>
    <row r="23579">
      <c r="A23579" s="4" t="s">
        <v>29672</v>
      </c>
      <c r="B23579" s="4" t="s">
        <v>29675</v>
      </c>
      <c r="C23579" s="5" t="str">
        <f>IFERROR(__xludf.DUMMYFUNCTION("GOOGLETRANSLATE(B23579,""en"",""de"")"),"Sie hebt das Gewicht über ihrem Kopf und lässt sie ihre Uniform fallen lassen.")</f>
        <v>Sie hebt das Gewicht über ihrem Kopf und lässt sie ihre Uniform fallen lassen.</v>
      </c>
    </row>
    <row r="23580">
      <c r="A23580" s="4" t="s">
        <v>29672</v>
      </c>
      <c r="B23580" s="4" t="s">
        <v>29676</v>
      </c>
      <c r="C23580" s="5" t="str">
        <f>IFERROR(__xludf.DUMMYFUNCTION("GOOGLETRANSLATE(B23580,""en"",""de"")"),"Alle klatschen für sie, und dann hört man wieder von ihr und dem Trainer, bevor das Interview vorbei ist.")</f>
        <v>Alle klatschen für sie, und dann hört man wieder von ihr und dem Trainer, bevor das Interview vorbei ist.</v>
      </c>
    </row>
    <row r="23581">
      <c r="A23581" s="4" t="s">
        <v>29677</v>
      </c>
      <c r="B23581" s="4" t="s">
        <v>29678</v>
      </c>
      <c r="C23581" s="5" t="str">
        <f>IFERROR(__xludf.DUMMYFUNCTION("GOOGLETRANSLATE(B23581,""en"",""de"")"),"Eine nächtliche Aussicht auf eine Stadt wird durch ein Fenster angezeigt.")</f>
        <v>Eine nächtliche Aussicht auf eine Stadt wird durch ein Fenster angezeigt.</v>
      </c>
    </row>
    <row r="23582">
      <c r="A23582" s="4" t="s">
        <v>29677</v>
      </c>
      <c r="B23582" s="4" t="s">
        <v>29679</v>
      </c>
      <c r="C23582" s="5" t="str">
        <f>IFERROR(__xludf.DUMMYFUNCTION("GOOGLETRANSLATE(B23582,""en"",""de"")"),"Ein Mann in einem Kochmantel steht in einer Küche, die mit der Kamera spricht.")</f>
        <v>Ein Mann in einem Kochmantel steht in einer Küche, die mit der Kamera spricht.</v>
      </c>
    </row>
    <row r="23583">
      <c r="A23583" s="4" t="s">
        <v>29677</v>
      </c>
      <c r="B23583" s="4" t="s">
        <v>29680</v>
      </c>
      <c r="C23583" s="5" t="str">
        <f>IFERROR(__xludf.DUMMYFUNCTION("GOOGLETRANSLATE(B23583,""en"",""de"")"),"Ein Pfannkuchen wird gezeigt, wobei Sirup darauf gegossen wird.")</f>
        <v>Ein Pfannkuchen wird gezeigt, wobei Sirup darauf gegossen wird.</v>
      </c>
    </row>
    <row r="23584">
      <c r="A23584" s="4" t="s">
        <v>29677</v>
      </c>
      <c r="B23584" s="4" t="s">
        <v>29681</v>
      </c>
      <c r="C23584" s="5" t="str">
        <f>IFERROR(__xludf.DUMMYFUNCTION("GOOGLETRANSLATE(B23584,""en"",""de"")"),"Zutaten werden in eine Schüssel gegeben.")</f>
        <v>Zutaten werden in eine Schüssel gegeben.</v>
      </c>
    </row>
    <row r="23585">
      <c r="A23585" s="4" t="s">
        <v>29677</v>
      </c>
      <c r="B23585" s="4" t="s">
        <v>29682</v>
      </c>
      <c r="C23585" s="5" t="str">
        <f>IFERROR(__xludf.DUMMYFUNCTION("GOOGLETRANSLATE(B23585,""en"",""de"")"),"Der Mann knackt ein Ei und wischt die Zutaten in einer Schüssel.")</f>
        <v>Der Mann knackt ein Ei und wischt die Zutaten in einer Schüssel.</v>
      </c>
    </row>
    <row r="23586">
      <c r="A23586" s="4" t="s">
        <v>29677</v>
      </c>
      <c r="B23586" s="4" t="s">
        <v>29683</v>
      </c>
      <c r="C23586" s="5" t="str">
        <f>IFERROR(__xludf.DUMMYFUNCTION("GOOGLETRANSLATE(B23586,""en"",""de"")"),"Eine Kelle wird neben der Schüssel gezeigt.")</f>
        <v>Eine Kelle wird neben der Schüssel gezeigt.</v>
      </c>
    </row>
    <row r="23587">
      <c r="A23587" s="4" t="s">
        <v>29677</v>
      </c>
      <c r="B23587" s="4" t="s">
        <v>29684</v>
      </c>
      <c r="C23587" s="5" t="str">
        <f>IFERROR(__xludf.DUMMYFUNCTION("GOOGLETRANSLATE(B23587,""en"",""de"")"),"Der Mann beschreibt den Pfannkuchen -Teig auf die Bratpfanne.")</f>
        <v>Der Mann beschreibt den Pfannkuchen -Teig auf die Bratpfanne.</v>
      </c>
    </row>
    <row r="23588">
      <c r="A23588" s="4" t="s">
        <v>29677</v>
      </c>
      <c r="B23588" s="4" t="s">
        <v>29685</v>
      </c>
      <c r="C23588" s="5" t="str">
        <f>IFERROR(__xludf.DUMMYFUNCTION("GOOGLETRANSLATE(B23588,""en"",""de"")"),"Der Mann dreht die Pfannkuchen.")</f>
        <v>Der Mann dreht die Pfannkuchen.</v>
      </c>
    </row>
    <row r="23589">
      <c r="A23589" s="4" t="s">
        <v>29677</v>
      </c>
      <c r="B23589" s="4" t="s">
        <v>29686</v>
      </c>
      <c r="C23589" s="5" t="str">
        <f>IFERROR(__xludf.DUMMYFUNCTION("GOOGLETRANSLATE(B23589,""en"",""de"")"),"Der Pfannkuchen wird auf einen Teller gelegt und Sirup wird darauf gegossen.")</f>
        <v>Der Pfannkuchen wird auf einen Teller gelegt und Sirup wird darauf gegossen.</v>
      </c>
    </row>
    <row r="23590">
      <c r="A23590" s="4" t="s">
        <v>29677</v>
      </c>
      <c r="B23590" s="4" t="s">
        <v>29687</v>
      </c>
      <c r="C23590" s="5" t="str">
        <f>IFERROR(__xludf.DUMMYFUNCTION("GOOGLETRANSLATE(B23590,""en"",""de"")"),"Der Mann wird gezeigt, wie ein Stück Pfannkuchen isst.")</f>
        <v>Der Mann wird gezeigt, wie ein Stück Pfannkuchen isst.</v>
      </c>
    </row>
    <row r="23591">
      <c r="A23591" s="4" t="s">
        <v>29677</v>
      </c>
      <c r="B23591" s="4" t="s">
        <v>29688</v>
      </c>
      <c r="C23591" s="5" t="str">
        <f>IFERROR(__xludf.DUMMYFUNCTION("GOOGLETRANSLATE(B23591,""en"",""de"")"),"Der Mann spricht weiter mit der Kamera, während er ein Stück Pfannkuchen hält.")</f>
        <v>Der Mann spricht weiter mit der Kamera, während er ein Stück Pfannkuchen hält.</v>
      </c>
    </row>
    <row r="23592">
      <c r="A23592" s="4" t="s">
        <v>29677</v>
      </c>
      <c r="B23592" s="4" t="s">
        <v>29689</v>
      </c>
      <c r="C23592" s="5" t="str">
        <f>IFERROR(__xludf.DUMMYFUNCTION("GOOGLETRANSLATE(B23592,""en"",""de"")"),"Ein Fernsehstudio wird gezeigt.")</f>
        <v>Ein Fernsehstudio wird gezeigt.</v>
      </c>
    </row>
    <row r="23593">
      <c r="A23593" s="4" t="s">
        <v>29690</v>
      </c>
      <c r="B23593" s="4" t="s">
        <v>29691</v>
      </c>
      <c r="C23593" s="5" t="str">
        <f>IFERROR(__xludf.DUMMYFUNCTION("GOOGLETRANSLATE(B23593,""en"",""de"")"),"Ein junger Mann mit Downs -Syndromschalen.")</f>
        <v>Ein junger Mann mit Downs -Syndromschalen.</v>
      </c>
    </row>
    <row r="23594">
      <c r="A23594" s="4" t="s">
        <v>29690</v>
      </c>
      <c r="B23594" s="4" t="s">
        <v>29692</v>
      </c>
      <c r="C23594" s="5" t="str">
        <f>IFERROR(__xludf.DUMMYFUNCTION("GOOGLETRANSLATE(B23594,""en"",""de"")"),"Ein anderer junger Mann wirft einen Bowlingkugel.")</f>
        <v>Ein anderer junger Mann wirft einen Bowlingkugel.</v>
      </c>
    </row>
    <row r="23595">
      <c r="A23595" s="4" t="s">
        <v>29690</v>
      </c>
      <c r="B23595" s="4" t="s">
        <v>29693</v>
      </c>
      <c r="C23595" s="5" t="str">
        <f>IFERROR(__xludf.DUMMYFUNCTION("GOOGLETRANSLATE(B23595,""en"",""de"")"),"Der erste junge Mann feiert nach einem erfolgreichen Wurf.")</f>
        <v>Der erste junge Mann feiert nach einem erfolgreichen Wurf.</v>
      </c>
    </row>
    <row r="23596">
      <c r="A23596" s="4" t="s">
        <v>29694</v>
      </c>
      <c r="B23596" s="4" t="s">
        <v>29695</v>
      </c>
      <c r="C23596" s="5" t="str">
        <f>IFERROR(__xludf.DUMMYFUNCTION("GOOGLETRANSLATE(B23596,""en"",""de"")"),"Der Mensch steht vor einem grauen Auto in einem Workshop, der ein Autorad wechselt und mit der Te -Kamera spricht.")</f>
        <v>Der Mensch steht vor einem grauen Auto in einem Workshop, der ein Autorad wechselt und mit der Te -Kamera spricht.</v>
      </c>
    </row>
    <row r="23597">
      <c r="A23597" s="4" t="s">
        <v>29694</v>
      </c>
      <c r="B23597" s="4" t="s">
        <v>29696</v>
      </c>
      <c r="C23597" s="5" t="str">
        <f>IFERROR(__xludf.DUMMYFUNCTION("GOOGLETRANSLATE(B23597,""en"",""de"")"),"Zuerst schnappt sich der Mann einen Hiyraulic -Buch, und legte ihn unter das Auto, lösche die Schrauben mit einer Radklammer und zieht das Rad heraus und montiere die neuen, leg die Schrauben wieder mit der Radklammer zurück und zieht fest.")</f>
        <v>Zuerst schnappt sich der Mann einen Hiyraulic -Buch, und legte ihn unter das Auto, lösche die Schrauben mit einer Radklammer und zieht das Rad heraus und montiere die neuen, leg die Schrauben wieder mit der Radklammer zurück und zieht fest.</v>
      </c>
    </row>
    <row r="23598">
      <c r="A23598" s="4" t="s">
        <v>29694</v>
      </c>
      <c r="B23598" s="4" t="s">
        <v>29697</v>
      </c>
      <c r="C23598" s="5" t="str">
        <f>IFERROR(__xludf.DUMMYFUNCTION("GOOGLETRANSLATE(B23598,""en"",""de"")"),"Mann spricht vor dem Auto und gibt Empfehlungen.")</f>
        <v>Mann spricht vor dem Auto und gibt Empfehlungen.</v>
      </c>
    </row>
    <row r="23599">
      <c r="A23599" s="4" t="s">
        <v>29698</v>
      </c>
      <c r="B23599" s="4" t="s">
        <v>1251</v>
      </c>
      <c r="C23599" s="5" t="str">
        <f>IFERROR(__xludf.DUMMYFUNCTION("GOOGLETRANSLATE(B23599,""en"",""de"")"),"Die Credits des Clips werden angezeigt.")</f>
        <v>Die Credits des Clips werden angezeigt.</v>
      </c>
    </row>
    <row r="23600">
      <c r="A23600" s="4" t="s">
        <v>29698</v>
      </c>
      <c r="B23600" s="4" t="s">
        <v>29699</v>
      </c>
      <c r="C23600" s="5" t="str">
        <f>IFERROR(__xludf.DUMMYFUNCTION("GOOGLETRANSLATE(B23600,""en"",""de"")"),"Ein Mann sitzt auf dem Boden und spricht.")</f>
        <v>Ein Mann sitzt auf dem Boden und spricht.</v>
      </c>
    </row>
    <row r="23601">
      <c r="A23601" s="4" t="s">
        <v>29698</v>
      </c>
      <c r="B23601" s="4" t="s">
        <v>29700</v>
      </c>
      <c r="C23601" s="5" t="str">
        <f>IFERROR(__xludf.DUMMYFUNCTION("GOOGLETRANSLATE(B23601,""en"",""de"")"),"Der Typ legt sich hin und sitzt ups.")</f>
        <v>Der Typ legt sich hin und sitzt ups.</v>
      </c>
    </row>
    <row r="23602">
      <c r="A23602" s="4" t="s">
        <v>29698</v>
      </c>
      <c r="B23602" s="4" t="s">
        <v>29701</v>
      </c>
      <c r="C23602" s="5" t="str">
        <f>IFERROR(__xludf.DUMMYFUNCTION("GOOGLETRANSLATE(B23602,""en"",""de"")"),"Der Typ geht zurück in die Sitzposition.")</f>
        <v>Der Typ geht zurück in die Sitzposition.</v>
      </c>
    </row>
    <row r="23603">
      <c r="A23603" s="4" t="s">
        <v>29698</v>
      </c>
      <c r="B23603" s="4" t="s">
        <v>29702</v>
      </c>
      <c r="C23603" s="5" t="str">
        <f>IFERROR(__xludf.DUMMYFUNCTION("GOOGLETRANSLATE(B23603,""en"",""de"")"),"Die Credits des Videos und eines Bildes werden angezeigt.")</f>
        <v>Die Credits des Videos und eines Bildes werden angezeigt.</v>
      </c>
    </row>
    <row r="23604">
      <c r="A23604" s="4" t="s">
        <v>29703</v>
      </c>
      <c r="B23604" s="4" t="s">
        <v>29704</v>
      </c>
      <c r="C23604" s="5" t="str">
        <f>IFERROR(__xludf.DUMMYFUNCTION("GOOGLETRANSLATE(B23604,""en"",""de"")"),"Eine kaukasische weibliche sitzt auf einem Stuhl, der sich um ihre lange blonde Frisur und ist nach rechts festgehalten und hat Locken im Boden.")</f>
        <v>Eine kaukasische weibliche sitzt auf einem Stuhl, der sich um ihre lange blonde Frisur und ist nach rechts festgehalten und hat Locken im Boden.</v>
      </c>
    </row>
    <row r="23605">
      <c r="A23605" s="4" t="s">
        <v>29703</v>
      </c>
      <c r="B23605" s="4" t="s">
        <v>29705</v>
      </c>
      <c r="C23605" s="5" t="str">
        <f>IFERROR(__xludf.DUMMYFUNCTION("GOOGLETRANSLATE(B23605,""en"",""de"")"),"Auf dem nächsten Bildschirm packt eine Frau den Boden und rollt ihn von unten auf etwa drei Zoll und versiegelt ihn mit einem Stück Folie.")</f>
        <v>Auf dem nächsten Bildschirm packt eine Frau den Boden und rollt ihn von unten auf etwa drei Zoll und versiegelt ihn mit einem Stück Folie.</v>
      </c>
    </row>
    <row r="23606">
      <c r="A23606" s="4" t="s">
        <v>29703</v>
      </c>
      <c r="B23606" s="4" t="s">
        <v>29706</v>
      </c>
      <c r="C23606" s="5" t="str">
        <f>IFERROR(__xludf.DUMMYFUNCTION("GOOGLETRANSLATE(B23606,""en"",""de"")"),"Sobald das Haar in der Folie zusammengeklappt ist, nimmt die Dame ein flaches Bügeleisen und leitet es über die Folie.")</f>
        <v>Sobald das Haar in der Folie zusammengeklappt ist, nimmt die Dame ein flaches Bügeleisen und leitet es über die Folie.</v>
      </c>
    </row>
    <row r="23607">
      <c r="A23607" s="4" t="s">
        <v>29703</v>
      </c>
      <c r="B23607" s="4" t="s">
        <v>29707</v>
      </c>
      <c r="C23607" s="5" t="str">
        <f>IFERROR(__xludf.DUMMYFUNCTION("GOOGLETRANSLATE(B23607,""en"",""de"")"),"Als die nächste Szene kommt, ist die Dame mit acht vereitelten Locken in ihrem Kopf abgebildet, die mit langen Haarnadeln versiegelt sind.")</f>
        <v>Als die nächste Szene kommt, ist die Dame mit acht vereitelten Locken in ihrem Kopf abgebildet, die mit langen Haarnadeln versiegelt sind.</v>
      </c>
    </row>
    <row r="23608">
      <c r="A23608" s="4" t="s">
        <v>29703</v>
      </c>
      <c r="B23608" s="4" t="s">
        <v>29708</v>
      </c>
      <c r="C23608" s="5" t="str">
        <f>IFERROR(__xludf.DUMMYFUNCTION("GOOGLETRANSLATE(B23608,""en"",""de"")"),"Der nächste Schritt besteht darin, die Stifte zu entfernen, gefolgt von der Folie, und die Locken loslassen.")</f>
        <v>Der nächste Schritt besteht darin, die Stifte zu entfernen, gefolgt von der Folie, und die Locken loslassen.</v>
      </c>
    </row>
    <row r="23609">
      <c r="A23609" s="4" t="s">
        <v>29703</v>
      </c>
      <c r="B23609" s="4" t="s">
        <v>29709</v>
      </c>
      <c r="C23609" s="5" t="str">
        <f>IFERROR(__xludf.DUMMYFUNCTION("GOOGLETRANSLATE(B23609,""en"",""de"")"),"Schließlich ist der Stil abgeschlossen und sie wird noch einmal herumgedreht, um das fertige Produkt zu zeigen.")</f>
        <v>Schließlich ist der Stil abgeschlossen und sie wird noch einmal herumgedreht, um das fertige Produkt zu zeigen.</v>
      </c>
    </row>
    <row r="23610">
      <c r="A23610" s="4" t="s">
        <v>29710</v>
      </c>
      <c r="B23610" s="4" t="s">
        <v>29711</v>
      </c>
      <c r="C23610" s="5" t="str">
        <f>IFERROR(__xludf.DUMMYFUNCTION("GOOGLETRANSLATE(B23610,""en"",""de"")"),"Eine Frau geht auf eine blau beleuchtete Bühne.")</f>
        <v>Eine Frau geht auf eine blau beleuchtete Bühne.</v>
      </c>
    </row>
    <row r="23611">
      <c r="A23611" s="4" t="s">
        <v>29710</v>
      </c>
      <c r="B23611" s="4" t="s">
        <v>29712</v>
      </c>
      <c r="C23611" s="5" t="str">
        <f>IFERROR(__xludf.DUMMYFUNCTION("GOOGLETRANSLATE(B23611,""en"",""de"")"),"Sie beginnt auf der Bühne hin und her zu drehen.")</f>
        <v>Sie beginnt auf der Bühne hin und her zu drehen.</v>
      </c>
    </row>
    <row r="23612">
      <c r="A23612" s="4" t="s">
        <v>29710</v>
      </c>
      <c r="B23612" s="4" t="s">
        <v>29713</v>
      </c>
      <c r="C23612" s="5" t="str">
        <f>IFERROR(__xludf.DUMMYFUNCTION("GOOGLETRANSLATE(B23612,""en"",""de"")"),"Sie dreht sich und wirft einen Schlagstock, während sie vor dem Verschwinden auftritt.")</f>
        <v>Sie dreht sich und wirft einen Schlagstock, während sie vor dem Verschwinden auftritt.</v>
      </c>
    </row>
    <row r="23613">
      <c r="A23613" s="4" t="s">
        <v>29714</v>
      </c>
      <c r="B23613" s="4" t="s">
        <v>29715</v>
      </c>
      <c r="C23613" s="5" t="str">
        <f>IFERROR(__xludf.DUMMYFUNCTION("GOOGLETRANSLATE(B23613,""en"",""de"")"),"Eine Frau streift ihre Haare mit ihrer Hand.")</f>
        <v>Eine Frau streift ihre Haare mit ihrer Hand.</v>
      </c>
    </row>
    <row r="23614">
      <c r="A23614" s="4" t="s">
        <v>29714</v>
      </c>
      <c r="B23614" s="4" t="s">
        <v>29716</v>
      </c>
      <c r="C23614" s="5" t="str">
        <f>IFERROR(__xludf.DUMMYFUNCTION("GOOGLETRANSLATE(B23614,""en"",""de"")"),"Die Frau kämmt sich die Haare mit einem Kamm.")</f>
        <v>Die Frau kämmt sich die Haare mit einem Kamm.</v>
      </c>
    </row>
    <row r="23615">
      <c r="A23615" s="4" t="s">
        <v>29714</v>
      </c>
      <c r="B23615" s="4" t="s">
        <v>29717</v>
      </c>
      <c r="C23615" s="5" t="str">
        <f>IFERROR(__xludf.DUMMYFUNCTION("GOOGLETRANSLATE(B23615,""en"",""de"")"),"Das Kämmen wird in Zeitlupe angezeigt.")</f>
        <v>Das Kämmen wird in Zeitlupe angezeigt.</v>
      </c>
    </row>
    <row r="23616">
      <c r="A23616" s="4" t="s">
        <v>29718</v>
      </c>
      <c r="B23616" s="4" t="s">
        <v>29719</v>
      </c>
      <c r="C23616" s="5" t="str">
        <f>IFERROR(__xludf.DUMMYFUNCTION("GOOGLETRANSLATE(B23616,""en"",""de"")"),"Jungen und Mädchen sind auf der Bühne und machen eine Cheerleaderchoreografie in einem Wettbewerb, während die Menschen in Tribünen sie beobachten.")</f>
        <v>Jungen und Mädchen sind auf der Bühne und machen eine Cheerleaderchoreografie in einem Wettbewerb, während die Menschen in Tribünen sie beobachten.</v>
      </c>
    </row>
    <row r="23617">
      <c r="A23617" s="4" t="s">
        <v>29718</v>
      </c>
      <c r="B23617" s="4" t="s">
        <v>29720</v>
      </c>
      <c r="C23617" s="5" t="str">
        <f>IFERROR(__xludf.DUMMYFUNCTION("GOOGLETRANSLATE(B23617,""en"",""de"")"),"Männer, die schwarze Uniformen tragen, stehen hinter dem Jubelteam.")</f>
        <v>Männer, die schwarze Uniformen tragen, stehen hinter dem Jubelteam.</v>
      </c>
    </row>
    <row r="23618">
      <c r="A23618" s="4" t="s">
        <v>29721</v>
      </c>
      <c r="B23618" s="4" t="s">
        <v>29722</v>
      </c>
      <c r="C23618" s="5" t="str">
        <f>IFERROR(__xludf.DUMMYFUNCTION("GOOGLETRANSLATE(B23618,""en"",""de"")"),"Ein Mann spricht vor einem Bürogebäude.")</f>
        <v>Ein Mann spricht vor einem Bürogebäude.</v>
      </c>
    </row>
    <row r="23619">
      <c r="A23619" s="4" t="s">
        <v>29721</v>
      </c>
      <c r="B23619" s="4" t="s">
        <v>29723</v>
      </c>
      <c r="C23619" s="5" t="str">
        <f>IFERROR(__xludf.DUMMYFUNCTION("GOOGLETRANSLATE(B23619,""en"",""de"")"),"Der Mann betritt das Gebäude und geht die Treppe hinauf.")</f>
        <v>Der Mann betritt das Gebäude und geht die Treppe hinauf.</v>
      </c>
    </row>
    <row r="23620">
      <c r="A23620" s="4" t="s">
        <v>29721</v>
      </c>
      <c r="B23620" s="4" t="s">
        <v>29724</v>
      </c>
      <c r="C23620" s="5" t="str">
        <f>IFERROR(__xludf.DUMMYFUNCTION("GOOGLETRANSLATE(B23620,""en"",""de"")"),"Der Mann betritt den Fitnessraum.")</f>
        <v>Der Mann betritt den Fitnessraum.</v>
      </c>
    </row>
    <row r="23621">
      <c r="A23621" s="4" t="s">
        <v>29721</v>
      </c>
      <c r="B23621" s="4" t="s">
        <v>29725</v>
      </c>
      <c r="C23621" s="5" t="str">
        <f>IFERROR(__xludf.DUMMYFUNCTION("GOOGLETRANSLATE(B23621,""en"",""de"")"),"Die Leute fahren mit stationären Fahrrädern und sehen im Fitnessstudio einen Fernseher.")</f>
        <v>Die Leute fahren mit stationären Fahrrädern und sehen im Fitnessstudio einen Fernseher.</v>
      </c>
    </row>
    <row r="23622">
      <c r="A23622" s="4" t="s">
        <v>29726</v>
      </c>
      <c r="B23622" s="4" t="s">
        <v>29727</v>
      </c>
      <c r="C23622" s="5" t="str">
        <f>IFERROR(__xludf.DUMMYFUNCTION("GOOGLETRANSLATE(B23622,""en"",""de"")"),"Schuhpolitikvorräte in einem Geschäft, dann erhalten die Leute in einem Klassenzimmer Anweisungen zum Schuhpolen.")</f>
        <v>Schuhpolitikvorräte in einem Geschäft, dann erhalten die Leute in einem Klassenzimmer Anweisungen zum Schuhpolen.</v>
      </c>
    </row>
    <row r="23623">
      <c r="A23623" s="4" t="s">
        <v>29726</v>
      </c>
      <c r="B23623" s="4" t="s">
        <v>29728</v>
      </c>
      <c r="C23623" s="5" t="str">
        <f>IFERROR(__xludf.DUMMYFUNCTION("GOOGLETRANSLATE(B23623,""en"",""de"")"),"Der Lehrer zeigt, dass er einen Stiefel mit einem Gewebe poliert.")</f>
        <v>Der Lehrer zeigt, dass er einen Stiefel mit einem Gewebe poliert.</v>
      </c>
    </row>
    <row r="23624">
      <c r="A23624" s="4" t="s">
        <v>29726</v>
      </c>
      <c r="B23624" s="4" t="s">
        <v>29729</v>
      </c>
      <c r="C23624" s="5" t="str">
        <f>IFERROR(__xludf.DUMMYFUNCTION("GOOGLETRANSLATE(B23624,""en"",""de"")"),"Dann poliert ein Mädchen den Schuh einer Frau mit einem Tuch.")</f>
        <v>Dann poliert ein Mädchen den Schuh einer Frau mit einem Tuch.</v>
      </c>
    </row>
    <row r="23625">
      <c r="A23625" s="4" t="s">
        <v>29726</v>
      </c>
      <c r="B23625" s="4" t="s">
        <v>29730</v>
      </c>
      <c r="C23625" s="5" t="str">
        <f>IFERROR(__xludf.DUMMYFUNCTION("GOOGLETRANSLATE(B23625,""en"",""de"")"),"Eine Person macht Fotos und einen Kameramannfilm.")</f>
        <v>Eine Person macht Fotos und einen Kameramannfilm.</v>
      </c>
    </row>
    <row r="23626">
      <c r="A23626" s="4" t="s">
        <v>29726</v>
      </c>
      <c r="B23626" s="4" t="s">
        <v>29731</v>
      </c>
      <c r="C23626" s="5" t="str">
        <f>IFERROR(__xludf.DUMMYFUNCTION("GOOGLETRANSLATE(B23626,""en"",""de"")"),"Danach üben die Leute Schuhpolitur in der Gruppe.")</f>
        <v>Danach üben die Leute Schuhpolitur in der Gruppe.</v>
      </c>
    </row>
    <row r="23627">
      <c r="A23627" s="4" t="s">
        <v>29732</v>
      </c>
      <c r="B23627" s="4" t="s">
        <v>29733</v>
      </c>
      <c r="C23627" s="5" t="str">
        <f>IFERROR(__xludf.DUMMYFUNCTION("GOOGLETRANSLATE(B23627,""en"",""de"")"),"Wir sehen den Öffnungsbildschirm auf Orange.")</f>
        <v>Wir sehen den Öffnungsbildschirm auf Orange.</v>
      </c>
    </row>
    <row r="23628">
      <c r="A23628" s="4" t="s">
        <v>29732</v>
      </c>
      <c r="B23628" s="4" t="s">
        <v>29734</v>
      </c>
      <c r="C23628" s="5" t="str">
        <f>IFERROR(__xludf.DUMMYFUNCTION("GOOGLETRANSLATE(B23628,""en"",""de"")"),"Eine Dame kocht in einer Küche.")</f>
        <v>Eine Dame kocht in einer Küche.</v>
      </c>
    </row>
    <row r="23629">
      <c r="A23629" s="4" t="s">
        <v>29732</v>
      </c>
      <c r="B23629" s="4" t="s">
        <v>29735</v>
      </c>
      <c r="C23629" s="5" t="str">
        <f>IFERROR(__xludf.DUMMYFUNCTION("GOOGLETRANSLATE(B23629,""en"",""de"")"),"Die Dame gießt Zutaten in eine Schüssel und rührt sich.")</f>
        <v>Die Dame gießt Zutaten in eine Schüssel und rührt sich.</v>
      </c>
    </row>
    <row r="23630">
      <c r="A23630" s="4" t="s">
        <v>29732</v>
      </c>
      <c r="B23630" s="4" t="s">
        <v>29736</v>
      </c>
      <c r="C23630" s="5" t="str">
        <f>IFERROR(__xludf.DUMMYFUNCTION("GOOGLETRANSLATE(B23630,""en"",""de"")"),"Die Dame rührt eine Eiermischung und mischt sie mit ihrem ursprünglichen Bogen.")</f>
        <v>Die Dame rührt eine Eiermischung und mischt sie mit ihrem ursprünglichen Bogen.</v>
      </c>
    </row>
    <row r="23631">
      <c r="A23631" s="4" t="s">
        <v>29732</v>
      </c>
      <c r="B23631" s="4" t="s">
        <v>29737</v>
      </c>
      <c r="C23631" s="5" t="str">
        <f>IFERROR(__xludf.DUMMYFUNCTION("GOOGLETRANSLATE(B23631,""en"",""de"")"),"Sie steckt es in eine Glaspfanne und steckt die Pfanne in den Ofen.")</f>
        <v>Sie steckt es in eine Glaspfanne und steckt die Pfanne in den Ofen.</v>
      </c>
    </row>
    <row r="23632">
      <c r="A23632" s="4" t="s">
        <v>29732</v>
      </c>
      <c r="B23632" s="4" t="s">
        <v>14638</v>
      </c>
      <c r="C23632" s="5" t="str">
        <f>IFERROR(__xludf.DUMMYFUNCTION("GOOGLETRANSLATE(B23632,""en"",""de"")"),"Wir sehen dann das fertige Produkt.")</f>
        <v>Wir sehen dann das fertige Produkt.</v>
      </c>
    </row>
    <row r="23633">
      <c r="A23633" s="4" t="s">
        <v>29738</v>
      </c>
      <c r="B23633" s="4" t="s">
        <v>5833</v>
      </c>
      <c r="C23633" s="5" t="str">
        <f>IFERROR(__xludf.DUMMYFUNCTION("GOOGLETRANSLATE(B23633,""en"",""de"")"),"Eine Frau steht in einer Küche.")</f>
        <v>Eine Frau steht in einer Küche.</v>
      </c>
    </row>
    <row r="23634">
      <c r="A23634" s="4" t="s">
        <v>29738</v>
      </c>
      <c r="B23634" s="4" t="s">
        <v>29739</v>
      </c>
      <c r="C23634" s="5" t="str">
        <f>IFERROR(__xludf.DUMMYFUNCTION("GOOGLETRANSLATE(B23634,""en"",""de"")"),"Sie beginnt in der Küche zu tanzen.")</f>
        <v>Sie beginnt in der Küche zu tanzen.</v>
      </c>
    </row>
    <row r="23635">
      <c r="A23635" s="4" t="s">
        <v>29738</v>
      </c>
      <c r="B23635" s="4" t="s">
        <v>29740</v>
      </c>
      <c r="C23635" s="5" t="str">
        <f>IFERROR(__xludf.DUMMYFUNCTION("GOOGLETRANSLATE(B23635,""en"",""de"")"),"Sie fängt an, den Boden zu wischen, während sie tanzt.")</f>
        <v>Sie fängt an, den Boden zu wischen, während sie tanzt.</v>
      </c>
    </row>
    <row r="23636">
      <c r="A23636" s="4" t="s">
        <v>29741</v>
      </c>
      <c r="B23636" s="4" t="s">
        <v>29742</v>
      </c>
      <c r="C23636" s="5" t="str">
        <f>IFERROR(__xludf.DUMMYFUNCTION("GOOGLETRANSLATE(B23636,""en"",""de"")"),"Die Leute trainieren in einem Fitnessstudio.")</f>
        <v>Die Leute trainieren in einem Fitnessstudio.</v>
      </c>
    </row>
    <row r="23637">
      <c r="A23637" s="4" t="s">
        <v>29741</v>
      </c>
      <c r="B23637" s="4" t="s">
        <v>29743</v>
      </c>
      <c r="C23637" s="5" t="str">
        <f>IFERROR(__xludf.DUMMYFUNCTION("GOOGLETRANSLATE(B23637,""en"",""de"")"),"Sie treten von schwarzen Stiefeldern auf und ab.")</f>
        <v>Sie treten von schwarzen Stiefeldern auf und ab.</v>
      </c>
    </row>
    <row r="23638">
      <c r="A23638" s="4" t="s">
        <v>29741</v>
      </c>
      <c r="B23638" s="4" t="s">
        <v>29744</v>
      </c>
      <c r="C23638" s="5" t="str">
        <f>IFERROR(__xludf.DUMMYFUNCTION("GOOGLETRANSLATE(B23638,""en"",""de"")"),"Sie heben ihre Hände und hören auf zu tanzen.")</f>
        <v>Sie heben ihre Hände und hören auf zu tanzen.</v>
      </c>
    </row>
    <row r="23639">
      <c r="A23639" s="4" t="s">
        <v>29745</v>
      </c>
      <c r="B23639" s="4" t="s">
        <v>29746</v>
      </c>
      <c r="C23639" s="5" t="str">
        <f>IFERROR(__xludf.DUMMYFUNCTION("GOOGLETRANSLATE(B23639,""en"",""de"")"),"Eine Nahaufnahme der Blätter wird gezeigt, gefolgt von einer Frau, die sie rems und mit der Kamera spricht.")</f>
        <v>Eine Nahaufnahme der Blätter wird gezeigt, gefolgt von einer Frau, die sie rems und mit der Kamera spricht.</v>
      </c>
    </row>
    <row r="23640">
      <c r="A23640" s="4" t="s">
        <v>29745</v>
      </c>
      <c r="B23640" s="4" t="s">
        <v>29747</v>
      </c>
      <c r="C23640" s="5" t="str">
        <f>IFERROR(__xludf.DUMMYFUNCTION("GOOGLETRANSLATE(B23640,""en"",""de"")"),"Die Frau remt weiter, während sie mit der Kamera zurück und vierten spricht.")</f>
        <v>Die Frau remt weiter, während sie mit der Kamera zurück und vierten spricht.</v>
      </c>
    </row>
    <row r="23641">
      <c r="A23641" s="4" t="s">
        <v>29745</v>
      </c>
      <c r="B23641" s="4" t="s">
        <v>29748</v>
      </c>
      <c r="C23641" s="5" t="str">
        <f>IFERROR(__xludf.DUMMYFUNCTION("GOOGLETRANSLATE(B23641,""en"",""de"")"),"Sie zeigt ihre Stapel sowie den sauberen Rasen, während sie immer noch mit der Kamera spricht.")</f>
        <v>Sie zeigt ihre Stapel sowie den sauberen Rasen, während sie immer noch mit der Kamera spricht.</v>
      </c>
    </row>
    <row r="23642">
      <c r="A23642" s="4" t="s">
        <v>29749</v>
      </c>
      <c r="B23642" s="4" t="s">
        <v>29750</v>
      </c>
      <c r="C23642" s="5" t="str">
        <f>IFERROR(__xludf.DUMMYFUNCTION("GOOGLETRANSLATE(B23642,""en"",""de"")"),"Eine Frau mittleren Alters, die eine Kopfbedeckung trägt, spricht mit der Kamera mit einem Löffel.")</f>
        <v>Eine Frau mittleren Alters, die eine Kopfbedeckung trägt, spricht mit der Kamera mit einem Löffel.</v>
      </c>
    </row>
    <row r="23643">
      <c r="A23643" s="4" t="s">
        <v>29749</v>
      </c>
      <c r="B23643" s="4" t="s">
        <v>29751</v>
      </c>
      <c r="C23643" s="5" t="str">
        <f>IFERROR(__xludf.DUMMYFUNCTION("GOOGLETRANSLATE(B23643,""en"",""de"")"),"Sie nimmt ein paar Schlucke aus einer Tasse, während sie immer noch mit der Kamera spricht.")</f>
        <v>Sie nimmt ein paar Schlucke aus einer Tasse, während sie immer noch mit der Kamera spricht.</v>
      </c>
    </row>
    <row r="23644">
      <c r="A23644" s="4" t="s">
        <v>29749</v>
      </c>
      <c r="B23644" s="4" t="s">
        <v>29752</v>
      </c>
      <c r="C23644" s="5" t="str">
        <f>IFERROR(__xludf.DUMMYFUNCTION("GOOGLETRANSLATE(B23644,""en"",""de"")"),"Sie macht dies noch einmal, bevor sie die Kamera ausschaltet.")</f>
        <v>Sie macht dies noch einmal, bevor sie die Kamera ausschaltet.</v>
      </c>
    </row>
    <row r="23645">
      <c r="A23645" s="4" t="s">
        <v>29753</v>
      </c>
      <c r="B23645" s="4" t="s">
        <v>29754</v>
      </c>
      <c r="C23645" s="5" t="str">
        <f>IFERROR(__xludf.DUMMYFUNCTION("GOOGLETRANSLATE(B23645,""en"",""de"")"),"Die Leute üben Ballett allein in einem Studio und in Paaren.")</f>
        <v>Die Leute üben Ballett allein in einem Studio und in Paaren.</v>
      </c>
    </row>
    <row r="23646">
      <c r="A23646" s="4" t="s">
        <v>29753</v>
      </c>
      <c r="B23646" s="4" t="s">
        <v>29755</v>
      </c>
      <c r="C23646" s="5" t="str">
        <f>IFERROR(__xludf.DUMMYFUNCTION("GOOGLETRANSLATE(B23646,""en"",""de"")"),"Dann, ein Junge und ein Mädchen -Tanzballett, dann tritt ein Mann mit dem Mädchen ein und tanzt sie.")</f>
        <v>Dann, ein Junge und ein Mädchen -Tanzballett, dann tritt ein Mann mit dem Mädchen ein und tanzt sie.</v>
      </c>
    </row>
    <row r="23647">
      <c r="A23647" s="4" t="s">
        <v>29753</v>
      </c>
      <c r="B23647" s="4" t="s">
        <v>29756</v>
      </c>
      <c r="C23647" s="5" t="str">
        <f>IFERROR(__xludf.DUMMYFUNCTION("GOOGLETRANSLATE(B23647,""en"",""de"")"),"Danach tanzen mehrere Paare Ballett, während andere Leute beobachten.")</f>
        <v>Danach tanzen mehrere Paare Ballett, während andere Leute beobachten.</v>
      </c>
    </row>
    <row r="23648">
      <c r="A23648" s="4" t="s">
        <v>29757</v>
      </c>
      <c r="B23648" s="4" t="s">
        <v>29758</v>
      </c>
      <c r="C23648" s="5" t="str">
        <f>IFERROR(__xludf.DUMMYFUNCTION("GOOGLETRANSLATE(B23648,""en"",""de"")"),"Ein Junge sitzt im Wasser, seine Skier vor ihm, während er den Griff des Seils zwischen seinen Beinen hält.")</f>
        <v>Ein Junge sitzt im Wasser, seine Skier vor ihm, während er den Griff des Seils zwischen seinen Beinen hält.</v>
      </c>
    </row>
    <row r="23649">
      <c r="A23649" s="4" t="s">
        <v>29757</v>
      </c>
      <c r="B23649" s="4" t="s">
        <v>29759</v>
      </c>
      <c r="C23649" s="5" t="str">
        <f>IFERROR(__xludf.DUMMYFUNCTION("GOOGLETRANSLATE(B23649,""en"",""de"")"),"Wir sehen einen kurzen Rückblick, als wir ihn dann im Boot sehen, dann im Wasser, der mit seinen Skiern unterstützt wird.")</f>
        <v>Wir sehen einen kurzen Rückblick, als wir ihn dann im Boot sehen, dann im Wasser, der mit seinen Skiern unterstützt wird.</v>
      </c>
    </row>
    <row r="23650">
      <c r="A23650" s="4" t="s">
        <v>29757</v>
      </c>
      <c r="B23650" s="4" t="s">
        <v>29760</v>
      </c>
      <c r="C23650" s="5" t="str">
        <f>IFERROR(__xludf.DUMMYFUNCTION("GOOGLETRANSLATE(B23650,""en"",""de"")"),"Wieder ist er im Wasser und das Boot nimmt langsam die Geschwindigkeit auf und zieht den jungen Mann aufrecht, bis er mit voller Geschwindigkeit hinter dem Boot fährt.")</f>
        <v>Wieder ist er im Wasser und das Boot nimmt langsam die Geschwindigkeit auf und zieht den jungen Mann aufrecht, bis er mit voller Geschwindigkeit hinter dem Boot fährt.</v>
      </c>
    </row>
    <row r="23651">
      <c r="A23651" s="4" t="s">
        <v>29757</v>
      </c>
      <c r="B23651" s="4" t="s">
        <v>29761</v>
      </c>
      <c r="C23651" s="5" t="str">
        <f>IFERROR(__xludf.DUMMYFUNCTION("GOOGLETRANSLATE(B23651,""en"",""de"")"),"Ein Mann kommt neben ihn, seine Arme sind ausgestreckt, als er eine Kamera hält, und dann eine Show von ihm mit mehreren anderen Männern im Boot.")</f>
        <v>Ein Mann kommt neben ihn, seine Arme sind ausgestreckt, als er eine Kamera hält, und dann eine Show von ihm mit mehreren anderen Männern im Boot.</v>
      </c>
    </row>
    <row r="23652">
      <c r="A23652" s="4" t="s">
        <v>29757</v>
      </c>
      <c r="B23652" s="4" t="s">
        <v>29762</v>
      </c>
      <c r="C23652" s="5" t="str">
        <f>IFERROR(__xludf.DUMMYFUNCTION("GOOGLETRANSLATE(B23652,""en"",""de"")"),"Wir sehen den Mann bald wieder im Wasser mit dem Arm um die Schultern des Jungen, der Junge triumphiert nach seiner erfolgreichen Fahrt.")</f>
        <v>Wir sehen den Mann bald wieder im Wasser mit dem Arm um die Schultern des Jungen, der Junge triumphiert nach seiner erfolgreichen Fahrt.</v>
      </c>
    </row>
    <row r="23653">
      <c r="A23653" s="4" t="s">
        <v>29757</v>
      </c>
      <c r="B23653" s="4" t="s">
        <v>29763</v>
      </c>
      <c r="C23653" s="5" t="str">
        <f>IFERROR(__xludf.DUMMYFUNCTION("GOOGLETRANSLATE(B23653,""en"",""de"")"),"Alles in allem schienen jeder einen tollen Tag im Freien zu genießen, sei es im Boot oder im Skifahren oder beides.")</f>
        <v>Alles in allem schienen jeder einen tollen Tag im Freien zu genießen, sei es im Boot oder im Skifahren oder beides.</v>
      </c>
    </row>
    <row r="23654">
      <c r="A23654" s="4" t="s">
        <v>29764</v>
      </c>
      <c r="B23654" s="4" t="s">
        <v>29765</v>
      </c>
      <c r="C23654" s="5" t="str">
        <f>IFERROR(__xludf.DUMMYFUNCTION("GOOGLETRANSLATE(B23654,""en"",""de"")"),"Eine große Gruppe von Menschen steht auf einem Platz mit Menschen, die Volleyball spielen.")</f>
        <v>Eine große Gruppe von Menschen steht auf einem Platz mit Menschen, die Volleyball spielen.</v>
      </c>
    </row>
    <row r="23655">
      <c r="A23655" s="4" t="s">
        <v>29764</v>
      </c>
      <c r="B23655" s="4" t="s">
        <v>29766</v>
      </c>
      <c r="C23655" s="5" t="str">
        <f>IFERROR(__xludf.DUMMYFUNCTION("GOOGLETRANSLATE(B23655,""en"",""de"")"),"Die Leute schlugen den Ball kontinuierlich um das sandige Feld, als die Kamera um sie herum spielt.")</f>
        <v>Die Leute schlugen den Ball kontinuierlich um das sandige Feld, als die Kamera um sie herum spielt.</v>
      </c>
    </row>
    <row r="23656">
      <c r="A23656" s="4" t="s">
        <v>29764</v>
      </c>
      <c r="B23656" s="4" t="s">
        <v>29767</v>
      </c>
      <c r="C23656" s="5" t="str">
        <f>IFERROR(__xludf.DUMMYFUNCTION("GOOGLETRANSLATE(B23656,""en"",""de"")"),"Die Kamera schwenkt, wenn sie weiter spielen.")</f>
        <v>Die Kamera schwenkt, wenn sie weiter spielen.</v>
      </c>
    </row>
    <row r="23657">
      <c r="A23657" s="4" t="s">
        <v>29768</v>
      </c>
      <c r="B23657" s="4" t="s">
        <v>29769</v>
      </c>
      <c r="C23657" s="5" t="str">
        <f>IFERROR(__xludf.DUMMYFUNCTION("GOOGLETRANSLATE(B23657,""en"",""de"")"),"Eine Kamera schwenkt an der Außenseite eines Gebäudes und der Umgebung und führt zu mehreren Schüssen von Menschen, die auf einer Strecke Fahrräder fahren.")</f>
        <v>Eine Kamera schwenkt an der Außenseite eines Gebäudes und der Umgebung und führt zu mehreren Schüssen von Menschen, die auf einer Strecke Fahrräder fahren.</v>
      </c>
    </row>
    <row r="23658">
      <c r="A23658" s="4" t="s">
        <v>29768</v>
      </c>
      <c r="B23658" s="4" t="s">
        <v>29770</v>
      </c>
      <c r="C23658" s="5" t="str">
        <f>IFERROR(__xludf.DUMMYFUNCTION("GOOGLETRANSLATE(B23658,""en"",""de"")"),"Viele Leute sehen das Rennen am Rande an, während die Leute weiter um die Strecke gehen und andere ihre Zeit aufnehmen.")</f>
        <v>Viele Leute sehen das Rennen am Rande an, während die Leute weiter um die Strecke gehen und andere ihre Zeit aufnehmen.</v>
      </c>
    </row>
    <row r="23659">
      <c r="A23659" s="4" t="s">
        <v>29768</v>
      </c>
      <c r="B23659" s="4" t="s">
        <v>29771</v>
      </c>
      <c r="C23659" s="5" t="str">
        <f>IFERROR(__xludf.DUMMYFUNCTION("GOOGLETRANSLATE(B23659,""en"",""de"")"),"Viele Menschen sitzen herum und sprechen mit einem Mann, der mit einer großen Gruppe spricht.")</f>
        <v>Viele Menschen sitzen herum und sprechen mit einem Mann, der mit einer großen Gruppe spricht.</v>
      </c>
    </row>
    <row r="23660">
      <c r="A23660" s="4" t="s">
        <v>29768</v>
      </c>
      <c r="B23660" s="4" t="s">
        <v>29772</v>
      </c>
      <c r="C23660" s="5" t="str">
        <f>IFERROR(__xludf.DUMMYFUNCTION("GOOGLETRANSLATE(B23660,""en"",""de"")"),"Weitere Aufnahmen von Menschen, die sprechen und reiten, werden gezeigt, und das Publikum jubelt sie auf der Tribüne an.")</f>
        <v>Weitere Aufnahmen von Menschen, die sprechen und reiten, werden gezeigt, und das Publikum jubelt sie auf der Tribüne an.</v>
      </c>
    </row>
    <row r="23661">
      <c r="A23661" s="4" t="s">
        <v>29773</v>
      </c>
      <c r="B23661" s="4" t="s">
        <v>29774</v>
      </c>
      <c r="C23661" s="5" t="str">
        <f>IFERROR(__xludf.DUMMYFUNCTION("GOOGLETRANSLATE(B23661,""en"",""de"")"),"Ein älterer Mann in einem gelben T-Shirt steht zu einer geöffneten Garage und einem weißen Auto, das draußen geparkt ist.")</f>
        <v>Ein älterer Mann in einem gelben T-Shirt steht zu einer geöffneten Garage und einem weißen Auto, das draußen geparkt ist.</v>
      </c>
    </row>
    <row r="23662">
      <c r="A23662" s="4" t="s">
        <v>29773</v>
      </c>
      <c r="B23662" s="4" t="s">
        <v>29775</v>
      </c>
      <c r="C23662" s="5" t="str">
        <f>IFERROR(__xludf.DUMMYFUNCTION("GOOGLETRANSLATE(B23662,""en"",""de"")"),"Der Mann gießt Wasser und Lösung in einen Eimer- und Zauberstab -Sprühtank.")</f>
        <v>Der Mann gießt Wasser und Lösung in einen Eimer- und Zauberstab -Sprühtank.</v>
      </c>
    </row>
    <row r="23663">
      <c r="A23663" s="4" t="s">
        <v>29773</v>
      </c>
      <c r="B23663" s="4" t="s">
        <v>29776</v>
      </c>
      <c r="C23663" s="5" t="str">
        <f>IFERROR(__xludf.DUMMYFUNCTION("GOOGLETRANSLATE(B23663,""en"",""de"")"),"Der Mann beginnt das Nissan Blattauto mit dem Sprühgerät und wischt es mit einem Tuch ab.")</f>
        <v>Der Mann beginnt das Nissan Blattauto mit dem Sprühgerät und wischt es mit einem Tuch ab.</v>
      </c>
    </row>
    <row r="23664">
      <c r="A23664" s="4" t="s">
        <v>29777</v>
      </c>
      <c r="B23664" s="4" t="s">
        <v>29778</v>
      </c>
      <c r="C23664" s="5" t="str">
        <f>IFERROR(__xludf.DUMMYFUNCTION("GOOGLETRANSLATE(B23664,""en"",""de"")"),"Eine Hochzeitsfeier steht vor einem Gang.")</f>
        <v>Eine Hochzeitsfeier steht vor einem Gang.</v>
      </c>
    </row>
    <row r="23665">
      <c r="A23665" s="4" t="s">
        <v>29777</v>
      </c>
      <c r="B23665" s="4" t="s">
        <v>29779</v>
      </c>
      <c r="C23665" s="5" t="str">
        <f>IFERROR(__xludf.DUMMYFUNCTION("GOOGLETRANSLATE(B23665,""en"",""de"")"),"Ein Paar Männer, die Dudelsack spielen, betreten den Raum, bevor die Braut ihren Vater mit ihrem Vater eintritt.")</f>
        <v>Ein Paar Männer, die Dudelsack spielen, betreten den Raum, bevor die Braut ihren Vater mit ihrem Vater eintritt.</v>
      </c>
    </row>
    <row r="23666">
      <c r="A23666" s="4" t="s">
        <v>29777</v>
      </c>
      <c r="B23666" s="4" t="s">
        <v>29780</v>
      </c>
      <c r="C23666" s="5" t="str">
        <f>IFERROR(__xludf.DUMMYFUNCTION("GOOGLETRANSLATE(B23666,""en"",""de"")"),"Jeder kann die Prozession beobachten.")</f>
        <v>Jeder kann die Prozession beobachten.</v>
      </c>
    </row>
    <row r="23667">
      <c r="A23667" s="4" t="s">
        <v>29777</v>
      </c>
      <c r="B23667" s="4" t="s">
        <v>29781</v>
      </c>
      <c r="C23667" s="5" t="str">
        <f>IFERROR(__xludf.DUMMYFUNCTION("GOOGLETRANSLATE(B23667,""en"",""de"")"),"Der Mann schüttelt mit dem Bräutigam die Hand und wir sehen das Paar am Altar und stehen zueinander.")</f>
        <v>Der Mann schüttelt mit dem Bräutigam die Hand und wir sehen das Paar am Altar und stehen zueinander.</v>
      </c>
    </row>
    <row r="23668">
      <c r="A23668" s="4" t="s">
        <v>29782</v>
      </c>
      <c r="B23668" s="4" t="s">
        <v>29783</v>
      </c>
      <c r="C23668" s="5" t="str">
        <f>IFERROR(__xludf.DUMMYFUNCTION("GOOGLETRANSLATE(B23668,""en"",""de"")"),"Ein junger Mann ist Wasserski und fällt.")</f>
        <v>Ein junger Mann ist Wasserski und fällt.</v>
      </c>
    </row>
    <row r="23669">
      <c r="A23669" s="4" t="s">
        <v>29782</v>
      </c>
      <c r="B23669" s="4" t="s">
        <v>29784</v>
      </c>
      <c r="C23669" s="5" t="str">
        <f>IFERROR(__xludf.DUMMYFUNCTION("GOOGLETRANSLATE(B23669,""en"",""de"")"),"Video des Sees ansehen und fahren.")</f>
        <v>Video des Sees ansehen und fahren.</v>
      </c>
    </row>
    <row r="23670">
      <c r="A23670" s="4" t="s">
        <v>29782</v>
      </c>
      <c r="B23670" s="4" t="s">
        <v>29785</v>
      </c>
      <c r="C23670" s="5" t="str">
        <f>IFERROR(__xludf.DUMMYFUNCTION("GOOGLETRANSLATE(B23670,""en"",""de"")"),"Sie können sehen, wie ein Mann aus verschiedenen Blickwinkeln Ski fahren.")</f>
        <v>Sie können sehen, wie ein Mann aus verschiedenen Blickwinkeln Ski fahren.</v>
      </c>
    </row>
    <row r="23671">
      <c r="A23671" s="4" t="s">
        <v>29782</v>
      </c>
      <c r="B23671" s="4" t="s">
        <v>29786</v>
      </c>
      <c r="C23671" s="5" t="str">
        <f>IFERROR(__xludf.DUMMYFUNCTION("GOOGLETRANSLATE(B23671,""en"",""de"")"),"Winter des Wasserskifahrens im Stoney Park.")</f>
        <v>Winter des Wasserskifahrens im Stoney Park.</v>
      </c>
    </row>
    <row r="23672">
      <c r="A23672" s="4" t="s">
        <v>29787</v>
      </c>
      <c r="B23672" s="4" t="s">
        <v>29788</v>
      </c>
      <c r="C23672" s="5" t="str">
        <f>IFERROR(__xludf.DUMMYFUNCTION("GOOGLETRANSLATE(B23672,""en"",""de"")"),"Die Frau versucht, die Blätter zu rauen, aber dann fällt sie und steigt wieder auf und hält den Rake und ein Mann nimmt ihn von ihr.")</f>
        <v>Die Frau versucht, die Blätter zu rauen, aber dann fällt sie und steigt wieder auf und hält den Rake und ein Mann nimmt ihn von ihr.</v>
      </c>
    </row>
    <row r="23673">
      <c r="A23673" s="4" t="s">
        <v>29787</v>
      </c>
      <c r="B23673" s="4" t="s">
        <v>29789</v>
      </c>
      <c r="C23673" s="5" t="str">
        <f>IFERROR(__xludf.DUMMYFUNCTION("GOOGLETRANSLATE(B23673,""en"",""de"")"),"Dann geht sie weg und kommt wieder zurück und er rägt die Blätter über sie.")</f>
        <v>Dann geht sie weg und kommt wieder zurück und er rägt die Blätter über sie.</v>
      </c>
    </row>
    <row r="23674">
      <c r="A23674" s="4" t="s">
        <v>29790</v>
      </c>
      <c r="B23674" s="4" t="s">
        <v>29791</v>
      </c>
      <c r="C23674" s="5" t="str">
        <f>IFERROR(__xludf.DUMMYFUNCTION("GOOGLETRANSLATE(B23674,""en"",""de"")"),"Zwei Menschen sind gesehen, die verschiedene Kampfkünste zueinander bewegt, während eine Menschenmenge von Menschen jubelt und applaudiert.")</f>
        <v>Zwei Menschen sind gesehen, die verschiedene Kampfkünste zueinander bewegt, während eine Menschenmenge von Menschen jubelt und applaudiert.</v>
      </c>
    </row>
    <row r="23675">
      <c r="A23675" s="4" t="s">
        <v>29790</v>
      </c>
      <c r="B23675" s="4" t="s">
        <v>29792</v>
      </c>
      <c r="C23675" s="5" t="str">
        <f>IFERROR(__xludf.DUMMYFUNCTION("GOOGLETRANSLATE(B23675,""en"",""de"")"),"Die Männer treten weiter umeinander und endet damit, dass sie Hände greifen und lächeln.")</f>
        <v>Die Männer treten weiter umeinander und endet damit, dass sie Hände greifen und lächeln.</v>
      </c>
    </row>
    <row r="23676">
      <c r="A23676" s="4" t="s">
        <v>29793</v>
      </c>
      <c r="B23676" s="4" t="s">
        <v>29794</v>
      </c>
      <c r="C23676" s="5" t="str">
        <f>IFERROR(__xludf.DUMMYFUNCTION("GOOGLETRANSLATE(B23676,""en"",""de"")"),"Ein Mädchen raucht eine Zigarette.")</f>
        <v>Ein Mädchen raucht eine Zigarette.</v>
      </c>
    </row>
    <row r="23677">
      <c r="A23677" s="4" t="s">
        <v>29793</v>
      </c>
      <c r="B23677" s="4" t="s">
        <v>29795</v>
      </c>
      <c r="C23677" s="5" t="str">
        <f>IFERROR(__xludf.DUMMYFUNCTION("GOOGLETRANSLATE(B23677,""en"",""de"")"),"Ein Mädchen bläst Rauch aus.")</f>
        <v>Ein Mädchen bläst Rauch aus.</v>
      </c>
    </row>
    <row r="23678">
      <c r="A23678" s="4" t="s">
        <v>29793</v>
      </c>
      <c r="B23678" s="4" t="s">
        <v>29796</v>
      </c>
      <c r="C23678" s="5" t="str">
        <f>IFERROR(__xludf.DUMMYFUNCTION("GOOGLETRANSLATE(B23678,""en"",""de"")"),"Ein Mann sitzt, gestikmt und diskutiert.")</f>
        <v>Ein Mann sitzt, gestikmt und diskutiert.</v>
      </c>
    </row>
    <row r="23679">
      <c r="A23679" s="4" t="s">
        <v>29793</v>
      </c>
      <c r="B23679" s="4" t="s">
        <v>29797</v>
      </c>
      <c r="C23679" s="5" t="str">
        <f>IFERROR(__xludf.DUMMYFUNCTION("GOOGLETRANSLATE(B23679,""en"",""de"")"),"Der Typ trägt eine Zigarette.")</f>
        <v>Der Typ trägt eine Zigarette.</v>
      </c>
    </row>
    <row r="23680">
      <c r="A23680" s="4" t="s">
        <v>29793</v>
      </c>
      <c r="B23680" s="4" t="s">
        <v>1251</v>
      </c>
      <c r="C23680" s="5" t="str">
        <f>IFERROR(__xludf.DUMMYFUNCTION("GOOGLETRANSLATE(B23680,""en"",""de"")"),"Die Credits des Clips werden angezeigt.")</f>
        <v>Die Credits des Clips werden angezeigt.</v>
      </c>
    </row>
    <row r="23681">
      <c r="A23681" s="4" t="s">
        <v>29798</v>
      </c>
      <c r="B23681" s="4" t="s">
        <v>29799</v>
      </c>
      <c r="C23681" s="5" t="str">
        <f>IFERROR(__xludf.DUMMYFUNCTION("GOOGLETRANSLATE(B23681,""en"",""de"")"),"Ein kleines Mädchen führt eine Einführung für ein Video von sich, das Geige spielt.")</f>
        <v>Ein kleines Mädchen führt eine Einführung für ein Video von sich, das Geige spielt.</v>
      </c>
    </row>
    <row r="23682">
      <c r="A23682" s="4" t="s">
        <v>29798</v>
      </c>
      <c r="B23682" s="4" t="s">
        <v>29800</v>
      </c>
      <c r="C23682" s="5" t="str">
        <f>IFERROR(__xludf.DUMMYFUNCTION("GOOGLETRANSLATE(B23682,""en"",""de"")"),"Sie beginnt, die Geige auf eine freudige und professionelle Weise zu spielen.")</f>
        <v>Sie beginnt, die Geige auf eine freudige und professionelle Weise zu spielen.</v>
      </c>
    </row>
    <row r="23683">
      <c r="A23683" s="4" t="s">
        <v>29798</v>
      </c>
      <c r="B23683" s="4" t="s">
        <v>29801</v>
      </c>
      <c r="C23683" s="5" t="str">
        <f>IFERROR(__xludf.DUMMYFUNCTION("GOOGLETRANSLATE(B23683,""en"",""de"")"),"Sie beginnt, die Geschwindigkeit des Liedes aufzunehmen.")</f>
        <v>Sie beginnt, die Geschwindigkeit des Liedes aufzunehmen.</v>
      </c>
    </row>
    <row r="23684">
      <c r="A23684" s="4" t="s">
        <v>29798</v>
      </c>
      <c r="B23684" s="4" t="s">
        <v>29802</v>
      </c>
      <c r="C23684" s="5" t="str">
        <f>IFERROR(__xludf.DUMMYFUNCTION("GOOGLETRANSLATE(B23684,""en"",""de"")"),"Als sie mit dem Spielen fertig ist, erklärt sie, dass das Stück, das sie gerade gespielt hat.")</f>
        <v>Als sie mit dem Spielen fertig ist, erklärt sie, dass das Stück, das sie gerade gespielt hat.</v>
      </c>
    </row>
    <row r="23685">
      <c r="A23685" s="4" t="s">
        <v>29803</v>
      </c>
      <c r="B23685" s="4" t="s">
        <v>29804</v>
      </c>
      <c r="C23685" s="5" t="str">
        <f>IFERROR(__xludf.DUMMYFUNCTION("GOOGLETRANSLATE(B23685,""en"",""de"")"),"Anweisungen zum Spielen von Akkorden auf der Geige werden angezeigt.")</f>
        <v>Anweisungen zum Spielen von Akkorden auf der Geige werden angezeigt.</v>
      </c>
    </row>
    <row r="23686">
      <c r="A23686" s="4" t="s">
        <v>29803</v>
      </c>
      <c r="B23686" s="4" t="s">
        <v>29805</v>
      </c>
      <c r="C23686" s="5" t="str">
        <f>IFERROR(__xludf.DUMMYFUNCTION("GOOGLETRANSLATE(B23686,""en"",""de"")"),"Frau befindet sich in einem Raum, in dem sie Geige spielt.")</f>
        <v>Frau befindet sich in einem Raum, in dem sie Geige spielt.</v>
      </c>
    </row>
    <row r="23687">
      <c r="A23687" s="4" t="s">
        <v>29803</v>
      </c>
      <c r="B23687" s="4" t="s">
        <v>29806</v>
      </c>
      <c r="C23687" s="5" t="str">
        <f>IFERROR(__xludf.DUMMYFUNCTION("GOOGLETRANSLATE(B23687,""en"",""de"")"),"Frau zeigt, wie man Akkorde auf Holz Violine spielt.")</f>
        <v>Frau zeigt, wie man Akkorde auf Holz Violine spielt.</v>
      </c>
    </row>
    <row r="23688">
      <c r="A23688" s="4" t="s">
        <v>29807</v>
      </c>
      <c r="B23688" s="4" t="s">
        <v>29808</v>
      </c>
      <c r="C23688" s="5" t="str">
        <f>IFERROR(__xludf.DUMMYFUNCTION("GOOGLETRANSLATE(B23688,""en"",""de"")"),"Kinder fahren in Stoßfänger herum.")</f>
        <v>Kinder fahren in Stoßfänger herum.</v>
      </c>
    </row>
    <row r="23689">
      <c r="A23689" s="4" t="s">
        <v>29807</v>
      </c>
      <c r="B23689" s="4" t="s">
        <v>29809</v>
      </c>
      <c r="C23689" s="5" t="str">
        <f>IFERROR(__xludf.DUMMYFUNCTION("GOOGLETRANSLATE(B23689,""en"",""de"")"),"Die Autos stürzen ineinander.")</f>
        <v>Die Autos stürzen ineinander.</v>
      </c>
    </row>
    <row r="23690">
      <c r="A23690" s="4" t="s">
        <v>29807</v>
      </c>
      <c r="B23690" s="4" t="s">
        <v>29810</v>
      </c>
      <c r="C23690" s="5" t="str">
        <f>IFERROR(__xludf.DUMMYFUNCTION("GOOGLETRANSLATE(B23690,""en"",""de"")"),"Das Kind im grünen Auto stürzt gegen die Wand.")</f>
        <v>Das Kind im grünen Auto stürzt gegen die Wand.</v>
      </c>
    </row>
    <row r="23691">
      <c r="A23691" s="4" t="s">
        <v>29811</v>
      </c>
      <c r="B23691" s="4" t="s">
        <v>29812</v>
      </c>
      <c r="C23691" s="5" t="str">
        <f>IFERROR(__xludf.DUMMYFUNCTION("GOOGLETRANSLATE(B23691,""en"",""de"")"),"Eine Frau trägt Locken zeigt, wie man Stoffstücke auf eine Walze einwickelt.")</f>
        <v>Eine Frau trägt Locken zeigt, wie man Stoffstücke auf eine Walze einwickelt.</v>
      </c>
    </row>
    <row r="23692">
      <c r="A23692" s="4" t="s">
        <v>29811</v>
      </c>
      <c r="B23692" s="4" t="s">
        <v>29813</v>
      </c>
      <c r="C23692" s="5" t="str">
        <f>IFERROR(__xludf.DUMMYFUNCTION("GOOGLETRANSLATE(B23692,""en"",""de"")"),"Die Frau fasst die Locken von ihren Haaren ab.")</f>
        <v>Die Frau fasst die Locken von ihren Haaren ab.</v>
      </c>
    </row>
    <row r="23693">
      <c r="A23693" s="4" t="s">
        <v>29811</v>
      </c>
      <c r="B23693" s="4" t="s">
        <v>29814</v>
      </c>
      <c r="C23693" s="5" t="str">
        <f>IFERROR(__xludf.DUMMYFUNCTION("GOOGLETRANSLATE(B23693,""en"",""de"")"),"Die Frau kämmt ihre Haare mit ihren Händen aus.")</f>
        <v>Die Frau kämmt ihre Haare mit ihren Händen aus.</v>
      </c>
    </row>
    <row r="23694">
      <c r="A23694" s="4" t="s">
        <v>29815</v>
      </c>
      <c r="B23694" s="4" t="s">
        <v>29816</v>
      </c>
      <c r="C23694" s="5" t="str">
        <f>IFERROR(__xludf.DUMMYFUNCTION("GOOGLETRANSLATE(B23694,""en"",""de"")"),"Die Leute reiten Pferde um eine Arena.")</f>
        <v>Die Leute reiten Pferde um eine Arena.</v>
      </c>
    </row>
    <row r="23695">
      <c r="A23695" s="4" t="s">
        <v>29815</v>
      </c>
      <c r="B23695" s="4" t="s">
        <v>29817</v>
      </c>
      <c r="C23695" s="5" t="str">
        <f>IFERROR(__xludf.DUMMYFUNCTION("GOOGLETRANSLATE(B23695,""en"",""de"")"),"Die Leute stehen vor der Arena und beobachten sie.")</f>
        <v>Die Leute stehen vor der Arena und beobachten sie.</v>
      </c>
    </row>
    <row r="23696">
      <c r="A23696" s="4" t="s">
        <v>29815</v>
      </c>
      <c r="B23696" s="4" t="s">
        <v>29818</v>
      </c>
      <c r="C23696" s="5" t="str">
        <f>IFERROR(__xludf.DUMMYFUNCTION("GOOGLETRANSLATE(B23696,""en"",""de"")"),"Die Leute schauen sich um und schauen hinter sie.")</f>
        <v>Die Leute schauen sich um und schauen hinter sie.</v>
      </c>
    </row>
    <row r="23697">
      <c r="A23697" s="4" t="s">
        <v>29819</v>
      </c>
      <c r="B23697" s="4" t="s">
        <v>29820</v>
      </c>
      <c r="C23697" s="5" t="str">
        <f>IFERROR(__xludf.DUMMYFUNCTION("GOOGLETRANSLATE(B23697,""en"",""de"")"),"Ein Mann macht Gymnastik in einem Wohnzimmer.")</f>
        <v>Ein Mann macht Gymnastik in einem Wohnzimmer.</v>
      </c>
    </row>
    <row r="23698">
      <c r="A23698" s="4" t="s">
        <v>29819</v>
      </c>
      <c r="B23698" s="4" t="s">
        <v>29821</v>
      </c>
      <c r="C23698" s="5" t="str">
        <f>IFERROR(__xludf.DUMMYFUNCTION("GOOGLETRANSLATE(B23698,""en"",""de"")"),"Er macht Handstände auf ein paar Bars am Boden.")</f>
        <v>Er macht Handstände auf ein paar Bars am Boden.</v>
      </c>
    </row>
    <row r="23699">
      <c r="A23699" s="4" t="s">
        <v>29819</v>
      </c>
      <c r="B23699" s="4" t="s">
        <v>29822</v>
      </c>
      <c r="C23699" s="5" t="str">
        <f>IFERROR(__xludf.DUMMYFUNCTION("GOOGLETRANSLATE(B23699,""en"",""de"")"),"Die Balken bestehen aus PVC -Rohren.")</f>
        <v>Die Balken bestehen aus PVC -Rohren.</v>
      </c>
    </row>
    <row r="23700">
      <c r="A23700" s="4" t="s">
        <v>29823</v>
      </c>
      <c r="B23700" s="4" t="s">
        <v>29824</v>
      </c>
      <c r="C23700" s="5" t="str">
        <f>IFERROR(__xludf.DUMMYFUNCTION("GOOGLETRANSLATE(B23700,""en"",""de"")"),"Ein Kocher spricht in einer Küche und zeigt das Innere eines Spitzermessers mit Scheiben im Inneren.")</f>
        <v>Ein Kocher spricht in einer Küche und zeigt das Innere eines Spitzermessers mit Scheiben im Inneren.</v>
      </c>
    </row>
    <row r="23701">
      <c r="A23701" s="4" t="s">
        <v>29823</v>
      </c>
      <c r="B23701" s="4" t="s">
        <v>29825</v>
      </c>
      <c r="C23701" s="5" t="str">
        <f>IFERROR(__xludf.DUMMYFUNCTION("GOOGLETRANSLATE(B23701,""en"",""de"")"),"Dann legt der Mann ein Messer in das Schärfermesser zum Schärfen.")</f>
        <v>Dann legt der Mann ein Messer in das Schärfermesser zum Schärfen.</v>
      </c>
    </row>
    <row r="23702">
      <c r="A23702" s="4" t="s">
        <v>29823</v>
      </c>
      <c r="B23702" s="4" t="s">
        <v>29826</v>
      </c>
      <c r="C23702" s="5" t="str">
        <f>IFERROR(__xludf.DUMMYFUNCTION("GOOGLETRANSLATE(B23702,""en"",""de"")"),"Danach waschen und trocknen Sie das Messer.")</f>
        <v>Danach waschen und trocknen Sie das Messer.</v>
      </c>
    </row>
    <row r="23703">
      <c r="A23703" s="4" t="s">
        <v>29827</v>
      </c>
      <c r="B23703" s="4" t="s">
        <v>29828</v>
      </c>
      <c r="C23703" s="5" t="str">
        <f>IFERROR(__xludf.DUMMYFUNCTION("GOOGLETRANSLATE(B23703,""en"",""de"")"),"Ein kleiner Junge, der ein großes Drum -Spiel spielt, konzentriert sich, während die Kamera ihn spielen sieht.")</f>
        <v>Ein kleiner Junge, der ein großes Drum -Spiel spielt, konzentriert sich, während die Kamera ihn spielen sieht.</v>
      </c>
    </row>
    <row r="23704">
      <c r="A23704" s="4" t="s">
        <v>29827</v>
      </c>
      <c r="B23704" s="4" t="s">
        <v>29829</v>
      </c>
      <c r="C23704" s="5" t="str">
        <f>IFERROR(__xludf.DUMMYFUNCTION("GOOGLETRANSLATE(B23704,""en"",""de"")"),"Andere Leute betreten den Jungen, während er das Spiel auf der Trommel ständig spielt.")</f>
        <v>Andere Leute betreten den Jungen, während er das Spiel auf der Trommel ständig spielt.</v>
      </c>
    </row>
    <row r="23705">
      <c r="A23705" s="4" t="s">
        <v>29827</v>
      </c>
      <c r="B23705" s="4" t="s">
        <v>29830</v>
      </c>
      <c r="C23705" s="5" t="str">
        <f>IFERROR(__xludf.DUMMYFUNCTION("GOOGLETRANSLATE(B23705,""en"",""de"")"),"Ein anderer Junge, der einen Getränk hält, geht in den Rahmen und beobachtet, wie der Junge das Spiel spielt.")</f>
        <v>Ein anderer Junge, der einen Getränk hält, geht in den Rahmen und beobachtet, wie der Junge das Spiel spielt.</v>
      </c>
    </row>
    <row r="23706">
      <c r="A23706" s="4" t="s">
        <v>29831</v>
      </c>
      <c r="B23706" s="4" t="s">
        <v>29832</v>
      </c>
      <c r="C23706" s="5" t="str">
        <f>IFERROR(__xludf.DUMMYFUNCTION("GOOGLETRANSLATE(B23706,""en"",""de"")"),"Eine große Gruppe von Menschen geht in Richtung Kamera und sie sehen aus, als wären sie in einem kleinen Dorf.")</f>
        <v>Eine große Gruppe von Menschen geht in Richtung Kamera und sie sehen aus, als wären sie in einem kleinen Dorf.</v>
      </c>
    </row>
    <row r="23707">
      <c r="A23707" s="4" t="s">
        <v>29831</v>
      </c>
      <c r="B23707" s="4" t="s">
        <v>29833</v>
      </c>
      <c r="C23707" s="5" t="str">
        <f>IFERROR(__xludf.DUMMYFUNCTION("GOOGLETRANSLATE(B23707,""en"",""de"")"),"Als die Leute näher kommen, sehen wir einen Mann und ein Kind an einem Sattel festhalten, der an einem Kamel angeschlossen ist und darauf reitet, während ein anderer Mann die Leine hält und das Kamel führt.")</f>
        <v>Als die Leute näher kommen, sehen wir einen Mann und ein Kind an einem Sattel festhalten, der an einem Kamel angeschlossen ist und darauf reitet, während ein anderer Mann die Leine hält und das Kamel führt.</v>
      </c>
    </row>
    <row r="23708">
      <c r="A23708" s="4" t="s">
        <v>29831</v>
      </c>
      <c r="B23708" s="4" t="s">
        <v>29834</v>
      </c>
      <c r="C23708" s="5" t="str">
        <f>IFERROR(__xludf.DUMMYFUNCTION("GOOGLETRANSLATE(B23708,""en"",""de"")"),"Das Kamel passt an die Kamera -Person und wir haben einen Blick auf das Kamel und einen Blick auf eine andere Seite des Gebiets, die wie ein Dorf aussieht.")</f>
        <v>Das Kamel passt an die Kamera -Person und wir haben einen Blick auf das Kamel und einen Blick auf eine andere Seite des Gebiets, die wie ein Dorf aussieht.</v>
      </c>
    </row>
    <row r="23709">
      <c r="A23709" s="4" t="s">
        <v>29835</v>
      </c>
      <c r="B23709" s="4" t="s">
        <v>29836</v>
      </c>
      <c r="C23709" s="5" t="str">
        <f>IFERROR(__xludf.DUMMYFUNCTION("GOOGLETRANSLATE(B23709,""en"",""de"")"),"Eine Aufnahme eines schneebedeckten Bereichs wird gezeigt, gefolgt von zwei Personen, die entlang der Gegend hoffen und mit der Kamera sprechen.")</f>
        <v>Eine Aufnahme eines schneebedeckten Bereichs wird gezeigt, gefolgt von zwei Personen, die entlang der Gegend hoffen und mit der Kamera sprechen.</v>
      </c>
    </row>
    <row r="23710">
      <c r="A23710" s="4" t="s">
        <v>29835</v>
      </c>
      <c r="B23710" s="4" t="s">
        <v>29837</v>
      </c>
      <c r="C23710" s="5" t="str">
        <f>IFERROR(__xludf.DUMMYFUNCTION("GOOGLETRANSLATE(B23710,""en"",""de"")"),"Es werden weitere Aufnahmen von den Männern gezeigt, die an verschiedenen Orten auf Snowboards herumhüpfen und mit der Kamera sprechen und Bilder der Menschen sowie Filmmaterial von ihnen zeigen.")</f>
        <v>Es werden weitere Aufnahmen von den Männern gezeigt, die an verschiedenen Orten auf Snowboards herumhüpfen und mit der Kamera sprechen und Bilder der Menschen sowie Filmmaterial von ihnen zeigen.</v>
      </c>
    </row>
    <row r="23711">
      <c r="A23711" s="4" t="s">
        <v>29838</v>
      </c>
      <c r="B23711" s="4" t="s">
        <v>29839</v>
      </c>
      <c r="C23711" s="5" t="str">
        <f>IFERROR(__xludf.DUMMYFUNCTION("GOOGLETRANSLATE(B23711,""en"",""de"")"),"Viele Männer spielen in einem Gebäude eine Gruppe von Eishockey gegeneinander.")</f>
        <v>Viele Männer spielen in einem Gebäude eine Gruppe von Eishockey gegeneinander.</v>
      </c>
    </row>
    <row r="23712">
      <c r="A23712" s="4" t="s">
        <v>29838</v>
      </c>
      <c r="B23712" s="4" t="s">
        <v>29840</v>
      </c>
      <c r="C23712" s="5" t="str">
        <f>IFERROR(__xludf.DUMMYFUNCTION("GOOGLETRANSLATE(B23712,""en"",""de"")"),"Während sie weiter spielen, beginnt der Schiedsrichter in Kreisen hin und her zu skaten.")</f>
        <v>Während sie weiter spielen, beginnt der Schiedsrichter in Kreisen hin und her zu skaten.</v>
      </c>
    </row>
    <row r="23713">
      <c r="A23713" s="4" t="s">
        <v>29838</v>
      </c>
      <c r="B23713" s="4" t="s">
        <v>29841</v>
      </c>
      <c r="C23713" s="5" t="str">
        <f>IFERROR(__xludf.DUMMYFUNCTION("GOOGLETRANSLATE(B23713,""en"",""de"")"),"Nach mehreren Starts und Abschlüssen gehen die Spiele weiter und der Torhüter ist es erfolgreich, den Puck jedes Mal zu blockieren.")</f>
        <v>Nach mehreren Starts und Abschlüssen gehen die Spiele weiter und der Torhüter ist es erfolgreich, den Puck jedes Mal zu blockieren.</v>
      </c>
    </row>
    <row r="23714">
      <c r="A23714" s="4" t="s">
        <v>29842</v>
      </c>
      <c r="B23714" s="4" t="s">
        <v>29843</v>
      </c>
      <c r="C23714" s="5" t="str">
        <f>IFERROR(__xludf.DUMMYFUNCTION("GOOGLETRANSLATE(B23714,""en"",""de"")"),"Wir sehen ein Baby, das in einem Raum mit Erwachsenen schaut.")</f>
        <v>Wir sehen ein Baby, das in einem Raum mit Erwachsenen schaut.</v>
      </c>
    </row>
    <row r="23715">
      <c r="A23715" s="4" t="s">
        <v>29842</v>
      </c>
      <c r="B23715" s="4" t="s">
        <v>29844</v>
      </c>
      <c r="C23715" s="5" t="str">
        <f>IFERROR(__xludf.DUMMYFUNCTION("GOOGLETRANSLATE(B23715,""en"",""de"")"),"Ein Erwachsener tanzt mit dem Baby.")</f>
        <v>Ein Erwachsener tanzt mit dem Baby.</v>
      </c>
    </row>
    <row r="23716">
      <c r="A23716" s="4" t="s">
        <v>29842</v>
      </c>
      <c r="B23716" s="4" t="s">
        <v>29845</v>
      </c>
      <c r="C23716" s="5" t="str">
        <f>IFERROR(__xludf.DUMMYFUNCTION("GOOGLETRANSLATE(B23716,""en"",""de"")"),"Zwei Erwachsene halten die Babys Hände und tanzen.")</f>
        <v>Zwei Erwachsene halten die Babys Hände und tanzen.</v>
      </c>
    </row>
    <row r="23717">
      <c r="A23717" s="4" t="s">
        <v>29842</v>
      </c>
      <c r="B23717" s="4" t="s">
        <v>29846</v>
      </c>
      <c r="C23717" s="5" t="str">
        <f>IFERROR(__xludf.DUMMYFUNCTION("GOOGLETRANSLATE(B23717,""en"",""de"")"),"Das Baby wird in einem Kreis gedreht.")</f>
        <v>Das Baby wird in einem Kreis gedreht.</v>
      </c>
    </row>
    <row r="23718">
      <c r="A23718" s="4" t="s">
        <v>29842</v>
      </c>
      <c r="B23718" s="4" t="s">
        <v>29847</v>
      </c>
      <c r="C23718" s="5" t="str">
        <f>IFERROR(__xludf.DUMMYFUNCTION("GOOGLETRANSLATE(B23718,""en"",""de"")"),"Das Baby wird wieder verdreht.")</f>
        <v>Das Baby wird wieder verdreht.</v>
      </c>
    </row>
    <row r="23719">
      <c r="A23719" s="4" t="s">
        <v>29842</v>
      </c>
      <c r="B23719" s="4" t="s">
        <v>29848</v>
      </c>
      <c r="C23719" s="5" t="str">
        <f>IFERROR(__xludf.DUMMYFUNCTION("GOOGLETRANSLATE(B23719,""en"",""de"")"),"Das Baby tanzt wieder allein.")</f>
        <v>Das Baby tanzt wieder allein.</v>
      </c>
    </row>
    <row r="23720">
      <c r="A23720" s="4" t="s">
        <v>29842</v>
      </c>
      <c r="B23720" s="4" t="s">
        <v>29849</v>
      </c>
      <c r="C23720" s="5" t="str">
        <f>IFERROR(__xludf.DUMMYFUNCTION("GOOGLETRANSLATE(B23720,""en"",""de"")"),"Das Baby nimmt einen Spielzeughund auf und tanzt damit.")</f>
        <v>Das Baby nimmt einen Spielzeughund auf und tanzt damit.</v>
      </c>
    </row>
    <row r="23721">
      <c r="A23721" s="4" t="s">
        <v>29850</v>
      </c>
      <c r="B23721" s="4" t="s">
        <v>29851</v>
      </c>
      <c r="C23721" s="5" t="str">
        <f>IFERROR(__xludf.DUMMYFUNCTION("GOOGLETRANSLATE(B23721,""en"",""de"")"),"Kinder fahren kleine Schmutzräder um eine Strecke.")</f>
        <v>Kinder fahren kleine Schmutzräder um eine Strecke.</v>
      </c>
    </row>
    <row r="23722">
      <c r="A23722" s="4" t="s">
        <v>29850</v>
      </c>
      <c r="B23722" s="4" t="s">
        <v>29852</v>
      </c>
      <c r="C23722" s="5" t="str">
        <f>IFERROR(__xludf.DUMMYFUNCTION("GOOGLETRANSLATE(B23722,""en"",""de"")"),"Ein Kind fällt um und die Leute helfen ihnen.")</f>
        <v>Ein Kind fällt um und die Leute helfen ihnen.</v>
      </c>
    </row>
    <row r="23723">
      <c r="A23723" s="4" t="s">
        <v>29853</v>
      </c>
      <c r="B23723" s="4" t="s">
        <v>29854</v>
      </c>
      <c r="C23723" s="5" t="str">
        <f>IFERROR(__xludf.DUMMYFUNCTION("GOOGLETRANSLATE(B23723,""en"",""de"")"),"Ein paar Leute treffen sich in einem Floßgeschäft.")</f>
        <v>Ein paar Leute treffen sich in einem Floßgeschäft.</v>
      </c>
    </row>
    <row r="23724">
      <c r="A23724" s="4" t="s">
        <v>29853</v>
      </c>
      <c r="B23724" s="4" t="s">
        <v>29855</v>
      </c>
      <c r="C23724" s="5" t="str">
        <f>IFERROR(__xludf.DUMMYFUNCTION("GOOGLETRANSLATE(B23724,""en"",""de"")"),"Sie alle treffen sich in einem Raum, um Helme anzuziehen und ihre Ausrüstung zusammenzubringen.")</f>
        <v>Sie alle treffen sich in einem Raum, um Helme anzuziehen und ihre Ausrüstung zusammenzubringen.</v>
      </c>
    </row>
    <row r="23725">
      <c r="A23725" s="4" t="s">
        <v>29853</v>
      </c>
      <c r="B23725" s="4" t="s">
        <v>29856</v>
      </c>
      <c r="C23725" s="5" t="str">
        <f>IFERROR(__xludf.DUMMYFUNCTION("GOOGLETRANSLATE(B23725,""en"",""de"")"),"Sie alle machen einen langen Spaziergang zusammen, einschließlich einer großen Treppe hinunter.")</f>
        <v>Sie alle machen einen langen Spaziergang zusammen, einschließlich einer großen Treppe hinunter.</v>
      </c>
    </row>
    <row r="23726">
      <c r="A23726" s="4" t="s">
        <v>29853</v>
      </c>
      <c r="B23726" s="4" t="s">
        <v>29857</v>
      </c>
      <c r="C23726" s="5" t="str">
        <f>IFERROR(__xludf.DUMMYFUNCTION("GOOGLETRANSLATE(B23726,""en"",""de"")"),"Sie erreichen eine lange Reihe von Flößen am Wasser, wo sie einsteigen und mit dem Rafting beginnen.")</f>
        <v>Sie erreichen eine lange Reihe von Flößen am Wasser, wo sie einsteigen und mit dem Rafting beginnen.</v>
      </c>
    </row>
    <row r="23727">
      <c r="A23727" s="4" t="s">
        <v>29853</v>
      </c>
      <c r="B23727" s="4" t="s">
        <v>29858</v>
      </c>
      <c r="C23727" s="5" t="str">
        <f>IFERROR(__xludf.DUMMYFUNCTION("GOOGLETRANSLATE(B23727,""en"",""de"")"),"Die Menschen sind weiße Wasser, die einen turbulenten Fluss hinunterraften, mit ihren Paddeln im Einklang und gehen zusammen kleine Wasserfälle hinunter.")</f>
        <v>Die Menschen sind weiße Wasser, die einen turbulenten Fluss hinunterraften, mit ihren Paddeln im Einklang und gehen zusammen kleine Wasserfälle hinunter.</v>
      </c>
    </row>
    <row r="23728">
      <c r="A23728" s="4" t="s">
        <v>29853</v>
      </c>
      <c r="B23728" s="4" t="s">
        <v>29859</v>
      </c>
      <c r="C23728" s="5" t="str">
        <f>IFERROR(__xludf.DUMMYFUNCTION("GOOGLETRANSLATE(B23728,""en"",""de"")"),"Sie alle halten am Ende ihres Abenteuers unter einem Pavillon im Freien ein Mittagessen.")</f>
        <v>Sie alle halten am Ende ihres Abenteuers unter einem Pavillon im Freien ein Mittagessen.</v>
      </c>
    </row>
    <row r="23729">
      <c r="A23729" s="4" t="s">
        <v>29860</v>
      </c>
      <c r="B23729" s="4" t="s">
        <v>29861</v>
      </c>
      <c r="C23729" s="5" t="str">
        <f>IFERROR(__xludf.DUMMYFUNCTION("GOOGLETRANSLATE(B23729,""en"",""de"")"),"Ein Teenager führt ein Pommel -Pferd durch und springt dann auf den Boden und bekommt Strom von einem Behälter.")</f>
        <v>Ein Teenager führt ein Pommel -Pferd durch und springt dann auf den Boden und bekommt Strom von einem Behälter.</v>
      </c>
    </row>
    <row r="23730">
      <c r="A23730" s="4" t="s">
        <v>29860</v>
      </c>
      <c r="B23730" s="4" t="s">
        <v>29862</v>
      </c>
      <c r="C23730" s="5" t="str">
        <f>IFERROR(__xludf.DUMMYFUNCTION("GOOGLETRANSLATE(B23730,""en"",""de"")"),"Danach kommt der Teenager wieder auf das Pommel Horse und dreht sich viele Male, während die Jury beobachtet.")</f>
        <v>Danach kommt der Teenager wieder auf das Pommel Horse und dreht sich viele Male, während die Jury beobachtet.</v>
      </c>
    </row>
    <row r="23731">
      <c r="A23731" s="4" t="s">
        <v>29860</v>
      </c>
      <c r="B23731" s="4" t="s">
        <v>29863</v>
      </c>
      <c r="C23731" s="5" t="str">
        <f>IFERROR(__xludf.DUMMYFUNCTION("GOOGLETRANSLATE(B23731,""en"",""de"")"),"Die Leute gehen hinter die Jury.")</f>
        <v>Die Leute gehen hinter die Jury.</v>
      </c>
    </row>
    <row r="23732">
      <c r="A23732" s="4" t="s">
        <v>29860</v>
      </c>
      <c r="B23732" s="4" t="s">
        <v>29864</v>
      </c>
      <c r="C23732" s="5" t="str">
        <f>IFERROR(__xludf.DUMMYFUNCTION("GOOGLETRANSLATE(B23732,""en"",""de"")"),"Als nächstes steht der Teenager auf seinen Händen und springt auf die Matte.")</f>
        <v>Als nächstes steht der Teenager auf seinen Händen und springt auf die Matte.</v>
      </c>
    </row>
    <row r="23733">
      <c r="A23733" s="4" t="s">
        <v>29865</v>
      </c>
      <c r="B23733" s="4" t="s">
        <v>29866</v>
      </c>
      <c r="C23733" s="5" t="str">
        <f>IFERROR(__xludf.DUMMYFUNCTION("GOOGLETRANSLATE(B23733,""en"",""de"")"),"Eine Frau, die eine Perücke trägt, wird ein anderes Mädchen mit verbundenen Augen sehen, während andere an den Seiten zuschauen.")</f>
        <v>Eine Frau, die eine Perücke trägt, wird ein anderes Mädchen mit verbundenen Augen sehen, während andere an den Seiten zuschauen.</v>
      </c>
    </row>
    <row r="23734">
      <c r="A23734" s="4" t="s">
        <v>29865</v>
      </c>
      <c r="B23734" s="4" t="s">
        <v>29867</v>
      </c>
      <c r="C23734" s="5" t="str">
        <f>IFERROR(__xludf.DUMMYFUNCTION("GOOGLETRANSLATE(B23734,""en"",""de"")"),"Kinder spielen auf dem Bouncehouse und eine Frau dreht sich um das Mädchen mit verbundenen Augen.")</f>
        <v>Kinder spielen auf dem Bouncehouse und eine Frau dreht sich um das Mädchen mit verbundenen Augen.</v>
      </c>
    </row>
    <row r="23735">
      <c r="A23735" s="4" t="s">
        <v>29865</v>
      </c>
      <c r="B23735" s="4" t="s">
        <v>29868</v>
      </c>
      <c r="C23735" s="5" t="str">
        <f>IFERROR(__xludf.DUMMYFUNCTION("GOOGLETRANSLATE(B23735,""en"",""de"")"),"Das Mädchen schwingt in einer Pinata herum und schlägt dann weg.")</f>
        <v>Das Mädchen schwingt in einer Pinata herum und schlägt dann weg.</v>
      </c>
    </row>
    <row r="23736">
      <c r="A23736" s="4" t="s">
        <v>29869</v>
      </c>
      <c r="B23736" s="4" t="s">
        <v>29870</v>
      </c>
      <c r="C23736" s="5" t="str">
        <f>IFERROR(__xludf.DUMMYFUNCTION("GOOGLETRANSLATE(B23736,""en"",""de"")"),"Ein Mann setzt sich auf eine Übungsmaschine.")</f>
        <v>Ein Mann setzt sich auf eine Übungsmaschine.</v>
      </c>
    </row>
    <row r="23737">
      <c r="A23737" s="4" t="s">
        <v>29869</v>
      </c>
      <c r="B23737" s="4" t="s">
        <v>29871</v>
      </c>
      <c r="C23737" s="5" t="str">
        <f>IFERROR(__xludf.DUMMYFUNCTION("GOOGLETRANSLATE(B23737,""en"",""de"")"),"Er beginnt an der Maschine zu arbeiten.")</f>
        <v>Er beginnt an der Maschine zu arbeiten.</v>
      </c>
    </row>
    <row r="23738">
      <c r="A23738" s="4" t="s">
        <v>29869</v>
      </c>
      <c r="B23738" s="4" t="s">
        <v>29872</v>
      </c>
      <c r="C23738" s="5" t="str">
        <f>IFERROR(__xludf.DUMMYFUNCTION("GOOGLETRANSLATE(B23738,""en"",""de"")"),"Ein Mann in einem braunen Hemd steht hinter ihm.")</f>
        <v>Ein Mann in einem braunen Hemd steht hinter ihm.</v>
      </c>
    </row>
    <row r="23739">
      <c r="A23739" s="4" t="s">
        <v>29873</v>
      </c>
      <c r="B23739" s="4" t="s">
        <v>29874</v>
      </c>
      <c r="C23739" s="5" t="str">
        <f>IFERROR(__xludf.DUMMYFUNCTION("GOOGLETRANSLATE(B23739,""en"",""de"")"),"Drei Personen gehen schnell runter.")</f>
        <v>Drei Personen gehen schnell runter.</v>
      </c>
    </row>
    <row r="23740">
      <c r="A23740" s="4" t="s">
        <v>29873</v>
      </c>
      <c r="B23740" s="4" t="s">
        <v>29875</v>
      </c>
      <c r="C23740" s="5" t="str">
        <f>IFERROR(__xludf.DUMMYFUNCTION("GOOGLETRANSLATE(B23740,""en"",""de"")"),"Sie stecken auf den Felsen fest, schieben dann ab und schweben weiter.")</f>
        <v>Sie stecken auf den Felsen fest, schieben dann ab und schweben weiter.</v>
      </c>
    </row>
    <row r="23741">
      <c r="A23741" s="4" t="s">
        <v>29876</v>
      </c>
      <c r="B23741" s="4" t="s">
        <v>29877</v>
      </c>
      <c r="C23741" s="5" t="str">
        <f>IFERROR(__xludf.DUMMYFUNCTION("GOOGLETRANSLATE(B23741,""en"",""de"")"),"Es gibt einen jungen Mann, der einen schwarzen Kapuzenpullover trägt und in der Wildnis einen Hut macht.")</f>
        <v>Es gibt einen jungen Mann, der einen schwarzen Kapuzenpullover trägt und in der Wildnis einen Hut macht.</v>
      </c>
    </row>
    <row r="23742">
      <c r="A23742" s="4" t="s">
        <v>29876</v>
      </c>
      <c r="B23742" s="4" t="s">
        <v>29878</v>
      </c>
      <c r="C23742" s="5" t="str">
        <f>IFERROR(__xludf.DUMMYFUNCTION("GOOGLETRANSLATE(B23742,""en"",""de"")"),"Er nimmt einen Regenschirm in die Hand und wirft ihn dann hinter ihn.")</f>
        <v>Er nimmt einen Regenschirm in die Hand und wirft ihn dann hinter ihn.</v>
      </c>
    </row>
    <row r="23743">
      <c r="A23743" s="4" t="s">
        <v>29876</v>
      </c>
      <c r="B23743" s="4" t="s">
        <v>29879</v>
      </c>
      <c r="C23743" s="5" t="str">
        <f>IFERROR(__xludf.DUMMYFUNCTION("GOOGLETRANSLATE(B23743,""en"",""de"")"),"Dann geht er auf einem engen Seil und versucht sich auszugleichen.")</f>
        <v>Dann geht er auf einem engen Seil und versucht sich auszugleichen.</v>
      </c>
    </row>
    <row r="23744">
      <c r="A23744" s="4" t="s">
        <v>29876</v>
      </c>
      <c r="B23744" s="4" t="s">
        <v>29880</v>
      </c>
      <c r="C23744" s="5" t="str">
        <f>IFERROR(__xludf.DUMMYFUNCTION("GOOGLETRANSLATE(B23744,""en"",""de"")"),"Es gibt einige andere Männer, die das Gleiche in der Wildnis machen und versuchen, sich auszugleichen und auf engen Seilen zu gehen.")</f>
        <v>Es gibt einige andere Männer, die das Gleiche in der Wildnis machen und versuchen, sich auszugleichen und auf engen Seilen zu gehen.</v>
      </c>
    </row>
    <row r="23745">
      <c r="A23745" s="4" t="s">
        <v>29881</v>
      </c>
      <c r="B23745" s="4" t="s">
        <v>29882</v>
      </c>
      <c r="C23745" s="5" t="str">
        <f>IFERROR(__xludf.DUMMYFUNCTION("GOOGLETRANSLATE(B23745,""en"",""de"")"),"Ein älteres Paar tanzt alleine auf einem Turnhalle, während eine Reihe von Menschen an einer Tischuhr.")</f>
        <v>Ein älteres Paar tanzt alleine auf einem Turnhalle, während eine Reihe von Menschen an einer Tischuhr.</v>
      </c>
    </row>
    <row r="23746">
      <c r="A23746" s="4" t="s">
        <v>29881</v>
      </c>
      <c r="B23746" s="4" t="s">
        <v>29883</v>
      </c>
      <c r="C23746" s="5" t="str">
        <f>IFERROR(__xludf.DUMMYFUNCTION("GOOGLETRANSLATE(B23746,""en"",""de"")"),"Sie drehen sich und tanzen glücklich und die Menge klatscht beim Abschluss und gehen.")</f>
        <v>Sie drehen sich und tanzen glücklich und die Menge klatscht beim Abschluss und gehen.</v>
      </c>
    </row>
    <row r="23747">
      <c r="A23747" s="4" t="s">
        <v>29884</v>
      </c>
      <c r="B23747" s="4" t="s">
        <v>29885</v>
      </c>
      <c r="C23747" s="5" t="str">
        <f>IFERROR(__xludf.DUMMYFUNCTION("GOOGLETRANSLATE(B23747,""en"",""de"")"),"Drei Männer, die ein Racquetballspiel spielen, befinden sich in einem von weißen Wänden umgebenen Platz.")</f>
        <v>Drei Männer, die ein Racquetballspiel spielen, befinden sich in einem von weißen Wänden umgebenen Platz.</v>
      </c>
    </row>
    <row r="23748">
      <c r="A23748" s="4" t="s">
        <v>29884</v>
      </c>
      <c r="B23748" s="4" t="s">
        <v>29886</v>
      </c>
      <c r="C23748" s="5" t="str">
        <f>IFERROR(__xludf.DUMMYFUNCTION("GOOGLETRANSLATE(B23748,""en"",""de"")"),"Der Mann in White dient, gefolgt von dem Mann im Hut, der sein Aufschlag erzielte.")</f>
        <v>Der Mann in White dient, gefolgt von dem Mann im Hut, der sein Aufschlag erzielte.</v>
      </c>
    </row>
    <row r="23749">
      <c r="A23749" s="4" t="s">
        <v>29884</v>
      </c>
      <c r="B23749" s="4" t="s">
        <v>29887</v>
      </c>
      <c r="C23749" s="5" t="str">
        <f>IFERROR(__xludf.DUMMYFUNCTION("GOOGLETRANSLATE(B23749,""en"",""de"")"),"Der Mann in den gelben Shorts kommt als nächstes und schafft es, das Spiel zu übernehmen, und dient mehrmals, um das Video zu schließen.")</f>
        <v>Der Mann in den gelben Shorts kommt als nächstes und schafft es, das Spiel zu übernehmen, und dient mehrmals, um das Video zu schließen.</v>
      </c>
    </row>
    <row r="23750">
      <c r="A23750" s="4" t="s">
        <v>29888</v>
      </c>
      <c r="B23750" s="4" t="s">
        <v>29889</v>
      </c>
      <c r="C23750" s="5" t="str">
        <f>IFERROR(__xludf.DUMMYFUNCTION("GOOGLETRANSLATE(B23750,""en"",""de"")"),"Eine Gruppe von vier Männern spricht vor einer Kamera.")</f>
        <v>Eine Gruppe von vier Männern spricht vor einer Kamera.</v>
      </c>
    </row>
    <row r="23751">
      <c r="A23751" s="4" t="s">
        <v>29888</v>
      </c>
      <c r="B23751" s="4" t="s">
        <v>29890</v>
      </c>
      <c r="C23751" s="5" t="str">
        <f>IFERROR(__xludf.DUMMYFUNCTION("GOOGLETRANSLATE(B23751,""en"",""de"")"),"Es gibt eine animierte Sequenz.")</f>
        <v>Es gibt eine animierte Sequenz.</v>
      </c>
    </row>
    <row r="23752">
      <c r="A23752" s="4" t="s">
        <v>29888</v>
      </c>
      <c r="B23752" s="4" t="s">
        <v>29891</v>
      </c>
      <c r="C23752" s="5" t="str">
        <f>IFERROR(__xludf.DUMMYFUNCTION("GOOGLETRANSLATE(B23752,""en"",""de"")"),"Sie sprechen weiter vor der Kamera.")</f>
        <v>Sie sprechen weiter vor der Kamera.</v>
      </c>
    </row>
    <row r="23753">
      <c r="A23753" s="4" t="s">
        <v>29888</v>
      </c>
      <c r="B23753" s="4" t="s">
        <v>29892</v>
      </c>
      <c r="C23753" s="5" t="str">
        <f>IFERROR(__xludf.DUMMYFUNCTION("GOOGLETRANSLATE(B23753,""en"",""de"")"),"Zwei von ihnen halten einen Rechen und sie spielen Rockpapierschere.")</f>
        <v>Zwei von ihnen halten einen Rechen und sie spielen Rockpapierschere.</v>
      </c>
    </row>
    <row r="23754">
      <c r="A23754" s="4" t="s">
        <v>29888</v>
      </c>
      <c r="B23754" s="4" t="s">
        <v>29893</v>
      </c>
      <c r="C23754" s="5" t="str">
        <f>IFERROR(__xludf.DUMMYFUNCTION("GOOGLETRANSLATE(B23754,""en"",""de"")"),"Man verliert das Spiel und springt auf den Rake.")</f>
        <v>Man verliert das Spiel und springt auf den Rake.</v>
      </c>
    </row>
    <row r="23755">
      <c r="A23755" s="4" t="s">
        <v>29888</v>
      </c>
      <c r="B23755" s="4" t="s">
        <v>29894</v>
      </c>
      <c r="C23755" s="5" t="str">
        <f>IFERROR(__xludf.DUMMYFUNCTION("GOOGLETRANSLATE(B23755,""en"",""de"")"),"Wiederholungen von ihm, die auf den Rake springen.")</f>
        <v>Wiederholungen von ihm, die auf den Rake springen.</v>
      </c>
    </row>
    <row r="23756">
      <c r="A23756" s="4" t="s">
        <v>29888</v>
      </c>
      <c r="B23756" s="4" t="s">
        <v>29895</v>
      </c>
      <c r="C23756" s="5" t="str">
        <f>IFERROR(__xludf.DUMMYFUNCTION("GOOGLETRANSLATE(B23756,""en"",""de"")"),"Die anderen beiden halten den Rake und spielen Rockpapierschere.")</f>
        <v>Die anderen beiden halten den Rake und spielen Rockpapierschere.</v>
      </c>
    </row>
    <row r="23757">
      <c r="A23757" s="4" t="s">
        <v>29888</v>
      </c>
      <c r="B23757" s="4" t="s">
        <v>29896</v>
      </c>
      <c r="C23757" s="5" t="str">
        <f>IFERROR(__xludf.DUMMYFUNCTION("GOOGLETRANSLATE(B23757,""en"",""de"")"),"Eine andere Person verliert und springt auf den Rechen.")</f>
        <v>Eine andere Person verliert und springt auf den Rechen.</v>
      </c>
    </row>
    <row r="23758">
      <c r="A23758" s="4" t="s">
        <v>29888</v>
      </c>
      <c r="B23758" s="4" t="s">
        <v>29897</v>
      </c>
      <c r="C23758" s="5" t="str">
        <f>IFERROR(__xludf.DUMMYFUNCTION("GOOGLETRANSLATE(B23758,""en"",""de"")"),"Sie zeigen wieder Wiederholungen von ihm, der darauf springt.")</f>
        <v>Sie zeigen wieder Wiederholungen von ihm, der darauf springt.</v>
      </c>
    </row>
    <row r="23759">
      <c r="A23759" s="4" t="s">
        <v>29888</v>
      </c>
      <c r="B23759" s="4" t="s">
        <v>29898</v>
      </c>
      <c r="C23759" s="5" t="str">
        <f>IFERROR(__xludf.DUMMYFUNCTION("GOOGLETRANSLATE(B23759,""en"",""de"")"),"Eine andere Gruppe von Jungs hält wieder den Rake und spielt Rockpapierschere.")</f>
        <v>Eine andere Gruppe von Jungs hält wieder den Rake und spielt Rockpapierschere.</v>
      </c>
    </row>
    <row r="23760">
      <c r="A23760" s="4" t="s">
        <v>29888</v>
      </c>
      <c r="B23760" s="4" t="s">
        <v>29899</v>
      </c>
      <c r="C23760" s="5" t="str">
        <f>IFERROR(__xludf.DUMMYFUNCTION("GOOGLETRANSLATE(B23760,""en"",""de"")"),"Man verliert und springt wieder auf den Rechen.")</f>
        <v>Man verliert und springt wieder auf den Rechen.</v>
      </c>
    </row>
    <row r="23761">
      <c r="A23761" s="4" t="s">
        <v>29888</v>
      </c>
      <c r="B23761" s="4" t="s">
        <v>29900</v>
      </c>
      <c r="C23761" s="5" t="str">
        <f>IFERROR(__xludf.DUMMYFUNCTION("GOOGLETRANSLATE(B23761,""en"",""de"")"),"Sie zeigen Wiederholungen von ihm, die auf dem Rechen springen.")</f>
        <v>Sie zeigen Wiederholungen von ihm, die auf dem Rechen springen.</v>
      </c>
    </row>
    <row r="23762">
      <c r="A23762" s="4" t="s">
        <v>29888</v>
      </c>
      <c r="B23762" s="4" t="s">
        <v>29901</v>
      </c>
      <c r="C23762" s="5" t="str">
        <f>IFERROR(__xludf.DUMMYFUNCTION("GOOGLETRANSLATE(B23762,""en"",""de"")"),"Der andere Mann springt dann auf den Rake.")</f>
        <v>Der andere Mann springt dann auf den Rake.</v>
      </c>
    </row>
    <row r="23763">
      <c r="A23763" s="4" t="s">
        <v>29888</v>
      </c>
      <c r="B23763" s="4" t="s">
        <v>29902</v>
      </c>
      <c r="C23763" s="5" t="str">
        <f>IFERROR(__xludf.DUMMYFUNCTION("GOOGLETRANSLATE(B23763,""en"",""de"")"),"Sie zeigen wieder Wiederholungen.")</f>
        <v>Sie zeigen wieder Wiederholungen.</v>
      </c>
    </row>
    <row r="23764">
      <c r="A23764" s="4" t="s">
        <v>29888</v>
      </c>
      <c r="B23764" s="4" t="s">
        <v>29903</v>
      </c>
      <c r="C23764" s="5" t="str">
        <f>IFERROR(__xludf.DUMMYFUNCTION("GOOGLETRANSLATE(B23764,""en"",""de"")"),"Alle vier reden erneut vor der Kamera.")</f>
        <v>Alle vier reden erneut vor der Kamera.</v>
      </c>
    </row>
    <row r="23765">
      <c r="A23765" s="4" t="s">
        <v>29888</v>
      </c>
      <c r="B23765" s="4" t="s">
        <v>29904</v>
      </c>
      <c r="C23765" s="5" t="str">
        <f>IFERROR(__xludf.DUMMYFUNCTION("GOOGLETRANSLATE(B23765,""en"",""de"")"),"Es endet mit anderen Videos von ihrem You Tube Channel.")</f>
        <v>Es endet mit anderen Videos von ihrem You Tube Channel.</v>
      </c>
    </row>
    <row r="23766">
      <c r="A23766" s="4" t="s">
        <v>29905</v>
      </c>
      <c r="B23766" s="4" t="s">
        <v>29906</v>
      </c>
      <c r="C23766" s="5" t="str">
        <f>IFERROR(__xludf.DUMMYFUNCTION("GOOGLETRANSLATE(B23766,""en"",""de"")"),"Eine Person ist unten unten und schwingt einen Stoff und schlägt ihn auf etwas.")</f>
        <v>Eine Person ist unten unten und schwingt einen Stoff und schlägt ihn auf etwas.</v>
      </c>
    </row>
    <row r="23767">
      <c r="A23767" s="4" t="s">
        <v>29905</v>
      </c>
      <c r="B23767" s="4" t="s">
        <v>29907</v>
      </c>
      <c r="C23767" s="5" t="str">
        <f>IFERROR(__xludf.DUMMYFUNCTION("GOOGLETRANSLATE(B23767,""en"",""de"")"),"Eine breite Einstellung einer Stadt wird von oben angezeigt.")</f>
        <v>Eine breite Einstellung einer Stadt wird von oben angezeigt.</v>
      </c>
    </row>
    <row r="23768">
      <c r="A23768" s="4" t="s">
        <v>29905</v>
      </c>
      <c r="B23768" s="4" t="s">
        <v>29908</v>
      </c>
      <c r="C23768" s="5" t="str">
        <f>IFERROR(__xludf.DUMMYFUNCTION("GOOGLETRANSLATE(B23768,""en"",""de"")"),"Die Aussicht schwenkt zu anderen Teilen der Stadt und vergrößert dann auch andere Menschen, die Stoff auf ein Objekt schlagen.")</f>
        <v>Die Aussicht schwenkt zu anderen Teilen der Stadt und vergrößert dann auch andere Menschen, die Stoff auf ein Objekt schlagen.</v>
      </c>
    </row>
    <row r="23769">
      <c r="A23769" s="4" t="s">
        <v>29909</v>
      </c>
      <c r="B23769" s="4" t="s">
        <v>29910</v>
      </c>
      <c r="C23769" s="5" t="str">
        <f>IFERROR(__xludf.DUMMYFUNCTION("GOOGLETRANSLATE(B23769,""en"",""de"")"),"Eine Person wirft eine Scheibe einen Landstreifen hinunter.")</f>
        <v>Eine Person wirft eine Scheibe einen Landstreifen hinunter.</v>
      </c>
    </row>
    <row r="23770">
      <c r="A23770" s="4" t="s">
        <v>29909</v>
      </c>
      <c r="B23770" s="4" t="s">
        <v>29911</v>
      </c>
      <c r="C23770" s="5" t="str">
        <f>IFERROR(__xludf.DUMMYFUNCTION("GOOGLETRANSLATE(B23770,""en"",""de"")"),"Eine Frau in einem braunen Hemd hält eine rote Tasse.")</f>
        <v>Eine Frau in einem braunen Hemd hält eine rote Tasse.</v>
      </c>
    </row>
    <row r="23771">
      <c r="A23771" s="4" t="s">
        <v>29909</v>
      </c>
      <c r="B23771" s="4" t="s">
        <v>29912</v>
      </c>
      <c r="C23771" s="5" t="str">
        <f>IFERROR(__xludf.DUMMYFUNCTION("GOOGLETRANSLATE(B23771,""en"",""de"")"),"Ein Junge schiebt einen Ball mit einem Stock.")</f>
        <v>Ein Junge schiebt einen Ball mit einem Stock.</v>
      </c>
    </row>
    <row r="23772">
      <c r="A23772" s="4" t="s">
        <v>29909</v>
      </c>
      <c r="B23772" s="4" t="s">
        <v>29913</v>
      </c>
      <c r="C23772" s="5" t="str">
        <f>IFERROR(__xludf.DUMMYFUNCTION("GOOGLETRANSLATE(B23772,""en"",""de"")"),"Ein Mann in einem schwarzen Hemd hält einen Stock.")</f>
        <v>Ein Mann in einem schwarzen Hemd hält einen Stock.</v>
      </c>
    </row>
    <row r="23773">
      <c r="A23773" s="4" t="s">
        <v>29909</v>
      </c>
      <c r="B23773" s="4" t="s">
        <v>29914</v>
      </c>
      <c r="C23773" s="5" t="str">
        <f>IFERROR(__xludf.DUMMYFUNCTION("GOOGLETRANSLATE(B23773,""en"",""de"")"),"Ein Junge in einem weißen Hemd lächelt in die Kamera.")</f>
        <v>Ein Junge in einem weißen Hemd lächelt in die Kamera.</v>
      </c>
    </row>
    <row r="23774">
      <c r="A23774" s="4" t="s">
        <v>29915</v>
      </c>
      <c r="B23774" s="4" t="s">
        <v>29916</v>
      </c>
      <c r="C23774" s="5" t="str">
        <f>IFERROR(__xludf.DUMMYFUNCTION("GOOGLETRANSLATE(B23774,""en"",""de"")"),"Ein Mann spricht mit der Kamera und hält ein Werkzeug hoch.")</f>
        <v>Ein Mann spricht mit der Kamera und hält ein Werkzeug hoch.</v>
      </c>
    </row>
    <row r="23775">
      <c r="A23775" s="4" t="s">
        <v>29915</v>
      </c>
      <c r="B23775" s="4" t="s">
        <v>29917</v>
      </c>
      <c r="C23775" s="5" t="str">
        <f>IFERROR(__xludf.DUMMYFUNCTION("GOOGLETRANSLATE(B23775,""en"",""de"")"),"Eine Person lässt sich dann mit dem Dach vom Dach abziehen und laut sprechen.")</f>
        <v>Eine Person lässt sich dann mit dem Dach vom Dach abziehen und laut sprechen.</v>
      </c>
    </row>
    <row r="23776">
      <c r="A23776" s="4" t="s">
        <v>29915</v>
      </c>
      <c r="B23776" s="4" t="s">
        <v>29918</v>
      </c>
      <c r="C23776" s="5" t="str">
        <f>IFERROR(__xludf.DUMMYFUNCTION("GOOGLETRANSLATE(B23776,""en"",""de"")"),"Der Mann nimmt weiterhin das Dach auseinander.")</f>
        <v>Der Mann nimmt weiterhin das Dach auseinander.</v>
      </c>
    </row>
    <row r="23777">
      <c r="A23777" s="4" t="s">
        <v>29919</v>
      </c>
      <c r="B23777" s="4" t="s">
        <v>29920</v>
      </c>
      <c r="C23777" s="5" t="str">
        <f>IFERROR(__xludf.DUMMYFUNCTION("GOOGLETRANSLATE(B23777,""en"",""de"")"),"Eine Gruppe von Menschen spielt in Weißwasserkajaks.")</f>
        <v>Eine Gruppe von Menschen spielt in Weißwasserkajaks.</v>
      </c>
    </row>
    <row r="23778">
      <c r="A23778" s="4" t="s">
        <v>29919</v>
      </c>
      <c r="B23778" s="4" t="s">
        <v>29921</v>
      </c>
      <c r="C23778" s="5" t="str">
        <f>IFERROR(__xludf.DUMMYFUNCTION("GOOGLETRANSLATE(B23778,""en"",""de"")"),"Die Person im Roten versucht umzudrehen.")</f>
        <v>Die Person im Roten versucht umzudrehen.</v>
      </c>
    </row>
    <row r="23779">
      <c r="A23779" s="4" t="s">
        <v>29919</v>
      </c>
      <c r="B23779" s="4" t="s">
        <v>29922</v>
      </c>
      <c r="C23779" s="5" t="str">
        <f>IFERROR(__xludf.DUMMYFUNCTION("GOOGLETRANSLATE(B23779,""en"",""de"")"),"Eine Person in grüner versucht das Gleiche.")</f>
        <v>Eine Person in grüner versucht das Gleiche.</v>
      </c>
    </row>
    <row r="23780">
      <c r="A23780" s="4" t="s">
        <v>29919</v>
      </c>
      <c r="B23780" s="4" t="s">
        <v>29923</v>
      </c>
      <c r="C23780" s="5" t="str">
        <f>IFERROR(__xludf.DUMMYFUNCTION("GOOGLETRANSLATE(B23780,""en"",""de"")"),"Die Person im Roten hat dann lange Zeit in der Luft.")</f>
        <v>Die Person im Roten hat dann lange Zeit in der Luft.</v>
      </c>
    </row>
    <row r="23781">
      <c r="A23781" s="4" t="s">
        <v>29924</v>
      </c>
      <c r="B23781" s="4" t="s">
        <v>29925</v>
      </c>
      <c r="C23781" s="5" t="str">
        <f>IFERROR(__xludf.DUMMYFUNCTION("GOOGLETRANSLATE(B23781,""en"",""de"")"),"Eine große Gruppe von Menschen ist gesehen, wie sie auf ein Feld geht, wobei eine Menge hinter ihnen jubelte.")</f>
        <v>Eine große Gruppe von Menschen ist gesehen, wie sie auf ein Feld geht, wobei eine Menge hinter ihnen jubelte.</v>
      </c>
    </row>
    <row r="23782">
      <c r="A23782" s="4" t="s">
        <v>29924</v>
      </c>
      <c r="B23782" s="4" t="s">
        <v>29926</v>
      </c>
      <c r="C23782" s="5" t="str">
        <f>IFERROR(__xludf.DUMMYFUNCTION("GOOGLETRANSLATE(B23782,""en"",""de"")"),"Die Männer spielen dann ein Fußballspiel und treten den Ball um das Feld.")</f>
        <v>Die Männer spielen dann ein Fußballspiel und treten den Ball um das Feld.</v>
      </c>
    </row>
    <row r="23783">
      <c r="A23783" s="4" t="s">
        <v>29924</v>
      </c>
      <c r="B23783" s="4" t="s">
        <v>29927</v>
      </c>
      <c r="C23783" s="5" t="str">
        <f>IFERROR(__xludf.DUMMYFUNCTION("GOOGLETRANSLATE(B23783,""en"",""de"")"),"Es werden mehrere Schüsse gezeigt, wie Menschen Tore erzielen und andere, die sich gegenseitig feiern und halten.")</f>
        <v>Es werden mehrere Schüsse gezeigt, wie Menschen Tore erzielen und andere, die sich gegenseitig feiern und halten.</v>
      </c>
    </row>
    <row r="23784">
      <c r="A23784" s="4" t="s">
        <v>29928</v>
      </c>
      <c r="B23784" s="4" t="s">
        <v>29929</v>
      </c>
      <c r="C23784" s="5" t="str">
        <f>IFERROR(__xludf.DUMMYFUNCTION("GOOGLETRANSLATE(B23784,""en"",""de"")"),"Mehrere Zuschauer beobachten, wie ein Mann Leichtathletik macht.")</f>
        <v>Mehrere Zuschauer beobachten, wie ein Mann Leichtathletik macht.</v>
      </c>
    </row>
    <row r="23785">
      <c r="A23785" s="4" t="s">
        <v>29928</v>
      </c>
      <c r="B23785" s="4" t="s">
        <v>29930</v>
      </c>
      <c r="C23785" s="5" t="str">
        <f>IFERROR(__xludf.DUMMYFUNCTION("GOOGLETRANSLATE(B23785,""en"",""de"")"),"Das Video mit einem Mann, der die Strecke hinunter rennt.")</f>
        <v>Das Video mit einem Mann, der die Strecke hinunter rennt.</v>
      </c>
    </row>
    <row r="23786">
      <c r="A23786" s="4" t="s">
        <v>29928</v>
      </c>
      <c r="B23786" s="4" t="s">
        <v>29931</v>
      </c>
      <c r="C23786" s="5" t="str">
        <f>IFERROR(__xludf.DUMMYFUNCTION("GOOGLETRANSLATE(B23786,""en"",""de"")"),"Als er den Schmutzabschnitt erreicht, macht er drei Sprünge.")</f>
        <v>Als er den Schmutzabschnitt erreicht, macht er drei Sprünge.</v>
      </c>
    </row>
    <row r="23787">
      <c r="A23787" s="4" t="s">
        <v>29928</v>
      </c>
      <c r="B23787" s="4" t="s">
        <v>29932</v>
      </c>
      <c r="C23787" s="5" t="str">
        <f>IFERROR(__xludf.DUMMYFUNCTION("GOOGLETRANSLATE(B23787,""en"",""de"")"),"Bei seinem letzten Sprung erweitert er seine Beine, um zu versuchen, so weit wie möglich zu springen.")</f>
        <v>Bei seinem letzten Sprung erweitert er seine Beine, um zu versuchen, so weit wie möglich zu springen.</v>
      </c>
    </row>
    <row r="23788">
      <c r="A23788" s="4" t="s">
        <v>29928</v>
      </c>
      <c r="B23788" s="4" t="s">
        <v>29933</v>
      </c>
      <c r="C23788" s="5" t="str">
        <f>IFERROR(__xludf.DUMMYFUNCTION("GOOGLETRANSLATE(B23788,""en"",""de"")"),"Das Video endet, nachdem er gelandet ist und er wird gezeigt, wie er den Boden schlägt.")</f>
        <v>Das Video endet, nachdem er gelandet ist und er wird gezeigt, wie er den Boden schlägt.</v>
      </c>
    </row>
    <row r="23789">
      <c r="A23789" s="4" t="s">
        <v>29934</v>
      </c>
      <c r="B23789" s="4" t="s">
        <v>29935</v>
      </c>
      <c r="C23789" s="5" t="str">
        <f>IFERROR(__xludf.DUMMYFUNCTION("GOOGLETRANSLATE(B23789,""en"",""de"")"),"Die Kamera schwenkt um einen Mann, der vor einem Ping -Pong -Tisch steht und beginnt ein Match mit einem anderen Mann zu spielen.")</f>
        <v>Die Kamera schwenkt um einen Mann, der vor einem Ping -Pong -Tisch steht und beginnt ein Match mit einem anderen Mann zu spielen.</v>
      </c>
    </row>
    <row r="23790">
      <c r="A23790" s="4" t="s">
        <v>29934</v>
      </c>
      <c r="B23790" s="4" t="s">
        <v>29936</v>
      </c>
      <c r="C23790" s="5" t="str">
        <f>IFERROR(__xludf.DUMMYFUNCTION("GOOGLETRANSLATE(B23790,""en"",""de"")"),"Die Männer schlagen weiterhin den Ball zurück und den vierten Platz, während verschiedene Leute ihn nebenbei beobachten.")</f>
        <v>Die Männer schlagen weiterhin den Ball zurück und den vierten Platz, während verschiedene Leute ihn nebenbei beobachten.</v>
      </c>
    </row>
    <row r="23791">
      <c r="A23791" s="4" t="s">
        <v>29937</v>
      </c>
      <c r="B23791" s="4" t="s">
        <v>29938</v>
      </c>
      <c r="C23791" s="5" t="str">
        <f>IFERROR(__xludf.DUMMYFUNCTION("GOOGLETRANSLATE(B23791,""en"",""de"")"),"Ein Turner ist zu sehen, wie es in die Ferne schaut und vor einem Satz ungleichmäßiger Stangen steht.")</f>
        <v>Ein Turner ist zu sehen, wie es in die Ferne schaut und vor einem Satz ungleichmäßiger Stangen steht.</v>
      </c>
    </row>
    <row r="23792">
      <c r="A23792" s="4" t="s">
        <v>29937</v>
      </c>
      <c r="B23792" s="4" t="s">
        <v>29939</v>
      </c>
      <c r="C23792" s="5" t="str">
        <f>IFERROR(__xludf.DUMMYFUNCTION("GOOGLETRANSLATE(B23792,""en"",""de"")"),"Der Mann springt dann auf die Stangen und schwingt sich zurück und viertens.")</f>
        <v>Der Mann springt dann auf die Stangen und schwingt sich zurück und viertens.</v>
      </c>
    </row>
    <row r="23793">
      <c r="A23793" s="4" t="s">
        <v>29937</v>
      </c>
      <c r="B23793" s="4" t="s">
        <v>29940</v>
      </c>
      <c r="C23793" s="5" t="str">
        <f>IFERROR(__xludf.DUMMYFUNCTION("GOOGLETRANSLATE(B23793,""en"",""de"")"),"Der Mann schwingt weiter herum und endet, indem er nach unten springt.")</f>
        <v>Der Mann schwingt weiter herum und endet, indem er nach unten springt.</v>
      </c>
    </row>
    <row r="23794">
      <c r="A23794" s="4" t="s">
        <v>29941</v>
      </c>
      <c r="B23794" s="4" t="s">
        <v>29942</v>
      </c>
      <c r="C23794" s="5" t="str">
        <f>IFERROR(__xludf.DUMMYFUNCTION("GOOGLETRANSLATE(B23794,""en"",""de"")"),"Eine Frau wäscht ihre Hände an einem Waschbecken.")</f>
        <v>Eine Frau wäscht ihre Hände an einem Waschbecken.</v>
      </c>
    </row>
    <row r="23795">
      <c r="A23795" s="4" t="s">
        <v>29941</v>
      </c>
      <c r="B23795" s="4" t="s">
        <v>29943</v>
      </c>
      <c r="C23795" s="5" t="str">
        <f>IFERROR(__xludf.DUMMYFUNCTION("GOOGLETRANSLATE(B23795,""en"",""de"")"),"Die Frau handelt sich mit den Händen trocken.")</f>
        <v>Die Frau handelt sich mit den Händen trocken.</v>
      </c>
    </row>
    <row r="23796">
      <c r="A23796" s="4" t="s">
        <v>29941</v>
      </c>
      <c r="B23796" s="4" t="s">
        <v>29944</v>
      </c>
      <c r="C23796" s="5" t="str">
        <f>IFERROR(__xludf.DUMMYFUNCTION("GOOGLETRANSLATE(B23796,""en"",""de"")"),"Die Kamera zeigt eine Nahaufnahme ihrer lockeren Flüssigkeit in eine Kontaktlinse.")</f>
        <v>Die Kamera zeigt eine Nahaufnahme ihrer lockeren Flüssigkeit in eine Kontaktlinse.</v>
      </c>
    </row>
    <row r="23797">
      <c r="A23797" s="4" t="s">
        <v>29941</v>
      </c>
      <c r="B23797" s="4" t="s">
        <v>29945</v>
      </c>
      <c r="C23797" s="5" t="str">
        <f>IFERROR(__xludf.DUMMYFUNCTION("GOOGLETRANSLATE(B23797,""en"",""de"")"),"Die Kontaktlinse wird zur Inspektion gehalten.")</f>
        <v>Die Kontaktlinse wird zur Inspektion gehalten.</v>
      </c>
    </row>
    <row r="23798">
      <c r="A23798" s="4" t="s">
        <v>29941</v>
      </c>
      <c r="B23798" s="4" t="s">
        <v>29946</v>
      </c>
      <c r="C23798" s="5" t="str">
        <f>IFERROR(__xludf.DUMMYFUNCTION("GOOGLETRANSLATE(B23798,""en"",""de"")"),"Die Frau reibt die Kontaktlinse mit der Flüssigkeit.")</f>
        <v>Die Frau reibt die Kontaktlinse mit der Flüssigkeit.</v>
      </c>
    </row>
    <row r="23799">
      <c r="A23799" s="4" t="s">
        <v>29941</v>
      </c>
      <c r="B23799" s="4" t="s">
        <v>29947</v>
      </c>
      <c r="C23799" s="5" t="str">
        <f>IFERROR(__xludf.DUMMYFUNCTION("GOOGLETRANSLATE(B23799,""en"",""de"")"),"Die Frau zieht das Objektiv an.")</f>
        <v>Die Frau zieht das Objektiv an.</v>
      </c>
    </row>
    <row r="23800">
      <c r="A23800" s="4" t="s">
        <v>29941</v>
      </c>
      <c r="B23800" s="4" t="s">
        <v>29948</v>
      </c>
      <c r="C23800" s="5" t="str">
        <f>IFERROR(__xludf.DUMMYFUNCTION("GOOGLETRANSLATE(B23800,""en"",""de"")"),"Die Frau entfernt die Linse.")</f>
        <v>Die Frau entfernt die Linse.</v>
      </c>
    </row>
    <row r="23801">
      <c r="A23801" s="4" t="s">
        <v>29941</v>
      </c>
      <c r="B23801" s="4" t="s">
        <v>29949</v>
      </c>
      <c r="C23801" s="5" t="str">
        <f>IFERROR(__xludf.DUMMYFUNCTION("GOOGLETRANSLATE(B23801,""en"",""de"")"),"Das Objektiv wird zur Inspektion gehalten.")</f>
        <v>Das Objektiv wird zur Inspektion gehalten.</v>
      </c>
    </row>
    <row r="23802">
      <c r="A23802" s="4" t="s">
        <v>29941</v>
      </c>
      <c r="B23802" s="4" t="s">
        <v>29950</v>
      </c>
      <c r="C23802" s="5" t="str">
        <f>IFERROR(__xludf.DUMMYFUNCTION("GOOGLETRANSLATE(B23802,""en"",""de"")"),"Die Frau entfernt das Objektiv wieder aus ihrem Auge.")</f>
        <v>Die Frau entfernt das Objektiv wieder aus ihrem Auge.</v>
      </c>
    </row>
    <row r="23803">
      <c r="A23803" s="4" t="s">
        <v>29941</v>
      </c>
      <c r="B23803" s="4" t="s">
        <v>29951</v>
      </c>
      <c r="C23803" s="5" t="str">
        <f>IFERROR(__xludf.DUMMYFUNCTION("GOOGLETRANSLATE(B23803,""en"",""de"")"),"Die Frau reinigt das Objektiv mit Lösung.")</f>
        <v>Die Frau reinigt das Objektiv mit Lösung.</v>
      </c>
    </row>
    <row r="23804">
      <c r="A23804" s="4" t="s">
        <v>29941</v>
      </c>
      <c r="B23804" s="4" t="s">
        <v>29952</v>
      </c>
      <c r="C23804" s="5" t="str">
        <f>IFERROR(__xludf.DUMMYFUNCTION("GOOGLETRANSLATE(B23804,""en"",""de"")"),"Die Frau legt das Objektiv in einen Behälter.")</f>
        <v>Die Frau legt das Objektiv in einen Behälter.</v>
      </c>
    </row>
    <row r="23805">
      <c r="A23805" s="4" t="s">
        <v>29953</v>
      </c>
      <c r="B23805" s="4" t="s">
        <v>29954</v>
      </c>
      <c r="C23805" s="5" t="str">
        <f>IFERROR(__xludf.DUMMYFUNCTION("GOOGLETRANSLATE(B23805,""en"",""de"")"),"Eine junge Frau sieht in die Kamera, die eine Zigarette raucht und bis zur Kamera lacht.")</f>
        <v>Eine junge Frau sieht in die Kamera, die eine Zigarette raucht und bis zur Kamera lacht.</v>
      </c>
    </row>
    <row r="23806">
      <c r="A23806" s="4" t="s">
        <v>29953</v>
      </c>
      <c r="B23806" s="4" t="s">
        <v>29955</v>
      </c>
      <c r="C23806" s="5" t="str">
        <f>IFERROR(__xludf.DUMMYFUNCTION("GOOGLETRANSLATE(B23806,""en"",""de"")"),"Sie nimmt weiterhin von der Zigarette, während sie in die Kamera schaut und Rauch bläst.")</f>
        <v>Sie nimmt weiterhin von der Zigarette, während sie in die Kamera schaut und Rauch bläst.</v>
      </c>
    </row>
    <row r="23807">
      <c r="A23807" s="4" t="s">
        <v>29956</v>
      </c>
      <c r="B23807" s="4" t="s">
        <v>29957</v>
      </c>
      <c r="C23807" s="5" t="str">
        <f>IFERROR(__xludf.DUMMYFUNCTION("GOOGLETRANSLATE(B23807,""en"",""de"")"),"In häuslichen Haustiergruppen zeigen, wie man ein Haustier pflegt.")</f>
        <v>In häuslichen Haustiergruppen zeigen, wie man ein Haustier pflegt.</v>
      </c>
    </row>
    <row r="23808">
      <c r="A23808" s="4" t="s">
        <v>29956</v>
      </c>
      <c r="B23808" s="4" t="s">
        <v>29958</v>
      </c>
      <c r="C23808" s="5" t="str">
        <f>IFERROR(__xludf.DUMMYFUNCTION("GOOGLETRANSLATE(B23808,""en"",""de"")"),"Die Person demonstriert, wie das Haar des Hundes mit elektrischen Scheren in ihrem Pflegesalon gekürzt wird.")</f>
        <v>Die Person demonstriert, wie das Haar des Hundes mit elektrischen Scheren in ihrem Pflegesalon gekürzt wird.</v>
      </c>
    </row>
    <row r="23809">
      <c r="A23809" s="4" t="s">
        <v>29959</v>
      </c>
      <c r="B23809" s="4" t="s">
        <v>29960</v>
      </c>
      <c r="C23809" s="5" t="str">
        <f>IFERROR(__xludf.DUMMYFUNCTION("GOOGLETRANSLATE(B23809,""en"",""de"")"),"Zwei Männer stehen ganz links von einem Bier -Pong -Tisch.")</f>
        <v>Zwei Männer stehen ganz links von einem Bier -Pong -Tisch.</v>
      </c>
    </row>
    <row r="23810">
      <c r="A23810" s="4" t="s">
        <v>29959</v>
      </c>
      <c r="B23810" s="4" t="s">
        <v>29961</v>
      </c>
      <c r="C23810" s="5" t="str">
        <f>IFERROR(__xludf.DUMMYFUNCTION("GOOGLETRANSLATE(B23810,""en"",""de"")"),"Einer der Männer wirft einen Bier -Pong -Ball über den Tisch in eine Tasse.")</f>
        <v>Einer der Männer wirft einen Bier -Pong -Ball über den Tisch in eine Tasse.</v>
      </c>
    </row>
    <row r="23811">
      <c r="A23811" s="4" t="s">
        <v>29959</v>
      </c>
      <c r="B23811" s="4" t="s">
        <v>29962</v>
      </c>
      <c r="C23811" s="5" t="str">
        <f>IFERROR(__xludf.DUMMYFUNCTION("GOOGLETRANSLATE(B23811,""en"",""de"")"),"Der andere Mann mit ihm wirft auch einen Ball über den Tisch.")</f>
        <v>Der andere Mann mit ihm wirft auch einen Ball über den Tisch.</v>
      </c>
    </row>
    <row r="23812">
      <c r="A23812" s="4" t="s">
        <v>29959</v>
      </c>
      <c r="B23812" s="4" t="s">
        <v>29963</v>
      </c>
      <c r="C23812" s="5" t="str">
        <f>IFERROR(__xludf.DUMMYFUNCTION("GOOGLETRANSLATE(B23812,""en"",""de"")"),"Zwei andere Männer stehen auf der äußersten rechten Seite des Bier -Pong -Tisches, und einer der Männer greift nach dem Tasse, in den der Ball fiel, und der andere Mann biegt sich nieder, um einen Ball zu fangen, der auf den Boden gefallen ist.")</f>
        <v>Zwei andere Männer stehen auf der äußersten rechten Seite des Bier -Pong -Tisches, und einer der Männer greift nach dem Tasse, in den der Ball fiel, und der andere Mann biegt sich nieder, um einen Ball zu fangen, der auf den Boden gefallen ist.</v>
      </c>
    </row>
    <row r="23813">
      <c r="A23813" s="4" t="s">
        <v>29964</v>
      </c>
      <c r="B23813" s="4" t="s">
        <v>29965</v>
      </c>
      <c r="C23813" s="5" t="str">
        <f>IFERROR(__xludf.DUMMYFUNCTION("GOOGLETRANSLATE(B23813,""en"",""de"")"),"Ein Mädchen beugt sich über ein Waschbecken und ein Junge geht auf, um mit ihr zu sprechen.")</f>
        <v>Ein Mädchen beugt sich über ein Waschbecken und ein Junge geht auf, um mit ihr zu sprechen.</v>
      </c>
    </row>
    <row r="23814">
      <c r="A23814" s="4" t="s">
        <v>29964</v>
      </c>
      <c r="B23814" s="4" t="s">
        <v>29966</v>
      </c>
      <c r="C23814" s="5" t="str">
        <f>IFERROR(__xludf.DUMMYFUNCTION("GOOGLETRANSLATE(B23814,""en"",""de"")"),"Sie fängt an zu lachen und springt auf und ab.")</f>
        <v>Sie fängt an zu lachen und springt auf und ab.</v>
      </c>
    </row>
    <row r="23815">
      <c r="A23815" s="4" t="s">
        <v>29964</v>
      </c>
      <c r="B23815" s="4" t="s">
        <v>29967</v>
      </c>
      <c r="C23815" s="5" t="str">
        <f>IFERROR(__xludf.DUMMYFUNCTION("GOOGLETRANSLATE(B23815,""en"",""de"")"),"Der Junge scheint gleichermaßen aufgeregt zu sein und sie lächelt in die Kamera.")</f>
        <v>Der Junge scheint gleichermaßen aufgeregt zu sein und sie lächelt in die Kamera.</v>
      </c>
    </row>
    <row r="23816">
      <c r="A23816" s="4" t="s">
        <v>29968</v>
      </c>
      <c r="B23816" s="4" t="s">
        <v>29969</v>
      </c>
      <c r="C23816" s="5" t="str">
        <f>IFERROR(__xludf.DUMMYFUNCTION("GOOGLETRANSLATE(B23816,""en"",""de"")"),"Ein junges Mädchen mit Pferdeschwanz spielt ein Drumkit und erscheint einem ausgebildeten Musiker.")</f>
        <v>Ein junges Mädchen mit Pferdeschwanz spielt ein Drumkit und erscheint einem ausgebildeten Musiker.</v>
      </c>
    </row>
    <row r="23817">
      <c r="A23817" s="4" t="s">
        <v>29968</v>
      </c>
      <c r="B23817" s="4" t="s">
        <v>29970</v>
      </c>
      <c r="C23817" s="5" t="str">
        <f>IFERROR(__xludf.DUMMYFUNCTION("GOOGLETRANSLATE(B23817,""en"",""de"")"),"Das Mädchen konzentriert sich auf eine bestimmte Trommel.")</f>
        <v>Das Mädchen konzentriert sich auf eine bestimmte Trommel.</v>
      </c>
    </row>
    <row r="23818">
      <c r="A23818" s="4" t="s">
        <v>29968</v>
      </c>
      <c r="B23818" s="4" t="s">
        <v>29971</v>
      </c>
      <c r="C23818" s="5" t="str">
        <f>IFERROR(__xludf.DUMMYFUNCTION("GOOGLETRANSLATE(B23818,""en"",""de"")"),"Das Mädchen spielt weiterhin verschiedene Teile des Drumkit.")</f>
        <v>Das Mädchen spielt weiterhin verschiedene Teile des Drumkit.</v>
      </c>
    </row>
    <row r="23819">
      <c r="A23819" s="4" t="s">
        <v>29972</v>
      </c>
      <c r="B23819" s="4" t="s">
        <v>29973</v>
      </c>
      <c r="C23819" s="5" t="str">
        <f>IFERROR(__xludf.DUMMYFUNCTION("GOOGLETRANSLATE(B23819,""en"",""de"")"),"Ein LKW wird sich zurückziehen und Blätter herumblasen, während die Kamera den Bereich um den LKW erfasst.")</f>
        <v>Ein LKW wird sich zurückziehen und Blätter herumblasen, während die Kamera den Bereich um den LKW erfasst.</v>
      </c>
    </row>
    <row r="23820">
      <c r="A23820" s="4" t="s">
        <v>29972</v>
      </c>
      <c r="B23820" s="4" t="s">
        <v>29974</v>
      </c>
      <c r="C23820" s="5" t="str">
        <f>IFERROR(__xludf.DUMMYFUNCTION("GOOGLETRANSLATE(B23820,""en"",""de"")"),"Der LKW ist wieder an mehreren Stellen zu sehen, die sich zurückziehen und die Blätter vom Lastwagen zurückschieben.")</f>
        <v>Der LKW ist wieder an mehreren Stellen zu sehen, die sich zurückziehen und die Blätter vom Lastwagen zurückschieben.</v>
      </c>
    </row>
    <row r="23821">
      <c r="A23821" s="4" t="s">
        <v>29975</v>
      </c>
      <c r="B23821" s="4" t="s">
        <v>29976</v>
      </c>
      <c r="C23821" s="5" t="str">
        <f>IFERROR(__xludf.DUMMYFUNCTION("GOOGLETRANSLATE(B23821,""en"",""de"")"),"Zwei Leute spielen ein Tennisspiel auf einem blauen Platz.")</f>
        <v>Zwei Leute spielen ein Tennisspiel auf einem blauen Platz.</v>
      </c>
    </row>
    <row r="23822">
      <c r="A23822" s="4" t="s">
        <v>29975</v>
      </c>
      <c r="B23822" s="4" t="s">
        <v>29977</v>
      </c>
      <c r="C23822" s="5" t="str">
        <f>IFERROR(__xludf.DUMMYFUNCTION("GOOGLETRANSLATE(B23822,""en"",""de"")"),"Der Mann im blauen Hemd verfehlt den Ball und geht weg, um mit jemandem zu sprechen.")</f>
        <v>Der Mann im blauen Hemd verfehlt den Ball und geht weg, um mit jemandem zu sprechen.</v>
      </c>
    </row>
    <row r="23823">
      <c r="A23823" s="4" t="s">
        <v>29975</v>
      </c>
      <c r="B23823" s="4" t="s">
        <v>29978</v>
      </c>
      <c r="C23823" s="5" t="str">
        <f>IFERROR(__xludf.DUMMYFUNCTION("GOOGLETRANSLATE(B23823,""en"",""de"")"),"Sie geben das Video wieder, von dem er den Ball vermisst.")</f>
        <v>Sie geben das Video wieder, von dem er den Ball vermisst.</v>
      </c>
    </row>
    <row r="23824">
      <c r="A23824" s="4" t="s">
        <v>29975</v>
      </c>
      <c r="B23824" s="4" t="s">
        <v>29979</v>
      </c>
      <c r="C23824" s="5" t="str">
        <f>IFERROR(__xludf.DUMMYFUNCTION("GOOGLETRANSLATE(B23824,""en"",""de"")"),"Ein Mann in einem weißen Hemd sitzt mit einem Mikrofon auf einem Stuhl.")</f>
        <v>Ein Mann in einem weißen Hemd sitzt mit einem Mikrofon auf einem Stuhl.</v>
      </c>
    </row>
    <row r="23825">
      <c r="A23825" s="4" t="s">
        <v>29975</v>
      </c>
      <c r="B23825" s="4" t="s">
        <v>29980</v>
      </c>
      <c r="C23825" s="5" t="str">
        <f>IFERROR(__xludf.DUMMYFUNCTION("GOOGLETRANSLATE(B23825,""en"",""de"")"),"Sie starten ein weiteres Tennisspiel neu.")</f>
        <v>Sie starten ein weiteres Tennisspiel neu.</v>
      </c>
    </row>
    <row r="23826">
      <c r="A23826" s="4" t="s">
        <v>29981</v>
      </c>
      <c r="B23826" s="4" t="s">
        <v>29982</v>
      </c>
      <c r="C23826" s="5" t="str">
        <f>IFERROR(__xludf.DUMMYFUNCTION("GOOGLETRANSLATE(B23826,""en"",""de"")"),"Ein Mann spricht mit der Kamera, während er einen Ski hält und an verschiedenen Orten um ihn herum zeigt.")</f>
        <v>Ein Mann spricht mit der Kamera, während er einen Ski hält und an verschiedenen Orten um ihn herum zeigt.</v>
      </c>
    </row>
    <row r="23827">
      <c r="A23827" s="4" t="s">
        <v>29981</v>
      </c>
      <c r="B23827" s="4" t="s">
        <v>29983</v>
      </c>
      <c r="C23827" s="5" t="str">
        <f>IFERROR(__xludf.DUMMYFUNCTION("GOOGLETRANSLATE(B23827,""en"",""de"")"),"Der Mann spricht weiter, während er den Ski mit Lotion rieb und es endet, indem er ihn dem Bildschirm präsentiert.")</f>
        <v>Der Mann spricht weiter, während er den Ski mit Lotion rieb und es endet, indem er ihn dem Bildschirm präsentiert.</v>
      </c>
    </row>
    <row r="23828">
      <c r="A23828" s="4" t="s">
        <v>29984</v>
      </c>
      <c r="B23828" s="4" t="s">
        <v>29985</v>
      </c>
      <c r="C23828" s="5" t="str">
        <f>IFERROR(__xludf.DUMMYFUNCTION("GOOGLETRANSLATE(B23828,""en"",""de"")"),"Zwei Busse sind auf einem Parkplatz geparkt.")</f>
        <v>Zwei Busse sind auf einem Parkplatz geparkt.</v>
      </c>
    </row>
    <row r="23829">
      <c r="A23829" s="4" t="s">
        <v>29984</v>
      </c>
      <c r="B23829" s="4" t="s">
        <v>29986</v>
      </c>
      <c r="C23829" s="5" t="str">
        <f>IFERROR(__xludf.DUMMYFUNCTION("GOOGLETRANSLATE(B23829,""en"",""de"")"),"Die Leute gehen im Schnee davor.")</f>
        <v>Die Leute gehen im Schnee davor.</v>
      </c>
    </row>
    <row r="23830">
      <c r="A23830" s="4" t="s">
        <v>29984</v>
      </c>
      <c r="B23830" s="4" t="s">
        <v>29987</v>
      </c>
      <c r="C23830" s="5" t="str">
        <f>IFERROR(__xludf.DUMMYFUNCTION("GOOGLETRANSLATE(B23830,""en"",""de"")"),"Eine Person schaufelt den Schnee vor sich.")</f>
        <v>Eine Person schaufelt den Schnee vor sich.</v>
      </c>
    </row>
    <row r="23831">
      <c r="A23831" s="4" t="s">
        <v>29988</v>
      </c>
      <c r="B23831" s="4" t="s">
        <v>29989</v>
      </c>
      <c r="C23831" s="5" t="str">
        <f>IFERROR(__xludf.DUMMYFUNCTION("GOOGLETRANSLATE(B23831,""en"",""de"")"),"Eine ältere Frau sitzt auf einem Stuhl mit einer Nadel in den Händen.")</f>
        <v>Eine ältere Frau sitzt auf einem Stuhl mit einer Nadel in den Händen.</v>
      </c>
    </row>
    <row r="23832">
      <c r="A23832" s="4" t="s">
        <v>29988</v>
      </c>
      <c r="B23832" s="4" t="s">
        <v>29990</v>
      </c>
      <c r="C23832" s="5" t="str">
        <f>IFERROR(__xludf.DUMMYFUNCTION("GOOGLETRANSLATE(B23832,""en"",""de"")"),"Die Frau beginnt dann zu säen, während die Kamera ihre Bewegungen einfängt.")</f>
        <v>Die Frau beginnt dann zu säen, während die Kamera ihre Bewegungen einfängt.</v>
      </c>
    </row>
    <row r="23833">
      <c r="A23833" s="4" t="s">
        <v>29988</v>
      </c>
      <c r="B23833" s="4" t="s">
        <v>29991</v>
      </c>
      <c r="C23833" s="5" t="str">
        <f>IFERROR(__xludf.DUMMYFUNCTION("GOOGLETRANSLATE(B23833,""en"",""de"")"),"Die Frau sägt weiter und die Kamera schaut von der Seite.")</f>
        <v>Die Frau sägt weiter und die Kamera schaut von der Seite.</v>
      </c>
    </row>
    <row r="23834">
      <c r="A23834" s="4" t="s">
        <v>29992</v>
      </c>
      <c r="B23834" s="4" t="s">
        <v>29993</v>
      </c>
      <c r="C23834" s="5" t="str">
        <f>IFERROR(__xludf.DUMMYFUNCTION("GOOGLETRANSLATE(B23834,""en"",""de"")"),"Eine Frau steht im Schnee mit den Worten ""Fat Girl Snowboarding"" überlagert.")</f>
        <v>Eine Frau steht im Schnee mit den Worten "Fat Girl Snowboarding" überlagert.</v>
      </c>
    </row>
    <row r="23835">
      <c r="A23835" s="4" t="s">
        <v>29992</v>
      </c>
      <c r="B23835" s="4" t="s">
        <v>29994</v>
      </c>
      <c r="C23835" s="5" t="str">
        <f>IFERROR(__xludf.DUMMYFUNCTION("GOOGLETRANSLATE(B23835,""en"",""de"")"),"Eine lange tippte Nachricht über ihren Grund, Snowboard zu wollen.")</f>
        <v>Eine lange tippte Nachricht über ihren Grund, Snowboard zu wollen.</v>
      </c>
    </row>
    <row r="23836">
      <c r="A23836" s="4" t="s">
        <v>29992</v>
      </c>
      <c r="B23836" s="4" t="s">
        <v>29995</v>
      </c>
      <c r="C23836" s="5" t="str">
        <f>IFERROR(__xludf.DUMMYFUNCTION("GOOGLETRANSLATE(B23836,""en"",""de"")"),"Sie macht mehrere Versuche im schneebedeckten Hügel hinunter und fällt viele Male.")</f>
        <v>Sie macht mehrere Versuche im schneebedeckten Hügel hinunter und fällt viele Male.</v>
      </c>
    </row>
    <row r="23837">
      <c r="A23837" s="4" t="s">
        <v>29996</v>
      </c>
      <c r="B23837" s="4" t="s">
        <v>29997</v>
      </c>
      <c r="C23837" s="5" t="str">
        <f>IFERROR(__xludf.DUMMYFUNCTION("GOOGLETRANSLATE(B23837,""en"",""de"")"),"Ein Stierkämpfer, der ein rotes Tuch hält, ist im Feld.")</f>
        <v>Ein Stierkämpfer, der ein rotes Tuch hält, ist im Feld.</v>
      </c>
    </row>
    <row r="23838">
      <c r="A23838" s="4" t="s">
        <v>29996</v>
      </c>
      <c r="B23838" s="4" t="s">
        <v>29998</v>
      </c>
      <c r="C23838" s="5" t="str">
        <f>IFERROR(__xludf.DUMMYFUNCTION("GOOGLETRANSLATE(B23838,""en"",""de"")"),"Ein Stier rennt zum roten Tuch des Stierkämpfers.")</f>
        <v>Ein Stier rennt zum roten Tuch des Stierkämpfers.</v>
      </c>
    </row>
    <row r="23839">
      <c r="A23839" s="4" t="s">
        <v>29996</v>
      </c>
      <c r="B23839" s="4" t="s">
        <v>29999</v>
      </c>
      <c r="C23839" s="5" t="str">
        <f>IFERROR(__xludf.DUMMYFUNCTION("GOOGLETRANSLATE(B23839,""en"",""de"")"),"Viele Leute sitzen auf Ständen und beobachten den Stierkämpfer.")</f>
        <v>Viele Leute sitzen auf Ständen und beobachten den Stierkämpfer.</v>
      </c>
    </row>
    <row r="23840">
      <c r="A23840" s="4" t="s">
        <v>30000</v>
      </c>
      <c r="B23840" s="4" t="s">
        <v>30001</v>
      </c>
      <c r="C23840" s="5" t="str">
        <f>IFERROR(__xludf.DUMMYFUNCTION("GOOGLETRANSLATE(B23840,""en"",""de"")"),"Ein kleiner Junge wird gesehen, wie er Seife in seine Hände gießt und seine Hände über einem Waschbecken schrubbt.")</f>
        <v>Ein kleiner Junge wird gesehen, wie er Seife in seine Hände gießt und seine Hände über einem Waschbecken schrubbt.</v>
      </c>
    </row>
    <row r="23841">
      <c r="A23841" s="4" t="s">
        <v>30000</v>
      </c>
      <c r="B23841" s="4" t="s">
        <v>30002</v>
      </c>
      <c r="C23841" s="5" t="str">
        <f>IFERROR(__xludf.DUMMYFUNCTION("GOOGLETRANSLATE(B23841,""en"",""de"")"),"Dann greift er ein Papiertuch und trocknet von seinen Händen.")</f>
        <v>Dann greift er ein Papiertuch und trocknet von seinen Händen.</v>
      </c>
    </row>
    <row r="23842">
      <c r="A23842" s="4" t="s">
        <v>30003</v>
      </c>
      <c r="B23842" s="4" t="s">
        <v>30004</v>
      </c>
      <c r="C23842" s="5" t="str">
        <f>IFERROR(__xludf.DUMMYFUNCTION("GOOGLETRANSLATE(B23842,""en"",""de"")"),"Paare tanzen während einer Party vor einer Bühne auf einer Tanzfläche.")</f>
        <v>Paare tanzen während einer Party vor einer Bühne auf einer Tanzfläche.</v>
      </c>
    </row>
    <row r="23843">
      <c r="A23843" s="4" t="s">
        <v>30003</v>
      </c>
      <c r="B23843" s="4" t="s">
        <v>30005</v>
      </c>
      <c r="C23843" s="5" t="str">
        <f>IFERROR(__xludf.DUMMYFUNCTION("GOOGLETRANSLATE(B23843,""en"",""de"")"),"Der Mann dreht seinen Partner beim Tanzen herum.")</f>
        <v>Der Mann dreht seinen Partner beim Tanzen herum.</v>
      </c>
    </row>
    <row r="23844">
      <c r="A23844" s="4" t="s">
        <v>30003</v>
      </c>
      <c r="B23844" s="4" t="s">
        <v>30006</v>
      </c>
      <c r="C23844" s="5" t="str">
        <f>IFERROR(__xludf.DUMMYFUNCTION("GOOGLETRANSLATE(B23844,""en"",""de"")"),"Ein Mann auf der rechten Seite schwingt die Arme zurück und den vierten Platz.")</f>
        <v>Ein Mann auf der rechten Seite schwingt die Arme zurück und den vierten Platz.</v>
      </c>
    </row>
    <row r="23845">
      <c r="A23845" s="4" t="s">
        <v>30007</v>
      </c>
      <c r="B23845" s="4" t="s">
        <v>30008</v>
      </c>
      <c r="C23845" s="5" t="str">
        <f>IFERROR(__xludf.DUMMYFUNCTION("GOOGLETRANSLATE(B23845,""en"",""de"")"),"Ein Mann steht im Wald und redet.")</f>
        <v>Ein Mann steht im Wald und redet.</v>
      </c>
    </row>
    <row r="23846">
      <c r="A23846" s="4" t="s">
        <v>30007</v>
      </c>
      <c r="B23846" s="4" t="s">
        <v>30009</v>
      </c>
      <c r="C23846" s="5" t="str">
        <f>IFERROR(__xludf.DUMMYFUNCTION("GOOGLETRANSLATE(B23846,""en"",""de"")"),"Er verwendet eine Axt, um ein großes Stück Holz zu treffen.")</f>
        <v>Er verwendet eine Axt, um ein großes Stück Holz zu treffen.</v>
      </c>
    </row>
    <row r="23847">
      <c r="A23847" s="4" t="s">
        <v>30007</v>
      </c>
      <c r="B23847" s="4" t="s">
        <v>30010</v>
      </c>
      <c r="C23847" s="5" t="str">
        <f>IFERROR(__xludf.DUMMYFUNCTION("GOOGLETRANSLATE(B23847,""en"",""de"")"),"Er teilt das Holz in Baumstämme mit der Axt.")</f>
        <v>Er teilt das Holz in Baumstämme mit der Axt.</v>
      </c>
    </row>
    <row r="23848">
      <c r="A23848" s="4" t="s">
        <v>30011</v>
      </c>
      <c r="B23848" s="4" t="s">
        <v>30012</v>
      </c>
      <c r="C23848" s="5" t="str">
        <f>IFERROR(__xludf.DUMMYFUNCTION("GOOGLETRANSLATE(B23848,""en"",""de"")"),"Wir sehen Männer auf einem Dach auf einem Haus im Ranchstil.")</f>
        <v>Wir sehen Männer auf einem Dach auf einem Haus im Ranchstil.</v>
      </c>
    </row>
    <row r="23849">
      <c r="A23849" s="4" t="s">
        <v>30011</v>
      </c>
      <c r="B23849" s="4" t="s">
        <v>30013</v>
      </c>
      <c r="C23849" s="5" t="str">
        <f>IFERROR(__xludf.DUMMYFUNCTION("GOOGLETRANSLATE(B23849,""en"",""de"")"),"Wir sehen die Vorräte am Boden.")</f>
        <v>Wir sehen die Vorräte am Boden.</v>
      </c>
    </row>
    <row r="23850">
      <c r="A23850" s="4" t="s">
        <v>30011</v>
      </c>
      <c r="B23850" s="4" t="s">
        <v>30014</v>
      </c>
      <c r="C23850" s="5" t="str">
        <f>IFERROR(__xludf.DUMMYFUNCTION("GOOGLETRANSLATE(B23850,""en"",""de"")"),"Wir sehen die Männer im vorderen Teil des Daches.")</f>
        <v>Wir sehen die Männer im vorderen Teil des Daches.</v>
      </c>
    </row>
    <row r="23851">
      <c r="A23851" s="4" t="s">
        <v>30011</v>
      </c>
      <c r="B23851" s="4" t="s">
        <v>30015</v>
      </c>
      <c r="C23851" s="5" t="str">
        <f>IFERROR(__xludf.DUMMYFUNCTION("GOOGLETRANSLATE(B23851,""en"",""de"")"),"Wir sehen einen Mann, der Schindeln in einen Anhänger auf dem Boden wirft.")</f>
        <v>Wir sehen einen Mann, der Schindeln in einen Anhänger auf dem Boden wirft.</v>
      </c>
    </row>
    <row r="23852">
      <c r="A23852" s="4" t="s">
        <v>30011</v>
      </c>
      <c r="B23852" s="4" t="s">
        <v>30016</v>
      </c>
      <c r="C23852" s="5" t="str">
        <f>IFERROR(__xludf.DUMMYFUNCTION("GOOGLETRANSLATE(B23852,""en"",""de"")"),"Wir sehen die Rollen der Dachmaterialien.")</f>
        <v>Wir sehen die Rollen der Dachmaterialien.</v>
      </c>
    </row>
    <row r="23853">
      <c r="A23853" s="4" t="s">
        <v>30011</v>
      </c>
      <c r="B23853" s="4" t="s">
        <v>30017</v>
      </c>
      <c r="C23853" s="5" t="str">
        <f>IFERROR(__xludf.DUMMYFUNCTION("GOOGLETRANSLATE(B23853,""en"",""de"")"),"Wir sehen einen Mann, der Schindeln in einen Anhänger wirft.")</f>
        <v>Wir sehen einen Mann, der Schindeln in einen Anhänger wirft.</v>
      </c>
    </row>
    <row r="23854">
      <c r="A23854" s="4" t="s">
        <v>30011</v>
      </c>
      <c r="B23854" s="4" t="s">
        <v>30018</v>
      </c>
      <c r="C23854" s="5" t="str">
        <f>IFERROR(__xludf.DUMMYFUNCTION("GOOGLETRANSLATE(B23854,""en"",""de"")"),"Drei Männer werfen Schindeln vom Dach.")</f>
        <v>Drei Männer werfen Schindeln vom Dach.</v>
      </c>
    </row>
    <row r="23855">
      <c r="A23855" s="4" t="s">
        <v>30019</v>
      </c>
      <c r="B23855" s="4" t="s">
        <v>30020</v>
      </c>
      <c r="C23855" s="5" t="str">
        <f>IFERROR(__xludf.DUMMYFUNCTION("GOOGLETRANSLATE(B23855,""en"",""de"")"),"Eine Einstellung von Brillen mit Zitronenwasser wird auf einer Ortmatte mit einer ganzen Zitrone gesetzt.")</f>
        <v>Eine Einstellung von Brillen mit Zitronenwasser wird auf einer Ortmatte mit einer ganzen Zitrone gesetzt.</v>
      </c>
    </row>
    <row r="23856">
      <c r="A23856" s="4" t="s">
        <v>30019</v>
      </c>
      <c r="B23856" s="4" t="s">
        <v>30021</v>
      </c>
      <c r="C23856" s="5" t="str">
        <f>IFERROR(__xludf.DUMMYFUNCTION("GOOGLETRANSLATE(B23856,""en"",""de"")"),"Zitronenscheiben werden aus einem Glas gezogen und in eine Trinkgläser auf einer Stahlschalter gelegt.")</f>
        <v>Zitronenscheiben werden aus einem Glas gezogen und in eine Trinkgläser auf einer Stahlschalter gelegt.</v>
      </c>
    </row>
    <row r="23857">
      <c r="A23857" s="4" t="s">
        <v>30019</v>
      </c>
      <c r="B23857" s="4" t="s">
        <v>30022</v>
      </c>
      <c r="C23857" s="5" t="str">
        <f>IFERROR(__xludf.DUMMYFUNCTION("GOOGLETRANSLATE(B23857,""en"",""de"")"),"Dampfes heißes Wasser wird über die Zitronen in der Brille gegossen.")</f>
        <v>Dampfes heißes Wasser wird über die Zitronen in der Brille gegossen.</v>
      </c>
    </row>
    <row r="23858">
      <c r="A23858" s="4" t="s">
        <v>30019</v>
      </c>
      <c r="B23858" s="4" t="s">
        <v>30023</v>
      </c>
      <c r="C23858" s="5" t="str">
        <f>IFERROR(__xludf.DUMMYFUNCTION("GOOGLETRANSLATE(B23858,""en"",""de"")"),"Die Brille wird mit einem Rührstab gerührt.")</f>
        <v>Die Brille wird mit einem Rührstab gerührt.</v>
      </c>
    </row>
    <row r="23859">
      <c r="A23859" s="4" t="s">
        <v>30019</v>
      </c>
      <c r="B23859" s="4" t="s">
        <v>30024</v>
      </c>
      <c r="C23859" s="5" t="str">
        <f>IFERROR(__xludf.DUMMYFUNCTION("GOOGLETRANSLATE(B23859,""en"",""de"")"),"Die Brille werden auf dem Tisch gesetzt und langsam von rechts nach links gepannt.")</f>
        <v>Die Brille werden auf dem Tisch gesetzt und langsam von rechts nach links gepannt.</v>
      </c>
    </row>
    <row r="23860">
      <c r="A23860" s="4" t="s">
        <v>30025</v>
      </c>
      <c r="B23860" s="4" t="s">
        <v>30026</v>
      </c>
      <c r="C23860" s="5" t="str">
        <f>IFERROR(__xludf.DUMMYFUNCTION("GOOGLETRANSLATE(B23860,""en"",""de"")"),"Ein Paar ist mit einer Menge zu sehen, die einen schneebedeckten Hügel hinaufgeht.")</f>
        <v>Ein Paar ist mit einer Menge zu sehen, die einen schneebedeckten Hügel hinaufgeht.</v>
      </c>
    </row>
    <row r="23861">
      <c r="A23861" s="4" t="s">
        <v>30025</v>
      </c>
      <c r="B23861" s="4" t="s">
        <v>30027</v>
      </c>
      <c r="C23861" s="5" t="str">
        <f>IFERROR(__xludf.DUMMYFUNCTION("GOOGLETRANSLATE(B23861,""en"",""de"")"),"Sie röhren die schneebedeckten Hügel hinunter.")</f>
        <v>Sie röhren die schneebedeckten Hügel hinunter.</v>
      </c>
    </row>
    <row r="23862">
      <c r="A23862" s="4" t="s">
        <v>30025</v>
      </c>
      <c r="B23862" s="4" t="s">
        <v>30028</v>
      </c>
      <c r="C23862" s="5" t="str">
        <f>IFERROR(__xludf.DUMMYFUNCTION("GOOGLETRANSLATE(B23862,""en"",""de"")"),"Die Leute rutschen steile schnelle Kurven auf den Gefangenen nach unten.")</f>
        <v>Die Leute rutschen steile schnelle Kurven auf den Gefangenen nach unten.</v>
      </c>
    </row>
    <row r="23863">
      <c r="A23863" s="4" t="s">
        <v>30029</v>
      </c>
      <c r="B23863" s="4" t="s">
        <v>30030</v>
      </c>
      <c r="C23863" s="5" t="str">
        <f>IFERROR(__xludf.DUMMYFUNCTION("GOOGLETRANSLATE(B23863,""en"",""de"")"),"Ein Schildbrett wird mit einem Firmenlogo und Kontaktinformationen gesehen.")</f>
        <v>Ein Schildbrett wird mit einem Firmenlogo und Kontaktinformationen gesehen.</v>
      </c>
    </row>
    <row r="23864">
      <c r="A23864" s="4" t="s">
        <v>30029</v>
      </c>
      <c r="B23864" s="4" t="s">
        <v>30031</v>
      </c>
      <c r="C23864" s="5" t="str">
        <f>IFERROR(__xludf.DUMMYFUNCTION("GOOGLETRANSLATE(B23864,""en"",""de"")"),"Eine Bauarbeiterin schraubt Bodenbretter ab.")</f>
        <v>Eine Bauarbeiterin schraubt Bodenbretter ab.</v>
      </c>
    </row>
    <row r="23865">
      <c r="A23865" s="4" t="s">
        <v>30029</v>
      </c>
      <c r="B23865" s="4" t="s">
        <v>30032</v>
      </c>
      <c r="C23865" s="5" t="str">
        <f>IFERROR(__xludf.DUMMYFUNCTION("GOOGLETRANSLATE(B23865,""en"",""de"")"),"Ein Bauarbeiter verwendet einen Handheld -Schaber, um Gips auf den nackten Boden aufzutragen.")</f>
        <v>Ein Bauarbeiter verwendet einen Handheld -Schaber, um Gips auf den nackten Boden aufzutragen.</v>
      </c>
    </row>
    <row r="23866">
      <c r="A23866" s="4" t="s">
        <v>30029</v>
      </c>
      <c r="B23866" s="4" t="s">
        <v>30033</v>
      </c>
      <c r="C23866" s="5" t="str">
        <f>IFERROR(__xludf.DUMMYFUNCTION("GOOGLETRANSLATE(B23866,""en"",""de"")"),"Ein Arbeiter legt Kacheln auf den Boden und verwendet Plastik -Kreuzhalter in den Hacken.")</f>
        <v>Ein Arbeiter legt Kacheln auf den Boden und verwendet Plastik -Kreuzhalter in den Hacken.</v>
      </c>
    </row>
    <row r="23867">
      <c r="A23867" s="4" t="s">
        <v>30029</v>
      </c>
      <c r="B23867" s="4" t="s">
        <v>30034</v>
      </c>
      <c r="C23867" s="5" t="str">
        <f>IFERROR(__xludf.DUMMYFUNCTION("GOOGLETRANSLATE(B23867,""en"",""de"")"),"Eine Roller mit schwerem Gewicht wird über die neu platzierten Fliesen gerollt.")</f>
        <v>Eine Roller mit schwerem Gewicht wird über die neu platzierten Fliesen gerollt.</v>
      </c>
    </row>
    <row r="23868">
      <c r="A23868" s="4" t="s">
        <v>30029</v>
      </c>
      <c r="B23868" s="4" t="s">
        <v>30035</v>
      </c>
      <c r="C23868" s="5" t="str">
        <f>IFERROR(__xludf.DUMMYFUNCTION("GOOGLETRANSLATE(B23868,""en"",""de"")"),"Der fertige Boden ist zu sehen, nachdem der Job erledigt ist.")</f>
        <v>Der fertige Boden ist zu sehen, nachdem der Job erledigt ist.</v>
      </c>
    </row>
    <row r="23869">
      <c r="A23869" s="4" t="s">
        <v>30036</v>
      </c>
      <c r="B23869" s="4" t="s">
        <v>30037</v>
      </c>
      <c r="C23869" s="5" t="str">
        <f>IFERROR(__xludf.DUMMYFUNCTION("GOOGLETRANSLATE(B23869,""en"",""de"")"),"Ein paar Jungs sitzen in der Nähe einer Klippe.")</f>
        <v>Ein paar Jungs sitzen in der Nähe einer Klippe.</v>
      </c>
    </row>
    <row r="23870">
      <c r="A23870" s="4" t="s">
        <v>30036</v>
      </c>
      <c r="B23870" s="4" t="s">
        <v>30038</v>
      </c>
      <c r="C23870" s="5" t="str">
        <f>IFERROR(__xludf.DUMMYFUNCTION("GOOGLETRANSLATE(B23870,""en"",""de"")"),"Ein Mann klettert mit allen Gliedmaßen auf eine Klippe.")</f>
        <v>Ein Mann klettert mit allen Gliedmaßen auf eine Klippe.</v>
      </c>
    </row>
    <row r="23871">
      <c r="A23871" s="4" t="s">
        <v>30036</v>
      </c>
      <c r="B23871" s="4" t="s">
        <v>30039</v>
      </c>
      <c r="C23871" s="5" t="str">
        <f>IFERROR(__xludf.DUMMYFUNCTION("GOOGLETRANSLATE(B23871,""en"",""de"")"),"Der Mann, der klettert, fällt und beginnt zu lachen.")</f>
        <v>Der Mann, der klettert, fällt und beginnt zu lachen.</v>
      </c>
    </row>
    <row r="23872">
      <c r="A23872" s="4" t="s">
        <v>30040</v>
      </c>
      <c r="B23872" s="4" t="s">
        <v>30041</v>
      </c>
      <c r="C23872" s="5" t="str">
        <f>IFERROR(__xludf.DUMMYFUNCTION("GOOGLETRANSLATE(B23872,""en"",""de"")"),"An einem sonnigen Tag sind mehrere Leute versammelt, um ein wettbewerbsfähiges Wasserpolo zu sehen.")</f>
        <v>An einem sonnigen Tag sind mehrere Leute versammelt, um ein wettbewerbsfähiges Wasserpolo zu sehen.</v>
      </c>
    </row>
    <row r="23873">
      <c r="A23873" s="4" t="s">
        <v>30040</v>
      </c>
      <c r="B23873" s="4" t="s">
        <v>30042</v>
      </c>
      <c r="C23873" s="5" t="str">
        <f>IFERROR(__xludf.DUMMYFUNCTION("GOOGLETRANSLATE(B23873,""en"",""de"")"),"Es gibt zwei Teams in einem Swimmingpool im Freien gegeneinander.")</f>
        <v>Es gibt zwei Teams in einem Swimmingpool im Freien gegeneinander.</v>
      </c>
    </row>
    <row r="23874">
      <c r="A23874" s="4" t="s">
        <v>30040</v>
      </c>
      <c r="B23874" s="4" t="s">
        <v>30043</v>
      </c>
      <c r="C23874" s="5" t="str">
        <f>IFERROR(__xludf.DUMMYFUNCTION("GOOGLETRANSLATE(B23874,""en"",""de"")"),"Die Zuschauer beobachten und jubeln den Spielern.")</f>
        <v>Die Zuschauer beobachten und jubeln den Spielern.</v>
      </c>
    </row>
    <row r="23875">
      <c r="A23875" s="4" t="s">
        <v>30040</v>
      </c>
      <c r="B23875" s="4" t="s">
        <v>30044</v>
      </c>
      <c r="C23875" s="5" t="str">
        <f>IFERROR(__xludf.DUMMYFUNCTION("GOOGLETRANSLATE(B23875,""en"",""de"")"),"Die Spieler spielen mit einem gelben Ball.")</f>
        <v>Die Spieler spielen mit einem gelben Ball.</v>
      </c>
    </row>
    <row r="23876">
      <c r="A23876" s="4" t="s">
        <v>30040</v>
      </c>
      <c r="B23876" s="4" t="s">
        <v>30045</v>
      </c>
      <c r="C23876" s="5" t="str">
        <f>IFERROR(__xludf.DUMMYFUNCTION("GOOGLETRANSLATE(B23876,""en"",""de"")"),"Nach einem der Teamkollegen jubeln die Teamkollegen sie an.")</f>
        <v>Nach einem der Teamkollegen jubeln die Teamkollegen sie an.</v>
      </c>
    </row>
    <row r="23877">
      <c r="A23877" s="4" t="s">
        <v>30040</v>
      </c>
      <c r="B23877" s="4" t="s">
        <v>30046</v>
      </c>
      <c r="C23877" s="5" t="str">
        <f>IFERROR(__xludf.DUMMYFUNCTION("GOOGLETRANSLATE(B23877,""en"",""de"")"),"Das Gewinnerteam erzielt mehr Punkte und erhält Applaus von der Menge.")</f>
        <v>Das Gewinnerteam erzielt mehr Punkte und erhält Applaus von der Menge.</v>
      </c>
    </row>
    <row r="23878">
      <c r="A23878" s="4" t="s">
        <v>30047</v>
      </c>
      <c r="B23878" s="4" t="s">
        <v>30048</v>
      </c>
      <c r="C23878" s="5" t="str">
        <f>IFERROR(__xludf.DUMMYFUNCTION("GOOGLETRANSLATE(B23878,""en"",""de"")"),"Mehrere Teilnehmer stehen auf einer Bühne hinter einem Podium, das wie ein Rubik -Würfel aussieht.")</f>
        <v>Mehrere Teilnehmer stehen auf einer Bühne hinter einem Podium, das wie ein Rubik -Würfel aussieht.</v>
      </c>
    </row>
    <row r="23879">
      <c r="A23879" s="4" t="s">
        <v>30047</v>
      </c>
      <c r="B23879" s="4" t="s">
        <v>30049</v>
      </c>
      <c r="C23879" s="5" t="str">
        <f>IFERROR(__xludf.DUMMYFUNCTION("GOOGLETRANSLATE(B23879,""en"",""de"")"),"Ein Junge legt dann eine blinde Faltung auf die Stirn, als ein Mann zu seiner Linken stand und jede seine Bewegungen untersucht.")</f>
        <v>Ein Junge legt dann eine blinde Faltung auf die Stirn, als ein Mann zu seiner Linken stand und jede seine Bewegungen untersucht.</v>
      </c>
    </row>
    <row r="23880">
      <c r="A23880" s="4" t="s">
        <v>30047</v>
      </c>
      <c r="B23880" s="4" t="s">
        <v>30050</v>
      </c>
      <c r="C23880" s="5" t="str">
        <f>IFERROR(__xludf.DUMMYFUNCTION("GOOGLETRANSLATE(B23880,""en"",""de"")"),"Der Würfel wird dann vom Schalter abgeholt und der Timer beginnt, als er versucht, das Rätsel zu lösen.")</f>
        <v>Der Würfel wird dann vom Schalter abgeholt und der Timer beginnt, als er versucht, das Rätsel zu lösen.</v>
      </c>
    </row>
    <row r="23881">
      <c r="A23881" s="4" t="s">
        <v>30047</v>
      </c>
      <c r="B23881" s="4" t="s">
        <v>30051</v>
      </c>
      <c r="C23881" s="5" t="str">
        <f>IFERROR(__xludf.DUMMYFUNCTION("GOOGLETRANSLATE(B23881,""en"",""de"")"),"Nach fünfunddreißig Sekunden zieht er die Blinde über seine Augen und versucht weiterhin, den Würfel zu lösen.")</f>
        <v>Nach fünfunddreißig Sekunden zieht er die Blinde über seine Augen und versucht weiterhin, den Würfel zu lösen.</v>
      </c>
    </row>
    <row r="23882">
      <c r="A23882" s="4" t="s">
        <v>30047</v>
      </c>
      <c r="B23882" s="4" t="s">
        <v>30052</v>
      </c>
      <c r="C23882" s="5" t="str">
        <f>IFERROR(__xludf.DUMMYFUNCTION("GOOGLETRANSLATE(B23882,""en"",""de"")"),"Eine Minute und fünfzehn Sekunden sind vergangen und der Junge legt den Würfel ab und der Timer hält an.")</f>
        <v>Eine Minute und fünfzehn Sekunden sind vergangen und der Junge legt den Würfel ab und der Timer hält an.</v>
      </c>
    </row>
    <row r="23883">
      <c r="A23883" s="4" t="s">
        <v>30047</v>
      </c>
      <c r="B23883" s="4" t="s">
        <v>30053</v>
      </c>
      <c r="C23883" s="5" t="str">
        <f>IFERROR(__xludf.DUMMYFUNCTION("GOOGLETRANSLATE(B23883,""en"",""de"")"),"Jeder freut sich sehr für ihn und beginnt und gratuliert ihm, wie die anderen Gegner immer noch versuchen, ihre zu lösen.")</f>
        <v>Jeder freut sich sehr für ihn und beginnt und gratuliert ihm, wie die anderen Gegner immer noch versuchen, ihre zu lösen.</v>
      </c>
    </row>
    <row r="23884">
      <c r="A23884" s="4" t="s">
        <v>30054</v>
      </c>
      <c r="B23884" s="4" t="s">
        <v>30055</v>
      </c>
      <c r="C23884" s="5" t="str">
        <f>IFERROR(__xludf.DUMMYFUNCTION("GOOGLETRANSLATE(B23884,""en"",""de"")"),"Ein kleiner Junge ist zu sehen, der bis zum Ende eines Tauchbretts geht und von der Seite springt.")</f>
        <v>Ein kleiner Junge ist zu sehen, der bis zum Ende eines Tauchbretts geht und von der Seite springt.</v>
      </c>
    </row>
    <row r="23885">
      <c r="A23885" s="4" t="s">
        <v>30054</v>
      </c>
      <c r="B23885" s="4" t="s">
        <v>30056</v>
      </c>
      <c r="C23885" s="5" t="str">
        <f>IFERROR(__xludf.DUMMYFUNCTION("GOOGLETRANSLATE(B23885,""en"",""de"")"),"Der Junge kommt von der Oberfläche hoch und ein anderer Junge geht bis zum Ende des Bretts.")</f>
        <v>Der Junge kommt von der Oberfläche hoch und ein anderer Junge geht bis zum Ende des Bretts.</v>
      </c>
    </row>
    <row r="23886">
      <c r="A23886" s="4" t="s">
        <v>30057</v>
      </c>
      <c r="B23886" s="4" t="s">
        <v>30058</v>
      </c>
      <c r="C23886" s="5" t="str">
        <f>IFERROR(__xludf.DUMMYFUNCTION("GOOGLETRANSLATE(B23886,""en"",""de"")"),"Eine brünette Frau lächelt und redet, während sie in einem Badezimmer steht und nur ihre Brust sichtbar ist, und ein kurzes Banner am unteren Bildschirmrand sagt ""Aubrey Morgan"".")</f>
        <v>Eine brünette Frau lächelt und redet, während sie in einem Badezimmer steht und nur ihre Brust sichtbar ist, und ein kurzes Banner am unteren Bildschirmrand sagt "Aubrey Morgan".</v>
      </c>
    </row>
    <row r="23887">
      <c r="A23887" s="4" t="s">
        <v>30057</v>
      </c>
      <c r="B23887" s="4" t="s">
        <v>30059</v>
      </c>
      <c r="C23887" s="5" t="str">
        <f>IFERROR(__xludf.DUMMYFUNCTION("GOOGLETRANSLATE(B23887,""en"",""de"")"),"Die Frau steht jetzt auf und mit nur ihren Beinen sichtbar und Shorts trägt einen Rasierer hoch und zeigt ihn in verschiedenen Winkeln und Nahaufnahmen, der Text auf dem Bildschirm lautet ""gute Qualitätsrasiermesser"".")</f>
        <v>Die Frau steht jetzt auf und mit nur ihren Beinen sichtbar und Shorts trägt einen Rasierer hoch und zeigt ihn in verschiedenen Winkeln und Nahaufnahmen, der Text auf dem Bildschirm lautet "gute Qualitätsrasiermesser".</v>
      </c>
    </row>
    <row r="23888">
      <c r="A23888" s="4" t="s">
        <v>30057</v>
      </c>
      <c r="B23888" s="4" t="s">
        <v>30060</v>
      </c>
      <c r="C23888" s="5" t="str">
        <f>IFERROR(__xludf.DUMMYFUNCTION("GOOGLETRANSLATE(B23888,""en"",""de"")"),"Die Frau beginnt, ihre Beine zu waschen, während sie immer noch aufsteht, ein Peeling und weist dann eine dicke Schicht Rasiercreme über ihr Bein auf, die Fans ihr Bein und beginnt dann, ihre Beine vom Knöchel und dem Knie zu rasieren, und spült dann ihre"&amp;"n Rasiermesser.")</f>
        <v>Die Frau beginnt, ihre Beine zu waschen, während sie immer noch aufsteht, ein Peeling und weist dann eine dicke Schicht Rasiercreme über ihr Bein auf, die Fans ihr Bein und beginnt dann, ihre Beine vom Knöchel und dem Knie zu rasieren, und spült dann ihren Rasiermesser.</v>
      </c>
    </row>
    <row r="23889">
      <c r="A23889" s="4" t="s">
        <v>30057</v>
      </c>
      <c r="B23889" s="4" t="s">
        <v>30061</v>
      </c>
      <c r="C23889" s="5" t="str">
        <f>IFERROR(__xludf.DUMMYFUNCTION("GOOGLETRANSLATE(B23889,""en"",""de"")"),"Die Frau hält einen Einweg -Rasiermesser hoch, hält dann einen wiederverwendbaren Rasiermesser und zeigt, dass der Rasierer aufgetaucht werden kann.")</f>
        <v>Die Frau hält einen Einweg -Rasiermesser hoch, hält dann einen wiederverwendbaren Rasiermesser und zeigt, dass der Rasierer aufgetaucht werden kann.</v>
      </c>
    </row>
    <row r="23890">
      <c r="A23890" s="4" t="s">
        <v>30057</v>
      </c>
      <c r="B23890" s="4" t="s">
        <v>30062</v>
      </c>
      <c r="C23890" s="5" t="str">
        <f>IFERROR(__xludf.DUMMYFUNCTION("GOOGLETRANSLATE(B23890,""en"",""de"")"),"Die Frau steht wieder und wendet jetzt Lotion auf ihr Bein an.")</f>
        <v>Die Frau steht wieder und wendet jetzt Lotion auf ihr Bein an.</v>
      </c>
    </row>
    <row r="23891">
      <c r="A23891" s="4" t="s">
        <v>30057</v>
      </c>
      <c r="B23891" s="4" t="s">
        <v>30063</v>
      </c>
      <c r="C23891" s="5" t="str">
        <f>IFERROR(__xludf.DUMMYFUNCTION("GOOGLETRANSLATE(B23891,""en"",""de"")"),"Die Frau steht jetzt nur mit ihrem Oberkörper und lächelt und redet.")</f>
        <v>Die Frau steht jetzt nur mit ihrem Oberkörper und lächelt und redet.</v>
      </c>
    </row>
    <row r="23892">
      <c r="A23892" s="4" t="s">
        <v>30064</v>
      </c>
      <c r="B23892" s="4" t="s">
        <v>30065</v>
      </c>
      <c r="C23892" s="5" t="str">
        <f>IFERROR(__xludf.DUMMYFUNCTION("GOOGLETRANSLATE(B23892,""en"",""de"")"),"Berge sind im Hintergrund zu sehen und ein Junge fährt in einem Auto.")</f>
        <v>Berge sind im Hintergrund zu sehen und ein Junge fährt in einem Auto.</v>
      </c>
    </row>
    <row r="23893">
      <c r="A23893" s="4" t="s">
        <v>30064</v>
      </c>
      <c r="B23893" s="4" t="s">
        <v>30066</v>
      </c>
      <c r="C23893" s="5" t="str">
        <f>IFERROR(__xludf.DUMMYFUNCTION("GOOGLETRANSLATE(B23893,""en"",""de"")"),"Skateboarder fahren zusammen zusammen durch ein Parkhaus.")</f>
        <v>Skateboarder fahren zusammen zusammen durch ein Parkhaus.</v>
      </c>
    </row>
    <row r="23894">
      <c r="A23894" s="4" t="s">
        <v>30064</v>
      </c>
      <c r="B23894" s="4" t="s">
        <v>30067</v>
      </c>
      <c r="C23894" s="5" t="str">
        <f>IFERROR(__xludf.DUMMYFUNCTION("GOOGLETRANSLATE(B23894,""en"",""de"")"),"Die Skateboards fahren einen Hügel hinunter, den Skid unten.")</f>
        <v>Die Skateboards fahren einen Hügel hinunter, den Skid unten.</v>
      </c>
    </row>
    <row r="23895">
      <c r="A23895" s="4" t="s">
        <v>30064</v>
      </c>
      <c r="B23895" s="4" t="s">
        <v>30068</v>
      </c>
      <c r="C23895" s="5" t="str">
        <f>IFERROR(__xludf.DUMMYFUNCTION("GOOGLETRANSLATE(B23895,""en"",""de"")"),"Der Junge setzt sein Brett aufrecht.")</f>
        <v>Der Junge setzt sein Brett aufrecht.</v>
      </c>
    </row>
    <row r="23896">
      <c r="A23896" s="4" t="s">
        <v>30064</v>
      </c>
      <c r="B23896" s="4" t="s">
        <v>30069</v>
      </c>
      <c r="C23896" s="5" t="str">
        <f>IFERROR(__xludf.DUMMYFUNCTION("GOOGLETRANSLATE(B23896,""en"",""de"")"),"Ein Junge Skateboards durch die Tribünen eines Stadions.")</f>
        <v>Ein Junge Skateboards durch die Tribünen eines Stadions.</v>
      </c>
    </row>
    <row r="23897">
      <c r="A23897" s="4" t="s">
        <v>30070</v>
      </c>
      <c r="B23897" s="4" t="s">
        <v>30071</v>
      </c>
      <c r="C23897" s="5" t="str">
        <f>IFERROR(__xludf.DUMMYFUNCTION("GOOGLETRANSLATE(B23897,""en"",""de"")"),"Die Leute sitzen auf Trainingsrädern und trainieren.")</f>
        <v>Die Leute sitzen auf Trainingsrädern und trainieren.</v>
      </c>
    </row>
    <row r="23898">
      <c r="A23898" s="4" t="s">
        <v>30070</v>
      </c>
      <c r="B23898" s="4" t="s">
        <v>30072</v>
      </c>
      <c r="C23898" s="5" t="str">
        <f>IFERROR(__xludf.DUMMYFUNCTION("GOOGLETRANSLATE(B23898,""en"",""de"")"),"Eine Frau legt etwas auf die Seite des Beins eines Mannes, der trainiert.")</f>
        <v>Eine Frau legt etwas auf die Seite des Beins eines Mannes, der trainiert.</v>
      </c>
    </row>
    <row r="23899">
      <c r="A23899" s="4" t="s">
        <v>30070</v>
      </c>
      <c r="B23899" s="4" t="s">
        <v>30073</v>
      </c>
      <c r="C23899" s="5" t="str">
        <f>IFERROR(__xludf.DUMMYFUNCTION("GOOGLETRANSLATE(B23899,""en"",""de"")"),"Ein Mann in einem schwarzen Anzug spricht vor einem Fernseher.")</f>
        <v>Ein Mann in einem schwarzen Anzug spricht vor einem Fernseher.</v>
      </c>
    </row>
    <row r="23900">
      <c r="A23900" s="4" t="s">
        <v>30074</v>
      </c>
      <c r="B23900" s="4" t="s">
        <v>30075</v>
      </c>
      <c r="C23900" s="5" t="str">
        <f>IFERROR(__xludf.DUMMYFUNCTION("GOOGLETRANSLATE(B23900,""en"",""de"")"),"Eine Person wird gesehen, wie er die Mähne des Fells eines Pferdes hinunter schrubbte, und führt ihn zum Waschen und besprüht ihn.")</f>
        <v>Eine Person wird gesehen, wie er die Mähne des Fells eines Pferdes hinunter schrubbte, und führt ihn zum Waschen und besprüht ihn.</v>
      </c>
    </row>
    <row r="23901">
      <c r="A23901" s="4" t="s">
        <v>30074</v>
      </c>
      <c r="B23901" s="4" t="s">
        <v>30076</v>
      </c>
      <c r="C23901" s="5" t="str">
        <f>IFERROR(__xludf.DUMMYFUNCTION("GOOGLETRANSLATE(B23901,""en"",""de"")"),"Die Kamera zeigt Aufnahmen der Flüssigkeit und zeigt dann die Frau, die nach unten schrubbt und das Pferd wäscht.")</f>
        <v>Die Kamera zeigt Aufnahmen der Flüssigkeit und zeigt dann die Frau, die nach unten schrubbt und das Pferd wäscht.</v>
      </c>
    </row>
    <row r="23902">
      <c r="A23902" s="4" t="s">
        <v>30074</v>
      </c>
      <c r="B23902" s="4" t="s">
        <v>30077</v>
      </c>
      <c r="C23902" s="5" t="str">
        <f>IFERROR(__xludf.DUMMYFUNCTION("GOOGLETRANSLATE(B23902,""en"",""de"")"),"Sie geht mit dem Pferd weg und schüttelt die Flasche und zeigt mehr Aufnahmen von ihr, das das Pferd mit der gezeigten Flasche zeitweise geputzt hat.")</f>
        <v>Sie geht mit dem Pferd weg und schüttelt die Flasche und zeigt mehr Aufnahmen von ihr, das das Pferd mit der gezeigten Flasche zeitweise geputzt hat.</v>
      </c>
    </row>
    <row r="23903">
      <c r="A23903" s="4" t="s">
        <v>30078</v>
      </c>
      <c r="B23903" s="4" t="s">
        <v>30079</v>
      </c>
      <c r="C23903" s="5" t="str">
        <f>IFERROR(__xludf.DUMMYFUNCTION("GOOGLETRANSLATE(B23903,""en"",""de"")"),"Ein Mann, der einen Schlagstock in der Hand hält und glitzernde Strumpfhosen trägt, steht auf einem Basketballplatz und führt eine Routine von Baton -Wirbeln, Flips und dramatischen Tänzen durch.")</f>
        <v>Ein Mann, der einen Schlagstock in der Hand hält und glitzernde Strumpfhosen trägt, steht auf einem Basketballplatz und führt eine Routine von Baton -Wirbeln, Flips und dramatischen Tänzen durch.</v>
      </c>
    </row>
    <row r="23904">
      <c r="A23904" s="4" t="s">
        <v>30078</v>
      </c>
      <c r="B23904" s="4" t="s">
        <v>30080</v>
      </c>
      <c r="C23904" s="5" t="str">
        <f>IFERROR(__xludf.DUMMYFUNCTION("GOOGLETRANSLATE(B23904,""en"",""de"")"),"Der Mann dreht den Schlagstock sehr schnell und unerwartet ab.")</f>
        <v>Der Mann dreht den Schlagstock sehr schnell und unerwartet ab.</v>
      </c>
    </row>
    <row r="23905">
      <c r="A23905" s="4" t="s">
        <v>30078</v>
      </c>
      <c r="B23905" s="4" t="s">
        <v>30081</v>
      </c>
      <c r="C23905" s="5" t="str">
        <f>IFERROR(__xludf.DUMMYFUNCTION("GOOGLETRANSLATE(B23905,""en"",""de"")"),"Der Mann erholt sich schnell und nimmt den Staffelstab auf und setzt seine Routine fort, als hätte er ihn überhaupt nicht fallen lassen und wirft den Staffelstab hoch in die Luft und macht zahlreiche Drehungen und fängt den Staber schnell vor, bevor er au"&amp;"f den Boden trifft.")</f>
        <v>Der Mann erholt sich schnell und nimmt den Staffelstab auf und setzt seine Routine fort, als hätte er ihn überhaupt nicht fallen lassen und wirft den Staffelstab hoch in die Luft und macht zahlreiche Drehungen und fängt den Staber schnell vor, bevor er auf den Boden trifft.</v>
      </c>
    </row>
    <row r="23906">
      <c r="A23906" s="4" t="s">
        <v>30078</v>
      </c>
      <c r="B23906" s="4" t="s">
        <v>30082</v>
      </c>
      <c r="C23906" s="5" t="str">
        <f>IFERROR(__xludf.DUMMYFUNCTION("GOOGLETRANSLATE(B23906,""en"",""de"")"),"Der Mann beendet seine Routine in einer sitzenden Position mit ausbreitenden Beinen, seinem Kopf zurückgeworfen und der Schlagstock ruht auf seiner rechten und zwischen seinen Beinen.")</f>
        <v>Der Mann beendet seine Routine in einer sitzenden Position mit ausbreitenden Beinen, seinem Kopf zurückgeworfen und der Schlagstock ruht auf seiner rechten und zwischen seinen Beinen.</v>
      </c>
    </row>
    <row r="23907">
      <c r="A23907" s="4" t="s">
        <v>30083</v>
      </c>
      <c r="B23907" s="4" t="s">
        <v>30084</v>
      </c>
      <c r="C23907" s="5" t="str">
        <f>IFERROR(__xludf.DUMMYFUNCTION("GOOGLETRANSLATE(B23907,""en"",""de"")"),"Das Gebäude wird dann gezeigt, dann der Uhrenturm.")</f>
        <v>Das Gebäude wird dann gezeigt, dann der Uhrenturm.</v>
      </c>
    </row>
    <row r="23908">
      <c r="A23908" s="4" t="s">
        <v>30083</v>
      </c>
      <c r="B23908" s="4" t="s">
        <v>30085</v>
      </c>
      <c r="C23908" s="5" t="str">
        <f>IFERROR(__xludf.DUMMYFUNCTION("GOOGLETRANSLATE(B23908,""en"",""de"")"),"Die jungen Leute gehen auf dem Gehweg vor dem Gebäude.")</f>
        <v>Die jungen Leute gehen auf dem Gehweg vor dem Gebäude.</v>
      </c>
    </row>
    <row r="23909">
      <c r="A23909" s="4" t="s">
        <v>30083</v>
      </c>
      <c r="B23909" s="4" t="s">
        <v>30086</v>
      </c>
      <c r="C23909" s="5" t="str">
        <f>IFERROR(__xludf.DUMMYFUNCTION("GOOGLETRANSLATE(B23909,""en"",""de"")"),"Ein junger Mann skateboards auf der Straße und geht an die Seite, die seine Füße auf dem Brett bewegt.")</f>
        <v>Ein junger Mann skateboards auf der Straße und geht an die Seite, die seine Füße auf dem Brett bewegt.</v>
      </c>
    </row>
    <row r="23910">
      <c r="A23910" s="4" t="s">
        <v>30087</v>
      </c>
      <c r="B23910" s="4" t="s">
        <v>30088</v>
      </c>
      <c r="C23910" s="5" t="str">
        <f>IFERROR(__xludf.DUMMYFUNCTION("GOOGLETRANSLATE(B23910,""en"",""de"")"),"Eine Gruppe mehrerer jugendlicher Jungen spielt ein Tug of War.")</f>
        <v>Eine Gruppe mehrerer jugendlicher Jungen spielt ein Tug of War.</v>
      </c>
    </row>
    <row r="23911">
      <c r="A23911" s="4" t="s">
        <v>30087</v>
      </c>
      <c r="B23911" s="4" t="s">
        <v>30089</v>
      </c>
      <c r="C23911" s="5" t="str">
        <f>IFERROR(__xludf.DUMMYFUNCTION("GOOGLETRANSLATE(B23911,""en"",""de"")"),"Sie ziehen hart, bis das Seil gibt, und sie gewinnen das Spiel.")</f>
        <v>Sie ziehen hart, bis das Seil gibt, und sie gewinnen das Spiel.</v>
      </c>
    </row>
    <row r="23912">
      <c r="A23912" s="4" t="s">
        <v>30090</v>
      </c>
      <c r="B23912" s="4" t="s">
        <v>30091</v>
      </c>
      <c r="C23912" s="5" t="str">
        <f>IFERROR(__xludf.DUMMYFUNCTION("GOOGLETRANSLATE(B23912,""en"",""de"")"),"Die Szene ist aus einer Nachbarschaft, die von hohen Bäumen und einem Haufen toter Blätter neben einem Blattfänger umgeben ist.")</f>
        <v>Die Szene ist aus einer Nachbarschaft, die von hohen Bäumen und einem Haufen toter Blätter neben einem Blattfänger umgeben ist.</v>
      </c>
    </row>
    <row r="23913">
      <c r="A23913" s="4" t="s">
        <v>30090</v>
      </c>
      <c r="B23913" s="4" t="s">
        <v>30092</v>
      </c>
      <c r="C23913" s="5" t="str">
        <f>IFERROR(__xludf.DUMMYFUNCTION("GOOGLETRANSLATE(B23913,""en"",""de"")"),"Ein Mann, der eine Rassel mit Rasseln hält, steckt Blätter in Taschen, die an einem Blattfänger befestigt sind.")</f>
        <v>Ein Mann, der eine Rassel mit Rasseln hält, steckt Blätter in Taschen, die an einem Blattfänger befestigt sind.</v>
      </c>
    </row>
    <row r="23914">
      <c r="A23914" s="4" t="s">
        <v>30090</v>
      </c>
      <c r="B23914" s="4" t="s">
        <v>30093</v>
      </c>
      <c r="C23914" s="5" t="str">
        <f>IFERROR(__xludf.DUMMYFUNCTION("GOOGLETRANSLATE(B23914,""en"",""de"")"),"Außerdem benutzt der Mann den Blattfänger, um Müll in einer Tasche zu sammeln.")</f>
        <v>Außerdem benutzt der Mann den Blattfänger, um Müll in einer Tasche zu sammeln.</v>
      </c>
    </row>
    <row r="23915">
      <c r="A23915" s="4" t="s">
        <v>30094</v>
      </c>
      <c r="B23915" s="4" t="s">
        <v>30095</v>
      </c>
      <c r="C23915" s="5" t="str">
        <f>IFERROR(__xludf.DUMMYFUNCTION("GOOGLETRANSLATE(B23915,""en"",""de"")"),"Ein Mann, der ein weißes Hemd trägt, hält einen Tennisschläger.")</f>
        <v>Ein Mann, der ein weißes Hemd trägt, hält einen Tennisschläger.</v>
      </c>
    </row>
    <row r="23916">
      <c r="A23916" s="4" t="s">
        <v>30094</v>
      </c>
      <c r="B23916" s="4" t="s">
        <v>30096</v>
      </c>
      <c r="C23916" s="5" t="str">
        <f>IFERROR(__xludf.DUMMYFUNCTION("GOOGLETRANSLATE(B23916,""en"",""de"")"),"Er trifft mit seinem Tennisschläger Tennisbälle.")</f>
        <v>Er trifft mit seinem Tennisschläger Tennisbälle.</v>
      </c>
    </row>
    <row r="23917">
      <c r="A23917" s="4" t="s">
        <v>30094</v>
      </c>
      <c r="B23917" s="4" t="s">
        <v>5880</v>
      </c>
      <c r="C23917" s="5" t="str">
        <f>IFERROR(__xludf.DUMMYFUNCTION("GOOGLETRANSLATE(B23917,""en"",""de"")"),"Er stoppt und spricht mit der Kamera.")</f>
        <v>Er stoppt und spricht mit der Kamera.</v>
      </c>
    </row>
    <row r="23918">
      <c r="A23918" s="4" t="s">
        <v>30097</v>
      </c>
      <c r="B23918" s="4" t="s">
        <v>30098</v>
      </c>
      <c r="C23918" s="5" t="str">
        <f>IFERROR(__xludf.DUMMYFUNCTION("GOOGLETRANSLATE(B23918,""en"",""de"")"),"Eine große Gruppe von Frauen steht in einem Raum und beginnt den Bauch zu tanzen.")</f>
        <v>Eine große Gruppe von Frauen steht in einem Raum und beginnt den Bauch zu tanzen.</v>
      </c>
    </row>
    <row r="23919">
      <c r="A23919" s="4" t="s">
        <v>30097</v>
      </c>
      <c r="B23919" s="4" t="s">
        <v>30099</v>
      </c>
      <c r="C23919" s="5" t="str">
        <f>IFERROR(__xludf.DUMMYFUNCTION("GOOGLETRANSLATE(B23919,""en"",""de"")"),"Die Frau tanzt miteinander und spielt dieselbe Routine und eine Frau, die vorne tanzte.")</f>
        <v>Die Frau tanzt miteinander und spielt dieselbe Routine und eine Frau, die vorne tanzte.</v>
      </c>
    </row>
    <row r="23920">
      <c r="A23920" s="4" t="s">
        <v>30097</v>
      </c>
      <c r="B23920" s="4" t="s">
        <v>30100</v>
      </c>
      <c r="C23920" s="5" t="str">
        <f>IFERROR(__xludf.DUMMYFUNCTION("GOOGLETRANSLATE(B23920,""en"",""de"")"),"Die Frauen tanzen weiter miteinander und enden damit, dass sie herumlaufen.")</f>
        <v>Die Frauen tanzen weiter miteinander und enden damit, dass sie herumlaufen.</v>
      </c>
    </row>
    <row r="23921">
      <c r="A23921" s="4" t="s">
        <v>30101</v>
      </c>
      <c r="B23921" s="4" t="s">
        <v>30102</v>
      </c>
      <c r="C23921" s="5" t="str">
        <f>IFERROR(__xludf.DUMMYFUNCTION("GOOGLETRANSLATE(B23921,""en"",""de"")"),"Person geht in ein Haus zu einem offenen Feld, der einen Baseballschläger hält.")</f>
        <v>Person geht in ein Haus zu einem offenen Feld, der einen Baseballschläger hält.</v>
      </c>
    </row>
    <row r="23922">
      <c r="A23922" s="4" t="s">
        <v>30101</v>
      </c>
      <c r="B23922" s="4" t="s">
        <v>30103</v>
      </c>
      <c r="C23922" s="5" t="str">
        <f>IFERROR(__xludf.DUMMYFUNCTION("GOOGLETRANSLATE(B23922,""en"",""de"")"),"Perso geht mit einem Griff hinter einigen Männern, die um das Feld herumlaufen.")</f>
        <v>Perso geht mit einem Griff hinter einigen Männern, die um das Feld herumlaufen.</v>
      </c>
    </row>
    <row r="23923">
      <c r="A23923" s="4" t="s">
        <v>30101</v>
      </c>
      <c r="B23923" s="4" t="s">
        <v>30104</v>
      </c>
      <c r="C23923" s="5" t="str">
        <f>IFERROR(__xludf.DUMMYFUNCTION("GOOGLETRANSLATE(B23923,""en"",""de"")"),"Einige Papiere werden gezeigt und Frauen, die Lacrosse -T -Shirts verkaufen, sind in einem Spiel die Leute auf dem Feld versammelt.")</f>
        <v>Einige Papiere werden gezeigt und Frauen, die Lacrosse -T -Shirts verkaufen, sind in einem Spiel die Leute auf dem Feld versammelt.</v>
      </c>
    </row>
    <row r="23924">
      <c r="A23924" s="4" t="s">
        <v>30101</v>
      </c>
      <c r="B23924" s="4" t="s">
        <v>30105</v>
      </c>
      <c r="C23924" s="5" t="str">
        <f>IFERROR(__xludf.DUMMYFUNCTION("GOOGLETRANSLATE(B23924,""en"",""de"")"),"Die Spieler gehen aus den Umkleidekabinen und sind im Feldspiel.")</f>
        <v>Die Spieler gehen aus den Umkleidekabinen und sind im Feldspiel.</v>
      </c>
    </row>
    <row r="23925">
      <c r="A23925" s="4" t="s">
        <v>30101</v>
      </c>
      <c r="B23925" s="4" t="s">
        <v>30106</v>
      </c>
      <c r="C23925" s="5" t="str">
        <f>IFERROR(__xludf.DUMMYFUNCTION("GOOGLETRANSLATE(B23925,""en"",""de"")"),"Die Spieler stapfen am Ende des Spiels in der Linie, die Ergebnisse werden am Ende gezeigt.")</f>
        <v>Die Spieler stapfen am Ende des Spiels in der Linie, die Ergebnisse werden am Ende gezeigt.</v>
      </c>
    </row>
    <row r="23926">
      <c r="A23926" s="4" t="s">
        <v>30107</v>
      </c>
      <c r="B23926" s="4" t="s">
        <v>30108</v>
      </c>
      <c r="C23926" s="5" t="str">
        <f>IFERROR(__xludf.DUMMYFUNCTION("GOOGLETRANSLATE(B23926,""en"",""de"")"),"Zwei Spieler spielen ein Spiel mit Schlägerball.")</f>
        <v>Zwei Spieler spielen ein Spiel mit Schlägerball.</v>
      </c>
    </row>
    <row r="23927">
      <c r="A23927" s="4" t="s">
        <v>30107</v>
      </c>
      <c r="B23927" s="4" t="s">
        <v>30109</v>
      </c>
      <c r="C23927" s="5" t="str">
        <f>IFERROR(__xludf.DUMMYFUNCTION("GOOGLETRANSLATE(B23927,""en"",""de"")"),"Eine Frau nimmt einen Schwung am Ball und schlägt ihn.")</f>
        <v>Eine Frau nimmt einen Schwung am Ball und schlägt ihn.</v>
      </c>
    </row>
    <row r="23928">
      <c r="A23928" s="4" t="s">
        <v>30107</v>
      </c>
      <c r="B23928" s="4" t="s">
        <v>30110</v>
      </c>
      <c r="C23928" s="5" t="str">
        <f>IFERROR(__xludf.DUMMYFUNCTION("GOOGLETRANSLATE(B23928,""en"",""de"")"),"Die andere Frau schießt am Ball und verfehlt und schlägt sich stattdessen.")</f>
        <v>Die andere Frau schießt am Ball und verfehlt und schlägt sich stattdessen.</v>
      </c>
    </row>
    <row r="23929">
      <c r="A23929" s="4" t="s">
        <v>30107</v>
      </c>
      <c r="B23929" s="4" t="s">
        <v>30111</v>
      </c>
      <c r="C23929" s="5" t="str">
        <f>IFERROR(__xludf.DUMMYFUNCTION("GOOGLETRANSLATE(B23929,""en"",""de"")"),"Sie setzt sich dann auf den Boden, während die andere Person kommt, um die Kamera auszuschalten.")</f>
        <v>Sie setzt sich dann auf den Boden, während die andere Person kommt, um die Kamera auszuschalten.</v>
      </c>
    </row>
    <row r="23930">
      <c r="A23930" s="4" t="s">
        <v>30112</v>
      </c>
      <c r="B23930" s="4" t="s">
        <v>30113</v>
      </c>
      <c r="C23930" s="5" t="str">
        <f>IFERROR(__xludf.DUMMYFUNCTION("GOOGLETRANSLATE(B23930,""en"",""de"")"),"Ein junger Mann steht in der Mitte eines Raumes und hält einen Tennisschläger in der Luft.")</f>
        <v>Ein junger Mann steht in der Mitte eines Raumes und hält einen Tennisschläger in der Luft.</v>
      </c>
    </row>
    <row r="23931">
      <c r="A23931" s="4" t="s">
        <v>30112</v>
      </c>
      <c r="B23931" s="4" t="s">
        <v>30114</v>
      </c>
      <c r="C23931" s="5" t="str">
        <f>IFERROR(__xludf.DUMMYFUNCTION("GOOGLETRANSLATE(B23931,""en"",""de"")"),"Selbst und ein Mann werden dann gesehen, wie er den Tennisball schlägt, während er durch den Raum rennt.")</f>
        <v>Selbst und ein Mann werden dann gesehen, wie er den Tennisball schlägt, während er durch den Raum rennt.</v>
      </c>
    </row>
    <row r="23932">
      <c r="A23932" s="4" t="s">
        <v>30112</v>
      </c>
      <c r="B23932" s="4" t="s">
        <v>30115</v>
      </c>
      <c r="C23932" s="5" t="str">
        <f>IFERROR(__xludf.DUMMYFUNCTION("GOOGLETRANSLATE(B23932,""en"",""de"")"),"Der Junge rennt am Ende vom Mann und zur Kamera weg.")</f>
        <v>Der Junge rennt am Ende vom Mann und zur Kamera weg.</v>
      </c>
    </row>
    <row r="23933">
      <c r="A23933" s="4" t="s">
        <v>30116</v>
      </c>
      <c r="B23933" s="4" t="s">
        <v>30117</v>
      </c>
      <c r="C23933" s="5" t="str">
        <f>IFERROR(__xludf.DUMMYFUNCTION("GOOGLETRANSLATE(B23933,""en"",""de"")"),"Eine große Gruppe von Menschen steht zusammen, während eine Frau in einem schönen Kleid spricht.")</f>
        <v>Eine große Gruppe von Menschen steht zusammen, während eine Frau in einem schönen Kleid spricht.</v>
      </c>
    </row>
    <row r="23934">
      <c r="A23934" s="4" t="s">
        <v>30116</v>
      </c>
      <c r="B23934" s="4" t="s">
        <v>30118</v>
      </c>
      <c r="C23934" s="5" t="str">
        <f>IFERROR(__xludf.DUMMYFUNCTION("GOOGLETRANSLATE(B23934,""en"",""de"")"),"Es werden verschiedene Personen im Kostüm gezeigt und ein Mädchen rennt herum und spielt mit einem Drachen.")</f>
        <v>Es werden verschiedene Personen im Kostüm gezeigt und ein Mädchen rennt herum und spielt mit einem Drachen.</v>
      </c>
    </row>
    <row r="23935">
      <c r="A23935" s="4" t="s">
        <v>30116</v>
      </c>
      <c r="B23935" s="4" t="s">
        <v>30119</v>
      </c>
      <c r="C23935" s="5" t="str">
        <f>IFERROR(__xludf.DUMMYFUNCTION("GOOGLETRANSLATE(B23935,""en"",""de"")"),"Mehrere Drachen werden in der Luft gezeigt, während andere Kinder mit ihnen spielen.")</f>
        <v>Mehrere Drachen werden in der Luft gezeigt, während andere Kinder mit ihnen spielen.</v>
      </c>
    </row>
    <row r="23936">
      <c r="A23936" s="4" t="s">
        <v>30116</v>
      </c>
      <c r="B23936" s="4" t="s">
        <v>30120</v>
      </c>
      <c r="C23936" s="5" t="str">
        <f>IFERROR(__xludf.DUMMYFUNCTION("GOOGLETRANSLATE(B23936,""en"",""de"")"),"Hunderte von Drachen werden für ein Festival in der Luft gezeigt und ein Mann interviewt seine Erfahrungen mit den Drachen.")</f>
        <v>Hunderte von Drachen werden für ein Festival in der Luft gezeigt und ein Mann interviewt seine Erfahrungen mit den Drachen.</v>
      </c>
    </row>
    <row r="23937">
      <c r="A23937" s="4" t="s">
        <v>30116</v>
      </c>
      <c r="B23937" s="4" t="s">
        <v>30121</v>
      </c>
      <c r="C23937" s="5" t="str">
        <f>IFERROR(__xludf.DUMMYFUNCTION("GOOGLETRANSLATE(B23937,""en"",""de"")"),"Mehrere Menschen halten an und sehen sich um und die Stadt schwenkt über die Nacht.")</f>
        <v>Mehrere Menschen halten an und sehen sich um und die Stadt schwenkt über die Nacht.</v>
      </c>
    </row>
    <row r="23938">
      <c r="A23938" s="4" t="s">
        <v>30122</v>
      </c>
      <c r="B23938" s="4" t="s">
        <v>30123</v>
      </c>
      <c r="C23938" s="5" t="str">
        <f>IFERROR(__xludf.DUMMYFUNCTION("GOOGLETRANSLATE(B23938,""en"",""de"")"),"Ein Mann kniet neben einem Auto, das einen Schlauch auf das Auto sprüht.")</f>
        <v>Ein Mann kniet neben einem Auto, das einen Schlauch auf das Auto sprüht.</v>
      </c>
    </row>
    <row r="23939">
      <c r="A23939" s="4" t="s">
        <v>30122</v>
      </c>
      <c r="B23939" s="4" t="s">
        <v>30124</v>
      </c>
      <c r="C23939" s="5" t="str">
        <f>IFERROR(__xludf.DUMMYFUNCTION("GOOGLETRANSLATE(B23939,""en"",""de"")"),"Er benutzt einen Schwamm, um um das Auto herum zu reinigen, während andere um die Seiten putzen.")</f>
        <v>Er benutzt einen Schwamm, um um das Auto herum zu reinigen, während andere um die Seiten putzen.</v>
      </c>
    </row>
    <row r="23940">
      <c r="A23940" s="4" t="s">
        <v>30122</v>
      </c>
      <c r="B23940" s="4" t="s">
        <v>30125</v>
      </c>
      <c r="C23940" s="5" t="str">
        <f>IFERROR(__xludf.DUMMYFUNCTION("GOOGLETRANSLATE(B23940,""en"",""de"")"),"Es werden weitere Aufnahmen gezeigt, dass sie das Innere sowie unter der Motorhaube reinigen, während die Kamera umgeht.")</f>
        <v>Es werden weitere Aufnahmen gezeigt, dass sie das Innere sowie unter der Motorhaube reinigen, während die Kamera umgeht.</v>
      </c>
    </row>
    <row r="23941">
      <c r="A23941" s="4" t="s">
        <v>30126</v>
      </c>
      <c r="B23941" s="4" t="s">
        <v>30127</v>
      </c>
      <c r="C23941" s="5" t="str">
        <f>IFERROR(__xludf.DUMMYFUNCTION("GOOGLETRANSLATE(B23941,""en"",""de"")"),"Frauen spielen Voleyball in einem Holzplatz.")</f>
        <v>Frauen spielen Voleyball in einem Holzplatz.</v>
      </c>
    </row>
    <row r="23942">
      <c r="A23942" s="4" t="s">
        <v>30126</v>
      </c>
      <c r="B23942" s="4" t="s">
        <v>30128</v>
      </c>
      <c r="C23942" s="5" t="str">
        <f>IFERROR(__xludf.DUMMYFUNCTION("GOOGLETRANSLATE(B23942,""en"",""de"")"),"Peolpe sitzt in Stühlen rund um das Gericht und beobachtet die Mädchen.")</f>
        <v>Peolpe sitzt in Stühlen rund um das Gericht und beobachtet die Mädchen.</v>
      </c>
    </row>
    <row r="23943">
      <c r="A23943" s="4" t="s">
        <v>30126</v>
      </c>
      <c r="B23943" s="4" t="s">
        <v>30129</v>
      </c>
      <c r="C23943" s="5" t="str">
        <f>IFERROR(__xludf.DUMMYFUNCTION("GOOGLETRANSLATE(B23943,""en"",""de"")"),"Schiedsrichter stehen auf den Seiten des Gerichts, die Flaggen hält und das Spiel keine Treppe beobachten.")</f>
        <v>Schiedsrichter stehen auf den Seiten des Gerichts, die Flaggen hält und das Spiel keine Treppe beobachten.</v>
      </c>
    </row>
    <row r="23944">
      <c r="A23944" s="4" t="s">
        <v>30130</v>
      </c>
      <c r="B23944" s="4" t="s">
        <v>30131</v>
      </c>
      <c r="C23944" s="5" t="str">
        <f>IFERROR(__xludf.DUMMYFUNCTION("GOOGLETRANSLATE(B23944,""en"",""de"")"),"""Fitness for Life 365"" erscheint auf dem Bildschirm.")</f>
        <v>"Fitness for Life 365" erscheint auf dem Bildschirm.</v>
      </c>
    </row>
    <row r="23945">
      <c r="A23945" s="4" t="s">
        <v>30130</v>
      </c>
      <c r="B23945" s="4" t="s">
        <v>30132</v>
      </c>
      <c r="C23945" s="5" t="str">
        <f>IFERROR(__xludf.DUMMYFUNCTION("GOOGLETRANSLATE(B23945,""en"",""de"")"),"Es wird ein Schwung aus dem Inneren eines Fitnessstudio gezeigt, da ein Mann, der die Affenstangen klettert, nach hinten fährt.")</f>
        <v>Es wird ein Schwung aus dem Inneren eines Fitnessstudio gezeigt, da ein Mann, der die Affenstangen klettert, nach hinten fährt.</v>
      </c>
    </row>
    <row r="23946">
      <c r="A23946" s="4" t="s">
        <v>30130</v>
      </c>
      <c r="B23946" s="4" t="s">
        <v>30133</v>
      </c>
      <c r="C23946" s="5" t="str">
        <f>IFERROR(__xludf.DUMMYFUNCTION("GOOGLETRANSLATE(B23946,""en"",""de"")"),"Dann geht er hin und her, um sein Training fortzusetzen.")</f>
        <v>Dann geht er hin und her, um sein Training fortzusetzen.</v>
      </c>
    </row>
    <row r="23947">
      <c r="A23947" s="4" t="s">
        <v>30130</v>
      </c>
      <c r="B23947" s="4" t="s">
        <v>30134</v>
      </c>
      <c r="C23947" s="5" t="str">
        <f>IFERROR(__xludf.DUMMYFUNCTION("GOOGLETRANSLATE(B23947,""en"",""de"")"),"Das Video verblasst dann zu einem schwarzen Bildschirm und fordert Sie auf, ihren YouTube -Kanal abzuonnieren.")</f>
        <v>Das Video verblasst dann zu einem schwarzen Bildschirm und fordert Sie auf, ihren YouTube -Kanal abzuonnieren.</v>
      </c>
    </row>
    <row r="23948">
      <c r="A23948" s="4" t="s">
        <v>30135</v>
      </c>
      <c r="B23948" s="4" t="s">
        <v>30136</v>
      </c>
      <c r="C23948" s="5" t="str">
        <f>IFERROR(__xludf.DUMMYFUNCTION("GOOGLETRANSLATE(B23948,""en"",""de"")"),"Das Video zeigt ein Tutorial zur Installation von Keramikfliesen mit Beton.")</f>
        <v>Das Video zeigt ein Tutorial zur Installation von Keramikfliesen mit Beton.</v>
      </c>
    </row>
    <row r="23949">
      <c r="A23949" s="4" t="s">
        <v>30135</v>
      </c>
      <c r="B23949" s="4" t="s">
        <v>30137</v>
      </c>
      <c r="C23949" s="5" t="str">
        <f>IFERROR(__xludf.DUMMYFUNCTION("GOOGLETRANSLATE(B23949,""en"",""de"")"),"Eine Person, die eine Orangenweste und eine schwarze Hose trägt, arbeitet an einem Raum in einem Haus.")</f>
        <v>Eine Person, die eine Orangenweste und eine schwarze Hose trägt, arbeitet an einem Raum in einem Haus.</v>
      </c>
    </row>
    <row r="23950">
      <c r="A23950" s="4" t="s">
        <v>30135</v>
      </c>
      <c r="B23950" s="4" t="s">
        <v>30138</v>
      </c>
      <c r="C23950" s="5" t="str">
        <f>IFERROR(__xludf.DUMMYFUNCTION("GOOGLETRANSLATE(B23950,""en"",""de"")"),"Er kniet neben einem Haufen weißer quadratischer Keramikfliesen und einem mit Fugenmasse und Zement gefüllten Eimer.")</f>
        <v>Er kniet neben einem Haufen weißer quadratischer Keramikfliesen und einem mit Fugenmasse und Zement gefüllten Eimer.</v>
      </c>
    </row>
    <row r="23951">
      <c r="A23951" s="4" t="s">
        <v>30135</v>
      </c>
      <c r="B23951" s="4" t="s">
        <v>30139</v>
      </c>
      <c r="C23951" s="5" t="str">
        <f>IFERROR(__xludf.DUMMYFUNCTION("GOOGLETRANSLATE(B23951,""en"",""de"")"),"Er verschmiert den Boden mit Zement mit einer Kelle.")</f>
        <v>Er verschmiert den Boden mit Zement mit einer Kelle.</v>
      </c>
    </row>
    <row r="23952">
      <c r="A23952" s="4" t="s">
        <v>30135</v>
      </c>
      <c r="B23952" s="4" t="s">
        <v>30140</v>
      </c>
      <c r="C23952" s="5" t="str">
        <f>IFERROR(__xludf.DUMMYFUNCTION("GOOGLETRANSLATE(B23952,""en"",""de"")"),"Dann legt er die quadratischen Fliesen nebeneinander in einer geraden Linie und sorgt dafür, dass sie fest zusammengefügt sind.")</f>
        <v>Dann legt er die quadratischen Fliesen nebeneinander in einer geraden Linie und sorgt dafür, dass sie fest zusammengefügt sind.</v>
      </c>
    </row>
    <row r="23953">
      <c r="A23953" s="4" t="s">
        <v>30135</v>
      </c>
      <c r="B23953" s="4" t="s">
        <v>30141</v>
      </c>
      <c r="C23953" s="5" t="str">
        <f>IFERROR(__xludf.DUMMYFUNCTION("GOOGLETRANSLATE(B23953,""en"",""de"")"),"Er entfernt mehr Fliesen aus der Schachtel, um sie auf den nassen Zement zu platzieren und sicherzustellen, dass sie ordnungsgemäß miteinander ausgerichtet sind.")</f>
        <v>Er entfernt mehr Fliesen aus der Schachtel, um sie auf den nassen Zement zu platzieren und sicherzustellen, dass sie ordnungsgemäß miteinander ausgerichtet sind.</v>
      </c>
    </row>
    <row r="23954">
      <c r="A23954" s="4" t="s">
        <v>30135</v>
      </c>
      <c r="B23954" s="4" t="s">
        <v>30142</v>
      </c>
      <c r="C23954" s="5" t="str">
        <f>IFERROR(__xludf.DUMMYFUNCTION("GOOGLETRANSLATE(B23954,""en"",""de"")"),"Er platziert die Fliesen weiter, um alle Lücken zu füllen, bis der gesamte Raum vollständig mit den weißen Fliesen bedeckt ist.")</f>
        <v>Er platziert die Fliesen weiter, um alle Lücken zu füllen, bis der gesamte Raum vollständig mit den weißen Fliesen bedeckt ist.</v>
      </c>
    </row>
    <row r="23955">
      <c r="A23955" s="4" t="s">
        <v>30143</v>
      </c>
      <c r="B23955" s="4" t="s">
        <v>30144</v>
      </c>
      <c r="C23955" s="5" t="str">
        <f>IFERROR(__xludf.DUMMYFUNCTION("GOOGLETRANSLATE(B23955,""en"",""de"")"),"Ein Mann spielt eine Reihe von Taschenrohren an die Kamera, während er seine Hände auf und ab bewegt.")</f>
        <v>Ein Mann spielt eine Reihe von Taschenrohren an die Kamera, während er seine Hände auf und ab bewegt.</v>
      </c>
    </row>
    <row r="23956">
      <c r="A23956" s="4" t="s">
        <v>30143</v>
      </c>
      <c r="B23956" s="4" t="s">
        <v>30145</v>
      </c>
      <c r="C23956" s="5" t="str">
        <f>IFERROR(__xludf.DUMMYFUNCTION("GOOGLETRANSLATE(B23956,""en"",""de"")"),"Der Mann spielt weiterhin das Instrument im Raum und endet, indem er seine Hände runter bewegt.")</f>
        <v>Der Mann spielt weiterhin das Instrument im Raum und endet, indem er seine Hände runter bewegt.</v>
      </c>
    </row>
    <row r="23957">
      <c r="A23957" s="4" t="s">
        <v>30146</v>
      </c>
      <c r="B23957" s="4" t="s">
        <v>30147</v>
      </c>
      <c r="C23957" s="5" t="str">
        <f>IFERROR(__xludf.DUMMYFUNCTION("GOOGLETRANSLATE(B23957,""en"",""de"")"),"Ein Mann setzt sich mit einem Mikrofon, das an seinen Ohren befestigt ist, und beginnt, über die Congas vor ihm zu sprechen.")</f>
        <v>Ein Mann setzt sich mit einem Mikrofon, das an seinen Ohren befestigt ist, und beginnt, über die Congas vor ihm zu sprechen.</v>
      </c>
    </row>
    <row r="23958">
      <c r="A23958" s="4" t="s">
        <v>30146</v>
      </c>
      <c r="B23958" s="4" t="s">
        <v>30148</v>
      </c>
      <c r="C23958" s="5" t="str">
        <f>IFERROR(__xludf.DUMMYFUNCTION("GOOGLETRANSLATE(B23958,""en"",""de"")"),"Sobald er fertig ist, beginnt der Mann zu spielen und schlägt die Congas hin und her.")</f>
        <v>Sobald er fertig ist, beginnt der Mann zu spielen und schlägt die Congas hin und her.</v>
      </c>
    </row>
    <row r="23959">
      <c r="A23959" s="4" t="s">
        <v>30146</v>
      </c>
      <c r="B23959" s="4" t="s">
        <v>30149</v>
      </c>
      <c r="C23959" s="5" t="str">
        <f>IFERROR(__xludf.DUMMYFUNCTION("GOOGLETRANSLATE(B23959,""en"",""de"")"),"Zwischen seiner Leistung nimmt er Unterbrechungen und spricht, bevor er weiter spielt.")</f>
        <v>Zwischen seiner Leistung nimmt er Unterbrechungen und spricht, bevor er weiter spielt.</v>
      </c>
    </row>
    <row r="23960">
      <c r="A23960" s="4" t="s">
        <v>30146</v>
      </c>
      <c r="B23960" s="4" t="s">
        <v>30150</v>
      </c>
      <c r="C23960" s="5" t="str">
        <f>IFERROR(__xludf.DUMMYFUNCTION("GOOGLETRANSLATE(B23960,""en"",""de"")"),"Jetzt hat er Kopftelefone und beginnt, die Congas ohne Unterbrechungen direkt durchzuhalten.")</f>
        <v>Jetzt hat er Kopftelefone und beginnt, die Congas ohne Unterbrechungen direkt durchzuhalten.</v>
      </c>
    </row>
    <row r="23961">
      <c r="A23961" s="4" t="s">
        <v>30151</v>
      </c>
      <c r="B23961" s="4" t="s">
        <v>30152</v>
      </c>
      <c r="C23961" s="5" t="str">
        <f>IFERROR(__xludf.DUMMYFUNCTION("GOOGLETRANSLATE(B23961,""en"",""de"")"),"Ich Frau spricht mit der Kamera, während ich einen Ping -Pong -Ball hält und an einem Ping -Pong -Tisch steht, der mit Nahaufnahmen von kurzen Demonstrationen der Technik durchsetzt ist.")</f>
        <v>Ich Frau spricht mit der Kamera, während ich einen Ping -Pong -Ball hält und an einem Ping -Pong -Tisch steht, der mit Nahaufnahmen von kurzen Demonstrationen der Technik durchsetzt ist.</v>
      </c>
    </row>
    <row r="23962">
      <c r="A23962" s="4" t="s">
        <v>30151</v>
      </c>
      <c r="B23962" s="4" t="s">
        <v>30153</v>
      </c>
      <c r="C23962" s="5" t="str">
        <f>IFERROR(__xludf.DUMMYFUNCTION("GOOGLETRANSLATE(B23962,""en"",""de"")"),"Die Frau holt einen neuen Ball.")</f>
        <v>Die Frau holt einen neuen Ball.</v>
      </c>
    </row>
    <row r="23963">
      <c r="A23963" s="4" t="s">
        <v>30151</v>
      </c>
      <c r="B23963" s="4" t="s">
        <v>30154</v>
      </c>
      <c r="C23963" s="5" t="str">
        <f>IFERROR(__xludf.DUMMYFUNCTION("GOOGLETRANSLATE(B23963,""en"",""de"")"),"Die Frau ruft zwei Bälle zurück und wird dann von einem los.")</f>
        <v>Die Frau ruft zwei Bälle zurück und wird dann von einem los.</v>
      </c>
    </row>
    <row r="23964">
      <c r="A23964" s="4" t="s">
        <v>30151</v>
      </c>
      <c r="B23964" s="4" t="s">
        <v>30155</v>
      </c>
      <c r="C23964" s="5" t="str">
        <f>IFERROR(__xludf.DUMMYFUNCTION("GOOGLETRANSLATE(B23964,""en"",""de"")"),"Die Frau holt einen weiteren Ball.")</f>
        <v>Die Frau holt einen weiteren Ball.</v>
      </c>
    </row>
    <row r="23965">
      <c r="A23965" s="4" t="s">
        <v>30156</v>
      </c>
      <c r="B23965" s="4" t="s">
        <v>30157</v>
      </c>
      <c r="C23965" s="5" t="str">
        <f>IFERROR(__xludf.DUMMYFUNCTION("GOOGLETRANSLATE(B23965,""en"",""de"")"),"Kaffee wird auf den Teppich verschüttet.")</f>
        <v>Kaffee wird auf den Teppich verschüttet.</v>
      </c>
    </row>
    <row r="23966">
      <c r="A23966" s="4" t="s">
        <v>30156</v>
      </c>
      <c r="B23966" s="4" t="s">
        <v>30158</v>
      </c>
      <c r="C23966" s="5" t="str">
        <f>IFERROR(__xludf.DUMMYFUNCTION("GOOGLETRANSLATE(B23966,""en"",""de"")"),"Ein Person Teppich reinigt den Teppich.")</f>
        <v>Ein Person Teppich reinigt den Teppich.</v>
      </c>
    </row>
    <row r="23967">
      <c r="A23967" s="4" t="s">
        <v>30156</v>
      </c>
      <c r="B23967" s="4" t="s">
        <v>30159</v>
      </c>
      <c r="C23967" s="5" t="str">
        <f>IFERROR(__xludf.DUMMYFUNCTION("GOOGLETRANSLATE(B23967,""en"",""de"")"),"Sie reinigen dann die Sitze eines Autos.")</f>
        <v>Sie reinigen dann die Sitze eines Autos.</v>
      </c>
    </row>
    <row r="23968">
      <c r="A23968" s="4" t="s">
        <v>30156</v>
      </c>
      <c r="B23968" s="4" t="s">
        <v>30160</v>
      </c>
      <c r="C23968" s="5" t="str">
        <f>IFERROR(__xludf.DUMMYFUNCTION("GOOGLETRANSLATE(B23968,""en"",""de"")"),"Sie leeren das Wasser in die Spüle.")</f>
        <v>Sie leeren das Wasser in die Spüle.</v>
      </c>
    </row>
    <row r="23969">
      <c r="A23969" s="4" t="s">
        <v>30156</v>
      </c>
      <c r="B23969" s="4" t="s">
        <v>30161</v>
      </c>
      <c r="C23969" s="5" t="str">
        <f>IFERROR(__xludf.DUMMYFUNCTION("GOOGLETRANSLATE(B23969,""en"",""de"")"),"Sie leeren den Eimer in einen anderen Eimer.")</f>
        <v>Sie leeren den Eimer in einen anderen Eimer.</v>
      </c>
    </row>
    <row r="23970">
      <c r="A23970" s="4" t="s">
        <v>30156</v>
      </c>
      <c r="B23970" s="4" t="s">
        <v>30162</v>
      </c>
      <c r="C23970" s="5" t="str">
        <f>IFERROR(__xludf.DUMMYFUNCTION("GOOGLETRANSLATE(B23970,""en"",""de"")"),"Sie streifen vom Teppich ab.")</f>
        <v>Sie streifen vom Teppich ab.</v>
      </c>
    </row>
    <row r="23971">
      <c r="A23971" s="4" t="s">
        <v>30163</v>
      </c>
      <c r="B23971" s="4" t="s">
        <v>30164</v>
      </c>
      <c r="C23971" s="5" t="str">
        <f>IFERROR(__xludf.DUMMYFUNCTION("GOOGLETRANSLATE(B23971,""en"",""de"")"),"Ein Mann schnappt sich einen Koffer aus einem Auto.")</f>
        <v>Ein Mann schnappt sich einen Koffer aus einem Auto.</v>
      </c>
    </row>
    <row r="23972">
      <c r="A23972" s="4" t="s">
        <v>30163</v>
      </c>
      <c r="B23972" s="4" t="s">
        <v>30165</v>
      </c>
      <c r="C23972" s="5" t="str">
        <f>IFERROR(__xludf.DUMMYFUNCTION("GOOGLETRANSLATE(B23972,""en"",""de"")"),"Er legt sich in einen Friseurstuhl.")</f>
        <v>Er legt sich in einen Friseurstuhl.</v>
      </c>
    </row>
    <row r="23973">
      <c r="A23973" s="4" t="s">
        <v>30163</v>
      </c>
      <c r="B23973" s="4" t="s">
        <v>30166</v>
      </c>
      <c r="C23973" s="5" t="str">
        <f>IFERROR(__xludf.DUMMYFUNCTION("GOOGLETRANSLATE(B23973,""en"",""de"")"),"Ein Mann rasiert seinen Bart mit einem Rasiermesser.")</f>
        <v>Ein Mann rasiert seinen Bart mit einem Rasiermesser.</v>
      </c>
    </row>
    <row r="23974">
      <c r="A23974" s="4" t="s">
        <v>30163</v>
      </c>
      <c r="B23974" s="4" t="s">
        <v>30167</v>
      </c>
      <c r="C23974" s="5" t="str">
        <f>IFERROR(__xludf.DUMMYFUNCTION("GOOGLETRANSLATE(B23974,""en"",""de"")"),"Er wickelt ein Handtuch um sein Gesicht.")</f>
        <v>Er wickelt ein Handtuch um sein Gesicht.</v>
      </c>
    </row>
    <row r="23975">
      <c r="A23975" s="4" t="s">
        <v>30168</v>
      </c>
      <c r="B23975" s="4" t="s">
        <v>30169</v>
      </c>
      <c r="C23975" s="5" t="str">
        <f>IFERROR(__xludf.DUMMYFUNCTION("GOOGLETRANSLATE(B23975,""en"",""de"")"),"Ein junger Mann hilft einer jungen Frau, bei einem Fußball -Pinata zu schwingen.")</f>
        <v>Ein junger Mann hilft einer jungen Frau, bei einem Fußball -Pinata zu schwingen.</v>
      </c>
    </row>
    <row r="23976">
      <c r="A23976" s="4" t="s">
        <v>30168</v>
      </c>
      <c r="B23976" s="4" t="s">
        <v>30170</v>
      </c>
      <c r="C23976" s="5" t="str">
        <f>IFERROR(__xludf.DUMMYFUNCTION("GOOGLETRANSLATE(B23976,""en"",""de"")"),"Sie befinden sich auf einem Green -Feld im Freien in einer Schule oder einem Gemeindezentrum.")</f>
        <v>Sie befinden sich auf einem Green -Feld im Freien in einer Schule oder einem Gemeindezentrum.</v>
      </c>
    </row>
    <row r="23977">
      <c r="A23977" s="4" t="s">
        <v>30168</v>
      </c>
      <c r="B23977" s="4" t="s">
        <v>30171</v>
      </c>
      <c r="C23977" s="5" t="str">
        <f>IFERROR(__xludf.DUMMYFUNCTION("GOOGLETRANSLATE(B23977,""en"",""de"")"),"Sie vermisst immer wieder die Pinata, während ihre Freunde versuchen, ihr zu helfen.")</f>
        <v>Sie vermisst immer wieder die Pinata, während ihre Freunde versuchen, ihr zu helfen.</v>
      </c>
    </row>
    <row r="23978">
      <c r="A23978" s="4" t="s">
        <v>30168</v>
      </c>
      <c r="B23978" s="4" t="s">
        <v>30172</v>
      </c>
      <c r="C23978" s="5" t="str">
        <f>IFERROR(__xludf.DUMMYFUNCTION("GOOGLETRANSLATE(B23978,""en"",""de"")"),"Ein Erwachsener kontrolliert die Pinata, die versucht, sie davon abzuhalten, sie zu treffen.")</f>
        <v>Ein Erwachsener kontrolliert die Pinata, die versucht, sie davon abzuhalten, sie zu treffen.</v>
      </c>
    </row>
    <row r="23979">
      <c r="A23979" s="4" t="s">
        <v>30168</v>
      </c>
      <c r="B23979" s="4" t="s">
        <v>30173</v>
      </c>
      <c r="C23979" s="5" t="str">
        <f>IFERROR(__xludf.DUMMYFUNCTION("GOOGLETRANSLATE(B23979,""en"",""de"")"),"Sie findet schließlich, wo es im Allgemeinen ist, während ihre Freunde sie lachen und weiterhin versuchen zu helfen.")</f>
        <v>Sie findet schließlich, wo es im Allgemeinen ist, während ihre Freunde sie lachen und weiterhin versuchen zu helfen.</v>
      </c>
    </row>
    <row r="23980">
      <c r="A23980" s="4" t="s">
        <v>30168</v>
      </c>
      <c r="B23980" s="4" t="s">
        <v>30174</v>
      </c>
      <c r="C23980" s="5" t="str">
        <f>IFERROR(__xludf.DUMMYFUNCTION("GOOGLETRANSLATE(B23980,""en"",""de"")"),"Sie wird von der Pinata getroffen und ist erfolglos.")</f>
        <v>Sie wird von der Pinata getroffen und ist erfolglos.</v>
      </c>
    </row>
    <row r="23981">
      <c r="A23981" s="4" t="s">
        <v>30175</v>
      </c>
      <c r="B23981" s="4" t="s">
        <v>30176</v>
      </c>
      <c r="C23981" s="5" t="str">
        <f>IFERROR(__xludf.DUMMYFUNCTION("GOOGLETRANSLATE(B23981,""en"",""de"")"),"Ein paar Männer sind im Wald und spielen Paintball.")</f>
        <v>Ein paar Männer sind im Wald und spielen Paintball.</v>
      </c>
    </row>
    <row r="23982">
      <c r="A23982" s="4" t="s">
        <v>30175</v>
      </c>
      <c r="B23982" s="4" t="s">
        <v>30177</v>
      </c>
      <c r="C23982" s="5" t="str">
        <f>IFERROR(__xludf.DUMMYFUNCTION("GOOGLETRANSLATE(B23982,""en"",""de"")"),"Sie suchen nach dem anderen, um zu versuchen, sie auszuschießen, während sie in der Nähe ihrer Teamkollegen bleiben.")</f>
        <v>Sie suchen nach dem anderen, um zu versuchen, sie auszuschießen, während sie in der Nähe ihrer Teamkollegen bleiben.</v>
      </c>
    </row>
    <row r="23983">
      <c r="A23983" s="4" t="s">
        <v>30175</v>
      </c>
      <c r="B23983" s="4" t="s">
        <v>30178</v>
      </c>
      <c r="C23983" s="5" t="str">
        <f>IFERROR(__xludf.DUMMYFUNCTION("GOOGLETRANSLATE(B23983,""en"",""de"")"),"Einer der Männer überprüft seine Waffe und stellt seine IT neu ein und bewegt sich dann weiter vorwärts.")</f>
        <v>Einer der Männer überprüft seine Waffe und stellt seine IT neu ein und bewegt sich dann weiter vorwärts.</v>
      </c>
    </row>
    <row r="23984">
      <c r="A23984" s="4" t="s">
        <v>30175</v>
      </c>
      <c r="B23984" s="4" t="s">
        <v>30179</v>
      </c>
      <c r="C23984" s="5" t="str">
        <f>IFERROR(__xludf.DUMMYFUNCTION("GOOGLETRANSLATE(B23984,""en"",""de"")"),"Er zieht mit, um das Spiel weiter zu spielen.")</f>
        <v>Er zieht mit, um das Spiel weiter zu spielen.</v>
      </c>
    </row>
    <row r="23985">
      <c r="A23985" s="4" t="s">
        <v>30180</v>
      </c>
      <c r="B23985" s="4" t="s">
        <v>30181</v>
      </c>
      <c r="C23985" s="5" t="str">
        <f>IFERROR(__xludf.DUMMYFUNCTION("GOOGLETRANSLATE(B23985,""en"",""de"")"),"Ein Mann steht auf einem Innenplatz mit seinem Schläger in der rechten Hand den Schlägerball in der linken Hand und spricht und zeigt viel an.")</f>
        <v>Ein Mann steht auf einem Innenplatz mit seinem Schläger in der rechten Hand den Schlägerball in der linken Hand und spricht und zeigt viel an.</v>
      </c>
    </row>
    <row r="23986">
      <c r="A23986" s="4" t="s">
        <v>30180</v>
      </c>
      <c r="B23986" s="4" t="s">
        <v>30182</v>
      </c>
      <c r="C23986" s="5" t="str">
        <f>IFERROR(__xludf.DUMMYFUNCTION("GOOGLETRANSLATE(B23986,""en"",""de"")"),"Der Mann lässt dann den Ball auf den Platz fallen, schlägt ihn und fängt ihn dann an, wenn er zu ihm zurückkehrt.")</f>
        <v>Der Mann lässt dann den Ball auf den Platz fallen, schlägt ihn und fängt ihn dann an, wenn er zu ihm zurückkehrt.</v>
      </c>
    </row>
    <row r="23987">
      <c r="A23987" s="4" t="s">
        <v>30180</v>
      </c>
      <c r="B23987" s="4" t="s">
        <v>30183</v>
      </c>
      <c r="C23987" s="5" t="str">
        <f>IFERROR(__xludf.DUMMYFUNCTION("GOOGLETRANSLATE(B23987,""en"",""de"")"),"Der Mann redet weiter, als er den Ball und den Schläger in seinen Händen hält und der Bildschirm schwarz ist.")</f>
        <v>Der Mann redet weiter, als er den Ball und den Schläger in seinen Händen hält und der Bildschirm schwarz ist.</v>
      </c>
    </row>
    <row r="23988">
      <c r="A23988" s="4" t="s">
        <v>30184</v>
      </c>
      <c r="B23988" s="4" t="s">
        <v>30185</v>
      </c>
      <c r="C23988" s="5" t="str">
        <f>IFERROR(__xludf.DUMMYFUNCTION("GOOGLETRANSLATE(B23988,""en"",""de"")"),"Ein Mann schaut nach unten und redet in die Kamera.")</f>
        <v>Ein Mann schaut nach unten und redet in die Kamera.</v>
      </c>
    </row>
    <row r="23989">
      <c r="A23989" s="4" t="s">
        <v>30184</v>
      </c>
      <c r="B23989" s="4" t="s">
        <v>30186</v>
      </c>
      <c r="C23989" s="5" t="str">
        <f>IFERROR(__xludf.DUMMYFUNCTION("GOOGLETRANSLATE(B23989,""en"",""de"")"),"Der Mann entfernt seine Brille und zeigt uns, wie man Kontaktlinsen einfügt.")</f>
        <v>Der Mann entfernt seine Brille und zeigt uns, wie man Kontaktlinsen einfügt.</v>
      </c>
    </row>
    <row r="23990">
      <c r="A23990" s="4" t="s">
        <v>30184</v>
      </c>
      <c r="B23990" s="4" t="s">
        <v>30187</v>
      </c>
      <c r="C23990" s="5" t="str">
        <f>IFERROR(__xludf.DUMMYFUNCTION("GOOGLETRANSLATE(B23990,""en"",""de"")"),"Der Mann zeigt das Kontaktobjektiv an der Kamera.")</f>
        <v>Der Mann zeigt das Kontaktobjektiv an der Kamera.</v>
      </c>
    </row>
    <row r="23991">
      <c r="A23991" s="4" t="s">
        <v>30184</v>
      </c>
      <c r="B23991" s="4" t="s">
        <v>30188</v>
      </c>
      <c r="C23991" s="5" t="str">
        <f>IFERROR(__xludf.DUMMYFUNCTION("GOOGLETRANSLATE(B23991,""en"",""de"")"),"Der Mann setzt den Kontakt ein und bewegt sein Auge.")</f>
        <v>Der Mann setzt den Kontakt ein und bewegt sein Auge.</v>
      </c>
    </row>
    <row r="23992">
      <c r="A23992" s="4" t="s">
        <v>30184</v>
      </c>
      <c r="B23992" s="4" t="s">
        <v>30189</v>
      </c>
      <c r="C23992" s="5" t="str">
        <f>IFERROR(__xludf.DUMMYFUNCTION("GOOGLETRANSLATE(B23992,""en"",""de"")"),"Der Mann zeigt seinen anderen Kontakt.")</f>
        <v>Der Mann zeigt seinen anderen Kontakt.</v>
      </c>
    </row>
    <row r="23993">
      <c r="A23993" s="4" t="s">
        <v>30184</v>
      </c>
      <c r="B23993" s="4" t="s">
        <v>30190</v>
      </c>
      <c r="C23993" s="5" t="str">
        <f>IFERROR(__xludf.DUMMYFUNCTION("GOOGLETRANSLATE(B23993,""en"",""de"")"),"Der Mann fügt den Kontakt rechts ein und bewegt sein Auge.")</f>
        <v>Der Mann fügt den Kontakt rechts ein und bewegt sein Auge.</v>
      </c>
    </row>
    <row r="23994">
      <c r="A23994" s="4" t="s">
        <v>30191</v>
      </c>
      <c r="B23994" s="4" t="s">
        <v>30192</v>
      </c>
      <c r="C23994" s="5" t="str">
        <f>IFERROR(__xludf.DUMMYFUNCTION("GOOGLETRANSLATE(B23994,""en"",""de"")"),"Ein Mann schaufelt im Winter Schnee.")</f>
        <v>Ein Mann schaufelt im Winter Schnee.</v>
      </c>
    </row>
    <row r="23995">
      <c r="A23995" s="4" t="s">
        <v>30191</v>
      </c>
      <c r="B23995" s="4" t="s">
        <v>30193</v>
      </c>
      <c r="C23995" s="5" t="str">
        <f>IFERROR(__xludf.DUMMYFUNCTION("GOOGLETRANSLATE(B23995,""en"",""de"")"),"Ein Zeitrafferfoto wird gemacht und ein Weg wird gelöscht, damit ein Auto herausfahren kann.")</f>
        <v>Ein Zeitrafferfoto wird gemacht und ein Weg wird gelöscht, damit ein Auto herausfahren kann.</v>
      </c>
    </row>
    <row r="23996">
      <c r="A23996" s="4" t="s">
        <v>30194</v>
      </c>
      <c r="B23996" s="4" t="s">
        <v>30195</v>
      </c>
      <c r="C23996" s="5" t="str">
        <f>IFERROR(__xludf.DUMMYFUNCTION("GOOGLETRANSLATE(B23996,""en"",""de"")"),"Zwei Männer sind in einem Wrestling -Ring auf einer Leiter, ein Mann biegt sich auf der Leiter.")</f>
        <v>Zwei Männer sind in einem Wrestling -Ring auf einer Leiter, ein Mann biegt sich auf der Leiter.</v>
      </c>
    </row>
    <row r="23997">
      <c r="A23997" s="4" t="s">
        <v>30194</v>
      </c>
      <c r="B23997" s="4" t="s">
        <v>30196</v>
      </c>
      <c r="C23997" s="5" t="str">
        <f>IFERROR(__xludf.DUMMYFUNCTION("GOOGLETRANSLATE(B23997,""en"",""de"")"),"Dann springt der Wrestler über den Mann, und der Mann und der Wrestler fallen in den Ring.")</f>
        <v>Dann springt der Wrestler über den Mann, und der Mann und der Wrestler fallen in den Ring.</v>
      </c>
    </row>
    <row r="23998">
      <c r="A23998" s="4" t="s">
        <v>30194</v>
      </c>
      <c r="B23998" s="4" t="s">
        <v>30197</v>
      </c>
      <c r="C23998" s="5" t="str">
        <f>IFERROR(__xludf.DUMMYFUNCTION("GOOGLETRANSLATE(B23998,""en"",""de"")"),"Der Richter beobachtet die Männer.")</f>
        <v>Der Richter beobachtet die Männer.</v>
      </c>
    </row>
    <row r="23999">
      <c r="A23999" s="4" t="s">
        <v>30198</v>
      </c>
      <c r="B23999" s="4" t="s">
        <v>30199</v>
      </c>
      <c r="C23999" s="5" t="str">
        <f>IFERROR(__xludf.DUMMYFUNCTION("GOOGLETRANSLATE(B23999,""en"",""de"")"),"Ein Kind nimmt einen Getränk und wischt es im Mund herum.")</f>
        <v>Ein Kind nimmt einen Getränk und wischt es im Mund herum.</v>
      </c>
    </row>
    <row r="24000">
      <c r="A24000" s="4" t="s">
        <v>30198</v>
      </c>
      <c r="B24000" s="4" t="s">
        <v>30200</v>
      </c>
      <c r="C24000" s="5" t="str">
        <f>IFERROR(__xludf.DUMMYFUNCTION("GOOGLETRANSLATE(B24000,""en"",""de"")"),"Sie spucken es in ein Waschbecken aus.")</f>
        <v>Sie spucken es in ein Waschbecken aus.</v>
      </c>
    </row>
    <row r="24001">
      <c r="A24001" s="4" t="s">
        <v>30198</v>
      </c>
      <c r="B24001" s="4" t="s">
        <v>30201</v>
      </c>
      <c r="C24001" s="5" t="str">
        <f>IFERROR(__xludf.DUMMYFUNCTION("GOOGLETRANSLATE(B24001,""en"",""de"")"),"Sie nehmen ein weiteres Getränk aus einer Tasse.")</f>
        <v>Sie nehmen ein weiteres Getränk aus einer Tasse.</v>
      </c>
    </row>
    <row r="24002">
      <c r="A24002" s="4" t="s">
        <v>30198</v>
      </c>
      <c r="B24002" s="4" t="s">
        <v>30202</v>
      </c>
      <c r="C24002" s="5" t="str">
        <f>IFERROR(__xludf.DUMMYFUNCTION("GOOGLETRANSLATE(B24002,""en"",""de"")"),"Sie legten ihren Mund auf ein Handtuch.")</f>
        <v>Sie legten ihren Mund auf ein Handtuch.</v>
      </c>
    </row>
    <row r="24003">
      <c r="A24003" s="4" t="s">
        <v>30198</v>
      </c>
      <c r="B24003" s="4" t="s">
        <v>30203</v>
      </c>
      <c r="C24003" s="5" t="str">
        <f>IFERROR(__xludf.DUMMYFUNCTION("GOOGLETRANSLATE(B24003,""en"",""de"")"),"Sie nehmen ein weiteres Getränk und werfen es in die Spüle.")</f>
        <v>Sie nehmen ein weiteres Getränk und werfen es in die Spüle.</v>
      </c>
    </row>
    <row r="24004">
      <c r="A24004" s="4" t="s">
        <v>30198</v>
      </c>
      <c r="B24004" s="4" t="s">
        <v>30204</v>
      </c>
      <c r="C24004" s="5" t="str">
        <f>IFERROR(__xludf.DUMMYFUNCTION("GOOGLETRANSLATE(B24004,""en"",""de"")"),"Sie nehmen das Handtuch auf und wischen ihr Gesicht ab.")</f>
        <v>Sie nehmen das Handtuch auf und wischen ihr Gesicht ab.</v>
      </c>
    </row>
    <row r="24005">
      <c r="A24005" s="4" t="s">
        <v>30198</v>
      </c>
      <c r="B24005" s="4" t="s">
        <v>30205</v>
      </c>
      <c r="C24005" s="5" t="str">
        <f>IFERROR(__xludf.DUMMYFUNCTION("GOOGLETRANSLATE(B24005,""en"",""de"")"),"Sie schnappen sich eine Tasse und drehen das Waschbecken ein.")</f>
        <v>Sie schnappen sich eine Tasse und drehen das Waschbecken ein.</v>
      </c>
    </row>
    <row r="24006">
      <c r="A24006" s="4" t="s">
        <v>30206</v>
      </c>
      <c r="B24006" s="4" t="s">
        <v>30207</v>
      </c>
      <c r="C24006" s="5" t="str">
        <f>IFERROR(__xludf.DUMMYFUNCTION("GOOGLETRANSLATE(B24006,""en"",""de"")"),"Ein Lacrosse -Team spielt ein Spiel.")</f>
        <v>Ein Lacrosse -Team spielt ein Spiel.</v>
      </c>
    </row>
    <row r="24007">
      <c r="A24007" s="4" t="s">
        <v>30206</v>
      </c>
      <c r="B24007" s="4" t="s">
        <v>30208</v>
      </c>
      <c r="C24007" s="5" t="str">
        <f>IFERROR(__xludf.DUMMYFUNCTION("GOOGLETRANSLATE(B24007,""en"",""de"")"),"Andere Highlights werden gezeigt.")</f>
        <v>Andere Highlights werden gezeigt.</v>
      </c>
    </row>
    <row r="24008">
      <c r="A24008" s="4" t="s">
        <v>30209</v>
      </c>
      <c r="B24008" s="4" t="s">
        <v>30210</v>
      </c>
      <c r="C24008" s="5" t="str">
        <f>IFERROR(__xludf.DUMMYFUNCTION("GOOGLETRANSLATE(B24008,""en"",""de"")"),"Ein Junge steht in einer Küche mit zwei Brotstücken.")</f>
        <v>Ein Junge steht in einer Küche mit zwei Brotstücken.</v>
      </c>
    </row>
    <row r="24009">
      <c r="A24009" s="4" t="s">
        <v>30209</v>
      </c>
      <c r="B24009" s="4" t="s">
        <v>30211</v>
      </c>
      <c r="C24009" s="5" t="str">
        <f>IFERROR(__xludf.DUMMYFUNCTION("GOOGLETRANSLATE(B24009,""en"",""de"")"),"Er öffnet den Kühlschrank und nimmt Sandwichzutaten heraus.")</f>
        <v>Er öffnet den Kühlschrank und nimmt Sandwichzutaten heraus.</v>
      </c>
    </row>
    <row r="24010">
      <c r="A24010" s="4" t="s">
        <v>30209</v>
      </c>
      <c r="B24010" s="4" t="s">
        <v>30212</v>
      </c>
      <c r="C24010" s="5" t="str">
        <f>IFERROR(__xludf.DUMMYFUNCTION("GOOGLETRANSLATE(B24010,""en"",""de"")"),"Er spritzt Senf und Mayo auf das Sandwich.")</f>
        <v>Er spritzt Senf und Mayo auf das Sandwich.</v>
      </c>
    </row>
    <row r="24011">
      <c r="A24011" s="4" t="s">
        <v>30209</v>
      </c>
      <c r="B24011" s="4" t="s">
        <v>30213</v>
      </c>
      <c r="C24011" s="5" t="str">
        <f>IFERROR(__xludf.DUMMYFUNCTION("GOOGLETRANSLATE(B24011,""en"",""de"")"),"Dann fügt er Fleisch und Käse hinzu.")</f>
        <v>Dann fügt er Fleisch und Käse hinzu.</v>
      </c>
    </row>
    <row r="24012">
      <c r="A24012" s="4" t="s">
        <v>30209</v>
      </c>
      <c r="B24012" s="4" t="s">
        <v>30214</v>
      </c>
      <c r="C24012" s="5" t="str">
        <f>IFERROR(__xludf.DUMMYFUNCTION("GOOGLETRANSLATE(B24012,""en"",""de"")"),"Danach legt er die Zutaten wieder in den Kühlschrank und nimmt auf das Sandwich auf der Theke ein.")</f>
        <v>Danach legt er die Zutaten wieder in den Kühlschrank und nimmt auf das Sandwich auf der Theke ein.</v>
      </c>
    </row>
    <row r="24013">
      <c r="A24013" s="4" t="s">
        <v>30215</v>
      </c>
      <c r="B24013" s="4" t="s">
        <v>30216</v>
      </c>
      <c r="C24013" s="5" t="str">
        <f>IFERROR(__xludf.DUMMYFUNCTION("GOOGLETRANSLATE(B24013,""en"",""de"")"),"Wir sehen einen Mann mit einem Krocket Mallet reden.")</f>
        <v>Wir sehen einen Mann mit einem Krocket Mallet reden.</v>
      </c>
    </row>
    <row r="24014">
      <c r="A24014" s="4" t="s">
        <v>30215</v>
      </c>
      <c r="B24014" s="4" t="s">
        <v>30217</v>
      </c>
      <c r="C24014" s="5" t="str">
        <f>IFERROR(__xludf.DUMMYFUNCTION("GOOGLETRANSLATE(B24014,""en"",""de"")"),"Der Mann richtet seinen Schuss des roten Balls auf.")</f>
        <v>Der Mann richtet seinen Schuss des roten Balls auf.</v>
      </c>
    </row>
    <row r="24015">
      <c r="A24015" s="4" t="s">
        <v>30215</v>
      </c>
      <c r="B24015" s="4" t="s">
        <v>30218</v>
      </c>
      <c r="C24015" s="5" t="str">
        <f>IFERROR(__xludf.DUMMYFUNCTION("GOOGLETRANSLATE(B24015,""en"",""de"")"),"Der Mann schlägt den roten Ball.")</f>
        <v>Der Mann schlägt den roten Ball.</v>
      </c>
    </row>
    <row r="24016">
      <c r="A24016" s="4" t="s">
        <v>30215</v>
      </c>
      <c r="B24016" s="4" t="s">
        <v>30219</v>
      </c>
      <c r="C24016" s="5" t="str">
        <f>IFERROR(__xludf.DUMMYFUNCTION("GOOGLETRANSLATE(B24016,""en"",""de"")"),"Der Mann zeigt auf den blauen Ball die Kniet im Gras.")</f>
        <v>Der Mann zeigt auf den blauen Ball die Kniet im Gras.</v>
      </c>
    </row>
    <row r="24017">
      <c r="A24017" s="4" t="s">
        <v>30220</v>
      </c>
      <c r="B24017" s="4" t="s">
        <v>30221</v>
      </c>
      <c r="C24017" s="5" t="str">
        <f>IFERROR(__xludf.DUMMYFUNCTION("GOOGLETRANSLATE(B24017,""en"",""de"")"),"Eine Gruppe von Freunden spielt Shuffle Board auf einem Innenplatz.")</f>
        <v>Eine Gruppe von Freunden spielt Shuffle Board auf einem Innenplatz.</v>
      </c>
    </row>
    <row r="24018">
      <c r="A24018" s="4" t="s">
        <v>30220</v>
      </c>
      <c r="B24018" s="4" t="s">
        <v>30222</v>
      </c>
      <c r="C24018" s="5" t="str">
        <f>IFERROR(__xludf.DUMMYFUNCTION("GOOGLETRANSLATE(B24018,""en"",""de"")"),"Die Gruppe wechselt abwechselnd Pucks auf den Shuffleboard -Platz.")</f>
        <v>Die Gruppe wechselt abwechselnd Pucks auf den Shuffleboard -Platz.</v>
      </c>
    </row>
    <row r="24019">
      <c r="A24019" s="4" t="s">
        <v>30223</v>
      </c>
      <c r="B24019" s="4" t="s">
        <v>30224</v>
      </c>
      <c r="C24019" s="5" t="str">
        <f>IFERROR(__xludf.DUMMYFUNCTION("GOOGLETRANSLATE(B24019,""en"",""de"")"),"Die Leute reden in einem Raum.")</f>
        <v>Die Leute reden in einem Raum.</v>
      </c>
    </row>
    <row r="24020">
      <c r="A24020" s="4" t="s">
        <v>30223</v>
      </c>
      <c r="B24020" s="4" t="s">
        <v>30225</v>
      </c>
      <c r="C24020" s="5" t="str">
        <f>IFERROR(__xludf.DUMMYFUNCTION("GOOGLETRANSLATE(B24020,""en"",""de"")"),"Die Leute spielen Blackjack in einem überfüllten Casino.")</f>
        <v>Die Leute spielen Blackjack in einem überfüllten Casino.</v>
      </c>
    </row>
    <row r="24021">
      <c r="A24021" s="4" t="s">
        <v>30223</v>
      </c>
      <c r="B24021" s="4" t="s">
        <v>30226</v>
      </c>
      <c r="C24021" s="5" t="str">
        <f>IFERROR(__xludf.DUMMYFUNCTION("GOOGLETRANSLATE(B24021,""en"",""de"")"),"Ein Mann klatscht in die Hände und unterschreibt ein Papier.")</f>
        <v>Ein Mann klatscht in die Hände und unterschreibt ein Papier.</v>
      </c>
    </row>
    <row r="24022">
      <c r="A24022" s="4" t="s">
        <v>30223</v>
      </c>
      <c r="B24022" s="4" t="s">
        <v>30227</v>
      </c>
      <c r="C24022" s="5" t="str">
        <f>IFERROR(__xludf.DUMMYFUNCTION("GOOGLETRANSLATE(B24022,""en"",""de"")"),"Die Leute spielen weiterhin Blackjack.")</f>
        <v>Die Leute spielen weiterhin Blackjack.</v>
      </c>
    </row>
    <row r="24023">
      <c r="A24023" s="4" t="s">
        <v>30228</v>
      </c>
      <c r="B24023" s="4" t="s">
        <v>30229</v>
      </c>
      <c r="C24023" s="5" t="str">
        <f>IFERROR(__xludf.DUMMYFUNCTION("GOOGLETRANSLATE(B24023,""en"",""de"")"),"Eine Frau betritt einen teilweise verwickelten Bereich.")</f>
        <v>Eine Frau betritt einen teilweise verwickelten Bereich.</v>
      </c>
    </row>
    <row r="24024">
      <c r="A24024" s="4" t="s">
        <v>30228</v>
      </c>
      <c r="B24024" s="4" t="s">
        <v>30230</v>
      </c>
      <c r="C24024" s="5" t="str">
        <f>IFERROR(__xludf.DUMMYFUNCTION("GOOGLETRANSLATE(B24024,""en"",""de"")"),"Die Frau bereitet sich auf den Hammerwurf vor.")</f>
        <v>Die Frau bereitet sich auf den Hammerwurf vor.</v>
      </c>
    </row>
    <row r="24025">
      <c r="A24025" s="4" t="s">
        <v>30228</v>
      </c>
      <c r="B24025" s="4" t="s">
        <v>30231</v>
      </c>
      <c r="C24025" s="5" t="str">
        <f>IFERROR(__xludf.DUMMYFUNCTION("GOOGLETRANSLATE(B24025,""en"",""de"")"),"Die Frau führt den Hammerwurf aus.")</f>
        <v>Die Frau führt den Hammerwurf aus.</v>
      </c>
    </row>
    <row r="24026">
      <c r="A24026" s="4" t="s">
        <v>30228</v>
      </c>
      <c r="B24026" s="4" t="s">
        <v>30232</v>
      </c>
      <c r="C24026" s="5" t="str">
        <f>IFERROR(__xludf.DUMMYFUNCTION("GOOGLETRANSLATE(B24026,""en"",""de"")"),"Der Hammer landet mit Richtern auf ihn zu.")</f>
        <v>Der Hammer landet mit Richtern auf ihn zu.</v>
      </c>
    </row>
    <row r="24027">
      <c r="A24027" s="4" t="s">
        <v>30228</v>
      </c>
      <c r="B24027" s="4" t="s">
        <v>30233</v>
      </c>
      <c r="C24027" s="5" t="str">
        <f>IFERROR(__xludf.DUMMYFUNCTION("GOOGLETRANSLATE(B24027,""en"",""de"")"),"Die Frau hebt ihren Arm.")</f>
        <v>Die Frau hebt ihren Arm.</v>
      </c>
    </row>
    <row r="24028">
      <c r="A24028" s="4" t="s">
        <v>30228</v>
      </c>
      <c r="B24028" s="4" t="s">
        <v>30234</v>
      </c>
      <c r="C24028" s="5" t="str">
        <f>IFERROR(__xludf.DUMMYFUNCTION("GOOGLETRANSLATE(B24028,""en"",""de"")"),"Die Frau geht aus dem Netz.")</f>
        <v>Die Frau geht aus dem Netz.</v>
      </c>
    </row>
    <row r="24029">
      <c r="A24029" s="4" t="s">
        <v>30228</v>
      </c>
      <c r="B24029" s="4" t="s">
        <v>30235</v>
      </c>
      <c r="C24029" s="5" t="str">
        <f>IFERROR(__xludf.DUMMYFUNCTION("GOOGLETRANSLATE(B24029,""en"",""de"")"),"Die Frau hebt ihren Arm wieder.")</f>
        <v>Die Frau hebt ihren Arm wieder.</v>
      </c>
    </row>
    <row r="24030">
      <c r="A24030" s="4" t="s">
        <v>30236</v>
      </c>
      <c r="B24030" s="4" t="s">
        <v>30237</v>
      </c>
      <c r="C24030" s="5" t="str">
        <f>IFERROR(__xludf.DUMMYFUNCTION("GOOGLETRANSLATE(B24030,""en"",""de"")"),"Zwei Leute spielen mit einer Frau dahinter Foosball.")</f>
        <v>Zwei Leute spielen mit einer Frau dahinter Foosball.</v>
      </c>
    </row>
    <row r="24031">
      <c r="A24031" s="4" t="s">
        <v>30236</v>
      </c>
      <c r="B24031" s="4" t="s">
        <v>30238</v>
      </c>
      <c r="C24031" s="5" t="str">
        <f>IFERROR(__xludf.DUMMYFUNCTION("GOOGLETRANSLATE(B24031,""en"",""de"")"),"Eine Person punktet und klatscht.")</f>
        <v>Eine Person punktet und klatscht.</v>
      </c>
    </row>
    <row r="24032">
      <c r="A24032" s="4" t="s">
        <v>30239</v>
      </c>
      <c r="B24032" s="4" t="s">
        <v>30240</v>
      </c>
      <c r="C24032" s="5" t="str">
        <f>IFERROR(__xludf.DUMMYFUNCTION("GOOGLETRANSLATE(B24032,""en"",""de"")"),"Ein Junge schwingt im Freien auf einer Schaukel.")</f>
        <v>Ein Junge schwingt im Freien auf einer Schaukel.</v>
      </c>
    </row>
    <row r="24033">
      <c r="A24033" s="4" t="s">
        <v>30239</v>
      </c>
      <c r="B24033" s="4" t="s">
        <v>30241</v>
      </c>
      <c r="C24033" s="5" t="str">
        <f>IFERROR(__xludf.DUMMYFUNCTION("GOOGLETRANSLATE(B24033,""en"",""de"")"),"Er schwingt so hoch wie möglich mit seinen Beinen.")</f>
        <v>Er schwingt so hoch wie möglich mit seinen Beinen.</v>
      </c>
    </row>
    <row r="24034">
      <c r="A24034" s="4" t="s">
        <v>30242</v>
      </c>
      <c r="B24034" s="4" t="s">
        <v>30243</v>
      </c>
      <c r="C24034" s="5" t="str">
        <f>IFERROR(__xludf.DUMMYFUNCTION("GOOGLETRANSLATE(B24034,""en"",""de"")"),"Eine Frau sitzt auf einer Couch mit einem Hut und führt in sie die Krallen der Katze.")</f>
        <v>Eine Frau sitzt auf einer Couch mit einem Hut und führt in sie die Krallen der Katze.</v>
      </c>
    </row>
    <row r="24035">
      <c r="A24035" s="4" t="s">
        <v>30242</v>
      </c>
      <c r="B24035" s="4" t="s">
        <v>30244</v>
      </c>
      <c r="C24035" s="5" t="str">
        <f>IFERROR(__xludf.DUMMYFUNCTION("GOOGLETRANSLATE(B24035,""en"",""de"")"),"Sie hält dann ein Stück Papier hoch, als die Katze wegläuft und sie auf das Papier zeigt.")</f>
        <v>Sie hält dann ein Stück Papier hoch, als die Katze wegläuft und sie auf das Papier zeigt.</v>
      </c>
    </row>
    <row r="24036">
      <c r="A24036" s="4" t="s">
        <v>30245</v>
      </c>
      <c r="B24036" s="4" t="s">
        <v>30246</v>
      </c>
      <c r="C24036" s="5" t="str">
        <f>IFERROR(__xludf.DUMMYFUNCTION("GOOGLETRANSLATE(B24036,""en"",""de"")"),"Eine Person sitzt in einer Röhre mit anderen Menschen herum und schiebt die Person einen schneebedeckten Pfad hinunter.")</f>
        <v>Eine Person sitzt in einer Röhre mit anderen Menschen herum und schiebt die Person einen schneebedeckten Pfad hinunter.</v>
      </c>
    </row>
    <row r="24037">
      <c r="A24037" s="4" t="s">
        <v>30245</v>
      </c>
      <c r="B24037" s="4" t="s">
        <v>30247</v>
      </c>
      <c r="C24037" s="5" t="str">
        <f>IFERROR(__xludf.DUMMYFUNCTION("GOOGLETRANSLATE(B24037,""en"",""de"")"),"Die Person fliegt die Spur in der Röhre hinunter und eine andere Person folgt danach.")</f>
        <v>Die Person fliegt die Spur in der Röhre hinunter und eine andere Person folgt danach.</v>
      </c>
    </row>
    <row r="24038">
      <c r="A24038" s="4" t="s">
        <v>30248</v>
      </c>
      <c r="B24038" s="4" t="s">
        <v>30249</v>
      </c>
      <c r="C24038" s="5" t="str">
        <f>IFERROR(__xludf.DUMMYFUNCTION("GOOGLETRANSLATE(B24038,""en"",""de"")"),"Ein Journalist interviewt einen Basketballspieler in einem Platz.")</f>
        <v>Ein Journalist interviewt einen Basketballspieler in einem Platz.</v>
      </c>
    </row>
    <row r="24039">
      <c r="A24039" s="4" t="s">
        <v>30248</v>
      </c>
      <c r="B24039" s="4" t="s">
        <v>30250</v>
      </c>
      <c r="C24039" s="5" t="str">
        <f>IFERROR(__xludf.DUMMYFUNCTION("GOOGLETRANSLATE(B24039,""en"",""de"")"),"Der Mensch poliert den Holzboden.")</f>
        <v>Der Mensch poliert den Holzboden.</v>
      </c>
    </row>
    <row r="24040">
      <c r="A24040" s="4" t="s">
        <v>30251</v>
      </c>
      <c r="B24040" s="4" t="s">
        <v>30252</v>
      </c>
      <c r="C24040" s="5" t="str">
        <f>IFERROR(__xludf.DUMMYFUNCTION("GOOGLETRANSLATE(B24040,""en"",""de"")"),"Ein kleines Mädchen sitzt im Sand, wo sie versucht hat, eine Sandburg zu machen.")</f>
        <v>Ein kleines Mädchen sitzt im Sand, wo sie versucht hat, eine Sandburg zu machen.</v>
      </c>
    </row>
    <row r="24041">
      <c r="A24041" s="4" t="s">
        <v>30251</v>
      </c>
      <c r="B24041" s="4" t="s">
        <v>30253</v>
      </c>
      <c r="C24041" s="5" t="str">
        <f>IFERROR(__xludf.DUMMYFUNCTION("GOOGLETRANSLATE(B24041,""en"",""de"")"),"Erwachsene und ein anderes Mädchen lachen, als sie versuchen, etwas im Sand zu bauen.")</f>
        <v>Erwachsene und ein anderes Mädchen lachen, als sie versuchen, etwas im Sand zu bauen.</v>
      </c>
    </row>
    <row r="24042">
      <c r="A24042" s="4" t="s">
        <v>30254</v>
      </c>
      <c r="B24042" s="4" t="s">
        <v>30255</v>
      </c>
      <c r="C24042" s="5" t="str">
        <f>IFERROR(__xludf.DUMMYFUNCTION("GOOGLETRANSLATE(B24042,""en"",""de"")"),"Ein junger erwachsener männlicher Schläge und tritt einen hängenden Boxsack.")</f>
        <v>Ein junger erwachsener männlicher Schläge und tritt einen hängenden Boxsack.</v>
      </c>
    </row>
    <row r="24043">
      <c r="A24043" s="4" t="s">
        <v>30254</v>
      </c>
      <c r="B24043" s="4" t="s">
        <v>30256</v>
      </c>
      <c r="C24043" s="5" t="str">
        <f>IFERROR(__xludf.DUMMYFUNCTION("GOOGLETRANSLATE(B24043,""en"",""de"")"),"Der junge Mann beginnt sich dann um den Boxsack zu bewegen, während er immer noch schlägt und tritt.")</f>
        <v>Der junge Mann beginnt sich dann um den Boxsack zu bewegen, während er immer noch schlägt und tritt.</v>
      </c>
    </row>
    <row r="24044">
      <c r="A24044" s="4" t="s">
        <v>30254</v>
      </c>
      <c r="B24044" s="4" t="s">
        <v>30257</v>
      </c>
      <c r="C24044" s="5" t="str">
        <f>IFERROR(__xludf.DUMMYFUNCTION("GOOGLETRANSLATE(B24044,""en"",""de"")"),"Der junge Mann geht dann weg, während er seine Handschuhe entfernt.")</f>
        <v>Der junge Mann geht dann weg, während er seine Handschuhe entfernt.</v>
      </c>
    </row>
    <row r="24045">
      <c r="A24045" s="4" t="s">
        <v>30258</v>
      </c>
      <c r="B24045" s="4" t="s">
        <v>30259</v>
      </c>
      <c r="C24045" s="5" t="str">
        <f>IFERROR(__xludf.DUMMYFUNCTION("GOOGLETRANSLATE(B24045,""en"",""de"")"),"Ein Mann, der mit der Kamera spricht, während er ein Poster hielt.")</f>
        <v>Ein Mann, der mit der Kamera spricht, während er ein Poster hielt.</v>
      </c>
    </row>
    <row r="24046">
      <c r="A24046" s="4" t="s">
        <v>30258</v>
      </c>
      <c r="B24046" s="4" t="s">
        <v>30260</v>
      </c>
      <c r="C24046" s="5" t="str">
        <f>IFERROR(__xludf.DUMMYFUNCTION("GOOGLETRANSLATE(B24046,""en"",""de"")"),"Er greift verschiedene Objekte vom Tisch und erklärt seine Anweisungen.")</f>
        <v>Er greift verschiedene Objekte vom Tisch und erklärt seine Anweisungen.</v>
      </c>
    </row>
    <row r="24047">
      <c r="A24047" s="4" t="s">
        <v>30258</v>
      </c>
      <c r="B24047" s="4" t="s">
        <v>30261</v>
      </c>
      <c r="C24047" s="5" t="str">
        <f>IFERROR(__xludf.DUMMYFUNCTION("GOOGLETRANSLATE(B24047,""en"",""de"")"),"Er schlang eine Schachtel mit Blechfolie und schreibt dann mit einem Marker auf die Schachtel.")</f>
        <v>Er schlang eine Schachtel mit Blechfolie und schreibt dann mit einem Marker auf die Schachtel.</v>
      </c>
    </row>
    <row r="24048">
      <c r="A24048" s="4" t="s">
        <v>30258</v>
      </c>
      <c r="B24048" s="4" t="s">
        <v>30262</v>
      </c>
      <c r="C24048" s="5" t="str">
        <f>IFERROR(__xludf.DUMMYFUNCTION("GOOGLETRANSLATE(B24048,""en"",""de"")"),"Er legt mehr Blechfolie heraus und schließt ein weiteres Objekt damit um.")</f>
        <v>Er legt mehr Blechfolie heraus und schließt ein weiteres Objekt damit um.</v>
      </c>
    </row>
    <row r="24049">
      <c r="A24049" s="4" t="s">
        <v>30258</v>
      </c>
      <c r="B24049" s="4" t="s">
        <v>30263</v>
      </c>
      <c r="C24049" s="5" t="str">
        <f>IFERROR(__xludf.DUMMYFUNCTION("GOOGLETRANSLATE(B24049,""en"",""de"")"),"Er beendet und wickelt alle Gegenstände mit Blechfolie und zeigt, wie.")</f>
        <v>Er beendet und wickelt alle Gegenstände mit Blechfolie und zeigt, wie.</v>
      </c>
    </row>
    <row r="24050">
      <c r="A24050" s="4" t="s">
        <v>30264</v>
      </c>
      <c r="B24050" s="4" t="s">
        <v>30265</v>
      </c>
      <c r="C24050" s="5" t="str">
        <f>IFERROR(__xludf.DUMMYFUNCTION("GOOGLETRANSLATE(B24050,""en"",""de"")"),"Ein Mann sitzt auf einer Trainingsbank.")</f>
        <v>Ein Mann sitzt auf einer Trainingsbank.</v>
      </c>
    </row>
    <row r="24051">
      <c r="A24051" s="4" t="s">
        <v>30264</v>
      </c>
      <c r="B24051" s="4" t="s">
        <v>30266</v>
      </c>
      <c r="C24051" s="5" t="str">
        <f>IFERROR(__xludf.DUMMYFUNCTION("GOOGLETRANSLATE(B24051,""en"",""de"")"),"Er lehnt sich zurück und beginnt Crunches.")</f>
        <v>Er lehnt sich zurück und beginnt Crunches.</v>
      </c>
    </row>
    <row r="24052">
      <c r="A24052" s="4" t="s">
        <v>30264</v>
      </c>
      <c r="B24052" s="4" t="s">
        <v>30267</v>
      </c>
      <c r="C24052" s="5" t="str">
        <f>IFERROR(__xludf.DUMMYFUNCTION("GOOGLETRANSLATE(B24052,""en"",""de"")"),"Er setzt sich wieder auf der Maschine und redet weiter.")</f>
        <v>Er setzt sich wieder auf der Maschine und redet weiter.</v>
      </c>
    </row>
    <row r="24053">
      <c r="A24053" s="4" t="s">
        <v>30268</v>
      </c>
      <c r="B24053" s="4" t="s">
        <v>3486</v>
      </c>
      <c r="C24053" s="5" t="str">
        <f>IFERROR(__xludf.DUMMYFUNCTION("GOOGLETRANSLATE(B24053,""en"",""de"")"),"Ein Turner steigt in einem Fitnessstudio einen Abschwung.")</f>
        <v>Ein Turner steigt in einem Fitnessstudio einen Abschwung.</v>
      </c>
    </row>
    <row r="24054">
      <c r="A24054" s="4" t="s">
        <v>30268</v>
      </c>
      <c r="B24054" s="4" t="s">
        <v>30269</v>
      </c>
      <c r="C24054" s="5" t="str">
        <f>IFERROR(__xludf.DUMMYFUNCTION("GOOGLETRANSLATE(B24054,""en"",""de"")"),"Sie steht auf dem Strahl und macht dann mehrere Handfedern und Flips.")</f>
        <v>Sie steht auf dem Strahl und macht dann mehrere Handfedern und Flips.</v>
      </c>
    </row>
    <row r="24055">
      <c r="A24055" s="4" t="s">
        <v>30268</v>
      </c>
      <c r="B24055" s="4" t="s">
        <v>8353</v>
      </c>
      <c r="C24055" s="5" t="str">
        <f>IFERROR(__xludf.DUMMYFUNCTION("GOOGLETRANSLATE(B24055,""en"",""de"")"),"Sie steigt ab und hebt ihre Arme in der Luft.")</f>
        <v>Sie steigt ab und hebt ihre Arme in der Luft.</v>
      </c>
    </row>
    <row r="24056">
      <c r="A24056" s="4" t="s">
        <v>30270</v>
      </c>
      <c r="B24056" s="4" t="s">
        <v>30271</v>
      </c>
      <c r="C24056" s="5" t="str">
        <f>IFERROR(__xludf.DUMMYFUNCTION("GOOGLETRANSLATE(B24056,""en"",""de"")"),"Eine große Welle bricht im Ozean, während Surfer und Surfer darüber paddeln.")</f>
        <v>Eine große Welle bricht im Ozean, während Surfer und Surfer darüber paddeln.</v>
      </c>
    </row>
    <row r="24057">
      <c r="A24057" s="4" t="s">
        <v>30270</v>
      </c>
      <c r="B24057" s="4" t="s">
        <v>30272</v>
      </c>
      <c r="C24057" s="5" t="str">
        <f>IFERROR(__xludf.DUMMYFUNCTION("GOOGLETRANSLATE(B24057,""en"",""de"")"),"Eine große Welle stürzt im Meer ab und ein Mann reitet das Gesicht auf dem Körperbrett hinunter.")</f>
        <v>Eine große Welle stürzt im Meer ab und ein Mann reitet das Gesicht auf dem Körperbrett hinunter.</v>
      </c>
    </row>
    <row r="24058">
      <c r="A24058" s="4" t="s">
        <v>30270</v>
      </c>
      <c r="B24058" s="4" t="s">
        <v>30273</v>
      </c>
      <c r="C24058" s="5" t="str">
        <f>IFERROR(__xludf.DUMMYFUNCTION("GOOGLETRANSLATE(B24058,""en"",""de"")"),"Surfer reiten Wellen im Meer.")</f>
        <v>Surfer reiten Wellen im Meer.</v>
      </c>
    </row>
    <row r="24059">
      <c r="A24059" s="4" t="s">
        <v>30270</v>
      </c>
      <c r="B24059" s="4" t="s">
        <v>30274</v>
      </c>
      <c r="C24059" s="5" t="str">
        <f>IFERROR(__xludf.DUMMYFUNCTION("GOOGLETRANSLATE(B24059,""en"",""de"")"),"Eine große Welle bricht am Ufer und Zuschauer laufen.")</f>
        <v>Eine große Welle bricht am Ufer und Zuschauer laufen.</v>
      </c>
    </row>
    <row r="24060">
      <c r="A24060" s="4" t="s">
        <v>30275</v>
      </c>
      <c r="B24060" s="4" t="s">
        <v>30276</v>
      </c>
      <c r="C24060" s="5" t="str">
        <f>IFERROR(__xludf.DUMMYFUNCTION("GOOGLETRANSLATE(B24060,""en"",""de"")"),"Mehrere Menschen sind in Gruppen auf Flößen Kajakfahren durch trübes Wasser unterteilt.")</f>
        <v>Mehrere Menschen sind in Gruppen auf Flößen Kajakfahren durch trübes Wasser unterteilt.</v>
      </c>
    </row>
    <row r="24061">
      <c r="A24061" s="4" t="s">
        <v>30275</v>
      </c>
      <c r="B24061" s="4" t="s">
        <v>30277</v>
      </c>
      <c r="C24061" s="5" t="str">
        <f>IFERROR(__xludf.DUMMYFUNCTION("GOOGLETRANSLATE(B24061,""en"",""de"")"),"Die erste Gruppe von acht Menschen paddelt sich in der Nähe einer Klippe und geht den Hügel hinunter, und die anderen treten mit den gleichen Handlungen hinter ihnen zurück.")</f>
        <v>Die erste Gruppe von acht Menschen paddelt sich in der Nähe einer Klippe und geht den Hügel hinunter, und die anderen treten mit den gleichen Handlungen hinter ihnen zurück.</v>
      </c>
    </row>
    <row r="24062">
      <c r="A24062" s="4" t="s">
        <v>30275</v>
      </c>
      <c r="B24062" s="4" t="s">
        <v>30278</v>
      </c>
      <c r="C24062" s="5" t="str">
        <f>IFERROR(__xludf.DUMMYFUNCTION("GOOGLETRANSLATE(B24062,""en"",""de"")"),"Für die fünfte Gruppe wird eine Luftansicht bereitgestellt und die anderen Möglichkeiten für sie kommen.")</f>
        <v>Für die fünfte Gruppe wird eine Luftansicht bereitgestellt und die anderen Möglichkeiten für sie kommen.</v>
      </c>
    </row>
    <row r="24063">
      <c r="A24063" s="4" t="s">
        <v>30275</v>
      </c>
      <c r="B24063" s="4" t="s">
        <v>30279</v>
      </c>
      <c r="C24063" s="5" t="str">
        <f>IFERROR(__xludf.DUMMYFUNCTION("GOOGLETRANSLATE(B24063,""en"",""de"")"),"Danach macht jede Gruppe dasselbe wie sie in verschiedenen Teilen des Wassers manövriert und Steine ​​schlägt.")</f>
        <v>Danach macht jede Gruppe dasselbe wie sie in verschiedenen Teilen des Wassers manövriert und Steine ​​schlägt.</v>
      </c>
    </row>
    <row r="24064">
      <c r="A24064" s="4" t="s">
        <v>30280</v>
      </c>
      <c r="B24064" s="4" t="s">
        <v>30281</v>
      </c>
      <c r="C24064" s="5" t="str">
        <f>IFERROR(__xludf.DUMMYFUNCTION("GOOGLETRANSLATE(B24064,""en"",""de"")"),"Eine Frau, die eine Leopardenmusterjacke trägt, sitzt mit einem Mann in einer Shisha -Bar.")</f>
        <v>Eine Frau, die eine Leopardenmusterjacke trägt, sitzt mit einem Mann in einer Shisha -Bar.</v>
      </c>
    </row>
    <row r="24065">
      <c r="A24065" s="4" t="s">
        <v>30280</v>
      </c>
      <c r="B24065" s="4" t="s">
        <v>30282</v>
      </c>
      <c r="C24065" s="5" t="str">
        <f>IFERROR(__xludf.DUMMYFUNCTION("GOOGLETRANSLATE(B24065,""en"",""de"")"),"Der Mann küsst sie, als er sich vorsieht.")</f>
        <v>Der Mann küsst sie, als er sich vorsieht.</v>
      </c>
    </row>
    <row r="24066">
      <c r="A24066" s="4" t="s">
        <v>30280</v>
      </c>
      <c r="B24066" s="4" t="s">
        <v>30283</v>
      </c>
      <c r="C24066" s="5" t="str">
        <f>IFERROR(__xludf.DUMMYFUNCTION("GOOGLETRANSLATE(B24066,""en"",""de"")"),"Sie hält die Shisha in der Hand bereit, ihren ersten Zug zu nehmen.")</f>
        <v>Sie hält die Shisha in der Hand bereit, ihren ersten Zug zu nehmen.</v>
      </c>
    </row>
    <row r="24067">
      <c r="A24067" s="4" t="s">
        <v>30280</v>
      </c>
      <c r="B24067" s="4" t="s">
        <v>30284</v>
      </c>
      <c r="C24067" s="5" t="str">
        <f>IFERROR(__xludf.DUMMYFUNCTION("GOOGLETRANSLATE(B24067,""en"",""de"")"),"Nachdem sie die Shisha eingeatmet hat, blättert sie etwas Rauch und hustet unbehaglich.")</f>
        <v>Nachdem sie die Shisha eingeatmet hat, blättert sie etwas Rauch und hustet unbehaglich.</v>
      </c>
    </row>
    <row r="24068">
      <c r="A24068" s="4" t="s">
        <v>30285</v>
      </c>
      <c r="B24068" s="4" t="s">
        <v>30286</v>
      </c>
      <c r="C24068" s="5" t="str">
        <f>IFERROR(__xludf.DUMMYFUNCTION("GOOGLETRANSLATE(B24068,""en"",""de"")"),"Eine Frau in einem Kleid geht die Treppe hinauf.")</f>
        <v>Eine Frau in einem Kleid geht die Treppe hinauf.</v>
      </c>
    </row>
    <row r="24069">
      <c r="A24069" s="4" t="s">
        <v>30285</v>
      </c>
      <c r="B24069" s="4" t="s">
        <v>30287</v>
      </c>
      <c r="C24069" s="5" t="str">
        <f>IFERROR(__xludf.DUMMYFUNCTION("GOOGLETRANSLATE(B24069,""en"",""de"")"),"Sie nimmt ihr Kleid ab und beginnt zu tanzen.")</f>
        <v>Sie nimmt ihr Kleid ab und beginnt zu tanzen.</v>
      </c>
    </row>
    <row r="24070">
      <c r="A24070" s="4" t="s">
        <v>30285</v>
      </c>
      <c r="B24070" s="4" t="s">
        <v>30288</v>
      </c>
      <c r="C24070" s="5" t="str">
        <f>IFERROR(__xludf.DUMMYFUNCTION("GOOGLETRANSLATE(B24070,""en"",""de"")"),"Sie arbeitet mit anderen Leuten auf einem Stiefhocker.")</f>
        <v>Sie arbeitet mit anderen Leuten auf einem Stiefhocker.</v>
      </c>
    </row>
    <row r="24071">
      <c r="A24071" s="4" t="s">
        <v>30289</v>
      </c>
      <c r="B24071" s="4" t="s">
        <v>30290</v>
      </c>
      <c r="C24071" s="5" t="str">
        <f>IFERROR(__xludf.DUMMYFUNCTION("GOOGLETRANSLATE(B24071,""en"",""de"")"),"Ein Mann ist mit einem Hund neben ihm auf einem Feld herumzulaufen.")</f>
        <v>Ein Mann ist mit einem Hund neben ihm auf einem Feld herumzulaufen.</v>
      </c>
    </row>
    <row r="24072">
      <c r="A24072" s="4" t="s">
        <v>30289</v>
      </c>
      <c r="B24072" s="4" t="s">
        <v>30291</v>
      </c>
      <c r="C24072" s="5" t="str">
        <f>IFERROR(__xludf.DUMMYFUNCTION("GOOGLETRANSLATE(B24072,""en"",""de"")"),"Der Mann schnappt sich dann eine Frisbee und beginnt Tricks mit dem Hund durchzuführen.")</f>
        <v>Der Mann schnappt sich dann eine Frisbee und beginnt Tricks mit dem Hund durchzuführen.</v>
      </c>
    </row>
    <row r="24073">
      <c r="A24073" s="4" t="s">
        <v>30289</v>
      </c>
      <c r="B24073" s="4" t="s">
        <v>30292</v>
      </c>
      <c r="C24073" s="5" t="str">
        <f>IFERROR(__xludf.DUMMYFUNCTION("GOOGLETRANSLATE(B24073,""en"",""de"")"),"Der Mann wirft weiterhin mit dem Hund einen Frisbee herum, während andere nebenbei zuschauen.")</f>
        <v>Der Mann wirft weiterhin mit dem Hund einen Frisbee herum, während andere nebenbei zuschauen.</v>
      </c>
    </row>
    <row r="24074">
      <c r="A24074" s="4" t="s">
        <v>30293</v>
      </c>
      <c r="B24074" s="4" t="s">
        <v>30294</v>
      </c>
      <c r="C24074" s="5" t="str">
        <f>IFERROR(__xludf.DUMMYFUNCTION("GOOGLETRANSLATE(B24074,""en"",""de"")"),"Eine Person geht auf drei Menschen zu, die einen Zaun schwarz malen.")</f>
        <v>Eine Person geht auf drei Menschen zu, die einen Zaun schwarz malen.</v>
      </c>
    </row>
    <row r="24075">
      <c r="A24075" s="4" t="s">
        <v>30293</v>
      </c>
      <c r="B24075" s="4" t="s">
        <v>30295</v>
      </c>
      <c r="C24075" s="5" t="str">
        <f>IFERROR(__xludf.DUMMYFUNCTION("GOOGLETRANSLATE(B24075,""en"",""de"")"),"Der Mann bittet den Jungen, seine Arbeit zu sehen und die Kamera zu seiner Frau zu pflegen.")</f>
        <v>Der Mann bittet den Jungen, seine Arbeit zu sehen und die Kamera zu seiner Frau zu pflegen.</v>
      </c>
    </row>
    <row r="24076">
      <c r="A24076" s="4" t="s">
        <v>30293</v>
      </c>
      <c r="B24076" s="4" t="s">
        <v>30296</v>
      </c>
      <c r="C24076" s="5" t="str">
        <f>IFERROR(__xludf.DUMMYFUNCTION("GOOGLETRANSLATE(B24076,""en"",""de"")"),"Der Mann macht seiner Frau einen Witz und lacht über die Kamera.")</f>
        <v>Der Mann macht seiner Frau einen Witz und lacht über die Kamera.</v>
      </c>
    </row>
    <row r="24077">
      <c r="A24077" s="4" t="s">
        <v>30297</v>
      </c>
      <c r="B24077" s="4" t="s">
        <v>30298</v>
      </c>
      <c r="C24077" s="5" t="str">
        <f>IFERROR(__xludf.DUMMYFUNCTION("GOOGLETRANSLATE(B24077,""en"",""de"")"),"Eine Frau spricht in einem Fitnessstudio, dann fährt sie ein statisches Fahrrad.")</f>
        <v>Eine Frau spricht in einem Fitnessstudio, dann fährt sie ein statisches Fahrrad.</v>
      </c>
    </row>
    <row r="24078">
      <c r="A24078" s="4" t="s">
        <v>30297</v>
      </c>
      <c r="B24078" s="4" t="s">
        <v>30299</v>
      </c>
      <c r="C24078" s="5" t="str">
        <f>IFERROR(__xludf.DUMMYFUNCTION("GOOGLETRANSLATE(B24078,""en"",""de"")"),"Dann heben die Frau und andere Menschen Gewicht an.")</f>
        <v>Dann heben die Frau und andere Menschen Gewicht an.</v>
      </c>
    </row>
    <row r="24079">
      <c r="A24079" s="4" t="s">
        <v>30297</v>
      </c>
      <c r="B24079" s="4" t="s">
        <v>30300</v>
      </c>
      <c r="C24079" s="5" t="str">
        <f>IFERROR(__xludf.DUMMYFUNCTION("GOOGLETRANSLATE(B24079,""en"",""de"")"),"Dann fährt die Frau weiter mit dem Fahrrad und hebt sich dann wiegen.")</f>
        <v>Dann fährt die Frau weiter mit dem Fahrrad und hebt sich dann wiegen.</v>
      </c>
    </row>
    <row r="24080">
      <c r="A24080" s="4" t="s">
        <v>30301</v>
      </c>
      <c r="B24080" s="4" t="s">
        <v>30302</v>
      </c>
      <c r="C24080" s="5" t="str">
        <f>IFERROR(__xludf.DUMMYFUNCTION("GOOGLETRANSLATE(B24080,""en"",""de"")"),"Draußen im Hinterhof spielen zwei kleine Jungen in passenden Schwimmanzügen mit Netzen, die versuchen, einen Ball zu fangen.")</f>
        <v>Draußen im Hinterhof spielen zwei kleine Jungen in passenden Schwimmanzügen mit Netzen, die versuchen, einen Ball zu fangen.</v>
      </c>
    </row>
    <row r="24081">
      <c r="A24081" s="4" t="s">
        <v>30301</v>
      </c>
      <c r="B24081" s="4" t="s">
        <v>30303</v>
      </c>
      <c r="C24081" s="5" t="str">
        <f>IFERROR(__xludf.DUMMYFUNCTION("GOOGLETRANSLATE(B24081,""en"",""de"")"),"Sie versuchen beide, den Ball in ihrem eigenen Netz zu bringen, im Grunde genommen spielerisch darum, wessen wir ihn bekommen.")</f>
        <v>Sie versuchen beide, den Ball in ihrem eigenen Netz zu bringen, im Grunde genommen spielerisch darum, wessen wir ihn bekommen.</v>
      </c>
    </row>
    <row r="24082">
      <c r="A24082" s="4" t="s">
        <v>30301</v>
      </c>
      <c r="B24082" s="4" t="s">
        <v>30304</v>
      </c>
      <c r="C24082" s="5" t="str">
        <f>IFERROR(__xludf.DUMMYFUNCTION("GOOGLETRANSLATE(B24082,""en"",""de"")"),"Der Vater kommt und wirft den Ball um und die Jungs rennen danach.")</f>
        <v>Der Vater kommt und wirft den Ball um und die Jungs rennen danach.</v>
      </c>
    </row>
    <row r="24083">
      <c r="A24083" s="4" t="s">
        <v>30301</v>
      </c>
      <c r="B24083" s="4" t="s">
        <v>30305</v>
      </c>
      <c r="C24083" s="5" t="str">
        <f>IFERROR(__xludf.DUMMYFUNCTION("GOOGLETRANSLATE(B24083,""en"",""de"")"),"Sie spielen weiter und einer der kleinen Jungen bekommt es in sein Netz und umruft es und wenn es landet, folgen sie beide wieder.")</f>
        <v>Sie spielen weiter und einer der kleinen Jungen bekommt es in sein Netz und umruft es und wenn es landet, folgen sie beide wieder.</v>
      </c>
    </row>
    <row r="24084">
      <c r="A24084" s="4" t="s">
        <v>30306</v>
      </c>
      <c r="B24084" s="4" t="s">
        <v>30307</v>
      </c>
      <c r="C24084" s="5" t="str">
        <f>IFERROR(__xludf.DUMMYFUNCTION("GOOGLETRANSLATE(B24084,""en"",""de"")"),"Mehrere Eishockeyspieler verlassen eine Gruppe, die über das Eis skaten.")</f>
        <v>Mehrere Eishockeyspieler verlassen eine Gruppe, die über das Eis skaten.</v>
      </c>
    </row>
    <row r="24085">
      <c r="A24085" s="4" t="s">
        <v>30306</v>
      </c>
      <c r="B24085" s="4" t="s">
        <v>30308</v>
      </c>
      <c r="C24085" s="5" t="str">
        <f>IFERROR(__xludf.DUMMYFUNCTION("GOOGLETRANSLATE(B24085,""en"",""de"")"),"Sie beginnen zu spielen, schießen den Puck hin und her und versuchen, ihn ins Ziel des Feindes zu bringen.")</f>
        <v>Sie beginnen zu spielen, schießen den Puck hin und her und versuchen, ihn ins Ziel des Feindes zu bringen.</v>
      </c>
    </row>
    <row r="24086">
      <c r="A24086" s="4" t="s">
        <v>30306</v>
      </c>
      <c r="B24086" s="4" t="s">
        <v>30309</v>
      </c>
      <c r="C24086" s="5" t="str">
        <f>IFERROR(__xludf.DUMMYFUNCTION("GOOGLETRANSLATE(B24086,""en"",""de"")"),"Ein Torwart steht allein bei seinem Ziel.")</f>
        <v>Ein Torwart steht allein bei seinem Ziel.</v>
      </c>
    </row>
    <row r="24087">
      <c r="A24087" s="4" t="s">
        <v>30306</v>
      </c>
      <c r="B24087" s="4" t="s">
        <v>30310</v>
      </c>
      <c r="C24087" s="5" t="str">
        <f>IFERROR(__xludf.DUMMYFUNCTION("GOOGLETRANSLATE(B24087,""en"",""de"")"),"Jeder versammelt sich wieder, wenn der Schiedsrichter sie zum Spielen signalisiert.")</f>
        <v>Jeder versammelt sich wieder, wenn der Schiedsrichter sie zum Spielen signalisiert.</v>
      </c>
    </row>
    <row r="24088">
      <c r="A24088" s="4" t="s">
        <v>30311</v>
      </c>
      <c r="B24088" s="4" t="s">
        <v>30312</v>
      </c>
      <c r="C24088" s="5" t="str">
        <f>IFERROR(__xludf.DUMMYFUNCTION("GOOGLETRANSLATE(B24088,""en"",""de"")"),"Eine Person steht vor einem Waschbecken mit Handschuhen.")</f>
        <v>Eine Person steht vor einem Waschbecken mit Handschuhen.</v>
      </c>
    </row>
    <row r="24089">
      <c r="A24089" s="4" t="s">
        <v>30311</v>
      </c>
      <c r="B24089" s="4" t="s">
        <v>30313</v>
      </c>
      <c r="C24089" s="5" t="str">
        <f>IFERROR(__xludf.DUMMYFUNCTION("GOOGLETRANSLATE(B24089,""en"",""de"")"),"Die Frau schaut zurück zur Kamera und lächelt, während sie eine Zahnbürste hält.")</f>
        <v>Die Frau schaut zurück zur Kamera und lächelt, während sie eine Zahnbürste hält.</v>
      </c>
    </row>
    <row r="24090">
      <c r="A24090" s="4" t="s">
        <v>30311</v>
      </c>
      <c r="B24090" s="4" t="s">
        <v>30314</v>
      </c>
      <c r="C24090" s="5" t="str">
        <f>IFERROR(__xludf.DUMMYFUNCTION("GOOGLETRANSLATE(B24090,""en"",""de"")"),"Sie dreht sich dann zurück in das Waschbecken voller schmutziger Gerichte.")</f>
        <v>Sie dreht sich dann zurück in das Waschbecken voller schmutziger Gerichte.</v>
      </c>
    </row>
    <row r="24091">
      <c r="A24091" s="4" t="s">
        <v>30315</v>
      </c>
      <c r="B24091" s="4" t="s">
        <v>30316</v>
      </c>
      <c r="C24091" s="5" t="str">
        <f>IFERROR(__xludf.DUMMYFUNCTION("GOOGLETRANSLATE(B24091,""en"",""de"")"),"Eine Person öffnet eine Runde Kiste und zieht eine Flasche Nagellack aus und legt den Halter auf.")</f>
        <v>Eine Person öffnet eine Runde Kiste und zieht eine Flasche Nagellack aus und legt den Halter auf.</v>
      </c>
    </row>
    <row r="24092">
      <c r="A24092" s="4" t="s">
        <v>30315</v>
      </c>
      <c r="B24092" s="4" t="s">
        <v>30317</v>
      </c>
      <c r="C24092" s="5" t="str">
        <f>IFERROR(__xludf.DUMMYFUNCTION("GOOGLETRANSLATE(B24092,""en"",""de"")"),"Dann legt die Person einen Nagel auf eine runde Stütze auf die Schachtel und malt ihre Nägel.")</f>
        <v>Dann legt die Person einen Nagel auf eine runde Stütze auf die Schachtel und malt ihre Nägel.</v>
      </c>
    </row>
    <row r="24093">
      <c r="A24093" s="4" t="s">
        <v>30315</v>
      </c>
      <c r="B24093" s="4" t="s">
        <v>30318</v>
      </c>
      <c r="C24093" s="5" t="str">
        <f>IFERROR(__xludf.DUMMYFUNCTION("GOOGLETRANSLATE(B24093,""en"",""de"")"),"Danach schließt die Frau die Nagellackflasche.")</f>
        <v>Danach schließt die Frau die Nagellackflasche.</v>
      </c>
    </row>
    <row r="24094">
      <c r="A24094" s="4" t="s">
        <v>30319</v>
      </c>
      <c r="B24094" s="4" t="s">
        <v>30320</v>
      </c>
      <c r="C24094" s="5" t="str">
        <f>IFERROR(__xludf.DUMMYFUNCTION("GOOGLETRANSLATE(B24094,""en"",""de"")"),"Ein Mann und eine Frau machen sich bereit, Darts zu spielen.")</f>
        <v>Ein Mann und eine Frau machen sich bereit, Darts zu spielen.</v>
      </c>
    </row>
    <row r="24095">
      <c r="A24095" s="4" t="s">
        <v>30319</v>
      </c>
      <c r="B24095" s="4" t="s">
        <v>30321</v>
      </c>
      <c r="C24095" s="5" t="str">
        <f>IFERROR(__xludf.DUMMYFUNCTION("GOOGLETRANSLATE(B24095,""en"",""de"")"),"Anweisungen für erforderliche Materialien zum Spielen von Darts werden angezeigt.")</f>
        <v>Anweisungen für erforderliche Materialien zum Spielen von Darts werden angezeigt.</v>
      </c>
    </row>
    <row r="24096">
      <c r="A24096" s="4" t="s">
        <v>30319</v>
      </c>
      <c r="B24096" s="4" t="s">
        <v>30322</v>
      </c>
      <c r="C24096" s="5" t="str">
        <f>IFERROR(__xludf.DUMMYFUNCTION("GOOGLETRANSLATE(B24096,""en"",""de"")"),"Der Mann und die Frau gehen zum Pfeilbrett.")</f>
        <v>Der Mann und die Frau gehen zum Pfeilbrett.</v>
      </c>
    </row>
    <row r="24097">
      <c r="A24097" s="4" t="s">
        <v>30319</v>
      </c>
      <c r="B24097" s="4" t="s">
        <v>30323</v>
      </c>
      <c r="C24097" s="5" t="str">
        <f>IFERROR(__xludf.DUMMYFUNCTION("GOOGLETRANSLATE(B24097,""en"",""de"")"),"Sie scherzen darüber, dass sie sich darauf vorbereiten, Darts zu spielen.")</f>
        <v>Sie scherzen darüber, dass sie sich darauf vorbereiten, Darts zu spielen.</v>
      </c>
    </row>
    <row r="24098">
      <c r="A24098" s="4" t="s">
        <v>30319</v>
      </c>
      <c r="B24098" s="4" t="s">
        <v>30324</v>
      </c>
      <c r="C24098" s="5" t="str">
        <f>IFERROR(__xludf.DUMMYFUNCTION("GOOGLETRANSLATE(B24098,""en"",""de"")"),"Der Mann wirft einen Pfeil.")</f>
        <v>Der Mann wirft einen Pfeil.</v>
      </c>
    </row>
    <row r="24099">
      <c r="A24099" s="4" t="s">
        <v>30319</v>
      </c>
      <c r="B24099" s="4" t="s">
        <v>30325</v>
      </c>
      <c r="C24099" s="5" t="str">
        <f>IFERROR(__xludf.DUMMYFUNCTION("GOOGLETRANSLATE(B24099,""en"",""de"")"),"Die Frau folgt ihm nach.")</f>
        <v>Die Frau folgt ihm nach.</v>
      </c>
    </row>
    <row r="24100">
      <c r="A24100" s="4" t="s">
        <v>30319</v>
      </c>
      <c r="B24100" s="4" t="s">
        <v>30326</v>
      </c>
      <c r="C24100" s="5" t="str">
        <f>IFERROR(__xludf.DUMMYFUNCTION("GOOGLETRANSLATE(B24100,""en"",""de"")"),"Die Frau wirft drei weitere Darts.")</f>
        <v>Die Frau wirft drei weitere Darts.</v>
      </c>
    </row>
    <row r="24101">
      <c r="A24101" s="4" t="s">
        <v>30319</v>
      </c>
      <c r="B24101" s="4" t="s">
        <v>30327</v>
      </c>
      <c r="C24101" s="5" t="str">
        <f>IFERROR(__xludf.DUMMYFUNCTION("GOOGLETRANSLATE(B24101,""en"",""de"")"),"Der Mann zeigt seinen Pfeil und zeigt, wie man tritt.")</f>
        <v>Der Mann zeigt seinen Pfeil und zeigt, wie man tritt.</v>
      </c>
    </row>
    <row r="24102">
      <c r="A24102" s="4" t="s">
        <v>30319</v>
      </c>
      <c r="B24102" s="4" t="s">
        <v>30328</v>
      </c>
      <c r="C24102" s="5" t="str">
        <f>IFERROR(__xludf.DUMMYFUNCTION("GOOGLETRANSLATE(B24102,""en"",""de"")"),"Er wirft den Pfeil aus der Ferne.")</f>
        <v>Er wirft den Pfeil aus der Ferne.</v>
      </c>
    </row>
    <row r="24103">
      <c r="A24103" s="4" t="s">
        <v>30319</v>
      </c>
      <c r="B24103" s="4" t="s">
        <v>30329</v>
      </c>
      <c r="C24103" s="5" t="str">
        <f>IFERROR(__xludf.DUMMYFUNCTION("GOOGLETRANSLATE(B24103,""en"",""de"")"),"Die Position der Darts auf den Eberen wird gezeigt.")</f>
        <v>Die Position der Darts auf den Eberen wird gezeigt.</v>
      </c>
    </row>
    <row r="24104">
      <c r="A24104" s="4" t="s">
        <v>30319</v>
      </c>
      <c r="B24104" s="4" t="s">
        <v>30330</v>
      </c>
      <c r="C24104" s="5" t="str">
        <f>IFERROR(__xludf.DUMMYFUNCTION("GOOGLETRANSLATE(B24104,""en"",""de"")"),"Der Mann packt die Pfeile vom Brett.")</f>
        <v>Der Mann packt die Pfeile vom Brett.</v>
      </c>
    </row>
    <row r="24105">
      <c r="A24105" s="4" t="s">
        <v>30319</v>
      </c>
      <c r="B24105" s="4" t="s">
        <v>30331</v>
      </c>
      <c r="C24105" s="5" t="str">
        <f>IFERROR(__xludf.DUMMYFUNCTION("GOOGLETRANSLATE(B24105,""en"",""de"")"),"Die Frau wirft ein paar Pfeile.")</f>
        <v>Die Frau wirft ein paar Pfeile.</v>
      </c>
    </row>
    <row r="24106">
      <c r="A24106" s="4" t="s">
        <v>30319</v>
      </c>
      <c r="B24106" s="4" t="s">
        <v>30332</v>
      </c>
      <c r="C24106" s="5" t="str">
        <f>IFERROR(__xludf.DUMMYFUNCTION("GOOGLETRANSLATE(B24106,""en"",""de"")"),"Der Mann folgt nach der Frau.")</f>
        <v>Der Mann folgt nach der Frau.</v>
      </c>
    </row>
    <row r="24107">
      <c r="A24107" s="4" t="s">
        <v>30319</v>
      </c>
      <c r="B24107" s="4" t="s">
        <v>30333</v>
      </c>
      <c r="C24107" s="5" t="str">
        <f>IFERROR(__xludf.DUMMYFUNCTION("GOOGLETRANSLATE(B24107,""en"",""de"")"),"Die Frau macht es wieder.")</f>
        <v>Die Frau macht es wieder.</v>
      </c>
    </row>
    <row r="24108">
      <c r="A24108" s="4" t="s">
        <v>30319</v>
      </c>
      <c r="B24108" s="4" t="s">
        <v>30334</v>
      </c>
      <c r="C24108" s="5" t="str">
        <f>IFERROR(__xludf.DUMMYFUNCTION("GOOGLETRANSLATE(B24108,""en"",""de"")"),"Der Mann kehrt zurück, um dasselbe zu tun.")</f>
        <v>Der Mann kehrt zurück, um dasselbe zu tun.</v>
      </c>
    </row>
    <row r="24109">
      <c r="A24109" s="4" t="s">
        <v>30319</v>
      </c>
      <c r="B24109" s="4" t="s">
        <v>30335</v>
      </c>
      <c r="C24109" s="5" t="str">
        <f>IFERROR(__xludf.DUMMYFUNCTION("GOOGLETRANSLATE(B24109,""en"",""de"")"),"Die Frau wirft sie erneut.")</f>
        <v>Die Frau wirft sie erneut.</v>
      </c>
    </row>
    <row r="24110">
      <c r="A24110" s="4" t="s">
        <v>30319</v>
      </c>
      <c r="B24110" s="4" t="s">
        <v>30336</v>
      </c>
      <c r="C24110" s="5" t="str">
        <f>IFERROR(__xludf.DUMMYFUNCTION("GOOGLETRANSLATE(B24110,""en"",""de"")"),"Der Mann geht ihr wieder her.")</f>
        <v>Der Mann geht ihr wieder her.</v>
      </c>
    </row>
    <row r="24111">
      <c r="A24111" s="4" t="s">
        <v>30319</v>
      </c>
      <c r="B24111" s="4" t="s">
        <v>30337</v>
      </c>
      <c r="C24111" s="5" t="str">
        <f>IFERROR(__xludf.DUMMYFUNCTION("GOOGLETRANSLATE(B24111,""en"",""de"")"),"Die Frau geht noch einmal und gewinnt triumphierend.")</f>
        <v>Die Frau geht noch einmal und gewinnt triumphierend.</v>
      </c>
    </row>
    <row r="24112">
      <c r="A24112" s="4" t="s">
        <v>30338</v>
      </c>
      <c r="B24112" s="4" t="s">
        <v>30339</v>
      </c>
      <c r="C24112" s="5" t="str">
        <f>IFERROR(__xludf.DUMMYFUNCTION("GOOGLETRANSLATE(B24112,""en"",""de"")"),"Eine Frau veranstaltet ein Nachrichtensegment und das führt zu Menschen, die auf Pferden herumfahren.")</f>
        <v>Eine Frau veranstaltet ein Nachrichtensegment und das führt zu Menschen, die auf Pferden herumfahren.</v>
      </c>
    </row>
    <row r="24113">
      <c r="A24113" s="4" t="s">
        <v>30338</v>
      </c>
      <c r="B24113" s="4" t="s">
        <v>30340</v>
      </c>
      <c r="C24113" s="5" t="str">
        <f>IFERROR(__xludf.DUMMYFUNCTION("GOOGLETRANSLATE(B24113,""en"",""de"")"),"Die Leute sind gesehen, die in einem Gebiet herumlaufen und Hunde stampfen, die mit den Füßen stampfen, und ein anderer Mann, der mit der Kamera spricht.")</f>
        <v>Die Leute sind gesehen, die in einem Gebiet herumlaufen und Hunde stampfen, die mit den Füßen stampfen, und ein anderer Mann, der mit der Kamera spricht.</v>
      </c>
    </row>
    <row r="24114">
      <c r="A24114" s="4" t="s">
        <v>30338</v>
      </c>
      <c r="B24114" s="4" t="s">
        <v>30341</v>
      </c>
      <c r="C24114" s="5" t="str">
        <f>IFERROR(__xludf.DUMMYFUNCTION("GOOGLETRANSLATE(B24114,""en"",""de"")"),"Es werden mehr Aufnahmen von den Leuten gezeigt, die das Spiel auf einem Pferd spielen und andere, die mit der Kamera sprechen und eine Trophäe bekommen.")</f>
        <v>Es werden mehr Aufnahmen von den Leuten gezeigt, die das Spiel auf einem Pferd spielen und andere, die mit der Kamera sprechen und eine Trophäe bekommen.</v>
      </c>
    </row>
    <row r="24115">
      <c r="A24115" s="4" t="s">
        <v>30342</v>
      </c>
      <c r="B24115" s="4" t="s">
        <v>30343</v>
      </c>
      <c r="C24115" s="5" t="str">
        <f>IFERROR(__xludf.DUMMYFUNCTION("GOOGLETRANSLATE(B24115,""en"",""de"")"),"Ein Mann steht vor einem Podium.")</f>
        <v>Ein Mann steht vor einem Podium.</v>
      </c>
    </row>
    <row r="24116">
      <c r="A24116" s="4" t="s">
        <v>30342</v>
      </c>
      <c r="B24116" s="4" t="s">
        <v>30344</v>
      </c>
      <c r="C24116" s="5" t="str">
        <f>IFERROR(__xludf.DUMMYFUNCTION("GOOGLETRANSLATE(B24116,""en"",""de"")"),"Zwei andere Männer stehen neben ihm.")</f>
        <v>Zwei andere Männer stehen neben ihm.</v>
      </c>
    </row>
    <row r="24117">
      <c r="A24117" s="4" t="s">
        <v>30342</v>
      </c>
      <c r="B24117" s="4" t="s">
        <v>30345</v>
      </c>
      <c r="C24117" s="5" t="str">
        <f>IFERROR(__xludf.DUMMYFUNCTION("GOOGLETRANSLATE(B24117,""en"",""de"")"),"Einer der beiden Männer gräbt sich in einer Feuerstelle, in der es ein Feuer gab, und gießt dann Wasser darauf.")</f>
        <v>Einer der beiden Männer gräbt sich in einer Feuerstelle, in der es ein Feuer gab, und gießt dann Wasser darauf.</v>
      </c>
    </row>
    <row r="24118">
      <c r="A24118" s="4" t="s">
        <v>30342</v>
      </c>
      <c r="B24118" s="4" t="s">
        <v>30346</v>
      </c>
      <c r="C24118" s="5" t="str">
        <f>IFERROR(__xludf.DUMMYFUNCTION("GOOGLETRANSLATE(B24118,""en"",""de"")"),"Der gleiche Mann gräbt in der Grube herum und sucht nach brennender Glut.")</f>
        <v>Der gleiche Mann gräbt in der Grube herum und sucht nach brennender Glut.</v>
      </c>
    </row>
    <row r="24119">
      <c r="A24119" s="4" t="s">
        <v>30347</v>
      </c>
      <c r="B24119" s="4" t="s">
        <v>30348</v>
      </c>
      <c r="C24119" s="5" t="str">
        <f>IFERROR(__xludf.DUMMYFUNCTION("GOOGLETRANSLATE(B24119,""en"",""de"")"),"Unter den Bäumen ist ein Gewässer gezeigt.")</f>
        <v>Unter den Bäumen ist ein Gewässer gezeigt.</v>
      </c>
    </row>
    <row r="24120">
      <c r="A24120" s="4" t="s">
        <v>30347</v>
      </c>
      <c r="B24120" s="4" t="s">
        <v>30349</v>
      </c>
      <c r="C24120" s="5" t="str">
        <f>IFERROR(__xludf.DUMMYFUNCTION("GOOGLETRANSLATE(B24120,""en"",""de"")"),"Eine Person geht auf einer lockeren Linie über dem Wasser.")</f>
        <v>Eine Person geht auf einer lockeren Linie über dem Wasser.</v>
      </c>
    </row>
    <row r="24121">
      <c r="A24121" s="4" t="s">
        <v>30347</v>
      </c>
      <c r="B24121" s="4" t="s">
        <v>30350</v>
      </c>
      <c r="C24121" s="5" t="str">
        <f>IFERROR(__xludf.DUMMYFUNCTION("GOOGLETRANSLATE(B24121,""en"",""de"")"),"Sie erreichen das Ende der Slack -Linie.")</f>
        <v>Sie erreichen das Ende der Slack -Linie.</v>
      </c>
    </row>
    <row r="24122">
      <c r="A24122" s="4" t="s">
        <v>30351</v>
      </c>
      <c r="B24122" s="4" t="s">
        <v>30352</v>
      </c>
      <c r="C24122" s="5" t="str">
        <f>IFERROR(__xludf.DUMMYFUNCTION("GOOGLETRANSLATE(B24122,""en"",""de"")"),"Ein Skatermädchen in einem weißen T-Shirt und Shorts versucht, mit ihrem Skateboard zu springen und fällt rückwärts und schlägt den Kopf.")</f>
        <v>Ein Skatermädchen in einem weißen T-Shirt und Shorts versucht, mit ihrem Skateboard zu springen und fällt rückwärts und schlägt den Kopf.</v>
      </c>
    </row>
    <row r="24123">
      <c r="A24123" s="4" t="s">
        <v>30351</v>
      </c>
      <c r="B24123" s="4" t="s">
        <v>30353</v>
      </c>
      <c r="C24123" s="5" t="str">
        <f>IFERROR(__xludf.DUMMYFUNCTION("GOOGLETRANSLATE(B24123,""en"",""de"")"),"Zwei weitere Skater gehen um eine Kurve herum, aber einer Pflüge direkt in einen Heuhaufen, wenn auch zum Glück Helm-First.")</f>
        <v>Zwei weitere Skater gehen um eine Kurve herum, aber einer Pflüge direkt in einen Heuhaufen, wenn auch zum Glück Helm-First.</v>
      </c>
    </row>
    <row r="24124">
      <c r="A24124" s="4" t="s">
        <v>30351</v>
      </c>
      <c r="B24124" s="4" t="s">
        <v>30354</v>
      </c>
      <c r="C24124" s="5" t="str">
        <f>IFERROR(__xludf.DUMMYFUNCTION("GOOGLETRANSLATE(B24124,""en"",""de"")"),"Ein anderer Helmskater versucht einen Handstopp und hört auf, obwohl sein Skateboard leider nicht der Fall ist.")</f>
        <v>Ein anderer Helmskater versucht einen Handstopp und hört auf, obwohl sein Skateboard leider nicht der Fall ist.</v>
      </c>
    </row>
    <row r="24125">
      <c r="A24125" s="4" t="s">
        <v>30351</v>
      </c>
      <c r="B24125" s="4" t="s">
        <v>30355</v>
      </c>
      <c r="C24125" s="5" t="str">
        <f>IFERROR(__xludf.DUMMYFUNCTION("GOOGLETRANSLATE(B24125,""en"",""de"")"),"Nach ein paar weiteren Skating-Pannen stammt die letzte Aufführung von einem Skater, der nicht das Bedürfnis nach Sicherheitsausrüstung verspürt, und während er direkt einen Hügel hinuntersteigt, fließt er von seinem Skateboard ab und verbringt einige Min"&amp;"uten damit, seine verschiedenen Straßenfahrten zu überprüfen.")</f>
        <v>Nach ein paar weiteren Skating-Pannen stammt die letzte Aufführung von einem Skater, der nicht das Bedürfnis nach Sicherheitsausrüstung verspürt, und während er direkt einen Hügel hinuntersteigt, fließt er von seinem Skateboard ab und verbringt einige Minuten damit, seine verschiedenen Straßenfahrten zu überprüfen.</v>
      </c>
    </row>
    <row r="24126">
      <c r="A24126" s="4" t="s">
        <v>30356</v>
      </c>
      <c r="B24126" s="4" t="s">
        <v>30357</v>
      </c>
      <c r="C24126" s="5" t="str">
        <f>IFERROR(__xludf.DUMMYFUNCTION("GOOGLETRANSLATE(B24126,""en"",""de"")"),"Drei Jungen in einem Garten mit Gras bedeckt abwechselnd ein Cricketspiel auf dem Rasen.")</f>
        <v>Drei Jungen in einem Garten mit Gras bedeckt abwechselnd ein Cricketspiel auf dem Rasen.</v>
      </c>
    </row>
    <row r="24127">
      <c r="A24127" s="4" t="s">
        <v>30356</v>
      </c>
      <c r="B24127" s="4" t="s">
        <v>30358</v>
      </c>
      <c r="C24127" s="5" t="str">
        <f>IFERROR(__xludf.DUMMYFUNCTION("GOOGLETRANSLATE(B24127,""en"",""de"")"),"Die Jungen werfen und schlugen den Cricketball und helfen sich gegenseitig, indem sie den Ball wieder in das Spiel umverteilt, wenn sie auf dem Feld landen.")</f>
        <v>Die Jungen werfen und schlugen den Cricketball und helfen sich gegenseitig, indem sie den Ball wieder in das Spiel umverteilt, wenn sie auf dem Feld landen.</v>
      </c>
    </row>
    <row r="24128">
      <c r="A24128" s="4" t="s">
        <v>30356</v>
      </c>
      <c r="B24128" s="4" t="s">
        <v>30359</v>
      </c>
      <c r="C24128" s="5" t="str">
        <f>IFERROR(__xludf.DUMMYFUNCTION("GOOGLETRANSLATE(B24128,""en"",""de"")"),"Einer der Jungen setzt einen Fußballhelm an und steht auf den Seitenlinien, die den Ball fangen.")</f>
        <v>Einer der Jungen setzt einen Fußballhelm an und steht auf den Seitenlinien, die den Ball fangen.</v>
      </c>
    </row>
    <row r="24129">
      <c r="A24129" s="4" t="s">
        <v>30360</v>
      </c>
      <c r="B24129" s="4" t="s">
        <v>30361</v>
      </c>
      <c r="C24129" s="5" t="str">
        <f>IFERROR(__xludf.DUMMYFUNCTION("GOOGLETRANSLATE(B24129,""en"",""de"")"),"Ein Mann versucht eine Langhantel zu heben.")</f>
        <v>Ein Mann versucht eine Langhantel zu heben.</v>
      </c>
    </row>
    <row r="24130">
      <c r="A24130" s="4" t="s">
        <v>30360</v>
      </c>
      <c r="B24130" s="4" t="s">
        <v>30362</v>
      </c>
      <c r="C24130" s="5" t="str">
        <f>IFERROR(__xludf.DUMMYFUNCTION("GOOGLETRANSLATE(B24130,""en"",""de"")"),"Er biegt an den Knien und hebt es an seine Brust.")</f>
        <v>Er biegt an den Knien und hebt es an seine Brust.</v>
      </c>
    </row>
    <row r="24131">
      <c r="A24131" s="4" t="s">
        <v>30360</v>
      </c>
      <c r="B24131" s="4" t="s">
        <v>30363</v>
      </c>
      <c r="C24131" s="5" t="str">
        <f>IFERROR(__xludf.DUMMYFUNCTION("GOOGLETRANSLATE(B24131,""en"",""de"")"),"Er trifft sich im Hals und fällt rückwärts.")</f>
        <v>Er trifft sich im Hals und fällt rückwärts.</v>
      </c>
    </row>
    <row r="24132">
      <c r="A24132" s="4" t="s">
        <v>30364</v>
      </c>
      <c r="B24132" s="4" t="s">
        <v>30365</v>
      </c>
      <c r="C24132" s="5" t="str">
        <f>IFERROR(__xludf.DUMMYFUNCTION("GOOGLETRANSLATE(B24132,""en"",""de"")"),"Ein strukturierter Intro -Bildschirm erscheint und ein Schuhlogo wird zusammen mit grünen Wörtern angezeigt, die ""Vickermann und Stoya"" sagen.")</f>
        <v>Ein strukturierter Intro -Bildschirm erscheint und ein Schuhlogo wird zusammen mit grünen Wörtern angezeigt, die "Vickermann und Stoya" sagen.</v>
      </c>
    </row>
    <row r="24133">
      <c r="A24133" s="4" t="s">
        <v>30364</v>
      </c>
      <c r="B24133" s="4" t="s">
        <v>30366</v>
      </c>
      <c r="C24133" s="5" t="str">
        <f>IFERROR(__xludf.DUMMYFUNCTION("GOOGLETRANSLATE(B24133,""en"",""de"")"),"Es werden zwei Gruppen von Vorräten angezeigt und enthalten Produkte aus dem Firmennamen auf dem Intro -Bildschirm, der Pinsel, ein Stoff, Schuhschale, Schnürsenkel und einige kleine Blechbehälter umfasst.")</f>
        <v>Es werden zwei Gruppen von Vorräten angezeigt und enthalten Produkte aus dem Firmennamen auf dem Intro -Bildschirm, der Pinsel, ein Stoff, Schuhschale, Schnürsenkel und einige kleine Blechbehälter umfasst.</v>
      </c>
    </row>
    <row r="24134">
      <c r="A24134" s="4" t="s">
        <v>30364</v>
      </c>
      <c r="B24134" s="4" t="s">
        <v>30367</v>
      </c>
      <c r="C24134" s="5" t="str">
        <f>IFERROR(__xludf.DUMMYFUNCTION("GOOGLETRANSLATE(B24134,""en"",""de"")"),"Ein Mann, der eine grüne Schürze trägt Jede Oberfläche, die er putzt.")</f>
        <v>Ein Mann, der eine grüne Schürze trägt Jede Oberfläche, die er putzt.</v>
      </c>
    </row>
    <row r="24135">
      <c r="A24135" s="4" t="s">
        <v>30364</v>
      </c>
      <c r="B24135" s="4" t="s">
        <v>30368</v>
      </c>
      <c r="C24135" s="5" t="str">
        <f>IFERROR(__xludf.DUMMYFUNCTION("GOOGLETRANSLATE(B24135,""en"",""de"")"),"Der Mann nimmt dann ein weißes Tuch und reibt alles über den Schuh.")</f>
        <v>Der Mann nimmt dann ein weißes Tuch und reibt alles über den Schuh.</v>
      </c>
    </row>
    <row r="24136">
      <c r="A24136" s="4" t="s">
        <v>30364</v>
      </c>
      <c r="B24136" s="4" t="s">
        <v>30369</v>
      </c>
      <c r="C24136" s="5" t="str">
        <f>IFERROR(__xludf.DUMMYFUNCTION("GOOGLETRANSLATE(B24136,""en"",""de"")"),"Der Mann legt das weiße Tuch ab, nimmt eine dicke Bürste auf und streift den Schuh überall.")</f>
        <v>Der Mann legt das weiße Tuch ab, nimmt eine dicke Bürste auf und streift den Schuh überall.</v>
      </c>
    </row>
    <row r="24137">
      <c r="A24137" s="4" t="s">
        <v>30364</v>
      </c>
      <c r="B24137" s="4" t="s">
        <v>30370</v>
      </c>
      <c r="C24137" s="5" t="str">
        <f>IFERROR(__xludf.DUMMYFUNCTION("GOOGLETRANSLATE(B24137,""en"",""de"")"),"Dann legt er den Schuh und die Bürste ab, nimmt den Schnürsenkel auf und schnürt den Schuh.")</f>
        <v>Dann legt er den Schuh und die Bürste ab, nimmt den Schnürsenkel auf und schnürt den Schuh.</v>
      </c>
    </row>
    <row r="24138">
      <c r="A24138" s="4" t="s">
        <v>30364</v>
      </c>
      <c r="B24138" s="4" t="s">
        <v>30371</v>
      </c>
      <c r="C24138" s="5" t="str">
        <f>IFERROR(__xludf.DUMMYFUNCTION("GOOGLETRANSLATE(B24138,""en"",""de"")"),"Der Mann nimmt dann den polierten Schuh und den unpolierten Schuh auf und setzt sie für einen Vergleich an die Kamera, dann erscheint der gleiche strukturierte Bildschirm aus dem Intro mit dem Schuhprotokoll und dem Firmennamen ""Vickermann und Stoya"".")</f>
        <v>Der Mann nimmt dann den polierten Schuh und den unpolierten Schuh auf und setzt sie für einen Vergleich an die Kamera, dann erscheint der gleiche strukturierte Bildschirm aus dem Intro mit dem Schuhprotokoll und dem Firmennamen "Vickermann und Stoya".</v>
      </c>
    </row>
    <row r="24139">
      <c r="A24139" s="4" t="s">
        <v>30372</v>
      </c>
      <c r="B24139" s="4" t="s">
        <v>30373</v>
      </c>
      <c r="C24139" s="5" t="str">
        <f>IFERROR(__xludf.DUMMYFUNCTION("GOOGLETRANSLATE(B24139,""en"",""de"")"),"Ein Mann spricht mit der Kamera und führt in ihn, der den Rücken eines anderen Mannes abweist.")</f>
        <v>Ein Mann spricht mit der Kamera und führt in ihn, der den Rücken eines anderen Mannes abweist.</v>
      </c>
    </row>
    <row r="24140">
      <c r="A24140" s="4" t="s">
        <v>30372</v>
      </c>
      <c r="B24140" s="4" t="s">
        <v>30374</v>
      </c>
      <c r="C24140" s="5" t="str">
        <f>IFERROR(__xludf.DUMMYFUNCTION("GOOGLETRANSLATE(B24140,""en"",""de"")"),"Er reibt Lotion und steht dann mit dem Mann auf.")</f>
        <v>Er reibt Lotion und steht dann mit dem Mann auf.</v>
      </c>
    </row>
    <row r="24141">
      <c r="A24141" s="4" t="s">
        <v>30372</v>
      </c>
      <c r="B24141" s="4" t="s">
        <v>30375</v>
      </c>
      <c r="C24141" s="5" t="str">
        <f>IFERROR(__xludf.DUMMYFUNCTION("GOOGLETRANSLATE(B24141,""en"",""de"")"),"Der Mann hält einen Spiegel bis zu seinem Rücken und lächelt zum Künstler zurück.")</f>
        <v>Der Mann hält einen Spiegel bis zu seinem Rücken und lächelt zum Künstler zurück.</v>
      </c>
    </row>
    <row r="24142">
      <c r="A24142" s="4" t="s">
        <v>30376</v>
      </c>
      <c r="B24142" s="4" t="s">
        <v>30377</v>
      </c>
      <c r="C24142" s="5" t="str">
        <f>IFERROR(__xludf.DUMMYFUNCTION("GOOGLETRANSLATE(B24142,""en"",""de"")"),"Es gibt einige Kinder, die eine Wasserpumpe verwenden, um ihre Hände im Plumpton Park Zoo zu waschen.")</f>
        <v>Es gibt einige Kinder, die eine Wasserpumpe verwenden, um ihre Hände im Plumpton Park Zoo zu waschen.</v>
      </c>
    </row>
    <row r="24143">
      <c r="A24143" s="4" t="s">
        <v>30376</v>
      </c>
      <c r="B24143" s="4" t="s">
        <v>30378</v>
      </c>
      <c r="C24143" s="5" t="str">
        <f>IFERROR(__xludf.DUMMYFUNCTION("GOOGLETRANSLATE(B24143,""en"",""de"")"),"Es gibt einen kleinen Jungen in einem schwarz -weißen Hoodie, der hilft, Wasser für einen anderen Jungen auszupumpen, um seine Hände zu waschen.")</f>
        <v>Es gibt einen kleinen Jungen in einem schwarz -weißen Hoodie, der hilft, Wasser für einen anderen Jungen auszupumpen, um seine Hände zu waschen.</v>
      </c>
    </row>
    <row r="24144">
      <c r="A24144" s="4" t="s">
        <v>30376</v>
      </c>
      <c r="B24144" s="4" t="s">
        <v>30379</v>
      </c>
      <c r="C24144" s="5" t="str">
        <f>IFERROR(__xludf.DUMMYFUNCTION("GOOGLETRANSLATE(B24144,""en"",""de"")"),"Dann hilft er einem anderen Jungen, der einen schwarzen Hoodie trägt, um seine Hände zu waschen.")</f>
        <v>Dann hilft er einem anderen Jungen, der einen schwarzen Hoodie trägt, um seine Hände zu waschen.</v>
      </c>
    </row>
    <row r="24145">
      <c r="A24145" s="4" t="s">
        <v>30376</v>
      </c>
      <c r="B24145" s="4" t="s">
        <v>30380</v>
      </c>
      <c r="C24145" s="5" t="str">
        <f>IFERROR(__xludf.DUMMYFUNCTION("GOOGLETRANSLATE(B24145,""en"",""de"")"),"Die drei Kinder haben Spaß im Wasser, wenn sie ihre Hände sauber waschen.")</f>
        <v>Die drei Kinder haben Spaß im Wasser, wenn sie ihre Hände sauber waschen.</v>
      </c>
    </row>
    <row r="24146">
      <c r="A24146" s="4" t="s">
        <v>30381</v>
      </c>
      <c r="B24146" s="4" t="s">
        <v>30382</v>
      </c>
      <c r="C24146" s="5" t="str">
        <f>IFERROR(__xludf.DUMMYFUNCTION("GOOGLETRANSLATE(B24146,""en"",""de"")"),"Eine Dame steht in einem Hof ​​mit einem Blattgebläse, bevor er über die Schnur tritt.")</f>
        <v>Eine Dame steht in einem Hof ​​mit einem Blattgebläse, bevor er über die Schnur tritt.</v>
      </c>
    </row>
    <row r="24147">
      <c r="A24147" s="4" t="s">
        <v>30381</v>
      </c>
      <c r="B24147" s="4" t="s">
        <v>30383</v>
      </c>
      <c r="C24147" s="5" t="str">
        <f>IFERROR(__xludf.DUMMYFUNCTION("GOOGLETRANSLATE(B24147,""en"",""de"")"),"Die Dame bläst die Blätter, als sie um den Hof geht.")</f>
        <v>Die Dame bläst die Blätter, als sie um den Hof geht.</v>
      </c>
    </row>
    <row r="24148">
      <c r="A24148" s="4" t="s">
        <v>30381</v>
      </c>
      <c r="B24148" s="4" t="s">
        <v>30384</v>
      </c>
      <c r="C24148" s="5" t="str">
        <f>IFERROR(__xludf.DUMMYFUNCTION("GOOGLETRANSLATE(B24148,""en"",""de"")"),"Die Dame zeigt das Werkzeug in die Kamera und lacht.")</f>
        <v>Die Dame zeigt das Werkzeug in die Kamera und lacht.</v>
      </c>
    </row>
    <row r="24149">
      <c r="A24149" s="4" t="s">
        <v>30381</v>
      </c>
      <c r="B24149" s="4" t="s">
        <v>30385</v>
      </c>
      <c r="C24149" s="5" t="str">
        <f>IFERROR(__xludf.DUMMYFUNCTION("GOOGLETRANSLATE(B24149,""en"",""de"")"),"Die Dame bläst weiterhin die Blätter.")</f>
        <v>Die Dame bläst weiterhin die Blätter.</v>
      </c>
    </row>
    <row r="24150">
      <c r="A24150" s="4" t="s">
        <v>30386</v>
      </c>
      <c r="B24150" s="4" t="s">
        <v>30387</v>
      </c>
      <c r="C24150" s="5" t="str">
        <f>IFERROR(__xludf.DUMMYFUNCTION("GOOGLETRANSLATE(B24150,""en"",""de"")"),"Ein Mädchen betritt einen Raum und sieht Noten am Klavier.")</f>
        <v>Ein Mädchen betritt einen Raum und sieht Noten am Klavier.</v>
      </c>
    </row>
    <row r="24151">
      <c r="A24151" s="4" t="s">
        <v>30386</v>
      </c>
      <c r="B24151" s="4" t="s">
        <v>30388</v>
      </c>
      <c r="C24151" s="5" t="str">
        <f>IFERROR(__xludf.DUMMYFUNCTION("GOOGLETRANSLATE(B24151,""en"",""de"")"),"Sie öffnet das Klavier und beginnt zu spielen.")</f>
        <v>Sie öffnet das Klavier und beginnt zu spielen.</v>
      </c>
    </row>
    <row r="24152">
      <c r="A24152" s="4" t="s">
        <v>30386</v>
      </c>
      <c r="B24152" s="4" t="s">
        <v>30389</v>
      </c>
      <c r="C24152" s="5" t="str">
        <f>IFERROR(__xludf.DUMMYFUNCTION("GOOGLETRANSLATE(B24152,""en"",""de"")"),"Sie denkt an ein Paar, während sie spielt.")</f>
        <v>Sie denkt an ein Paar, während sie spielt.</v>
      </c>
    </row>
    <row r="24153">
      <c r="A24153" s="4" t="s">
        <v>30390</v>
      </c>
      <c r="B24153" s="4" t="s">
        <v>30391</v>
      </c>
      <c r="C24153" s="5" t="str">
        <f>IFERROR(__xludf.DUMMYFUNCTION("GOOGLETRANSLATE(B24153,""en"",""de"")"),"Eine Frau hat Angst, ins Wasser zu gehen, und sagt, dass sie das nicht tun kann.")</f>
        <v>Eine Frau hat Angst, ins Wasser zu gehen, und sagt, dass sie das nicht tun kann.</v>
      </c>
    </row>
    <row r="24154">
      <c r="A24154" s="4" t="s">
        <v>30390</v>
      </c>
      <c r="B24154" s="4" t="s">
        <v>30392</v>
      </c>
      <c r="C24154" s="5" t="str">
        <f>IFERROR(__xludf.DUMMYFUNCTION("GOOGLETRANSLATE(B24154,""en"",""de"")"),"Eine Gruppe von Menschen sitzt in einem Wasserbecken, der prekär nahe am Rand eines Wasserfalls liegt.")</f>
        <v>Eine Gruppe von Menschen sitzt in einem Wasserbecken, der prekär nahe am Rand eines Wasserfalls liegt.</v>
      </c>
    </row>
    <row r="24155">
      <c r="A24155" s="4" t="s">
        <v>30390</v>
      </c>
      <c r="B24155" s="4" t="s">
        <v>30393</v>
      </c>
      <c r="C24155" s="5" t="str">
        <f>IFERROR(__xludf.DUMMYFUNCTION("GOOGLETRANSLATE(B24155,""en"",""de"")"),"Die Frau springt ins Wasser und alle jubeln.")</f>
        <v>Die Frau springt ins Wasser und alle jubeln.</v>
      </c>
    </row>
    <row r="24156">
      <c r="A24156" s="4" t="s">
        <v>30390</v>
      </c>
      <c r="B24156" s="4" t="s">
        <v>30394</v>
      </c>
      <c r="C24156" s="5" t="str">
        <f>IFERROR(__xludf.DUMMYFUNCTION("GOOGLETRANSLATE(B24156,""en"",""de"")"),"Die Gruppe der Menschen lacht und redet, während mehr Menschen ins Wasser springen.")</f>
        <v>Die Gruppe der Menschen lacht und redet, während mehr Menschen ins Wasser springen.</v>
      </c>
    </row>
    <row r="24157">
      <c r="A24157" s="4" t="s">
        <v>30390</v>
      </c>
      <c r="B24157" s="4" t="s">
        <v>30395</v>
      </c>
      <c r="C24157" s="5" t="str">
        <f>IFERROR(__xludf.DUMMYFUNCTION("GOOGLETRANSLATE(B24157,""en"",""de"")"),"Szenen des Wasserfalls werden betrachtet.")</f>
        <v>Szenen des Wasserfalls werden betrachtet.</v>
      </c>
    </row>
    <row r="24158">
      <c r="A24158" s="4" t="s">
        <v>30396</v>
      </c>
      <c r="B24158" s="4" t="s">
        <v>30397</v>
      </c>
      <c r="C24158" s="5" t="str">
        <f>IFERROR(__xludf.DUMMYFUNCTION("GOOGLETRANSLATE(B24158,""en"",""de"")"),"Ein Mann bereitet sich auf eine Gymnastikroutine in den parallelen Bars vor.")</f>
        <v>Ein Mann bereitet sich auf eine Gymnastikroutine in den parallelen Bars vor.</v>
      </c>
    </row>
    <row r="24159">
      <c r="A24159" s="4" t="s">
        <v>30396</v>
      </c>
      <c r="B24159" s="4" t="s">
        <v>30398</v>
      </c>
      <c r="C24159" s="5" t="str">
        <f>IFERROR(__xludf.DUMMYFUNCTION("GOOGLETRANSLATE(B24159,""en"",""de"")"),"Die Menge scheint zuzustimmen, wenn er sich umdreht und sich selbst fängt, bevor er dann abnimmt.")</f>
        <v>Die Menge scheint zuzustimmen, wenn er sich umdreht und sich selbst fängt, bevor er dann abnimmt.</v>
      </c>
    </row>
    <row r="24160">
      <c r="A24160" s="4" t="s">
        <v>30399</v>
      </c>
      <c r="B24160" s="4" t="s">
        <v>30400</v>
      </c>
      <c r="C24160" s="5" t="str">
        <f>IFERROR(__xludf.DUMMYFUNCTION("GOOGLETRANSLATE(B24160,""en"",""de"")"),"Eine Kamera schwenkt rund um einen bewaldeten Bereich und führt zu zwei Personen, die auf Skiern herumfahren.")</f>
        <v>Eine Kamera schwenkt rund um einen bewaldeten Bereich und führt zu zwei Personen, die auf Skiern herumfahren.</v>
      </c>
    </row>
    <row r="24161">
      <c r="A24161" s="4" t="s">
        <v>30399</v>
      </c>
      <c r="B24161" s="4" t="s">
        <v>30401</v>
      </c>
      <c r="C24161" s="5" t="str">
        <f>IFERROR(__xludf.DUMMYFUNCTION("GOOGLETRANSLATE(B24161,""en"",""de"")"),"Es werden verschiedene Schüsse von verschiedenen Personen gezeigt, die hinter einem Boot auf Skiernern fahren und Tricks durchführen.")</f>
        <v>Es werden verschiedene Schüsse von verschiedenen Personen gezeigt, die hinter einem Boot auf Skiernern fahren und Tricks durchführen.</v>
      </c>
    </row>
    <row r="24162">
      <c r="A24162" s="4" t="s">
        <v>30399</v>
      </c>
      <c r="B24162" s="4" t="s">
        <v>30402</v>
      </c>
      <c r="C24162" s="5" t="str">
        <f>IFERROR(__xludf.DUMMYFUNCTION("GOOGLETRANSLATE(B24162,""en"",""de"")"),"Die Menschen reiten weiter und hängen an der Seite an einem großen Stangen.")</f>
        <v>Die Menschen reiten weiter und hängen an der Seite an einem großen Stangen.</v>
      </c>
    </row>
    <row r="24163">
      <c r="A24163" s="4" t="s">
        <v>30403</v>
      </c>
      <c r="B24163" s="4" t="s">
        <v>30404</v>
      </c>
      <c r="C24163" s="5" t="str">
        <f>IFERROR(__xludf.DUMMYFUNCTION("GOOGLETRANSLATE(B24163,""en"",""de"")"),"Ein Mann spricht mit der Kamera, während er verschiedene Objekte vor ihm präsentiert.")</f>
        <v>Ein Mann spricht mit der Kamera, während er verschiedene Objekte vor ihm präsentiert.</v>
      </c>
    </row>
    <row r="24164">
      <c r="A24164" s="4" t="s">
        <v>30403</v>
      </c>
      <c r="B24164" s="4" t="s">
        <v>30405</v>
      </c>
      <c r="C24164" s="5" t="str">
        <f>IFERROR(__xludf.DUMMYFUNCTION("GOOGLETRANSLATE(B24164,""en"",""de"")"),"Der Mann verwendet dann einen Marker, um die Seite eines Tisches auszugraben und ihn auszufüllen.")</f>
        <v>Der Mann verwendet dann einen Marker, um die Seite eines Tisches auszugraben und ihn auszufüllen.</v>
      </c>
    </row>
    <row r="24165">
      <c r="A24165" s="4" t="s">
        <v>30403</v>
      </c>
      <c r="B24165" s="4" t="s">
        <v>30406</v>
      </c>
      <c r="C24165" s="5" t="str">
        <f>IFERROR(__xludf.DUMMYFUNCTION("GOOGLETRANSLATE(B24165,""en"",""de"")"),"Er zeigt, wie man den Stift auf mehreren Objekten benutzt, während er ihn füllt und danach schleift.")</f>
        <v>Er zeigt, wie man den Stift auf mehreren Objekten benutzt, während er ihn füllt und danach schleift.</v>
      </c>
    </row>
    <row r="24166">
      <c r="A24166" s="4" t="s">
        <v>30407</v>
      </c>
      <c r="B24166" s="4" t="s">
        <v>30408</v>
      </c>
      <c r="C24166" s="5" t="str">
        <f>IFERROR(__xludf.DUMMYFUNCTION("GOOGLETRANSLATE(B24166,""en"",""de"")"),"Ein Junge fährt mit einem langen Brett verschiedene Straßenwegen hinunter.")</f>
        <v>Ein Junge fährt mit einem langen Brett verschiedene Straßenwegen hinunter.</v>
      </c>
    </row>
    <row r="24167">
      <c r="A24167" s="4" t="s">
        <v>30407</v>
      </c>
      <c r="B24167" s="4" t="s">
        <v>30409</v>
      </c>
      <c r="C24167" s="5" t="str">
        <f>IFERROR(__xludf.DUMMYFUNCTION("GOOGLETRANSLATE(B24167,""en"",""de"")"),"Er macht einen Flip -Trick, der einen der Straßenwegen hinunterfährt.")</f>
        <v>Er macht einen Flip -Trick, der einen der Straßenwegen hinunterfährt.</v>
      </c>
    </row>
    <row r="24168">
      <c r="A24168" s="4" t="s">
        <v>30407</v>
      </c>
      <c r="B24168" s="4" t="s">
        <v>30410</v>
      </c>
      <c r="C24168" s="5" t="str">
        <f>IFERROR(__xludf.DUMMYFUNCTION("GOOGLETRANSLATE(B24168,""en"",""de"")"),"Er schlängelt sich zurück und den vierten Platz in die schneebedeckte Straße.")</f>
        <v>Er schlängelt sich zurück und den vierten Platz in die schneebedeckte Straße.</v>
      </c>
    </row>
    <row r="24169">
      <c r="A24169" s="4" t="s">
        <v>30407</v>
      </c>
      <c r="B24169" s="4" t="s">
        <v>30411</v>
      </c>
      <c r="C24169" s="5" t="str">
        <f>IFERROR(__xludf.DUMMYFUNCTION("GOOGLETRANSLATE(B24169,""en"",""de"")"),"Die Skateboards nachts und das Logo wird gezeigt.")</f>
        <v>Die Skateboards nachts und das Logo wird gezeigt.</v>
      </c>
    </row>
    <row r="24170">
      <c r="A24170" s="4" t="s">
        <v>30412</v>
      </c>
      <c r="B24170" s="4" t="s">
        <v>30413</v>
      </c>
      <c r="C24170" s="5" t="str">
        <f>IFERROR(__xludf.DUMMYFUNCTION("GOOGLETRANSLATE(B24170,""en"",""de"")"),"Zwei Mädchen in der Karate -Klasse verbeugten sich vor dem Training vorwärts und dann zueinander.")</f>
        <v>Zwei Mädchen in der Karate -Klasse verbeugten sich vor dem Training vorwärts und dann zueinander.</v>
      </c>
    </row>
    <row r="24171">
      <c r="A24171" s="4" t="s">
        <v>30412</v>
      </c>
      <c r="B24171" s="4" t="s">
        <v>30414</v>
      </c>
      <c r="C24171" s="5" t="str">
        <f>IFERROR(__xludf.DUMMYFUNCTION("GOOGLETRANSLATE(B24171,""en"",""de"")"),"Das Mädchen weicht einem Angriff aus, indem er ein Knie nimmt und einen Treffer blockiert.")</f>
        <v>Das Mädchen weicht einem Angriff aus, indem er ein Knie nimmt und einen Treffer blockiert.</v>
      </c>
    </row>
    <row r="24172">
      <c r="A24172" s="4" t="s">
        <v>30412</v>
      </c>
      <c r="B24172" s="4" t="s">
        <v>30415</v>
      </c>
      <c r="C24172" s="5" t="str">
        <f>IFERROR(__xludf.DUMMYFUNCTION("GOOGLETRANSLATE(B24172,""en"",""de"")"),"Die Karate -Studenten schlagen und blockieren mit ihren Handgelenken.")</f>
        <v>Die Karate -Studenten schlagen und blockieren mit ihren Handgelenken.</v>
      </c>
    </row>
    <row r="24173">
      <c r="A24173" s="4" t="s">
        <v>30412</v>
      </c>
      <c r="B24173" s="4" t="s">
        <v>30416</v>
      </c>
      <c r="C24173" s="5" t="str">
        <f>IFERROR(__xludf.DUMMYFUNCTION("GOOGLETRANSLATE(B24173,""en"",""de"")"),"Das Mädchen macht einen stehenden Spinning.")</f>
        <v>Das Mädchen macht einen stehenden Spinning.</v>
      </c>
    </row>
    <row r="24174">
      <c r="A24174" s="4" t="s">
        <v>30417</v>
      </c>
      <c r="B24174" s="4" t="s">
        <v>30418</v>
      </c>
      <c r="C24174" s="5" t="str">
        <f>IFERROR(__xludf.DUMMYFUNCTION("GOOGLETRANSLATE(B24174,""en"",""de"")"),"Eine Frau spricht und repariert ihr nasses Haar, sie zeigt auch eine Bürste und ein trockenes Haar.")</f>
        <v>Eine Frau spricht und repariert ihr nasses Haar, sie zeigt auch eine Bürste und ein trockenes Haar.</v>
      </c>
    </row>
    <row r="24175">
      <c r="A24175" s="4" t="s">
        <v>30417</v>
      </c>
      <c r="B24175" s="4" t="s">
        <v>30419</v>
      </c>
      <c r="C24175" s="5" t="str">
        <f>IFERROR(__xludf.DUMMYFUNCTION("GOOGLETRANSLATE(B24175,""en"",""de"")"),"Die Frau streift ihr Haar mit einem Haartrockner in verschiedene Richtungen.")</f>
        <v>Die Frau streift ihr Haar mit einem Haartrockner in verschiedene Richtungen.</v>
      </c>
    </row>
    <row r="24176">
      <c r="A24176" s="4" t="s">
        <v>30417</v>
      </c>
      <c r="B24176" s="4" t="s">
        <v>30420</v>
      </c>
      <c r="C24176" s="5" t="str">
        <f>IFERROR(__xludf.DUMMYFUNCTION("GOOGLETRANSLATE(B24176,""en"",""de"")"),"Dann bleibt die Frau stehen und zeigt ihre Frisur, während sie redet.")</f>
        <v>Dann bleibt die Frau stehen und zeigt ihre Frisur, während sie redet.</v>
      </c>
    </row>
    <row r="24177">
      <c r="A24177" s="4" t="s">
        <v>30417</v>
      </c>
      <c r="B24177" s="4" t="s">
        <v>30421</v>
      </c>
      <c r="C24177" s="5" t="str">
        <f>IFERROR(__xludf.DUMMYFUNCTION("GOOGLETRANSLATE(B24177,""en"",""de"")"),"Danach zeigt die Frau die Richtung, um das Haar zu kämmen, und benutzt dann ein Haareisen, um das Haar zu glätten.")</f>
        <v>Danach zeigt die Frau die Richtung, um das Haar zu kämmen, und benutzt dann ein Haareisen, um das Haar zu glätten.</v>
      </c>
    </row>
    <row r="24178">
      <c r="A24178" s="4" t="s">
        <v>30422</v>
      </c>
      <c r="B24178" s="4" t="s">
        <v>30423</v>
      </c>
      <c r="C24178" s="5" t="str">
        <f>IFERROR(__xludf.DUMMYFUNCTION("GOOGLETRANSLATE(B24178,""en"",""de"")"),"Ein Mann winken Räder in einem Kanu.")</f>
        <v>Ein Mann winken Räder in einem Kanu.</v>
      </c>
    </row>
    <row r="24179">
      <c r="A24179" s="4" t="s">
        <v>30422</v>
      </c>
      <c r="B24179" s="4" t="s">
        <v>30424</v>
      </c>
      <c r="C24179" s="5" t="str">
        <f>IFERROR(__xludf.DUMMYFUNCTION("GOOGLETRANSLATE(B24179,""en"",""de"")"),"Er wird gezeigt, dass er nachgeschalteter Dynamik in seinem Kanu rollt.")</f>
        <v>Er wird gezeigt, dass er nachgeschalteter Dynamik in seinem Kanu rollt.</v>
      </c>
    </row>
    <row r="24180">
      <c r="A24180" s="4" t="s">
        <v>30422</v>
      </c>
      <c r="B24180" s="4" t="s">
        <v>30425</v>
      </c>
      <c r="C24180" s="5" t="str">
        <f>IFERROR(__xludf.DUMMYFUNCTION("GOOGLETRANSLATE(B24180,""en"",""de"")"),"Jetzt sehen wir Set Edge und Pflanzenklinge, als er sich stromaufwärts bewegt.")</f>
        <v>Jetzt sehen wir Set Edge und Pflanzenklinge, als er sich stromaufwärts bewegt.</v>
      </c>
    </row>
    <row r="24181">
      <c r="A24181" s="4" t="s">
        <v>30426</v>
      </c>
      <c r="B24181" s="4" t="s">
        <v>30427</v>
      </c>
      <c r="C24181" s="5" t="str">
        <f>IFERROR(__xludf.DUMMYFUNCTION("GOOGLETRANSLATE(B24181,""en"",""de"")"),"Eine Person steht auf einem Seil und springt dann über ein Seil.")</f>
        <v>Eine Person steht auf einem Seil und springt dann über ein Seil.</v>
      </c>
    </row>
    <row r="24182">
      <c r="A24182" s="4" t="s">
        <v>30426</v>
      </c>
      <c r="B24182" s="4" t="s">
        <v>30428</v>
      </c>
      <c r="C24182" s="5" t="str">
        <f>IFERROR(__xludf.DUMMYFUNCTION("GOOGLETRANSLATE(B24182,""en"",""de"")"),"Die Person springt auch auf diesen Hintern und Körper auf die Füße.")</f>
        <v>Die Person springt auch auf diesen Hintern und Körper auf die Füße.</v>
      </c>
    </row>
    <row r="24183">
      <c r="A24183" s="4" t="s">
        <v>30429</v>
      </c>
      <c r="B24183" s="4" t="s">
        <v>30430</v>
      </c>
      <c r="C24183" s="5" t="str">
        <f>IFERROR(__xludf.DUMMYFUNCTION("GOOGLETRANSLATE(B24183,""en"",""de"")"),"Eine Familie sitzt am Strand und macht Sandburgen mit einem Objekt.")</f>
        <v>Eine Familie sitzt am Strand und macht Sandburgen mit einem Objekt.</v>
      </c>
    </row>
    <row r="24184">
      <c r="A24184" s="4" t="s">
        <v>30429</v>
      </c>
      <c r="B24184" s="4" t="s">
        <v>30431</v>
      </c>
      <c r="C24184" s="5" t="str">
        <f>IFERROR(__xludf.DUMMYFUNCTION("GOOGLETRANSLATE(B24184,""en"",""de"")"),"Die Leute stehen herum, um zuzusehen, wie sie arbeiten und die Kamera schwenkt um die Kinder, die im Sand spielen.")</f>
        <v>Die Leute stehen herum, um zuzusehen, wie sie arbeiten und die Kamera schwenkt um die Kinder, die im Sand spielen.</v>
      </c>
    </row>
    <row r="24185">
      <c r="A24185" s="4" t="s">
        <v>30432</v>
      </c>
      <c r="B24185" s="4" t="s">
        <v>30433</v>
      </c>
      <c r="C24185" s="5" t="str">
        <f>IFERROR(__xludf.DUMMYFUNCTION("GOOGLETRANSLATE(B24185,""en"",""de"")"),"Frau malt den Zaun mit weißer Farbe.")</f>
        <v>Frau malt den Zaun mit weißer Farbe.</v>
      </c>
    </row>
    <row r="24186">
      <c r="A24186" s="4" t="s">
        <v>30432</v>
      </c>
      <c r="B24186" s="4" t="s">
        <v>30434</v>
      </c>
      <c r="C24186" s="5" t="str">
        <f>IFERROR(__xludf.DUMMYFUNCTION("GOOGLETRANSLATE(B24186,""en"",""de"")"),"Der Mensch malt eine grüne Bank im Park.")</f>
        <v>Der Mensch malt eine grüne Bank im Park.</v>
      </c>
    </row>
    <row r="24187">
      <c r="A24187" s="4" t="s">
        <v>30435</v>
      </c>
      <c r="B24187" s="4" t="s">
        <v>30436</v>
      </c>
      <c r="C24187" s="5" t="str">
        <f>IFERROR(__xludf.DUMMYFUNCTION("GOOGLETRANSLATE(B24187,""en"",""de"")"),"Eine Gruppe von Menschen schwimmt in einem Pool herum, wobei ein Mann auf dem Kopf sitzt.")</f>
        <v>Eine Gruppe von Menschen schwimmt in einem Pool herum, wobei ein Mann auf dem Kopf sitzt.</v>
      </c>
    </row>
    <row r="24188">
      <c r="A24188" s="4" t="s">
        <v>30435</v>
      </c>
      <c r="B24188" s="4" t="s">
        <v>30437</v>
      </c>
      <c r="C24188" s="5" t="str">
        <f>IFERROR(__xludf.DUMMYFUNCTION("GOOGLETRANSLATE(B24188,""en"",""de"")"),"Weitere Aufnahmen von Menschen, die sich in der Nähe des Wassers und Kniens schließen.")</f>
        <v>Weitere Aufnahmen von Menschen, die sich in der Nähe des Wassers und Kniens schließen.</v>
      </c>
    </row>
    <row r="24189">
      <c r="A24189" s="4" t="s">
        <v>30435</v>
      </c>
      <c r="B24189" s="4" t="s">
        <v>30438</v>
      </c>
      <c r="C24189" s="5" t="str">
        <f>IFERROR(__xludf.DUMMYFUNCTION("GOOGLETRANSLATE(B24189,""en"",""de"")"),"Eine Frau nimmt ihren Panzer aus und legt sie zurück und führt in sie schwimmen mehr.")</f>
        <v>Eine Frau nimmt ihren Panzer aus und legt sie zurück und führt in sie schwimmen mehr.</v>
      </c>
    </row>
    <row r="24190">
      <c r="A24190" s="4" t="s">
        <v>30439</v>
      </c>
      <c r="B24190" s="4" t="s">
        <v>30440</v>
      </c>
      <c r="C24190" s="5" t="str">
        <f>IFERROR(__xludf.DUMMYFUNCTION("GOOGLETRANSLATE(B24190,""en"",""de"")"),"Jungen wischen den gefliesten Boden.")</f>
        <v>Jungen wischen den gefliesten Boden.</v>
      </c>
    </row>
    <row r="24191">
      <c r="A24191" s="4" t="s">
        <v>30439</v>
      </c>
      <c r="B24191" s="4" t="s">
        <v>30441</v>
      </c>
      <c r="C24191" s="5" t="str">
        <f>IFERROR(__xludf.DUMMYFUNCTION("GOOGLETRANSLATE(B24191,""en"",""de"")"),"Ein Junge in kurzen Stellen in einem gelben Eimer.")</f>
        <v>Ein Junge in kurzen Stellen in einem gelben Eimer.</v>
      </c>
    </row>
    <row r="24192">
      <c r="A24192" s="4" t="s">
        <v>30439</v>
      </c>
      <c r="B24192" s="4" t="s">
        <v>30442</v>
      </c>
      <c r="C24192" s="5" t="str">
        <f>IFERROR(__xludf.DUMMYFUNCTION("GOOGLETRANSLATE(B24192,""en"",""de"")"),"Eine Dame geht mit einem langen klaren Objekt in der Hand weg.")</f>
        <v>Eine Dame geht mit einem langen klaren Objekt in der Hand weg.</v>
      </c>
    </row>
    <row r="24193">
      <c r="A24193" s="4" t="s">
        <v>30443</v>
      </c>
      <c r="B24193" s="4" t="s">
        <v>30444</v>
      </c>
      <c r="C24193" s="5" t="str">
        <f>IFERROR(__xludf.DUMMYFUNCTION("GOOGLETRANSLATE(B24193,""en"",""de"")"),"Kinder fahren in Stoßstangenautos auf einer Vergnügungsfahrt.")</f>
        <v>Kinder fahren in Stoßstangenautos auf einer Vergnügungsfahrt.</v>
      </c>
    </row>
    <row r="24194">
      <c r="A24194" s="4" t="s">
        <v>30443</v>
      </c>
      <c r="B24194" s="4" t="s">
        <v>30445</v>
      </c>
      <c r="C24194" s="5" t="str">
        <f>IFERROR(__xludf.DUMMYFUNCTION("GOOGLETRANSLATE(B24194,""en"",""de"")"),"Eine Person folgt uneingeschränkt hinter einem Auto vor ihm, der mit seinem Stoßfänger fährt.")</f>
        <v>Eine Person folgt uneingeschränkt hinter einem Auto vor ihm, der mit seinem Stoßfänger fährt.</v>
      </c>
    </row>
    <row r="24195">
      <c r="A24195" s="4" t="s">
        <v>30443</v>
      </c>
      <c r="B24195" s="4" t="s">
        <v>30446</v>
      </c>
      <c r="C24195" s="5" t="str">
        <f>IFERROR(__xludf.DUMMYFUNCTION("GOOGLETRANSLATE(B24195,""en"",""de"")"),"Die Gruppe bleibt in einem großen Stau stecken, nachdem er sich gegenseitig gestoßen hat.")</f>
        <v>Die Gruppe bleibt in einem großen Stau stecken, nachdem er sich gegenseitig gestoßen hat.</v>
      </c>
    </row>
    <row r="24196">
      <c r="A24196" s="4" t="s">
        <v>30443</v>
      </c>
      <c r="B24196" s="4" t="s">
        <v>30447</v>
      </c>
      <c r="C24196" s="5" t="str">
        <f>IFERROR(__xludf.DUMMYFUNCTION("GOOGLETRANSLATE(B24196,""en"",""de"")"),"Die Autos drehen sich um und steigen aus dem Stau.")</f>
        <v>Die Autos drehen sich um und steigen aus dem Stau.</v>
      </c>
    </row>
    <row r="24197">
      <c r="A24197" s="4" t="s">
        <v>30443</v>
      </c>
      <c r="B24197" s="4" t="s">
        <v>30448</v>
      </c>
      <c r="C24197" s="5" t="str">
        <f>IFERROR(__xludf.DUMMYFUNCTION("GOOGLETRANSLATE(B24197,""en"",""de"")"),"Ein Junge stürzt gegen ein gestopptes Auto in den Rücken.")</f>
        <v>Ein Junge stürzt gegen ein gestopptes Auto in den Rücken.</v>
      </c>
    </row>
    <row r="24198">
      <c r="A24198" s="4" t="s">
        <v>30449</v>
      </c>
      <c r="B24198" s="4" t="s">
        <v>30450</v>
      </c>
      <c r="C24198" s="5" t="str">
        <f>IFERROR(__xludf.DUMMYFUNCTION("GOOGLETRANSLATE(B24198,""en"",""de"")"),"Viele Kinder stehen als Korbgericht, das Boxbewegungen durchführt.")</f>
        <v>Viele Kinder stehen als Korbgericht, das Boxbewegungen durchführt.</v>
      </c>
    </row>
    <row r="24199">
      <c r="A24199" s="4" t="s">
        <v>30449</v>
      </c>
      <c r="B24199" s="4" t="s">
        <v>30451</v>
      </c>
      <c r="C24199" s="5" t="str">
        <f>IFERROR(__xludf.DUMMYFUNCTION("GOOGLETRANSLATE(B24199,""en"",""de"")"),"Kleine Mädchen stehen in der Mitte eines Gerichts und praktizieren Boxen.")</f>
        <v>Kleine Mädchen stehen in der Mitte eines Gerichts und praktizieren Boxen.</v>
      </c>
    </row>
    <row r="24200">
      <c r="A24200" s="4" t="s">
        <v>30449</v>
      </c>
      <c r="B24200" s="4" t="s">
        <v>30452</v>
      </c>
      <c r="C24200" s="5" t="str">
        <f>IFERROR(__xludf.DUMMYFUNCTION("GOOGLETRANSLATE(B24200,""en"",""de"")"),"Die Menschen sitzen auf Stühlen in einem Holzgericht.")</f>
        <v>Die Menschen sitzen auf Stühlen in einem Holzgericht.</v>
      </c>
    </row>
    <row r="24201">
      <c r="A24201" s="4" t="s">
        <v>30453</v>
      </c>
      <c r="B24201" s="4" t="s">
        <v>30454</v>
      </c>
      <c r="C24201" s="5" t="str">
        <f>IFERROR(__xludf.DUMMYFUNCTION("GOOGLETRANSLATE(B24201,""en"",""de"")"),"Eine Person fährt einen Stier in einer Arena.")</f>
        <v>Eine Person fährt einen Stier in einer Arena.</v>
      </c>
    </row>
    <row r="24202">
      <c r="A24202" s="4" t="s">
        <v>30453</v>
      </c>
      <c r="B24202" s="4" t="s">
        <v>30455</v>
      </c>
      <c r="C24202" s="5" t="str">
        <f>IFERROR(__xludf.DUMMYFUNCTION("GOOGLETRANSLATE(B24202,""en"",""de"")"),"Die Menschen stehen in einer Arena um einen Stier.")</f>
        <v>Die Menschen stehen in einer Arena um einen Stier.</v>
      </c>
    </row>
    <row r="24203">
      <c r="A24203" s="4" t="s">
        <v>30453</v>
      </c>
      <c r="B24203" s="4" t="s">
        <v>30456</v>
      </c>
      <c r="C24203" s="5" t="str">
        <f>IFERROR(__xludf.DUMMYFUNCTION("GOOGLETRANSLATE(B24203,""en"",""de"")"),"Ein Stier berechnet sie und schlägt sie zu Boden.")</f>
        <v>Ein Stier berechnet sie und schlägt sie zu Boden.</v>
      </c>
    </row>
    <row r="24204">
      <c r="A24204" s="4" t="s">
        <v>30457</v>
      </c>
      <c r="B24204" s="4" t="s">
        <v>30458</v>
      </c>
      <c r="C24204" s="5" t="str">
        <f>IFERROR(__xludf.DUMMYFUNCTION("GOOGLETRANSLATE(B24204,""en"",""de"")"),"Ein Mann wird gesehen, wie er ein Auto abkratzt, das mit Schnee bedeckt ist und mit der Kamera spricht.")</f>
        <v>Ein Mann wird gesehen, wie er ein Auto abkratzt, das mit Schnee bedeckt ist und mit der Kamera spricht.</v>
      </c>
    </row>
    <row r="24205">
      <c r="A24205" s="4" t="s">
        <v>30457</v>
      </c>
      <c r="B24205" s="4" t="s">
        <v>30459</v>
      </c>
      <c r="C24205" s="5" t="str">
        <f>IFERROR(__xludf.DUMMYFUNCTION("GOOGLETRANSLATE(B24205,""en"",""de"")"),"Die Kamera folgt dem Mann um, als er das Auto weiter ausschreibt und mit der Kamera spricht.")</f>
        <v>Die Kamera folgt dem Mann um, als er das Auto weiter ausschreibt und mit der Kamera spricht.</v>
      </c>
    </row>
    <row r="24206">
      <c r="A24206" s="4" t="s">
        <v>30460</v>
      </c>
      <c r="B24206" s="4" t="s">
        <v>30461</v>
      </c>
      <c r="C24206" s="5" t="str">
        <f>IFERROR(__xludf.DUMMYFUNCTION("GOOGLETRANSLATE(B24206,""en"",""de"")"),"Ein Teenager tanzt im Hintergrund herum, während ein anderer Teenager, der einen Hochsprung in einer Schulcafeteria trägt, übt.")</f>
        <v>Ein Teenager tanzt im Hintergrund herum, während ein anderer Teenager, der einen Hochsprung in einer Schulcafeteria trägt, übt.</v>
      </c>
    </row>
    <row r="24207">
      <c r="A24207" s="4" t="s">
        <v>30460</v>
      </c>
      <c r="B24207" s="4" t="s">
        <v>30462</v>
      </c>
      <c r="C24207" s="5" t="str">
        <f>IFERROR(__xludf.DUMMYFUNCTION("GOOGLETRANSLATE(B24207,""en"",""de"")"),"Ein Teenager vervollständigt einen Hochsprung auf dem Rücken auf der Matte.")</f>
        <v>Ein Teenager vervollständigt einen Hochsprung auf dem Rücken auf der Matte.</v>
      </c>
    </row>
    <row r="24208">
      <c r="A24208" s="4" t="s">
        <v>30460</v>
      </c>
      <c r="B24208" s="4" t="s">
        <v>30463</v>
      </c>
      <c r="C24208" s="5" t="str">
        <f>IFERROR(__xludf.DUMMYFUNCTION("GOOGLETRANSLATE(B24208,""en"",""de"")"),"Mehrere Erwachsene und Teenager stehen und sitzen um die Hochsprungmatte, während ein Junge in Schwarz den Hochsprung macht.")</f>
        <v>Mehrere Erwachsene und Teenager stehen und sitzen um die Hochsprungmatte, während ein Junge in Schwarz den Hochsprung macht.</v>
      </c>
    </row>
    <row r="24209">
      <c r="A24209" s="4" t="s">
        <v>30460</v>
      </c>
      <c r="B24209" s="4" t="s">
        <v>30464</v>
      </c>
      <c r="C24209" s="5" t="str">
        <f>IFERROR(__xludf.DUMMYFUNCTION("GOOGLETRANSLATE(B24209,""en"",""de"")"),"Der Junge in Schwarz macht einen weiteren Hochsprung, während ein anderer Teenager im Hintergrund zuschaut.")</f>
        <v>Der Junge in Schwarz macht einen weiteren Hochsprung, während ein anderer Teenager im Hintergrund zuschaut.</v>
      </c>
    </row>
    <row r="24210">
      <c r="A24210" s="4" t="s">
        <v>30460</v>
      </c>
      <c r="B24210" s="4" t="s">
        <v>30465</v>
      </c>
      <c r="C24210" s="5" t="str">
        <f>IFERROR(__xludf.DUMMYFUNCTION("GOOGLETRANSLATE(B24210,""en"",""de"")"),"Der gleiche Junge in Schwarz macht einen Hochsprung, während ein größerer Junge in Weiß vorbeikommt.")</f>
        <v>Der gleiche Junge in Schwarz macht einen Hochsprung, während ein größerer Junge in Weiß vorbeikommt.</v>
      </c>
    </row>
    <row r="24211">
      <c r="A24211" s="4" t="s">
        <v>30460</v>
      </c>
      <c r="B24211" s="4" t="s">
        <v>30466</v>
      </c>
      <c r="C24211" s="5" t="str">
        <f>IFERROR(__xludf.DUMMYFUNCTION("GOOGLETRANSLATE(B24211,""en"",""de"")"),"Der gleiche Hochsprung wird langsam gezeigt, um auf Fehler hinzuweisen, die der Junge macht.")</f>
        <v>Der gleiche Hochsprung wird langsam gezeigt, um auf Fehler hinzuweisen, die der Junge macht.</v>
      </c>
    </row>
    <row r="24212">
      <c r="A24212" s="4" t="s">
        <v>30460</v>
      </c>
      <c r="B24212" s="4" t="s">
        <v>30467</v>
      </c>
      <c r="C24212" s="5" t="str">
        <f>IFERROR(__xludf.DUMMYFUNCTION("GOOGLETRANSLATE(B24212,""en"",""de"")"),"Ein anderer Junge, der Weiß trägt, macht den Hochsprung, während andere Menschen in der Nähe stehen und sitzen.")</f>
        <v>Ein anderer Junge, der Weiß trägt, macht den Hochsprung, während andere Menschen in der Nähe stehen und sitzen.</v>
      </c>
    </row>
    <row r="24213">
      <c r="A24213" s="4" t="s">
        <v>30460</v>
      </c>
      <c r="B24213" s="4" t="s">
        <v>30468</v>
      </c>
      <c r="C24213" s="5" t="str">
        <f>IFERROR(__xludf.DUMMYFUNCTION("GOOGLETRANSLATE(B24213,""en"",""de"")"),"Der Hochsprung vom Jungen, der Weiß trägt, wird wiederholt, um auf Fehler hinzuweisen.")</f>
        <v>Der Hochsprung vom Jungen, der Weiß trägt, wird wiederholt, um auf Fehler hinzuweisen.</v>
      </c>
    </row>
    <row r="24214">
      <c r="A24214" s="4" t="s">
        <v>30460</v>
      </c>
      <c r="B24214" s="4" t="s">
        <v>30469</v>
      </c>
      <c r="C24214" s="5" t="str">
        <f>IFERROR(__xludf.DUMMYFUNCTION("GOOGLETRANSLATE(B24214,""en"",""de"")"),"Ein dritter Junge, der Blue trägt, macht den Hochsprung dreimal hintereinander mit anderen im Hintergrund.")</f>
        <v>Ein dritter Junge, der Blue trägt, macht den Hochsprung dreimal hintereinander mit anderen im Hintergrund.</v>
      </c>
    </row>
    <row r="24215">
      <c r="A24215" s="4" t="s">
        <v>30460</v>
      </c>
      <c r="B24215" s="4" t="s">
        <v>30470</v>
      </c>
      <c r="C24215" s="5" t="str">
        <f>IFERROR(__xludf.DUMMYFUNCTION("GOOGLETRANSLATE(B24215,""en"",""de"")"),"Eine Wiederholung des Jungen in Blau wird gespielt, um auf Fehler hinzuweisen, die er macht.")</f>
        <v>Eine Wiederholung des Jungen in Blau wird gespielt, um auf Fehler hinzuweisen, die er macht.</v>
      </c>
    </row>
    <row r="24216">
      <c r="A24216" s="4" t="s">
        <v>30471</v>
      </c>
      <c r="B24216" s="4" t="s">
        <v>30472</v>
      </c>
      <c r="C24216" s="5" t="str">
        <f>IFERROR(__xludf.DUMMYFUNCTION("GOOGLETRANSLATE(B24216,""en"",""de"")"),"Zwei Mädchen stehen auf Karate.")</f>
        <v>Zwei Mädchen stehen auf Karate.</v>
      </c>
    </row>
    <row r="24217">
      <c r="A24217" s="4" t="s">
        <v>30471</v>
      </c>
      <c r="B24217" s="4" t="s">
        <v>30473</v>
      </c>
      <c r="C24217" s="5" t="str">
        <f>IFERROR(__xludf.DUMMYFUNCTION("GOOGLETRANSLATE(B24217,""en"",""de"")"),"Die Leute setzen sich hin und beobachten sie.")</f>
        <v>Die Leute setzen sich hin und beobachten sie.</v>
      </c>
    </row>
    <row r="24218">
      <c r="A24218" s="4" t="s">
        <v>30471</v>
      </c>
      <c r="B24218" s="4" t="s">
        <v>30474</v>
      </c>
      <c r="C24218" s="5" t="str">
        <f>IFERROR(__xludf.DUMMYFUNCTION("GOOGLETRANSLATE(B24218,""en"",""de"")"),"Eine Frau in einem schwarzen Gewand steht neben ihnen auf.")</f>
        <v>Eine Frau in einem schwarzen Gewand steht neben ihnen auf.</v>
      </c>
    </row>
    <row r="24219">
      <c r="A24219" s="4" t="s">
        <v>30475</v>
      </c>
      <c r="B24219" s="4" t="s">
        <v>1487</v>
      </c>
      <c r="C24219" s="5" t="str">
        <f>IFERROR(__xludf.DUMMYFUNCTION("GOOGLETRANSLATE(B24219,""en"",""de"")"),"Wir sehen einen Öffnungsbildschirm.")</f>
        <v>Wir sehen einen Öffnungsbildschirm.</v>
      </c>
    </row>
    <row r="24220">
      <c r="A24220" s="4" t="s">
        <v>30475</v>
      </c>
      <c r="B24220" s="4" t="s">
        <v>30476</v>
      </c>
      <c r="C24220" s="5" t="str">
        <f>IFERROR(__xludf.DUMMYFUNCTION("GOOGLETRANSLATE(B24220,""en"",""de"")"),"Eine Dame spricht vor einem Platz.")</f>
        <v>Eine Dame spricht vor einem Platz.</v>
      </c>
    </row>
    <row r="24221">
      <c r="A24221" s="4" t="s">
        <v>30475</v>
      </c>
      <c r="B24221" s="4" t="s">
        <v>30477</v>
      </c>
      <c r="C24221" s="5" t="str">
        <f>IFERROR(__xludf.DUMMYFUNCTION("GOOGLETRANSLATE(B24221,""en"",""de"")"),"Die Lady Hula häuft sich in kurzen Shorts und einem engen Hemd auf einem Platz und wir sehen regelmäßig einen Timer in der oberen rechten Ecke.")</f>
        <v>Die Lady Hula häuft sich in kurzen Shorts und einem engen Hemd auf einem Platz und wir sehen regelmäßig einen Timer in der oberen rechten Ecke.</v>
      </c>
    </row>
    <row r="24222">
      <c r="A24222" s="4" t="s">
        <v>30475</v>
      </c>
      <c r="B24222" s="4" t="s">
        <v>30478</v>
      </c>
      <c r="C24222" s="5" t="str">
        <f>IFERROR(__xludf.DUMMYFUNCTION("GOOGLETRANSLATE(B24222,""en"",""de"")"),"Der Timer liest die Lady Hula Hoops für 2 Minuten und siebzehn Sekunden.")</f>
        <v>Der Timer liest die Lady Hula Hoops für 2 Minuten und siebzehn Sekunden.</v>
      </c>
    </row>
    <row r="24223">
      <c r="A24223" s="4" t="s">
        <v>30475</v>
      </c>
      <c r="B24223" s="4" t="s">
        <v>30479</v>
      </c>
      <c r="C24223" s="5" t="str">
        <f>IFERROR(__xludf.DUMMYFUNCTION("GOOGLETRANSLATE(B24223,""en"",""de"")"),"Die Dame spricht wieder mit der Kamera.")</f>
        <v>Die Dame spricht wieder mit der Kamera.</v>
      </c>
    </row>
    <row r="24224">
      <c r="A24224" s="4" t="s">
        <v>30475</v>
      </c>
      <c r="B24224" s="4" t="s">
        <v>30480</v>
      </c>
      <c r="C24224" s="5" t="str">
        <f>IFERROR(__xludf.DUMMYFUNCTION("GOOGLETRANSLATE(B24224,""en"",""de"")"),"Wir sehen den Ending YouTube -Bildschirm.")</f>
        <v>Wir sehen den Ending YouTube -Bildschirm.</v>
      </c>
    </row>
    <row r="24225">
      <c r="A24225" s="4" t="s">
        <v>30481</v>
      </c>
      <c r="B24225" s="4" t="s">
        <v>30482</v>
      </c>
      <c r="C24225" s="5" t="str">
        <f>IFERROR(__xludf.DUMMYFUNCTION("GOOGLETRANSLATE(B24225,""en"",""de"")"),"Ein Umschlag mit einem Schlüssel darüber wird gezeigt.")</f>
        <v>Ein Umschlag mit einem Schlüssel darüber wird gezeigt.</v>
      </c>
    </row>
    <row r="24226">
      <c r="A24226" s="4" t="s">
        <v>30481</v>
      </c>
      <c r="B24226" s="4" t="s">
        <v>30483</v>
      </c>
      <c r="C24226" s="5" t="str">
        <f>IFERROR(__xludf.DUMMYFUNCTION("GOOGLETRANSLATE(B24226,""en"",""de"")"),"Eine Frau wickelt ein Buch in braunes Papier.")</f>
        <v>Eine Frau wickelt ein Buch in braunes Papier.</v>
      </c>
    </row>
    <row r="24227">
      <c r="A24227" s="4" t="s">
        <v>30481</v>
      </c>
      <c r="B24227" s="4" t="s">
        <v>30484</v>
      </c>
      <c r="C24227" s="5" t="str">
        <f>IFERROR(__xludf.DUMMYFUNCTION("GOOGLETRANSLATE(B24227,""en"",""de"")"),"Eine Frau in einem grauen Pullover spricht.")</f>
        <v>Eine Frau in einem grauen Pullover spricht.</v>
      </c>
    </row>
    <row r="24228">
      <c r="A24228" s="4" t="s">
        <v>30481</v>
      </c>
      <c r="B24228" s="4" t="s">
        <v>30485</v>
      </c>
      <c r="C24228" s="5" t="str">
        <f>IFERROR(__xludf.DUMMYFUNCTION("GOOGLETRANSLATE(B24228,""en"",""de"")"),"Eine Frau winkt in die Kamera.")</f>
        <v>Eine Frau winkt in die Kamera.</v>
      </c>
    </row>
    <row r="24229">
      <c r="A24229" s="4" t="s">
        <v>30481</v>
      </c>
      <c r="B24229" s="4" t="s">
        <v>30486</v>
      </c>
      <c r="C24229" s="5" t="str">
        <f>IFERROR(__xludf.DUMMYFUNCTION("GOOGLETRANSLATE(B24229,""en"",""de"")"),"Sie beenden das Buch und legen den Umschlag auf die Vorderseite des Pakets.")</f>
        <v>Sie beenden das Buch und legen den Umschlag auf die Vorderseite des Pakets.</v>
      </c>
    </row>
    <row r="24230">
      <c r="A24230" s="4" t="s">
        <v>30481</v>
      </c>
      <c r="B24230" s="4" t="s">
        <v>30487</v>
      </c>
      <c r="C24230" s="5" t="str">
        <f>IFERROR(__xludf.DUMMYFUNCTION("GOOGLETRANSLATE(B24230,""en"",""de"")"),"Die Worte, die sich bei Ihnen bedanken, ist in einem Buch gestempelt.")</f>
        <v>Die Worte, die sich bei Ihnen bedanken, ist in einem Buch gestempelt.</v>
      </c>
    </row>
    <row r="24231">
      <c r="A24231" s="4" t="s">
        <v>30488</v>
      </c>
      <c r="B24231" s="4" t="s">
        <v>30489</v>
      </c>
      <c r="C24231" s="5" t="str">
        <f>IFERROR(__xludf.DUMMYFUNCTION("GOOGLETRANSLATE(B24231,""en"",""de"")"),"Eine Frau wird gesehen, wie sie mit der Kamera spricht und lacht und führt in sie ein Magazin und präsentiert Seiten der Kamera.")</f>
        <v>Eine Frau wird gesehen, wie sie mit der Kamera spricht und lacht und führt in sie ein Magazin und präsentiert Seiten der Kamera.</v>
      </c>
    </row>
    <row r="24232">
      <c r="A24232" s="4" t="s">
        <v>30488</v>
      </c>
      <c r="B24232" s="4" t="s">
        <v>30490</v>
      </c>
      <c r="C24232" s="5" t="str">
        <f>IFERROR(__xludf.DUMMYFUNCTION("GOOGLETRANSLATE(B24232,""en"",""de"")"),"Die Frau präsentiert der Kamera mehr Objekte und verwendet dann eine, um ihre Zähne zu putzen und gleichzeitig mit der Kamera zu sprechen.")</f>
        <v>Die Frau präsentiert der Kamera mehr Objekte und verwendet dann eine, um ihre Zähne zu putzen und gleichzeitig mit der Kamera zu sprechen.</v>
      </c>
    </row>
    <row r="24233">
      <c r="A24233" s="4" t="s">
        <v>30491</v>
      </c>
      <c r="B24233" s="4" t="s">
        <v>30492</v>
      </c>
      <c r="C24233" s="5" t="str">
        <f>IFERROR(__xludf.DUMMYFUNCTION("GOOGLETRANSLATE(B24233,""en"",""de"")"),"Zwei Suma -Wrestler gehen zu einem Ring.")</f>
        <v>Zwei Suma -Wrestler gehen zu einem Ring.</v>
      </c>
    </row>
    <row r="24234">
      <c r="A24234" s="4" t="s">
        <v>30491</v>
      </c>
      <c r="B24234" s="4" t="s">
        <v>30493</v>
      </c>
      <c r="C24234" s="5" t="str">
        <f>IFERROR(__xludf.DUMMYFUNCTION("GOOGLETRANSLATE(B24234,""en"",""de"")"),"Eine Menge beobachtet den Kampf.")</f>
        <v>Eine Menge beobachtet den Kampf.</v>
      </c>
    </row>
    <row r="24235">
      <c r="A24235" s="4" t="s">
        <v>30491</v>
      </c>
      <c r="B24235" s="4" t="s">
        <v>30494</v>
      </c>
      <c r="C24235" s="5" t="str">
        <f>IFERROR(__xludf.DUMMYFUNCTION("GOOGLETRANSLATE(B24235,""en"",""de"")"),"Die Suma -Wrestler bereiten sich vor.")</f>
        <v>Die Suma -Wrestler bereiten sich vor.</v>
      </c>
    </row>
    <row r="24236">
      <c r="A24236" s="4" t="s">
        <v>30491</v>
      </c>
      <c r="B24236" s="4" t="s">
        <v>30495</v>
      </c>
      <c r="C24236" s="5" t="str">
        <f>IFERROR(__xludf.DUMMYFUNCTION("GOOGLETRANSLATE(B24236,""en"",""de"")"),"Ein Schiedsrichter ruft sie in Position.")</f>
        <v>Ein Schiedsrichter ruft sie in Position.</v>
      </c>
    </row>
    <row r="24237">
      <c r="A24237" s="4" t="s">
        <v>30491</v>
      </c>
      <c r="B24237" s="4" t="s">
        <v>30496</v>
      </c>
      <c r="C24237" s="5" t="str">
        <f>IFERROR(__xludf.DUMMYFUNCTION("GOOGLETRANSLATE(B24237,""en"",""de"")"),"Die Suma -Wrestler beginnen zu kämpfen, wobei einer von ihnen sofort den anderen zu Boden wirft.")</f>
        <v>Die Suma -Wrestler beginnen zu kämpfen, wobei einer von ihnen sofort den anderen zu Boden wirft.</v>
      </c>
    </row>
    <row r="24238">
      <c r="A24238" s="4" t="s">
        <v>30491</v>
      </c>
      <c r="B24238" s="4" t="s">
        <v>30497</v>
      </c>
      <c r="C24238" s="5" t="str">
        <f>IFERROR(__xludf.DUMMYFUNCTION("GOOGLETRANSLATE(B24238,""en"",""de"")"),"Der siegreiche Suma Wrestler wird von der Menge begrüßt und angefeuert, als er von der Bühne geht.")</f>
        <v>Der siegreiche Suma Wrestler wird von der Menge begrüßt und angefeuert, als er von der Bühne geht.</v>
      </c>
    </row>
    <row r="24239">
      <c r="A24239" s="4" t="s">
        <v>30498</v>
      </c>
      <c r="B24239" s="4" t="s">
        <v>30499</v>
      </c>
      <c r="C24239" s="5" t="str">
        <f>IFERROR(__xludf.DUMMYFUNCTION("GOOGLETRANSLATE(B24239,""en"",""de"")"),"Um ein kreisförmiges Geschenk zu wickeln, benötigen Sie eine Bandschere, Papierschere, Bänder, Klebeband, Japenese mit Papier, da es weich und stark ist und die Farbe nicht ausfällt.")</f>
        <v>Um ein kreisförmiges Geschenk zu wickeln, benötigen Sie eine Bandschere, Papierschere, Bänder, Klebeband, Japenese mit Papier, da es weich und stark ist und die Farbe nicht ausfällt.</v>
      </c>
    </row>
    <row r="24240">
      <c r="A24240" s="4" t="s">
        <v>30498</v>
      </c>
      <c r="B24240" s="4" t="s">
        <v>30500</v>
      </c>
      <c r="C24240" s="5" t="str">
        <f>IFERROR(__xludf.DUMMYFUNCTION("GOOGLETRANSLATE(B24240,""en"",""de"")"),"Messen Sie zuerst das Papier korrekt, indem Sie an den Seiten messen und dann das Papier in der Mitte falten und das Papier auf der anderen Seite auf die gleiche Seite halten und dann das Papier in der Mitte der Gelenk schließen, um eine Falte zu erstelle"&amp;"n, und wiederholen Sie sie, bis sich die Falte rund um die Falte anschließt und das Klebeband anzieht Top dann das Band an das Band binden.")</f>
        <v>Messen Sie zuerst das Papier korrekt, indem Sie an den Seiten messen und dann das Papier in der Mitte falten und das Papier auf der anderen Seite auf die gleiche Seite halten und dann das Papier in der Mitte der Gelenk schließen, um eine Falte zu erstellen, und wiederholen Sie sie, bis sich die Falte rund um die Falte anschließt und das Klebeband anzieht Top dann das Band an das Band binden.</v>
      </c>
    </row>
    <row r="24241">
      <c r="A24241" s="4" t="s">
        <v>30501</v>
      </c>
      <c r="B24241" s="4" t="s">
        <v>30502</v>
      </c>
      <c r="C24241" s="5" t="str">
        <f>IFERROR(__xludf.DUMMYFUNCTION("GOOGLETRANSLATE(B24241,""en"",""de"")"),"Eine in schwarzen Trikots gekleidete Dame Gymnast spielt in Bars Gymnastik.")</f>
        <v>Eine in schwarzen Trikots gekleidete Dame Gymnast spielt in Bars Gymnastik.</v>
      </c>
    </row>
    <row r="24242">
      <c r="A24242" s="4" t="s">
        <v>30501</v>
      </c>
      <c r="B24242" s="4" t="s">
        <v>30503</v>
      </c>
      <c r="C24242" s="5" t="str">
        <f>IFERROR(__xludf.DUMMYFUNCTION("GOOGLETRANSLATE(B24242,""en"",""de"")"),"Sie springt makellos auf die Bar und schwingt von einer Bar zur anderen hin und her, ohne abzufallen.")</f>
        <v>Sie springt makellos auf die Bar und schwingt von einer Bar zur anderen hin und her, ohne abzufallen.</v>
      </c>
    </row>
    <row r="24243">
      <c r="A24243" s="4" t="s">
        <v>30501</v>
      </c>
      <c r="B24243" s="4" t="s">
        <v>30504</v>
      </c>
      <c r="C24243" s="5" t="str">
        <f>IFERROR(__xludf.DUMMYFUNCTION("GOOGLETRANSLATE(B24243,""en"",""de"")"),"Sie vervollständigt erfolgreich ihre Runde und springt von den Bars.")</f>
        <v>Sie vervollständigt erfolgreich ihre Runde und springt von den Bars.</v>
      </c>
    </row>
    <row r="24244">
      <c r="A24244" s="4" t="s">
        <v>30501</v>
      </c>
      <c r="B24244" s="4" t="s">
        <v>30505</v>
      </c>
      <c r="C24244" s="5" t="str">
        <f>IFERROR(__xludf.DUMMYFUNCTION("GOOGLETRANSLATE(B24244,""en"",""de"")"),"Die Menge jubelt laut, als sie den Turner applaudieren.")</f>
        <v>Die Menge jubelt laut, als sie den Turner applaudieren.</v>
      </c>
    </row>
    <row r="24245">
      <c r="A24245" s="4" t="s">
        <v>30506</v>
      </c>
      <c r="B24245" s="4" t="s">
        <v>30507</v>
      </c>
      <c r="C24245" s="5" t="str">
        <f>IFERROR(__xludf.DUMMYFUNCTION("GOOGLETRANSLATE(B24245,""en"",""de"")"),"Eine Reihe von Menschen, die heftig von Wasserskiernagen fallen, während Wasserskiing zeigt.")</f>
        <v>Eine Reihe von Menschen, die heftig von Wasserskiernagen fallen, während Wasserskiing zeigt.</v>
      </c>
    </row>
    <row r="24246">
      <c r="A24246" s="4" t="s">
        <v>30506</v>
      </c>
      <c r="B24246" s="4" t="s">
        <v>30508</v>
      </c>
      <c r="C24246" s="5" t="str">
        <f>IFERROR(__xludf.DUMMYFUNCTION("GOOGLETRANSLATE(B24246,""en"",""de"")"),"Eine Person, die gegen eine Familie am Strand stürzt, weil er einen Wasserski mit voller Geschwindigkeit erreicht hat.")</f>
        <v>Eine Person, die gegen eine Familie am Strand stürzt, weil er einen Wasserski mit voller Geschwindigkeit erreicht hat.</v>
      </c>
    </row>
    <row r="24247">
      <c r="A24247" s="4" t="s">
        <v>30506</v>
      </c>
      <c r="B24247" s="4" t="s">
        <v>30509</v>
      </c>
      <c r="C24247" s="5" t="str">
        <f>IFERROR(__xludf.DUMMYFUNCTION("GOOGLETRANSLATE(B24247,""en"",""de"")"),"Mehrere Menschen werden gezeigt, während ein Mann auf Wasserski stürzt und das Wasser beim Aufprall und Absturz rot wird.")</f>
        <v>Mehrere Menschen werden gezeigt, während ein Mann auf Wasserski stürzt und das Wasser beim Aufprall und Absturz rot wird.</v>
      </c>
    </row>
    <row r="24248">
      <c r="A24248" s="4" t="s">
        <v>30506</v>
      </c>
      <c r="B24248" s="4" t="s">
        <v>30510</v>
      </c>
      <c r="C24248" s="5" t="str">
        <f>IFERROR(__xludf.DUMMYFUNCTION("GOOGLETRANSLATE(B24248,""en"",""de"")"),"Ein letzter Clip zeigt, dass jemand eine Rampe auf Wasserskier hinaufsteigt und dann ins Wasser kracht.")</f>
        <v>Ein letzter Clip zeigt, dass jemand eine Rampe auf Wasserskier hinaufsteigt und dann ins Wasser kracht.</v>
      </c>
    </row>
    <row r="24249">
      <c r="A24249" s="4" t="s">
        <v>30511</v>
      </c>
      <c r="B24249" s="4" t="s">
        <v>30512</v>
      </c>
      <c r="C24249" s="5" t="str">
        <f>IFERROR(__xludf.DUMMYFUNCTION("GOOGLETRANSLATE(B24249,""en"",""de"")"),"Außerhalb eines Hauses wird ein weißer Zaun gezeigt.")</f>
        <v>Außerhalb eines Hauses wird ein weißer Zaun gezeigt.</v>
      </c>
    </row>
    <row r="24250">
      <c r="A24250" s="4" t="s">
        <v>30511</v>
      </c>
      <c r="B24250" s="4" t="s">
        <v>30513</v>
      </c>
      <c r="C24250" s="5" t="str">
        <f>IFERROR(__xludf.DUMMYFUNCTION("GOOGLETRANSLATE(B24250,""en"",""de"")"),"Ein Mann hält einen Schaber und Bürsten.")</f>
        <v>Ein Mann hält einen Schaber und Bürsten.</v>
      </c>
    </row>
    <row r="24251">
      <c r="A24251" s="4" t="s">
        <v>30511</v>
      </c>
      <c r="B24251" s="4" t="s">
        <v>30514</v>
      </c>
      <c r="C24251" s="5" t="str">
        <f>IFERROR(__xludf.DUMMYFUNCTION("GOOGLETRANSLATE(B24251,""en"",""de"")"),"Er kratzt die Farbe vom Zaun und wackelt ihn dann mit frischer Farbe neu.")</f>
        <v>Er kratzt die Farbe vom Zaun und wackelt ihn dann mit frischer Farbe neu.</v>
      </c>
    </row>
    <row r="24252">
      <c r="A24252" s="4" t="s">
        <v>30515</v>
      </c>
      <c r="B24252" s="4" t="s">
        <v>30516</v>
      </c>
      <c r="C24252" s="5" t="str">
        <f>IFERROR(__xludf.DUMMYFUNCTION("GOOGLETRANSLATE(B24252,""en"",""de"")"),"Die Person fährt die hohen schneebedeckten Berge hinunter.")</f>
        <v>Die Person fährt die hohen schneebedeckten Berge hinunter.</v>
      </c>
    </row>
    <row r="24253">
      <c r="A24253" s="4" t="s">
        <v>30515</v>
      </c>
      <c r="B24253" s="4" t="s">
        <v>30517</v>
      </c>
      <c r="C24253" s="5" t="str">
        <f>IFERROR(__xludf.DUMMYFUNCTION("GOOGLETRANSLATE(B24253,""en"",""de"")"),"Ein roter Hubschrauber fliegt herum, als die Skifahrer auf den obersten Berg klettern.")</f>
        <v>Ein roter Hubschrauber fliegt herum, als die Skifahrer auf den obersten Berg klettern.</v>
      </c>
    </row>
    <row r="24254">
      <c r="A24254" s="4" t="s">
        <v>30515</v>
      </c>
      <c r="B24254" s="4" t="s">
        <v>30518</v>
      </c>
      <c r="C24254" s="5" t="str">
        <f>IFERROR(__xludf.DUMMYFUNCTION("GOOGLETRANSLATE(B24254,""en"",""de"")"),"Die Skifahrer fahren den Hang hinunter, fahren mit ihren Motorrädern, fischten und Ski.")</f>
        <v>Die Skifahrer fahren den Hang hinunter, fahren mit ihren Motorrädern, fischten und Ski.</v>
      </c>
    </row>
    <row r="24255">
      <c r="A24255" s="4" t="s">
        <v>30519</v>
      </c>
      <c r="B24255" s="4" t="s">
        <v>30520</v>
      </c>
      <c r="C24255" s="5" t="str">
        <f>IFERROR(__xludf.DUMMYFUNCTION("GOOGLETRANSLATE(B24255,""en"",""de"")"),"Ein kleiner Junge ist in einem Wohnzimmer.")</f>
        <v>Ein kleiner Junge ist in einem Wohnzimmer.</v>
      </c>
    </row>
    <row r="24256">
      <c r="A24256" s="4" t="s">
        <v>30519</v>
      </c>
      <c r="B24256" s="4" t="s">
        <v>30521</v>
      </c>
      <c r="C24256" s="5" t="str">
        <f>IFERROR(__xludf.DUMMYFUNCTION("GOOGLETRANSLATE(B24256,""en"",""de"")"),"Er schiebt und zieht einen großen Staubsauger.")</f>
        <v>Er schiebt und zieht einen großen Staubsauger.</v>
      </c>
    </row>
    <row r="24257">
      <c r="A24257" s="4" t="s">
        <v>30519</v>
      </c>
      <c r="B24257" s="4" t="s">
        <v>30522</v>
      </c>
      <c r="C24257" s="5" t="str">
        <f>IFERROR(__xludf.DUMMYFUNCTION("GOOGLETRANSLATE(B24257,""en"",""de"")"),"Er stackt den großen Wohnzimmerteppich.")</f>
        <v>Er stackt den großen Wohnzimmerteppich.</v>
      </c>
    </row>
    <row r="24258">
      <c r="A24258" s="4" t="s">
        <v>30523</v>
      </c>
      <c r="B24258" s="4" t="s">
        <v>30524</v>
      </c>
      <c r="C24258" s="5" t="str">
        <f>IFERROR(__xludf.DUMMYFUNCTION("GOOGLETRANSLATE(B24258,""en"",""de"")"),"Eine Nahaufnahme eines Werkzeugs wird angezeigt, gefolgt von einer Person, die einen Teppich entlang schneidet.")</f>
        <v>Eine Nahaufnahme eines Werkzeugs wird angezeigt, gefolgt von einer Person, die einen Teppich entlang schneidet.</v>
      </c>
    </row>
    <row r="24259">
      <c r="A24259" s="4" t="s">
        <v>30523</v>
      </c>
      <c r="B24259" s="4" t="s">
        <v>30525</v>
      </c>
      <c r="C24259" s="5" t="str">
        <f>IFERROR(__xludf.DUMMYFUNCTION("GOOGLETRANSLATE(B24259,""en"",""de"")"),"Die Person nutzt das Werkzeug weiterhin an den Seiten und die Kamera verblasst kurz danach nach Schwarz.")</f>
        <v>Die Person nutzt das Werkzeug weiterhin an den Seiten und die Kamera verblasst kurz danach nach Schwarz.</v>
      </c>
    </row>
    <row r="24260">
      <c r="A24260" s="4" t="s">
        <v>30526</v>
      </c>
      <c r="B24260" s="4" t="s">
        <v>30527</v>
      </c>
      <c r="C24260" s="5" t="str">
        <f>IFERROR(__xludf.DUMMYFUNCTION("GOOGLETRANSLATE(B24260,""en"",""de"")"),"Ein Mann steht in seinem Garten.")</f>
        <v>Ein Mann steht in seinem Garten.</v>
      </c>
    </row>
    <row r="24261">
      <c r="A24261" s="4" t="s">
        <v>30526</v>
      </c>
      <c r="B24261" s="4" t="s">
        <v>30528</v>
      </c>
      <c r="C24261" s="5" t="str">
        <f>IFERROR(__xludf.DUMMYFUNCTION("GOOGLETRANSLATE(B24261,""en"",""de"")"),"Er benutzt eine Bürste, um sein sehr langes Haar zu putzen.")</f>
        <v>Er benutzt eine Bürste, um sein sehr langes Haar zu putzen.</v>
      </c>
    </row>
    <row r="24262">
      <c r="A24262" s="4" t="s">
        <v>30526</v>
      </c>
      <c r="B24262" s="4" t="s">
        <v>30529</v>
      </c>
      <c r="C24262" s="5" t="str">
        <f>IFERROR(__xludf.DUMMYFUNCTION("GOOGLETRANSLATE(B24262,""en"",""de"")"),"Er streift es aus verschiedenen Winkeln.")</f>
        <v>Er streift es aus verschiedenen Winkeln.</v>
      </c>
    </row>
    <row r="24263">
      <c r="A24263" s="4" t="s">
        <v>30530</v>
      </c>
      <c r="B24263" s="4" t="s">
        <v>30531</v>
      </c>
      <c r="C24263" s="5" t="str">
        <f>IFERROR(__xludf.DUMMYFUNCTION("GOOGLETRANSLATE(B24263,""en"",""de"")"),"Ein Mann in einem schwarzen Hoodie spricht mit der Kamera.")</f>
        <v>Ein Mann in einem schwarzen Hoodie spricht mit der Kamera.</v>
      </c>
    </row>
    <row r="24264">
      <c r="A24264" s="4" t="s">
        <v>30530</v>
      </c>
      <c r="B24264" s="4" t="s">
        <v>30532</v>
      </c>
      <c r="C24264" s="5" t="str">
        <f>IFERROR(__xludf.DUMMYFUNCTION("GOOGLETRANSLATE(B24264,""en"",""de"")"),"Ein zweiter Mann in einem blauen Hoodie geht ein und spricht mit der Kamera.")</f>
        <v>Ein zweiter Mann in einem blauen Hoodie geht ein und spricht mit der Kamera.</v>
      </c>
    </row>
    <row r="24265">
      <c r="A24265" s="4" t="s">
        <v>30530</v>
      </c>
      <c r="B24265" s="4" t="s">
        <v>30533</v>
      </c>
      <c r="C24265" s="5" t="str">
        <f>IFERROR(__xludf.DUMMYFUNCTION("GOOGLETRANSLATE(B24265,""en"",""de"")"),"Der Mann im schwarzen Hoodie zeigt eine Flasche Mundwäsche.")</f>
        <v>Der Mann im schwarzen Hoodie zeigt eine Flasche Mundwäsche.</v>
      </c>
    </row>
    <row r="24266">
      <c r="A24266" s="4" t="s">
        <v>30530</v>
      </c>
      <c r="B24266" s="4" t="s">
        <v>30534</v>
      </c>
      <c r="C24266" s="5" t="str">
        <f>IFERROR(__xludf.DUMMYFUNCTION("GOOGLETRANSLATE(B24266,""en"",""de"")"),"Die beiden Männer reden miteinander.")</f>
        <v>Die beiden Männer reden miteinander.</v>
      </c>
    </row>
    <row r="24267">
      <c r="A24267" s="4" t="s">
        <v>30530</v>
      </c>
      <c r="B24267" s="4" t="s">
        <v>30535</v>
      </c>
      <c r="C24267" s="5" t="str">
        <f>IFERROR(__xludf.DUMMYFUNCTION("GOOGLETRANSLATE(B24267,""en"",""de"")"),"Der Mann im blauen Hoodie gießt den Mund in zwei Brillen.")</f>
        <v>Der Mann im blauen Hoodie gießt den Mund in zwei Brillen.</v>
      </c>
    </row>
    <row r="24268">
      <c r="A24268" s="4" t="s">
        <v>30530</v>
      </c>
      <c r="B24268" s="4" t="s">
        <v>30536</v>
      </c>
      <c r="C24268" s="5" t="str">
        <f>IFERROR(__xludf.DUMMYFUNCTION("GOOGLETRANSLATE(B24268,""en"",""de"")"),"Die beiden Männer nehmen Unterricht und ""jubeln"" gegenseitig.")</f>
        <v>Die beiden Männer nehmen Unterricht und "jubeln" gegenseitig.</v>
      </c>
    </row>
    <row r="24269">
      <c r="A24269" s="4" t="s">
        <v>30530</v>
      </c>
      <c r="B24269" s="4" t="s">
        <v>30537</v>
      </c>
      <c r="C24269" s="5" t="str">
        <f>IFERROR(__xludf.DUMMYFUNCTION("GOOGLETRANSLATE(B24269,""en"",""de"")"),"Die beiden Männer halten den Mundwaschen im Mund.")</f>
        <v>Die beiden Männer halten den Mundwaschen im Mund.</v>
      </c>
    </row>
    <row r="24270">
      <c r="A24270" s="4" t="s">
        <v>30530</v>
      </c>
      <c r="B24270" s="4" t="s">
        <v>30538</v>
      </c>
      <c r="C24270" s="5" t="str">
        <f>IFERROR(__xludf.DUMMYFUNCTION("GOOGLETRANSLATE(B24270,""en"",""de"")"),"Der Mann im schwarzen Hoodie zeigt sein T-Shirt.")</f>
        <v>Der Mann im schwarzen Hoodie zeigt sein T-Shirt.</v>
      </c>
    </row>
    <row r="24271">
      <c r="A24271" s="4" t="s">
        <v>30530</v>
      </c>
      <c r="B24271" s="4" t="s">
        <v>30539</v>
      </c>
      <c r="C24271" s="5" t="str">
        <f>IFERROR(__xludf.DUMMYFUNCTION("GOOGLETRANSLATE(B24271,""en"",""de"")"),"Die beiden Männer zeigen Zeichen, die sich gegenseitig beleidigen und versuchen, sich gegenseitig zum Lachen zu bringen.")</f>
        <v>Die beiden Männer zeigen Zeichen, die sich gegenseitig beleidigen und versuchen, sich gegenseitig zum Lachen zu bringen.</v>
      </c>
    </row>
    <row r="24272">
      <c r="A24272" s="4" t="s">
        <v>30530</v>
      </c>
      <c r="B24272" s="4" t="s">
        <v>30540</v>
      </c>
      <c r="C24272" s="5" t="str">
        <f>IFERROR(__xludf.DUMMYFUNCTION("GOOGLETRANSLATE(B24272,""en"",""de"")"),"Der Mann im blauen Hoodie lacht zuerst.")</f>
        <v>Der Mann im blauen Hoodie lacht zuerst.</v>
      </c>
    </row>
    <row r="24273">
      <c r="A24273" s="4" t="s">
        <v>30530</v>
      </c>
      <c r="B24273" s="4" t="s">
        <v>30541</v>
      </c>
      <c r="C24273" s="5" t="str">
        <f>IFERROR(__xludf.DUMMYFUNCTION("GOOGLETRANSLATE(B24273,""en"",""de"")"),"Die Männer spucken beide den Mundwasser im Waschbecken aus.")</f>
        <v>Die Männer spucken beide den Mundwasser im Waschbecken aus.</v>
      </c>
    </row>
    <row r="24274">
      <c r="A24274" s="4" t="s">
        <v>30542</v>
      </c>
      <c r="B24274" s="4" t="s">
        <v>30543</v>
      </c>
      <c r="C24274" s="5" t="str">
        <f>IFERROR(__xludf.DUMMYFUNCTION("GOOGLETRANSLATE(B24274,""en"",""de"")"),"Ein Mann und eine Frau sind gesehen, wie sie auf eine große Bühne voneinander entfernt ist.")</f>
        <v>Ein Mann und eine Frau sind gesehen, wie sie auf eine große Bühne voneinander entfernt ist.</v>
      </c>
    </row>
    <row r="24275">
      <c r="A24275" s="4" t="s">
        <v>30542</v>
      </c>
      <c r="B24275" s="4" t="s">
        <v>30544</v>
      </c>
      <c r="C24275" s="5" t="str">
        <f>IFERROR(__xludf.DUMMYFUNCTION("GOOGLETRANSLATE(B24275,""en"",""de"")"),"Die beiden beginnen dann eine Tango -Routine miteinander auszuführen.")</f>
        <v>Die beiden beginnen dann eine Tango -Routine miteinander auszuführen.</v>
      </c>
    </row>
    <row r="24276">
      <c r="A24276" s="4" t="s">
        <v>30542</v>
      </c>
      <c r="B24276" s="4" t="s">
        <v>30545</v>
      </c>
      <c r="C24276" s="5" t="str">
        <f>IFERROR(__xludf.DUMMYFUNCTION("GOOGLETRANSLATE(B24276,""en"",""de"")"),"Der Mann hebt die Frau rundum, während sie weiter tanzen und enden, indem sie eine Pose lodert.")</f>
        <v>Der Mann hebt die Frau rundum, während sie weiter tanzen und enden, indem sie eine Pose lodert.</v>
      </c>
    </row>
    <row r="24277">
      <c r="A24277" s="4" t="s">
        <v>30546</v>
      </c>
      <c r="B24277" s="4" t="s">
        <v>30547</v>
      </c>
      <c r="C24277" s="5" t="str">
        <f>IFERROR(__xludf.DUMMYFUNCTION("GOOGLETRANSLATE(B24277,""en"",""de"")"),"Ein Teenager und ein Mädchen sitzen im S -Auto und rauchen aus einem Schlauch.")</f>
        <v>Ein Teenager und ein Mädchen sitzen im S -Auto und rauchen aus einem Schlauch.</v>
      </c>
    </row>
    <row r="24278">
      <c r="A24278" s="4" t="s">
        <v>30546</v>
      </c>
      <c r="B24278" s="4" t="s">
        <v>30548</v>
      </c>
      <c r="C24278" s="5" t="str">
        <f>IFERROR(__xludf.DUMMYFUNCTION("GOOGLETRANSLATE(B24278,""en"",""de"")"),"Das Mädchen und der Junge wechseln abwechselnd Rauchringe.")</f>
        <v>Das Mädchen und der Junge wechseln abwechselnd Rauchringe.</v>
      </c>
    </row>
    <row r="24279">
      <c r="A24279" s="4" t="s">
        <v>30549</v>
      </c>
      <c r="B24279" s="4" t="s">
        <v>30550</v>
      </c>
      <c r="C24279" s="5" t="str">
        <f>IFERROR(__xludf.DUMMYFUNCTION("GOOGLETRANSLATE(B24279,""en"",""de"")"),"Ein Mann wirft Darts auf ein Dartbrett.")</f>
        <v>Ein Mann wirft Darts auf ein Dartbrett.</v>
      </c>
    </row>
    <row r="24280">
      <c r="A24280" s="4" t="s">
        <v>30549</v>
      </c>
      <c r="B24280" s="4" t="s">
        <v>30551</v>
      </c>
      <c r="C24280" s="5" t="str">
        <f>IFERROR(__xludf.DUMMYFUNCTION("GOOGLETRANSLATE(B24280,""en"",""de"")"),"Er zeigt auf die Worte auf seinem Hemd.")</f>
        <v>Er zeigt auf die Worte auf seinem Hemd.</v>
      </c>
    </row>
    <row r="24281">
      <c r="A24281" s="4" t="s">
        <v>30549</v>
      </c>
      <c r="B24281" s="4" t="s">
        <v>30552</v>
      </c>
      <c r="C24281" s="5" t="str">
        <f>IFERROR(__xludf.DUMMYFUNCTION("GOOGLETRANSLATE(B24281,""en"",""de"")"),"Er zeigt die Darts im Dart -Board.")</f>
        <v>Er zeigt die Darts im Dart -Board.</v>
      </c>
    </row>
    <row r="24282">
      <c r="A24282" s="4" t="s">
        <v>30549</v>
      </c>
      <c r="B24282" s="4" t="s">
        <v>30553</v>
      </c>
      <c r="C24282" s="5" t="str">
        <f>IFERROR(__xludf.DUMMYFUNCTION("GOOGLETRANSLATE(B24282,""en"",""de"")"),"Er zeigt seine Hand, während er den Pfeil wirft.")</f>
        <v>Er zeigt seine Hand, während er den Pfeil wirft.</v>
      </c>
    </row>
    <row r="24283">
      <c r="A24283" s="4" t="s">
        <v>30554</v>
      </c>
      <c r="B24283" s="4" t="s">
        <v>30555</v>
      </c>
      <c r="C24283" s="5" t="str">
        <f>IFERROR(__xludf.DUMMYFUNCTION("GOOGLETRANSLATE(B24283,""en"",""de"")"),"Eine Person wird in einem großen Loch geknien, das entlang einer Wand putzte.")</f>
        <v>Eine Person wird in einem großen Loch geknien, das entlang einer Wand putzte.</v>
      </c>
    </row>
    <row r="24284">
      <c r="A24284" s="4" t="s">
        <v>30554</v>
      </c>
      <c r="B24284" s="4" t="s">
        <v>30556</v>
      </c>
      <c r="C24284" s="5" t="str">
        <f>IFERROR(__xludf.DUMMYFUNCTION("GOOGLETRANSLATE(B24284,""en"",""de"")"),"Der Mann reibt Gips mit einem Werkzeug und steht auf, um Papier zu greifen.")</f>
        <v>Der Mann reibt Gips mit einem Werkzeug und steht auf, um Papier zu greifen.</v>
      </c>
    </row>
    <row r="24285">
      <c r="A24285" s="4" t="s">
        <v>30554</v>
      </c>
      <c r="B24285" s="4" t="s">
        <v>30557</v>
      </c>
      <c r="C24285" s="5" t="str">
        <f>IFERROR(__xludf.DUMMYFUNCTION("GOOGLETRANSLATE(B24285,""en"",""de"")"),"Er reibt das Papier entlang der Wand und endet, indem er zur Kamera aufsieht.")</f>
        <v>Er reibt das Papier entlang der Wand und endet, indem er zur Kamera aufsieht.</v>
      </c>
    </row>
    <row r="24286">
      <c r="A24286" s="4" t="s">
        <v>30558</v>
      </c>
      <c r="B24286" s="4" t="s">
        <v>30559</v>
      </c>
      <c r="C24286" s="5" t="str">
        <f>IFERROR(__xludf.DUMMYFUNCTION("GOOGLETRANSLATE(B24286,""en"",""de"")"),"Ein Mann mit einem Bart spielt auf einer grünen Trommel.")</f>
        <v>Ein Mann mit einem Bart spielt auf einer grünen Trommel.</v>
      </c>
    </row>
    <row r="24287">
      <c r="A24287" s="4" t="s">
        <v>30558</v>
      </c>
      <c r="B24287" s="4" t="s">
        <v>30560</v>
      </c>
      <c r="C24287" s="5" t="str">
        <f>IFERROR(__xludf.DUMMYFUNCTION("GOOGLETRANSLATE(B24287,""en"",""de"")"),"Der Mann fügt der Mischung eine zweite Trommel hinzu.")</f>
        <v>Der Mann fügt der Mischung eine zweite Trommel hinzu.</v>
      </c>
    </row>
    <row r="24288">
      <c r="A24288" s="4" t="s">
        <v>30558</v>
      </c>
      <c r="B24288" s="4" t="s">
        <v>30561</v>
      </c>
      <c r="C24288" s="5" t="str">
        <f>IFERROR(__xludf.DUMMYFUNCTION("GOOGLETRANSLATE(B24288,""en"",""de"")"),"Eine dritte Trommel wird dem Drumming -Mix hinzugefügt.")</f>
        <v>Eine dritte Trommel wird dem Drumming -Mix hinzugefügt.</v>
      </c>
    </row>
    <row r="24289">
      <c r="A24289" s="4" t="s">
        <v>30562</v>
      </c>
      <c r="B24289" s="4" t="s">
        <v>30563</v>
      </c>
      <c r="C24289" s="5" t="str">
        <f>IFERROR(__xludf.DUMMYFUNCTION("GOOGLETRANSLATE(B24289,""en"",""de"")"),"Wir sehen Leute, die ihre Telefone aufnehmen.")</f>
        <v>Wir sehen Leute, die ihre Telefone aufnehmen.</v>
      </c>
    </row>
    <row r="24290">
      <c r="A24290" s="4" t="s">
        <v>30562</v>
      </c>
      <c r="B24290" s="4" t="s">
        <v>30564</v>
      </c>
      <c r="C24290" s="5" t="str">
        <f>IFERROR(__xludf.DUMMYFUNCTION("GOOGLETRANSLATE(B24290,""en"",""de"")"),"Wir sehen dann einen Mann, der ein Klavier spielt.")</f>
        <v>Wir sehen dann einen Mann, der ein Klavier spielt.</v>
      </c>
    </row>
    <row r="24291">
      <c r="A24291" s="4" t="s">
        <v>30562</v>
      </c>
      <c r="B24291" s="4" t="s">
        <v>30565</v>
      </c>
      <c r="C24291" s="5" t="str">
        <f>IFERROR(__xludf.DUMMYFUNCTION("GOOGLETRANSLATE(B24291,""en"",""de"")"),"Die Kamera bewegt sich um den Rücken des Mannes.")</f>
        <v>Die Kamera bewegt sich um den Rücken des Mannes.</v>
      </c>
    </row>
    <row r="24292">
      <c r="A24292" s="4" t="s">
        <v>30562</v>
      </c>
      <c r="B24292" s="4" t="s">
        <v>30566</v>
      </c>
      <c r="C24292" s="5" t="str">
        <f>IFERROR(__xludf.DUMMYFUNCTION("GOOGLETRANSLATE(B24292,""en"",""de"")"),"Die Menge klatscht dann für den Mann.")</f>
        <v>Die Menge klatscht dann für den Mann.</v>
      </c>
    </row>
    <row r="24293">
      <c r="A24293" s="4" t="s">
        <v>30562</v>
      </c>
      <c r="B24293" s="4" t="s">
        <v>30567</v>
      </c>
      <c r="C24293" s="5" t="str">
        <f>IFERROR(__xludf.DUMMYFUNCTION("GOOGLETRANSLATE(B24293,""en"",""de"")"),"Der Mann schaut dann auf und spricht.")</f>
        <v>Der Mann schaut dann auf und spricht.</v>
      </c>
    </row>
    <row r="24294">
      <c r="A24294" s="4" t="s">
        <v>30568</v>
      </c>
      <c r="B24294" s="4" t="s">
        <v>30569</v>
      </c>
      <c r="C24294" s="5" t="str">
        <f>IFERROR(__xludf.DUMMYFUNCTION("GOOGLETRANSLATE(B24294,""en"",""de"")"),"Die Menschen sind drinnen und der Fokus liegt auf verschiedenen Clips verschiedener Menschen, die sich gegenseitig verdrehen.")</f>
        <v>Die Menschen sind drinnen und der Fokus liegt auf verschiedenen Clips verschiedener Menschen, die sich gegenseitig verdrehen.</v>
      </c>
    </row>
    <row r="24295">
      <c r="A24295" s="4" t="s">
        <v>30568</v>
      </c>
      <c r="B24295" s="4" t="s">
        <v>30570</v>
      </c>
      <c r="C24295" s="5" t="str">
        <f>IFERROR(__xludf.DUMMYFUNCTION("GOOGLETRANSLATE(B24295,""en"",""de"")"),"Ein Zaun -Match zwischen zwei Frauen beginnt und der Wortlaut auf dem Bildschirm sagt, dass ihre Namen Michelle Li &amp; Cindy Gao sind, und sie werden aus verschiedenen Blickwinkeln kämpft, die viele Zaunbewegungen durchführen.")</f>
        <v>Ein Zaun -Match zwischen zwei Frauen beginnt und der Wortlaut auf dem Bildschirm sagt, dass ihre Namen Michelle Li &amp; Cindy Gao sind, und sie werden aus verschiedenen Blickwinkeln kämpft, die viele Zaunbewegungen durchführen.</v>
      </c>
    </row>
    <row r="24296">
      <c r="A24296" s="4" t="s">
        <v>30568</v>
      </c>
      <c r="B24296" s="4" t="s">
        <v>30571</v>
      </c>
      <c r="C24296" s="5" t="str">
        <f>IFERROR(__xludf.DUMMYFUNCTION("GOOGLETRANSLATE(B24296,""en"",""de"")"),"Wenn sie mit dem Kampf gegen die Frauen fertig sind, stehen die Frauen nahe beieinander und lächeln, und die Frau links hat ihren Arm auf der Schulter der Frau auf der rechten Seite ruht.")</f>
        <v>Wenn sie mit dem Kampf gegen die Frauen fertig sind, stehen die Frauen nahe beieinander und lächeln, und die Frau links hat ihren Arm auf der Schulter der Frau auf der rechten Seite ruht.</v>
      </c>
    </row>
    <row r="24297">
      <c r="A24297" s="4" t="s">
        <v>30568</v>
      </c>
      <c r="B24297" s="4" t="s">
        <v>30572</v>
      </c>
      <c r="C24297" s="5" t="str">
        <f>IFERROR(__xludf.DUMMYFUNCTION("GOOGLETRANSLATE(B24297,""en"",""de"")"),"Das Outro ist ein weißer Bildschirm mit mehreren Farben, die Logos, Website und den Namen des Ereignisses enthalten.")</f>
        <v>Das Outro ist ein weißer Bildschirm mit mehreren Farben, die Logos, Website und den Namen des Ereignisses enthalten.</v>
      </c>
    </row>
    <row r="24298">
      <c r="A24298" s="4" t="s">
        <v>30573</v>
      </c>
      <c r="B24298" s="4" t="s">
        <v>30574</v>
      </c>
      <c r="C24298" s="5" t="str">
        <f>IFERROR(__xludf.DUMMYFUNCTION("GOOGLETRANSLATE(B24298,""en"",""de"")"),"Eine Frau lächelt in einem Tattoo, der auf dem Stuhl sitzt und geduldig wartet, lächelt und über freundlich ist.")</f>
        <v>Eine Frau lächelt in einem Tattoo, der auf dem Stuhl sitzt und geduldig wartet, lächelt und über freundlich ist.</v>
      </c>
    </row>
    <row r="24299">
      <c r="A24299" s="4" t="s">
        <v>30573</v>
      </c>
      <c r="B24299" s="4" t="s">
        <v>30575</v>
      </c>
      <c r="C24299" s="5" t="str">
        <f>IFERROR(__xludf.DUMMYFUNCTION("GOOGLETRANSLATE(B24299,""en"",""de"")"),"Er trägt Handschuhe und greift nach einer Klemme, dann steckt HR sie in ihren Mund und klemmt sich mit der Lippe.")</f>
        <v>Er trägt Handschuhe und greift nach einer Klemme, dann steckt HR sie in ihren Mund und klemmt sich mit der Lippe.</v>
      </c>
    </row>
    <row r="24300">
      <c r="A24300" s="4" t="s">
        <v>30573</v>
      </c>
      <c r="B24300" s="4" t="s">
        <v>30576</v>
      </c>
      <c r="C24300" s="5" t="str">
        <f>IFERROR(__xludf.DUMMYFUNCTION("GOOGLETRANSLATE(B24300,""en"",""de"")"),"Dann greift eine Nadel und steckt sie durch die Lippe, er bekommt ein Piercing und zieht sie für sie an.")</f>
        <v>Dann greift eine Nadel und steckt sie durch die Lippe, er bekommt ein Piercing und zieht sie für sie an.</v>
      </c>
    </row>
    <row r="24301">
      <c r="A24301" s="4" t="s">
        <v>30573</v>
      </c>
      <c r="B24301" s="4" t="s">
        <v>30577</v>
      </c>
      <c r="C24301" s="5" t="str">
        <f>IFERROR(__xludf.DUMMYFUNCTION("GOOGLETRANSLATE(B24301,""en"",""de"")"),"Danach steht sie vom Stuhl auf und geht zum Spiegel, um es für sich selbst zu überprüfen.")</f>
        <v>Danach steht sie vom Stuhl auf und geht zum Spiegel, um es für sich selbst zu überprüfen.</v>
      </c>
    </row>
    <row r="24302">
      <c r="A24302" s="4" t="s">
        <v>30578</v>
      </c>
      <c r="B24302" s="4" t="s">
        <v>30579</v>
      </c>
      <c r="C24302" s="5" t="str">
        <f>IFERROR(__xludf.DUMMYFUNCTION("GOOGLETRANSLATE(B24302,""en"",""de"")"),"Ein kleines Mädchen wird gesehen, wie Hula immer wieder mit den Händen an den Hüften häuft.")</f>
        <v>Ein kleines Mädchen wird gesehen, wie Hula immer wieder mit den Händen an den Hüften häuft.</v>
      </c>
    </row>
    <row r="24303">
      <c r="A24303" s="4" t="s">
        <v>30578</v>
      </c>
      <c r="B24303" s="4" t="s">
        <v>30580</v>
      </c>
      <c r="C24303" s="5" t="str">
        <f>IFERROR(__xludf.DUMMYFUNCTION("GOOGLETRANSLATE(B24303,""en"",""de"")"),"Das Mädchen dreht sich mit dem Hula -Hoop, der sich von ihren Füßen zu den Knien und dem Rest ihres Körpers bewegt.")</f>
        <v>Das Mädchen dreht sich mit dem Hula -Hoop, der sich von ihren Füßen zu den Knien und dem Rest ihres Körpers bewegt.</v>
      </c>
    </row>
    <row r="24304">
      <c r="A24304" s="4" t="s">
        <v>30578</v>
      </c>
      <c r="B24304" s="4" t="s">
        <v>30581</v>
      </c>
      <c r="C24304" s="5" t="str">
        <f>IFERROR(__xludf.DUMMYFUNCTION("GOOGLETRANSLATE(B24304,""en"",""de"")"),"Irgendwann wirft sie den Hula Hoop versehentlich, nimmt ihn aber wieder auf und dreht sich weiter.")</f>
        <v>Irgendwann wirft sie den Hula Hoop versehentlich, nimmt ihn aber wieder auf und dreht sich weiter.</v>
      </c>
    </row>
    <row r="24305">
      <c r="A24305" s="4" t="s">
        <v>30578</v>
      </c>
      <c r="B24305" s="4" t="s">
        <v>30582</v>
      </c>
      <c r="C24305" s="5" t="str">
        <f>IFERROR(__xludf.DUMMYFUNCTION("GOOGLETRANSLATE(B24305,""en"",""de"")"),"Am Ende fällt sie mit dem Reifen, der immer noch in den Händen ist, zu Boden.")</f>
        <v>Am Ende fällt sie mit dem Reifen, der immer noch in den Händen ist, zu Boden.</v>
      </c>
    </row>
    <row r="24306">
      <c r="A24306" s="4" t="s">
        <v>30583</v>
      </c>
      <c r="B24306" s="4" t="s">
        <v>30584</v>
      </c>
      <c r="C24306" s="5" t="str">
        <f>IFERROR(__xludf.DUMMYFUNCTION("GOOGLETRANSLATE(B24306,""en"",""de"")"),"Es gibt Surfer auf einer sehr großen Welle.")</f>
        <v>Es gibt Surfer auf einer sehr großen Welle.</v>
      </c>
    </row>
    <row r="24307">
      <c r="A24307" s="4" t="s">
        <v>30583</v>
      </c>
      <c r="B24307" s="4" t="s">
        <v>30585</v>
      </c>
      <c r="C24307" s="5" t="str">
        <f>IFERROR(__xludf.DUMMYFUNCTION("GOOGLETRANSLATE(B24307,""en"",""de"")"),"Eine weiße Welle stürzt ab und der Surfer darunter verschwindet, als sich der große weiße Schaum der Welle auf ein sehr großes Gebiet am Wasser ausbreitet.")</f>
        <v>Eine weiße Welle stürzt ab und der Surfer darunter verschwindet, als sich der große weiße Schaum der Welle auf ein sehr großes Gebiet am Wasser ausbreitet.</v>
      </c>
    </row>
    <row r="24308">
      <c r="A24308" s="4" t="s">
        <v>30583</v>
      </c>
      <c r="B24308" s="4" t="s">
        <v>30586</v>
      </c>
      <c r="C24308" s="5" t="str">
        <f>IFERROR(__xludf.DUMMYFUNCTION("GOOGLETRANSLATE(B24308,""en"",""de"")"),"Männer auf Wasserjets gehen schnell in den Bereich, in dem die Surfer sein könnten, und sie erholen sie aus dem Wasser und fahren schnell von der Welle weg, während sie an anderen Surfern und Wasserstrahlfahrern vorbeikommen, während sie alle weiter auf d"&amp;"en Wellen fahren.")</f>
        <v>Männer auf Wasserjets gehen schnell in den Bereich, in dem die Surfer sein könnten, und sie erholen sie aus dem Wasser und fahren schnell von der Welle weg, während sie an anderen Surfern und Wasserstrahlfahrern vorbeikommen, während sie alle weiter auf den Wellen fahren.</v>
      </c>
    </row>
    <row r="24309">
      <c r="A24309" s="4" t="s">
        <v>30583</v>
      </c>
      <c r="B24309" s="4" t="s">
        <v>30587</v>
      </c>
      <c r="C24309" s="5" t="str">
        <f>IFERROR(__xludf.DUMMYFUNCTION("GOOGLETRANSLATE(B24309,""en"",""de"")"),"Jetzt ändert sich die Ansicht von einem Hubschrauber oben in die Sicht von einem Hubschrauber und zeigt die Menschen auf dem Wasser, die ihre Wasserstrahlen fährt.")</f>
        <v>Jetzt ändert sich die Ansicht von einem Hubschrauber oben in die Sicht von einem Hubschrauber und zeigt die Menschen auf dem Wasser, die ihre Wasserstrahlen fährt.</v>
      </c>
    </row>
    <row r="24310">
      <c r="A24310" s="4" t="s">
        <v>30583</v>
      </c>
      <c r="B24310" s="4" t="s">
        <v>30588</v>
      </c>
      <c r="C24310" s="5" t="str">
        <f>IFERROR(__xludf.DUMMYFUNCTION("GOOGLETRANSLATE(B24310,""en"",""de"")"),"Ein schwarzer Bildschirm erscheint und enthält weiße Schrift, die ""Shot on Red One von Mike Waltzze"" und eine Website dann ""mit freundlicher Genehmigung von Nanogreenshawaii dot com sofort organische Ernährung"" enthält.")</f>
        <v>Ein schwarzer Bildschirm erscheint und enthält weiße Schrift, die "Shot on Red One von Mike Waltzze" und eine Website dann "mit freundlicher Genehmigung von Nanogreenshawaii dot com sofort organische Ernährung" enthält.</v>
      </c>
    </row>
    <row r="24311">
      <c r="A24311" s="4" t="s">
        <v>30589</v>
      </c>
      <c r="B24311" s="4" t="s">
        <v>30590</v>
      </c>
      <c r="C24311" s="5" t="str">
        <f>IFERROR(__xludf.DUMMYFUNCTION("GOOGLETRANSLATE(B24311,""en"",""de"")"),"Ein Mann, der als Schiedsrichter gekleidet ist, wird in einer Eisbahnbahn gezeigt.")</f>
        <v>Ein Mann, der als Schiedsrichter gekleidet ist, wird in einer Eisbahnbahn gezeigt.</v>
      </c>
    </row>
    <row r="24312">
      <c r="A24312" s="4" t="s">
        <v>30589</v>
      </c>
      <c r="B24312" s="4" t="s">
        <v>30591</v>
      </c>
      <c r="C24312" s="5" t="str">
        <f>IFERROR(__xludf.DUMMYFUNCTION("GOOGLETRANSLATE(B24312,""en"",""de"")"),"Eine Reihe von Männern spielen Hockey.")</f>
        <v>Eine Reihe von Männern spielen Hockey.</v>
      </c>
    </row>
    <row r="24313">
      <c r="A24313" s="4" t="s">
        <v>30589</v>
      </c>
      <c r="B24313" s="4" t="s">
        <v>30592</v>
      </c>
      <c r="C24313" s="5" t="str">
        <f>IFERROR(__xludf.DUMMYFUNCTION("GOOGLETRANSLATE(B24313,""en"",""de"")"),"Einige der Hockeyspieler beginnen einen Kampf.")</f>
        <v>Einige der Hockeyspieler beginnen einen Kampf.</v>
      </c>
    </row>
    <row r="24314">
      <c r="A24314" s="4" t="s">
        <v>30593</v>
      </c>
      <c r="B24314" s="4" t="s">
        <v>30594</v>
      </c>
      <c r="C24314" s="5" t="str">
        <f>IFERROR(__xludf.DUMMYFUNCTION("GOOGLETRANSLATE(B24314,""en"",""de"")"),"Die Leute gehen mit der Blaskapelle auf der Straße.")</f>
        <v>Die Leute gehen mit der Blaskapelle auf der Straße.</v>
      </c>
    </row>
    <row r="24315">
      <c r="A24315" s="4" t="s">
        <v>30593</v>
      </c>
      <c r="B24315" s="4" t="s">
        <v>30595</v>
      </c>
      <c r="C24315" s="5" t="str">
        <f>IFERROR(__xludf.DUMMYFUNCTION("GOOGLETRANSLATE(B24315,""en"",""de"")"),"Die Männer in grüner Weste gehen auf beiden Seiten der Parade.")</f>
        <v>Die Männer in grüner Weste gehen auf beiden Seiten der Parade.</v>
      </c>
    </row>
    <row r="24316">
      <c r="A24316" s="4" t="s">
        <v>30593</v>
      </c>
      <c r="B24316" s="4" t="s">
        <v>30596</v>
      </c>
      <c r="C24316" s="5" t="str">
        <f>IFERROR(__xludf.DUMMYFUNCTION("GOOGLETRANSLATE(B24316,""en"",""de"")"),"Der Mann in neongrüner Jacke fotografiert die Parade.")</f>
        <v>Der Mann in neongrüner Jacke fotografiert die Parade.</v>
      </c>
    </row>
    <row r="24317">
      <c r="A24317" s="4" t="s">
        <v>30597</v>
      </c>
      <c r="B24317" s="4" t="s">
        <v>30598</v>
      </c>
      <c r="C24317" s="5" t="str">
        <f>IFERROR(__xludf.DUMMYFUNCTION("GOOGLETRANSLATE(B24317,""en"",""de"")"),"Es gibt einen jungen Mann Skateboard durch eine zweispurige leere Straße, die auf beiden Seiten Bäume hat.")</f>
        <v>Es gibt einen jungen Mann Skateboard durch eine zweispurige leere Straße, die auf beiden Seiten Bäume hat.</v>
      </c>
    </row>
    <row r="24318">
      <c r="A24318" s="4" t="s">
        <v>30597</v>
      </c>
      <c r="B24318" s="4" t="s">
        <v>30599</v>
      </c>
      <c r="C24318" s="5" t="str">
        <f>IFERROR(__xludf.DUMMYFUNCTION("GOOGLETRANSLATE(B24318,""en"",""de"")"),"Er geht stetig durch die lange und kurvenreiche Straße, ohne anzuhalten.")</f>
        <v>Er geht stetig durch die lange und kurvenreiche Straße, ohne anzuhalten.</v>
      </c>
    </row>
    <row r="24319">
      <c r="A24319" s="4" t="s">
        <v>30597</v>
      </c>
      <c r="B24319" s="4" t="s">
        <v>30600</v>
      </c>
      <c r="C24319" s="5" t="str">
        <f>IFERROR(__xludf.DUMMYFUNCTION("GOOGLETRANSLATE(B24319,""en"",""de"")"),"Er geht durch Kurven und dreht sich um, um seine Geschwindigkeit anzupassen.")</f>
        <v>Er geht durch Kurven und dreht sich um, um seine Geschwindigkeit anzupassen.</v>
      </c>
    </row>
    <row r="24320">
      <c r="A24320" s="4" t="s">
        <v>30597</v>
      </c>
      <c r="B24320" s="4" t="s">
        <v>30601</v>
      </c>
      <c r="C24320" s="5" t="str">
        <f>IFERROR(__xludf.DUMMYFUNCTION("GOOGLETRANSLATE(B24320,""en"",""de"")"),"Dann, als er sich einer steilen Kurve nähert, versucht er sich zu drehen, fällt aber nieder und brütet sich.")</f>
        <v>Dann, als er sich einer steilen Kurve nähert, versucht er sich zu drehen, fällt aber nieder und brütet sich.</v>
      </c>
    </row>
    <row r="24321">
      <c r="A24321" s="4" t="s">
        <v>30597</v>
      </c>
      <c r="B24321" s="4" t="s">
        <v>30602</v>
      </c>
      <c r="C24321" s="5" t="str">
        <f>IFERROR(__xludf.DUMMYFUNCTION("GOOGLETRANSLATE(B24321,""en"",""de"")"),"Er steht sofort auf und zeigt seinen Freunden seinen kratzenden und verletzten Ellbogen.")</f>
        <v>Er steht sofort auf und zeigt seinen Freunden seinen kratzenden und verletzten Ellbogen.</v>
      </c>
    </row>
    <row r="24322">
      <c r="A24322" s="4" t="s">
        <v>30597</v>
      </c>
      <c r="B24322" s="4" t="s">
        <v>30603</v>
      </c>
      <c r="C24322" s="5" t="str">
        <f>IFERROR(__xludf.DUMMYFUNCTION("GOOGLETRANSLATE(B24322,""en"",""de"")"),"Ein anderer Freund von ihm zeigt ebenfalls seine Verletzungen, die er von Skateboarding hatte.")</f>
        <v>Ein anderer Freund von ihm zeigt ebenfalls seine Verletzungen, die er von Skateboarding hatte.</v>
      </c>
    </row>
    <row r="24323">
      <c r="A24323" s="4" t="s">
        <v>30604</v>
      </c>
      <c r="B24323" s="4" t="s">
        <v>30605</v>
      </c>
      <c r="C24323" s="5" t="str">
        <f>IFERROR(__xludf.DUMMYFUNCTION("GOOGLETRANSLATE(B24323,""en"",""de"")"),"Eine Montage aus Kanusprinten wird gezeigt.")</f>
        <v>Eine Montage aus Kanusprinten wird gezeigt.</v>
      </c>
    </row>
    <row r="24324">
      <c r="A24324" s="4" t="s">
        <v>30604</v>
      </c>
      <c r="B24324" s="4" t="s">
        <v>30606</v>
      </c>
      <c r="C24324" s="5" t="str">
        <f>IFERROR(__xludf.DUMMYFUNCTION("GOOGLETRANSLATE(B24324,""en"",""de"")"),"Die Gewinner feiern und beide Männer und Frauen werden gezeigt.")</f>
        <v>Die Gewinner feiern und beide Männer und Frauen werden gezeigt.</v>
      </c>
    </row>
    <row r="24325">
      <c r="A24325" s="4" t="s">
        <v>30607</v>
      </c>
      <c r="B24325" s="4" t="s">
        <v>30608</v>
      </c>
      <c r="C24325" s="5" t="str">
        <f>IFERROR(__xludf.DUMMYFUNCTION("GOOGLETRANSLATE(B24325,""en"",""de"")"),"Eine Einführung auf den Bildschirm über ein Video, das zeigt, wie der Sprung von Dreifach geprägt ist.")</f>
        <v>Eine Einführung auf den Bildschirm über ein Video, das zeigt, wie der Sprung von Dreifach geprägt ist.</v>
      </c>
    </row>
    <row r="24326">
      <c r="A24326" s="4" t="s">
        <v>30607</v>
      </c>
      <c r="B24326" s="4" t="s">
        <v>30609</v>
      </c>
      <c r="C24326" s="5" t="str">
        <f>IFERROR(__xludf.DUMMYFUNCTION("GOOGLETRANSLATE(B24326,""en"",""de"")"),"Ein Mann wird gezeigt, der einen Track runterfährt und einen Sprung macht.")</f>
        <v>Ein Mann wird gezeigt, der einen Track runterfährt und einen Sprung macht.</v>
      </c>
    </row>
    <row r="24327">
      <c r="A24327" s="4" t="s">
        <v>30607</v>
      </c>
      <c r="B24327" s="4" t="s">
        <v>30610</v>
      </c>
      <c r="C24327" s="5" t="str">
        <f>IFERROR(__xludf.DUMMYFUNCTION("GOOGLETRANSLATE(B24327,""en"",""de"")"),"Der Sprung wird wieder in Zeitlupe für ein besseres Verständnis gezeigt.")</f>
        <v>Der Sprung wird wieder in Zeitlupe für ein besseres Verständnis gezeigt.</v>
      </c>
    </row>
    <row r="24328">
      <c r="A24328" s="4" t="s">
        <v>30607</v>
      </c>
      <c r="B24328" s="4" t="s">
        <v>30611</v>
      </c>
      <c r="C24328" s="5" t="str">
        <f>IFERROR(__xludf.DUMMYFUNCTION("GOOGLETRANSLATE(B24328,""en"",""de"")"),"Der Typ wird dann gezeigt, dass er die Strecke verlässt.")</f>
        <v>Der Typ wird dann gezeigt, dass er die Strecke verlässt.</v>
      </c>
    </row>
    <row r="24329">
      <c r="A24329" s="4" t="s">
        <v>30612</v>
      </c>
      <c r="B24329" s="4" t="s">
        <v>30613</v>
      </c>
      <c r="C24329" s="5" t="str">
        <f>IFERROR(__xludf.DUMMYFUNCTION("GOOGLETRANSLATE(B24329,""en"",""de"")"),"Eine Person wäscht ein Auto.")</f>
        <v>Eine Person wäscht ein Auto.</v>
      </c>
    </row>
    <row r="24330">
      <c r="A24330" s="4" t="s">
        <v>30612</v>
      </c>
      <c r="B24330" s="4" t="s">
        <v>30614</v>
      </c>
      <c r="C24330" s="5" t="str">
        <f>IFERROR(__xludf.DUMMYFUNCTION("GOOGLETRANSLATE(B24330,""en"",""de"")"),"Die Person wechselt mit ihrer anderen Hand den Besitzer und wäscht sich.")</f>
        <v>Die Person wechselt mit ihrer anderen Hand den Besitzer und wäscht sich.</v>
      </c>
    </row>
    <row r="24331">
      <c r="A24331" s="4" t="s">
        <v>30612</v>
      </c>
      <c r="B24331" s="4" t="s">
        <v>30615</v>
      </c>
      <c r="C24331" s="5" t="str">
        <f>IFERROR(__xludf.DUMMYFUNCTION("GOOGLETRANSLATE(B24331,""en"",""de"")"),"Sie benutzen dann beide Hände.")</f>
        <v>Sie benutzen dann beide Hände.</v>
      </c>
    </row>
    <row r="24332">
      <c r="A24332" s="4" t="s">
        <v>30616</v>
      </c>
      <c r="B24332" s="4" t="s">
        <v>30617</v>
      </c>
      <c r="C24332" s="5" t="str">
        <f>IFERROR(__xludf.DUMMYFUNCTION("GOOGLETRANSLATE(B24332,""en"",""de"")"),"Ein Mann lehnt sich über einen großen Billardtisch.")</f>
        <v>Ein Mann lehnt sich über einen großen Billardtisch.</v>
      </c>
    </row>
    <row r="24333">
      <c r="A24333" s="4" t="s">
        <v>30616</v>
      </c>
      <c r="B24333" s="4" t="s">
        <v>30618</v>
      </c>
      <c r="C24333" s="5" t="str">
        <f>IFERROR(__xludf.DUMMYFUNCTION("GOOGLETRANSLATE(B24333,""en"",""de"")"),"Er nutzt ein Stichwort, um den Ball in Richtung der Tasche zu schießen.")</f>
        <v>Er nutzt ein Stichwort, um den Ball in Richtung der Tasche zu schießen.</v>
      </c>
    </row>
    <row r="24334">
      <c r="A24334" s="4" t="s">
        <v>30616</v>
      </c>
      <c r="B24334" s="4" t="s">
        <v>30619</v>
      </c>
      <c r="C24334" s="5" t="str">
        <f>IFERROR(__xludf.DUMMYFUNCTION("GOOGLETRANSLATE(B24334,""en"",""de"")"),"Er versucht immer wieder, bis sie in die Taschen gehen.")</f>
        <v>Er versucht immer wieder, bis sie in die Taschen gehen.</v>
      </c>
    </row>
    <row r="24335">
      <c r="A24335" s="4" t="s">
        <v>30620</v>
      </c>
      <c r="B24335" s="4" t="s">
        <v>30621</v>
      </c>
      <c r="C24335" s="5" t="str">
        <f>IFERROR(__xludf.DUMMYFUNCTION("GOOGLETRANSLATE(B24335,""en"",""de"")"),"Ein Klassenzimmer ist gefüllt mit Schülern, die entweder sitzen oder stehen.")</f>
        <v>Ein Klassenzimmer ist gefüllt mit Schülern, die entweder sitzen oder stehen.</v>
      </c>
    </row>
    <row r="24336">
      <c r="A24336" s="4" t="s">
        <v>30620</v>
      </c>
      <c r="B24336" s="4" t="s">
        <v>30622</v>
      </c>
      <c r="C24336" s="5" t="str">
        <f>IFERROR(__xludf.DUMMYFUNCTION("GOOGLETRANSLATE(B24336,""en"",""de"")"),"Plötzlich rennt eine Gruppe von Jungen im Klassenzimmer lächelnd im Klassenzimmer, marschiert und macht einige Tanzen und Übungen, während der Rest des Sitzungsunterrichts zugeht.")</f>
        <v>Plötzlich rennt eine Gruppe von Jungen im Klassenzimmer lächelnd im Klassenzimmer, marschiert und macht einige Tanzen und Übungen, während der Rest des Sitzungsunterrichts zugeht.</v>
      </c>
    </row>
    <row r="24337">
      <c r="A24337" s="4" t="s">
        <v>30620</v>
      </c>
      <c r="B24337" s="4" t="s">
        <v>30623</v>
      </c>
      <c r="C24337" s="5" t="str">
        <f>IFERROR(__xludf.DUMMYFUNCTION("GOOGLETRANSLATE(B24337,""en"",""de"")"),"Die Jungen breiten sich auseinander und beenden ihre Routine, dann gehen sie beim Lächeln aufeinander zu.")</f>
        <v>Die Jungen breiten sich auseinander und beenden ihre Routine, dann gehen sie beim Lächeln aufeinander zu.</v>
      </c>
    </row>
    <row r="24338">
      <c r="A24338" s="4" t="s">
        <v>30624</v>
      </c>
      <c r="B24338" s="4" t="s">
        <v>30625</v>
      </c>
      <c r="C24338" s="5" t="str">
        <f>IFERROR(__xludf.DUMMYFUNCTION("GOOGLETRANSLATE(B24338,""en"",""de"")"),"Ein Mann macht die Spaltungen in einem Fitnessstudio.")</f>
        <v>Ein Mann macht die Spaltungen in einem Fitnessstudio.</v>
      </c>
    </row>
    <row r="24339">
      <c r="A24339" s="4" t="s">
        <v>30624</v>
      </c>
      <c r="B24339" s="4" t="s">
        <v>30626</v>
      </c>
      <c r="C24339" s="5" t="str">
        <f>IFERROR(__xludf.DUMMYFUNCTION("GOOGLETRANSLATE(B24339,""en"",""de"")"),"Er spricht mit der Kamera über das Verfahren.")</f>
        <v>Er spricht mit der Kamera über das Verfahren.</v>
      </c>
    </row>
    <row r="24340">
      <c r="A24340" s="4" t="s">
        <v>30624</v>
      </c>
      <c r="B24340" s="4" t="s">
        <v>30627</v>
      </c>
      <c r="C24340" s="5" t="str">
        <f>IFERROR(__xludf.DUMMYFUNCTION("GOOGLETRANSLATE(B24340,""en"",""de"")"),"Er beugt sich vor und streckt seine Beine.")</f>
        <v>Er beugt sich vor und streckt seine Beine.</v>
      </c>
    </row>
    <row r="24341">
      <c r="A24341" s="4" t="s">
        <v>30628</v>
      </c>
      <c r="B24341" s="4" t="s">
        <v>30629</v>
      </c>
      <c r="C24341" s="5" t="str">
        <f>IFERROR(__xludf.DUMMYFUNCTION("GOOGLETRANSLATE(B24341,""en"",""de"")"),"Eine Frau steht vor einer Farbe, die eine Flasche hält, und dann werden Gemälde auf Leinwand in einer Diashow gezeigt.")</f>
        <v>Eine Frau steht vor einer Farbe, die eine Flasche hält, und dann werden Gemälde auf Leinwand in einer Diashow gezeigt.</v>
      </c>
    </row>
    <row r="24342">
      <c r="A24342" s="4" t="s">
        <v>30628</v>
      </c>
      <c r="B24342" s="4" t="s">
        <v>30630</v>
      </c>
      <c r="C24342" s="5" t="str">
        <f>IFERROR(__xludf.DUMMYFUNCTION("GOOGLETRANSLATE(B24342,""en"",""de"")"),"Dann malt die Frau zwei Leinwand mit einer Flasche, wenn es notwendig ist, dreht die Frau die Leinwand.")</f>
        <v>Dann malt die Frau zwei Leinwand mit einer Flasche, wenn es notwendig ist, dreht die Frau die Leinwand.</v>
      </c>
    </row>
    <row r="24343">
      <c r="A24343" s="4" t="s">
        <v>30628</v>
      </c>
      <c r="B24343" s="4" t="s">
        <v>30631</v>
      </c>
      <c r="C24343" s="5" t="str">
        <f>IFERROR(__xludf.DUMMYFUNCTION("GOOGLETRANSLATE(B24343,""en"",""de"")"),"Dann legt die Frau die Leinwand auf den Boden und malt weiter mit der Flasche.")</f>
        <v>Dann legt die Frau die Leinwand auf den Boden und malt weiter mit der Flasche.</v>
      </c>
    </row>
    <row r="24344">
      <c r="A24344" s="4" t="s">
        <v>30628</v>
      </c>
      <c r="B24344" s="4" t="s">
        <v>30632</v>
      </c>
      <c r="C24344" s="5" t="str">
        <f>IFERROR(__xludf.DUMMYFUNCTION("GOOGLETRANSLATE(B24344,""en"",""de"")"),"Danach hängt die Frau die Gemälde an die, dann legt sie die Bilder auf den Boden und hängt dann an der Wand, um weiter zu malen.")</f>
        <v>Danach hängt die Frau die Gemälde an die, dann legt sie die Bilder auf den Boden und hängt dann an der Wand, um weiter zu malen.</v>
      </c>
    </row>
    <row r="24345">
      <c r="A24345" s="4" t="s">
        <v>30633</v>
      </c>
      <c r="B24345" s="4" t="s">
        <v>30634</v>
      </c>
      <c r="C24345" s="5" t="str">
        <f>IFERROR(__xludf.DUMMYFUNCTION("GOOGLETRANSLATE(B24345,""en"",""de"")"),"Eine Person verbreitet etwas Grünes auf Brot.")</f>
        <v>Eine Person verbreitet etwas Grünes auf Brot.</v>
      </c>
    </row>
    <row r="24346">
      <c r="A24346" s="4" t="s">
        <v>30633</v>
      </c>
      <c r="B24346" s="4" t="s">
        <v>30635</v>
      </c>
      <c r="C24346" s="5" t="str">
        <f>IFERROR(__xludf.DUMMYFUNCTION("GOOGLETRANSLATE(B24346,""en"",""de"")"),"Sie steckten das Sandwich in einen Grill.")</f>
        <v>Sie steckten das Sandwich in einen Grill.</v>
      </c>
    </row>
    <row r="24347">
      <c r="A24347" s="4" t="s">
        <v>30633</v>
      </c>
      <c r="B24347" s="4" t="s">
        <v>30636</v>
      </c>
      <c r="C24347" s="5" t="str">
        <f>IFERROR(__xludf.DUMMYFUNCTION("GOOGLETRANSLATE(B24347,""en"",""de"")"),"Sie nehmen das Sandwich vom Grill und legen es auf einen Teller.")</f>
        <v>Sie nehmen das Sandwich vom Grill und legen es auf einen Teller.</v>
      </c>
    </row>
    <row r="24348">
      <c r="A24348" s="4" t="s">
        <v>30637</v>
      </c>
      <c r="B24348" s="4" t="s">
        <v>1251</v>
      </c>
      <c r="C24348" s="5" t="str">
        <f>IFERROR(__xludf.DUMMYFUNCTION("GOOGLETRANSLATE(B24348,""en"",""de"")"),"Die Credits des Clips werden angezeigt.")</f>
        <v>Die Credits des Clips werden angezeigt.</v>
      </c>
    </row>
    <row r="24349">
      <c r="A24349" s="4" t="s">
        <v>30637</v>
      </c>
      <c r="B24349" s="4" t="s">
        <v>30638</v>
      </c>
      <c r="C24349" s="5" t="str">
        <f>IFERROR(__xludf.DUMMYFUNCTION("GOOGLETRANSLATE(B24349,""en"",""de"")"),"Die Menschen interagieren in einem Inside -Gericht.")</f>
        <v>Die Menschen interagieren in einem Inside -Gericht.</v>
      </c>
    </row>
    <row r="24350">
      <c r="A24350" s="4" t="s">
        <v>30637</v>
      </c>
      <c r="B24350" s="4" t="s">
        <v>30639</v>
      </c>
      <c r="C24350" s="5" t="str">
        <f>IFERROR(__xludf.DUMMYFUNCTION("GOOGLETRANSLATE(B24350,""en"",""de"")"),"Die Leute rennen, um Bälle aus der Mitte des Platzes abzuholen.")</f>
        <v>Die Leute rennen, um Bälle aus der Mitte des Platzes abzuholen.</v>
      </c>
    </row>
    <row r="24351">
      <c r="A24351" s="4" t="s">
        <v>30637</v>
      </c>
      <c r="B24351" s="4" t="s">
        <v>30640</v>
      </c>
      <c r="C24351" s="5" t="str">
        <f>IFERROR(__xludf.DUMMYFUNCTION("GOOGLETRANSLATE(B24351,""en"",""de"")"),"Zwei Teams spielen Dodge-Ball.")</f>
        <v>Zwei Teams spielen Dodge-Ball.</v>
      </c>
    </row>
    <row r="24352">
      <c r="A24352" s="4" t="s">
        <v>30637</v>
      </c>
      <c r="B24352" s="4" t="s">
        <v>30641</v>
      </c>
      <c r="C24352" s="5" t="str">
        <f>IFERROR(__xludf.DUMMYFUNCTION("GOOGLETRANSLATE(B24352,""en"",""de"")"),"Ein rotes Teammitglied läuft auf und wirft einen Ball direkt auf einen Gegner.")</f>
        <v>Ein rotes Teammitglied läuft auf und wirft einen Ball direkt auf einen Gegner.</v>
      </c>
    </row>
    <row r="24353">
      <c r="A24353" s="4" t="s">
        <v>30642</v>
      </c>
      <c r="B24353" s="4" t="s">
        <v>30643</v>
      </c>
      <c r="C24353" s="5" t="str">
        <f>IFERROR(__xludf.DUMMYFUNCTION("GOOGLETRANSLATE(B24353,""en"",""de"")"),"Eine Frau demonstriert, wie man eine Oberseite und ein Wassersucken aus einem Waschbeckenhahn mit einem Papiertuch trocknet.")</f>
        <v>Eine Frau demonstriert, wie man eine Oberseite und ein Wassersucken aus einem Waschbeckenhahn mit einem Papiertuch trocknet.</v>
      </c>
    </row>
    <row r="24354">
      <c r="A24354" s="4" t="s">
        <v>30642</v>
      </c>
      <c r="B24354" s="4" t="s">
        <v>30644</v>
      </c>
      <c r="C24354" s="5" t="str">
        <f>IFERROR(__xludf.DUMMYFUNCTION("GOOGLETRANSLATE(B24354,""en"",""de"")"),"Eine Frau steht in einer Küche neben einem Waschbecken und spricht mit der Kamera.")</f>
        <v>Eine Frau steht in einer Küche neben einem Waschbecken und spricht mit der Kamera.</v>
      </c>
    </row>
    <row r="24355">
      <c r="A24355" s="4" t="s">
        <v>30642</v>
      </c>
      <c r="B24355" s="4" t="s">
        <v>30645</v>
      </c>
      <c r="C24355" s="5" t="str">
        <f>IFERROR(__xludf.DUMMYFUNCTION("GOOGLETRANSLATE(B24355,""en"",""de"")"),"Die Frau zeigt auf ein Wasserspritzer auf der Theke neben dem Waschbecken, nachdem sie das Wasser am Waschbecken eingeschaltet hat.")</f>
        <v>Die Frau zeigt auf ein Wasserspritzer auf der Theke neben dem Waschbecken, nachdem sie das Wasser am Waschbecken eingeschaltet hat.</v>
      </c>
    </row>
    <row r="24356">
      <c r="A24356" s="4" t="s">
        <v>30642</v>
      </c>
      <c r="B24356" s="4" t="s">
        <v>30646</v>
      </c>
      <c r="C24356" s="5" t="str">
        <f>IFERROR(__xludf.DUMMYFUNCTION("GOOGLETRANSLATE(B24356,""en"",""de"")"),"Die Frau schnappt sich dann ein Papiertuch und wischt sich über die Spülenschalter, die Innenseite des Waschbeckens und den Wasserhahnauslauf.")</f>
        <v>Die Frau schnappt sich dann ein Papiertuch und wischt sich über die Spülenschalter, die Innenseite des Waschbeckens und den Wasserhahnauslauf.</v>
      </c>
    </row>
    <row r="24357">
      <c r="A24357" s="4" t="s">
        <v>30642</v>
      </c>
      <c r="B24357" s="4" t="s">
        <v>30647</v>
      </c>
      <c r="C24357" s="5" t="str">
        <f>IFERROR(__xludf.DUMMYFUNCTION("GOOGLETRANSLATE(B24357,""en"",""de"")"),"Die Frau kehrt dann mit der Kamera zurück.")</f>
        <v>Die Frau kehrt dann mit der Kamera zurück.</v>
      </c>
    </row>
    <row r="24358">
      <c r="A24358" s="4" t="s">
        <v>30648</v>
      </c>
      <c r="B24358" s="4" t="s">
        <v>30649</v>
      </c>
      <c r="C24358" s="5" t="str">
        <f>IFERROR(__xludf.DUMMYFUNCTION("GOOGLETRANSLATE(B24358,""en"",""de"")"),"Ein Intro führt zu einer Frau, die mit einer Klasse spricht, die auf Fahrrädern sitzt und anfängt zu fahren.")</f>
        <v>Ein Intro führt zu einer Frau, die mit einer Klasse spricht, die auf Fahrrädern sitzt und anfängt zu fahren.</v>
      </c>
    </row>
    <row r="24359">
      <c r="A24359" s="4" t="s">
        <v>30648</v>
      </c>
      <c r="B24359" s="4" t="s">
        <v>30650</v>
      </c>
      <c r="C24359" s="5" t="str">
        <f>IFERROR(__xludf.DUMMYFUNCTION("GOOGLETRANSLATE(B24359,""en"",""de"")"),"Sie führt die Klasse in einem Fahrradkurs an und inspiriert ihre Schüler, so hart zu treten.")</f>
        <v>Sie führt die Klasse in einem Fahrradkurs an und inspiriert ihre Schüler, so hart zu treten.</v>
      </c>
    </row>
    <row r="24360">
      <c r="A24360" s="4" t="s">
        <v>30648</v>
      </c>
      <c r="B24360" s="4" t="s">
        <v>30651</v>
      </c>
      <c r="C24360" s="5" t="str">
        <f>IFERROR(__xludf.DUMMYFUNCTION("GOOGLETRANSLATE(B24360,""en"",""de"")"),"Die Leute lächeln mit ihr, als die Kamera über mehrere Aufnahmen der Menschen schwenkt.")</f>
        <v>Die Leute lächeln mit ihr, als die Kamera über mehrere Aufnahmen der Menschen schwenkt.</v>
      </c>
    </row>
    <row r="24361">
      <c r="A24361" s="4" t="s">
        <v>30652</v>
      </c>
      <c r="B24361" s="4" t="s">
        <v>30653</v>
      </c>
      <c r="C24361" s="5" t="str">
        <f>IFERROR(__xludf.DUMMYFUNCTION("GOOGLETRANSLATE(B24361,""en"",""de"")"),"Ein Mann, der während des Redens ein Gericht mit Essen hält, waren zwei Mädchen auf dem Feld, andere Menschen gingen.")</f>
        <v>Ein Mann, der während des Redens ein Gericht mit Essen hält, waren zwei Mädchen auf dem Feld, andere Menschen gingen.</v>
      </c>
    </row>
    <row r="24362">
      <c r="A24362" s="4" t="s">
        <v>30652</v>
      </c>
      <c r="B24362" s="4" t="s">
        <v>30654</v>
      </c>
      <c r="C24362" s="5" t="str">
        <f>IFERROR(__xludf.DUMMYFUNCTION("GOOGLETRANSLATE(B24362,""en"",""de"")"),"Die Leute spielen Bälle auf den Boden.")</f>
        <v>Die Leute spielen Bälle auf den Boden.</v>
      </c>
    </row>
    <row r="24363">
      <c r="A24363" s="4" t="s">
        <v>30652</v>
      </c>
      <c r="B24363" s="4" t="s">
        <v>30655</v>
      </c>
      <c r="C24363" s="5" t="str">
        <f>IFERROR(__xludf.DUMMYFUNCTION("GOOGLETRANSLATE(B24363,""en"",""de"")"),"Danach spielt eine Band und die Leute tanzen einschließlich einer Braut.")</f>
        <v>Danach spielt eine Band und die Leute tanzen einschließlich einer Braut.</v>
      </c>
    </row>
    <row r="24364">
      <c r="A24364" s="4" t="s">
        <v>30652</v>
      </c>
      <c r="B24364" s="4" t="s">
        <v>30656</v>
      </c>
      <c r="C24364" s="5" t="str">
        <f>IFERROR(__xludf.DUMMYFUNCTION("GOOGLETRANSLATE(B24364,""en"",""de"")"),"Die Leute kommen in Boote und segeln in den Fluss, während andere Menschen ruhen.")</f>
        <v>Die Leute kommen in Boote und segeln in den Fluss, während andere Menschen ruhen.</v>
      </c>
    </row>
    <row r="24365">
      <c r="A24365" s="4" t="s">
        <v>30652</v>
      </c>
      <c r="B24365" s="4" t="s">
        <v>30657</v>
      </c>
      <c r="C24365" s="5" t="str">
        <f>IFERROR(__xludf.DUMMYFUNCTION("GOOGLETRANSLATE(B24365,""en"",""de"")"),"Die Leute passieren einen kleinen Wasserfall mit abgehacktem Wasser, und dann gehen sie den Fluss hinunter.")</f>
        <v>Die Leute passieren einen kleinen Wasserfall mit abgehacktem Wasser, und dann gehen sie den Fluss hinunter.</v>
      </c>
    </row>
    <row r="24366">
      <c r="A24366" s="4" t="s">
        <v>30652</v>
      </c>
      <c r="B24366" s="4" t="s">
        <v>30658</v>
      </c>
      <c r="C24366" s="5" t="str">
        <f>IFERROR(__xludf.DUMMYFUNCTION("GOOGLETRANSLATE(B24366,""en"",""de"")"),"Menschen tauchen im Fluss und ruhen sich dann beim Trinken aus und segeln dann in den Fluss.")</f>
        <v>Menschen tauchen im Fluss und ruhen sich dann beim Trinken aus und segeln dann in den Fluss.</v>
      </c>
    </row>
    <row r="24367">
      <c r="A24367" s="4" t="s">
        <v>30659</v>
      </c>
      <c r="B24367" s="4" t="s">
        <v>30660</v>
      </c>
      <c r="C24367" s="5" t="str">
        <f>IFERROR(__xludf.DUMMYFUNCTION("GOOGLETRANSLATE(B24367,""en"",""de"")"),"Eine Gruppe von Senioren wird vor Gericht versammelt.")</f>
        <v>Eine Gruppe von Senioren wird vor Gericht versammelt.</v>
      </c>
    </row>
    <row r="24368">
      <c r="A24368" s="4" t="s">
        <v>30659</v>
      </c>
      <c r="B24368" s="4" t="s">
        <v>30661</v>
      </c>
      <c r="C24368" s="5" t="str">
        <f>IFERROR(__xludf.DUMMYFUNCTION("GOOGLETRANSLATE(B24368,""en"",""de"")"),"Sie engagieren sich mit einem Lockenspiel.")</f>
        <v>Sie engagieren sich mit einem Lockenspiel.</v>
      </c>
    </row>
    <row r="24369">
      <c r="A24369" s="4" t="s">
        <v>30659</v>
      </c>
      <c r="B24369" s="4" t="s">
        <v>30662</v>
      </c>
      <c r="C24369" s="5" t="str">
        <f>IFERROR(__xludf.DUMMYFUNCTION("GOOGLETRANSLATE(B24369,""en"",""de"")"),"Sie schlugen auf den Puck und drückten ihn nach vorne.")</f>
        <v>Sie schlugen auf den Puck und drückten ihn nach vorne.</v>
      </c>
    </row>
    <row r="24370">
      <c r="A24370" s="4" t="s">
        <v>30663</v>
      </c>
      <c r="B24370" s="4" t="s">
        <v>30664</v>
      </c>
      <c r="C24370" s="5" t="str">
        <f>IFERROR(__xludf.DUMMYFUNCTION("GOOGLETRANSLATE(B24370,""en"",""de"")"),"Ein Mann steht in der Nähe von einem Feld.")</f>
        <v>Ein Mann steht in der Nähe von einem Feld.</v>
      </c>
    </row>
    <row r="24371">
      <c r="A24371" s="4" t="s">
        <v>30663</v>
      </c>
      <c r="B24371" s="4" t="s">
        <v>30665</v>
      </c>
      <c r="C24371" s="5" t="str">
        <f>IFERROR(__xludf.DUMMYFUNCTION("GOOGLETRANSLATE(B24371,""en"",""de"")"),"Eine Person gibt dann den Mann an einem Ball vorbei, um das Feld hinauf zu bewegen.")</f>
        <v>Eine Person gibt dann den Mann an einem Ball vorbei, um das Feld hinauf zu bewegen.</v>
      </c>
    </row>
    <row r="24372">
      <c r="A24372" s="4" t="s">
        <v>30663</v>
      </c>
      <c r="B24372" s="4" t="s">
        <v>30666</v>
      </c>
      <c r="C24372" s="5" t="str">
        <f>IFERROR(__xludf.DUMMYFUNCTION("GOOGLETRANSLATE(B24372,""en"",""de"")"),"Die Leute treten dann den Ball herum.")</f>
        <v>Die Leute treten dann den Ball herum.</v>
      </c>
    </row>
    <row r="24373">
      <c r="A24373" s="4" t="s">
        <v>30667</v>
      </c>
      <c r="B24373" s="4" t="s">
        <v>30668</v>
      </c>
      <c r="C24373" s="5" t="str">
        <f>IFERROR(__xludf.DUMMYFUNCTION("GOOGLETRANSLATE(B24373,""en"",""de"")"),"Eine Nahaufnahme eines Bodens ist zu sehen, gefolgt von einem kleinen Kind, das vor einem anderen kniet.")</f>
        <v>Eine Nahaufnahme eines Bodens ist zu sehen, gefolgt von einem kleinen Kind, das vor einem anderen kniet.</v>
      </c>
    </row>
    <row r="24374">
      <c r="A24374" s="4" t="s">
        <v>30667</v>
      </c>
      <c r="B24374" s="4" t="s">
        <v>30669</v>
      </c>
      <c r="C24374" s="5" t="str">
        <f>IFERROR(__xludf.DUMMYFUNCTION("GOOGLETRANSLATE(B24374,""en"",""de"")"),"Eine Person sitzt mit dem kleinen Kind auf einem Bett, der die Schuhe eines anderen leuchtet.")</f>
        <v>Eine Person sitzt mit dem kleinen Kind auf einem Bett, der die Schuhe eines anderen leuchtet.</v>
      </c>
    </row>
    <row r="24375">
      <c r="A24375" s="4" t="s">
        <v>30667</v>
      </c>
      <c r="B24375" s="4" t="s">
        <v>30670</v>
      </c>
      <c r="C24375" s="5" t="str">
        <f>IFERROR(__xludf.DUMMYFUNCTION("GOOGLETRANSLATE(B24375,""en"",""de"")"),"Die Kinder leuchten weiterhin die Schuhe eines anderen.")</f>
        <v>Die Kinder leuchten weiterhin die Schuhe eines anderen.</v>
      </c>
    </row>
    <row r="24376">
      <c r="A24376" s="4" t="s">
        <v>30671</v>
      </c>
      <c r="B24376" s="4" t="s">
        <v>30672</v>
      </c>
      <c r="C24376" s="5" t="str">
        <f>IFERROR(__xludf.DUMMYFUNCTION("GOOGLETRANSLATE(B24376,""en"",""de"")"),"Ein Mann wird mit einem Hammer und einem Werkzeug gesehen, um Stücke eines Daches abzuwerfen.")</f>
        <v>Ein Mann wird mit einem Hammer und einem Werkzeug gesehen, um Stücke eines Daches abzuwerfen.</v>
      </c>
    </row>
    <row r="24377">
      <c r="A24377" s="4" t="s">
        <v>30671</v>
      </c>
      <c r="B24377" s="4" t="s">
        <v>30673</v>
      </c>
      <c r="C24377" s="5" t="str">
        <f>IFERROR(__xludf.DUMMYFUNCTION("GOOGLETRANSLATE(B24377,""en"",""de"")"),"Der Mann legt dann eine Stange nach unten und legt weiterhin Dachschindeln auf, während die Kamera herumnält.")</f>
        <v>Der Mann legt dann eine Stange nach unten und legt weiterhin Dachschindeln auf, während die Kamera herumnält.</v>
      </c>
    </row>
    <row r="24378">
      <c r="A24378" s="4" t="s">
        <v>30674</v>
      </c>
      <c r="B24378" s="4" t="s">
        <v>30675</v>
      </c>
      <c r="C24378" s="5" t="str">
        <f>IFERROR(__xludf.DUMMYFUNCTION("GOOGLETRANSLATE(B24378,""en"",""de"")"),"Ein animiertes Bild eines Lockenpinsels wird gezeigt.")</f>
        <v>Ein animiertes Bild eines Lockenpinsels wird gezeigt.</v>
      </c>
    </row>
    <row r="24379">
      <c r="A24379" s="4" t="s">
        <v>30674</v>
      </c>
      <c r="B24379" s="4" t="s">
        <v>30676</v>
      </c>
      <c r="C24379" s="5" t="str">
        <f>IFERROR(__xludf.DUMMYFUNCTION("GOOGLETRANSLATE(B24379,""en"",""de"")"),"Eine Frau beugt sich und legt etwas auf eine Skala.")</f>
        <v>Eine Frau beugt sich und legt etwas auf eine Skala.</v>
      </c>
    </row>
    <row r="24380">
      <c r="A24380" s="4" t="s">
        <v>30674</v>
      </c>
      <c r="B24380" s="4" t="s">
        <v>30677</v>
      </c>
      <c r="C24380" s="5" t="str">
        <f>IFERROR(__xludf.DUMMYFUNCTION("GOOGLETRANSLATE(B24380,""en"",""de"")"),"Sie gleitet dann über das Eis.")</f>
        <v>Sie gleitet dann über das Eis.</v>
      </c>
    </row>
    <row r="24381">
      <c r="A24381" s="4" t="s">
        <v>30678</v>
      </c>
      <c r="B24381" s="4" t="s">
        <v>30679</v>
      </c>
      <c r="C24381" s="5" t="str">
        <f>IFERROR(__xludf.DUMMYFUNCTION("GOOGLETRANSLATE(B24381,""en"",""de"")"),"Eine größere Frau sitzt auf einem Stuhl, während ein Mann sich über die Lippe wischt und einen Anspruch auf sie setzt.")</f>
        <v>Eine größere Frau sitzt auf einem Stuhl, während ein Mann sich über die Lippe wischt und einen Anspruch auf sie setzt.</v>
      </c>
    </row>
    <row r="24382">
      <c r="A24382" s="4" t="s">
        <v>30678</v>
      </c>
      <c r="B24382" s="4" t="s">
        <v>30680</v>
      </c>
      <c r="C24382" s="5" t="str">
        <f>IFERROR(__xludf.DUMMYFUNCTION("GOOGLETRANSLATE(B24382,""en"",""de"")"),"Die Frau legt sich und der Mann steckt eine Nadel in ihre Lippe, die ein Piercing entsteht.")</f>
        <v>Die Frau legt sich und der Mann steckt eine Nadel in ihre Lippe, die ein Piercing entsteht.</v>
      </c>
    </row>
    <row r="24383">
      <c r="A24383" s="4" t="s">
        <v>30678</v>
      </c>
      <c r="B24383" s="4" t="s">
        <v>30681</v>
      </c>
      <c r="C24383" s="5" t="str">
        <f>IFERROR(__xludf.DUMMYFUNCTION("GOOGLETRANSLATE(B24383,""en"",""de"")"),"Die Frau setzt sich auf und lächelt, während der Mann sich über die Lippe wischt und sie weiter spricht.")</f>
        <v>Die Frau setzt sich auf und lächelt, während der Mann sich über die Lippe wischt und sie weiter spricht.</v>
      </c>
    </row>
    <row r="24384">
      <c r="A24384" s="4" t="s">
        <v>30682</v>
      </c>
      <c r="B24384" s="4" t="s">
        <v>30683</v>
      </c>
      <c r="C24384" s="5" t="str">
        <f>IFERROR(__xludf.DUMMYFUNCTION("GOOGLETRANSLATE(B24384,""en"",""de"")"),"Eine Frau wird gesehen, wie sie einen Spiegel hinunterschifft, der hinter einer Theke in sie steht.")</f>
        <v>Eine Frau wird gesehen, wie sie einen Spiegel hinunterschifft, der hinter einer Theke in sie steht.</v>
      </c>
    </row>
    <row r="24385">
      <c r="A24385" s="4" t="s">
        <v>30682</v>
      </c>
      <c r="B24385" s="4" t="s">
        <v>30684</v>
      </c>
      <c r="C24385" s="5" t="str">
        <f>IFERROR(__xludf.DUMMYFUNCTION("GOOGLETRANSLATE(B24385,""en"",""de"")"),"Sie gießt Zutaten in einen Eimer, einweist den Schwamm im Eimer und wischt dann mit einem Scheibenwischer einen Spiegel hinunter.")</f>
        <v>Sie gießt Zutaten in einen Eimer, einweist den Schwamm im Eimer und wischt dann mit einem Scheibenwischer einen Spiegel hinunter.</v>
      </c>
    </row>
    <row r="24386">
      <c r="A24386" s="4" t="s">
        <v>30685</v>
      </c>
      <c r="B24386" s="4" t="s">
        <v>30686</v>
      </c>
      <c r="C24386" s="5" t="str">
        <f>IFERROR(__xludf.DUMMYFUNCTION("GOOGLETRANSLATE(B24386,""en"",""de"")"),"Eine Person wird gesehen, wie sie in einem Kajak das Wasser entlang reitet, während ein anderer Mann ihn nebenbei beobachtet.")</f>
        <v>Eine Person wird gesehen, wie sie in einem Kajak das Wasser entlang reitet, während ein anderer Mann ihn nebenbei beobachtet.</v>
      </c>
    </row>
    <row r="24387">
      <c r="A24387" s="4" t="s">
        <v>30685</v>
      </c>
      <c r="B24387" s="4" t="s">
        <v>30687</v>
      </c>
      <c r="C24387" s="5" t="str">
        <f>IFERROR(__xludf.DUMMYFUNCTION("GOOGLETRANSLATE(B24387,""en"",""de"")"),"Er reitet weiter am Wasser im Kajak und macht Flips im Wasser.")</f>
        <v>Er reitet weiter am Wasser im Kajak und macht Flips im Wasser.</v>
      </c>
    </row>
    <row r="24388">
      <c r="A24388" s="4" t="s">
        <v>30688</v>
      </c>
      <c r="B24388" s="4" t="s">
        <v>30689</v>
      </c>
      <c r="C24388" s="5" t="str">
        <f>IFERROR(__xludf.DUMMYFUNCTION("GOOGLETRANSLATE(B24388,""en"",""de"")"),"Die Leute spielen Volleyball im Sand.")</f>
        <v>Die Leute spielen Volleyball im Sand.</v>
      </c>
    </row>
    <row r="24389">
      <c r="A24389" s="4" t="s">
        <v>30688</v>
      </c>
      <c r="B24389" s="4" t="s">
        <v>30690</v>
      </c>
      <c r="C24389" s="5" t="str">
        <f>IFERROR(__xludf.DUMMYFUNCTION("GOOGLETRANSLATE(B24389,""en"",""de"")"),"Eine Person fällt in den Sand.")</f>
        <v>Eine Person fällt in den Sand.</v>
      </c>
    </row>
    <row r="24390">
      <c r="A24390" s="4" t="s">
        <v>30688</v>
      </c>
      <c r="B24390" s="4" t="s">
        <v>30691</v>
      </c>
      <c r="C24390" s="5" t="str">
        <f>IFERROR(__xludf.DUMMYFUNCTION("GOOGLETRANSLATE(B24390,""en"",""de"")"),"Eine Frau in einem blauen Hemd spricht mit der Kamera.")</f>
        <v>Eine Frau in einem blauen Hemd spricht mit der Kamera.</v>
      </c>
    </row>
    <row r="24391">
      <c r="A24391" s="4" t="s">
        <v>30688</v>
      </c>
      <c r="B24391" s="4" t="s">
        <v>21372</v>
      </c>
      <c r="C24391" s="5" t="str">
        <f>IFERROR(__xludf.DUMMYFUNCTION("GOOGLETRANSLATE(B24391,""en"",""de"")"),"Eine Frau in einem schwarzen Hemd spricht mit der Kamera.")</f>
        <v>Eine Frau in einem schwarzen Hemd spricht mit der Kamera.</v>
      </c>
    </row>
    <row r="24392">
      <c r="A24392" s="4" t="s">
        <v>30692</v>
      </c>
      <c r="B24392" s="4" t="s">
        <v>30693</v>
      </c>
      <c r="C24392" s="5" t="str">
        <f>IFERROR(__xludf.DUMMYFUNCTION("GOOGLETRANSLATE(B24392,""en"",""de"")"),"Männer und Frauen posieren und lächeln in die Kamera.")</f>
        <v>Männer und Frauen posieren und lächeln in die Kamera.</v>
      </c>
    </row>
    <row r="24393">
      <c r="A24393" s="4" t="s">
        <v>30692</v>
      </c>
      <c r="B24393" s="4" t="s">
        <v>30694</v>
      </c>
      <c r="C24393" s="5" t="str">
        <f>IFERROR(__xludf.DUMMYFUNCTION("GOOGLETRANSLATE(B24393,""en"",""de"")"),"Eine gruppierte Männer und Frau, die in kaltem Wassertauchen gekleidet sind, kommen in einem Van an.")</f>
        <v>Eine gruppierte Männer und Frau, die in kaltem Wassertauchen gekleidet sind, kommen in einem Van an.</v>
      </c>
    </row>
    <row r="24394">
      <c r="A24394" s="4" t="s">
        <v>30692</v>
      </c>
      <c r="B24394" s="4" t="s">
        <v>30695</v>
      </c>
      <c r="C24394" s="5" t="str">
        <f>IFERROR(__xludf.DUMMYFUNCTION("GOOGLETRANSLATE(B24394,""en"",""de"")"),"Die Taucher marschieren in einer einzelnen Datei auf einem Dock zum Wasser und posieren mit ihrer Tauchausrüstung.")</f>
        <v>Die Taucher marschieren in einer einzelnen Datei auf einem Dock zum Wasser und posieren mit ihrer Tauchausrüstung.</v>
      </c>
    </row>
    <row r="24395">
      <c r="A24395" s="4" t="s">
        <v>30692</v>
      </c>
      <c r="B24395" s="4" t="s">
        <v>30696</v>
      </c>
      <c r="C24395" s="5" t="str">
        <f>IFERROR(__xludf.DUMMYFUNCTION("GOOGLETRANSLATE(B24395,""en"",""de"")"),"Die Taucher sind unter Wasser und spielen verschiedene versunkene Fahrzeuge durch und spielen herum und posieren.")</f>
        <v>Die Taucher sind unter Wasser und spielen verschiedene versunkene Fahrzeuge durch und spielen herum und posieren.</v>
      </c>
    </row>
    <row r="24396">
      <c r="A24396" s="4" t="s">
        <v>30692</v>
      </c>
      <c r="B24396" s="4" t="s">
        <v>30697</v>
      </c>
      <c r="C24396" s="5" t="str">
        <f>IFERROR(__xludf.DUMMYFUNCTION("GOOGLETRANSLATE(B24396,""en"",""de"")"),"Die Taucher werden in einigen Trickfotografie vorgestellt.")</f>
        <v>Die Taucher werden in einigen Trickfotografie vorgestellt.</v>
      </c>
    </row>
    <row r="24397">
      <c r="A24397" s="4" t="s">
        <v>30692</v>
      </c>
      <c r="B24397" s="4" t="s">
        <v>30698</v>
      </c>
      <c r="C24397" s="5" t="str">
        <f>IFERROR(__xludf.DUMMYFUNCTION("GOOGLETRANSLATE(B24397,""en"",""de"")"),"Die Taucher entspannen sich in einem Restaurant mit einem regelmäßigen Abschluss an einem runden Picknicktisch.")</f>
        <v>Die Taucher entspannen sich in einem Restaurant mit einem regelmäßigen Abschluss an einem runden Picknicktisch.</v>
      </c>
    </row>
    <row r="24398">
      <c r="A24398" s="4" t="s">
        <v>30699</v>
      </c>
      <c r="B24398" s="4" t="s">
        <v>30700</v>
      </c>
      <c r="C24398" s="5" t="str">
        <f>IFERROR(__xludf.DUMMYFUNCTION("GOOGLETRANSLATE(B24398,""en"",""de"")"),"Eine Person führt ein Tutorial zur Verwendung eines elliptischen am effizientesten Gebrauchs.")</f>
        <v>Eine Person führt ein Tutorial zur Verwendung eines elliptischen am effizientesten Gebrauchs.</v>
      </c>
    </row>
    <row r="24399">
      <c r="A24399" s="4" t="s">
        <v>30699</v>
      </c>
      <c r="B24399" s="4" t="s">
        <v>30701</v>
      </c>
      <c r="C24399" s="5" t="str">
        <f>IFERROR(__xludf.DUMMYFUNCTION("GOOGLETRANSLATE(B24399,""en"",""de"")"),"Eine Frau macht manchmal die rückwärts elliptische Elliptik, während sie manchmal lächelt.")</f>
        <v>Eine Frau macht manchmal die rückwärts elliptische Elliptik, während sie manchmal lächelt.</v>
      </c>
    </row>
    <row r="24400">
      <c r="A24400" s="4" t="s">
        <v>30702</v>
      </c>
      <c r="B24400" s="4" t="s">
        <v>30703</v>
      </c>
      <c r="C24400" s="5" t="str">
        <f>IFERROR(__xludf.DUMMYFUNCTION("GOOGLETRANSLATE(B24400,""en"",""de"")"),"Das Video führt zu verschiedenen Schüssen von Menschen, die im ganzen Meer surfen.")</f>
        <v>Das Video führt zu verschiedenen Schüssen von Menschen, die im ganzen Meer surfen.</v>
      </c>
    </row>
    <row r="24401">
      <c r="A24401" s="4" t="s">
        <v>30702</v>
      </c>
      <c r="B24401" s="4" t="s">
        <v>30704</v>
      </c>
      <c r="C24401" s="5" t="str">
        <f>IFERROR(__xludf.DUMMYFUNCTION("GOOGLETRANSLATE(B24401,""en"",""de"")"),"Die Person reitet weiter entlang des Wassers, während die Kamera ihm aus der Vogelperspektive folgt.")</f>
        <v>Die Person reitet weiter entlang des Wassers, während die Kamera ihm aus der Vogelperspektive folgt.</v>
      </c>
    </row>
    <row r="24402">
      <c r="A24402" s="4" t="s">
        <v>30705</v>
      </c>
      <c r="B24402" s="4" t="s">
        <v>30706</v>
      </c>
      <c r="C24402" s="5" t="str">
        <f>IFERROR(__xludf.DUMMYFUNCTION("GOOGLETRANSLATE(B24402,""en"",""de"")"),"Eine Video -Zusammenfassung eines Strandfußballspiels beginnt mit einem argentinischen Tor aus einem tiefen Pass.")</f>
        <v>Eine Video -Zusammenfassung eines Strandfußballspiels beginnt mit einem argentinischen Tor aus einem tiefen Pass.</v>
      </c>
    </row>
    <row r="24403">
      <c r="A24403" s="4" t="s">
        <v>30705</v>
      </c>
      <c r="B24403" s="4" t="s">
        <v>30707</v>
      </c>
      <c r="C24403" s="5" t="str">
        <f>IFERROR(__xludf.DUMMYFUNCTION("GOOGLETRANSLATE(B24403,""en"",""de"")"),"Die Brasilianer verfolgen ein Tor mit einem Elfmeter, der von einem überschwänglichen Torhüter genommen wurde.")</f>
        <v>Die Brasilianer verfolgen ein Tor mit einem Elfmeter, der von einem überschwänglichen Torhüter genommen wurde.</v>
      </c>
    </row>
    <row r="24404">
      <c r="A24404" s="4" t="s">
        <v>30705</v>
      </c>
      <c r="B24404" s="4" t="s">
        <v>30708</v>
      </c>
      <c r="C24404" s="5" t="str">
        <f>IFERROR(__xludf.DUMMYFUNCTION("GOOGLETRANSLATE(B24404,""en"",""de"")"),"Die Argentinier stehlen einen Pass auf halbem Weg über das Sandfeld und nehmen ihn für ein Tor in der engen Ecke ab.")</f>
        <v>Die Argentinier stehlen einen Pass auf halbem Weg über das Sandfeld und nehmen ihn für ein Tor in der engen Ecke ab.</v>
      </c>
    </row>
    <row r="24405">
      <c r="A24405" s="4" t="s">
        <v>30705</v>
      </c>
      <c r="B24405" s="4" t="s">
        <v>30709</v>
      </c>
      <c r="C24405" s="5" t="str">
        <f>IFERROR(__xludf.DUMMYFUNCTION("GOOGLETRANSLATE(B24405,""en"",""de"")"),"Es folgt sofort ein weiteres Tor von Argentinien mit einem Elfmeter.")</f>
        <v>Es folgt sofort ein weiteres Tor von Argentinien mit einem Elfmeter.</v>
      </c>
    </row>
    <row r="24406">
      <c r="A24406" s="4" t="s">
        <v>30705</v>
      </c>
      <c r="B24406" s="4" t="s">
        <v>30710</v>
      </c>
      <c r="C24406" s="5" t="str">
        <f>IFERROR(__xludf.DUMMYFUNCTION("GOOGLETRANSLATE(B24406,""en"",""de"")"),"Brasilien findet sich noch mehr auf ein anderes argentinisches Tor auf einem schönen Pass und schoss über das Feld.")</f>
        <v>Brasilien findet sich noch mehr auf ein anderes argentinisches Tor auf einem schönen Pass und schoss über das Feld.</v>
      </c>
    </row>
    <row r="24407">
      <c r="A24407" s="4" t="s">
        <v>30705</v>
      </c>
      <c r="B24407" s="4" t="s">
        <v>30711</v>
      </c>
      <c r="C24407" s="5" t="str">
        <f>IFERROR(__xludf.DUMMYFUNCTION("GOOGLETRANSLATE(B24407,""en"",""de"")"),"Um die Sache noch schlimmer zu machen, punktet Argentinien danach auf einem tiefen unbestrittenen Schuss.")</f>
        <v>Um die Sache noch schlimmer zu machen, punktet Argentinien danach auf einem tiefen unbestrittenen Schuss.</v>
      </c>
    </row>
    <row r="24408">
      <c r="A24408" s="4" t="s">
        <v>30705</v>
      </c>
      <c r="B24408" s="4" t="s">
        <v>30712</v>
      </c>
      <c r="C24408" s="5" t="str">
        <f>IFERROR(__xludf.DUMMYFUNCTION("GOOGLETRANSLATE(B24408,""en"",""de"")"),"Dieses Spiel ist für sie viel zu einfach und gewinnen mit einer großen Punktzahl.")</f>
        <v>Dieses Spiel ist für sie viel zu einfach und gewinnen mit einer großen Punktzahl.</v>
      </c>
    </row>
    <row r="24409">
      <c r="A24409" s="4" t="s">
        <v>30713</v>
      </c>
      <c r="B24409" s="4" t="s">
        <v>30714</v>
      </c>
      <c r="C24409" s="5" t="str">
        <f>IFERROR(__xludf.DUMMYFUNCTION("GOOGLETRANSLATE(B24409,""en"",""de"")"),"Ein Mann spielt Shuffleboard auf einem Schiff.")</f>
        <v>Ein Mann spielt Shuffleboard auf einem Schiff.</v>
      </c>
    </row>
    <row r="24410">
      <c r="A24410" s="4" t="s">
        <v>30713</v>
      </c>
      <c r="B24410" s="4" t="s">
        <v>30715</v>
      </c>
      <c r="C24410" s="5" t="str">
        <f>IFERROR(__xludf.DUMMYFUNCTION("GOOGLETRANSLATE(B24410,""en"",""de"")"),"Er dreht sich in die Kamera und sagt etwas.")</f>
        <v>Er dreht sich in die Kamera und sagt etwas.</v>
      </c>
    </row>
    <row r="24411">
      <c r="A24411" s="4" t="s">
        <v>30716</v>
      </c>
      <c r="B24411" s="4" t="s">
        <v>30717</v>
      </c>
      <c r="C24411" s="5" t="str">
        <f>IFERROR(__xludf.DUMMYFUNCTION("GOOGLETRANSLATE(B24411,""en"",""de"")"),"Ein Mann taucht einen Lappen in einen schwarzen Behälter.")</f>
        <v>Ein Mann taucht einen Lappen in einen schwarzen Behälter.</v>
      </c>
    </row>
    <row r="24412">
      <c r="A24412" s="4" t="s">
        <v>30716</v>
      </c>
      <c r="B24412" s="4" t="s">
        <v>30718</v>
      </c>
      <c r="C24412" s="5" t="str">
        <f>IFERROR(__xludf.DUMMYFUNCTION("GOOGLETRANSLATE(B24412,""en"",""de"")"),"Er beginnt einen Schuh mit dem Lappen zu wischen.")</f>
        <v>Er beginnt einen Schuh mit dem Lappen zu wischen.</v>
      </c>
    </row>
    <row r="24413">
      <c r="A24413" s="4" t="s">
        <v>30716</v>
      </c>
      <c r="B24413" s="4" t="s">
        <v>30719</v>
      </c>
      <c r="C24413" s="5" t="str">
        <f>IFERROR(__xludf.DUMMYFUNCTION("GOOGLETRANSLATE(B24413,""en"",""de"")"),"Er nimmt einen Pinsel auf und beginnt damit, den Schuh zu bürsten.")</f>
        <v>Er nimmt einen Pinsel auf und beginnt damit, den Schuh zu bürsten.</v>
      </c>
    </row>
    <row r="24414">
      <c r="A24414" s="4" t="s">
        <v>30720</v>
      </c>
      <c r="B24414" s="4" t="s">
        <v>30721</v>
      </c>
      <c r="C24414" s="5" t="str">
        <f>IFERROR(__xludf.DUMMYFUNCTION("GOOGLETRANSLATE(B24414,""en"",""de"")"),"Wir sehen drei Männer auf einem Boot in einem See.")</f>
        <v>Wir sehen drei Männer auf einem Boot in einem See.</v>
      </c>
    </row>
    <row r="24415">
      <c r="A24415" s="4" t="s">
        <v>30720</v>
      </c>
      <c r="B24415" s="4" t="s">
        <v>30722</v>
      </c>
      <c r="C24415" s="5" t="str">
        <f>IFERROR(__xludf.DUMMYFUNCTION("GOOGLETRANSLATE(B24415,""en"",""de"")"),"Der linke Mann hält seine Nahen in der Nähe seiner Brust.")</f>
        <v>Der linke Mann hält seine Nahen in der Nähe seiner Brust.</v>
      </c>
    </row>
    <row r="24416">
      <c r="A24416" s="4" t="s">
        <v>30720</v>
      </c>
      <c r="B24416" s="4" t="s">
        <v>30723</v>
      </c>
      <c r="C24416" s="5" t="str">
        <f>IFERROR(__xludf.DUMMYFUNCTION("GOOGLETRANSLATE(B24416,""en"",""de"")"),"Ein Mann verhält sich komisch und sprüht sich selbst.")</f>
        <v>Ein Mann verhält sich komisch und sprüht sich selbst.</v>
      </c>
    </row>
    <row r="24417">
      <c r="A24417" s="4" t="s">
        <v>30724</v>
      </c>
      <c r="B24417" s="4" t="s">
        <v>30725</v>
      </c>
      <c r="C24417" s="5" t="str">
        <f>IFERROR(__xludf.DUMMYFUNCTION("GOOGLETRANSLATE(B24417,""en"",""de"")"),"Eine große Gruppe von Cheerleadern wird durch ein Loch auf eine Bühne rennen.")</f>
        <v>Eine große Gruppe von Cheerleadern wird durch ein Loch auf eine Bühne rennen.</v>
      </c>
    </row>
    <row r="24418">
      <c r="A24418" s="4" t="s">
        <v>30724</v>
      </c>
      <c r="B24418" s="4" t="s">
        <v>30726</v>
      </c>
      <c r="C24418" s="5" t="str">
        <f>IFERROR(__xludf.DUMMYFUNCTION("GOOGLETRANSLATE(B24418,""en"",""de"")"),"Die Gruppe beginnt dann miteinander aufzutreten, während sie sich gegenseitig in die Luft hebt.")</f>
        <v>Die Gruppe beginnt dann miteinander aufzutreten, während sie sich gegenseitig in die Luft hebt.</v>
      </c>
    </row>
    <row r="24419">
      <c r="A24419" s="4" t="s">
        <v>30724</v>
      </c>
      <c r="B24419" s="4" t="s">
        <v>30727</v>
      </c>
      <c r="C24419" s="5" t="str">
        <f>IFERROR(__xludf.DUMMYFUNCTION("GOOGLETRANSLATE(B24419,""en"",""de"")"),"Die Gruppe hebt sich weiter und springt umeinander und endet, indem sie von der Bühne geht.")</f>
        <v>Die Gruppe hebt sich weiter und springt umeinander und endet, indem sie von der Bühne geht.</v>
      </c>
    </row>
    <row r="24420">
      <c r="A24420" s="4" t="s">
        <v>30728</v>
      </c>
      <c r="B24420" s="4" t="s">
        <v>30729</v>
      </c>
      <c r="C24420" s="5" t="str">
        <f>IFERROR(__xludf.DUMMYFUNCTION("GOOGLETRANSLATE(B24420,""en"",""de"")"),"Eine Person spricht und wirft einen Bowlingkugel auf die Bowlingspur.")</f>
        <v>Eine Person spricht und wirft einen Bowlingkugel auf die Bowlingspur.</v>
      </c>
    </row>
    <row r="24421">
      <c r="A24421" s="4" t="s">
        <v>30728</v>
      </c>
      <c r="B24421" s="4" t="s">
        <v>30730</v>
      </c>
      <c r="C24421" s="5" t="str">
        <f>IFERROR(__xludf.DUMMYFUNCTION("GOOGLETRANSLATE(B24421,""en"",""de"")"),"Der Mann hält einen Ball und zeigt sein linkes Bein nach vorne, wirft dann den Bowlingkugel auf die Fahrspur, während er redet.")</f>
        <v>Der Mann hält einen Ball und zeigt sein linkes Bein nach vorne, wirft dann den Bowlingkugel auf die Fahrspur, während er redet.</v>
      </c>
    </row>
    <row r="24422">
      <c r="A24422" s="4" t="s">
        <v>30731</v>
      </c>
      <c r="B24422" s="4" t="s">
        <v>30732</v>
      </c>
      <c r="C24422" s="5" t="str">
        <f>IFERROR(__xludf.DUMMYFUNCTION("GOOGLETRANSLATE(B24422,""en"",""de"")"),"Ein Mann ist draußen mit einem Rasen -Utensil und er beginnt den Hof zu schneiden.")</f>
        <v>Ein Mann ist draußen mit einem Rasen -Utensil und er beginnt den Hof zu schneiden.</v>
      </c>
    </row>
    <row r="24423">
      <c r="A24423" s="4" t="s">
        <v>30731</v>
      </c>
      <c r="B24423" s="4" t="s">
        <v>30733</v>
      </c>
      <c r="C24423" s="5" t="str">
        <f>IFERROR(__xludf.DUMMYFUNCTION("GOOGLETRANSLATE(B24423,""en"",""de"")"),"Er bewegt einen Knopf und schneidet dann weiter das Gras und eine andere Frau wird gezeigt, wie er den Hof schneidet.")</f>
        <v>Er bewegt einen Knopf und schneidet dann weiter das Gras und eine andere Frau wird gezeigt, wie er den Hof schneidet.</v>
      </c>
    </row>
    <row r="24424">
      <c r="A24424" s="4" t="s">
        <v>30731</v>
      </c>
      <c r="B24424" s="4" t="s">
        <v>30734</v>
      </c>
      <c r="C24424" s="5" t="str">
        <f>IFERROR(__xludf.DUMMYFUNCTION("GOOGLETRANSLATE(B24424,""en"",""de"")"),"Schließlich kommt der Mann zurück und zeigt, wie sein Objekt funktioniert, um das Gras zu schneiden.")</f>
        <v>Schließlich kommt der Mann zurück und zeigt, wie sein Objekt funktioniert, um das Gras zu schneiden.</v>
      </c>
    </row>
    <row r="24425">
      <c r="A24425" s="4" t="s">
        <v>30735</v>
      </c>
      <c r="B24425" s="4" t="s">
        <v>30736</v>
      </c>
      <c r="C24425" s="5" t="str">
        <f>IFERROR(__xludf.DUMMYFUNCTION("GOOGLETRANSLATE(B24425,""en"",""de"")"),"Eine kleine Gruppe von Menschen steht an einem Sandstrand und führt zu einem Volleyballspiel.")</f>
        <v>Eine kleine Gruppe von Menschen steht an einem Sandstrand und führt zu einem Volleyballspiel.</v>
      </c>
    </row>
    <row r="24426">
      <c r="A24426" s="4" t="s">
        <v>30735</v>
      </c>
      <c r="B24426" s="4" t="s">
        <v>30737</v>
      </c>
      <c r="C24426" s="5" t="str">
        <f>IFERROR(__xludf.DUMMYFUNCTION("GOOGLETRANSLATE(B24426,""en"",""de"")"),"Die Leute spielen zurück und vierten, wobei einer von ihnen den Ball ausstößt und die Kamera zu Leuten herumschwemmelt und feiert.")</f>
        <v>Die Leute spielen zurück und vierten, wobei einer von ihnen den Ball ausstößt und die Kamera zu Leuten herumschwemmelt und feiert.</v>
      </c>
    </row>
    <row r="24427">
      <c r="A24427" s="4" t="s">
        <v>30738</v>
      </c>
      <c r="B24427" s="4" t="s">
        <v>30739</v>
      </c>
      <c r="C24427" s="5" t="str">
        <f>IFERROR(__xludf.DUMMYFUNCTION("GOOGLETRANSLATE(B24427,""en"",""de"")"),"Ein kleines Kind steht auf einer Bühne mit anderen und man beginnt in der Mitte zu tanzen.")</f>
        <v>Ein kleines Kind steht auf einer Bühne mit anderen und man beginnt in der Mitte zu tanzen.</v>
      </c>
    </row>
    <row r="24428">
      <c r="A24428" s="4" t="s">
        <v>30738</v>
      </c>
      <c r="B24428" s="4" t="s">
        <v>30740</v>
      </c>
      <c r="C24428" s="5" t="str">
        <f>IFERROR(__xludf.DUMMYFUNCTION("GOOGLETRANSLATE(B24428,""en"",""de"")"),"Der Junge bewegt sich dann in der Mitte abwechselnd mit anderen herum.")</f>
        <v>Der Junge bewegt sich dann in der Mitte abwechselnd mit anderen herum.</v>
      </c>
    </row>
    <row r="24429">
      <c r="A24429" s="4" t="s">
        <v>30738</v>
      </c>
      <c r="B24429" s="4" t="s">
        <v>30741</v>
      </c>
      <c r="C24429" s="5" t="str">
        <f>IFERROR(__xludf.DUMMYFUNCTION("GOOGLETRANSLATE(B24429,""en"",""de"")"),"Ein anderer Mann bewegt sich in die Mitte, um zu tanzen, während andere nebenbei zuschauen.")</f>
        <v>Ein anderer Mann bewegt sich in die Mitte, um zu tanzen, während andere nebenbei zuschauen.</v>
      </c>
    </row>
    <row r="24430">
      <c r="A24430" s="4" t="s">
        <v>30742</v>
      </c>
      <c r="B24430" s="4" t="s">
        <v>30743</v>
      </c>
      <c r="C24430" s="5" t="str">
        <f>IFERROR(__xludf.DUMMYFUNCTION("GOOGLETRANSLATE(B24430,""en"",""de"")"),"Eine Person steht mitten in einem Fitnessstudio mit einem Tennisschläger.")</f>
        <v>Eine Person steht mitten in einem Fitnessstudio mit einem Tennisschläger.</v>
      </c>
    </row>
    <row r="24431">
      <c r="A24431" s="4" t="s">
        <v>30742</v>
      </c>
      <c r="B24431" s="4" t="s">
        <v>30744</v>
      </c>
      <c r="C24431" s="5" t="str">
        <f>IFERROR(__xludf.DUMMYFUNCTION("GOOGLETRANSLATE(B24431,""en"",""de"")"),"Die Person schlägt dann einen Birdie über das Fitnessstudio.")</f>
        <v>Die Person schlägt dann einen Birdie über das Fitnessstudio.</v>
      </c>
    </row>
    <row r="24432">
      <c r="A24432" s="4" t="s">
        <v>30742</v>
      </c>
      <c r="B24432" s="4" t="s">
        <v>30745</v>
      </c>
      <c r="C24432" s="5" t="str">
        <f>IFERROR(__xludf.DUMMYFUNCTION("GOOGLETRANSLATE(B24432,""en"",""de"")"),"Die Person trifft das Objekt kontinuierlich zurück und vierten, während sie in die Kamera schaut.")</f>
        <v>Die Person trifft das Objekt kontinuierlich zurück und vierten, während sie in die Kamera schaut.</v>
      </c>
    </row>
    <row r="24433">
      <c r="A24433" s="4" t="s">
        <v>30746</v>
      </c>
      <c r="B24433" s="4" t="s">
        <v>30747</v>
      </c>
      <c r="C24433" s="5" t="str">
        <f>IFERROR(__xludf.DUMMYFUNCTION("GOOGLETRANSLATE(B24433,""en"",""de"")"),"Ein Mann steht auf einem Dach, das mit einem Stock Trümmerstücke hochschaltet.")</f>
        <v>Ein Mann steht auf einem Dach, das mit einem Stock Trümmerstücke hochschaltet.</v>
      </c>
    </row>
    <row r="24434">
      <c r="A24434" s="4" t="s">
        <v>30746</v>
      </c>
      <c r="B24434" s="4" t="s">
        <v>30748</v>
      </c>
      <c r="C24434" s="5" t="str">
        <f>IFERROR(__xludf.DUMMYFUNCTION("GOOGLETRANSLATE(B24434,""en"",""de"")"),"Der Mann schiebt die Trümmer weiter vom Dach, während er immer tiefer in das Chaos gräbt.")</f>
        <v>Der Mann schiebt die Trümmer weiter vom Dach, während er immer tiefer in das Chaos gräbt.</v>
      </c>
    </row>
    <row r="24435">
      <c r="A24435" s="4" t="s">
        <v>30749</v>
      </c>
      <c r="B24435" s="4" t="s">
        <v>30750</v>
      </c>
      <c r="C24435" s="5" t="str">
        <f>IFERROR(__xludf.DUMMYFUNCTION("GOOGLETRANSLATE(B24435,""en"",""de"")"),"Eine Person putzt die Zähne eines Hundes, während er den Nacken hält.")</f>
        <v>Eine Person putzt die Zähne eines Hundes, während er den Nacken hält.</v>
      </c>
    </row>
    <row r="24436">
      <c r="A24436" s="4" t="s">
        <v>30749</v>
      </c>
      <c r="B24436" s="4" t="s">
        <v>30751</v>
      </c>
      <c r="C24436" s="5" t="str">
        <f>IFERROR(__xludf.DUMMYFUNCTION("GOOGLETRANSLATE(B24436,""en"",""de"")"),"Danach klopft sie auf die Brust des Hundes und legte Zahnpasta auf die Bürste und putzte die Zähne des Hundes weiter.")</f>
        <v>Danach klopft sie auf die Brust des Hundes und legte Zahnpasta auf die Bürste und putzte die Zähne des Hundes weiter.</v>
      </c>
    </row>
    <row r="24437">
      <c r="A24437" s="4" t="s">
        <v>30749</v>
      </c>
      <c r="B24437" s="4" t="s">
        <v>30752</v>
      </c>
      <c r="C24437" s="5" t="str">
        <f>IFERROR(__xludf.DUMMYFUNCTION("GOOGLETRANSLATE(B24437,""en"",""de"")"),"Danach klopft die Person erneut auf die Brust, legte Zahnpasta auf die Bürste und putze die Zähne des Hundes.")</f>
        <v>Danach klopft die Person erneut auf die Brust, legte Zahnpasta auf die Bürste und putze die Zähne des Hundes.</v>
      </c>
    </row>
    <row r="24438">
      <c r="A24438" s="4" t="s">
        <v>30749</v>
      </c>
      <c r="B24438" s="4" t="s">
        <v>30753</v>
      </c>
      <c r="C24438" s="5" t="str">
        <f>IFERROR(__xludf.DUMMYFUNCTION("GOOGLETRANSLATE(B24438,""en"",""de"")"),"Wenn die Person fertig war, küsste sie den Hund.")</f>
        <v>Wenn die Person fertig war, küsste sie den Hund.</v>
      </c>
    </row>
    <row r="24439">
      <c r="A24439" s="4" t="s">
        <v>30754</v>
      </c>
      <c r="B24439" s="4" t="s">
        <v>30755</v>
      </c>
      <c r="C24439" s="5" t="str">
        <f>IFERROR(__xludf.DUMMYFUNCTION("GOOGLETRANSLATE(B24439,""en"",""de"")"),"Eine Frau spricht mit der Kamera, die von Alkoholflaschen umgeben ist.")</f>
        <v>Eine Frau spricht mit der Kamera, die von Alkoholflaschen umgeben ist.</v>
      </c>
    </row>
    <row r="24440">
      <c r="A24440" s="4" t="s">
        <v>30754</v>
      </c>
      <c r="B24440" s="4" t="s">
        <v>30756</v>
      </c>
      <c r="C24440" s="5" t="str">
        <f>IFERROR(__xludf.DUMMYFUNCTION("GOOGLETRANSLATE(B24440,""en"",""de"")"),"Die Frau beginnt verschiedene Alkohole und Zitronensaft in ein Glas Eis.")</f>
        <v>Die Frau beginnt verschiedene Alkohole und Zitronensaft in ein Glas Eis.</v>
      </c>
    </row>
    <row r="24441">
      <c r="A24441" s="4" t="s">
        <v>30754</v>
      </c>
      <c r="B24441" s="4" t="s">
        <v>30757</v>
      </c>
      <c r="C24441" s="5" t="str">
        <f>IFERROR(__xludf.DUMMYFUNCTION("GOOGLETRANSLATE(B24441,""en"",""de"")"),"Die Frau schüttelt die Getränkemischung und belastet sie in ein anderes Glas.")</f>
        <v>Die Frau schüttelt die Getränkemischung und belastet sie in ein anderes Glas.</v>
      </c>
    </row>
    <row r="24442">
      <c r="A24442" s="4" t="s">
        <v>30754</v>
      </c>
      <c r="B24442" s="4" t="s">
        <v>30758</v>
      </c>
      <c r="C24442" s="5" t="str">
        <f>IFERROR(__xludf.DUMMYFUNCTION("GOOGLETRANSLATE(B24442,""en"",""de"")"),"Die Frau steckt einen kleinen Strohhalm in das Getränk und hält es hoch und lächelt.")</f>
        <v>Die Frau steckt einen kleinen Strohhalm in das Getränk und hält es hoch und lächelt.</v>
      </c>
    </row>
    <row r="24443">
      <c r="A24443" s="4" t="s">
        <v>30759</v>
      </c>
      <c r="B24443" s="4" t="s">
        <v>30760</v>
      </c>
      <c r="C24443" s="5" t="str">
        <f>IFERROR(__xludf.DUMMYFUNCTION("GOOGLETRANSLATE(B24443,""en"",""de"")"),"Ein Mann, der einen schwarzen Hut trägt, spielt Gitarre, damit die Kamera sehen kann.")</f>
        <v>Ein Mann, der einen schwarzen Hut trägt, spielt Gitarre, damit die Kamera sehen kann.</v>
      </c>
    </row>
    <row r="24444">
      <c r="A24444" s="4" t="s">
        <v>30759</v>
      </c>
      <c r="B24444" s="4" t="s">
        <v>30761</v>
      </c>
      <c r="C24444" s="5" t="str">
        <f>IFERROR(__xludf.DUMMYFUNCTION("GOOGLETRANSLATE(B24444,""en"",""de"")"),"Er schlägt weiter mit den Fingern und bewegt seine Hände um das Instrument, bis das Lied sowohl endet als auch das Video.")</f>
        <v>Er schlägt weiter mit den Fingern und bewegt seine Hände um das Instrument, bis das Lied sowohl endet als auch das Video.</v>
      </c>
    </row>
    <row r="24445">
      <c r="A24445" s="4" t="s">
        <v>30762</v>
      </c>
      <c r="B24445" s="4" t="s">
        <v>30763</v>
      </c>
      <c r="C24445" s="5" t="str">
        <f>IFERROR(__xludf.DUMMYFUNCTION("GOOGLETRANSLATE(B24445,""en"",""de"")"),"Eine Frau nimmt ein Video eines kleinen Jungen auf, der einen Zaun malt.")</f>
        <v>Eine Frau nimmt ein Video eines kleinen Jungen auf, der einen Zaun malt.</v>
      </c>
    </row>
    <row r="24446">
      <c r="A24446" s="4" t="s">
        <v>30762</v>
      </c>
      <c r="B24446" s="4" t="s">
        <v>30764</v>
      </c>
      <c r="C24446" s="5" t="str">
        <f>IFERROR(__xludf.DUMMYFUNCTION("GOOGLETRANSLATE(B24446,""en"",""de"")"),"Die Kamera schwenkt zum Rest des Gartens und des Zauns.")</f>
        <v>Die Kamera schwenkt zum Rest des Gartens und des Zauns.</v>
      </c>
    </row>
    <row r="24447">
      <c r="A24447" s="4" t="s">
        <v>30762</v>
      </c>
      <c r="B24447" s="4" t="s">
        <v>30765</v>
      </c>
      <c r="C24447" s="5" t="str">
        <f>IFERROR(__xludf.DUMMYFUNCTION("GOOGLETRANSLATE(B24447,""en"",""de"")"),"Ein anderer kleiner Junge malt das andere Ende des Zauns, und die Kamera geht auf ihn.")</f>
        <v>Ein anderer kleiner Junge malt das andere Ende des Zauns, und die Kamera geht auf ihn.</v>
      </c>
    </row>
    <row r="24448">
      <c r="A24448" s="4" t="s">
        <v>30762</v>
      </c>
      <c r="B24448" s="4" t="s">
        <v>30766</v>
      </c>
      <c r="C24448" s="5" t="str">
        <f>IFERROR(__xludf.DUMMYFUNCTION("GOOGLETRANSLATE(B24448,""en"",""de"")"),"Das Video schneidet dann, um zu zeigen, dass der Zaun größtenteils abgeschlossen ist.")</f>
        <v>Das Video schneidet dann, um zu zeigen, dass der Zaun größtenteils abgeschlossen ist.</v>
      </c>
    </row>
    <row r="24449">
      <c r="A24449" s="4" t="s">
        <v>30762</v>
      </c>
      <c r="B24449" s="4" t="s">
        <v>30767</v>
      </c>
      <c r="C24449" s="5" t="str">
        <f>IFERROR(__xludf.DUMMYFUNCTION("GOOGLETRANSLATE(B24449,""en"",""de"")"),"Das Video zeigt dann die beiden Jungen zusammen, um das endgültige Panel des Zauns zu vervollständigen.")</f>
        <v>Das Video zeigt dann die beiden Jungen zusammen, um das endgültige Panel des Zauns zu vervollständigen.</v>
      </c>
    </row>
    <row r="24450">
      <c r="A24450" s="4" t="s">
        <v>30762</v>
      </c>
      <c r="B24450" s="4" t="s">
        <v>30768</v>
      </c>
      <c r="C24450" s="5" t="str">
        <f>IFERROR(__xludf.DUMMYFUNCTION("GOOGLETRANSLATE(B24450,""en"",""de"")"),"Das Video endet als die Kamera, um das Haus und den frisch gestrichenen Zaun zu zeigen.")</f>
        <v>Das Video endet als die Kamera, um das Haus und den frisch gestrichenen Zaun zu zeigen.</v>
      </c>
    </row>
    <row r="24451">
      <c r="A24451" s="4" t="s">
        <v>30769</v>
      </c>
      <c r="B24451" s="4" t="s">
        <v>30770</v>
      </c>
      <c r="C24451" s="5" t="str">
        <f>IFERROR(__xludf.DUMMYFUNCTION("GOOGLETRANSLATE(B24451,""en"",""de"")"),"Eine Frau spielt einen Sprung von einem hohen Tauchgang und landet in einen Pool.")</f>
        <v>Eine Frau spielt einen Sprung von einem hohen Tauchgang und landet in einen Pool.</v>
      </c>
    </row>
    <row r="24452">
      <c r="A24452" s="4" t="s">
        <v>30769</v>
      </c>
      <c r="B24452" s="4" t="s">
        <v>30771</v>
      </c>
      <c r="C24452" s="5" t="str">
        <f>IFERROR(__xludf.DUMMYFUNCTION("GOOGLETRANSLATE(B24452,""en"",""de"")"),"Kurz darauf in Zeitlupe werden weitere Aufnahmen ihres Tauchens wieder gezeigt.")</f>
        <v>Kurz darauf in Zeitlupe werden weitere Aufnahmen ihres Tauchens wieder gezeigt.</v>
      </c>
    </row>
    <row r="24453">
      <c r="A24453" s="4" t="s">
        <v>30772</v>
      </c>
      <c r="B24453" s="4" t="s">
        <v>30773</v>
      </c>
      <c r="C24453" s="5" t="str">
        <f>IFERROR(__xludf.DUMMYFUNCTION("GOOGLETRANSLATE(B24453,""en"",""de"")"),"Ein großer Fisch schwimmt unter gefrorenem Wasser.")</f>
        <v>Ein großer Fisch schwimmt unter gefrorenem Wasser.</v>
      </c>
    </row>
    <row r="24454">
      <c r="A24454" s="4" t="s">
        <v>30772</v>
      </c>
      <c r="B24454" s="4" t="s">
        <v>30774</v>
      </c>
      <c r="C24454" s="5" t="str">
        <f>IFERROR(__xludf.DUMMYFUNCTION("GOOGLETRANSLATE(B24454,""en"",""de"")"),"Ein Mann schafft ein Loch im Eis, um den Fisch zu fangen.")</f>
        <v>Ein Mann schafft ein Loch im Eis, um den Fisch zu fangen.</v>
      </c>
    </row>
    <row r="24455">
      <c r="A24455" s="4" t="s">
        <v>30772</v>
      </c>
      <c r="B24455" s="4" t="s">
        <v>30775</v>
      </c>
      <c r="C24455" s="5" t="str">
        <f>IFERROR(__xludf.DUMMYFUNCTION("GOOGLETRANSLATE(B24455,""en"",""de"")"),"Er fängt es auf einer Linie und zieht, bis er es durch das Loch bringen kann.")</f>
        <v>Er fängt es auf einer Linie und zieht, bis er es durch das Loch bringen kann.</v>
      </c>
    </row>
    <row r="24456">
      <c r="A24456" s="4" t="s">
        <v>30776</v>
      </c>
      <c r="B24456" s="4" t="s">
        <v>30777</v>
      </c>
      <c r="C24456" s="5" t="str">
        <f>IFERROR(__xludf.DUMMYFUNCTION("GOOGLETRANSLATE(B24456,""en"",""de"")"),"Wir sehen die Intro- und Intro -Szenen.")</f>
        <v>Wir sehen die Intro- und Intro -Szenen.</v>
      </c>
    </row>
    <row r="24457">
      <c r="A24457" s="4" t="s">
        <v>30776</v>
      </c>
      <c r="B24457" s="4" t="s">
        <v>30778</v>
      </c>
      <c r="C24457" s="5" t="str">
        <f>IFERROR(__xludf.DUMMYFUNCTION("GOOGLETRANSLATE(B24457,""en"",""de"")"),"Ein Mann steht in einer Garage mit zwei Schaufeln.")</f>
        <v>Ein Mann steht in einer Garage mit zwei Schaufeln.</v>
      </c>
    </row>
    <row r="24458">
      <c r="A24458" s="4" t="s">
        <v>30776</v>
      </c>
      <c r="B24458" s="4" t="s">
        <v>30779</v>
      </c>
      <c r="C24458" s="5" t="str">
        <f>IFERROR(__xludf.DUMMYFUNCTION("GOOGLETRANSLATE(B24458,""en"",""de"")"),"Wir sehen dann seine Schaufel -Vorräte.")</f>
        <v>Wir sehen dann seine Schaufel -Vorräte.</v>
      </c>
    </row>
    <row r="24459">
      <c r="A24459" s="4" t="s">
        <v>30776</v>
      </c>
      <c r="B24459" s="4" t="s">
        <v>30780</v>
      </c>
      <c r="C24459" s="5" t="str">
        <f>IFERROR(__xludf.DUMMYFUNCTION("GOOGLETRANSLATE(B24459,""en"",""de"")"),"Der Mann streckt sich und zieht seine Winterkleidung an.")</f>
        <v>Der Mann streckt sich und zieht seine Winterkleidung an.</v>
      </c>
    </row>
    <row r="24460">
      <c r="A24460" s="4" t="s">
        <v>30776</v>
      </c>
      <c r="B24460" s="4" t="s">
        <v>30781</v>
      </c>
      <c r="C24460" s="5" t="str">
        <f>IFERROR(__xludf.DUMMYFUNCTION("GOOGLETRANSLATE(B24460,""en"",""de"")"),"Er sprüht seine Schaufel mit Nicht -Stickspray und schaufelt seine Einfahrt.")</f>
        <v>Er sprüht seine Schaufel mit Nicht -Stickspray und schaufelt seine Einfahrt.</v>
      </c>
    </row>
    <row r="24461">
      <c r="A24461" s="4" t="s">
        <v>30776</v>
      </c>
      <c r="B24461" s="4" t="s">
        <v>30782</v>
      </c>
      <c r="C24461" s="5" t="str">
        <f>IFERROR(__xludf.DUMMYFUNCTION("GOOGLETRANSLATE(B24461,""en"",""de"")"),"Der Mann legte sich hin und hatte es schwer zu atmen.")</f>
        <v>Der Mann legte sich hin und hatte es schwer zu atmen.</v>
      </c>
    </row>
    <row r="24462">
      <c r="A24462" s="4" t="s">
        <v>30776</v>
      </c>
      <c r="B24462" s="4" t="s">
        <v>30783</v>
      </c>
      <c r="C24462" s="5" t="str">
        <f>IFERROR(__xludf.DUMMYFUNCTION("GOOGLETRANSLATE(B24462,""en"",""de"")"),"Nachdem er Sand niedergelegt hat, trinkt er ein warmes Getränk.")</f>
        <v>Nachdem er Sand niedergelegt hat, trinkt er ein warmes Getränk.</v>
      </c>
    </row>
    <row r="24463">
      <c r="A24463" s="4" t="s">
        <v>30776</v>
      </c>
      <c r="B24463" s="4" t="s">
        <v>30784</v>
      </c>
      <c r="C24463" s="5" t="str">
        <f>IFERROR(__xludf.DUMMYFUNCTION("GOOGLETRANSLATE(B24463,""en"",""de"")"),"Wir sehen den Bildschirm ""Endgut Credits"".")</f>
        <v>Wir sehen den Bildschirm "Endgut Credits".</v>
      </c>
    </row>
    <row r="24464">
      <c r="A24464" s="4" t="s">
        <v>30785</v>
      </c>
      <c r="B24464" s="4" t="s">
        <v>30786</v>
      </c>
      <c r="C24464" s="5" t="str">
        <f>IFERROR(__xludf.DUMMYFUNCTION("GOOGLETRANSLATE(B24464,""en"",""de"")"),"Mehrere Mädchen sind draußen in einem großen grünen Feld und spielen ein Spiel.")</f>
        <v>Mehrere Mädchen sind draußen in einem großen grünen Feld und spielen ein Spiel.</v>
      </c>
    </row>
    <row r="24465">
      <c r="A24465" s="4" t="s">
        <v>30785</v>
      </c>
      <c r="B24465" s="4" t="s">
        <v>30787</v>
      </c>
      <c r="C24465" s="5" t="str">
        <f>IFERROR(__xludf.DUMMYFUNCTION("GOOGLETRANSLATE(B24465,""en"",""de"")"),"Das Mädchen vor der Kamera ist in einem gelben Hemd gekleidet und schwarze Shorts schlagen den Ball mit dem Stock und beginnt in die Luft zu springen.")</f>
        <v>Das Mädchen vor der Kamera ist in einem gelben Hemd gekleidet und schwarze Shorts schlagen den Ball mit dem Stock und beginnt in die Luft zu springen.</v>
      </c>
    </row>
    <row r="24466">
      <c r="A24466" s="4" t="s">
        <v>30788</v>
      </c>
      <c r="B24466" s="4" t="s">
        <v>30789</v>
      </c>
      <c r="C24466" s="5" t="str">
        <f>IFERROR(__xludf.DUMMYFUNCTION("GOOGLETRANSLATE(B24466,""en"",""de"")"),"Eine Aufnahme eines Weihnachtsbaums wird gezeigt, gefolgt von einem Mann, der in den Rahmen geht.")</f>
        <v>Eine Aufnahme eines Weihnachtsbaums wird gezeigt, gefolgt von einem Mann, der in den Rahmen geht.</v>
      </c>
    </row>
    <row r="24467">
      <c r="A24467" s="4" t="s">
        <v>30788</v>
      </c>
      <c r="B24467" s="4" t="s">
        <v>30790</v>
      </c>
      <c r="C24467" s="5" t="str">
        <f>IFERROR(__xludf.DUMMYFUNCTION("GOOGLETRANSLATE(B24467,""en"",""de"")"),"Der Mann dekoriert dann sowohl den Baum als auch andere.")</f>
        <v>Der Mann dekoriert dann sowohl den Baum als auch andere.</v>
      </c>
    </row>
    <row r="24468">
      <c r="A24468" s="4" t="s">
        <v>30788</v>
      </c>
      <c r="B24468" s="4" t="s">
        <v>30791</v>
      </c>
      <c r="C24468" s="5" t="str">
        <f>IFERROR(__xludf.DUMMYFUNCTION("GOOGLETRANSLATE(B24468,""en"",""de"")"),"Menschen dekorieren den Baum kontinuierlich, der sich schnell umeinander bewegt und beendet, indem sie ihn der Kamera präsentieren.")</f>
        <v>Menschen dekorieren den Baum kontinuierlich, der sich schnell umeinander bewegt und beendet, indem sie ihn der Kamera präsentieren.</v>
      </c>
    </row>
    <row r="24469">
      <c r="A24469" s="4" t="s">
        <v>30792</v>
      </c>
      <c r="B24469" s="4" t="s">
        <v>30793</v>
      </c>
      <c r="C24469" s="5" t="str">
        <f>IFERROR(__xludf.DUMMYFUNCTION("GOOGLETRANSLATE(B24469,""en"",""de"")"),"Eine Frau spricht mit der Kamera und hält eine Tüte Kekse sowie einen Teller.")</f>
        <v>Eine Frau spricht mit der Kamera und hält eine Tüte Kekse sowie einen Teller.</v>
      </c>
    </row>
    <row r="24470">
      <c r="A24470" s="4" t="s">
        <v>30792</v>
      </c>
      <c r="B24470" s="4" t="s">
        <v>30794</v>
      </c>
      <c r="C24470" s="5" t="str">
        <f>IFERROR(__xludf.DUMMYFUNCTION("GOOGLETRANSLATE(B24470,""en"",""de"")"),"Verschiedene Zutaten werden dann in Schalen angelegt.")</f>
        <v>Verschiedene Zutaten werden dann in Schalen angelegt.</v>
      </c>
    </row>
    <row r="24471">
      <c r="A24471" s="4" t="s">
        <v>30792</v>
      </c>
      <c r="B24471" s="4" t="s">
        <v>30795</v>
      </c>
      <c r="C24471" s="5" t="str">
        <f>IFERROR(__xludf.DUMMYFUNCTION("GOOGLETRANSLATE(B24471,""en"",""de"")"),"Die Frau mischt alle Zutaten miteinander und quetscht sie am Ende in winzige Kugeln, um sie zu platten.")</f>
        <v>Die Frau mischt alle Zutaten miteinander und quetscht sie am Ende in winzige Kugeln, um sie zu platten.</v>
      </c>
    </row>
    <row r="24472">
      <c r="A24472" s="4" t="s">
        <v>30796</v>
      </c>
      <c r="B24472" s="4" t="s">
        <v>30797</v>
      </c>
      <c r="C24472" s="5" t="str">
        <f>IFERROR(__xludf.DUMMYFUNCTION("GOOGLETRANSLATE(B24472,""en"",""de"")"),"Eine Frau mit einem Nasenring spricht mit der Kamera und führt in jemanden, der ihr Haar schneidet.")</f>
        <v>Eine Frau mit einem Nasenring spricht mit der Kamera und führt in jemanden, der ihr Haar schneidet.</v>
      </c>
    </row>
    <row r="24473">
      <c r="A24473" s="4" t="s">
        <v>30796</v>
      </c>
      <c r="B24473" s="4" t="s">
        <v>30798</v>
      </c>
      <c r="C24473" s="5" t="str">
        <f>IFERROR(__xludf.DUMMYFUNCTION("GOOGLETRANSLATE(B24473,""en"",""de"")"),"Die Person schneidet die Seiten um und die Frau trägt eine Brille und posiert mit ihrem neuen Stil.")</f>
        <v>Die Person schneidet die Seiten um und die Frau trägt eine Brille und posiert mit ihrem neuen Stil.</v>
      </c>
    </row>
    <row r="24474">
      <c r="A24474" s="4" t="s">
        <v>30796</v>
      </c>
      <c r="B24474" s="4" t="s">
        <v>30799</v>
      </c>
      <c r="C24474" s="5" t="str">
        <f>IFERROR(__xludf.DUMMYFUNCTION("GOOGLETRANSLATE(B24474,""en"",""de"")"),"Weitere Aufnahmen einer Person, die schneidet, wird gezeigt, während die Frau mit der Kamera spricht.")</f>
        <v>Weitere Aufnahmen einer Person, die schneidet, wird gezeigt, während die Frau mit der Kamera spricht.</v>
      </c>
    </row>
    <row r="24475">
      <c r="A24475" s="4" t="s">
        <v>30800</v>
      </c>
      <c r="B24475" s="4" t="s">
        <v>30801</v>
      </c>
      <c r="C24475" s="5" t="str">
        <f>IFERROR(__xludf.DUMMYFUNCTION("GOOGLETRANSLATE(B24475,""en"",""de"")"),"Ein junges Mädchen ist mit ihrem Vater in einem Badezimmer.")</f>
        <v>Ein junges Mädchen ist mit ihrem Vater in einem Badezimmer.</v>
      </c>
    </row>
    <row r="24476">
      <c r="A24476" s="4" t="s">
        <v>30800</v>
      </c>
      <c r="B24476" s="4" t="s">
        <v>30802</v>
      </c>
      <c r="C24476" s="5" t="str">
        <f>IFERROR(__xludf.DUMMYFUNCTION("GOOGLETRANSLATE(B24476,""en"",""de"")"),"Er reibt Wasser auf und ab.")</f>
        <v>Er reibt Wasser auf und ab.</v>
      </c>
    </row>
    <row r="24477">
      <c r="A24477" s="4" t="s">
        <v>30800</v>
      </c>
      <c r="B24477" s="4" t="s">
        <v>30803</v>
      </c>
      <c r="C24477" s="5" t="str">
        <f>IFERROR(__xludf.DUMMYFUNCTION("GOOGLETRANSLATE(B24477,""en"",""de"")"),"Sie kichert und lächelt dabei.")</f>
        <v>Sie kichert und lächelt dabei.</v>
      </c>
    </row>
    <row r="24478">
      <c r="A24478" s="4" t="s">
        <v>30804</v>
      </c>
      <c r="B24478" s="4" t="s">
        <v>30805</v>
      </c>
      <c r="C24478" s="5" t="str">
        <f>IFERROR(__xludf.DUMMYFUNCTION("GOOGLETRANSLATE(B24478,""en"",""de"")"),"Ein Mädchen streckt ihren Körper auf einer Ballettstange.")</f>
        <v>Ein Mädchen streckt ihren Körper auf einer Ballettstange.</v>
      </c>
    </row>
    <row r="24479">
      <c r="A24479" s="4" t="s">
        <v>30804</v>
      </c>
      <c r="B24479" s="4" t="s">
        <v>30806</v>
      </c>
      <c r="C24479" s="5" t="str">
        <f>IFERROR(__xludf.DUMMYFUNCTION("GOOGLETRANSLATE(B24479,""en"",""de"")"),"Ein Ausbilder steht mit einer Frau und spricht über Ballett.")</f>
        <v>Ein Ausbilder steht mit einer Frau und spricht über Ballett.</v>
      </c>
    </row>
    <row r="24480">
      <c r="A24480" s="4" t="s">
        <v>30804</v>
      </c>
      <c r="B24480" s="4" t="s">
        <v>30807</v>
      </c>
      <c r="C24480" s="5" t="str">
        <f>IFERROR(__xludf.DUMMYFUNCTION("GOOGLETRANSLATE(B24480,""en"",""de"")"),"Das Mädchen tanzt und schwenkt zurück zum Ausbilder.")</f>
        <v>Das Mädchen tanzt und schwenkt zurück zum Ausbilder.</v>
      </c>
    </row>
    <row r="24481">
      <c r="A24481" s="4" t="s">
        <v>30804</v>
      </c>
      <c r="B24481" s="4" t="s">
        <v>30808</v>
      </c>
      <c r="C24481" s="5" t="str">
        <f>IFERROR(__xludf.DUMMYFUNCTION("GOOGLETRANSLATE(B24481,""en"",""de"")"),"Der Ausbilder spricht über die Werkzeuge, die Sie für Ballett benötigen.")</f>
        <v>Der Ausbilder spricht über die Werkzeuge, die Sie für Ballett benötigen.</v>
      </c>
    </row>
    <row r="24482">
      <c r="A24482" s="4" t="s">
        <v>30804</v>
      </c>
      <c r="B24482" s="4" t="s">
        <v>30809</v>
      </c>
      <c r="C24482" s="5" t="str">
        <f>IFERROR(__xludf.DUMMYFUNCTION("GOOGLETRANSLATE(B24482,""en"",""de"")"),"Sie spricht über verschiedene Ballettbewegungen im Barre, während der Tänzer demonstriert.")</f>
        <v>Sie spricht über verschiedene Ballettbewegungen im Barre, während der Tänzer demonstriert.</v>
      </c>
    </row>
    <row r="24483">
      <c r="A24483" s="4" t="s">
        <v>30810</v>
      </c>
      <c r="B24483" s="4" t="s">
        <v>30811</v>
      </c>
      <c r="C24483" s="5" t="str">
        <f>IFERROR(__xludf.DUMMYFUNCTION("GOOGLETRANSLATE(B24483,""en"",""de"")"),"Eine Nahaufnahme eines Fooseball -Spiels wird gezeigt, wenn die Plastikleute einen Ball herumschieben.")</f>
        <v>Eine Nahaufnahme eines Fooseball -Spiels wird gezeigt, wenn die Plastikleute einen Ball herumschieben.</v>
      </c>
    </row>
    <row r="24484">
      <c r="A24484" s="4" t="s">
        <v>30810</v>
      </c>
      <c r="B24484" s="4" t="s">
        <v>30812</v>
      </c>
      <c r="C24484" s="5" t="str">
        <f>IFERROR(__xludf.DUMMYFUNCTION("GOOGLETRANSLATE(B24484,""en"",""de"")"),"Die Hände bewegten den Ball herum und greifen die Stangen zum Spielen.")</f>
        <v>Die Hände bewegten den Ball herum und greifen die Stangen zum Spielen.</v>
      </c>
    </row>
    <row r="24485">
      <c r="A24485" s="4" t="s">
        <v>30813</v>
      </c>
      <c r="B24485" s="4" t="s">
        <v>30814</v>
      </c>
      <c r="C24485" s="5" t="str">
        <f>IFERROR(__xludf.DUMMYFUNCTION("GOOGLETRANSLATE(B24485,""en"",""de"")"),"Einige Menschen werden gezeigt, wenn sie sich darauf vorbereiten, einen langen Schneehang hinunter zu röhren.")</f>
        <v>Einige Menschen werden gezeigt, wenn sie sich darauf vorbereiten, einen langen Schneehang hinunter zu röhren.</v>
      </c>
    </row>
    <row r="24486">
      <c r="A24486" s="4" t="s">
        <v>30813</v>
      </c>
      <c r="B24486" s="4" t="s">
        <v>30815</v>
      </c>
      <c r="C24486" s="5" t="str">
        <f>IFERROR(__xludf.DUMMYFUNCTION("GOOGLETRANSLATE(B24486,""en"",""de"")"),"Sie beginnen den Hang hinunter zu gehen, bis sie das Ende erreichen und sich selbst aufhalten können.")</f>
        <v>Sie beginnen den Hang hinunter zu gehen, bis sie das Ende erreichen und sich selbst aufhalten können.</v>
      </c>
    </row>
    <row r="24487">
      <c r="A24487" s="4" t="s">
        <v>30813</v>
      </c>
      <c r="B24487" s="4" t="s">
        <v>30816</v>
      </c>
      <c r="C24487" s="5" t="str">
        <f>IFERROR(__xludf.DUMMYFUNCTION("GOOGLETRANSLATE(B24487,""en"",""de"")"),"Danach kommen sie aus ihren Röhren und beginnen zu verlassen.")</f>
        <v>Danach kommen sie aus ihren Röhren und beginnen zu verlassen.</v>
      </c>
    </row>
    <row r="24488">
      <c r="A24488" s="4" t="s">
        <v>30817</v>
      </c>
      <c r="B24488" s="4" t="s">
        <v>30818</v>
      </c>
      <c r="C24488" s="5" t="str">
        <f>IFERROR(__xludf.DUMMYFUNCTION("GOOGLETRANSLATE(B24488,""en"",""de"")"),"Die Leute spielen einen Sport im Sand.")</f>
        <v>Die Leute spielen einen Sport im Sand.</v>
      </c>
    </row>
    <row r="24489">
      <c r="A24489" s="4" t="s">
        <v>30817</v>
      </c>
      <c r="B24489" s="4" t="s">
        <v>30819</v>
      </c>
      <c r="C24489" s="5" t="str">
        <f>IFERROR(__xludf.DUMMYFUNCTION("GOOGLETRANSLATE(B24489,""en"",""de"")"),"Ein Mann in einer grünen Uniform verleiht jemandem am Rande eine hohe fünf.")</f>
        <v>Ein Mann in einer grünen Uniform verleiht jemandem am Rande eine hohe fünf.</v>
      </c>
    </row>
    <row r="24490">
      <c r="A24490" s="4" t="s">
        <v>30817</v>
      </c>
      <c r="B24490" s="4" t="s">
        <v>30820</v>
      </c>
      <c r="C24490" s="5" t="str">
        <f>IFERROR(__xludf.DUMMYFUNCTION("GOOGLETRANSLATE(B24490,""en"",""de"")"),"Ein Mann fällt in den Sand.")</f>
        <v>Ein Mann fällt in den Sand.</v>
      </c>
    </row>
    <row r="24491">
      <c r="A24491" s="4" t="s">
        <v>30821</v>
      </c>
      <c r="B24491" s="4" t="s">
        <v>30822</v>
      </c>
      <c r="C24491" s="5" t="str">
        <f>IFERROR(__xludf.DUMMYFUNCTION("GOOGLETRANSLATE(B24491,""en"",""de"")"),"Eine junge Frau hält sich an einer Katze fest und lächelt zur Kamera.")</f>
        <v>Eine junge Frau hält sich an einer Katze fest und lächelt zur Kamera.</v>
      </c>
    </row>
    <row r="24492">
      <c r="A24492" s="4" t="s">
        <v>30821</v>
      </c>
      <c r="B24492" s="4" t="s">
        <v>30823</v>
      </c>
      <c r="C24492" s="5" t="str">
        <f>IFERROR(__xludf.DUMMYFUNCTION("GOOGLETRANSLATE(B24492,""en"",""de"")"),"Die Katze beginnt sich zu bemühen und die Frau lächelt weiter.")</f>
        <v>Die Katze beginnt sich zu bemühen und die Frau lächelt weiter.</v>
      </c>
    </row>
    <row r="24493">
      <c r="A24493" s="4" t="s">
        <v>30821</v>
      </c>
      <c r="B24493" s="4" t="s">
        <v>30824</v>
      </c>
      <c r="C24493" s="5" t="str">
        <f>IFERROR(__xludf.DUMMYFUNCTION("GOOGLETRANSLATE(B24493,""en"",""de"")"),"Die Frau schneidet dann die Katzenkrallen, während sich die Katze immer noch bewegt und sie die Katze hält.")</f>
        <v>Die Frau schneidet dann die Katzenkrallen, während sich die Katze immer noch bewegt und sie die Katze hält.</v>
      </c>
    </row>
    <row r="24494">
      <c r="A24494" s="4" t="s">
        <v>30825</v>
      </c>
      <c r="B24494" s="4" t="s">
        <v>30826</v>
      </c>
      <c r="C24494" s="5" t="str">
        <f>IFERROR(__xludf.DUMMYFUNCTION("GOOGLETRANSLATE(B24494,""en"",""de"")"),"Zwei Menschen segeln auf Brettern auf einem See.")</f>
        <v>Zwei Menschen segeln auf Brettern auf einem See.</v>
      </c>
    </row>
    <row r="24495">
      <c r="A24495" s="4" t="s">
        <v>30825</v>
      </c>
      <c r="B24495" s="4" t="s">
        <v>30827</v>
      </c>
      <c r="C24495" s="5" t="str">
        <f>IFERROR(__xludf.DUMMYFUNCTION("GOOGLETRANSLATE(B24495,""en"",""de"")"),"Eine Person wird gesehen, wie sie auf ihrem Vorstand segelt, bis sie vom Brett in das Wasser fällt.")</f>
        <v>Eine Person wird gesehen, wie sie auf ihrem Vorstand segelt, bis sie vom Brett in das Wasser fällt.</v>
      </c>
    </row>
    <row r="24496">
      <c r="A24496" s="4" t="s">
        <v>30828</v>
      </c>
      <c r="B24496" s="4" t="s">
        <v>30829</v>
      </c>
      <c r="C24496" s="5" t="str">
        <f>IFERROR(__xludf.DUMMYFUNCTION("GOOGLETRANSLATE(B24496,""en"",""de"")"),"Eine Gruppe von Männern wickelt Kisten auf einen Tisch.")</f>
        <v>Eine Gruppe von Männern wickelt Kisten auf einen Tisch.</v>
      </c>
    </row>
    <row r="24497">
      <c r="A24497" s="4" t="s">
        <v>30828</v>
      </c>
      <c r="B24497" s="4" t="s">
        <v>30830</v>
      </c>
      <c r="C24497" s="5" t="str">
        <f>IFERROR(__xludf.DUMMYFUNCTION("GOOGLETRANSLATE(B24497,""en"",""de"")"),"Mehrere Menschen laufen durch die Gegend.")</f>
        <v>Mehrere Menschen laufen durch die Gegend.</v>
      </c>
    </row>
    <row r="24498">
      <c r="A24498" s="4" t="s">
        <v>30828</v>
      </c>
      <c r="B24498" s="4" t="s">
        <v>30831</v>
      </c>
      <c r="C24498" s="5" t="str">
        <f>IFERROR(__xludf.DUMMYFUNCTION("GOOGLETRANSLATE(B24498,""en"",""de"")"),"Ein Mann bekommt sehr ausführlich mit seiner Verpackung und wickelt die Schachtel fest.")</f>
        <v>Ein Mann bekommt sehr ausführlich mit seiner Verpackung und wickelt die Schachtel fest.</v>
      </c>
    </row>
    <row r="24499">
      <c r="A24499" s="4" t="s">
        <v>30828</v>
      </c>
      <c r="B24499" s="4" t="s">
        <v>30832</v>
      </c>
      <c r="C24499" s="5" t="str">
        <f>IFERROR(__xludf.DUMMYFUNCTION("GOOGLETRANSLATE(B24499,""en"",""de"")"),"Ein anderer Mann erscheint und greift nach Papier und geht dann weg.")</f>
        <v>Ein anderer Mann erscheint und greift nach Papier und geht dann weg.</v>
      </c>
    </row>
    <row r="24500">
      <c r="A24500" s="4" t="s">
        <v>30828</v>
      </c>
      <c r="B24500" s="4" t="s">
        <v>30833</v>
      </c>
      <c r="C24500" s="5" t="str">
        <f>IFERROR(__xludf.DUMMYFUNCTION("GOOGLETRANSLATE(B24500,""en"",""de"")"),"Der Mann, der seine Schachtel einpackt.")</f>
        <v>Der Mann, der seine Schachtel einpackt.</v>
      </c>
    </row>
    <row r="24501">
      <c r="A24501" s="4" t="s">
        <v>30834</v>
      </c>
      <c r="B24501" s="4" t="s">
        <v>30835</v>
      </c>
      <c r="C24501" s="5" t="str">
        <f>IFERROR(__xludf.DUMMYFUNCTION("GOOGLETRANSLATE(B24501,""en"",""de"")"),"Ein Mann und eine Frau sitzen auf einer Veranda.")</f>
        <v>Ein Mann und eine Frau sitzen auf einer Veranda.</v>
      </c>
    </row>
    <row r="24502">
      <c r="A24502" s="4" t="s">
        <v>30834</v>
      </c>
      <c r="B24502" s="4" t="s">
        <v>30836</v>
      </c>
      <c r="C24502" s="5" t="str">
        <f>IFERROR(__xludf.DUMMYFUNCTION("GOOGLETRANSLATE(B24502,""en"",""de"")"),"Der Mann spielt Bongo -Schlagzeug, während die Frau gelegentlich hilft.")</f>
        <v>Der Mann spielt Bongo -Schlagzeug, während die Frau gelegentlich hilft.</v>
      </c>
    </row>
    <row r="24503">
      <c r="A24503" s="4" t="s">
        <v>30834</v>
      </c>
      <c r="B24503" s="4" t="s">
        <v>30837</v>
      </c>
      <c r="C24503" s="5" t="str">
        <f>IFERROR(__xludf.DUMMYFUNCTION("GOOGLETRANSLATE(B24503,""en"",""de"")"),"Eine andere Hand ist zu sehen, die eine Trommel in den Vordergrund schlägt.")</f>
        <v>Eine andere Hand ist zu sehen, die eine Trommel in den Vordergrund schlägt.</v>
      </c>
    </row>
    <row r="24504">
      <c r="A24504" s="4" t="s">
        <v>30838</v>
      </c>
      <c r="B24504" s="4" t="s">
        <v>30839</v>
      </c>
      <c r="C24504" s="5" t="str">
        <f>IFERROR(__xludf.DUMMYFUNCTION("GOOGLETRANSLATE(B24504,""en"",""de"")"),"Eine Person geht nach oben, die sich auf einer Krücke unterstützt, und sitzt dann auf dem letzten Schritt, während ein Mann ihm folgt.")</f>
        <v>Eine Person geht nach oben, die sich auf einer Krücke unterstützt, und sitzt dann auf dem letzten Schritt, während ein Mann ihm folgt.</v>
      </c>
    </row>
    <row r="24505">
      <c r="A24505" s="4" t="s">
        <v>30838</v>
      </c>
      <c r="B24505" s="4" t="s">
        <v>30840</v>
      </c>
      <c r="C24505" s="5" t="str">
        <f>IFERROR(__xludf.DUMMYFUNCTION("GOOGLETRANSLATE(B24505,""en"",""de"")"),"Der Mann hebt den Teppich hoch, dann gibt die Person dem Mann einen Teppichläufer mit Nägeln, während sie beide Männer redet.")</f>
        <v>Der Mann hebt den Teppich hoch, dann gibt die Person dem Mann einen Teppichläufer mit Nägeln, während sie beide Männer redet.</v>
      </c>
    </row>
    <row r="24506">
      <c r="A24506" s="4" t="s">
        <v>30838</v>
      </c>
      <c r="B24506" s="4" t="s">
        <v>30841</v>
      </c>
      <c r="C24506" s="5" t="str">
        <f>IFERROR(__xludf.DUMMYFUNCTION("GOOGLETRANSLATE(B24506,""en"",""de"")"),"Danach legt der Mann den Teppichläufer auf den Holzschritt und Hummer die gelösten Nägel.")</f>
        <v>Danach legt der Mann den Teppichläufer auf den Holzschritt und Hummer die gelösten Nägel.</v>
      </c>
    </row>
    <row r="24507">
      <c r="A24507" s="4" t="s">
        <v>30838</v>
      </c>
      <c r="B24507" s="4" t="s">
        <v>30842</v>
      </c>
      <c r="C24507" s="5" t="str">
        <f>IFERROR(__xludf.DUMMYFUNCTION("GOOGLETRANSLATE(B24507,""en"",""de"")"),"Als nächstes legte der Mann den Teppich auf und benutzt eine Maschine und einen Hammer, um den gelösten Teppich zu reparieren.")</f>
        <v>Als nächstes legte der Mann den Teppich auf und benutzt eine Maschine und einen Hammer, um den gelösten Teppich zu reparieren.</v>
      </c>
    </row>
    <row r="24508">
      <c r="A24508" s="4" t="s">
        <v>30843</v>
      </c>
      <c r="B24508" s="4" t="s">
        <v>30844</v>
      </c>
      <c r="C24508" s="5" t="str">
        <f>IFERROR(__xludf.DUMMYFUNCTION("GOOGLETRANSLATE(B24508,""en"",""de"")"),"Ein Mann spricht mit der Kamera, während er auf einen Fahrradrahmen zeigt und sich um den Reifen dreht.")</f>
        <v>Ein Mann spricht mit der Kamera, während er auf einen Fahrradrahmen zeigt und sich um den Reifen dreht.</v>
      </c>
    </row>
    <row r="24509">
      <c r="A24509" s="4" t="s">
        <v>30843</v>
      </c>
      <c r="B24509" s="4" t="s">
        <v>30845</v>
      </c>
      <c r="C24509" s="5" t="str">
        <f>IFERROR(__xludf.DUMMYFUNCTION("GOOGLETRANSLATE(B24509,""en"",""de"")"),"Der Mann verwendet dann Werkzeuge, um das Reifenrad anzupassen, und dreht es weiter.")</f>
        <v>Der Mann verwendet dann Werkzeuge, um das Reifenrad anzupassen, und dreht es weiter.</v>
      </c>
    </row>
    <row r="24510">
      <c r="A24510" s="4" t="s">
        <v>30843</v>
      </c>
      <c r="B24510" s="4" t="s">
        <v>30846</v>
      </c>
      <c r="C24510" s="5" t="str">
        <f>IFERROR(__xludf.DUMMYFUNCTION("GOOGLETRANSLATE(B24510,""en"",""de"")"),"Er ist immer noch gesehen, wie er auf der Rückseite des Fahrrads arbeitet, während die Kamera zoomt.")</f>
        <v>Er ist immer noch gesehen, wie er auf der Rückseite des Fahrrads arbeitet, während die Kamera zoomt.</v>
      </c>
    </row>
    <row r="24511">
      <c r="A24511" s="4" t="s">
        <v>30847</v>
      </c>
      <c r="B24511" s="4" t="s">
        <v>30848</v>
      </c>
      <c r="C24511" s="5" t="str">
        <f>IFERROR(__xludf.DUMMYFUNCTION("GOOGLETRANSLATE(B24511,""en"",""de"")"),"Ein Mann spricht, er hatte ein chinesisches Schrank hinter sich mit Glasprodukt.")</f>
        <v>Ein Mann spricht, er hatte ein chinesisches Schrank hinter sich mit Glasprodukt.</v>
      </c>
    </row>
    <row r="24512">
      <c r="A24512" s="4" t="s">
        <v>30847</v>
      </c>
      <c r="B24512" s="4" t="s">
        <v>30849</v>
      </c>
      <c r="C24512" s="5" t="str">
        <f>IFERROR(__xludf.DUMMYFUNCTION("GOOGLETRANSLATE(B24512,""en"",""de"")"),"Er beginnt schrittweise Anweisungen zur Herstellung einer Sauce zu zeigen.")</f>
        <v>Er beginnt schrittweise Anweisungen zur Herstellung einer Sauce zu zeigen.</v>
      </c>
    </row>
    <row r="24513">
      <c r="A24513" s="4" t="s">
        <v>30847</v>
      </c>
      <c r="B24513" s="4" t="s">
        <v>30850</v>
      </c>
      <c r="C24513" s="5" t="str">
        <f>IFERROR(__xludf.DUMMYFUNCTION("GOOGLETRANSLATE(B24513,""en"",""de"")"),"Dann fügt er in einer anderen Pfanne etwas Fleisch und Käse hinzu, während sein Brot röstet.")</f>
        <v>Dann fügt er in einer anderen Pfanne etwas Fleisch und Käse hinzu, während sein Brot röstet.</v>
      </c>
    </row>
    <row r="24514">
      <c r="A24514" s="4" t="s">
        <v>30847</v>
      </c>
      <c r="B24514" s="4" t="s">
        <v>30851</v>
      </c>
      <c r="C24514" s="5" t="str">
        <f>IFERROR(__xludf.DUMMYFUNCTION("GOOGLETRANSLATE(B24514,""en"",""de"")"),"Dann fügt er alle Zutaten auf dem Brot hinzu und schneidet es in Hälften und beginnt zu essen.")</f>
        <v>Dann fügt er alle Zutaten auf dem Brot hinzu und schneidet es in Hälften und beginnt zu essen.</v>
      </c>
    </row>
    <row r="24515">
      <c r="A24515" s="4" t="s">
        <v>30852</v>
      </c>
      <c r="B24515" s="4" t="s">
        <v>30853</v>
      </c>
      <c r="C24515" s="5" t="str">
        <f>IFERROR(__xludf.DUMMYFUNCTION("GOOGLETRANSLATE(B24515,""en"",""de"")"),"Ein großes Weihnachtsfest wird gezeigt, gefolgt von einer Frau, die daneben steht.")</f>
        <v>Ein großes Weihnachtsfest wird gezeigt, gefolgt von einer Frau, die daneben steht.</v>
      </c>
    </row>
    <row r="24516">
      <c r="A24516" s="4" t="s">
        <v>30852</v>
      </c>
      <c r="B24516" s="4" t="s">
        <v>30854</v>
      </c>
      <c r="C24516" s="5" t="str">
        <f>IFERROR(__xludf.DUMMYFUNCTION("GOOGLETRANSLATE(B24516,""en"",""de"")"),"Das Mädchen beginnt den Baum zu dekorieren, während er in Ort und Stelle auf und ab springt.")</f>
        <v>Das Mädchen beginnt den Baum zu dekorieren, während er in Ort und Stelle auf und ab springt.</v>
      </c>
    </row>
    <row r="24517">
      <c r="A24517" s="4" t="s">
        <v>30852</v>
      </c>
      <c r="B24517" s="4" t="s">
        <v>30855</v>
      </c>
      <c r="C24517" s="5" t="str">
        <f>IFERROR(__xludf.DUMMYFUNCTION("GOOGLETRANSLATE(B24517,""en"",""de"")"),"Sie hüpft weiter herum, während sie den Baum dekoriert und in die Ferne schaut.")</f>
        <v>Sie hüpft weiter herum, während sie den Baum dekoriert und in die Ferne schaut.</v>
      </c>
    </row>
    <row r="24518">
      <c r="A24518" s="4" t="s">
        <v>30856</v>
      </c>
      <c r="B24518" s="4" t="s">
        <v>30857</v>
      </c>
      <c r="C24518" s="5" t="str">
        <f>IFERROR(__xludf.DUMMYFUNCTION("GOOGLETRANSLATE(B24518,""en"",""de"")"),"Ein Mann und ein Hund stehen draußen auf einem Feld mit einem Mann, der mit einem Hund findet.")</f>
        <v>Ein Mann und ein Hund stehen draußen auf einem Feld mit einem Mann, der mit einem Hund findet.</v>
      </c>
    </row>
    <row r="24519">
      <c r="A24519" s="4" t="s">
        <v>30856</v>
      </c>
      <c r="B24519" s="4" t="s">
        <v>30858</v>
      </c>
      <c r="C24519" s="5" t="str">
        <f>IFERROR(__xludf.DUMMYFUNCTION("GOOGLETRANSLATE(B24519,""en"",""de"")"),"Der Mann wirft die Frisbee mit dem Hund herum, während das Tier ihn zurückbringt.")</f>
        <v>Der Mann wirft die Frisbee mit dem Hund herum, während das Tier ihn zurückbringt.</v>
      </c>
    </row>
    <row r="24520">
      <c r="A24520" s="4" t="s">
        <v>30856</v>
      </c>
      <c r="B24520" s="4" t="s">
        <v>30859</v>
      </c>
      <c r="C24520" s="5" t="str">
        <f>IFERROR(__xludf.DUMMYFUNCTION("GOOGLETRANSLATE(B24520,""en"",""de"")"),"Der Mann führt mehrere weitere Tricks mit dem Hund mit mehreren Frisbees durch.")</f>
        <v>Der Mann führt mehrere weitere Tricks mit dem Hund mit mehreren Frisbees durch.</v>
      </c>
    </row>
    <row r="24521">
      <c r="A24521" s="4" t="s">
        <v>30860</v>
      </c>
      <c r="B24521" s="4" t="s">
        <v>30861</v>
      </c>
      <c r="C24521" s="5" t="str">
        <f>IFERROR(__xludf.DUMMYFUNCTION("GOOGLETRANSLATE(B24521,""en"",""de"")"),"Ein junger Mann wird auf einer Straße gezeigt, die Stelzen trägt.")</f>
        <v>Ein junger Mann wird auf einer Straße gezeigt, die Stelzen trägt.</v>
      </c>
    </row>
    <row r="24522">
      <c r="A24522" s="4" t="s">
        <v>30860</v>
      </c>
      <c r="B24522" s="4" t="s">
        <v>30862</v>
      </c>
      <c r="C24522" s="5" t="str">
        <f>IFERROR(__xludf.DUMMYFUNCTION("GOOGLETRANSLATE(B24522,""en"",""de"")"),"Er geht zum Straßenrand.")</f>
        <v>Er geht zum Straßenrand.</v>
      </c>
    </row>
    <row r="24523">
      <c r="A24523" s="4" t="s">
        <v>30860</v>
      </c>
      <c r="B24523" s="4" t="s">
        <v>30863</v>
      </c>
      <c r="C24523" s="5" t="str">
        <f>IFERROR(__xludf.DUMMYFUNCTION("GOOGLETRANSLATE(B24523,""en"",""de"")"),"Dann hebt er seine Füße wie in Vorbereitung des Laufens auf und ab.")</f>
        <v>Dann hebt er seine Füße wie in Vorbereitung des Laufens auf und ab.</v>
      </c>
    </row>
    <row r="24524">
      <c r="A24524" s="4" t="s">
        <v>30860</v>
      </c>
      <c r="B24524" s="4" t="s">
        <v>30864</v>
      </c>
      <c r="C24524" s="5" t="str">
        <f>IFERROR(__xludf.DUMMYFUNCTION("GOOGLETRANSLATE(B24524,""en"",""de"")"),"Das Video endet, wenn die Person die Kamera neigt und das Objektiv abdeckt.")</f>
        <v>Das Video endet, wenn die Person die Kamera neigt und das Objektiv abdeckt.</v>
      </c>
    </row>
    <row r="24525">
      <c r="A24525" s="4" t="s">
        <v>30865</v>
      </c>
      <c r="B24525" s="4" t="s">
        <v>30866</v>
      </c>
      <c r="C24525" s="5" t="str">
        <f>IFERROR(__xludf.DUMMYFUNCTION("GOOGLETRANSLATE(B24525,""en"",""de"")"),"Ein Mann sitzt mit dem Bein auf einer Toilette.")</f>
        <v>Ein Mann sitzt mit dem Bein auf einer Toilette.</v>
      </c>
    </row>
    <row r="24526">
      <c r="A24526" s="4" t="s">
        <v>30865</v>
      </c>
      <c r="B24526" s="4" t="s">
        <v>30867</v>
      </c>
      <c r="C24526" s="5" t="str">
        <f>IFERROR(__xludf.DUMMYFUNCTION("GOOGLETRANSLATE(B24526,""en"",""de"")"),"Eine Person, die eine Kamera hält, geht ins Badezimmer.")</f>
        <v>Eine Person, die eine Kamera hält, geht ins Badezimmer.</v>
      </c>
    </row>
    <row r="24527">
      <c r="A24527" s="4" t="s">
        <v>30865</v>
      </c>
      <c r="B24527" s="4" t="s">
        <v>30868</v>
      </c>
      <c r="C24527" s="5" t="str">
        <f>IFERROR(__xludf.DUMMYFUNCTION("GOOGLETRANSLATE(B24527,""en"",""de"")"),"Der Mann reibt Rasiercreme an den Beinen.")</f>
        <v>Der Mann reibt Rasiercreme an den Beinen.</v>
      </c>
    </row>
    <row r="24528">
      <c r="A24528" s="4" t="s">
        <v>30865</v>
      </c>
      <c r="B24528" s="4" t="s">
        <v>30869</v>
      </c>
      <c r="C24528" s="5" t="str">
        <f>IFERROR(__xludf.DUMMYFUNCTION("GOOGLETRANSLATE(B24528,""en"",""de"")"),"Er beginnt sich im Waschbecken zu rasieren.")</f>
        <v>Er beginnt sich im Waschbecken zu rasieren.</v>
      </c>
    </row>
    <row r="24529">
      <c r="A24529" s="4" t="s">
        <v>30870</v>
      </c>
      <c r="B24529" s="4" t="s">
        <v>30871</v>
      </c>
      <c r="C24529" s="5" t="str">
        <f>IFERROR(__xludf.DUMMYFUNCTION("GOOGLETRANSLATE(B24529,""en"",""de"")"),"Ein Turner läuft schnell, dann springt er lange in ein Stadion voller Menschen.")</f>
        <v>Ein Turner läuft schnell, dann springt er lange in ein Stadion voller Menschen.</v>
      </c>
    </row>
    <row r="24530">
      <c r="A24530" s="4" t="s">
        <v>30870</v>
      </c>
      <c r="B24530" s="4" t="s">
        <v>30872</v>
      </c>
      <c r="C24530" s="5" t="str">
        <f>IFERROR(__xludf.DUMMYFUNCTION("GOOGLETRANSLATE(B24530,""en"",""de"")"),"Zwei Männer gehen mit Speer.")</f>
        <v>Zwei Männer gehen mit Speer.</v>
      </c>
    </row>
    <row r="24531">
      <c r="A24531" s="4" t="s">
        <v>30870</v>
      </c>
      <c r="B24531" s="4" t="s">
        <v>30873</v>
      </c>
      <c r="C24531" s="5" t="str">
        <f>IFERROR(__xludf.DUMMYFUNCTION("GOOGLETRANSLATE(B24531,""en"",""de"")"),"Danach springt der Turner glücklich.")</f>
        <v>Danach springt der Turner glücklich.</v>
      </c>
    </row>
    <row r="24532">
      <c r="A24532" s="4" t="s">
        <v>30870</v>
      </c>
      <c r="B24532" s="4" t="s">
        <v>30874</v>
      </c>
      <c r="C24532" s="5" t="str">
        <f>IFERROR(__xludf.DUMMYFUNCTION("GOOGLETRANSLATE(B24532,""en"",""de"")"),"Die Leute machen Fotos vom Turner.")</f>
        <v>Die Leute machen Fotos vom Turner.</v>
      </c>
    </row>
    <row r="24533">
      <c r="A24533" s="4" t="s">
        <v>30875</v>
      </c>
      <c r="B24533" s="4" t="s">
        <v>30876</v>
      </c>
      <c r="C24533" s="5" t="str">
        <f>IFERROR(__xludf.DUMMYFUNCTION("GOOGLETRANSLATE(B24533,""en"",""de"")"),"Ein Mann steht in einem großen Raum, der einen Tennisschläger hochhält.")</f>
        <v>Ein Mann steht in einem großen Raum, der einen Tennisschläger hochhält.</v>
      </c>
    </row>
    <row r="24534">
      <c r="A24534" s="4" t="s">
        <v>30875</v>
      </c>
      <c r="B24534" s="4" t="s">
        <v>30877</v>
      </c>
      <c r="C24534" s="5" t="str">
        <f>IFERROR(__xludf.DUMMYFUNCTION("GOOGLETRANSLATE(B24534,""en"",""de"")"),"Zwei weitere Leute betreten den Rahmen und schlagen den Ball durch die Gegend.")</f>
        <v>Zwei weitere Leute betreten den Rahmen und schlagen den Ball durch die Gegend.</v>
      </c>
    </row>
    <row r="24535">
      <c r="A24535" s="4" t="s">
        <v>30875</v>
      </c>
      <c r="B24535" s="4" t="s">
        <v>30878</v>
      </c>
      <c r="C24535" s="5" t="str">
        <f>IFERROR(__xludf.DUMMYFUNCTION("GOOGLETRANSLATE(B24535,""en"",""de"")"),"Die Männer schlagen den Ball weiter mit Tennisschlägern und jagen ihn im Raum.")</f>
        <v>Die Männer schlagen den Ball weiter mit Tennisschlägern und jagen ihn im Raum.</v>
      </c>
    </row>
    <row r="24536">
      <c r="A24536" s="4" t="s">
        <v>30879</v>
      </c>
      <c r="B24536" s="4" t="s">
        <v>30880</v>
      </c>
      <c r="C24536" s="5" t="str">
        <f>IFERROR(__xludf.DUMMYFUNCTION("GOOGLETRANSLATE(B24536,""en"",""de"")"),"Zwei Menschen stehen in einer Gymnasium, die Boxhandschuhe trägt.")</f>
        <v>Zwei Menschen stehen in einer Gymnasium, die Boxhandschuhe trägt.</v>
      </c>
    </row>
    <row r="24537">
      <c r="A24537" s="4" t="s">
        <v>30879</v>
      </c>
      <c r="B24537" s="4" t="s">
        <v>30881</v>
      </c>
      <c r="C24537" s="5" t="str">
        <f>IFERROR(__xludf.DUMMYFUNCTION("GOOGLETRANSLATE(B24537,""en"",""de"")"),"Die Männer gehen dann zurück und viertes miteinander, treten und schlagen.")</f>
        <v>Die Männer gehen dann zurück und viertes miteinander, treten und schlagen.</v>
      </c>
    </row>
    <row r="24538">
      <c r="A24538" s="4" t="s">
        <v>30879</v>
      </c>
      <c r="B24538" s="4" t="s">
        <v>30882</v>
      </c>
      <c r="C24538" s="5" t="str">
        <f>IFERROR(__xludf.DUMMYFUNCTION("GOOGLETRANSLATE(B24538,""en"",""de"")"),"Die beiden kämpfen weiter, während die Kamera ihre Bewegungen erfasst.")</f>
        <v>Die beiden kämpfen weiter, während die Kamera ihre Bewegungen erfasst.</v>
      </c>
    </row>
    <row r="24539">
      <c r="A24539" s="4" t="s">
        <v>30883</v>
      </c>
      <c r="B24539" s="4" t="s">
        <v>30884</v>
      </c>
      <c r="C24539" s="5" t="str">
        <f>IFERROR(__xludf.DUMMYFUNCTION("GOOGLETRANSLATE(B24539,""en"",""de"")"),"Ein Mann hockt und hält mehrmals einen Bar über seinem Kopf.")</f>
        <v>Ein Mann hockt und hält mehrmals einen Bar über seinem Kopf.</v>
      </c>
    </row>
    <row r="24540">
      <c r="A24540" s="4" t="s">
        <v>30883</v>
      </c>
      <c r="B24540" s="4" t="s">
        <v>30885</v>
      </c>
      <c r="C24540" s="5" t="str">
        <f>IFERROR(__xludf.DUMMYFUNCTION("GOOGLETRANSLATE(B24540,""en"",""de"")"),"Ein Mann in einem roten Hemd beobachtet ihn.")</f>
        <v>Ein Mann in einem roten Hemd beobachtet ihn.</v>
      </c>
    </row>
    <row r="24541">
      <c r="A24541" s="4" t="s">
        <v>30883</v>
      </c>
      <c r="B24541" s="4" t="s">
        <v>30886</v>
      </c>
      <c r="C24541" s="5" t="str">
        <f>IFERROR(__xludf.DUMMYFUNCTION("GOOGLETRANSLATE(B24541,""en"",""de"")"),"Er lässt die Bar vor ihm auf den Boden fallen.")</f>
        <v>Er lässt die Bar vor ihm auf den Boden fallen.</v>
      </c>
    </row>
    <row r="24542">
      <c r="A24542" s="4" t="s">
        <v>30887</v>
      </c>
      <c r="B24542" s="4" t="s">
        <v>30888</v>
      </c>
      <c r="C24542" s="5" t="str">
        <f>IFERROR(__xludf.DUMMYFUNCTION("GOOGLETRANSLATE(B24542,""en"",""de"")"),"Eine ältere Frau wird gesehen, wie sie mit der Kamera spricht und führt mit einem anderen Kind in ihren schwingenden und vierten Platz.")</f>
        <v>Eine ältere Frau wird gesehen, wie sie mit der Kamera spricht und führt mit einem anderen Kind in ihren schwingenden und vierten Platz.</v>
      </c>
    </row>
    <row r="24543">
      <c r="A24543" s="4" t="s">
        <v>30887</v>
      </c>
      <c r="B24543" s="4" t="s">
        <v>30889</v>
      </c>
      <c r="C24543" s="5" t="str">
        <f>IFERROR(__xludf.DUMMYFUNCTION("GOOGLETRANSLATE(B24543,""en"",""de"")"),"Das Kind schiebt die Frau in Schwung und spielt weiter mit ihr auf dem Schaukel.")</f>
        <v>Das Kind schiebt die Frau in Schwung und spielt weiter mit ihr auf dem Schaukel.</v>
      </c>
    </row>
    <row r="24544">
      <c r="A24544" s="4" t="s">
        <v>30890</v>
      </c>
      <c r="B24544" s="4" t="s">
        <v>30891</v>
      </c>
      <c r="C24544" s="5" t="str">
        <f>IFERROR(__xludf.DUMMYFUNCTION("GOOGLETRANSLATE(B24544,""en"",""de"")"),"Zwei Personen werden gesehen, wie sie ein Zaunmatch zurück und viertes durchführen, während andere Menschen im Hintergrund üben.")</f>
        <v>Zwei Personen werden gesehen, wie sie ein Zaunmatch zurück und viertes durchführen, während andere Menschen im Hintergrund üben.</v>
      </c>
    </row>
    <row r="24545">
      <c r="A24545" s="4" t="s">
        <v>30890</v>
      </c>
      <c r="B24545" s="4" t="s">
        <v>30892</v>
      </c>
      <c r="C24545" s="5" t="str">
        <f>IFERROR(__xludf.DUMMYFUNCTION("GOOGLETRANSLATE(B24545,""en"",""de"")"),"Es werden mehrere Schüsse von Menschen mit Fechten gezeigt wie ein Fechter, der vor der Kamera interviewt wird.")</f>
        <v>Es werden mehrere Schüsse von Menschen mit Fechten gezeigt wie ein Fechter, der vor der Kamera interviewt wird.</v>
      </c>
    </row>
    <row r="24546">
      <c r="A24546" s="4" t="s">
        <v>30890</v>
      </c>
      <c r="B24546" s="4" t="s">
        <v>30893</v>
      </c>
      <c r="C24546" s="5" t="str">
        <f>IFERROR(__xludf.DUMMYFUNCTION("GOOGLETRANSLATE(B24546,""en"",""de"")"),"Weitere Aufnahmen von Menschen, die Fechten verdrehen, werden gezeigt und endet, wenn viele herumstehen und zwei Hände zitterten.")</f>
        <v>Weitere Aufnahmen von Menschen, die Fechten verdrehen, werden gezeigt und endet, wenn viele herumstehen und zwei Hände zitterten.</v>
      </c>
    </row>
    <row r="24547">
      <c r="A24547" s="4" t="s">
        <v>30894</v>
      </c>
      <c r="B24547" s="4" t="s">
        <v>30895</v>
      </c>
      <c r="C24547" s="5" t="str">
        <f>IFERROR(__xludf.DUMMYFUNCTION("GOOGLETRANSLATE(B24547,""en"",""de"")"),"Auf einer Bank in einem Haus wird ein Kleidungsstapel angezeigt.")</f>
        <v>Auf einer Bank in einem Haus wird ein Kleidungsstapel angezeigt.</v>
      </c>
    </row>
    <row r="24548">
      <c r="A24548" s="4" t="s">
        <v>30894</v>
      </c>
      <c r="B24548" s="4" t="s">
        <v>30896</v>
      </c>
      <c r="C24548" s="5" t="str">
        <f>IFERROR(__xludf.DUMMYFUNCTION("GOOGLETRANSLATE(B24548,""en"",""de"")"),"Ein Pullover hängt von einem Gestell.")</f>
        <v>Ein Pullover hängt von einem Gestell.</v>
      </c>
    </row>
    <row r="24549">
      <c r="A24549" s="4" t="s">
        <v>30894</v>
      </c>
      <c r="B24549" s="4" t="s">
        <v>30897</v>
      </c>
      <c r="C24549" s="5" t="str">
        <f>IFERROR(__xludf.DUMMYFUNCTION("GOOGLETRANSLATE(B24549,""en"",""de"")"),"Der Pullover wird aus mehreren Blickwinkeln gezeigt, da ein Vakuum zum Aufnehmen von Haaren und Fusseln verwendet wird.")</f>
        <v>Der Pullover wird aus mehreren Blickwinkeln gezeigt, da ein Vakuum zum Aufnehmen von Haaren und Fusseln verwendet wird.</v>
      </c>
    </row>
    <row r="24550">
      <c r="A24550" s="4" t="s">
        <v>30898</v>
      </c>
      <c r="B24550" s="4" t="s">
        <v>30899</v>
      </c>
      <c r="C24550" s="5" t="str">
        <f>IFERROR(__xludf.DUMMYFUNCTION("GOOGLETRANSLATE(B24550,""en"",""de"")"),"Ein großes Gebäude ist mit Autos zu sehen, die vorbeifahren und Menschen in einer Arena herumlaufen.")</f>
        <v>Ein großes Gebäude ist mit Autos zu sehen, die vorbeifahren und Menschen in einer Arena herumlaufen.</v>
      </c>
    </row>
    <row r="24551">
      <c r="A24551" s="4" t="s">
        <v>30898</v>
      </c>
      <c r="B24551" s="4" t="s">
        <v>30900</v>
      </c>
      <c r="C24551" s="5" t="str">
        <f>IFERROR(__xludf.DUMMYFUNCTION("GOOGLETRANSLATE(B24551,""en"",""de"")"),"Mehrere Personen werden dann gesehen, wie sie Bug und Pfeile an einem Ziel schießen und mit den Händen in der Luft schwenken.")</f>
        <v>Mehrere Personen werden dann gesehen, wie sie Bug und Pfeile an einem Ziel schießen und mit den Händen in der Luft schwenken.</v>
      </c>
    </row>
    <row r="24552">
      <c r="A24552" s="4" t="s">
        <v>30898</v>
      </c>
      <c r="B24552" s="4" t="s">
        <v>30901</v>
      </c>
      <c r="C24552" s="5" t="str">
        <f>IFERROR(__xludf.DUMMYFUNCTION("GOOGLETRANSLATE(B24552,""en"",""de"")"),"Die Leute schießen weiterhin den Bogen und den Pfeil auf das Ziel, während andere nebenbei zuschauen.")</f>
        <v>Die Leute schießen weiterhin den Bogen und den Pfeil auf das Ziel, während andere nebenbei zuschauen.</v>
      </c>
    </row>
    <row r="24553">
      <c r="A24553" s="4" t="s">
        <v>30902</v>
      </c>
      <c r="B24553" s="4" t="s">
        <v>30903</v>
      </c>
      <c r="C24553" s="5" t="str">
        <f>IFERROR(__xludf.DUMMYFUNCTION("GOOGLETRANSLATE(B24553,""en"",""de"")"),"Ein hemdloser Kerl dreht einen Ball an einer Stange.")</f>
        <v>Ein hemdloser Kerl dreht einen Ball an einer Stange.</v>
      </c>
    </row>
    <row r="24554">
      <c r="A24554" s="4" t="s">
        <v>30902</v>
      </c>
      <c r="B24554" s="4" t="s">
        <v>30904</v>
      </c>
      <c r="C24554" s="5" t="str">
        <f>IFERROR(__xludf.DUMMYFUNCTION("GOOGLETRANSLATE(B24554,""en"",""de"")"),"Der Typ hebt diesen Gegenstand vom Gras am Stabendende.")</f>
        <v>Der Typ hebt diesen Gegenstand vom Gras am Stabendende.</v>
      </c>
    </row>
    <row r="24555">
      <c r="A24555" s="4" t="s">
        <v>30902</v>
      </c>
      <c r="B24555" s="4" t="s">
        <v>30905</v>
      </c>
      <c r="C24555" s="5" t="str">
        <f>IFERROR(__xludf.DUMMYFUNCTION("GOOGLETRANSLATE(B24555,""en"",""de"")"),"Der Typ veröffentlicht den Artikel.")</f>
        <v>Der Typ veröffentlicht den Artikel.</v>
      </c>
    </row>
    <row r="24556">
      <c r="A24556" s="4" t="s">
        <v>30902</v>
      </c>
      <c r="B24556" s="4" t="s">
        <v>30906</v>
      </c>
      <c r="C24556" s="5" t="str">
        <f>IFERROR(__xludf.DUMMYFUNCTION("GOOGLETRANSLATE(B24556,""en"",""de"")"),"Ein Mann bewegt sich vom absteigenden Gegenstand weg.")</f>
        <v>Ein Mann bewegt sich vom absteigenden Gegenstand weg.</v>
      </c>
    </row>
    <row r="24557">
      <c r="A24557" s="4" t="s">
        <v>30902</v>
      </c>
      <c r="B24557" s="4" t="s">
        <v>30907</v>
      </c>
      <c r="C24557" s="5" t="str">
        <f>IFERROR(__xludf.DUMMYFUNCTION("GOOGLETRANSLATE(B24557,""en"",""de"")"),"Die Website der Gruppe der Gruppe wird angezeigt.")</f>
        <v>Die Website der Gruppe der Gruppe wird angezeigt.</v>
      </c>
    </row>
    <row r="24558">
      <c r="A24558" s="4" t="s">
        <v>30908</v>
      </c>
      <c r="B24558" s="4" t="s">
        <v>30909</v>
      </c>
      <c r="C24558" s="5" t="str">
        <f>IFERROR(__xludf.DUMMYFUNCTION("GOOGLETRANSLATE(B24558,""en"",""de"")"),"Wir sehen eine Dame, die einen Rasenmäher startet.")</f>
        <v>Wir sehen eine Dame, die einen Rasenmäher startet.</v>
      </c>
    </row>
    <row r="24559">
      <c r="A24559" s="4" t="s">
        <v>30908</v>
      </c>
      <c r="B24559" s="4" t="s">
        <v>30910</v>
      </c>
      <c r="C24559" s="5" t="str">
        <f>IFERROR(__xludf.DUMMYFUNCTION("GOOGLETRANSLATE(B24559,""en"",""de"")"),"Die Dame hält an und schaut in die Kamera.")</f>
        <v>Die Dame hält an und schaut in die Kamera.</v>
      </c>
    </row>
    <row r="24560">
      <c r="A24560" s="4" t="s">
        <v>30908</v>
      </c>
      <c r="B24560" s="4" t="s">
        <v>30911</v>
      </c>
      <c r="C24560" s="5" t="str">
        <f>IFERROR(__xludf.DUMMYFUNCTION("GOOGLETRANSLATE(B24560,""en"",""de"")"),"Die Dame beginnt und hört dann auf zu mähen.")</f>
        <v>Die Dame beginnt und hört dann auf zu mähen.</v>
      </c>
    </row>
    <row r="24561">
      <c r="A24561" s="4" t="s">
        <v>30908</v>
      </c>
      <c r="B24561" s="4" t="s">
        <v>30912</v>
      </c>
      <c r="C24561" s="5" t="str">
        <f>IFERROR(__xludf.DUMMYFUNCTION("GOOGLETRANSLATE(B24561,""en"",""de"")"),"Die Dame versucht den Mäher erneut zu starten.")</f>
        <v>Die Dame versucht den Mäher erneut zu starten.</v>
      </c>
    </row>
    <row r="24562">
      <c r="A24562" s="4" t="s">
        <v>30908</v>
      </c>
      <c r="B24562" s="4" t="s">
        <v>30913</v>
      </c>
      <c r="C24562" s="5" t="str">
        <f>IFERROR(__xludf.DUMMYFUNCTION("GOOGLETRANSLATE(B24562,""en"",""de"")"),"Eine andere Dame kommt, um zu helfen und fällt um.")</f>
        <v>Eine andere Dame kommt, um zu helfen und fällt um.</v>
      </c>
    </row>
    <row r="24563">
      <c r="A24563" s="4" t="s">
        <v>30908</v>
      </c>
      <c r="B24563" s="4" t="s">
        <v>30914</v>
      </c>
      <c r="C24563" s="5" t="str">
        <f>IFERROR(__xludf.DUMMYFUNCTION("GOOGLETRANSLATE(B24563,""en"",""de"")"),"Die First Lady hat endlich die Mäher begonnen.")</f>
        <v>Die First Lady hat endlich die Mäher begonnen.</v>
      </c>
    </row>
    <row r="24564">
      <c r="A24564" s="4" t="s">
        <v>30908</v>
      </c>
      <c r="B24564" s="4" t="s">
        <v>30915</v>
      </c>
      <c r="C24564" s="5" t="str">
        <f>IFERROR(__xludf.DUMMYFUNCTION("GOOGLETRANSLATE(B24564,""en"",""de"")"),"Die Dame wirft ihren Arm in die Luft und mäht den Rasen.")</f>
        <v>Die Dame wirft ihren Arm in die Luft und mäht den Rasen.</v>
      </c>
    </row>
    <row r="24565">
      <c r="A24565" s="4" t="s">
        <v>30916</v>
      </c>
      <c r="B24565" s="4" t="s">
        <v>30917</v>
      </c>
      <c r="C24565" s="5" t="str">
        <f>IFERROR(__xludf.DUMMYFUNCTION("GOOGLETRANSLATE(B24565,""en"",""de"")"),"Eine Frau spricht mit der Kamera, während ein Mann neben ihr steht.")</f>
        <v>Eine Frau spricht mit der Kamera, während ein Mann neben ihr steht.</v>
      </c>
    </row>
    <row r="24566">
      <c r="A24566" s="4" t="s">
        <v>30916</v>
      </c>
      <c r="B24566" s="4" t="s">
        <v>30918</v>
      </c>
      <c r="C24566" s="5" t="str">
        <f>IFERROR(__xludf.DUMMYFUNCTION("GOOGLETRANSLATE(B24566,""en"",""de"")"),"Der Mann dreht sich um und geht weg, während die Frau die weibliche Perspektive der Tanzsequenz alleine demonstriert.")</f>
        <v>Der Mann dreht sich um und geht weg, während die Frau die weibliche Perspektive der Tanzsequenz alleine demonstriert.</v>
      </c>
    </row>
    <row r="24567">
      <c r="A24567" s="4" t="s">
        <v>30916</v>
      </c>
      <c r="B24567" s="4" t="s">
        <v>30919</v>
      </c>
      <c r="C24567" s="5" t="str">
        <f>IFERROR(__xludf.DUMMYFUNCTION("GOOGLETRANSLATE(B24567,""en"",""de"")"),"Der Mann tritt wieder an die Frau und spricht mit der Kamera, während er die Abfolge der Schritte aus der männlichen Perspektive demonstriert.")</f>
        <v>Der Mann tritt wieder an die Frau und spricht mit der Kamera, während er die Abfolge der Schritte aus der männlichen Perspektive demonstriert.</v>
      </c>
    </row>
    <row r="24568">
      <c r="A24568" s="4" t="s">
        <v>30916</v>
      </c>
      <c r="B24568" s="4" t="s">
        <v>30920</v>
      </c>
      <c r="C24568" s="5" t="str">
        <f>IFERROR(__xludf.DUMMYFUNCTION("GOOGLETRANSLATE(B24568,""en"",""de"")"),"Die beiden zeigen den Tanz zusammen ohne Kommentar.")</f>
        <v>Die beiden zeigen den Tanz zusammen ohne Kommentar.</v>
      </c>
    </row>
    <row r="24569">
      <c r="A24569" s="4" t="s">
        <v>30921</v>
      </c>
      <c r="B24569" s="4" t="s">
        <v>30922</v>
      </c>
      <c r="C24569" s="5" t="str">
        <f>IFERROR(__xludf.DUMMYFUNCTION("GOOGLETRANSLATE(B24569,""en"",""de"")"),"Ein männlicher mäht einen Rasen mit einem roten Reitmäher.")</f>
        <v>Ein männlicher mäht einen Rasen mit einem roten Reitmäher.</v>
      </c>
    </row>
    <row r="24570">
      <c r="A24570" s="4" t="s">
        <v>30921</v>
      </c>
      <c r="B24570" s="4" t="s">
        <v>30923</v>
      </c>
      <c r="C24570" s="5" t="str">
        <f>IFERROR(__xludf.DUMMYFUNCTION("GOOGLETRANSLATE(B24570,""en"",""de"")"),"Ein Mann peitscht Gras seines Fußes.")</f>
        <v>Ein Mann peitscht Gras seines Fußes.</v>
      </c>
    </row>
    <row r="24571">
      <c r="A24571" s="4" t="s">
        <v>30921</v>
      </c>
      <c r="B24571" s="4" t="s">
        <v>30924</v>
      </c>
      <c r="C24571" s="5" t="str">
        <f>IFERROR(__xludf.DUMMYFUNCTION("GOOGLETRANSLATE(B24571,""en"",""de"")"),"Ein großer schwarzer Hund läuft über den Rasen.")</f>
        <v>Ein großer schwarzer Hund läuft über den Rasen.</v>
      </c>
    </row>
    <row r="24572">
      <c r="A24572" s="4" t="s">
        <v>30921</v>
      </c>
      <c r="B24572" s="4" t="s">
        <v>30925</v>
      </c>
      <c r="C24572" s="5" t="str">
        <f>IFERROR(__xludf.DUMMYFUNCTION("GOOGLETRANSLATE(B24572,""en"",""de"")"),"Der Mann stoppt und kehrt den Reitmäher um.")</f>
        <v>Der Mann stoppt und kehrt den Reitmäher um.</v>
      </c>
    </row>
    <row r="24573">
      <c r="A24573" s="4" t="s">
        <v>30921</v>
      </c>
      <c r="B24573" s="4" t="s">
        <v>30926</v>
      </c>
      <c r="C24573" s="5" t="str">
        <f>IFERROR(__xludf.DUMMYFUNCTION("GOOGLETRANSLATE(B24573,""en"",""de"")"),"Der Mann reibt sich das Ohr.")</f>
        <v>Der Mann reibt sich das Ohr.</v>
      </c>
    </row>
    <row r="24574">
      <c r="A24574" s="4" t="s">
        <v>30927</v>
      </c>
      <c r="B24574" s="4" t="s">
        <v>30928</v>
      </c>
      <c r="C24574" s="5" t="str">
        <f>IFERROR(__xludf.DUMMYFUNCTION("GOOGLETRANSLATE(B24574,""en"",""de"")"),"Ein Mann wird gesehen, wie er anfängt, eine Felswand hinaufzusteigen, während er zurückblickt und mit der Kamera spricht.")</f>
        <v>Ein Mann wird gesehen, wie er anfängt, eine Felswand hinaufzusteigen, während er zurückblickt und mit der Kamera spricht.</v>
      </c>
    </row>
    <row r="24575">
      <c r="A24575" s="4" t="s">
        <v>30927</v>
      </c>
      <c r="B24575" s="4" t="s">
        <v>30929</v>
      </c>
      <c r="C24575" s="5" t="str">
        <f>IFERROR(__xludf.DUMMYFUNCTION("GOOGLETRANSLATE(B24575,""en"",""de"")"),"Er steigt weiter auf und ab, während er mit seinen Füßen richtig aufsteigt.")</f>
        <v>Er steigt weiter auf und ab, während er mit seinen Füßen richtig aufsteigt.</v>
      </c>
    </row>
    <row r="24576">
      <c r="A24576" s="4" t="s">
        <v>30927</v>
      </c>
      <c r="B24576" s="4" t="s">
        <v>30930</v>
      </c>
      <c r="C24576" s="5" t="str">
        <f>IFERROR(__xludf.DUMMYFUNCTION("GOOGLETRANSLATE(B24576,""en"",""de"")"),"Er tut dies noch ein paar Mal, während die Kamera Textanweisungen anzeigt.")</f>
        <v>Er tut dies noch ein paar Mal, während die Kamera Textanweisungen anzeigt.</v>
      </c>
    </row>
    <row r="24577">
      <c r="A24577" s="4" t="s">
        <v>30931</v>
      </c>
      <c r="B24577" s="4" t="s">
        <v>30932</v>
      </c>
      <c r="C24577" s="5" t="str">
        <f>IFERROR(__xludf.DUMMYFUNCTION("GOOGLETRANSLATE(B24577,""en"",""de"")"),"In einem Fitnessstudio halten zwei Männer zwei Sprungseile.")</f>
        <v>In einem Fitnessstudio halten zwei Männer zwei Sprungseile.</v>
      </c>
    </row>
    <row r="24578">
      <c r="A24578" s="4" t="s">
        <v>30931</v>
      </c>
      <c r="B24578" s="4" t="s">
        <v>30933</v>
      </c>
      <c r="C24578" s="5" t="str">
        <f>IFERROR(__xludf.DUMMYFUNCTION("GOOGLETRANSLATE(B24578,""en"",""de"")"),"Ein Mann in einem Pferdeschwanz springt mit Handständen die Sprungseile.")</f>
        <v>Ein Mann in einem Pferdeschwanz springt mit Handständen die Sprungseile.</v>
      </c>
    </row>
    <row r="24579">
      <c r="A24579" s="4" t="s">
        <v>30931</v>
      </c>
      <c r="B24579" s="4" t="s">
        <v>30934</v>
      </c>
      <c r="C24579" s="5" t="str">
        <f>IFERROR(__xludf.DUMMYFUNCTION("GOOGLETRANSLATE(B24579,""en"",""de"")"),"Ein Mann in einem schwarzen Hemd sieht zu.")</f>
        <v>Ein Mann in einem schwarzen Hemd sieht zu.</v>
      </c>
    </row>
    <row r="24580">
      <c r="A24580" s="4" t="s">
        <v>30935</v>
      </c>
      <c r="B24580" s="4" t="s">
        <v>30936</v>
      </c>
      <c r="C24580" s="5" t="str">
        <f>IFERROR(__xludf.DUMMYFUNCTION("GOOGLETRANSLATE(B24580,""en"",""de"")"),"Das Video findet im Pool eines Gartens statt.")</f>
        <v>Das Video findet im Pool eines Gartens statt.</v>
      </c>
    </row>
    <row r="24581">
      <c r="A24581" s="4" t="s">
        <v>30935</v>
      </c>
      <c r="B24581" s="4" t="s">
        <v>30937</v>
      </c>
      <c r="C24581" s="5" t="str">
        <f>IFERROR(__xludf.DUMMYFUNCTION("GOOGLETRANSLATE(B24581,""en"",""de"")"),"Ein enges Seil ist über die Länge des Pools aufgereiht und eine Frau versucht zu gehen, sie fällt mehrmals.")</f>
        <v>Ein enges Seil ist über die Länge des Pools aufgereiht und eine Frau versucht zu gehen, sie fällt mehrmals.</v>
      </c>
    </row>
    <row r="24582">
      <c r="A24582" s="4" t="s">
        <v>30935</v>
      </c>
      <c r="B24582" s="4" t="s">
        <v>30938</v>
      </c>
      <c r="C24582" s="5" t="str">
        <f>IFERROR(__xludf.DUMMYFUNCTION("GOOGLETRANSLATE(B24582,""en"",""de"")"),"Als sie das letzte Mal fällt, wird die Kamera zurückspulen und zeigt, wie sie rückwärts fällt.")</f>
        <v>Als sie das letzte Mal fällt, wird die Kamera zurückspulen und zeigt, wie sie rückwärts fällt.</v>
      </c>
    </row>
    <row r="24583">
      <c r="A24583" s="4" t="s">
        <v>30935</v>
      </c>
      <c r="B24583" s="4" t="s">
        <v>30939</v>
      </c>
      <c r="C24583" s="5" t="str">
        <f>IFERROR(__xludf.DUMMYFUNCTION("GOOGLETRANSLATE(B24583,""en"",""de"")"),"Das Video schneidet dann an einen Mann, der auch ein enges Seil verwendet, um einen Pool zu überqueren.")</f>
        <v>Das Video schneidet dann an einen Mann, der auch ein enges Seil verwendet, um einen Pool zu überqueren.</v>
      </c>
    </row>
    <row r="24584">
      <c r="A24584" s="4" t="s">
        <v>30935</v>
      </c>
      <c r="B24584" s="4" t="s">
        <v>30940</v>
      </c>
      <c r="C24584" s="5" t="str">
        <f>IFERROR(__xludf.DUMMYFUNCTION("GOOGLETRANSLATE(B24584,""en"",""de"")"),"Das Video zeigt mehrere Clips des Mannes, der fällt.")</f>
        <v>Das Video zeigt mehrere Clips des Mannes, der fällt.</v>
      </c>
    </row>
    <row r="24585">
      <c r="A24585" s="4" t="s">
        <v>30935</v>
      </c>
      <c r="B24585" s="4" t="s">
        <v>30941</v>
      </c>
      <c r="C24585" s="5" t="str">
        <f>IFERROR(__xludf.DUMMYFUNCTION("GOOGLETRANSLATE(B24585,""en"",""de"")"),"Irgendwann hält er eine Kamera, während er hineinfällt.")</f>
        <v>Irgendwann hält er eine Kamera, während er hineinfällt.</v>
      </c>
    </row>
    <row r="24586">
      <c r="A24586" s="4" t="s">
        <v>30935</v>
      </c>
      <c r="B24586" s="4" t="s">
        <v>30942</v>
      </c>
      <c r="C24586" s="5" t="str">
        <f>IFERROR(__xludf.DUMMYFUNCTION("GOOGLETRANSLATE(B24586,""en"",""de"")"),"Er versucht auch, mit einem Bein am Seil zu stehen und sich auszubalancieren.")</f>
        <v>Er versucht auch, mit einem Bein am Seil zu stehen und sich auszubalancieren.</v>
      </c>
    </row>
    <row r="24587">
      <c r="A24587" s="4" t="s">
        <v>30935</v>
      </c>
      <c r="B24587" s="4" t="s">
        <v>30943</v>
      </c>
      <c r="C24587" s="5" t="str">
        <f>IFERROR(__xludf.DUMMYFUNCTION("GOOGLETRANSLATE(B24587,""en"",""de"")"),"Das Video endet mit ihm in einem letzten Sturz in eine Röhre.")</f>
        <v>Das Video endet mit ihm in einem letzten Sturz in eine Röhre.</v>
      </c>
    </row>
    <row r="24588">
      <c r="A24588" s="4" t="s">
        <v>30944</v>
      </c>
      <c r="B24588" s="4" t="s">
        <v>30945</v>
      </c>
      <c r="C24588" s="5" t="str">
        <f>IFERROR(__xludf.DUMMYFUNCTION("GOOGLETRANSLATE(B24588,""en"",""de"")"),"Ein kleiner Junge glänzt die Schuhe einer Person mit schwarzem Schuhpolitur und leuchtet mit einem Pinsel und einem Tuch.")</f>
        <v>Ein kleiner Junge glänzt die Schuhe einer Person mit schwarzem Schuhpolitur und leuchtet mit einem Pinsel und einem Tuch.</v>
      </c>
    </row>
    <row r="24589">
      <c r="A24589" s="4" t="s">
        <v>30944</v>
      </c>
      <c r="B24589" s="4" t="s">
        <v>30946</v>
      </c>
      <c r="C24589" s="5" t="str">
        <f>IFERROR(__xludf.DUMMYFUNCTION("GOOGLETRANSLATE(B24589,""en"",""de"")"),"Dann zahlt der Mann den kleinen Jungen.")</f>
        <v>Dann zahlt der Mann den kleinen Jungen.</v>
      </c>
    </row>
    <row r="24590">
      <c r="A24590" s="4" t="s">
        <v>30944</v>
      </c>
      <c r="B24590" s="4" t="s">
        <v>30947</v>
      </c>
      <c r="C24590" s="5" t="str">
        <f>IFERROR(__xludf.DUMMYFUNCTION("GOOGLETRANSLATE(B24590,""en"",""de"")"),"Ein Junge reinigt die Tennisshows einer Person, die weiße Malerei stellt.")</f>
        <v>Ein Junge reinigt die Tennisshows einer Person, die weiße Malerei stellt.</v>
      </c>
    </row>
    <row r="24591">
      <c r="A24591" s="4" t="s">
        <v>30948</v>
      </c>
      <c r="B24591" s="4" t="s">
        <v>30949</v>
      </c>
      <c r="C24591" s="5" t="str">
        <f>IFERROR(__xludf.DUMMYFUNCTION("GOOGLETRANSLATE(B24591,""en"",""de"")"),"Ein Mann spielt eine Flöte vor einem Mikrofon.")</f>
        <v>Ein Mann spielt eine Flöte vor einem Mikrofon.</v>
      </c>
    </row>
    <row r="24592">
      <c r="A24592" s="4" t="s">
        <v>30948</v>
      </c>
      <c r="B24592" s="4" t="s">
        <v>30950</v>
      </c>
      <c r="C24592" s="5" t="str">
        <f>IFERROR(__xludf.DUMMYFUNCTION("GOOGLETRANSLATE(B24592,""en"",""de"")"),"Ein paar andere Männer spielen beim Sitzen Gitarren.")</f>
        <v>Ein paar andere Männer spielen beim Sitzen Gitarren.</v>
      </c>
    </row>
    <row r="24593">
      <c r="A24593" s="4" t="s">
        <v>30948</v>
      </c>
      <c r="B24593" s="4" t="s">
        <v>30951</v>
      </c>
      <c r="C24593" s="5" t="str">
        <f>IFERROR(__xludf.DUMMYFUNCTION("GOOGLETRANSLATE(B24593,""en"",""de"")"),"Die Gruppe spielt für das Publikum und zoomt gelegentlich auf Einzelpersonen.")</f>
        <v>Die Gruppe spielt für das Publikum und zoomt gelegentlich auf Einzelpersonen.</v>
      </c>
    </row>
    <row r="24594">
      <c r="A24594" s="4" t="s">
        <v>30948</v>
      </c>
      <c r="B24594" s="4" t="s">
        <v>30952</v>
      </c>
      <c r="C24594" s="5" t="str">
        <f>IFERROR(__xludf.DUMMYFUNCTION("GOOGLETRANSLATE(B24594,""en"",""de"")"),"Ein Mann spielt Schlagzeug, während die anderen auf Flöte und Gitarre sind.")</f>
        <v>Ein Mann spielt Schlagzeug, während die anderen auf Flöte und Gitarre sind.</v>
      </c>
    </row>
    <row r="24595">
      <c r="A24595" s="4" t="s">
        <v>30948</v>
      </c>
      <c r="B24595" s="4" t="s">
        <v>30953</v>
      </c>
      <c r="C24595" s="5" t="str">
        <f>IFERROR(__xludf.DUMMYFUNCTION("GOOGLETRANSLATE(B24595,""en"",""de"")"),"Die Lichter bewegen sich fließend, während sie sich Crescendo befinden, und sie werden schwarz.")</f>
        <v>Die Lichter bewegen sich fließend, während sie sich Crescendo befinden, und sie werden schwarz.</v>
      </c>
    </row>
    <row r="24596">
      <c r="A24596" s="4" t="s">
        <v>30954</v>
      </c>
      <c r="B24596" s="4" t="s">
        <v>30955</v>
      </c>
      <c r="C24596" s="5" t="str">
        <f>IFERROR(__xludf.DUMMYFUNCTION("GOOGLETRANSLATE(B24596,""en"",""de"")"),"Ein gelbes und braunes Tier ist an der Wand befestigt, die von links nach rechts schwankt.")</f>
        <v>Ein gelbes und braunes Tier ist an der Wand befestigt, die von links nach rechts schwankt.</v>
      </c>
    </row>
    <row r="24597">
      <c r="A24597" s="4" t="s">
        <v>30954</v>
      </c>
      <c r="B24597" s="4" t="s">
        <v>30956</v>
      </c>
      <c r="C24597" s="5" t="str">
        <f>IFERROR(__xludf.DUMMYFUNCTION("GOOGLETRANSLATE(B24597,""en"",""de"")"),"Während es dort ist, wird ein Junge in ein Kopftuch eingewickelt und er hält den Stock auf der linken Seite der Pinata.")</f>
        <v>Während es dort ist, wird ein Junge in ein Kopftuch eingewickelt und er hält den Stock auf der linken Seite der Pinata.</v>
      </c>
    </row>
    <row r="24598">
      <c r="A24598" s="4" t="s">
        <v>30954</v>
      </c>
      <c r="B24598" s="4" t="s">
        <v>30957</v>
      </c>
      <c r="C24598" s="5" t="str">
        <f>IFERROR(__xludf.DUMMYFUNCTION("GOOGLETRANSLATE(B24598,""en"",""de"")"),"Dann bewegt er es auf die rechte Seite und beginnt wild auf die Pinata zu treffen.")</f>
        <v>Dann bewegt er es auf die rechte Seite und beginnt wild auf die Pinata zu treffen.</v>
      </c>
    </row>
    <row r="24599">
      <c r="A24599" s="4" t="s">
        <v>30958</v>
      </c>
      <c r="B24599" s="4" t="s">
        <v>4184</v>
      </c>
      <c r="C24599" s="5" t="str">
        <f>IFERROR(__xludf.DUMMYFUNCTION("GOOGLETRANSLATE(B24599,""en"",""de"")"),"Die Leute spielen Lacrosse auf einem Feld.")</f>
        <v>Die Leute spielen Lacrosse auf einem Feld.</v>
      </c>
    </row>
    <row r="24600">
      <c r="A24600" s="4" t="s">
        <v>30958</v>
      </c>
      <c r="B24600" s="4" t="s">
        <v>30959</v>
      </c>
      <c r="C24600" s="5" t="str">
        <f>IFERROR(__xludf.DUMMYFUNCTION("GOOGLETRANSLATE(B24600,""en"",""de"")"),"Eine Frau in einem blauen Hemd hält einen Lacrosse -Stock.")</f>
        <v>Eine Frau in einem blauen Hemd hält einen Lacrosse -Stock.</v>
      </c>
    </row>
    <row r="24601">
      <c r="A24601" s="4" t="s">
        <v>30958</v>
      </c>
      <c r="B24601" s="4" t="s">
        <v>30960</v>
      </c>
      <c r="C24601" s="5" t="str">
        <f>IFERROR(__xludf.DUMMYFUNCTION("GOOGLETRANSLATE(B24601,""en"",""de"")"),"Sie spielen weiterhin Lacrosse.")</f>
        <v>Sie spielen weiterhin Lacrosse.</v>
      </c>
    </row>
    <row r="24602">
      <c r="A24602" s="4" t="s">
        <v>30961</v>
      </c>
      <c r="B24602" s="4" t="s">
        <v>30962</v>
      </c>
      <c r="C24602" s="5" t="str">
        <f>IFERROR(__xludf.DUMMYFUNCTION("GOOGLETRANSLATE(B24602,""en"",""de"")"),"Ein Mann in einem schwarzen Hemd steht in einem Salon.")</f>
        <v>Ein Mann in einem schwarzen Hemd steht in einem Salon.</v>
      </c>
    </row>
    <row r="24603">
      <c r="A24603" s="4" t="s">
        <v>30961</v>
      </c>
      <c r="B24603" s="4" t="s">
        <v>30963</v>
      </c>
      <c r="C24603" s="5" t="str">
        <f>IFERROR(__xludf.DUMMYFUNCTION("GOOGLETRANSLATE(B24603,""en"",""de"")"),"Er fängt an, den Bart eines Mannes zu rasieren, der sich niederlegt.")</f>
        <v>Er fängt an, den Bart eines Mannes zu rasieren, der sich niederlegt.</v>
      </c>
    </row>
    <row r="24604">
      <c r="A24604" s="4" t="s">
        <v>30961</v>
      </c>
      <c r="B24604" s="4" t="s">
        <v>30964</v>
      </c>
      <c r="C24604" s="5" t="str">
        <f>IFERROR(__xludf.DUMMYFUNCTION("GOOGLETRANSLATE(B24604,""en"",""de"")"),"Er handt sich vom Gesicht des Mannes ab.")</f>
        <v>Er handt sich vom Gesicht des Mannes ab.</v>
      </c>
    </row>
    <row r="24605">
      <c r="A24605" s="4" t="s">
        <v>30965</v>
      </c>
      <c r="B24605" s="4" t="s">
        <v>30966</v>
      </c>
      <c r="C24605" s="5" t="str">
        <f>IFERROR(__xludf.DUMMYFUNCTION("GOOGLETRANSLATE(B24605,""en"",""de"")"),"Ein Mann zeigt Gitarre mit einem Titelbildschirm links.")</f>
        <v>Ein Mann zeigt Gitarre mit einem Titelbildschirm links.</v>
      </c>
    </row>
    <row r="24606">
      <c r="A24606" s="4" t="s">
        <v>30965</v>
      </c>
      <c r="B24606" s="4" t="s">
        <v>30967</v>
      </c>
      <c r="C24606" s="5" t="str">
        <f>IFERROR(__xludf.DUMMYFUNCTION("GOOGLETRANSLATE(B24606,""en"",""de"")"),"Der Mann stritt sich immer wieder, während er allmählich mit dem Schlag den Schlag schlägt.")</f>
        <v>Der Mann stritt sich immer wieder, während er allmählich mit dem Schlag den Schlag schlägt.</v>
      </c>
    </row>
    <row r="24607">
      <c r="A24607" s="4" t="s">
        <v>30968</v>
      </c>
      <c r="B24607" s="4" t="s">
        <v>30969</v>
      </c>
      <c r="C24607" s="5" t="str">
        <f>IFERROR(__xludf.DUMMYFUNCTION("GOOGLETRANSLATE(B24607,""en"",""de"")"),"Eine Nahaufnahme einer Flamme wird gezeigt, gefolgt von Zuschauern, die aufstehen und Sportler bereit sind.")</f>
        <v>Eine Nahaufnahme einer Flamme wird gezeigt, gefolgt von Zuschauern, die aufstehen und Sportler bereit sind.</v>
      </c>
    </row>
    <row r="24608">
      <c r="A24608" s="4" t="s">
        <v>30968</v>
      </c>
      <c r="B24608" s="4" t="s">
        <v>30970</v>
      </c>
      <c r="C24608" s="5" t="str">
        <f>IFERROR(__xludf.DUMMYFUNCTION("GOOGLETRANSLATE(B24608,""en"",""de"")"),"Hitler beobachtet dann, wie ein Mann in eine Grube springt, sowie mehrere andere Läufer nach ihm.")</f>
        <v>Hitler beobachtet dann, wie ein Mann in eine Grube springt, sowie mehrere andere Läufer nach ihm.</v>
      </c>
    </row>
    <row r="24609">
      <c r="A24609" s="4" t="s">
        <v>30968</v>
      </c>
      <c r="B24609" s="4" t="s">
        <v>30971</v>
      </c>
      <c r="C24609" s="5" t="str">
        <f>IFERROR(__xludf.DUMMYFUNCTION("GOOGLETRANSLATE(B24609,""en"",""de"")"),"Weitere Athleten springen weiter, während das Publikum hochgezogen wird und mit Soldaten endet, die Flaggen bis zum Himmel heben.")</f>
        <v>Weitere Athleten springen weiter, während das Publikum hochgezogen wird und mit Soldaten endet, die Flaggen bis zum Himmel heben.</v>
      </c>
    </row>
    <row r="24610">
      <c r="A24610" s="4" t="s">
        <v>30972</v>
      </c>
      <c r="B24610" s="4" t="s">
        <v>30973</v>
      </c>
      <c r="C24610" s="5" t="str">
        <f>IFERROR(__xludf.DUMMYFUNCTION("GOOGLETRANSLATE(B24610,""en"",""de"")"),"Es gibt zwei Jungen, die Kürbis in einem Kürbisplatz in Indoor spielen.")</f>
        <v>Es gibt zwei Jungen, die Kürbis in einem Kürbisplatz in Indoor spielen.</v>
      </c>
    </row>
    <row r="24611">
      <c r="A24611" s="4" t="s">
        <v>30972</v>
      </c>
      <c r="B24611" s="4" t="s">
        <v>30974</v>
      </c>
      <c r="C24611" s="5" t="str">
        <f>IFERROR(__xludf.DUMMYFUNCTION("GOOGLETRANSLATE(B24611,""en"",""de"")"),"Sie spielen zufällig in einem unstrukturierten Spiel, bei dem sie den Ball oft vermissen.")</f>
        <v>Sie spielen zufällig in einem unstrukturierten Spiel, bei dem sie den Ball oft vermissen.</v>
      </c>
    </row>
    <row r="24612">
      <c r="A24612" s="4" t="s">
        <v>30975</v>
      </c>
      <c r="B24612" s="4" t="s">
        <v>30976</v>
      </c>
      <c r="C24612" s="5" t="str">
        <f>IFERROR(__xludf.DUMMYFUNCTION("GOOGLETRANSLATE(B24612,""en"",""de"")"),"Ein Mann steht am Boden eines Lochs, während ein Mann ihn aufzeichnet.")</f>
        <v>Ein Mann steht am Boden eines Lochs, während ein Mann ihn aufzeichnet.</v>
      </c>
    </row>
    <row r="24613">
      <c r="A24613" s="4" t="s">
        <v>30975</v>
      </c>
      <c r="B24613" s="4" t="s">
        <v>30977</v>
      </c>
      <c r="C24613" s="5" t="str">
        <f>IFERROR(__xludf.DUMMYFUNCTION("GOOGLETRANSLATE(B24613,""en"",""de"")"),"Zwei Männer klettern entlang des Hügels und schauen zur Kamera.")</f>
        <v>Zwei Männer klettern entlang des Hügels und schauen zur Kamera.</v>
      </c>
    </row>
    <row r="24614">
      <c r="A24614" s="4" t="s">
        <v>30975</v>
      </c>
      <c r="B24614" s="4" t="s">
        <v>30978</v>
      </c>
      <c r="C24614" s="5" t="str">
        <f>IFERROR(__xludf.DUMMYFUNCTION("GOOGLETRANSLATE(B24614,""en"",""de"")"),"Ein Mann zieht den anderen heraus und klettert nach unten, während sie und andere mit der Kamera sprechen.")</f>
        <v>Ein Mann zieht den anderen heraus und klettert nach unten, während sie und andere mit der Kamera sprechen.</v>
      </c>
    </row>
    <row r="24615">
      <c r="A24615" s="4" t="s">
        <v>30979</v>
      </c>
      <c r="B24615" s="4" t="s">
        <v>30980</v>
      </c>
      <c r="C24615" s="5" t="str">
        <f>IFERROR(__xludf.DUMMYFUNCTION("GOOGLETRANSLATE(B24615,""en"",""de"")"),"Zwei Männer setzen sich am Strand aufeinander.")</f>
        <v>Zwei Männer setzen sich am Strand aufeinander.</v>
      </c>
    </row>
    <row r="24616">
      <c r="A24616" s="4" t="s">
        <v>30979</v>
      </c>
      <c r="B24616" s="4" t="s">
        <v>30981</v>
      </c>
      <c r="C24616" s="5" t="str">
        <f>IFERROR(__xludf.DUMMYFUNCTION("GOOGLETRANSLATE(B24616,""en"",""de"")"),"Sie reiben es auf den Rücken des anderen, bevor sie sich umdrehen.")</f>
        <v>Sie reiben es auf den Rücken des anderen, bevor sie sich umdrehen.</v>
      </c>
    </row>
    <row r="24617">
      <c r="A24617" s="4" t="s">
        <v>30982</v>
      </c>
      <c r="B24617" s="4" t="s">
        <v>30983</v>
      </c>
      <c r="C24617" s="5" t="str">
        <f>IFERROR(__xludf.DUMMYFUNCTION("GOOGLETRANSLATE(B24617,""en"",""de"")"),"Der Mensch steht in einem großen Feld wlkend und übt einen Schuss.")</f>
        <v>Der Mensch steht in einem großen Feld wlkend und übt einen Schuss.</v>
      </c>
    </row>
    <row r="24618">
      <c r="A24618" s="4" t="s">
        <v>30982</v>
      </c>
      <c r="B24618" s="4" t="s">
        <v>30984</v>
      </c>
      <c r="C24618" s="5" t="str">
        <f>IFERROR(__xludf.DUMMYFUNCTION("GOOGLETRANSLATE(B24618,""en"",""de"")"),"Der Mann, der rotes Hemd trägt, steht auf einer Seite.")</f>
        <v>Der Mann, der rotes Hemd trägt, steht auf einer Seite.</v>
      </c>
    </row>
    <row r="24619">
      <c r="A24619" s="4" t="s">
        <v>30982</v>
      </c>
      <c r="B24619" s="4" t="s">
        <v>30985</v>
      </c>
      <c r="C24619" s="5" t="str">
        <f>IFERROR(__xludf.DUMMYFUNCTION("GOOGLETRANSLATE(B24619,""en"",""de"")"),"Männer passieren in einem großen grünen Grasfeld.")</f>
        <v>Männer passieren in einem großen grünen Grasfeld.</v>
      </c>
    </row>
    <row r="24620">
      <c r="A24620" s="4" t="s">
        <v>30986</v>
      </c>
      <c r="B24620" s="4" t="s">
        <v>30987</v>
      </c>
      <c r="C24620" s="5" t="str">
        <f>IFERROR(__xludf.DUMMYFUNCTION("GOOGLETRANSLATE(B24620,""en"",""de"")"),"Ein Mann indert seine Skier in einer Garage.")</f>
        <v>Ein Mann indert seine Skier in einer Garage.</v>
      </c>
    </row>
    <row r="24621">
      <c r="A24621" s="4" t="s">
        <v>30986</v>
      </c>
      <c r="B24621" s="4" t="s">
        <v>30988</v>
      </c>
      <c r="C24621" s="5" t="str">
        <f>IFERROR(__xludf.DUMMYFUNCTION("GOOGLETRANSLATE(B24621,""en"",""de"")"),"Er ändert die Position, um sich mehr Hebel zu verschaffen, während er poliert.")</f>
        <v>Er ändert die Position, um sich mehr Hebel zu verschaffen, während er poliert.</v>
      </c>
    </row>
    <row r="24622">
      <c r="A24622" s="4" t="s">
        <v>30986</v>
      </c>
      <c r="B24622" s="4" t="s">
        <v>30989</v>
      </c>
      <c r="C24622" s="5" t="str">
        <f>IFERROR(__xludf.DUMMYFUNCTION("GOOGLETRANSLATE(B24622,""en"",""de"")"),"Er bewegt den Shis an einen anderen Ort, wenn er fertig ist.")</f>
        <v>Er bewegt den Shis an einen anderen Ort, wenn er fertig ist.</v>
      </c>
    </row>
    <row r="24623">
      <c r="A24623" s="4" t="s">
        <v>30990</v>
      </c>
      <c r="B24623" s="4" t="s">
        <v>30991</v>
      </c>
      <c r="C24623" s="5" t="str">
        <f>IFERROR(__xludf.DUMMYFUNCTION("GOOGLETRANSLATE(B24623,""en"",""de"")"),"Ein Hund wird von einer Frau gebadet.")</f>
        <v>Ein Hund wird von einer Frau gebadet.</v>
      </c>
    </row>
    <row r="24624">
      <c r="A24624" s="4" t="s">
        <v>30990</v>
      </c>
      <c r="B24624" s="4" t="s">
        <v>30992</v>
      </c>
      <c r="C24624" s="5" t="str">
        <f>IFERROR(__xludf.DUMMYFUNCTION("GOOGLETRANSLATE(B24624,""en"",""de"")"),"Die Frau sprüht Wasser mit einem Schlauch auf den kleinen Hund.")</f>
        <v>Die Frau sprüht Wasser mit einem Schlauch auf den kleinen Hund.</v>
      </c>
    </row>
    <row r="24625">
      <c r="A24625" s="4" t="s">
        <v>30990</v>
      </c>
      <c r="B24625" s="4" t="s">
        <v>30993</v>
      </c>
      <c r="C24625" s="5" t="str">
        <f>IFERROR(__xludf.DUMMYFUNCTION("GOOGLETRANSLATE(B24625,""en"",""de"")"),"Sie trocknet jetzt den Hund.")</f>
        <v>Sie trocknet jetzt den Hund.</v>
      </c>
    </row>
    <row r="24626">
      <c r="A24626" s="4" t="s">
        <v>30990</v>
      </c>
      <c r="B24626" s="4" t="s">
        <v>30994</v>
      </c>
      <c r="C24626" s="5" t="str">
        <f>IFERROR(__xludf.DUMMYFUNCTION("GOOGLETRANSLATE(B24626,""en"",""de"")"),"Der Hund wird in den Zwinger neben den Füßen einer Frau gelegt.")</f>
        <v>Der Hund wird in den Zwinger neben den Füßen einer Frau gelegt.</v>
      </c>
    </row>
    <row r="24627">
      <c r="A24627" s="4" t="s">
        <v>30990</v>
      </c>
      <c r="B24627" s="4" t="s">
        <v>30995</v>
      </c>
      <c r="C24627" s="5" t="str">
        <f>IFERROR(__xludf.DUMMYFUNCTION("GOOGLETRANSLATE(B24627,""en"",""de"")"),"Ein Hund spielt hinter und mit dem gepflegten Hund.")</f>
        <v>Ein Hund spielt hinter und mit dem gepflegten Hund.</v>
      </c>
    </row>
    <row r="24628">
      <c r="A24628" s="4" t="s">
        <v>30990</v>
      </c>
      <c r="B24628" s="4" t="s">
        <v>30996</v>
      </c>
      <c r="C24628" s="5" t="str">
        <f>IFERROR(__xludf.DUMMYFUNCTION("GOOGLETRANSLATE(B24628,""en"",""de"")"),"Der Hund bekommt jetzt einen Haarschnitt.")</f>
        <v>Der Hund bekommt jetzt einen Haarschnitt.</v>
      </c>
    </row>
    <row r="24629">
      <c r="A24629" s="4" t="s">
        <v>30997</v>
      </c>
      <c r="B24629" s="4" t="s">
        <v>30998</v>
      </c>
      <c r="C24629" s="5" t="str">
        <f>IFERROR(__xludf.DUMMYFUNCTION("GOOGLETRANSLATE(B24629,""en"",""de"")"),"Der Intro -Bildschirm erscheint und enthält eine Illustration eines Mannes, der mit einem Mopp in einem Badezimmer, einem Markennamen und einigen anderen Worten den Boden wischt.")</f>
        <v>Der Intro -Bildschirm erscheint und enthält eine Illustration eines Mannes, der mit einem Mopp in einem Badezimmer, einem Markennamen und einigen anderen Worten den Boden wischt.</v>
      </c>
    </row>
    <row r="24630">
      <c r="A24630" s="4" t="s">
        <v>30997</v>
      </c>
      <c r="B24630" s="4" t="s">
        <v>30999</v>
      </c>
      <c r="C24630" s="5" t="str">
        <f>IFERROR(__xludf.DUMMYFUNCTION("GOOGLETRANSLATE(B24630,""en"",""de"")"),"Eine Frau ist jetzt im Badezimmer und benutzt einen fortgeschrittenen Eimer, der groß ist und einen Griff zum Drücken des flachen Mopps und eines Aufbewahrungsfach Wischen Sie den Rest des Badezimmers.")</f>
        <v>Eine Frau ist jetzt im Badezimmer und benutzt einen fortgeschrittenen Eimer, der groß ist und einen Griff zum Drücken des flachen Mopps und eines Aufbewahrungsfach Wischen Sie den Rest des Badezimmers.</v>
      </c>
    </row>
    <row r="24631">
      <c r="A24631" s="4" t="s">
        <v>30997</v>
      </c>
      <c r="B24631" s="4" t="s">
        <v>31000</v>
      </c>
      <c r="C24631" s="5" t="str">
        <f>IFERROR(__xludf.DUMMYFUNCTION("GOOGLETRANSLATE(B24631,""en"",""de"")"),"Es wird eine Spitzenansicht des Eimers gezeigt und zeigt, dass der Eimer zwei Wasserabteilungen hat und das saubere Wasser vorne und das schmutzige Wasser hinten gehalten wird.")</f>
        <v>Es wird eine Spitzenansicht des Eimers gezeigt und zeigt, dass der Eimer zwei Wasserabteilungen hat und das saubere Wasser vorne und das schmutzige Wasser hinten gehalten wird.</v>
      </c>
    </row>
    <row r="24632">
      <c r="A24632" s="4" t="s">
        <v>30997</v>
      </c>
      <c r="B24632" s="4" t="s">
        <v>31001</v>
      </c>
      <c r="C24632" s="5" t="str">
        <f>IFERROR(__xludf.DUMMYFUNCTION("GOOGLETRANSLATE(B24632,""en"",""de"")"),"Ein weißer Bildschirm wird angezeigt und zeigt die Logo -Marke, verschiedene Bilder der Mop -Ärmel und Zahlen daneben an.")</f>
        <v>Ein weißer Bildschirm wird angezeigt und zeigt die Logo -Marke, verschiedene Bilder der Mop -Ärmel und Zahlen daneben an.</v>
      </c>
    </row>
    <row r="24633">
      <c r="A24633" s="4" t="s">
        <v>30997</v>
      </c>
      <c r="B24633" s="4" t="s">
        <v>31002</v>
      </c>
      <c r="C24633" s="5" t="str">
        <f>IFERROR(__xludf.DUMMYFUNCTION("GOOGLETRANSLATE(B24633,""en"",""de"")"),"Die Frau geht zum Eingang des Badezimmers, entfernt das nasse Bodenschild, steckt es in ihren Wagen, schiebt den Wagen und der Fokus geht auf das saubere Badezimmer zurück, das sie gerade gereinigt hat.")</f>
        <v>Die Frau geht zum Eingang des Badezimmers, entfernt das nasse Bodenschild, steckt es in ihren Wagen, schiebt den Wagen und der Fokus geht auf das saubere Badezimmer zurück, das sie gerade gereinigt hat.</v>
      </c>
    </row>
    <row r="24634">
      <c r="A24634" s="4" t="s">
        <v>31003</v>
      </c>
      <c r="B24634" s="4" t="s">
        <v>31004</v>
      </c>
      <c r="C24634" s="5" t="str">
        <f>IFERROR(__xludf.DUMMYFUNCTION("GOOGLETRANSLATE(B24634,""en"",""de"")"),"Ein Mann fungiert als DJ mit Kopfhörern.")</f>
        <v>Ein Mann fungiert als DJ mit Kopfhörern.</v>
      </c>
    </row>
    <row r="24635">
      <c r="A24635" s="4" t="s">
        <v>31003</v>
      </c>
      <c r="B24635" s="4" t="s">
        <v>31005</v>
      </c>
      <c r="C24635" s="5" t="str">
        <f>IFERROR(__xludf.DUMMYFUNCTION("GOOGLETRANSLATE(B24635,""en"",""de"")"),"Ein anderer Mann nimmt ein Paar Wasserskier ab.")</f>
        <v>Ein anderer Mann nimmt ein Paar Wasserskier ab.</v>
      </c>
    </row>
    <row r="24636">
      <c r="A24636" s="4" t="s">
        <v>31003</v>
      </c>
      <c r="B24636" s="4" t="s">
        <v>31006</v>
      </c>
      <c r="C24636" s="5" t="str">
        <f>IFERROR(__xludf.DUMMYFUNCTION("GOOGLETRANSLATE(B24636,""en"",""de"")"),"Er Skier, während sich die Leute versammeln und an einem Pier gehen.")</f>
        <v>Er Skier, während sich die Leute versammeln und an einem Pier gehen.</v>
      </c>
    </row>
    <row r="24637">
      <c r="A24637" s="4" t="s">
        <v>31003</v>
      </c>
      <c r="B24637" s="4" t="s">
        <v>31007</v>
      </c>
      <c r="C24637" s="5" t="str">
        <f>IFERROR(__xludf.DUMMYFUNCTION("GOOGLETRANSLATE(B24637,""en"",""de"")"),"Mehrere Personen nehmen an einem Curling -Event teil, hält Schilder und lächeln.")</f>
        <v>Mehrere Personen nehmen an einem Curling -Event teil, hält Schilder und lächeln.</v>
      </c>
    </row>
    <row r="24638">
      <c r="A24638" s="4" t="s">
        <v>31008</v>
      </c>
      <c r="B24638" s="4" t="s">
        <v>31009</v>
      </c>
      <c r="C24638" s="5" t="str">
        <f>IFERROR(__xludf.DUMMYFUNCTION("GOOGLETRANSLATE(B24638,""en"",""de"")"),"Zwei Menschen stehen in einer großen Turnhalle, die miteinander spricht, und führt zu ihnen, die eine Jump -Roping -Routine durchführen.")</f>
        <v>Zwei Menschen stehen in einer großen Turnhalle, die miteinander spricht, und führt zu ihnen, die eine Jump -Roping -Routine durchführen.</v>
      </c>
    </row>
    <row r="24639">
      <c r="A24639" s="4" t="s">
        <v>31008</v>
      </c>
      <c r="B24639" s="4" t="s">
        <v>31010</v>
      </c>
      <c r="C24639" s="5" t="str">
        <f>IFERROR(__xludf.DUMMYFUNCTION("GOOGLETRANSLATE(B24639,""en"",""de"")"),"Die Frau springt weiter im Fitnessstudio zusammen und endet, indem sie die Seile gegen ihre Füße hält.")</f>
        <v>Die Frau springt weiter im Fitnessstudio zusammen und endet, indem sie die Seile gegen ihre Füße hält.</v>
      </c>
    </row>
    <row r="24640">
      <c r="A24640" s="4" t="s">
        <v>31011</v>
      </c>
      <c r="B24640" s="4" t="s">
        <v>31012</v>
      </c>
      <c r="C24640" s="5" t="str">
        <f>IFERROR(__xludf.DUMMYFUNCTION("GOOGLETRANSLATE(B24640,""en"",""de"")"),"Ein kleiner Junge sitzt auf dem Boden, berührt einen Staubsauger und spricht.")</f>
        <v>Ein kleiner Junge sitzt auf dem Boden, berührt einen Staubsauger und spricht.</v>
      </c>
    </row>
    <row r="24641">
      <c r="A24641" s="4" t="s">
        <v>31011</v>
      </c>
      <c r="B24641" s="4" t="s">
        <v>31013</v>
      </c>
      <c r="C24641" s="5" t="str">
        <f>IFERROR(__xludf.DUMMYFUNCTION("GOOGLETRANSLATE(B24641,""en"",""de"")"),"Er nimmt auch ein weiteres Vakuum auf und rollt es durch den Raum hin und her.")</f>
        <v>Er nimmt auch ein weiteres Vakuum auf und rollt es durch den Raum hin und her.</v>
      </c>
    </row>
    <row r="24642">
      <c r="A24642" s="4" t="s">
        <v>31014</v>
      </c>
      <c r="B24642" s="4" t="s">
        <v>31015</v>
      </c>
      <c r="C24642" s="5" t="str">
        <f>IFERROR(__xludf.DUMMYFUNCTION("GOOGLETRANSLATE(B24642,""en"",""de"")"),"Ein Mann in einem grünen Hemd und einem grünen Hut hält ein großes Messer.")</f>
        <v>Ein Mann in einem grünen Hemd und einem grünen Hut hält ein großes Messer.</v>
      </c>
    </row>
    <row r="24643">
      <c r="A24643" s="4" t="s">
        <v>31014</v>
      </c>
      <c r="B24643" s="4" t="s">
        <v>31016</v>
      </c>
      <c r="C24643" s="5" t="str">
        <f>IFERROR(__xludf.DUMMYFUNCTION("GOOGLETRANSLATE(B24643,""en"",""de"")"),"Er fängt an, ein Stück Holz mit dem Messer zu schneiden.")</f>
        <v>Er fängt an, ein Stück Holz mit dem Messer zu schneiden.</v>
      </c>
    </row>
    <row r="24644">
      <c r="A24644" s="4" t="s">
        <v>31014</v>
      </c>
      <c r="B24644" s="4" t="s">
        <v>31017</v>
      </c>
      <c r="C24644" s="5" t="str">
        <f>IFERROR(__xludf.DUMMYFUNCTION("GOOGLETRANSLATE(B24644,""en"",""de"")"),"Er schneidet das Stück Holz in zwei Hälften.")</f>
        <v>Er schneidet das Stück Holz in zwei Hälften.</v>
      </c>
    </row>
    <row r="24645">
      <c r="A24645" s="4" t="s">
        <v>31018</v>
      </c>
      <c r="B24645" s="4" t="s">
        <v>2480</v>
      </c>
      <c r="C24645" s="5" t="str">
        <f>IFERROR(__xludf.DUMMYFUNCTION("GOOGLETRANSLATE(B24645,""en"",""de"")"),"Wir sehen zwei Eröffnungs -Titelbildschirme.")</f>
        <v>Wir sehen zwei Eröffnungs -Titelbildschirme.</v>
      </c>
    </row>
    <row r="24646">
      <c r="A24646" s="4" t="s">
        <v>31018</v>
      </c>
      <c r="B24646" s="4" t="s">
        <v>31019</v>
      </c>
      <c r="C24646" s="5" t="str">
        <f>IFERROR(__xludf.DUMMYFUNCTION("GOOGLETRANSLATE(B24646,""en"",""de"")"),"Wir sehen einen Mann in einem Raum, der eine Reihe von Trommeln spielt.")</f>
        <v>Wir sehen einen Mann in einem Raum, der eine Reihe von Trommeln spielt.</v>
      </c>
    </row>
    <row r="24647">
      <c r="A24647" s="4" t="s">
        <v>31018</v>
      </c>
      <c r="B24647" s="4" t="s">
        <v>31020</v>
      </c>
      <c r="C24647" s="5" t="str">
        <f>IFERROR(__xludf.DUMMYFUNCTION("GOOGLETRANSLATE(B24647,""en"",""de"")"),"Der Mann spielt vor allem auf der linken Seite das Schlagzeug.")</f>
        <v>Der Mann spielt vor allem auf der linken Seite das Schlagzeug.</v>
      </c>
    </row>
    <row r="24648">
      <c r="A24648" s="4" t="s">
        <v>31018</v>
      </c>
      <c r="B24648" s="4" t="s">
        <v>31021</v>
      </c>
      <c r="C24648" s="5" t="str">
        <f>IFERROR(__xludf.DUMMYFUNCTION("GOOGLETRANSLATE(B24648,""en"",""de"")"),"Der Mann macht beim Spielen eine Pause.")</f>
        <v>Der Mann macht beim Spielen eine Pause.</v>
      </c>
    </row>
    <row r="24649">
      <c r="A24649" s="4" t="s">
        <v>31018</v>
      </c>
      <c r="B24649" s="4" t="s">
        <v>31022</v>
      </c>
      <c r="C24649" s="5" t="str">
        <f>IFERROR(__xludf.DUMMYFUNCTION("GOOGLETRANSLATE(B24649,""en"",""de"")"),"Der Mann trifft ein paar Trommeln und stoppt dann.")</f>
        <v>Der Mann trifft ein paar Trommeln und stoppt dann.</v>
      </c>
    </row>
    <row r="24650">
      <c r="A24650" s="4" t="s">
        <v>31023</v>
      </c>
      <c r="B24650" s="4" t="s">
        <v>31024</v>
      </c>
      <c r="C24650" s="5" t="str">
        <f>IFERROR(__xludf.DUMMYFUNCTION("GOOGLETRANSLATE(B24650,""en"",""de"")"),"Ein Mann hält zwei extrem schmutzige Frauenschuhe mit hohen Absätzen.")</f>
        <v>Ein Mann hält zwei extrem schmutzige Frauenschuhe mit hohen Absätzen.</v>
      </c>
    </row>
    <row r="24651">
      <c r="A24651" s="4" t="s">
        <v>31023</v>
      </c>
      <c r="B24651" s="4" t="s">
        <v>31025</v>
      </c>
      <c r="C24651" s="5" t="str">
        <f>IFERROR(__xludf.DUMMYFUNCTION("GOOGLETRANSLATE(B24651,""en"",""de"")"),"Er benutzt einen Herrscher, um den getrockneten Schmutz abzukratzen.")</f>
        <v>Er benutzt einen Herrscher, um den getrockneten Schmutz abzukratzen.</v>
      </c>
    </row>
    <row r="24652">
      <c r="A24652" s="4" t="s">
        <v>31023</v>
      </c>
      <c r="B24652" s="4" t="s">
        <v>31026</v>
      </c>
      <c r="C24652" s="5" t="str">
        <f>IFERROR(__xludf.DUMMYFUNCTION("GOOGLETRANSLATE(B24652,""en"",""de"")"),"Dann poliert er das Wildledermaterial mit einer Bürste, bevor er eine weiße Substanz auf den Schuh sprüht.")</f>
        <v>Dann poliert er das Wildledermaterial mit einer Bürste, bevor er eine weiße Substanz auf den Schuh sprüht.</v>
      </c>
    </row>
    <row r="24653">
      <c r="A24653" s="4" t="s">
        <v>31023</v>
      </c>
      <c r="B24653" s="4" t="s">
        <v>31027</v>
      </c>
      <c r="C24653" s="5" t="str">
        <f>IFERROR(__xludf.DUMMYFUNCTION("GOOGLETRANSLATE(B24653,""en"",""de"")"),"Er kratzt es sauber und weckt dann eine neue Sohle und spitze auf die Ferse.")</f>
        <v>Er kratzt es sauber und weckt dann eine neue Sohle und spitze auf die Ferse.</v>
      </c>
    </row>
    <row r="24654">
      <c r="A24654" s="4" t="s">
        <v>31023</v>
      </c>
      <c r="B24654" s="4" t="s">
        <v>31028</v>
      </c>
      <c r="C24654" s="5" t="str">
        <f>IFERROR(__xludf.DUMMYFUNCTION("GOOGLETRANSLATE(B24654,""en"",""de"")"),"Er zeigt die Renovatordose.")</f>
        <v>Er zeigt die Renovatordose.</v>
      </c>
    </row>
    <row r="24655">
      <c r="A24655" s="4" t="s">
        <v>31029</v>
      </c>
      <c r="B24655" s="4" t="s">
        <v>31030</v>
      </c>
      <c r="C24655" s="5" t="str">
        <f>IFERROR(__xludf.DUMMYFUNCTION("GOOGLETRANSLATE(B24655,""en"",""de"")"),"Ein Mann und eine Frau sprechen vor der Kamera.")</f>
        <v>Ein Mann und eine Frau sprechen vor der Kamera.</v>
      </c>
    </row>
    <row r="24656">
      <c r="A24656" s="4" t="s">
        <v>31029</v>
      </c>
      <c r="B24656" s="4" t="s">
        <v>31031</v>
      </c>
      <c r="C24656" s="5" t="str">
        <f>IFERROR(__xludf.DUMMYFUNCTION("GOOGLETRANSLATE(B24656,""en"",""de"")"),"Die Spieler sind in einem Spielfeld, das Hockey spielt.")</f>
        <v>Die Spieler sind in einem Spielfeld, das Hockey spielt.</v>
      </c>
    </row>
    <row r="24657">
      <c r="A24657" s="4" t="s">
        <v>31029</v>
      </c>
      <c r="B24657" s="4" t="s">
        <v>31032</v>
      </c>
      <c r="C24657" s="5" t="str">
        <f>IFERROR(__xludf.DUMMYFUNCTION("GOOGLETRANSLATE(B24657,""en"",""de"")"),"Ein Mann und eine Frau werden interviewt.")</f>
        <v>Ein Mann und eine Frau werden interviewt.</v>
      </c>
    </row>
    <row r="24658">
      <c r="A24658" s="4" t="s">
        <v>31033</v>
      </c>
      <c r="B24658" s="4" t="s">
        <v>31034</v>
      </c>
      <c r="C24658" s="5" t="str">
        <f>IFERROR(__xludf.DUMMYFUNCTION("GOOGLETRANSLATE(B24658,""en"",""de"")"),"Boote gehen durch das Wasser.")</f>
        <v>Boote gehen durch das Wasser.</v>
      </c>
    </row>
    <row r="24659">
      <c r="A24659" s="4" t="s">
        <v>31033</v>
      </c>
      <c r="B24659" s="4" t="s">
        <v>31035</v>
      </c>
      <c r="C24659" s="5" t="str">
        <f>IFERROR(__xludf.DUMMYFUNCTION("GOOGLETRANSLATE(B24659,""en"",""de"")"),"Ein Sturm schlägt und ein Mann weint.")</f>
        <v>Ein Sturm schlägt und ein Mann weint.</v>
      </c>
    </row>
    <row r="24660">
      <c r="A24660" s="4" t="s">
        <v>31033</v>
      </c>
      <c r="B24660" s="4" t="s">
        <v>31036</v>
      </c>
      <c r="C24660" s="5" t="str">
        <f>IFERROR(__xludf.DUMMYFUNCTION("GOOGLETRANSLATE(B24660,""en"",""de"")"),"Die Boote gehen weiter durch das Wasser.")</f>
        <v>Die Boote gehen weiter durch das Wasser.</v>
      </c>
    </row>
    <row r="24661">
      <c r="A24661" s="4" t="s">
        <v>31037</v>
      </c>
      <c r="B24661" s="4" t="s">
        <v>31038</v>
      </c>
      <c r="C24661" s="5" t="str">
        <f>IFERROR(__xludf.DUMMYFUNCTION("GOOGLETRANSLATE(B24661,""en"",""de"")"),"Ein Mann in einem Anzug liest eine Zeitung.")</f>
        <v>Ein Mann in einem Anzug liest eine Zeitung.</v>
      </c>
    </row>
    <row r="24662">
      <c r="A24662" s="4" t="s">
        <v>31037</v>
      </c>
      <c r="B24662" s="4" t="s">
        <v>31039</v>
      </c>
      <c r="C24662" s="5" t="str">
        <f>IFERROR(__xludf.DUMMYFUNCTION("GOOGLETRANSLATE(B24662,""en"",""de"")"),"Er steckt eine auflösende Tablette in ein Glas Wasser.")</f>
        <v>Er steckt eine auflösende Tablette in ein Glas Wasser.</v>
      </c>
    </row>
    <row r="24663">
      <c r="A24663" s="4" t="s">
        <v>31037</v>
      </c>
      <c r="B24663" s="4" t="s">
        <v>31040</v>
      </c>
      <c r="C24663" s="5" t="str">
        <f>IFERROR(__xludf.DUMMYFUNCTION("GOOGLETRANSLATE(B24663,""en"",""de"")"),"Jemand rennt vor einem Auto auf Stelzen.")</f>
        <v>Jemand rennt vor einem Auto auf Stelzen.</v>
      </c>
    </row>
    <row r="24664">
      <c r="A24664" s="4" t="s">
        <v>31041</v>
      </c>
      <c r="B24664" s="4" t="s">
        <v>31042</v>
      </c>
      <c r="C24664" s="5" t="str">
        <f>IFERROR(__xludf.DUMMYFUNCTION("GOOGLETRANSLATE(B24664,""en"",""de"")"),"Eine große Gruppe von Jungen paddelt auf einem See in roten Kanus.")</f>
        <v>Eine große Gruppe von Jungen paddelt auf einem See in roten Kanus.</v>
      </c>
    </row>
    <row r="24665">
      <c r="A24665" s="4" t="s">
        <v>31041</v>
      </c>
      <c r="B24665" s="4" t="s">
        <v>31043</v>
      </c>
      <c r="C24665" s="5" t="str">
        <f>IFERROR(__xludf.DUMMYFUNCTION("GOOGLETRANSLATE(B24665,""en"",""de"")"),"Andere Gruppen von Jungen auf einem Dock bereiten Boote zur Verwendung vor.")</f>
        <v>Andere Gruppen von Jungen auf einem Dock bereiten Boote zur Verwendung vor.</v>
      </c>
    </row>
    <row r="24666">
      <c r="A24666" s="4" t="s">
        <v>31041</v>
      </c>
      <c r="B24666" s="4" t="s">
        <v>31044</v>
      </c>
      <c r="C24666" s="5" t="str">
        <f>IFERROR(__xludf.DUMMYFUNCTION("GOOGLETRANSLATE(B24666,""en"",""de"")"),"Zwei Jungen auf einem Kanu -Rückenpaddel, um vom Schilf am Rande am See wegzukommen.")</f>
        <v>Zwei Jungen auf einem Kanu -Rückenpaddel, um vom Schilf am Rande am See wegzukommen.</v>
      </c>
    </row>
    <row r="24667">
      <c r="A24667" s="4" t="s">
        <v>31045</v>
      </c>
      <c r="B24667" s="4" t="s">
        <v>31046</v>
      </c>
      <c r="C24667" s="5" t="str">
        <f>IFERROR(__xludf.DUMMYFUNCTION("GOOGLETRANSLATE(B24667,""en"",""de"")"),"Eine Person wird gesehen, wie er auf dem Boden kniet und sowohl Gips als auch auf eine Fliese herauslegt.")</f>
        <v>Eine Person wird gesehen, wie er auf dem Boden kniet und sowohl Gips als auch auf eine Fliese herauslegt.</v>
      </c>
    </row>
    <row r="24668">
      <c r="A24668" s="4" t="s">
        <v>31045</v>
      </c>
      <c r="B24668" s="4" t="s">
        <v>31047</v>
      </c>
      <c r="C24668" s="5" t="str">
        <f>IFERROR(__xludf.DUMMYFUNCTION("GOOGLETRANSLATE(B24668,""en"",""de"")"),"Die Person dreht sich dann über die Fliesen und legt sie auf den Boden.")</f>
        <v>Die Person dreht sich dann über die Fliesen und legt sie auf den Boden.</v>
      </c>
    </row>
    <row r="24669">
      <c r="A24669" s="4" t="s">
        <v>31048</v>
      </c>
      <c r="B24669" s="4" t="s">
        <v>31049</v>
      </c>
      <c r="C24669" s="5" t="str">
        <f>IFERROR(__xludf.DUMMYFUNCTION("GOOGLETRANSLATE(B24669,""en"",""de"")"),"Ein junger Mann steht vor einem Rasenmäher und schaut in die Kamera.")</f>
        <v>Ein junger Mann steht vor einem Rasenmäher und schaut in die Kamera.</v>
      </c>
    </row>
    <row r="24670">
      <c r="A24670" s="4" t="s">
        <v>31048</v>
      </c>
      <c r="B24670" s="4" t="s">
        <v>31050</v>
      </c>
      <c r="C24670" s="5" t="str">
        <f>IFERROR(__xludf.DUMMYFUNCTION("GOOGLETRANSLATE(B24670,""en"",""de"")"),"Der Junge zieht dann eine Schnur auf den Rasenmäher.")</f>
        <v>Der Junge zieht dann eine Schnur auf den Rasenmäher.</v>
      </c>
    </row>
    <row r="24671">
      <c r="A24671" s="4" t="s">
        <v>31048</v>
      </c>
      <c r="B24671" s="4" t="s">
        <v>31051</v>
      </c>
      <c r="C24671" s="5" t="str">
        <f>IFERROR(__xludf.DUMMYFUNCTION("GOOGLETRANSLATE(B24671,""en"",""de"")"),"Er drückt schließlich den Rasenmäher vor.")</f>
        <v>Er drückt schließlich den Rasenmäher vor.</v>
      </c>
    </row>
    <row r="24672">
      <c r="A24672" s="4" t="s">
        <v>31052</v>
      </c>
      <c r="B24672" s="4" t="s">
        <v>31053</v>
      </c>
      <c r="C24672" s="5" t="str">
        <f>IFERROR(__xludf.DUMMYFUNCTION("GOOGLETRANSLATE(B24672,""en"",""de"")"),"Wir sehen einen Mann, der Gegenstände in sein Auto steckt.")</f>
        <v>Wir sehen einen Mann, der Gegenstände in sein Auto steckt.</v>
      </c>
    </row>
    <row r="24673">
      <c r="A24673" s="4" t="s">
        <v>31052</v>
      </c>
      <c r="B24673" s="4" t="s">
        <v>31054</v>
      </c>
      <c r="C24673" s="5" t="str">
        <f>IFERROR(__xludf.DUMMYFUNCTION("GOOGLETRANSLATE(B24673,""en"",""de"")"),"Der Mann steigt in das Auto und fährt die Straße entlang.")</f>
        <v>Der Mann steigt in das Auto und fährt die Straße entlang.</v>
      </c>
    </row>
    <row r="24674">
      <c r="A24674" s="4" t="s">
        <v>31052</v>
      </c>
      <c r="B24674" s="4" t="s">
        <v>31055</v>
      </c>
      <c r="C24674" s="5" t="str">
        <f>IFERROR(__xludf.DUMMYFUNCTION("GOOGLETRANSLATE(B24674,""en"",""de"")"),"Wir sehen Männer, die auf einer Kletterwand drinnen klettern, und draußen im Wald.")</f>
        <v>Wir sehen Männer, die auf einer Kletterwand drinnen klettern, und draußen im Wald.</v>
      </c>
    </row>
    <row r="24675">
      <c r="A24675" s="4" t="s">
        <v>31052</v>
      </c>
      <c r="B24675" s="4" t="s">
        <v>31056</v>
      </c>
      <c r="C24675" s="5" t="str">
        <f>IFERROR(__xludf.DUMMYFUNCTION("GOOGLETRANSLATE(B24675,""en"",""de"")"),"Wir sehen zwei Männer im Freien nachts damals.")</f>
        <v>Wir sehen zwei Männer im Freien nachts damals.</v>
      </c>
    </row>
    <row r="24676">
      <c r="A24676" s="4" t="s">
        <v>31052</v>
      </c>
      <c r="B24676" s="4" t="s">
        <v>31057</v>
      </c>
      <c r="C24676" s="5" t="str">
        <f>IFERROR(__xludf.DUMMYFUNCTION("GOOGLETRANSLATE(B24676,""en"",""de"")"),"Wir sehen Männer, die auf eine Klippe klettern.")</f>
        <v>Wir sehen Männer, die auf eine Klippe klettern.</v>
      </c>
    </row>
    <row r="24677">
      <c r="A24677" s="4" t="s">
        <v>31052</v>
      </c>
      <c r="B24677" s="4" t="s">
        <v>31058</v>
      </c>
      <c r="C24677" s="5" t="str">
        <f>IFERROR(__xludf.DUMMYFUNCTION("GOOGLETRANSLATE(B24677,""en"",""de"")"),"Ein Mann winkt von oben.")</f>
        <v>Ein Mann winkt von oben.</v>
      </c>
    </row>
    <row r="24678">
      <c r="A24678" s="4" t="s">
        <v>31052</v>
      </c>
      <c r="B24678" s="4" t="s">
        <v>31059</v>
      </c>
      <c r="C24678" s="5" t="str">
        <f>IFERROR(__xludf.DUMMYFUNCTION("GOOGLETRANSLATE(B24678,""en"",""de"")"),"Wir sehen die Männer oben auf der Klippe.")</f>
        <v>Wir sehen die Männer oben auf der Klippe.</v>
      </c>
    </row>
    <row r="24679">
      <c r="A24679" s="4" t="s">
        <v>31052</v>
      </c>
      <c r="B24679" s="4" t="s">
        <v>31060</v>
      </c>
      <c r="C24679" s="5" t="str">
        <f>IFERROR(__xludf.DUMMYFUNCTION("GOOGLETRANSLATE(B24679,""en"",""de"")"),"Ein Mann bohrt Löcher in eine Wand.")</f>
        <v>Ein Mann bohrt Löcher in eine Wand.</v>
      </c>
    </row>
    <row r="24680">
      <c r="A24680" s="4" t="s">
        <v>31052</v>
      </c>
      <c r="B24680" s="4" t="s">
        <v>31061</v>
      </c>
      <c r="C24680" s="5" t="str">
        <f>IFERROR(__xludf.DUMMYFUNCTION("GOOGLETRANSLATE(B24680,""en"",""de"")"),"Wir sehen einen Mann wiederholt fallen.")</f>
        <v>Wir sehen einen Mann wiederholt fallen.</v>
      </c>
    </row>
    <row r="24681">
      <c r="A24681" s="4" t="s">
        <v>31052</v>
      </c>
      <c r="B24681" s="4" t="s">
        <v>31062</v>
      </c>
      <c r="C24681" s="5" t="str">
        <f>IFERROR(__xludf.DUMMYFUNCTION("GOOGLETRANSLATE(B24681,""en"",""de"")"),"Wir sehen drei Männer in einem Boot auf einem Fluss.")</f>
        <v>Wir sehen drei Männer in einem Boot auf einem Fluss.</v>
      </c>
    </row>
    <row r="24682">
      <c r="A24682" s="4" t="s">
        <v>31063</v>
      </c>
      <c r="B24682" s="4" t="s">
        <v>31064</v>
      </c>
      <c r="C24682" s="5" t="str">
        <f>IFERROR(__xludf.DUMMYFUNCTION("GOOGLETRANSLATE(B24682,""en"",""de"")"),"Peolpe läuft unter einer Brücke in der Straße.")</f>
        <v>Peolpe läuft unter einer Brücke in der Straße.</v>
      </c>
    </row>
    <row r="24683">
      <c r="A24683" s="4" t="s">
        <v>31063</v>
      </c>
      <c r="B24683" s="4" t="s">
        <v>31065</v>
      </c>
      <c r="C24683" s="5" t="str">
        <f>IFERROR(__xludf.DUMMYFUNCTION("GOOGLETRANSLATE(B24683,""en"",""de"")"),"Die Menschen stehen und rennen durch die Brücke und die Straße.")</f>
        <v>Die Menschen stehen und rennen durch die Brücke und die Straße.</v>
      </c>
    </row>
    <row r="24684">
      <c r="A24684" s="4" t="s">
        <v>31066</v>
      </c>
      <c r="B24684" s="4" t="s">
        <v>31067</v>
      </c>
      <c r="C24684" s="5" t="str">
        <f>IFERROR(__xludf.DUMMYFUNCTION("GOOGLETRANSLATE(B24684,""en"",""de"")"),"Ein Junge steht vom Boden einer Rutsche und geht weg.")</f>
        <v>Ein Junge steht vom Boden einer Rutsche und geht weg.</v>
      </c>
    </row>
    <row r="24685">
      <c r="A24685" s="4" t="s">
        <v>31066</v>
      </c>
      <c r="B24685" s="4" t="s">
        <v>31068</v>
      </c>
      <c r="C24685" s="5" t="str">
        <f>IFERROR(__xludf.DUMMYFUNCTION("GOOGLETRANSLATE(B24685,""en"",""de"")"),"Andere Kinder rutschen auf einer anderen Rutsche auf dem Spielplatz.")</f>
        <v>Andere Kinder rutschen auf einer anderen Rutsche auf dem Spielplatz.</v>
      </c>
    </row>
    <row r="24686">
      <c r="A24686" s="4" t="s">
        <v>31066</v>
      </c>
      <c r="B24686" s="4" t="s">
        <v>31069</v>
      </c>
      <c r="C24686" s="5" t="str">
        <f>IFERROR(__xludf.DUMMYFUNCTION("GOOGLETRANSLATE(B24686,""en"",""de"")"),"Ein Kleinkind steigt ein Dschungel -Fitnessstudio und fährt dann die Rutsche hinunter.")</f>
        <v>Ein Kleinkind steigt ein Dschungel -Fitnessstudio und fährt dann die Rutsche hinunter.</v>
      </c>
    </row>
    <row r="24687">
      <c r="A24687" s="4" t="s">
        <v>31070</v>
      </c>
      <c r="B24687" s="4" t="s">
        <v>31071</v>
      </c>
      <c r="C24687" s="5" t="str">
        <f>IFERROR(__xludf.DUMMYFUNCTION("GOOGLETRANSLATE(B24687,""en"",""de"")"),"Ein Shih Tzu -Hund steht auf einem Tisch, der von einer älteren asiatischen Frau gepflegt wird.")</f>
        <v>Ein Shih Tzu -Hund steht auf einem Tisch, der von einer älteren asiatischen Frau gepflegt wird.</v>
      </c>
    </row>
    <row r="24688">
      <c r="A24688" s="4" t="s">
        <v>31070</v>
      </c>
      <c r="B24688" s="4" t="s">
        <v>31072</v>
      </c>
      <c r="C24688" s="5" t="str">
        <f>IFERROR(__xludf.DUMMYFUNCTION("GOOGLETRANSLATE(B24688,""en"",""de"")"),"Sobald sie mit der Oberseite fertig ist, greift die Dame, die der Hund vor der linken Pfote der Hunde greift und eine Schere nimmt und beginnt unter seinem Körper zu schneiden.")</f>
        <v>Sobald sie mit der Oberseite fertig ist, greift die Dame, die der Hund vor der linken Pfote der Hunde greift und eine Schere nimmt und beginnt unter seinem Körper zu schneiden.</v>
      </c>
    </row>
    <row r="24689">
      <c r="A24689" s="4" t="s">
        <v>31070</v>
      </c>
      <c r="B24689" s="4" t="s">
        <v>31073</v>
      </c>
      <c r="C24689" s="5" t="str">
        <f>IFERROR(__xludf.DUMMYFUNCTION("GOOGLETRANSLATE(B24689,""en"",""de"")"),"Sobald der Bauch fertig ist, geht der an die Oberseite des Hundekopfes und schneidet die Haare um das Gesicht und klammert den Rest des Haares hinter sich.")</f>
        <v>Sobald der Bauch fertig ist, geht der an die Oberseite des Hundekopfes und schneidet die Haare um das Gesicht und klammert den Rest des Haares hinter sich.</v>
      </c>
    </row>
    <row r="24690">
      <c r="A24690" s="4" t="s">
        <v>31070</v>
      </c>
      <c r="B24690" s="4" t="s">
        <v>31074</v>
      </c>
      <c r="C24690" s="5" t="str">
        <f>IFERROR(__xludf.DUMMYFUNCTION("GOOGLETRANSLATE(B24690,""en"",""de"")"),"Der nächste Schritt besteht darin, das Haar unter dem Mund des Hundes zu trimmen.")</f>
        <v>Der nächste Schritt besteht darin, das Haar unter dem Mund des Hundes zu trimmen.</v>
      </c>
    </row>
    <row r="24691">
      <c r="A24691" s="4" t="s">
        <v>31075</v>
      </c>
      <c r="B24691" s="4" t="s">
        <v>31076</v>
      </c>
      <c r="C24691" s="5" t="str">
        <f>IFERROR(__xludf.DUMMYFUNCTION("GOOGLETRANSLATE(B24691,""en"",""de"")"),"Ein Mann spielt Fußball mit einem anderen auf einem Feld.")</f>
        <v>Ein Mann spielt Fußball mit einem anderen auf einem Feld.</v>
      </c>
    </row>
    <row r="24692">
      <c r="A24692" s="4" t="s">
        <v>31075</v>
      </c>
      <c r="B24692" s="4" t="s">
        <v>31077</v>
      </c>
      <c r="C24692" s="5" t="str">
        <f>IFERROR(__xludf.DUMMYFUNCTION("GOOGLETRANSLATE(B24692,""en"",""de"")"),"Er führt einen schnellen Umdrehung mit dem anderen, der sich dicht dahinter verfolgt.")</f>
        <v>Er führt einen schnellen Umdrehung mit dem anderen, der sich dicht dahinter verfolgt.</v>
      </c>
    </row>
    <row r="24693">
      <c r="A24693" s="4" t="s">
        <v>31075</v>
      </c>
      <c r="B24693" s="4" t="s">
        <v>31078</v>
      </c>
      <c r="C24693" s="5" t="str">
        <f>IFERROR(__xludf.DUMMYFUNCTION("GOOGLETRANSLATE(B24693,""en"",""de"")"),"Der gleiche Clip wird immer wieder mit langsameren Geschwindigkeiten wiedergegeben, um den Trick besser zu verstehen.")</f>
        <v>Der gleiche Clip wird immer wieder mit langsameren Geschwindigkeiten wiedergegeben, um den Trick besser zu verstehen.</v>
      </c>
    </row>
    <row r="24694">
      <c r="A24694" s="4" t="s">
        <v>31075</v>
      </c>
      <c r="B24694" s="4" t="s">
        <v>31079</v>
      </c>
      <c r="C24694" s="5" t="str">
        <f>IFERROR(__xludf.DUMMYFUNCTION("GOOGLETRANSLATE(B24694,""en"",""de"")"),"Ein weiterer Trick wird durchgeführt und später in Zeitlupe gezeigt.")</f>
        <v>Ein weiterer Trick wird durchgeführt und später in Zeitlupe gezeigt.</v>
      </c>
    </row>
    <row r="24695">
      <c r="A24695" s="4" t="s">
        <v>31075</v>
      </c>
      <c r="B24695" s="4" t="s">
        <v>31080</v>
      </c>
      <c r="C24695" s="5" t="str">
        <f>IFERROR(__xludf.DUMMYFUNCTION("GOOGLETRANSLATE(B24695,""en"",""de"")"),"Zwei weitere Tricks werden vom Duo demonstriert und zeigten schließlich ein verlangsamtes Tempo.")</f>
        <v>Zwei weitere Tricks werden vom Duo demonstriert und zeigten schließlich ein verlangsamtes Tempo.</v>
      </c>
    </row>
    <row r="24696">
      <c r="A24696" s="4" t="s">
        <v>31081</v>
      </c>
      <c r="B24696" s="4" t="s">
        <v>31082</v>
      </c>
      <c r="C24696" s="5" t="str">
        <f>IFERROR(__xludf.DUMMYFUNCTION("GOOGLETRANSLATE(B24696,""en"",""de"")"),"Ein Intro beginnt mit Music Player und auf dem Bildschirm werden auf dem Bildschirm angezeigt.")</f>
        <v>Ein Intro beginnt mit Music Player und auf dem Bildschirm werden auf dem Bildschirm angezeigt.</v>
      </c>
    </row>
    <row r="24697">
      <c r="A24697" s="4" t="s">
        <v>31081</v>
      </c>
      <c r="B24697" s="4" t="s">
        <v>31083</v>
      </c>
      <c r="C24697" s="5" t="str">
        <f>IFERROR(__xludf.DUMMYFUNCTION("GOOGLETRANSLATE(B24697,""en"",""de"")"),"Ein Mann setzt sich vor einer Shisha und spricht mit der Kamera.")</f>
        <v>Ein Mann setzt sich vor einer Shisha und spricht mit der Kamera.</v>
      </c>
    </row>
    <row r="24698">
      <c r="A24698" s="4" t="s">
        <v>31081</v>
      </c>
      <c r="B24698" s="4" t="s">
        <v>31084</v>
      </c>
      <c r="C24698" s="5" t="str">
        <f>IFERROR(__xludf.DUMMYFUNCTION("GOOGLETRANSLATE(B24698,""en"",""de"")"),"Der Mann nimmt einen Treffer von der Shisha und hustet ein bisschen.")</f>
        <v>Der Mann nimmt einen Treffer von der Shisha und hustet ein bisschen.</v>
      </c>
    </row>
    <row r="24699">
      <c r="A24699" s="4" t="s">
        <v>31081</v>
      </c>
      <c r="B24699" s="4" t="s">
        <v>31085</v>
      </c>
      <c r="C24699" s="5" t="str">
        <f>IFERROR(__xludf.DUMMYFUNCTION("GOOGLETRANSLATE(B24699,""en"",""de"")"),"Der Mann zeigt, wie man es vermeidet, mit einer Shisha zu husten, indem er den Tabak auf der Schüssel bewegt.")</f>
        <v>Der Mann zeigt, wie man es vermeidet, mit einer Shisha zu husten, indem er den Tabak auf der Schüssel bewegt.</v>
      </c>
    </row>
    <row r="24700">
      <c r="A24700" s="4" t="s">
        <v>31081</v>
      </c>
      <c r="B24700" s="4" t="s">
        <v>31086</v>
      </c>
      <c r="C24700" s="5" t="str">
        <f>IFERROR(__xludf.DUMMYFUNCTION("GOOGLETRANSLATE(B24700,""en"",""de"")"),"Er setzt sich hin und nimmt einen weiteren Zug von der Shisha.")</f>
        <v>Er setzt sich hin und nimmt einen weiteren Zug von der Shisha.</v>
      </c>
    </row>
    <row r="24701">
      <c r="A24701" s="4" t="s">
        <v>31081</v>
      </c>
      <c r="B24701" s="4" t="s">
        <v>31087</v>
      </c>
      <c r="C24701" s="5" t="str">
        <f>IFERROR(__xludf.DUMMYFUNCTION("GOOGLETRANSLATE(B24701,""en"",""de"")"),"Anschließend nimmt er weiterhin vom Gerät und spricht darüber, wie man klare Hits bekommt.")</f>
        <v>Anschließend nimmt er weiterhin vom Gerät und spricht darüber, wie man klare Hits bekommt.</v>
      </c>
    </row>
    <row r="24702">
      <c r="A24702" s="4" t="s">
        <v>31088</v>
      </c>
      <c r="B24702" s="4" t="s">
        <v>31089</v>
      </c>
      <c r="C24702" s="5" t="str">
        <f>IFERROR(__xludf.DUMMYFUNCTION("GOOGLETRANSLATE(B24702,""en"",""de"")"),"Das Verkehrsministerium demonstriert Eis- und Schneesicherheitstipps mit einem mit Schnee bedeckten weißen Auto.")</f>
        <v>Das Verkehrsministerium demonstriert Eis- und Schneesicherheitstipps mit einem mit Schnee bedeckten weißen Auto.</v>
      </c>
    </row>
    <row r="24703">
      <c r="A24703" s="4" t="s">
        <v>31088</v>
      </c>
      <c r="B24703" s="4" t="s">
        <v>31090</v>
      </c>
      <c r="C24703" s="5" t="str">
        <f>IFERROR(__xludf.DUMMYFUNCTION("GOOGLETRANSLATE(B24703,""en"",""de"")"),"Eine Dame in einer roten Winterjacke stellt die Schlüssel in die Zündung und startet das Auto.")</f>
        <v>Eine Dame in einer roten Winterjacke stellt die Schlüssel in die Zündung und startet das Auto.</v>
      </c>
    </row>
    <row r="24704">
      <c r="A24704" s="4" t="s">
        <v>31088</v>
      </c>
      <c r="B24704" s="4" t="s">
        <v>31091</v>
      </c>
      <c r="C24704" s="5" t="str">
        <f>IFERROR(__xludf.DUMMYFUNCTION("GOOGLETRANSLATE(B24704,""en"",""de"")"),"Die Dame in der roten Jacke öffnet den Kofferraum des Autos und entfernt eine Schneebürste und streift den Schnee von der Karosserie, Windschutzscheiben, Scheinwerfer, vorderem Grill und Lizenz -Tag.")</f>
        <v>Die Dame in der roten Jacke öffnet den Kofferraum des Autos und entfernt eine Schneebürste und streift den Schnee von der Karosserie, Windschutzscheiben, Scheinwerfer, vorderem Grill und Lizenz -Tag.</v>
      </c>
    </row>
    <row r="24705">
      <c r="A24705" s="4" t="s">
        <v>31092</v>
      </c>
      <c r="B24705" s="4" t="s">
        <v>31093</v>
      </c>
      <c r="C24705" s="5" t="str">
        <f>IFERROR(__xludf.DUMMYFUNCTION("GOOGLETRANSLATE(B24705,""en"",""de"")"),"Ein Mann ist auf dem")</f>
        <v>Ein Mann ist auf dem</v>
      </c>
    </row>
    <row r="24706">
      <c r="A24706" s="4" t="s">
        <v>31092</v>
      </c>
      <c r="B24706" s="4" t="s">
        <v>31094</v>
      </c>
      <c r="C24706" s="5" t="str">
        <f>IFERROR(__xludf.DUMMYFUNCTION("GOOGLETRANSLATE(B24706,""en"",""de"")"),"Er steckt einen Schlauch in eine SDE davon und beginnt mit etwas mehr herum.")</f>
        <v>Er steckt einen Schlauch in eine SDE davon und beginnt mit etwas mehr herum.</v>
      </c>
    </row>
    <row r="24707">
      <c r="A24707" s="4" t="s">
        <v>31092</v>
      </c>
      <c r="B24707" s="4" t="s">
        <v>31095</v>
      </c>
      <c r="C24707" s="5" t="str">
        <f>IFERROR(__xludf.DUMMYFUNCTION("GOOGLETRANSLATE(B24707,""en"",""de"")"),"Dann bewegt er es in den Corer des Teppichs und beginnt daran zu arbeiten.")</f>
        <v>Dann bewegt er es in den Corer des Teppichs und beginnt daran zu arbeiten.</v>
      </c>
    </row>
    <row r="24708">
      <c r="A24708" s="4" t="s">
        <v>31092</v>
      </c>
      <c r="B24708" s="4" t="s">
        <v>31096</v>
      </c>
      <c r="C24708" s="5" t="str">
        <f>IFERROR(__xludf.DUMMYFUNCTION("GOOGLETRANSLATE(B24708,""en"",""de"")"),"Er bewegt es mehr und schiebt den Teppich nach unten, er tut dies im Grunde den gesamten Raum.")</f>
        <v>Er bewegt es mehr und schiebt den Teppich nach unten, er tut dies im Grunde den gesamten Raum.</v>
      </c>
    </row>
    <row r="24709">
      <c r="A24709" s="4" t="s">
        <v>31097</v>
      </c>
      <c r="B24709" s="4" t="s">
        <v>31098</v>
      </c>
      <c r="C24709" s="5" t="str">
        <f>IFERROR(__xludf.DUMMYFUNCTION("GOOGLETRANSLATE(B24709,""en"",""de"")"),"Eine Dame tritt einen Ball in ein Feld.")</f>
        <v>Eine Dame tritt einen Ball in ein Feld.</v>
      </c>
    </row>
    <row r="24710">
      <c r="A24710" s="4" t="s">
        <v>31097</v>
      </c>
      <c r="B24710" s="4" t="s">
        <v>31099</v>
      </c>
      <c r="C24710" s="5" t="str">
        <f>IFERROR(__xludf.DUMMYFUNCTION("GOOGLETRANSLATE(B24710,""en"",""de"")"),"Die Dame nimmt das Baby auf.")</f>
        <v>Die Dame nimmt das Baby auf.</v>
      </c>
    </row>
    <row r="24711">
      <c r="A24711" s="4" t="s">
        <v>31097</v>
      </c>
      <c r="B24711" s="4" t="s">
        <v>31100</v>
      </c>
      <c r="C24711" s="5" t="str">
        <f>IFERROR(__xludf.DUMMYFUNCTION("GOOGLETRANSLATE(B24711,""en"",""de"")"),"Die Dame rennt über den Bildschirm.")</f>
        <v>Die Dame rennt über den Bildschirm.</v>
      </c>
    </row>
    <row r="24712">
      <c r="A24712" s="4" t="s">
        <v>31097</v>
      </c>
      <c r="B24712" s="4" t="s">
        <v>31101</v>
      </c>
      <c r="C24712" s="5" t="str">
        <f>IFERROR(__xludf.DUMMYFUNCTION("GOOGLETRANSLATE(B24712,""en"",""de"")"),"Die Kamera schwenkt nach links und rechts, um die Menge herum zu zeigen.")</f>
        <v>Die Kamera schwenkt nach links und rechts, um die Menge herum zu zeigen.</v>
      </c>
    </row>
    <row r="24713">
      <c r="A24713" s="4" t="s">
        <v>31102</v>
      </c>
      <c r="B24713" s="4" t="s">
        <v>31103</v>
      </c>
      <c r="C24713" s="5" t="str">
        <f>IFERROR(__xludf.DUMMYFUNCTION("GOOGLETRANSLATE(B24713,""en"",""de"")"),"Eine Wand wird von zwei Männern gemalt.")</f>
        <v>Eine Wand wird von zwei Männern gemalt.</v>
      </c>
    </row>
    <row r="24714">
      <c r="A24714" s="4" t="s">
        <v>31102</v>
      </c>
      <c r="B24714" s="4" t="s">
        <v>31104</v>
      </c>
      <c r="C24714" s="5" t="str">
        <f>IFERROR(__xludf.DUMMYFUNCTION("GOOGLETRANSLATE(B24714,""en"",""de"")"),"Sie hängen dann Wanddekorationen auf, die im Aussehen tapeten sind.")</f>
        <v>Sie hängen dann Wanddekorationen auf, die im Aussehen tapeten sind.</v>
      </c>
    </row>
    <row r="24715">
      <c r="A24715" s="4" t="s">
        <v>31105</v>
      </c>
      <c r="B24715" s="4" t="s">
        <v>31106</v>
      </c>
      <c r="C24715" s="5" t="str">
        <f>IFERROR(__xludf.DUMMYFUNCTION("GOOGLETRANSLATE(B24715,""en"",""de"")"),"Ein Paar erscheint auf dem Bildschirm und spricht über das Tanzen des Tangos.")</f>
        <v>Ein Paar erscheint auf dem Bildschirm und spricht über das Tanzen des Tangos.</v>
      </c>
    </row>
    <row r="24716">
      <c r="A24716" s="4" t="s">
        <v>31105</v>
      </c>
      <c r="B24716" s="4" t="s">
        <v>31107</v>
      </c>
      <c r="C24716" s="5" t="str">
        <f>IFERROR(__xludf.DUMMYFUNCTION("GOOGLETRANSLATE(B24716,""en"",""de"")"),"Sie zeigen verschiedene Schritte des Tanzes, während sie sprechen.")</f>
        <v>Sie zeigen verschiedene Schritte des Tanzes, während sie sprechen.</v>
      </c>
    </row>
    <row r="24717">
      <c r="A24717" s="4" t="s">
        <v>31105</v>
      </c>
      <c r="B24717" s="4" t="s">
        <v>31108</v>
      </c>
      <c r="C24717" s="5" t="str">
        <f>IFERROR(__xludf.DUMMYFUNCTION("GOOGLETRANSLATE(B24717,""en"",""de"")"),"Sie bewegen sich vorwärts und hin und her und demonstrieren den Tango.")</f>
        <v>Sie bewegen sich vorwärts und hin und her und demonstrieren den Tango.</v>
      </c>
    </row>
    <row r="24718">
      <c r="A24718" s="4" t="s">
        <v>31105</v>
      </c>
      <c r="B24718" s="4" t="s">
        <v>31109</v>
      </c>
      <c r="C24718" s="5" t="str">
        <f>IFERROR(__xludf.DUMMYFUNCTION("GOOGLETRANSLATE(B24718,""en"",""de"")"),"Sie tanzen dann zusammen für die Kamera.")</f>
        <v>Sie tanzen dann zusammen für die Kamera.</v>
      </c>
    </row>
    <row r="24719">
      <c r="A24719" s="4" t="s">
        <v>31110</v>
      </c>
      <c r="B24719" s="4" t="s">
        <v>31111</v>
      </c>
      <c r="C24719" s="5" t="str">
        <f>IFERROR(__xludf.DUMMYFUNCTION("GOOGLETRANSLATE(B24719,""en"",""de"")"),"Die Spieler stehen vor einem Volleyballspiel am Strand an der Seitenlinie.")</f>
        <v>Die Spieler stehen vor einem Volleyballspiel am Strand an der Seitenlinie.</v>
      </c>
    </row>
    <row r="24720">
      <c r="A24720" s="4" t="s">
        <v>31110</v>
      </c>
      <c r="B24720" s="4" t="s">
        <v>31112</v>
      </c>
      <c r="C24720" s="5" t="str">
        <f>IFERROR(__xludf.DUMMYFUNCTION("GOOGLETRANSLATE(B24720,""en"",""de"")"),"Die Spieler gehen auf den Platz und nehmen Positionen für das Spiel ein.")</f>
        <v>Die Spieler gehen auf den Platz und nehmen Positionen für das Spiel ein.</v>
      </c>
    </row>
    <row r="24721">
      <c r="A24721" s="4" t="s">
        <v>31110</v>
      </c>
      <c r="B24721" s="4" t="s">
        <v>31113</v>
      </c>
      <c r="C24721" s="5" t="str">
        <f>IFERROR(__xludf.DUMMYFUNCTION("GOOGLETRANSLATE(B24721,""en"",""de"")"),"Die Teams spielen ein Strandvolleyballspiel.")</f>
        <v>Die Teams spielen ein Strandvolleyballspiel.</v>
      </c>
    </row>
    <row r="24722">
      <c r="A24722" s="4" t="s">
        <v>31110</v>
      </c>
      <c r="B24722" s="4" t="s">
        <v>31114</v>
      </c>
      <c r="C24722" s="5" t="str">
        <f>IFERROR(__xludf.DUMMYFUNCTION("GOOGLETRANSLATE(B24722,""en"",""de"")"),"Die Spieler geben die Hand und gratulieren sich gegenseitig.")</f>
        <v>Die Spieler geben die Hand und gratulieren sich gegenseitig.</v>
      </c>
    </row>
    <row r="24723">
      <c r="A24723" s="4" t="s">
        <v>31115</v>
      </c>
      <c r="B24723" s="4" t="s">
        <v>31116</v>
      </c>
      <c r="C24723" s="5" t="str">
        <f>IFERROR(__xludf.DUMMYFUNCTION("GOOGLETRANSLATE(B24723,""en"",""de"")"),"Ein junger Mann spricht und zeigt ein Saxophon.")</f>
        <v>Ein junger Mann spricht und zeigt ein Saxophon.</v>
      </c>
    </row>
    <row r="24724">
      <c r="A24724" s="4" t="s">
        <v>31115</v>
      </c>
      <c r="B24724" s="4" t="s">
        <v>31117</v>
      </c>
      <c r="C24724" s="5" t="str">
        <f>IFERROR(__xludf.DUMMYFUNCTION("GOOGLETRANSLATE(B24724,""en"",""de"")"),"Der junge Mann weist auf die Schlüssel des Saxophons hin, während sie redet.")</f>
        <v>Der junge Mann weist auf die Schlüssel des Saxophons hin, während sie redet.</v>
      </c>
    </row>
    <row r="24725">
      <c r="A24725" s="4" t="s">
        <v>31115</v>
      </c>
      <c r="B24725" s="4" t="s">
        <v>31118</v>
      </c>
      <c r="C24725" s="5" t="str">
        <f>IFERROR(__xludf.DUMMYFUNCTION("GOOGLETRANSLATE(B24725,""en"",""de"")"),"Dann befestigt der junge Mann das Saxophon mit einem blauen Band am Hals.")</f>
        <v>Dann befestigt der junge Mann das Saxophon mit einem blauen Band am Hals.</v>
      </c>
    </row>
    <row r="24726">
      <c r="A24726" s="4" t="s">
        <v>31115</v>
      </c>
      <c r="B24726" s="4" t="s">
        <v>31119</v>
      </c>
      <c r="C24726" s="5" t="str">
        <f>IFERROR(__xludf.DUMMYFUNCTION("GOOGLETRANSLATE(B24726,""en"",""de"")"),"Danach legt der junge Mann den Mund auf das Mundstück des Saxophons, dann erklärt er weiter.")</f>
        <v>Danach legt der junge Mann den Mund auf das Mundstück des Saxophons, dann erklärt er weiter.</v>
      </c>
    </row>
    <row r="24727">
      <c r="A24727" s="4" t="s">
        <v>31120</v>
      </c>
      <c r="B24727" s="4" t="s">
        <v>31121</v>
      </c>
      <c r="C24727" s="5" t="str">
        <f>IFERROR(__xludf.DUMMYFUNCTION("GOOGLETRANSLATE(B24727,""en"",""de"")"),"Ein Friseur erklärt, wie man den Haarschnitt eines Mannes schneidet.")</f>
        <v>Ein Friseur erklärt, wie man den Haarschnitt eines Mannes schneidet.</v>
      </c>
    </row>
    <row r="24728">
      <c r="A24728" s="4" t="s">
        <v>31120</v>
      </c>
      <c r="B24728" s="4" t="s">
        <v>31122</v>
      </c>
      <c r="C24728" s="5" t="str">
        <f>IFERROR(__xludf.DUMMYFUNCTION("GOOGLETRANSLATE(B24728,""en"",""de"")"),"Die Haarsylist bereitet das Haar in Abschnitten mit einigen Klammern vor und schneidet das Haar mit einem Federrasierer und steckt einen Clip in das Haar auf den Kopf und schneidet das Haar mit Scheren, die Schichten machen.")</f>
        <v>Die Haarsylist bereitet das Haar in Abschnitten mit einigen Klammern vor und schneidet das Haar mit einem Federrasierer und steckt einen Clip in das Haar auf den Kopf und schneidet das Haar mit Scheren, die Schichten machen.</v>
      </c>
    </row>
    <row r="24729">
      <c r="A24729" s="4" t="s">
        <v>31120</v>
      </c>
      <c r="B24729" s="4" t="s">
        <v>31123</v>
      </c>
      <c r="C24729" s="5" t="str">
        <f>IFERROR(__xludf.DUMMYFUNCTION("GOOGLETRANSLATE(B24729,""en"",""de"")"),"Die Friseurin verwendet dann einen Haargebläse -Trockner, um das Haar mit ihren Fingern aufzuflugen.")</f>
        <v>Die Friseurin verwendet dann einen Haargebläse -Trockner, um das Haar mit ihren Fingern aufzuflugen.</v>
      </c>
    </row>
    <row r="24730">
      <c r="A24730" s="4" t="s">
        <v>31120</v>
      </c>
      <c r="B24730" s="4" t="s">
        <v>31124</v>
      </c>
      <c r="C24730" s="5" t="str">
        <f>IFERROR(__xludf.DUMMYFUNCTION("GOOGLETRANSLATE(B24730,""en"",""de"")"),"Die Friseurin verwendet dann nur ihre Finger, um das Haar aufzuflugen.")</f>
        <v>Die Friseurin verwendet dann nur ihre Finger, um das Haar aufzuflugen.</v>
      </c>
    </row>
    <row r="24731">
      <c r="A24731" s="4" t="s">
        <v>31120</v>
      </c>
      <c r="B24731" s="4" t="s">
        <v>31125</v>
      </c>
      <c r="C24731" s="5" t="str">
        <f>IFERROR(__xludf.DUMMYFUNCTION("GOOGLETRANSLATE(B24731,""en"",""de"")"),"Eine Nahaufnahme von Theman und den endgültigen Schnitt und eine Nahaufnahme des Haarstylisten.")</f>
        <v>Eine Nahaufnahme von Theman und den endgültigen Schnitt und eine Nahaufnahme des Haarstylisten.</v>
      </c>
    </row>
    <row r="24732">
      <c r="A24732" s="4" t="s">
        <v>31126</v>
      </c>
      <c r="B24732" s="4" t="s">
        <v>31127</v>
      </c>
      <c r="C24732" s="5" t="str">
        <f>IFERROR(__xludf.DUMMYFUNCTION("GOOGLETRANSLATE(B24732,""en"",""de"")"),"Eine Hand leitet den losen Bereich der Tapete.")</f>
        <v>Eine Hand leitet den losen Bereich der Tapete.</v>
      </c>
    </row>
    <row r="24733">
      <c r="A24733" s="4" t="s">
        <v>31126</v>
      </c>
      <c r="B24733" s="4" t="s">
        <v>31128</v>
      </c>
      <c r="C24733" s="5" t="str">
        <f>IFERROR(__xludf.DUMMYFUNCTION("GOOGLETRANSLATE(B24733,""en"",""de"")"),"Die Hand stellt Paste aus einer Schüssel auf der Rückseite der losen Tapete.")</f>
        <v>Die Hand stellt Paste aus einer Schüssel auf der Rückseite der losen Tapete.</v>
      </c>
    </row>
    <row r="24734">
      <c r="A24734" s="4" t="s">
        <v>31126</v>
      </c>
      <c r="B24734" s="4" t="s">
        <v>31129</v>
      </c>
      <c r="C24734" s="5" t="str">
        <f>IFERROR(__xludf.DUMMYFUNCTION("GOOGLETRANSLATE(B24734,""en"",""de"")"),"Die Hand läuft ein Peeling auf der losen Tapete.")</f>
        <v>Die Hand läuft ein Peeling auf der losen Tapete.</v>
      </c>
    </row>
    <row r="24735">
      <c r="A24735" s="4" t="s">
        <v>31126</v>
      </c>
      <c r="B24735" s="4" t="s">
        <v>31130</v>
      </c>
      <c r="C24735" s="5" t="str">
        <f>IFERROR(__xludf.DUMMYFUNCTION("GOOGLETRANSLATE(B24735,""en"",""de"")"),"Die Hand hält einen Föhn und die andere Hand rollt ein Gerät, um die lose Tapete zu reparieren.")</f>
        <v>Die Hand hält einen Föhn und die andere Hand rollt ein Gerät, um die lose Tapete zu reparieren.</v>
      </c>
    </row>
    <row r="24736">
      <c r="A24736" s="4" t="s">
        <v>31126</v>
      </c>
      <c r="B24736" s="4" t="s">
        <v>31131</v>
      </c>
      <c r="C24736" s="5" t="str">
        <f>IFERROR(__xludf.DUMMYFUNCTION("GOOGLETRANSLATE(B24736,""en"",""de"")"),"Die Hand fährt schnell durch die reparierte Tapete.")</f>
        <v>Die Hand fährt schnell durch die reparierte Tapete.</v>
      </c>
    </row>
    <row r="24737">
      <c r="A24737" s="4" t="s">
        <v>31132</v>
      </c>
      <c r="B24737" s="4" t="s">
        <v>31133</v>
      </c>
      <c r="C24737" s="5" t="str">
        <f>IFERROR(__xludf.DUMMYFUNCTION("GOOGLETRANSLATE(B24737,""en"",""de"")"),"Eine Frau stellt ihr Wohndekorationsvideo vor, das neben einem Stuhl steht.")</f>
        <v>Eine Frau stellt ihr Wohndekorationsvideo vor, das neben einem Stuhl steht.</v>
      </c>
    </row>
    <row r="24738">
      <c r="A24738" s="4" t="s">
        <v>31132</v>
      </c>
      <c r="B24738" s="4" t="s">
        <v>31134</v>
      </c>
      <c r="C24738" s="5" t="str">
        <f>IFERROR(__xludf.DUMMYFUNCTION("GOOGLETRANSLATE(B24738,""en"",""de"")"),"Sie schrubbt zuerst den Schmutz mit einem Schwamm vom Stuhl.")</f>
        <v>Sie schrubbt zuerst den Schmutz mit einem Schwamm vom Stuhl.</v>
      </c>
    </row>
    <row r="24739">
      <c r="A24739" s="4" t="s">
        <v>31132</v>
      </c>
      <c r="B24739" s="4" t="s">
        <v>31135</v>
      </c>
      <c r="C24739" s="5" t="str">
        <f>IFERROR(__xludf.DUMMYFUNCTION("GOOGLETRANSLATE(B24739,""en"",""de"")"),"Als nächstes wendet sie eine silberne Farbe auf den Stuhl.")</f>
        <v>Als nächstes wendet sie eine silberne Farbe auf den Stuhl.</v>
      </c>
    </row>
    <row r="24740">
      <c r="A24740" s="4" t="s">
        <v>31132</v>
      </c>
      <c r="B24740" s="4" t="s">
        <v>31136</v>
      </c>
      <c r="C24740" s="5" t="str">
        <f>IFERROR(__xludf.DUMMYFUNCTION("GOOGLETRANSLATE(B24740,""en"",""de"")"),"Dann taucht sie ihren Pinsel in eine blaue Farbe ein, um den Sitz des Stuhls, den Rücken und dann die Arme/Beine zu bedecken.")</f>
        <v>Dann taucht sie ihren Pinsel in eine blaue Farbe ein, um den Sitz des Stuhls, den Rücken und dann die Arme/Beine zu bedecken.</v>
      </c>
    </row>
    <row r="24741">
      <c r="A24741" s="4" t="s">
        <v>31132</v>
      </c>
      <c r="B24741" s="4" t="s">
        <v>31137</v>
      </c>
      <c r="C24741" s="5" t="str">
        <f>IFERROR(__xludf.DUMMYFUNCTION("GOOGLETRANSLATE(B24741,""en"",""de"")"),"Zuletzt legt sie Schablonen auf den Stuhl und malt das Innenseiten weiß zum Dekorieren.")</f>
        <v>Zuletzt legt sie Schablonen auf den Stuhl und malt das Innenseiten weiß zum Dekorieren.</v>
      </c>
    </row>
    <row r="24742">
      <c r="A24742" s="4" t="s">
        <v>31138</v>
      </c>
      <c r="B24742" s="4" t="s">
        <v>31139</v>
      </c>
      <c r="C24742" s="5" t="str">
        <f>IFERROR(__xludf.DUMMYFUNCTION("GOOGLETRANSLATE(B24742,""en"",""de"")"),"Männer sitzen in einem schwarzen Jacktisch in einem Casino und der Händler verbreitet die Karten an Spieler.")</f>
        <v>Männer sitzen in einem schwarzen Jacktisch in einem Casino und der Händler verbreitet die Karten an Spieler.</v>
      </c>
    </row>
    <row r="24743">
      <c r="A24743" s="4" t="s">
        <v>31138</v>
      </c>
      <c r="B24743" s="4" t="s">
        <v>31140</v>
      </c>
      <c r="C24743" s="5" t="str">
        <f>IFERROR(__xludf.DUMMYFUNCTION("GOOGLETRANSLATE(B24743,""en"",""de"")"),"Der Mensch spricht mit der Kamera.")</f>
        <v>Der Mensch spricht mit der Kamera.</v>
      </c>
    </row>
    <row r="24744">
      <c r="A24744" s="4" t="s">
        <v>31138</v>
      </c>
      <c r="B24744" s="4" t="s">
        <v>31141</v>
      </c>
      <c r="C24744" s="5" t="str">
        <f>IFERROR(__xludf.DUMMYFUNCTION("GOOGLETRANSLATE(B24744,""en"",""de"")"),"Die Händlerin steht vor der Kamera.")</f>
        <v>Die Händlerin steht vor der Kamera.</v>
      </c>
    </row>
    <row r="24745">
      <c r="A24745" s="4" t="s">
        <v>31138</v>
      </c>
      <c r="B24745" s="4" t="s">
        <v>31142</v>
      </c>
      <c r="C24745" s="5" t="str">
        <f>IFERROR(__xludf.DUMMYFUNCTION("GOOGLETRANSLATE(B24745,""en"",""de"")"),"Der Mensch steht vor Schlitzmaschine und redet mit der Kamera.")</f>
        <v>Der Mensch steht vor Schlitzmaschine und redet mit der Kamera.</v>
      </c>
    </row>
    <row r="24746">
      <c r="A24746" s="4" t="s">
        <v>31143</v>
      </c>
      <c r="B24746" s="4" t="s">
        <v>31144</v>
      </c>
      <c r="C24746" s="5" t="str">
        <f>IFERROR(__xludf.DUMMYFUNCTION("GOOGLETRANSLATE(B24746,""en"",""de"")"),"Verschiedene Werkzeuge und Produkte werden auf einem Tisch angelegt und wechseln in einen Mann, der vor einem Spiegel läuft und Lotion ins Gesicht legt.")</f>
        <v>Verschiedene Werkzeuge und Produkte werden auf einem Tisch angelegt und wechseln in einen Mann, der vor einem Spiegel läuft und Lotion ins Gesicht legt.</v>
      </c>
    </row>
    <row r="24747">
      <c r="A24747" s="4" t="s">
        <v>31143</v>
      </c>
      <c r="B24747" s="4" t="s">
        <v>31145</v>
      </c>
      <c r="C24747" s="5" t="str">
        <f>IFERROR(__xludf.DUMMYFUNCTION("GOOGLETRANSLATE(B24747,""en"",""de"")"),"Dann legt er Creme ins Gesicht und rasiert über sein Gesicht.")</f>
        <v>Dann legt er Creme ins Gesicht und rasiert über sein Gesicht.</v>
      </c>
    </row>
    <row r="24748">
      <c r="A24748" s="4" t="s">
        <v>31143</v>
      </c>
      <c r="B24748" s="4" t="s">
        <v>31146</v>
      </c>
      <c r="C24748" s="5" t="str">
        <f>IFERROR(__xludf.DUMMYFUNCTION("GOOGLETRANSLATE(B24748,""en"",""de"")"),"Dann wischt er sich mit einem Lappen mit dem Gesicht nach unten und geht vom Spiegel weg.")</f>
        <v>Dann wischt er sich mit einem Lappen mit dem Gesicht nach unten und geht vom Spiegel weg.</v>
      </c>
    </row>
    <row r="24749">
      <c r="A24749" s="4" t="s">
        <v>31147</v>
      </c>
      <c r="B24749" s="4" t="s">
        <v>31148</v>
      </c>
      <c r="C24749" s="5" t="str">
        <f>IFERROR(__xludf.DUMMYFUNCTION("GOOGLETRANSLATE(B24749,""en"",""de"")"),"Ein Mann spricht mit der Kamera vor dem Fahrrad.")</f>
        <v>Ein Mann spricht mit der Kamera vor dem Fahrrad.</v>
      </c>
    </row>
    <row r="24750">
      <c r="A24750" s="4" t="s">
        <v>31147</v>
      </c>
      <c r="B24750" s="4" t="s">
        <v>31149</v>
      </c>
      <c r="C24750" s="5" t="str">
        <f>IFERROR(__xludf.DUMMYFUNCTION("GOOGLETRANSLATE(B24750,""en"",""de"")"),"Der Mann legt einen Anteil an einem Fahrrad, an dem gearbeitet wird.")</f>
        <v>Der Mann legt einen Anteil an einem Fahrrad, an dem gearbeitet wird.</v>
      </c>
    </row>
    <row r="24751">
      <c r="A24751" s="4" t="s">
        <v>31147</v>
      </c>
      <c r="B24751" s="4" t="s">
        <v>31150</v>
      </c>
      <c r="C24751" s="5" t="str">
        <f>IFERROR(__xludf.DUMMYFUNCTION("GOOGLETRANSLATE(B24751,""en"",""de"")"),"Der Mann zieht das Teil am Fahrrad fest.")</f>
        <v>Der Mann zieht das Teil am Fahrrad fest.</v>
      </c>
    </row>
    <row r="24752">
      <c r="A24752" s="4" t="s">
        <v>31151</v>
      </c>
      <c r="B24752" s="4" t="s">
        <v>31152</v>
      </c>
      <c r="C24752" s="5" t="str">
        <f>IFERROR(__xludf.DUMMYFUNCTION("GOOGLETRANSLATE(B24752,""en"",""de"")"),"Die Menge sitzt auf dem Stuhl, Kinder und junge Leute sitzen am Tisch mit Timer und löst die Rubik's Cubes, während ein Mann mit großem Bart vor der Kamera spricht.")</f>
        <v>Die Menge sitzt auf dem Stuhl, Kinder und junge Leute sitzen am Tisch mit Timer und löst die Rubik's Cubes, während ein Mann mit großem Bart vor der Kamera spricht.</v>
      </c>
    </row>
    <row r="24753">
      <c r="A24753" s="4" t="s">
        <v>31151</v>
      </c>
      <c r="B24753" s="4" t="s">
        <v>31153</v>
      </c>
      <c r="C24753" s="5" t="str">
        <f>IFERROR(__xludf.DUMMYFUNCTION("GOOGLETRANSLATE(B24753,""en"",""de"")"),"Die Jungs lösen den Rubik's Cube One ist blind gefaltet, einer löst ihn mit einer Hand, andere lösen mit beiden Händen.")</f>
        <v>Die Jungs lösen den Rubik's Cube One ist blind gefaltet, einer löst ihn mit einer Hand, andere lösen mit beiden Händen.</v>
      </c>
    </row>
    <row r="24754">
      <c r="A24754" s="4" t="s">
        <v>31154</v>
      </c>
      <c r="B24754" s="4" t="s">
        <v>31155</v>
      </c>
      <c r="C24754" s="5" t="str">
        <f>IFERROR(__xludf.DUMMYFUNCTION("GOOGLETRANSLATE(B24754,""en"",""de"")"),"Schwarze und gelbe Token rutscht auf den Boden, während Menschen, die Stöcke halten, die Token auf einem gemalten Dreieck arrangieren.")</f>
        <v>Schwarze und gelbe Token rutscht auf den Boden, während Menschen, die Stöcke halten, die Token auf einem gemalten Dreieck arrangieren.</v>
      </c>
    </row>
    <row r="24755">
      <c r="A24755" s="4" t="s">
        <v>31154</v>
      </c>
      <c r="B24755" s="4" t="s">
        <v>31156</v>
      </c>
      <c r="C24755" s="5" t="str">
        <f>IFERROR(__xludf.DUMMYFUNCTION("GOOGLETRANSLATE(B24755,""en"",""de"")"),"Kleinkinder gehen auf dem Bürgersteig und überqueren die Straße auf den Token.")</f>
        <v>Kleinkinder gehen auf dem Bürgersteig und überqueren die Straße auf den Token.</v>
      </c>
    </row>
    <row r="24756">
      <c r="A24756" s="4" t="s">
        <v>31157</v>
      </c>
      <c r="B24756" s="4" t="s">
        <v>31158</v>
      </c>
      <c r="C24756" s="5" t="str">
        <f>IFERROR(__xludf.DUMMYFUNCTION("GOOGLETRANSLATE(B24756,""en"",""de"")"),"Eine Person fasst schnell einen schneebedeckten Hügel hinunter.")</f>
        <v>Eine Person fasst schnell einen schneebedeckten Hügel hinunter.</v>
      </c>
    </row>
    <row r="24757">
      <c r="A24757" s="4" t="s">
        <v>31157</v>
      </c>
      <c r="B24757" s="4" t="s">
        <v>31159</v>
      </c>
      <c r="C24757" s="5" t="str">
        <f>IFERROR(__xludf.DUMMYFUNCTION("GOOGLETRANSLATE(B24757,""en"",""de"")"),"Die Menschen sind auf Gezeiten und rodeln am Schnee.")</f>
        <v>Die Menschen sind auf Gezeiten und rodeln am Schnee.</v>
      </c>
    </row>
    <row r="24758">
      <c r="A24758" s="4" t="s">
        <v>31160</v>
      </c>
      <c r="B24758" s="4" t="s">
        <v>31161</v>
      </c>
      <c r="C24758" s="5" t="str">
        <f>IFERROR(__xludf.DUMMYFUNCTION("GOOGLETRANSLATE(B24758,""en"",""de"")"),"Zwei Teams spielen Bälle, um einen Gegner zu treffen.")</f>
        <v>Zwei Teams spielen Bälle, um einen Gegner zu treffen.</v>
      </c>
    </row>
    <row r="24759">
      <c r="A24759" s="4" t="s">
        <v>31160</v>
      </c>
      <c r="B24759" s="4" t="s">
        <v>31162</v>
      </c>
      <c r="C24759" s="5" t="str">
        <f>IFERROR(__xludf.DUMMYFUNCTION("GOOGLETRANSLATE(B24759,""en"",""de"")"),"Zwei Jungen steigen in die Mitte und werfen die Bälle, dann kehren sie zu seinem Platz zurück.")</f>
        <v>Zwei Jungen steigen in die Mitte und werfen die Bälle, dann kehren sie zu seinem Platz zurück.</v>
      </c>
    </row>
    <row r="24760">
      <c r="A24760" s="4" t="s">
        <v>31160</v>
      </c>
      <c r="B24760" s="4" t="s">
        <v>31163</v>
      </c>
      <c r="C24760" s="5" t="str">
        <f>IFERROR(__xludf.DUMMYFUNCTION("GOOGLETRANSLATE(B24760,""en"",""de"")"),"Danach wirft das andere Team vor Bällen und schlug einen Spieler mit lila T-Shirt.")</f>
        <v>Danach wirft das andere Team vor Bällen und schlug einen Spieler mit lila T-Shirt.</v>
      </c>
    </row>
    <row r="24761">
      <c r="A24761" s="4" t="s">
        <v>31160</v>
      </c>
      <c r="B24761" s="4" t="s">
        <v>31164</v>
      </c>
      <c r="C24761" s="5" t="str">
        <f>IFERROR(__xludf.DUMMYFUNCTION("GOOGLETRANSLATE(B24761,""en"",""de"")"),"Sie spielen weiterhin abwechselnd, um die Bälle zu treffen.")</f>
        <v>Sie spielen weiterhin abwechselnd, um die Bälle zu treffen.</v>
      </c>
    </row>
    <row r="24762">
      <c r="A24762" s="4" t="s">
        <v>31160</v>
      </c>
      <c r="B24762" s="4" t="s">
        <v>31165</v>
      </c>
      <c r="C24762" s="5" t="str">
        <f>IFERROR(__xludf.DUMMYFUNCTION("GOOGLETRANSLATE(B24762,""en"",""de"")"),"Die Leute kümmern sich um Spieler, dann gehen sie in die Mitte, um andere Mannschaften mit den Bällen zu schlagen.")</f>
        <v>Die Leute kümmern sich um Spieler, dann gehen sie in die Mitte, um andere Mannschaften mit den Bällen zu schlagen.</v>
      </c>
    </row>
    <row r="24763">
      <c r="A24763" s="4" t="s">
        <v>31166</v>
      </c>
      <c r="B24763" s="4" t="s">
        <v>31167</v>
      </c>
      <c r="C24763" s="5" t="str">
        <f>IFERROR(__xludf.DUMMYFUNCTION("GOOGLETRANSLATE(B24763,""en"",""de"")"),"Eine Frau und ein Mann üben Kickkasten in einem Fitnessstudio, in dem auch andere Leute trainieren, dann spricht er Frau.")</f>
        <v>Eine Frau und ein Mann üben Kickkasten in einem Fitnessstudio, in dem auch andere Leute trainieren, dann spricht er Frau.</v>
      </c>
    </row>
    <row r="24764">
      <c r="A24764" s="4" t="s">
        <v>31166</v>
      </c>
      <c r="B24764" s="4" t="s">
        <v>31168</v>
      </c>
      <c r="C24764" s="5" t="str">
        <f>IFERROR(__xludf.DUMMYFUNCTION("GOOGLETRANSLATE(B24764,""en"",""de"")"),"Ein Autos fährt in einer Stadt mit einem Soldaten, der eine Waffe hält, eine Familie auf der Straße, Menschen, die zu Fuß gehen und Auto auf der Kurve sitzen.")</f>
        <v>Ein Autos fährt in einer Stadt mit einem Soldaten, der eine Waffe hält, eine Familie auf der Straße, Menschen, die zu Fuß gehen und Auto auf der Kurve sitzen.</v>
      </c>
    </row>
    <row r="24765">
      <c r="A24765" s="4" t="s">
        <v>31166</v>
      </c>
      <c r="B24765" s="4" t="s">
        <v>31169</v>
      </c>
      <c r="C24765" s="5" t="str">
        <f>IFERROR(__xludf.DUMMYFUNCTION("GOOGLETRANSLATE(B24765,""en"",""de"")"),"Die Frau spricht aus einem Zimmer, dann trainiert sie mit anderen in einem Fitnessstudio, dann mit einer Dame im Fitnessstudio.")</f>
        <v>Die Frau spricht aus einem Zimmer, dann trainiert sie mit anderen in einem Fitnessstudio, dann mit einer Dame im Fitnessstudio.</v>
      </c>
    </row>
    <row r="24766">
      <c r="A24766" s="4" t="s">
        <v>31166</v>
      </c>
      <c r="B24766" s="4" t="s">
        <v>31170</v>
      </c>
      <c r="C24766" s="5" t="str">
        <f>IFERROR(__xludf.DUMMYFUNCTION("GOOGLETRANSLATE(B24766,""en"",""de"")"),"Am Ende werden Trophäen gezeigt.")</f>
        <v>Am Ende werden Trophäen gezeigt.</v>
      </c>
    </row>
    <row r="24767">
      <c r="A24767" s="4" t="s">
        <v>31171</v>
      </c>
      <c r="B24767" s="4" t="s">
        <v>31172</v>
      </c>
      <c r="C24767" s="5" t="str">
        <f>IFERROR(__xludf.DUMMYFUNCTION("GOOGLETRANSLATE(B24767,""en"",""de"")"),"Ein Mann spielt Kampfkunst, die mit Menschen in einem Film kämpfen, dann eine große Tür in der Nähe und eine Frau hilft dem Mann zu kämpfen.")</f>
        <v>Ein Mann spielt Kampfkunst, die mit Menschen in einem Film kämpfen, dann eine große Tür in der Nähe und eine Frau hilft dem Mann zu kämpfen.</v>
      </c>
    </row>
    <row r="24768">
      <c r="A24768" s="4" t="s">
        <v>31171</v>
      </c>
      <c r="B24768" s="4" t="s">
        <v>31173</v>
      </c>
      <c r="C24768" s="5" t="str">
        <f>IFERROR(__xludf.DUMMYFUNCTION("GOOGLETRANSLATE(B24768,""en"",""de"")"),"Der Mann und die Frau sind vor dem Fluss vor dem Fluss und hängten dann seine Beine von einem Baum.")</f>
        <v>Der Mann und die Frau sind vor dem Fluss vor dem Fluss und hängten dann seine Beine von einem Baum.</v>
      </c>
    </row>
    <row r="24769">
      <c r="A24769" s="4" t="s">
        <v>31171</v>
      </c>
      <c r="B24769" s="4" t="s">
        <v>31174</v>
      </c>
      <c r="C24769" s="5" t="str">
        <f>IFERROR(__xludf.DUMMYFUNCTION("GOOGLETRANSLATE(B24769,""en"",""de"")"),"Kanonen schießen ein Haus und ein Dorf, nachdem ein Armee Kampf auf einem Feld und Kanonen in einem Dorf zu Häusern zerstört wird.")</f>
        <v>Kanonen schießen ein Haus und ein Dorf, nachdem ein Armee Kampf auf einem Feld und Kanonen in einem Dorf zu Häusern zerstört wird.</v>
      </c>
    </row>
    <row r="24770">
      <c r="A24770" s="4" t="s">
        <v>31171</v>
      </c>
      <c r="B24770" s="4" t="s">
        <v>31175</v>
      </c>
      <c r="C24770" s="5" t="str">
        <f>IFERROR(__xludf.DUMMYFUNCTION("GOOGLETRANSLATE(B24770,""en"",""de"")"),"Ein Mann gibt dem Mann eine große Goldmünze, nachdem der Mann mit Menschen gekämpft hat.")</f>
        <v>Ein Mann gibt dem Mann eine große Goldmünze, nachdem der Mann mit Menschen gekämpft hat.</v>
      </c>
    </row>
    <row r="24771">
      <c r="A24771" s="4" t="s">
        <v>31176</v>
      </c>
      <c r="B24771" s="4" t="s">
        <v>27419</v>
      </c>
      <c r="C24771" s="5" t="str">
        <f>IFERROR(__xludf.DUMMYFUNCTION("GOOGLETRANSLATE(B24771,""en"",""de"")"),"Ein kleines Mädchen überquert die Affenbars.")</f>
        <v>Ein kleines Mädchen überquert die Affenbars.</v>
      </c>
    </row>
    <row r="24772">
      <c r="A24772" s="4" t="s">
        <v>31176</v>
      </c>
      <c r="B24772" s="4" t="s">
        <v>31177</v>
      </c>
      <c r="C24772" s="5" t="str">
        <f>IFERROR(__xludf.DUMMYFUNCTION("GOOGLETRANSLATE(B24772,""en"",""de"")"),"Sie schwingt ihr Bein hoch.")</f>
        <v>Sie schwingt ihr Bein hoch.</v>
      </c>
    </row>
    <row r="24773">
      <c r="A24773" s="4" t="s">
        <v>31176</v>
      </c>
      <c r="B24773" s="4" t="s">
        <v>31178</v>
      </c>
      <c r="C24773" s="5" t="str">
        <f>IFERROR(__xludf.DUMMYFUNCTION("GOOGLETRANSLATE(B24773,""en"",""de"")"),"Sie fällt zu Boden.")</f>
        <v>Sie fällt zu Boden.</v>
      </c>
    </row>
    <row r="24774">
      <c r="A24774" s="4" t="s">
        <v>31179</v>
      </c>
      <c r="B24774" s="4" t="s">
        <v>31180</v>
      </c>
      <c r="C24774" s="5" t="str">
        <f>IFERROR(__xludf.DUMMYFUNCTION("GOOGLETRANSLATE(B24774,""en"",""de"")"),"Der Mensch bewegt sich akrobatisch auf einer Matte.")</f>
        <v>Der Mensch bewegt sich akrobatisch auf einer Matte.</v>
      </c>
    </row>
    <row r="24775">
      <c r="A24775" s="4" t="s">
        <v>31179</v>
      </c>
      <c r="B24775" s="4" t="s">
        <v>31181</v>
      </c>
      <c r="C24775" s="5" t="str">
        <f>IFERROR(__xludf.DUMMYFUNCTION("GOOGLETRANSLATE(B24775,""en"",""de"")"),"Ein anderer Mann rennt eine Matte im Hintergrund herunter.")</f>
        <v>Ein anderer Mann rennt eine Matte im Hintergrund herunter.</v>
      </c>
    </row>
    <row r="24776">
      <c r="A24776" s="4" t="s">
        <v>31179</v>
      </c>
      <c r="B24776" s="4" t="s">
        <v>31182</v>
      </c>
      <c r="C24776" s="5" t="str">
        <f>IFERROR(__xludf.DUMMYFUNCTION("GOOGLETRANSLATE(B24776,""en"",""de"")"),"Es treten mehrere Wiederholungen akrobatischer Bewegungen auf.")</f>
        <v>Es treten mehrere Wiederholungen akrobatischer Bewegungen auf.</v>
      </c>
    </row>
    <row r="24777">
      <c r="A24777" s="4" t="s">
        <v>31179</v>
      </c>
      <c r="B24777" s="4" t="s">
        <v>31183</v>
      </c>
      <c r="C24777" s="5" t="str">
        <f>IFERROR(__xludf.DUMMYFUNCTION("GOOGLETRANSLATE(B24777,""en"",""de"")"),"Der junge Mann rennt und umarmt, was sein Trainer zu sein scheint.")</f>
        <v>Der junge Mann rennt und umarmt, was sein Trainer zu sein scheint.</v>
      </c>
    </row>
    <row r="24778">
      <c r="A24778" s="4" t="s">
        <v>31179</v>
      </c>
      <c r="B24778" s="4" t="s">
        <v>31184</v>
      </c>
      <c r="C24778" s="5" t="str">
        <f>IFERROR(__xludf.DUMMYFUNCTION("GOOGLETRANSLATE(B24778,""en"",""de"")"),"Ein weiterer Satz von Wiederholungen tritt auf.")</f>
        <v>Ein weiterer Satz von Wiederholungen tritt auf.</v>
      </c>
    </row>
    <row r="24779">
      <c r="A24779" s="4" t="s">
        <v>31179</v>
      </c>
      <c r="B24779" s="4" t="s">
        <v>31185</v>
      </c>
      <c r="C24779" s="5" t="str">
        <f>IFERROR(__xludf.DUMMYFUNCTION("GOOGLETRANSLATE(B24779,""en"",""de"")"),"Wörter gehen über den Bildschirm, in dem Menschen auf soziale Medien und Websites geleitet werden.")</f>
        <v>Wörter gehen über den Bildschirm, in dem Menschen auf soziale Medien und Websites geleitet werden.</v>
      </c>
    </row>
    <row r="24780">
      <c r="A24780" s="4" t="s">
        <v>31186</v>
      </c>
      <c r="B24780" s="4" t="s">
        <v>31187</v>
      </c>
      <c r="C24780" s="5" t="str">
        <f>IFERROR(__xludf.DUMMYFUNCTION("GOOGLETRANSLATE(B24780,""en"",""de"")"),"Auf dem Tisch befindet sich eine Nahaufnahme des Essens und führt zu einem Mann, der aus einer Shisha -Pfeife kommt.")</f>
        <v>Auf dem Tisch befindet sich eine Nahaufnahme des Essens und führt zu einem Mann, der aus einer Shisha -Pfeife kommt.</v>
      </c>
    </row>
    <row r="24781">
      <c r="A24781" s="4" t="s">
        <v>31186</v>
      </c>
      <c r="B24781" s="4" t="s">
        <v>31188</v>
      </c>
      <c r="C24781" s="5" t="str">
        <f>IFERROR(__xludf.DUMMYFUNCTION("GOOGLETRANSLATE(B24781,""en"",""de"")"),"Der Mann bläst Rauchringe sowie mehrere andere Getränke, während er mit der Kamera spricht und an verschiedene Stellen im Haus wechselt.")</f>
        <v>Der Mann bläst Rauchringe sowie mehrere andere Getränke, während er mit der Kamera spricht und an verschiedene Stellen im Haus wechselt.</v>
      </c>
    </row>
    <row r="24782">
      <c r="A24782" s="4" t="s">
        <v>31189</v>
      </c>
      <c r="B24782" s="4" t="s">
        <v>31190</v>
      </c>
      <c r="C24782" s="5" t="str">
        <f>IFERROR(__xludf.DUMMYFUNCTION("GOOGLETRANSLATE(B24782,""en"",""de"")"),"Ein kleiner Junge fährt Inline -Skates in einer Einfahrt.")</f>
        <v>Ein kleiner Junge fährt Inline -Skates in einer Einfahrt.</v>
      </c>
    </row>
    <row r="24783">
      <c r="A24783" s="4" t="s">
        <v>31189</v>
      </c>
      <c r="B24783" s="4" t="s">
        <v>31191</v>
      </c>
      <c r="C24783" s="5" t="str">
        <f>IFERROR(__xludf.DUMMYFUNCTION("GOOGLETRANSLATE(B24783,""en"",""de"")"),"Er winkt mit den Armen und versucht, sein Gleichgewicht zu halten.")</f>
        <v>Er winkt mit den Armen und versucht, sein Gleichgewicht zu halten.</v>
      </c>
    </row>
    <row r="24784">
      <c r="A24784" s="4" t="s">
        <v>31189</v>
      </c>
      <c r="B24784" s="4" t="s">
        <v>31192</v>
      </c>
      <c r="C24784" s="5" t="str">
        <f>IFERROR(__xludf.DUMMYFUNCTION("GOOGLETRANSLATE(B24784,""en"",""de"")"),"Er rennt und fällt dann auf die Schlittschuhe.")</f>
        <v>Er rennt und fällt dann auf die Schlittschuhe.</v>
      </c>
    </row>
    <row r="24785">
      <c r="A24785" s="4" t="s">
        <v>31193</v>
      </c>
      <c r="B24785" s="4" t="s">
        <v>31194</v>
      </c>
      <c r="C24785" s="5" t="str">
        <f>IFERROR(__xludf.DUMMYFUNCTION("GOOGLETRANSLATE(B24785,""en"",""de"")"),"Zwei Sumos befinden sich auf den Seiten eines Rings und das Refib befindet sich in der Mitte, während die Menschen in Sand sind und sie beobachten, wie sie sie beobachten.")</f>
        <v>Zwei Sumos befinden sich auf den Seiten eines Rings und das Refib befindet sich in der Mitte, während die Menschen in Sand sind und sie beobachten, wie sie sie beobachten.</v>
      </c>
    </row>
    <row r="24786">
      <c r="A24786" s="4" t="s">
        <v>31193</v>
      </c>
      <c r="B24786" s="4" t="s">
        <v>31195</v>
      </c>
      <c r="C24786" s="5" t="str">
        <f>IFERROR(__xludf.DUMMYFUNCTION("GOOGLETRANSLATE(B24786,""en"",""de"")"),"Sumo beginnt zu ringen und fiel aus dem Ring.")</f>
        <v>Sumo beginnt zu ringen und fiel aus dem Ring.</v>
      </c>
    </row>
    <row r="24787">
      <c r="A24787" s="4" t="s">
        <v>31196</v>
      </c>
      <c r="B24787" s="4" t="s">
        <v>31197</v>
      </c>
      <c r="C24787" s="5" t="str">
        <f>IFERROR(__xludf.DUMMYFUNCTION("GOOGLETRANSLATE(B24787,""en"",""de"")"),"Ein Junge hilft seinem Vater, einen Mäher zu schieben.")</f>
        <v>Ein Junge hilft seinem Vater, einen Mäher zu schieben.</v>
      </c>
    </row>
    <row r="24788">
      <c r="A24788" s="4" t="s">
        <v>31196</v>
      </c>
      <c r="B24788" s="4" t="s">
        <v>31198</v>
      </c>
      <c r="C24788" s="5" t="str">
        <f>IFERROR(__xludf.DUMMYFUNCTION("GOOGLETRANSLATE(B24788,""en"",""de"")"),"Sie wenden sich der Kamera zurück.")</f>
        <v>Sie wenden sich der Kamera zurück.</v>
      </c>
    </row>
    <row r="24789">
      <c r="A24789" s="4" t="s">
        <v>31196</v>
      </c>
      <c r="B24789" s="4" t="s">
        <v>31199</v>
      </c>
      <c r="C24789" s="5" t="str">
        <f>IFERROR(__xludf.DUMMYFUNCTION("GOOGLETRANSLATE(B24789,""en"",""de"")"),"Eine Person geht in der Nähe des Zauns.")</f>
        <v>Eine Person geht in der Nähe des Zauns.</v>
      </c>
    </row>
    <row r="24790">
      <c r="A24790" s="4" t="s">
        <v>31200</v>
      </c>
      <c r="B24790" s="4" t="s">
        <v>31201</v>
      </c>
      <c r="C24790" s="5" t="str">
        <f>IFERROR(__xludf.DUMMYFUNCTION("GOOGLETRANSLATE(B24790,""en"",""de"")"),"Eine Person wird gesehen, wie ein Stück Dachfliesen schneidet und die Fliese für ein Dach hinunter hämmert.")</f>
        <v>Eine Person wird gesehen, wie ein Stück Dachfliesen schneidet und die Fliese für ein Dach hinunter hämmert.</v>
      </c>
    </row>
    <row r="24791">
      <c r="A24791" s="4" t="s">
        <v>31200</v>
      </c>
      <c r="B24791" s="4" t="s">
        <v>31202</v>
      </c>
      <c r="C24791" s="5" t="str">
        <f>IFERROR(__xludf.DUMMYFUNCTION("GOOGLETRANSLATE(B24791,""en"",""de"")"),"Er geht durch Hamm und nagelt ein langes Brett über.")</f>
        <v>Er geht durch Hamm und nagelt ein langes Brett über.</v>
      </c>
    </row>
    <row r="24792">
      <c r="A24792" s="4" t="s">
        <v>31203</v>
      </c>
      <c r="B24792" s="4" t="s">
        <v>31204</v>
      </c>
      <c r="C24792" s="5" t="str">
        <f>IFERROR(__xludf.DUMMYFUNCTION("GOOGLETRANSLATE(B24792,""en"",""de"")"),"Eine Grafik ist mit dem Logo -Titel zu sehen.")</f>
        <v>Eine Grafik ist mit dem Logo -Titel zu sehen.</v>
      </c>
    </row>
    <row r="24793">
      <c r="A24793" s="4" t="s">
        <v>31203</v>
      </c>
      <c r="B24793" s="4" t="s">
        <v>31205</v>
      </c>
      <c r="C24793" s="5" t="str">
        <f>IFERROR(__xludf.DUMMYFUNCTION("GOOGLETRANSLATE(B24793,""en"",""de"")"),"Eine Google Map zeigt verschiedene Stadtstandorte an.")</f>
        <v>Eine Google Map zeigt verschiedene Stadtstandorte an.</v>
      </c>
    </row>
    <row r="24794">
      <c r="A24794" s="4" t="s">
        <v>31203</v>
      </c>
      <c r="B24794" s="4" t="s">
        <v>31206</v>
      </c>
      <c r="C24794" s="5" t="str">
        <f>IFERROR(__xludf.DUMMYFUNCTION("GOOGLETRANSLATE(B24794,""en"",""de"")"),"Teamkollegen in Jumpsuits rennen durch einen Verlauf von Holzkisten -Hindernissen für Paintball -Kanonen.")</f>
        <v>Teamkollegen in Jumpsuits rennen durch einen Verlauf von Holzkisten -Hindernissen für Paintball -Kanonen.</v>
      </c>
    </row>
    <row r="24795">
      <c r="A24795" s="4" t="s">
        <v>31203</v>
      </c>
      <c r="B24795" s="4" t="s">
        <v>31207</v>
      </c>
      <c r="C24795" s="5" t="str">
        <f>IFERROR(__xludf.DUMMYFUNCTION("GOOGLETRANSLATE(B24795,""en"",""de"")"),"Die Männer erhalten Ausrüstung von einem Mietladen mit Kleidung und Waffen.")</f>
        <v>Die Männer erhalten Ausrüstung von einem Mietladen mit Kleidung und Waffen.</v>
      </c>
    </row>
    <row r="24796">
      <c r="A24796" s="4" t="s">
        <v>31203</v>
      </c>
      <c r="B24796" s="4" t="s">
        <v>31208</v>
      </c>
      <c r="C24796" s="5" t="str">
        <f>IFERROR(__xludf.DUMMYFUNCTION("GOOGLETRANSLATE(B24796,""en"",""de"")"),"Die beiden Teams gehen zusammen in eine Linie, um den Kurs zu spielen, um zu spielen.")</f>
        <v>Die beiden Teams gehen zusammen in eine Linie, um den Kurs zu spielen, um zu spielen.</v>
      </c>
    </row>
    <row r="24797">
      <c r="A24797" s="4" t="s">
        <v>31203</v>
      </c>
      <c r="B24797" s="4" t="s">
        <v>31209</v>
      </c>
      <c r="C24797" s="5" t="str">
        <f>IFERROR(__xludf.DUMMYFUNCTION("GOOGLETRANSLATE(B24797,""en"",""de"")"),"Die Männer füllen ihre Waffenstreitigkeiten mit Munition.")</f>
        <v>Die Männer füllen ihre Waffenstreitigkeiten mit Munition.</v>
      </c>
    </row>
    <row r="24798">
      <c r="A24798" s="4" t="s">
        <v>31203</v>
      </c>
      <c r="B24798" s="4" t="s">
        <v>31210</v>
      </c>
      <c r="C24798" s="5" t="str">
        <f>IFERROR(__xludf.DUMMYFUNCTION("GOOGLETRANSLATE(B24798,""en"",""de"")"),"Die Teamkollegen navigieren durch einen Kurs mit aufblasbaren Hindernissen, die Gegner anstreben.")</f>
        <v>Die Teamkollegen navigieren durch einen Kurs mit aufblasbaren Hindernissen, die Gegner anstreben.</v>
      </c>
    </row>
    <row r="24799">
      <c r="A24799" s="4" t="s">
        <v>31203</v>
      </c>
      <c r="B24799" s="4" t="s">
        <v>31211</v>
      </c>
      <c r="C24799" s="5" t="str">
        <f>IFERROR(__xludf.DUMMYFUNCTION("GOOGLETRANSLATE(B24799,""en"",""de"")"),"Ein Mann wird in die Gesichtsmaske getroffen, um das Spiel zu beenden.")</f>
        <v>Ein Mann wird in die Gesichtsmaske getroffen, um das Spiel zu beenden.</v>
      </c>
    </row>
    <row r="24800">
      <c r="A24800" s="4" t="s">
        <v>31212</v>
      </c>
      <c r="B24800" s="4" t="s">
        <v>31213</v>
      </c>
      <c r="C24800" s="5" t="str">
        <f>IFERROR(__xludf.DUMMYFUNCTION("GOOGLETRANSLATE(B24800,""en"",""de"")"),"Ein Mann sitzt beim Spielen beim Schlagzeug, und eine Frau stellt ihn neben ihm.")</f>
        <v>Ein Mann sitzt beim Spielen beim Schlagzeug, und eine Frau stellt ihn neben ihm.</v>
      </c>
    </row>
    <row r="24801">
      <c r="A24801" s="4" t="s">
        <v>31212</v>
      </c>
      <c r="B24801" s="4" t="s">
        <v>31214</v>
      </c>
      <c r="C24801" s="5" t="str">
        <f>IFERROR(__xludf.DUMMYFUNCTION("GOOGLETRANSLATE(B24801,""en"",""de"")"),"Er schlägt das Trommeln hin und her, während sie sprechen.")</f>
        <v>Er schlägt das Trommeln hin und her, während sie sprechen.</v>
      </c>
    </row>
    <row r="24802">
      <c r="A24802" s="4" t="s">
        <v>31212</v>
      </c>
      <c r="B24802" s="4" t="s">
        <v>31215</v>
      </c>
      <c r="C24802" s="5" t="str">
        <f>IFERROR(__xludf.DUMMYFUNCTION("GOOGLETRANSLATE(B24802,""en"",""de"")"),"Dann spricht er ausführlich darüber, wie man Congas spielt.")</f>
        <v>Dann spricht er ausführlich darüber, wie man Congas spielt.</v>
      </c>
    </row>
    <row r="24803">
      <c r="A24803" s="4" t="s">
        <v>31212</v>
      </c>
      <c r="B24803" s="4" t="s">
        <v>31216</v>
      </c>
      <c r="C24803" s="5" t="str">
        <f>IFERROR(__xludf.DUMMYFUNCTION("GOOGLETRANSLATE(B24803,""en"",""de"")"),"Er demonstriert, indem er weiter spielt, während er spricht.")</f>
        <v>Er demonstriert, indem er weiter spielt, während er spricht.</v>
      </c>
    </row>
    <row r="24804">
      <c r="A24804" s="4" t="s">
        <v>31217</v>
      </c>
      <c r="B24804" s="4" t="s">
        <v>31218</v>
      </c>
      <c r="C24804" s="5" t="str">
        <f>IFERROR(__xludf.DUMMYFUNCTION("GOOGLETRANSLATE(B24804,""en"",""de"")"),"Eine Hand wird auf einer Tabelle mit unterschiedlichen Vorräten angezeigt.")</f>
        <v>Eine Hand wird auf einer Tabelle mit unterschiedlichen Vorräten angezeigt.</v>
      </c>
    </row>
    <row r="24805">
      <c r="A24805" s="4" t="s">
        <v>31217</v>
      </c>
      <c r="B24805" s="4" t="s">
        <v>31219</v>
      </c>
      <c r="C24805" s="5" t="str">
        <f>IFERROR(__xludf.DUMMYFUNCTION("GOOGLETRANSLATE(B24805,""en"",""de"")"),"Ein Mann, der alle Teile eines Fahrrads aus einer Schachtel nimmt.")</f>
        <v>Ein Mann, der alle Teile eines Fahrrads aus einer Schachtel nimmt.</v>
      </c>
    </row>
    <row r="24806">
      <c r="A24806" s="4" t="s">
        <v>31217</v>
      </c>
      <c r="B24806" s="4" t="s">
        <v>31220</v>
      </c>
      <c r="C24806" s="5" t="str">
        <f>IFERROR(__xludf.DUMMYFUNCTION("GOOGLETRANSLATE(B24806,""en"",""de"")"),"Er montiert das Fahrrad im Hof.")</f>
        <v>Er montiert das Fahrrad im Hof.</v>
      </c>
    </row>
    <row r="24807">
      <c r="A24807" s="4" t="s">
        <v>31221</v>
      </c>
      <c r="B24807" s="4" t="s">
        <v>31222</v>
      </c>
      <c r="C24807" s="5" t="str">
        <f>IFERROR(__xludf.DUMMYFUNCTION("GOOGLETRANSLATE(B24807,""en"",""de"")"),"Ein Baum wird am Straßenrand gesehen.")</f>
        <v>Ein Baum wird am Straßenrand gesehen.</v>
      </c>
    </row>
    <row r="24808">
      <c r="A24808" s="4" t="s">
        <v>31221</v>
      </c>
      <c r="B24808" s="4" t="s">
        <v>31223</v>
      </c>
      <c r="C24808" s="5" t="str">
        <f>IFERROR(__xludf.DUMMYFUNCTION("GOOGLETRANSLATE(B24808,""en"",""de"")"),"Ein Mann zeigt, wie man um den Boden des Baumes mulch.")</f>
        <v>Ein Mann zeigt, wie man um den Boden des Baumes mulch.</v>
      </c>
    </row>
    <row r="24809">
      <c r="A24809" s="4" t="s">
        <v>31221</v>
      </c>
      <c r="B24809" s="4" t="s">
        <v>31224</v>
      </c>
      <c r="C24809" s="5" t="str">
        <f>IFERROR(__xludf.DUMMYFUNCTION("GOOGLETRANSLATE(B24809,""en"",""de"")"),"Er verbreitet den Mulch gleichmäßig, als er Anweisungen gibt.")</f>
        <v>Er verbreitet den Mulch gleichmäßig, als er Anweisungen gibt.</v>
      </c>
    </row>
    <row r="24810">
      <c r="A24810" s="4" t="s">
        <v>31225</v>
      </c>
      <c r="B24810" s="4" t="s">
        <v>31226</v>
      </c>
      <c r="C24810" s="5" t="str">
        <f>IFERROR(__xludf.DUMMYFUNCTION("GOOGLETRANSLATE(B24810,""en"",""de"")"),"Ein Mädchen spielt mit ihrem geflochtenen Ponyschwanz.")</f>
        <v>Ein Mädchen spielt mit ihrem geflochtenen Ponyschwanz.</v>
      </c>
    </row>
    <row r="24811">
      <c r="A24811" s="4" t="s">
        <v>31225</v>
      </c>
      <c r="B24811" s="4" t="s">
        <v>31227</v>
      </c>
      <c r="C24811" s="5" t="str">
        <f>IFERROR(__xludf.DUMMYFUNCTION("GOOGLETRANSLATE(B24811,""en"",""de"")"),"Das Mädchen verdreht ihr Haar in zwei Abschnitten zusammen.")</f>
        <v>Das Mädchen verdreht ihr Haar in zwei Abschnitten zusammen.</v>
      </c>
    </row>
    <row r="24812">
      <c r="A24812" s="4" t="s">
        <v>31225</v>
      </c>
      <c r="B24812" s="4" t="s">
        <v>31228</v>
      </c>
      <c r="C24812" s="5" t="str">
        <f>IFERROR(__xludf.DUMMYFUNCTION("GOOGLETRANSLATE(B24812,""en"",""de"")"),"Das Mädchen flechtet das Ende des verdrehten Haares.")</f>
        <v>Das Mädchen flechtet das Ende des verdrehten Haares.</v>
      </c>
    </row>
    <row r="24813">
      <c r="A24813" s="4" t="s">
        <v>31225</v>
      </c>
      <c r="B24813" s="4" t="s">
        <v>31229</v>
      </c>
      <c r="C24813" s="5" t="str">
        <f>IFERROR(__xludf.DUMMYFUNCTION("GOOGLETRANSLATE(B24813,""en"",""de"")"),"Das Mädchen trennt die Zöpfe und lockert sie.")</f>
        <v>Das Mädchen trennt die Zöpfe und lockert sie.</v>
      </c>
    </row>
    <row r="24814">
      <c r="A24814" s="4" t="s">
        <v>31225</v>
      </c>
      <c r="B24814" s="4" t="s">
        <v>31230</v>
      </c>
      <c r="C24814" s="5" t="str">
        <f>IFERROR(__xludf.DUMMYFUNCTION("GOOGLETRANSLATE(B24814,""en"",""de"")"),"Das Mädchen zieht die Zöpfen hoch, um sie flauschiger zu machen.")</f>
        <v>Das Mädchen zieht die Zöpfen hoch, um sie flauschiger zu machen.</v>
      </c>
    </row>
    <row r="24815">
      <c r="A24815" s="4" t="s">
        <v>31225</v>
      </c>
      <c r="B24815" s="4" t="s">
        <v>31231</v>
      </c>
      <c r="C24815" s="5" t="str">
        <f>IFERROR(__xludf.DUMMYFUNCTION("GOOGLETRANSLATE(B24815,""en"",""de"")"),"Das Mädchen benutzt ein flaches Bügeleisen auf ihren Haaren.")</f>
        <v>Das Mädchen benutzt ein flaches Bügeleisen auf ihren Haaren.</v>
      </c>
    </row>
    <row r="24816">
      <c r="A24816" s="4" t="s">
        <v>31225</v>
      </c>
      <c r="B24816" s="4" t="s">
        <v>31232</v>
      </c>
      <c r="C24816" s="5" t="str">
        <f>IFERROR(__xludf.DUMMYFUNCTION("GOOGLETRANSLATE(B24816,""en"",""de"")"),"Das Mädchen hält zwei Hunde und Tänze.")</f>
        <v>Das Mädchen hält zwei Hunde und Tänze.</v>
      </c>
    </row>
    <row r="24817">
      <c r="A24817" s="4" t="s">
        <v>31233</v>
      </c>
      <c r="B24817" s="4" t="s">
        <v>31234</v>
      </c>
      <c r="C24817" s="5" t="str">
        <f>IFERROR(__xludf.DUMMYFUNCTION("GOOGLETRANSLATE(B24817,""en"",""de"")"),"Eine Textgrafik wird mit einem Titel und einer Beschreibung gesehen.")</f>
        <v>Eine Textgrafik wird mit einem Titel und einer Beschreibung gesehen.</v>
      </c>
    </row>
    <row r="24818">
      <c r="A24818" s="4" t="s">
        <v>31233</v>
      </c>
      <c r="B24818" s="4" t="s">
        <v>31235</v>
      </c>
      <c r="C24818" s="5" t="str">
        <f>IFERROR(__xludf.DUMMYFUNCTION("GOOGLETRANSLATE(B24818,""en"",""de"")"),"Ein Mann steht auf einem Dach und bohrt Holzstücke nach unten.")</f>
        <v>Ein Mann steht auf einem Dach und bohrt Holzstücke nach unten.</v>
      </c>
    </row>
    <row r="24819">
      <c r="A24819" s="4" t="s">
        <v>31233</v>
      </c>
      <c r="B24819" s="4" t="s">
        <v>31236</v>
      </c>
      <c r="C24819" s="5" t="str">
        <f>IFERROR(__xludf.DUMMYFUNCTION("GOOGLETRANSLATE(B24819,""en"",""de"")"),"Credits sind für das Video mit einer Website zu sehen.")</f>
        <v>Credits sind für das Video mit einer Website zu sehen.</v>
      </c>
    </row>
    <row r="24820">
      <c r="A24820" s="4" t="s">
        <v>31237</v>
      </c>
      <c r="B24820" s="4" t="s">
        <v>31238</v>
      </c>
      <c r="C24820" s="5" t="str">
        <f>IFERROR(__xludf.DUMMYFUNCTION("GOOGLETRANSLATE(B24820,""en"",""de"")"),"Ein großer Eisgletscher wird im Wasser gezeigt.")</f>
        <v>Ein großer Eisgletscher wird im Wasser gezeigt.</v>
      </c>
    </row>
    <row r="24821">
      <c r="A24821" s="4" t="s">
        <v>31237</v>
      </c>
      <c r="B24821" s="4" t="s">
        <v>31239</v>
      </c>
      <c r="C24821" s="5" t="str">
        <f>IFERROR(__xludf.DUMMYFUNCTION("GOOGLETRANSLATE(B24821,""en"",""de"")"),"Ein Boot zieht eine Person auf Skier hinter dem Boot.")</f>
        <v>Ein Boot zieht eine Person auf Skier hinter dem Boot.</v>
      </c>
    </row>
    <row r="24822">
      <c r="A24822" s="4" t="s">
        <v>31237</v>
      </c>
      <c r="B24822" s="4" t="s">
        <v>31240</v>
      </c>
      <c r="C24822" s="5" t="str">
        <f>IFERROR(__xludf.DUMMYFUNCTION("GOOGLETRANSLATE(B24822,""en"",""de"")"),"Die Person schwebt im Wasser.")</f>
        <v>Die Person schwebt im Wasser.</v>
      </c>
    </row>
    <row r="24823">
      <c r="A24823" s="4" t="s">
        <v>31241</v>
      </c>
      <c r="B24823" s="4" t="s">
        <v>31242</v>
      </c>
      <c r="C24823" s="5" t="str">
        <f>IFERROR(__xludf.DUMMYFUNCTION("GOOGLETRANSLATE(B24823,""en"",""de"")"),"Ein Athlet dreht sich und wirft einen Schuss auf ein großes Spielfeld eines Stadions.")</f>
        <v>Ein Athlet dreht sich und wirft einen Schuss auf ein großes Spielfeld eines Stadions.</v>
      </c>
    </row>
    <row r="24824">
      <c r="A24824" s="4" t="s">
        <v>31241</v>
      </c>
      <c r="B24824" s="4" t="s">
        <v>31243</v>
      </c>
      <c r="C24824" s="5" t="str">
        <f>IFERROR(__xludf.DUMMYFUNCTION("GOOGLETRANSLATE(B24824,""en"",""de"")"),"Der Mann feiert und gibt einen Daumen hoch.")</f>
        <v>Der Mann feiert und gibt einen Daumen hoch.</v>
      </c>
    </row>
    <row r="24825">
      <c r="A24825" s="4" t="s">
        <v>31241</v>
      </c>
      <c r="B24825" s="4" t="s">
        <v>31244</v>
      </c>
      <c r="C24825" s="5" t="str">
        <f>IFERROR(__xludf.DUMMYFUNCTION("GOOGLETRANSLATE(B24825,""en"",""de"")"),"Ein zweiter Athlet im grauen Hemd wirft einen Shotput.")</f>
        <v>Ein zweiter Athlet im grauen Hemd wirft einen Shotput.</v>
      </c>
    </row>
    <row r="24826">
      <c r="A24826" s="4" t="s">
        <v>31241</v>
      </c>
      <c r="B24826" s="4" t="s">
        <v>31245</v>
      </c>
      <c r="C24826" s="5" t="str">
        <f>IFERROR(__xludf.DUMMYFUNCTION("GOOGLETRANSLATE(B24826,""en"",""de"")"),"Der Ball landet im Gras und der Mann ist vom Wurf enttäuscht und geht weg.")</f>
        <v>Der Ball landet im Gras und der Mann ist vom Wurf enttäuscht und geht weg.</v>
      </c>
    </row>
    <row r="24827">
      <c r="A24827" s="4" t="s">
        <v>31241</v>
      </c>
      <c r="B24827" s="4" t="s">
        <v>31246</v>
      </c>
      <c r="C24827" s="5" t="str">
        <f>IFERROR(__xludf.DUMMYFUNCTION("GOOGLETRANSLATE(B24827,""en"",""de"")"),"Ein großer Mann in gelbem Hemd und Stirnband dreht sich und wirft einen Schluss, der links vom Feld leitet.")</f>
        <v>Ein großer Mann in gelbem Hemd und Stirnband dreht sich und wirft einen Schluss, der links vom Feld leitet.</v>
      </c>
    </row>
    <row r="24828">
      <c r="A24828" s="4" t="s">
        <v>31241</v>
      </c>
      <c r="B24828" s="4" t="s">
        <v>31247</v>
      </c>
      <c r="C24828" s="5" t="str">
        <f>IFERROR(__xludf.DUMMYFUNCTION("GOOGLETRANSLATE(B24828,""en"",""de"")"),"Der Mann ist zufrieden mit seinem Schuss und pumpt seine Faust.")</f>
        <v>Der Mann ist zufrieden mit seinem Schuss und pumpt seine Faust.</v>
      </c>
    </row>
    <row r="24829">
      <c r="A24829" s="4" t="s">
        <v>31241</v>
      </c>
      <c r="B24829" s="4" t="s">
        <v>31248</v>
      </c>
      <c r="C24829" s="5" t="str">
        <f>IFERROR(__xludf.DUMMYFUNCTION("GOOGLETRANSLATE(B24829,""en"",""de"")"),"Der Mann gibt seinen Teamkollegen hohe Fünfer.")</f>
        <v>Der Mann gibt seinen Teamkollegen hohe Fünfer.</v>
      </c>
    </row>
    <row r="24830">
      <c r="A24830" s="4" t="s">
        <v>31241</v>
      </c>
      <c r="B24830" s="4" t="s">
        <v>31249</v>
      </c>
      <c r="C24830" s="5" t="str">
        <f>IFERROR(__xludf.DUMMYFUNCTION("GOOGLETRANSLATE(B24830,""en"",""de"")"),"Ein Rack mit Bällen ist im Gras hinter den Punktzahlen für das Spiel zu sehen.")</f>
        <v>Ein Rack mit Bällen ist im Gras hinter den Punktzahlen für das Spiel zu sehen.</v>
      </c>
    </row>
    <row r="24831">
      <c r="A24831" s="4" t="s">
        <v>31241</v>
      </c>
      <c r="B24831" s="4" t="s">
        <v>31250</v>
      </c>
      <c r="C24831" s="5" t="str">
        <f>IFERROR(__xludf.DUMMYFUNCTION("GOOGLETRANSLATE(B24831,""en"",""de"")"),"Der Mann wartet unter anderen Athleten im Hintergrund auf seine Punktzahl auf der Strecke.")</f>
        <v>Der Mann wartet unter anderen Athleten im Hintergrund auf seine Punktzahl auf der Strecke.</v>
      </c>
    </row>
    <row r="24832">
      <c r="A24832" s="4" t="s">
        <v>31251</v>
      </c>
      <c r="B24832" s="4" t="s">
        <v>31252</v>
      </c>
      <c r="C24832" s="5" t="str">
        <f>IFERROR(__xludf.DUMMYFUNCTION("GOOGLETRANSLATE(B24832,""en"",""de"")"),"Die Menschen pflegen und putzen Hunde in einer öffentlichen Einrichtung.")</f>
        <v>Die Menschen pflegen und putzen Hunde in einer öffentlichen Einrichtung.</v>
      </c>
    </row>
    <row r="24833">
      <c r="A24833" s="4" t="s">
        <v>31251</v>
      </c>
      <c r="B24833" s="4" t="s">
        <v>31253</v>
      </c>
      <c r="C24833" s="5" t="str">
        <f>IFERROR(__xludf.DUMMYFUNCTION("GOOGLETRANSLATE(B24833,""en"",""de"")"),"Frauen machen sich Sorgen von Hunden, die lange Haare haben.")</f>
        <v>Frauen machen sich Sorgen von Hunden, die lange Haare haben.</v>
      </c>
    </row>
    <row r="24834">
      <c r="A24834" s="4" t="s">
        <v>31251</v>
      </c>
      <c r="B24834" s="4" t="s">
        <v>31254</v>
      </c>
      <c r="C24834" s="5" t="str">
        <f>IFERROR(__xludf.DUMMYFUNCTION("GOOGLETRANSLATE(B24834,""en"",""de"")"),"Eine Frau kümmert sich um einen Pudel, während andere Frau einen großen Hund streichelt.")</f>
        <v>Eine Frau kümmert sich um einen Pudel, während andere Frau einen großen Hund streichelt.</v>
      </c>
    </row>
    <row r="24835">
      <c r="A24835" s="4" t="s">
        <v>31251</v>
      </c>
      <c r="B24835" s="4" t="s">
        <v>31255</v>
      </c>
      <c r="C24835" s="5" t="str">
        <f>IFERROR(__xludf.DUMMYFUNCTION("GOOGLETRANSLATE(B24835,""en"",""de"")"),"Eine Frau spricht vor einem Hund, während er streichelt.")</f>
        <v>Eine Frau spricht vor einem Hund, während er streichelt.</v>
      </c>
    </row>
    <row r="24836">
      <c r="A24836" s="4" t="s">
        <v>31256</v>
      </c>
      <c r="B24836" s="4" t="s">
        <v>31257</v>
      </c>
      <c r="C24836" s="5" t="str">
        <f>IFERROR(__xludf.DUMMYFUNCTION("GOOGLETRANSLATE(B24836,""en"",""de"")"),"Ein Mann wird gezeigt, der ein Lied in Googles Londoner Büros aufführt.")</f>
        <v>Ein Mann wird gezeigt, der ein Lied in Googles Londoner Büros aufführt.</v>
      </c>
    </row>
    <row r="24837">
      <c r="A24837" s="4" t="s">
        <v>31256</v>
      </c>
      <c r="B24837" s="4" t="s">
        <v>31258</v>
      </c>
      <c r="C24837" s="5" t="str">
        <f>IFERROR(__xludf.DUMMYFUNCTION("GOOGLETRANSLATE(B24837,""en"",""de"")"),"Sie stehen in einem Büroraum und spielen die Flöte.")</f>
        <v>Sie stehen in einem Büroraum und spielen die Flöte.</v>
      </c>
    </row>
    <row r="24838">
      <c r="A24838" s="4" t="s">
        <v>31256</v>
      </c>
      <c r="B24838" s="4" t="s">
        <v>31259</v>
      </c>
      <c r="C24838" s="5" t="str">
        <f>IFERROR(__xludf.DUMMYFUNCTION("GOOGLETRANSLATE(B24838,""en"",""de"")"),"Der Mann beginnt sich wirklich darauf einzugehen und jubelt sehr leidenschaftlich zu, wie ein Menschen zu sehen ist.")</f>
        <v>Der Mann beginnt sich wirklich darauf einzugehen und jubelt sehr leidenschaftlich zu, wie ein Menschen zu sehen ist.</v>
      </c>
    </row>
    <row r="24839">
      <c r="A24839" s="4" t="s">
        <v>31256</v>
      </c>
      <c r="B24839" s="4" t="s">
        <v>31260</v>
      </c>
      <c r="C24839" s="5" t="str">
        <f>IFERROR(__xludf.DUMMYFUNCTION("GOOGLETRANSLATE(B24839,""en"",""de"")"),"Eine Nahaufnahme zeigt, dass er immer wieder spielt.")</f>
        <v>Eine Nahaufnahme zeigt, dass er immer wieder spielt.</v>
      </c>
    </row>
    <row r="24840">
      <c r="A24840" s="4" t="s">
        <v>31256</v>
      </c>
      <c r="B24840" s="4" t="s">
        <v>31261</v>
      </c>
      <c r="C24840" s="5" t="str">
        <f>IFERROR(__xludf.DUMMYFUNCTION("GOOGLETRANSLATE(B24840,""en"",""de"")"),"Dann beendet er das Lied mit einer Runde Applaus und geht aus dem Rahmen.")</f>
        <v>Dann beendet er das Lied mit einer Runde Applaus und geht aus dem Rahmen.</v>
      </c>
    </row>
    <row r="24841">
      <c r="A24841" s="4" t="s">
        <v>31262</v>
      </c>
      <c r="B24841" s="4" t="s">
        <v>31263</v>
      </c>
      <c r="C24841" s="5" t="str">
        <f>IFERROR(__xludf.DUMMYFUNCTION("GOOGLETRANSLATE(B24841,""en"",""de"")"),"Ein Mann kniet auf dem Boden, während er ein Bügeleisen in seinen Händen hält.")</f>
        <v>Ein Mann kniet auf dem Boden, während er ein Bügeleisen in seinen Händen hält.</v>
      </c>
    </row>
    <row r="24842">
      <c r="A24842" s="4" t="s">
        <v>31262</v>
      </c>
      <c r="B24842" s="4" t="s">
        <v>31264</v>
      </c>
      <c r="C24842" s="5" t="str">
        <f>IFERROR(__xludf.DUMMYFUNCTION("GOOGLETRANSLATE(B24842,""en"",""de"")"),"Er beugt sich mit dem Eisen, um das Hemd zu bügeln, und legt es nieder.")</f>
        <v>Er beugt sich mit dem Eisen, um das Hemd zu bügeln, und legt es nieder.</v>
      </c>
    </row>
    <row r="24843">
      <c r="A24843" s="4" t="s">
        <v>31262</v>
      </c>
      <c r="B24843" s="4" t="s">
        <v>31265</v>
      </c>
      <c r="C24843" s="5" t="str">
        <f>IFERROR(__xludf.DUMMYFUNCTION("GOOGLETRANSLATE(B24843,""en"",""de"")"),"Danach deckt er seine Ohren ab und schaut vor Schmerzen weg.")</f>
        <v>Danach deckt er seine Ohren ab und schaut vor Schmerzen weg.</v>
      </c>
    </row>
    <row r="24844">
      <c r="A24844" s="4" t="s">
        <v>31266</v>
      </c>
      <c r="B24844" s="4" t="s">
        <v>31267</v>
      </c>
      <c r="C24844" s="5" t="str">
        <f>IFERROR(__xludf.DUMMYFUNCTION("GOOGLETRANSLATE(B24844,""en"",""de"")"),"Ein Mann in einem weißen Hemd und Hut setzt sich.")</f>
        <v>Ein Mann in einem weißen Hemd und Hut setzt sich.</v>
      </c>
    </row>
    <row r="24845">
      <c r="A24845" s="4" t="s">
        <v>31266</v>
      </c>
      <c r="B24845" s="4" t="s">
        <v>31268</v>
      </c>
      <c r="C24845" s="5" t="str">
        <f>IFERROR(__xludf.DUMMYFUNCTION("GOOGLETRANSLATE(B24845,""en"",""de"")"),"Er spielt zwei Schlagzeug vor ihm.")</f>
        <v>Er spielt zwei Schlagzeug vor ihm.</v>
      </c>
    </row>
    <row r="24846">
      <c r="A24846" s="4" t="s">
        <v>31266</v>
      </c>
      <c r="B24846" s="4" t="s">
        <v>31269</v>
      </c>
      <c r="C24846" s="5" t="str">
        <f>IFERROR(__xludf.DUMMYFUNCTION("GOOGLETRANSLATE(B24846,""en"",""de"")"),"Er hört auf, sie zu spielen und setzt sich gerade auf.")</f>
        <v>Er hört auf, sie zu spielen und setzt sich gerade auf.</v>
      </c>
    </row>
    <row r="24847">
      <c r="A24847" s="4" t="s">
        <v>31270</v>
      </c>
      <c r="B24847" s="4" t="s">
        <v>31271</v>
      </c>
      <c r="C24847" s="5" t="str">
        <f>IFERROR(__xludf.DUMMYFUNCTION("GOOGLETRANSLATE(B24847,""en"",""de"")"),"Ein Junge serviert einen Tennisball.")</f>
        <v>Ein Junge serviert einen Tennisball.</v>
      </c>
    </row>
    <row r="24848">
      <c r="A24848" s="4" t="s">
        <v>31270</v>
      </c>
      <c r="B24848" s="4" t="s">
        <v>31272</v>
      </c>
      <c r="C24848" s="5" t="str">
        <f>IFERROR(__xludf.DUMMYFUNCTION("GOOGLETRANSLATE(B24848,""en"",""de"")"),"Dann dient er zwei weitere.")</f>
        <v>Dann dient er zwei weitere.</v>
      </c>
    </row>
    <row r="24849">
      <c r="A24849" s="4" t="s">
        <v>31270</v>
      </c>
      <c r="B24849" s="4" t="s">
        <v>31273</v>
      </c>
      <c r="C24849" s="5" t="str">
        <f>IFERROR(__xludf.DUMMYFUNCTION("GOOGLETRANSLATE(B24849,""en"",""de"")"),"Der Junge dreht sich um und geht weg.")</f>
        <v>Der Junge dreht sich um und geht weg.</v>
      </c>
    </row>
    <row r="24850">
      <c r="A24850" s="4" t="s">
        <v>31274</v>
      </c>
      <c r="B24850" s="4" t="s">
        <v>31275</v>
      </c>
      <c r="C24850" s="5" t="str">
        <f>IFERROR(__xludf.DUMMYFUNCTION("GOOGLETRANSLATE(B24850,""en"",""de"")"),"Ein Teenager spricht und hält eine Leine eines Hundes, während ein junger Mann einen Hund auf einer Couch streichelt.")</f>
        <v>Ein Teenager spricht und hält eine Leine eines Hundes, während ein junger Mann einen Hund auf einer Couch streichelt.</v>
      </c>
    </row>
    <row r="24851">
      <c r="A24851" s="4" t="s">
        <v>31274</v>
      </c>
      <c r="B24851" s="4" t="s">
        <v>31276</v>
      </c>
      <c r="C24851" s="5" t="str">
        <f>IFERROR(__xludf.DUMMYFUNCTION("GOOGLETRANSLATE(B24851,""en"",""de"")"),"Dann läuft der Teenager mit dem Hund, andere Jugendspiele Frisbee, nachdem der Teenager gesprochen hatte.")</f>
        <v>Dann läuft der Teenager mit dem Hund, andere Jugendspiele Frisbee, nachdem der Teenager gesprochen hatte.</v>
      </c>
    </row>
    <row r="24852">
      <c r="A24852" s="4" t="s">
        <v>31274</v>
      </c>
      <c r="B24852" s="4" t="s">
        <v>31277</v>
      </c>
      <c r="C24852" s="5" t="str">
        <f>IFERROR(__xludf.DUMMYFUNCTION("GOOGLETRANSLATE(B24852,""en"",""de"")"),"Eine Frau liest ein Buch, das sich auf eine Dispenser -Soda -Maschine stützt.")</f>
        <v>Eine Frau liest ein Buch, das sich auf eine Dispenser -Soda -Maschine stützt.</v>
      </c>
    </row>
    <row r="24853">
      <c r="A24853" s="4" t="s">
        <v>31274</v>
      </c>
      <c r="B24853" s="4" t="s">
        <v>31278</v>
      </c>
      <c r="C24853" s="5" t="str">
        <f>IFERROR(__xludf.DUMMYFUNCTION("GOOGLETRANSLATE(B24853,""en"",""de"")"),"Ein Mann geht auf einem Parkplatz und der Straße einen Hund.")</f>
        <v>Ein Mann geht auf einem Parkplatz und der Straße einen Hund.</v>
      </c>
    </row>
    <row r="24854">
      <c r="A24854" s="4" t="s">
        <v>31274</v>
      </c>
      <c r="B24854" s="4" t="s">
        <v>31279</v>
      </c>
      <c r="C24854" s="5" t="str">
        <f>IFERROR(__xludf.DUMMYFUNCTION("GOOGLETRANSLATE(B24854,""en"",""de"")"),"Danach sind der Teenager und der junge Mann drinnen.")</f>
        <v>Danach sind der Teenager und der junge Mann drinnen.</v>
      </c>
    </row>
    <row r="24855">
      <c r="A24855" s="4" t="s">
        <v>31280</v>
      </c>
      <c r="B24855" s="4" t="s">
        <v>31281</v>
      </c>
      <c r="C24855" s="5" t="str">
        <f>IFERROR(__xludf.DUMMYFUNCTION("GOOGLETRANSLATE(B24855,""en"",""de"")"),"Das Video beginnt damit, dass ein Lockenspiel von Overhead aus gezeigt wird.")</f>
        <v>Das Video beginnt damit, dass ein Lockenspiel von Overhead aus gezeigt wird.</v>
      </c>
    </row>
    <row r="24856">
      <c r="A24856" s="4" t="s">
        <v>31280</v>
      </c>
      <c r="B24856" s="4" t="s">
        <v>31282</v>
      </c>
      <c r="C24856" s="5" t="str">
        <f>IFERROR(__xludf.DUMMYFUNCTION("GOOGLETRANSLATE(B24856,""en"",""de"")"),"Die Kamera zeigt dann eine Dame über das Eis.")</f>
        <v>Die Kamera zeigt dann eine Dame über das Eis.</v>
      </c>
    </row>
    <row r="24857">
      <c r="A24857" s="4" t="s">
        <v>31280</v>
      </c>
      <c r="B24857" s="4" t="s">
        <v>31283</v>
      </c>
      <c r="C24857" s="5" t="str">
        <f>IFERROR(__xludf.DUMMYFUNCTION("GOOGLETRANSLATE(B24857,""en"",""de"")"),"Dann konzentriert sich die Kamera wieder auf das Lockenspiel, das eine Dame zeigt, die kurz dreht.")</f>
        <v>Dann konzentriert sich die Kamera wieder auf das Lockenspiel, das eine Dame zeigt, die kurz dreht.</v>
      </c>
    </row>
    <row r="24858">
      <c r="A24858" s="4" t="s">
        <v>31280</v>
      </c>
      <c r="B24858" s="4" t="s">
        <v>31284</v>
      </c>
      <c r="C24858" s="5" t="str">
        <f>IFERROR(__xludf.DUMMYFUNCTION("GOOGLETRANSLATE(B24858,""en"",""de"")"),"Sie kehren in den Überkopfwinkel des Spiels zurück, während sich die Dame auf das Schießen vorbereitet.")</f>
        <v>Sie kehren in den Überkopfwinkel des Spiels zurück, während sich die Dame auf das Schießen vorbereitet.</v>
      </c>
    </row>
    <row r="24859">
      <c r="A24859" s="4" t="s">
        <v>31280</v>
      </c>
      <c r="B24859" s="4" t="s">
        <v>31285</v>
      </c>
      <c r="C24859" s="5" t="str">
        <f>IFERROR(__xludf.DUMMYFUNCTION("GOOGLETRANSLATE(B24859,""en"",""de"")"),"Andere Spieler sehen in Erwartung zu.")</f>
        <v>Andere Spieler sehen in Erwartung zu.</v>
      </c>
    </row>
    <row r="24860">
      <c r="A24860" s="4" t="s">
        <v>31280</v>
      </c>
      <c r="B24860" s="4" t="s">
        <v>31286</v>
      </c>
      <c r="C24860" s="5" t="str">
        <f>IFERROR(__xludf.DUMMYFUNCTION("GOOGLETRANSLATE(B24860,""en"",""de"")"),"Der Player macht den Schuss und die Kamera folgt mit.")</f>
        <v>Der Player macht den Schuss und die Kamera folgt mit.</v>
      </c>
    </row>
    <row r="24861">
      <c r="A24861" s="4" t="s">
        <v>31280</v>
      </c>
      <c r="B24861" s="4" t="s">
        <v>31287</v>
      </c>
      <c r="C24861" s="5" t="str">
        <f>IFERROR(__xludf.DUMMYFUNCTION("GOOGLETRANSLATE(B24861,""en"",""de"")"),"Die Menge jubelt und eine Wiederholung des Schusses wird gezeigt.")</f>
        <v>Die Menge jubelt und eine Wiederholung des Schusses wird gezeigt.</v>
      </c>
    </row>
    <row r="24862">
      <c r="A24862" s="4" t="s">
        <v>31288</v>
      </c>
      <c r="B24862" s="4" t="s">
        <v>31289</v>
      </c>
      <c r="C24862" s="5" t="str">
        <f>IFERROR(__xludf.DUMMYFUNCTION("GOOGLETRANSLATE(B24862,""en"",""de"")"),"Eine Person snowboarden allein im Innenräumen.")</f>
        <v>Eine Person snowboarden allein im Innenräumen.</v>
      </c>
    </row>
    <row r="24863">
      <c r="A24863" s="4" t="s">
        <v>31288</v>
      </c>
      <c r="B24863" s="4" t="s">
        <v>31290</v>
      </c>
      <c r="C24863" s="5" t="str">
        <f>IFERROR(__xludf.DUMMYFUNCTION("GOOGLETRANSLATE(B24863,""en"",""de"")"),"Die Person ist im Zick-Zack mit seinem Brett einen Hang hinunter.")</f>
        <v>Die Person ist im Zick-Zack mit seinem Brett einen Hang hinunter.</v>
      </c>
    </row>
    <row r="24864">
      <c r="A24864" s="4" t="s">
        <v>31288</v>
      </c>
      <c r="B24864" s="4" t="s">
        <v>31291</v>
      </c>
      <c r="C24864" s="5" t="str">
        <f>IFERROR(__xludf.DUMMYFUNCTION("GOOGLETRANSLATE(B24864,""en"",""de"")"),"Die Person dreht sich am Ende des Hangs mit ausgedehnten Armen um.")</f>
        <v>Die Person dreht sich am Ende des Hangs mit ausgedehnten Armen um.</v>
      </c>
    </row>
    <row r="24865">
      <c r="A24865" s="4" t="s">
        <v>31292</v>
      </c>
      <c r="B24865" s="4" t="s">
        <v>31293</v>
      </c>
      <c r="C24865" s="5" t="str">
        <f>IFERROR(__xludf.DUMMYFUNCTION("GOOGLETRANSLATE(B24865,""en"",""de"")"),"Ein junger Mann sitzt hinter einem Drum -Set, der Stöcke hält.")</f>
        <v>Ein junger Mann sitzt hinter einem Drum -Set, der Stöcke hält.</v>
      </c>
    </row>
    <row r="24866">
      <c r="A24866" s="4" t="s">
        <v>31292</v>
      </c>
      <c r="B24866" s="4" t="s">
        <v>31294</v>
      </c>
      <c r="C24866" s="5" t="str">
        <f>IFERROR(__xludf.DUMMYFUNCTION("GOOGLETRANSLATE(B24866,""en"",""de"")"),"Der Mann beginnt kontinuierlich Schlagzeug zu spielen, während die Kamera seine Bewegungen einfängt.")</f>
        <v>Der Mann beginnt kontinuierlich Schlagzeug zu spielen, während die Kamera seine Bewegungen einfängt.</v>
      </c>
    </row>
    <row r="24867">
      <c r="A24867" s="4" t="s">
        <v>31292</v>
      </c>
      <c r="B24867" s="4" t="s">
        <v>31295</v>
      </c>
      <c r="C24867" s="5" t="str">
        <f>IFERROR(__xludf.DUMMYFUNCTION("GOOGLETRANSLATE(B24867,""en"",""de"")"),"Er spielt immer noch Schlagzeug und endet mit seinen Händen.")</f>
        <v>Er spielt immer noch Schlagzeug und endet mit seinen Händen.</v>
      </c>
    </row>
    <row r="24868">
      <c r="A24868" s="4" t="s">
        <v>31296</v>
      </c>
      <c r="B24868" s="4" t="s">
        <v>31297</v>
      </c>
      <c r="C24868" s="5" t="str">
        <f>IFERROR(__xludf.DUMMYFUNCTION("GOOGLETRANSLATE(B24868,""en"",""de"")"),"Ein Kleinkind trifft eine Piñata mit einem Fledermaus, während es sich dreht.")</f>
        <v>Ein Kleinkind trifft eine Piñata mit einem Fledermaus, während es sich dreht.</v>
      </c>
    </row>
    <row r="24869">
      <c r="A24869" s="4" t="s">
        <v>31296</v>
      </c>
      <c r="B24869" s="4" t="s">
        <v>31298</v>
      </c>
      <c r="C24869" s="5" t="str">
        <f>IFERROR(__xludf.DUMMYFUNCTION("GOOGLETRANSLATE(B24869,""en"",""de"")"),"Eine Person ist in der Nähe des Jungen, der einen Arm zeigt.")</f>
        <v>Eine Person ist in der Nähe des Jungen, der einen Arm zeigt.</v>
      </c>
    </row>
    <row r="24870">
      <c r="A24870" s="4" t="s">
        <v>31299</v>
      </c>
      <c r="B24870" s="4" t="s">
        <v>31300</v>
      </c>
      <c r="C24870" s="5" t="str">
        <f>IFERROR(__xludf.DUMMYFUNCTION("GOOGLETRANSLATE(B24870,""en"",""de"")"),"Die Szene sagt River Scum mit einem schwarzen Hintergrund.")</f>
        <v>Die Szene sagt River Scum mit einem schwarzen Hintergrund.</v>
      </c>
    </row>
    <row r="24871">
      <c r="A24871" s="4" t="s">
        <v>31299</v>
      </c>
      <c r="B24871" s="4" t="s">
        <v>31301</v>
      </c>
      <c r="C24871" s="5" t="str">
        <f>IFERROR(__xludf.DUMMYFUNCTION("GOOGLETRANSLATE(B24871,""en"",""de"")"),"Ein Kajak geht einen Fluss hinunter, während eine Person paddelt.")</f>
        <v>Ein Kajak geht einen Fluss hinunter, während eine Person paddelt.</v>
      </c>
    </row>
    <row r="24872">
      <c r="A24872" s="4" t="s">
        <v>31299</v>
      </c>
      <c r="B24872" s="4" t="s">
        <v>31302</v>
      </c>
      <c r="C24872" s="5" t="str">
        <f>IFERROR(__xludf.DUMMYFUNCTION("GOOGLETRANSLATE(B24872,""en"",""de"")"),"Ein Bildschirm kommt mit Worten.")</f>
        <v>Ein Bildschirm kommt mit Worten.</v>
      </c>
    </row>
    <row r="24873">
      <c r="A24873" s="4" t="s">
        <v>31303</v>
      </c>
      <c r="B24873" s="4" t="s">
        <v>31304</v>
      </c>
      <c r="C24873" s="5" t="str">
        <f>IFERROR(__xludf.DUMMYFUNCTION("GOOGLETRANSLATE(B24873,""en"",""de"")"),"Eine kleine Gruppe von Menschen sitzt in einem Floß mit Nahaufnahmen ihrer Füße und Paddel werden gezeigt.")</f>
        <v>Eine kleine Gruppe von Menschen sitzt in einem Floß mit Nahaufnahmen ihrer Füße und Paddel werden gezeigt.</v>
      </c>
    </row>
    <row r="24874">
      <c r="A24874" s="4" t="s">
        <v>31303</v>
      </c>
      <c r="B24874" s="4" t="s">
        <v>31305</v>
      </c>
      <c r="C24874" s="5" t="str">
        <f>IFERROR(__xludf.DUMMYFUNCTION("GOOGLETRANSLATE(B24874,""en"",""de"")"),"Ein Mann spricht mit der Gruppe und führt in sie in sie und paddelt einen Fluss hinunter.")</f>
        <v>Ein Mann spricht mit der Gruppe und führt in sie in sie und paddelt einen Fluss hinunter.</v>
      </c>
    </row>
    <row r="24875">
      <c r="A24875" s="4" t="s">
        <v>31303</v>
      </c>
      <c r="B24875" s="4" t="s">
        <v>31306</v>
      </c>
      <c r="C24875" s="5" t="str">
        <f>IFERROR(__xludf.DUMMYFUNCTION("GOOGLETRANSLATE(B24875,""en"",""de"")"),"Die Gruppe fährt weiter den Fluss hinunter und zeigt Nahaufnahmen von ihnen, die mit einem Logo auf dem Bildschirm arbeiten und enden.")</f>
        <v>Die Gruppe fährt weiter den Fluss hinunter und zeigt Nahaufnahmen von ihnen, die mit einem Logo auf dem Bildschirm arbeiten und enden.</v>
      </c>
    </row>
    <row r="24876">
      <c r="A24876" s="4" t="s">
        <v>31307</v>
      </c>
      <c r="B24876" s="4" t="s">
        <v>31308</v>
      </c>
      <c r="C24876" s="5" t="str">
        <f>IFERROR(__xludf.DUMMYFUNCTION("GOOGLETRANSLATE(B24876,""en"",""de"")"),"Ein schwarzer Stier wird mit einem Dummy verspottet, der an einem Seil hängt, als der Bulle am Dummy stürzt.")</f>
        <v>Ein schwarzer Stier wird mit einem Dummy verspottet, der an einem Seil hängt, als der Bulle am Dummy stürzt.</v>
      </c>
    </row>
    <row r="24877">
      <c r="A24877" s="4" t="s">
        <v>31307</v>
      </c>
      <c r="B24877" s="4" t="s">
        <v>31309</v>
      </c>
      <c r="C24877" s="5" t="str">
        <f>IFERROR(__xludf.DUMMYFUNCTION("GOOGLETRANSLATE(B24877,""en"",""de"")"),"Ein Mann mit einem grün -weißen Regenschirm verspottet einen schwarzen Stier auf einem Seil, während die Zuschauer auch den Stier von der Seite an einer Wand verspotten.")</f>
        <v>Ein Mann mit einem grün -weißen Regenschirm verspottet einen schwarzen Stier auf einem Seil, während die Zuschauer auch den Stier von der Seite an einer Wand verspotten.</v>
      </c>
    </row>
    <row r="24878">
      <c r="A24878" s="4" t="s">
        <v>31307</v>
      </c>
      <c r="B24878" s="4" t="s">
        <v>31310</v>
      </c>
      <c r="C24878" s="5" t="str">
        <f>IFERROR(__xludf.DUMMYFUNCTION("GOOGLETRANSLATE(B24878,""en"",""de"")"),"Der schwarze Bulle stürzt bei einem anderen Dummy und der Dummy wird auf dem Bullenhorn gefangen, als der Bulle nach anderen verspottenden Zielen davonläuft.")</f>
        <v>Der schwarze Bulle stürzt bei einem anderen Dummy und der Dummy wird auf dem Bullenhorn gefangen, als der Bulle nach anderen verspottenden Zielen davonläuft.</v>
      </c>
    </row>
    <row r="24879">
      <c r="A24879" s="4" t="s">
        <v>31311</v>
      </c>
      <c r="B24879" s="4" t="s">
        <v>31312</v>
      </c>
      <c r="C24879" s="5" t="str">
        <f>IFERROR(__xludf.DUMMYFUNCTION("GOOGLETRANSLATE(B24879,""en"",""de"")"),"Ein Mann hält eine Axt im Wald.")</f>
        <v>Ein Mann hält eine Axt im Wald.</v>
      </c>
    </row>
    <row r="24880">
      <c r="A24880" s="4" t="s">
        <v>31311</v>
      </c>
      <c r="B24880" s="4" t="s">
        <v>31313</v>
      </c>
      <c r="C24880" s="5" t="str">
        <f>IFERROR(__xludf.DUMMYFUNCTION("GOOGLETRANSLATE(B24880,""en"",""de"")"),"Er redet und passt einen großen Stumpf an.")</f>
        <v>Er redet und passt einen großen Stumpf an.</v>
      </c>
    </row>
    <row r="24881">
      <c r="A24881" s="4" t="s">
        <v>31311</v>
      </c>
      <c r="B24881" s="4" t="s">
        <v>31314</v>
      </c>
      <c r="C24881" s="5" t="str">
        <f>IFERROR(__xludf.DUMMYFUNCTION("GOOGLETRANSLATE(B24881,""en"",""de"")"),"Er benutzt die Axt, um das Holz zu teilen.")</f>
        <v>Er benutzt die Axt, um das Holz zu teilen.</v>
      </c>
    </row>
    <row r="24882">
      <c r="A24882" s="4" t="s">
        <v>31315</v>
      </c>
      <c r="B24882" s="4" t="s">
        <v>31316</v>
      </c>
      <c r="C24882" s="5" t="str">
        <f>IFERROR(__xludf.DUMMYFUNCTION("GOOGLETRANSLATE(B24882,""en"",""de"")"),"Wir sehen eine Dame, die auf einer schlaffen Linie hüpft.")</f>
        <v>Wir sehen eine Dame, die auf einer schlaffen Linie hüpft.</v>
      </c>
    </row>
    <row r="24883">
      <c r="A24883" s="4" t="s">
        <v>31315</v>
      </c>
      <c r="B24883" s="4" t="s">
        <v>31317</v>
      </c>
      <c r="C24883" s="5" t="str">
        <f>IFERROR(__xludf.DUMMYFUNCTION("GOOGLETRANSLATE(B24883,""en"",""de"")"),"Die Dame sitzt auf den Knien.")</f>
        <v>Die Dame sitzt auf den Knien.</v>
      </c>
    </row>
    <row r="24884">
      <c r="A24884" s="4" t="s">
        <v>31315</v>
      </c>
      <c r="B24884" s="4" t="s">
        <v>31318</v>
      </c>
      <c r="C24884" s="5" t="str">
        <f>IFERROR(__xludf.DUMMYFUNCTION("GOOGLETRANSLATE(B24884,""en"",""de"")"),"Der Mann im Hintergrund nimmt Schnee auf.")</f>
        <v>Der Mann im Hintergrund nimmt Schnee auf.</v>
      </c>
    </row>
    <row r="24885">
      <c r="A24885" s="4" t="s">
        <v>31315</v>
      </c>
      <c r="B24885" s="4" t="s">
        <v>31319</v>
      </c>
      <c r="C24885" s="5" t="str">
        <f>IFERROR(__xludf.DUMMYFUNCTION("GOOGLETRANSLATE(B24885,""en"",""de"")"),"Die Dame fällt von der lockeren Linie.")</f>
        <v>Die Dame fällt von der lockeren Linie.</v>
      </c>
    </row>
    <row r="24886">
      <c r="A24886" s="4" t="s">
        <v>31315</v>
      </c>
      <c r="B24886" s="4" t="s">
        <v>31320</v>
      </c>
      <c r="C24886" s="5" t="str">
        <f>IFERROR(__xludf.DUMMYFUNCTION("GOOGLETRANSLATE(B24886,""en"",""de"")"),"Wir sehen einen Mann, der auf der Slack -Linie hüpft.")</f>
        <v>Wir sehen einen Mann, der auf der Slack -Linie hüpft.</v>
      </c>
    </row>
    <row r="24887">
      <c r="A24887" s="4" t="s">
        <v>31315</v>
      </c>
      <c r="B24887" s="4" t="s">
        <v>31321</v>
      </c>
      <c r="C24887" s="5" t="str">
        <f>IFERROR(__xludf.DUMMYFUNCTION("GOOGLETRANSLATE(B24887,""en"",""de"")"),"Wir kehren zurück zu der First Lady, die springt.")</f>
        <v>Wir kehren zurück zu der First Lady, die springt.</v>
      </c>
    </row>
    <row r="24888">
      <c r="A24888" s="4" t="s">
        <v>31315</v>
      </c>
      <c r="B24888" s="4" t="s">
        <v>31322</v>
      </c>
      <c r="C24888" s="5" t="str">
        <f>IFERROR(__xludf.DUMMYFUNCTION("GOOGLETRANSLATE(B24888,""en"",""de"")"),"Die Dame springt von der Schlafflinie und steigt wieder an.")</f>
        <v>Die Dame springt von der Schlafflinie und steigt wieder an.</v>
      </c>
    </row>
    <row r="24889">
      <c r="A24889" s="4" t="s">
        <v>31315</v>
      </c>
      <c r="B24889" s="4" t="s">
        <v>31323</v>
      </c>
      <c r="C24889" s="5" t="str">
        <f>IFERROR(__xludf.DUMMYFUNCTION("GOOGLETRANSLATE(B24889,""en"",""de"")"),"Die Dame dreht sich beim Sprüßen.")</f>
        <v>Die Dame dreht sich beim Sprüßen.</v>
      </c>
    </row>
    <row r="24890">
      <c r="A24890" s="4" t="s">
        <v>31315</v>
      </c>
      <c r="B24890" s="4" t="s">
        <v>31324</v>
      </c>
      <c r="C24890" s="5" t="str">
        <f>IFERROR(__xludf.DUMMYFUNCTION("GOOGLETRANSLATE(B24890,""en"",""de"")"),"Die Dame springt dann wieder auf.")</f>
        <v>Die Dame springt dann wieder auf.</v>
      </c>
    </row>
    <row r="24891">
      <c r="A24891" s="4" t="s">
        <v>31325</v>
      </c>
      <c r="B24891" s="4" t="s">
        <v>31326</v>
      </c>
      <c r="C24891" s="5" t="str">
        <f>IFERROR(__xludf.DUMMYFUNCTION("GOOGLETRANSLATE(B24891,""en"",""de"")"),"Eine Gruppe von Männern sitzt draußen und spielt gemeinsam Instrumente.")</f>
        <v>Eine Gruppe von Männern sitzt draußen und spielt gemeinsam Instrumente.</v>
      </c>
    </row>
    <row r="24892">
      <c r="A24892" s="4" t="s">
        <v>31325</v>
      </c>
      <c r="B24892" s="4" t="s">
        <v>31327</v>
      </c>
      <c r="C24892" s="5" t="str">
        <f>IFERROR(__xludf.DUMMYFUNCTION("GOOGLETRANSLATE(B24892,""en"",""de"")"),"Einer der Männer hebt einen anderen einen Stock in eine Flöte, und er sitzt fertig und beginnt, darauf zu spielen.")</f>
        <v>Einer der Männer hebt einen anderen einen Stock in eine Flöte, und er sitzt fertig und beginnt, darauf zu spielen.</v>
      </c>
    </row>
    <row r="24893">
      <c r="A24893" s="4" t="s">
        <v>31325</v>
      </c>
      <c r="B24893" s="4" t="s">
        <v>31328</v>
      </c>
      <c r="C24893" s="5" t="str">
        <f>IFERROR(__xludf.DUMMYFUNCTION("GOOGLETRANSLATE(B24893,""en"",""de"")"),"Der Mann beginnt zusammen mit ihm Saxophon zu spielen.")</f>
        <v>Der Mann beginnt zusammen mit ihm Saxophon zu spielen.</v>
      </c>
    </row>
    <row r="24894">
      <c r="A24894" s="4" t="s">
        <v>31325</v>
      </c>
      <c r="B24894" s="4" t="s">
        <v>31329</v>
      </c>
      <c r="C24894" s="5" t="str">
        <f>IFERROR(__xludf.DUMMYFUNCTION("GOOGLETRANSLATE(B24894,""en"",""de"")"),"Die anderen Männer machen alle mit und machen alle zusammen Musik und haben eine schöne Zeit.")</f>
        <v>Die anderen Männer machen alle mit und machen alle zusammen Musik und haben eine schöne Zeit.</v>
      </c>
    </row>
    <row r="24895">
      <c r="A24895" s="4" t="s">
        <v>31330</v>
      </c>
      <c r="B24895" s="4" t="s">
        <v>31331</v>
      </c>
      <c r="C24895" s="5" t="str">
        <f>IFERROR(__xludf.DUMMYFUNCTION("GOOGLETRANSLATE(B24895,""en"",""de"")"),"Eine Person reitet ein Pferd in einem Feld, das einen Ball mit einem gekrümmten Stock tritt.")</f>
        <v>Eine Person reitet ein Pferd in einem Feld, das einen Ball mit einem gekrümmten Stock tritt.</v>
      </c>
    </row>
    <row r="24896">
      <c r="A24896" s="4" t="s">
        <v>31330</v>
      </c>
      <c r="B24896" s="4" t="s">
        <v>31332</v>
      </c>
      <c r="C24896" s="5" t="str">
        <f>IFERROR(__xludf.DUMMYFUNCTION("GOOGLETRANSLATE(B24896,""en"",""de"")"),"Die Leute spielen Polo im Feld Reitpferde.")</f>
        <v>Die Leute spielen Polo im Feld Reitpferde.</v>
      </c>
    </row>
    <row r="24897">
      <c r="A24897" s="4" t="s">
        <v>31330</v>
      </c>
      <c r="B24897" s="4" t="s">
        <v>31333</v>
      </c>
      <c r="C24897" s="5" t="str">
        <f>IFERROR(__xludf.DUMMYFUNCTION("GOOGLETRANSLATE(B24897,""en"",""de"")"),"Der Mann mit dem gekrümmten Stock läuft hinter den anderen Spielern und bestreitet den Ball und zahlt.")</f>
        <v>Der Mann mit dem gekrümmten Stock läuft hinter den anderen Spielern und bestreitet den Ball und zahlt.</v>
      </c>
    </row>
    <row r="24898">
      <c r="A24898" s="4" t="s">
        <v>31330</v>
      </c>
      <c r="B24898" s="4" t="s">
        <v>31334</v>
      </c>
      <c r="C24898" s="5" t="str">
        <f>IFERROR(__xludf.DUMMYFUNCTION("GOOGLETRANSLATE(B24898,""en"",""de"")"),"Danach läuft die Person hinter einem Spieler mit blauem T-Shirt, um den Ball zu treffen und zu punkten.")</f>
        <v>Danach läuft die Person hinter einem Spieler mit blauem T-Shirt, um den Ball zu treffen und zu punkten.</v>
      </c>
    </row>
    <row r="24899">
      <c r="A24899" s="4" t="s">
        <v>31335</v>
      </c>
      <c r="B24899" s="4" t="s">
        <v>31336</v>
      </c>
      <c r="C24899" s="5" t="str">
        <f>IFERROR(__xludf.DUMMYFUNCTION("GOOGLETRANSLATE(B24899,""en"",""de"")"),"Ein Mann wird gesehen, wie er sich auf dem Boden an seinem Bauch hält.")</f>
        <v>Ein Mann wird gesehen, wie er sich auf dem Boden an seinem Bauch hält.</v>
      </c>
    </row>
    <row r="24900">
      <c r="A24900" s="4" t="s">
        <v>31335</v>
      </c>
      <c r="B24900" s="4" t="s">
        <v>31337</v>
      </c>
      <c r="C24900" s="5" t="str">
        <f>IFERROR(__xludf.DUMMYFUNCTION("GOOGLETRANSLATE(B24900,""en"",""de"")"),"Er beginnt sich auf dem Boden auf und ab zu bewegt, während er sich an seiner Taille festhält.")</f>
        <v>Er beginnt sich auf dem Boden auf und ab zu bewegt, während er sich an seiner Taille festhält.</v>
      </c>
    </row>
    <row r="24901">
      <c r="A24901" s="4" t="s">
        <v>31335</v>
      </c>
      <c r="B24901" s="4" t="s">
        <v>31338</v>
      </c>
      <c r="C24901" s="5" t="str">
        <f>IFERROR(__xludf.DUMMYFUNCTION("GOOGLETRANSLATE(B24901,""en"",""de"")"),"Er bewegt sich weiter auf und ab, während die Kamera seine Bewegungen erfasst.")</f>
        <v>Er bewegt sich weiter auf und ab, während die Kamera seine Bewegungen erfasst.</v>
      </c>
    </row>
    <row r="24902">
      <c r="A24902" s="4" t="s">
        <v>31339</v>
      </c>
      <c r="B24902" s="4" t="s">
        <v>31340</v>
      </c>
      <c r="C24902" s="5" t="str">
        <f>IFERROR(__xludf.DUMMYFUNCTION("GOOGLETRANSLATE(B24902,""en"",""de"")"),"Eine Nahaufnahme einer Person, die eine Tasche hält, wird angezeigt und folgt der Person, die die Gegenstände herausnimmt.")</f>
        <v>Eine Nahaufnahme einer Person, die eine Tasche hält, wird angezeigt und folgt der Person, die die Gegenstände herausnimmt.</v>
      </c>
    </row>
    <row r="24903">
      <c r="A24903" s="4" t="s">
        <v>31339</v>
      </c>
      <c r="B24903" s="4" t="s">
        <v>31341</v>
      </c>
      <c r="C24903" s="5" t="str">
        <f>IFERROR(__xludf.DUMMYFUNCTION("GOOGLETRANSLATE(B24903,""en"",""de"")"),"Er legt die Gegenstände aus und führt ein Brett über einen Ski.")</f>
        <v>Er legt die Gegenstände aus und führt ein Brett über einen Ski.</v>
      </c>
    </row>
    <row r="24904">
      <c r="A24904" s="4" t="s">
        <v>31339</v>
      </c>
      <c r="B24904" s="4" t="s">
        <v>31342</v>
      </c>
      <c r="C24904" s="5" t="str">
        <f>IFERROR(__xludf.DUMMYFUNCTION("GOOGLETRANSLATE(B24904,""en"",""de"")"),"Er reibt schließlich wieder den Ski und legt die Kappe auf die Bar.")</f>
        <v>Er reibt schließlich wieder den Ski und legt die Kappe auf die Bar.</v>
      </c>
    </row>
    <row r="24905">
      <c r="A24905" s="4" t="s">
        <v>31343</v>
      </c>
      <c r="B24905" s="4" t="s">
        <v>31344</v>
      </c>
      <c r="C24905" s="5" t="str">
        <f>IFERROR(__xludf.DUMMYFUNCTION("GOOGLETRANSLATE(B24905,""en"",""de"")"),"Ein Mann schottet eine große Kerbe mit einer Axt in einen Lox.")</f>
        <v>Ein Mann schottet eine große Kerbe mit einer Axt in einen Lox.</v>
      </c>
    </row>
    <row r="24906">
      <c r="A24906" s="4" t="s">
        <v>31343</v>
      </c>
      <c r="B24906" s="4" t="s">
        <v>31345</v>
      </c>
      <c r="C24906" s="5" t="str">
        <f>IFERROR(__xludf.DUMMYFUNCTION("GOOGLETRANSLATE(B24906,""en"",""de"")"),"Der Mann benutzt seine behandschuhte Hand, um gespaltenes Holz aus dem Baumstamm wegzubürsten.")</f>
        <v>Der Mann benutzt seine behandschuhte Hand, um gespaltenes Holz aus dem Baumstamm wegzubürsten.</v>
      </c>
    </row>
    <row r="24907">
      <c r="A24907" s="4" t="s">
        <v>31346</v>
      </c>
      <c r="B24907" s="4" t="s">
        <v>31347</v>
      </c>
      <c r="C24907" s="5" t="str">
        <f>IFERROR(__xludf.DUMMYFUNCTION("GOOGLETRANSLATE(B24907,""en"",""de"")"),"Ein Intro führt zu einer Frau, die mit einem Hund verschiedene Tricks ausübt und Text für die Ausführung des Tricks zeigt.")</f>
        <v>Ein Intro führt zu einer Frau, die mit einem Hund verschiedene Tricks ausübt und Text für die Ausführung des Tricks zeigt.</v>
      </c>
    </row>
    <row r="24908">
      <c r="A24908" s="4" t="s">
        <v>31346</v>
      </c>
      <c r="B24908" s="4" t="s">
        <v>31348</v>
      </c>
      <c r="C24908" s="5" t="str">
        <f>IFERROR(__xludf.DUMMYFUNCTION("GOOGLETRANSLATE(B24908,""en"",""de"")"),"Die Frau führt weiterhin Tricks mit dem Hund durch und endet, indem sie zur Kamera geht.")</f>
        <v>Die Frau führt weiterhin Tricks mit dem Hund durch und endet, indem sie zur Kamera geht.</v>
      </c>
    </row>
    <row r="24909">
      <c r="A24909" s="4" t="s">
        <v>31349</v>
      </c>
      <c r="B24909" s="4" t="s">
        <v>31350</v>
      </c>
      <c r="C24909" s="5" t="str">
        <f>IFERROR(__xludf.DUMMYFUNCTION("GOOGLETRANSLATE(B24909,""en"",""de"")"),"Ein Haufen Billardspieler und Schüsse werden gezeigt.")</f>
        <v>Ein Haufen Billardspieler und Schüsse werden gezeigt.</v>
      </c>
    </row>
    <row r="24910">
      <c r="A24910" s="4" t="s">
        <v>31349</v>
      </c>
      <c r="B24910" s="4" t="s">
        <v>31351</v>
      </c>
      <c r="C24910" s="5" t="str">
        <f>IFERROR(__xludf.DUMMYFUNCTION("GOOGLETRANSLATE(B24910,""en"",""de"")"),"Die Schüsse sind Trickaufnahmen in der zweiten Hälfte des Videos.")</f>
        <v>Die Schüsse sind Trickaufnahmen in der zweiten Hälfte des Videos.</v>
      </c>
    </row>
    <row r="24911">
      <c r="A24911" s="4" t="s">
        <v>31352</v>
      </c>
      <c r="B24911" s="4" t="s">
        <v>31353</v>
      </c>
      <c r="C24911" s="5" t="str">
        <f>IFERROR(__xludf.DUMMYFUNCTION("GOOGLETRANSLATE(B24911,""en"",""de"")"),"Die Wörter ""Mein Reiten fehlschlägt"" erscheint.")</f>
        <v>Die Wörter "Mein Reiten fehlschlägt" erscheint.</v>
      </c>
    </row>
    <row r="24912">
      <c r="A24912" s="4" t="s">
        <v>31352</v>
      </c>
      <c r="B24912" s="4" t="s">
        <v>31354</v>
      </c>
      <c r="C24912" s="5" t="str">
        <f>IFERROR(__xludf.DUMMYFUNCTION("GOOGLETRANSLATE(B24912,""en"",""de"")"),"Ein Mädchen, das mit einem weißen Pferd fährt, lässt ihr Pferd nicht um eine Strecke springen.")</f>
        <v>Ein Mädchen, das mit einem weißen Pferd fährt, lässt ihr Pferd nicht um eine Strecke springen.</v>
      </c>
    </row>
    <row r="24913">
      <c r="A24913" s="4" t="s">
        <v>31352</v>
      </c>
      <c r="B24913" s="4" t="s">
        <v>31355</v>
      </c>
      <c r="C24913" s="5" t="str">
        <f>IFERROR(__xludf.DUMMYFUNCTION("GOOGLETRANSLATE(B24913,""en"",""de"")"),"Ein Lied spielt über das Video.")</f>
        <v>Ein Lied spielt über das Video.</v>
      </c>
    </row>
    <row r="24914">
      <c r="A24914" s="4" t="s">
        <v>31356</v>
      </c>
      <c r="B24914" s="4" t="s">
        <v>31357</v>
      </c>
      <c r="C24914" s="5" t="str">
        <f>IFERROR(__xludf.DUMMYFUNCTION("GOOGLETRANSLATE(B24914,""en"",""de"")"),"Es wird ein schwarzer Bildschirm mit drei Reihen arabischen Schreibens angezeigt.")</f>
        <v>Es wird ein schwarzer Bildschirm mit drei Reihen arabischen Schreibens angezeigt.</v>
      </c>
    </row>
    <row r="24915">
      <c r="A24915" s="4" t="s">
        <v>31356</v>
      </c>
      <c r="B24915" s="4" t="s">
        <v>31358</v>
      </c>
      <c r="C24915" s="5" t="str">
        <f>IFERROR(__xludf.DUMMYFUNCTION("GOOGLETRANSLATE(B24915,""en"",""de"")"),"Ein junges Mädchen kommt dann ins Badezimmer und beginnt ihre Hände zu waschen.")</f>
        <v>Ein junges Mädchen kommt dann ins Badezimmer und beginnt ihre Hände zu waschen.</v>
      </c>
    </row>
    <row r="24916">
      <c r="A24916" s="4" t="s">
        <v>31356</v>
      </c>
      <c r="B24916" s="4" t="s">
        <v>31359</v>
      </c>
      <c r="C24916" s="5" t="str">
        <f>IFERROR(__xludf.DUMMYFUNCTION("GOOGLETRANSLATE(B24916,""en"",""de"")"),"Während sie weitergeht, beginnt sie zu reden und zu beschreiben, und dann erscheint mehr Schreiben.")</f>
        <v>Während sie weitergeht, beginnt sie zu reden und zu beschreiben, und dann erscheint mehr Schreiben.</v>
      </c>
    </row>
    <row r="24917">
      <c r="A24917" s="4" t="s">
        <v>31360</v>
      </c>
      <c r="B24917" s="4" t="s">
        <v>31361</v>
      </c>
      <c r="C24917" s="5" t="str">
        <f>IFERROR(__xludf.DUMMYFUNCTION("GOOGLETRANSLATE(B24917,""en"",""de"")"),"Die Kamera schwenkt zurück, um ein Hotel mit roten Laternen in der Luft und Krähen von Menschen zu zeigen, die stehen und über den Strand schauen.")</f>
        <v>Die Kamera schwenkt zurück, um ein Hotel mit roten Laternen in der Luft und Krähen von Menschen zu zeigen, die stehen und über den Strand schauen.</v>
      </c>
    </row>
    <row r="24918">
      <c r="A24918" s="4" t="s">
        <v>31360</v>
      </c>
      <c r="B24918" s="4" t="s">
        <v>31362</v>
      </c>
      <c r="C24918" s="5" t="str">
        <f>IFERROR(__xludf.DUMMYFUNCTION("GOOGLETRANSLATE(B24918,""en"",""de"")"),"Ein Mann reitet einen Jetski vor einer großen Welle schmutziges Wasser.")</f>
        <v>Ein Mann reitet einen Jetski vor einer großen Welle schmutziges Wasser.</v>
      </c>
    </row>
    <row r="24919">
      <c r="A24919" s="4" t="s">
        <v>31360</v>
      </c>
      <c r="B24919" s="4" t="s">
        <v>31363</v>
      </c>
      <c r="C24919" s="5" t="str">
        <f>IFERROR(__xludf.DUMMYFUNCTION("GOOGLETRANSLATE(B24919,""en"",""de"")"),"Ein Segelboot wird von einer großen Welle beeinflusst.")</f>
        <v>Ein Segelboot wird von einer großen Welle beeinflusst.</v>
      </c>
    </row>
    <row r="24920">
      <c r="A24920" s="4" t="s">
        <v>31360</v>
      </c>
      <c r="B24920" s="4" t="s">
        <v>31364</v>
      </c>
      <c r="C24920" s="5" t="str">
        <f>IFERROR(__xludf.DUMMYFUNCTION("GOOGLETRANSLATE(B24920,""en"",""de"")"),"Eine Dame surft auf einer großen Welle, während ein Boot neben ihr filmt.")</f>
        <v>Eine Dame surft auf einer großen Welle, während ein Boot neben ihr filmt.</v>
      </c>
    </row>
    <row r="24921">
      <c r="A24921" s="4" t="s">
        <v>31360</v>
      </c>
      <c r="B24921" s="4" t="s">
        <v>31365</v>
      </c>
      <c r="C24921" s="5" t="str">
        <f>IFERROR(__xludf.DUMMYFUNCTION("GOOGLETRANSLATE(B24921,""en"",""de"")"),"Wir sehen das Boot im Wasser wieder schwanken.")</f>
        <v>Wir sehen das Boot im Wasser wieder schwanken.</v>
      </c>
    </row>
    <row r="24922">
      <c r="A24922" s="4" t="s">
        <v>31360</v>
      </c>
      <c r="B24922" s="4" t="s">
        <v>31366</v>
      </c>
      <c r="C24922" s="5" t="str">
        <f>IFERROR(__xludf.DUMMYFUNCTION("GOOGLETRANSLATE(B24922,""en"",""de"")"),"Wir sehen Menschen, die die großen Wellen des Flusses surfen.")</f>
        <v>Wir sehen Menschen, die die großen Wellen des Flusses surfen.</v>
      </c>
    </row>
    <row r="24923">
      <c r="A24923" s="4" t="s">
        <v>31360</v>
      </c>
      <c r="B24923" s="4" t="s">
        <v>31367</v>
      </c>
      <c r="C24923" s="5" t="str">
        <f>IFERROR(__xludf.DUMMYFUNCTION("GOOGLETRANSLATE(B24923,""en"",""de"")"),"Ein Mann macht beim Surfen einen Handstand auf einem Surfbrett.")</f>
        <v>Ein Mann macht beim Surfen einen Handstand auf einem Surfbrett.</v>
      </c>
    </row>
    <row r="24924">
      <c r="A24924" s="4" t="s">
        <v>31368</v>
      </c>
      <c r="B24924" s="4" t="s">
        <v>31369</v>
      </c>
      <c r="C24924" s="5" t="str">
        <f>IFERROR(__xludf.DUMMYFUNCTION("GOOGLETRANSLATE(B24924,""en"",""de"")"),"Eine Gruppe hoher Bäume ist von Wasser umgeben.")</f>
        <v>Eine Gruppe hoher Bäume ist von Wasser umgeben.</v>
      </c>
    </row>
    <row r="24925">
      <c r="A24925" s="4" t="s">
        <v>31368</v>
      </c>
      <c r="B24925" s="4" t="s">
        <v>31370</v>
      </c>
      <c r="C24925" s="5" t="str">
        <f>IFERROR(__xludf.DUMMYFUNCTION("GOOGLETRANSLATE(B24925,""en"",""de"")"),"Wir sehen das riesige Meerwasser um uns herum.")</f>
        <v>Wir sehen das riesige Meerwasser um uns herum.</v>
      </c>
    </row>
    <row r="24926">
      <c r="A24926" s="4" t="s">
        <v>31368</v>
      </c>
      <c r="B24926" s="4" t="s">
        <v>31371</v>
      </c>
      <c r="C24926" s="5" t="str">
        <f>IFERROR(__xludf.DUMMYFUNCTION("GOOGLETRANSLATE(B24926,""en"",""de"")"),"Wir sehen dann mehrere Menschen, wenn sie sich auf einem Boot entspannen.")</f>
        <v>Wir sehen dann mehrere Menschen, wenn sie sich auf einem Boot entspannen.</v>
      </c>
    </row>
    <row r="24927">
      <c r="A24927" s="4" t="s">
        <v>31372</v>
      </c>
      <c r="B24927" s="4" t="s">
        <v>31373</v>
      </c>
      <c r="C24927" s="5" t="str">
        <f>IFERROR(__xludf.DUMMYFUNCTION("GOOGLETRANSLATE(B24927,""en"",""de"")"),"Ein Mann spricht und geht dann auf der Straße, bis er in eine Eisdiele ankommt.")</f>
        <v>Ein Mann spricht und geht dann auf der Straße, bis er in eine Eisdiele ankommt.</v>
      </c>
    </row>
    <row r="24928">
      <c r="A24928" s="4" t="s">
        <v>31372</v>
      </c>
      <c r="B24928" s="4" t="s">
        <v>31374</v>
      </c>
      <c r="C24928" s="5" t="str">
        <f>IFERROR(__xludf.DUMMYFUNCTION("GOOGLETRANSLATE(B24928,""en"",""de"")"),"Eine Frau zeigt eine Schokoladen- und Vanille -Eiskegel und ein Mädchen mag ein Eis.")</f>
        <v>Eine Frau zeigt eine Schokoladen- und Vanille -Eiskegel und ein Mädchen mag ein Eis.</v>
      </c>
    </row>
    <row r="24929">
      <c r="A24929" s="4" t="s">
        <v>31372</v>
      </c>
      <c r="B24929" s="4" t="s">
        <v>31375</v>
      </c>
      <c r="C24929" s="5" t="str">
        <f>IFERROR(__xludf.DUMMYFUNCTION("GOOGLETRANSLATE(B24929,""en"",""de"")"),"Die Leute kaufen Eis und ein Kind, um Eis zu sehen.")</f>
        <v>Die Leute kaufen Eis und ein Kind, um Eis zu sehen.</v>
      </c>
    </row>
    <row r="24930">
      <c r="A24930" s="4" t="s">
        <v>31372</v>
      </c>
      <c r="B24930" s="4" t="s">
        <v>31376</v>
      </c>
      <c r="C24930" s="5" t="str">
        <f>IFERROR(__xludf.DUMMYFUNCTION("GOOGLETRANSLATE(B24930,""en"",""de"")"),"Der Mann leckt ein Eis im Laden, dann gibt er vor, ein Eis in einem Bild zu lecken.")</f>
        <v>Der Mann leckt ein Eis im Laden, dann gibt er vor, ein Eis in einem Bild zu lecken.</v>
      </c>
    </row>
    <row r="24931">
      <c r="A24931" s="4" t="s">
        <v>31377</v>
      </c>
      <c r="B24931" s="4" t="s">
        <v>31378</v>
      </c>
      <c r="C24931" s="5" t="str">
        <f>IFERROR(__xludf.DUMMYFUNCTION("GOOGLETRANSLATE(B24931,""en"",""de"")"),"Eine Frau wirft Darts in ein Dartbrett.")</f>
        <v>Eine Frau wirft Darts in ein Dartbrett.</v>
      </c>
    </row>
    <row r="24932">
      <c r="A24932" s="4" t="s">
        <v>31377</v>
      </c>
      <c r="B24932" s="4" t="s">
        <v>31379</v>
      </c>
      <c r="C24932" s="5" t="str">
        <f>IFERROR(__xludf.DUMMYFUNCTION("GOOGLETRANSLATE(B24932,""en"",""de"")"),"Das Dart -Board wird an der Wand angezeigt.")</f>
        <v>Das Dart -Board wird an der Wand angezeigt.</v>
      </c>
    </row>
    <row r="24933">
      <c r="A24933" s="4" t="s">
        <v>31377</v>
      </c>
      <c r="B24933" s="4" t="s">
        <v>31380</v>
      </c>
      <c r="C24933" s="5" t="str">
        <f>IFERROR(__xludf.DUMMYFUNCTION("GOOGLETRANSLATE(B24933,""en"",""de"")"),"Sie wirft weiterhin Darts in das Dart -Board.")</f>
        <v>Sie wirft weiterhin Darts in das Dart -Board.</v>
      </c>
    </row>
    <row r="24934">
      <c r="A24934" s="4" t="s">
        <v>31377</v>
      </c>
      <c r="B24934" s="4" t="s">
        <v>31381</v>
      </c>
      <c r="C24934" s="5" t="str">
        <f>IFERROR(__xludf.DUMMYFUNCTION("GOOGLETRANSLATE(B24934,""en"",""de"")"),"Sie zieht die Darts aus dem Dartbrett.")</f>
        <v>Sie zieht die Darts aus dem Dartbrett.</v>
      </c>
    </row>
    <row r="24935">
      <c r="A24935" s="4" t="s">
        <v>31382</v>
      </c>
      <c r="B24935" s="4" t="s">
        <v>31383</v>
      </c>
      <c r="C24935" s="5" t="str">
        <f>IFERROR(__xludf.DUMMYFUNCTION("GOOGLETRANSLATE(B24935,""en"",""de"")"),"Ein Mann schneidet die Mitte eines Baumstamms mit einer Axt, während er auf dem Baumstamm steht.")</f>
        <v>Ein Mann schneidet die Mitte eines Baumstamms mit einer Axt, während er auf dem Baumstamm steht.</v>
      </c>
    </row>
    <row r="24936">
      <c r="A24936" s="4" t="s">
        <v>31382</v>
      </c>
      <c r="B24936" s="4" t="s">
        <v>31384</v>
      </c>
      <c r="C24936" s="5" t="str">
        <f>IFERROR(__xludf.DUMMYFUNCTION("GOOGLETRANSLATE(B24936,""en"",""de"")"),"Der Mann steht auf dem Protokoll, das die Axt mit der rechten Hand hält.")</f>
        <v>Der Mann steht auf dem Protokoll, das die Axt mit der rechten Hand hält.</v>
      </c>
    </row>
    <row r="24937">
      <c r="A24937" s="4" t="s">
        <v>31382</v>
      </c>
      <c r="B24937" s="4" t="s">
        <v>31385</v>
      </c>
      <c r="C24937" s="5" t="str">
        <f>IFERROR(__xludf.DUMMYFUNCTION("GOOGLETRANSLATE(B24937,""en"",""de"")"),"Dann schneidet der Mann das Protokoll weiter.")</f>
        <v>Dann schneidet der Mann das Protokoll weiter.</v>
      </c>
    </row>
    <row r="24938">
      <c r="A24938" s="4" t="s">
        <v>31382</v>
      </c>
      <c r="B24938" s="4" t="s">
        <v>31386</v>
      </c>
      <c r="C24938" s="5" t="str">
        <f>IFERROR(__xludf.DUMMYFUNCTION("GOOGLETRANSLATE(B24938,""en"",""de"")"),"Danach gehen zwei Leute auf dem Vordergrund und man nimmt aus dem Baumstamm gelöstes Holz.")</f>
        <v>Danach gehen zwei Leute auf dem Vordergrund und man nimmt aus dem Baumstamm gelöstes Holz.</v>
      </c>
    </row>
    <row r="24939">
      <c r="A24939" s="4" t="s">
        <v>31387</v>
      </c>
      <c r="B24939" s="4" t="s">
        <v>31388</v>
      </c>
      <c r="C24939" s="5" t="str">
        <f>IFERROR(__xludf.DUMMYFUNCTION("GOOGLETRANSLATE(B24939,""en"",""de"")"),"Ein Hundegruam putzt den Mantel eines Hundes mit einer Bürste, die auf einem Tisch sitzt.")</f>
        <v>Ein Hundegruam putzt den Mantel eines Hundes mit einer Bürste, die auf einem Tisch sitzt.</v>
      </c>
    </row>
    <row r="24940">
      <c r="A24940" s="4" t="s">
        <v>31387</v>
      </c>
      <c r="B24940" s="4" t="s">
        <v>31389</v>
      </c>
      <c r="C24940" s="5" t="str">
        <f>IFERROR(__xludf.DUMMYFUNCTION("GOOGLETRANSLATE(B24940,""en"",""de"")"),"Die Pinsel werden von selbst aus der Nähe gesehen.")</f>
        <v>Die Pinsel werden von selbst aus der Nähe gesehen.</v>
      </c>
    </row>
    <row r="24941">
      <c r="A24941" s="4" t="s">
        <v>31387</v>
      </c>
      <c r="B24941" s="4" t="s">
        <v>31390</v>
      </c>
      <c r="C24941" s="5" t="str">
        <f>IFERROR(__xludf.DUMMYFUNCTION("GOOGLETRANSLATE(B24941,""en"",""de"")"),"Der Groomer hält den Pinsel hoch, um ihn in der Nähe zu sehen.")</f>
        <v>Der Groomer hält den Pinsel hoch, um ihn in der Nähe zu sehen.</v>
      </c>
    </row>
    <row r="24942">
      <c r="A24942" s="4" t="s">
        <v>31387</v>
      </c>
      <c r="B24942" s="4" t="s">
        <v>31391</v>
      </c>
      <c r="C24942" s="5" t="str">
        <f>IFERROR(__xludf.DUMMYFUNCTION("GOOGLETRANSLATE(B24942,""en"",""de"")"),"Der Groomer entfernt Haare aus der Bürste und steckt es in einen Stapel.")</f>
        <v>Der Groomer entfernt Haare aus der Bürste und steckt es in einen Stapel.</v>
      </c>
    </row>
    <row r="24943">
      <c r="A24943" s="4" t="s">
        <v>31392</v>
      </c>
      <c r="B24943" s="4" t="s">
        <v>31393</v>
      </c>
      <c r="C24943" s="5" t="str">
        <f>IFERROR(__xludf.DUMMYFUNCTION("GOOGLETRANSLATE(B24943,""en"",""de"")"),"Ein Mann steht neben einem kleinen Dach.")</f>
        <v>Ein Mann steht neben einem kleinen Dach.</v>
      </c>
    </row>
    <row r="24944">
      <c r="A24944" s="4" t="s">
        <v>31392</v>
      </c>
      <c r="B24944" s="4" t="s">
        <v>31394</v>
      </c>
      <c r="C24944" s="5" t="str">
        <f>IFERROR(__xludf.DUMMYFUNCTION("GOOGLETRANSLATE(B24944,""en"",""de"")"),"Er hält ein Stück Metall heraus.")</f>
        <v>Er hält ein Stück Metall heraus.</v>
      </c>
    </row>
    <row r="24945">
      <c r="A24945" s="4" t="s">
        <v>31392</v>
      </c>
      <c r="B24945" s="4" t="s">
        <v>31395</v>
      </c>
      <c r="C24945" s="5" t="str">
        <f>IFERROR(__xludf.DUMMYFUNCTION("GOOGLETRANSLATE(B24945,""en"",""de"")"),"Er legt Metall entlang des Daches.")</f>
        <v>Er legt Metall entlang des Daches.</v>
      </c>
    </row>
    <row r="24946">
      <c r="A24946" s="4" t="s">
        <v>31392</v>
      </c>
      <c r="B24946" s="4" t="s">
        <v>31396</v>
      </c>
      <c r="C24946" s="5" t="str">
        <f>IFERROR(__xludf.DUMMYFUNCTION("GOOGLETRANSLATE(B24946,""en"",""de"")"),"Er befestigt die Teile sicher.")</f>
        <v>Er befestigt die Teile sicher.</v>
      </c>
    </row>
    <row r="24947">
      <c r="A24947" s="4" t="s">
        <v>31397</v>
      </c>
      <c r="B24947" s="4" t="s">
        <v>31398</v>
      </c>
      <c r="C24947" s="5" t="str">
        <f>IFERROR(__xludf.DUMMYFUNCTION("GOOGLETRANSLATE(B24947,""en"",""de"")"),"Eine Nahaufnahme des Gesichts einer Person wird ebenso angezeigt, als ein Surfbrettspielzeug zu fahren und auszulegen.")</f>
        <v>Eine Nahaufnahme des Gesichts einer Person wird ebenso angezeigt, als ein Surfbrettspielzeug zu fahren und auszulegen.</v>
      </c>
    </row>
    <row r="24948">
      <c r="A24948" s="4" t="s">
        <v>31397</v>
      </c>
      <c r="B24948" s="4" t="s">
        <v>31399</v>
      </c>
      <c r="C24948" s="5" t="str">
        <f>IFERROR(__xludf.DUMMYFUNCTION("GOOGLETRANSLATE(B24948,""en"",""de"")"),"Der Mann steuert die Maschine entlang des Wassers und spricht mit der Kamera.")</f>
        <v>Der Mann steuert die Maschine entlang des Wassers und spricht mit der Kamera.</v>
      </c>
    </row>
    <row r="24949">
      <c r="A24949" s="4" t="s">
        <v>31400</v>
      </c>
      <c r="B24949" s="4" t="s">
        <v>31401</v>
      </c>
      <c r="C24949" s="5" t="str">
        <f>IFERROR(__xludf.DUMMYFUNCTION("GOOGLETRANSLATE(B24949,""en"",""de"")"),"Ein Feuerplatz in einem Raum wird gezeigt.")</f>
        <v>Ein Feuerplatz in einem Raum wird gezeigt.</v>
      </c>
    </row>
    <row r="24950">
      <c r="A24950" s="4" t="s">
        <v>31400</v>
      </c>
      <c r="B24950" s="4" t="s">
        <v>31402</v>
      </c>
      <c r="C24950" s="5" t="str">
        <f>IFERROR(__xludf.DUMMYFUNCTION("GOOGLETRANSLATE(B24950,""en"",""de"")"),"Fenster in einem Haus werden angezeigt.")</f>
        <v>Fenster in einem Haus werden angezeigt.</v>
      </c>
    </row>
    <row r="24951">
      <c r="A24951" s="4" t="s">
        <v>31400</v>
      </c>
      <c r="B24951" s="4" t="s">
        <v>31403</v>
      </c>
      <c r="C24951" s="5" t="str">
        <f>IFERROR(__xludf.DUMMYFUNCTION("GOOGLETRANSLATE(B24951,""en"",""de"")"),"Ein Hartholzboden in einem Haus wird gezeigt.")</f>
        <v>Ein Hartholzboden in einem Haus wird gezeigt.</v>
      </c>
    </row>
    <row r="24952">
      <c r="A24952" s="4" t="s">
        <v>31400</v>
      </c>
      <c r="B24952" s="4" t="s">
        <v>31404</v>
      </c>
      <c r="C24952" s="5" t="str">
        <f>IFERROR(__xludf.DUMMYFUNCTION("GOOGLETRANSLATE(B24952,""en"",""de"")"),"Auf dem Boden sitzen Farbdosen.")</f>
        <v>Auf dem Boden sitzen Farbdosen.</v>
      </c>
    </row>
    <row r="24953">
      <c r="A24953" s="4" t="s">
        <v>31405</v>
      </c>
      <c r="B24953" s="4" t="s">
        <v>31406</v>
      </c>
      <c r="C24953" s="5" t="str">
        <f>IFERROR(__xludf.DUMMYFUNCTION("GOOGLETRANSLATE(B24953,""en"",""de"")"),"Eine Frau legt ihre Hände auf einen Tisch mit ein paar Waschkleidern, um eine Maniküre zu bekommen.")</f>
        <v>Eine Frau legt ihre Hände auf einen Tisch mit ein paar Waschkleidern, um eine Maniküre zu bekommen.</v>
      </c>
    </row>
    <row r="24954">
      <c r="A24954" s="4" t="s">
        <v>31405</v>
      </c>
      <c r="B24954" s="4" t="s">
        <v>31407</v>
      </c>
      <c r="C24954" s="5" t="str">
        <f>IFERROR(__xludf.DUMMYFUNCTION("GOOGLETRANSLATE(B24954,""en"",""de"")"),"Der Manicurist legt einen klaren Nagellack mit Glas auf ihre Nägel und nimmt dann eine kleine Tüte roter Glitzer auf.")</f>
        <v>Der Manicurist legt einen klaren Nagellack mit Glas auf ihre Nägel und nimmt dann eine kleine Tüte roter Glitzer auf.</v>
      </c>
    </row>
    <row r="24955">
      <c r="A24955" s="4" t="s">
        <v>31405</v>
      </c>
      <c r="B24955" s="4" t="s">
        <v>31408</v>
      </c>
      <c r="C24955" s="5" t="str">
        <f>IFERROR(__xludf.DUMMYFUNCTION("GOOGLETRANSLATE(B24955,""en"",""de"")"),"Der Manicurist beginnt wenig lustige Dekorationen zu setzen, um den Nagel hübsch aussehen zu lassen.")</f>
        <v>Der Manicurist beginnt wenig lustige Dekorationen zu setzen, um den Nagel hübsch aussehen zu lassen.</v>
      </c>
    </row>
    <row r="24956">
      <c r="A24956" s="4" t="s">
        <v>31405</v>
      </c>
      <c r="B24956" s="4" t="s">
        <v>31409</v>
      </c>
      <c r="C24956" s="5" t="str">
        <f>IFERROR(__xludf.DUMMYFUNCTION("GOOGLETRANSLATE(B24956,""en"",""de"")"),"Dann bekommt sie das klebrige Zeug und geht über die Nägel, um zu verhindern, dass sie weggehen.")</f>
        <v>Dann bekommt sie das klebrige Zeug und geht über die Nägel, um zu verhindern, dass sie weggehen.</v>
      </c>
    </row>
    <row r="24957">
      <c r="A24957" s="4" t="s">
        <v>31410</v>
      </c>
      <c r="B24957" s="4" t="s">
        <v>31411</v>
      </c>
      <c r="C24957" s="5" t="str">
        <f>IFERROR(__xludf.DUMMYFUNCTION("GOOGLETRANSLATE(B24957,""en"",""de"")"),"Eine große Menge von Mädchen betritt Rahmenbalken und legte die Riegel auf den Boden.")</f>
        <v>Eine große Menge von Mädchen betritt Rahmenbalken und legte die Riegel auf den Boden.</v>
      </c>
    </row>
    <row r="24958">
      <c r="A24958" s="4" t="s">
        <v>31410</v>
      </c>
      <c r="B24958" s="4" t="s">
        <v>31412</v>
      </c>
      <c r="C24958" s="5" t="str">
        <f>IFERROR(__xludf.DUMMYFUNCTION("GOOGLETRANSLATE(B24958,""en"",""de"")"),"Die Mädchen führen dann eine Tanzroutine aus, die die Bars rundum bewegt und enden, wobei sie eine Pose halten und von der Bühne gehen.")</f>
        <v>Die Mädchen führen dann eine Tanzroutine aus, die die Bars rundum bewegt und enden, wobei sie eine Pose halten und von der Bühne gehen.</v>
      </c>
    </row>
    <row r="24959">
      <c r="A24959" s="4" t="s">
        <v>31413</v>
      </c>
      <c r="B24959" s="4" t="s">
        <v>31414</v>
      </c>
      <c r="C24959" s="5" t="str">
        <f>IFERROR(__xludf.DUMMYFUNCTION("GOOGLETRANSLATE(B24959,""en"",""de"")"),"Es gibt einen Mann, der einen Hut und ein beigefarbenes Hemd an den Ufern eines Flusses trägt, der seine Mundharmonika spielt.")</f>
        <v>Es gibt einen Mann, der einen Hut und ein beigefarbenes Hemd an den Ufern eines Flusses trägt, der seine Mundharmonika spielt.</v>
      </c>
    </row>
    <row r="24960">
      <c r="A24960" s="4" t="s">
        <v>31413</v>
      </c>
      <c r="B24960" s="4" t="s">
        <v>31415</v>
      </c>
      <c r="C24960" s="5" t="str">
        <f>IFERROR(__xludf.DUMMYFUNCTION("GOOGLETRANSLATE(B24960,""en"",""de"")"),"Hinter ihm steckt ein noch Fluss.")</f>
        <v>Hinter ihm steckt ein noch Fluss.</v>
      </c>
    </row>
    <row r="24961">
      <c r="A24961" s="4" t="s">
        <v>31413</v>
      </c>
      <c r="B24961" s="4" t="s">
        <v>31416</v>
      </c>
      <c r="C24961" s="5" t="str">
        <f>IFERROR(__xludf.DUMMYFUNCTION("GOOGLETRANSLATE(B24961,""en"",""de"")"),"Er spielt weiterhin seine Mundharmonika zu einer beruhigenden Melodie.")</f>
        <v>Er spielt weiterhin seine Mundharmonika zu einer beruhigenden Melodie.</v>
      </c>
    </row>
    <row r="24962">
      <c r="A24962" s="4" t="s">
        <v>31413</v>
      </c>
      <c r="B24962" s="4" t="s">
        <v>31417</v>
      </c>
      <c r="C24962" s="5" t="str">
        <f>IFERROR(__xludf.DUMMYFUNCTION("GOOGLETRANSLATE(B24962,""en"",""de"")"),"Nachdem er aufgehört hat zu spielen, legt er seine Hände nieder.")</f>
        <v>Nachdem er aufgehört hat zu spielen, legt er seine Hände nieder.</v>
      </c>
    </row>
    <row r="24963">
      <c r="A24963" s="4" t="s">
        <v>31418</v>
      </c>
      <c r="B24963" s="4" t="s">
        <v>31419</v>
      </c>
      <c r="C24963" s="5" t="str">
        <f>IFERROR(__xludf.DUMMYFUNCTION("GOOGLETRANSLATE(B24963,""en"",""de"")"),"Eine Frau löst ein Paar Schuhe bis zur Hälfte und hebt die Zungen.")</f>
        <v>Eine Frau löst ein Paar Schuhe bis zur Hälfte und hebt die Zungen.</v>
      </c>
    </row>
    <row r="24964">
      <c r="A24964" s="4" t="s">
        <v>31418</v>
      </c>
      <c r="B24964" s="4" t="s">
        <v>31420</v>
      </c>
      <c r="C24964" s="5" t="str">
        <f>IFERROR(__xludf.DUMMYFUNCTION("GOOGLETRANSLATE(B24964,""en"",""de"")"),"Dann legte die Frau einen Fuß an und binte den Schuh hinter die Zunge.")</f>
        <v>Dann legte die Frau einen Fuß an und binte den Schuh hinter die Zunge.</v>
      </c>
    </row>
    <row r="24965">
      <c r="A24965" s="4" t="s">
        <v>31418</v>
      </c>
      <c r="B24965" s="4" t="s">
        <v>31421</v>
      </c>
      <c r="C24965" s="5" t="str">
        <f>IFERROR(__xludf.DUMMYFUNCTION("GOOGLETRANSLATE(B24965,""en"",""de"")"),"Dann legte die Person die anderen Füße und binte den Schuh, dann legt sie die Zungen hoch.")</f>
        <v>Dann legte die Person die anderen Füße und binte den Schuh, dann legt sie die Zungen hoch.</v>
      </c>
    </row>
    <row r="24966">
      <c r="A24966" s="4" t="s">
        <v>31418</v>
      </c>
      <c r="B24966" s="4" t="s">
        <v>31422</v>
      </c>
      <c r="C24966" s="5" t="str">
        <f>IFERROR(__xludf.DUMMYFUNCTION("GOOGLETRANSLATE(B24966,""en"",""de"")"),"Die Frau spricht und zeigt ihre Schuhe und dünne Hosen.")</f>
        <v>Die Frau spricht und zeigt ihre Schuhe und dünne Hosen.</v>
      </c>
    </row>
    <row r="24967">
      <c r="A24967" s="4" t="s">
        <v>31423</v>
      </c>
      <c r="B24967" s="4" t="s">
        <v>31424</v>
      </c>
      <c r="C24967" s="5" t="str">
        <f>IFERROR(__xludf.DUMMYFUNCTION("GOOGLETRANSLATE(B24967,""en"",""de"")"),"Eine Frau tritt mit einem großen Mann in eine Grube ein und rennt dann umeinander.")</f>
        <v>Eine Frau tritt mit einem großen Mann in eine Grube ein und rennt dann umeinander.</v>
      </c>
    </row>
    <row r="24968">
      <c r="A24968" s="4" t="s">
        <v>31423</v>
      </c>
      <c r="B24968" s="4" t="s">
        <v>31425</v>
      </c>
      <c r="C24968" s="5" t="str">
        <f>IFERROR(__xludf.DUMMYFUNCTION("GOOGLETRANSLATE(B24968,""en"",""de"")"),"Die Frau steigt dann auf den Mann, während er sie herumschleudert und sie in ein Kopfschloss bringt.")</f>
        <v>Die Frau steigt dann auf den Mann, während er sie herumschleudert und sie in ein Kopfschloss bringt.</v>
      </c>
    </row>
    <row r="24969">
      <c r="A24969" s="4" t="s">
        <v>31423</v>
      </c>
      <c r="B24969" s="4" t="s">
        <v>31426</v>
      </c>
      <c r="C24969" s="5" t="str">
        <f>IFERROR(__xludf.DUMMYFUNCTION("GOOGLETRANSLATE(B24969,""en"",""de"")"),"Die beiden verbeugen sich voreinander und die Frau steht neben dem Gastgeber, der die Hände schüttelt.")</f>
        <v>Die beiden verbeugen sich voreinander und die Frau steht neben dem Gastgeber, der die Hände schüttelt.</v>
      </c>
    </row>
    <row r="24970">
      <c r="A24970" s="4" t="s">
        <v>31427</v>
      </c>
      <c r="B24970" s="4" t="s">
        <v>31428</v>
      </c>
      <c r="C24970" s="5" t="str">
        <f>IFERROR(__xludf.DUMMYFUNCTION("GOOGLETRANSLATE(B24970,""en"",""de"")"),"In einem Gymnasium im Freien sind mehrere Menschen versammelt.")</f>
        <v>In einem Gymnasium im Freien sind mehrere Menschen versammelt.</v>
      </c>
    </row>
    <row r="24971">
      <c r="A24971" s="4" t="s">
        <v>31427</v>
      </c>
      <c r="B24971" s="4" t="s">
        <v>31429</v>
      </c>
      <c r="C24971" s="5" t="str">
        <f>IFERROR(__xludf.DUMMYFUNCTION("GOOGLETRANSLATE(B24971,""en"",""de"")"),"Es stehen Menschen, die in den Tribünen stehen und sitzen und ungefähr zwölf Bandstudenten beobachten.")</f>
        <v>Es stehen Menschen, die in den Tribünen stehen und sitzen und ungefähr zwölf Bandstudenten beobachten.</v>
      </c>
    </row>
    <row r="24972">
      <c r="A24972" s="4" t="s">
        <v>31427</v>
      </c>
      <c r="B24972" s="4" t="s">
        <v>31430</v>
      </c>
      <c r="C24972" s="5" t="str">
        <f>IFERROR(__xludf.DUMMYFUNCTION("GOOGLETRANSLATE(B24972,""en"",""de"")"),"Die meisten Spieler trommeln die Percussion -Instrumente in einer rhythmischen Melodie.")</f>
        <v>Die meisten Spieler trommeln die Percussion -Instrumente in einer rhythmischen Melodie.</v>
      </c>
    </row>
    <row r="24973">
      <c r="A24973" s="4" t="s">
        <v>31427</v>
      </c>
      <c r="B24973" s="4" t="s">
        <v>31431</v>
      </c>
      <c r="C24973" s="5" t="str">
        <f>IFERROR(__xludf.DUMMYFUNCTION("GOOGLETRANSLATE(B24973,""en"",""de"")"),"Die Percussion -Spieler gehen im Kreis um, wenn sie die Instrumente spielen.")</f>
        <v>Die Percussion -Spieler gehen im Kreis um, wenn sie die Instrumente spielen.</v>
      </c>
    </row>
    <row r="24974">
      <c r="A24974" s="4" t="s">
        <v>31432</v>
      </c>
      <c r="B24974" s="4" t="s">
        <v>31433</v>
      </c>
      <c r="C24974" s="5" t="str">
        <f>IFERROR(__xludf.DUMMYFUNCTION("GOOGLETRANSLATE(B24974,""en"",""de"")"),"Eine Nahaufnahme einer Gitarre ist mit einer Hand zu sehen, die die Saiten zupft.")</f>
        <v>Eine Nahaufnahme einer Gitarre ist mit einer Hand zu sehen, die die Saiten zupft.</v>
      </c>
    </row>
    <row r="24975">
      <c r="A24975" s="4" t="s">
        <v>31432</v>
      </c>
      <c r="B24975" s="4" t="s">
        <v>31434</v>
      </c>
      <c r="C24975" s="5" t="str">
        <f>IFERROR(__xludf.DUMMYFUNCTION("GOOGLETRANSLATE(B24975,""en"",""de"")"),"Ein Mann wird dann gesehen, der in ein Mikrofon singt, während er immer noch Gitarre spielt.")</f>
        <v>Ein Mann wird dann gesehen, der in ein Mikrofon singt, während er immer noch Gitarre spielt.</v>
      </c>
    </row>
    <row r="24976">
      <c r="A24976" s="4" t="s">
        <v>31432</v>
      </c>
      <c r="B24976" s="4" t="s">
        <v>31435</v>
      </c>
      <c r="C24976" s="5" t="str">
        <f>IFERROR(__xludf.DUMMYFUNCTION("GOOGLETRANSLATE(B24976,""en"",""de"")"),"Der Mann bewegt seine Finger die Gitarre hinauf und runter, während er dennoch ins Mikrofon singt.")</f>
        <v>Der Mann bewegt seine Finger die Gitarre hinauf und runter, während er dennoch ins Mikrofon singt.</v>
      </c>
    </row>
    <row r="24977">
      <c r="A24977" s="4" t="s">
        <v>31436</v>
      </c>
      <c r="B24977" s="4" t="s">
        <v>31437</v>
      </c>
      <c r="C24977" s="5" t="str">
        <f>IFERROR(__xludf.DUMMYFUNCTION("GOOGLETRANSLATE(B24977,""en"",""de"")"),"Männer stehen im großen Feld und ziehen ein dickes Seil.")</f>
        <v>Männer stehen im großen Feld und ziehen ein dickes Seil.</v>
      </c>
    </row>
    <row r="24978">
      <c r="A24978" s="4" t="s">
        <v>31436</v>
      </c>
      <c r="B24978" s="4" t="s">
        <v>31438</v>
      </c>
      <c r="C24978" s="5" t="str">
        <f>IFERROR(__xludf.DUMMYFUNCTION("GOOGLETRANSLATE(B24978,""en"",""de"")"),"Männer gehen auf den Seiten des Seils und bereiten sich darauf vor, das Seil zu ziehen.")</f>
        <v>Männer gehen auf den Seiten des Seils und bereiten sich darauf vor, das Seil zu ziehen.</v>
      </c>
    </row>
    <row r="24979">
      <c r="A24979" s="4" t="s">
        <v>31436</v>
      </c>
      <c r="B24979" s="4" t="s">
        <v>31439</v>
      </c>
      <c r="C24979" s="5" t="str">
        <f>IFERROR(__xludf.DUMMYFUNCTION("GOOGLETRANSLATE(B24979,""en"",""de"")"),"Männer beginnen das Seil auf beiden Seiten zu ziehen.")</f>
        <v>Männer beginnen das Seil auf beiden Seiten zu ziehen.</v>
      </c>
    </row>
    <row r="24980">
      <c r="A24980" s="4" t="s">
        <v>31440</v>
      </c>
      <c r="B24980" s="4" t="s">
        <v>31441</v>
      </c>
      <c r="C24980" s="5" t="str">
        <f>IFERROR(__xludf.DUMMYFUNCTION("GOOGLETRANSLATE(B24980,""en"",""de"")"),"Eine Person zeigt einen Schrubbenbürste und einen Reiniger und gießt die Lichtung in eine Spüle.")</f>
        <v>Eine Person zeigt einen Schrubbenbürste und einen Reiniger und gießt die Lichtung in eine Spüle.</v>
      </c>
    </row>
    <row r="24981">
      <c r="A24981" s="4" t="s">
        <v>31440</v>
      </c>
      <c r="B24981" s="4" t="s">
        <v>31442</v>
      </c>
      <c r="C24981" s="5" t="str">
        <f>IFERROR(__xludf.DUMMYFUNCTION("GOOGLETRANSLATE(B24981,""en"",""de"")"),"Er schrubbt das Waschbecken mit der Bürste, die Schaum im Wasser erzeugt, während die Facette läuft.")</f>
        <v>Er schrubbt das Waschbecken mit der Bürste, die Schaum im Wasser erzeugt, während die Facette läuft.</v>
      </c>
    </row>
    <row r="24982">
      <c r="A24982" s="4" t="s">
        <v>31440</v>
      </c>
      <c r="B24982" s="4" t="s">
        <v>31443</v>
      </c>
      <c r="C24982" s="5" t="str">
        <f>IFERROR(__xludf.DUMMYFUNCTION("GOOGLETRANSLATE(B24982,""en"",""de"")"),"Er schrubbt das Waschbecken mit der Bürste fort, bis das Waschbecken sauber ist.")</f>
        <v>Er schrubbt das Waschbecken mit der Bürste fort, bis das Waschbecken sauber ist.</v>
      </c>
    </row>
    <row r="24983">
      <c r="A24983" s="4" t="s">
        <v>31440</v>
      </c>
      <c r="B24983" s="4" t="s">
        <v>31444</v>
      </c>
      <c r="C24983" s="5" t="str">
        <f>IFERROR(__xludf.DUMMYFUNCTION("GOOGLETRANSLATE(B24983,""en"",""de"")"),"Er wischt sich ein Papiertuch um das Waschbecken wischt mit dem Wasser weiter.")</f>
        <v>Er wischt sich ein Papiertuch um das Waschbecken wischt mit dem Wasser weiter.</v>
      </c>
    </row>
    <row r="24984">
      <c r="A24984" s="4" t="s">
        <v>31445</v>
      </c>
      <c r="B24984" s="4" t="s">
        <v>31446</v>
      </c>
      <c r="C24984" s="5" t="str">
        <f>IFERROR(__xludf.DUMMYFUNCTION("GOOGLETRANSLATE(B24984,""en"",""de"")"),"Ein Mann spielt draußen eine Gitarre.")</f>
        <v>Ein Mann spielt draußen eine Gitarre.</v>
      </c>
    </row>
    <row r="24985">
      <c r="A24985" s="4" t="s">
        <v>31445</v>
      </c>
      <c r="B24985" s="4" t="s">
        <v>31447</v>
      </c>
      <c r="C24985" s="5" t="str">
        <f>IFERROR(__xludf.DUMMYFUNCTION("GOOGLETRANSLATE(B24985,""en"",""de"")"),"Ein Junge reitet einen Roller.")</f>
        <v>Ein Junge reitet einen Roller.</v>
      </c>
    </row>
    <row r="24986">
      <c r="A24986" s="4" t="s">
        <v>31445</v>
      </c>
      <c r="B24986" s="4" t="s">
        <v>31448</v>
      </c>
      <c r="C24986" s="5" t="str">
        <f>IFERROR(__xludf.DUMMYFUNCTION("GOOGLETRANSLATE(B24986,""en"",""de"")"),"Ein Kind rutscht in eine Rutsche.")</f>
        <v>Ein Kind rutscht in eine Rutsche.</v>
      </c>
    </row>
    <row r="24987">
      <c r="A24987" s="4" t="s">
        <v>31445</v>
      </c>
      <c r="B24987" s="4" t="s">
        <v>31449</v>
      </c>
      <c r="C24987" s="5" t="str">
        <f>IFERROR(__xludf.DUMMYFUNCTION("GOOGLETRANSLATE(B24987,""en"",""de"")"),"Kinder und ein Erwachsener stehen in der Schlange.")</f>
        <v>Kinder und ein Erwachsener stehen in der Schlange.</v>
      </c>
    </row>
    <row r="24988">
      <c r="A24988" s="4" t="s">
        <v>31445</v>
      </c>
      <c r="B24988" s="4" t="s">
        <v>31450</v>
      </c>
      <c r="C24988" s="5" t="str">
        <f>IFERROR(__xludf.DUMMYFUNCTION("GOOGLETRANSLATE(B24988,""en"",""de"")"),"Der Junge geht zur Linie.")</f>
        <v>Der Junge geht zur Linie.</v>
      </c>
    </row>
    <row r="24989">
      <c r="A24989" s="4" t="s">
        <v>31451</v>
      </c>
      <c r="B24989" s="4" t="s">
        <v>31452</v>
      </c>
      <c r="C24989" s="5" t="str">
        <f>IFERROR(__xludf.DUMMYFUNCTION("GOOGLETRANSLATE(B24989,""en"",""de"")"),"Eine Dame, die ein UCA -Trikot trägt, gibt ein Tutorial über die verschiedenen Moves of Jubel -Führung.")</f>
        <v>Eine Dame, die ein UCA -Trikot trägt, gibt ein Tutorial über die verschiedenen Moves of Jubel -Führung.</v>
      </c>
    </row>
    <row r="24990">
      <c r="A24990" s="4" t="s">
        <v>31451</v>
      </c>
      <c r="B24990" s="4" t="s">
        <v>31453</v>
      </c>
      <c r="C24990" s="5" t="str">
        <f>IFERROR(__xludf.DUMMYFUNCTION("GOOGLETRANSLATE(B24990,""en"",""de"")"),"Während sie spricht, zeigen mehrere Cheerleader die verschiedenen Posen und Strecken, die oft von Cheerleadern durchgeführt werden, um die Flexibilität zu verbessern.")</f>
        <v>Während sie spricht, zeigen mehrere Cheerleader die verschiedenen Posen und Strecken, die oft von Cheerleadern durchgeführt werden, um die Flexibilität zu verbessern.</v>
      </c>
    </row>
    <row r="24991">
      <c r="A24991" s="4" t="s">
        <v>31451</v>
      </c>
      <c r="B24991" s="4" t="s">
        <v>31454</v>
      </c>
      <c r="C24991" s="5" t="str">
        <f>IFERROR(__xludf.DUMMYFUNCTION("GOOGLETRANSLATE(B24991,""en"",""de"")"),"Die Dame erklärt weiterhin, wie bestimmte Posen dazu beitragen, die allgemeine Flexibilität bei Cheerleadern zu verbessern.")</f>
        <v>Die Dame erklärt weiterhin, wie bestimmte Posen dazu beitragen, die allgemeine Flexibilität bei Cheerleadern zu verbessern.</v>
      </c>
    </row>
    <row r="24992">
      <c r="A24992" s="4" t="s">
        <v>31455</v>
      </c>
      <c r="B24992" s="4" t="s">
        <v>31456</v>
      </c>
      <c r="C24992" s="5" t="str">
        <f>IFERROR(__xludf.DUMMYFUNCTION("GOOGLETRANSLATE(B24992,""en"",""de"")"),"Eine Gruppe von Bikern steht an der Startlinie.")</f>
        <v>Eine Gruppe von Bikern steht an der Startlinie.</v>
      </c>
    </row>
    <row r="24993">
      <c r="A24993" s="4" t="s">
        <v>31455</v>
      </c>
      <c r="B24993" s="4" t="s">
        <v>31457</v>
      </c>
      <c r="C24993" s="5" t="str">
        <f>IFERROR(__xludf.DUMMYFUNCTION("GOOGLETRANSLATE(B24993,""en"",""de"")"),"Plötzlich fallen alle Fahrräder aus einer Bühne.")</f>
        <v>Plötzlich fallen alle Fahrräder aus einer Bühne.</v>
      </c>
    </row>
    <row r="24994">
      <c r="A24994" s="4" t="s">
        <v>31455</v>
      </c>
      <c r="B24994" s="4" t="s">
        <v>31458</v>
      </c>
      <c r="C24994" s="5" t="str">
        <f>IFERROR(__xludf.DUMMYFUNCTION("GOOGLETRANSLATE(B24994,""en"",""de"")"),"Die Szene des Sturzes der Biker wird mehrmals wiederholt.")</f>
        <v>Die Szene des Sturzes der Biker wird mehrmals wiederholt.</v>
      </c>
    </row>
    <row r="24995">
      <c r="A24995" s="4" t="s">
        <v>31459</v>
      </c>
      <c r="B24995" s="4" t="s">
        <v>31460</v>
      </c>
      <c r="C24995" s="5" t="str">
        <f>IFERROR(__xludf.DUMMYFUNCTION("GOOGLETRANSLATE(B24995,""en"",""de"")"),"Das Video wird in der ersten Person entlang eines schneebedeckten Hangs gedreht.")</f>
        <v>Das Video wird in der ersten Person entlang eines schneebedeckten Hangs gedreht.</v>
      </c>
    </row>
    <row r="24996">
      <c r="A24996" s="4" t="s">
        <v>31459</v>
      </c>
      <c r="B24996" s="4" t="s">
        <v>31461</v>
      </c>
      <c r="C24996" s="5" t="str">
        <f>IFERROR(__xludf.DUMMYFUNCTION("GOOGLETRANSLATE(B24996,""en"",""de"")"),"Die Person beginnt am oberen Ende des Hangs und fährt mit einem Röhrchen.")</f>
        <v>Die Person beginnt am oberen Ende des Hangs und fährt mit einem Röhrchen.</v>
      </c>
    </row>
    <row r="24997">
      <c r="A24997" s="4" t="s">
        <v>31459</v>
      </c>
      <c r="B24997" s="4" t="s">
        <v>31462</v>
      </c>
      <c r="C24997" s="5" t="str">
        <f>IFERROR(__xludf.DUMMYFUNCTION("GOOGLETRANSLATE(B24997,""en"",""de"")"),"Sie rutschen schnell nach unten und reisen durch den schneebedeckten Weg.")</f>
        <v>Sie rutschen schnell nach unten und reisen durch den schneebedeckten Weg.</v>
      </c>
    </row>
    <row r="24998">
      <c r="A24998" s="4" t="s">
        <v>31459</v>
      </c>
      <c r="B24998" s="4" t="s">
        <v>31463</v>
      </c>
      <c r="C24998" s="5" t="str">
        <f>IFERROR(__xludf.DUMMYFUNCTION("GOOGLETRANSLATE(B24998,""en"",""de"")"),"Am Boden verhindern ein großer Haufen Röhrchen die Person daran, weiter zu rutschen.")</f>
        <v>Am Boden verhindern ein großer Haufen Röhrchen die Person daran, weiter zu rutschen.</v>
      </c>
    </row>
    <row r="24999">
      <c r="A24999" s="4" t="s">
        <v>31459</v>
      </c>
      <c r="B24999" s="4" t="s">
        <v>31464</v>
      </c>
      <c r="C24999" s="5" t="str">
        <f>IFERROR(__xludf.DUMMYFUNCTION("GOOGLETRANSLATE(B24999,""en"",""de"")"),"Die Kamera schwenkt zu einer anderen Gruppe von Menschen, die ebenfalls den Hang hinunterrutschen.")</f>
        <v>Die Kamera schwenkt zu einer anderen Gruppe von Menschen, die ebenfalls den Hang hinunterrutschen.</v>
      </c>
    </row>
    <row r="25000">
      <c r="A25000" s="4" t="s">
        <v>31465</v>
      </c>
      <c r="B25000" s="4" t="s">
        <v>31466</v>
      </c>
      <c r="C25000" s="5" t="str">
        <f>IFERROR(__xludf.DUMMYFUNCTION("GOOGLETRANSLATE(B25000,""en"",""de"")"),"Ein Mann in einem schwarzen Hemd dreht sich herum und wirft einen Ball auf das Feld.")</f>
        <v>Ein Mann in einem schwarzen Hemd dreht sich herum und wirft einen Ball auf das Feld.</v>
      </c>
    </row>
    <row r="25001">
      <c r="A25001" s="4" t="s">
        <v>31465</v>
      </c>
      <c r="B25001" s="4" t="s">
        <v>31467</v>
      </c>
      <c r="C25001" s="5" t="str">
        <f>IFERROR(__xludf.DUMMYFUNCTION("GOOGLETRANSLATE(B25001,""en"",""de"")"),"Ein Mann auf der Tribüne klatscht für ihn.")</f>
        <v>Ein Mann auf der Tribüne klatscht für ihn.</v>
      </c>
    </row>
    <row r="25002">
      <c r="A25002" s="4" t="s">
        <v>31465</v>
      </c>
      <c r="B25002" s="4" t="s">
        <v>31468</v>
      </c>
      <c r="C25002" s="5" t="str">
        <f>IFERROR(__xludf.DUMMYFUNCTION("GOOGLETRANSLATE(B25002,""en"",""de"")"),"Ein anderer Mann dreht sich und wirft einen Ball auf das Feld.")</f>
        <v>Ein anderer Mann dreht sich und wirft einen Ball auf das Feld.</v>
      </c>
    </row>
    <row r="25003">
      <c r="A25003" s="4" t="s">
        <v>31469</v>
      </c>
      <c r="B25003" s="4" t="s">
        <v>31470</v>
      </c>
      <c r="C25003" s="5" t="str">
        <f>IFERROR(__xludf.DUMMYFUNCTION("GOOGLETRANSLATE(B25003,""en"",""de"")"),"Eine Frau spielt auf der Bühne Gitarre.")</f>
        <v>Eine Frau spielt auf der Bühne Gitarre.</v>
      </c>
    </row>
    <row r="25004">
      <c r="A25004" s="4" t="s">
        <v>31469</v>
      </c>
      <c r="B25004" s="4" t="s">
        <v>31471</v>
      </c>
      <c r="C25004" s="5" t="str">
        <f>IFERROR(__xludf.DUMMYFUNCTION("GOOGLETRANSLATE(B25004,""en"",""de"")"),"Die Dame singt im Mikrofon.")</f>
        <v>Die Dame singt im Mikrofon.</v>
      </c>
    </row>
    <row r="25005">
      <c r="A25005" s="4" t="s">
        <v>31469</v>
      </c>
      <c r="B25005" s="4" t="s">
        <v>31472</v>
      </c>
      <c r="C25005" s="5" t="str">
        <f>IFERROR(__xludf.DUMMYFUNCTION("GOOGLETRANSLATE(B25005,""en"",""de"")"),"Die Dame macht eine Pause vom Singen.")</f>
        <v>Die Dame macht eine Pause vom Singen.</v>
      </c>
    </row>
    <row r="25006">
      <c r="A25006" s="4" t="s">
        <v>31469</v>
      </c>
      <c r="B25006" s="4" t="s">
        <v>31473</v>
      </c>
      <c r="C25006" s="5" t="str">
        <f>IFERROR(__xludf.DUMMYFUNCTION("GOOGLETRANSLATE(B25006,""en"",""de"")"),"Die Dame beginnt wieder zu singen.")</f>
        <v>Die Dame beginnt wieder zu singen.</v>
      </c>
    </row>
    <row r="25007">
      <c r="A25007" s="4" t="s">
        <v>31469</v>
      </c>
      <c r="B25007" s="4" t="s">
        <v>31474</v>
      </c>
      <c r="C25007" s="5" t="str">
        <f>IFERROR(__xludf.DUMMYFUNCTION("GOOGLETRANSLATE(B25007,""en"",""de"")"),"Die Dame hört auf zu singen und tritt dann zurück zum Mikrofon.")</f>
        <v>Die Dame hört auf zu singen und tritt dann zurück zum Mikrofon.</v>
      </c>
    </row>
    <row r="25008">
      <c r="A25008" s="4" t="s">
        <v>31475</v>
      </c>
      <c r="B25008" s="4" t="s">
        <v>31476</v>
      </c>
      <c r="C25008" s="5" t="str">
        <f>IFERROR(__xludf.DUMMYFUNCTION("GOOGLETRANSLATE(B25008,""en"",""de"")"),"Eine junge Frau, die einen rosa Trikot und Tuto gekleidet hat, beginnt auf einer großen Bühne zu tanzen.")</f>
        <v>Eine junge Frau, die einen rosa Trikot und Tuto gekleidet hat, beginnt auf einer großen Bühne zu tanzen.</v>
      </c>
    </row>
    <row r="25009">
      <c r="A25009" s="4" t="s">
        <v>31475</v>
      </c>
      <c r="B25009" s="4" t="s">
        <v>31477</v>
      </c>
      <c r="C25009" s="5" t="str">
        <f>IFERROR(__xludf.DUMMYFUNCTION("GOOGLETRANSLATE(B25009,""en"",""de"")"),"Während sie ihre Routine fortsetzt, macht sie weiterhin Ballettsprung und schwingt ihre Arme und dreht sich wie eine Ballerina.")</f>
        <v>Während sie ihre Routine fortsetzt, macht sie weiterhin Ballettsprung und schwingt ihre Arme und dreht sich wie eine Ballerina.</v>
      </c>
    </row>
    <row r="25010">
      <c r="A25010" s="4" t="s">
        <v>31475</v>
      </c>
      <c r="B25010" s="4" t="s">
        <v>31478</v>
      </c>
      <c r="C25010" s="5" t="str">
        <f>IFERROR(__xludf.DUMMYFUNCTION("GOOGLETRANSLATE(B25010,""en"",""de"")"),"Hinter dem Schloss erscheint sie an die Wand, als das Mädchen lächelt und zur Menge schaut.")</f>
        <v>Hinter dem Schloss erscheint sie an die Wand, als das Mädchen lächelt und zur Menge schaut.</v>
      </c>
    </row>
    <row r="25011">
      <c r="A25011" s="4" t="s">
        <v>31479</v>
      </c>
      <c r="B25011" s="4" t="s">
        <v>31480</v>
      </c>
      <c r="C25011" s="5" t="str">
        <f>IFERROR(__xludf.DUMMYFUNCTION("GOOGLETRANSLATE(B25011,""en"",""de"")"),"Ein Athlet ist zu sehen, der zu einer Reihe von ungleichmäßigen Bars geht und beginnt eine Gymnastikroutine an den Bars.")</f>
        <v>Ein Athlet ist zu sehen, der zu einer Reihe von ungleichmäßigen Bars geht und beginnt eine Gymnastikroutine an den Bars.</v>
      </c>
    </row>
    <row r="25012">
      <c r="A25012" s="4" t="s">
        <v>31479</v>
      </c>
      <c r="B25012" s="4" t="s">
        <v>31481</v>
      </c>
      <c r="C25012" s="5" t="str">
        <f>IFERROR(__xludf.DUMMYFUNCTION("GOOGLETRANSLATE(B25012,""en"",""de"")"),"Er bewegt sich weiter auf den Stangen und endet, indem er mit außen mit den Armen auf die Seite springt.")</f>
        <v>Er bewegt sich weiter auf den Stangen und endet, indem er mit außen mit den Armen auf die Seite springt.</v>
      </c>
    </row>
    <row r="25013">
      <c r="A25013" s="4" t="s">
        <v>31482</v>
      </c>
      <c r="B25013" s="4" t="s">
        <v>31483</v>
      </c>
      <c r="C25013" s="5" t="str">
        <f>IFERROR(__xludf.DUMMYFUNCTION("GOOGLETRANSLATE(B25013,""en"",""de"")"),"Es gibt viele Leute in kleinen Stoßfängerautos, die entweder 1 oder 2 Personen passen können.")</f>
        <v>Es gibt viele Leute in kleinen Stoßfängerautos, die entweder 1 oder 2 Personen passen können.</v>
      </c>
    </row>
    <row r="25014">
      <c r="A25014" s="4" t="s">
        <v>31482</v>
      </c>
      <c r="B25014" s="4" t="s">
        <v>31484</v>
      </c>
      <c r="C25014" s="5" t="str">
        <f>IFERROR(__xludf.DUMMYFUNCTION("GOOGLETRANSLATE(B25014,""en"",""de"")"),"Eine Frau in einem blauen Stoßfänger -Auto stößt in den mittleren Metallteil und sie scheint festzuhalten und kann sich nicht bewegen, aber plötzlich beginnt sie sich wieder zu bewegen.")</f>
        <v>Eine Frau in einem blauen Stoßfänger -Auto stößt in den mittleren Metallteil und sie scheint festzuhalten und kann sich nicht bewegen, aber plötzlich beginnt sie sich wieder zu bewegen.</v>
      </c>
    </row>
    <row r="25015">
      <c r="A25015" s="4" t="s">
        <v>31482</v>
      </c>
      <c r="B25015" s="4" t="s">
        <v>31485</v>
      </c>
      <c r="C25015" s="5" t="str">
        <f>IFERROR(__xludf.DUMMYFUNCTION("GOOGLETRANSLATE(B25015,""en"",""de"")"),"Jeder fährt weiter mit ihren Stoßstangenautos, nachdem die Frau sich wieder in Gang gebracht hat und schließlich sie alle zum Stillstand kommen.")</f>
        <v>Jeder fährt weiter mit ihren Stoßstangenautos, nachdem die Frau sich wieder in Gang gebracht hat und schließlich sie alle zum Stillstand kommen.</v>
      </c>
    </row>
    <row r="25016">
      <c r="A25016" s="4" t="s">
        <v>31486</v>
      </c>
      <c r="B25016" s="4" t="s">
        <v>31487</v>
      </c>
      <c r="C25016" s="5" t="str">
        <f>IFERROR(__xludf.DUMMYFUNCTION("GOOGLETRANSLATE(B25016,""en"",""de"")"),"Ein Mann reitet in Zeitlupe ein schwarzes Pferd.")</f>
        <v>Ein Mann reitet in Zeitlupe ein schwarzes Pferd.</v>
      </c>
    </row>
    <row r="25017">
      <c r="A25017" s="4" t="s">
        <v>31486</v>
      </c>
      <c r="B25017" s="4" t="s">
        <v>31488</v>
      </c>
      <c r="C25017" s="5" t="str">
        <f>IFERROR(__xludf.DUMMYFUNCTION("GOOGLETRANSLATE(B25017,""en"",""de"")"),"Die Leute werden gezeigt, dass sie versuchen, in mehreren Szenen Zäune zu springen, um sie bei Break -Halsgeschwindigkeiten zu fallen oder durchzubrechen.")</f>
        <v>Die Leute werden gezeigt, dass sie versuchen, in mehreren Szenen Zäune zu springen, um sie bei Break -Halsgeschwindigkeiten zu fallen oder durchzubrechen.</v>
      </c>
    </row>
    <row r="25018">
      <c r="A25018" s="4" t="s">
        <v>31486</v>
      </c>
      <c r="B25018" s="4" t="s">
        <v>31489</v>
      </c>
      <c r="C25018" s="5" t="str">
        <f>IFERROR(__xludf.DUMMYFUNCTION("GOOGLETRANSLATE(B25018,""en"",""de"")"),"Wenn der Fahrer weggeht, denken Sie, dass es einfach ist? Auf dem Bildschirm erscheinen.")</f>
        <v>Wenn der Fahrer weggeht, denken Sie, dass es einfach ist? Auf dem Bildschirm erscheinen.</v>
      </c>
    </row>
    <row r="25019">
      <c r="A25019" s="4" t="s">
        <v>31490</v>
      </c>
      <c r="B25019" s="4" t="s">
        <v>31491</v>
      </c>
      <c r="C25019" s="5" t="str">
        <f>IFERROR(__xludf.DUMMYFUNCTION("GOOGLETRANSLATE(B25019,""en"",""de"")"),"Eine Kamera schwenkt zwischen einer Person und dem Kameramann und führt zu einem Mann vor einem Schlagzeug.")</f>
        <v>Eine Kamera schwenkt zwischen einer Person und dem Kameramann und führt zu einem Mann vor einem Schlagzeug.</v>
      </c>
    </row>
    <row r="25020">
      <c r="A25020" s="4" t="s">
        <v>31490</v>
      </c>
      <c r="B25020" s="4" t="s">
        <v>31492</v>
      </c>
      <c r="C25020" s="5" t="str">
        <f>IFERROR(__xludf.DUMMYFUNCTION("GOOGLETRANSLATE(B25020,""en"",""de"")"),"Der Mann spielt dann ununterbrochen das Schlagzeug und ein anderer Mann kommt herein und singt und tanzt.")</f>
        <v>Der Mann spielt dann ununterbrochen das Schlagzeug und ein anderer Mann kommt herein und singt und tanzt.</v>
      </c>
    </row>
    <row r="25021">
      <c r="A25021" s="4" t="s">
        <v>31490</v>
      </c>
      <c r="B25021" s="4" t="s">
        <v>31493</v>
      </c>
      <c r="C25021" s="5" t="str">
        <f>IFERROR(__xludf.DUMMYFUNCTION("GOOGLETRANSLATE(B25021,""en"",""de"")"),"Ein anderer Mann wird in der Nähe gezeigt und schwenkt zurück zum Schlagzeuger und dann zur Decke.")</f>
        <v>Ein anderer Mann wird in der Nähe gezeigt und schwenkt zurück zum Schlagzeuger und dann zur Decke.</v>
      </c>
    </row>
    <row r="25022">
      <c r="A25022" s="4" t="s">
        <v>31494</v>
      </c>
      <c r="B25022" s="4" t="s">
        <v>31495</v>
      </c>
      <c r="C25022" s="5" t="str">
        <f>IFERROR(__xludf.DUMMYFUNCTION("GOOGLETRANSLATE(B25022,""en"",""de"")"),"Mehrere Menschen sind in einem Tanzraum und ein Ausbilder kommt, wenn sie zu tanzen beginnen.")</f>
        <v>Mehrere Menschen sind in einem Tanzraum und ein Ausbilder kommt, wenn sie zu tanzen beginnen.</v>
      </c>
    </row>
    <row r="25023">
      <c r="A25023" s="4" t="s">
        <v>31494</v>
      </c>
      <c r="B25023" s="4" t="s">
        <v>31496</v>
      </c>
      <c r="C25023" s="5" t="str">
        <f>IFERROR(__xludf.DUMMYFUNCTION("GOOGLETRANSLATE(B25023,""en"",""de"")"),"Die sechs Menschen tanzen weiterhin von Seite zu Seite und machen Pfeile wie einen jamaikanischen Tanz.")</f>
        <v>Die sechs Menschen tanzen weiterhin von Seite zu Seite und machen Pfeile wie einen jamaikanischen Tanz.</v>
      </c>
    </row>
    <row r="25024">
      <c r="A25024" s="4" t="s">
        <v>31494</v>
      </c>
      <c r="B25024" s="4" t="s">
        <v>31497</v>
      </c>
      <c r="C25024" s="5" t="str">
        <f>IFERROR(__xludf.DUMMYFUNCTION("GOOGLETRANSLATE(B25024,""en"",""de"")"),"Im Laufe dessen werden die Schritte wiederholt und wirft Faust -Punts in die Luft.")</f>
        <v>Im Laufe dessen werden die Schritte wiederholt und wirft Faust -Punts in die Luft.</v>
      </c>
    </row>
    <row r="25025">
      <c r="A25025" s="4" t="s">
        <v>31498</v>
      </c>
      <c r="B25025" s="4" t="s">
        <v>31499</v>
      </c>
      <c r="C25025" s="5" t="str">
        <f>IFERROR(__xludf.DUMMYFUNCTION("GOOGLETRANSLATE(B25025,""en"",""de"")"),"Eine Person spricht, während sie ihr eisiges Auto ansieht.")</f>
        <v>Eine Person spricht, während sie ihr eisiges Auto ansieht.</v>
      </c>
    </row>
    <row r="25026">
      <c r="A25026" s="4" t="s">
        <v>31498</v>
      </c>
      <c r="B25026" s="4" t="s">
        <v>31500</v>
      </c>
      <c r="C25026" s="5" t="str">
        <f>IFERROR(__xludf.DUMMYFUNCTION("GOOGLETRANSLATE(B25026,""en"",""de"")"),"Er verwendet ein Werkzeug, um das Eis von der Windschutzscheibe abzukratzen.")</f>
        <v>Er verwendet ein Werkzeug, um das Eis von der Windschutzscheibe abzukratzen.</v>
      </c>
    </row>
    <row r="25027">
      <c r="A25027" s="4" t="s">
        <v>31498</v>
      </c>
      <c r="B25027" s="4" t="s">
        <v>31501</v>
      </c>
      <c r="C25027" s="5" t="str">
        <f>IFERROR(__xludf.DUMMYFUNCTION("GOOGLETRANSLATE(B25027,""en"",""de"")"),"Er kratzt weiter, bis er sehen kann, um zu fahren.")</f>
        <v>Er kratzt weiter, bis er sehen kann, um zu fahren.</v>
      </c>
    </row>
    <row r="25028">
      <c r="A25028" s="4" t="s">
        <v>31502</v>
      </c>
      <c r="B25028" s="4" t="s">
        <v>31503</v>
      </c>
      <c r="C25028" s="5" t="str">
        <f>IFERROR(__xludf.DUMMYFUNCTION("GOOGLETRANSLATE(B25028,""en"",""de"")"),"Auf dem Bildschirm befinden sich Rauch und Lichter und Worte.")</f>
        <v>Auf dem Bildschirm befinden sich Rauch und Lichter und Worte.</v>
      </c>
    </row>
    <row r="25029">
      <c r="A25029" s="4" t="s">
        <v>31502</v>
      </c>
      <c r="B25029" s="4" t="s">
        <v>31504</v>
      </c>
      <c r="C25029" s="5" t="str">
        <f>IFERROR(__xludf.DUMMYFUNCTION("GOOGLETRANSLATE(B25029,""en"",""de"")"),"Der Rauch rollt um einen Hut.")</f>
        <v>Der Rauch rollt um einen Hut.</v>
      </c>
    </row>
    <row r="25030">
      <c r="A25030" s="4" t="s">
        <v>31502</v>
      </c>
      <c r="B25030" s="4" t="s">
        <v>31505</v>
      </c>
      <c r="C25030" s="5" t="str">
        <f>IFERROR(__xludf.DUMMYFUNCTION("GOOGLETRANSLATE(B25030,""en"",""de"")"),"Eine Person bläst Rauch aus der Nase und Rauchringen.")</f>
        <v>Eine Person bläst Rauch aus der Nase und Rauchringen.</v>
      </c>
    </row>
    <row r="25031">
      <c r="A25031" s="4" t="s">
        <v>31502</v>
      </c>
      <c r="B25031" s="4" t="s">
        <v>31506</v>
      </c>
      <c r="C25031" s="5" t="str">
        <f>IFERROR(__xludf.DUMMYFUNCTION("GOOGLETRANSLATE(B25031,""en"",""de"")"),"Die Kamera kehrt um und er bläst weiterhin Rauch.")</f>
        <v>Die Kamera kehrt um und er bläst weiterhin Rauch.</v>
      </c>
    </row>
    <row r="25032">
      <c r="A25032" s="4" t="s">
        <v>31502</v>
      </c>
      <c r="B25032" s="4" t="s">
        <v>31507</v>
      </c>
      <c r="C25032" s="5" t="str">
        <f>IFERROR(__xludf.DUMMYFUNCTION("GOOGLETRANSLATE(B25032,""en"",""de"")"),"Die Worte alles sind lila.")</f>
        <v>Die Worte alles sind lila.</v>
      </c>
    </row>
    <row r="25033">
      <c r="A25033" s="4" t="s">
        <v>31502</v>
      </c>
      <c r="B25033" s="4" t="s">
        <v>31508</v>
      </c>
      <c r="C25033" s="5" t="str">
        <f>IFERROR(__xludf.DUMMYFUNCTION("GOOGLETRANSLATE(B25033,""en"",""de"")"),"Der Rauch bläst weiter und die Worte bestritten von Jarron Jones.")</f>
        <v>Der Rauch bläst weiter und die Worte bestritten von Jarron Jones.</v>
      </c>
    </row>
    <row r="25034">
      <c r="A25034" s="4" t="s">
        <v>31502</v>
      </c>
      <c r="B25034" s="4" t="s">
        <v>31509</v>
      </c>
      <c r="C25034" s="5" t="str">
        <f>IFERROR(__xludf.DUMMYFUNCTION("GOOGLETRANSLATE(B25034,""en"",""de"")"),"Der Mann bläst immer wieder Rauch in die Luft.")</f>
        <v>Der Mann bläst immer wieder Rauch in die Luft.</v>
      </c>
    </row>
    <row r="25035">
      <c r="A25035" s="4" t="s">
        <v>31510</v>
      </c>
      <c r="B25035" s="4" t="s">
        <v>31511</v>
      </c>
      <c r="C25035" s="5" t="str">
        <f>IFERROR(__xludf.DUMMYFUNCTION("GOOGLETRANSLATE(B25035,""en"",""de"")"),"Es gibt 5 verschiedene Personen, die auf Stühlen sitzen und Akkordeons spielen, an denen Klaviere angebracht sind.")</f>
        <v>Es gibt 5 verschiedene Personen, die auf Stühlen sitzen und Akkordeons spielen, an denen Klaviere angebracht sind.</v>
      </c>
    </row>
    <row r="25036">
      <c r="A25036" s="4" t="s">
        <v>31510</v>
      </c>
      <c r="B25036" s="4" t="s">
        <v>31512</v>
      </c>
      <c r="C25036" s="5" t="str">
        <f>IFERROR(__xludf.DUMMYFUNCTION("GOOGLETRANSLATE(B25036,""en"",""de"")"),"Es gibt 2 Frauen und 3 Männer und alle sehen sehr ernst mit dem, was sie tun.")</f>
        <v>Es gibt 2 Frauen und 3 Männer und alle sehen sehr ernst mit dem, was sie tun.</v>
      </c>
    </row>
    <row r="25037">
      <c r="A25037" s="4" t="s">
        <v>31510</v>
      </c>
      <c r="B25037" s="4" t="s">
        <v>31513</v>
      </c>
      <c r="C25037" s="5" t="str">
        <f>IFERROR(__xludf.DUMMYFUNCTION("GOOGLETRANSLATE(B25037,""en"",""de"")"),"Sie alle drücken verschiedene Schlüssel, um Mischgeräusche zu machen, und nicht alle verwenden das Akkordeon viel.")</f>
        <v>Sie alle drücken verschiedene Schlüssel, um Mischgeräusche zu machen, und nicht alle verwenden das Akkordeon viel.</v>
      </c>
    </row>
    <row r="25038">
      <c r="A25038" s="4" t="s">
        <v>31514</v>
      </c>
      <c r="B25038" s="4" t="s">
        <v>31515</v>
      </c>
      <c r="C25038" s="5" t="str">
        <f>IFERROR(__xludf.DUMMYFUNCTION("GOOGLETRANSLATE(B25038,""en"",""de"")"),"Männer erklären das Spiel Beer Pong, während die Leute am Turnier teilnehmen.")</f>
        <v>Männer erklären das Spiel Beer Pong, während die Leute am Turnier teilnehmen.</v>
      </c>
    </row>
    <row r="25039">
      <c r="A25039" s="4" t="s">
        <v>31514</v>
      </c>
      <c r="B25039" s="4" t="s">
        <v>31516</v>
      </c>
      <c r="C25039" s="5" t="str">
        <f>IFERROR(__xludf.DUMMYFUNCTION("GOOGLETRANSLATE(B25039,""en"",""de"")"),"Zwei Person trägt lustige Kleidung und weiße Perücken.")</f>
        <v>Zwei Person trägt lustige Kleidung und weiße Perücken.</v>
      </c>
    </row>
    <row r="25040">
      <c r="A25040" s="4" t="s">
        <v>31514</v>
      </c>
      <c r="B25040" s="4" t="s">
        <v>31517</v>
      </c>
      <c r="C25040" s="5" t="str">
        <f>IFERROR(__xludf.DUMMYFUNCTION("GOOGLETRANSLATE(B25040,""en"",""de"")"),"Mehrere Menschen treten an Bierpongs an einem Tisch voller Tassen mit Bier an, dann gewinnt eine Person und die Leute gratuliert dem Gewinner.")</f>
        <v>Mehrere Menschen treten an Bierpongs an einem Tisch voller Tassen mit Bier an, dann gewinnt eine Person und die Leute gratuliert dem Gewinner.</v>
      </c>
    </row>
    <row r="25041">
      <c r="A25041" s="4" t="s">
        <v>31514</v>
      </c>
      <c r="B25041" s="4" t="s">
        <v>31518</v>
      </c>
      <c r="C25041" s="5" t="str">
        <f>IFERROR(__xludf.DUMMYFUNCTION("GOOGLETRANSLATE(B25041,""en"",""de"")"),"Dann spielt die Leute die Bierpong erfolglos, und dann wirft ein Mann den Ball in den fernen Pokal, dann umarmt die Leute den Gewinner, der einen Preis erhält.")</f>
        <v>Dann spielt die Leute die Bierpong erfolglos, und dann wirft ein Mann den Ball in den fernen Pokal, dann umarmt die Leute den Gewinner, der einen Preis erhält.</v>
      </c>
    </row>
    <row r="25042">
      <c r="A25042" s="4" t="s">
        <v>31514</v>
      </c>
      <c r="B25042" s="4" t="s">
        <v>31519</v>
      </c>
      <c r="C25042" s="5" t="str">
        <f>IFERROR(__xludf.DUMMYFUNCTION("GOOGLETRANSLATE(B25042,""en"",""de"")"),"Eine Person fotografiert dem Gewinner.")</f>
        <v>Eine Person fotografiert dem Gewinner.</v>
      </c>
    </row>
    <row r="25043">
      <c r="A25043" s="4" t="s">
        <v>31520</v>
      </c>
      <c r="B25043" s="4" t="s">
        <v>31521</v>
      </c>
      <c r="C25043" s="5" t="str">
        <f>IFERROR(__xludf.DUMMYFUNCTION("GOOGLETRANSLATE(B25043,""en"",""de"")"),"Wir sehen eine Gitarren -Illustration in der Eröffnungsszene.")</f>
        <v>Wir sehen eine Gitarren -Illustration in der Eröffnungsszene.</v>
      </c>
    </row>
    <row r="25044">
      <c r="A25044" s="4" t="s">
        <v>31520</v>
      </c>
      <c r="B25044" s="4" t="s">
        <v>31522</v>
      </c>
      <c r="C25044" s="5" t="str">
        <f>IFERROR(__xludf.DUMMYFUNCTION("GOOGLETRANSLATE(B25044,""en"",""de"")"),"Wir sehen einen Mann, der wie Drum die Gitarre schlägt.")</f>
        <v>Wir sehen einen Mann, der wie Drum die Gitarre schlägt.</v>
      </c>
    </row>
    <row r="25045">
      <c r="A25045" s="4" t="s">
        <v>31520</v>
      </c>
      <c r="B25045" s="4" t="s">
        <v>31523</v>
      </c>
      <c r="C25045" s="5" t="str">
        <f>IFERROR(__xludf.DUMMYFUNCTION("GOOGLETRANSLATE(B25045,""en"",""de"")"),"Der Mann spielt ein Lied auf der Gitarre und wir sehen kurz den Song und den Künstlernamen auf dem Bildschirm.")</f>
        <v>Der Mann spielt ein Lied auf der Gitarre und wir sehen kurz den Song und den Künstlernamen auf dem Bildschirm.</v>
      </c>
    </row>
    <row r="25046">
      <c r="A25046" s="4" t="s">
        <v>31520</v>
      </c>
      <c r="B25046" s="4" t="s">
        <v>31524</v>
      </c>
      <c r="C25046" s="5" t="str">
        <f>IFERROR(__xludf.DUMMYFUNCTION("GOOGLETRANSLATE(B25046,""en"",""de"")"),"Wir konzentrieren uns auf die linke Hand auf dem Gitarrenhals.")</f>
        <v>Wir konzentrieren uns auf die linke Hand auf dem Gitarrenhals.</v>
      </c>
    </row>
    <row r="25047">
      <c r="A25047" s="4" t="s">
        <v>31520</v>
      </c>
      <c r="B25047" s="4" t="s">
        <v>31525</v>
      </c>
      <c r="C25047" s="5" t="str">
        <f>IFERROR(__xludf.DUMMYFUNCTION("GOOGLETRANSLATE(B25047,""en"",""de"")"),"Der Mann beendet und hört auf zu spielen.")</f>
        <v>Der Mann beendet und hört auf zu spielen.</v>
      </c>
    </row>
    <row r="25048">
      <c r="A25048" s="4" t="s">
        <v>31520</v>
      </c>
      <c r="B25048" s="4" t="s">
        <v>31526</v>
      </c>
      <c r="C25048" s="5" t="str">
        <f>IFERROR(__xludf.DUMMYFUNCTION("GOOGLETRANSLATE(B25048,""en"",""de"")"),"Wir sehen die Illustration wieder.")</f>
        <v>Wir sehen die Illustration wieder.</v>
      </c>
    </row>
    <row r="25049">
      <c r="A25049" s="4" t="s">
        <v>31527</v>
      </c>
      <c r="B25049" s="4" t="s">
        <v>31528</v>
      </c>
      <c r="C25049" s="5" t="str">
        <f>IFERROR(__xludf.DUMMYFUNCTION("GOOGLETRANSLATE(B25049,""en"",""de"")"),"Eine Person rennt und wirft einen Speer.")</f>
        <v>Eine Person rennt und wirft einen Speer.</v>
      </c>
    </row>
    <row r="25050">
      <c r="A25050" s="4" t="s">
        <v>31527</v>
      </c>
      <c r="B25050" s="4" t="s">
        <v>31529</v>
      </c>
      <c r="C25050" s="5" t="str">
        <f>IFERROR(__xludf.DUMMYFUNCTION("GOOGLETRANSLATE(B25050,""en"",""de"")"),"Es gibt Leute, die sie hinter einem Zaun beobachten.")</f>
        <v>Es gibt Leute, die sie hinter einem Zaun beobachten.</v>
      </c>
    </row>
    <row r="25051">
      <c r="A25051" s="4" t="s">
        <v>31527</v>
      </c>
      <c r="B25051" s="4" t="s">
        <v>31530</v>
      </c>
      <c r="C25051" s="5" t="str">
        <f>IFERROR(__xludf.DUMMYFUNCTION("GOOGLETRANSLATE(B25051,""en"",""de"")"),"Ein grüner Regenschirm sitzt neben der Strecke.")</f>
        <v>Ein grüner Regenschirm sitzt neben der Strecke.</v>
      </c>
    </row>
    <row r="25052">
      <c r="A25052" s="4" t="s">
        <v>31531</v>
      </c>
      <c r="B25052" s="4" t="s">
        <v>31532</v>
      </c>
      <c r="C25052" s="5" t="str">
        <f>IFERROR(__xludf.DUMMYFUNCTION("GOOGLETRANSLATE(B25052,""en"",""de"")"),"Zwei Personen geben einen Nachrichtenbericht über die Wichtigkeit des Tragens von Sonnenschutzmitteln und sprechen miteinander.")</f>
        <v>Zwei Personen geben einen Nachrichtenbericht über die Wichtigkeit des Tragens von Sonnenschutzmitteln und sprechen miteinander.</v>
      </c>
    </row>
    <row r="25053">
      <c r="A25053" s="4" t="s">
        <v>31531</v>
      </c>
      <c r="B25053" s="4" t="s">
        <v>31533</v>
      </c>
      <c r="C25053" s="5" t="str">
        <f>IFERROR(__xludf.DUMMYFUNCTION("GOOGLETRANSLATE(B25053,""en"",""de"")"),"Die Leute werden im Freien gezeigt, wie Sonnenschutzmittel an und anziehen.")</f>
        <v>Die Leute werden im Freien gezeigt, wie Sonnenschutzmittel an und anziehen.</v>
      </c>
    </row>
    <row r="25054">
      <c r="A25054" s="4" t="s">
        <v>31531</v>
      </c>
      <c r="B25054" s="4" t="s">
        <v>31534</v>
      </c>
      <c r="C25054" s="5" t="str">
        <f>IFERROR(__xludf.DUMMYFUNCTION("GOOGLETRANSLATE(B25054,""en"",""de"")"),"Die Nachrichtensender sprechen am Ende miteinander.")</f>
        <v>Die Nachrichtensender sprechen am Ende miteinander.</v>
      </c>
    </row>
    <row r="25055">
      <c r="A25055" s="4" t="s">
        <v>31535</v>
      </c>
      <c r="B25055" s="4" t="s">
        <v>31536</v>
      </c>
      <c r="C25055" s="5" t="str">
        <f>IFERROR(__xludf.DUMMYFUNCTION("GOOGLETRANSLATE(B25055,""en"",""de"")"),"Ein Mann in einem weißen Hemd legt eine Fliese auf den Boden.")</f>
        <v>Ein Mann in einem weißen Hemd legt eine Fliese auf den Boden.</v>
      </c>
    </row>
    <row r="25056">
      <c r="A25056" s="4" t="s">
        <v>31535</v>
      </c>
      <c r="B25056" s="4" t="s">
        <v>31537</v>
      </c>
      <c r="C25056" s="5" t="str">
        <f>IFERROR(__xludf.DUMMYFUNCTION("GOOGLETRANSLATE(B25056,""en"",""de"")"),"Der Mann zeigt neben der Fliese dann.")</f>
        <v>Der Mann zeigt neben der Fliese dann.</v>
      </c>
    </row>
    <row r="25057">
      <c r="A25057" s="4" t="s">
        <v>31535</v>
      </c>
      <c r="B25057" s="4" t="s">
        <v>31538</v>
      </c>
      <c r="C25057" s="5" t="str">
        <f>IFERROR(__xludf.DUMMYFUNCTION("GOOGLETRANSLATE(B25057,""en"",""de"")"),"Die Kamera zoomt auf der Fliese.")</f>
        <v>Die Kamera zoomt auf der Fliese.</v>
      </c>
    </row>
    <row r="25058">
      <c r="A25058" s="4" t="s">
        <v>31539</v>
      </c>
      <c r="B25058" s="4" t="s">
        <v>31540</v>
      </c>
      <c r="C25058" s="5" t="str">
        <f>IFERROR(__xludf.DUMMYFUNCTION("GOOGLETRANSLATE(B25058,""en"",""de"")"),"Das Video beginnt mit einer Nahaufnahme von zwei Jungen.")</f>
        <v>Das Video beginnt mit einer Nahaufnahme von zwei Jungen.</v>
      </c>
    </row>
    <row r="25059">
      <c r="A25059" s="4" t="s">
        <v>31539</v>
      </c>
      <c r="B25059" s="4" t="s">
        <v>31541</v>
      </c>
      <c r="C25059" s="5" t="str">
        <f>IFERROR(__xludf.DUMMYFUNCTION("GOOGLETRANSLATE(B25059,""en"",""de"")"),"Anschließend wird eine Titel Folie angezeigt und zeigt dann mehrere Zutaten, die in einem Rezept für Kekse verwendet werden.")</f>
        <v>Anschließend wird eine Titel Folie angezeigt und zeigt dann mehrere Zutaten, die in einem Rezept für Kekse verwendet werden.</v>
      </c>
    </row>
    <row r="25060">
      <c r="A25060" s="4" t="s">
        <v>31539</v>
      </c>
      <c r="B25060" s="4" t="s">
        <v>31542</v>
      </c>
      <c r="C25060" s="5" t="str">
        <f>IFERROR(__xludf.DUMMYFUNCTION("GOOGLETRANSLATE(B25060,""en"",""de"")"),"Das Video zeigt dann die beiden Jungen, die Zutaten zusammen mischen.")</f>
        <v>Das Video zeigt dann die beiden Jungen, die Zutaten zusammen mischen.</v>
      </c>
    </row>
    <row r="25061">
      <c r="A25061" s="4" t="s">
        <v>31539</v>
      </c>
      <c r="B25061" s="4" t="s">
        <v>31543</v>
      </c>
      <c r="C25061" s="5" t="str">
        <f>IFERROR(__xludf.DUMMYFUNCTION("GOOGLETRANSLATE(B25061,""en"",""de"")"),"Sie rollen den Teig in Kugeln und legen sie in einen Ofen.")</f>
        <v>Sie rollen den Teig in Kugeln und legen sie in einen Ofen.</v>
      </c>
    </row>
    <row r="25062">
      <c r="A25062" s="4" t="s">
        <v>31539</v>
      </c>
      <c r="B25062" s="4" t="s">
        <v>31544</v>
      </c>
      <c r="C25062" s="5" t="str">
        <f>IFERROR(__xludf.DUMMYFUNCTION("GOOGLETRANSLATE(B25062,""en"",""de"")"),"Die Jungs nehmen die Kekse aus dem Ofen und beginnen sie zu essen.")</f>
        <v>Die Jungs nehmen die Kekse aus dem Ofen und beginnen sie zu essen.</v>
      </c>
    </row>
    <row r="25063">
      <c r="A25063" s="4" t="s">
        <v>31545</v>
      </c>
      <c r="B25063" s="4" t="s">
        <v>31546</v>
      </c>
      <c r="C25063" s="5" t="str">
        <f>IFERROR(__xludf.DUMMYFUNCTION("GOOGLETRANSLATE(B25063,""en"",""de"")"),"Ein Intro führt zu einer Frau, die sich auf das Springen vorbereitet und auf Bars herumschleudert.")</f>
        <v>Ein Intro führt zu einer Frau, die sich auf das Springen vorbereitet und auf Bars herumschleudert.</v>
      </c>
    </row>
    <row r="25064">
      <c r="A25064" s="4" t="s">
        <v>31545</v>
      </c>
      <c r="B25064" s="4" t="s">
        <v>31547</v>
      </c>
      <c r="C25064" s="5" t="str">
        <f>IFERROR(__xludf.DUMMYFUNCTION("GOOGLETRANSLATE(B25064,""en"",""de"")"),"Sie setzt ihre Gymnastik -Routine fort, die mit einer Bar durch die Stangen blätterte, und sie endet, indem sie ihre Arme hochlegt.")</f>
        <v>Sie setzt ihre Gymnastik -Routine fort, die mit einer Bar durch die Stangen blätterte, und sie endet, indem sie ihre Arme hochlegt.</v>
      </c>
    </row>
    <row r="25065">
      <c r="A25065" s="4" t="s">
        <v>31548</v>
      </c>
      <c r="B25065" s="4" t="s">
        <v>31549</v>
      </c>
      <c r="C25065" s="5" t="str">
        <f>IFERROR(__xludf.DUMMYFUNCTION("GOOGLETRANSLATE(B25065,""en"",""de"")"),"Ein Mann, der eine Schürze trägt, wird mehrere Gerichte abgerieben, während sie sie in eine Spüle werfen.")</f>
        <v>Ein Mann, der eine Schürze trägt, wird mehrere Gerichte abgerieben, während sie sie in eine Spüle werfen.</v>
      </c>
    </row>
    <row r="25066">
      <c r="A25066" s="4" t="s">
        <v>31548</v>
      </c>
      <c r="B25066" s="4" t="s">
        <v>31550</v>
      </c>
      <c r="C25066" s="5" t="str">
        <f>IFERROR(__xludf.DUMMYFUNCTION("GOOGLETRANSLATE(B25066,""en"",""de"")"),"Der Mann reiet weiterhin Geschirr ab, während er sie sofort in ein Wassersucken wirft.")</f>
        <v>Der Mann reiet weiterhin Geschirr ab, während er sie sofort in ein Wassersucken wirft.</v>
      </c>
    </row>
    <row r="25067">
      <c r="A25067" s="4" t="s">
        <v>31551</v>
      </c>
      <c r="B25067" s="4" t="s">
        <v>31552</v>
      </c>
      <c r="C25067" s="5" t="str">
        <f>IFERROR(__xludf.DUMMYFUNCTION("GOOGLETRANSLATE(B25067,""en"",""de"")"),"Wir sehen eine Öffnungssequenz mit Blitzen.")</f>
        <v>Wir sehen eine Öffnungssequenz mit Blitzen.</v>
      </c>
    </row>
    <row r="25068">
      <c r="A25068" s="4" t="s">
        <v>31551</v>
      </c>
      <c r="B25068" s="4" t="s">
        <v>31553</v>
      </c>
      <c r="C25068" s="5" t="str">
        <f>IFERROR(__xludf.DUMMYFUNCTION("GOOGLETRANSLATE(B25068,""en"",""de"")"),"Wir sehen zwei Männer in einem Hof, die einen Gegenstand ins Gras schieben.")</f>
        <v>Wir sehen zwei Männer in einem Hof, die einen Gegenstand ins Gras schieben.</v>
      </c>
    </row>
    <row r="25069">
      <c r="A25069" s="4" t="s">
        <v>31551</v>
      </c>
      <c r="B25069" s="4" t="s">
        <v>31554</v>
      </c>
      <c r="C25069" s="5" t="str">
        <f>IFERROR(__xludf.DUMMYFUNCTION("GOOGLETRANSLATE(B25069,""en"",""de"")"),"Wir sehen einen Schmutzfleck im Gras.")</f>
        <v>Wir sehen einen Schmutzfleck im Gras.</v>
      </c>
    </row>
    <row r="25070">
      <c r="A25070" s="4" t="s">
        <v>31551</v>
      </c>
      <c r="B25070" s="4" t="s">
        <v>31555</v>
      </c>
      <c r="C25070" s="5" t="str">
        <f>IFERROR(__xludf.DUMMYFUNCTION("GOOGLETRANSLATE(B25070,""en"",""de"")"),"Wir sehen den Monitor auf dem Gerät.")</f>
        <v>Wir sehen den Monitor auf dem Gerät.</v>
      </c>
    </row>
    <row r="25071">
      <c r="A25071" s="4" t="s">
        <v>31551</v>
      </c>
      <c r="B25071" s="4" t="s">
        <v>31556</v>
      </c>
      <c r="C25071" s="5" t="str">
        <f>IFERROR(__xludf.DUMMYFUNCTION("GOOGLETRANSLATE(B25071,""en"",""de"")"),"Wir sehen einen Baum in einer Runde Schmutz.")</f>
        <v>Wir sehen einen Baum in einer Runde Schmutz.</v>
      </c>
    </row>
    <row r="25072">
      <c r="A25072" s="4" t="s">
        <v>31551</v>
      </c>
      <c r="B25072" s="4" t="s">
        <v>31557</v>
      </c>
      <c r="C25072" s="5" t="str">
        <f>IFERROR(__xludf.DUMMYFUNCTION("GOOGLETRANSLATE(B25072,""en"",""de"")"),"Wir sehen eine Wurzel im Hof.")</f>
        <v>Wir sehen eine Wurzel im Hof.</v>
      </c>
    </row>
    <row r="25073">
      <c r="A25073" s="4" t="s">
        <v>31551</v>
      </c>
      <c r="B25073" s="4" t="s">
        <v>31558</v>
      </c>
      <c r="C25073" s="5" t="str">
        <f>IFERROR(__xludf.DUMMYFUNCTION("GOOGLETRANSLATE(B25073,""en"",""de"")"),"Wir sehen die Endgutschrift und der Bildschirm verblasst.")</f>
        <v>Wir sehen die Endgutschrift und der Bildschirm verblasst.</v>
      </c>
    </row>
    <row r="25074">
      <c r="A25074" s="4" t="s">
        <v>31559</v>
      </c>
      <c r="B25074" s="4" t="s">
        <v>31560</v>
      </c>
      <c r="C25074" s="5" t="str">
        <f>IFERROR(__xludf.DUMMYFUNCTION("GOOGLETRANSLATE(B25074,""en"",""de"")"),"Ein Mädchen in einem schwarzen Hemd und rosa Shorts malt einen Holzzaun.")</f>
        <v>Ein Mädchen in einem schwarzen Hemd und rosa Shorts malt einen Holzzaun.</v>
      </c>
    </row>
    <row r="25075">
      <c r="A25075" s="4" t="s">
        <v>31559</v>
      </c>
      <c r="B25075" s="4" t="s">
        <v>13650</v>
      </c>
      <c r="C25075" s="5" t="str">
        <f>IFERROR(__xludf.DUMMYFUNCTION("GOOGLETRANSLATE(B25075,""en"",""de"")"),"Wörter kommen auf den Bildschirm.")</f>
        <v>Wörter kommen auf den Bildschirm.</v>
      </c>
    </row>
    <row r="25076">
      <c r="A25076" s="4" t="s">
        <v>31561</v>
      </c>
      <c r="B25076" s="4" t="s">
        <v>31562</v>
      </c>
      <c r="C25076" s="5" t="str">
        <f>IFERROR(__xludf.DUMMYFUNCTION("GOOGLETRANSLATE(B25076,""en"",""de"")"),"Zwei Menschen stehen in einem Raum.")</f>
        <v>Zwei Menschen stehen in einem Raum.</v>
      </c>
    </row>
    <row r="25077">
      <c r="A25077" s="4" t="s">
        <v>31561</v>
      </c>
      <c r="B25077" s="4" t="s">
        <v>31563</v>
      </c>
      <c r="C25077" s="5" t="str">
        <f>IFERROR(__xludf.DUMMYFUNCTION("GOOGLETRANSLATE(B25077,""en"",""de"")"),"Sie spielen ein Spiel mit Wallball.")</f>
        <v>Sie spielen ein Spiel mit Wallball.</v>
      </c>
    </row>
    <row r="25078">
      <c r="A25078" s="4" t="s">
        <v>31561</v>
      </c>
      <c r="B25078" s="4" t="s">
        <v>31564</v>
      </c>
      <c r="C25078" s="5" t="str">
        <f>IFERROR(__xludf.DUMMYFUNCTION("GOOGLETRANSLATE(B25078,""en"",""de"")"),"Sie schwingen ihre Schläger und schlagen den Ball.")</f>
        <v>Sie schwingen ihre Schläger und schlagen den Ball.</v>
      </c>
    </row>
    <row r="25079">
      <c r="A25079" s="4" t="s">
        <v>31565</v>
      </c>
      <c r="B25079" s="4" t="s">
        <v>31566</v>
      </c>
      <c r="C25079" s="5" t="str">
        <f>IFERROR(__xludf.DUMMYFUNCTION("GOOGLETRANSLATE(B25079,""en"",""de"")"),"Die Leute rennen auf dem Feld herum und spielen Lacrosse.")</f>
        <v>Die Leute rennen auf dem Feld herum und spielen Lacrosse.</v>
      </c>
    </row>
    <row r="25080">
      <c r="A25080" s="4" t="s">
        <v>31565</v>
      </c>
      <c r="B25080" s="4" t="s">
        <v>31567</v>
      </c>
      <c r="C25080" s="5" t="str">
        <f>IFERROR(__xludf.DUMMYFUNCTION("GOOGLETRANSLATE(B25080,""en"",""de"")"),"Die Menge beobachtet sie spielen.")</f>
        <v>Die Menge beobachtet sie spielen.</v>
      </c>
    </row>
    <row r="25081">
      <c r="A25081" s="4" t="s">
        <v>31565</v>
      </c>
      <c r="B25081" s="4" t="s">
        <v>31568</v>
      </c>
      <c r="C25081" s="5" t="str">
        <f>IFERROR(__xludf.DUMMYFUNCTION("GOOGLETRANSLATE(B25081,""en"",""de"")"),"Auf dem Bildschirm wird ein schwarz -weißes Logo angezeigt.")</f>
        <v>Auf dem Bildschirm wird ein schwarz -weißes Logo angezeigt.</v>
      </c>
    </row>
    <row r="25082">
      <c r="A25082" s="4" t="s">
        <v>31569</v>
      </c>
      <c r="B25082" s="4" t="s">
        <v>31570</v>
      </c>
      <c r="C25082" s="5" t="str">
        <f>IFERROR(__xludf.DUMMYFUNCTION("GOOGLETRANSLATE(B25082,""en"",""de"")"),"Ein großer Weihnachtsbaum sitzt in einem Raum.")</f>
        <v>Ein großer Weihnachtsbaum sitzt in einem Raum.</v>
      </c>
    </row>
    <row r="25083">
      <c r="A25083" s="4" t="s">
        <v>31569</v>
      </c>
      <c r="B25083" s="4" t="s">
        <v>31571</v>
      </c>
      <c r="C25083" s="5" t="str">
        <f>IFERROR(__xludf.DUMMYFUNCTION("GOOGLETRANSLATE(B25083,""en"",""de"")"),"Ein Mann und eine Frau legen Lichter auf den Weihnachtsbaum.")</f>
        <v>Ein Mann und eine Frau legen Lichter auf den Weihnachtsbaum.</v>
      </c>
    </row>
    <row r="25084">
      <c r="A25084" s="4" t="s">
        <v>31569</v>
      </c>
      <c r="B25084" s="4" t="s">
        <v>31572</v>
      </c>
      <c r="C25084" s="5" t="str">
        <f>IFERROR(__xludf.DUMMYFUNCTION("GOOGLETRANSLATE(B25084,""en"",""de"")"),"Ein Hund läuft um den Weihnachtsbaum.")</f>
        <v>Ein Hund läuft um den Weihnachtsbaum.</v>
      </c>
    </row>
    <row r="25085">
      <c r="A25085" s="4" t="s">
        <v>31573</v>
      </c>
      <c r="B25085" s="4" t="s">
        <v>31574</v>
      </c>
      <c r="C25085" s="5" t="str">
        <f>IFERROR(__xludf.DUMMYFUNCTION("GOOGLETRANSLATE(B25085,""en"",""de"")"),"Eine Reihe von Kleinkindjungen stehen an der Wand und spielen mit Zahnbürsten.")</f>
        <v>Eine Reihe von Kleinkindjungen stehen an der Wand und spielen mit Zahnbürsten.</v>
      </c>
    </row>
    <row r="25086">
      <c r="A25086" s="4" t="s">
        <v>31573</v>
      </c>
      <c r="B25086" s="4" t="s">
        <v>31575</v>
      </c>
      <c r="C25086" s="5" t="str">
        <f>IFERROR(__xludf.DUMMYFUNCTION("GOOGLETRANSLATE(B25086,""en"",""de"")"),"Beide beginnen, ihre Zähne wild ohne Zahnpasta oder Wasser zu putzen.")</f>
        <v>Beide beginnen, ihre Zähne wild ohne Zahnpasta oder Wasser zu putzen.</v>
      </c>
    </row>
    <row r="25087">
      <c r="A25087" s="4" t="s">
        <v>31576</v>
      </c>
      <c r="B25087" s="4" t="s">
        <v>31577</v>
      </c>
      <c r="C25087" s="5" t="str">
        <f>IFERROR(__xludf.DUMMYFUNCTION("GOOGLETRANSLATE(B25087,""en"",""de"")"),"Ein Intro kommt auf den Bildschirm, das ein Hochhausgebäude zeigt.")</f>
        <v>Ein Intro kommt auf den Bildschirm, das ein Hochhausgebäude zeigt.</v>
      </c>
    </row>
    <row r="25088">
      <c r="A25088" s="4" t="s">
        <v>31576</v>
      </c>
      <c r="B25088" s="4" t="s">
        <v>31578</v>
      </c>
      <c r="C25088" s="5" t="str">
        <f>IFERROR(__xludf.DUMMYFUNCTION("GOOGLETRANSLATE(B25088,""en"",""de"")"),"Dann wird ein Mann gezeigt, der sich vorbereitet und mehrere Geräte anzieht, die er mit einem Gürtel verbinden kann.")</f>
        <v>Dann wird ein Mann gezeigt, der sich vorbereitet und mehrere Geräte anzieht, die er mit einem Gürtel verbinden kann.</v>
      </c>
    </row>
    <row r="25089">
      <c r="A25089" s="4" t="s">
        <v>31576</v>
      </c>
      <c r="B25089" s="4" t="s">
        <v>31579</v>
      </c>
      <c r="C25089" s="5" t="str">
        <f>IFERROR(__xludf.DUMMYFUNCTION("GOOGLETRANSLATE(B25089,""en"",""de"")"),"Er wird dann gezeigt, wie er die Fenster des sehr hohen Gebäudes wäscht.")</f>
        <v>Er wird dann gezeigt, wie er die Fenster des sehr hohen Gebäudes wäscht.</v>
      </c>
    </row>
    <row r="25090">
      <c r="A25090" s="4" t="s">
        <v>31576</v>
      </c>
      <c r="B25090" s="4" t="s">
        <v>31580</v>
      </c>
      <c r="C25090" s="5" t="str">
        <f>IFERROR(__xludf.DUMMYFUNCTION("GOOGLETRANSLATE(B25090,""en"",""de"")"),"Er benutzt einen Scrapper mit dem Kratzer eines Aufklebers aus einem der Fenster.")</f>
        <v>Er benutzt einen Scrapper mit dem Kratzer eines Aufklebers aus einem der Fenster.</v>
      </c>
    </row>
    <row r="25091">
      <c r="A25091" s="4" t="s">
        <v>31576</v>
      </c>
      <c r="B25091" s="4" t="s">
        <v>31581</v>
      </c>
      <c r="C25091" s="5" t="str">
        <f>IFERROR(__xludf.DUMMYFUNCTION("GOOGLETRANSLATE(B25091,""en"",""de"")"),"Er zeigt, wie er eine Waschmaschine in einen Eimer taucht und die Fenster des Erdgeschosses wäscht.")</f>
        <v>Er zeigt, wie er eine Waschmaschine in einen Eimer taucht und die Fenster des Erdgeschosses wäscht.</v>
      </c>
    </row>
    <row r="25092">
      <c r="A25092" s="4" t="s">
        <v>31576</v>
      </c>
      <c r="B25092" s="4" t="s">
        <v>31582</v>
      </c>
      <c r="C25092" s="5" t="str">
        <f>IFERROR(__xludf.DUMMYFUNCTION("GOOGLETRANSLATE(B25092,""en"",""de"")"),"Einige der Fensterwaschmittel werden erneut angezeigt, bevor das Video endet.")</f>
        <v>Einige der Fensterwaschmittel werden erneut angezeigt, bevor das Video endet.</v>
      </c>
    </row>
    <row r="25093">
      <c r="A25093" s="4" t="s">
        <v>31583</v>
      </c>
      <c r="B25093" s="4" t="s">
        <v>31584</v>
      </c>
      <c r="C25093" s="5" t="str">
        <f>IFERROR(__xludf.DUMMYFUNCTION("GOOGLETRANSLATE(B25093,""en"",""de"")"),"Eine Frau zeigt, wie sich Tango Steps bewegt und sich umdreht, während sie redet.")</f>
        <v>Eine Frau zeigt, wie sich Tango Steps bewegt und sich umdreht, während sie redet.</v>
      </c>
    </row>
    <row r="25094">
      <c r="A25094" s="4" t="s">
        <v>31583</v>
      </c>
      <c r="B25094" s="4" t="s">
        <v>31585</v>
      </c>
      <c r="C25094" s="5" t="str">
        <f>IFERROR(__xludf.DUMMYFUNCTION("GOOGLETRANSLATE(B25094,""en"",""de"")"),"Dann bewegt sich der Mann herum und zeigt Tango -Schritte.")</f>
        <v>Dann bewegt sich der Mann herum und zeigt Tango -Schritte.</v>
      </c>
    </row>
    <row r="25095">
      <c r="A25095" s="4" t="s">
        <v>31583</v>
      </c>
      <c r="B25095" s="4" t="s">
        <v>31586</v>
      </c>
      <c r="C25095" s="5" t="str">
        <f>IFERROR(__xludf.DUMMYFUNCTION("GOOGLETRANSLATE(B25095,""en"",""de"")"),"Danach tanzen die Frau und der Mann Tango zusammen, während der Mann spricht.")</f>
        <v>Danach tanzen die Frau und der Mann Tango zusammen, während der Mann spricht.</v>
      </c>
    </row>
    <row r="25096">
      <c r="A25096" s="4" t="s">
        <v>31587</v>
      </c>
      <c r="B25096" s="4" t="s">
        <v>31588</v>
      </c>
      <c r="C25096" s="5" t="str">
        <f>IFERROR(__xludf.DUMMYFUNCTION("GOOGLETRANSLATE(B25096,""en"",""de"")"),"Ein Bild von einer Inselküste wird mit ruhigen blauen Wellen gezeigt, die gegen die Felsen waschen.")</f>
        <v>Ein Bild von einer Inselküste wird mit ruhigen blauen Wellen gezeigt, die gegen die Felsen waschen.</v>
      </c>
    </row>
    <row r="25097">
      <c r="A25097" s="4" t="s">
        <v>31587</v>
      </c>
      <c r="B25097" s="4" t="s">
        <v>31589</v>
      </c>
      <c r="C25097" s="5" t="str">
        <f>IFERROR(__xludf.DUMMYFUNCTION("GOOGLETRANSLATE(B25097,""en"",""de"")"),"Ein Mann erscheint plötzlich und rennt mit einem Surfbrett zum Wasser.")</f>
        <v>Ein Mann erscheint plötzlich und rennt mit einem Surfbrett zum Wasser.</v>
      </c>
    </row>
    <row r="25098">
      <c r="A25098" s="4" t="s">
        <v>31587</v>
      </c>
      <c r="B25098" s="4" t="s">
        <v>31590</v>
      </c>
      <c r="C25098" s="5" t="str">
        <f>IFERROR(__xludf.DUMMYFUNCTION("GOOGLETRANSLATE(B25098,""en"",""de"")"),"Der Mann beginnt auf den Wellen zu surfen, als mehrere Menschen am Strand sitzen und ihn beobachten.")</f>
        <v>Der Mann beginnt auf den Wellen zu surfen, als mehrere Menschen am Strand sitzen und ihn beobachten.</v>
      </c>
    </row>
    <row r="25099">
      <c r="A25099" s="4" t="s">
        <v>31587</v>
      </c>
      <c r="B25099" s="4" t="s">
        <v>31591</v>
      </c>
      <c r="C25099" s="5" t="str">
        <f>IFERROR(__xludf.DUMMYFUNCTION("GOOGLETRANSLATE(B25099,""en"",""de"")"),"Nach einer Weile verlässt das Männchen das Wasser und sitzt mit dem Surfbrett auf dem Hügel und geht dann weg.")</f>
        <v>Nach einer Weile verlässt das Männchen das Wasser und sitzt mit dem Surfbrett auf dem Hügel und geht dann weg.</v>
      </c>
    </row>
    <row r="25100">
      <c r="A25100" s="4" t="s">
        <v>31592</v>
      </c>
      <c r="B25100" s="4" t="s">
        <v>31593</v>
      </c>
      <c r="C25100" s="5" t="str">
        <f>IFERROR(__xludf.DUMMYFUNCTION("GOOGLETRANSLATE(B25100,""en"",""de"")"),"Eine Frau gibt einem Jungen einen Stock mit einem kleinen Mädchen, das nach ihrer Aufmerksamkeit greift.")</f>
        <v>Eine Frau gibt einem Jungen einen Stock mit einem kleinen Mädchen, das nach ihrer Aufmerksamkeit greift.</v>
      </c>
    </row>
    <row r="25101">
      <c r="A25101" s="4" t="s">
        <v>31592</v>
      </c>
      <c r="B25101" s="4" t="s">
        <v>31594</v>
      </c>
      <c r="C25101" s="5" t="str">
        <f>IFERROR(__xludf.DUMMYFUNCTION("GOOGLETRANSLATE(B25101,""en"",""de"")"),"Die Pinata wird angehoben und der Junge beginnt am Objekt zu schwingen.")</f>
        <v>Die Pinata wird angehoben und der Junge beginnt am Objekt zu schwingen.</v>
      </c>
    </row>
    <row r="25102">
      <c r="A25102" s="4" t="s">
        <v>31592</v>
      </c>
      <c r="B25102" s="4" t="s">
        <v>31595</v>
      </c>
      <c r="C25102" s="5" t="str">
        <f>IFERROR(__xludf.DUMMYFUNCTION("GOOGLETRANSLATE(B25102,""en"",""de"")"),"Die Kamera schwenkt um Leute herum, die zuschauen, während er die Pinata trifft und ein kleiner Junge hinter sich klatscht.")</f>
        <v>Die Kamera schwenkt um Leute herum, die zuschauen, während er die Pinata trifft und ein kleiner Junge hinter sich klatscht.</v>
      </c>
    </row>
    <row r="25103">
      <c r="A25103" s="4" t="s">
        <v>31596</v>
      </c>
      <c r="B25103" s="4" t="s">
        <v>31597</v>
      </c>
      <c r="C25103" s="5" t="str">
        <f>IFERROR(__xludf.DUMMYFUNCTION("GOOGLETRANSLATE(B25103,""en"",""de"")"),"Ein Mann in einem lila Hemd spricht mit der Kamera.")</f>
        <v>Ein Mann in einem lila Hemd spricht mit der Kamera.</v>
      </c>
    </row>
    <row r="25104">
      <c r="A25104" s="4" t="s">
        <v>31596</v>
      </c>
      <c r="B25104" s="4" t="s">
        <v>31598</v>
      </c>
      <c r="C25104" s="5" t="str">
        <f>IFERROR(__xludf.DUMMYFUNCTION("GOOGLETRANSLATE(B25104,""en"",""de"")"),"Er fängt an, Holzplanken an einer Wand hochzuklettern.")</f>
        <v>Er fängt an, Holzplanken an einer Wand hochzuklettern.</v>
      </c>
    </row>
    <row r="25105">
      <c r="A25105" s="4" t="s">
        <v>31596</v>
      </c>
      <c r="B25105" s="4" t="s">
        <v>31599</v>
      </c>
      <c r="C25105" s="5" t="str">
        <f>IFERROR(__xludf.DUMMYFUNCTION("GOOGLETRANSLATE(B25105,""en"",""de"")"),"Er steigt von der Wand und redet weiter.")</f>
        <v>Er steigt von der Wand und redet weiter.</v>
      </c>
    </row>
    <row r="25106">
      <c r="A25106" s="4" t="s">
        <v>31600</v>
      </c>
      <c r="B25106" s="4" t="s">
        <v>31601</v>
      </c>
      <c r="C25106" s="5" t="str">
        <f>IFERROR(__xludf.DUMMYFUNCTION("GOOGLETRANSLATE(B25106,""en"",""de"")"),"Verschiedene Bilder von Lebensmitteln werden angezeigt, gefolgt von einer Person, die Gemüse aufschneidet und verschiedene Zutaten in einen Topf mischt.")</f>
        <v>Verschiedene Bilder von Lebensmitteln werden angezeigt, gefolgt von einer Person, die Gemüse aufschneidet und verschiedene Zutaten in einen Topf mischt.</v>
      </c>
    </row>
    <row r="25107">
      <c r="A25107" s="4" t="s">
        <v>31600</v>
      </c>
      <c r="B25107" s="4" t="s">
        <v>31602</v>
      </c>
      <c r="C25107" s="5" t="str">
        <f>IFERROR(__xludf.DUMMYFUNCTION("GOOGLETRANSLATE(B25107,""en"",""de"")"),"Dann schneidet er ein Stück Brot aus, schöpfert die Innenseiten und frittiert etwas Fleisch.")</f>
        <v>Dann schneidet er ein Stück Brot aus, schöpfert die Innenseiten und frittiert etwas Fleisch.</v>
      </c>
    </row>
    <row r="25108">
      <c r="A25108" s="4" t="s">
        <v>31600</v>
      </c>
      <c r="B25108" s="4" t="s">
        <v>31603</v>
      </c>
      <c r="C25108" s="5" t="str">
        <f>IFERROR(__xludf.DUMMYFUNCTION("GOOGLETRANSLATE(B25108,""en"",""de"")"),"Schließlich gießt er alle Zutaten in die Break -Schüssel, wickelt sie in Aluminiumfolie und zeigt mehr Bilder des Sandwichs.")</f>
        <v>Schließlich gießt er alle Zutaten in die Break -Schüssel, wickelt sie in Aluminiumfolie und zeigt mehr Bilder des Sandwichs.</v>
      </c>
    </row>
    <row r="25109">
      <c r="A25109" s="4" t="s">
        <v>31604</v>
      </c>
      <c r="B25109" s="4" t="s">
        <v>31605</v>
      </c>
      <c r="C25109" s="5" t="str">
        <f>IFERROR(__xludf.DUMMYFUNCTION("GOOGLETRANSLATE(B25109,""en"",""de"")"),"Ein Mann steht vor einer Kamera.")</f>
        <v>Ein Mann steht vor einer Kamera.</v>
      </c>
    </row>
    <row r="25110">
      <c r="A25110" s="4" t="s">
        <v>31604</v>
      </c>
      <c r="B25110" s="4" t="s">
        <v>31606</v>
      </c>
      <c r="C25110" s="5" t="str">
        <f>IFERROR(__xludf.DUMMYFUNCTION("GOOGLETRANSLATE(B25110,""en"",""de"")"),"Er spielt eine Mundharmonika für die Kamera.")</f>
        <v>Er spielt eine Mundharmonika für die Kamera.</v>
      </c>
    </row>
    <row r="25111">
      <c r="A25111" s="4" t="s">
        <v>31604</v>
      </c>
      <c r="B25111" s="4" t="s">
        <v>31607</v>
      </c>
      <c r="C25111" s="5" t="str">
        <f>IFERROR(__xludf.DUMMYFUNCTION("GOOGLETRANSLATE(B25111,""en"",""de"")"),"Er rockt zur Musik hin und her, während er geht.")</f>
        <v>Er rockt zur Musik hin und her, während er geht.</v>
      </c>
    </row>
    <row r="25112">
      <c r="A25112" s="4" t="s">
        <v>31608</v>
      </c>
      <c r="B25112" s="4" t="s">
        <v>31609</v>
      </c>
      <c r="C25112" s="5" t="str">
        <f>IFERROR(__xludf.DUMMYFUNCTION("GOOGLETRANSLATE(B25112,""en"",""de"")"),"Ein Mann schließt die Augen, während er seinen Bart beschnitten und kämmen lässt.")</f>
        <v>Ein Mann schließt die Augen, während er seinen Bart beschnitten und kämmen lässt.</v>
      </c>
    </row>
    <row r="25113">
      <c r="A25113" s="4" t="s">
        <v>31608</v>
      </c>
      <c r="B25113" s="4" t="s">
        <v>31610</v>
      </c>
      <c r="C25113" s="5" t="str">
        <f>IFERROR(__xludf.DUMMYFUNCTION("GOOGLETRANSLATE(B25113,""en"",""de"")"),"Der Mann hat jetzt einen fast rasierten Bart und lässt seinen Hals rasieren.")</f>
        <v>Der Mann hat jetzt einen fast rasierten Bart und lässt seinen Hals rasieren.</v>
      </c>
    </row>
    <row r="25114">
      <c r="A25114" s="4" t="s">
        <v>31608</v>
      </c>
      <c r="B25114" s="4" t="s">
        <v>31611</v>
      </c>
      <c r="C25114" s="5" t="str">
        <f>IFERROR(__xludf.DUMMYFUNCTION("GOOGLETRANSLATE(B25114,""en"",""de"")"),"Der Mann hat Rasiercreme an Nacken und Seite und bekommt seinen Bart eng mit einem Rasierer in einer Abwärtsbewegung rasiert.")</f>
        <v>Der Mann hat Rasiercreme an Nacken und Seite und bekommt seinen Bart eng mit einem Rasierer in einer Abwärtsbewegung rasiert.</v>
      </c>
    </row>
    <row r="25115">
      <c r="A25115" s="4" t="s">
        <v>31608</v>
      </c>
      <c r="B25115" s="4" t="s">
        <v>31612</v>
      </c>
      <c r="C25115" s="5" t="str">
        <f>IFERROR(__xludf.DUMMYFUNCTION("GOOGLETRANSLATE(B25115,""en"",""de"")"),"Sein Gesicht wird abgeschleppt, nachdem er rasiert wurde.")</f>
        <v>Sein Gesicht wird abgeschleppt, nachdem er rasiert wurde.</v>
      </c>
    </row>
    <row r="25116">
      <c r="A25116" s="4" t="s">
        <v>31608</v>
      </c>
      <c r="B25116" s="4" t="s">
        <v>31613</v>
      </c>
      <c r="C25116" s="5" t="str">
        <f>IFERROR(__xludf.DUMMYFUNCTION("GOOGLETRANSLATE(B25116,""en"",""de"")"),"Ein Mann reibt sich etwas an seine Hände und tätschelt es auf das andere Mann.")</f>
        <v>Ein Mann reibt sich etwas an seine Hände und tätschelt es auf das andere Mann.</v>
      </c>
    </row>
    <row r="25117">
      <c r="A25117" s="4" t="s">
        <v>31608</v>
      </c>
      <c r="B25117" s="4" t="s">
        <v>31614</v>
      </c>
      <c r="C25117" s="5" t="str">
        <f>IFERROR(__xludf.DUMMYFUNCTION("GOOGLETRANSLATE(B25117,""en"",""de"")"),"Sein Gesicht wird am Ende mit dem Handtuch getätschelt.")</f>
        <v>Sein Gesicht wird am Ende mit dem Handtuch getätschelt.</v>
      </c>
    </row>
    <row r="25118">
      <c r="A25118" s="4" t="s">
        <v>31615</v>
      </c>
      <c r="B25118" s="4" t="s">
        <v>31616</v>
      </c>
      <c r="C25118" s="5" t="str">
        <f>IFERROR(__xludf.DUMMYFUNCTION("GOOGLETRANSLATE(B25118,""en"",""de"")"),"Im Haus des Hauses auf der Couch sitzen zwei Männer, einer von ihnen spricht eine Weile beiläufig, der andere hält seinen Arm auf einem Kissen aus.")</f>
        <v>Im Haus des Hauses auf der Couch sitzen zwei Männer, einer von ihnen spricht eine Weile beiläufig, der andere hält seinen Arm auf einem Kissen aus.</v>
      </c>
    </row>
    <row r="25119">
      <c r="A25119" s="4" t="s">
        <v>31615</v>
      </c>
      <c r="B25119" s="4" t="s">
        <v>31617</v>
      </c>
      <c r="C25119" s="5" t="str">
        <f>IFERROR(__xludf.DUMMYFUNCTION("GOOGLETRANSLATE(B25119,""en"",""de"")"),"Der Mann malt seine Freunde mit Fingernnägeln, er scheint auch die Nägel eines anderen getan zu haben und kleines rotes Herz gemacht zu haben.")</f>
        <v>Der Mann malt seine Freunde mit Fingernnägeln, er scheint auch die Nägel eines anderen getan zu haben und kleines rotes Herz gemacht zu haben.</v>
      </c>
    </row>
    <row r="25120">
      <c r="A25120" s="4" t="s">
        <v>31615</v>
      </c>
      <c r="B25120" s="4" t="s">
        <v>31618</v>
      </c>
      <c r="C25120" s="5" t="str">
        <f>IFERROR(__xludf.DUMMYFUNCTION("GOOGLETRANSLATE(B25120,""en"",""de"")"),"Der Mann spricht und ist ziemlich aufgeregt, dass sie dies tun kann. Er legt immer wieder die Spitze der Politur zurück, um mehr Farbe darauf zu bekommen.")</f>
        <v>Der Mann spricht und ist ziemlich aufgeregt, dass sie dies tun kann. Er legt immer wieder die Spitze der Politur zurück, um mehr Farbe darauf zu bekommen.</v>
      </c>
    </row>
    <row r="25121">
      <c r="A25121" s="4" t="s">
        <v>31615</v>
      </c>
      <c r="B25121" s="4" t="s">
        <v>31619</v>
      </c>
      <c r="C25121" s="5" t="str">
        <f>IFERROR(__xludf.DUMMYFUNCTION("GOOGLETRANSLATE(B25121,""en"",""de"")"),"Er reibt scherzhaft das Gesicht des anderen Mannes und nimmt sich weiterhin Zeit, seine Nägel zu malen.")</f>
        <v>Er reibt scherzhaft das Gesicht des anderen Mannes und nimmt sich weiterhin Zeit, seine Nägel zu malen.</v>
      </c>
    </row>
    <row r="25122">
      <c r="A25122" s="4" t="s">
        <v>31620</v>
      </c>
      <c r="B25122" s="4" t="s">
        <v>31621</v>
      </c>
      <c r="C25122" s="5" t="str">
        <f>IFERROR(__xludf.DUMMYFUNCTION("GOOGLETRANSLATE(B25122,""en"",""de"")"),"In einem Wohnheim stehen zwei Kinder in einem doppelten Edelstahlwaschbecken.")</f>
        <v>In einem Wohnheim stehen zwei Kinder in einem doppelten Edelstahlwaschbecken.</v>
      </c>
    </row>
    <row r="25123">
      <c r="A25123" s="4" t="s">
        <v>31620</v>
      </c>
      <c r="B25123" s="4" t="s">
        <v>31622</v>
      </c>
      <c r="C25123" s="5" t="str">
        <f>IFERROR(__xludf.DUMMYFUNCTION("GOOGLETRANSLATE(B25123,""en"",""de"")"),"Das größere Kind bewegt Geschirr von der rechten Seite des Waschbeckens auf die linke Seite des Waschbeckens eins nach und nach, während das kleinere Kind an einer orange Flaschenbürste festhält und keine Gerichte bewegt.")</f>
        <v>Das größere Kind bewegt Geschirr von der rechten Seite des Waschbeckens auf die linke Seite des Waschbeckens eins nach und nach, während das kleinere Kind an einer orange Flaschenbürste festhält und keine Gerichte bewegt.</v>
      </c>
    </row>
    <row r="25124">
      <c r="A25124" s="4" t="s">
        <v>31620</v>
      </c>
      <c r="B25124" s="4" t="s">
        <v>31623</v>
      </c>
      <c r="C25124" s="5" t="str">
        <f>IFERROR(__xludf.DUMMYFUNCTION("GOOGLETRANSLATE(B25124,""en"",""de"")"),"Beide Kinder wenden sich hinter ihnen in die Kamera und das Ältere lächelt ein großes Lächeln, während der Kleine ein sehr kleines Lächeln lächelt.")</f>
        <v>Beide Kinder wenden sich hinter ihnen in die Kamera und das Ältere lächelt ein großes Lächeln, während der Kleine ein sehr kleines Lächeln lächelt.</v>
      </c>
    </row>
    <row r="25125">
      <c r="A25125" s="4" t="s">
        <v>31624</v>
      </c>
      <c r="B25125" s="4" t="s">
        <v>31625</v>
      </c>
      <c r="C25125" s="5" t="str">
        <f>IFERROR(__xludf.DUMMYFUNCTION("GOOGLETRANSLATE(B25125,""en"",""de"")"),"Ein Turner hebt ein Gewicht bis zu seinen Schultern und hebt es dann über seinen Kopf.")</f>
        <v>Ein Turner hebt ein Gewicht bis zu seinen Schultern und hebt es dann über seinen Kopf.</v>
      </c>
    </row>
    <row r="25126">
      <c r="A25126" s="4" t="s">
        <v>31624</v>
      </c>
      <c r="B25126" s="4" t="s">
        <v>31626</v>
      </c>
      <c r="C25126" s="5" t="str">
        <f>IFERROR(__xludf.DUMMYFUNCTION("GOOGLETRANSLATE(B25126,""en"",""de"")"),"Der Mann ließ den Gewicht auf den Boden.")</f>
        <v>Der Mann ließ den Gewicht auf den Boden.</v>
      </c>
    </row>
    <row r="25127">
      <c r="A25127" s="4" t="s">
        <v>31627</v>
      </c>
      <c r="B25127" s="4" t="s">
        <v>31628</v>
      </c>
      <c r="C25127" s="5" t="str">
        <f>IFERROR(__xludf.DUMMYFUNCTION("GOOGLETRANSLATE(B25127,""en"",""de"")"),"Ein Mann spricht mit der Kamera hinter einem Schreibtisch und führt zu Shows von Menschen, die auf Skateboards fahren.")</f>
        <v>Ein Mann spricht mit der Kamera hinter einem Schreibtisch und führt zu Shows von Menschen, die auf Skateboards fahren.</v>
      </c>
    </row>
    <row r="25128">
      <c r="A25128" s="4" t="s">
        <v>31627</v>
      </c>
      <c r="B25128" s="4" t="s">
        <v>31629</v>
      </c>
      <c r="C25128" s="5" t="str">
        <f>IFERROR(__xludf.DUMMYFUNCTION("GOOGLETRANSLATE(B25128,""en"",""de"")"),"Es werden mehr Aufnahmen von ihm gesprochen, ebenso wie die Leute auf den Skateboards.")</f>
        <v>Es werden mehr Aufnahmen von ihm gesprochen, ebenso wie die Leute auf den Skateboards.</v>
      </c>
    </row>
    <row r="25129">
      <c r="A25129" s="4" t="s">
        <v>31630</v>
      </c>
      <c r="B25129" s="4" t="s">
        <v>31631</v>
      </c>
      <c r="C25129" s="5" t="str">
        <f>IFERROR(__xludf.DUMMYFUNCTION("GOOGLETRANSLATE(B25129,""en"",""de"")"),"Eine große Gruppe von Menschen steht und läuft um mehrere Stapel Innenröhren und einen Bus.")</f>
        <v>Eine große Gruppe von Menschen steht und läuft um mehrere Stapel Innenröhren und einen Bus.</v>
      </c>
    </row>
    <row r="25130">
      <c r="A25130" s="4" t="s">
        <v>31630</v>
      </c>
      <c r="B25130" s="4" t="s">
        <v>31632</v>
      </c>
      <c r="C25130" s="5" t="str">
        <f>IFERROR(__xludf.DUMMYFUNCTION("GOOGLETRANSLATE(B25130,""en"",""de"")"),"Zwei kleine Kinder sitzen in einem der Bussitze.")</f>
        <v>Zwei kleine Kinder sitzen in einem der Bussitze.</v>
      </c>
    </row>
    <row r="25131">
      <c r="A25131" s="4" t="s">
        <v>31630</v>
      </c>
      <c r="B25131" s="4" t="s">
        <v>31633</v>
      </c>
      <c r="C25131" s="5" t="str">
        <f>IFERROR(__xludf.DUMMYFUNCTION("GOOGLETRANSLATE(B25131,""en"",""de"")"),"Eine Gruppe von Erwachsenen fährt im Bus und redet.")</f>
        <v>Eine Gruppe von Erwachsenen fährt im Bus und redet.</v>
      </c>
    </row>
    <row r="25132">
      <c r="A25132" s="4" t="s">
        <v>31630</v>
      </c>
      <c r="B25132" s="4" t="s">
        <v>31634</v>
      </c>
      <c r="C25132" s="5" t="str">
        <f>IFERROR(__xludf.DUMMYFUNCTION("GOOGLETRANSLATE(B25132,""en"",""de"")"),"Mehrere Kinder sind unter anderen Menschen im Wasser im Wasser in der Innenröhre im Wasser.")</f>
        <v>Mehrere Kinder sind unter anderen Menschen im Wasser im Wasser in der Innenröhre im Wasser.</v>
      </c>
    </row>
    <row r="25133">
      <c r="A25133" s="4" t="s">
        <v>31630</v>
      </c>
      <c r="B25133" s="4" t="s">
        <v>31635</v>
      </c>
      <c r="C25133" s="5" t="str">
        <f>IFERROR(__xludf.DUMMYFUNCTION("GOOGLETRANSLATE(B25133,""en"",""de"")"),"Mehrere Menschen werden in Kanus mit Menschen in inneren Röhren im Hintergrund gezeigt.")</f>
        <v>Mehrere Menschen werden in Kanus mit Menschen in inneren Röhren im Hintergrund gezeigt.</v>
      </c>
    </row>
    <row r="25134">
      <c r="A25134" s="4" t="s">
        <v>31630</v>
      </c>
      <c r="B25134" s="4" t="s">
        <v>31636</v>
      </c>
      <c r="C25134" s="5" t="str">
        <f>IFERROR(__xludf.DUMMYFUNCTION("GOOGLETRANSLATE(B25134,""en"",""de"")"),"Ein junges Mädchen versinkt in der Mitte ihres Innenrohrs und springt mit durchnässtem Kopf wieder hoch.")</f>
        <v>Ein junges Mädchen versinkt in der Mitte ihres Innenrohrs und springt mit durchnässtem Kopf wieder hoch.</v>
      </c>
    </row>
    <row r="25135">
      <c r="A25135" s="4" t="s">
        <v>31630</v>
      </c>
      <c r="B25135" s="4" t="s">
        <v>31637</v>
      </c>
      <c r="C25135" s="5" t="str">
        <f>IFERROR(__xludf.DUMMYFUNCTION("GOOGLETRANSLATE(B25135,""en"",""de"")"),"Jemand zeigt eine erste Person, die den Fluss hinunter schwebt.")</f>
        <v>Jemand zeigt eine erste Person, die den Fluss hinunter schwebt.</v>
      </c>
    </row>
    <row r="25136">
      <c r="A25136" s="4" t="s">
        <v>31630</v>
      </c>
      <c r="B25136" s="4" t="s">
        <v>31638</v>
      </c>
      <c r="C25136" s="5" t="str">
        <f>IFERROR(__xludf.DUMMYFUNCTION("GOOGLETRANSLATE(B25136,""en"",""de"")"),"Verschiedene andere Menschen werden in Innenroschen und Kanus im Wasser gezeigt.")</f>
        <v>Verschiedene andere Menschen werden in Innenroschen und Kanus im Wasser gezeigt.</v>
      </c>
    </row>
    <row r="25137">
      <c r="A25137" s="4" t="s">
        <v>31630</v>
      </c>
      <c r="B25137" s="4" t="s">
        <v>31639</v>
      </c>
      <c r="C25137" s="5" t="str">
        <f>IFERROR(__xludf.DUMMYFUNCTION("GOOGLETRANSLATE(B25137,""en"",""de"")"),"Ein paar Menschen haben gesehen, wie sie Essen von zwei Frauen auf einem Konzessionsstand kaufen.")</f>
        <v>Ein paar Menschen haben gesehen, wie sie Essen von zwei Frauen auf einem Konzessionsstand kaufen.</v>
      </c>
    </row>
    <row r="25138">
      <c r="A25138" s="4" t="s">
        <v>31630</v>
      </c>
      <c r="B25138" s="4" t="s">
        <v>31640</v>
      </c>
      <c r="C25138" s="5" t="str">
        <f>IFERROR(__xludf.DUMMYFUNCTION("GOOGLETRANSLATE(B25138,""en"",""de"")"),"Ein Mann hält einen Jungen in einer Lebensweste, die aussieht, als würde er schlafen.")</f>
        <v>Ein Mann hält einen Jungen in einer Lebensweste, die aussieht, als würde er schlafen.</v>
      </c>
    </row>
    <row r="25139">
      <c r="A25139" s="4" t="s">
        <v>31641</v>
      </c>
      <c r="B25139" s="4" t="s">
        <v>31642</v>
      </c>
      <c r="C25139" s="5" t="str">
        <f>IFERROR(__xludf.DUMMYFUNCTION("GOOGLETRANSLATE(B25139,""en"",""de"")"),"Ein junges Mädchen klettern über die Affenbars vor einem Gebäude.")</f>
        <v>Ein junges Mädchen klettern über die Affenbars vor einem Gebäude.</v>
      </c>
    </row>
    <row r="25140">
      <c r="A25140" s="4" t="s">
        <v>31641</v>
      </c>
      <c r="B25140" s="4" t="s">
        <v>31643</v>
      </c>
      <c r="C25140" s="5" t="str">
        <f>IFERROR(__xludf.DUMMYFUNCTION("GOOGLETRANSLATE(B25140,""en"",""de"")"),"Sie schwingt von jedem Sprossen und bewegt ihren Körper nacheinander nach vorne.")</f>
        <v>Sie schwingt von jedem Sprossen und bewegt ihren Körper nacheinander nach vorne.</v>
      </c>
    </row>
    <row r="25141">
      <c r="A25141" s="4" t="s">
        <v>31641</v>
      </c>
      <c r="B25141" s="4" t="s">
        <v>31644</v>
      </c>
      <c r="C25141" s="5" t="str">
        <f>IFERROR(__xludf.DUMMYFUNCTION("GOOGLETRANSLATE(B25141,""en"",""de"")"),"Als sie das andere Ende erreicht, dreht sie sich um und macht sich zurück zum Anfang.")</f>
        <v>Als sie das andere Ende erreicht, dreht sie sich um und macht sich zurück zum Anfang.</v>
      </c>
    </row>
    <row r="25142">
      <c r="A25142" s="4" t="s">
        <v>31645</v>
      </c>
      <c r="B25142" s="4" t="s">
        <v>31646</v>
      </c>
      <c r="C25142" s="5" t="str">
        <f>IFERROR(__xludf.DUMMYFUNCTION("GOOGLETRANSLATE(B25142,""en"",""de"")"),"Ein Mann in einem Fitnessstudio geht zu einer Langhantel.")</f>
        <v>Ein Mann in einem Fitnessstudio geht zu einer Langhantel.</v>
      </c>
    </row>
    <row r="25143">
      <c r="A25143" s="4" t="s">
        <v>31645</v>
      </c>
      <c r="B25143" s="4" t="s">
        <v>31647</v>
      </c>
      <c r="C25143" s="5" t="str">
        <f>IFERROR(__xludf.DUMMYFUNCTION("GOOGLETRANSLATE(B25143,""en"",""de"")"),"Der Mann hebt die Langhantel an seine Brust und dann über den Kopf.")</f>
        <v>Der Mann hebt die Langhantel an seine Brust und dann über den Kopf.</v>
      </c>
    </row>
    <row r="25144">
      <c r="A25144" s="4" t="s">
        <v>31645</v>
      </c>
      <c r="B25144" s="4" t="s">
        <v>31648</v>
      </c>
      <c r="C25144" s="5" t="str">
        <f>IFERROR(__xludf.DUMMYFUNCTION("GOOGLETRANSLATE(B25144,""en"",""de"")"),"Der Mann lässt das Gewicht fallen.")</f>
        <v>Der Mann lässt das Gewicht fallen.</v>
      </c>
    </row>
    <row r="25145">
      <c r="A25145" s="4" t="s">
        <v>31645</v>
      </c>
      <c r="B25145" s="4" t="s">
        <v>31649</v>
      </c>
      <c r="C25145" s="5" t="str">
        <f>IFERROR(__xludf.DUMMYFUNCTION("GOOGLETRANSLATE(B25145,""en"",""de"")"),"Der Mann umarmt die Männer hinter ihm.")</f>
        <v>Der Mann umarmt die Männer hinter ihm.</v>
      </c>
    </row>
    <row r="25146">
      <c r="A25146" s="4" t="s">
        <v>31645</v>
      </c>
      <c r="B25146" s="4" t="s">
        <v>31650</v>
      </c>
      <c r="C25146" s="5" t="str">
        <f>IFERROR(__xludf.DUMMYFUNCTION("GOOGLETRANSLATE(B25146,""en"",""de"")"),"Ein Mann in Red rennt und springt auf den Gewichtshebe Mann.")</f>
        <v>Ein Mann in Red rennt und springt auf den Gewichtshebe Mann.</v>
      </c>
    </row>
    <row r="25147">
      <c r="A25147" s="4" t="s">
        <v>31645</v>
      </c>
      <c r="B25147" s="4" t="s">
        <v>31651</v>
      </c>
      <c r="C25147" s="5" t="str">
        <f>IFERROR(__xludf.DUMMYFUNCTION("GOOGLETRANSLATE(B25147,""en"",""de"")"),"Der Mann in Red geht weg und lacht.")</f>
        <v>Der Mann in Red geht weg und lacht.</v>
      </c>
    </row>
    <row r="25148">
      <c r="A25148" s="4" t="s">
        <v>31652</v>
      </c>
      <c r="B25148" s="4" t="s">
        <v>31653</v>
      </c>
      <c r="C25148" s="5" t="str">
        <f>IFERROR(__xludf.DUMMYFUNCTION("GOOGLETRANSLATE(B25148,""en"",""de"")"),"Eine Person in einem schwarzen Hemd wird von einem Ball getroffen.")</f>
        <v>Eine Person in einem schwarzen Hemd wird von einem Ball getroffen.</v>
      </c>
    </row>
    <row r="25149">
      <c r="A25149" s="4" t="s">
        <v>31652</v>
      </c>
      <c r="B25149" s="4" t="s">
        <v>31654</v>
      </c>
      <c r="C25149" s="5" t="str">
        <f>IFERROR(__xludf.DUMMYFUNCTION("GOOGLETRANSLATE(B25149,""en"",""de"")"),"Menschen, die am Strand stehen, werfen einen orangefarbenen Ball herum.")</f>
        <v>Menschen, die am Strand stehen, werfen einen orangefarbenen Ball herum.</v>
      </c>
    </row>
    <row r="25150">
      <c r="A25150" s="4" t="s">
        <v>31652</v>
      </c>
      <c r="B25150" s="4" t="s">
        <v>31655</v>
      </c>
      <c r="C25150" s="5" t="str">
        <f>IFERROR(__xludf.DUMMYFUNCTION("GOOGLETRANSLATE(B25150,""en"",""de"")"),"Es gibt Leute, die hinter ihnen im Wasser schwimmen.")</f>
        <v>Es gibt Leute, die hinter ihnen im Wasser schwimmen.</v>
      </c>
    </row>
    <row r="25151">
      <c r="A25151" s="4" t="s">
        <v>31656</v>
      </c>
      <c r="B25151" s="4" t="s">
        <v>31657</v>
      </c>
      <c r="C25151" s="5" t="str">
        <f>IFERROR(__xludf.DUMMYFUNCTION("GOOGLETRANSLATE(B25151,""en"",""de"")"),"Auf einem schwarzen Tisch wird ein klares Paket weicher flexibler Haarblockler angezeigt, während eine Hand einen abgepackten lila Lockler aufnimmt und zappelt.")</f>
        <v>Auf einem schwarzen Tisch wird ein klares Paket weicher flexibler Haarblockler angezeigt, während eine Hand einen abgepackten lila Lockler aufnimmt und zappelt.</v>
      </c>
    </row>
    <row r="25152">
      <c r="A25152" s="4" t="s">
        <v>31656</v>
      </c>
      <c r="B25152" s="4" t="s">
        <v>31658</v>
      </c>
      <c r="C25152" s="5" t="str">
        <f>IFERROR(__xludf.DUMMYFUNCTION("GOOGLETRANSLATE(B25152,""en"",""de"")"),"Die Hand dreht die Tasche um, so dass der Inhalt durch den Mund des Taschens gezeigt wird, bevor er sowohl mit den losen lila als auch den rosa Locken umgeht.")</f>
        <v>Die Hand dreht die Tasche um, so dass der Inhalt durch den Mund des Taschens gezeigt wird, bevor er sowohl mit den losen lila als auch den rosa Locken umgeht.</v>
      </c>
    </row>
    <row r="25153">
      <c r="A25153" s="4" t="s">
        <v>31656</v>
      </c>
      <c r="B25153" s="4" t="s">
        <v>31659</v>
      </c>
      <c r="C25153" s="5" t="str">
        <f>IFERROR(__xludf.DUMMYFUNCTION("GOOGLETRANSLATE(B25153,""en"",""de"")"),"Die Hand geht weiter zwischen dem Umgang mit den beiden losen Lockenern und dem vollen Rücken der Lockener vor dem Ende des Videos hin und her.")</f>
        <v>Die Hand geht weiter zwischen dem Umgang mit den beiden losen Lockenern und dem vollen Rücken der Lockener vor dem Ende des Videos hin und her.</v>
      </c>
    </row>
    <row r="25154">
      <c r="A25154" s="4" t="s">
        <v>31660</v>
      </c>
      <c r="B25154" s="4" t="s">
        <v>31661</v>
      </c>
      <c r="C25154" s="5" t="str">
        <f>IFERROR(__xludf.DUMMYFUNCTION("GOOGLETRANSLATE(B25154,""en"",""de"")"),"Ein schwarz -weißes Video -Intro erscheint mit Spezialeffekten der asiatischen Schrift, während verschiedene Bilder von Menschen angezeigt werden.")</f>
        <v>Ein schwarz -weißes Video -Intro erscheint mit Spezialeffekten der asiatischen Schrift, während verschiedene Bilder von Menschen angezeigt werden.</v>
      </c>
    </row>
    <row r="25155">
      <c r="A25155" s="4" t="s">
        <v>31660</v>
      </c>
      <c r="B25155" s="4" t="s">
        <v>31662</v>
      </c>
      <c r="C25155" s="5" t="str">
        <f>IFERROR(__xludf.DUMMYFUNCTION("GOOGLETRANSLATE(B25155,""en"",""de"")"),"Ein asiatischer Mann lächelt jetzt und spricht mit der Kamera, als er vor einem Mikrofon in einem Studio sitzt, und er singt dann, als er auf einem schwarzen Klavier spielt, während er Musik von Musikblättern auf dem Klavier liest.")</f>
        <v>Ein asiatischer Mann lächelt jetzt und spricht mit der Kamera, als er vor einem Mikrofon in einem Studio sitzt, und er singt dann, als er auf einem schwarzen Klavier spielt, während er Musik von Musikblättern auf dem Klavier liest.</v>
      </c>
    </row>
    <row r="25156">
      <c r="A25156" s="4" t="s">
        <v>31660</v>
      </c>
      <c r="B25156" s="4" t="s">
        <v>31663</v>
      </c>
      <c r="C25156" s="5" t="str">
        <f>IFERROR(__xludf.DUMMYFUNCTION("GOOGLETRANSLATE(B25156,""en"",""de"")"),"Wenn der Mann mit dem Singen und Spielen fertig ist, dreht er sich in die Kamera und lächelt ein großes Lächeln.")</f>
        <v>Wenn der Mann mit dem Singen und Spielen fertig ist, dreht er sich in die Kamera und lächelt ein großes Lächeln.</v>
      </c>
    </row>
    <row r="25157">
      <c r="A25157" s="4" t="s">
        <v>31660</v>
      </c>
      <c r="B25157" s="4" t="s">
        <v>31664</v>
      </c>
      <c r="C25157" s="5" t="str">
        <f>IFERROR(__xludf.DUMMYFUNCTION("GOOGLETRANSLATE(B25157,""en"",""de"")"),"Ein schwarzer Bildschirm wird angezeigt und unten rechts erscheint eine weiße Schrift.")</f>
        <v>Ein schwarzer Bildschirm wird angezeigt und unten rechts erscheint eine weiße Schrift.</v>
      </c>
    </row>
    <row r="25158">
      <c r="A25158" s="4" t="s">
        <v>31665</v>
      </c>
      <c r="B25158" s="4" t="s">
        <v>31666</v>
      </c>
      <c r="C25158" s="5" t="str">
        <f>IFERROR(__xludf.DUMMYFUNCTION("GOOGLETRANSLATE(B25158,""en"",""de"")"),"Docto spricht in einem Beratungsraum und mischt Flüssigkeiten in einen Reagenzglas, der Kaffee vorbereitet und mit der Kamera über die Vorteile des Kaffees spricht.")</f>
        <v>Docto spricht in einem Beratungsraum und mischt Flüssigkeiten in einen Reagenzglas, der Kaffee vorbereitet und mit der Kamera über die Vorteile des Kaffees spricht.</v>
      </c>
    </row>
    <row r="25159">
      <c r="A25159" s="4" t="s">
        <v>31665</v>
      </c>
      <c r="B25159" s="4" t="s">
        <v>31667</v>
      </c>
      <c r="C25159" s="5" t="str">
        <f>IFERROR(__xludf.DUMMYFUNCTION("GOOGLETRANSLATE(B25159,""en"",""de"")"),"Kaffee wird in einer Tasse serviert und zeigt die Vorteile des Kaffees im Körper.")</f>
        <v>Kaffee wird in einer Tasse serviert und zeigt die Vorteile des Kaffees im Körper.</v>
      </c>
    </row>
    <row r="25160">
      <c r="A25160" s="4" t="s">
        <v>31668</v>
      </c>
      <c r="B25160" s="4" t="s">
        <v>31669</v>
      </c>
      <c r="C25160" s="5" t="str">
        <f>IFERROR(__xludf.DUMMYFUNCTION("GOOGLETRANSLATE(B25160,""en"",""de"")"),"Ein Mann kniet in seiner Fechtenausrüstung.")</f>
        <v>Ein Mann kniet in seiner Fechtenausrüstung.</v>
      </c>
    </row>
    <row r="25161">
      <c r="A25161" s="4" t="s">
        <v>31668</v>
      </c>
      <c r="B25161" s="4" t="s">
        <v>31670</v>
      </c>
      <c r="C25161" s="5" t="str">
        <f>IFERROR(__xludf.DUMMYFUNCTION("GOOGLETRANSLATE(B25161,""en"",""de"")"),"Ein Mann geht mit dem Rücken auf ihn zu, während sie reden.")</f>
        <v>Ein Mann geht mit dem Rücken auf ihn zu, während sie reden.</v>
      </c>
    </row>
    <row r="25162">
      <c r="A25162" s="4" t="s">
        <v>31668</v>
      </c>
      <c r="B25162" s="4" t="s">
        <v>31671</v>
      </c>
      <c r="C25162" s="5" t="str">
        <f>IFERROR(__xludf.DUMMYFUNCTION("GOOGLETRANSLATE(B25162,""en"",""de"")"),"Der Mann steht und beteiligt sich mit einem Gegner, beide an Kabeln, die dahinter befestigt sind.")</f>
        <v>Der Mann steht und beteiligt sich mit einem Gegner, beide an Kabeln, die dahinter befestigt sind.</v>
      </c>
    </row>
    <row r="25163">
      <c r="A25163" s="4" t="s">
        <v>31672</v>
      </c>
      <c r="B25163" s="4" t="s">
        <v>31673</v>
      </c>
      <c r="C25163" s="5" t="str">
        <f>IFERROR(__xludf.DUMMYFUNCTION("GOOGLETRANSLATE(B25163,""en"",""de"")"),"Ein Mann, der ein blaues Hemd und ein Mann trägt, der ein Darthemd trägt, betritt eine Bühne, die von einer Menge umgeben ist.")</f>
        <v>Ein Mann, der ein blaues Hemd und ein Mann trägt, der ein Darthemd trägt, betritt eine Bühne, die von einer Menge umgeben ist.</v>
      </c>
    </row>
    <row r="25164">
      <c r="A25164" s="4" t="s">
        <v>31672</v>
      </c>
      <c r="B25164" s="4" t="s">
        <v>31674</v>
      </c>
      <c r="C25164" s="5" t="str">
        <f>IFERROR(__xludf.DUMMYFUNCTION("GOOGLETRANSLATE(B25164,""en"",""de"")"),"Die beiden Männer konkurrieren auf Papier, Schere und Rock vor einem Richter.")</f>
        <v>Die beiden Männer konkurrieren auf Papier, Schere und Rock vor einem Richter.</v>
      </c>
    </row>
    <row r="25165">
      <c r="A25165" s="4" t="s">
        <v>31672</v>
      </c>
      <c r="B25165" s="4" t="s">
        <v>31675</v>
      </c>
      <c r="C25165" s="5" t="str">
        <f>IFERROR(__xludf.DUMMYFUNCTION("GOOGLETRANSLATE(B25165,""en"",""de"")"),"Die beiden Männer konkurrieren weiter, während der Richter den Start angibt.")</f>
        <v>Die beiden Männer konkurrieren weiter, während der Richter den Start angibt.</v>
      </c>
    </row>
    <row r="25166">
      <c r="A25166" s="4" t="s">
        <v>31672</v>
      </c>
      <c r="B25166" s="4" t="s">
        <v>31676</v>
      </c>
      <c r="C25166" s="5" t="str">
        <f>IFERROR(__xludf.DUMMYFUNCTION("GOOGLETRANSLATE(B25166,""en"",""de"")"),"Dann konkurrieren die beiden Männer weiter, nachdem der Mann, der dunkles Hemd trug, die Konkurrenz gewonnen hat und die Menschen jubeln.")</f>
        <v>Dann konkurrieren die beiden Männer weiter, nachdem der Mann, der dunkles Hemd trug, die Konkurrenz gewonnen hat und die Menschen jubeln.</v>
      </c>
    </row>
    <row r="25167">
      <c r="A25167" s="4" t="s">
        <v>31677</v>
      </c>
      <c r="B25167" s="4" t="s">
        <v>31678</v>
      </c>
      <c r="C25167" s="5" t="str">
        <f>IFERROR(__xludf.DUMMYFUNCTION("GOOGLETRANSLATE(B25167,""en"",""de"")"),"Ein Mann, der ein rotes kariertes Hemd trägt, zeigt ein Tutorial, wie man Bäume in einem Garten schneiden und beflügelt.")</f>
        <v>Ein Mann, der ein rotes kariertes Hemd trägt, zeigt ein Tutorial, wie man Bäume in einem Garten schneiden und beflügelt.</v>
      </c>
    </row>
    <row r="25168">
      <c r="A25168" s="4" t="s">
        <v>31677</v>
      </c>
      <c r="B25168" s="4" t="s">
        <v>31679</v>
      </c>
      <c r="C25168" s="5" t="str">
        <f>IFERROR(__xludf.DUMMYFUNCTION("GOOGLETRANSLATE(B25168,""en"",""de"")"),"Er benutzt eine Gartenschere, um die übermäßigen Blätter auf den Bäumen abzuhacken.")</f>
        <v>Er benutzt eine Gartenschere, um die übermäßigen Blätter auf den Bäumen abzuhacken.</v>
      </c>
    </row>
    <row r="25169">
      <c r="A25169" s="4" t="s">
        <v>31677</v>
      </c>
      <c r="B25169" s="4" t="s">
        <v>31680</v>
      </c>
      <c r="C25169" s="5" t="str">
        <f>IFERROR(__xludf.DUMMYFUNCTION("GOOGLETRANSLATE(B25169,""en"",""de"")"),"Anschließend zeigt er, wie man die Bäume und Sträucher fruchtet, indem er einige Düngemittelbälle benutzt.")</f>
        <v>Anschließend zeigt er, wie man die Bäume und Sträucher fruchtet, indem er einige Düngemittelbälle benutzt.</v>
      </c>
    </row>
    <row r="25170">
      <c r="A25170" s="4" t="s">
        <v>31677</v>
      </c>
      <c r="B25170" s="4" t="s">
        <v>31681</v>
      </c>
      <c r="C25170" s="5" t="str">
        <f>IFERROR(__xludf.DUMMYFUNCTION("GOOGLETRANSLATE(B25170,""en"",""de"")"),"Anschließend benutzte er einen flüssigen Dünger auf den Bäumen und Pflanzen, um sie zu stärken.")</f>
        <v>Anschließend benutzte er einen flüssigen Dünger auf den Bäumen und Pflanzen, um sie zu stärken.</v>
      </c>
    </row>
    <row r="25171">
      <c r="A25171" s="4" t="s">
        <v>31677</v>
      </c>
      <c r="B25171" s="4" t="s">
        <v>31682</v>
      </c>
      <c r="C25171" s="5" t="str">
        <f>IFERROR(__xludf.DUMMYFUNCTION("GOOGLETRANSLATE(B25171,""en"",""de"")"),"Schließlich wässt er die Bäume und Pflanzen mit einem Schlauch, um den Prozess abzuschließen.")</f>
        <v>Schließlich wässt er die Bäume und Pflanzen mit einem Schlauch, um den Prozess abzuschließen.</v>
      </c>
    </row>
    <row r="25172">
      <c r="A25172" s="4" t="s">
        <v>31683</v>
      </c>
      <c r="B25172" s="4" t="s">
        <v>31684</v>
      </c>
      <c r="C25172" s="5" t="str">
        <f>IFERROR(__xludf.DUMMYFUNCTION("GOOGLETRANSLATE(B25172,""en"",""de"")"),"Wir sehen ein rotes Licht als den Titel.")</f>
        <v>Wir sehen ein rotes Licht als den Titel.</v>
      </c>
    </row>
    <row r="25173">
      <c r="A25173" s="4" t="s">
        <v>31683</v>
      </c>
      <c r="B25173" s="4" t="s">
        <v>31685</v>
      </c>
      <c r="C25173" s="5" t="str">
        <f>IFERROR(__xludf.DUMMYFUNCTION("GOOGLETRANSLATE(B25173,""en"",""de"")"),"Die Bikerausrüstung eines Mannes wird gezeigt.")</f>
        <v>Die Bikerausrüstung eines Mannes wird gezeigt.</v>
      </c>
    </row>
    <row r="25174">
      <c r="A25174" s="4" t="s">
        <v>31683</v>
      </c>
      <c r="B25174" s="4" t="s">
        <v>31686</v>
      </c>
      <c r="C25174" s="5" t="str">
        <f>IFERROR(__xludf.DUMMYFUNCTION("GOOGLETRANSLATE(B25174,""en"",""de"")"),"Uns wird das Gelände gezeigt.")</f>
        <v>Uns wird das Gelände gezeigt.</v>
      </c>
    </row>
    <row r="25175">
      <c r="A25175" s="4" t="s">
        <v>31683</v>
      </c>
      <c r="B25175" s="4" t="s">
        <v>31687</v>
      </c>
      <c r="C25175" s="5" t="str">
        <f>IFERROR(__xludf.DUMMYFUNCTION("GOOGLETRANSLATE(B25175,""en"",""de"")"),"Die Fahrer nehmen ihre Fahrräder ab.")</f>
        <v>Die Fahrer nehmen ihre Fahrräder ab.</v>
      </c>
    </row>
    <row r="25176">
      <c r="A25176" s="4" t="s">
        <v>31683</v>
      </c>
      <c r="B25176" s="4" t="s">
        <v>31688</v>
      </c>
      <c r="C25176" s="5" t="str">
        <f>IFERROR(__xludf.DUMMYFUNCTION("GOOGLETRANSLATE(B25176,""en"",""de"")"),"Wir sehen sie über alle Arten von Gelände fahren.")</f>
        <v>Wir sehen sie über alle Arten von Gelände fahren.</v>
      </c>
    </row>
    <row r="25177">
      <c r="A25177" s="4" t="s">
        <v>31683</v>
      </c>
      <c r="B25177" s="4" t="s">
        <v>31689</v>
      </c>
      <c r="C25177" s="5" t="str">
        <f>IFERROR(__xludf.DUMMYFUNCTION("GOOGLETRANSLATE(B25177,""en"",""de"")"),"Wir sehen eine Luftaufnahme der Biker.")</f>
        <v>Wir sehen eine Luftaufnahme der Biker.</v>
      </c>
    </row>
    <row r="25178">
      <c r="A25178" s="4" t="s">
        <v>31683</v>
      </c>
      <c r="B25178" s="4" t="s">
        <v>31690</v>
      </c>
      <c r="C25178" s="5" t="str">
        <f>IFERROR(__xludf.DUMMYFUNCTION("GOOGLETRANSLATE(B25178,""en"",""de"")"),"Wir sehen einen See und einen Hund, gefolgt von einem Fahrrad auf einer Straße.")</f>
        <v>Wir sehen einen See und einen Hund, gefolgt von einem Fahrrad auf einer Straße.</v>
      </c>
    </row>
    <row r="25179">
      <c r="A25179" s="4" t="s">
        <v>31683</v>
      </c>
      <c r="B25179" s="4" t="s">
        <v>31691</v>
      </c>
      <c r="C25179" s="5" t="str">
        <f>IFERROR(__xludf.DUMMYFUNCTION("GOOGLETRANSLATE(B25179,""en"",""de"")"),"Ein Mann benutzt ein Messer, um eine Kokosnuss zu öffnen.")</f>
        <v>Ein Mann benutzt ein Messer, um eine Kokosnuss zu öffnen.</v>
      </c>
    </row>
    <row r="25180">
      <c r="A25180" s="4" t="s">
        <v>31683</v>
      </c>
      <c r="B25180" s="4" t="s">
        <v>31692</v>
      </c>
      <c r="C25180" s="5" t="str">
        <f>IFERROR(__xludf.DUMMYFUNCTION("GOOGLETRANSLATE(B25180,""en"",""de"")"),"Wir kehren zu den Dirtbiker zurück, die Stunts durchführen.")</f>
        <v>Wir kehren zu den Dirtbiker zurück, die Stunts durchführen.</v>
      </c>
    </row>
    <row r="25181">
      <c r="A25181" s="4" t="s">
        <v>31683</v>
      </c>
      <c r="B25181" s="4" t="s">
        <v>31693</v>
      </c>
      <c r="C25181" s="5" t="str">
        <f>IFERROR(__xludf.DUMMYFUNCTION("GOOGLETRANSLATE(B25181,""en"",""de"")"),"Wir sehen zwei Biker durch den Himmel fliegen.")</f>
        <v>Wir sehen zwei Biker durch den Himmel fliegen.</v>
      </c>
    </row>
    <row r="25182">
      <c r="A25182" s="4" t="s">
        <v>31683</v>
      </c>
      <c r="B25182" s="4" t="s">
        <v>31694</v>
      </c>
      <c r="C25182" s="5" t="str">
        <f>IFERROR(__xludf.DUMMYFUNCTION("GOOGLETRANSLATE(B25182,""en"",""de"")"),"Wir sehen dann drei Biker, die noch auf ihren Fahrrädern sitzen.")</f>
        <v>Wir sehen dann drei Biker, die noch auf ihren Fahrrädern sitzen.</v>
      </c>
    </row>
    <row r="25183">
      <c r="A25183" s="4" t="s">
        <v>31683</v>
      </c>
      <c r="B25183" s="4" t="s">
        <v>31695</v>
      </c>
      <c r="C25183" s="5" t="str">
        <f>IFERROR(__xludf.DUMMYFUNCTION("GOOGLETRANSLATE(B25183,""en"",""de"")"),"Wir sehen die Endtitelkarte.")</f>
        <v>Wir sehen die Endtitelkarte.</v>
      </c>
    </row>
    <row r="25184">
      <c r="A25184" s="4" t="s">
        <v>31696</v>
      </c>
      <c r="B25184" s="4" t="s">
        <v>31697</v>
      </c>
      <c r="C25184" s="5" t="str">
        <f>IFERROR(__xludf.DUMMYFUNCTION("GOOGLETRANSLATE(B25184,""en"",""de"")"),"Ein junger Gymnastikjunge steigt in eine Bar und beginnt Flips und andere Dinge.")</f>
        <v>Ein junger Gymnastikjunge steigt in eine Bar und beginnt Flips und andere Dinge.</v>
      </c>
    </row>
    <row r="25185">
      <c r="A25185" s="4" t="s">
        <v>31696</v>
      </c>
      <c r="B25185" s="4" t="s">
        <v>31698</v>
      </c>
      <c r="C25185" s="5" t="str">
        <f>IFERROR(__xludf.DUMMYFUNCTION("GOOGLETRANSLATE(B25185,""en"",""de"")"),"Es scheint, als würde er für ein Turnier beurteilt.")</f>
        <v>Es scheint, als würde er für ein Turnier beurteilt.</v>
      </c>
    </row>
    <row r="25186">
      <c r="A25186" s="4" t="s">
        <v>31696</v>
      </c>
      <c r="B25186" s="4" t="s">
        <v>31699</v>
      </c>
      <c r="C25186" s="5" t="str">
        <f>IFERROR(__xludf.DUMMYFUNCTION("GOOGLETRANSLATE(B25186,""en"",""de"")"),"Er ist in den Bars, die ausgezeichnet sind, fantastisch aussehen und Spaß daran haben.")</f>
        <v>Er ist in den Bars, die ausgezeichnet sind, fantastisch aussehen und Spaß daran haben.</v>
      </c>
    </row>
    <row r="25187">
      <c r="A25187" s="4" t="s">
        <v>31696</v>
      </c>
      <c r="B25187" s="4" t="s">
        <v>31700</v>
      </c>
      <c r="C25187" s="5" t="str">
        <f>IFERROR(__xludf.DUMMYFUNCTION("GOOGLETRANSLATE(B25187,""en"",""de"")"),"Dann landet er und posiert und das Publikum wird gezeigt.")</f>
        <v>Dann landet er und posiert und das Publikum wird gezeigt.</v>
      </c>
    </row>
    <row r="25188">
      <c r="A25188" s="4" t="s">
        <v>31701</v>
      </c>
      <c r="B25188" s="4" t="s">
        <v>31702</v>
      </c>
      <c r="C25188" s="5" t="str">
        <f>IFERROR(__xludf.DUMMYFUNCTION("GOOGLETRANSLATE(B25188,""en"",""de"")"),"Ein Mann hält eine Geige und einen Bogen über seine Merkmale.")</f>
        <v>Ein Mann hält eine Geige und einen Bogen über seine Merkmale.</v>
      </c>
    </row>
    <row r="25189">
      <c r="A25189" s="4" t="s">
        <v>31701</v>
      </c>
      <c r="B25189" s="4" t="s">
        <v>31703</v>
      </c>
      <c r="C25189" s="5" t="str">
        <f>IFERROR(__xludf.DUMMYFUNCTION("GOOGLETRANSLATE(B25189,""en"",""de"")"),"Der Mann setzt das Instrument unter sein Kinn und zieht den Bug fest.")</f>
        <v>Der Mann setzt das Instrument unter sein Kinn und zieht den Bug fest.</v>
      </c>
    </row>
    <row r="25190">
      <c r="A25190" s="4" t="s">
        <v>31701</v>
      </c>
      <c r="B25190" s="4" t="s">
        <v>31704</v>
      </c>
      <c r="C25190" s="5" t="str">
        <f>IFERROR(__xludf.DUMMYFUNCTION("GOOGLETRANSLATE(B25190,""en"",""de"")"),"Der Mann macht die Bogenstaimes und rappt sie um die Geige.")</f>
        <v>Der Mann macht die Bogenstaimes und rappt sie um die Geige.</v>
      </c>
    </row>
    <row r="25191">
      <c r="A25191" s="4" t="s">
        <v>31701</v>
      </c>
      <c r="B25191" s="4" t="s">
        <v>31705</v>
      </c>
      <c r="C25191" s="5" t="str">
        <f>IFERROR(__xludf.DUMMYFUNCTION("GOOGLETRANSLATE(B25191,""en"",""de"")"),"Der Mann spielt ein Lied auf der Geige.")</f>
        <v>Der Mann spielt ein Lied auf der Geige.</v>
      </c>
    </row>
    <row r="25192">
      <c r="A25192" s="4" t="s">
        <v>31706</v>
      </c>
      <c r="B25192" s="4" t="s">
        <v>31707</v>
      </c>
      <c r="C25192" s="5" t="str">
        <f>IFERROR(__xludf.DUMMYFUNCTION("GOOGLETRANSLATE(B25192,""en"",""de"")"),"Ein grünes Spritzer erscheint gegen einen weißen Rücken ertrinken.")</f>
        <v>Ein grünes Spritzer erscheint gegen einen weißen Rücken ertrinken.</v>
      </c>
    </row>
    <row r="25193">
      <c r="A25193" s="4" t="s">
        <v>31706</v>
      </c>
      <c r="B25193" s="4" t="s">
        <v>31708</v>
      </c>
      <c r="C25193" s="5" t="str">
        <f>IFERROR(__xludf.DUMMYFUNCTION("GOOGLETRANSLATE(B25193,""en"",""de"")"),"Dann erscheinen eine Reihe von Wörtern auf dem Bildschirm und zeigen verschiedene Bilder, die die Begriffe beschreiben.")</f>
        <v>Dann erscheinen eine Reihe von Wörtern auf dem Bildschirm und zeigen verschiedene Bilder, die die Begriffe beschreiben.</v>
      </c>
    </row>
    <row r="25194">
      <c r="A25194" s="4" t="s">
        <v>31706</v>
      </c>
      <c r="B25194" s="4" t="s">
        <v>31709</v>
      </c>
      <c r="C25194" s="5" t="str">
        <f>IFERROR(__xludf.DUMMYFUNCTION("GOOGLETRANSLATE(B25194,""en"",""de"")"),"Ein Mann wird dann auf einer Leiter -Liegestützpapier stehen.")</f>
        <v>Ein Mann wird dann auf einer Leiter -Liegestützpapier stehen.</v>
      </c>
    </row>
    <row r="25195">
      <c r="A25195" s="4" t="s">
        <v>31706</v>
      </c>
      <c r="B25195" s="4" t="s">
        <v>31710</v>
      </c>
      <c r="C25195" s="5" t="str">
        <f>IFERROR(__xludf.DUMMYFUNCTION("GOOGLETRANSLATE(B25195,""en"",""de"")"),"Danach schneidet der Mann das Handlungenpapier und erhält Hilfe, während der Papier auf das Dach legt.")</f>
        <v>Danach schneidet der Mann das Handlungenpapier und erhält Hilfe, während der Papier auf das Dach legt.</v>
      </c>
    </row>
    <row r="25196">
      <c r="A25196" s="4" t="s">
        <v>31706</v>
      </c>
      <c r="B25196" s="4" t="s">
        <v>31711</v>
      </c>
      <c r="C25196" s="5" t="str">
        <f>IFERROR(__xludf.DUMMYFUNCTION("GOOGLETRANSLATE(B25196,""en"",""de"")"),"Die beiden enden und geben jeweils eine hohe fünf.")</f>
        <v>Die beiden enden und geben jeweils eine hohe fünf.</v>
      </c>
    </row>
    <row r="25197">
      <c r="A25197" s="4" t="s">
        <v>31706</v>
      </c>
      <c r="B25197" s="4" t="s">
        <v>31712</v>
      </c>
      <c r="C25197" s="5" t="str">
        <f>IFERROR(__xludf.DUMMYFUNCTION("GOOGLETRANSLATE(B25197,""en"",""de"")"),"Schließlich werden mehrere Räume gezeigt, wodurch die von ihnen geleistete Arbeit angezeigt wird.")</f>
        <v>Schließlich werden mehrere Räume gezeigt, wodurch die von ihnen geleistete Arbeit angezeigt wird.</v>
      </c>
    </row>
    <row r="25198">
      <c r="A25198" s="4" t="s">
        <v>31713</v>
      </c>
      <c r="B25198" s="4" t="s">
        <v>31714</v>
      </c>
      <c r="C25198" s="5" t="str">
        <f>IFERROR(__xludf.DUMMYFUNCTION("GOOGLETRANSLATE(B25198,""en"",""de"")"),"Ein junges Mädchen spricht mit der Kamera, während er mit ihren Haaren spielt.")</f>
        <v>Ein junges Mädchen spricht mit der Kamera, während er mit ihren Haaren spielt.</v>
      </c>
    </row>
    <row r="25199">
      <c r="A25199" s="4" t="s">
        <v>31713</v>
      </c>
      <c r="B25199" s="4" t="s">
        <v>31715</v>
      </c>
      <c r="C25199" s="5" t="str">
        <f>IFERROR(__xludf.DUMMYFUNCTION("GOOGLETRANSLATE(B25199,""en"",""de"")"),"Sie verweist auf ihr Hemd und führt in sie, die sich die Haare bürsten, während sie mit der Kamera spricht.")</f>
        <v>Sie verweist auf ihr Hemd und führt in sie, die sich die Haare bürsten, während sie mit der Kamera spricht.</v>
      </c>
    </row>
    <row r="25200">
      <c r="A25200" s="4" t="s">
        <v>31716</v>
      </c>
      <c r="B25200" s="4" t="s">
        <v>31717</v>
      </c>
      <c r="C25200" s="5" t="str">
        <f>IFERROR(__xludf.DUMMYFUNCTION("GOOGLETRANSLATE(B25200,""en"",""de"")"),"Eine Person wird unter Wasser schwimmen, wenn sie mit Tauchausrüstung unter Wasser schwimmt und ein Seil an ihrer Seite zieht.")</f>
        <v>Eine Person wird unter Wasser schwimmen, wenn sie mit Tauchausrüstung unter Wasser schwimmt und ein Seil an ihrer Seite zieht.</v>
      </c>
    </row>
    <row r="25201">
      <c r="A25201" s="4" t="s">
        <v>31716</v>
      </c>
      <c r="B25201" s="4" t="s">
        <v>31718</v>
      </c>
      <c r="C25201" s="5" t="str">
        <f>IFERROR(__xludf.DUMMYFUNCTION("GOOGLETRANSLATE(B25201,""en"",""de"")"),"Sie fängt dann einen Fisch und wird wieder in einem Bikini gesehen, der um einen Wal schwimmt.")</f>
        <v>Sie fängt dann einen Fisch und wird wieder in einem Bikini gesehen, der um einen Wal schwimmt.</v>
      </c>
    </row>
    <row r="25202">
      <c r="A25202" s="4" t="s">
        <v>31716</v>
      </c>
      <c r="B25202" s="4" t="s">
        <v>31719</v>
      </c>
      <c r="C25202" s="5" t="str">
        <f>IFERROR(__xludf.DUMMYFUNCTION("GOOGLETRANSLATE(B25202,""en"",""de"")"),"Weitere Aufnahmen eines Delphins werden durch das Wasser springen und endet mit Text über dem Bildschirm.")</f>
        <v>Weitere Aufnahmen eines Delphins werden durch das Wasser springen und endet mit Text über dem Bildschirm.</v>
      </c>
    </row>
    <row r="25203">
      <c r="A25203" s="4" t="s">
        <v>31720</v>
      </c>
      <c r="B25203" s="4" t="s">
        <v>31721</v>
      </c>
      <c r="C25203" s="5" t="str">
        <f>IFERROR(__xludf.DUMMYFUNCTION("GOOGLETRANSLATE(B25203,""en"",""de"")"),"Ein junger Buff -junger Mann sitzt auf einer Maschine mit einem Gleitsitz, der Gewichthebungstechniken zeigt.")</f>
        <v>Ein junger Buff -junger Mann sitzt auf einer Maschine mit einem Gleitsitz, der Gewichthebungstechniken zeigt.</v>
      </c>
    </row>
    <row r="25204">
      <c r="A25204" s="4" t="s">
        <v>31720</v>
      </c>
      <c r="B25204" s="4" t="s">
        <v>31722</v>
      </c>
      <c r="C25204" s="5" t="str">
        <f>IFERROR(__xludf.DUMMYFUNCTION("GOOGLETRANSLATE(B25204,""en"",""de"")"),"Dann rutscht er zurück, steckt seine Füße in die Seile und fängt an, seine Schuhe zu binden.")</f>
        <v>Dann rutscht er zurück, steckt seine Füße in die Seile und fängt an, seine Schuhe zu binden.</v>
      </c>
    </row>
    <row r="25205">
      <c r="A25205" s="4" t="s">
        <v>31720</v>
      </c>
      <c r="B25205" s="4" t="s">
        <v>31723</v>
      </c>
      <c r="C25205" s="5" t="str">
        <f>IFERROR(__xludf.DUMMYFUNCTION("GOOGLETRANSLATE(B25205,""en"",""de"")"),"Sobald der Mann abgeschlossen ist, greift der Mann das Seil und bewegt sich hin und her, während er das Seil herauszieht, um zu trainieren.")</f>
        <v>Sobald der Mann abgeschlossen ist, greift der Mann das Seil und bewegt sich hin und her, während er das Seil herauszieht, um zu trainieren.</v>
      </c>
    </row>
    <row r="25206">
      <c r="A25206" s="4" t="s">
        <v>31720</v>
      </c>
      <c r="B25206" s="4" t="s">
        <v>31724</v>
      </c>
      <c r="C25206" s="5" t="str">
        <f>IFERROR(__xludf.DUMMYFUNCTION("GOOGLETRANSLATE(B25206,""en"",""de"")"),"Jetzt ist er fertig, er lässt die Seile fallen und beginnt wieder zu reden.")</f>
        <v>Jetzt ist er fertig, er lässt die Seile fallen und beginnt wieder zu reden.</v>
      </c>
    </row>
    <row r="25207">
      <c r="A25207" s="4" t="s">
        <v>31725</v>
      </c>
      <c r="B25207" s="4" t="s">
        <v>31726</v>
      </c>
      <c r="C25207" s="5" t="str">
        <f>IFERROR(__xludf.DUMMYFUNCTION("GOOGLETRANSLATE(B25207,""en"",""de"")"),"Eine Familie ordnet Möbel in einem Wohnzimmer neu.")</f>
        <v>Eine Familie ordnet Möbel in einem Wohnzimmer neu.</v>
      </c>
    </row>
    <row r="25208">
      <c r="A25208" s="4" t="s">
        <v>31725</v>
      </c>
      <c r="B25208" s="4" t="s">
        <v>31727</v>
      </c>
      <c r="C25208" s="5" t="str">
        <f>IFERROR(__xludf.DUMMYFUNCTION("GOOGLETRANSLATE(B25208,""en"",""de"")"),"Sie stellten einen Weihnachtsbaum in der Ecke des Raumes auf.")</f>
        <v>Sie stellten einen Weihnachtsbaum in der Ecke des Raumes auf.</v>
      </c>
    </row>
    <row r="25209">
      <c r="A25209" s="4" t="s">
        <v>31725</v>
      </c>
      <c r="B25209" s="4" t="s">
        <v>31728</v>
      </c>
      <c r="C25209" s="5" t="str">
        <f>IFERROR(__xludf.DUMMYFUNCTION("GOOGLETRANSLATE(B25209,""en"",""de"")"),"Sie legen Lichter auf den Baum.")</f>
        <v>Sie legen Lichter auf den Baum.</v>
      </c>
    </row>
    <row r="25210">
      <c r="A25210" s="4" t="s">
        <v>31725</v>
      </c>
      <c r="B25210" s="4" t="s">
        <v>31729</v>
      </c>
      <c r="C25210" s="5" t="str">
        <f>IFERROR(__xludf.DUMMYFUNCTION("GOOGLETRANSLATE(B25210,""en"",""de"")"),"Sie legten Glühbirnen auf den Baum.")</f>
        <v>Sie legten Glühbirnen auf den Baum.</v>
      </c>
    </row>
    <row r="25211">
      <c r="A25211" s="4" t="s">
        <v>31725</v>
      </c>
      <c r="B25211" s="4" t="s">
        <v>31730</v>
      </c>
      <c r="C25211" s="5" t="str">
        <f>IFERROR(__xludf.DUMMYFUNCTION("GOOGLETRANSLATE(B25211,""en"",""de"")"),"Ein kleines Mädchen dreht sich vor dem Baum.")</f>
        <v>Ein kleines Mädchen dreht sich vor dem Baum.</v>
      </c>
    </row>
    <row r="25212">
      <c r="A25212" s="4" t="s">
        <v>31731</v>
      </c>
      <c r="B25212" s="4" t="s">
        <v>31732</v>
      </c>
      <c r="C25212" s="5" t="str">
        <f>IFERROR(__xludf.DUMMYFUNCTION("GOOGLETRANSLATE(B25212,""en"",""de"")"),"Ein Mann ist in einem Fitnessstudio mit einem Ball.")</f>
        <v>Ein Mann ist in einem Fitnessstudio mit einem Ball.</v>
      </c>
    </row>
    <row r="25213">
      <c r="A25213" s="4" t="s">
        <v>31731</v>
      </c>
      <c r="B25213" s="4" t="s">
        <v>31733</v>
      </c>
      <c r="C25213" s="5" t="str">
        <f>IFERROR(__xludf.DUMMYFUNCTION("GOOGLETRANSLATE(B25213,""en"",""de"")"),"Er schließt sich einer Mannschaft an und spielt ein Fußballspiel.")</f>
        <v>Er schließt sich einer Mannschaft an und spielt ein Fußballspiel.</v>
      </c>
    </row>
    <row r="25214">
      <c r="A25214" s="4" t="s">
        <v>31731</v>
      </c>
      <c r="B25214" s="4" t="s">
        <v>31734</v>
      </c>
      <c r="C25214" s="5" t="str">
        <f>IFERROR(__xludf.DUMMYFUNCTION("GOOGLETRANSLATE(B25214,""en"",""de"")"),"Sie treten den Ball auf dem Platz hin und her.")</f>
        <v>Sie treten den Ball auf dem Platz hin und her.</v>
      </c>
    </row>
    <row r="25215">
      <c r="A25215" s="4" t="s">
        <v>31735</v>
      </c>
      <c r="B25215" s="4" t="s">
        <v>31736</v>
      </c>
      <c r="C25215" s="5" t="str">
        <f>IFERROR(__xludf.DUMMYFUNCTION("GOOGLETRANSLATE(B25215,""en"",""de"")"),"Männer stehen in einem Geen Grssy -Feld, das Krocket spielt.")</f>
        <v>Männer stehen in einem Geen Grssy -Feld, das Krocket spielt.</v>
      </c>
    </row>
    <row r="25216">
      <c r="A25216" s="4" t="s">
        <v>31735</v>
      </c>
      <c r="B25216" s="4" t="s">
        <v>31737</v>
      </c>
      <c r="C25216" s="5" t="str">
        <f>IFERROR(__xludf.DUMMYFUNCTION("GOOGLETRANSLATE(B25216,""en"",""de"")"),"Die Leute sitzen auf dem Feld um das Krocketspiel.")</f>
        <v>Die Leute sitzen auf dem Feld um das Krocketspiel.</v>
      </c>
    </row>
    <row r="25217">
      <c r="A25217" s="4" t="s">
        <v>31735</v>
      </c>
      <c r="B25217" s="4" t="s">
        <v>31738</v>
      </c>
      <c r="C25217" s="5" t="str">
        <f>IFERROR(__xludf.DUMMYFUNCTION("GOOGLETRANSLATE(B25217,""en"",""de"")"),"Der Mann, der weiße Uniform trägt, spricht mit der Kamera im Feld.")</f>
        <v>Der Mann, der weiße Uniform trägt, spricht mit der Kamera im Feld.</v>
      </c>
    </row>
    <row r="25218">
      <c r="A25218" s="4" t="s">
        <v>31735</v>
      </c>
      <c r="B25218" s="4" t="s">
        <v>31739</v>
      </c>
      <c r="C25218" s="5" t="str">
        <f>IFERROR(__xludf.DUMMYFUNCTION("GOOGLETRANSLATE(B25218,""en"",""de"")"),"Ein Mann und eine Frau sprechen mit der Kamera.")</f>
        <v>Ein Mann und eine Frau sprechen mit der Kamera.</v>
      </c>
    </row>
    <row r="25219">
      <c r="A25219" s="4" t="s">
        <v>31740</v>
      </c>
      <c r="B25219" s="4" t="s">
        <v>31741</v>
      </c>
      <c r="C25219" s="5" t="str">
        <f>IFERROR(__xludf.DUMMYFUNCTION("GOOGLETRANSLATE(B25219,""en"",""de"")"),"Wir sehen eine Person auf einem Treppen Stepper.")</f>
        <v>Wir sehen eine Person auf einem Treppen Stepper.</v>
      </c>
    </row>
    <row r="25220">
      <c r="A25220" s="4" t="s">
        <v>31740</v>
      </c>
      <c r="B25220" s="4" t="s">
        <v>31742</v>
      </c>
      <c r="C25220" s="5" t="str">
        <f>IFERROR(__xludf.DUMMYFUNCTION("GOOGLETRANSLATE(B25220,""en"",""de"")"),"Die Person bewegt eine Schnur aus dem Weg.")</f>
        <v>Die Person bewegt eine Schnur aus dem Weg.</v>
      </c>
    </row>
    <row r="25221">
      <c r="A25221" s="4" t="s">
        <v>31740</v>
      </c>
      <c r="B25221" s="4" t="s">
        <v>31743</v>
      </c>
      <c r="C25221" s="5" t="str">
        <f>IFERROR(__xludf.DUMMYFUNCTION("GOOGLETRANSLATE(B25221,""en"",""de"")"),"Der Mann beginnt auf dem Schritt zu gehen.")</f>
        <v>Der Mann beginnt auf dem Schritt zu gehen.</v>
      </c>
    </row>
    <row r="25222">
      <c r="A25222" s="4" t="s">
        <v>31740</v>
      </c>
      <c r="B25222" s="4" t="s">
        <v>31744</v>
      </c>
      <c r="C25222" s="5" t="str">
        <f>IFERROR(__xludf.DUMMYFUNCTION("GOOGLETRANSLATE(B25222,""en"",""de"")"),"Die Person hebt ihre rechte Hand.")</f>
        <v>Die Person hebt ihre rechte Hand.</v>
      </c>
    </row>
    <row r="25223">
      <c r="A25223" s="4" t="s">
        <v>31745</v>
      </c>
      <c r="B25223" s="4" t="s">
        <v>31746</v>
      </c>
      <c r="C25223" s="5" t="str">
        <f>IFERROR(__xludf.DUMMYFUNCTION("GOOGLETRANSLATE(B25223,""en"",""de"")"),"Ein Mann spricht mit der Kamera und führt zu ihm, um einem Mann zu helfen, mehrere Körbe zu schießen.")</f>
        <v>Ein Mann spricht mit der Kamera und führt zu ihm, um einem Mann zu helfen, mehrere Körbe zu schießen.</v>
      </c>
    </row>
    <row r="25224">
      <c r="A25224" s="4" t="s">
        <v>31745</v>
      </c>
      <c r="B25224" s="4" t="s">
        <v>31747</v>
      </c>
      <c r="C25224" s="5" t="str">
        <f>IFERROR(__xludf.DUMMYFUNCTION("GOOGLETRANSLATE(B25224,""en"",""de"")"),"Der Trainer zeigt dann eine große Gruppe von Kindern, während sie immer wieder Körbe schießen.")</f>
        <v>Der Trainer zeigt dann eine große Gruppe von Kindern, während sie immer wieder Körbe schießen.</v>
      </c>
    </row>
    <row r="25225">
      <c r="A25225" s="4" t="s">
        <v>31748</v>
      </c>
      <c r="B25225" s="4" t="s">
        <v>31749</v>
      </c>
      <c r="C25225" s="5" t="str">
        <f>IFERROR(__xludf.DUMMYFUNCTION("GOOGLETRANSLATE(B25225,""en"",""de"")"),"Rauch füllt einen leeren dunklen Raum.")</f>
        <v>Rauch füllt einen leeren dunklen Raum.</v>
      </c>
    </row>
    <row r="25226">
      <c r="A25226" s="4" t="s">
        <v>31748</v>
      </c>
      <c r="B25226" s="4" t="s">
        <v>31750</v>
      </c>
      <c r="C25226" s="5" t="str">
        <f>IFERROR(__xludf.DUMMYFUNCTION("GOOGLETRANSLATE(B25226,""en"",""de"")"),"Wörter erscheinen auf dem Bildschirm, gefolgt vom Auftritt von Männern, die Kickboxen machen.")</f>
        <v>Wörter erscheinen auf dem Bildschirm, gefolgt vom Auftritt von Männern, die Kickboxen machen.</v>
      </c>
    </row>
    <row r="25227">
      <c r="A25227" s="4" t="s">
        <v>31748</v>
      </c>
      <c r="B25227" s="4" t="s">
        <v>31751</v>
      </c>
      <c r="C25227" s="5" t="str">
        <f>IFERROR(__xludf.DUMMYFUNCTION("GOOGLETRANSLATE(B25227,""en"",""de"")"),"Eine Gruppe spielt in Instrumenten hinter ihnen, während sie kämpfen.")</f>
        <v>Eine Gruppe spielt in Instrumenten hinter ihnen, während sie kämpfen.</v>
      </c>
    </row>
    <row r="25228">
      <c r="A25228" s="4" t="s">
        <v>31748</v>
      </c>
      <c r="B25228" s="4" t="s">
        <v>31752</v>
      </c>
      <c r="C25228" s="5" t="str">
        <f>IFERROR(__xludf.DUMMYFUNCTION("GOOGLETRANSLATE(B25228,""en"",""de"")"),"Die beiden Männer beenden den Kampf mit einer Umarmung.")</f>
        <v>Die beiden Männer beenden den Kampf mit einer Umarmung.</v>
      </c>
    </row>
    <row r="25229">
      <c r="A25229" s="4" t="s">
        <v>31753</v>
      </c>
      <c r="B25229" s="4" t="s">
        <v>31754</v>
      </c>
      <c r="C25229" s="5" t="str">
        <f>IFERROR(__xludf.DUMMYFUNCTION("GOOGLETRANSLATE(B25229,""en"",""de"")"),"Zwei Mann befinden sich in einem Raum, der Row Row Row Ihr Boot spielt.")</f>
        <v>Zwei Mann befinden sich in einem Raum, der Row Row Row Ihr Boot spielt.</v>
      </c>
    </row>
    <row r="25230">
      <c r="A25230" s="4" t="s">
        <v>31753</v>
      </c>
      <c r="B25230" s="4" t="s">
        <v>31755</v>
      </c>
      <c r="C25230" s="5" t="str">
        <f>IFERROR(__xludf.DUMMYFUNCTION("GOOGLETRANSLATE(B25230,""en"",""de"")"),"Zwei Männer spielen ein Selfie in einem Wohnzimmer.")</f>
        <v>Zwei Männer spielen ein Selfie in einem Wohnzimmer.</v>
      </c>
    </row>
    <row r="25231">
      <c r="A25231" s="4" t="s">
        <v>31753</v>
      </c>
      <c r="B25231" s="4" t="s">
        <v>31756</v>
      </c>
      <c r="C25231" s="5" t="str">
        <f>IFERROR(__xludf.DUMMYFUNCTION("GOOGLETRANSLATE(B25231,""en"",""de"")"),"Der Mann steht im Wohnzimmer und spielt Bierpong und nimmt sein Hemd heraus.")</f>
        <v>Der Mann steht im Wohnzimmer und spielt Bierpong und nimmt sein Hemd heraus.</v>
      </c>
    </row>
    <row r="25232">
      <c r="A25232" s="4" t="s">
        <v>31753</v>
      </c>
      <c r="B25232" s="4" t="s">
        <v>31757</v>
      </c>
      <c r="C25232" s="5" t="str">
        <f>IFERROR(__xludf.DUMMYFUNCTION("GOOGLETRANSLATE(B25232,""en"",""de"")"),"Der Mann steht im Wohnzimmer und hält einen Tennisschläger und hit einen Ball.")</f>
        <v>Der Mann steht im Wohnzimmer und hält einen Tennisschläger und hit einen Ball.</v>
      </c>
    </row>
    <row r="25233">
      <c r="A25233" s="4" t="s">
        <v>31753</v>
      </c>
      <c r="B25233" s="4" t="s">
        <v>31758</v>
      </c>
      <c r="C25233" s="5" t="str">
        <f>IFERROR(__xludf.DUMMYFUNCTION("GOOGLETRANSLATE(B25233,""en"",""de"")"),"Zwei Männer stehen in der Living Oom und spielen Bierpong und machen andere Schussspiele mit einer Flasche Whisky.")</f>
        <v>Zwei Männer stehen in der Living Oom und spielen Bierpong und machen andere Schussspiele mit einer Flasche Whisky.</v>
      </c>
    </row>
    <row r="25234">
      <c r="A25234" s="4" t="s">
        <v>31759</v>
      </c>
      <c r="B25234" s="4" t="s">
        <v>31760</v>
      </c>
      <c r="C25234" s="5" t="str">
        <f>IFERROR(__xludf.DUMMYFUNCTION("GOOGLETRANSLATE(B25234,""en"",""de"")"),"Eine Frau spricht mit der Kamera, während sie verschiedene Objekte hochhält, und beginnt sich die Haare zu bürsten.")</f>
        <v>Eine Frau spricht mit der Kamera, während sie verschiedene Objekte hochhält, und beginnt sich die Haare zu bürsten.</v>
      </c>
    </row>
    <row r="25235">
      <c r="A25235" s="4" t="s">
        <v>31759</v>
      </c>
      <c r="B25235" s="4" t="s">
        <v>31761</v>
      </c>
      <c r="C25235" s="5" t="str">
        <f>IFERROR(__xludf.DUMMYFUNCTION("GOOGLETRANSLATE(B25235,""en"",""de"")"),"Sie bindet sich die Haare, während sie immer noch spricht und zum Schild mehrere Pinsel hochhält.")</f>
        <v>Sie bindet sich die Haare, während sie immer noch spricht und zum Schild mehrere Pinsel hochhält.</v>
      </c>
    </row>
    <row r="25236">
      <c r="A25236" s="4" t="s">
        <v>31762</v>
      </c>
      <c r="B25236" s="4" t="s">
        <v>31763</v>
      </c>
      <c r="C25236" s="5" t="str">
        <f>IFERROR(__xludf.DUMMYFUNCTION("GOOGLETRANSLATE(B25236,""en"",""de"")"),"Eine körperbörse durchdringende Künstlerin wird den Bauchnabel eines Weibchens durchbohren.")</f>
        <v>Eine körperbörse durchdringende Künstlerin wird den Bauchnabel eines Weibchens durchbohren.</v>
      </c>
    </row>
    <row r="25237">
      <c r="A25237" s="4" t="s">
        <v>31762</v>
      </c>
      <c r="B25237" s="4" t="s">
        <v>31764</v>
      </c>
      <c r="C25237" s="5" t="str">
        <f>IFERROR(__xludf.DUMMYFUNCTION("GOOGLETRANSLATE(B25237,""en"",""de"")"),"Zunächst verwendet er ein Piercing -Werkzeug, um den Inzision auf dem Bauchnabel zu machen.")</f>
        <v>Zunächst verwendet er ein Piercing -Werkzeug, um den Inzision auf dem Bauchnabel zu machen.</v>
      </c>
    </row>
    <row r="25238">
      <c r="A25238" s="4" t="s">
        <v>31762</v>
      </c>
      <c r="B25238" s="4" t="s">
        <v>31765</v>
      </c>
      <c r="C25238" s="5" t="str">
        <f>IFERROR(__xludf.DUMMYFUNCTION("GOOGLETRANSLATE(B25238,""en"",""de"")"),"Danach fügt er das Piercing ein und stellt sicher, dass es sicher ist.")</f>
        <v>Danach fügt er das Piercing ein und stellt sicher, dass es sicher ist.</v>
      </c>
    </row>
    <row r="25239">
      <c r="A25239" s="4" t="s">
        <v>31762</v>
      </c>
      <c r="B25239" s="4" t="s">
        <v>31766</v>
      </c>
      <c r="C25239" s="5" t="str">
        <f>IFERROR(__xludf.DUMMYFUNCTION("GOOGLETRANSLATE(B25239,""en"",""de"")"),"Als er ein Wischtuch benutzt und den Bereich reinigt.")</f>
        <v>Als er ein Wischtuch benutzt und den Bereich reinigt.</v>
      </c>
    </row>
    <row r="25240">
      <c r="A25240" s="4" t="s">
        <v>31762</v>
      </c>
      <c r="B25240" s="4" t="s">
        <v>31767</v>
      </c>
      <c r="C25240" s="5" t="str">
        <f>IFERROR(__xludf.DUMMYFUNCTION("GOOGLETRANSLATE(B25240,""en"",""de"")"),"Danach steht das Mädchen auf die Gespräche mit dem Freund und schaut in den Spiegel.")</f>
        <v>Danach steht das Mädchen auf die Gespräche mit dem Freund und schaut in den Spiegel.</v>
      </c>
    </row>
    <row r="25241">
      <c r="A25241" s="4" t="s">
        <v>31762</v>
      </c>
      <c r="B25241" s="4" t="s">
        <v>31768</v>
      </c>
      <c r="C25241" s="5" t="str">
        <f>IFERROR(__xludf.DUMMYFUNCTION("GOOGLETRANSLATE(B25241,""en"",""de"")"),"Am Ende dreht sich der Kameramann um und spricht mit Autorität mit der Kamera.")</f>
        <v>Am Ende dreht sich der Kameramann um und spricht mit Autorität mit der Kamera.</v>
      </c>
    </row>
    <row r="25242">
      <c r="A25242" s="4" t="s">
        <v>31769</v>
      </c>
      <c r="B25242" s="4" t="s">
        <v>31770</v>
      </c>
      <c r="C25242" s="5" t="str">
        <f>IFERROR(__xludf.DUMMYFUNCTION("GOOGLETRANSLATE(B25242,""en"",""de"")"),"Ein Mann steht in einem großen Raum.")</f>
        <v>Ein Mann steht in einem großen Raum.</v>
      </c>
    </row>
    <row r="25243">
      <c r="A25243" s="4" t="s">
        <v>31769</v>
      </c>
      <c r="B25243" s="4" t="s">
        <v>31771</v>
      </c>
      <c r="C25243" s="5" t="str">
        <f>IFERROR(__xludf.DUMMYFUNCTION("GOOGLETRANSLATE(B25243,""en"",""de"")"),"Dann springt er auf Balken.")</f>
        <v>Dann springt er auf Balken.</v>
      </c>
    </row>
    <row r="25244">
      <c r="A25244" s="4" t="s">
        <v>31769</v>
      </c>
      <c r="B25244" s="4" t="s">
        <v>31772</v>
      </c>
      <c r="C25244" s="5" t="str">
        <f>IFERROR(__xludf.DUMMYFUNCTION("GOOGLETRANSLATE(B25244,""en"",""de"")"),"Dann balanciert er sich auf dem Strahl.")</f>
        <v>Dann balanciert er sich auf dem Strahl.</v>
      </c>
    </row>
    <row r="25245">
      <c r="A25245" s="4" t="s">
        <v>31769</v>
      </c>
      <c r="B25245" s="4" t="s">
        <v>31773</v>
      </c>
      <c r="C25245" s="5" t="str">
        <f>IFERROR(__xludf.DUMMYFUNCTION("GOOGLETRANSLATE(B25245,""en"",""de"")"),"Er macht mehrere Flips und Tricks.")</f>
        <v>Er macht mehrere Flips und Tricks.</v>
      </c>
    </row>
    <row r="25246">
      <c r="A25246" s="4" t="s">
        <v>31774</v>
      </c>
      <c r="B25246" s="4" t="s">
        <v>31775</v>
      </c>
      <c r="C25246" s="5" t="str">
        <f>IFERROR(__xludf.DUMMYFUNCTION("GOOGLETRANSLATE(B25246,""en"",""de"")"),"Ein Mann fährt mit einem Skateboard eine Vorstadtstraße hinunter.")</f>
        <v>Ein Mann fährt mit einem Skateboard eine Vorstadtstraße hinunter.</v>
      </c>
    </row>
    <row r="25247">
      <c r="A25247" s="4" t="s">
        <v>31774</v>
      </c>
      <c r="B25247" s="4" t="s">
        <v>31776</v>
      </c>
      <c r="C25247" s="5" t="str">
        <f>IFERROR(__xludf.DUMMYFUNCTION("GOOGLETRANSLATE(B25247,""en"",""de"")"),"Zwei weitere werden gezeigt, wenn der Kameramann sie von hinten entdeckt.")</f>
        <v>Zwei weitere werden gezeigt, wenn der Kameramann sie von hinten entdeckt.</v>
      </c>
    </row>
    <row r="25248">
      <c r="A25248" s="4" t="s">
        <v>31774</v>
      </c>
      <c r="B25248" s="4" t="s">
        <v>31777</v>
      </c>
      <c r="C25248" s="5" t="str">
        <f>IFERROR(__xludf.DUMMYFUNCTION("GOOGLETRANSLATE(B25248,""en"",""de"")"),"Er schiebt sie und hält sie schnell.")</f>
        <v>Er schiebt sie und hält sie schnell.</v>
      </c>
    </row>
    <row r="25249">
      <c r="A25249" s="4" t="s">
        <v>31778</v>
      </c>
      <c r="B25249" s="4" t="s">
        <v>31779</v>
      </c>
      <c r="C25249" s="5" t="str">
        <f>IFERROR(__xludf.DUMMYFUNCTION("GOOGLETRANSLATE(B25249,""en"",""de"")"),"Ein Athlet springt mit einer Stange, um die horizontale Stange zu bestehen, dann fällt er auf die Schaummatte.")</f>
        <v>Ein Athlet springt mit einer Stange, um die horizontale Stange zu bestehen, dann fällt er auf die Schaummatte.</v>
      </c>
    </row>
    <row r="25250">
      <c r="A25250" s="4" t="s">
        <v>31778</v>
      </c>
      <c r="B25250" s="4" t="s">
        <v>31780</v>
      </c>
      <c r="C25250" s="5" t="str">
        <f>IFERROR(__xludf.DUMMYFUNCTION("GOOGLETRANSLATE(B25250,""en"",""de"")"),"Dann gibt es einen Blitz zurück vom Tresorpolsprung.")</f>
        <v>Dann gibt es einen Blitz zurück vom Tresorpolsprung.</v>
      </c>
    </row>
    <row r="25251">
      <c r="A25251" s="4" t="s">
        <v>31781</v>
      </c>
      <c r="B25251" s="4" t="s">
        <v>31782</v>
      </c>
      <c r="C25251" s="5" t="str">
        <f>IFERROR(__xludf.DUMMYFUNCTION("GOOGLETRANSLATE(B25251,""en"",""de"")"),"Eine Frau sitzt hinter einem Pokertisch und Händlerkarten, während andere dasselbe im Rücken tun.")</f>
        <v>Eine Frau sitzt hinter einem Pokertisch und Händlerkarten, während andere dasselbe im Rücken tun.</v>
      </c>
    </row>
    <row r="25252">
      <c r="A25252" s="4" t="s">
        <v>31781</v>
      </c>
      <c r="B25252" s="4" t="s">
        <v>31783</v>
      </c>
      <c r="C25252" s="5" t="str">
        <f>IFERROR(__xludf.DUMMYFUNCTION("GOOGLETRANSLATE(B25252,""en"",""de"")"),"Die Frau handelt weiterhin Karten auf dem Tisch, während sie zur Kamera schaut und lächelt.")</f>
        <v>Die Frau handelt weiterhin Karten auf dem Tisch, während sie zur Kamera schaut und lächelt.</v>
      </c>
    </row>
    <row r="25253">
      <c r="A25253" s="4" t="s">
        <v>31784</v>
      </c>
      <c r="B25253" s="4" t="s">
        <v>31785</v>
      </c>
      <c r="C25253" s="5" t="str">
        <f>IFERROR(__xludf.DUMMYFUNCTION("GOOGLETRANSLATE(B25253,""en"",""de"")"),"Es werden mehrere Clips angezeigt, von denen Tennisschläger und einen Ball in die Ferne halten.")</f>
        <v>Es werden mehrere Clips angezeigt, von denen Tennisschläger und einen Ball in die Ferne halten.</v>
      </c>
    </row>
    <row r="25254">
      <c r="A25254" s="4" t="s">
        <v>31784</v>
      </c>
      <c r="B25254" s="4" t="s">
        <v>31786</v>
      </c>
      <c r="C25254" s="5" t="str">
        <f>IFERROR(__xludf.DUMMYFUNCTION("GOOGLETRANSLATE(B25254,""en"",""de"")"),"Der Text wird über dem Bildschirm angezeigt und es werden weitere Aufnahmen von Personen gezeigt, die demonstrieren.")</f>
        <v>Der Text wird über dem Bildschirm angezeigt und es werden weitere Aufnahmen von Personen gezeigt, die demonstrieren.</v>
      </c>
    </row>
    <row r="25255">
      <c r="A25255" s="4" t="s">
        <v>31784</v>
      </c>
      <c r="B25255" s="4" t="s">
        <v>31787</v>
      </c>
      <c r="C25255" s="5" t="str">
        <f>IFERROR(__xludf.DUMMYFUNCTION("GOOGLETRANSLATE(B25255,""en"",""de"")"),"Die Leute schlagen weiterhin die Bälle um den Platz, während die Kamera ihre Bewegungen erfasst.")</f>
        <v>Die Leute schlagen weiterhin die Bälle um den Platz, während die Kamera ihre Bewegungen erfasst.</v>
      </c>
    </row>
    <row r="25256">
      <c r="A25256" s="4" t="s">
        <v>31788</v>
      </c>
      <c r="B25256" s="4" t="s">
        <v>31789</v>
      </c>
      <c r="C25256" s="5" t="str">
        <f>IFERROR(__xludf.DUMMYFUNCTION("GOOGLETRANSLATE(B25256,""en"",""de"")"),"Die beiden Mädchen umarmen sich und das Mädchen, das das blaue Kleid trägt, drückt leicht am anderen Mädchen vorbei.")</f>
        <v>Die beiden Mädchen umarmen sich und das Mädchen, das das blaue Kleid trägt, drückt leicht am anderen Mädchen vorbei.</v>
      </c>
    </row>
    <row r="25257">
      <c r="A25257" s="4" t="s">
        <v>31788</v>
      </c>
      <c r="B25257" s="4" t="s">
        <v>31790</v>
      </c>
      <c r="C25257" s="5" t="str">
        <f>IFERROR(__xludf.DUMMYFUNCTION("GOOGLETRANSLATE(B25257,""en"",""de"")"),"Dann rennt sie zurück zu ihr und umarmt sie und rennt sie wieder von ihr weg.")</f>
        <v>Dann rennt sie zurück zu ihr und umarmt sie und rennt sie wieder von ihr weg.</v>
      </c>
    </row>
    <row r="25258">
      <c r="A25258" s="4" t="s">
        <v>31791</v>
      </c>
      <c r="B25258" s="4" t="s">
        <v>31792</v>
      </c>
      <c r="C25258" s="5" t="str">
        <f>IFERROR(__xludf.DUMMYFUNCTION("GOOGLETRANSLATE(B25258,""en"",""de"")"),"Wir sehen einen Mann, der mit der Kamera spricht, während wir ein Akkordeon halten.")</f>
        <v>Wir sehen einen Mann, der mit der Kamera spricht, während wir ein Akkordeon halten.</v>
      </c>
    </row>
    <row r="25259">
      <c r="A25259" s="4" t="s">
        <v>31791</v>
      </c>
      <c r="B25259" s="4" t="s">
        <v>31793</v>
      </c>
      <c r="C25259" s="5" t="str">
        <f>IFERROR(__xludf.DUMMYFUNCTION("GOOGLETRANSLATE(B25259,""en"",""de"")"),"Der Mann spielt dann das Akkordeon und wir sehen es aus der Nähe.")</f>
        <v>Der Mann spielt dann das Akkordeon und wir sehen es aus der Nähe.</v>
      </c>
    </row>
    <row r="25260">
      <c r="A25260" s="4" t="s">
        <v>31791</v>
      </c>
      <c r="B25260" s="4" t="s">
        <v>31794</v>
      </c>
      <c r="C25260" s="5" t="str">
        <f>IFERROR(__xludf.DUMMYFUNCTION("GOOGLETRANSLATE(B25260,""en"",""de"")"),"Der Mann hält eine Notiz und seine Hände zittern.")</f>
        <v>Der Mann hält eine Notiz und seine Hände zittern.</v>
      </c>
    </row>
    <row r="25261">
      <c r="A25261" s="4" t="s">
        <v>31791</v>
      </c>
      <c r="B25261" s="4" t="s">
        <v>31795</v>
      </c>
      <c r="C25261" s="5" t="str">
        <f>IFERROR(__xludf.DUMMYFUNCTION("GOOGLETRANSLATE(B25261,""en"",""de"")"),"Wir zoomen und der Mann hört auf zu spielen.")</f>
        <v>Wir zoomen und der Mann hört auf zu spielen.</v>
      </c>
    </row>
    <row r="25262">
      <c r="A25262" s="4" t="s">
        <v>31796</v>
      </c>
      <c r="B25262" s="4" t="s">
        <v>31797</v>
      </c>
      <c r="C25262" s="5" t="str">
        <f>IFERROR(__xludf.DUMMYFUNCTION("GOOGLETRANSLATE(B25262,""en"",""de"")"),"Eine große Gruppe von Menschen ist gesehen, wie sie eine Strecke hinuntergeführt und in mehrere weitere Menschen übergeht.")</f>
        <v>Eine große Gruppe von Menschen ist gesehen, wie sie eine Strecke hinuntergeführt und in mehrere weitere Menschen übergeht.</v>
      </c>
    </row>
    <row r="25263">
      <c r="A25263" s="4" t="s">
        <v>31796</v>
      </c>
      <c r="B25263" s="4" t="s">
        <v>31798</v>
      </c>
      <c r="C25263" s="5" t="str">
        <f>IFERROR(__xludf.DUMMYFUNCTION("GOOGLETRANSLATE(B25263,""en"",""de"")"),"Zwei Mädchen überprüfen ihre Handgelenke, während man mit der Kamera spricht und mehrere Schüsse eines Armbandes gezeigt werden.")</f>
        <v>Zwei Mädchen überprüfen ihre Handgelenke, während man mit der Kamera spricht und mehrere Schüsse eines Armbandes gezeigt werden.</v>
      </c>
    </row>
    <row r="25264">
      <c r="A25264" s="4" t="s">
        <v>31796</v>
      </c>
      <c r="B25264" s="4" t="s">
        <v>31799</v>
      </c>
      <c r="C25264" s="5" t="str">
        <f>IFERROR(__xludf.DUMMYFUNCTION("GOOGLETRANSLATE(B25264,""en"",""de"")"),"Mehr Menschen werden interviewt, während sie die Handgelenksbänder tragen und zeigen, wie sie funktionieren, während viele herumlaufen.")</f>
        <v>Mehr Menschen werden interviewt, während sie die Handgelenksbänder tragen und zeigen, wie sie funktionieren, während viele herumlaufen.</v>
      </c>
    </row>
    <row r="25265">
      <c r="A25265" s="4" t="s">
        <v>31800</v>
      </c>
      <c r="B25265" s="4" t="s">
        <v>31801</v>
      </c>
      <c r="C25265" s="5" t="str">
        <f>IFERROR(__xludf.DUMMYFUNCTION("GOOGLETRANSLATE(B25265,""en"",""de"")"),"Wir sehen Männer auf einem Boot, eine Säge erscheint dann ein Mann in einer Hängematte.")</f>
        <v>Wir sehen Männer auf einem Boot, eine Säge erscheint dann ein Mann in einer Hängematte.</v>
      </c>
    </row>
    <row r="25266">
      <c r="A25266" s="4" t="s">
        <v>31800</v>
      </c>
      <c r="B25266" s="4" t="s">
        <v>31802</v>
      </c>
      <c r="C25266" s="5" t="str">
        <f>IFERROR(__xludf.DUMMYFUNCTION("GOOGLETRANSLATE(B25266,""en"",""de"")"),"Der Mann steht auf und geht zu seinem Mäher und schafft etwas gut auf einem Rad und bindet ihn an den Mäher und die Schuppentür.")</f>
        <v>Der Mann steht auf und geht zu seinem Mäher und schafft etwas gut auf einem Rad und bindet ihn an den Mäher und die Schuppentür.</v>
      </c>
    </row>
    <row r="25267">
      <c r="A25267" s="4" t="s">
        <v>31800</v>
      </c>
      <c r="B25267" s="4" t="s">
        <v>31803</v>
      </c>
      <c r="C25267" s="5" t="str">
        <f>IFERROR(__xludf.DUMMYFUNCTION("GOOGLETRANSLATE(B25267,""en"",""de"")"),"Der Mann lässt dem Mäher das Objekt umdrehen und das Gras schneiden.")</f>
        <v>Der Mann lässt dem Mäher das Objekt umdrehen und das Gras schneiden.</v>
      </c>
    </row>
    <row r="25268">
      <c r="A25268" s="4" t="s">
        <v>31800</v>
      </c>
      <c r="B25268" s="4" t="s">
        <v>31804</v>
      </c>
      <c r="C25268" s="5" t="str">
        <f>IFERROR(__xludf.DUMMYFUNCTION("GOOGLETRANSLATE(B25268,""en"",""de"")"),"Es zieht das Objekt dann in den Schuppen an der Linie und die Tür zieht geschlossen.")</f>
        <v>Es zieht das Objekt dann in den Schuppen an der Linie und die Tür zieht geschlossen.</v>
      </c>
    </row>
    <row r="25269">
      <c r="A25269" s="4" t="s">
        <v>31805</v>
      </c>
      <c r="B25269" s="4" t="s">
        <v>31806</v>
      </c>
      <c r="C25269" s="5" t="str">
        <f>IFERROR(__xludf.DUMMYFUNCTION("GOOGLETRANSLATE(B25269,""en"",""de"")"),"Ein Hinzufügen zeigt eine Website über ein Unternehmen namens Happydogz an.")</f>
        <v>Ein Hinzufügen zeigt eine Website über ein Unternehmen namens Happydogz an.</v>
      </c>
    </row>
    <row r="25270">
      <c r="A25270" s="4" t="s">
        <v>31805</v>
      </c>
      <c r="B25270" s="4" t="s">
        <v>31807</v>
      </c>
      <c r="C25270" s="5" t="str">
        <f>IFERROR(__xludf.DUMMYFUNCTION("GOOGLETRANSLATE(B25270,""en"",""de"")"),"Dann erscheint ein Mann von einem Hund gezogen und fügt dann Displayinformationen über eine einziehbare Hundeleine hinzu.")</f>
        <v>Dann erscheint ein Mann von einem Hund gezogen und fügt dann Displayinformationen über eine einziehbare Hundeleine hinzu.</v>
      </c>
    </row>
    <row r="25271">
      <c r="A25271" s="4" t="s">
        <v>31805</v>
      </c>
      <c r="B25271" s="4" t="s">
        <v>31808</v>
      </c>
      <c r="C25271" s="5" t="str">
        <f>IFERROR(__xludf.DUMMYFUNCTION("GOOGLETRANSLATE(B25271,""en"",""de"")"),"Danach zieht ein Paar zwei Hunde vom Leinen.")</f>
        <v>Danach zieht ein Paar zwei Hunde vom Leinen.</v>
      </c>
    </row>
    <row r="25272">
      <c r="A25272" s="4" t="s">
        <v>31805</v>
      </c>
      <c r="B25272" s="4" t="s">
        <v>31809</v>
      </c>
      <c r="C25272" s="5" t="str">
        <f>IFERROR(__xludf.DUMMYFUNCTION("GOOGLETRANSLATE(B25272,""en"",""de"")"),"Danach fügt die Anzeigeinformationen zur Leine hinzu.")</f>
        <v>Danach fügt die Anzeigeinformationen zur Leine hinzu.</v>
      </c>
    </row>
    <row r="25273">
      <c r="A25273" s="4" t="s">
        <v>31810</v>
      </c>
      <c r="B25273" s="4" t="s">
        <v>31811</v>
      </c>
      <c r="C25273" s="5" t="str">
        <f>IFERROR(__xludf.DUMMYFUNCTION("GOOGLETRANSLATE(B25273,""en"",""de"")"),"Ein geschnitztes Pumpen mit einem Licht leuchtet auf einer Theke.")</f>
        <v>Ein geschnitztes Pumpen mit einem Licht leuchtet auf einer Theke.</v>
      </c>
    </row>
    <row r="25274">
      <c r="A25274" s="4" t="s">
        <v>31810</v>
      </c>
      <c r="B25274" s="4" t="s">
        <v>31812</v>
      </c>
      <c r="C25274" s="5" t="str">
        <f>IFERROR(__xludf.DUMMYFUNCTION("GOOGLETRANSLATE(B25274,""en"",""de"")"),"Anschließend werden die Zubehör für das Schnitzen gezeigt.")</f>
        <v>Anschließend werden die Zubehör für das Schnitzen gezeigt.</v>
      </c>
    </row>
    <row r="25275">
      <c r="A25275" s="4" t="s">
        <v>31810</v>
      </c>
      <c r="B25275" s="4" t="s">
        <v>31813</v>
      </c>
      <c r="C25275" s="5" t="str">
        <f>IFERROR(__xludf.DUMMYFUNCTION("GOOGLETRANSLATE(B25275,""en"",""de"")"),"Eine Frau schneidet das Oberteil vom Kürbis ab und entleert die Samen.")</f>
        <v>Eine Frau schneidet das Oberteil vom Kürbis ab und entleert die Samen.</v>
      </c>
    </row>
    <row r="25276">
      <c r="A25276" s="4" t="s">
        <v>31810</v>
      </c>
      <c r="B25276" s="4" t="s">
        <v>31814</v>
      </c>
      <c r="C25276" s="5" t="str">
        <f>IFERROR(__xludf.DUMMYFUNCTION("GOOGLETRANSLATE(B25276,""en"",""de"")"),"Sie schnitzt dann die verfolgten Linien, um das Design auszuschneiden.")</f>
        <v>Sie schnitzt dann die verfolgten Linien, um das Design auszuschneiden.</v>
      </c>
    </row>
    <row r="25277">
      <c r="A25277" s="4" t="s">
        <v>31810</v>
      </c>
      <c r="B25277" s="4" t="s">
        <v>31815</v>
      </c>
      <c r="C25277" s="5" t="str">
        <f>IFERROR(__xludf.DUMMYFUNCTION("GOOGLETRANSLATE(B25277,""en"",""de"")"),"Wenn sie fertig ist, wird in den Kürbis ein Teebleuchten gelegt und beleuchtet.")</f>
        <v>Wenn sie fertig ist, wird in den Kürbis ein Teebleuchten gelegt und beleuchtet.</v>
      </c>
    </row>
    <row r="25278">
      <c r="A25278" s="4" t="s">
        <v>31816</v>
      </c>
      <c r="B25278" s="4" t="s">
        <v>16436</v>
      </c>
      <c r="C25278" s="5" t="str">
        <f>IFERROR(__xludf.DUMMYFUNCTION("GOOGLETRANSLATE(B25278,""en"",""de"")"),"Eine Frau kniet auf einer blauen Matte.")</f>
        <v>Eine Frau kniet auf einer blauen Matte.</v>
      </c>
    </row>
    <row r="25279">
      <c r="A25279" s="4" t="s">
        <v>31816</v>
      </c>
      <c r="B25279" s="4" t="s">
        <v>31817</v>
      </c>
      <c r="C25279" s="5" t="str">
        <f>IFERROR(__xludf.DUMMYFUNCTION("GOOGLETRANSLATE(B25279,""en"",""de"")"),"Sie hat eine Metallgewichtsbar auf ihren Schultern.")</f>
        <v>Sie hat eine Metallgewichtsbar auf ihren Schultern.</v>
      </c>
    </row>
    <row r="25280">
      <c r="A25280" s="4" t="s">
        <v>31816</v>
      </c>
      <c r="B25280" s="4" t="s">
        <v>31818</v>
      </c>
      <c r="C25280" s="5" t="str">
        <f>IFERROR(__xludf.DUMMYFUNCTION("GOOGLETRANSLATE(B25280,""en"",""de"")"),"Sie bewegt sich auf und ab und hebt das Gewicht.")</f>
        <v>Sie bewegt sich auf und ab und hebt das Gewicht.</v>
      </c>
    </row>
    <row r="25281">
      <c r="A25281" s="4" t="s">
        <v>31819</v>
      </c>
      <c r="B25281" s="4" t="s">
        <v>31820</v>
      </c>
      <c r="C25281" s="5" t="str">
        <f>IFERROR(__xludf.DUMMYFUNCTION("GOOGLETRANSLATE(B25281,""en"",""de"")"),"Eine Frau spricht mit der Kamera und hält eine Flasche Sonnenschutzmittel.")</f>
        <v>Eine Frau spricht mit der Kamera und hält eine Flasche Sonnenschutzmittel.</v>
      </c>
    </row>
    <row r="25282">
      <c r="A25282" s="4" t="s">
        <v>31819</v>
      </c>
      <c r="B25282" s="4" t="s">
        <v>31821</v>
      </c>
      <c r="C25282" s="5" t="str">
        <f>IFERROR(__xludf.DUMMYFUNCTION("GOOGLETRANSLATE(B25282,""en"",""de"")"),"Sie öffnet dann die Flasche und benutzt einen Halter an der Seite.")</f>
        <v>Sie öffnet dann die Flasche und benutzt einen Halter an der Seite.</v>
      </c>
    </row>
    <row r="25283">
      <c r="A25283" s="4" t="s">
        <v>31819</v>
      </c>
      <c r="B25283" s="4" t="s">
        <v>31822</v>
      </c>
      <c r="C25283" s="5" t="str">
        <f>IFERROR(__xludf.DUMMYFUNCTION("GOOGLETRANSLATE(B25283,""en"",""de"")"),"Sie zeigt den Halter, während sie immer noch mit der Kamera spricht.")</f>
        <v>Sie zeigt den Halter, während sie immer noch mit der Kamera spricht.</v>
      </c>
    </row>
    <row r="25284">
      <c r="A25284" s="4" t="s">
        <v>31823</v>
      </c>
      <c r="B25284" s="4" t="s">
        <v>31824</v>
      </c>
      <c r="C25284" s="5" t="str">
        <f>IFERROR(__xludf.DUMMYFUNCTION("GOOGLETRANSLATE(B25284,""en"",""de"")"),"Mehrere Menschen stehen beieinander und sehen sich um und schauen sich um.")</f>
        <v>Mehrere Menschen stehen beieinander und sehen sich um und schauen sich um.</v>
      </c>
    </row>
    <row r="25285">
      <c r="A25285" s="4" t="s">
        <v>31823</v>
      </c>
      <c r="B25285" s="4" t="s">
        <v>31825</v>
      </c>
      <c r="C25285" s="5" t="str">
        <f>IFERROR(__xludf.DUMMYFUNCTION("GOOGLETRANSLATE(B25285,""en"",""de"")"),"Die Leute schlugen nacheinander einen Ball über einen Rasen und werden lachen und lächeln.")</f>
        <v>Die Leute schlugen nacheinander einen Ball über einen Rasen und werden lachen und lächeln.</v>
      </c>
    </row>
    <row r="25286">
      <c r="A25286" s="4" t="s">
        <v>31826</v>
      </c>
      <c r="B25286" s="4" t="s">
        <v>31827</v>
      </c>
      <c r="C25286" s="5" t="str">
        <f>IFERROR(__xludf.DUMMYFUNCTION("GOOGLETRANSLATE(B25286,""en"",""de"")"),"Ein Mann schwingt auf einem Balancestrahl.")</f>
        <v>Ein Mann schwingt auf einem Balancestrahl.</v>
      </c>
    </row>
    <row r="25287">
      <c r="A25287" s="4" t="s">
        <v>31826</v>
      </c>
      <c r="B25287" s="4" t="s">
        <v>31828</v>
      </c>
      <c r="C25287" s="5" t="str">
        <f>IFERROR(__xludf.DUMMYFUNCTION("GOOGLETRANSLATE(B25287,""en"",""de"")"),"Er springt weg und legt seine Hände in die Luft.")</f>
        <v>Er springt weg und legt seine Hände in die Luft.</v>
      </c>
    </row>
    <row r="25288">
      <c r="A25288" s="4" t="s">
        <v>31826</v>
      </c>
      <c r="B25288" s="4" t="s">
        <v>31829</v>
      </c>
      <c r="C25288" s="5" t="str">
        <f>IFERROR(__xludf.DUMMYFUNCTION("GOOGLETRANSLATE(B25288,""en"",""de"")"),"Er steigt wieder auf den Balancestrahl.")</f>
        <v>Er steigt wieder auf den Balancestrahl.</v>
      </c>
    </row>
    <row r="25289">
      <c r="A25289" s="4" t="s">
        <v>31830</v>
      </c>
      <c r="B25289" s="4" t="s">
        <v>31831</v>
      </c>
      <c r="C25289" s="5" t="str">
        <f>IFERROR(__xludf.DUMMYFUNCTION("GOOGLETRANSLATE(B25289,""en"",""de"")"),"Ein Mann befindet sich in einer Kegelgasse in Bowlingkleidung, Schuhen und Handschuhen, während er abwechselnd den Ball über die Gasse rollt und Stifte schlägt.")</f>
        <v>Ein Mann befindet sich in einer Kegelgasse in Bowlingkleidung, Schuhen und Handschuhen, während er abwechselnd den Ball über die Gasse rollt und Stifte schlägt.</v>
      </c>
    </row>
    <row r="25290">
      <c r="A25290" s="4" t="s">
        <v>31830</v>
      </c>
      <c r="B25290" s="4" t="s">
        <v>31832</v>
      </c>
      <c r="C25290" s="5" t="str">
        <f>IFERROR(__xludf.DUMMYFUNCTION("GOOGLETRANSLATE(B25290,""en"",""de"")"),"Der Mann packt den Ball von der Rückkehr und hält den Ball und steht eine Weile dort und starrt auf die Fahrspur, und als er schließlich rollt, streikt er.")</f>
        <v>Der Mann packt den Ball von der Rückkehr und hält den Ball und steht eine Weile dort und starrt auf die Fahrspur, und als er schließlich rollt, streikt er.</v>
      </c>
    </row>
    <row r="25291">
      <c r="A25291" s="4" t="s">
        <v>31830</v>
      </c>
      <c r="B25291" s="4" t="s">
        <v>31833</v>
      </c>
      <c r="C25291" s="5" t="str">
        <f>IFERROR(__xludf.DUMMYFUNCTION("GOOGLETRANSLATE(B25291,""en"",""de"")"),"Wenn der Streik vorbei ist, reduziert er sich in Zeitlupe.")</f>
        <v>Wenn der Streik vorbei ist, reduziert er sich in Zeitlupe.</v>
      </c>
    </row>
    <row r="25292">
      <c r="A25292" s="4" t="s">
        <v>31834</v>
      </c>
      <c r="B25292" s="4" t="s">
        <v>31835</v>
      </c>
      <c r="C25292" s="5" t="str">
        <f>IFERROR(__xludf.DUMMYFUNCTION("GOOGLETRANSLATE(B25292,""en"",""de"")"),"Ein Blick auf ein Dach mit Kiefernstrohhalmen, die überall angezeigt wurden, erscheint und ein Banner am unteren Say's ""Wenn Sie Kiefernstroh auf Ihrem Dach haben, rufen Sie uns unter 678-887-9479 an.")</f>
        <v>Ein Blick auf ein Dach mit Kiefernstrohhalmen, die überall angezeigt wurden, erscheint und ein Banner am unteren Say's "Wenn Sie Kiefernstroh auf Ihrem Dach haben, rufen Sie uns unter 678-887-9479 an.</v>
      </c>
    </row>
    <row r="25293">
      <c r="A25293" s="4" t="s">
        <v>31834</v>
      </c>
      <c r="B25293" s="4" t="s">
        <v>31836</v>
      </c>
      <c r="C25293" s="5" t="str">
        <f>IFERROR(__xludf.DUMMYFUNCTION("GOOGLETRANSLATE(B25293,""en"",""de"")"),"Ein Mann befindet sich jetzt oben auf dem Dach und er hat ein Gebläse in der rechten Hand, Metallstab in der linken Hand, um das Gleichgewicht zu bringen, und er geht entlang des Daches, der alle Kiefernstrohhalme abweist.")</f>
        <v>Ein Mann befindet sich jetzt oben auf dem Dach und er hat ein Gebläse in der rechten Hand, Metallstab in der linken Hand, um das Gleichgewicht zu bringen, und er geht entlang des Daches, der alle Kiefernstrohhalme abweist.</v>
      </c>
    </row>
    <row r="25294">
      <c r="A25294" s="4" t="s">
        <v>31834</v>
      </c>
      <c r="B25294" s="4" t="s">
        <v>31837</v>
      </c>
      <c r="C25294" s="5" t="str">
        <f>IFERROR(__xludf.DUMMYFUNCTION("GOOGLETRANSLATE(B25294,""en"",""de"")"),"Die letzte Ansicht ist vom Dach gereinigt und die Website wird am unteren Rand des Bildschirms angezeigt.")</f>
        <v>Die letzte Ansicht ist vom Dach gereinigt und die Website wird am unteren Rand des Bildschirms angezeigt.</v>
      </c>
    </row>
    <row r="25295">
      <c r="A25295" s="4" t="s">
        <v>31838</v>
      </c>
      <c r="B25295" s="4" t="s">
        <v>31839</v>
      </c>
      <c r="C25295" s="5" t="str">
        <f>IFERROR(__xludf.DUMMYFUNCTION("GOOGLETRANSLATE(B25295,""en"",""de"")"),"Ein Mann legt Teppich in einem Raum.")</f>
        <v>Ein Mann legt Teppich in einem Raum.</v>
      </c>
    </row>
    <row r="25296">
      <c r="A25296" s="4" t="s">
        <v>31838</v>
      </c>
      <c r="B25296" s="4" t="s">
        <v>31840</v>
      </c>
      <c r="C25296" s="5" t="str">
        <f>IFERROR(__xludf.DUMMYFUNCTION("GOOGLETRANSLATE(B25296,""en"",""de"")"),"Eine Frau schaut sich Teppichproben in einem Geschäft an.")</f>
        <v>Eine Frau schaut sich Teppichproben in einem Geschäft an.</v>
      </c>
    </row>
    <row r="25297">
      <c r="A25297" s="4" t="s">
        <v>31838</v>
      </c>
      <c r="B25297" s="4" t="s">
        <v>31841</v>
      </c>
      <c r="C25297" s="5" t="str">
        <f>IFERROR(__xludf.DUMMYFUNCTION("GOOGLETRANSLATE(B25297,""en"",""de"")"),"Männer sind auf den Knien und installieren Hartholzboden.")</f>
        <v>Männer sind auf den Knien und installieren Hartholzboden.</v>
      </c>
    </row>
    <row r="25298">
      <c r="A25298" s="4" t="s">
        <v>31842</v>
      </c>
      <c r="B25298" s="4" t="s">
        <v>31843</v>
      </c>
      <c r="C25298" s="5" t="str">
        <f>IFERROR(__xludf.DUMMYFUNCTION("GOOGLETRANSLATE(B25298,""en"",""de"")"),"Ein sportlicher Mann steht zu Beginn einer langen Strecke mit mehreren Menschen am Rande.")</f>
        <v>Ein sportlicher Mann steht zu Beginn einer langen Strecke mit mehreren Menschen am Rande.</v>
      </c>
    </row>
    <row r="25299">
      <c r="A25299" s="4" t="s">
        <v>31842</v>
      </c>
      <c r="B25299" s="4" t="s">
        <v>31844</v>
      </c>
      <c r="C25299" s="5" t="str">
        <f>IFERROR(__xludf.DUMMYFUNCTION("GOOGLETRANSLATE(B25299,""en"",""de"")"),"Er rennt die Strecke hinunter und springt mit ein paar anderen in der Ferne um ihn herum.")</f>
        <v>Er rennt die Strecke hinunter und springt mit ein paar anderen in der Ferne um ihn herum.</v>
      </c>
    </row>
    <row r="25300">
      <c r="A25300" s="4" t="s">
        <v>31845</v>
      </c>
      <c r="B25300" s="4" t="s">
        <v>31846</v>
      </c>
      <c r="C25300" s="5" t="str">
        <f>IFERROR(__xludf.DUMMYFUNCTION("GOOGLETRANSLATE(B25300,""en"",""de"")"),"Ein Publikum wird in einer Gymnasium versammelt, um den Turner auf dem Pommel Horse zu beobachten.")</f>
        <v>Ein Publikum wird in einer Gymnasium versammelt, um den Turner auf dem Pommel Horse zu beobachten.</v>
      </c>
    </row>
    <row r="25301">
      <c r="A25301" s="4" t="s">
        <v>31845</v>
      </c>
      <c r="B25301" s="4" t="s">
        <v>31847</v>
      </c>
      <c r="C25301" s="5" t="str">
        <f>IFERROR(__xludf.DUMMYFUNCTION("GOOGLETRANSLATE(B25301,""en"",""de"")"),"Er konzentriert sich und montiert dann, um seine Routine zu beginnen.")</f>
        <v>Er konzentriert sich und montiert dann, um seine Routine zu beginnen.</v>
      </c>
    </row>
    <row r="25302">
      <c r="A25302" s="4" t="s">
        <v>31845</v>
      </c>
      <c r="B25302" s="4" t="s">
        <v>31848</v>
      </c>
      <c r="C25302" s="5" t="str">
        <f>IFERROR(__xludf.DUMMYFUNCTION("GOOGLETRANSLATE(B25302,""en"",""de"")"),"Er spielt zuerst und dann einen zweiten beeindruckenden Handstand, während er einen Griff mit beiden Händen ergriff.")</f>
        <v>Er spielt zuerst und dann einen zweiten beeindruckenden Handstand, während er einen Griff mit beiden Händen ergriff.</v>
      </c>
    </row>
    <row r="25303">
      <c r="A25303" s="4" t="s">
        <v>31845</v>
      </c>
      <c r="B25303" s="4" t="s">
        <v>31849</v>
      </c>
      <c r="C25303" s="5" t="str">
        <f>IFERROR(__xludf.DUMMYFUNCTION("GOOGLETRANSLATE(B25303,""en"",""de"")"),"Er schließt seine Routine ab und endet dann mit einem makellosen Ablagerungen des Jubelns.")</f>
        <v>Er schließt seine Routine ab und endet dann mit einem makellosen Ablagerungen des Jubelns.</v>
      </c>
    </row>
    <row r="25304">
      <c r="A25304" s="4" t="s">
        <v>31850</v>
      </c>
      <c r="B25304" s="4" t="s">
        <v>31851</v>
      </c>
      <c r="C25304" s="5" t="str">
        <f>IFERROR(__xludf.DUMMYFUNCTION("GOOGLETRANSLATE(B25304,""en"",""de"")"),"Ein Mann wirft einen Pfeil über die Kamera, während er in die Ferne schaut.")</f>
        <v>Ein Mann wirft einen Pfeil über die Kamera, während er in die Ferne schaut.</v>
      </c>
    </row>
    <row r="25305">
      <c r="A25305" s="4" t="s">
        <v>31850</v>
      </c>
      <c r="B25305" s="4" t="s">
        <v>31852</v>
      </c>
      <c r="C25305" s="5" t="str">
        <f>IFERROR(__xludf.DUMMYFUNCTION("GOOGLETRANSLATE(B25305,""en"",""de"")"),"Es werden mehrere Schüsse gezeigt, wie er wirf und Text über den Bildschirm.")</f>
        <v>Es werden mehrere Schüsse gezeigt, wie er wirf und Text über den Bildschirm.</v>
      </c>
    </row>
    <row r="25306">
      <c r="A25306" s="4" t="s">
        <v>31850</v>
      </c>
      <c r="B25306" s="4" t="s">
        <v>31853</v>
      </c>
      <c r="C25306" s="5" t="str">
        <f>IFERROR(__xludf.DUMMYFUNCTION("GOOGLETRANSLATE(B25306,""en"",""de"")"),"Der Mann wirft immer wieder weiter.")</f>
        <v>Der Mann wirft immer wieder weiter.</v>
      </c>
    </row>
    <row r="25307">
      <c r="A25307" s="4" t="s">
        <v>31854</v>
      </c>
      <c r="B25307" s="4" t="s">
        <v>31855</v>
      </c>
      <c r="C25307" s="5" t="str">
        <f>IFERROR(__xludf.DUMMYFUNCTION("GOOGLETRANSLATE(B25307,""en"",""de"")"),"Eine Frau zeigt, wie man einen Kuchen mit Zuckerguss mit einem Spatel bedeckt.")</f>
        <v>Eine Frau zeigt, wie man einen Kuchen mit Zuckerguss mit einem Spatel bedeckt.</v>
      </c>
    </row>
    <row r="25308">
      <c r="A25308" s="4" t="s">
        <v>31854</v>
      </c>
      <c r="B25308" s="4" t="s">
        <v>31856</v>
      </c>
      <c r="C25308" s="5" t="str">
        <f>IFERROR(__xludf.DUMMYFUNCTION("GOOGLETRANSLATE(B25308,""en"",""de"")"),"Dann erklärt sie, wie man den Rand des Kuchens mit einem Tuch reinigt.")</f>
        <v>Dann erklärt sie, wie man den Rand des Kuchens mit einem Tuch reinigt.</v>
      </c>
    </row>
    <row r="25309">
      <c r="A25309" s="4" t="s">
        <v>31857</v>
      </c>
      <c r="B25309" s="4" t="s">
        <v>31858</v>
      </c>
      <c r="C25309" s="5" t="str">
        <f>IFERROR(__xludf.DUMMYFUNCTION("GOOGLETRANSLATE(B25309,""en"",""de"")"),"Eine Nahaufnahme eines Telefons wird ebenso angezeigt wie eine Person, die aufwacht, die Zähne putzt und aus der Tür geht.")</f>
        <v>Eine Nahaufnahme eines Telefons wird ebenso angezeigt wie eine Person, die aufwacht, die Zähne putzt und aus der Tür geht.</v>
      </c>
    </row>
    <row r="25310">
      <c r="A25310" s="4" t="s">
        <v>31857</v>
      </c>
      <c r="B25310" s="4" t="s">
        <v>31859</v>
      </c>
      <c r="C25310" s="5" t="str">
        <f>IFERROR(__xludf.DUMMYFUNCTION("GOOGLETRANSLATE(B25310,""en"",""de"")"),"Nahaufnahmen werden von Menschen gezeigt, die sowohl einen Skiaufzug als auch einen Berg hinunter reiten.")</f>
        <v>Nahaufnahmen werden von Menschen gezeigt, die sowohl einen Skiaufzug als auch einen Berg hinunter reiten.</v>
      </c>
    </row>
    <row r="25311">
      <c r="A25311" s="4" t="s">
        <v>31857</v>
      </c>
      <c r="B25311" s="4" t="s">
        <v>31860</v>
      </c>
      <c r="C25311" s="5" t="str">
        <f>IFERROR(__xludf.DUMMYFUNCTION("GOOGLETRANSLATE(B25311,""en"",""de"")"),"Die Leute, die in die Kamera zoomen, schauen genau und winken sich gegenseitig.")</f>
        <v>Die Leute, die in die Kamera zoomen, schauen genau und winken sich gegenseitig.</v>
      </c>
    </row>
    <row r="25312">
      <c r="A25312" s="4" t="s">
        <v>31861</v>
      </c>
      <c r="B25312" s="4" t="s">
        <v>31862</v>
      </c>
      <c r="C25312" s="5" t="str">
        <f>IFERROR(__xludf.DUMMYFUNCTION("GOOGLETRANSLATE(B25312,""en"",""de"")"),"Eine Person steht in einem Tennisschläger in einem nahen Raum.")</f>
        <v>Eine Person steht in einem Tennisschläger in einem nahen Raum.</v>
      </c>
    </row>
    <row r="25313">
      <c r="A25313" s="4" t="s">
        <v>31861</v>
      </c>
      <c r="B25313" s="4" t="s">
        <v>31863</v>
      </c>
      <c r="C25313" s="5" t="str">
        <f>IFERROR(__xludf.DUMMYFUNCTION("GOOGLETRANSLATE(B25313,""en"",""de"")"),"Die Person schlägt dann mit dem Schläger den Ball und geht herum.")</f>
        <v>Die Person schlägt dann mit dem Schläger den Ball und geht herum.</v>
      </c>
    </row>
    <row r="25314">
      <c r="A25314" s="4" t="s">
        <v>31861</v>
      </c>
      <c r="B25314" s="4" t="s">
        <v>31864</v>
      </c>
      <c r="C25314" s="5" t="str">
        <f>IFERROR(__xludf.DUMMYFUNCTION("GOOGLETRANSLATE(B25314,""en"",""de"")"),"Eine andere Person ist sowohl im Rahmen als auch im Rahmen zu sehen.")</f>
        <v>Eine andere Person ist sowohl im Rahmen als auch im Rahmen zu sehen.</v>
      </c>
    </row>
    <row r="25315">
      <c r="A25315" s="4" t="s">
        <v>31865</v>
      </c>
      <c r="B25315" s="4" t="s">
        <v>31866</v>
      </c>
      <c r="C25315" s="5" t="str">
        <f>IFERROR(__xludf.DUMMYFUNCTION("GOOGLETRANSLATE(B25315,""en"",""de"")"),"Zwei Kinder springen nach draußen.")</f>
        <v>Zwei Kinder springen nach draußen.</v>
      </c>
    </row>
    <row r="25316">
      <c r="A25316" s="4" t="s">
        <v>31865</v>
      </c>
      <c r="B25316" s="4" t="s">
        <v>31867</v>
      </c>
      <c r="C25316" s="5" t="str">
        <f>IFERROR(__xludf.DUMMYFUNCTION("GOOGLETRANSLATE(B25316,""en"",""de"")"),"Zwei Erwachsene knien auf dem Boden und halten ein Sprungseil für ein Kind.")</f>
        <v>Zwei Erwachsene knien auf dem Boden und halten ein Sprungseil für ein Kind.</v>
      </c>
    </row>
    <row r="25317">
      <c r="A25317" s="4" t="s">
        <v>31865</v>
      </c>
      <c r="B25317" s="4" t="s">
        <v>31868</v>
      </c>
      <c r="C25317" s="5" t="str">
        <f>IFERROR(__xludf.DUMMYFUNCTION("GOOGLETRANSLATE(B25317,""en"",""de"")"),"Die Frau spricht mit der Kamera.")</f>
        <v>Die Frau spricht mit der Kamera.</v>
      </c>
    </row>
    <row r="25318">
      <c r="A25318" s="4" t="s">
        <v>31865</v>
      </c>
      <c r="B25318" s="4" t="s">
        <v>31869</v>
      </c>
      <c r="C25318" s="5" t="str">
        <f>IFERROR(__xludf.DUMMYFUNCTION("GOOGLETRANSLATE(B25318,""en"",""de"")"),"Ein Junge verschüttet ein Glas auf sein Gesicht, während er sich wickelt.")</f>
        <v>Ein Junge verschüttet ein Glas auf sein Gesicht, während er sich wickelt.</v>
      </c>
    </row>
    <row r="25319">
      <c r="A25319" s="4" t="s">
        <v>31870</v>
      </c>
      <c r="B25319" s="4" t="s">
        <v>31871</v>
      </c>
      <c r="C25319" s="5" t="str">
        <f>IFERROR(__xludf.DUMMYFUNCTION("GOOGLETRANSLATE(B25319,""en"",""de"")"),"Frau trägt Gurt und steigt oben in einen Hubschrauber und fliegt über einem Vulkan.")</f>
        <v>Frau trägt Gurt und steigt oben in einen Hubschrauber und fliegt über einem Vulkan.</v>
      </c>
    </row>
    <row r="25320">
      <c r="A25320" s="4" t="s">
        <v>31870</v>
      </c>
      <c r="B25320" s="4" t="s">
        <v>31872</v>
      </c>
      <c r="C25320" s="5" t="str">
        <f>IFERROR(__xludf.DUMMYFUNCTION("GOOGLETRANSLATE(B25320,""en"",""de"")"),"Ein Mann und eine Frau hängen an der Tür des Hubschraubers an einem Seil und machen einen Sprung.")</f>
        <v>Ein Mann und eine Frau hängen an der Tür des Hubschraubers an einem Seil und machen einen Sprung.</v>
      </c>
    </row>
    <row r="25321">
      <c r="A25321" s="4" t="s">
        <v>31870</v>
      </c>
      <c r="B25321" s="4" t="s">
        <v>31873</v>
      </c>
      <c r="C25321" s="5" t="str">
        <f>IFERROR(__xludf.DUMMYFUNCTION("GOOGLETRANSLATE(B25321,""en"",""de"")"),"Der Mann und die Frau sind im Land und sprechen mit einem Paar.")</f>
        <v>Der Mann und die Frau sind im Land und sprechen mit einem Paar.</v>
      </c>
    </row>
    <row r="25322">
      <c r="A25322" s="4" t="s">
        <v>31874</v>
      </c>
      <c r="B25322" s="4" t="s">
        <v>31875</v>
      </c>
      <c r="C25322" s="5" t="str">
        <f>IFERROR(__xludf.DUMMYFUNCTION("GOOGLETRANSLATE(B25322,""en"",""de"")"),"Mann vor einem Auto mit offener Kapuze.")</f>
        <v>Mann vor einem Auto mit offener Kapuze.</v>
      </c>
    </row>
    <row r="25323">
      <c r="A25323" s="4" t="s">
        <v>31874</v>
      </c>
      <c r="B25323" s="4" t="s">
        <v>31876</v>
      </c>
      <c r="C25323" s="5" t="str">
        <f>IFERROR(__xludf.DUMMYFUNCTION("GOOGLETRANSLATE(B25323,""en"",""de"")"),"Der Mensch geht durch den Wald und ty, um ein Holzfeuer anzündeten.")</f>
        <v>Der Mensch geht durch den Wald und ty, um ein Holzfeuer anzündeten.</v>
      </c>
    </row>
    <row r="25324">
      <c r="A25324" s="4" t="s">
        <v>31877</v>
      </c>
      <c r="B25324" s="4" t="s">
        <v>31878</v>
      </c>
      <c r="C25324" s="5" t="str">
        <f>IFERROR(__xludf.DUMMYFUNCTION("GOOGLETRANSLATE(B25324,""en"",""de"")"),"Jemand streichelt blaue Farbe auf einen Zaun.")</f>
        <v>Jemand streichelt blaue Farbe auf einen Zaun.</v>
      </c>
    </row>
    <row r="25325">
      <c r="A25325" s="4" t="s">
        <v>31877</v>
      </c>
      <c r="B25325" s="4" t="s">
        <v>31879</v>
      </c>
      <c r="C25325" s="5" t="str">
        <f>IFERROR(__xludf.DUMMYFUNCTION("GOOGLETRANSLATE(B25325,""en"",""de"")"),"Sie steckten den Pinsel erneut in die Farbe, um mehr Farbe zu sammeln.")</f>
        <v>Sie steckten den Pinsel erneut in die Farbe, um mehr Farbe zu sammeln.</v>
      </c>
    </row>
    <row r="25326">
      <c r="A25326" s="4" t="s">
        <v>31877</v>
      </c>
      <c r="B25326" s="4" t="s">
        <v>31880</v>
      </c>
      <c r="C25326" s="5" t="str">
        <f>IFERROR(__xludf.DUMMYFUNCTION("GOOGLETRANSLATE(B25326,""en"",""de"")"),"Dann fahren Sie weiter mit dem Zaun fort.")</f>
        <v>Dann fahren Sie weiter mit dem Zaun fort.</v>
      </c>
    </row>
    <row r="25327">
      <c r="A25327" s="4" t="s">
        <v>31877</v>
      </c>
      <c r="B25327" s="4" t="s">
        <v>31881</v>
      </c>
      <c r="C25327" s="5" t="str">
        <f>IFERROR(__xludf.DUMMYFUNCTION("GOOGLETRANSLATE(B25327,""en"",""de"")"),"Sie tun das mehrmals, um das gesamte Braun abzudecken.")</f>
        <v>Sie tun das mehrmals, um das gesamte Braun abzudecken.</v>
      </c>
    </row>
    <row r="25328">
      <c r="A25328" s="4" t="s">
        <v>31882</v>
      </c>
      <c r="B25328" s="4" t="s">
        <v>31883</v>
      </c>
      <c r="C25328" s="5" t="str">
        <f>IFERROR(__xludf.DUMMYFUNCTION("GOOGLETRANSLATE(B25328,""en"",""de"")"),"Ein Mann steht vor einem Hold -Kind, das eine Pinata hochhält, während andere herumstehen und zuschauen.")</f>
        <v>Ein Mann steht vor einem Hold -Kind, das eine Pinata hochhält, während andere herumstehen und zuschauen.</v>
      </c>
    </row>
    <row r="25329">
      <c r="A25329" s="4" t="s">
        <v>31882</v>
      </c>
      <c r="B25329" s="4" t="s">
        <v>31884</v>
      </c>
      <c r="C25329" s="5" t="str">
        <f>IFERROR(__xludf.DUMMYFUNCTION("GOOGLETRANSLATE(B25329,""en"",""de"")"),"Der blinde gefaltete Junge schwingt dann mehrere Schaukeln am Pinata, während die Kinder herum sitzen und zuschauen.")</f>
        <v>Der blinde gefaltete Junge schwingt dann mehrere Schaukeln am Pinata, während die Kinder herum sitzen und zuschauen.</v>
      </c>
    </row>
    <row r="25330">
      <c r="A25330" s="4" t="s">
        <v>31885</v>
      </c>
      <c r="B25330" s="4" t="s">
        <v>31886</v>
      </c>
      <c r="C25330" s="5" t="str">
        <f>IFERROR(__xludf.DUMMYFUNCTION("GOOGLETRANSLATE(B25330,""en"",""de"")"),"Es gibt eine Frau in einem gelben Tanktop und schwarze Strumpfhosen, die in einem Fitnessstudio ein Sprungseil machen.")</f>
        <v>Es gibt eine Frau in einem gelben Tanktop und schwarze Strumpfhosen, die in einem Fitnessstudio ein Sprungseil machen.</v>
      </c>
    </row>
    <row r="25331">
      <c r="A25331" s="4" t="s">
        <v>31885</v>
      </c>
      <c r="B25331" s="4" t="s">
        <v>31887</v>
      </c>
      <c r="C25331" s="5" t="str">
        <f>IFERROR(__xludf.DUMMYFUNCTION("GOOGLETRANSLATE(B25331,""en"",""de"")"),"Sie springt rhythmisch, ohne auf der Hartholzbodenfläche anzuhalten.")</f>
        <v>Sie springt rhythmisch, ohne auf der Hartholzbodenfläche anzuhalten.</v>
      </c>
    </row>
    <row r="25332">
      <c r="A25332" s="4" t="s">
        <v>31885</v>
      </c>
      <c r="B25332" s="4" t="s">
        <v>31888</v>
      </c>
      <c r="C25332" s="5" t="str">
        <f>IFERROR(__xludf.DUMMYFUNCTION("GOOGLETRANSLATE(B25332,""en"",""de"")"),"Nachdem sie fertig ist, gibt eine Person, die vor ihr steht, ihr einen Daumen hoch und jubelt sie.")</f>
        <v>Nachdem sie fertig ist, gibt eine Person, die vor ihr steht, ihr einen Daumen hoch und jubelt sie.</v>
      </c>
    </row>
    <row r="25333">
      <c r="A25333" s="4" t="s">
        <v>31889</v>
      </c>
      <c r="B25333" s="4" t="s">
        <v>31890</v>
      </c>
      <c r="C25333" s="5" t="str">
        <f>IFERROR(__xludf.DUMMYFUNCTION("GOOGLETRANSLATE(B25333,""en"",""de"")"),"Eine Frau sitzt in einem Raum und redet.")</f>
        <v>Eine Frau sitzt in einem Raum und redet.</v>
      </c>
    </row>
    <row r="25334">
      <c r="A25334" s="4" t="s">
        <v>31889</v>
      </c>
      <c r="B25334" s="4" t="s">
        <v>31891</v>
      </c>
      <c r="C25334" s="5" t="str">
        <f>IFERROR(__xludf.DUMMYFUNCTION("GOOGLETRANSLATE(B25334,""en"",""de"")"),"Hinter ihr ist eine weiße Katze auf dem Bett.")</f>
        <v>Hinter ihr ist eine weiße Katze auf dem Bett.</v>
      </c>
    </row>
    <row r="25335">
      <c r="A25335" s="4" t="s">
        <v>31889</v>
      </c>
      <c r="B25335" s="4" t="s">
        <v>31892</v>
      </c>
      <c r="C25335" s="5" t="str">
        <f>IFERROR(__xludf.DUMMYFUNCTION("GOOGLETRANSLATE(B25335,""en"",""de"")"),"Sie fängt an, ihre Haare zur Seite zu flechten.")</f>
        <v>Sie fängt an, ihre Haare zur Seite zu flechten.</v>
      </c>
    </row>
    <row r="25336">
      <c r="A25336" s="4" t="s">
        <v>31889</v>
      </c>
      <c r="B25336" s="4" t="s">
        <v>31893</v>
      </c>
      <c r="C25336" s="5" t="str">
        <f>IFERROR(__xludf.DUMMYFUNCTION("GOOGLETRANSLATE(B25336,""en"",""de"")"),"Sie redet weiter und bläst einen Kuss in die Kamera.")</f>
        <v>Sie redet weiter und bläst einen Kuss in die Kamera.</v>
      </c>
    </row>
    <row r="25337">
      <c r="A25337" s="4" t="s">
        <v>31894</v>
      </c>
      <c r="B25337" s="4" t="s">
        <v>31895</v>
      </c>
      <c r="C25337" s="5" t="str">
        <f>IFERROR(__xludf.DUMMYFUNCTION("GOOGLETRANSLATE(B25337,""en"",""de"")"),"Eine Frau spricht mit der Kamera und hält einen Pinsel und einen Eimer hoch.")</f>
        <v>Eine Frau spricht mit der Kamera und hält einen Pinsel und einen Eimer hoch.</v>
      </c>
    </row>
    <row r="25338">
      <c r="A25338" s="4" t="s">
        <v>31894</v>
      </c>
      <c r="B25338" s="4" t="s">
        <v>31896</v>
      </c>
      <c r="C25338" s="5" t="str">
        <f>IFERROR(__xludf.DUMMYFUNCTION("GOOGLETRANSLATE(B25338,""en"",""de"")"),"Sie malt ein Möbelstück neben sich und hält gleichzeitig einen Pinsel hoch.")</f>
        <v>Sie malt ein Möbelstück neben sich und hält gleichzeitig einen Pinsel hoch.</v>
      </c>
    </row>
    <row r="25339">
      <c r="A25339" s="4" t="s">
        <v>31894</v>
      </c>
      <c r="B25339" s="4" t="s">
        <v>31897</v>
      </c>
      <c r="C25339" s="5" t="str">
        <f>IFERROR(__xludf.DUMMYFUNCTION("GOOGLETRANSLATE(B25339,""en"",""de"")"),"Sie hält mehr Objekte auf, während sie die Bürsten in sie eintaucht und sie auf den Möbeln verwendet.")</f>
        <v>Sie hält mehr Objekte auf, während sie die Bürsten in sie eintaucht und sie auf den Möbeln verwendet.</v>
      </c>
    </row>
    <row r="25340">
      <c r="A25340" s="4" t="s">
        <v>31898</v>
      </c>
      <c r="B25340" s="4" t="s">
        <v>31899</v>
      </c>
      <c r="C25340" s="5" t="str">
        <f>IFERROR(__xludf.DUMMYFUNCTION("GOOGLETRANSLATE(B25340,""en"",""de"")"),"Eine Frau, die berichtet, spricht mit einer Kamera mit einem ernsthaften Auftreten.")</f>
        <v>Eine Frau, die berichtet, spricht mit einer Kamera mit einem ernsthaften Auftreten.</v>
      </c>
    </row>
    <row r="25341">
      <c r="A25341" s="4" t="s">
        <v>31898</v>
      </c>
      <c r="B25341" s="4" t="s">
        <v>31900</v>
      </c>
      <c r="C25341" s="5" t="str">
        <f>IFERROR(__xludf.DUMMYFUNCTION("GOOGLETRANSLATE(B25341,""en"",""de"")"),"Ein Mann entspannt seine Geige aus der Tasche und spielt ein wenig für die Kamera, während der Reporter kommentiert.")</f>
        <v>Ein Mann entspannt seine Geige aus der Tasche und spielt ein wenig für die Kamera, während der Reporter kommentiert.</v>
      </c>
    </row>
    <row r="25342">
      <c r="A25342" s="4" t="s">
        <v>31898</v>
      </c>
      <c r="B25342" s="4" t="s">
        <v>31901</v>
      </c>
      <c r="C25342" s="5" t="str">
        <f>IFERROR(__xludf.DUMMYFUNCTION("GOOGLETRANSLATE(B25342,""en"",""de"")"),"Er beginnt zu kämpfen, mit seinem Zustand zu spielen, und zeigt eine Operation darüber, wie man ihn repariert.")</f>
        <v>Er beginnt zu kämpfen, mit seinem Zustand zu spielen, und zeigt eine Operation darüber, wie man ihn repariert.</v>
      </c>
    </row>
    <row r="25343">
      <c r="A25343" s="4" t="s">
        <v>31898</v>
      </c>
      <c r="B25343" s="4" t="s">
        <v>31902</v>
      </c>
      <c r="C25343" s="5" t="str">
        <f>IFERROR(__xludf.DUMMYFUNCTION("GOOGLETRANSLATE(B25343,""en"",""de"")"),"Der Reporter behauptet, dass der Mann besser als je zuvor ist und zeigt, dass sein Fortschritt in einer Show eine Geige spielt.")</f>
        <v>Der Reporter behauptet, dass der Mann besser als je zuvor ist und zeigt, dass sein Fortschritt in einer Show eine Geige spielt.</v>
      </c>
    </row>
    <row r="25344">
      <c r="A25344" s="4" t="s">
        <v>31903</v>
      </c>
      <c r="B25344" s="4" t="s">
        <v>31904</v>
      </c>
      <c r="C25344" s="5" t="str">
        <f>IFERROR(__xludf.DUMMYFUNCTION("GOOGLETRANSLATE(B25344,""en"",""de"")"),"Ein Mann steht an der Startlinie und klatscht in die Hände, die Leute schauen zu.")</f>
        <v>Ein Mann steht an der Startlinie und klatscht in die Hände, die Leute schauen zu.</v>
      </c>
    </row>
    <row r="25345">
      <c r="A25345" s="4" t="s">
        <v>31903</v>
      </c>
      <c r="B25345" s="4" t="s">
        <v>31905</v>
      </c>
      <c r="C25345" s="5" t="str">
        <f>IFERROR(__xludf.DUMMYFUNCTION("GOOGLETRANSLATE(B25345,""en"",""de"")"),"Er rennt und macht einen Weitsprung.")</f>
        <v>Er rennt und macht einen Weitsprung.</v>
      </c>
    </row>
    <row r="25346">
      <c r="A25346" s="4" t="s">
        <v>31903</v>
      </c>
      <c r="B25346" s="4" t="s">
        <v>31906</v>
      </c>
      <c r="C25346" s="5" t="str">
        <f>IFERROR(__xludf.DUMMYFUNCTION("GOOGLETRANSLATE(B25346,""en"",""de"")"),"Er begrüßt das große applaudierende Publikum.")</f>
        <v>Er begrüßt das große applaudierende Publikum.</v>
      </c>
    </row>
    <row r="25347">
      <c r="A25347" s="4" t="s">
        <v>31903</v>
      </c>
      <c r="B25347" s="4" t="s">
        <v>31907</v>
      </c>
      <c r="C25347" s="5" t="str">
        <f>IFERROR(__xludf.DUMMYFUNCTION("GOOGLETRANSLATE(B25347,""en"",""de"")"),"Ein anderer Mann wartet auf der Startlinie, bevor er sich in den Weitsprung beschleunigt.")</f>
        <v>Ein anderer Mann wartet auf der Startlinie, bevor er sich in den Weitsprung beschleunigt.</v>
      </c>
    </row>
    <row r="25348">
      <c r="A25348" s="4" t="s">
        <v>31903</v>
      </c>
      <c r="B25348" s="4" t="s">
        <v>31908</v>
      </c>
      <c r="C25348" s="5" t="str">
        <f>IFERROR(__xludf.DUMMYFUNCTION("GOOGLETRANSLATE(B25348,""en"",""de"")"),"Er schaut zu der Menge, die gedämpft ist.")</f>
        <v>Er schaut zu der Menge, die gedämpft ist.</v>
      </c>
    </row>
    <row r="25349">
      <c r="A25349" s="4" t="s">
        <v>31903</v>
      </c>
      <c r="B25349" s="4" t="s">
        <v>31909</v>
      </c>
      <c r="C25349" s="5" t="str">
        <f>IFERROR(__xludf.DUMMYFUNCTION("GOOGLETRANSLATE(B25349,""en"",""de"")"),"Er geht weg und schaut auf den Boden.")</f>
        <v>Er geht weg und schaut auf den Boden.</v>
      </c>
    </row>
    <row r="25350">
      <c r="A25350" s="4" t="s">
        <v>31903</v>
      </c>
      <c r="B25350" s="4" t="s">
        <v>31910</v>
      </c>
      <c r="C25350" s="5" t="str">
        <f>IFERROR(__xludf.DUMMYFUNCTION("GOOGLETRANSLATE(B25350,""en"",""de"")"),"Ein anderer Mann wartet auf der Startlinie, bevor er auf einen Langschloss trifft.")</f>
        <v>Ein anderer Mann wartet auf der Startlinie, bevor er auf einen Langschloss trifft.</v>
      </c>
    </row>
    <row r="25351">
      <c r="A25351" s="4" t="s">
        <v>31903</v>
      </c>
      <c r="B25351" s="4" t="s">
        <v>31911</v>
      </c>
      <c r="C25351" s="5" t="str">
        <f>IFERROR(__xludf.DUMMYFUNCTION("GOOGLETRANSLATE(B25351,""en"",""de"")"),"Er winkt zu der anerkennenden Menge und rennt lächelnd und feiert weg.")</f>
        <v>Er winkt zu der anerkennenden Menge und rennt lächelnd und feiert weg.</v>
      </c>
    </row>
    <row r="25352">
      <c r="A25352" s="4" t="s">
        <v>31912</v>
      </c>
      <c r="B25352" s="4" t="s">
        <v>31913</v>
      </c>
      <c r="C25352" s="5" t="str">
        <f>IFERROR(__xludf.DUMMYFUNCTION("GOOGLETRANSLATE(B25352,""en"",""de"")"),"Eine Person wird gesehen, wie sie mit einer anderen Person auf dem Boden liegt, die von hinten rennt.")</f>
        <v>Eine Person wird gesehen, wie sie mit einer anderen Person auf dem Boden liegt, die von hinten rennt.</v>
      </c>
    </row>
    <row r="25353">
      <c r="A25353" s="4" t="s">
        <v>31912</v>
      </c>
      <c r="B25353" s="4" t="s">
        <v>31914</v>
      </c>
      <c r="C25353" s="5" t="str">
        <f>IFERROR(__xludf.DUMMYFUNCTION("GOOGLETRANSLATE(B25353,""en"",""de"")"),"Die Person, die läuft, fällt dann und andere um sie herum helfen und trinken Wasser.")</f>
        <v>Die Person, die läuft, fällt dann und andere um sie herum helfen und trinken Wasser.</v>
      </c>
    </row>
    <row r="25354">
      <c r="A25354" s="4" t="s">
        <v>31915</v>
      </c>
      <c r="B25354" s="4" t="s">
        <v>31916</v>
      </c>
      <c r="C25354" s="5" t="str">
        <f>IFERROR(__xludf.DUMMYFUNCTION("GOOGLETRANSLATE(B25354,""en"",""de"")"),"Die Spieler spielen Lacrosse in einer Hockey -Arena.")</f>
        <v>Die Spieler spielen Lacrosse in einer Hockey -Arena.</v>
      </c>
    </row>
    <row r="25355">
      <c r="A25355" s="4" t="s">
        <v>31915</v>
      </c>
      <c r="B25355" s="4" t="s">
        <v>31917</v>
      </c>
      <c r="C25355" s="5" t="str">
        <f>IFERROR(__xludf.DUMMYFUNCTION("GOOGLETRANSLATE(B25355,""en"",""de"")"),"Die Spieler verlässt die Arena.")</f>
        <v>Die Spieler verlässt die Arena.</v>
      </c>
    </row>
    <row r="25356">
      <c r="A25356" s="4" t="s">
        <v>31915</v>
      </c>
      <c r="B25356" s="4" t="s">
        <v>31918</v>
      </c>
      <c r="C25356" s="5" t="str">
        <f>IFERROR(__xludf.DUMMYFUNCTION("GOOGLETRANSLATE(B25356,""en"",""de"")"),"Ein Spieler des grünen Teams läuft auf das klare Fenster zu.")</f>
        <v>Ein Spieler des grünen Teams läuft auf das klare Fenster zu.</v>
      </c>
    </row>
    <row r="25357">
      <c r="A25357" s="4" t="s">
        <v>31919</v>
      </c>
      <c r="B25357" s="4" t="s">
        <v>31920</v>
      </c>
      <c r="C25357" s="5" t="str">
        <f>IFERROR(__xludf.DUMMYFUNCTION("GOOGLETRANSLATE(B25357,""en"",""de"")"),"Eine Kamera schwenkt um einen McDonalds und führt zu einem Mann, der mit einem Kassierer spricht.")</f>
        <v>Eine Kamera schwenkt um einen McDonalds und führt zu einem Mann, der mit einem Kassierer spricht.</v>
      </c>
    </row>
    <row r="25358">
      <c r="A25358" s="4" t="s">
        <v>31919</v>
      </c>
      <c r="B25358" s="4" t="s">
        <v>31921</v>
      </c>
      <c r="C25358" s="5" t="str">
        <f>IFERROR(__xludf.DUMMYFUNCTION("GOOGLETRANSLATE(B25358,""en"",""de"")"),"Anschließend werden mehrere Aufnahmen von Menschen gezeigt, die mit Mitarbeitern Rockpapierscheren spielen.")</f>
        <v>Anschließend werden mehrere Aufnahmen von Menschen gezeigt, die mit Mitarbeitern Rockpapierscheren spielen.</v>
      </c>
    </row>
    <row r="25359">
      <c r="A25359" s="4" t="s">
        <v>31919</v>
      </c>
      <c r="B25359" s="4" t="s">
        <v>31922</v>
      </c>
      <c r="C25359" s="5" t="str">
        <f>IFERROR(__xludf.DUMMYFUNCTION("GOOGLETRANSLATE(B25359,""en"",""de"")"),"Wenn die Leute das Spiel gewinnen, bekommen sie ein kostenloses Eis.")</f>
        <v>Wenn die Leute das Spiel gewinnen, bekommen sie ein kostenloses Eis.</v>
      </c>
    </row>
    <row r="25360">
      <c r="A25360" s="4" t="s">
        <v>31923</v>
      </c>
      <c r="B25360" s="4" t="s">
        <v>31924</v>
      </c>
      <c r="C25360" s="5" t="str">
        <f>IFERROR(__xludf.DUMMYFUNCTION("GOOGLETRANSLATE(B25360,""en"",""de"")"),"Ein Kühlschrank wird mit zwei Personen geöffnet, die sich auf ein Stück Käse greifen.")</f>
        <v>Ein Kühlschrank wird mit zwei Personen geöffnet, die sich auf ein Stück Käse greifen.</v>
      </c>
    </row>
    <row r="25361">
      <c r="A25361" s="4" t="s">
        <v>31923</v>
      </c>
      <c r="B25361" s="4" t="s">
        <v>31925</v>
      </c>
      <c r="C25361" s="5" t="str">
        <f>IFERROR(__xludf.DUMMYFUNCTION("GOOGLETRANSLATE(B25361,""en"",""de"")"),"Die beiden Männer kämpfen dann und spielen dann ein Spiel mit Rockpapierschere.")</f>
        <v>Die beiden Männer kämpfen dann und spielen dann ein Spiel mit Rockpapierschere.</v>
      </c>
    </row>
    <row r="25362">
      <c r="A25362" s="4" t="s">
        <v>31923</v>
      </c>
      <c r="B25362" s="4" t="s">
        <v>31926</v>
      </c>
      <c r="C25362" s="5" t="str">
        <f>IFERROR(__xludf.DUMMYFUNCTION("GOOGLETRANSLATE(B25362,""en"",""de"")"),"Sie verwenden verschiedene Werkzeuge und Objekte, um ebenso wie kleinere Versionen von sich selbst zu spielen, die weiterhin rückwärts schwingen.")</f>
        <v>Sie verwenden verschiedene Werkzeuge und Objekte, um ebenso wie kleinere Versionen von sich selbst zu spielen, die weiterhin rückwärts schwingen.</v>
      </c>
    </row>
    <row r="25363">
      <c r="A25363" s="4" t="s">
        <v>31927</v>
      </c>
      <c r="B25363" s="4" t="s">
        <v>31928</v>
      </c>
      <c r="C25363" s="5" t="str">
        <f>IFERROR(__xludf.DUMMYFUNCTION("GOOGLETRANSLATE(B25363,""en"",""de"")"),"Wir sehen einen Öffnungsbildschirm dann eine sitzende Frau.")</f>
        <v>Wir sehen einen Öffnungsbildschirm dann eine sitzende Frau.</v>
      </c>
    </row>
    <row r="25364">
      <c r="A25364" s="4" t="s">
        <v>31927</v>
      </c>
      <c r="B25364" s="4" t="s">
        <v>31929</v>
      </c>
      <c r="C25364" s="5" t="str">
        <f>IFERROR(__xludf.DUMMYFUNCTION("GOOGLETRANSLATE(B25364,""en"",""de"")"),"Wir sehen eine Person, die die damen langen Haare mit einem Niveau schneidet.")</f>
        <v>Wir sehen eine Person, die die damen langen Haare mit einem Niveau schneidet.</v>
      </c>
    </row>
    <row r="25365">
      <c r="A25365" s="4" t="s">
        <v>31927</v>
      </c>
      <c r="B25365" s="4" t="s">
        <v>31930</v>
      </c>
      <c r="C25365" s="5" t="str">
        <f>IFERROR(__xludf.DUMMYFUNCTION("GOOGLETRANSLATE(B25365,""en"",""de"")"),"Die Person streift dann ihr stumpfes Haar.")</f>
        <v>Die Person streift dann ihr stumpfes Haar.</v>
      </c>
    </row>
    <row r="25366">
      <c r="A25366" s="4" t="s">
        <v>31927</v>
      </c>
      <c r="B25366" s="4" t="s">
        <v>31931</v>
      </c>
      <c r="C25366" s="5" t="str">
        <f>IFERROR(__xludf.DUMMYFUNCTION("GOOGLETRANSLATE(B25366,""en"",""de"")"),"Die Dame dreht sich um und lächelt.")</f>
        <v>Die Dame dreht sich um und lächelt.</v>
      </c>
    </row>
    <row r="25367">
      <c r="A25367" s="4" t="s">
        <v>31927</v>
      </c>
      <c r="B25367" s="4" t="s">
        <v>31932</v>
      </c>
      <c r="C25367" s="5" t="str">
        <f>IFERROR(__xludf.DUMMYFUNCTION("GOOGLETRANSLATE(B25367,""en"",""de"")"),"Wir sehen vor und nach.")</f>
        <v>Wir sehen vor und nach.</v>
      </c>
    </row>
    <row r="25368">
      <c r="A25368" s="4" t="s">
        <v>31927</v>
      </c>
      <c r="B25368" s="4" t="s">
        <v>31933</v>
      </c>
      <c r="C25368" s="5" t="str">
        <f>IFERROR(__xludf.DUMMYFUNCTION("GOOGLETRANSLATE(B25368,""en"",""de"")"),"Wir sehen dann Szenen von Menschen, die das Tool verwenden.")</f>
        <v>Wir sehen dann Szenen von Menschen, die das Tool verwenden.</v>
      </c>
    </row>
    <row r="25369">
      <c r="A25369" s="4" t="s">
        <v>31927</v>
      </c>
      <c r="B25369" s="4" t="s">
        <v>31934</v>
      </c>
      <c r="C25369" s="5" t="str">
        <f>IFERROR(__xludf.DUMMYFUNCTION("GOOGLETRANSLATE(B25369,""en"",""de"")"),"Wir sehen das Werkzeug in Weiß und Blau.")</f>
        <v>Wir sehen das Werkzeug in Weiß und Blau.</v>
      </c>
    </row>
    <row r="25370">
      <c r="A25370" s="4" t="s">
        <v>31927</v>
      </c>
      <c r="B25370" s="4" t="s">
        <v>31935</v>
      </c>
      <c r="C25370" s="5" t="str">
        <f>IFERROR(__xludf.DUMMYFUNCTION("GOOGLETRANSLATE(B25370,""en"",""de"")"),"Der Abschlussbildschirm ist zu sehen.")</f>
        <v>Der Abschlussbildschirm ist zu sehen.</v>
      </c>
    </row>
    <row r="25371">
      <c r="A25371" s="4" t="s">
        <v>31936</v>
      </c>
      <c r="B25371" s="4" t="s">
        <v>31937</v>
      </c>
      <c r="C25371" s="5" t="str">
        <f>IFERROR(__xludf.DUMMYFUNCTION("GOOGLETRANSLATE(B25371,""en"",""de"")"),"Eine Gruppe von Schwimmern befindet sich in einem Tauchbrett.")</f>
        <v>Eine Gruppe von Schwimmern befindet sich in einem Tauchbrett.</v>
      </c>
    </row>
    <row r="25372">
      <c r="A25372" s="4" t="s">
        <v>31936</v>
      </c>
      <c r="B25372" s="4" t="s">
        <v>31938</v>
      </c>
      <c r="C25372" s="5" t="str">
        <f>IFERROR(__xludf.DUMMYFUNCTION("GOOGLETRANSLATE(B25372,""en"",""de"")"),"Ein Mann fällt sehr plötzlich vom Brett.")</f>
        <v>Ein Mann fällt sehr plötzlich vom Brett.</v>
      </c>
    </row>
    <row r="25373">
      <c r="A25373" s="4" t="s">
        <v>31936</v>
      </c>
      <c r="B25373" s="4" t="s">
        <v>31939</v>
      </c>
      <c r="C25373" s="5" t="str">
        <f>IFERROR(__xludf.DUMMYFUNCTION("GOOGLETRANSLATE(B25373,""en"",""de"")"),"Er trifft andere Ebenen auf dem Weg ins Wasser.")</f>
        <v>Er trifft andere Ebenen auf dem Weg ins Wasser.</v>
      </c>
    </row>
    <row r="25374">
      <c r="A25374" s="4" t="s">
        <v>31940</v>
      </c>
      <c r="B25374" s="4" t="s">
        <v>31941</v>
      </c>
      <c r="C25374" s="5" t="str">
        <f>IFERROR(__xludf.DUMMYFUNCTION("GOOGLETRANSLATE(B25374,""en"",""de"")"),"Eine Frau macht etwas Bewegung auf einer Maschine.")</f>
        <v>Eine Frau macht etwas Bewegung auf einer Maschine.</v>
      </c>
    </row>
    <row r="25375">
      <c r="A25375" s="4" t="s">
        <v>31940</v>
      </c>
      <c r="B25375" s="4" t="s">
        <v>31942</v>
      </c>
      <c r="C25375" s="5" t="str">
        <f>IFERROR(__xludf.DUMMYFUNCTION("GOOGLETRANSLATE(B25375,""en"",""de"")"),"Sie geht mit einer ziemlich schnellen Geschwindigkeit, Sie können sehen, wie sie aussteigt und dann wieder wieder auftritt.")</f>
        <v>Sie geht mit einer ziemlich schnellen Geschwindigkeit, Sie können sehen, wie sie aussteigt und dann wieder wieder auftritt.</v>
      </c>
    </row>
    <row r="25376">
      <c r="A25376" s="4" t="s">
        <v>31940</v>
      </c>
      <c r="B25376" s="4" t="s">
        <v>31943</v>
      </c>
      <c r="C25376" s="5" t="str">
        <f>IFERROR(__xludf.DUMMYFUNCTION("GOOGLETRANSLATE(B25376,""en"",""de"")"),"Sie legt ihre Hände um ein Stück und ermöglicht es ihr, ihren Schritt und Geschwindigkeit sowie ihren Herzschlag und so.")</f>
        <v>Sie legt ihre Hände um ein Stück und ermöglicht es ihr, ihren Schritt und Geschwindigkeit sowie ihren Herzschlag und so.</v>
      </c>
    </row>
    <row r="25377">
      <c r="A25377" s="4" t="s">
        <v>31940</v>
      </c>
      <c r="B25377" s="4" t="s">
        <v>31944</v>
      </c>
      <c r="C25377" s="5" t="str">
        <f>IFERROR(__xludf.DUMMYFUNCTION("GOOGLETRANSLATE(B25377,""en"",""de"")"),"Sie ändert ihre Geschwindigkeit und trinkt etwas Wasser und geht weiter.")</f>
        <v>Sie ändert ihre Geschwindigkeit und trinkt etwas Wasser und geht weiter.</v>
      </c>
    </row>
    <row r="25378">
      <c r="A25378" s="4" t="s">
        <v>31945</v>
      </c>
      <c r="B25378" s="4" t="s">
        <v>31946</v>
      </c>
      <c r="C25378" s="5" t="str">
        <f>IFERROR(__xludf.DUMMYFUNCTION("GOOGLETRANSLATE(B25378,""en"",""de"")"),"Eine rostige Kugel wird gezeigt, die eine Art von Mann rollt, die Rampe gemacht hat.")</f>
        <v>Eine rostige Kugel wird gezeigt, die eine Art von Mann rollt, die Rampe gemacht hat.</v>
      </c>
    </row>
    <row r="25379">
      <c r="A25379" s="4" t="s">
        <v>31945</v>
      </c>
      <c r="B25379" s="4" t="s">
        <v>31947</v>
      </c>
      <c r="C25379" s="5" t="str">
        <f>IFERROR(__xludf.DUMMYFUNCTION("GOOGLETRANSLATE(B25379,""en"",""de"")"),"Mehrere olympische Athleten werden dann gezeigt, wie er den Schuss am Hals an den Hals legt, ihn wirft und die Entfernung gemessen wird.")</f>
        <v>Mehrere olympische Athleten werden dann gezeigt, wie er den Schuss am Hals an den Hals legt, ihn wirft und die Entfernung gemessen wird.</v>
      </c>
    </row>
    <row r="25380">
      <c r="A25380" s="4" t="s">
        <v>31945</v>
      </c>
      <c r="B25380" s="4" t="s">
        <v>31948</v>
      </c>
      <c r="C25380" s="5" t="str">
        <f>IFERROR(__xludf.DUMMYFUNCTION("GOOGLETRANSLATE(B25380,""en"",""de"")"),"Endlich wird eine schwarze Anzeigetafel gezeigt und sie beginnen, dem Gewinner die Medaille zu geben und die Flagge des Landes zu zeigen, die die Person vertritt.")</f>
        <v>Endlich wird eine schwarze Anzeigetafel gezeigt und sie beginnen, dem Gewinner die Medaille zu geben und die Flagge des Landes zu zeigen, die die Person vertritt.</v>
      </c>
    </row>
    <row r="25381">
      <c r="A25381" s="4" t="s">
        <v>31949</v>
      </c>
      <c r="B25381" s="4" t="s">
        <v>31950</v>
      </c>
      <c r="C25381" s="5" t="str">
        <f>IFERROR(__xludf.DUMMYFUNCTION("GOOGLETRANSLATE(B25381,""en"",""de"")"),"Eine Frau in einem Labormantel befindet sich in einem Krankenhausaufwachraum.")</f>
        <v>Eine Frau in einem Labormantel befindet sich in einem Krankenhausaufwachraum.</v>
      </c>
    </row>
    <row r="25382">
      <c r="A25382" s="4" t="s">
        <v>31949</v>
      </c>
      <c r="B25382" s="4" t="s">
        <v>31951</v>
      </c>
      <c r="C25382" s="5" t="str">
        <f>IFERROR(__xludf.DUMMYFUNCTION("GOOGLETRANSLATE(B25382,""en"",""de"")"),"Sie senkt ihre Hände gut mit Seife.")</f>
        <v>Sie senkt ihre Hände gut mit Seife.</v>
      </c>
    </row>
    <row r="25383">
      <c r="A25383" s="4" t="s">
        <v>31949</v>
      </c>
      <c r="B25383" s="4" t="s">
        <v>31952</v>
      </c>
      <c r="C25383" s="5" t="str">
        <f>IFERROR(__xludf.DUMMYFUNCTION("GOOGLETRANSLATE(B25383,""en"",""de"")"),"Sie spült dann und trocknet sie gründlich.")</f>
        <v>Sie spült dann und trocknet sie gründlich.</v>
      </c>
    </row>
    <row r="25384">
      <c r="A25384" s="4" t="s">
        <v>31953</v>
      </c>
      <c r="B25384" s="4" t="s">
        <v>31954</v>
      </c>
      <c r="C25384" s="5" t="str">
        <f>IFERROR(__xludf.DUMMYFUNCTION("GOOGLETRANSLATE(B25384,""en"",""de"")"),"Ein Mann zieht einen Stiefel auf seinen Fuß, der in einem Stuhl im Inneren sitzt.")</f>
        <v>Ein Mann zieht einen Stiefel auf seinen Fuß, der in einem Stuhl im Inneren sitzt.</v>
      </c>
    </row>
    <row r="25385">
      <c r="A25385" s="4" t="s">
        <v>31953</v>
      </c>
      <c r="B25385" s="4" t="s">
        <v>31955</v>
      </c>
      <c r="C25385" s="5" t="str">
        <f>IFERROR(__xludf.DUMMYFUNCTION("GOOGLETRANSLATE(B25385,""en"",""de"")"),"Der Mann befestigt die Gurte am Boot.")</f>
        <v>Der Mann befestigt die Gurte am Boot.</v>
      </c>
    </row>
    <row r="25386">
      <c r="A25386" s="4" t="s">
        <v>31953</v>
      </c>
      <c r="B25386" s="4" t="s">
        <v>31956</v>
      </c>
      <c r="C25386" s="5" t="str">
        <f>IFERROR(__xludf.DUMMYFUNCTION("GOOGLETRANSLATE(B25386,""en"",""de"")"),"Eine Person zeigt dem Mann, wie man die Gurte am Stiefel befestigt.")</f>
        <v>Eine Person zeigt dem Mann, wie man die Gurte am Stiefel befestigt.</v>
      </c>
    </row>
    <row r="25387">
      <c r="A25387" s="4" t="s">
        <v>31953</v>
      </c>
      <c r="B25387" s="4" t="s">
        <v>31957</v>
      </c>
      <c r="C25387" s="5" t="str">
        <f>IFERROR(__xludf.DUMMYFUNCTION("GOOGLETRANSLATE(B25387,""en"",""de"")"),"Der Mann zittert, während er versucht, die Schuhe anzuziehen.")</f>
        <v>Der Mann zittert, während er versucht, die Schuhe anzuziehen.</v>
      </c>
    </row>
    <row r="25388">
      <c r="A25388" s="4" t="s">
        <v>31958</v>
      </c>
      <c r="B25388" s="4" t="s">
        <v>31959</v>
      </c>
      <c r="C25388" s="5" t="str">
        <f>IFERROR(__xludf.DUMMYFUNCTION("GOOGLETRANSLATE(B25388,""en"",""de"")"),"Ein älterer Mann spricht mit der Kamera, während er einen Tennisball und einen Schläger in der Hand hält.")</f>
        <v>Ein älterer Mann spricht mit der Kamera, während er einen Tennisball und einen Schläger in der Hand hält.</v>
      </c>
    </row>
    <row r="25389">
      <c r="A25389" s="4" t="s">
        <v>31958</v>
      </c>
      <c r="B25389" s="4" t="s">
        <v>31960</v>
      </c>
      <c r="C25389" s="5" t="str">
        <f>IFERROR(__xludf.DUMMYFUNCTION("GOOGLETRANSLATE(B25389,""en"",""de"")"),"Er bewegt den Schläger und den Ball hoch, um zu demonstrieren, wie man den Ball richtig serviert, gefolgt von ihm, der den Ball in Zeitlupe tatsächlich serviert.")</f>
        <v>Er bewegt den Schläger und den Ball hoch, um zu demonstrieren, wie man den Ball richtig serviert, gefolgt von ihm, der den Ball in Zeitlupe tatsächlich serviert.</v>
      </c>
    </row>
    <row r="25390">
      <c r="A25390" s="4" t="s">
        <v>31958</v>
      </c>
      <c r="B25390" s="4" t="s">
        <v>31961</v>
      </c>
      <c r="C25390" s="5" t="str">
        <f>IFERROR(__xludf.DUMMYFUNCTION("GOOGLETRANSLATE(B25390,""en"",""de"")"),"Die gleiche Aufnahme wird noch einmal gezeigt, um zu demonstrieren, wie dieser Aufschlag richtig ausführt.")</f>
        <v>Die gleiche Aufnahme wird noch einmal gezeigt, um zu demonstrieren, wie dieser Aufschlag richtig ausführt.</v>
      </c>
    </row>
    <row r="25391">
      <c r="A25391" s="4" t="s">
        <v>31962</v>
      </c>
      <c r="B25391" s="4" t="s">
        <v>31963</v>
      </c>
      <c r="C25391" s="5" t="str">
        <f>IFERROR(__xludf.DUMMYFUNCTION("GOOGLETRANSLATE(B25391,""en"",""de"")"),"Ein Indoor -BMX -Bike -Rennen findet statt.")</f>
        <v>Ein Indoor -BMX -Bike -Rennen findet statt.</v>
      </c>
    </row>
    <row r="25392">
      <c r="A25392" s="4" t="s">
        <v>31962</v>
      </c>
      <c r="B25392" s="4" t="s">
        <v>31964</v>
      </c>
      <c r="C25392" s="5" t="str">
        <f>IFERROR(__xludf.DUMMYFUNCTION("GOOGLETRANSLATE(B25392,""en"",""de"")"),"Nach dem Start gehen alle so schnell wie möglich um die Strecke.")</f>
        <v>Nach dem Start gehen alle so schnell wie möglich um die Strecke.</v>
      </c>
    </row>
    <row r="25393">
      <c r="A25393" s="4" t="s">
        <v>31965</v>
      </c>
      <c r="B25393" s="4" t="s">
        <v>31966</v>
      </c>
      <c r="C25393" s="5" t="str">
        <f>IFERROR(__xludf.DUMMYFUNCTION("GOOGLETRANSLATE(B25393,""en"",""de"")"),"Mann in lila spricht mit der Kamera.")</f>
        <v>Mann in lila spricht mit der Kamera.</v>
      </c>
    </row>
    <row r="25394">
      <c r="A25394" s="4" t="s">
        <v>31965</v>
      </c>
      <c r="B25394" s="4" t="s">
        <v>31967</v>
      </c>
      <c r="C25394" s="5" t="str">
        <f>IFERROR(__xludf.DUMMYFUNCTION("GOOGLETRANSLATE(B25394,""en"",""de"")"),"Mann in lila geht in langsamen Schritten vorwärts.")</f>
        <v>Mann in lila geht in langsamen Schritten vorwärts.</v>
      </c>
    </row>
    <row r="25395">
      <c r="A25395" s="4" t="s">
        <v>31965</v>
      </c>
      <c r="B25395" s="4" t="s">
        <v>31968</v>
      </c>
      <c r="C25395" s="5" t="str">
        <f>IFERROR(__xludf.DUMMYFUNCTION("GOOGLETRANSLATE(B25395,""en"",""de"")"),"Mann in Grey zeigt, wie man geht.")</f>
        <v>Mann in Grey zeigt, wie man geht.</v>
      </c>
    </row>
    <row r="25396">
      <c r="A25396" s="4" t="s">
        <v>31965</v>
      </c>
      <c r="B25396" s="4" t="s">
        <v>31969</v>
      </c>
      <c r="C25396" s="5" t="str">
        <f>IFERROR(__xludf.DUMMYFUNCTION("GOOGLETRANSLATE(B25396,""en"",""de"")"),"Mann in Grey zeigt verschiedene Sprünge.")</f>
        <v>Mann in Grey zeigt verschiedene Sprünge.</v>
      </c>
    </row>
    <row r="25397">
      <c r="A25397" s="4" t="s">
        <v>31970</v>
      </c>
      <c r="B25397" s="4" t="s">
        <v>31971</v>
      </c>
      <c r="C25397" s="5" t="str">
        <f>IFERROR(__xludf.DUMMYFUNCTION("GOOGLETRANSLATE(B25397,""en"",""de"")"),"Eine Nahaufnahme einer Erdbeere wird gezeigt.")</f>
        <v>Eine Nahaufnahme einer Erdbeere wird gezeigt.</v>
      </c>
    </row>
    <row r="25398">
      <c r="A25398" s="4" t="s">
        <v>31970</v>
      </c>
      <c r="B25398" s="4" t="s">
        <v>31972</v>
      </c>
      <c r="C25398" s="5" t="str">
        <f>IFERROR(__xludf.DUMMYFUNCTION("GOOGLETRANSLATE(B25398,""en"",""de"")"),"Eine Frau spricht mit einer Reihe von Aquarellen.")</f>
        <v>Eine Frau spricht mit einer Reihe von Aquarellen.</v>
      </c>
    </row>
    <row r="25399">
      <c r="A25399" s="4" t="s">
        <v>31970</v>
      </c>
      <c r="B25399" s="4" t="s">
        <v>31973</v>
      </c>
      <c r="C25399" s="5" t="str">
        <f>IFERROR(__xludf.DUMMYFUNCTION("GOOGLETRANSLATE(B25399,""en"",""de"")"),"Sie zeigt, wie man die Aquarelle verwendet, um Kunst auf einer Leinwand zu schaffen.")</f>
        <v>Sie zeigt, wie man die Aquarelle verwendet, um Kunst auf einer Leinwand zu schaffen.</v>
      </c>
    </row>
    <row r="25400">
      <c r="A25400" s="4" t="s">
        <v>31974</v>
      </c>
      <c r="B25400" s="4" t="s">
        <v>31975</v>
      </c>
      <c r="C25400" s="5" t="str">
        <f>IFERROR(__xludf.DUMMYFUNCTION("GOOGLETRANSLATE(B25400,""en"",""de"")"),"Es gibt eine Frau in einem rosa Hemd und schwarzen Shorts, die einen Hund auf einem großen offenen Rasen trainieren.")</f>
        <v>Es gibt eine Frau in einem rosa Hemd und schwarzen Shorts, die einen Hund auf einem großen offenen Rasen trainieren.</v>
      </c>
    </row>
    <row r="25401">
      <c r="A25401" s="4" t="s">
        <v>31974</v>
      </c>
      <c r="B25401" s="4" t="s">
        <v>31976</v>
      </c>
      <c r="C25401" s="5" t="str">
        <f>IFERROR(__xludf.DUMMYFUNCTION("GOOGLETRANSLATE(B25401,""en"",""de"")"),"Sie wirft pinkfarbene Frisbee -Discs, damit der Hund rennt und holt.")</f>
        <v>Sie wirft pinkfarbene Frisbee -Discs, damit der Hund rennt und holt.</v>
      </c>
    </row>
    <row r="25402">
      <c r="A25402" s="4" t="s">
        <v>31974</v>
      </c>
      <c r="B25402" s="4" t="s">
        <v>31977</v>
      </c>
      <c r="C25402" s="5" t="str">
        <f>IFERROR(__xludf.DUMMYFUNCTION("GOOGLETRANSLATE(B25402,""en"",""de"")"),"Jedes Mal, wenn sie die Scheibe wirft, wird der Hund aufgeregt und rennt und holt die Scheibe für sie.")</f>
        <v>Jedes Mal, wenn sie die Scheibe wirft, wird der Hund aufgeregt und rennt und holt die Scheibe für sie.</v>
      </c>
    </row>
    <row r="25403">
      <c r="A25403" s="4" t="s">
        <v>31974</v>
      </c>
      <c r="B25403" s="4" t="s">
        <v>31978</v>
      </c>
      <c r="C25403" s="5" t="str">
        <f>IFERROR(__xludf.DUMMYFUNCTION("GOOGLETRANSLATE(B25403,""en"",""de"")"),"Der Hund ist gut ausgebildet, um die Scheibe fast jedes Mal in seinem Mund zu fangen, ohne sie zu verpassen.")</f>
        <v>Der Hund ist gut ausgebildet, um die Scheibe fast jedes Mal in seinem Mund zu fangen, ohne sie zu verpassen.</v>
      </c>
    </row>
    <row r="25404">
      <c r="A25404" s="4" t="s">
        <v>31974</v>
      </c>
      <c r="B25404" s="4" t="s">
        <v>31979</v>
      </c>
      <c r="C25404" s="5" t="str">
        <f>IFERROR(__xludf.DUMMYFUNCTION("GOOGLETRANSLATE(B25404,""en"",""de"")"),"Es gibt nur wenige Menschen, die den Trainer und den Hund beobachten.")</f>
        <v>Es gibt nur wenige Menschen, die den Trainer und den Hund beobachten.</v>
      </c>
    </row>
    <row r="25405">
      <c r="A25405" s="4" t="s">
        <v>31980</v>
      </c>
      <c r="B25405" s="4" t="s">
        <v>31981</v>
      </c>
      <c r="C25405" s="5" t="str">
        <f>IFERROR(__xludf.DUMMYFUNCTION("GOOGLETRANSLATE(B25405,""en"",""de"")"),"Ein Emblem erscheint auf dem Bildschirm.")</f>
        <v>Ein Emblem erscheint auf dem Bildschirm.</v>
      </c>
    </row>
    <row r="25406">
      <c r="A25406" s="4" t="s">
        <v>31980</v>
      </c>
      <c r="B25406" s="4" t="s">
        <v>31982</v>
      </c>
      <c r="C25406" s="5" t="str">
        <f>IFERROR(__xludf.DUMMYFUNCTION("GOOGLETRANSLATE(B25406,""en"",""de"")"),"Zwischen den Wolken ist ein Blick auf die Sonne zu sehen.")</f>
        <v>Zwischen den Wolken ist ein Blick auf die Sonne zu sehen.</v>
      </c>
    </row>
    <row r="25407">
      <c r="A25407" s="4" t="s">
        <v>31980</v>
      </c>
      <c r="B25407" s="4" t="s">
        <v>31983</v>
      </c>
      <c r="C25407" s="5" t="str">
        <f>IFERROR(__xludf.DUMMYFUNCTION("GOOGLETRANSLATE(B25407,""en"",""de"")"),"Eine Frau geht zu einem Jungen, der seine Hose niederlässt und sich vor einem Eimer hockt.")</f>
        <v>Eine Frau geht zu einem Jungen, der seine Hose niederlässt und sich vor einem Eimer hockt.</v>
      </c>
    </row>
    <row r="25408">
      <c r="A25408" s="4" t="s">
        <v>31980</v>
      </c>
      <c r="B25408" s="4" t="s">
        <v>31984</v>
      </c>
      <c r="C25408" s="5" t="str">
        <f>IFERROR(__xludf.DUMMYFUNCTION("GOOGLETRANSLATE(B25408,""en"",""de"")"),"Sie schreit ihn an und zieht ihn weg.")</f>
        <v>Sie schreit ihn an und zieht ihn weg.</v>
      </c>
    </row>
    <row r="25409">
      <c r="A25409" s="4" t="s">
        <v>31980</v>
      </c>
      <c r="B25409" s="4" t="s">
        <v>31985</v>
      </c>
      <c r="C25409" s="5" t="str">
        <f>IFERROR(__xludf.DUMMYFUNCTION("GOOGLETRANSLATE(B25409,""en"",""de"")"),"Sie zeigt ihm, wie man seine Hände mit Seife schädigt.")</f>
        <v>Sie zeigt ihm, wie man seine Hände mit Seife schädigt.</v>
      </c>
    </row>
    <row r="25410">
      <c r="A25410" s="4" t="s">
        <v>31980</v>
      </c>
      <c r="B25410" s="4" t="s">
        <v>31986</v>
      </c>
      <c r="C25410" s="5" t="str">
        <f>IFERROR(__xludf.DUMMYFUNCTION("GOOGLETRANSLATE(B25410,""en"",""de"")"),"Dann spricht die Gruppe versammelter Frauen, wie der Junge zusieht und zuhört.")</f>
        <v>Dann spricht die Gruppe versammelter Frauen, wie der Junge zusieht und zuhört.</v>
      </c>
    </row>
    <row r="25411">
      <c r="A25411" s="4" t="s">
        <v>31980</v>
      </c>
      <c r="B25411" s="4" t="s">
        <v>31987</v>
      </c>
      <c r="C25411" s="5" t="str">
        <f>IFERROR(__xludf.DUMMYFUNCTION("GOOGLETRANSLATE(B25411,""en"",""de"")"),"Die Frauen sehen traurig aus, als sie weggeht.")</f>
        <v>Die Frauen sehen traurig aus, als sie weggeht.</v>
      </c>
    </row>
    <row r="25412">
      <c r="A25412" s="4" t="s">
        <v>31980</v>
      </c>
      <c r="B25412" s="4" t="s">
        <v>31988</v>
      </c>
      <c r="C25412" s="5" t="str">
        <f>IFERROR(__xludf.DUMMYFUNCTION("GOOGLETRANSLATE(B25412,""en"",""de"")"),"Ein Junge und eine Frau gehen auf, um mit einer anderen Frau zu sprechen, und sie sieht verärgert aus.")</f>
        <v>Ein Junge und eine Frau gehen auf, um mit einer anderen Frau zu sprechen, und sie sieht verärgert aus.</v>
      </c>
    </row>
    <row r="25413">
      <c r="A25413" s="4" t="s">
        <v>31980</v>
      </c>
      <c r="B25413" s="4" t="s">
        <v>31989</v>
      </c>
      <c r="C25413" s="5" t="str">
        <f>IFERROR(__xludf.DUMMYFUNCTION("GOOGLETRANSLATE(B25413,""en"",""de"")"),"Ein Arzt wird gezeigt, wie es den Frauen über schmutzige Hände spricht.")</f>
        <v>Ein Arzt wird gezeigt, wie es den Frauen über schmutzige Hände spricht.</v>
      </c>
    </row>
    <row r="25414">
      <c r="A25414" s="4" t="s">
        <v>31980</v>
      </c>
      <c r="B25414" s="4" t="s">
        <v>31990</v>
      </c>
      <c r="C25414" s="5" t="str">
        <f>IFERROR(__xludf.DUMMYFUNCTION("GOOGLETRANSLATE(B25414,""en"",""de"")"),"Sie werden dann draußen gezeigt, ihre Hände waschen und den Jungen ärgern, wenn sie zeigen, wie nicht schmutzig ist.")</f>
        <v>Sie werden dann draußen gezeigt, ihre Hände waschen und den Jungen ärgern, wenn sie zeigen, wie nicht schmutzig ist.</v>
      </c>
    </row>
    <row r="25415">
      <c r="A25415" s="4" t="s">
        <v>31980</v>
      </c>
      <c r="B25415" s="4" t="s">
        <v>31991</v>
      </c>
      <c r="C25415" s="5" t="str">
        <f>IFERROR(__xludf.DUMMYFUNCTION("GOOGLETRANSLATE(B25415,""en"",""de"")"),"Die Gruppe springt zum Feiern in die Luft.")</f>
        <v>Die Gruppe springt zum Feiern in die Luft.</v>
      </c>
    </row>
    <row r="25416">
      <c r="A25416" s="4" t="s">
        <v>31992</v>
      </c>
      <c r="B25416" s="4" t="s">
        <v>31993</v>
      </c>
      <c r="C25416" s="5" t="str">
        <f>IFERROR(__xludf.DUMMYFUNCTION("GOOGLETRANSLATE(B25416,""en"",""de"")"),"Zwei Mädchen winken zur Kamera, während einer ein Drink aufnimmt und der andere mit ihren Haaren spielt.")</f>
        <v>Zwei Mädchen winken zur Kamera, während einer ein Drink aufnimmt und der andere mit ihren Haaren spielt.</v>
      </c>
    </row>
    <row r="25417">
      <c r="A25417" s="4" t="s">
        <v>31992</v>
      </c>
      <c r="B25417" s="4" t="s">
        <v>31994</v>
      </c>
      <c r="C25417" s="5" t="str">
        <f>IFERROR(__xludf.DUMMYFUNCTION("GOOGLETRANSLATE(B25417,""en"",""de"")"),"Die Mädchen gehen ein wenig herum, gefolgt von einem Glas und machen lustige Gesichter zur Kamera.")</f>
        <v>Die Mädchen gehen ein wenig herum, gefolgt von einem Glas und machen lustige Gesichter zur Kamera.</v>
      </c>
    </row>
    <row r="25418">
      <c r="A25418" s="4" t="s">
        <v>31995</v>
      </c>
      <c r="B25418" s="4" t="s">
        <v>31996</v>
      </c>
      <c r="C25418" s="5" t="str">
        <f>IFERROR(__xludf.DUMMYFUNCTION("GOOGLETRANSLATE(B25418,""en"",""de"")"),"Es wird gezeigt, dass eine Frau um eine Küche herumläuft, die einen Wasserhahn eindringt und das Waschbecken mit Wasser füllen lässt.")</f>
        <v>Es wird gezeigt, dass eine Frau um eine Küche herumläuft, die einen Wasserhahn eindringt und das Waschbecken mit Wasser füllen lässt.</v>
      </c>
    </row>
    <row r="25419">
      <c r="A25419" s="4" t="s">
        <v>31995</v>
      </c>
      <c r="B25419" s="4" t="s">
        <v>31997</v>
      </c>
      <c r="C25419" s="5" t="str">
        <f>IFERROR(__xludf.DUMMYFUNCTION("GOOGLETRANSLATE(B25419,""en"",""de"")"),"Sie wird gezeigt, dass sie Handschuhe trägt, Reiniger um das Waschbecken sprüht und mit einem Pinsel schrubbt.")</f>
        <v>Sie wird gezeigt, dass sie Handschuhe trägt, Reiniger um das Waschbecken sprüht und mit einem Pinsel schrubbt.</v>
      </c>
    </row>
    <row r="25420">
      <c r="A25420" s="4" t="s">
        <v>31995</v>
      </c>
      <c r="B25420" s="4" t="s">
        <v>31998</v>
      </c>
      <c r="C25420" s="5" t="str">
        <f>IFERROR(__xludf.DUMMYFUNCTION("GOOGLETRANSLATE(B25420,""en"",""de"")"),"Sie lächelt das Reinigungsprodukt an und pflegt zum gezeigten Etikett.")</f>
        <v>Sie lächelt das Reinigungsprodukt an und pflegt zum gezeigten Etikett.</v>
      </c>
    </row>
    <row r="25421">
      <c r="A25421" s="4" t="s">
        <v>31999</v>
      </c>
      <c r="B25421" s="4" t="s">
        <v>32000</v>
      </c>
      <c r="C25421" s="5" t="str">
        <f>IFERROR(__xludf.DUMMYFUNCTION("GOOGLETRANSLATE(B25421,""en"",""de"")"),"Ein Mann in Schwimmstämmen ist draußen und befindet sich zu Geräten.")</f>
        <v>Ein Mann in Schwimmstämmen ist draußen und befindet sich zu Geräten.</v>
      </c>
    </row>
    <row r="25422">
      <c r="A25422" s="4" t="s">
        <v>31999</v>
      </c>
      <c r="B25422" s="4" t="s">
        <v>32001</v>
      </c>
      <c r="C25422" s="5" t="str">
        <f>IFERROR(__xludf.DUMMYFUNCTION("GOOGLETRANSLATE(B25422,""en"",""de"")"),"Er steigt auf einen Parasailer und steigt ins Wasser.")</f>
        <v>Er steigt auf einen Parasailer und steigt ins Wasser.</v>
      </c>
    </row>
    <row r="25423">
      <c r="A25423" s="4" t="s">
        <v>31999</v>
      </c>
      <c r="B25423" s="4" t="s">
        <v>32002</v>
      </c>
      <c r="C25423" s="5" t="str">
        <f>IFERROR(__xludf.DUMMYFUNCTION("GOOGLETRANSLATE(B25423,""en"",""de"")"),"Er beginnt auf einem Surfbrett zu segeln und hält fest, während er beschleunigt.")</f>
        <v>Er beginnt auf einem Surfbrett zu segeln und hält fest, während er beschleunigt.</v>
      </c>
    </row>
    <row r="25424">
      <c r="A25424" s="4" t="s">
        <v>31999</v>
      </c>
      <c r="B25424" s="4" t="s">
        <v>32003</v>
      </c>
      <c r="C25424" s="5" t="str">
        <f>IFERROR(__xludf.DUMMYFUNCTION("GOOGLETRANSLATE(B25424,""en"",""de"")"),"Dann hält er im Wasser an und lehnt sich auf seine Seite.")</f>
        <v>Dann hält er im Wasser an und lehnt sich auf seine Seite.</v>
      </c>
    </row>
    <row r="25425">
      <c r="A25425" s="4" t="s">
        <v>32004</v>
      </c>
      <c r="B25425" s="4" t="s">
        <v>32005</v>
      </c>
      <c r="C25425" s="5" t="str">
        <f>IFERROR(__xludf.DUMMYFUNCTION("GOOGLETRANSLATE(B25425,""en"",""de"")"),"Ein Kind spielt Hopscotch am Boden.")</f>
        <v>Ein Kind spielt Hopscotch am Boden.</v>
      </c>
    </row>
    <row r="25426">
      <c r="A25426" s="4" t="s">
        <v>32004</v>
      </c>
      <c r="B25426" s="4" t="s">
        <v>32006</v>
      </c>
      <c r="C25426" s="5" t="str">
        <f>IFERROR(__xludf.DUMMYFUNCTION("GOOGLETRANSLATE(B25426,""en"",""de"")"),"Sie gehen auf dem Hopscotch -Brett hin und her.")</f>
        <v>Sie gehen auf dem Hopscotch -Brett hin und her.</v>
      </c>
    </row>
    <row r="25427">
      <c r="A25427" s="4" t="s">
        <v>32004</v>
      </c>
      <c r="B25427" s="4" t="s">
        <v>32007</v>
      </c>
      <c r="C25427" s="5" t="str">
        <f>IFERROR(__xludf.DUMMYFUNCTION("GOOGLETRANSLATE(B25427,""en"",""de"")"),"Sie biegen sich hin, um etwas aufzuheben.")</f>
        <v>Sie biegen sich hin, um etwas aufzuheben.</v>
      </c>
    </row>
    <row r="25428">
      <c r="A25428" s="4" t="s">
        <v>32008</v>
      </c>
      <c r="B25428" s="4" t="s">
        <v>32009</v>
      </c>
      <c r="C25428" s="5" t="str">
        <f>IFERROR(__xludf.DUMMYFUNCTION("GOOGLETRANSLATE(B25428,""en"",""de"")"),"Ein Hund läuft Schritte zu einem Gebäude.")</f>
        <v>Ein Hund läuft Schritte zu einem Gebäude.</v>
      </c>
    </row>
    <row r="25429">
      <c r="A25429" s="4" t="s">
        <v>32008</v>
      </c>
      <c r="B25429" s="4" t="s">
        <v>32010</v>
      </c>
      <c r="C25429" s="5" t="str">
        <f>IFERROR(__xludf.DUMMYFUNCTION("GOOGLETRANSLATE(B25429,""en"",""de"")"),"Sie gehen hinein und es ist ein Hundepflege -Salon.")</f>
        <v>Sie gehen hinein und es ist ein Hundepflege -Salon.</v>
      </c>
    </row>
    <row r="25430">
      <c r="A25430" s="4" t="s">
        <v>32008</v>
      </c>
      <c r="B25430" s="4" t="s">
        <v>32011</v>
      </c>
      <c r="C25430" s="5" t="str">
        <f>IFERROR(__xludf.DUMMYFUNCTION("GOOGLETRANSLATE(B25430,""en"",""de"")"),"Es werden mehrere Zeichen in einer anderen Sprache angezeigt, bevor das Gerät eingeschaltet ist.")</f>
        <v>Es werden mehrere Zeichen in einer anderen Sprache angezeigt, bevor das Gerät eingeschaltet ist.</v>
      </c>
    </row>
    <row r="25431">
      <c r="A25431" s="4" t="s">
        <v>32008</v>
      </c>
      <c r="B25431" s="4" t="s">
        <v>32012</v>
      </c>
      <c r="C25431" s="5" t="str">
        <f>IFERROR(__xludf.DUMMYFUNCTION("GOOGLETRANSLATE(B25431,""en"",""de"")"),"Der Hund wird gespült, gepackt, gebadet und auf der Maschine abgeschnitten.")</f>
        <v>Der Hund wird gespült, gepackt, gebadet und auf der Maschine abgeschnitten.</v>
      </c>
    </row>
    <row r="25432">
      <c r="A25432" s="4" t="s">
        <v>32013</v>
      </c>
      <c r="B25432" s="4" t="s">
        <v>32014</v>
      </c>
      <c r="C25432" s="5" t="str">
        <f>IFERROR(__xludf.DUMMYFUNCTION("GOOGLETRANSLATE(B25432,""en"",""de"")"),"Von außen ist eine Ladenfront zu sehen.")</f>
        <v>Von außen ist eine Ladenfront zu sehen.</v>
      </c>
    </row>
    <row r="25433">
      <c r="A25433" s="4" t="s">
        <v>32013</v>
      </c>
      <c r="B25433" s="4" t="s">
        <v>32015</v>
      </c>
      <c r="C25433" s="5" t="str">
        <f>IFERROR(__xludf.DUMMYFUNCTION("GOOGLETRANSLATE(B25433,""en"",""de"")"),"Ein Ladenbesitzer steht hinter einer Display -Wand und diskutiert.")</f>
        <v>Ein Ladenbesitzer steht hinter einer Display -Wand und diskutiert.</v>
      </c>
    </row>
    <row r="25434">
      <c r="A25434" s="4" t="s">
        <v>32013</v>
      </c>
      <c r="B25434" s="4" t="s">
        <v>32016</v>
      </c>
      <c r="C25434" s="5" t="str">
        <f>IFERROR(__xludf.DUMMYFUNCTION("GOOGLETRANSLATE(B25434,""en"",""de"")"),"Paintballspieler laufen mit Hindernissen durch einen grasbewachsenen Platz und zielen auf ihre Waffen.")</f>
        <v>Paintballspieler laufen mit Hindernissen durch einen grasbewachsenen Platz und zielen auf ihre Waffen.</v>
      </c>
    </row>
    <row r="25435">
      <c r="A25435" s="4" t="s">
        <v>32013</v>
      </c>
      <c r="B25435" s="4" t="s">
        <v>32017</v>
      </c>
      <c r="C25435" s="5" t="str">
        <f>IFERROR(__xludf.DUMMYFUNCTION("GOOGLETRANSLATE(B25435,""en"",""de"")"),"Der Ladenbesitzer zeigt verschiedene Gesichtsmasken für den Sport an.")</f>
        <v>Der Ladenbesitzer zeigt verschiedene Gesichtsmasken für den Sport an.</v>
      </c>
    </row>
    <row r="25436">
      <c r="A25436" s="4" t="s">
        <v>32018</v>
      </c>
      <c r="B25436" s="4" t="s">
        <v>32019</v>
      </c>
      <c r="C25436" s="5" t="str">
        <f>IFERROR(__xludf.DUMMYFUNCTION("GOOGLETRANSLATE(B25436,""en"",""de"")"),"Eine Gruppe von Menschen steht in einem Foosball -Tisch, der ein Spiel miteinander spielt, indem sie die Stangen zum Spielen verwenden.")</f>
        <v>Eine Gruppe von Menschen steht in einem Foosball -Tisch, der ein Spiel miteinander spielt, indem sie die Stangen zum Spielen verwenden.</v>
      </c>
    </row>
    <row r="25437">
      <c r="A25437" s="4" t="s">
        <v>32018</v>
      </c>
      <c r="B25437" s="4" t="s">
        <v>32020</v>
      </c>
      <c r="C25437" s="5" t="str">
        <f>IFERROR(__xludf.DUMMYFUNCTION("GOOGLETRANSLATE(B25437,""en"",""de"")"),"Die Männer spielen weiter ein Spiel und viertens, während die Kamera sie von oben und zwei am Ende wegnehmen.")</f>
        <v>Die Männer spielen weiter ein Spiel und viertens, während die Kamera sie von oben und zwei am Ende wegnehmen.</v>
      </c>
    </row>
    <row r="25438">
      <c r="A25438" s="4" t="s">
        <v>32021</v>
      </c>
      <c r="B25438" s="4" t="s">
        <v>32022</v>
      </c>
      <c r="C25438" s="5" t="str">
        <f>IFERROR(__xludf.DUMMYFUNCTION("GOOGLETRANSLATE(B25438,""en"",""de"")"),"Ein Mann im blauen Hemd trinkt ein großes Glas Bier.")</f>
        <v>Ein Mann im blauen Hemd trinkt ein großes Glas Bier.</v>
      </c>
    </row>
    <row r="25439">
      <c r="A25439" s="4" t="s">
        <v>32021</v>
      </c>
      <c r="B25439" s="4" t="s">
        <v>32023</v>
      </c>
      <c r="C25439" s="5" t="str">
        <f>IFERROR(__xludf.DUMMYFUNCTION("GOOGLETRANSLATE(B25439,""en"",""de"")"),"Der blonde Mann neben ihm jubelt.")</f>
        <v>Der blonde Mann neben ihm jubelt.</v>
      </c>
    </row>
    <row r="25440">
      <c r="A25440" s="4" t="s">
        <v>32021</v>
      </c>
      <c r="B25440" s="4" t="s">
        <v>32024</v>
      </c>
      <c r="C25440" s="5" t="str">
        <f>IFERROR(__xludf.DUMMYFUNCTION("GOOGLETRANSLATE(B25440,""en"",""de"")"),"Der Mann in blauem Hemd beendete sein Getränk und legte es nieder, und der blonde Mann jubelte.")</f>
        <v>Der Mann in blauem Hemd beendete sein Getränk und legte es nieder, und der blonde Mann jubelte.</v>
      </c>
    </row>
    <row r="25441">
      <c r="A25441" s="4" t="s">
        <v>32025</v>
      </c>
      <c r="B25441" s="4" t="s">
        <v>32026</v>
      </c>
      <c r="C25441" s="5" t="str">
        <f>IFERROR(__xludf.DUMMYFUNCTION("GOOGLETRANSLATE(B25441,""en"",""de"")"),"Der Mann steht in Parallelen und macht Gymnastik in einem überdachten Fitnessstudio.")</f>
        <v>Der Mann steht in Parallelen und macht Gymnastik in einem überdachten Fitnessstudio.</v>
      </c>
    </row>
    <row r="25442">
      <c r="A25442" s="4" t="s">
        <v>32025</v>
      </c>
      <c r="B25442" s="4" t="s">
        <v>32027</v>
      </c>
      <c r="C25442" s="5" t="str">
        <f>IFERROR(__xludf.DUMMYFUNCTION("GOOGLETRANSLATE(B25442,""en"",""de"")"),"Menschen sind in Teraces beobachten den Mann.")</f>
        <v>Menschen sind in Teraces beobachten den Mann.</v>
      </c>
    </row>
    <row r="25443">
      <c r="A25443" s="4" t="s">
        <v>32028</v>
      </c>
      <c r="B25443" s="4" t="s">
        <v>32029</v>
      </c>
      <c r="C25443" s="5" t="str">
        <f>IFERROR(__xludf.DUMMYFUNCTION("GOOGLETRANSLATE(B25443,""en"",""de"")"),"Ein Mädchen, das einen weißen Mantel mit Kapuze trägt, befindet sich neben Mann und eine Frau auf der Seite eines Billardtisches.")</f>
        <v>Ein Mädchen, das einen weißen Mantel mit Kapuze trägt, befindet sich neben Mann und eine Frau auf der Seite eines Billardtisches.</v>
      </c>
    </row>
    <row r="25444">
      <c r="A25444" s="4" t="s">
        <v>32028</v>
      </c>
      <c r="B25444" s="4" t="s">
        <v>32030</v>
      </c>
      <c r="C25444" s="5" t="str">
        <f>IFERROR(__xludf.DUMMYFUNCTION("GOOGLETRANSLATE(B25444,""en"",""de"")"),"Dann geht das Mädchen und nimmt den Mantel aus, dann nimmt sie einen Cue -Stock und beugen sich auf zwei Männern.")</f>
        <v>Dann geht das Mädchen und nimmt den Mantel aus, dann nimmt sie einen Cue -Stock und beugen sich auf zwei Männern.</v>
      </c>
    </row>
    <row r="25445">
      <c r="A25445" s="4" t="s">
        <v>32028</v>
      </c>
      <c r="B25445" s="4" t="s">
        <v>32031</v>
      </c>
      <c r="C25445" s="5" t="str">
        <f>IFERROR(__xludf.DUMMYFUNCTION("GOOGLETRANSLATE(B25445,""en"",""de"")"),"Danach dreht sich das Mädchen um und greift nach dem Jungenhemd, während sie eine sexy Geste macht. Dann dreht sie sich um, um wieder zu spielen.")</f>
        <v>Danach dreht sich das Mädchen um und greift nach dem Jungenhemd, während sie eine sexy Geste macht. Dann dreht sie sich um, um wieder zu spielen.</v>
      </c>
    </row>
    <row r="25446">
      <c r="A25446" s="4" t="s">
        <v>32028</v>
      </c>
      <c r="B25446" s="4" t="s">
        <v>32032</v>
      </c>
      <c r="C25446" s="5" t="str">
        <f>IFERROR(__xludf.DUMMYFUNCTION("GOOGLETRANSLATE(B25446,""en"",""de"")"),"Ein Mann möchte den Hintern eines Mädchens berühren.")</f>
        <v>Ein Mann möchte den Hintern eines Mädchens berühren.</v>
      </c>
    </row>
    <row r="25447">
      <c r="A25447" s="4" t="s">
        <v>32033</v>
      </c>
      <c r="B25447" s="4" t="s">
        <v>32034</v>
      </c>
      <c r="C25447" s="5" t="str">
        <f>IFERROR(__xludf.DUMMYFUNCTION("GOOGLETRANSLATE(B25447,""en"",""de"")"),"Ein Mädchen in einem lila Outfit kommt auf einen Balancestrahl.")</f>
        <v>Ein Mädchen in einem lila Outfit kommt auf einen Balancestrahl.</v>
      </c>
    </row>
    <row r="25448">
      <c r="A25448" s="4" t="s">
        <v>32033</v>
      </c>
      <c r="B25448" s="4" t="s">
        <v>32035</v>
      </c>
      <c r="C25448" s="5" t="str">
        <f>IFERROR(__xludf.DUMMYFUNCTION("GOOGLETRANSLATE(B25448,""en"",""de"")"),"Sie macht eine Gymnastikroutine auf dem Balancestrahl.")</f>
        <v>Sie macht eine Gymnastikroutine auf dem Balancestrahl.</v>
      </c>
    </row>
    <row r="25449">
      <c r="A25449" s="4" t="s">
        <v>32033</v>
      </c>
      <c r="B25449" s="4" t="s">
        <v>20674</v>
      </c>
      <c r="C25449" s="5" t="str">
        <f>IFERROR(__xludf.DUMMYFUNCTION("GOOGLETRANSLATE(B25449,""en"",""de"")"),"Sie steigt und landet auf der Matte mit den Händen in der Luft.")</f>
        <v>Sie steigt und landet auf der Matte mit den Händen in der Luft.</v>
      </c>
    </row>
    <row r="25450">
      <c r="A25450" s="4" t="s">
        <v>32036</v>
      </c>
      <c r="B25450" s="4" t="s">
        <v>32037</v>
      </c>
      <c r="C25450" s="5" t="str">
        <f>IFERROR(__xludf.DUMMYFUNCTION("GOOGLETRANSLATE(B25450,""en"",""de"")"),"Ein Athlet geht draußen auf ein Feld.")</f>
        <v>Ein Athlet geht draußen auf ein Feld.</v>
      </c>
    </row>
    <row r="25451">
      <c r="A25451" s="4" t="s">
        <v>32036</v>
      </c>
      <c r="B25451" s="4" t="s">
        <v>32038</v>
      </c>
      <c r="C25451" s="5" t="str">
        <f>IFERROR(__xludf.DUMMYFUNCTION("GOOGLETRANSLATE(B25451,""en"",""de"")"),"Er rennt mit einem Speer in der Luft.")</f>
        <v>Er rennt mit einem Speer in der Luft.</v>
      </c>
    </row>
    <row r="25452">
      <c r="A25452" s="4" t="s">
        <v>32036</v>
      </c>
      <c r="B25452" s="4" t="s">
        <v>32039</v>
      </c>
      <c r="C25452" s="5" t="str">
        <f>IFERROR(__xludf.DUMMYFUNCTION("GOOGLETRANSLATE(B25452,""en"",""de"")"),"Er wirft den Speer so weit wie möglich und wiederholt sich mehrmals.")</f>
        <v>Er wirft den Speer so weit wie möglich und wiederholt sich mehrmals.</v>
      </c>
    </row>
    <row r="25453">
      <c r="A25453" s="4" t="s">
        <v>32040</v>
      </c>
      <c r="B25453" s="4" t="s">
        <v>32041</v>
      </c>
      <c r="C25453" s="5" t="str">
        <f>IFERROR(__xludf.DUMMYFUNCTION("GOOGLETRANSLATE(B25453,""en"",""de"")"),"Eine Frau ist vor einem Tisch und hält eine Katze.")</f>
        <v>Eine Frau ist vor einem Tisch und hält eine Katze.</v>
      </c>
    </row>
    <row r="25454">
      <c r="A25454" s="4" t="s">
        <v>32040</v>
      </c>
      <c r="B25454" s="4" t="s">
        <v>32042</v>
      </c>
      <c r="C25454" s="5" t="str">
        <f>IFERROR(__xludf.DUMMYFUNCTION("GOOGLETRANSLATE(B25454,""en"",""de"")"),"Sie streichelt die Katze, um ihn zu beruhigen.")</f>
        <v>Sie streichelt die Katze, um ihn zu beruhigen.</v>
      </c>
    </row>
    <row r="25455">
      <c r="A25455" s="4" t="s">
        <v>32040</v>
      </c>
      <c r="B25455" s="4" t="s">
        <v>32043</v>
      </c>
      <c r="C25455" s="5" t="str">
        <f>IFERROR(__xludf.DUMMYFUNCTION("GOOGLETRANSLATE(B25455,""en"",""de"")"),"Sie klammert dann sanft seine Zehennägel.")</f>
        <v>Sie klammert dann sanft seine Zehennägel.</v>
      </c>
    </row>
    <row r="25456">
      <c r="A25456" s="4" t="s">
        <v>32044</v>
      </c>
      <c r="B25456" s="4" t="s">
        <v>32045</v>
      </c>
      <c r="C25456" s="5" t="str">
        <f>IFERROR(__xludf.DUMMYFUNCTION("GOOGLETRANSLATE(B25456,""en"",""de"")"),"Es scheint, als würden sie im Fernsehen ein Fußballspiel sehen.")</f>
        <v>Es scheint, als würden sie im Fernsehen ein Fußballspiel sehen.</v>
      </c>
    </row>
    <row r="25457">
      <c r="A25457" s="4" t="s">
        <v>32044</v>
      </c>
      <c r="B25457" s="4" t="s">
        <v>32046</v>
      </c>
      <c r="C25457" s="5" t="str">
        <f>IFERROR(__xludf.DUMMYFUNCTION("GOOGLETRANSLATE(B25457,""en"",""de"")"),"Die Station zeigt, welchen Kanal es ist, der beobachtet wird.")</f>
        <v>Die Station zeigt, welchen Kanal es ist, der beobachtet wird.</v>
      </c>
    </row>
    <row r="25458">
      <c r="A25458" s="4" t="s">
        <v>32044</v>
      </c>
      <c r="B25458" s="4" t="s">
        <v>32047</v>
      </c>
      <c r="C25458" s="5" t="str">
        <f>IFERROR(__xludf.DUMMYFUNCTION("GOOGLETRANSLATE(B25458,""en"",""de"")"),"Die Frauen auf dem Platz rennen herum und versuchen, den Ball zu bekommen.")</f>
        <v>Die Frauen auf dem Platz rennen herum und versuchen, den Ball zu bekommen.</v>
      </c>
    </row>
    <row r="25459">
      <c r="A25459" s="4" t="s">
        <v>32044</v>
      </c>
      <c r="B25459" s="4" t="s">
        <v>32048</v>
      </c>
      <c r="C25459" s="5" t="str">
        <f>IFERROR(__xludf.DUMMYFUNCTION("GOOGLETRANSLATE(B25459,""en"",""de"")"),"Eine der Frauen läuft bis ins Ziel.")</f>
        <v>Eine der Frauen läuft bis ins Ziel.</v>
      </c>
    </row>
    <row r="25460">
      <c r="A25460" s="4" t="s">
        <v>32049</v>
      </c>
      <c r="B25460" s="4" t="s">
        <v>32050</v>
      </c>
      <c r="C25460" s="5" t="str">
        <f>IFERROR(__xludf.DUMMYFUNCTION("GOOGLETRANSLATE(B25460,""en"",""de"")"),"Ein Mann steht auf und wirft einen Stein.")</f>
        <v>Ein Mann steht auf und wirft einen Stein.</v>
      </c>
    </row>
    <row r="25461">
      <c r="A25461" s="4" t="s">
        <v>32049</v>
      </c>
      <c r="B25461" s="4" t="s">
        <v>32051</v>
      </c>
      <c r="C25461" s="5" t="str">
        <f>IFERROR(__xludf.DUMMYFUNCTION("GOOGLETRANSLATE(B25461,""en"",""de"")"),"Die Leute stehen und beobachten ihn.")</f>
        <v>Die Leute stehen und beobachten ihn.</v>
      </c>
    </row>
    <row r="25462">
      <c r="A25462" s="4" t="s">
        <v>32049</v>
      </c>
      <c r="B25462" s="4" t="s">
        <v>32052</v>
      </c>
      <c r="C25462" s="5" t="str">
        <f>IFERROR(__xludf.DUMMYFUNCTION("GOOGLETRANSLATE(B25462,""en"",""de"")"),"Ein Mann kommt in eine Pferdekutsche und reitet weg.")</f>
        <v>Ein Mann kommt in eine Pferdekutsche und reitet weg.</v>
      </c>
    </row>
    <row r="25463">
      <c r="A25463" s="4" t="s">
        <v>32053</v>
      </c>
      <c r="B25463" s="4" t="s">
        <v>32054</v>
      </c>
      <c r="C25463" s="5" t="str">
        <f>IFERROR(__xludf.DUMMYFUNCTION("GOOGLETRANSLATE(B25463,""en"",""de"")"),"Wir sehen einen Jungen, der sich die Zähne putzt und im Badezimmer tanzt.")</f>
        <v>Wir sehen einen Jungen, der sich die Zähne putzt und im Badezimmer tanzt.</v>
      </c>
    </row>
    <row r="25464">
      <c r="A25464" s="4" t="s">
        <v>32053</v>
      </c>
      <c r="B25464" s="4" t="s">
        <v>32055</v>
      </c>
      <c r="C25464" s="5" t="str">
        <f>IFERROR(__xludf.DUMMYFUNCTION("GOOGLETRANSLATE(B25464,""en"",""de"")"),"Der Junge macht eine Pause und schaut auf die Bürste.")</f>
        <v>Der Junge macht eine Pause und schaut auf die Bürste.</v>
      </c>
    </row>
    <row r="25465">
      <c r="A25465" s="4" t="s">
        <v>32053</v>
      </c>
      <c r="B25465" s="4" t="s">
        <v>32056</v>
      </c>
      <c r="C25465" s="5" t="str">
        <f>IFERROR(__xludf.DUMMYFUNCTION("GOOGLETRANSLATE(B25465,""en"",""de"")"),"Der Junge kehrt zum Bürsten und Tanzen zurück.")</f>
        <v>Der Junge kehrt zum Bürsten und Tanzen zurück.</v>
      </c>
    </row>
    <row r="25466">
      <c r="A25466" s="4" t="s">
        <v>32053</v>
      </c>
      <c r="B25466" s="4" t="s">
        <v>32057</v>
      </c>
      <c r="C25466" s="5" t="str">
        <f>IFERROR(__xludf.DUMMYFUNCTION("GOOGLETRANSLATE(B25466,""en"",""de"")"),"Der Junge hält sich für einen Moment an der Spüle fest.")</f>
        <v>Der Junge hält sich für einen Moment an der Spüle fest.</v>
      </c>
    </row>
    <row r="25467">
      <c r="A25467" s="4" t="s">
        <v>32053</v>
      </c>
      <c r="B25467" s="4" t="s">
        <v>32058</v>
      </c>
      <c r="C25467" s="5" t="str">
        <f>IFERROR(__xludf.DUMMYFUNCTION("GOOGLETRANSLATE(B25467,""en"",""de"")"),"Der Junge hält sich wieder am Waschbecken fest.")</f>
        <v>Der Junge hält sich wieder am Waschbecken fest.</v>
      </c>
    </row>
    <row r="25468">
      <c r="A25468" s="4" t="s">
        <v>32059</v>
      </c>
      <c r="B25468" s="4" t="s">
        <v>32060</v>
      </c>
      <c r="C25468" s="5" t="str">
        <f>IFERROR(__xludf.DUMMYFUNCTION("GOOGLETRANSLATE(B25468,""en"",""de"")"),"Eine Nahaufnahme einer Wand wird mit Wasser angezeigt, das die Seiten hinunter sprüht, die zu mehreren Bildern führt, sowie Menschen, die den Boden hinuntersprühen.")</f>
        <v>Eine Nahaufnahme einer Wand wird mit Wasser angezeigt, das die Seiten hinunter sprüht, die zu mehreren Bildern führt, sowie Menschen, die den Boden hinuntersprühen.</v>
      </c>
    </row>
    <row r="25469">
      <c r="A25469" s="4" t="s">
        <v>32059</v>
      </c>
      <c r="B25469" s="4" t="s">
        <v>32061</v>
      </c>
      <c r="C25469" s="5" t="str">
        <f>IFERROR(__xludf.DUMMYFUNCTION("GOOGLETRANSLATE(B25469,""en"",""de"")"),"Es werden mehr Menschen gesehen, wie sie einen LKW und Autos auf eine Maschine angehoben werden, während weitere Bilder gezeigt werden.")</f>
        <v>Es werden mehr Menschen gesehen, wie sie einen LKW und Autos auf eine Maschine angehoben werden, während weitere Bilder gezeigt werden.</v>
      </c>
    </row>
    <row r="25470">
      <c r="A25470" s="4" t="s">
        <v>32062</v>
      </c>
      <c r="B25470" s="4" t="s">
        <v>32063</v>
      </c>
      <c r="C25470" s="5" t="str">
        <f>IFERROR(__xludf.DUMMYFUNCTION("GOOGLETRANSLATE(B25470,""en"",""de"")"),"Dieser Mann steht auf dem Dach und sagt ein paar Worte.")</f>
        <v>Dieser Mann steht auf dem Dach und sagt ein paar Worte.</v>
      </c>
    </row>
    <row r="25471">
      <c r="A25471" s="4" t="s">
        <v>32062</v>
      </c>
      <c r="B25471" s="4" t="s">
        <v>32064</v>
      </c>
      <c r="C25471" s="5" t="str">
        <f>IFERROR(__xludf.DUMMYFUNCTION("GOOGLETRANSLATE(B25471,""en"",""de"")"),"Dann fängt er an, einige Teile Holz vom Dach aus zu entfernen, und er stapelt alle Fliesen hoch.")</f>
        <v>Dann fängt er an, einige Teile Holz vom Dach aus zu entfernen, und er stapelt alle Fliesen hoch.</v>
      </c>
    </row>
    <row r="25472">
      <c r="A25472" s="4" t="s">
        <v>32062</v>
      </c>
      <c r="B25472" s="4" t="s">
        <v>32065</v>
      </c>
      <c r="C25472" s="5" t="str">
        <f>IFERROR(__xludf.DUMMYFUNCTION("GOOGLETRANSLATE(B25472,""en"",""de"")"),"Dann legt er sie dorthin, wo sie gehen sollten, um einen vollen Teil auf dem Dach zu machen.")</f>
        <v>Dann legt er sie dorthin, wo sie gehen sollten, um einen vollen Teil auf dem Dach zu machen.</v>
      </c>
    </row>
    <row r="25473">
      <c r="A25473" s="4" t="s">
        <v>32066</v>
      </c>
      <c r="B25473" s="4" t="s">
        <v>32067</v>
      </c>
      <c r="C25473" s="5" t="str">
        <f>IFERROR(__xludf.DUMMYFUNCTION("GOOGLETRANSLATE(B25473,""en"",""de"")"),"Ein Mann macht einen Grill in einem Hof, während er mit Leuten singt, die Getränke in Dosen und Tassen zeigen.")</f>
        <v>Ein Mann macht einen Grill in einem Hof, während er mit Leuten singt, die Getränke in Dosen und Tassen zeigen.</v>
      </c>
    </row>
    <row r="25474">
      <c r="A25474" s="4" t="s">
        <v>32066</v>
      </c>
      <c r="B25474" s="4" t="s">
        <v>32068</v>
      </c>
      <c r="C25474" s="5" t="str">
        <f>IFERROR(__xludf.DUMMYFUNCTION("GOOGLETRANSLATE(B25474,""en"",""de"")"),"Dann gehen die Leute zu einer Bar und singen in Bier.")</f>
        <v>Dann gehen die Leute zu einer Bar und singen in Bier.</v>
      </c>
    </row>
    <row r="25475">
      <c r="A25475" s="4" t="s">
        <v>32066</v>
      </c>
      <c r="B25475" s="4" t="s">
        <v>32069</v>
      </c>
      <c r="C25475" s="5" t="str">
        <f>IFERROR(__xludf.DUMMYFUNCTION("GOOGLETRANSLATE(B25475,""en"",""de"")"),"Frauen servieren Getränke aus einem Brunnen.")</f>
        <v>Frauen servieren Getränke aus einem Brunnen.</v>
      </c>
    </row>
    <row r="25476">
      <c r="A25476" s="4" t="s">
        <v>32066</v>
      </c>
      <c r="B25476" s="4" t="s">
        <v>32070</v>
      </c>
      <c r="C25476" s="5" t="str">
        <f>IFERROR(__xludf.DUMMYFUNCTION("GOOGLETRANSLATE(B25476,""en"",""de"")"),"Ein Mann spricht vor einem Mikrofon vor einem Mikrofon und die Leute singen weiter und zeigen Bier.")</f>
        <v>Ein Mann spricht vor einem Mikrofon vor einem Mikrofon und die Leute singen weiter und zeigen Bier.</v>
      </c>
    </row>
    <row r="25477">
      <c r="A25477" s="4" t="s">
        <v>32066</v>
      </c>
      <c r="B25477" s="4" t="s">
        <v>32071</v>
      </c>
      <c r="C25477" s="5" t="str">
        <f>IFERROR(__xludf.DUMMYFUNCTION("GOOGLETRANSLATE(B25477,""en"",""de"")"),"Dann singen die Leute wieder im Freien.")</f>
        <v>Dann singen die Leute wieder im Freien.</v>
      </c>
    </row>
    <row r="25478">
      <c r="A25478" s="4" t="s">
        <v>32072</v>
      </c>
      <c r="B25478" s="4" t="s">
        <v>32073</v>
      </c>
      <c r="C25478" s="5" t="str">
        <f>IFERROR(__xludf.DUMMYFUNCTION("GOOGLETRANSLATE(B25478,""en"",""de"")"),"Eine Frau spricht mit der Kamera und führt in Klammern ihrer Ausführung von Übungen, die mit der Kamera sprechen.")</f>
        <v>Eine Frau spricht mit der Kamera und führt in Klammern ihrer Ausführung von Übungen, die mit der Kamera sprechen.</v>
      </c>
    </row>
    <row r="25479">
      <c r="A25479" s="4" t="s">
        <v>32072</v>
      </c>
      <c r="B25479" s="4" t="s">
        <v>32074</v>
      </c>
      <c r="C25479" s="5" t="str">
        <f>IFERROR(__xludf.DUMMYFUNCTION("GOOGLETRANSLATE(B25479,""en"",""de"")"),"Die Frau demonstriert, wie man einen richtigen Sitzen macht, indem sie ihre Arme an verschiedenen Orten bewegen und mit der Kamera sprechen.")</f>
        <v>Die Frau demonstriert, wie man einen richtigen Sitzen macht, indem sie ihre Arme an verschiedenen Orten bewegen und mit der Kamera sprechen.</v>
      </c>
    </row>
    <row r="25480">
      <c r="A25480" s="4" t="s">
        <v>32075</v>
      </c>
      <c r="B25480" s="4" t="s">
        <v>32076</v>
      </c>
      <c r="C25480" s="5" t="str">
        <f>IFERROR(__xludf.DUMMYFUNCTION("GOOGLETRANSLATE(B25480,""en"",""de"")"),"Eine Person zeigt eine Schüssel Eis in Disneyland.")</f>
        <v>Eine Person zeigt eine Schüssel Eis in Disneyland.</v>
      </c>
    </row>
    <row r="25481">
      <c r="A25481" s="4" t="s">
        <v>32075</v>
      </c>
      <c r="B25481" s="4" t="s">
        <v>32077</v>
      </c>
      <c r="C25481" s="5" t="str">
        <f>IFERROR(__xludf.DUMMYFUNCTION("GOOGLETRANSLATE(B25481,""en"",""de"")"),"Die Person genießt die Schüssel mit Eis.")</f>
        <v>Die Person genießt die Schüssel mit Eis.</v>
      </c>
    </row>
    <row r="25482">
      <c r="A25482" s="4" t="s">
        <v>32075</v>
      </c>
      <c r="B25482" s="4" t="s">
        <v>32078</v>
      </c>
      <c r="C25482" s="5" t="str">
        <f>IFERROR(__xludf.DUMMYFUNCTION("GOOGLETRANSLATE(B25482,""en"",""de"")"),"Ein Wagen rollt entlang einer Straße mit einem Leiter, der aus dem Fenster hängt.")</f>
        <v>Ein Wagen rollt entlang einer Straße mit einem Leiter, der aus dem Fenster hängt.</v>
      </c>
    </row>
    <row r="25483">
      <c r="A25483" s="4" t="s">
        <v>32075</v>
      </c>
      <c r="B25483" s="4" t="s">
        <v>32079</v>
      </c>
      <c r="C25483" s="5" t="str">
        <f>IFERROR(__xludf.DUMMYFUNCTION("GOOGLETRANSLATE(B25483,""en"",""de"")"),"Eine belebte Straße ist zu sehen, bei der viele Menschen entlang gehen und sich ein geparktes Trolley -Auto ansehen.")</f>
        <v>Eine belebte Straße ist zu sehen, bei der viele Menschen entlang gehen und sich ein geparktes Trolley -Auto ansehen.</v>
      </c>
    </row>
    <row r="25484">
      <c r="A25484" s="4" t="s">
        <v>32080</v>
      </c>
      <c r="B25484" s="4" t="s">
        <v>32081</v>
      </c>
      <c r="C25484" s="5" t="str">
        <f>IFERROR(__xludf.DUMMYFUNCTION("GOOGLETRANSLATE(B25484,""en"",""de"")"),"Ein Jetski wird geparkt und ein Mann reitet einen.")</f>
        <v>Ein Jetski wird geparkt und ein Mann reitet einen.</v>
      </c>
    </row>
    <row r="25485">
      <c r="A25485" s="4" t="s">
        <v>32080</v>
      </c>
      <c r="B25485" s="4" t="s">
        <v>32082</v>
      </c>
      <c r="C25485" s="5" t="str">
        <f>IFERROR(__xludf.DUMMYFUNCTION("GOOGLETRANSLATE(B25485,""en"",""de"")"),"Wir sehen den Namen eines Mannes auf dem Bildschirm und einen Mann hinter einem Boot und einen Mann Jet Ski und drehen herum.")</f>
        <v>Wir sehen den Namen eines Mannes auf dem Bildschirm und einen Mann hinter einem Boot und einen Mann Jet Ski und drehen herum.</v>
      </c>
    </row>
    <row r="25486">
      <c r="A25486" s="4" t="s">
        <v>32080</v>
      </c>
      <c r="B25486" s="4" t="s">
        <v>32083</v>
      </c>
      <c r="C25486" s="5" t="str">
        <f>IFERROR(__xludf.DUMMYFUNCTION("GOOGLETRANSLATE(B25486,""en"",""de"")"),"Zwei Männer auf einem Jet Ski schütteln sich die Haare.")</f>
        <v>Zwei Männer auf einem Jet Ski schütteln sich die Haare.</v>
      </c>
    </row>
    <row r="25487">
      <c r="A25487" s="4" t="s">
        <v>32080</v>
      </c>
      <c r="B25487" s="4" t="s">
        <v>32084</v>
      </c>
      <c r="C25487" s="5" t="str">
        <f>IFERROR(__xludf.DUMMYFUNCTION("GOOGLETRANSLATE(B25487,""en"",""de"")"),"Ein Personname ist auf dem Bildschirm und wir sehen einen Mann Jet Ski.")</f>
        <v>Ein Personname ist auf dem Bildschirm und wir sehen einen Mann Jet Ski.</v>
      </c>
    </row>
    <row r="25488">
      <c r="A25488" s="4" t="s">
        <v>32080</v>
      </c>
      <c r="B25488" s="4" t="s">
        <v>32085</v>
      </c>
      <c r="C25488" s="5" t="str">
        <f>IFERROR(__xludf.DUMMYFUNCTION("GOOGLETRANSLATE(B25488,""en"",""de"")"),"Ein anderer Name und ein anderer Mann auf dem Jetski.")</f>
        <v>Ein anderer Name und ein anderer Mann auf dem Jetski.</v>
      </c>
    </row>
    <row r="25489">
      <c r="A25489" s="4" t="s">
        <v>32080</v>
      </c>
      <c r="B25489" s="4" t="s">
        <v>32086</v>
      </c>
      <c r="C25489" s="5" t="str">
        <f>IFERROR(__xludf.DUMMYFUNCTION("GOOGLETRANSLATE(B25489,""en"",""de"")"),"Wir sehen den Mann, als er sich darauf vorbereitet, hinter dem Boot zu fahren.")</f>
        <v>Wir sehen den Mann, als er sich darauf vorbereitet, hinter dem Boot zu fahren.</v>
      </c>
    </row>
    <row r="25490">
      <c r="A25490" s="4" t="s">
        <v>32080</v>
      </c>
      <c r="B25490" s="4" t="s">
        <v>32087</v>
      </c>
      <c r="C25490" s="5" t="str">
        <f>IFERROR(__xludf.DUMMYFUNCTION("GOOGLETRANSLATE(B25490,""en"",""de"")"),"Wir sehen den See und dann den Abspann.")</f>
        <v>Wir sehen den See und dann den Abspann.</v>
      </c>
    </row>
    <row r="25491">
      <c r="A25491" s="4" t="s">
        <v>32088</v>
      </c>
      <c r="B25491" s="4" t="s">
        <v>32089</v>
      </c>
      <c r="C25491" s="5" t="str">
        <f>IFERROR(__xludf.DUMMYFUNCTION("GOOGLETRANSLATE(B25491,""en"",""de"")"),"Wir sehen einen schwarzen Bildschirm und die Credits.")</f>
        <v>Wir sehen einen schwarzen Bildschirm und die Credits.</v>
      </c>
    </row>
    <row r="25492">
      <c r="A25492" s="4" t="s">
        <v>32088</v>
      </c>
      <c r="B25492" s="4" t="s">
        <v>32090</v>
      </c>
      <c r="C25492" s="5" t="str">
        <f>IFERROR(__xludf.DUMMYFUNCTION("GOOGLETRANSLATE(B25492,""en"",""de"")"),"Eine Person schneidet die Haare eines Mannes.")</f>
        <v>Eine Person schneidet die Haare eines Mannes.</v>
      </c>
    </row>
    <row r="25493">
      <c r="A25493" s="4" t="s">
        <v>32088</v>
      </c>
      <c r="B25493" s="4" t="s">
        <v>32091</v>
      </c>
      <c r="C25493" s="5" t="str">
        <f>IFERROR(__xludf.DUMMYFUNCTION("GOOGLETRANSLATE(B25493,""en"",""de"")"),"Sie wechseln zu einem elektrischen Rasierer auf der Rückseite.")</f>
        <v>Sie wechseln zu einem elektrischen Rasierer auf der Rückseite.</v>
      </c>
    </row>
    <row r="25494">
      <c r="A25494" s="4" t="s">
        <v>32088</v>
      </c>
      <c r="B25494" s="4" t="s">
        <v>32092</v>
      </c>
      <c r="C25494" s="5" t="str">
        <f>IFERROR(__xludf.DUMMYFUNCTION("GOOGLETRANSLATE(B25494,""en"",""de"")"),"Die Person benutzt den Rasierer an ihrer Hand.")</f>
        <v>Die Person benutzt den Rasierer an ihrer Hand.</v>
      </c>
    </row>
    <row r="25495">
      <c r="A25495" s="4" t="s">
        <v>32088</v>
      </c>
      <c r="B25495" s="4" t="s">
        <v>32093</v>
      </c>
      <c r="C25495" s="5" t="str">
        <f>IFERROR(__xludf.DUMMYFUNCTION("GOOGLETRANSLATE(B25495,""en"",""de"")"),"Der Bildschirm ändert sich für einen Moment in Schwarz.")</f>
        <v>Der Bildschirm ändert sich für einen Moment in Schwarz.</v>
      </c>
    </row>
    <row r="25496">
      <c r="A25496" s="4" t="s">
        <v>32088</v>
      </c>
      <c r="B25496" s="4" t="s">
        <v>32094</v>
      </c>
      <c r="C25496" s="5" t="str">
        <f>IFERROR(__xludf.DUMMYFUNCTION("GOOGLETRANSLATE(B25496,""en"",""de"")"),"Wir sehen, dass sich der Bildschirm wieder ändert und die Person die Rückseite des Kopfes des Mannes enthält.")</f>
        <v>Wir sehen, dass sich der Bildschirm wieder ändert und die Person die Rückseite des Kopfes des Mannes enthält.</v>
      </c>
    </row>
    <row r="25497">
      <c r="A25497" s="4" t="s">
        <v>32088</v>
      </c>
      <c r="B25497" s="4" t="s">
        <v>32095</v>
      </c>
      <c r="C25497" s="5" t="str">
        <f>IFERROR(__xludf.DUMMYFUNCTION("GOOGLETRANSLATE(B25497,""en"",""de"")"),"Der Friseur berührt die Rasiererkante.")</f>
        <v>Der Friseur berührt die Rasiererkante.</v>
      </c>
    </row>
    <row r="25498">
      <c r="A25498" s="4" t="s">
        <v>32088</v>
      </c>
      <c r="B25498" s="4" t="s">
        <v>32096</v>
      </c>
      <c r="C25498" s="5" t="str">
        <f>IFERROR(__xludf.DUMMYFUNCTION("GOOGLETRANSLATE(B25498,""en"",""de"")"),"Der Bildschirm verblasst zu schwarz und die Endgutschrift.")</f>
        <v>Der Bildschirm verblasst zu schwarz und die Endgutschrift.</v>
      </c>
    </row>
    <row r="25499">
      <c r="A25499" s="4" t="s">
        <v>32097</v>
      </c>
      <c r="B25499" s="4" t="s">
        <v>32098</v>
      </c>
      <c r="C25499" s="5" t="str">
        <f>IFERROR(__xludf.DUMMYFUNCTION("GOOGLETRANSLATE(B25499,""en"",""de"")"),"Eine Gruppe von Menschen reitet in verschiedenen Kanus einen Fluss hinunter.")</f>
        <v>Eine Gruppe von Menschen reitet in verschiedenen Kanus einen Fluss hinunter.</v>
      </c>
    </row>
    <row r="25500">
      <c r="A25500" s="4" t="s">
        <v>32097</v>
      </c>
      <c r="B25500" s="4" t="s">
        <v>32099</v>
      </c>
      <c r="C25500" s="5" t="str">
        <f>IFERROR(__xludf.DUMMYFUNCTION("GOOGLETRANSLATE(B25500,""en"",""de"")"),"Ein Mann schießt eine Flamme in die Luft, gefolgt von mehreren anderen.")</f>
        <v>Ein Mann schießt eine Flamme in die Luft, gefolgt von mehreren anderen.</v>
      </c>
    </row>
    <row r="25501">
      <c r="A25501" s="4" t="s">
        <v>32097</v>
      </c>
      <c r="B25501" s="4" t="s">
        <v>32100</v>
      </c>
      <c r="C25501" s="5" t="str">
        <f>IFERROR(__xludf.DUMMYFUNCTION("GOOGLETRANSLATE(B25501,""en"",""de"")"),"Die Kamera schwenkt um die Gruppe der als Piraten gekleideten Menschen und in anderen verschiedenen Kostümen.")</f>
        <v>Die Kamera schwenkt um die Gruppe der als Piraten gekleideten Menschen und in anderen verschiedenen Kostümen.</v>
      </c>
    </row>
    <row r="25502">
      <c r="A25502" s="4" t="s">
        <v>32101</v>
      </c>
      <c r="B25502" s="4" t="s">
        <v>32102</v>
      </c>
      <c r="C25502" s="5" t="str">
        <f>IFERROR(__xludf.DUMMYFUNCTION("GOOGLETRANSLATE(B25502,""en"",""de"")"),"Mehrere Leute haben gesehen, wie sie Skier und Autos greifen und miteinander sprechen.")</f>
        <v>Mehrere Leute haben gesehen, wie sie Skier und Autos greifen und miteinander sprechen.</v>
      </c>
    </row>
    <row r="25503">
      <c r="A25503" s="4" t="s">
        <v>32101</v>
      </c>
      <c r="B25503" s="4" t="s">
        <v>32103</v>
      </c>
      <c r="C25503" s="5" t="str">
        <f>IFERROR(__xludf.DUMMYFUNCTION("GOOGLETRANSLATE(B25503,""en"",""de"")"),"Dies führt zu mehreren Skifahrern, die nacheinander die Berge reiten.")</f>
        <v>Dies führt zu mehreren Skifahrern, die nacheinander die Berge reiten.</v>
      </c>
    </row>
    <row r="25504">
      <c r="A25504" s="4" t="s">
        <v>32101</v>
      </c>
      <c r="B25504" s="4" t="s">
        <v>32104</v>
      </c>
      <c r="C25504" s="5" t="str">
        <f>IFERROR(__xludf.DUMMYFUNCTION("GOOGLETRANSLATE(B25504,""en"",""de"")"),"Die Leute reiten zusammen und ein Solo und endet damit, dass ein Mann in die Kamera tritt.")</f>
        <v>Die Leute reiten zusammen und ein Solo und endet damit, dass ein Mann in die Kamera tritt.</v>
      </c>
    </row>
    <row r="25505">
      <c r="A25505" s="4" t="s">
        <v>32105</v>
      </c>
      <c r="B25505" s="4" t="s">
        <v>32106</v>
      </c>
      <c r="C25505" s="5" t="str">
        <f>IFERROR(__xludf.DUMMYFUNCTION("GOOGLETRANSLATE(B25505,""en"",""de"")"),"Der Athlet zieht seine roten Turnschuhe an, dann sprach er mit der Kamera und rennt dann im Innenverfolgungsfeld.")</f>
        <v>Der Athlet zieht seine roten Turnschuhe an, dann sprach er mit der Kamera und rennt dann im Innenverfolgungsfeld.</v>
      </c>
    </row>
    <row r="25506">
      <c r="A25506" s="4" t="s">
        <v>32105</v>
      </c>
      <c r="B25506" s="4" t="s">
        <v>32107</v>
      </c>
      <c r="C25506" s="5" t="str">
        <f>IFERROR(__xludf.DUMMYFUNCTION("GOOGLETRANSLATE(B25506,""en"",""de"")"),"Er ruhte sich ein bisschen aus, dann hat sein Trainer ein Interview, dann hat sich die Szene verändert, in der der Athlet zu üben begann, herumlief, und dann sprang einige Pole.")</f>
        <v>Er ruhte sich ein bisschen aus, dann hat sein Trainer ein Interview, dann hat sich die Szene verändert, in der der Athlet zu üben begann, herumlief, und dann sprang einige Pole.</v>
      </c>
    </row>
    <row r="25507">
      <c r="A25507" s="4" t="s">
        <v>32105</v>
      </c>
      <c r="B25507" s="4" t="s">
        <v>32108</v>
      </c>
      <c r="C25507" s="5" t="str">
        <f>IFERROR(__xludf.DUMMYFUNCTION("GOOGLETRANSLATE(B25507,""en"",""de"")"),"Er machte einige Übungen und Strecken.")</f>
        <v>Er machte einige Übungen und Strecken.</v>
      </c>
    </row>
    <row r="25508">
      <c r="A25508" s="4" t="s">
        <v>32109</v>
      </c>
      <c r="B25508" s="4" t="s">
        <v>32110</v>
      </c>
      <c r="C25508" s="5" t="str">
        <f>IFERROR(__xludf.DUMMYFUNCTION("GOOGLETRANSLATE(B25508,""en"",""de"")"),"Ein Junge in einem orangefarbenen Hemd spielt ein Videospiel.")</f>
        <v>Ein Junge in einem orangefarbenen Hemd spielt ein Videospiel.</v>
      </c>
    </row>
    <row r="25509">
      <c r="A25509" s="4" t="s">
        <v>32109</v>
      </c>
      <c r="B25509" s="4" t="s">
        <v>32111</v>
      </c>
      <c r="C25509" s="5" t="str">
        <f>IFERROR(__xludf.DUMMYFUNCTION("GOOGLETRANSLATE(B25509,""en"",""de"")"),"Die Szene ändert sich im Spiel selbst.")</f>
        <v>Die Szene ändert sich im Spiel selbst.</v>
      </c>
    </row>
    <row r="25510">
      <c r="A25510" s="4" t="s">
        <v>32109</v>
      </c>
      <c r="B25510" s="4" t="s">
        <v>32112</v>
      </c>
      <c r="C25510" s="5" t="str">
        <f>IFERROR(__xludf.DUMMYFUNCTION("GOOGLETRANSLATE(B25510,""en"",""de"")"),"Die Szene wechselt zurück zum Jungen.")</f>
        <v>Die Szene wechselt zurück zum Jungen.</v>
      </c>
    </row>
    <row r="25511">
      <c r="A25511" s="4" t="s">
        <v>32109</v>
      </c>
      <c r="B25511" s="4" t="s">
        <v>32113</v>
      </c>
      <c r="C25511" s="5" t="str">
        <f>IFERROR(__xludf.DUMMYFUNCTION("GOOGLETRANSLATE(B25511,""en"",""de"")"),"Die Kamera vergrößert den Controller.")</f>
        <v>Die Kamera vergrößert den Controller.</v>
      </c>
    </row>
    <row r="25512">
      <c r="A25512" s="4" t="s">
        <v>32109</v>
      </c>
      <c r="B25512" s="4" t="s">
        <v>32114</v>
      </c>
      <c r="C25512" s="5" t="str">
        <f>IFERROR(__xludf.DUMMYFUNCTION("GOOGLETRANSLATE(B25512,""en"",""de"")"),"Die Szene geht zurück zum Spiel.")</f>
        <v>Die Szene geht zurück zum Spiel.</v>
      </c>
    </row>
    <row r="25513">
      <c r="A25513" s="4" t="s">
        <v>32109</v>
      </c>
      <c r="B25513" s="4" t="s">
        <v>32115</v>
      </c>
      <c r="C25513" s="5" t="str">
        <f>IFERROR(__xludf.DUMMYFUNCTION("GOOGLETRANSLATE(B25513,""en"",""de"")"),"Es gibt eine Nahaufnahme des Gesichts des Jungen.")</f>
        <v>Es gibt eine Nahaufnahme des Gesichts des Jungen.</v>
      </c>
    </row>
    <row r="25514">
      <c r="A25514" s="4" t="s">
        <v>32109</v>
      </c>
      <c r="B25514" s="4" t="s">
        <v>32116</v>
      </c>
      <c r="C25514" s="5" t="str">
        <f>IFERROR(__xludf.DUMMYFUNCTION("GOOGLETRANSLATE(B25514,""en"",""de"")"),"Die Kamera zeigt den Fernseher mit der Rückseite des Kopfes des Jungen.")</f>
        <v>Die Kamera zeigt den Fernseher mit der Rückseite des Kopfes des Jungen.</v>
      </c>
    </row>
    <row r="25515">
      <c r="A25515" s="4" t="s">
        <v>32109</v>
      </c>
      <c r="B25515" s="4" t="s">
        <v>32117</v>
      </c>
      <c r="C25515" s="5" t="str">
        <f>IFERROR(__xludf.DUMMYFUNCTION("GOOGLETRANSLATE(B25515,""en"",""de"")"),"Das Spiel spielt bis zum Ende.")</f>
        <v>Das Spiel spielt bis zum Ende.</v>
      </c>
    </row>
    <row r="25516">
      <c r="A25516" s="4" t="s">
        <v>32109</v>
      </c>
      <c r="B25516" s="4" t="s">
        <v>32118</v>
      </c>
      <c r="C25516" s="5" t="str">
        <f>IFERROR(__xludf.DUMMYFUNCTION("GOOGLETRANSLATE(B25516,""en"",""de"")"),"Der Junge sagt etwas und Fernsehen hat Zahlen.")</f>
        <v>Der Junge sagt etwas und Fernsehen hat Zahlen.</v>
      </c>
    </row>
    <row r="25517">
      <c r="A25517" s="4" t="s">
        <v>32109</v>
      </c>
      <c r="B25517" s="4" t="s">
        <v>32119</v>
      </c>
      <c r="C25517" s="5" t="str">
        <f>IFERROR(__xludf.DUMMYFUNCTION("GOOGLETRANSLATE(B25517,""en"",""de"")"),"Der Junge redet wieder.")</f>
        <v>Der Junge redet wieder.</v>
      </c>
    </row>
    <row r="25518">
      <c r="A25518" s="4" t="s">
        <v>32109</v>
      </c>
      <c r="B25518" s="4" t="s">
        <v>32120</v>
      </c>
      <c r="C25518" s="5" t="str">
        <f>IFERROR(__xludf.DUMMYFUNCTION("GOOGLETRANSLATE(B25518,""en"",""de"")"),"Der Junge steht auf und verlässt den Raum.")</f>
        <v>Der Junge steht auf und verlässt den Raum.</v>
      </c>
    </row>
    <row r="25519">
      <c r="A25519" s="4" t="s">
        <v>32109</v>
      </c>
      <c r="B25519" s="4" t="s">
        <v>32121</v>
      </c>
      <c r="C25519" s="5" t="str">
        <f>IFERROR(__xludf.DUMMYFUNCTION("GOOGLETRANSLATE(B25519,""en"",""de"")"),"Er geht auf die Toilette und rieb sich die Augen.")</f>
        <v>Er geht auf die Toilette und rieb sich die Augen.</v>
      </c>
    </row>
    <row r="25520">
      <c r="A25520" s="4" t="s">
        <v>32109</v>
      </c>
      <c r="B25520" s="4" t="s">
        <v>32122</v>
      </c>
      <c r="C25520" s="5" t="str">
        <f>IFERROR(__xludf.DUMMYFUNCTION("GOOGLETRANSLATE(B25520,""en"",""de"")"),"Er schaut in den Spiegel, greift dann nach der Gesichtswäsche und steckt einige in seine Hand.")</f>
        <v>Er schaut in den Spiegel, greift dann nach der Gesichtswäsche und steckt einige in seine Hand.</v>
      </c>
    </row>
    <row r="25521">
      <c r="A25521" s="4" t="s">
        <v>32109</v>
      </c>
      <c r="B25521" s="4" t="s">
        <v>32123</v>
      </c>
      <c r="C25521" s="5" t="str">
        <f>IFERROR(__xludf.DUMMYFUNCTION("GOOGLETRANSLATE(B25521,""en"",""de"")"),"Er wirft das Gesicht auf die Waschmaschine.")</f>
        <v>Er wirft das Gesicht auf die Waschmaschine.</v>
      </c>
    </row>
    <row r="25522">
      <c r="A25522" s="4" t="s">
        <v>32109</v>
      </c>
      <c r="B25522" s="4" t="s">
        <v>32124</v>
      </c>
      <c r="C25522" s="5" t="str">
        <f>IFERROR(__xludf.DUMMYFUNCTION("GOOGLETRANSLATE(B25522,""en"",""de"")"),"Er steckt seinen Kopf in das Waschbecken und wäscht sein Gesicht wütend.")</f>
        <v>Er steckt seinen Kopf in das Waschbecken und wäscht sein Gesicht wütend.</v>
      </c>
    </row>
    <row r="25523">
      <c r="A25523" s="4" t="s">
        <v>32109</v>
      </c>
      <c r="B25523" s="4" t="s">
        <v>32125</v>
      </c>
      <c r="C25523" s="5" t="str">
        <f>IFERROR(__xludf.DUMMYFUNCTION("GOOGLETRANSLATE(B25523,""en"",""de"")"),"Wenn er wieder in den Spiegel schaut, ist es ein alter Mann.")</f>
        <v>Wenn er wieder in den Spiegel schaut, ist es ein alter Mann.</v>
      </c>
    </row>
    <row r="25524">
      <c r="A25524" s="4" t="s">
        <v>32109</v>
      </c>
      <c r="B25524" s="4" t="s">
        <v>32126</v>
      </c>
      <c r="C25524" s="5" t="str">
        <f>IFERROR(__xludf.DUMMYFUNCTION("GOOGLETRANSLATE(B25524,""en"",""de"")"),"Er fällt zu Boden.")</f>
        <v>Er fällt zu Boden.</v>
      </c>
    </row>
    <row r="25525">
      <c r="A25525" s="4" t="s">
        <v>32109</v>
      </c>
      <c r="B25525" s="4" t="s">
        <v>32127</v>
      </c>
      <c r="C25525" s="5" t="str">
        <f>IFERROR(__xludf.DUMMYFUNCTION("GOOGLETRANSLATE(B25525,""en"",""de"")"),"Er wäscht sein Gesicht wieder und dieses Mal wendet es sich zu einem Schädel.")</f>
        <v>Er wäscht sein Gesicht wieder und dieses Mal wendet es sich zu einem Schädel.</v>
      </c>
    </row>
    <row r="25526">
      <c r="A25526" s="4" t="s">
        <v>32109</v>
      </c>
      <c r="B25526" s="4" t="s">
        <v>32128</v>
      </c>
      <c r="C25526" s="5" t="str">
        <f>IFERROR(__xludf.DUMMYFUNCTION("GOOGLETRANSLATE(B25526,""en"",""de"")"),"Er reibt sein Gesicht und der Schädel fällt in das Waschbecken.")</f>
        <v>Er reibt sein Gesicht und der Schädel fällt in das Waschbecken.</v>
      </c>
    </row>
    <row r="25527">
      <c r="A25527" s="4" t="s">
        <v>32129</v>
      </c>
      <c r="B25527" s="4" t="s">
        <v>32130</v>
      </c>
      <c r="C25527" s="5" t="str">
        <f>IFERROR(__xludf.DUMMYFUNCTION("GOOGLETRANSLATE(B25527,""en"",""de"")"),"Eine Person hat ihre Hand über das Objektiv.")</f>
        <v>Eine Person hat ihre Hand über das Objektiv.</v>
      </c>
    </row>
    <row r="25528">
      <c r="A25528" s="4" t="s">
        <v>32129</v>
      </c>
      <c r="B25528" s="4" t="s">
        <v>32131</v>
      </c>
      <c r="C25528" s="5" t="str">
        <f>IFERROR(__xludf.DUMMYFUNCTION("GOOGLETRANSLATE(B25528,""en"",""de"")"),"Wir sehen dann ein Kind im grauen Skifahren vor dem Kameramann.")</f>
        <v>Wir sehen dann ein Kind im grauen Skifahren vor dem Kameramann.</v>
      </c>
    </row>
    <row r="25529">
      <c r="A25529" s="4" t="s">
        <v>32129</v>
      </c>
      <c r="B25529" s="4" t="s">
        <v>32132</v>
      </c>
      <c r="C25529" s="5" t="str">
        <f>IFERROR(__xludf.DUMMYFUNCTION("GOOGLETRANSLATE(B25529,""en"",""de"")"),"Das Kind fällt von ihren Skiern und liegt im Schnee.")</f>
        <v>Das Kind fällt von ihren Skiern und liegt im Schnee.</v>
      </c>
    </row>
    <row r="25530">
      <c r="A25530" s="4" t="s">
        <v>32129</v>
      </c>
      <c r="B25530" s="4" t="s">
        <v>32133</v>
      </c>
      <c r="C25530" s="5" t="str">
        <f>IFERROR(__xludf.DUMMYFUNCTION("GOOGLETRANSLATE(B25530,""en"",""de"")"),"Die Kamera -Person stoppt und wischt Schnee aus der Kinderbrille ab und schaltet die Kamera aus.")</f>
        <v>Die Kamera -Person stoppt und wischt Schnee aus der Kinderbrille ab und schaltet die Kamera aus.</v>
      </c>
    </row>
    <row r="25531">
      <c r="A25531" s="4" t="s">
        <v>32134</v>
      </c>
      <c r="B25531" s="4" t="s">
        <v>32135</v>
      </c>
      <c r="C25531" s="5" t="str">
        <f>IFERROR(__xludf.DUMMYFUNCTION("GOOGLETRANSLATE(B25531,""en"",""de"")"),"Ein Pferd befindet sich hinter einem gelben Tor, als ein Mann oben ein Seil sitzt.")</f>
        <v>Ein Pferd befindet sich hinter einem gelben Tor, als ein Mann oben ein Seil sitzt.</v>
      </c>
    </row>
    <row r="25532">
      <c r="A25532" s="4" t="s">
        <v>32134</v>
      </c>
      <c r="B25532" s="4" t="s">
        <v>32136</v>
      </c>
      <c r="C25532" s="5" t="str">
        <f>IFERROR(__xludf.DUMMYFUNCTION("GOOGLETRANSLATE(B25532,""en"",""de"")"),"Das Tor wird geöffnet und ein schwarzes Kalb kommt auf das Feld des Schmutzes.")</f>
        <v>Das Tor wird geöffnet und ein schwarzes Kalb kommt auf das Feld des Schmutzes.</v>
      </c>
    </row>
    <row r="25533">
      <c r="A25533" s="4" t="s">
        <v>32134</v>
      </c>
      <c r="B25533" s="4" t="s">
        <v>32137</v>
      </c>
      <c r="C25533" s="5" t="str">
        <f>IFERROR(__xludf.DUMMYFUNCTION("GOOGLETRANSLATE(B25533,""en"",""de"")"),"Fast augenblicklich wirft der Mann seinen Lasso und springt weg, um die Kuh zu sichern.")</f>
        <v>Fast augenblicklich wirft der Mann seinen Lasso und springt weg, um die Kuh zu sichern.</v>
      </c>
    </row>
    <row r="25534">
      <c r="A25534" s="4" t="s">
        <v>32134</v>
      </c>
      <c r="B25534" s="4" t="s">
        <v>32138</v>
      </c>
      <c r="C25534" s="5" t="str">
        <f>IFERROR(__xludf.DUMMYFUNCTION("GOOGLETRANSLATE(B25534,""en"",""de"")"),"Sobald er fertig ist, steigt der Mann wieder auf das Pferd und andere Personen kommen heraus, um das Kalb herauszunehmen.")</f>
        <v>Sobald er fertig ist, steigt der Mann wieder auf das Pferd und andere Personen kommen heraus, um das Kalb herauszunehmen.</v>
      </c>
    </row>
    <row r="25535">
      <c r="A25535" s="4" t="s">
        <v>32139</v>
      </c>
      <c r="B25535" s="4" t="s">
        <v>32140</v>
      </c>
      <c r="C25535" s="5" t="str">
        <f>IFERROR(__xludf.DUMMYFUNCTION("GOOGLETRANSLATE(B25535,""en"",""de"")"),"Eine Kamera kommt näher an ein Mädchen, das auf ihr Auge im Spiegel zeigt.")</f>
        <v>Eine Kamera kommt näher an ein Mädchen, das auf ihr Auge im Spiegel zeigt.</v>
      </c>
    </row>
    <row r="25536">
      <c r="A25536" s="4" t="s">
        <v>32139</v>
      </c>
      <c r="B25536" s="4" t="s">
        <v>32141</v>
      </c>
      <c r="C25536" s="5" t="str">
        <f>IFERROR(__xludf.DUMMYFUNCTION("GOOGLETRANSLATE(B25536,""en"",""de"")"),"Sie beugt sich dann nach vorne und steckt ihr Gesicht unter das Wasser, das es entlang ihres Gesichts rieb.")</f>
        <v>Sie beugt sich dann nach vorne und steckt ihr Gesicht unter das Wasser, das es entlang ihres Gesichts rieb.</v>
      </c>
    </row>
    <row r="25537">
      <c r="A25537" s="4" t="s">
        <v>32142</v>
      </c>
      <c r="B25537" s="4" t="s">
        <v>32143</v>
      </c>
      <c r="C25537" s="5" t="str">
        <f>IFERROR(__xludf.DUMMYFUNCTION("GOOGLETRANSLATE(B25537,""en"",""de"")"),"Eine Frau hält ein Akkordeon, während sie ihre Fäuste in die Luft schüttelt.")</f>
        <v>Eine Frau hält ein Akkordeon, während sie ihre Fäuste in die Luft schüttelt.</v>
      </c>
    </row>
    <row r="25538">
      <c r="A25538" s="4" t="s">
        <v>32142</v>
      </c>
      <c r="B25538" s="4" t="s">
        <v>32144</v>
      </c>
      <c r="C25538" s="5" t="str">
        <f>IFERROR(__xludf.DUMMYFUNCTION("GOOGLETRANSLATE(B25538,""en"",""de"")"),"Eine Band geht hinter ihr hinein und beginnt zu spielen, während sie es tut.")</f>
        <v>Eine Band geht hinter ihr hinein und beginnt zu spielen, während sie es tut.</v>
      </c>
    </row>
    <row r="25539">
      <c r="A25539" s="4" t="s">
        <v>32142</v>
      </c>
      <c r="B25539" s="4" t="s">
        <v>32145</v>
      </c>
      <c r="C25539" s="5" t="str">
        <f>IFERROR(__xludf.DUMMYFUNCTION("GOOGLETRANSLATE(B25539,""en"",""de"")"),"Das Mädchen spielt weiterhin mit der Band und endet, indem sie zur Kamera schaut.")</f>
        <v>Das Mädchen spielt weiterhin mit der Band und endet, indem sie zur Kamera schaut.</v>
      </c>
    </row>
    <row r="25540">
      <c r="A25540" s="4" t="s">
        <v>32146</v>
      </c>
      <c r="B25540" s="4" t="s">
        <v>32147</v>
      </c>
      <c r="C25540" s="5" t="str">
        <f>IFERROR(__xludf.DUMMYFUNCTION("GOOGLETRANSLATE(B25540,""en"",""de"")"),"Ein Mann wird gesehen, wie er mit geschlossenem Auge auf einem Feld steht und still steht.")</f>
        <v>Ein Mann wird gesehen, wie er mit geschlossenem Auge auf einem Feld steht und still steht.</v>
      </c>
    </row>
    <row r="25541">
      <c r="A25541" s="4" t="s">
        <v>32146</v>
      </c>
      <c r="B25541" s="4" t="s">
        <v>32148</v>
      </c>
      <c r="C25541" s="5" t="str">
        <f>IFERROR(__xludf.DUMMYFUNCTION("GOOGLETRANSLATE(B25541,""en"",""de"")"),"Der Mann bewegt dann seine Arme und Beine um seinen Körper.")</f>
        <v>Der Mann bewegt dann seine Arme und Beine um seinen Körper.</v>
      </c>
    </row>
    <row r="25542">
      <c r="A25542" s="4" t="s">
        <v>32146</v>
      </c>
      <c r="B25542" s="4" t="s">
        <v>32149</v>
      </c>
      <c r="C25542" s="5" t="str">
        <f>IFERROR(__xludf.DUMMYFUNCTION("GOOGLETRANSLATE(B25542,""en"",""de"")"),"Er bewegt seinen Körper mit geschlossenen Augen weiter.")</f>
        <v>Er bewegt seinen Körper mit geschlossenen Augen weiter.</v>
      </c>
    </row>
    <row r="25543">
      <c r="A25543" s="4" t="s">
        <v>32150</v>
      </c>
      <c r="B25543" s="4" t="s">
        <v>32151</v>
      </c>
      <c r="C25543" s="5" t="str">
        <f>IFERROR(__xludf.DUMMYFUNCTION("GOOGLETRANSLATE(B25543,""en"",""de"")"),"Eine Frau liegt auf einem Tisch, der für das Ohrenpiercing vorbereitet ist.")</f>
        <v>Eine Frau liegt auf einem Tisch, der für das Ohrenpiercing vorbereitet ist.</v>
      </c>
    </row>
    <row r="25544">
      <c r="A25544" s="4" t="s">
        <v>32150</v>
      </c>
      <c r="B25544" s="4" t="s">
        <v>32152</v>
      </c>
      <c r="C25544" s="5" t="str">
        <f>IFERROR(__xludf.DUMMYFUNCTION("GOOGLETRANSLATE(B25544,""en"",""de"")"),"Die für die Operation verantwortliche Person durchbohrt ihr Ohr an zwei Stellen mit einer kleinen Stange.")</f>
        <v>Die für die Operation verantwortliche Person durchbohrt ihr Ohr an zwei Stellen mit einer kleinen Stange.</v>
      </c>
    </row>
    <row r="25545">
      <c r="A25545" s="4" t="s">
        <v>32150</v>
      </c>
      <c r="B25545" s="4" t="s">
        <v>32153</v>
      </c>
      <c r="C25545" s="5" t="str">
        <f>IFERROR(__xludf.DUMMYFUNCTION("GOOGLETRANSLATE(B25545,""en"",""de"")"),"Die Person wendet einen Korken auf ein Ende der Stange an.")</f>
        <v>Die Person wendet einen Korken auf ein Ende der Stange an.</v>
      </c>
    </row>
    <row r="25546">
      <c r="A25546" s="4" t="s">
        <v>32150</v>
      </c>
      <c r="B25546" s="4" t="s">
        <v>32154</v>
      </c>
      <c r="C25546" s="5" t="str">
        <f>IFERROR(__xludf.DUMMYFUNCTION("GOOGLETRANSLATE(B25546,""en"",""de"")"),"Die Person schiebt eine andere Stange durch die Löcher, die durch das anfängliche Piercing erzeugt werden.")</f>
        <v>Die Person schiebt eine andere Stange durch die Löcher, die durch das anfängliche Piercing erzeugt werden.</v>
      </c>
    </row>
    <row r="25547">
      <c r="A25547" s="4" t="s">
        <v>32150</v>
      </c>
      <c r="B25547" s="4" t="s">
        <v>32155</v>
      </c>
      <c r="C25547" s="5" t="str">
        <f>IFERROR(__xludf.DUMMYFUNCTION("GOOGLETRANSLATE(B25547,""en"",""de"")"),"Die Person beendet die neue Stange an beiden Enden.")</f>
        <v>Die Person beendet die neue Stange an beiden Enden.</v>
      </c>
    </row>
    <row r="25548">
      <c r="A25548" s="4" t="s">
        <v>32150</v>
      </c>
      <c r="B25548" s="4" t="s">
        <v>32156</v>
      </c>
      <c r="C25548" s="5" t="str">
        <f>IFERROR(__xludf.DUMMYFUNCTION("GOOGLETRANSLATE(B25548,""en"",""de"")"),"Die Frau zeigt ihr neues Piercing und lächelt.")</f>
        <v>Die Frau zeigt ihr neues Piercing und lächelt.</v>
      </c>
    </row>
    <row r="25549">
      <c r="A25549" s="4" t="s">
        <v>32157</v>
      </c>
      <c r="B25549" s="4" t="s">
        <v>32158</v>
      </c>
      <c r="C25549" s="5" t="str">
        <f>IFERROR(__xludf.DUMMYFUNCTION("GOOGLETRANSLATE(B25549,""en"",""de"")"),"Ein kleines Kind lächelt zur Kamera und beginnt, über Affenstangen zu klettern.")</f>
        <v>Ein kleines Kind lächelt zur Kamera und beginnt, über Affenstangen zu klettern.</v>
      </c>
    </row>
    <row r="25550">
      <c r="A25550" s="4" t="s">
        <v>32157</v>
      </c>
      <c r="B25550" s="4" t="s">
        <v>32159</v>
      </c>
      <c r="C25550" s="5" t="str">
        <f>IFERROR(__xludf.DUMMYFUNCTION("GOOGLETRANSLATE(B25550,""en"",""de"")"),"Sie schafft es auf die andere Seite und winkt dann zur Kamera.")</f>
        <v>Sie schafft es auf die andere Seite und winkt dann zur Kamera.</v>
      </c>
    </row>
    <row r="25551">
      <c r="A25551" s="4" t="s">
        <v>32160</v>
      </c>
      <c r="B25551" s="4" t="s">
        <v>32161</v>
      </c>
      <c r="C25551" s="5" t="str">
        <f>IFERROR(__xludf.DUMMYFUNCTION("GOOGLETRANSLATE(B25551,""en"",""de"")"),"Eine Person hält kleine Gegenstände in ihren Händen.")</f>
        <v>Eine Person hält kleine Gegenstände in ihren Händen.</v>
      </c>
    </row>
    <row r="25552">
      <c r="A25552" s="4" t="s">
        <v>32160</v>
      </c>
      <c r="B25552" s="4" t="s">
        <v>32162</v>
      </c>
      <c r="C25552" s="5" t="str">
        <f>IFERROR(__xludf.DUMMYFUNCTION("GOOGLETRANSLATE(B25552,""en"",""de"")"),"Die Person wendet Objekte kontinuierlich auf eine Holzoberfläche an.")</f>
        <v>Die Person wendet Objekte kontinuierlich auf eine Holzoberfläche an.</v>
      </c>
    </row>
    <row r="25553">
      <c r="A25553" s="4" t="s">
        <v>32160</v>
      </c>
      <c r="B25553" s="4" t="s">
        <v>32163</v>
      </c>
      <c r="C25553" s="5" t="str">
        <f>IFERROR(__xludf.DUMMYFUNCTION("GOOGLETRANSLATE(B25553,""en"",""de"")"),"Wenn die Person das kleinere Objekt anreibt, legt sie einen weißen Rückstand auf die Oberfläche.")</f>
        <v>Wenn die Person das kleinere Objekt anreibt, legt sie einen weißen Rückstand auf die Oberfläche.</v>
      </c>
    </row>
    <row r="25554">
      <c r="A25554" s="4" t="s">
        <v>32160</v>
      </c>
      <c r="B25554" s="4" t="s">
        <v>32164</v>
      </c>
      <c r="C25554" s="5" t="str">
        <f>IFERROR(__xludf.DUMMYFUNCTION("GOOGLETRANSLATE(B25554,""en"",""de"")"),"Wenn die Person das braune Objekt abreibt, entfernt sie den Rückstand.")</f>
        <v>Wenn die Person das braune Objekt abreibt, entfernt sie den Rückstand.</v>
      </c>
    </row>
    <row r="25555">
      <c r="A25555" s="4" t="s">
        <v>32165</v>
      </c>
      <c r="B25555" s="4" t="s">
        <v>32166</v>
      </c>
      <c r="C25555" s="5" t="str">
        <f>IFERROR(__xludf.DUMMYFUNCTION("GOOGLETRANSLATE(B25555,""en"",""de"")"),"Ein Mann zeigt sich vor mehreren Trommeln und schlägt in einen Rhythmus.")</f>
        <v>Ein Mann zeigt sich vor mehreren Trommeln und schlägt in einen Rhythmus.</v>
      </c>
    </row>
    <row r="25556">
      <c r="A25556" s="4" t="s">
        <v>32165</v>
      </c>
      <c r="B25556" s="4" t="s">
        <v>32167</v>
      </c>
      <c r="C25556" s="5" t="str">
        <f>IFERROR(__xludf.DUMMYFUNCTION("GOOGLETRANSLATE(B25556,""en"",""de"")"),"Er spricht mit der Kamera über sein Lied und darüber, was er spielen will.")</f>
        <v>Er spricht mit der Kamera über sein Lied und darüber, was er spielen will.</v>
      </c>
    </row>
    <row r="25557">
      <c r="A25557" s="4" t="s">
        <v>32165</v>
      </c>
      <c r="B25557" s="4" t="s">
        <v>32168</v>
      </c>
      <c r="C25557" s="5" t="str">
        <f>IFERROR(__xludf.DUMMYFUNCTION("GOOGLETRANSLATE(B25557,""en"",""de"")"),"Der Mann spielt weiter, während die Kamera auf ihn ein- und ausschließt.")</f>
        <v>Der Mann spielt weiter, während die Kamera auf ihn ein- und ausschließt.</v>
      </c>
    </row>
    <row r="25558">
      <c r="A25558" s="4" t="s">
        <v>32169</v>
      </c>
      <c r="B25558" s="4" t="s">
        <v>32170</v>
      </c>
      <c r="C25558" s="5" t="str">
        <f>IFERROR(__xludf.DUMMYFUNCTION("GOOGLETRANSLATE(B25558,""en"",""de"")"),"Ein Schwarzer -Turner bereitet sich auf eine parallele Barausstellung vor.")</f>
        <v>Ein Schwarzer -Turner bereitet sich auf eine parallele Barausstellung vor.</v>
      </c>
    </row>
    <row r="25559">
      <c r="A25559" s="4" t="s">
        <v>32169</v>
      </c>
      <c r="B25559" s="4" t="s">
        <v>32171</v>
      </c>
      <c r="C25559" s="5" t="str">
        <f>IFERROR(__xludf.DUMMYFUNCTION("GOOGLETRANSLATE(B25559,""en"",""de"")"),"Der Mann montiert die parallele Balken und geht in einen Handstand und führt eine Reihe von Spins und Bewegungen aus.")</f>
        <v>Der Mann montiert die parallele Balken und geht in einen Handstand und führt eine Reihe von Spins und Bewegungen aus.</v>
      </c>
    </row>
    <row r="25560">
      <c r="A25560" s="4" t="s">
        <v>32169</v>
      </c>
      <c r="B25560" s="4" t="s">
        <v>32172</v>
      </c>
      <c r="C25560" s="5" t="str">
        <f>IFERROR(__xludf.DUMMYFUNCTION("GOOGLETRANSLATE(B25560,""en"",""de"")"),"Der Turner geht in seine Abläufe und landet eine perfekte Landung auf der Matte.")</f>
        <v>Der Turner geht in seine Abläufe und landet eine perfekte Landung auf der Matte.</v>
      </c>
    </row>
    <row r="25561">
      <c r="A25561" s="4" t="s">
        <v>32173</v>
      </c>
      <c r="B25561" s="4" t="s">
        <v>32174</v>
      </c>
      <c r="C25561" s="5" t="str">
        <f>IFERROR(__xludf.DUMMYFUNCTION("GOOGLETRANSLATE(B25561,""en"",""de"")"),"Ein Mann hängt Tapete auf.")</f>
        <v>Ein Mann hängt Tapete auf.</v>
      </c>
    </row>
    <row r="25562">
      <c r="A25562" s="4" t="s">
        <v>32173</v>
      </c>
      <c r="B25562" s="4" t="s">
        <v>32175</v>
      </c>
      <c r="C25562" s="5" t="str">
        <f>IFERROR(__xludf.DUMMYFUNCTION("GOOGLETRANSLATE(B25562,""en"",""de"")"),"Er schaut zurück in die Kamera.")</f>
        <v>Er schaut zurück in die Kamera.</v>
      </c>
    </row>
    <row r="25563">
      <c r="A25563" s="4" t="s">
        <v>32173</v>
      </c>
      <c r="B25563" s="4" t="s">
        <v>32176</v>
      </c>
      <c r="C25563" s="5" t="str">
        <f>IFERROR(__xludf.DUMMYFUNCTION("GOOGLETRANSLATE(B25563,""en"",""de"")"),"Er tritt von der Stiefleiter zurück.")</f>
        <v>Er tritt von der Stiefleiter zurück.</v>
      </c>
    </row>
    <row r="25564">
      <c r="A25564" s="4" t="s">
        <v>32173</v>
      </c>
      <c r="B25564" s="4" t="s">
        <v>32177</v>
      </c>
      <c r="C25564" s="5" t="str">
        <f>IFERROR(__xludf.DUMMYFUNCTION("GOOGLETRANSLATE(B25564,""en"",""de"")"),"Ein Stuhl erscheint mit der Tapete.")</f>
        <v>Ein Stuhl erscheint mit der Tapete.</v>
      </c>
    </row>
    <row r="25565">
      <c r="A25565" s="4" t="s">
        <v>32173</v>
      </c>
      <c r="B25565" s="4" t="s">
        <v>32178</v>
      </c>
      <c r="C25565" s="5" t="str">
        <f>IFERROR(__xludf.DUMMYFUNCTION("GOOGLETRANSLATE(B25565,""en"",""de"")"),"Der Mann nimmt das Papier ab.")</f>
        <v>Der Mann nimmt das Papier ab.</v>
      </c>
    </row>
    <row r="25566">
      <c r="A25566" s="4" t="s">
        <v>32179</v>
      </c>
      <c r="B25566" s="4" t="s">
        <v>32180</v>
      </c>
      <c r="C25566" s="5" t="str">
        <f>IFERROR(__xludf.DUMMYFUNCTION("GOOGLETRANSLATE(B25566,""en"",""de"")"),"Es gibt einen Billardtisch mit Billardkugeln.")</f>
        <v>Es gibt einen Billardtisch mit Billardkugeln.</v>
      </c>
    </row>
    <row r="25567">
      <c r="A25567" s="4" t="s">
        <v>32179</v>
      </c>
      <c r="B25567" s="4" t="s">
        <v>32181</v>
      </c>
      <c r="C25567" s="5" t="str">
        <f>IFERROR(__xludf.DUMMYFUNCTION("GOOGLETRANSLATE(B25567,""en"",""de"")"),"Eine Person hat einen Pool -Hinweis in der Hand.")</f>
        <v>Eine Person hat einen Pool -Hinweis in der Hand.</v>
      </c>
    </row>
    <row r="25568">
      <c r="A25568" s="4" t="s">
        <v>32179</v>
      </c>
      <c r="B25568" s="4" t="s">
        <v>32182</v>
      </c>
      <c r="C25568" s="5" t="str">
        <f>IFERROR(__xludf.DUMMYFUNCTION("GOOGLETRANSLATE(B25568,""en"",""de"")"),"Sie schlugen den Cue -Ball in die anderen Bälle.")</f>
        <v>Sie schlugen den Cue -Ball in die anderen Bälle.</v>
      </c>
    </row>
    <row r="25569">
      <c r="A25569" s="4" t="s">
        <v>32183</v>
      </c>
      <c r="B25569" s="4" t="s">
        <v>32184</v>
      </c>
      <c r="C25569" s="5" t="str">
        <f>IFERROR(__xludf.DUMMYFUNCTION("GOOGLETRANSLATE(B25569,""en"",""de"")"),"Ein Gymaist -Stand haltend ist der Arm und springt auf einen Strahl.")</f>
        <v>Ein Gymaist -Stand haltend ist der Arm und springt auf einen Strahl.</v>
      </c>
    </row>
    <row r="25570">
      <c r="A25570" s="4" t="s">
        <v>32183</v>
      </c>
      <c r="B25570" s="4" t="s">
        <v>32185</v>
      </c>
      <c r="C25570" s="5" t="str">
        <f>IFERROR(__xludf.DUMMYFUNCTION("GOOGLETRANSLATE(B25570,""en"",""de"")"),"Er bewegt seine Arme und dreht sich um eine Reihe von Stangen.")</f>
        <v>Er bewegt seine Arme und dreht sich um eine Reihe von Stangen.</v>
      </c>
    </row>
    <row r="25571">
      <c r="A25571" s="4" t="s">
        <v>32183</v>
      </c>
      <c r="B25571" s="4" t="s">
        <v>32186</v>
      </c>
      <c r="C25571" s="5" t="str">
        <f>IFERROR(__xludf.DUMMYFUNCTION("GOOGLETRANSLATE(B25571,""en"",""de"")"),"Er macht Handstand und flieht und springt ab, um seine Routine zu beenden.")</f>
        <v>Er macht Handstand und flieht und springt ab, um seine Routine zu beenden.</v>
      </c>
    </row>
    <row r="25572">
      <c r="A25572" s="4" t="s">
        <v>32187</v>
      </c>
      <c r="B25572" s="4" t="s">
        <v>32188</v>
      </c>
      <c r="C25572" s="5" t="str">
        <f>IFERROR(__xludf.DUMMYFUNCTION("GOOGLETRANSLATE(B25572,""en"",""de"")"),"Ein Mann legt einen Geschirr auf und steigt auf eine Brücke.")</f>
        <v>Ein Mann legt einen Geschirr auf und steigt auf eine Brücke.</v>
      </c>
    </row>
    <row r="25573">
      <c r="A25573" s="4" t="s">
        <v>32187</v>
      </c>
      <c r="B25573" s="4" t="s">
        <v>32189</v>
      </c>
      <c r="C25573" s="5" t="str">
        <f>IFERROR(__xludf.DUMMYFUNCTION("GOOGLETRANSLATE(B25573,""en"",""de"")"),"Er springt von der Brücke und Bungee springt über ein Gewässer.")</f>
        <v>Er springt von der Brücke und Bungee springt über ein Gewässer.</v>
      </c>
    </row>
    <row r="25574">
      <c r="A25574" s="4" t="s">
        <v>32187</v>
      </c>
      <c r="B25574" s="4" t="s">
        <v>32190</v>
      </c>
      <c r="C25574" s="5" t="str">
        <f>IFERROR(__xludf.DUMMYFUNCTION("GOOGLETRANSLATE(B25574,""en"",""de"")"),"Ein Boot fährt hoch und legt ihn in das Boot.")</f>
        <v>Ein Boot fährt hoch und legt ihn in das Boot.</v>
      </c>
    </row>
    <row r="25575">
      <c r="A25575" s="4" t="s">
        <v>32191</v>
      </c>
      <c r="B25575" s="4" t="s">
        <v>32192</v>
      </c>
      <c r="C25575" s="5" t="str">
        <f>IFERROR(__xludf.DUMMYFUNCTION("GOOGLETRANSLATE(B25575,""en"",""de"")"),"Ein Mädchen, das als Wildfang und ein in einem rotes Hemd gekleidetes Junge gekleidet ist, stehen in einem Raum gegenseitig in einem unordentlichen Raum.")</f>
        <v>Ein Mädchen, das als Wildfang und ein in einem rotes Hemd gekleidetes Junge gekleidet ist, stehen in einem Raum gegenseitig in einem unordentlichen Raum.</v>
      </c>
    </row>
    <row r="25576">
      <c r="A25576" s="4" t="s">
        <v>32191</v>
      </c>
      <c r="B25576" s="4" t="s">
        <v>32193</v>
      </c>
      <c r="C25576" s="5" t="str">
        <f>IFERROR(__xludf.DUMMYFUNCTION("GOOGLETRANSLATE(B25576,""en"",""de"")"),"Die beiden beginnen sich zu greifen und beginnen mit Salsa zu tanzen.")</f>
        <v>Die beiden beginnen sich zu greifen und beginnen mit Salsa zu tanzen.</v>
      </c>
    </row>
    <row r="25577">
      <c r="A25577" s="4" t="s">
        <v>32191</v>
      </c>
      <c r="B25577" s="4" t="s">
        <v>32194</v>
      </c>
      <c r="C25577" s="5" t="str">
        <f>IFERROR(__xludf.DUMMYFUNCTION("GOOGLETRANSLATE(B25577,""en"",""de"")"),"Sie tanzen weiter und drehen sich gegenseitig herum und machen eine Art Salsa -Tanz.")</f>
        <v>Sie tanzen weiter und drehen sich gegenseitig herum und machen eine Art Salsa -Tanz.</v>
      </c>
    </row>
    <row r="25578">
      <c r="A25578" s="4" t="s">
        <v>32195</v>
      </c>
      <c r="B25578" s="4" t="s">
        <v>32196</v>
      </c>
      <c r="C25578" s="5" t="str">
        <f>IFERROR(__xludf.DUMMYFUNCTION("GOOGLETRANSLATE(B25578,""en"",""de"")"),"Diese Frau steht für eine Weile an einer Stelle.")</f>
        <v>Diese Frau steht für eine Weile an einer Stelle.</v>
      </c>
    </row>
    <row r="25579">
      <c r="A25579" s="4" t="s">
        <v>32195</v>
      </c>
      <c r="B25579" s="4" t="s">
        <v>32197</v>
      </c>
      <c r="C25579" s="5" t="str">
        <f>IFERROR(__xludf.DUMMYFUNCTION("GOOGLETRANSLATE(B25579,""en"",""de"")"),"Dann bewegt sie sich, um den Ball in die Luft zu werfen, und sie geht zurück zu der Position, in der sie sich befand.")</f>
        <v>Dann bewegt sie sich, um den Ball in die Luft zu werfen, und sie geht zurück zu der Position, in der sie sich befand.</v>
      </c>
    </row>
    <row r="25580">
      <c r="A25580" s="4" t="s">
        <v>32195</v>
      </c>
      <c r="B25580" s="4" t="s">
        <v>32198</v>
      </c>
      <c r="C25580" s="5" t="str">
        <f>IFERROR(__xludf.DUMMYFUNCTION("GOOGLETRANSLATE(B25580,""en"",""de"")"),"Dann springt sie zurück und dreht sich um, um den Ball in kleiner Entfernung zu werfen, außer dass sie diesmal nicht ganz richtig positioniert ist.")</f>
        <v>Dann springt sie zurück und dreht sich um, um den Ball in kleiner Entfernung zu werfen, außer dass sie diesmal nicht ganz richtig positioniert ist.</v>
      </c>
    </row>
    <row r="25581">
      <c r="A25581" s="4" t="s">
        <v>32199</v>
      </c>
      <c r="B25581" s="4" t="s">
        <v>32200</v>
      </c>
      <c r="C25581" s="5" t="str">
        <f>IFERROR(__xludf.DUMMYFUNCTION("GOOGLETRANSLATE(B25581,""en"",""de"")"),"Ein Schild erscheint in einem Hof ​​und ein roter Van fährt die Straße entlang.")</f>
        <v>Ein Schild erscheint in einem Hof ​​und ein roter Van fährt die Straße entlang.</v>
      </c>
    </row>
    <row r="25582">
      <c r="A25582" s="4" t="s">
        <v>32199</v>
      </c>
      <c r="B25582" s="4" t="s">
        <v>32201</v>
      </c>
      <c r="C25582" s="5" t="str">
        <f>IFERROR(__xludf.DUMMYFUNCTION("GOOGLETRANSLATE(B25582,""en"",""de"")"),"Danach erscheint ein Mann in einer Wasserspur unter der Brücke.")</f>
        <v>Danach erscheint ein Mann in einer Wasserspur unter der Brücke.</v>
      </c>
    </row>
    <row r="25583">
      <c r="A25583" s="4" t="s">
        <v>32199</v>
      </c>
      <c r="B25583" s="4" t="s">
        <v>32202</v>
      </c>
      <c r="C25583" s="5" t="str">
        <f>IFERROR(__xludf.DUMMYFUNCTION("GOOGLETRANSLATE(B25583,""en"",""de"")"),"Als er den Fluss hinunterhält, schlägt er ein paar Felsen auf dem Weg und beginnt sich auf und ab zu drehen, bevor er vor dem roten Van zurückkehrt.")</f>
        <v>Als er den Fluss hinunterhält, schlägt er ein paar Felsen auf dem Weg und beginnt sich auf und ab zu drehen, bevor er vor dem roten Van zurückkehrt.</v>
      </c>
    </row>
    <row r="25584">
      <c r="A25584" s="4" t="s">
        <v>32203</v>
      </c>
      <c r="B25584" s="4" t="s">
        <v>32204</v>
      </c>
      <c r="C25584" s="5" t="str">
        <f>IFERROR(__xludf.DUMMYFUNCTION("GOOGLETRANSLATE(B25584,""en"",""de"")"),"Eine Frau sieht mit einer Gruppe von Menschen und einem Mann lachen, der den anderen schlägt.")</f>
        <v>Eine Frau sieht mit einer Gruppe von Menschen und einem Mann lachen, der den anderen schlägt.</v>
      </c>
    </row>
    <row r="25585">
      <c r="A25585" s="4" t="s">
        <v>32203</v>
      </c>
      <c r="B25585" s="4" t="s">
        <v>32205</v>
      </c>
      <c r="C25585" s="5" t="str">
        <f>IFERROR(__xludf.DUMMYFUNCTION("GOOGLETRANSLATE(B25585,""en"",""de"")"),"Eine Person gibt einem Mann ein Set Darts, der sie dann in die Ferne bringt.")</f>
        <v>Eine Person gibt einem Mann ein Set Darts, der sie dann in die Ferne bringt.</v>
      </c>
    </row>
    <row r="25586">
      <c r="A25586" s="4" t="s">
        <v>32203</v>
      </c>
      <c r="B25586" s="4" t="s">
        <v>32206</v>
      </c>
      <c r="C25586" s="5" t="str">
        <f>IFERROR(__xludf.DUMMYFUNCTION("GOOGLETRANSLATE(B25586,""en"",""de"")"),"Die Leute sprechen weiter, während die Kamera überall um sie herum schwenkt.")</f>
        <v>Die Leute sprechen weiter, während die Kamera überall um sie herum schwenkt.</v>
      </c>
    </row>
    <row r="25587">
      <c r="A25587" s="4" t="s">
        <v>32207</v>
      </c>
      <c r="B25587" s="4" t="s">
        <v>32208</v>
      </c>
      <c r="C25587" s="5" t="str">
        <f>IFERROR(__xludf.DUMMYFUNCTION("GOOGLETRANSLATE(B25587,""en"",""de"")"),"In einem Fitnessstudio stehen zwei Männer auf einer großen blauen Matte und tragen beide Shorts und ein Paar Boxhandschuhe.")</f>
        <v>In einem Fitnessstudio stehen zwei Männer auf einer großen blauen Matte und tragen beide Shorts und ein Paar Boxhandschuhe.</v>
      </c>
    </row>
    <row r="25588">
      <c r="A25588" s="4" t="s">
        <v>32207</v>
      </c>
      <c r="B25588" s="4" t="s">
        <v>32209</v>
      </c>
      <c r="C25588" s="5" t="str">
        <f>IFERROR(__xludf.DUMMYFUNCTION("GOOGLETRANSLATE(B25588,""en"",""de"")"),"Die Männer richten sich auf und sie schlagen und treten mit kurzen Momenten, in denen sie zwischen ihren Schlägen und ihren Tritten anhalten.")</f>
        <v>Die Männer richten sich auf und sie schlagen und treten mit kurzen Momenten, in denen sie zwischen ihren Schlägen und ihren Tritten anhalten.</v>
      </c>
    </row>
    <row r="25589">
      <c r="A25589" s="4" t="s">
        <v>32207</v>
      </c>
      <c r="B25589" s="4" t="s">
        <v>32210</v>
      </c>
      <c r="C25589" s="5" t="str">
        <f>IFERROR(__xludf.DUMMYFUNCTION("GOOGLETRANSLATE(B25589,""en"",""de"")"),"Einer der Jungs tritt den anderen zu fest und derjenige, der getreten wurde, wird wütend, zerreißt seine Handschuhe von seinen Händen, geht weg und wirft wütend seine Handschuhe.")</f>
        <v>Einer der Jungs tritt den anderen zu fest und derjenige, der getreten wurde, wird wütend, zerreißt seine Handschuhe von seinen Händen, geht weg und wirft wütend seine Handschuhe.</v>
      </c>
    </row>
    <row r="25590">
      <c r="A25590" s="4" t="s">
        <v>32211</v>
      </c>
      <c r="B25590" s="4" t="s">
        <v>32212</v>
      </c>
      <c r="C25590" s="5" t="str">
        <f>IFERROR(__xludf.DUMMYFUNCTION("GOOGLETRANSLATE(B25590,""en"",""de"")"),"Ein Typ bucht draußen.")</f>
        <v>Ein Typ bucht draußen.</v>
      </c>
    </row>
    <row r="25591">
      <c r="A25591" s="4" t="s">
        <v>32211</v>
      </c>
      <c r="B25591" s="4" t="s">
        <v>32213</v>
      </c>
      <c r="C25591" s="5" t="str">
        <f>IFERROR(__xludf.DUMMYFUNCTION("GOOGLETRANSLATE(B25591,""en"",""de"")"),"Der Typ fängt an, karate draußen zu machen.")</f>
        <v>Der Typ fängt an, karate draußen zu machen.</v>
      </c>
    </row>
    <row r="25592">
      <c r="A25592" s="4" t="s">
        <v>32211</v>
      </c>
      <c r="B25592" s="4" t="s">
        <v>32214</v>
      </c>
      <c r="C25592" s="5" t="str">
        <f>IFERROR(__xludf.DUMMYFUNCTION("GOOGLETRANSLATE(B25592,""en"",""de"")"),"Der Typ kariert drinnen und geht dann.")</f>
        <v>Der Typ kariert drinnen und geht dann.</v>
      </c>
    </row>
    <row r="25593">
      <c r="A25593" s="4" t="s">
        <v>32211</v>
      </c>
      <c r="B25593" s="4" t="s">
        <v>32215</v>
      </c>
      <c r="C25593" s="5" t="str">
        <f>IFERROR(__xludf.DUMMYFUNCTION("GOOGLETRANSLATE(B25593,""en"",""de"")"),"Ein Hund steht mit einem Pullover.")</f>
        <v>Ein Hund steht mit einem Pullover.</v>
      </c>
    </row>
    <row r="25594">
      <c r="A25594" s="4" t="s">
        <v>32216</v>
      </c>
      <c r="B25594" s="4" t="s">
        <v>32217</v>
      </c>
      <c r="C25594" s="5" t="str">
        <f>IFERROR(__xludf.DUMMYFUNCTION("GOOGLETRANSLATE(B25594,""en"",""de"")"),"Zwei Personen sprechen mit der Kamera mit einem einen Topf und der andere, der ihm Zutaten gibt.")</f>
        <v>Zwei Personen sprechen mit der Kamera mit einem einen Topf und der andere, der ihm Zutaten gibt.</v>
      </c>
    </row>
    <row r="25595">
      <c r="A25595" s="4" t="s">
        <v>32216</v>
      </c>
      <c r="B25595" s="4" t="s">
        <v>32218</v>
      </c>
      <c r="C25595" s="5" t="str">
        <f>IFERROR(__xludf.DUMMYFUNCTION("GOOGLETRANSLATE(B25595,""en"",""de"")"),"Der andere mischt dann die Zutaten in eine Schüssel und schmollt sie in eine Pfanne.")</f>
        <v>Der andere mischt dann die Zutaten in eine Schüssel und schmollt sie in eine Pfanne.</v>
      </c>
    </row>
    <row r="25596">
      <c r="A25596" s="4" t="s">
        <v>32216</v>
      </c>
      <c r="B25596" s="4" t="s">
        <v>32219</v>
      </c>
      <c r="C25596" s="5" t="str">
        <f>IFERROR(__xludf.DUMMYFUNCTION("GOOGLETRANSLATE(B25596,""en"",""de"")"),"Weitere Leute kommen herein, um einen Bissen zu nehmen, sowie ein kleiner Junge, der helft und der Mann weiter kocht.")</f>
        <v>Weitere Leute kommen herein, um einen Bissen zu nehmen, sowie ein kleiner Junge, der helft und der Mann weiter kocht.</v>
      </c>
    </row>
    <row r="25597">
      <c r="A25597" s="4" t="s">
        <v>32220</v>
      </c>
      <c r="B25597" s="4" t="s">
        <v>32221</v>
      </c>
      <c r="C25597" s="5" t="str">
        <f>IFERROR(__xludf.DUMMYFUNCTION("GOOGLETRANSLATE(B25597,""en"",""de"")"),"Ein Mann, der eine Brille trägt, wird in den Rahmen treten und ein Akkordeon spielen.")</f>
        <v>Ein Mann, der eine Brille trägt, wird in den Rahmen treten und ein Akkordeon spielen.</v>
      </c>
    </row>
    <row r="25598">
      <c r="A25598" s="4" t="s">
        <v>32220</v>
      </c>
      <c r="B25598" s="4" t="s">
        <v>32222</v>
      </c>
      <c r="C25598" s="5" t="str">
        <f>IFERROR(__xludf.DUMMYFUNCTION("GOOGLETRANSLATE(B25598,""en"",""de"")"),"Der Mann spielt weiterhin, während er in die Ferne schaut und bleibt durch das Lächeln zur Kamera.")</f>
        <v>Der Mann spielt weiterhin, während er in die Ferne schaut und bleibt durch das Lächeln zur Kamera.</v>
      </c>
    </row>
    <row r="25599">
      <c r="A25599" s="4" t="s">
        <v>32223</v>
      </c>
      <c r="B25599" s="4" t="s">
        <v>32224</v>
      </c>
      <c r="C25599" s="5" t="str">
        <f>IFERROR(__xludf.DUMMYFUNCTION("GOOGLETRANSLATE(B25599,""en"",""de"")"),"Zwei junge Mädchen sind in einem Fitnessstudio und sie rühren eine Seite über eine Bar mitten im Fitnessstudio.")</f>
        <v>Zwei junge Mädchen sind in einem Fitnessstudio und sie rühren eine Seite über eine Bar mitten im Fitnessstudio.</v>
      </c>
    </row>
    <row r="25600">
      <c r="A25600" s="4" t="s">
        <v>32223</v>
      </c>
      <c r="B25600" s="4" t="s">
        <v>32225</v>
      </c>
      <c r="C25600" s="5" t="str">
        <f>IFERROR(__xludf.DUMMYFUNCTION("GOOGLETRANSLATE(B25600,""en"",""de"")"),"Das Video wird dann in Zeitlupe und wieder schneller in einer schnelleren Geschwindigkeit wiedergegeben.")</f>
        <v>Das Video wird dann in Zeitlupe und wieder schneller in einer schnelleren Geschwindigkeit wiedergegeben.</v>
      </c>
    </row>
    <row r="25601">
      <c r="A25601" s="4" t="s">
        <v>32226</v>
      </c>
      <c r="B25601" s="4" t="s">
        <v>32227</v>
      </c>
      <c r="C25601" s="5" t="str">
        <f>IFERROR(__xludf.DUMMYFUNCTION("GOOGLETRANSLATE(B25601,""en"",""de"")"),"4 Männer sind auf einem Platz und tanzen in der Break -Tanz, während sich Menschen versammelt haben und sie tanzen und Tricks vor vielen Geschäften machen.")</f>
        <v>4 Männer sind auf einem Platz und tanzen in der Break -Tanz, während sich Menschen versammelt haben und sie tanzen und Tricks vor vielen Geschäften machen.</v>
      </c>
    </row>
    <row r="25602">
      <c r="A25602" s="4" t="s">
        <v>32226</v>
      </c>
      <c r="B25602" s="4" t="s">
        <v>32228</v>
      </c>
      <c r="C25602" s="5" t="str">
        <f>IFERROR(__xludf.DUMMYFUNCTION("GOOGLETRANSLATE(B25602,""en"",""de"")"),"Namen der Break -Tänzer werden im Bildschirm angezeigt.")</f>
        <v>Namen der Break -Tänzer werden im Bildschirm angezeigt.</v>
      </c>
    </row>
    <row r="25603">
      <c r="A25603" s="4" t="s">
        <v>32229</v>
      </c>
      <c r="B25603" s="4" t="s">
        <v>32230</v>
      </c>
      <c r="C25603" s="5" t="str">
        <f>IFERROR(__xludf.DUMMYFUNCTION("GOOGLETRANSLATE(B25603,""en"",""de"")"),"Wir sehen, dass ein junges Mädchen eine Zigarette anzündet.")</f>
        <v>Wir sehen, dass ein junges Mädchen eine Zigarette anzündet.</v>
      </c>
    </row>
    <row r="25604">
      <c r="A25604" s="4" t="s">
        <v>32229</v>
      </c>
      <c r="B25604" s="4" t="s">
        <v>32231</v>
      </c>
      <c r="C25604" s="5" t="str">
        <f>IFERROR(__xludf.DUMMYFUNCTION("GOOGLETRANSLATE(B25604,""en"",""de"")"),"Sie nimmt dann die Zigarette aus ihrem Mund und spricht.")</f>
        <v>Sie nimmt dann die Zigarette aus ihrem Mund und spricht.</v>
      </c>
    </row>
    <row r="25605">
      <c r="A25605" s="4" t="s">
        <v>32229</v>
      </c>
      <c r="B25605" s="4" t="s">
        <v>32232</v>
      </c>
      <c r="C25605" s="5" t="str">
        <f>IFERROR(__xludf.DUMMYFUNCTION("GOOGLETRANSLATE(B25605,""en"",""de"")"),"Sie gibt das Feuerzeug einer anderen Person und legt ihre Hand auf ihre Hüfte.")</f>
        <v>Sie gibt das Feuerzeug einer anderen Person und legt ihre Hand auf ihre Hüfte.</v>
      </c>
    </row>
    <row r="25606">
      <c r="A25606" s="4" t="s">
        <v>32233</v>
      </c>
      <c r="B25606" s="4" t="s">
        <v>32234</v>
      </c>
      <c r="C25606" s="5" t="str">
        <f>IFERROR(__xludf.DUMMYFUNCTION("GOOGLETRANSLATE(B25606,""en"",""de"")"),"Ein Mann steht außerhalb eines Hauses mit einem großen silbernen Stangen in der Hand mit einem gelben Seil.")</f>
        <v>Ein Mann steht außerhalb eines Hauses mit einem großen silbernen Stangen in der Hand mit einem gelben Seil.</v>
      </c>
    </row>
    <row r="25607">
      <c r="A25607" s="4" t="s">
        <v>32233</v>
      </c>
      <c r="B25607" s="4" t="s">
        <v>32235</v>
      </c>
      <c r="C25607" s="5" t="str">
        <f>IFERROR(__xludf.DUMMYFUNCTION("GOOGLETRANSLATE(B25607,""en"",""de"")"),"Der Mann beginnt mit seiner Stange und seinem Bürsten und wäscht die Innenseite einer Schiebetür um die Basis und das Innere des Fensters.")</f>
        <v>Der Mann beginnt mit seiner Stange und seinem Bürsten und wäscht die Innenseite einer Schiebetür um die Basis und das Innere des Fensters.</v>
      </c>
    </row>
    <row r="25608">
      <c r="A25608" s="4" t="s">
        <v>32233</v>
      </c>
      <c r="B25608" s="4" t="s">
        <v>32236</v>
      </c>
      <c r="C25608" s="5" t="str">
        <f>IFERROR(__xludf.DUMMYFUNCTION("GOOGLETRANSLATE(B25608,""en"",""de"")"),"Der Mann bleibt dann stehen und beginnt mit der Kamera zu sprechen und auf das Fenster zu zeigen, bevor er auf Wiedersehen winkt.")</f>
        <v>Der Mann bleibt dann stehen und beginnt mit der Kamera zu sprechen und auf das Fenster zu zeigen, bevor er auf Wiedersehen winkt.</v>
      </c>
    </row>
    <row r="25609">
      <c r="A25609" s="4" t="s">
        <v>32237</v>
      </c>
      <c r="B25609" s="4" t="s">
        <v>32238</v>
      </c>
      <c r="C25609" s="5" t="str">
        <f>IFERROR(__xludf.DUMMYFUNCTION("GOOGLETRANSLATE(B25609,""en"",""de"")"),"Ein kleines Kind hofft auf dem Boden, wenn eine Frau mehr junge Tänzer führt.")</f>
        <v>Ein kleines Kind hofft auf dem Boden, wenn eine Frau mehr junge Tänzer führt.</v>
      </c>
    </row>
    <row r="25610">
      <c r="A25610" s="4" t="s">
        <v>32237</v>
      </c>
      <c r="B25610" s="4" t="s">
        <v>32239</v>
      </c>
      <c r="C25610" s="5" t="str">
        <f>IFERROR(__xludf.DUMMYFUNCTION("GOOGLETRANSLATE(B25610,""en"",""de"")"),"Sie stellt die Mädchen vor einer großen Menge an und die Kinder tanzen auf der Bühne.")</f>
        <v>Sie stellt die Mädchen vor einer großen Menge an und die Kinder tanzen auf der Bühne.</v>
      </c>
    </row>
    <row r="25611">
      <c r="A25611" s="4" t="s">
        <v>32237</v>
      </c>
      <c r="B25611" s="4" t="s">
        <v>32240</v>
      </c>
      <c r="C25611" s="5" t="str">
        <f>IFERROR(__xludf.DUMMYFUNCTION("GOOGLETRANSLATE(B25611,""en"",""de"")"),"Die Kleinen tanzen weiter und drehen auf der Bühne und gehen von der Bühne.")</f>
        <v>Die Kleinen tanzen weiter und drehen auf der Bühne und gehen von der Bühne.</v>
      </c>
    </row>
    <row r="25612">
      <c r="A25612" s="4" t="s">
        <v>32241</v>
      </c>
      <c r="B25612" s="4" t="s">
        <v>32242</v>
      </c>
      <c r="C25612" s="5" t="str">
        <f>IFERROR(__xludf.DUMMYFUNCTION("GOOGLETRANSLATE(B25612,""en"",""de"")"),"Frauen aus verschiedenen Nationalitäten konkurrieren lange Sprünge ist ein Stadion.")</f>
        <v>Frauen aus verschiedenen Nationalitäten konkurrieren lange Sprünge ist ein Stadion.</v>
      </c>
    </row>
    <row r="25613">
      <c r="A25613" s="4" t="s">
        <v>32241</v>
      </c>
      <c r="B25613" s="4" t="s">
        <v>32243</v>
      </c>
      <c r="C25613" s="5" t="str">
        <f>IFERROR(__xludf.DUMMYFUNCTION("GOOGLETRANSLATE(B25613,""en"",""de"")"),"Frauen konkurrieren weiterhin Weitsprung.")</f>
        <v>Frauen konkurrieren weiterhin Weitsprung.</v>
      </c>
    </row>
    <row r="25614">
      <c r="A25614" s="4" t="s">
        <v>32241</v>
      </c>
      <c r="B25614" s="4" t="s">
        <v>32244</v>
      </c>
      <c r="C25614" s="5" t="str">
        <f>IFERROR(__xludf.DUMMYFUNCTION("GOOGLETRANSLATE(B25614,""en"",""de"")"),"Ein Athlet rennt, springt dann und springt nach vorne, um Weitsprung durchzuführen, während die Richter Stöcke halten, um zu messen.")</f>
        <v>Ein Athlet rennt, springt dann und springt nach vorne, um Weitsprung durchzuführen, während die Richter Stöcke halten, um zu messen.</v>
      </c>
    </row>
    <row r="25615">
      <c r="A25615" s="4" t="s">
        <v>32245</v>
      </c>
      <c r="B25615" s="4" t="s">
        <v>32246</v>
      </c>
      <c r="C25615" s="5" t="str">
        <f>IFERROR(__xludf.DUMMYFUNCTION("GOOGLETRANSLATE(B25615,""en"",""de"")"),"Der Mann steht in einem grünen Feld und bereitet sich darauf vor, einen Cricket zu machen, ein anderer Mann beobachtet ihn und zieht den Hut und die Sonnenbrille aus, und der Mann ist wirklich verschwitzt und bereitet sich darauf vor, den Schuss zu machen"&amp;" und zu punkten, was er getan hat, genießen sie und genießen und genießen und genießen und Umarmen Sie sich und der Mann wirft den Ball.")</f>
        <v>Der Mann steht in einem grünen Feld und bereitet sich darauf vor, einen Cricket zu machen, ein anderer Mann beobachtet ihn und zieht den Hut und die Sonnenbrille aus, und der Mann ist wirklich verschwitzt und bereitet sich darauf vor, den Schuss zu machen und zu punkten, was er getan hat, genießen sie und genießen und genießen und genießen und Umarmen Sie sich und der Mann wirft den Ball.</v>
      </c>
    </row>
    <row r="25616">
      <c r="A25616" s="4" t="s">
        <v>32245</v>
      </c>
      <c r="B25616" s="4" t="s">
        <v>32247</v>
      </c>
      <c r="C25616" s="5" t="str">
        <f>IFERROR(__xludf.DUMMYFUNCTION("GOOGLETRANSLATE(B25616,""en"",""de"")"),"Männer sitzen auf einer Couch in einem Wohnzimmer und sprechen miteinander und mit der Kamera.")</f>
        <v>Männer sitzen auf einer Couch in einem Wohnzimmer und sprechen miteinander und mit der Kamera.</v>
      </c>
    </row>
    <row r="25617">
      <c r="A25617" s="4" t="s">
        <v>32245</v>
      </c>
      <c r="B25617" s="4" t="s">
        <v>32248</v>
      </c>
      <c r="C25617" s="5" t="str">
        <f>IFERROR(__xludf.DUMMYFUNCTION("GOOGLETRANSLATE(B25617,""en"",""de"")"),"Der Gewinner und Informationen des Videos werden angezeigt.")</f>
        <v>Der Gewinner und Informationen des Videos werden angezeigt.</v>
      </c>
    </row>
    <row r="25618">
      <c r="A25618" s="4" t="s">
        <v>32249</v>
      </c>
      <c r="B25618" s="4" t="s">
        <v>32250</v>
      </c>
      <c r="C25618" s="5" t="str">
        <f>IFERROR(__xludf.DUMMYFUNCTION("GOOGLETRANSLATE(B25618,""en"",""de"")"),"Ein Titelbildschirm erscheint in roten Buchstaben und verblasst dann in einem Kampfsport -Klassenzimmer.")</f>
        <v>Ein Titelbildschirm erscheint in roten Buchstaben und verblasst dann in einem Kampfsport -Klassenzimmer.</v>
      </c>
    </row>
    <row r="25619">
      <c r="A25619" s="4" t="s">
        <v>32249</v>
      </c>
      <c r="B25619" s="4" t="s">
        <v>32251</v>
      </c>
      <c r="C25619" s="5" t="str">
        <f>IFERROR(__xludf.DUMMYFUNCTION("GOOGLETRANSLATE(B25619,""en"",""de"")"),"In einem kleinen Kampfkunst -Klassenzimmer versammeln sich die Schüler herum, singen, klatschen und spielen Instrumente um einen kleinen Kreis für 5 Capoeira -Matches, in denen die Kämpfer tanzen und ihre Beine und Arme schwingen, und am Ende jedes Match "&amp;"Berühren Sie die Musiker.")</f>
        <v>In einem kleinen Kampfkunst -Klassenzimmer versammeln sich die Schüler herum, singen, klatschen und spielen Instrumente um einen kleinen Kreis für 5 Capoeira -Matches, in denen die Kämpfer tanzen und ihre Beine und Arme schwingen, und am Ende jedes Match Berühren Sie die Musiker.</v>
      </c>
    </row>
    <row r="25620">
      <c r="A25620" s="4" t="s">
        <v>32249</v>
      </c>
      <c r="B25620" s="4" t="s">
        <v>32252</v>
      </c>
      <c r="C25620" s="5" t="str">
        <f>IFERROR(__xludf.DUMMYFUNCTION("GOOGLETRANSLATE(B25620,""en"",""de"")"),"Dann ein Abschlussbildschirm mit einem Logo für die Capoeira -Schule.")</f>
        <v>Dann ein Abschlussbildschirm mit einem Logo für die Capoeira -Schule.</v>
      </c>
    </row>
    <row r="25621">
      <c r="A25621" s="4" t="s">
        <v>32253</v>
      </c>
      <c r="B25621" s="4" t="s">
        <v>32254</v>
      </c>
      <c r="C25621" s="5" t="str">
        <f>IFERROR(__xludf.DUMMYFUNCTION("GOOGLETRANSLATE(B25621,""en"",""de"")"),"Eine Kamera schießt verschiedene Aufnahmen in einer Stadt und einem Schuhgeschäft.")</f>
        <v>Eine Kamera schießt verschiedene Aufnahmen in einer Stadt und einem Schuhgeschäft.</v>
      </c>
    </row>
    <row r="25622">
      <c r="A25622" s="4" t="s">
        <v>32253</v>
      </c>
      <c r="B25622" s="4" t="s">
        <v>32255</v>
      </c>
      <c r="C25622" s="5" t="str">
        <f>IFERROR(__xludf.DUMMYFUNCTION("GOOGLETRANSLATE(B25622,""en"",""de"")"),"Hunderte von Menschen gehen in einer Gegend herum und prüfen Schuhe.")</f>
        <v>Hunderte von Menschen gehen in einer Gegend herum und prüfen Schuhe.</v>
      </c>
    </row>
    <row r="25623">
      <c r="A25623" s="4" t="s">
        <v>32253</v>
      </c>
      <c r="B25623" s="4" t="s">
        <v>32256</v>
      </c>
      <c r="C25623" s="5" t="str">
        <f>IFERROR(__xludf.DUMMYFUNCTION("GOOGLETRANSLATE(B25623,""en"",""de"")"),"Ein Mann spricht mit einer Frau darüber, welche Schuhe sie gerne trägt.")</f>
        <v>Ein Mann spricht mit einer Frau darüber, welche Schuhe sie gerne trägt.</v>
      </c>
    </row>
    <row r="25624">
      <c r="A25624" s="4" t="s">
        <v>32253</v>
      </c>
      <c r="B25624" s="4" t="s">
        <v>32257</v>
      </c>
      <c r="C25624" s="5" t="str">
        <f>IFERROR(__xludf.DUMMYFUNCTION("GOOGLETRANSLATE(B25624,""en"",""de"")"),"Die Leute tanzen und genießen die Veranstaltung zusammen.")</f>
        <v>Die Leute tanzen und genießen die Veranstaltung zusammen.</v>
      </c>
    </row>
    <row r="25625">
      <c r="A25625" s="4" t="s">
        <v>32253</v>
      </c>
      <c r="B25625" s="4" t="s">
        <v>32258</v>
      </c>
      <c r="C25625" s="5" t="str">
        <f>IFERROR(__xludf.DUMMYFUNCTION("GOOGLETRANSLATE(B25625,""en"",""de"")"),"Bei der Veranstaltung von vielen wird Essen gegessen.")</f>
        <v>Bei der Veranstaltung von vielen wird Essen gegessen.</v>
      </c>
    </row>
    <row r="25626">
      <c r="A25626" s="4" t="s">
        <v>32253</v>
      </c>
      <c r="B25626" s="4" t="s">
        <v>32259</v>
      </c>
      <c r="C25626" s="5" t="str">
        <f>IFERROR(__xludf.DUMMYFUNCTION("GOOGLETRANSLATE(B25626,""en"",""de"")"),"Mehrere Läufer sind bereit, ein Rennen zu beginnen.")</f>
        <v>Mehrere Läufer sind bereit, ein Rennen zu beginnen.</v>
      </c>
    </row>
    <row r="25627">
      <c r="A25627" s="4" t="s">
        <v>32253</v>
      </c>
      <c r="B25627" s="4" t="s">
        <v>32260</v>
      </c>
      <c r="C25627" s="5" t="str">
        <f>IFERROR(__xludf.DUMMYFUNCTION("GOOGLETRANSLATE(B25627,""en"",""de"")"),"Das Rennen beginnt und die Leute laufen sehr schnell.")</f>
        <v>Das Rennen beginnt und die Leute laufen sehr schnell.</v>
      </c>
    </row>
    <row r="25628">
      <c r="A25628" s="4" t="s">
        <v>32253</v>
      </c>
      <c r="B25628" s="4" t="s">
        <v>32261</v>
      </c>
      <c r="C25628" s="5" t="str">
        <f>IFERROR(__xludf.DUMMYFUNCTION("GOOGLETRANSLATE(B25628,""en"",""de"")"),"Während des Rennens werden mehrere Personen interviewt.")</f>
        <v>Während des Rennens werden mehrere Personen interviewt.</v>
      </c>
    </row>
    <row r="25629">
      <c r="A25629" s="4" t="s">
        <v>32253</v>
      </c>
      <c r="B25629" s="4" t="s">
        <v>32262</v>
      </c>
      <c r="C25629" s="5" t="str">
        <f>IFERROR(__xludf.DUMMYFUNCTION("GOOGLETRANSLATE(B25629,""en"",""de"")"),"Der Mann, der das Rennen gewinnt, stößt auf die Ziellinie.")</f>
        <v>Der Mann, der das Rennen gewinnt, stößt auf die Ziellinie.</v>
      </c>
    </row>
    <row r="25630">
      <c r="A25630" s="4" t="s">
        <v>32253</v>
      </c>
      <c r="B25630" s="4" t="s">
        <v>32263</v>
      </c>
      <c r="C25630" s="5" t="str">
        <f>IFERROR(__xludf.DUMMYFUNCTION("GOOGLETRANSLATE(B25630,""en"",""de"")"),"Einige weitere Personen werden fertiggestellt.")</f>
        <v>Einige weitere Personen werden fertiggestellt.</v>
      </c>
    </row>
    <row r="25631">
      <c r="A25631" s="4" t="s">
        <v>32264</v>
      </c>
      <c r="B25631" s="4" t="s">
        <v>32265</v>
      </c>
      <c r="C25631" s="5" t="str">
        <f>IFERROR(__xludf.DUMMYFUNCTION("GOOGLETRANSLATE(B25631,""en"",""de"")"),"Eine Liste von Zutaten wird angezeigt und die Gegenstände befinden sich in einer weißen Tabelle.")</f>
        <v>Eine Liste von Zutaten wird angezeigt und die Gegenstände befinden sich in einer weißen Tabelle.</v>
      </c>
    </row>
    <row r="25632">
      <c r="A25632" s="4" t="s">
        <v>32264</v>
      </c>
      <c r="B25632" s="4" t="s">
        <v>32266</v>
      </c>
      <c r="C25632" s="5" t="str">
        <f>IFERROR(__xludf.DUMMYFUNCTION("GOOGLETRANSLATE(B25632,""en"",""de"")"),"Faust Eine Tüte Tee ist Sumerge in gekochtem Wasser und fügte etwas Sirup in eine Starbucks -Tasse hinzu.")</f>
        <v>Faust Eine Tüte Tee ist Sumerge in gekochtem Wasser und fügte etwas Sirup in eine Starbucks -Tasse hinzu.</v>
      </c>
    </row>
    <row r="25633">
      <c r="A25633" s="4" t="s">
        <v>32267</v>
      </c>
      <c r="B25633" s="4" t="s">
        <v>32268</v>
      </c>
      <c r="C25633" s="5" t="str">
        <f>IFERROR(__xludf.DUMMYFUNCTION("GOOGLETRANSLATE(B25633,""en"",""de"")"),"Auf dem Bildschirm wird eine Nachrichtensender -Anzeige angezeigt.")</f>
        <v>Auf dem Bildschirm wird eine Nachrichtensender -Anzeige angezeigt.</v>
      </c>
    </row>
    <row r="25634">
      <c r="A25634" s="4" t="s">
        <v>32267</v>
      </c>
      <c r="B25634" s="4" t="s">
        <v>32269</v>
      </c>
      <c r="C25634" s="5" t="str">
        <f>IFERROR(__xludf.DUMMYFUNCTION("GOOGLETRANSLATE(B25634,""en"",""de"")"),"Wir sehen zwei Reporter im Freien und sprechen mit Mitgliedern eines laufenden Teams.")</f>
        <v>Wir sehen zwei Reporter im Freien und sprechen mit Mitgliedern eines laufenden Teams.</v>
      </c>
    </row>
    <row r="25635">
      <c r="A25635" s="4" t="s">
        <v>32267</v>
      </c>
      <c r="B25635" s="4" t="s">
        <v>32270</v>
      </c>
      <c r="C25635" s="5" t="str">
        <f>IFERROR(__xludf.DUMMYFUNCTION("GOOGLETRANSLATE(B25635,""en"",""de"")"),"Sie bereiten sich auf eine Rasse vor, von denen eine schwanger ist.")</f>
        <v>Sie bereiten sich auf eine Rasse vor, von denen eine schwanger ist.</v>
      </c>
    </row>
    <row r="25636">
      <c r="A25636" s="4" t="s">
        <v>32267</v>
      </c>
      <c r="B25636" s="4" t="s">
        <v>32271</v>
      </c>
      <c r="C25636" s="5" t="str">
        <f>IFERROR(__xludf.DUMMYFUNCTION("GOOGLETRANSLATE(B25636,""en"",""de"")"),"Die Menge wird gezeigt, wo das Rennen beginnt.")</f>
        <v>Die Menge wird gezeigt, wo das Rennen beginnt.</v>
      </c>
    </row>
    <row r="25637">
      <c r="A25637" s="4" t="s">
        <v>32272</v>
      </c>
      <c r="B25637" s="4" t="s">
        <v>32273</v>
      </c>
      <c r="C25637" s="5" t="str">
        <f>IFERROR(__xludf.DUMMYFUNCTION("GOOGLETRANSLATE(B25637,""en"",""de"")"),"Eine Frau ist in einer Küche und spricht vor einer Reihe von Sandwichfixierungen.")</f>
        <v>Eine Frau ist in einer Küche und spricht vor einer Reihe von Sandwichfixierungen.</v>
      </c>
    </row>
    <row r="25638">
      <c r="A25638" s="4" t="s">
        <v>32272</v>
      </c>
      <c r="B25638" s="4" t="s">
        <v>32274</v>
      </c>
      <c r="C25638" s="5" t="str">
        <f>IFERROR(__xludf.DUMMYFUNCTION("GOOGLETRANSLATE(B25638,""en"",""de"")"),"Sie öffnet das Brot und trägt Fleisch, Käse, Gurken und Senf auf.")</f>
        <v>Sie öffnet das Brot und trägt Fleisch, Käse, Gurken und Senf auf.</v>
      </c>
    </row>
    <row r="25639">
      <c r="A25639" s="4" t="s">
        <v>32272</v>
      </c>
      <c r="B25639" s="4" t="s">
        <v>32275</v>
      </c>
      <c r="C25639" s="5" t="str">
        <f>IFERROR(__xludf.DUMMYFUNCTION("GOOGLETRANSLATE(B25639,""en"",""de"")"),"Sie schließt die Sandwiches und steckt sie in eine beheizte Panini -Presse.")</f>
        <v>Sie schließt die Sandwiches und steckt sie in eine beheizte Panini -Presse.</v>
      </c>
    </row>
    <row r="25640">
      <c r="A25640" s="4" t="s">
        <v>32272</v>
      </c>
      <c r="B25640" s="4" t="s">
        <v>32276</v>
      </c>
      <c r="C25640" s="5" t="str">
        <f>IFERROR(__xludf.DUMMYFUNCTION("GOOGLETRANSLATE(B25640,""en"",""de"")"),"Sie entfernt die Sandwiches, während sie geröstet sind, und platziert sie.")</f>
        <v>Sie entfernt die Sandwiches, während sie geröstet sind, und platziert sie.</v>
      </c>
    </row>
    <row r="25641">
      <c r="A25641" s="4" t="s">
        <v>32277</v>
      </c>
      <c r="B25641" s="4" t="s">
        <v>32278</v>
      </c>
      <c r="C25641" s="5" t="str">
        <f>IFERROR(__xludf.DUMMYFUNCTION("GOOGLETRANSLATE(B25641,""en"",""de"")"),"Es gibt zwei Männer im Wasser, die Neoprenanzüge tragen und auf ihren Surfbrettern liegen, während sie eine Welle fahren.")</f>
        <v>Es gibt zwei Männer im Wasser, die Neoprenanzüge tragen und auf ihren Surfbrettern liegen, während sie eine Welle fahren.</v>
      </c>
    </row>
    <row r="25642">
      <c r="A25642" s="4" t="s">
        <v>32277</v>
      </c>
      <c r="B25642" s="4" t="s">
        <v>32279</v>
      </c>
      <c r="C25642" s="5" t="str">
        <f>IFERROR(__xludf.DUMMYFUNCTION("GOOGLETRANSLATE(B25642,""en"",""de"")"),"Der Kameramann befindet sich in einem sich schnell bewegenden Boot und fährt weiterhin die Surfer, die immer noch mit der Welle fahren, aber jetzt stehen sie auf.")</f>
        <v>Der Kameramann befindet sich in einem sich schnell bewegenden Boot und fährt weiterhin die Surfer, die immer noch mit der Welle fahren, aber jetzt stehen sie auf.</v>
      </c>
    </row>
    <row r="25643">
      <c r="A25643" s="4" t="s">
        <v>32277</v>
      </c>
      <c r="B25643" s="4" t="s">
        <v>32280</v>
      </c>
      <c r="C25643" s="5" t="str">
        <f>IFERROR(__xludf.DUMMYFUNCTION("GOOGLETRANSLATE(B25643,""en"",""de"")"),"Der Surfer, der vorne ist, ist glücklich, so lange mit der Welle zu fahren, dass er seine zwei Arme in die Luft hebt und sie dann wieder senkt.")</f>
        <v>Der Surfer, der vorne ist, ist glücklich, so lange mit der Welle zu fahren, dass er seine zwei Arme in die Luft hebt und sie dann wieder senkt.</v>
      </c>
    </row>
    <row r="25644">
      <c r="A25644" s="4" t="s">
        <v>32277</v>
      </c>
      <c r="B25644" s="4" t="s">
        <v>32281</v>
      </c>
      <c r="C25644" s="5" t="str">
        <f>IFERROR(__xludf.DUMMYFUNCTION("GOOGLETRANSLATE(B25644,""en"",""de"")"),"Der Surfer im Rücken verliert das Gleichgewicht und fällt von seiner Brett ab, während der Mann vorne immer noch aufsteht.")</f>
        <v>Der Surfer im Rücken verliert das Gleichgewicht und fällt von seiner Brett ab, während der Mann vorne immer noch aufsteht.</v>
      </c>
    </row>
    <row r="25645">
      <c r="A25645" s="4" t="s">
        <v>32282</v>
      </c>
      <c r="B25645" s="4" t="s">
        <v>32283</v>
      </c>
      <c r="C25645" s="5" t="str">
        <f>IFERROR(__xludf.DUMMYFUNCTION("GOOGLETRANSLATE(B25645,""en"",""de"")"),"Eine Frau schneidet die Nägel der Hinterbeine einer Katze mit einem Nagelschneider, während eine Person die Katze einschränkt.")</f>
        <v>Eine Frau schneidet die Nägel der Hinterbeine einer Katze mit einem Nagelschneider, während eine Person die Katze einschränkt.</v>
      </c>
    </row>
    <row r="25646">
      <c r="A25646" s="4" t="s">
        <v>32282</v>
      </c>
      <c r="B25646" s="4" t="s">
        <v>32284</v>
      </c>
      <c r="C25646" s="5" t="str">
        <f>IFERROR(__xludf.DUMMYFUNCTION("GOOGLETRANSLATE(B25646,""en"",""de"")"),"Dann steht die Frau auf der Vorderseite der Katze und die Person hält die Katze von einem Hals.")</f>
        <v>Dann steht die Frau auf der Vorderseite der Katze und die Person hält die Katze von einem Hals.</v>
      </c>
    </row>
    <row r="25647">
      <c r="A25647" s="4" t="s">
        <v>32282</v>
      </c>
      <c r="B25647" s="4" t="s">
        <v>32285</v>
      </c>
      <c r="C25647" s="5" t="str">
        <f>IFERROR(__xludf.DUMMYFUNCTION("GOOGLETRANSLATE(B25647,""en"",""de"")"),"Danach schneidet die Frau die Nägel der Vorderbeine, aber die Katze tritt.")</f>
        <v>Danach schneidet die Frau die Nägel der Vorderbeine, aber die Katze tritt.</v>
      </c>
    </row>
    <row r="25648">
      <c r="A25648" s="4" t="s">
        <v>32282</v>
      </c>
      <c r="B25648" s="4" t="s">
        <v>32286</v>
      </c>
      <c r="C25648" s="5" t="str">
        <f>IFERROR(__xludf.DUMMYFUNCTION("GOOGLETRANSLATE(B25648,""en"",""de"")"),"Eine Person, die schwarze Kleidung trägt, betritt den Raum.")</f>
        <v>Eine Person, die schwarze Kleidung trägt, betritt den Raum.</v>
      </c>
    </row>
    <row r="25649">
      <c r="A25649" s="4" t="s">
        <v>32287</v>
      </c>
      <c r="B25649" s="4" t="s">
        <v>356</v>
      </c>
      <c r="C25649" s="5" t="str">
        <f>IFERROR(__xludf.DUMMYFUNCTION("GOOGLETRANSLATE(B25649,""en"",""de"")"),"Das Video beginnt mit einer Titelsequenz.")</f>
        <v>Das Video beginnt mit einer Titelsequenz.</v>
      </c>
    </row>
    <row r="25650">
      <c r="A25650" s="4" t="s">
        <v>32287</v>
      </c>
      <c r="B25650" s="4" t="s">
        <v>32288</v>
      </c>
      <c r="C25650" s="5" t="str">
        <f>IFERROR(__xludf.DUMMYFUNCTION("GOOGLETRANSLATE(B25650,""en"",""de"")"),"Mehrere Clips von Baseballspieler spielen das Spiel.")</f>
        <v>Mehrere Clips von Baseballspieler spielen das Spiel.</v>
      </c>
    </row>
    <row r="25651">
      <c r="A25651" s="4" t="s">
        <v>32287</v>
      </c>
      <c r="B25651" s="4" t="s">
        <v>32289</v>
      </c>
      <c r="C25651" s="5" t="str">
        <f>IFERROR(__xludf.DUMMYFUNCTION("GOOGLETRANSLATE(B25651,""en"",""de"")"),"Irgendwann zeigt es einen Spieler, der mit einem Schiedsrichter argumentiert.")</f>
        <v>Irgendwann zeigt es einen Spieler, der mit einem Schiedsrichter argumentiert.</v>
      </c>
    </row>
    <row r="25652">
      <c r="A25652" s="4" t="s">
        <v>32287</v>
      </c>
      <c r="B25652" s="4" t="s">
        <v>32290</v>
      </c>
      <c r="C25652" s="5" t="str">
        <f>IFERROR(__xludf.DUMMYFUNCTION("GOOGLETRANSLATE(B25652,""en"",""de"")"),"Das Video endet mit einer anderen Titelsequenz.")</f>
        <v>Das Video endet mit einer anderen Titelsequenz.</v>
      </c>
    </row>
    <row r="25653">
      <c r="A25653" s="4" t="s">
        <v>32291</v>
      </c>
      <c r="B25653" s="4" t="s">
        <v>32292</v>
      </c>
      <c r="C25653" s="5" t="str">
        <f>IFERROR(__xludf.DUMMYFUNCTION("GOOGLETRANSLATE(B25653,""en"",""de"")"),"Ein Mann, der Kopfhörer trägt, spricht in ein Mikrofon und spielt eine Mundharmonika ins Mikrofon.")</f>
        <v>Ein Mann, der Kopfhörer trägt, spricht in ein Mikrofon und spielt eine Mundharmonika ins Mikrofon.</v>
      </c>
    </row>
    <row r="25654">
      <c r="A25654" s="4" t="s">
        <v>32291</v>
      </c>
      <c r="B25654" s="4" t="s">
        <v>32293</v>
      </c>
      <c r="C25654" s="5" t="str">
        <f>IFERROR(__xludf.DUMMYFUNCTION("GOOGLETRANSLATE(B25654,""en"",""de"")"),"Der Mann spielt weiter und die Kamera endet mit einer Nahaufnahme des Instruments.")</f>
        <v>Der Mann spielt weiter und die Kamera endet mit einer Nahaufnahme des Instruments.</v>
      </c>
    </row>
    <row r="25655">
      <c r="A25655" s="4" t="s">
        <v>32294</v>
      </c>
      <c r="B25655" s="4" t="s">
        <v>32295</v>
      </c>
      <c r="C25655" s="5" t="str">
        <f>IFERROR(__xludf.DUMMYFUNCTION("GOOGLETRANSLATE(B25655,""en"",""de"")"),"Eine kleine Gruppe von Menschen steht in einem Raum mit einer Frau vorne.")</f>
        <v>Eine kleine Gruppe von Menschen steht in einem Raum mit einer Frau vorne.</v>
      </c>
    </row>
    <row r="25656">
      <c r="A25656" s="4" t="s">
        <v>32294</v>
      </c>
      <c r="B25656" s="4" t="s">
        <v>32296</v>
      </c>
      <c r="C25656" s="5" t="str">
        <f>IFERROR(__xludf.DUMMYFUNCTION("GOOGLETRANSLATE(B25656,""en"",""de"")"),"Die Frau tanzt dann mit den Frauen herum, während sie ihr folgt.")</f>
        <v>Die Frau tanzt dann mit den Frauen herum, während sie ihr folgt.</v>
      </c>
    </row>
    <row r="25657">
      <c r="A25657" s="4" t="s">
        <v>32294</v>
      </c>
      <c r="B25657" s="4" t="s">
        <v>32297</v>
      </c>
      <c r="C25657" s="5" t="str">
        <f>IFERROR(__xludf.DUMMYFUNCTION("GOOGLETRANSLATE(B25657,""en"",""de"")"),"Die Frauen wechseln mit Männern die Plätze und folgen dann der Frau, die herumtanzt.")</f>
        <v>Die Frauen wechseln mit Männern die Plätze und folgen dann der Frau, die herumtanzt.</v>
      </c>
    </row>
    <row r="25658">
      <c r="A25658" s="4" t="s">
        <v>32298</v>
      </c>
      <c r="B25658" s="4" t="s">
        <v>32299</v>
      </c>
      <c r="C25658" s="5" t="str">
        <f>IFERROR(__xludf.DUMMYFUNCTION("GOOGLETRANSLATE(B25658,""en"",""de"")"),"Eine Frau in einem blauen Hemd geht entlang einer schlaffen Linie.")</f>
        <v>Eine Frau in einem blauen Hemd geht entlang einer schlaffen Linie.</v>
      </c>
    </row>
    <row r="25659">
      <c r="A25659" s="4" t="s">
        <v>32298</v>
      </c>
      <c r="B25659" s="4" t="s">
        <v>32300</v>
      </c>
      <c r="C25659" s="5" t="str">
        <f>IFERROR(__xludf.DUMMYFUNCTION("GOOGLETRANSLATE(B25659,""en"",""de"")"),"Sie fällt ab und greift nach dem Seil.")</f>
        <v>Sie fällt ab und greift nach dem Seil.</v>
      </c>
    </row>
    <row r="25660">
      <c r="A25660" s="4" t="s">
        <v>32301</v>
      </c>
      <c r="B25660" s="4" t="s">
        <v>32302</v>
      </c>
      <c r="C25660" s="5" t="str">
        <f>IFERROR(__xludf.DUMMYFUNCTION("GOOGLETRANSLATE(B25660,""en"",""de"")"),"Mehrere Menschen sind an einem See versammelt.")</f>
        <v>Mehrere Menschen sind an einem See versammelt.</v>
      </c>
    </row>
    <row r="25661">
      <c r="A25661" s="4" t="s">
        <v>32301</v>
      </c>
      <c r="B25661" s="4" t="s">
        <v>32303</v>
      </c>
      <c r="C25661" s="5" t="str">
        <f>IFERROR(__xludf.DUMMYFUNCTION("GOOGLETRANSLATE(B25661,""en"",""de"")"),"Bilder werden von den Menschen gezeigt, die mit Drachen posieren und fliegend sind.")</f>
        <v>Bilder werden von den Menschen gezeigt, die mit Drachen posieren und fliegend sind.</v>
      </c>
    </row>
    <row r="25662">
      <c r="A25662" s="4" t="s">
        <v>32301</v>
      </c>
      <c r="B25662" s="4" t="s">
        <v>32304</v>
      </c>
      <c r="C25662" s="5" t="str">
        <f>IFERROR(__xludf.DUMMYFUNCTION("GOOGLETRANSLATE(B25662,""en"",""de"")"),"Sie werden dann gesehen, wie sie die Drachen an einem Strand fliegen.")</f>
        <v>Sie werden dann gesehen, wie sie die Drachen an einem Strand fliegen.</v>
      </c>
    </row>
    <row r="25663">
      <c r="A25663" s="4" t="s">
        <v>32305</v>
      </c>
      <c r="B25663" s="4" t="s">
        <v>32306</v>
      </c>
      <c r="C25663" s="5" t="str">
        <f>IFERROR(__xludf.DUMMYFUNCTION("GOOGLETRANSLATE(B25663,""en"",""de"")"),"Eine Auswahl an Drumlinien wird an verschiedenen Orten praktiziert.")</f>
        <v>Eine Auswahl an Drumlinien wird an verschiedenen Orten praktiziert.</v>
      </c>
    </row>
    <row r="25664">
      <c r="A25664" s="4" t="s">
        <v>32305</v>
      </c>
      <c r="B25664" s="4" t="s">
        <v>32307</v>
      </c>
      <c r="C25664" s="5" t="str">
        <f>IFERROR(__xludf.DUMMYFUNCTION("GOOGLETRANSLATE(B25664,""en"",""de"")"),"Es werden mehrere Schulen gezeigt und die SB4Ts befinden sich in der unteren rechten Ecke, da eine Gruppe in blauen Hemden und schwarze Hosen verschiedene Formationen ausführen und ausführen.")</f>
        <v>Es werden mehrere Schulen gezeigt und die SB4Ts befinden sich in der unteren rechten Ecke, da eine Gruppe in blauen Hemden und schwarze Hosen verschiedene Formationen ausführen und ausführen.</v>
      </c>
    </row>
    <row r="25665">
      <c r="A25665" s="4" t="s">
        <v>32308</v>
      </c>
      <c r="B25665" s="4" t="s">
        <v>32309</v>
      </c>
      <c r="C25665" s="5" t="str">
        <f>IFERROR(__xludf.DUMMYFUNCTION("GOOGLETRANSLATE(B25665,""en"",""de"")"),"Von außen wird ein Gyros -Restaurant gezeigt.")</f>
        <v>Von außen wird ein Gyros -Restaurant gezeigt.</v>
      </c>
    </row>
    <row r="25666">
      <c r="A25666" s="4" t="s">
        <v>32308</v>
      </c>
      <c r="B25666" s="4" t="s">
        <v>32310</v>
      </c>
      <c r="C25666" s="5" t="str">
        <f>IFERROR(__xludf.DUMMYFUNCTION("GOOGLETRANSLATE(B25666,""en"",""de"")"),"Wir betreten und der Koch beginnt mit der Kamera zu sprechen.")</f>
        <v>Wir betreten und der Koch beginnt mit der Kamera zu sprechen.</v>
      </c>
    </row>
    <row r="25667">
      <c r="A25667" s="4" t="s">
        <v>32308</v>
      </c>
      <c r="B25667" s="4" t="s">
        <v>32311</v>
      </c>
      <c r="C25667" s="5" t="str">
        <f>IFERROR(__xludf.DUMMYFUNCTION("GOOGLETRANSLATE(B25667,""en"",""de"")"),"Er zeigt, wie man ein Gyro -Sandwich macht.")</f>
        <v>Er zeigt, wie man ein Gyro -Sandwich macht.</v>
      </c>
    </row>
    <row r="25668">
      <c r="A25668" s="4" t="s">
        <v>32308</v>
      </c>
      <c r="B25668" s="4" t="s">
        <v>32312</v>
      </c>
      <c r="C25668" s="5" t="str">
        <f>IFERROR(__xludf.DUMMYFUNCTION("GOOGLETRANSLATE(B25668,""en"",""de"")"),"Er legt alle Zutaten auf die Theke, rasiert das Fleisch und stapelt sie in der Pita.")</f>
        <v>Er legt alle Zutaten auf die Theke, rasiert das Fleisch und stapelt sie in der Pita.</v>
      </c>
    </row>
    <row r="25669">
      <c r="A25669" s="4" t="s">
        <v>32308</v>
      </c>
      <c r="B25669" s="4" t="s">
        <v>32313</v>
      </c>
      <c r="C25669" s="5" t="str">
        <f>IFERROR(__xludf.DUMMYFUNCTION("GOOGLETRANSLATE(B25669,""en"",""de"")"),"Er redet weiter für die Kamera und serviert dann dem Kameramann einen Kreisel.")</f>
        <v>Er redet weiter für die Kamera und serviert dann dem Kameramann einen Kreisel.</v>
      </c>
    </row>
    <row r="25670">
      <c r="A25670" s="4" t="s">
        <v>32308</v>
      </c>
      <c r="B25670" s="4" t="s">
        <v>32314</v>
      </c>
      <c r="C25670" s="5" t="str">
        <f>IFERROR(__xludf.DUMMYFUNCTION("GOOGLETRANSLATE(B25670,""en"",""de"")"),"Der Mann isst es und nickt zur Zustimmung.")</f>
        <v>Der Mann isst es und nickt zur Zustimmung.</v>
      </c>
    </row>
    <row r="25671">
      <c r="A25671" s="4" t="s">
        <v>32315</v>
      </c>
      <c r="B25671" s="4" t="s">
        <v>32316</v>
      </c>
      <c r="C25671" s="5" t="str">
        <f>IFERROR(__xludf.DUMMYFUNCTION("GOOGLETRANSLATE(B25671,""en"",""de"")"),"Ein Mann wird gesehen, wie sie Funken auf einem Metallpol erzeugt, während er sie entlang bewegt.")</f>
        <v>Ein Mann wird gesehen, wie sie Funken auf einem Metallpol erzeugt, während er sie entlang bewegt.</v>
      </c>
    </row>
    <row r="25672">
      <c r="A25672" s="4" t="s">
        <v>32315</v>
      </c>
      <c r="B25672" s="4" t="s">
        <v>32317</v>
      </c>
      <c r="C25672" s="5" t="str">
        <f>IFERROR(__xludf.DUMMYFUNCTION("GOOGLETRANSLATE(B25672,""en"",""de"")"),"Dann legt er die Fackel herunter und zoomt in die Bar.")</f>
        <v>Dann legt er die Fackel herunter und zoomt in die Bar.</v>
      </c>
    </row>
    <row r="25673">
      <c r="A25673" s="4" t="s">
        <v>32318</v>
      </c>
      <c r="B25673" s="4" t="s">
        <v>32319</v>
      </c>
      <c r="C25673" s="5" t="str">
        <f>IFERROR(__xludf.DUMMYFUNCTION("GOOGLETRANSLATE(B25673,""en"",""de"")"),"Eine Person geht ein Pferd in einer Arena.")</f>
        <v>Eine Person geht ein Pferd in einer Arena.</v>
      </c>
    </row>
    <row r="25674">
      <c r="A25674" s="4" t="s">
        <v>32318</v>
      </c>
      <c r="B25674" s="4" t="s">
        <v>32320</v>
      </c>
      <c r="C25674" s="5" t="str">
        <f>IFERROR(__xludf.DUMMYFUNCTION("GOOGLETRANSLATE(B25674,""en"",""de"")"),"Sie beginnen das Fell des Pferdes zu bürsten.")</f>
        <v>Sie beginnen das Fell des Pferdes zu bürsten.</v>
      </c>
    </row>
    <row r="25675">
      <c r="A25675" s="4" t="s">
        <v>32318</v>
      </c>
      <c r="B25675" s="4" t="s">
        <v>32321</v>
      </c>
      <c r="C25675" s="5" t="str">
        <f>IFERROR(__xludf.DUMMYFUNCTION("GOOGLETRANSLATE(B25675,""en"",""de"")"),"Sie bürsten das Ohr des Pferdes.")</f>
        <v>Sie bürsten das Ohr des Pferdes.</v>
      </c>
    </row>
    <row r="25676">
      <c r="A25676" s="4" t="s">
        <v>32318</v>
      </c>
      <c r="B25676" s="4" t="s">
        <v>32322</v>
      </c>
      <c r="C25676" s="5" t="str">
        <f>IFERROR(__xludf.DUMMYFUNCTION("GOOGLETRANSLATE(B25676,""en"",""de"")"),"Sie bürsten das Gesicht des Pferdes.")</f>
        <v>Sie bürsten das Gesicht des Pferdes.</v>
      </c>
    </row>
    <row r="25677">
      <c r="A25677" s="4" t="s">
        <v>32323</v>
      </c>
      <c r="B25677" s="4" t="s">
        <v>32324</v>
      </c>
      <c r="C25677" s="5" t="str">
        <f>IFERROR(__xludf.DUMMYFUNCTION("GOOGLETRANSLATE(B25677,""en"",""de"")"),"Ein Mann mit zwei Kindern wird gesehen, wie er mit der Kamera spricht, wobei einer seine Hände hochwirft und sich schnell in sie bewegt.")</f>
        <v>Ein Mann mit zwei Kindern wird gesehen, wie er mit der Kamera spricht, wobei einer seine Hände hochwirft und sich schnell in sie bewegt.</v>
      </c>
    </row>
    <row r="25678">
      <c r="A25678" s="4" t="s">
        <v>32323</v>
      </c>
      <c r="B25678" s="4" t="s">
        <v>32325</v>
      </c>
      <c r="C25678" s="5" t="str">
        <f>IFERROR(__xludf.DUMMYFUNCTION("GOOGLETRANSLATE(B25678,""en"",""de"")"),"Die Kinder stehen auf einem Stuhl, der Ornamente von einem Baum abnimmt, während sie sich zurückziehen und den vierten Platz zum Tisch haben, um die Objekte zu platzieren.")</f>
        <v>Die Kinder stehen auf einem Stuhl, der Ornamente von einem Baum abnimmt, während sie sich zurückziehen und den vierten Platz zum Tisch haben, um die Objekte zu platzieren.</v>
      </c>
    </row>
    <row r="25679">
      <c r="A25679" s="4" t="s">
        <v>32323</v>
      </c>
      <c r="B25679" s="4" t="s">
        <v>32326</v>
      </c>
      <c r="C25679" s="5" t="str">
        <f>IFERROR(__xludf.DUMMYFUNCTION("GOOGLETRANSLATE(B25679,""en"",""de"")"),"Die Kinder fegen dann den Boden, während sie tanzen und Spaß haben und alle zur Kamera winken.")</f>
        <v>Die Kinder fegen dann den Boden, während sie tanzen und Spaß haben und alle zur Kamera winken.</v>
      </c>
    </row>
    <row r="25680">
      <c r="A25680" s="4" t="s">
        <v>32327</v>
      </c>
      <c r="B25680" s="4" t="s">
        <v>32328</v>
      </c>
      <c r="C25680" s="5" t="str">
        <f>IFERROR(__xludf.DUMMYFUNCTION("GOOGLETRANSLATE(B25680,""en"",""de"")"),"Ein Mann sitzt auf einem Übungsgerät und bewegt sich auf der Maschine zurück und den vierten Platz.")</f>
        <v>Ein Mann sitzt auf einem Übungsgerät und bewegt sich auf der Maschine zurück und den vierten Platz.</v>
      </c>
    </row>
    <row r="25681">
      <c r="A25681" s="4" t="s">
        <v>32327</v>
      </c>
      <c r="B25681" s="4" t="s">
        <v>32329</v>
      </c>
      <c r="C25681" s="5" t="str">
        <f>IFERROR(__xludf.DUMMYFUNCTION("GOOGLETRANSLATE(B25681,""en"",""de"")"),"Der Mann bewegt sich weiterhin einen vierten, während er seinen Körper zurückzieht und endet, indem er sich selbst aushört und seine Füße bewegt.")</f>
        <v>Der Mann bewegt sich weiterhin einen vierten, während er seinen Körper zurückzieht und endet, indem er sich selbst aushört und seine Füße bewegt.</v>
      </c>
    </row>
    <row r="25682">
      <c r="A25682" s="4" t="s">
        <v>32330</v>
      </c>
      <c r="B25682" s="4" t="s">
        <v>32331</v>
      </c>
      <c r="C25682" s="5" t="str">
        <f>IFERROR(__xludf.DUMMYFUNCTION("GOOGLETRANSLATE(B25682,""en"",""de"")"),"Ein Händler handelt Karten an einem Blackjack -Tisch.")</f>
        <v>Ein Händler handelt Karten an einem Blackjack -Tisch.</v>
      </c>
    </row>
    <row r="25683">
      <c r="A25683" s="4" t="s">
        <v>32330</v>
      </c>
      <c r="B25683" s="4" t="s">
        <v>32332</v>
      </c>
      <c r="C25683" s="5" t="str">
        <f>IFERROR(__xludf.DUMMYFUNCTION("GOOGLETRANSLATE(B25683,""en"",""de"")"),"Die Leute sitzen am Tisch und spielen.")</f>
        <v>Die Leute sitzen am Tisch und spielen.</v>
      </c>
    </row>
    <row r="25684">
      <c r="A25684" s="4" t="s">
        <v>32330</v>
      </c>
      <c r="B25684" s="4" t="s">
        <v>32333</v>
      </c>
      <c r="C25684" s="5" t="str">
        <f>IFERROR(__xludf.DUMMYFUNCTION("GOOGLETRANSLATE(B25684,""en"",""de"")"),"Ein Mann in einem weißen Hemd steht neben dem Tisch auf.")</f>
        <v>Ein Mann in einem weißen Hemd steht neben dem Tisch auf.</v>
      </c>
    </row>
    <row r="25685">
      <c r="A25685" s="4" t="s">
        <v>32334</v>
      </c>
      <c r="B25685" s="4" t="s">
        <v>32335</v>
      </c>
      <c r="C25685" s="5" t="str">
        <f>IFERROR(__xludf.DUMMYFUNCTION("GOOGLETRANSLATE(B25685,""en"",""de"")"),"Ein junges Mädchen zeigt, wie man ein Geflecht in geschichteten Haaren macht.")</f>
        <v>Ein junges Mädchen zeigt, wie man ein Geflecht in geschichteten Haaren macht.</v>
      </c>
    </row>
    <row r="25686">
      <c r="A25686" s="4" t="s">
        <v>32334</v>
      </c>
      <c r="B25686" s="4" t="s">
        <v>32336</v>
      </c>
      <c r="C25686" s="5" t="str">
        <f>IFERROR(__xludf.DUMMYFUNCTION("GOOGLETRANSLATE(B25686,""en"",""de"")"),"Sie beginnt damit, dass sie sich die Haare niederstürmen.")</f>
        <v>Sie beginnt damit, dass sie sich die Haare niederstürmen.</v>
      </c>
    </row>
    <row r="25687">
      <c r="A25687" s="4" t="s">
        <v>32334</v>
      </c>
      <c r="B25687" s="4" t="s">
        <v>32337</v>
      </c>
      <c r="C25687" s="5" t="str">
        <f>IFERROR(__xludf.DUMMYFUNCTION("GOOGLETRANSLATE(B25687,""en"",""de"")"),"Dann bringt sie alle Haare auf ihre rechte Seite und beginnt die Haare auf einem einzigen Geflecht zu flechten.")</f>
        <v>Dann bringt sie alle Haare auf ihre rechte Seite und beginnt die Haare auf einem einzigen Geflecht zu flechten.</v>
      </c>
    </row>
    <row r="25688">
      <c r="A25688" s="4" t="s">
        <v>32334</v>
      </c>
      <c r="B25688" s="4" t="s">
        <v>32338</v>
      </c>
      <c r="C25688" s="5" t="str">
        <f>IFERROR(__xludf.DUMMYFUNCTION("GOOGLETRANSLATE(B25688,""en"",""de"")"),"Sie nimmt dann eine Haarkrawatte und bindet sie um den Boden ihres Geflechts.")</f>
        <v>Sie nimmt dann eine Haarkrawatte und bindet sie um den Boden ihres Geflechts.</v>
      </c>
    </row>
    <row r="25689">
      <c r="A25689" s="4" t="s">
        <v>32334</v>
      </c>
      <c r="B25689" s="4" t="s">
        <v>32339</v>
      </c>
      <c r="C25689" s="5" t="str">
        <f>IFERROR(__xludf.DUMMYFUNCTION("GOOGLETRANSLATE(B25689,""en"",""de"")"),"Sie nimmt etwas Haargel aus einem orangefarbenen Behälter und verwendet es auf den Spitzen ihres Geflechts, um das Haar zu glätten.")</f>
        <v>Sie nimmt etwas Haargel aus einem orangefarbenen Behälter und verwendet es auf den Spitzen ihres Geflechts, um das Haar zu glätten.</v>
      </c>
    </row>
    <row r="25690">
      <c r="A25690" s="4" t="s">
        <v>32334</v>
      </c>
      <c r="B25690" s="4" t="s">
        <v>32340</v>
      </c>
      <c r="C25690" s="5" t="str">
        <f>IFERROR(__xludf.DUMMYFUNCTION("GOOGLETRANSLATE(B25690,""en"",""de"")"),"Sie zögert weiter den unteren Teil ihres Geflechts bis zum Ende und bindet eine andere Haarbindung um sie.")</f>
        <v>Sie zögert weiter den unteren Teil ihres Geflechts bis zum Ende und bindet eine andere Haarbindung um sie.</v>
      </c>
    </row>
    <row r="25691">
      <c r="A25691" s="4" t="s">
        <v>32334</v>
      </c>
      <c r="B25691" s="4" t="s">
        <v>32341</v>
      </c>
      <c r="C25691" s="5" t="str">
        <f>IFERROR(__xludf.DUMMYFUNCTION("GOOGLETRANSLATE(B25691,""en"",""de"")"),"Dann nimmt sie einen Bobby Pin und steckt die kurzen Haare vorne nach hinten an ihrem Kopf.")</f>
        <v>Dann nimmt sie einen Bobby Pin und steckt die kurzen Haare vorne nach hinten an ihrem Kopf.</v>
      </c>
    </row>
    <row r="25692">
      <c r="A25692" s="4" t="s">
        <v>32334</v>
      </c>
      <c r="B25692" s="4" t="s">
        <v>32342</v>
      </c>
      <c r="C25692" s="5" t="str">
        <f>IFERROR(__xludf.DUMMYFUNCTION("GOOGLETRANSLATE(B25692,""en"",""de"")"),"Sie sichert den Stift in ihre Haare und winkt gut auf Wiedersehen.")</f>
        <v>Sie sichert den Stift in ihre Haare und winkt gut auf Wiedersehen.</v>
      </c>
    </row>
    <row r="25693">
      <c r="A25693" s="4" t="s">
        <v>32343</v>
      </c>
      <c r="B25693" s="4" t="s">
        <v>32344</v>
      </c>
      <c r="C25693" s="5" t="str">
        <f>IFERROR(__xludf.DUMMYFUNCTION("GOOGLETRANSLATE(B25693,""en"",""de"")"),"Zwei Menschen stehen mit einem, der eine Strecke hinunter und in eine Sandgrube rennt.")</f>
        <v>Zwei Menschen stehen mit einem, der eine Strecke hinunter und in eine Sandgrube rennt.</v>
      </c>
    </row>
    <row r="25694">
      <c r="A25694" s="4" t="s">
        <v>32343</v>
      </c>
      <c r="B25694" s="4" t="s">
        <v>32345</v>
      </c>
      <c r="C25694" s="5" t="str">
        <f>IFERROR(__xludf.DUMMYFUNCTION("GOOGLETRANSLATE(B25694,""en"",""de"")"),"Der Mann legt sich hin, während ein anderer eine Flagge hebt und von der Strecke weggeht.")</f>
        <v>Der Mann legt sich hin, während ein anderer eine Flagge hebt und von der Strecke weggeht.</v>
      </c>
    </row>
    <row r="25695">
      <c r="A25695" s="4" t="s">
        <v>32346</v>
      </c>
      <c r="B25695" s="4" t="s">
        <v>32347</v>
      </c>
      <c r="C25695" s="5" t="str">
        <f>IFERROR(__xludf.DUMMYFUNCTION("GOOGLETRANSLATE(B25695,""en"",""de"")"),"Ein Mädchen sitzt an einem Tisch, der verschiedene Gegenstände in ihren Händen hält und sie alle zusammenschiebt.")</f>
        <v>Ein Mädchen sitzt an einem Tisch, der verschiedene Gegenstände in ihren Händen hält und sie alle zusammenschiebt.</v>
      </c>
    </row>
    <row r="25696">
      <c r="A25696" s="4" t="s">
        <v>32346</v>
      </c>
      <c r="B25696" s="4" t="s">
        <v>32348</v>
      </c>
      <c r="C25696" s="5" t="str">
        <f>IFERROR(__xludf.DUMMYFUNCTION("GOOGLETRANSLATE(B25696,""en"",""de"")"),"Dann reibt sie eine Nadel an einem Wattebausch, drückt ihn auf einen Bleistift und wickelt Faden um ihn.")</f>
        <v>Dann reibt sie eine Nadel an einem Wattebausch, drückt ihn auf einen Bleistift und wickelt Faden um ihn.</v>
      </c>
    </row>
    <row r="25697">
      <c r="A25697" s="4" t="s">
        <v>32346</v>
      </c>
      <c r="B25697" s="4" t="s">
        <v>32349</v>
      </c>
      <c r="C25697" s="5" t="str">
        <f>IFERROR(__xludf.DUMMYFUNCTION("GOOGLETRANSLATE(B25697,""en"",""de"")"),"Sie hält dann eine Schachtel eines Produkts und gießt dann mehrere Flüssigkeiten in eine Schüssel.")</f>
        <v>Sie hält dann eine Schachtel eines Produkts und gießt dann mehrere Flüssigkeiten in eine Schüssel.</v>
      </c>
    </row>
    <row r="25698">
      <c r="A25698" s="4" t="s">
        <v>32346</v>
      </c>
      <c r="B25698" s="4" t="s">
        <v>32350</v>
      </c>
      <c r="C25698" s="5" t="str">
        <f>IFERROR(__xludf.DUMMYFUNCTION("GOOGLETRANSLATE(B25698,""en"",""de"")"),"Dann taucht sie die Nadel in Tinte ein und zeichnet den Bleistift ein Design auf ihr Bein, wodurch sie am Ende mit einem Lappen abgerieben wird.")</f>
        <v>Dann taucht sie die Nadel in Tinte ein und zeichnet den Bleistift ein Design auf ihr Bein, wodurch sie am Ende mit einem Lappen abgerieben wird.</v>
      </c>
    </row>
    <row r="25699">
      <c r="A25699" s="4" t="s">
        <v>32351</v>
      </c>
      <c r="B25699" s="4" t="s">
        <v>32352</v>
      </c>
      <c r="C25699" s="5" t="str">
        <f>IFERROR(__xludf.DUMMYFUNCTION("GOOGLETRANSLATE(B25699,""en"",""de"")"),"Eine überwiegend dunkle Dartbreite ist leer.")</f>
        <v>Eine überwiegend dunkle Dartbreite ist leer.</v>
      </c>
    </row>
    <row r="25700">
      <c r="A25700" s="4" t="s">
        <v>32351</v>
      </c>
      <c r="B25700" s="4" t="s">
        <v>32353</v>
      </c>
      <c r="C25700" s="5" t="str">
        <f>IFERROR(__xludf.DUMMYFUNCTION("GOOGLETRANSLATE(B25700,""en"",""de"")"),"Ein Mann wirft einen Dart auf das Dart -Board.")</f>
        <v>Ein Mann wirft einen Dart auf das Dart -Board.</v>
      </c>
    </row>
    <row r="25701">
      <c r="A25701" s="4" t="s">
        <v>32351</v>
      </c>
      <c r="B25701" s="4" t="s">
        <v>32354</v>
      </c>
      <c r="C25701" s="5" t="str">
        <f>IFERROR(__xludf.DUMMYFUNCTION("GOOGLETRANSLATE(B25701,""en"",""de"")"),"Der Pfeil trifft das Bullseye.")</f>
        <v>Der Pfeil trifft das Bullseye.</v>
      </c>
    </row>
    <row r="25702">
      <c r="A25702" s="4" t="s">
        <v>32355</v>
      </c>
      <c r="B25702" s="4" t="s">
        <v>32356</v>
      </c>
      <c r="C25702" s="5" t="str">
        <f>IFERROR(__xludf.DUMMYFUNCTION("GOOGLETRANSLATE(B25702,""en"",""de"")"),"Eine kleine Gruppe von Menschen ist gesehen, wie er den roten Teppich spaziert und miteinander spricht.")</f>
        <v>Eine kleine Gruppe von Menschen ist gesehen, wie er den roten Teppich spaziert und miteinander spricht.</v>
      </c>
    </row>
    <row r="25703">
      <c r="A25703" s="4" t="s">
        <v>32355</v>
      </c>
      <c r="B25703" s="4" t="s">
        <v>32357</v>
      </c>
      <c r="C25703" s="5" t="str">
        <f>IFERROR(__xludf.DUMMYFUNCTION("GOOGLETRANSLATE(B25703,""en"",""de"")"),"Ein Athlet wird dann mit einem neuen Gastgeber gesprochen, und es werden mehrere Aufnahmen von ihm gespielt, wie er spielt und auf einem Pferd reitet.")</f>
        <v>Ein Athlet wird dann mit einem neuen Gastgeber gesprochen, und es werden mehrere Aufnahmen von ihm gespielt, wie er spielt und auf einem Pferd reitet.</v>
      </c>
    </row>
    <row r="25704">
      <c r="A25704" s="4" t="s">
        <v>32355</v>
      </c>
      <c r="B25704" s="4" t="s">
        <v>32358</v>
      </c>
      <c r="C25704" s="5" t="str">
        <f>IFERROR(__xludf.DUMMYFUNCTION("GOOGLETRANSLATE(B25704,""en"",""de"")"),"Es werden mehr Clips gezeigt, wie er einen Sport treibt und mit dem Gastgeber spricht und seine Hand schüttelt.")</f>
        <v>Es werden mehr Clips gezeigt, wie er einen Sport treibt und mit dem Gastgeber spricht und seine Hand schüttelt.</v>
      </c>
    </row>
    <row r="25705">
      <c r="A25705" s="4" t="s">
        <v>32359</v>
      </c>
      <c r="B25705" s="4" t="s">
        <v>32360</v>
      </c>
      <c r="C25705" s="5" t="str">
        <f>IFERROR(__xludf.DUMMYFUNCTION("GOOGLETRANSLATE(B25705,""en"",""de"")"),"Eine Frau macht ein Tattoo im Arm eines Mädchens, während er mit einem Gewebe putzt.")</f>
        <v>Eine Frau macht ein Tattoo im Arm eines Mädchens, während er mit einem Gewebe putzt.</v>
      </c>
    </row>
    <row r="25706">
      <c r="A25706" s="4" t="s">
        <v>32359</v>
      </c>
      <c r="B25706" s="4" t="s">
        <v>32361</v>
      </c>
      <c r="C25706" s="5" t="str">
        <f>IFERROR(__xludf.DUMMYFUNCTION("GOOGLETRANSLATE(B25706,""en"",""de"")"),"Das Mädchen macht Schmerzgesten ins Gesicht.")</f>
        <v>Das Mädchen macht Schmerzgesten ins Gesicht.</v>
      </c>
    </row>
    <row r="25707">
      <c r="A25707" s="4" t="s">
        <v>32362</v>
      </c>
      <c r="B25707" s="4" t="s">
        <v>32363</v>
      </c>
      <c r="C25707" s="5" t="str">
        <f>IFERROR(__xludf.DUMMYFUNCTION("GOOGLETRANSLATE(B25707,""en"",""de"")"),"Eine Aufnahme des Films Forest Gump wird mit dem Mann gezeigt, der in mehreren Schüssen Ping -Pong spielt und er am Ende lacht.")</f>
        <v>Eine Aufnahme des Films Forest Gump wird mit dem Mann gezeigt, der in mehreren Schüssen Ping -Pong spielt und er am Ende lacht.</v>
      </c>
    </row>
    <row r="25708">
      <c r="A25708" s="4" t="s">
        <v>32362</v>
      </c>
      <c r="B25708" s="4" t="s">
        <v>32364</v>
      </c>
      <c r="C25708" s="5" t="str">
        <f>IFERROR(__xludf.DUMMYFUNCTION("GOOGLETRANSLATE(B25708,""en"",""de"")"),"Weitere Clips werden von den Schauspielern gezeigt, die miteinander spielen, und ein Mann, der das Filmmaterial auf einem Computer zeigt, während sie mit der Kamera sprechen.")</f>
        <v>Weitere Clips werden von den Schauspielern gezeigt, die miteinander spielen, und ein Mann, der das Filmmaterial auf einem Computer zeigt, während sie mit der Kamera sprechen.</v>
      </c>
    </row>
    <row r="25709">
      <c r="A25709" s="4" t="s">
        <v>32362</v>
      </c>
      <c r="B25709" s="4" t="s">
        <v>32365</v>
      </c>
      <c r="C25709" s="5" t="str">
        <f>IFERROR(__xludf.DUMMYFUNCTION("GOOGLETRANSLATE(B25709,""en"",""de"")"),"Tom Hanks wird mehrmals über das Event interviewt und setzt sich am Ende beim Spielen.")</f>
        <v>Tom Hanks wird mehrmals über das Event interviewt und setzt sich am Ende beim Spielen.</v>
      </c>
    </row>
    <row r="25710">
      <c r="A25710" s="4" t="s">
        <v>32366</v>
      </c>
      <c r="B25710" s="4" t="s">
        <v>32367</v>
      </c>
      <c r="C25710" s="5" t="str">
        <f>IFERROR(__xludf.DUMMYFUNCTION("GOOGLETRANSLATE(B25710,""en"",""de"")"),"Eine Frau, die schwarz mit einer Visierin und einer Sonnenbrille gekleidet ist, spricht ein Paddel.")</f>
        <v>Eine Frau, die schwarz mit einer Visierin und einer Sonnenbrille gekleidet ist, spricht ein Paddel.</v>
      </c>
    </row>
    <row r="25711">
      <c r="A25711" s="4" t="s">
        <v>32366</v>
      </c>
      <c r="B25711" s="4" t="s">
        <v>32368</v>
      </c>
      <c r="C25711" s="5" t="str">
        <f>IFERROR(__xludf.DUMMYFUNCTION("GOOGLETRANSLATE(B25711,""en"",""de"")"),"Sobald sie mit dem Reden fertig ist, beginnt sie mit ihrem weißen Hund zwischen ihren Beinen zu kajakfahren.")</f>
        <v>Sobald sie mit dem Reden fertig ist, beginnt sie mit ihrem weißen Hund zwischen ihren Beinen zu kajakfahren.</v>
      </c>
    </row>
    <row r="25712">
      <c r="A25712" s="4" t="s">
        <v>32366</v>
      </c>
      <c r="B25712" s="4" t="s">
        <v>32369</v>
      </c>
      <c r="C25712" s="5" t="str">
        <f>IFERROR(__xludf.DUMMYFUNCTION("GOOGLETRANSLATE(B25712,""en"",""de"")"),"Jetzt ist die Frau aus dem Wasser und beginnt Armübungen mit dem Paddel hinter ihrem Kopf zu machen, der es auf und ab hebt.")</f>
        <v>Jetzt ist die Frau aus dem Wasser und beginnt Armübungen mit dem Paddel hinter ihrem Kopf zu machen, der es auf und ab hebt.</v>
      </c>
    </row>
    <row r="25713">
      <c r="A25713" s="4" t="s">
        <v>32366</v>
      </c>
      <c r="B25713" s="4" t="s">
        <v>32370</v>
      </c>
      <c r="C25713" s="5" t="str">
        <f>IFERROR(__xludf.DUMMYFUNCTION("GOOGLETRANSLATE(B25713,""en"",""de"")"),"Sie fügt dann die Beine hinzu und beginnt im Gras Ausfallschritte zu machen, bevor sie weiterhin Locken mit ihren Händen macht.")</f>
        <v>Sie fügt dann die Beine hinzu und beginnt im Gras Ausfallschritte zu machen, bevor sie weiterhin Locken mit ihren Händen macht.</v>
      </c>
    </row>
    <row r="25714">
      <c r="A25714" s="4" t="s">
        <v>32366</v>
      </c>
      <c r="B25714" s="4" t="s">
        <v>32371</v>
      </c>
      <c r="C25714" s="5" t="str">
        <f>IFERROR(__xludf.DUMMYFUNCTION("GOOGLETRANSLATE(B25714,""en"",""de"")"),"Die Dame ist jetzt auf eine Terrasse gezogen und legt sich flach auf den Rücken und macht Beinübungen.")</f>
        <v>Die Dame ist jetzt auf eine Terrasse gezogen und legt sich flach auf den Rücken und macht Beinübungen.</v>
      </c>
    </row>
    <row r="25715">
      <c r="A25715" s="4" t="s">
        <v>32372</v>
      </c>
      <c r="B25715" s="4" t="s">
        <v>32373</v>
      </c>
      <c r="C25715" s="5" t="str">
        <f>IFERROR(__xludf.DUMMYFUNCTION("GOOGLETRANSLATE(B25715,""en"",""de"")"),"Ein Mädchen steht draußen auf einem Feld und spricht und Hula Hooping.")</f>
        <v>Ein Mädchen steht draußen auf einem Feld und spricht und Hula Hooping.</v>
      </c>
    </row>
    <row r="25716">
      <c r="A25716" s="4" t="s">
        <v>32372</v>
      </c>
      <c r="B25716" s="4" t="s">
        <v>32374</v>
      </c>
      <c r="C25716" s="5" t="str">
        <f>IFERROR(__xludf.DUMMYFUNCTION("GOOGLETRANSLATE(B25716,""en"",""de"")"),"Ein anderes Mädchen versucht dann das Gleiche zu tun, aber sie ist nicht erfolgreich.")</f>
        <v>Ein anderes Mädchen versucht dann das Gleiche zu tun, aber sie ist nicht erfolgreich.</v>
      </c>
    </row>
    <row r="25717">
      <c r="A25717" s="4" t="s">
        <v>32372</v>
      </c>
      <c r="B25717" s="4" t="s">
        <v>32375</v>
      </c>
      <c r="C25717" s="5" t="str">
        <f>IFERROR(__xludf.DUMMYFUNCTION("GOOGLETRANSLATE(B25717,""en"",""de"")"),"Das erste Mädchen kommt zurück und tut es mühelos, als das zweite Mädchen immer noch kämpft.")</f>
        <v>Das erste Mädchen kommt zurück und tut es mühelos, als das zweite Mädchen immer noch kämpft.</v>
      </c>
    </row>
    <row r="25718">
      <c r="A25718" s="4" t="s">
        <v>32372</v>
      </c>
      <c r="B25718" s="4" t="s">
        <v>32376</v>
      </c>
      <c r="C25718" s="5" t="str">
        <f>IFERROR(__xludf.DUMMYFUNCTION("GOOGLETRANSLATE(B25718,""en"",""de"")"),"In der letzten Runde beginnt das Mädchen Hula Hoop und trinkt Soda und rennt über das Gras.")</f>
        <v>In der letzten Runde beginnt das Mädchen Hula Hoop und trinkt Soda und rennt über das Gras.</v>
      </c>
    </row>
    <row r="25719">
      <c r="A25719" s="4" t="s">
        <v>32377</v>
      </c>
      <c r="B25719" s="4" t="s">
        <v>32378</v>
      </c>
      <c r="C25719" s="5" t="str">
        <f>IFERROR(__xludf.DUMMYFUNCTION("GOOGLETRANSLATE(B25719,""en"",""de"")"),"Ein Schwarz und Braun steht an der Wand, als eine Person ein Vakuum wie Maschine über sein Fell hin und her bewegt.")</f>
        <v>Ein Schwarz und Braun steht an der Wand, als eine Person ein Vakuum wie Maschine über sein Fell hin und her bewegt.</v>
      </c>
    </row>
    <row r="25720">
      <c r="A25720" s="4" t="s">
        <v>32377</v>
      </c>
      <c r="B25720" s="4" t="s">
        <v>32379</v>
      </c>
      <c r="C25720" s="5" t="str">
        <f>IFERROR(__xludf.DUMMYFUNCTION("GOOGLETRANSLATE(B25720,""en"",""de"")"),"Nachdem sein Rücken fertig ist, hebt die Person die Beine und hebt seinen Schwanz hoch und macht das But -Loch und der Hund beginnt wegzugehen.")</f>
        <v>Nachdem sein Rücken fertig ist, hebt die Person die Beine und hebt seinen Schwanz hoch und macht das But -Loch und der Hund beginnt wegzugehen.</v>
      </c>
    </row>
    <row r="25721">
      <c r="A25721" s="4" t="s">
        <v>32377</v>
      </c>
      <c r="B25721" s="4" t="s">
        <v>32380</v>
      </c>
      <c r="C25721" s="5" t="str">
        <f>IFERROR(__xludf.DUMMYFUNCTION("GOOGLETRANSLATE(B25721,""en"",""de"")"),"Die Frauen müssen dann den Hund packen und ihn festhalten, um ihre Aufgabe zu erledigen.")</f>
        <v>Die Frauen müssen dann den Hund packen und ihn festhalten, um ihre Aufgabe zu erledigen.</v>
      </c>
    </row>
    <row r="25722">
      <c r="A25722" s="4" t="s">
        <v>32377</v>
      </c>
      <c r="B25722" s="4" t="s">
        <v>32381</v>
      </c>
      <c r="C25722" s="5" t="str">
        <f>IFERROR(__xludf.DUMMYFUNCTION("GOOGLETRANSLATE(B25722,""en"",""de"")"),"Sobald sie fertig ist, nimmt sie das Haar aus dem Vakuum und lässt es in einen großen schwarzen Müllsack fallen.")</f>
        <v>Sobald sie fertig ist, nimmt sie das Haar aus dem Vakuum und lässt es in einen großen schwarzen Müllsack fallen.</v>
      </c>
    </row>
    <row r="25723">
      <c r="A25723" s="4" t="s">
        <v>32382</v>
      </c>
      <c r="B25723" s="4" t="s">
        <v>32383</v>
      </c>
      <c r="C25723" s="5" t="str">
        <f>IFERROR(__xludf.DUMMYFUNCTION("GOOGLETRANSLATE(B25723,""en"",""de"")"),"Eine blonde Frau rennt Sprünge und verdreht ein Land auf der Polsterung.")</f>
        <v>Eine blonde Frau rennt Sprünge und verdreht ein Land auf der Polsterung.</v>
      </c>
    </row>
    <row r="25724">
      <c r="A25724" s="4" t="s">
        <v>32382</v>
      </c>
      <c r="B25724" s="4" t="s">
        <v>32384</v>
      </c>
      <c r="C25724" s="5" t="str">
        <f>IFERROR(__xludf.DUMMYFUNCTION("GOOGLETRANSLATE(B25724,""en"",""de"")"),"Eine andere Frau rennt und springt und sie schafft es nicht, sie fällt auf das Gras.")</f>
        <v>Eine andere Frau rennt und springt und sie schafft es nicht, sie fällt auf das Gras.</v>
      </c>
    </row>
    <row r="25725">
      <c r="A25725" s="4" t="s">
        <v>32382</v>
      </c>
      <c r="B25725" s="4" t="s">
        <v>32385</v>
      </c>
      <c r="C25725" s="5" t="str">
        <f>IFERROR(__xludf.DUMMYFUNCTION("GOOGLETRANSLATE(B25725,""en"",""de"")"),"Sie hat den Sprung völlig verpasst und trifft die Pole, wenn sie fällt.")</f>
        <v>Sie hat den Sprung völlig verpasst und trifft die Pole, wenn sie fällt.</v>
      </c>
    </row>
    <row r="25726">
      <c r="A25726" s="4" t="s">
        <v>32382</v>
      </c>
      <c r="B25726" s="4" t="s">
        <v>32386</v>
      </c>
      <c r="C25726" s="5" t="str">
        <f>IFERROR(__xludf.DUMMYFUNCTION("GOOGLETRANSLATE(B25726,""en"",""de"")"),"Sie lacht auf dem Boden und ein Mann kommt auf, um ihr zu helfen.")</f>
        <v>Sie lacht auf dem Boden und ein Mann kommt auf, um ihr zu helfen.</v>
      </c>
    </row>
    <row r="25727">
      <c r="A25727" s="4" t="s">
        <v>32387</v>
      </c>
      <c r="B25727" s="4" t="s">
        <v>32388</v>
      </c>
      <c r="C25727" s="5" t="str">
        <f>IFERROR(__xludf.DUMMYFUNCTION("GOOGLETRANSLATE(B25727,""en"",""de"")"),"Eine Gruppe von Menschen sitzt in einer Sauna, die vollständig gekleidet ist.")</f>
        <v>Eine Gruppe von Menschen sitzt in einer Sauna, die vollständig gekleidet ist.</v>
      </c>
    </row>
    <row r="25728">
      <c r="A25728" s="4" t="s">
        <v>32387</v>
      </c>
      <c r="B25728" s="4" t="s">
        <v>32389</v>
      </c>
      <c r="C25728" s="5" t="str">
        <f>IFERROR(__xludf.DUMMYFUNCTION("GOOGLETRANSLATE(B25728,""en"",""de"")"),"Ein Mann steht mit einer Geige auf.")</f>
        <v>Ein Mann steht mit einer Geige auf.</v>
      </c>
    </row>
    <row r="25729">
      <c r="A25729" s="4" t="s">
        <v>32387</v>
      </c>
      <c r="B25729" s="4" t="s">
        <v>32390</v>
      </c>
      <c r="C25729" s="5" t="str">
        <f>IFERROR(__xludf.DUMMYFUNCTION("GOOGLETRANSLATE(B25729,""en"",""de"")"),"Der Typ beginnt die Geige zu spielen und zu tanzen.")</f>
        <v>Der Typ beginnt die Geige zu spielen und zu tanzen.</v>
      </c>
    </row>
    <row r="25730">
      <c r="A25730" s="4" t="s">
        <v>32387</v>
      </c>
      <c r="B25730" s="4" t="s">
        <v>32391</v>
      </c>
      <c r="C25730" s="5" t="str">
        <f>IFERROR(__xludf.DUMMYFUNCTION("GOOGLETRANSLATE(B25730,""en"",""de"")"),"Der Typ tritt seinen Schuh beim Tanzen aus.")</f>
        <v>Der Typ tritt seinen Schuh beim Tanzen aus.</v>
      </c>
    </row>
    <row r="25731">
      <c r="A25731" s="4" t="s">
        <v>32387</v>
      </c>
      <c r="B25731" s="4" t="s">
        <v>32392</v>
      </c>
      <c r="C25731" s="5" t="str">
        <f>IFERROR(__xludf.DUMMYFUNCTION("GOOGLETRANSLATE(B25731,""en"",""de"")"),"Der Typ setzt sich hin und spielt die Geige.")</f>
        <v>Der Typ setzt sich hin und spielt die Geige.</v>
      </c>
    </row>
    <row r="25732">
      <c r="A25732" s="4" t="s">
        <v>32393</v>
      </c>
      <c r="B25732" s="4" t="s">
        <v>32394</v>
      </c>
      <c r="C25732" s="5" t="str">
        <f>IFERROR(__xludf.DUMMYFUNCTION("GOOGLETRANSLATE(B25732,""en"",""de"")"),"Eine Person fährt mit einem Brett mit einem Drachen entlang des Ozeans, der sich schnell bewegt.")</f>
        <v>Eine Person fährt mit einem Brett mit einem Drachen entlang des Ozeans, der sich schnell bewegt.</v>
      </c>
    </row>
    <row r="25733">
      <c r="A25733" s="4" t="s">
        <v>32393</v>
      </c>
      <c r="B25733" s="4" t="s">
        <v>32395</v>
      </c>
      <c r="C25733" s="5" t="str">
        <f>IFERROR(__xludf.DUMMYFUNCTION("GOOGLETRANSLATE(B25733,""en"",""de"")"),"Die Person fährt weiter und stürzt schließlich ab, während die Kamera den Fahrer aufgreift.")</f>
        <v>Die Person fährt weiter und stürzt schließlich ab, während die Kamera den Fahrer aufgreift.</v>
      </c>
    </row>
    <row r="25734">
      <c r="A25734" s="4" t="s">
        <v>32396</v>
      </c>
      <c r="B25734" s="4" t="s">
        <v>32397</v>
      </c>
      <c r="C25734" s="5" t="str">
        <f>IFERROR(__xludf.DUMMYFUNCTION("GOOGLETRANSLATE(B25734,""en"",""de"")"),"Eine Gruppe von Jungen steht in einem Raum mit vielen klaren Tassen Bier auf einem Tisch, in dem sie alle herumstehen.")</f>
        <v>Eine Gruppe von Jungen steht in einem Raum mit vielen klaren Tassen Bier auf einem Tisch, in dem sie alle herumstehen.</v>
      </c>
    </row>
    <row r="25735">
      <c r="A25735" s="4" t="s">
        <v>32396</v>
      </c>
      <c r="B25735" s="4" t="s">
        <v>32398</v>
      </c>
      <c r="C25735" s="5" t="str">
        <f>IFERROR(__xludf.DUMMYFUNCTION("GOOGLETRANSLATE(B25735,""en"",""de"")"),"Die Jungen reden, lachen und ärgern sich gegenseitig, bevor sie mit einem dreieck geformten Auswahl an klaren Bechern über einen langen Tisch beginnen.")</f>
        <v>Die Jungen reden, lachen und ärgern sich gegenseitig, bevor sie mit einem dreieck geformten Auswahl an klaren Bechern über einen langen Tisch beginnen.</v>
      </c>
    </row>
    <row r="25736">
      <c r="A25736" s="4" t="s">
        <v>32396</v>
      </c>
      <c r="B25736" s="4" t="s">
        <v>32399</v>
      </c>
      <c r="C25736" s="5" t="str">
        <f>IFERROR(__xludf.DUMMYFUNCTION("GOOGLETRANSLATE(B25736,""en"",""de"")"),"Eines der Ping -Pongs landet in der Tasse und einer der Jungen beginnt das Bier zu trinken.")</f>
        <v>Eines der Ping -Pongs landet in der Tasse und einer der Jungen beginnt das Bier zu trinken.</v>
      </c>
    </row>
    <row r="25737">
      <c r="A25737" s="4" t="s">
        <v>32396</v>
      </c>
      <c r="B25737" s="4" t="s">
        <v>32400</v>
      </c>
      <c r="C25737" s="5" t="str">
        <f>IFERROR(__xludf.DUMMYFUNCTION("GOOGLETRANSLATE(B25737,""en"",""de"")"),"Die Gruppe spielt weiterhin Bierpong, wenn ein letzter Spieler in der Lage ist, einen Ping -Pong -Ball zu werfen und zu landen, während er mit dem Rücken zu den Tassen steht, an diesem Punkt die Jungen feiern und lachen.")</f>
        <v>Die Gruppe spielt weiterhin Bierpong, wenn ein letzter Spieler in der Lage ist, einen Ping -Pong -Ball zu werfen und zu landen, während er mit dem Rücken zu den Tassen steht, an diesem Punkt die Jungen feiern und lachen.</v>
      </c>
    </row>
    <row r="25738">
      <c r="A25738" s="4" t="s">
        <v>32401</v>
      </c>
      <c r="B25738" s="4" t="s">
        <v>32402</v>
      </c>
      <c r="C25738" s="5" t="str">
        <f>IFERROR(__xludf.DUMMYFUNCTION("GOOGLETRANSLATE(B25738,""en"",""de"")"),"Eine kleine Gruppe von Menschen hat gesehen, wie er die Hände schüttelt und zusammen steht, gefolgt von einem Mann, der ein Pfeifen und Menschen herumläuft.")</f>
        <v>Eine kleine Gruppe von Menschen hat gesehen, wie er die Hände schüttelt und zusammen steht, gefolgt von einem Mann, der ein Pfeifen und Menschen herumläuft.</v>
      </c>
    </row>
    <row r="25739">
      <c r="A25739" s="4" t="s">
        <v>32401</v>
      </c>
      <c r="B25739" s="4" t="s">
        <v>32403</v>
      </c>
      <c r="C25739" s="5" t="str">
        <f>IFERROR(__xludf.DUMMYFUNCTION("GOOGLETRANSLATE(B25739,""en"",""de"")"),"Die Leute spielen dann ein Fußballspiel miteinander und rennen auf dem Sandfeld auf und ab, während Trainer nebenbei schreien und ein Tor blockiert ist.")</f>
        <v>Die Leute spielen dann ein Fußballspiel miteinander und rennen auf dem Sandfeld auf und ab, während Trainer nebenbei schreien und ein Tor blockiert ist.</v>
      </c>
    </row>
    <row r="25740">
      <c r="A25740" s="4" t="s">
        <v>32404</v>
      </c>
      <c r="B25740" s="4" t="s">
        <v>32405</v>
      </c>
      <c r="C25740" s="5" t="str">
        <f>IFERROR(__xludf.DUMMYFUNCTION("GOOGLETRANSLATE(B25740,""en"",""de"")"),"Zwei Männer sitzen an einem Tisch miteinander.")</f>
        <v>Zwei Männer sitzen an einem Tisch miteinander.</v>
      </c>
    </row>
    <row r="25741">
      <c r="A25741" s="4" t="s">
        <v>32404</v>
      </c>
      <c r="B25741" s="4" t="s">
        <v>32406</v>
      </c>
      <c r="C25741" s="5" t="str">
        <f>IFERROR(__xludf.DUMMYFUNCTION("GOOGLETRANSLATE(B25741,""en"",""de"")"),"Sie greifen sich gegenseitig die Hand und beginnen ein Arm -Wrestling -Match mit einem, der zum anderen schreit.")</f>
        <v>Sie greifen sich gegenseitig die Hand und beginnen ein Arm -Wrestling -Match mit einem, der zum anderen schreit.</v>
      </c>
    </row>
    <row r="25742">
      <c r="A25742" s="4" t="s">
        <v>32404</v>
      </c>
      <c r="B25742" s="4" t="s">
        <v>32407</v>
      </c>
      <c r="C25742" s="5" t="str">
        <f>IFERROR(__xludf.DUMMYFUNCTION("GOOGLETRANSLATE(B25742,""en"",""de"")"),"Einer gewinnt fast, aber der andere zieht sich schnell zurück und gewinnt beim Schreien und Schieben.")</f>
        <v>Einer gewinnt fast, aber der andere zieht sich schnell zurück und gewinnt beim Schreien und Schieben.</v>
      </c>
    </row>
    <row r="25743">
      <c r="A25743" s="4" t="s">
        <v>32408</v>
      </c>
      <c r="B25743" s="4" t="s">
        <v>32409</v>
      </c>
      <c r="C25743" s="5" t="str">
        <f>IFERROR(__xludf.DUMMYFUNCTION("GOOGLETRANSLATE(B25743,""en"",""de"")"),"Eine ältere Frau, die am Tisch sitzt und ihre Papierarbeit liest.")</f>
        <v>Eine ältere Frau, die am Tisch sitzt und ihre Papierarbeit liest.</v>
      </c>
    </row>
    <row r="25744">
      <c r="A25744" s="4" t="s">
        <v>32408</v>
      </c>
      <c r="B25744" s="4" t="s">
        <v>32410</v>
      </c>
      <c r="C25744" s="5" t="str">
        <f>IFERROR(__xludf.DUMMYFUNCTION("GOOGLETRANSLATE(B25744,""en"",""de"")"),"Ihr Mann kommt hinter sie und liest es mit ihr durch.")</f>
        <v>Ihr Mann kommt hinter sie und liest es mit ihr durch.</v>
      </c>
    </row>
    <row r="25745">
      <c r="A25745" s="4" t="s">
        <v>32408</v>
      </c>
      <c r="B25745" s="4" t="s">
        <v>32411</v>
      </c>
      <c r="C25745" s="5" t="str">
        <f>IFERROR(__xludf.DUMMYFUNCTION("GOOGLETRANSLATE(B25745,""en"",""de"")"),"Dachdecker sind auf dem Dach und beheben einige Probleme und geben einige neue Gürtelrose ein.")</f>
        <v>Dachdecker sind auf dem Dach und beheben einige Probleme und geben einige neue Gürtelrose ein.</v>
      </c>
    </row>
    <row r="25746">
      <c r="A25746" s="4" t="s">
        <v>32408</v>
      </c>
      <c r="B25746" s="4" t="s">
        <v>32412</v>
      </c>
      <c r="C25746" s="5" t="str">
        <f>IFERROR(__xludf.DUMMYFUNCTION("GOOGLETRANSLATE(B25746,""en"",""de"")"),"Eine Frau am Telefon mit der Firma geht hoch und gibt ihrem Ehemann das Telefon.")</f>
        <v>Eine Frau am Telefon mit der Firma geht hoch und gibt ihrem Ehemann das Telefon.</v>
      </c>
    </row>
    <row r="25747">
      <c r="A25747" s="4" t="s">
        <v>32413</v>
      </c>
      <c r="B25747" s="4" t="s">
        <v>32414</v>
      </c>
      <c r="C25747" s="5" t="str">
        <f>IFERROR(__xludf.DUMMYFUNCTION("GOOGLETRANSLATE(B25747,""en"",""de"")"),"Ein Mann geht in ein Fitnessstudio und biegt vor einem Gewicht.")</f>
        <v>Ein Mann geht in ein Fitnessstudio und biegt vor einem Gewicht.</v>
      </c>
    </row>
    <row r="25748">
      <c r="A25748" s="4" t="s">
        <v>32413</v>
      </c>
      <c r="B25748" s="4" t="s">
        <v>32415</v>
      </c>
      <c r="C25748" s="5" t="str">
        <f>IFERROR(__xludf.DUMMYFUNCTION("GOOGLETRANSLATE(B25748,""en"",""de"")"),"Der Mann versucht das Gewicht zweimal zu heben und lässt es fallen.")</f>
        <v>Der Mann versucht das Gewicht zweimal zu heben und lässt es fallen.</v>
      </c>
    </row>
    <row r="25749">
      <c r="A25749" s="4" t="s">
        <v>32413</v>
      </c>
      <c r="B25749" s="4" t="s">
        <v>32416</v>
      </c>
      <c r="C25749" s="5" t="str">
        <f>IFERROR(__xludf.DUMMYFUNCTION("GOOGLETRANSLATE(B25749,""en"",""de"")"),"Der Mann hebt das Gewicht dreimal und geht weg.")</f>
        <v>Der Mann hebt das Gewicht dreimal und geht weg.</v>
      </c>
    </row>
    <row r="25750">
      <c r="A25750" s="4" t="s">
        <v>32413</v>
      </c>
      <c r="B25750" s="4" t="s">
        <v>32417</v>
      </c>
      <c r="C25750" s="5" t="str">
        <f>IFERROR(__xludf.DUMMYFUNCTION("GOOGLETRANSLATE(B25750,""en"",""de"")"),"Der Mann hebt das Gewicht zweimal.")</f>
        <v>Der Mann hebt das Gewicht zweimal.</v>
      </c>
    </row>
    <row r="25751">
      <c r="A25751" s="4" t="s">
        <v>32413</v>
      </c>
      <c r="B25751" s="4" t="s">
        <v>32418</v>
      </c>
      <c r="C25751" s="5" t="str">
        <f>IFERROR(__xludf.DUMMYFUNCTION("GOOGLETRANSLATE(B25751,""en"",""de"")"),"Der Mann hebt das Gewicht dreimal und geht weg.")</f>
        <v>Der Mann hebt das Gewicht dreimal und geht weg.</v>
      </c>
    </row>
    <row r="25752">
      <c r="A25752" s="4" t="s">
        <v>32413</v>
      </c>
      <c r="B25752" s="4" t="s">
        <v>32419</v>
      </c>
      <c r="C25752" s="5" t="str">
        <f>IFERROR(__xludf.DUMMYFUNCTION("GOOGLETRANSLATE(B25752,""en"",""de"")"),"Der Mann hebt das Gewicht zwei Zinken und entfernt seinen Gewichtshebegürtel.")</f>
        <v>Der Mann hebt das Gewicht zwei Zinken und entfernt seinen Gewichtshebegürtel.</v>
      </c>
    </row>
    <row r="25753">
      <c r="A25753" s="4" t="s">
        <v>32420</v>
      </c>
      <c r="B25753" s="4" t="s">
        <v>32421</v>
      </c>
      <c r="C25753" s="5" t="str">
        <f>IFERROR(__xludf.DUMMYFUNCTION("GOOGLETRANSLATE(B25753,""en"",""de"")"),"Das kleine Mädchen ging aus dem Zimmer.")</f>
        <v>Das kleine Mädchen ging aus dem Zimmer.</v>
      </c>
    </row>
    <row r="25754">
      <c r="A25754" s="4" t="s">
        <v>32420</v>
      </c>
      <c r="B25754" s="4" t="s">
        <v>32422</v>
      </c>
      <c r="C25754" s="5" t="str">
        <f>IFERROR(__xludf.DUMMYFUNCTION("GOOGLETRANSLATE(B25754,""en"",""de"")"),"Der Junge bekommt die Flasche unter das Bett und hält sie und trinkt sie dann.")</f>
        <v>Der Junge bekommt die Flasche unter das Bett und hält sie und trinkt sie dann.</v>
      </c>
    </row>
    <row r="25755">
      <c r="A25755" s="4" t="s">
        <v>32420</v>
      </c>
      <c r="B25755" s="4" t="s">
        <v>32423</v>
      </c>
      <c r="C25755" s="5" t="str">
        <f>IFERROR(__xludf.DUMMYFUNCTION("GOOGLETRANSLATE(B25755,""en"",""de"")"),"Der Junge ging zurück ins Bett und tat so, als würde das Mädchen zurück ins Zimmer gehen.")</f>
        <v>Der Junge ging zurück ins Bett und tat so, als würde das Mädchen zurück ins Zimmer gehen.</v>
      </c>
    </row>
    <row r="25756">
      <c r="A25756" s="4" t="s">
        <v>32424</v>
      </c>
      <c r="B25756" s="4" t="s">
        <v>32425</v>
      </c>
      <c r="C25756" s="5" t="str">
        <f>IFERROR(__xludf.DUMMYFUNCTION("GOOGLETRANSLATE(B25756,""en"",""de"")"),"Eine große Gruppe von Menschen wandert in einer Gegend mit einer Frau, die an ihnen vorbei läuft.")</f>
        <v>Eine große Gruppe von Menschen wandert in einer Gegend mit einer Frau, die an ihnen vorbei läuft.</v>
      </c>
    </row>
    <row r="25757">
      <c r="A25757" s="4" t="s">
        <v>32424</v>
      </c>
      <c r="B25757" s="4" t="s">
        <v>32426</v>
      </c>
      <c r="C25757" s="5" t="str">
        <f>IFERROR(__xludf.DUMMYFUNCTION("GOOGLETRANSLATE(B25757,""en"",""de"")"),"Die Frau spricht mit der Kamera und rennt weiter durch den Strandbereich.")</f>
        <v>Die Frau spricht mit der Kamera und rennt weiter durch den Strandbereich.</v>
      </c>
    </row>
    <row r="25758">
      <c r="A25758" s="4" t="s">
        <v>32424</v>
      </c>
      <c r="B25758" s="4" t="s">
        <v>32427</v>
      </c>
      <c r="C25758" s="5" t="str">
        <f>IFERROR(__xludf.DUMMYFUNCTION("GOOGLETRANSLATE(B25758,""en"",""de"")"),"Sie rennt sowohl auf der Promenade als auch an früheren Menschen und endet damit, dass sie ein Rennen führt und interviewt wird.")</f>
        <v>Sie rennt sowohl auf der Promenade als auch an früheren Menschen und endet damit, dass sie ein Rennen führt und interviewt wird.</v>
      </c>
    </row>
    <row r="25759">
      <c r="A25759" s="4" t="s">
        <v>32428</v>
      </c>
      <c r="B25759" s="4" t="s">
        <v>32429</v>
      </c>
      <c r="C25759" s="5" t="str">
        <f>IFERROR(__xludf.DUMMYFUNCTION("GOOGLETRANSLATE(B25759,""en"",""de"")"),"Die Hände von Personen spielen ein Klavier, das von der Person, die spielt, weggeht.")</f>
        <v>Die Hände von Personen spielen ein Klavier, das von der Person, die spielt, weggeht.</v>
      </c>
    </row>
    <row r="25760">
      <c r="A25760" s="4" t="s">
        <v>32428</v>
      </c>
      <c r="B25760" s="4" t="s">
        <v>32430</v>
      </c>
      <c r="C25760" s="5" t="str">
        <f>IFERROR(__xludf.DUMMYFUNCTION("GOOGLETRANSLATE(B25760,""en"",""de"")"),"Die Leute sind lächelnd und winken zur Kamera, während der Mann weiter Klavier spielt.")</f>
        <v>Die Leute sind lächelnd und winken zur Kamera, während der Mann weiter Klavier spielt.</v>
      </c>
    </row>
    <row r="25761">
      <c r="A25761" s="4" t="s">
        <v>32428</v>
      </c>
      <c r="B25761" s="4" t="s">
        <v>32431</v>
      </c>
      <c r="C25761" s="5" t="str">
        <f>IFERROR(__xludf.DUMMYFUNCTION("GOOGLETRANSLATE(B25761,""en"",""de"")"),"Die Kamera fängt ihn von überall über das Klavier ein und singt zur Kamera.")</f>
        <v>Die Kamera fängt ihn von überall über das Klavier ein und singt zur Kamera.</v>
      </c>
    </row>
    <row r="25762">
      <c r="A25762" s="4" t="s">
        <v>32432</v>
      </c>
      <c r="B25762" s="4" t="s">
        <v>32433</v>
      </c>
      <c r="C25762" s="5" t="str">
        <f>IFERROR(__xludf.DUMMYFUNCTION("GOOGLETRANSLATE(B25762,""en"",""de"")"),"Ein Turner, der einen Magenta -Lotard trägt, tritt auf der Pferdestange auf.")</f>
        <v>Ein Turner, der einen Magenta -Lotard trägt, tritt auf der Pferdestange auf.</v>
      </c>
    </row>
    <row r="25763">
      <c r="A25763" s="4" t="s">
        <v>32432</v>
      </c>
      <c r="B25763" s="4" t="s">
        <v>32434</v>
      </c>
      <c r="C25763" s="5" t="str">
        <f>IFERROR(__xludf.DUMMYFUNCTION("GOOGLETRANSLATE(B25763,""en"",""de"")"),"Es gibt eine Jury von Richtern gegenüber ihr und bewertet sie.")</f>
        <v>Es gibt eine Jury von Richtern gegenüber ihr und bewertet sie.</v>
      </c>
    </row>
    <row r="25764">
      <c r="A25764" s="4" t="s">
        <v>32432</v>
      </c>
      <c r="B25764" s="4" t="s">
        <v>32435</v>
      </c>
      <c r="C25764" s="5" t="str">
        <f>IFERROR(__xludf.DUMMYFUNCTION("GOOGLETRANSLATE(B25764,""en"",""de"")"),"Sie steht direkt an der Bar und dreht sich und schlägt.")</f>
        <v>Sie steht direkt an der Bar und dreht sich und schlägt.</v>
      </c>
    </row>
    <row r="25765">
      <c r="A25765" s="4" t="s">
        <v>32432</v>
      </c>
      <c r="B25765" s="4" t="s">
        <v>32436</v>
      </c>
      <c r="C25765" s="5" t="str">
        <f>IFERROR(__xludf.DUMMYFUNCTION("GOOGLETRANSLATE(B25765,""en"",""de"")"),"Sie macht weiterhin erfolgreich vorne auf der Pferdestange.")</f>
        <v>Sie macht weiterhin erfolgreich vorne auf der Pferdestange.</v>
      </c>
    </row>
    <row r="25766">
      <c r="A25766" s="4" t="s">
        <v>32432</v>
      </c>
      <c r="B25766" s="4" t="s">
        <v>32437</v>
      </c>
      <c r="C25766" s="5" t="str">
        <f>IFERROR(__xludf.DUMMYFUNCTION("GOOGLETRANSLATE(B25766,""en"",""de"")"),"Sie vervollständigt ihre Runde, nachdem sie von der Pferdestange gesprungen ist, um einen Rücken zu erzielen.")</f>
        <v>Sie vervollständigt ihre Runde, nachdem sie von der Pferdestange gesprungen ist, um einen Rücken zu erzielen.</v>
      </c>
    </row>
    <row r="25767">
      <c r="A25767" s="4" t="s">
        <v>32432</v>
      </c>
      <c r="B25767" s="4" t="s">
        <v>32438</v>
      </c>
      <c r="C25767" s="5" t="str">
        <f>IFERROR(__xludf.DUMMYFUNCTION("GOOGLETRANSLATE(B25767,""en"",""de"")"),"Dann geht der Turner aus dem darstellenden Bereich weg.")</f>
        <v>Dann geht der Turner aus dem darstellenden Bereich weg.</v>
      </c>
    </row>
    <row r="25768">
      <c r="A25768" s="4" t="s">
        <v>32439</v>
      </c>
      <c r="B25768" s="4" t="s">
        <v>32440</v>
      </c>
      <c r="C25768" s="5" t="str">
        <f>IFERROR(__xludf.DUMMYFUNCTION("GOOGLETRANSLATE(B25768,""en"",""de"")"),"Es werden mehrere Schüsse einer Brücke sowie ein Schild und Menschen auf der Kante gezeigt.")</f>
        <v>Es werden mehrere Schüsse einer Brücke sowie ein Schild und Menschen auf der Kante gezeigt.</v>
      </c>
    </row>
    <row r="25769">
      <c r="A25769" s="4" t="s">
        <v>32439</v>
      </c>
      <c r="B25769" s="4" t="s">
        <v>32441</v>
      </c>
      <c r="C25769" s="5" t="str">
        <f>IFERROR(__xludf.DUMMYFUNCTION("GOOGLETRANSLATE(B25769,""en"",""de"")"),"Zwei Männer springen dann Bungee von der Seite der Brücke und werden gezeigt, die mit ihren Beinen schwingen.")</f>
        <v>Zwei Männer springen dann Bungee von der Seite der Brücke und werden gezeigt, die mit ihren Beinen schwingen.</v>
      </c>
    </row>
    <row r="25770">
      <c r="A25770" s="4" t="s">
        <v>32442</v>
      </c>
      <c r="B25770" s="4" t="s">
        <v>32443</v>
      </c>
      <c r="C25770" s="5" t="str">
        <f>IFERROR(__xludf.DUMMYFUNCTION("GOOGLETRANSLATE(B25770,""en"",""de"")"),"Ein Mann spricht mit der Kamera und führt in einen Topf in Wasser, das Wasser kocht.")</f>
        <v>Ein Mann spricht mit der Kamera und führt in einen Topf in Wasser, das Wasser kocht.</v>
      </c>
    </row>
    <row r="25771">
      <c r="A25771" s="4" t="s">
        <v>32442</v>
      </c>
      <c r="B25771" s="4" t="s">
        <v>32444</v>
      </c>
      <c r="C25771" s="5" t="str">
        <f>IFERROR(__xludf.DUMMYFUNCTION("GOOGLETRANSLATE(B25771,""en"",""de"")"),"Er nimmt einen Bissen der Nudeln und endet damit, dass er immer noch zur Kamera lächelt.")</f>
        <v>Er nimmt einen Bissen der Nudeln und endet damit, dass er immer noch zur Kamera lächelt.</v>
      </c>
    </row>
    <row r="25772">
      <c r="A25772" s="4" t="s">
        <v>32445</v>
      </c>
      <c r="B25772" s="4" t="s">
        <v>32446</v>
      </c>
      <c r="C25772" s="5" t="str">
        <f>IFERROR(__xludf.DUMMYFUNCTION("GOOGLETRANSLATE(B25772,""en"",""de"")"),"Eine Nahaufnahme einer Couch ist zu sehen, gefolgt von einer Person, die ein- und aus dem Rahmen herausgeht.")</f>
        <v>Eine Nahaufnahme einer Couch ist zu sehen, gefolgt von einer Person, die ein- und aus dem Rahmen herausgeht.</v>
      </c>
    </row>
    <row r="25773">
      <c r="A25773" s="4" t="s">
        <v>32445</v>
      </c>
      <c r="B25773" s="4" t="s">
        <v>32447</v>
      </c>
      <c r="C25773" s="5" t="str">
        <f>IFERROR(__xludf.DUMMYFUNCTION("GOOGLETRANSLATE(B25773,""en"",""de"")"),"Die Person setzt sich dann hin und hält ihre Füße hoch.")</f>
        <v>Die Person setzt sich dann hin und hält ihre Füße hoch.</v>
      </c>
    </row>
    <row r="25774">
      <c r="A25774" s="4" t="s">
        <v>32445</v>
      </c>
      <c r="B25774" s="4" t="s">
        <v>32448</v>
      </c>
      <c r="C25774" s="5" t="str">
        <f>IFERROR(__xludf.DUMMYFUNCTION("GOOGLETRANSLATE(B25774,""en"",""de"")"),"Die Person zieht dann ein Paar Schuhe an und geht aus dem Rahmen.")</f>
        <v>Die Person zieht dann ein Paar Schuhe an und geht aus dem Rahmen.</v>
      </c>
    </row>
    <row r="25775">
      <c r="A25775" s="4" t="s">
        <v>32449</v>
      </c>
      <c r="B25775" s="4" t="s">
        <v>32450</v>
      </c>
      <c r="C25775" s="5" t="str">
        <f>IFERROR(__xludf.DUMMYFUNCTION("GOOGLETRANSLATE(B25775,""en"",""de"")"),"Ein Mann, der ein schwarzes Hemd trägt, sitzt und spielt Gitarre vor einer schwarzen Kulisse.")</f>
        <v>Ein Mann, der ein schwarzes Hemd trägt, sitzt und spielt Gitarre vor einer schwarzen Kulisse.</v>
      </c>
    </row>
    <row r="25776">
      <c r="A25776" s="4" t="s">
        <v>32449</v>
      </c>
      <c r="B25776" s="4" t="s">
        <v>32451</v>
      </c>
      <c r="C25776" s="5" t="str">
        <f>IFERROR(__xludf.DUMMYFUNCTION("GOOGLETRANSLATE(B25776,""en"",""de"")"),"Zunächst spielt er langsam die Gitarre, um den richtigen Rhythmus zu finden.")</f>
        <v>Zunächst spielt er langsam die Gitarre, um den richtigen Rhythmus zu finden.</v>
      </c>
    </row>
    <row r="25777">
      <c r="A25777" s="4" t="s">
        <v>32449</v>
      </c>
      <c r="B25777" s="4" t="s">
        <v>32452</v>
      </c>
      <c r="C25777" s="5" t="str">
        <f>IFERROR(__xludf.DUMMYFUNCTION("GOOGLETRANSLATE(B25777,""en"",""de"")"),"Als er beginnt die Notizen schneller und schneller zu spielen.")</f>
        <v>Als er beginnt die Notizen schneller und schneller zu spielen.</v>
      </c>
    </row>
    <row r="25778">
      <c r="A25778" s="4" t="s">
        <v>32449</v>
      </c>
      <c r="B25778" s="4" t="s">
        <v>32453</v>
      </c>
      <c r="C25778" s="5" t="str">
        <f>IFERROR(__xludf.DUMMYFUNCTION("GOOGLETRANSLATE(B25778,""en"",""de"")"),"Am Ende schaut er auf die Gitarre und passt seine Finger an, als er das Lied beendet.")</f>
        <v>Am Ende schaut er auf die Gitarre und passt seine Finger an, als er das Lied beendet.</v>
      </c>
    </row>
    <row r="25779">
      <c r="A25779" s="4" t="s">
        <v>32454</v>
      </c>
      <c r="B25779" s="4" t="s">
        <v>32455</v>
      </c>
      <c r="C25779" s="5" t="str">
        <f>IFERROR(__xludf.DUMMYFUNCTION("GOOGLETRANSLATE(B25779,""en"",""de"")"),"Wir sehen Leute, die Elektronik auf einen Foosballtisch setzen.")</f>
        <v>Wir sehen Leute, die Elektronik auf einen Foosballtisch setzen.</v>
      </c>
    </row>
    <row r="25780">
      <c r="A25780" s="4" t="s">
        <v>32454</v>
      </c>
      <c r="B25780" s="4" t="s">
        <v>32456</v>
      </c>
      <c r="C25780" s="5" t="str">
        <f>IFERROR(__xludf.DUMMYFUNCTION("GOOGLETRANSLATE(B25780,""en"",""de"")"),"Wir sehen die Stangen und sehen dann zwei Männer am Tisch.")</f>
        <v>Wir sehen die Stangen und sehen dann zwei Männer am Tisch.</v>
      </c>
    </row>
    <row r="25781">
      <c r="A25781" s="4" t="s">
        <v>32454</v>
      </c>
      <c r="B25781" s="4" t="s">
        <v>32457</v>
      </c>
      <c r="C25781" s="5" t="str">
        <f>IFERROR(__xludf.DUMMYFUNCTION("GOOGLETRANSLATE(B25781,""en"",""de"")"),"Wir sehen eine Gruppe von Menschen, die Foosball in einem engen Raum spielen.")</f>
        <v>Wir sehen eine Gruppe von Menschen, die Foosball in einem engen Raum spielen.</v>
      </c>
    </row>
    <row r="25782">
      <c r="A25782" s="4" t="s">
        <v>32458</v>
      </c>
      <c r="B25782" s="4" t="s">
        <v>32459</v>
      </c>
      <c r="C25782" s="5" t="str">
        <f>IFERROR(__xludf.DUMMYFUNCTION("GOOGLETRANSLATE(B25782,""en"",""de"")"),"Eine große Gruppe von Menschen steht auf einer Brücke.")</f>
        <v>Eine große Gruppe von Menschen steht auf einer Brücke.</v>
      </c>
    </row>
    <row r="25783">
      <c r="A25783" s="4" t="s">
        <v>32458</v>
      </c>
      <c r="B25783" s="4" t="s">
        <v>32460</v>
      </c>
      <c r="C25783" s="5" t="str">
        <f>IFERROR(__xludf.DUMMYFUNCTION("GOOGLETRANSLATE(B25783,""en"",""de"")"),"Sie schauen in das schnelle Wasser unten.")</f>
        <v>Sie schauen in das schnelle Wasser unten.</v>
      </c>
    </row>
    <row r="25784">
      <c r="A25784" s="4" t="s">
        <v>32458</v>
      </c>
      <c r="B25784" s="4" t="s">
        <v>32461</v>
      </c>
      <c r="C25784" s="5" t="str">
        <f>IFERROR(__xludf.DUMMYFUNCTION("GOOGLETRANSLATE(B25784,""en"",""de"")"),"Mehrere Menschen auf Kanus kommen durch die Brücke, die die Ziellinie ist.")</f>
        <v>Mehrere Menschen auf Kanus kommen durch die Brücke, die die Ziellinie ist.</v>
      </c>
    </row>
    <row r="25785">
      <c r="A25785" s="4" t="s">
        <v>32462</v>
      </c>
      <c r="B25785" s="4" t="s">
        <v>32463</v>
      </c>
      <c r="C25785" s="5" t="str">
        <f>IFERROR(__xludf.DUMMYFUNCTION("GOOGLETRANSLATE(B25785,""en"",""de"")"),"Ein Modell, das einen Bikini trägt, leitet die Szene und spricht hinter einem I-Pad-Bildschirm.")</f>
        <v>Ein Modell, das einen Bikini trägt, leitet die Szene und spricht hinter einem I-Pad-Bildschirm.</v>
      </c>
    </row>
    <row r="25786">
      <c r="A25786" s="4" t="s">
        <v>32462</v>
      </c>
      <c r="B25786" s="4" t="s">
        <v>32464</v>
      </c>
      <c r="C25786" s="5" t="str">
        <f>IFERROR(__xludf.DUMMYFUNCTION("GOOGLETRANSLATE(B25786,""en"",""de"")"),"Eine Mahlzeit wird in einer Pfanne gekocht.")</f>
        <v>Eine Mahlzeit wird in einer Pfanne gekocht.</v>
      </c>
    </row>
    <row r="25787">
      <c r="A25787" s="4" t="s">
        <v>32462</v>
      </c>
      <c r="B25787" s="4" t="s">
        <v>32465</v>
      </c>
      <c r="C25787" s="5" t="str">
        <f>IFERROR(__xludf.DUMMYFUNCTION("GOOGLETRANSLATE(B25787,""en"",""de"")"),"Die Leute reiten auf einem Boot und fangen Fische.")</f>
        <v>Die Leute reiten auf einem Boot und fangen Fische.</v>
      </c>
    </row>
    <row r="25788">
      <c r="A25788" s="4" t="s">
        <v>32462</v>
      </c>
      <c r="B25788" s="4" t="s">
        <v>32466</v>
      </c>
      <c r="C25788" s="5" t="str">
        <f>IFERROR(__xludf.DUMMYFUNCTION("GOOGLETRANSLATE(B25788,""en"",""de"")"),"Surfer reiten große Wellen im Meer.")</f>
        <v>Surfer reiten große Wellen im Meer.</v>
      </c>
    </row>
    <row r="25789">
      <c r="A25789" s="4" t="s">
        <v>32462</v>
      </c>
      <c r="B25789" s="4" t="s">
        <v>32467</v>
      </c>
      <c r="C25789" s="5" t="str">
        <f>IFERROR(__xludf.DUMMYFUNCTION("GOOGLETRANSLATE(B25789,""en"",""de"")"),"Jet -Skier ziehen Surfer in Richtung Wellen im Meer.")</f>
        <v>Jet -Skier ziehen Surfer in Richtung Wellen im Meer.</v>
      </c>
    </row>
    <row r="25790">
      <c r="A25790" s="4" t="s">
        <v>32468</v>
      </c>
      <c r="B25790" s="4" t="s">
        <v>32469</v>
      </c>
      <c r="C25790" s="5" t="str">
        <f>IFERROR(__xludf.DUMMYFUNCTION("GOOGLETRANSLATE(B25790,""en"",""de"")"),"Wir sehen ein Team von Bootsfahrern in einem Wettbewerb im Meer.")</f>
        <v>Wir sehen ein Team von Bootsfahrern in einem Wettbewerb im Meer.</v>
      </c>
    </row>
    <row r="25791">
      <c r="A25791" s="4" t="s">
        <v>32468</v>
      </c>
      <c r="B25791" s="4" t="s">
        <v>32470</v>
      </c>
      <c r="C25791" s="5" t="str">
        <f>IFERROR(__xludf.DUMMYFUNCTION("GOOGLETRANSLATE(B25791,""en"",""de"")"),"Wir sehen, dass der Rennen beginnt und die Bootsfahrer abheben.")</f>
        <v>Wir sehen, dass der Rennen beginnt und die Bootsfahrer abheben.</v>
      </c>
    </row>
    <row r="25792">
      <c r="A25792" s="4" t="s">
        <v>32468</v>
      </c>
      <c r="B25792" s="4" t="s">
        <v>32471</v>
      </c>
      <c r="C25792" s="5" t="str">
        <f>IFERROR(__xludf.DUMMYFUNCTION("GOOGLETRANSLATE(B25792,""en"",""de"")"),"Sie passieren ein kleines Boot im Wasser.")</f>
        <v>Sie passieren ein kleines Boot im Wasser.</v>
      </c>
    </row>
    <row r="25793">
      <c r="A25793" s="4" t="s">
        <v>32468</v>
      </c>
      <c r="B25793" s="4" t="s">
        <v>32472</v>
      </c>
      <c r="C25793" s="5" t="str">
        <f>IFERROR(__xludf.DUMMYFUNCTION("GOOGLETRANSLATE(B25793,""en"",""de"")"),"Wir sehen ein Team aus der Nähe.")</f>
        <v>Wir sehen ein Team aus der Nähe.</v>
      </c>
    </row>
    <row r="25794">
      <c r="A25794" s="4" t="s">
        <v>32468</v>
      </c>
      <c r="B25794" s="4" t="s">
        <v>32473</v>
      </c>
      <c r="C25794" s="5" t="str">
        <f>IFERROR(__xludf.DUMMYFUNCTION("GOOGLETRANSLATE(B25794,""en"",""de"")"),"Wir sehen ein Score -Board auf dem Bildschirm.")</f>
        <v>Wir sehen ein Score -Board auf dem Bildschirm.</v>
      </c>
    </row>
    <row r="25795">
      <c r="A25795" s="4" t="s">
        <v>32468</v>
      </c>
      <c r="B25795" s="4" t="s">
        <v>32474</v>
      </c>
      <c r="C25795" s="5" t="str">
        <f>IFERROR(__xludf.DUMMYFUNCTION("GOOGLETRANSLATE(B25795,""en"",""de"")"),"Die Rennfahrer passieren ein Banner und wir sehen das grüne Team wieder.")</f>
        <v>Die Rennfahrer passieren ein Banner und wir sehen das grüne Team wieder.</v>
      </c>
    </row>
    <row r="25796">
      <c r="A25796" s="4" t="s">
        <v>32468</v>
      </c>
      <c r="B25796" s="4" t="s">
        <v>32475</v>
      </c>
      <c r="C25796" s="5" t="str">
        <f>IFERROR(__xludf.DUMMYFUNCTION("GOOGLETRANSLATE(B25796,""en"",""de"")"),"Das Rennen ist fertig und wir sehen die Menge klatschend.")</f>
        <v>Das Rennen ist fertig und wir sehen die Menge klatschend.</v>
      </c>
    </row>
    <row r="25797">
      <c r="A25797" s="4" t="s">
        <v>32468</v>
      </c>
      <c r="B25797" s="4" t="s">
        <v>32476</v>
      </c>
      <c r="C25797" s="5" t="str">
        <f>IFERROR(__xludf.DUMMYFUNCTION("GOOGLETRANSLATE(B25797,""en"",""de"")"),"Wir sehen die letzten Punktzahlen und die Szene endet.")</f>
        <v>Wir sehen die letzten Punktzahlen und die Szene endet.</v>
      </c>
    </row>
    <row r="25798">
      <c r="A25798" s="4" t="s">
        <v>32477</v>
      </c>
      <c r="B25798" s="4" t="s">
        <v>32478</v>
      </c>
      <c r="C25798" s="5" t="str">
        <f>IFERROR(__xludf.DUMMYFUNCTION("GOOGLETRANSLATE(B25798,""en"",""de"")"),"Eine Frau veranstaltet ein Nachrichtensegment mit einem Mann und führt zu einer Person, die einen Hund herausbringt und den Hund streichelt.")</f>
        <v>Eine Frau veranstaltet ein Nachrichtensegment mit einem Mann und führt zu einer Person, die einen Hund herausbringt und den Hund streichelt.</v>
      </c>
    </row>
    <row r="25799">
      <c r="A25799" s="4" t="s">
        <v>32477</v>
      </c>
      <c r="B25799" s="4" t="s">
        <v>32479</v>
      </c>
      <c r="C25799" s="5" t="str">
        <f>IFERROR(__xludf.DUMMYFUNCTION("GOOGLETRANSLATE(B25799,""en"",""de"")"),"Der Mann zeigt dann, wie man den Hund richtig pflegt, während der Wirt weiter spricht und den Hund streichelt.")</f>
        <v>Der Mann zeigt dann, wie man den Hund richtig pflegt, während der Wirt weiter spricht und den Hund streichelt.</v>
      </c>
    </row>
    <row r="25800">
      <c r="A25800" s="4" t="s">
        <v>32480</v>
      </c>
      <c r="B25800" s="4" t="s">
        <v>32481</v>
      </c>
      <c r="C25800" s="5" t="str">
        <f>IFERROR(__xludf.DUMMYFUNCTION("GOOGLETRANSLATE(B25800,""en"",""de"")"),"Ein Mann wird gesehen, wie er auf dem Wasser weckte und hinter einem Boot eingebettet ist.")</f>
        <v>Ein Mann wird gesehen, wie er auf dem Wasser weckte und hinter einem Boot eingebettet ist.</v>
      </c>
    </row>
    <row r="25801">
      <c r="A25801" s="4" t="s">
        <v>32480</v>
      </c>
      <c r="B25801" s="4" t="s">
        <v>32482</v>
      </c>
      <c r="C25801" s="5" t="str">
        <f>IFERROR(__xludf.DUMMYFUNCTION("GOOGLETRANSLATE(B25801,""en"",""de"")"),"Der Mann wird in mehreren Clips gezeigt, die einen Trick mit der Kamera auswirken, die sich auf seine Bewegungen auswirken.")</f>
        <v>Der Mann wird in mehreren Clips gezeigt, die einen Trick mit der Kamera auswirken, die sich auf seine Bewegungen auswirken.</v>
      </c>
    </row>
    <row r="25802">
      <c r="A25802" s="4" t="s">
        <v>32480</v>
      </c>
      <c r="B25802" s="4" t="s">
        <v>32483</v>
      </c>
      <c r="C25802" s="5" t="str">
        <f>IFERROR(__xludf.DUMMYFUNCTION("GOOGLETRANSLATE(B25802,""en"",""de"")"),"Der Mann fährt weiterhin auf dem Brett herum, während der Text Anweisungen zu geben scheint.")</f>
        <v>Der Mann fährt weiterhin auf dem Brett herum, während der Text Anweisungen zu geben scheint.</v>
      </c>
    </row>
    <row r="25803">
      <c r="A25803" s="4" t="s">
        <v>32484</v>
      </c>
      <c r="B25803" s="4" t="s">
        <v>32485</v>
      </c>
      <c r="C25803" s="5" t="str">
        <f>IFERROR(__xludf.DUMMYFUNCTION("GOOGLETRANSLATE(B25803,""en"",""de"")"),"Es gibt ein großes Gymnasium, in dem drei Turner Gymnastik aufführen.")</f>
        <v>Es gibt ein großes Gymnasium, in dem drei Turner Gymnastik aufführen.</v>
      </c>
    </row>
    <row r="25804">
      <c r="A25804" s="4" t="s">
        <v>32484</v>
      </c>
      <c r="B25804" s="4" t="s">
        <v>32486</v>
      </c>
      <c r="C25804" s="5" t="str">
        <f>IFERROR(__xludf.DUMMYFUNCTION("GOOGLETRANSLATE(B25804,""en"",""de"")"),"Es gibt einen Turner in orangefarbenen Trikots, der auf der Rute schwingt, und ein weiteres Turner neben ihm schwingt ebenfalls an den Bars.")</f>
        <v>Es gibt einen Turner in orangefarbenen Trikots, der auf der Rute schwingt, und ein weiteres Turner neben ihm schwingt ebenfalls an den Bars.</v>
      </c>
    </row>
    <row r="25805">
      <c r="A25805" s="4" t="s">
        <v>32484</v>
      </c>
      <c r="B25805" s="4" t="s">
        <v>32487</v>
      </c>
      <c r="C25805" s="5" t="str">
        <f>IFERROR(__xludf.DUMMYFUNCTION("GOOGLETRANSLATE(B25805,""en"",""de"")"),"Beide schwingen hin und her und stehen ein paar Sekunden lang an ihren Händen, bevor sie wieder nach unten schwingen.")</f>
        <v>Beide schwingen hin und her und stehen ein paar Sekunden lang an ihren Händen, bevor sie wieder nach unten schwingen.</v>
      </c>
    </row>
    <row r="25806">
      <c r="A25806" s="4" t="s">
        <v>32484</v>
      </c>
      <c r="B25806" s="4" t="s">
        <v>32488</v>
      </c>
      <c r="C25806" s="5" t="str">
        <f>IFERROR(__xludf.DUMMYFUNCTION("GOOGLETRANSLATE(B25806,""en"",""de"")"),"Der dritte Turner tritt hinter ihnen auf und macht vorne und hinten Flips.")</f>
        <v>Der dritte Turner tritt hinter ihnen auf und macht vorne und hinten Flips.</v>
      </c>
    </row>
    <row r="25807">
      <c r="A25807" s="4" t="s">
        <v>32484</v>
      </c>
      <c r="B25807" s="4" t="s">
        <v>32489</v>
      </c>
      <c r="C25807" s="5" t="str">
        <f>IFERROR(__xludf.DUMMYFUNCTION("GOOGLETRANSLATE(B25807,""en"",""de"")"),"Der Turner in den orangefarbenen Trikots macht eine weitere Frontschwung und steigt dann aus den Bars und geht weg.")</f>
        <v>Der Turner in den orangefarbenen Trikots macht eine weitere Frontschwung und steigt dann aus den Bars und geht weg.</v>
      </c>
    </row>
    <row r="25808">
      <c r="A25808" s="4" t="s">
        <v>32490</v>
      </c>
      <c r="B25808" s="4" t="s">
        <v>32491</v>
      </c>
      <c r="C25808" s="5" t="str">
        <f>IFERROR(__xludf.DUMMYFUNCTION("GOOGLETRANSLATE(B25808,""en"",""de"")"),"Eine schwarze Frau wird in einem Raum mit einem schwarzen Schal um den Kopf gezeigt.")</f>
        <v>Eine schwarze Frau wird in einem Raum mit einem schwarzen Schal um den Kopf gezeigt.</v>
      </c>
    </row>
    <row r="25809">
      <c r="A25809" s="4" t="s">
        <v>32490</v>
      </c>
      <c r="B25809" s="4" t="s">
        <v>32492</v>
      </c>
      <c r="C25809" s="5" t="str">
        <f>IFERROR(__xludf.DUMMYFUNCTION("GOOGLETRANSLATE(B25809,""en"",""de"")"),"Schwarze Flecken auf ihrem Gesicht werden dann eingeschaltet und sie beginnt, etwas darauf aufzutragen.")</f>
        <v>Schwarze Flecken auf ihrem Gesicht werden dann eingeschaltet und sie beginnt, etwas darauf aufzutragen.</v>
      </c>
    </row>
    <row r="25810">
      <c r="A25810" s="4" t="s">
        <v>32490</v>
      </c>
      <c r="B25810" s="4" t="s">
        <v>32493</v>
      </c>
      <c r="C25810" s="5" t="str">
        <f>IFERROR(__xludf.DUMMYFUNCTION("GOOGLETRANSLATE(B25810,""en"",""de"")"),"Als nächstes nimmt sie etwas Spray und es macht ihre Haut extrem fettig und sie redet weiter, bis das Video vorbei ist.")</f>
        <v>Als nächstes nimmt sie etwas Spray und es macht ihre Haut extrem fettig und sie redet weiter, bis das Video vorbei ist.</v>
      </c>
    </row>
    <row r="25811">
      <c r="A25811" s="4" t="s">
        <v>32494</v>
      </c>
      <c r="B25811" s="4" t="s">
        <v>32495</v>
      </c>
      <c r="C25811" s="5" t="str">
        <f>IFERROR(__xludf.DUMMYFUNCTION("GOOGLETRANSLATE(B25811,""en"",""de"")"),"Wir sehen einen Baum mit Blättern, die in den Wind blasen.")</f>
        <v>Wir sehen einen Baum mit Blättern, die in den Wind blasen.</v>
      </c>
    </row>
    <row r="25812">
      <c r="A25812" s="4" t="s">
        <v>32494</v>
      </c>
      <c r="B25812" s="4" t="s">
        <v>32496</v>
      </c>
      <c r="C25812" s="5" t="str">
        <f>IFERROR(__xludf.DUMMYFUNCTION("GOOGLETRANSLATE(B25812,""en"",""de"")"),"Ein Mann remt seinen Garten und spricht mit der Kamera.")</f>
        <v>Ein Mann remt seinen Garten und spricht mit der Kamera.</v>
      </c>
    </row>
    <row r="25813">
      <c r="A25813" s="4" t="s">
        <v>32494</v>
      </c>
      <c r="B25813" s="4" t="s">
        <v>32497</v>
      </c>
      <c r="C25813" s="5" t="str">
        <f>IFERROR(__xludf.DUMMYFUNCTION("GOOGLETRANSLATE(B25813,""en"",""de"")"),"Der Mann wählt einen Rechen von vier.")</f>
        <v>Der Mann wählt einen Rechen von vier.</v>
      </c>
    </row>
    <row r="25814">
      <c r="A25814" s="4" t="s">
        <v>32494</v>
      </c>
      <c r="B25814" s="4" t="s">
        <v>32498</v>
      </c>
      <c r="C25814" s="5" t="str">
        <f>IFERROR(__xludf.DUMMYFUNCTION("GOOGLETRANSLATE(B25814,""en"",""de"")"),"Der Mann wirft etwas Gras in den Müll.")</f>
        <v>Der Mann wirft etwas Gras in den Müll.</v>
      </c>
    </row>
    <row r="25815">
      <c r="A25815" s="4" t="s">
        <v>32494</v>
      </c>
      <c r="B25815" s="4" t="s">
        <v>32499</v>
      </c>
      <c r="C25815" s="5" t="str">
        <f>IFERROR(__xludf.DUMMYFUNCTION("GOOGLETRANSLATE(B25815,""en"",""de"")"),"Der Mann nimmt auf und riecht einen Zweig mit Blättern.")</f>
        <v>Der Mann nimmt auf und riecht einen Zweig mit Blättern.</v>
      </c>
    </row>
    <row r="25816">
      <c r="A25816" s="4" t="s">
        <v>32494</v>
      </c>
      <c r="B25816" s="4" t="s">
        <v>32500</v>
      </c>
      <c r="C25816" s="5" t="str">
        <f>IFERROR(__xludf.DUMMYFUNCTION("GOOGLETRANSLATE(B25816,""en"",""de"")"),"Der Mann wirft seinen Rake in den Hof.")</f>
        <v>Der Mann wirft seinen Rake in den Hof.</v>
      </c>
    </row>
    <row r="25817">
      <c r="A25817" s="4" t="s">
        <v>32494</v>
      </c>
      <c r="B25817" s="4" t="s">
        <v>32501</v>
      </c>
      <c r="C25817" s="5" t="str">
        <f>IFERROR(__xludf.DUMMYFUNCTION("GOOGLETRANSLATE(B25817,""en"",""de"")"),"Der Mann streut in den Hof und retelt sie auf.")</f>
        <v>Der Mann streut in den Hof und retelt sie auf.</v>
      </c>
    </row>
    <row r="25818">
      <c r="A25818" s="4" t="s">
        <v>32494</v>
      </c>
      <c r="B25818" s="4" t="s">
        <v>32502</v>
      </c>
      <c r="C25818" s="5" t="str">
        <f>IFERROR(__xludf.DUMMYFUNCTION("GOOGLETRANSLATE(B25818,""en"",""de"")"),"Wir sehen dann die Zweige und gehen wieder.")</f>
        <v>Wir sehen dann die Zweige und gehen wieder.</v>
      </c>
    </row>
    <row r="25819">
      <c r="A25819" s="4" t="s">
        <v>32503</v>
      </c>
      <c r="B25819" s="4" t="s">
        <v>32504</v>
      </c>
      <c r="C25819" s="5" t="str">
        <f>IFERROR(__xludf.DUMMYFUNCTION("GOOGLETRANSLATE(B25819,""en"",""de"")"),"Ein männlicher Arbeiter geht zu einem Elefanten.")</f>
        <v>Ein männlicher Arbeiter geht zu einem Elefanten.</v>
      </c>
    </row>
    <row r="25820">
      <c r="A25820" s="4" t="s">
        <v>32503</v>
      </c>
      <c r="B25820" s="4" t="s">
        <v>32505</v>
      </c>
      <c r="C25820" s="5" t="str">
        <f>IFERROR(__xludf.DUMMYFUNCTION("GOOGLETRANSLATE(B25820,""en"",""de"")"),"Er gibt dem Elefanten einen Pfeil.")</f>
        <v>Er gibt dem Elefanten einen Pfeil.</v>
      </c>
    </row>
    <row r="25821">
      <c r="A25821" s="4" t="s">
        <v>32503</v>
      </c>
      <c r="B25821" s="4" t="s">
        <v>32506</v>
      </c>
      <c r="C25821" s="5" t="str">
        <f>IFERROR(__xludf.DUMMYFUNCTION("GOOGLETRANSLATE(B25821,""en"",""de"")"),"Der Elefant und eine Frau wechseln abwechselnd Darts auf ihre Ziele.")</f>
        <v>Der Elefant und eine Frau wechseln abwechselnd Darts auf ihre Ziele.</v>
      </c>
    </row>
    <row r="25822">
      <c r="A25822" s="4" t="s">
        <v>32507</v>
      </c>
      <c r="B25822" s="4" t="s">
        <v>32508</v>
      </c>
      <c r="C25822" s="5" t="str">
        <f>IFERROR(__xludf.DUMMYFUNCTION("GOOGLETRANSLATE(B25822,""en"",""de"")"),"Ein junger Mann sitzt am Boden eines Pools.")</f>
        <v>Ein junger Mann sitzt am Boden eines Pools.</v>
      </c>
    </row>
    <row r="25823">
      <c r="A25823" s="4" t="s">
        <v>32507</v>
      </c>
      <c r="B25823" s="4" t="s">
        <v>32509</v>
      </c>
      <c r="C25823" s="5" t="str">
        <f>IFERROR(__xludf.DUMMYFUNCTION("GOOGLETRANSLATE(B25823,""en"",""de"")"),"Er beginnt sich beim Lächeln näher an die Kamera heranzukommen.")</f>
        <v>Er beginnt sich beim Lächeln näher an die Kamera heranzukommen.</v>
      </c>
    </row>
    <row r="25824">
      <c r="A25824" s="4" t="s">
        <v>32507</v>
      </c>
      <c r="B25824" s="4" t="s">
        <v>32510</v>
      </c>
      <c r="C25824" s="5" t="str">
        <f>IFERROR(__xludf.DUMMYFUNCTION("GOOGLETRANSLATE(B25824,""en"",""de"")"),"Dann stößt er in die Wand und bewegt sich nach oben.")</f>
        <v>Dann stößt er in die Wand und bewegt sich nach oben.</v>
      </c>
    </row>
    <row r="25825">
      <c r="A25825" s="4" t="s">
        <v>32511</v>
      </c>
      <c r="B25825" s="4" t="s">
        <v>32512</v>
      </c>
      <c r="C25825" s="5" t="str">
        <f>IFERROR(__xludf.DUMMYFUNCTION("GOOGLETRANSLATE(B25825,""en"",""de"")"),"Verschiedene Schüsse werden sowohl vom Ozean als auch von Booten entlang des Wassers gezeigt.")</f>
        <v>Verschiedene Schüsse werden sowohl vom Ozean als auch von Booten entlang des Wassers gezeigt.</v>
      </c>
    </row>
    <row r="25826">
      <c r="A25826" s="4" t="s">
        <v>32511</v>
      </c>
      <c r="B25826" s="4" t="s">
        <v>32513</v>
      </c>
      <c r="C25826" s="5" t="str">
        <f>IFERROR(__xludf.DUMMYFUNCTION("GOOGLETRANSLATE(B25826,""en"",""de"")"),"Die Leute liegen an Stränden und sprechen miteinander und fahren hinter Booten.")</f>
        <v>Die Leute liegen an Stränden und sprechen miteinander und fahren hinter Booten.</v>
      </c>
    </row>
    <row r="25827">
      <c r="A25827" s="4" t="s">
        <v>32511</v>
      </c>
      <c r="B25827" s="4" t="s">
        <v>32514</v>
      </c>
      <c r="C25827" s="5" t="str">
        <f>IFERROR(__xludf.DUMMYFUNCTION("GOOGLETRANSLATE(B25827,""en"",""de"")"),"Nahaufnahmen von Fischen werden ebenso gesehen und Menschen herumfahren und das Wasser surfen.")</f>
        <v>Nahaufnahmen von Fischen werden ebenso gesehen und Menschen herumfahren und das Wasser surfen.</v>
      </c>
    </row>
    <row r="25828">
      <c r="A25828" s="4" t="s">
        <v>32515</v>
      </c>
      <c r="B25828" s="4" t="s">
        <v>32516</v>
      </c>
      <c r="C25828" s="5" t="str">
        <f>IFERROR(__xludf.DUMMYFUNCTION("GOOGLETRANSLATE(B25828,""en"",""de"")"),"Athleten spielen einen Hochsprung erfolgreich in einem Stadion voller Menschen.")</f>
        <v>Athleten spielen einen Hochsprung erfolgreich in einem Stadion voller Menschen.</v>
      </c>
    </row>
    <row r="25829">
      <c r="A25829" s="4" t="s">
        <v>32515</v>
      </c>
      <c r="B25829" s="4" t="s">
        <v>32517</v>
      </c>
      <c r="C25829" s="5" t="str">
        <f>IFERROR(__xludf.DUMMYFUNCTION("GOOGLETRANSLATE(B25829,""en"",""de"")"),"Ein Athlet springt, berührt aber die horizontale Stange.")</f>
        <v>Ein Athlet springt, berührt aber die horizontale Stange.</v>
      </c>
    </row>
    <row r="25830">
      <c r="A25830" s="4" t="s">
        <v>32515</v>
      </c>
      <c r="B25830" s="4" t="s">
        <v>32518</v>
      </c>
      <c r="C25830" s="5" t="str">
        <f>IFERROR(__xludf.DUMMYFUNCTION("GOOGLETRANSLATE(B25830,""en"",""de"")"),"Andere Athleten führen einen Hochsprung in einem Wettbewerb vor einer Krähe durch.")</f>
        <v>Andere Athleten führen einen Hochsprung in einem Wettbewerb vor einer Krähe durch.</v>
      </c>
    </row>
    <row r="25831">
      <c r="A25831" s="4" t="s">
        <v>32519</v>
      </c>
      <c r="B25831" s="4" t="s">
        <v>32520</v>
      </c>
      <c r="C25831" s="5" t="str">
        <f>IFERROR(__xludf.DUMMYFUNCTION("GOOGLETRANSLATE(B25831,""en"",""de"")"),"Eine Frau geht mit ihrem Pferd auf ein Feld, um zu fahren.")</f>
        <v>Eine Frau geht mit ihrem Pferd auf ein Feld, um zu fahren.</v>
      </c>
    </row>
    <row r="25832">
      <c r="A25832" s="4" t="s">
        <v>32519</v>
      </c>
      <c r="B25832" s="4" t="s">
        <v>32521</v>
      </c>
      <c r="C25832" s="5" t="str">
        <f>IFERROR(__xludf.DUMMYFUNCTION("GOOGLETRANSLATE(B25832,""en"",""de"")"),"Der Pferdeschwanz ist zurückgeflügelt und sie trägt Pink.")</f>
        <v>Der Pferdeschwanz ist zurückgeflügelt und sie trägt Pink.</v>
      </c>
    </row>
    <row r="25833">
      <c r="A25833" s="4" t="s">
        <v>32519</v>
      </c>
      <c r="B25833" s="4" t="s">
        <v>32522</v>
      </c>
      <c r="C25833" s="5" t="str">
        <f>IFERROR(__xludf.DUMMYFUNCTION("GOOGLETRANSLATE(B25833,""en"",""de"")"),"Die Dame steigt auf das Pferd und reitet ihn herum und schlägt einen Ball herum.")</f>
        <v>Die Dame steigt auf das Pferd und reitet ihn herum und schlägt einen Ball herum.</v>
      </c>
    </row>
    <row r="25834">
      <c r="A25834" s="4" t="s">
        <v>32519</v>
      </c>
      <c r="B25834" s="4" t="s">
        <v>32523</v>
      </c>
      <c r="C25834" s="5" t="str">
        <f>IFERROR(__xludf.DUMMYFUNCTION("GOOGLETRANSLATE(B25834,""en"",""de"")"),"Der Pferdeschwanz ist nicht mehr geflochten, wenn sie im Sand herumfahren.")</f>
        <v>Der Pferdeschwanz ist nicht mehr geflochten, wenn sie im Sand herumfahren.</v>
      </c>
    </row>
    <row r="25835">
      <c r="A25835" s="4" t="s">
        <v>32524</v>
      </c>
      <c r="B25835" s="4" t="s">
        <v>32525</v>
      </c>
      <c r="C25835" s="5" t="str">
        <f>IFERROR(__xludf.DUMMYFUNCTION("GOOGLETRANSLATE(B25835,""en"",""de"")"),"Drei Frauen sitzen in einem Raum hinter dem Tisch Strickschals und Hüte, bevor ein Logo erscheint.")</f>
        <v>Drei Frauen sitzen in einem Raum hinter dem Tisch Strickschals und Hüte, bevor ein Logo erscheint.</v>
      </c>
    </row>
    <row r="25836">
      <c r="A25836" s="4" t="s">
        <v>32524</v>
      </c>
      <c r="B25836" s="4" t="s">
        <v>32526</v>
      </c>
      <c r="C25836" s="5" t="str">
        <f>IFERROR(__xludf.DUMMYFUNCTION("GOOGLETRANSLATE(B25836,""en"",""de"")"),"Sie alle tauchen wieder auf und beginnen, einen lila Schal zu stricken, während sie sprechen.")</f>
        <v>Sie alle tauchen wieder auf und beginnen, einen lila Schal zu stricken, während sie sprechen.</v>
      </c>
    </row>
    <row r="25837">
      <c r="A25837" s="4" t="s">
        <v>32524</v>
      </c>
      <c r="B25837" s="4" t="s">
        <v>32527</v>
      </c>
      <c r="C25837" s="5" t="str">
        <f>IFERROR(__xludf.DUMMYFUNCTION("GOOGLETRANSLATE(B25837,""en"",""de"")"),"Als nächstes beginnt jede Dame zu sprechen und Bilder zu zeigen, für wen sie das besondere Kleidungsstück machen.")</f>
        <v>Als nächstes beginnt jede Dame zu sprechen und Bilder zu zeigen, für wen sie das besondere Kleidungsstück machen.</v>
      </c>
    </row>
    <row r="25838">
      <c r="A25838" s="4" t="s">
        <v>32528</v>
      </c>
      <c r="B25838" s="4" t="s">
        <v>32529</v>
      </c>
      <c r="C25838" s="5" t="str">
        <f>IFERROR(__xludf.DUMMYFUNCTION("GOOGLETRANSLATE(B25838,""en"",""de"")"),"Der hemdlose Mann macht Crunches.")</f>
        <v>Der hemdlose Mann macht Crunches.</v>
      </c>
    </row>
    <row r="25839">
      <c r="A25839" s="4" t="s">
        <v>32528</v>
      </c>
      <c r="B25839" s="4" t="s">
        <v>32530</v>
      </c>
      <c r="C25839" s="5" t="str">
        <f>IFERROR(__xludf.DUMMYFUNCTION("GOOGLETRANSLATE(B25839,""en"",""de"")"),"Die Frau macht Crunches, während ihre Beine auf einer Maschine sind.")</f>
        <v>Die Frau macht Crunches, während ihre Beine auf einer Maschine sind.</v>
      </c>
    </row>
    <row r="25840">
      <c r="A25840" s="4" t="s">
        <v>32528</v>
      </c>
      <c r="B25840" s="4" t="s">
        <v>32531</v>
      </c>
      <c r="C25840" s="5" t="str">
        <f>IFERROR(__xludf.DUMMYFUNCTION("GOOGLETRANSLATE(B25840,""en"",""de"")"),"Die Frau hält die Füße des Mannes, während er knirscht.")</f>
        <v>Die Frau hält die Füße des Mannes, während er knirscht.</v>
      </c>
    </row>
    <row r="25841">
      <c r="A25841" s="4" t="s">
        <v>32528</v>
      </c>
      <c r="B25841" s="4" t="s">
        <v>32532</v>
      </c>
      <c r="C25841" s="5" t="str">
        <f>IFERROR(__xludf.DUMMYFUNCTION("GOOGLETRANSLATE(B25841,""en"",""de"")"),"Der Mann bewegt seine Beine, während er einen großen Yoga -Ball unter seinen Beinen hat.")</f>
        <v>Der Mann bewegt seine Beine, während er einen großen Yoga -Ball unter seinen Beinen hat.</v>
      </c>
    </row>
    <row r="25842">
      <c r="A25842" s="4" t="s">
        <v>32533</v>
      </c>
      <c r="B25842" s="4" t="s">
        <v>32534</v>
      </c>
      <c r="C25842" s="5" t="str">
        <f>IFERROR(__xludf.DUMMYFUNCTION("GOOGLETRANSLATE(B25842,""en"",""de"")"),"Zwei Biker fahren mit ihren Motorrädern durch raues Gelände.")</f>
        <v>Zwei Biker fahren mit ihren Motorrädern durch raues Gelände.</v>
      </c>
    </row>
    <row r="25843">
      <c r="A25843" s="4" t="s">
        <v>32533</v>
      </c>
      <c r="B25843" s="4" t="s">
        <v>32535</v>
      </c>
      <c r="C25843" s="5" t="str">
        <f>IFERROR(__xludf.DUMMYFUNCTION("GOOGLETRANSLATE(B25843,""en"",""de"")"),"Sie sind in Radläufen mit Schutzhelmen und Kleidung gekleidet.")</f>
        <v>Sie sind in Radläufen mit Schutzhelmen und Kleidung gekleidet.</v>
      </c>
    </row>
    <row r="25844">
      <c r="A25844" s="4" t="s">
        <v>32533</v>
      </c>
      <c r="B25844" s="4" t="s">
        <v>32536</v>
      </c>
      <c r="C25844" s="5" t="str">
        <f>IFERROR(__xludf.DUMMYFUNCTION("GOOGLETRANSLATE(B25844,""en"",""de"")"),"Sie fahren auf hügeligen Hängen und ungleichmäßigem Gelände auf ihren Motorrädern.")</f>
        <v>Sie fahren auf hügeligen Hängen und ungleichmäßigem Gelände auf ihren Motorrädern.</v>
      </c>
    </row>
    <row r="25845">
      <c r="A25845" s="4" t="s">
        <v>32533</v>
      </c>
      <c r="B25845" s="4" t="s">
        <v>32537</v>
      </c>
      <c r="C25845" s="5" t="str">
        <f>IFERROR(__xludf.DUMMYFUNCTION("GOOGLETRANSLATE(B25845,""en"",""de"")"),"Sie gehen mit hoher Geschwindigkeit extrem steile und gefährliche unbefestigte Straßen durch.")</f>
        <v>Sie gehen mit hoher Geschwindigkeit extrem steile und gefährliche unbefestigte Straßen durch.</v>
      </c>
    </row>
    <row r="25846">
      <c r="A25846" s="4" t="s">
        <v>32533</v>
      </c>
      <c r="B25846" s="4" t="s">
        <v>32538</v>
      </c>
      <c r="C25846" s="5" t="str">
        <f>IFERROR(__xludf.DUMMYFUNCTION("GOOGLETRANSLATE(B25846,""en"",""de"")"),"Sie gehen auch über Rampen, die in der Dirt Road erzeugt wurden.")</f>
        <v>Sie gehen auch über Rampen, die in der Dirt Road erzeugt wurden.</v>
      </c>
    </row>
    <row r="25847">
      <c r="A25847" s="4" t="s">
        <v>32533</v>
      </c>
      <c r="B25847" s="4" t="s">
        <v>32539</v>
      </c>
      <c r="C25847" s="5" t="str">
        <f>IFERROR(__xludf.DUMMYFUNCTION("GOOGLETRANSLATE(B25847,""en"",""de"")"),"Sie fahren mit hoher Geschwindigkeit weiter durch den Schmutz, während sie eine Staubwolke hinter sich schaffen.")</f>
        <v>Sie fahren mit hoher Geschwindigkeit weiter durch den Schmutz, während sie eine Staubwolke hinter sich schaffen.</v>
      </c>
    </row>
    <row r="25848">
      <c r="A25848" s="4" t="s">
        <v>32540</v>
      </c>
      <c r="B25848" s="4" t="s">
        <v>32541</v>
      </c>
      <c r="C25848" s="5" t="str">
        <f>IFERROR(__xludf.DUMMYFUNCTION("GOOGLETRANSLATE(B25848,""en"",""de"")"),"Ein schwarzer Bildschirm erscheint und ein schwarzes Dreieck mit blauen und grünen Lichtern, die in der mittleren und roten Schriftzug in der Mitte erscheinen, erscheinen in der Mitte und lautet ""Loveys Nägel"".")</f>
        <v>Ein schwarzer Bildschirm erscheint und ein schwarzes Dreieck mit blauen und grünen Lichtern, die in der mittleren und roten Schriftzug in der Mitte erscheinen, erscheinen in der Mitte und lautet "Loveys Nägel".</v>
      </c>
    </row>
    <row r="25849">
      <c r="A25849" s="4" t="s">
        <v>32540</v>
      </c>
      <c r="B25849" s="4" t="s">
        <v>32542</v>
      </c>
      <c r="C25849" s="5" t="str">
        <f>IFERROR(__xludf.DUMMYFUNCTION("GOOGLETRANSLATE(B25849,""en"",""de"")"),"Auf verschiedenen schwarzen Bildschirmen erscheinen mehr Schriftzug und lesen zusammen ""Maleficent Nails"" und ""Um einfacher rotes Nagelspitzen zu verwenden, wenn Sie USA Puntas Rojas Si Tienes haben"".")</f>
        <v>Auf verschiedenen schwarzen Bildschirmen erscheinen mehr Schriftzug und lesen zusammen "Maleficent Nails" und "Um einfacher rotes Nagelspitzen zu verwenden, wenn Sie USA Puntas Rojas Si Tienes haben".</v>
      </c>
    </row>
    <row r="25850">
      <c r="A25850" s="4" t="s">
        <v>32540</v>
      </c>
      <c r="B25850" s="4" t="s">
        <v>32543</v>
      </c>
      <c r="C25850" s="5" t="str">
        <f>IFERROR(__xludf.DUMMYFUNCTION("GOOGLETRANSLATE(B25850,""en"",""de"")"),"Die Frau entzieht nun Nagellack aus ihren Nägeln an ihrer linken Hand, legt Öl auf, dann fälschte Superklues gefälschte Nägel auf ihre linke Hand und schneidet die gefälschten Nägel in eine spitze Form.")</f>
        <v>Die Frau entzieht nun Nagellack aus ihren Nägeln an ihrer linken Hand, legt Öl auf, dann fälschte Superklues gefälschte Nägel auf ihre linke Hand und schneidet die gefälschten Nägel in eine spitze Form.</v>
      </c>
    </row>
    <row r="25851">
      <c r="A25851" s="4" t="s">
        <v>32540</v>
      </c>
      <c r="B25851" s="4" t="s">
        <v>32544</v>
      </c>
      <c r="C25851" s="5" t="str">
        <f>IFERROR(__xludf.DUMMYFUNCTION("GOOGLETRANSLATE(B25851,""en"",""de"")"),"Die Frau öffnet dann einen kleinen Behälter mit rot dicker Flüssigkeit, nimmt einen Pinsel und trägt sie auf ihre falschen spitzen Nägel mit Spitzenspitzen und legt ein paar Schichten auf jeden gefälschten Nagel auf Über den gesamten Nagel beinhalten die "&amp;"roten Spitzen, formen sie, filmen, schleifen sie ab und bürsten dann das Pulver mit einem Pinsel ab.")</f>
        <v>Die Frau öffnet dann einen kleinen Behälter mit rot dicker Flüssigkeit, nimmt einen Pinsel und trägt sie auf ihre falschen spitzen Nägel mit Spitzenspitzen und legt ein paar Schichten auf jeden gefälschten Nagel auf Über den gesamten Nagel beinhalten die roten Spitzen, formen sie, filmen, schleifen sie ab und bürsten dann das Pulver mit einem Pinsel ab.</v>
      </c>
    </row>
    <row r="25852">
      <c r="A25852" s="4" t="s">
        <v>32540</v>
      </c>
      <c r="B25852" s="4" t="s">
        <v>32545</v>
      </c>
      <c r="C25852" s="5" t="str">
        <f>IFERROR(__xludf.DUMMYFUNCTION("GOOGLETRANSLATE(B25852,""en"",""de"")"),"Die Frau malt dann die Oberseite der Nägel mit einem klaren Mantel, dreht dann die Nägel um und malt auch die Unterseite und stellt ihre beiden Hände zusammen, um zu zeigen, wie sie sowohl auf der Unterseite als auch auf der Oberseite aussieht.")</f>
        <v>Die Frau malt dann die Oberseite der Nägel mit einem klaren Mantel, dreht dann die Nägel um und malt auch die Unterseite und stellt ihre beiden Hände zusammen, um zu zeigen, wie sie sowohl auf der Unterseite als auch auf der Oberseite aussieht.</v>
      </c>
    </row>
    <row r="25853">
      <c r="A25853" s="4" t="s">
        <v>32540</v>
      </c>
      <c r="B25853" s="4" t="s">
        <v>32546</v>
      </c>
      <c r="C25853" s="5" t="str">
        <f>IFERROR(__xludf.DUMMYFUNCTION("GOOGLETRANSLATE(B25853,""en"",""de"")"),"Die Frau zeigt nun eine Nahaufnahme ihres Gesichts, als sie die Nähe ihres Gesichts zeigt, dann hält sie einen Mac -Lippenstift, der ""Russian Red"" heißt, und sie legt ihn auf ihre Lippen an und lächelt und zeigt ihre neu gemachten Nägel und Lippen von Z"&amp;"eigen Sie es in ein paar Blickwinkeln und beenden Sie sich dann mit immer noch gedrehten Bildern und dem Wort Shio auf dem letzten noch geschossenen.")</f>
        <v>Die Frau zeigt nun eine Nahaufnahme ihres Gesichts, als sie die Nähe ihres Gesichts zeigt, dann hält sie einen Mac -Lippenstift, der "Russian Red" heißt, und sie legt ihn auf ihre Lippen an und lächelt und zeigt ihre neu gemachten Nägel und Lippen von Zeigen Sie es in ein paar Blickwinkeln und beenden Sie sich dann mit immer noch gedrehten Bildern und dem Wort Shio auf dem letzten noch geschossenen.</v>
      </c>
    </row>
    <row r="25854">
      <c r="A25854" s="4" t="s">
        <v>32547</v>
      </c>
      <c r="B25854" s="4" t="s">
        <v>32548</v>
      </c>
      <c r="C25854" s="5" t="str">
        <f>IFERROR(__xludf.DUMMYFUNCTION("GOOGLETRANSLATE(B25854,""en"",""de"")"),"Zwei Teams spielen Ice Hockey, das das weiße Team erzielt, und die Leute in den Bleaches -Jubeln, dann die roten Mannschaften für sein Team, dann spielen sie weiter.")</f>
        <v>Zwei Teams spielen Ice Hockey, das das weiße Team erzielt, und die Leute in den Bleaches -Jubeln, dann die roten Mannschaften für sein Team, dann spielen sie weiter.</v>
      </c>
    </row>
    <row r="25855">
      <c r="A25855" s="4" t="s">
        <v>32547</v>
      </c>
      <c r="B25855" s="4" t="s">
        <v>32549</v>
      </c>
      <c r="C25855" s="5" t="str">
        <f>IFERROR(__xludf.DUMMYFUNCTION("GOOGLETRANSLATE(B25855,""en"",""de"")"),"Das weiße Team erzielt und die Spieler umarmen sich, die Menge begrüßt sich.")</f>
        <v>Das weiße Team erzielt und die Spieler umarmen sich, die Menge begrüßt sich.</v>
      </c>
    </row>
    <row r="25856">
      <c r="A25856" s="4" t="s">
        <v>32547</v>
      </c>
      <c r="B25856" s="4" t="s">
        <v>32550</v>
      </c>
      <c r="C25856" s="5" t="str">
        <f>IFERROR(__xludf.DUMMYFUNCTION("GOOGLETRANSLATE(B25856,""en"",""de"")"),"Nach dem roten Team Score.")</f>
        <v>Nach dem roten Team Score.</v>
      </c>
    </row>
    <row r="25857">
      <c r="A25857" s="4" t="s">
        <v>32547</v>
      </c>
      <c r="B25857" s="4" t="s">
        <v>32551</v>
      </c>
      <c r="C25857" s="5" t="str">
        <f>IFERROR(__xludf.DUMMYFUNCTION("GOOGLETRANSLATE(B25857,""en"",""de"")"),"Die Spieler gehen in der Halbzeit in Umkleidekabinen.")</f>
        <v>Die Spieler gehen in der Halbzeit in Umkleidekabinen.</v>
      </c>
    </row>
    <row r="25858">
      <c r="A25858" s="4" t="s">
        <v>32547</v>
      </c>
      <c r="B25858" s="4" t="s">
        <v>32552</v>
      </c>
      <c r="C25858" s="5" t="str">
        <f>IFERROR(__xludf.DUMMYFUNCTION("GOOGLETRANSLATE(B25858,""en"",""de"")"),"Dann spielen die Spieler weiter und das Rote Team erzielt und gewinnt den Wettbewerb.")</f>
        <v>Dann spielen die Spieler weiter und das Rote Team erzielt und gewinnt den Wettbewerb.</v>
      </c>
    </row>
    <row r="25859">
      <c r="A25859" s="4" t="s">
        <v>32553</v>
      </c>
      <c r="B25859" s="4" t="s">
        <v>32554</v>
      </c>
      <c r="C25859" s="5" t="str">
        <f>IFERROR(__xludf.DUMMYFUNCTION("GOOGLETRANSLATE(B25859,""en"",""de"")"),"Die Leute spielen Schlagzeug in einem Raum.")</f>
        <v>Die Leute spielen Schlagzeug in einem Raum.</v>
      </c>
    </row>
    <row r="25860">
      <c r="A25860" s="4" t="s">
        <v>32553</v>
      </c>
      <c r="B25860" s="4" t="s">
        <v>32555</v>
      </c>
      <c r="C25860" s="5" t="str">
        <f>IFERROR(__xludf.DUMMYFUNCTION("GOOGLETRANSLATE(B25860,""en"",""de"")"),"Sie marschieren im Raum hin und her.")</f>
        <v>Sie marschieren im Raum hin und her.</v>
      </c>
    </row>
    <row r="25861">
      <c r="A25861" s="4" t="s">
        <v>32553</v>
      </c>
      <c r="B25861" s="4" t="s">
        <v>32556</v>
      </c>
      <c r="C25861" s="5" t="str">
        <f>IFERROR(__xludf.DUMMYFUNCTION("GOOGLETRANSLATE(B25861,""en"",""de"")"),"Eine Person im Rücken spielt die Symbole.")</f>
        <v>Eine Person im Rücken spielt die Symbole.</v>
      </c>
    </row>
    <row r="25862">
      <c r="A25862" s="4" t="s">
        <v>32557</v>
      </c>
      <c r="B25862" s="4" t="s">
        <v>32558</v>
      </c>
      <c r="C25862" s="5" t="str">
        <f>IFERROR(__xludf.DUMMYFUNCTION("GOOGLETRANSLATE(B25862,""en"",""de"")"),"Eine Kamera schwenkt um einen Raum und führt in ein Raum, das Papier abreibt und eine Schachtel in die Mitte steckt.")</f>
        <v>Eine Kamera schwenkt um einen Raum und führt in ein Raum, das Papier abreibt und eine Schachtel in die Mitte steckt.</v>
      </c>
    </row>
    <row r="25863">
      <c r="A25863" s="4" t="s">
        <v>32557</v>
      </c>
      <c r="B25863" s="4" t="s">
        <v>32559</v>
      </c>
      <c r="C25863" s="5" t="str">
        <f>IFERROR(__xludf.DUMMYFUNCTION("GOOGLETRANSLATE(B25863,""en"",""de"")"),"Die Frau wickelt die Schachtel in Papier und drückt die Seiten.")</f>
        <v>Die Frau wickelt die Schachtel in Papier und drückt die Seiten.</v>
      </c>
    </row>
    <row r="25864">
      <c r="A25864" s="4" t="s">
        <v>32557</v>
      </c>
      <c r="B25864" s="4" t="s">
        <v>32560</v>
      </c>
      <c r="C25864" s="5" t="str">
        <f>IFERROR(__xludf.DUMMYFUNCTION("GOOGLETRANSLATE(B25864,""en"",""de"")"),"Sie speichert die Seiten und benutzt ein Band, um die Schachtel zu binden und endet, indem sie sie auspackt und zeigt, was sich darin befindet.")</f>
        <v>Sie speichert die Seiten und benutzt ein Band, um die Schachtel zu binden und endet, indem sie sie auspackt und zeigt, was sich darin befindet.</v>
      </c>
    </row>
    <row r="25865">
      <c r="A25865" s="4" t="s">
        <v>32561</v>
      </c>
      <c r="B25865" s="4" t="s">
        <v>32562</v>
      </c>
      <c r="C25865" s="5" t="str">
        <f>IFERROR(__xludf.DUMMYFUNCTION("GOOGLETRANSLATE(B25865,""en"",""de"")"),"Das Schreibgeräusch aus der Schreibmaschine findet am Anfang statt und der Titel einer getippten Geschichte wird gezeigt.")</f>
        <v>Das Schreibgeräusch aus der Schreibmaschine findet am Anfang statt und der Titel einer getippten Geschichte wird gezeigt.</v>
      </c>
    </row>
    <row r="25866">
      <c r="A25866" s="4" t="s">
        <v>32561</v>
      </c>
      <c r="B25866" s="4" t="s">
        <v>32563</v>
      </c>
      <c r="C25866" s="5" t="str">
        <f>IFERROR(__xludf.DUMMYFUNCTION("GOOGLETRANSLATE(B25866,""en"",""de"")"),"Dann werden zwei Männer gezeigt, dass der Schnee außerhalb von Statuen und den Boden schaufelt, und wenn er fertig ist, fällt jemand zu Boden.")</f>
        <v>Dann werden zwei Männer gezeigt, dass der Schnee außerhalb von Statuen und den Boden schaufelt, und wenn er fertig ist, fällt jemand zu Boden.</v>
      </c>
    </row>
    <row r="25867">
      <c r="A25867" s="4" t="s">
        <v>32564</v>
      </c>
      <c r="B25867" s="4" t="s">
        <v>32565</v>
      </c>
      <c r="C25867" s="5" t="str">
        <f>IFERROR(__xludf.DUMMYFUNCTION("GOOGLETRANSLATE(B25867,""en"",""de"")"),"Personen, einschließlich Sicherheitskräfte, stehen hinter einem Zaun in einem Einkaufszentrum.")</f>
        <v>Personen, einschließlich Sicherheitskräfte, stehen hinter einem Zaun in einem Einkaufszentrum.</v>
      </c>
    </row>
    <row r="25868">
      <c r="A25868" s="4" t="s">
        <v>32564</v>
      </c>
      <c r="B25868" s="4" t="s">
        <v>32566</v>
      </c>
      <c r="C25868" s="5" t="str">
        <f>IFERROR(__xludf.DUMMYFUNCTION("GOOGLETRANSLATE(B25868,""en"",""de"")"),"Wir sehen einen jungen Mann in einer schicken Jacke und werfen Darts durch den Raum.")</f>
        <v>Wir sehen einen jungen Mann in einer schicken Jacke und werfen Darts durch den Raum.</v>
      </c>
    </row>
    <row r="25869">
      <c r="A25869" s="4" t="s">
        <v>32564</v>
      </c>
      <c r="B25869" s="4" t="s">
        <v>32567</v>
      </c>
      <c r="C25869" s="5" t="str">
        <f>IFERROR(__xludf.DUMMYFUNCTION("GOOGLETRANSLATE(B25869,""en"",""de"")"),"Der Mann hört auf zu werfen und duckt sich für einen Moment nieder und wirft weiter.")</f>
        <v>Der Mann hört auf zu werfen und duckt sich für einen Moment nieder und wirft weiter.</v>
      </c>
    </row>
    <row r="25870">
      <c r="A25870" s="4" t="s">
        <v>32564</v>
      </c>
      <c r="B25870" s="4" t="s">
        <v>32568</v>
      </c>
      <c r="C25870" s="5" t="str">
        <f>IFERROR(__xludf.DUMMYFUNCTION("GOOGLETRANSLATE(B25870,""en"",""de"")"),"Eine Dame wischt sich etwas vom Gesicht aus und der Mann und sein Gefolge beginnen, die Gegend zu verlassen.")</f>
        <v>Eine Dame wischt sich etwas vom Gesicht aus und der Mann und sein Gefolge beginnen, die Gegend zu verlassen.</v>
      </c>
    </row>
    <row r="25871">
      <c r="A25871" s="4" t="s">
        <v>32569</v>
      </c>
      <c r="B25871" s="4" t="s">
        <v>32570</v>
      </c>
      <c r="C25871" s="5" t="str">
        <f>IFERROR(__xludf.DUMMYFUNCTION("GOOGLETRANSLATE(B25871,""en"",""de"")"),"Mann, der einen blauen Helm trägt, ist Kajakfahren im Fluss, der zeigt, wie man eine Reihe benutzt.")</f>
        <v>Mann, der einen blauen Helm trägt, ist Kajakfahren im Fluss, der zeigt, wie man eine Reihe benutzt.</v>
      </c>
    </row>
    <row r="25872">
      <c r="A25872" s="4" t="s">
        <v>32569</v>
      </c>
      <c r="B25872" s="4" t="s">
        <v>32571</v>
      </c>
      <c r="C25872" s="5" t="str">
        <f>IFERROR(__xludf.DUMMYFUNCTION("GOOGLETRANSLATE(B25872,""en"",""de"")"),"Der Mann im Fluss sitzt im gelben Kajak und hält eine Reihe.")</f>
        <v>Der Mann im Fluss sitzt im gelben Kajak und hält eine Reihe.</v>
      </c>
    </row>
    <row r="25873">
      <c r="A25873" s="4" t="s">
        <v>32569</v>
      </c>
      <c r="B25873" s="4" t="s">
        <v>32572</v>
      </c>
      <c r="C25873" s="5" t="str">
        <f>IFERROR(__xludf.DUMMYFUNCTION("GOOGLETRANSLATE(B25873,""en"",""de"")"),"Der Mensch kämpft gegen die Strömung in einem Kajak.")</f>
        <v>Der Mensch kämpft gegen die Strömung in einem Kajak.</v>
      </c>
    </row>
    <row r="25874">
      <c r="A25874" s="4" t="s">
        <v>32573</v>
      </c>
      <c r="B25874" s="4" t="s">
        <v>32574</v>
      </c>
      <c r="C25874" s="5" t="str">
        <f>IFERROR(__xludf.DUMMYFUNCTION("GOOGLETRANSLATE(B25874,""en"",""de"")"),"Wir sehen eine Schachtel auf Stoff.")</f>
        <v>Wir sehen eine Schachtel auf Stoff.</v>
      </c>
    </row>
    <row r="25875">
      <c r="A25875" s="4" t="s">
        <v>32573</v>
      </c>
      <c r="B25875" s="4" t="s">
        <v>32575</v>
      </c>
      <c r="C25875" s="5" t="str">
        <f>IFERROR(__xludf.DUMMYFUNCTION("GOOGLETRANSLATE(B25875,""en"",""de"")"),"Eine Person schließt die Schachtel in den Stoff und bindet sie zusammen.")</f>
        <v>Eine Person schließt die Schachtel in den Stoff und bindet sie zusammen.</v>
      </c>
    </row>
    <row r="25876">
      <c r="A25876" s="4" t="s">
        <v>32573</v>
      </c>
      <c r="B25876" s="4" t="s">
        <v>32576</v>
      </c>
      <c r="C25876" s="5" t="str">
        <f>IFERROR(__xludf.DUMMYFUNCTION("GOOGLETRANSLATE(B25876,""en"",""de"")"),"Wir sehen, wie die Person zusammen zusammen in Flaschen im Stoff wickelt.")</f>
        <v>Wir sehen, wie die Person zusammen zusammen in Flaschen im Stoff wickelt.</v>
      </c>
    </row>
    <row r="25877">
      <c r="A25877" s="4" t="s">
        <v>32573</v>
      </c>
      <c r="B25877" s="4" t="s">
        <v>32577</v>
      </c>
      <c r="C25877" s="5" t="str">
        <f>IFERROR(__xludf.DUMMYFUNCTION("GOOGLETRANSLATE(B25877,""en"",""de"")"),"Sie legen dann zwei Flaschen in eine Tasche und binden sie.")</f>
        <v>Sie legen dann zwei Flaschen in eine Tasche und binden sie.</v>
      </c>
    </row>
    <row r="25878">
      <c r="A25878" s="4" t="s">
        <v>32573</v>
      </c>
      <c r="B25878" s="4" t="s">
        <v>1380</v>
      </c>
      <c r="C25878" s="5" t="str">
        <f>IFERROR(__xludf.DUMMYFUNCTION("GOOGLETRANSLATE(B25878,""en"",""de"")"),"Wir sehen dann die Endgutschrift.")</f>
        <v>Wir sehen dann die Endgutschrift.</v>
      </c>
    </row>
    <row r="25879">
      <c r="A25879" s="4" t="s">
        <v>32578</v>
      </c>
      <c r="B25879" s="4" t="s">
        <v>32579</v>
      </c>
      <c r="C25879" s="5" t="str">
        <f>IFERROR(__xludf.DUMMYFUNCTION("GOOGLETRANSLATE(B25879,""en"",""de"")"),"Wir sehen die grünen Öffnungsbildschirme.")</f>
        <v>Wir sehen die grünen Öffnungsbildschirme.</v>
      </c>
    </row>
    <row r="25880">
      <c r="A25880" s="4" t="s">
        <v>32578</v>
      </c>
      <c r="B25880" s="4" t="s">
        <v>32580</v>
      </c>
      <c r="C25880" s="5" t="str">
        <f>IFERROR(__xludf.DUMMYFUNCTION("GOOGLETRANSLATE(B25880,""en"",""de"")"),"Wir sehen dann, wie eine Person Schnee mit einem Drücker schaufelt.")</f>
        <v>Wir sehen dann, wie eine Person Schnee mit einem Drücker schaufelt.</v>
      </c>
    </row>
    <row r="25881">
      <c r="A25881" s="4" t="s">
        <v>32578</v>
      </c>
      <c r="B25881" s="4" t="s">
        <v>32581</v>
      </c>
      <c r="C25881" s="5" t="str">
        <f>IFERROR(__xludf.DUMMYFUNCTION("GOOGLETRANSLATE(B25881,""en"",""de"")"),"Wir sehen einen Titelbildschirm.")</f>
        <v>Wir sehen einen Titelbildschirm.</v>
      </c>
    </row>
    <row r="25882">
      <c r="A25882" s="4" t="s">
        <v>32578</v>
      </c>
      <c r="B25882" s="4" t="s">
        <v>32582</v>
      </c>
      <c r="C25882" s="5" t="str">
        <f>IFERROR(__xludf.DUMMYFUNCTION("GOOGLETRANSLATE(B25882,""en"",""de"")"),"Wir, ein Mann, der eine Eisbahn mit seiner Schaufel pflügt.")</f>
        <v>Wir, ein Mann, der eine Eisbahn mit seiner Schaufel pflügt.</v>
      </c>
    </row>
    <row r="25883">
      <c r="A25883" s="4" t="s">
        <v>32578</v>
      </c>
      <c r="B25883" s="4" t="s">
        <v>32583</v>
      </c>
      <c r="C25883" s="5" t="str">
        <f>IFERROR(__xludf.DUMMYFUNCTION("GOOGLETRANSLATE(B25883,""en"",""de"")"),"Wir sehen dann den Produktbildschirm.")</f>
        <v>Wir sehen dann den Produktbildschirm.</v>
      </c>
    </row>
    <row r="25884">
      <c r="A25884" s="4" t="s">
        <v>32578</v>
      </c>
      <c r="B25884" s="4" t="s">
        <v>27504</v>
      </c>
      <c r="C25884" s="5" t="str">
        <f>IFERROR(__xludf.DUMMYFUNCTION("GOOGLETRANSLATE(B25884,""en"",""de"")"),"Wir sehen einen schließenden Titelbildschirm.")</f>
        <v>Wir sehen einen schließenden Titelbildschirm.</v>
      </c>
    </row>
    <row r="25885">
      <c r="A25885" s="4" t="s">
        <v>32584</v>
      </c>
      <c r="B25885" s="4" t="s">
        <v>32585</v>
      </c>
      <c r="C25885" s="5" t="str">
        <f>IFERROR(__xludf.DUMMYFUNCTION("GOOGLETRANSLATE(B25885,""en"",""de"")"),"Ein Mädchen in einem blauen Hemd hält eine Packung gefälschter Fingernägel.")</f>
        <v>Ein Mädchen in einem blauen Hemd hält eine Packung gefälschter Fingernägel.</v>
      </c>
    </row>
    <row r="25886">
      <c r="A25886" s="4" t="s">
        <v>32584</v>
      </c>
      <c r="B25886" s="4" t="s">
        <v>32586</v>
      </c>
      <c r="C25886" s="5" t="str">
        <f>IFERROR(__xludf.DUMMYFUNCTION("GOOGLETRANSLATE(B25886,""en"",""de"")"),"Sie steckt sie auf ihre Fingernägel.")</f>
        <v>Sie steckt sie auf ihre Fingernägel.</v>
      </c>
    </row>
    <row r="25887">
      <c r="A25887" s="4" t="s">
        <v>32584</v>
      </c>
      <c r="B25887" s="4" t="s">
        <v>32587</v>
      </c>
      <c r="C25887" s="5" t="str">
        <f>IFERROR(__xludf.DUMMYFUNCTION("GOOGLETRANSLATE(B25887,""en"",""de"")"),"Sie zeigt ihre Fingernägel an die Kamera.")</f>
        <v>Sie zeigt ihre Fingernägel an die Kamera.</v>
      </c>
    </row>
    <row r="25888">
      <c r="A25888" s="4" t="s">
        <v>32588</v>
      </c>
      <c r="B25888" s="4" t="s">
        <v>32589</v>
      </c>
      <c r="C25888" s="5" t="str">
        <f>IFERROR(__xludf.DUMMYFUNCTION("GOOGLETRANSLATE(B25888,""en"",""de"")"),"Eine Gruppe von Menschen steht vor einem Blackjack -Tisch.")</f>
        <v>Eine Gruppe von Menschen steht vor einem Blackjack -Tisch.</v>
      </c>
    </row>
    <row r="25889">
      <c r="A25889" s="4" t="s">
        <v>32588</v>
      </c>
      <c r="B25889" s="4" t="s">
        <v>32590</v>
      </c>
      <c r="C25889" s="5" t="str">
        <f>IFERROR(__xludf.DUMMYFUNCTION("GOOGLETRANSLATE(B25889,""en"",""de"")"),"Die Blackjack -Begleiter platziert Karten auf dem Tisch.")</f>
        <v>Die Blackjack -Begleiter platziert Karten auf dem Tisch.</v>
      </c>
    </row>
    <row r="25890">
      <c r="A25890" s="4" t="s">
        <v>32591</v>
      </c>
      <c r="B25890" s="4" t="s">
        <v>32592</v>
      </c>
      <c r="C25890" s="5" t="str">
        <f>IFERROR(__xludf.DUMMYFUNCTION("GOOGLETRANSLATE(B25890,""en"",""de"")"),"Es wird gezeigt, dass Flüssigkeit in eine Schüssel gegossen wird, gefolgt von einer Person, die eine Ananas und Apfel aufschneidet und sie in eine Schüssel mischt.")</f>
        <v>Es wird gezeigt, dass Flüssigkeit in eine Schüssel gegossen wird, gefolgt von einer Person, die eine Ananas und Apfel aufschneidet und sie in eine Schüssel mischt.</v>
      </c>
    </row>
    <row r="25891">
      <c r="A25891" s="4" t="s">
        <v>32591</v>
      </c>
      <c r="B25891" s="4" t="s">
        <v>32593</v>
      </c>
      <c r="C25891" s="5" t="str">
        <f>IFERROR(__xludf.DUMMYFUNCTION("GOOGLETRANSLATE(B25891,""en"",""de"")"),"Die Person schneidet dann mehr Früchte und fügt sie in die Schüssel hinzu und mischt sie rundum zusammen, um eine Obstschüssel zu kreieren.")</f>
        <v>Die Person schneidet dann mehr Früchte und fügt sie in die Schüssel hinzu und mischt sie rundum zusammen, um eine Obstschüssel zu kreieren.</v>
      </c>
    </row>
    <row r="25892">
      <c r="A25892" s="4" t="s">
        <v>32594</v>
      </c>
      <c r="B25892" s="4" t="s">
        <v>32595</v>
      </c>
      <c r="C25892" s="5" t="str">
        <f>IFERROR(__xludf.DUMMYFUNCTION("GOOGLETRANSLATE(B25892,""en"",""de"")"),"Eine Frau ist draußen in einem großen grünen Feld und hält einen Bogen und einen Pfeil vor einem weißen Papier mit einem großen Ziel hoch.")</f>
        <v>Eine Frau ist draußen in einem großen grünen Feld und hält einen Bogen und einen Pfeil vor einem weißen Papier mit einem großen Ziel hoch.</v>
      </c>
    </row>
    <row r="25893">
      <c r="A25893" s="4" t="s">
        <v>32594</v>
      </c>
      <c r="B25893" s="4" t="s">
        <v>32596</v>
      </c>
      <c r="C25893" s="5" t="str">
        <f>IFERROR(__xludf.DUMMYFUNCTION("GOOGLETRANSLATE(B25893,""en"",""de"")"),"Bevor sie beginnt, montiert sie den Bogen im Pfeil und schlägt das Brett.")</f>
        <v>Bevor sie beginnt, montiert sie den Bogen im Pfeil und schlägt das Brett.</v>
      </c>
    </row>
    <row r="25894">
      <c r="A25894" s="4" t="s">
        <v>32594</v>
      </c>
      <c r="B25894" s="4" t="s">
        <v>32597</v>
      </c>
      <c r="C25894" s="5" t="str">
        <f>IFERROR(__xludf.DUMMYFUNCTION("GOOGLETRANSLATE(B25894,""en"",""de"")"),"Sie demonstriert dann den richtigen Weg, um den Bogen erneut in den Bogen zu legen und wie Sie den Pfeil halten sollten, bevor Sie ihn freigeben.")</f>
        <v>Sie demonstriert dann den richtigen Weg, um den Bogen erneut in den Bogen zu legen und wie Sie den Pfeil halten sollten, bevor Sie ihn freigeben.</v>
      </c>
    </row>
    <row r="25895">
      <c r="A25895" s="4" t="s">
        <v>32594</v>
      </c>
      <c r="B25895" s="4" t="s">
        <v>32598</v>
      </c>
      <c r="C25895" s="5" t="str">
        <f>IFERROR(__xludf.DUMMYFUNCTION("GOOGLETRANSLATE(B25895,""en"",""de"")"),"Danach werden eine Reihe von Menschen gezeigt und alle beginnen, ihre Bögen und Pfeile zu schießen.")</f>
        <v>Danach werden eine Reihe von Menschen gezeigt und alle beginnen, ihre Bögen und Pfeile zu schießen.</v>
      </c>
    </row>
    <row r="25896">
      <c r="A25896" s="4" t="s">
        <v>32599</v>
      </c>
      <c r="B25896" s="4" t="s">
        <v>32600</v>
      </c>
      <c r="C25896" s="5" t="str">
        <f>IFERROR(__xludf.DUMMYFUNCTION("GOOGLETRANSLATE(B25896,""en"",""de"")"),"Ein kleiner Junge, der einen blauen und gelben Hoodie und eine graue Schweißhose trägt, in einem Tennisplatz im Freien.")</f>
        <v>Ein kleiner Junge, der einen blauen und gelben Hoodie und eine graue Schweißhose trägt, in einem Tennisplatz im Freien.</v>
      </c>
    </row>
    <row r="25897">
      <c r="A25897" s="4" t="s">
        <v>32599</v>
      </c>
      <c r="B25897" s="4" t="s">
        <v>32601</v>
      </c>
      <c r="C25897" s="5" t="str">
        <f>IFERROR(__xludf.DUMMYFUNCTION("GOOGLETRANSLATE(B25897,""en"",""de"")"),"Er hält einen blauen Schläger, als er den gelben und orangefarbenen Tennisball auf dem Platz hüpft.")</f>
        <v>Er hält einen blauen Schläger, als er den gelben und orangefarbenen Tennisball auf dem Platz hüpft.</v>
      </c>
    </row>
    <row r="25898">
      <c r="A25898" s="4" t="s">
        <v>32599</v>
      </c>
      <c r="B25898" s="4" t="s">
        <v>32602</v>
      </c>
      <c r="C25898" s="5" t="str">
        <f>IFERROR(__xludf.DUMMYFUNCTION("GOOGLETRANSLATE(B25898,""en"",""de"")"),"Er beginnt mit seinem ersten Aufschlag, in dem der Ball ins Netz trifft.")</f>
        <v>Er beginnt mit seinem ersten Aufschlag, in dem der Ball ins Netz trifft.</v>
      </c>
    </row>
    <row r="25899">
      <c r="A25899" s="4" t="s">
        <v>32599</v>
      </c>
      <c r="B25899" s="4" t="s">
        <v>32603</v>
      </c>
      <c r="C25899" s="5" t="str">
        <f>IFERROR(__xludf.DUMMYFUNCTION("GOOGLETRANSLATE(B25899,""en"",""de"")"),"Dann nimmt er einen weiteren Ball, springt ihn und dient wieder.")</f>
        <v>Dann nimmt er einen weiteren Ball, springt ihn und dient wieder.</v>
      </c>
    </row>
    <row r="25900">
      <c r="A25900" s="4" t="s">
        <v>32599</v>
      </c>
      <c r="B25900" s="4" t="s">
        <v>32604</v>
      </c>
      <c r="C25900" s="5" t="str">
        <f>IFERROR(__xludf.DUMMYFUNCTION("GOOGLETRANSLATE(B25900,""en"",""de"")"),"Der Ball geht über das Netz und fällt auf die andere Seite des Hofes.")</f>
        <v>Der Ball geht über das Netz und fällt auf die andere Seite des Hofes.</v>
      </c>
    </row>
    <row r="25901">
      <c r="A25901" s="4" t="s">
        <v>32599</v>
      </c>
      <c r="B25901" s="4" t="s">
        <v>32605</v>
      </c>
      <c r="C25901" s="5" t="str">
        <f>IFERROR(__xludf.DUMMYFUNCTION("GOOGLETRANSLATE(B25901,""en"",""de"")"),"Er bekommt zum dritten Mal einen weiteren Ball und lässt ihn aus den Händen fallen, während er versucht zu dienen.")</f>
        <v>Er bekommt zum dritten Mal einen weiteren Ball und lässt ihn aus den Händen fallen, während er versucht zu dienen.</v>
      </c>
    </row>
    <row r="25902">
      <c r="A25902" s="4" t="s">
        <v>32606</v>
      </c>
      <c r="B25902" s="4" t="s">
        <v>32607</v>
      </c>
      <c r="C25902" s="5" t="str">
        <f>IFERROR(__xludf.DUMMYFUNCTION("GOOGLETRANSLATE(B25902,""en"",""de"")"),"Ein kleines Mädchen ist bei einem Vergnügungspark -Dart -Belohnungsspiel.")</f>
        <v>Ein kleines Mädchen ist bei einem Vergnügungspark -Dart -Belohnungsspiel.</v>
      </c>
    </row>
    <row r="25903">
      <c r="A25903" s="4" t="s">
        <v>32606</v>
      </c>
      <c r="B25903" s="4" t="s">
        <v>32608</v>
      </c>
      <c r="C25903" s="5" t="str">
        <f>IFERROR(__xludf.DUMMYFUNCTION("GOOGLETRANSLATE(B25903,""en"",""de"")"),"Eine Dame, die am Stand arbeitet, kommt und fragt sie, wie viele Darts sie gerne benutzen würde. Sie gibt dem Mädchen die Darts.")</f>
        <v>Eine Dame, die am Stand arbeitet, kommt und fragt sie, wie viele Darts sie gerne benutzen würde. Sie gibt dem Mädchen die Darts.</v>
      </c>
    </row>
    <row r="25904">
      <c r="A25904" s="4" t="s">
        <v>32606</v>
      </c>
      <c r="B25904" s="4" t="s">
        <v>32609</v>
      </c>
      <c r="C25904" s="5" t="str">
        <f>IFERROR(__xludf.DUMMYFUNCTION("GOOGLETRANSLATE(B25904,""en"",""de"")"),"Das Mädchen fängt an, Pfeile zu werfen, sie kann nur einen Ballon schlagen, sie bittet um Hilfe, versteht ihn aber nicht.")</f>
        <v>Das Mädchen fängt an, Pfeile zu werfen, sie kann nur einen Ballon schlagen, sie bittet um Hilfe, versteht ihn aber nicht.</v>
      </c>
    </row>
    <row r="25905">
      <c r="A25905" s="4" t="s">
        <v>32610</v>
      </c>
      <c r="B25905" s="4" t="s">
        <v>32611</v>
      </c>
      <c r="C25905" s="5" t="str">
        <f>IFERROR(__xludf.DUMMYFUNCTION("GOOGLETRANSLATE(B25905,""en"",""de"")"),"Wir sehen den Titel auf schwarzem Hintergrund.")</f>
        <v>Wir sehen den Titel auf schwarzem Hintergrund.</v>
      </c>
    </row>
    <row r="25906">
      <c r="A25906" s="4" t="s">
        <v>32610</v>
      </c>
      <c r="B25906" s="4" t="s">
        <v>32612</v>
      </c>
      <c r="C25906" s="5" t="str">
        <f>IFERROR(__xludf.DUMMYFUNCTION("GOOGLETRANSLATE(B25906,""en"",""de"")"),"Wir sehen ein Messer und einen Spitzer und einen Mann, der sie hält.")</f>
        <v>Wir sehen ein Messer und einen Spitzer und einen Mann, der sie hält.</v>
      </c>
    </row>
    <row r="25907">
      <c r="A25907" s="4" t="s">
        <v>32610</v>
      </c>
      <c r="B25907" s="4" t="s">
        <v>32613</v>
      </c>
      <c r="C25907" s="5" t="str">
        <f>IFERROR(__xludf.DUMMYFUNCTION("GOOGLETRANSLATE(B25907,""en"",""de"")"),"Wir sehen, wie der Mann eine Tomate und Papier schnitt.")</f>
        <v>Wir sehen, wie der Mann eine Tomate und Papier schnitt.</v>
      </c>
    </row>
    <row r="25908">
      <c r="A25908" s="4" t="s">
        <v>32610</v>
      </c>
      <c r="B25908" s="4" t="s">
        <v>32614</v>
      </c>
      <c r="C25908" s="5" t="str">
        <f>IFERROR(__xludf.DUMMYFUNCTION("GOOGLETRANSLATE(B25908,""en"",""de"")"),"Die Person benutzt eine Schärfe und schneidet dann die Tomate und Papier leicht.")</f>
        <v>Die Person benutzt eine Schärfe und schneidet dann die Tomate und Papier leicht.</v>
      </c>
    </row>
    <row r="25909">
      <c r="A25909" s="4" t="s">
        <v>32610</v>
      </c>
      <c r="B25909" s="4" t="s">
        <v>32615</v>
      </c>
      <c r="C25909" s="5" t="str">
        <f>IFERROR(__xludf.DUMMYFUNCTION("GOOGLETRANSLATE(B25909,""en"",""de"")"),"Schärfen Sie ein anderes Messer und schneidet eine Tomate und zeigt uns den Schärfer.")</f>
        <v>Schärfen Sie ein anderes Messer und schneidet eine Tomate und zeigt uns den Schärfer.</v>
      </c>
    </row>
    <row r="25910">
      <c r="A25910" s="4" t="s">
        <v>32610</v>
      </c>
      <c r="B25910" s="4" t="s">
        <v>19168</v>
      </c>
      <c r="C25910" s="5" t="str">
        <f>IFERROR(__xludf.DUMMYFUNCTION("GOOGLETRANSLATE(B25910,""en"",""de"")"),"Wir sehen die End -Credits für das Video.")</f>
        <v>Wir sehen die End -Credits für das Video.</v>
      </c>
    </row>
    <row r="25911">
      <c r="A25911" s="4" t="s">
        <v>32616</v>
      </c>
      <c r="B25911" s="4" t="s">
        <v>32617</v>
      </c>
      <c r="C25911" s="5" t="str">
        <f>IFERROR(__xludf.DUMMYFUNCTION("GOOGLETRANSLATE(B25911,""en"",""de"")"),"Eine kommerzielle Werbung für einen Kürbisschneider, ein Kürbismesser und ein Kürbislicht wird unter Verwendung einer Familie von zwei Jungen und einer Mutter gezeigt, die Kürbisse für die Demonstration vorbereitet.")</f>
        <v>Eine kommerzielle Werbung für einen Kürbisschneider, ein Kürbismesser und ein Kürbislicht wird unter Verwendung einer Familie von zwei Jungen und einer Mutter gezeigt, die Kürbisse für die Demonstration vorbereitet.</v>
      </c>
    </row>
    <row r="25912">
      <c r="A25912" s="4" t="s">
        <v>32616</v>
      </c>
      <c r="B25912" s="4" t="s">
        <v>32618</v>
      </c>
      <c r="C25912" s="5" t="str">
        <f>IFERROR(__xludf.DUMMYFUNCTION("GOOGLETRANSLATE(B25912,""en"",""de"")"),"Ein kleiner Junge wird mit einem Kürbisschneider gezeigt, um Gesichter in einen Kürbis zu schneiden.")</f>
        <v>Ein kleiner Junge wird mit einem Kürbisschneider gezeigt, um Gesichter in einen Kürbis zu schneiden.</v>
      </c>
    </row>
    <row r="25913">
      <c r="A25913" s="4" t="s">
        <v>32616</v>
      </c>
      <c r="B25913" s="4" t="s">
        <v>32619</v>
      </c>
      <c r="C25913" s="5" t="str">
        <f>IFERROR(__xludf.DUMMYFUNCTION("GOOGLETRANSLATE(B25913,""en"",""de"")"),"Dem Jungen wird dann mit einem Kürbisschaufel einen Kürbis herausgezogen.")</f>
        <v>Dem Jungen wird dann mit einem Kürbisschaufel einen Kürbis herausgezogen.</v>
      </c>
    </row>
    <row r="25914">
      <c r="A25914" s="4" t="s">
        <v>32616</v>
      </c>
      <c r="B25914" s="4" t="s">
        <v>32620</v>
      </c>
      <c r="C25914" s="5" t="str">
        <f>IFERROR(__xludf.DUMMYFUNCTION("GOOGLETRANSLATE(B25914,""en"",""de"")"),"Ein Junge wird dann gezeigt, der ein Kürbislicht in einen Kürbis legt, während sich die Mutter hineinlehnt und zwischen den beiden Jungen und den fertigen Kürbissen lächelt, die jetzt Gesichter mit leuchtenden Lichtern im Inneren haben.")</f>
        <v>Ein Junge wird dann gezeigt, der ein Kürbislicht in einen Kürbis legt, während sich die Mutter hineinlehnt und zwischen den beiden Jungen und den fertigen Kürbissen lächelt, die jetzt Gesichter mit leuchtenden Lichtern im Inneren haben.</v>
      </c>
    </row>
    <row r="25915">
      <c r="A25915" s="4" t="s">
        <v>32621</v>
      </c>
      <c r="B25915" s="4" t="s">
        <v>32622</v>
      </c>
      <c r="C25915" s="5" t="str">
        <f>IFERROR(__xludf.DUMMYFUNCTION("GOOGLETRANSLATE(B25915,""en"",""de"")"),"Dutzende von Menschen sind gesehen, wie sie einen großen, staubigen Hügel hinauf reiten, während die Kamera um Menschen schwenkt, die auf Dirtbikes fahren.")</f>
        <v>Dutzende von Menschen sind gesehen, wie sie einen großen, staubigen Hügel hinauf reiten, während die Kamera um Menschen schwenkt, die auf Dirtbikes fahren.</v>
      </c>
    </row>
    <row r="25916">
      <c r="A25916" s="4" t="s">
        <v>32621</v>
      </c>
      <c r="B25916" s="4" t="s">
        <v>32623</v>
      </c>
      <c r="C25916" s="5" t="str">
        <f>IFERROR(__xludf.DUMMYFUNCTION("GOOGLETRANSLATE(B25916,""en"",""de"")"),"Die Menschen reiten den ganzen Weg entlang, während mehrere andere nebenbei zuschauen und den Fahrern folgen, während die weiterhin entlang der Strecke reiten.")</f>
        <v>Die Menschen reiten den ganzen Weg entlang, während mehrere andere nebenbei zuschauen und den Fahrern folgen, während die weiterhin entlang der Strecke reiten.</v>
      </c>
    </row>
    <row r="25917">
      <c r="A25917" s="4" t="s">
        <v>32624</v>
      </c>
      <c r="B25917" s="4" t="s">
        <v>32625</v>
      </c>
      <c r="C25917" s="5" t="str">
        <f>IFERROR(__xludf.DUMMYFUNCTION("GOOGLETRANSLATE(B25917,""en"",""de"")"),"Eine Gruppe von Frauen spielt Feldhockey auf einem mit Gras bedeckten Outdoor -Feld.")</f>
        <v>Eine Gruppe von Frauen spielt Feldhockey auf einem mit Gras bedeckten Outdoor -Feld.</v>
      </c>
    </row>
    <row r="25918">
      <c r="A25918" s="4" t="s">
        <v>32624</v>
      </c>
      <c r="B25918" s="4" t="s">
        <v>32626</v>
      </c>
      <c r="C25918" s="5" t="str">
        <f>IFERROR(__xludf.DUMMYFUNCTION("GOOGLETRANSLATE(B25918,""en"",""de"")"),"Die Frauen rennen einem weißen Ball auf dem Feld nach, während sie Hockeystangen halten.")</f>
        <v>Die Frauen rennen einem weißen Ball auf dem Feld nach, während sie Hockeystangen halten.</v>
      </c>
    </row>
    <row r="25919">
      <c r="A25919" s="4" t="s">
        <v>32624</v>
      </c>
      <c r="B25919" s="4" t="s">
        <v>32627</v>
      </c>
      <c r="C25919" s="5" t="str">
        <f>IFERROR(__xludf.DUMMYFUNCTION("GOOGLETRANSLATE(B25919,""en"",""de"")"),"Das Rote Team und das Blue -Team spielen weiterhin Feldhockey, während ein Schiedsrichter weitergeht und ein Wachmann das Ziel schützt.")</f>
        <v>Das Rote Team und das Blue -Team spielen weiterhin Feldhockey, während ein Schiedsrichter weitergeht und ein Wachmann das Ziel schützt.</v>
      </c>
    </row>
    <row r="25920">
      <c r="A25920" s="4" t="s">
        <v>32628</v>
      </c>
      <c r="B25920" s="4" t="s">
        <v>32629</v>
      </c>
      <c r="C25920" s="5" t="str">
        <f>IFERROR(__xludf.DUMMYFUNCTION("GOOGLETRANSLATE(B25920,""en"",""de"")"),"Einige Männer spielen Pool, während drei Boxerhunde zuschauen.")</f>
        <v>Einige Männer spielen Pool, während drei Boxerhunde zuschauen.</v>
      </c>
    </row>
    <row r="25921">
      <c r="A25921" s="4" t="s">
        <v>32628</v>
      </c>
      <c r="B25921" s="4" t="s">
        <v>32630</v>
      </c>
      <c r="C25921" s="5" t="str">
        <f>IFERROR(__xludf.DUMMYFUNCTION("GOOGLETRANSLATE(B25921,""en"",""de"")"),"Die Boxer stehen am Billardtisch am Billardtisch und versuchen, die Bälle zu schnappen, während sie mit den Hinweisen geschossen werden.")</f>
        <v>Die Boxer stehen am Billardtisch am Billardtisch und versuchen, die Bälle zu schnappen, während sie mit den Hinweisen geschossen werden.</v>
      </c>
    </row>
    <row r="25922">
      <c r="A25922" s="4" t="s">
        <v>32631</v>
      </c>
      <c r="B25922" s="4" t="s">
        <v>32632</v>
      </c>
      <c r="C25922" s="5" t="str">
        <f>IFERROR(__xludf.DUMMYFUNCTION("GOOGLETRANSLATE(B25922,""en"",""de"")"),"Ein Mann setzt einen Timer auf einen Tisch.")</f>
        <v>Ein Mann setzt einen Timer auf einen Tisch.</v>
      </c>
    </row>
    <row r="25923">
      <c r="A25923" s="4" t="s">
        <v>32631</v>
      </c>
      <c r="B25923" s="4" t="s">
        <v>32633</v>
      </c>
      <c r="C25923" s="5" t="str">
        <f>IFERROR(__xludf.DUMMYFUNCTION("GOOGLETRANSLATE(B25923,""en"",""de"")"),"Dann versucht er, ein Farbblock -Puzzle zu lösen.")</f>
        <v>Dann versucht er, ein Farbblock -Puzzle zu lösen.</v>
      </c>
    </row>
    <row r="25924">
      <c r="A25924" s="4" t="s">
        <v>32631</v>
      </c>
      <c r="B25924" s="4" t="s">
        <v>32634</v>
      </c>
      <c r="C25924" s="5" t="str">
        <f>IFERROR(__xludf.DUMMYFUNCTION("GOOGLETRANSLATE(B25924,""en"",""de"")"),"Er beendet das Rätsel in nur geringfügig über 8 Sekunden.")</f>
        <v>Er beendet das Rätsel in nur geringfügig über 8 Sekunden.</v>
      </c>
    </row>
    <row r="25925">
      <c r="A25925" s="4" t="s">
        <v>32635</v>
      </c>
      <c r="B25925" s="4" t="s">
        <v>32636</v>
      </c>
      <c r="C25925" s="5" t="str">
        <f>IFERROR(__xludf.DUMMYFUNCTION("GOOGLETRANSLATE(B25925,""en"",""de"")"),"Ein Mädchen steht mit einem Hula -Reifen in der Hand.")</f>
        <v>Ein Mädchen steht mit einem Hula -Reifen in der Hand.</v>
      </c>
    </row>
    <row r="25926">
      <c r="A25926" s="4" t="s">
        <v>32635</v>
      </c>
      <c r="B25926" s="4" t="s">
        <v>32637</v>
      </c>
      <c r="C25926" s="5" t="str">
        <f>IFERROR(__xludf.DUMMYFUNCTION("GOOGLETRANSLATE(B25926,""en"",""de"")"),"Das Mädchen spricht mit der Kamera.")</f>
        <v>Das Mädchen spricht mit der Kamera.</v>
      </c>
    </row>
    <row r="25927">
      <c r="A25927" s="4" t="s">
        <v>32635</v>
      </c>
      <c r="B25927" s="4" t="s">
        <v>32638</v>
      </c>
      <c r="C25927" s="5" t="str">
        <f>IFERROR(__xludf.DUMMYFUNCTION("GOOGLETRANSLATE(B25927,""en"",""de"")"),"Das Mädchen demonstriert den Hula Hoop.")</f>
        <v>Das Mädchen demonstriert den Hula Hoop.</v>
      </c>
    </row>
    <row r="25928">
      <c r="A25928" s="4" t="s">
        <v>32635</v>
      </c>
      <c r="B25928" s="4" t="s">
        <v>32639</v>
      </c>
      <c r="C25928" s="5" t="str">
        <f>IFERROR(__xludf.DUMMYFUNCTION("GOOGLETRANSLATE(B25928,""en"",""de"")"),"Das Mädchen lässt den Hula Hoop fallen und posiert.")</f>
        <v>Das Mädchen lässt den Hula Hoop fallen und posiert.</v>
      </c>
    </row>
    <row r="25929">
      <c r="A25929" s="4" t="s">
        <v>32640</v>
      </c>
      <c r="B25929" s="4" t="s">
        <v>32641</v>
      </c>
      <c r="C25929" s="5" t="str">
        <f>IFERROR(__xludf.DUMMYFUNCTION("GOOGLETRANSLATE(B25929,""en"",""de"")"),"Eine Reihe von Bikern bereiten sich auf ein Dirt Bike -Rennen vor.")</f>
        <v>Eine Reihe von Bikern bereiten sich auf ein Dirt Bike -Rennen vor.</v>
      </c>
    </row>
    <row r="25930">
      <c r="A25930" s="4" t="s">
        <v>32640</v>
      </c>
      <c r="B25930" s="4" t="s">
        <v>32642</v>
      </c>
      <c r="C25930" s="5" t="str">
        <f>IFERROR(__xludf.DUMMYFUNCTION("GOOGLETRANSLATE(B25930,""en"",""de"")"),"Sie gehen ab, rasten über Hügel und um scharfe Ecken, einige fallen von ihren Fahrrädern und treten sie wütend.")</f>
        <v>Sie gehen ab, rasten über Hügel und um scharfe Ecken, einige fallen von ihren Fahrrädern und treten sie wütend.</v>
      </c>
    </row>
    <row r="25931">
      <c r="A25931" s="4" t="s">
        <v>32643</v>
      </c>
      <c r="B25931" s="4" t="s">
        <v>32644</v>
      </c>
      <c r="C25931" s="5" t="str">
        <f>IFERROR(__xludf.DUMMYFUNCTION("GOOGLETRANSLATE(B25931,""en"",""de"")"),"Ein Junge sitzt in einem Raum und spricht mit einer Kamera, während er demonstriert, wie man eine elektronische Zigarette benutzt.")</f>
        <v>Ein Junge sitzt in einem Raum und spricht mit einer Kamera, während er demonstriert, wie man eine elektronische Zigarette benutzt.</v>
      </c>
    </row>
    <row r="25932">
      <c r="A25932" s="4" t="s">
        <v>32643</v>
      </c>
      <c r="B25932" s="4" t="s">
        <v>32645</v>
      </c>
      <c r="C25932" s="5" t="str">
        <f>IFERROR(__xludf.DUMMYFUNCTION("GOOGLETRANSLATE(B25932,""en"",""de"")"),"Der Junge schraubt die Zigarette, um den Insider -Mechanismus zu enthüllen.")</f>
        <v>Der Junge schraubt die Zigarette, um den Insider -Mechanismus zu enthüllen.</v>
      </c>
    </row>
    <row r="25933">
      <c r="A25933" s="4" t="s">
        <v>32643</v>
      </c>
      <c r="B25933" s="4" t="s">
        <v>32646</v>
      </c>
      <c r="C25933" s="5" t="str">
        <f>IFERROR(__xludf.DUMMYFUNCTION("GOOGLETRANSLATE(B25933,""en"",""de"")"),"Der Junge setzt die Zigarette wieder zusammen und raucht sie, wenn eine Frau im Hintergrund vorbeikommt, und dann spricht er weiterhin mit der Kamera.")</f>
        <v>Der Junge setzt die Zigarette wieder zusammen und raucht sie, wenn eine Frau im Hintergrund vorbeikommt, und dann spricht er weiterhin mit der Kamera.</v>
      </c>
    </row>
    <row r="25934">
      <c r="A25934" s="4" t="s">
        <v>32647</v>
      </c>
      <c r="B25934" s="4" t="s">
        <v>32648</v>
      </c>
      <c r="C25934" s="5" t="str">
        <f>IFERROR(__xludf.DUMMYFUNCTION("GOOGLETRANSLATE(B25934,""en"",""de"")"),"Nahaufnahmen des Stoffes werden gezeigt und führt dazu, dass ein Mann sie an eine Wand setzt und eine Frau zu einem großartigen Männern spricht.")</f>
        <v>Nahaufnahmen des Stoffes werden gezeigt und führt dazu, dass ein Mann sie an eine Wand setzt und eine Frau zu einem großartigen Männern spricht.</v>
      </c>
    </row>
    <row r="25935">
      <c r="A25935" s="4" t="s">
        <v>32647</v>
      </c>
      <c r="B25935" s="4" t="s">
        <v>32649</v>
      </c>
      <c r="C25935" s="5" t="str">
        <f>IFERROR(__xludf.DUMMYFUNCTION("GOOGLETRANSLATE(B25935,""en"",""de"")"),"Eine Person legt Papier auf einem Tisch aus und zeigt den Männern, wie man die Tapete richtig anzieht.")</f>
        <v>Eine Person legt Papier auf einem Tisch aus und zeigt den Männern, wie man die Tapete richtig anzieht.</v>
      </c>
    </row>
    <row r="25936">
      <c r="A25936" s="4" t="s">
        <v>32647</v>
      </c>
      <c r="B25936" s="4" t="s">
        <v>32650</v>
      </c>
      <c r="C25936" s="5" t="str">
        <f>IFERROR(__xludf.DUMMYFUNCTION("GOOGLETRANSLATE(B25936,""en"",""de"")"),"Ein Mann spricht dann mit der Kamera und endet damit, dass Informationen präsentiert werden und der Mann mehr Papier ablegt.")</f>
        <v>Ein Mann spricht dann mit der Kamera und endet damit, dass Informationen präsentiert werden und der Mann mehr Papier ablegt.</v>
      </c>
    </row>
    <row r="25937">
      <c r="A25937" s="4" t="s">
        <v>32651</v>
      </c>
      <c r="B25937" s="4" t="s">
        <v>32652</v>
      </c>
      <c r="C25937" s="5" t="str">
        <f>IFERROR(__xludf.DUMMYFUNCTION("GOOGLETRANSLATE(B25937,""en"",""de"")"),"Eine sportliche Frau wird in einem Kreis stehen, der sich in einer Zeitlupe bewegt, die eine Diskussion hält.")</f>
        <v>Eine sportliche Frau wird in einem Kreis stehen, der sich in einer Zeitlupe bewegt, die eine Diskussion hält.</v>
      </c>
    </row>
    <row r="25938">
      <c r="A25938" s="4" t="s">
        <v>32651</v>
      </c>
      <c r="B25938" s="4" t="s">
        <v>32653</v>
      </c>
      <c r="C25938" s="5" t="str">
        <f>IFERROR(__xludf.DUMMYFUNCTION("GOOGLETRANSLATE(B25938,""en"",""de"")"),"Dann dreht sie sich herum, während sie das Objekt hält und es dann von der Distanz wirft.")</f>
        <v>Dann dreht sie sich herum, während sie das Objekt hält und es dann von der Distanz wirft.</v>
      </c>
    </row>
    <row r="25939">
      <c r="A25939" s="4" t="s">
        <v>32654</v>
      </c>
      <c r="B25939" s="4" t="s">
        <v>32655</v>
      </c>
      <c r="C25939" s="5" t="str">
        <f>IFERROR(__xludf.DUMMYFUNCTION("GOOGLETRANSLATE(B25939,""en"",""de"")"),"Ein Mann im grauen Hemd sitzt auf einem Stuhl.")</f>
        <v>Ein Mann im grauen Hemd sitzt auf einem Stuhl.</v>
      </c>
    </row>
    <row r="25940">
      <c r="A25940" s="4" t="s">
        <v>32654</v>
      </c>
      <c r="B25940" s="4" t="s">
        <v>32656</v>
      </c>
      <c r="C25940" s="5" t="str">
        <f>IFERROR(__xludf.DUMMYFUNCTION("GOOGLETRANSLATE(B25940,""en"",""de"")"),"Der Mann zeigt mit seinem Pinsel auf eine leere Leinwand, während er weiter spricht.")</f>
        <v>Der Mann zeigt mit seinem Pinsel auf eine leere Leinwand, während er weiter spricht.</v>
      </c>
    </row>
    <row r="25941">
      <c r="A25941" s="4" t="s">
        <v>32654</v>
      </c>
      <c r="B25941" s="4" t="s">
        <v>32657</v>
      </c>
      <c r="C25941" s="5" t="str">
        <f>IFERROR(__xludf.DUMMYFUNCTION("GOOGLETRANSLATE(B25941,""en"",""de"")"),"Der Mann hält seinen Pinsel aus, taucht den Pinsel in die Farben ein und begann auf der größeren Leinwand zu malen.")</f>
        <v>Der Mann hält seinen Pinsel aus, taucht den Pinsel in die Farben ein und begann auf der größeren Leinwand zu malen.</v>
      </c>
    </row>
    <row r="25942">
      <c r="A25942" s="4" t="s">
        <v>32658</v>
      </c>
      <c r="B25942" s="4" t="s">
        <v>32659</v>
      </c>
      <c r="C25942" s="5" t="str">
        <f>IFERROR(__xludf.DUMMYFUNCTION("GOOGLETRANSLATE(B25942,""en"",""de"")"),"Eine Frau lächelt und spricht mit der Kamera.")</f>
        <v>Eine Frau lächelt und spricht mit der Kamera.</v>
      </c>
    </row>
    <row r="25943">
      <c r="A25943" s="4" t="s">
        <v>32658</v>
      </c>
      <c r="B25943" s="4" t="s">
        <v>32660</v>
      </c>
      <c r="C25943" s="5" t="str">
        <f>IFERROR(__xludf.DUMMYFUNCTION("GOOGLETRANSLATE(B25943,""en"",""de"")"),"Ein anderer Mann sitzt mit einem anderen Mann vor sich hinter ihr.")</f>
        <v>Ein anderer Mann sitzt mit einem anderen Mann vor sich hinter ihr.</v>
      </c>
    </row>
    <row r="25944">
      <c r="A25944" s="4" t="s">
        <v>32658</v>
      </c>
      <c r="B25944" s="4" t="s">
        <v>32661</v>
      </c>
      <c r="C25944" s="5" t="str">
        <f>IFERROR(__xludf.DUMMYFUNCTION("GOOGLETRANSLATE(B25944,""en"",""de"")"),"Die Frau spricht weiter, während der Mann vor den Schuhen des anderen reinigt.")</f>
        <v>Die Frau spricht weiter, während der Mann vor den Schuhen des anderen reinigt.</v>
      </c>
    </row>
    <row r="25945">
      <c r="A25945" s="4" t="s">
        <v>32662</v>
      </c>
      <c r="B25945" s="4" t="s">
        <v>32663</v>
      </c>
      <c r="C25945" s="5" t="str">
        <f>IFERROR(__xludf.DUMMYFUNCTION("GOOGLETRANSLATE(B25945,""en"",""de"")"),"Die Leute spielen Fußball in einer Indoor -Arena.")</f>
        <v>Die Leute spielen Fußball in einer Indoor -Arena.</v>
      </c>
    </row>
    <row r="25946">
      <c r="A25946" s="4" t="s">
        <v>32662</v>
      </c>
      <c r="B25946" s="4" t="s">
        <v>32664</v>
      </c>
      <c r="C25946" s="5" t="str">
        <f>IFERROR(__xludf.DUMMYFUNCTION("GOOGLETRANSLATE(B25946,""en"",""de"")"),"Sie schießen und machen ein Tor ins Netz.")</f>
        <v>Sie schießen und machen ein Tor ins Netz.</v>
      </c>
    </row>
    <row r="25947">
      <c r="A25947" s="4" t="s">
        <v>32662</v>
      </c>
      <c r="B25947" s="4" t="s">
        <v>32665</v>
      </c>
      <c r="C25947" s="5" t="str">
        <f>IFERROR(__xludf.DUMMYFUNCTION("GOOGLETRANSLATE(B25947,""en"",""de"")"),"Die Spieler umarmen sich auf dem Platz.")</f>
        <v>Die Spieler umarmen sich auf dem Platz.</v>
      </c>
    </row>
    <row r="25948">
      <c r="A25948" s="4" t="s">
        <v>32666</v>
      </c>
      <c r="B25948" s="4" t="s">
        <v>32667</v>
      </c>
      <c r="C25948" s="5" t="str">
        <f>IFERROR(__xludf.DUMMYFUNCTION("GOOGLETRANSLATE(B25948,""en"",""de"")"),"Eine Person poliert einen Schuh mit einem verpackten Finger.")</f>
        <v>Eine Person poliert einen Schuh mit einem verpackten Finger.</v>
      </c>
    </row>
    <row r="25949">
      <c r="A25949" s="4" t="s">
        <v>32666</v>
      </c>
      <c r="B25949" s="4" t="s">
        <v>32668</v>
      </c>
      <c r="C25949" s="5" t="str">
        <f>IFERROR(__xludf.DUMMYFUNCTION("GOOGLETRANSLATE(B25949,""en"",""de"")"),"Dann schnappt sich die Person polnische Paste und Wasser, um den Schuh zu polieren.")</f>
        <v>Dann schnappt sich die Person polnische Paste und Wasser, um den Schuh zu polieren.</v>
      </c>
    </row>
    <row r="25950">
      <c r="A25950" s="4" t="s">
        <v>32666</v>
      </c>
      <c r="B25950" s="4" t="s">
        <v>32669</v>
      </c>
      <c r="C25950" s="5" t="str">
        <f>IFERROR(__xludf.DUMMYFUNCTION("GOOGLETRANSLATE(B25950,""en"",""de"")"),"Danach legte die Person einen Tropfen Wasser auf den Schuh und poliert weiter.")</f>
        <v>Danach legte die Person einen Tropfen Wasser auf den Schuh und poliert weiter.</v>
      </c>
    </row>
    <row r="25951">
      <c r="A25951" s="4" t="s">
        <v>32670</v>
      </c>
      <c r="B25951" s="4" t="s">
        <v>32671</v>
      </c>
      <c r="C25951" s="5" t="str">
        <f>IFERROR(__xludf.DUMMYFUNCTION("GOOGLETRANSLATE(B25951,""en"",""de"")"),"Wickelte Geschenke werden gezeigt.")</f>
        <v>Wickelte Geschenke werden gezeigt.</v>
      </c>
    </row>
    <row r="25952">
      <c r="A25952" s="4" t="s">
        <v>32670</v>
      </c>
      <c r="B25952" s="4" t="s">
        <v>32672</v>
      </c>
      <c r="C25952" s="5" t="str">
        <f>IFERROR(__xludf.DUMMYFUNCTION("GOOGLETRANSLATE(B25952,""en"",""de"")"),"Eine Person rollt ein Packpapier aus und benutzt ein Lineal, um es niederzuhalten.")</f>
        <v>Eine Person rollt ein Packpapier aus und benutzt ein Lineal, um es niederzuhalten.</v>
      </c>
    </row>
    <row r="25953">
      <c r="A25953" s="4" t="s">
        <v>32670</v>
      </c>
      <c r="B25953" s="4" t="s">
        <v>32673</v>
      </c>
      <c r="C25953" s="5" t="str">
        <f>IFERROR(__xludf.DUMMYFUNCTION("GOOGLETRANSLATE(B25953,""en"",""de"")"),"Eine Schachtel ist auf das Verpackungspapier eingestellt.")</f>
        <v>Eine Schachtel ist auf das Verpackungspapier eingestellt.</v>
      </c>
    </row>
    <row r="25954">
      <c r="A25954" s="4" t="s">
        <v>32670</v>
      </c>
      <c r="B25954" s="4" t="s">
        <v>32674</v>
      </c>
      <c r="C25954" s="5" t="str">
        <f>IFERROR(__xludf.DUMMYFUNCTION("GOOGLETRANSLATE(B25954,""en"",""de"")"),"Die Person beginnt die Gegenwart.")</f>
        <v>Die Person beginnt die Gegenwart.</v>
      </c>
    </row>
    <row r="25955">
      <c r="A25955" s="4" t="s">
        <v>32670</v>
      </c>
      <c r="B25955" s="4" t="s">
        <v>32675</v>
      </c>
      <c r="C25955" s="5" t="str">
        <f>IFERROR(__xludf.DUMMYFUNCTION("GOOGLETRANSLATE(B25955,""en"",""de"")"),"Sie schneiden das Papier.")</f>
        <v>Sie schneiden das Papier.</v>
      </c>
    </row>
    <row r="25956">
      <c r="A25956" s="4" t="s">
        <v>32670</v>
      </c>
      <c r="B25956" s="4" t="s">
        <v>32676</v>
      </c>
      <c r="C25956" s="5" t="str">
        <f>IFERROR(__xludf.DUMMYFUNCTION("GOOGLETRANSLATE(B25956,""en"",""de"")"),"Sie wickeln weiterhin die Gegenwart.")</f>
        <v>Sie wickeln weiterhin die Gegenwart.</v>
      </c>
    </row>
    <row r="25957">
      <c r="A25957" s="4" t="s">
        <v>32670</v>
      </c>
      <c r="B25957" s="4" t="s">
        <v>32677</v>
      </c>
      <c r="C25957" s="5" t="str">
        <f>IFERROR(__xludf.DUMMYFUNCTION("GOOGLETRANSLATE(B25957,""en"",""de"")"),"Sie verwenden Klebeband, um das Papier einzuhalten.")</f>
        <v>Sie verwenden Klebeband, um das Papier einzuhalten.</v>
      </c>
    </row>
    <row r="25958">
      <c r="A25958" s="4" t="s">
        <v>32670</v>
      </c>
      <c r="B25958" s="4" t="s">
        <v>32678</v>
      </c>
      <c r="C25958" s="5" t="str">
        <f>IFERROR(__xludf.DUMMYFUNCTION("GOOGLETRANSLATE(B25958,""en"",""de"")"),"Sie falten Gewebepapier, um sich um die Mitte der Box zu wickeln.")</f>
        <v>Sie falten Gewebepapier, um sich um die Mitte der Box zu wickeln.</v>
      </c>
    </row>
    <row r="25959">
      <c r="A25959" s="4" t="s">
        <v>32670</v>
      </c>
      <c r="B25959" s="4" t="s">
        <v>32679</v>
      </c>
      <c r="C25959" s="5" t="str">
        <f>IFERROR(__xludf.DUMMYFUNCTION("GOOGLETRANSLATE(B25959,""en"",""de"")"),"Sie wickeln das Lockenband um die Schachtel und binden es in einen Bogen.")</f>
        <v>Sie wickeln das Lockenband um die Schachtel und binden es in einen Bogen.</v>
      </c>
    </row>
    <row r="25960">
      <c r="A25960" s="4" t="s">
        <v>32670</v>
      </c>
      <c r="B25960" s="4" t="s">
        <v>32680</v>
      </c>
      <c r="C25960" s="5" t="str">
        <f>IFERROR(__xludf.DUMMYFUNCTION("GOOGLETRANSLATE(B25960,""en"",""de"")"),"Die Schere verwendet die Enden des Bogens.")</f>
        <v>Die Schere verwendet die Enden des Bogens.</v>
      </c>
    </row>
    <row r="25961">
      <c r="A25961" s="4" t="s">
        <v>32670</v>
      </c>
      <c r="B25961" s="4" t="s">
        <v>32681</v>
      </c>
      <c r="C25961" s="5" t="str">
        <f>IFERROR(__xludf.DUMMYFUNCTION("GOOGLETRANSLATE(B25961,""en"",""de"")"),"Sie stecken eine silberne Blume in die Gegenwart.")</f>
        <v>Sie stecken eine silberne Blume in die Gegenwart.</v>
      </c>
    </row>
    <row r="25962">
      <c r="A25962" s="4" t="s">
        <v>32682</v>
      </c>
      <c r="B25962" s="4" t="s">
        <v>32683</v>
      </c>
      <c r="C25962" s="5" t="str">
        <f>IFERROR(__xludf.DUMMYFUNCTION("GOOGLETRANSLATE(B25962,""en"",""de"")"),"Dies ist ein Video für Arm Wrestling -Tipps.")</f>
        <v>Dies ist ein Video für Arm Wrestling -Tipps.</v>
      </c>
    </row>
    <row r="25963">
      <c r="A25963" s="4" t="s">
        <v>32682</v>
      </c>
      <c r="B25963" s="4" t="s">
        <v>32684</v>
      </c>
      <c r="C25963" s="5" t="str">
        <f>IFERROR(__xludf.DUMMYFUNCTION("GOOGLETRANSLATE(B25963,""en"",""de"")"),"Ein Bildschirm mit Bildunterschrift wird angezeigt, in dem das Video beschrieben wird.")</f>
        <v>Ein Bildschirm mit Bildunterschrift wird angezeigt, in dem das Video beschrieben wird.</v>
      </c>
    </row>
    <row r="25964">
      <c r="A25964" s="4" t="s">
        <v>32682</v>
      </c>
      <c r="B25964" s="4" t="s">
        <v>32685</v>
      </c>
      <c r="C25964" s="5" t="str">
        <f>IFERROR(__xludf.DUMMYFUNCTION("GOOGLETRANSLATE(B25964,""en"",""de"")"),"Es gibt zwei Männer an einem Arm, einen Mann in einem weißen T-Shirt, und eine Brille informiert darüber, wie man sich richtig auf ein Arm-Wrestling-Match mit Haltung, Armposition, Fingerposition, Handgelenkplatz, Körperposition, Körper und Armbewegung vo"&amp;"rbereitet .")</f>
        <v>Es gibt zwei Männer an einem Arm, einen Mann in einem weißen T-Shirt, und eine Brille informiert darüber, wie man sich richtig auf ein Arm-Wrestling-Match mit Haltung, Armposition, Fingerposition, Handgelenkplatz, Körperposition, Körper und Armbewegung vorbereitet .</v>
      </c>
    </row>
    <row r="25965">
      <c r="A25965" s="4" t="s">
        <v>32682</v>
      </c>
      <c r="B25965" s="4" t="s">
        <v>32686</v>
      </c>
      <c r="C25965" s="5" t="str">
        <f>IFERROR(__xludf.DUMMYFUNCTION("GOOGLETRANSLATE(B25965,""en"",""de"")"),"Ein weiterer schwarzer Bildschirm erscheint mit Bildunterschriften.")</f>
        <v>Ein weiterer schwarzer Bildschirm erscheint mit Bildunterschriften.</v>
      </c>
    </row>
    <row r="25966">
      <c r="A25966" s="4" t="s">
        <v>32682</v>
      </c>
      <c r="B25966" s="4" t="s">
        <v>32687</v>
      </c>
      <c r="C25966" s="5" t="str">
        <f>IFERROR(__xludf.DUMMYFUNCTION("GOOGLETRANSLATE(B25966,""en"",""de"")"),"Der Mann im weißen T-Shirt zeigt verschiedene Möglichkeiten, während eines Arms-Wrestling-Matchs mit beiden Füßen auf dem Boden zu stehen und ein Bein um den Arm-Wrestling-Tisch zu wickeln.")</f>
        <v>Der Mann im weißen T-Shirt zeigt verschiedene Möglichkeiten, während eines Arms-Wrestling-Matchs mit beiden Füßen auf dem Boden zu stehen und ein Bein um den Arm-Wrestling-Tisch zu wickeln.</v>
      </c>
    </row>
    <row r="25967">
      <c r="A25967" s="4" t="s">
        <v>32682</v>
      </c>
      <c r="B25967" s="4" t="s">
        <v>32688</v>
      </c>
      <c r="C25967" s="5" t="str">
        <f>IFERROR(__xludf.DUMMYFUNCTION("GOOGLETRANSLATE(B25967,""en"",""de"")"),"Ein weiterer schwarzer Bildschirm erscheint mit Bildunterschrift über die Suche nach Arm Wrestling Clubs.")</f>
        <v>Ein weiterer schwarzer Bildschirm erscheint mit Bildunterschrift über die Suche nach Arm Wrestling Clubs.</v>
      </c>
    </row>
    <row r="25968">
      <c r="A25968" s="4" t="s">
        <v>32682</v>
      </c>
      <c r="B25968" s="4" t="s">
        <v>32689</v>
      </c>
      <c r="C25968" s="5" t="str">
        <f>IFERROR(__xludf.DUMMYFUNCTION("GOOGLETRANSLATE(B25968,""en"",""de"")"),"Der Mann in der Brille, während er noch am Arm Wrestling Tisch mit dem anderen Mann gibt, gibt eine Website -Adresse und Social -Media -Websites.")</f>
        <v>Der Mann in der Brille, während er noch am Arm Wrestling Tisch mit dem anderen Mann gibt, gibt eine Website -Adresse und Social -Media -Websites.</v>
      </c>
    </row>
    <row r="25969">
      <c r="A25969" s="4" t="s">
        <v>32682</v>
      </c>
      <c r="B25969" s="4" t="s">
        <v>32690</v>
      </c>
      <c r="C25969" s="5" t="str">
        <f>IFERROR(__xludf.DUMMYFUNCTION("GOOGLETRANSLATE(B25969,""en"",""de"")"),"Der Bildschirm wird schwarz und es gibt Credits, gefolgt von einem Firmennamen.")</f>
        <v>Der Bildschirm wird schwarz und es gibt Credits, gefolgt von einem Firmennamen.</v>
      </c>
    </row>
    <row r="25970">
      <c r="A25970" s="4" t="s">
        <v>32691</v>
      </c>
      <c r="B25970" s="4" t="s">
        <v>32692</v>
      </c>
      <c r="C25970" s="5" t="str">
        <f>IFERROR(__xludf.DUMMYFUNCTION("GOOGLETRANSLATE(B25970,""en"",""de"")"),"Ein kahles Mann spricht und zwei Bilder eines jungen Mannes mit schönen Haarblitzen auf dem Bildschirm.")</f>
        <v>Ein kahles Mann spricht und zwei Bilder eines jungen Mannes mit schönen Haarblitzen auf dem Bildschirm.</v>
      </c>
    </row>
    <row r="25971">
      <c r="A25971" s="4" t="s">
        <v>32691</v>
      </c>
      <c r="B25971" s="4" t="s">
        <v>32693</v>
      </c>
      <c r="C25971" s="5" t="str">
        <f>IFERROR(__xludf.DUMMYFUNCTION("GOOGLETRANSLATE(B25971,""en"",""de"")"),"Der Mann beginnt dann mit einem Schaufensterpuppenkopf zu arbeiten, der eine ähnliche Frisur wie der Junge auf den Bildern hat, und er zeigt, wie der Haarschnitt beim Summen, Schneiden, Kämmen und Finger die Haare kämmt.")</f>
        <v>Der Mann beginnt dann mit einem Schaufensterpuppenkopf zu arbeiten, der eine ähnliche Frisur wie der Junge auf den Bildern hat, und er zeigt, wie der Haarschnitt beim Summen, Schneiden, Kämmen und Finger die Haare kämmt.</v>
      </c>
    </row>
    <row r="25972">
      <c r="A25972" s="4" t="s">
        <v>32691</v>
      </c>
      <c r="B25972" s="4" t="s">
        <v>32694</v>
      </c>
      <c r="C25972" s="5" t="str">
        <f>IFERROR(__xludf.DUMMYFUNCTION("GOOGLETRANSLATE(B25972,""en"",""de"")"),"Ein schwarzer Bildschirm mit weißen Buchstaben erscheinen und sie lesen ""Danke für Wathing! Bitte abonnieren !!"".")</f>
        <v>Ein schwarzer Bildschirm mit weißen Buchstaben erscheinen und sie lesen "Danke für Wathing! Bitte abonnieren !!".</v>
      </c>
    </row>
    <row r="25973">
      <c r="A25973" s="4" t="s">
        <v>32695</v>
      </c>
      <c r="B25973" s="4" t="s">
        <v>32696</v>
      </c>
      <c r="C25973" s="5" t="str">
        <f>IFERROR(__xludf.DUMMYFUNCTION("GOOGLETRANSLATE(B25973,""en"",""de"")"),"Ein älterer Mann gibt einen Ball an eine Gruppe kleiner Kinder und tritt schließlich den Ball.")</f>
        <v>Ein älterer Mann gibt einen Ball an eine Gruppe kleiner Kinder und tritt schließlich den Ball.</v>
      </c>
    </row>
    <row r="25974">
      <c r="A25974" s="4" t="s">
        <v>32695</v>
      </c>
      <c r="B25974" s="4" t="s">
        <v>32697</v>
      </c>
      <c r="C25974" s="5" t="str">
        <f>IFERROR(__xludf.DUMMYFUNCTION("GOOGLETRANSLATE(B25974,""en"",""de"")"),"Der Mann rennt, als andere Kinder rennen und bis zum Heimteller rennen.")</f>
        <v>Der Mann rennt, als andere Kinder rennen und bis zum Heimteller rennen.</v>
      </c>
    </row>
    <row r="25975">
      <c r="A25975" s="4" t="s">
        <v>32695</v>
      </c>
      <c r="B25975" s="4" t="s">
        <v>32698</v>
      </c>
      <c r="C25975" s="5" t="str">
        <f>IFERROR(__xludf.DUMMYFUNCTION("GOOGLETRANSLATE(B25975,""en"",""de"")"),"Eine Frau rennt mit dem Ball vor der Basis und der Mann stolpert über sie.")</f>
        <v>Eine Frau rennt mit dem Ball vor der Basis und der Mann stolpert über sie.</v>
      </c>
    </row>
    <row r="25976">
      <c r="A25976" s="4" t="s">
        <v>32695</v>
      </c>
      <c r="B25976" s="4" t="s">
        <v>32699</v>
      </c>
      <c r="C25976" s="5" t="str">
        <f>IFERROR(__xludf.DUMMYFUNCTION("GOOGLETRANSLATE(B25976,""en"",""de"")"),"Er hilft ihr wie sie beide.")</f>
        <v>Er hilft ihr wie sie beide.</v>
      </c>
    </row>
    <row r="25977">
      <c r="A25977" s="4" t="s">
        <v>32700</v>
      </c>
      <c r="B25977" s="4" t="s">
        <v>32701</v>
      </c>
      <c r="C25977" s="5" t="str">
        <f>IFERROR(__xludf.DUMMYFUNCTION("GOOGLETRANSLATE(B25977,""en"",""de"")"),"Cowboys treten an einem Rodeo -Wettbewerb an.")</f>
        <v>Cowboys treten an einem Rodeo -Wettbewerb an.</v>
      </c>
    </row>
    <row r="25978">
      <c r="A25978" s="4" t="s">
        <v>32700</v>
      </c>
      <c r="B25978" s="4" t="s">
        <v>32702</v>
      </c>
      <c r="C25978" s="5" t="str">
        <f>IFERROR(__xludf.DUMMYFUNCTION("GOOGLETRANSLATE(B25978,""en"",""de"")"),"Männer reiten Pferde aus Toren und Seile einen Stier, bevor sie seine Beine abbauen und binden.")</f>
        <v>Männer reiten Pferde aus Toren und Seile einen Stier, bevor sie seine Beine abbauen und binden.</v>
      </c>
    </row>
    <row r="25979">
      <c r="A25979" s="4" t="s">
        <v>32700</v>
      </c>
      <c r="B25979" s="4" t="s">
        <v>32703</v>
      </c>
      <c r="C25979" s="5" t="str">
        <f>IFERROR(__xludf.DUMMYFUNCTION("GOOGLETRANSLATE(B25979,""en"",""de"")"),"Der Gewinner winkt seinen Hut und wird von den anderen Fahrern beglückwünscht.")</f>
        <v>Der Gewinner winkt seinen Hut und wird von den anderen Fahrern beglückwünscht.</v>
      </c>
    </row>
    <row r="25980">
      <c r="A25980" s="4" t="s">
        <v>32704</v>
      </c>
      <c r="B25980" s="4" t="s">
        <v>32705</v>
      </c>
      <c r="C25980" s="5" t="str">
        <f>IFERROR(__xludf.DUMMYFUNCTION("GOOGLETRANSLATE(B25980,""en"",""de"")"),"Ein Mann spricht mit der Kamera, während er an einem Drum -Set sitzt, während ein anderer Mann Schlagzeug im Hintergrund spielt.")</f>
        <v>Ein Mann spricht mit der Kamera, während er an einem Drum -Set sitzt, während ein anderer Mann Schlagzeug im Hintergrund spielt.</v>
      </c>
    </row>
    <row r="25981">
      <c r="A25981" s="4" t="s">
        <v>32704</v>
      </c>
      <c r="B25981" s="4" t="s">
        <v>32706</v>
      </c>
      <c r="C25981" s="5" t="str">
        <f>IFERROR(__xludf.DUMMYFUNCTION("GOOGLETRANSLATE(B25981,""en"",""de"")"),"Der erste Mann spielt Schlagzeug.")</f>
        <v>Der erste Mann spielt Schlagzeug.</v>
      </c>
    </row>
    <row r="25982">
      <c r="A25982" s="4" t="s">
        <v>32704</v>
      </c>
      <c r="B25982" s="4" t="s">
        <v>32707</v>
      </c>
      <c r="C25982" s="5" t="str">
        <f>IFERROR(__xludf.DUMMYFUNCTION("GOOGLETRANSLATE(B25982,""en"",""de"")"),"Der erste Mann hört auf zu spielen und dreht sich in die Kamera um.")</f>
        <v>Der erste Mann hört auf zu spielen und dreht sich in die Kamera um.</v>
      </c>
    </row>
    <row r="25983">
      <c r="A25983" s="4" t="s">
        <v>32708</v>
      </c>
      <c r="B25983" s="4" t="s">
        <v>32709</v>
      </c>
      <c r="C25983" s="5" t="str">
        <f>IFERROR(__xludf.DUMMYFUNCTION("GOOGLETRANSLATE(B25983,""en"",""de"")"),"Wir sehen den weißen Öffnungsbildschirm.")</f>
        <v>Wir sehen den weißen Öffnungsbildschirm.</v>
      </c>
    </row>
    <row r="25984">
      <c r="A25984" s="4" t="s">
        <v>32708</v>
      </c>
      <c r="B25984" s="4" t="s">
        <v>32710</v>
      </c>
      <c r="C25984" s="5" t="str">
        <f>IFERROR(__xludf.DUMMYFUNCTION("GOOGLETRANSLATE(B25984,""en"",""de"")"),"Ein Mann im Sprungstelzen wirft eine Tasche über die Schulter und hinterlässt eine Ufer.")</f>
        <v>Ein Mann im Sprungstelzen wirft eine Tasche über die Schulter und hinterlässt eine Ufer.</v>
      </c>
    </row>
    <row r="25985">
      <c r="A25985" s="4" t="s">
        <v>32708</v>
      </c>
      <c r="B25985" s="4" t="s">
        <v>32711</v>
      </c>
      <c r="C25985" s="5" t="str">
        <f>IFERROR(__xludf.DUMMYFUNCTION("GOOGLETRANSLATE(B25985,""en"",""de"")"),"Der Mann im Sprungstelzen läuft von den Bullen in einer Stadtstraße.")</f>
        <v>Der Mann im Sprungstelzen läuft von den Bullen in einer Stadtstraße.</v>
      </c>
    </row>
    <row r="25986">
      <c r="A25986" s="4" t="s">
        <v>32708</v>
      </c>
      <c r="B25986" s="4" t="s">
        <v>32712</v>
      </c>
      <c r="C25986" s="5" t="str">
        <f>IFERROR(__xludf.DUMMYFUNCTION("GOOGLETRANSLATE(B25986,""en"",""de"")"),"Der Mann drückt einen Markt durch.")</f>
        <v>Der Mann drückt einen Markt durch.</v>
      </c>
    </row>
    <row r="25987">
      <c r="A25987" s="4" t="s">
        <v>32708</v>
      </c>
      <c r="B25987" s="4" t="s">
        <v>32713</v>
      </c>
      <c r="C25987" s="5" t="str">
        <f>IFERROR(__xludf.DUMMYFUNCTION("GOOGLETRANSLATE(B25987,""en"",""de"")"),"Der Mann springt über einen Kinderwagen, der von einer Dame geschoben wird.")</f>
        <v>Der Mann springt über einen Kinderwagen, der von einer Dame geschoben wird.</v>
      </c>
    </row>
    <row r="25988">
      <c r="A25988" s="4" t="s">
        <v>32708</v>
      </c>
      <c r="B25988" s="4" t="s">
        <v>32714</v>
      </c>
      <c r="C25988" s="5" t="str">
        <f>IFERROR(__xludf.DUMMYFUNCTION("GOOGLETRANSLATE(B25988,""en"",""de"")"),"Der Mann springt über einen LKW und über einen Zaun, der die Polizisten verliert.")</f>
        <v>Der Mann springt über einen LKW und über einen Zaun, der die Polizisten verliert.</v>
      </c>
    </row>
    <row r="25989">
      <c r="A25989" s="4" t="s">
        <v>32708</v>
      </c>
      <c r="B25989" s="4" t="s">
        <v>32715</v>
      </c>
      <c r="C25989" s="5" t="str">
        <f>IFERROR(__xludf.DUMMYFUNCTION("GOOGLETRANSLATE(B25989,""en"",""de"")"),"Der Mann rennt durch einen Skatepark eine Stadtstraße und die Treppe hinauf.")</f>
        <v>Der Mann rennt durch einen Skatepark eine Stadtstraße und die Treppe hinauf.</v>
      </c>
    </row>
    <row r="25990">
      <c r="A25990" s="4" t="s">
        <v>32708</v>
      </c>
      <c r="B25990" s="4" t="s">
        <v>32716</v>
      </c>
      <c r="C25990" s="5" t="str">
        <f>IFERROR(__xludf.DUMMYFUNCTION("GOOGLETRANSLATE(B25990,""en"",""de"")"),"Der Mann öffnet die Tasche und zählt sein Geld.")</f>
        <v>Der Mann öffnet die Tasche und zählt sein Geld.</v>
      </c>
    </row>
    <row r="25991">
      <c r="A25991" s="4" t="s">
        <v>32708</v>
      </c>
      <c r="B25991" s="4" t="s">
        <v>27504</v>
      </c>
      <c r="C25991" s="5" t="str">
        <f>IFERROR(__xludf.DUMMYFUNCTION("GOOGLETRANSLATE(B25991,""en"",""de"")"),"Wir sehen einen schließenden Titelbildschirm.")</f>
        <v>Wir sehen einen schließenden Titelbildschirm.</v>
      </c>
    </row>
    <row r="25992">
      <c r="A25992" s="4" t="s">
        <v>32717</v>
      </c>
      <c r="B25992" s="4" t="s">
        <v>32718</v>
      </c>
      <c r="C25992" s="5" t="str">
        <f>IFERROR(__xludf.DUMMYFUNCTION("GOOGLETRANSLATE(B25992,""en"",""de"")"),"Eine große Gruppe von Menschen wird alle in Stoßstangenwagen herumfahren und um eine Strecke herumfahren und ineinander stößt.")</f>
        <v>Eine große Gruppe von Menschen wird alle in Stoßstangenwagen herumfahren und um eine Strecke herumfahren und ineinander stößt.</v>
      </c>
    </row>
    <row r="25993">
      <c r="A25993" s="4" t="s">
        <v>32717</v>
      </c>
      <c r="B25993" s="4" t="s">
        <v>32719</v>
      </c>
      <c r="C25993" s="5" t="str">
        <f>IFERROR(__xludf.DUMMYFUNCTION("GOOGLETRANSLATE(B25993,""en"",""de"")"),"Die Menschen reiten weiter herum und endet mit einem Mann und zwei Kindern, die rausgehen.")</f>
        <v>Die Menschen reiten weiter herum und endet mit einem Mann und zwei Kindern, die rausgehen.</v>
      </c>
    </row>
    <row r="25994">
      <c r="A25994" s="4" t="s">
        <v>32720</v>
      </c>
      <c r="B25994" s="4" t="s">
        <v>32721</v>
      </c>
      <c r="C25994" s="5" t="str">
        <f>IFERROR(__xludf.DUMMYFUNCTION("GOOGLETRANSLATE(B25994,""en"",""de"")"),"Ein Intro zeigt auf dem Bildschirm ein Winterwurfvideo.")</f>
        <v>Ein Intro zeigt auf dem Bildschirm ein Winterwurfvideo.</v>
      </c>
    </row>
    <row r="25995">
      <c r="A25995" s="4" t="s">
        <v>32720</v>
      </c>
      <c r="B25995" s="4" t="s">
        <v>32722</v>
      </c>
      <c r="C25995" s="5" t="str">
        <f>IFERROR(__xludf.DUMMYFUNCTION("GOOGLETRANSLATE(B25995,""en"",""de"")"),"Ein Mann dreht sich im Kreis herum und vervollständigt den Wurf, der seine Entfernung feiert.")</f>
        <v>Ein Mann dreht sich im Kreis herum und vervollständigt den Wurf, der seine Entfernung feiert.</v>
      </c>
    </row>
    <row r="25996">
      <c r="A25996" s="4" t="s">
        <v>32720</v>
      </c>
      <c r="B25996" s="4" t="s">
        <v>32723</v>
      </c>
      <c r="C25996" s="5" t="str">
        <f>IFERROR(__xludf.DUMMYFUNCTION("GOOGLETRANSLATE(B25996,""en"",""de"")"),"Er bereitet sich auf einen weiteren Wurf vor, indem er sich in Position bringt.")</f>
        <v>Er bereitet sich auf einen weiteren Wurf vor, indem er sich in Position bringt.</v>
      </c>
    </row>
    <row r="25997">
      <c r="A25997" s="4" t="s">
        <v>32720</v>
      </c>
      <c r="B25997" s="4" t="s">
        <v>32724</v>
      </c>
      <c r="C25997" s="5" t="str">
        <f>IFERROR(__xludf.DUMMYFUNCTION("GOOGLETRANSLATE(B25997,""en"",""de"")"),"Er vervollständigt den Wurf und bereitet sich auf einen anderen vor.")</f>
        <v>Er vervollständigt den Wurf und bereitet sich auf einen anderen vor.</v>
      </c>
    </row>
    <row r="25998">
      <c r="A25998" s="4" t="s">
        <v>32720</v>
      </c>
      <c r="B25998" s="4" t="s">
        <v>32725</v>
      </c>
      <c r="C25998" s="5" t="str">
        <f>IFERROR(__xludf.DUMMYFUNCTION("GOOGLETRANSLATE(B25998,""en"",""de"")"),"Er vervollständigt den nächsten Wurf und bereitet sich auf den nächsten vor.")</f>
        <v>Er vervollständigt den nächsten Wurf und bereitet sich auf den nächsten vor.</v>
      </c>
    </row>
    <row r="25999">
      <c r="A25999" s="4" t="s">
        <v>32720</v>
      </c>
      <c r="B25999" s="4" t="s">
        <v>32726</v>
      </c>
      <c r="C25999" s="5" t="str">
        <f>IFERROR(__xludf.DUMMYFUNCTION("GOOGLETRANSLATE(B25999,""en"",""de"")"),"Er schließt den letzten Wurf ab und feiert wieder eine gute Entfernung.")</f>
        <v>Er schließt den letzten Wurf ab und feiert wieder eine gute Entfernung.</v>
      </c>
    </row>
    <row r="26000">
      <c r="A26000" s="4" t="s">
        <v>32720</v>
      </c>
      <c r="B26000" s="4" t="s">
        <v>32727</v>
      </c>
      <c r="C26000" s="5" t="str">
        <f>IFERROR(__xludf.DUMMYFUNCTION("GOOGLETRANSLATE(B26000,""en"",""de"")"),"Das Video endet mit dem auf dem Bildschirm angezeigten Text.")</f>
        <v>Das Video endet mit dem auf dem Bildschirm angezeigten Text.</v>
      </c>
    </row>
    <row r="26001">
      <c r="A26001" s="4" t="s">
        <v>32728</v>
      </c>
      <c r="B26001" s="4" t="s">
        <v>32729</v>
      </c>
      <c r="C26001" s="5" t="str">
        <f>IFERROR(__xludf.DUMMYFUNCTION("GOOGLETRANSLATE(B26001,""en"",""de"")"),"Zwei Mädchen üben Tanzbewegungen vor ihrem Fernseher in ihrem Wohnzimmer.")</f>
        <v>Zwei Mädchen üben Tanzbewegungen vor ihrem Fernseher in ihrem Wohnzimmer.</v>
      </c>
    </row>
    <row r="26002">
      <c r="A26002" s="4" t="s">
        <v>32728</v>
      </c>
      <c r="B26002" s="4" t="s">
        <v>32730</v>
      </c>
      <c r="C26002" s="5" t="str">
        <f>IFERROR(__xludf.DUMMYFUNCTION("GOOGLETRANSLATE(B26002,""en"",""de"")"),"Eines der Mädchen trägt ein rotes Hemd und das andere trägt ein dunkelblaues Hemd.")</f>
        <v>Eines der Mädchen trägt ein rotes Hemd und das andere trägt ein dunkelblaues Hemd.</v>
      </c>
    </row>
    <row r="26003">
      <c r="A26003" s="4" t="s">
        <v>32728</v>
      </c>
      <c r="B26003" s="4" t="s">
        <v>32731</v>
      </c>
      <c r="C26003" s="5" t="str">
        <f>IFERROR(__xludf.DUMMYFUNCTION("GOOGLETRANSLATE(B26003,""en"",""de"")"),"Sie üben Ballzimmertanzen.")</f>
        <v>Sie üben Ballzimmertanzen.</v>
      </c>
    </row>
    <row r="26004">
      <c r="A26004" s="4" t="s">
        <v>32728</v>
      </c>
      <c r="B26004" s="4" t="s">
        <v>32732</v>
      </c>
      <c r="C26004" s="5" t="str">
        <f>IFERROR(__xludf.DUMMYFUNCTION("GOOGLETRANSLATE(B26004,""en"",""de"")"),"Sie wechseln sich ab, um zu schwingen und zu drehen, während sie im Kreis herumgehen.")</f>
        <v>Sie wechseln sich ab, um zu schwingen und zu drehen, während sie im Kreis herumgehen.</v>
      </c>
    </row>
    <row r="26005">
      <c r="A26005" s="4" t="s">
        <v>32728</v>
      </c>
      <c r="B26005" s="4" t="s">
        <v>32733</v>
      </c>
      <c r="C26005" s="5" t="str">
        <f>IFERROR(__xludf.DUMMYFUNCTION("GOOGLETRANSLATE(B26005,""en"",""de"")"),"Sie folgen auch einem Muster ihrer Beinbewegungen, während sie rhythmisch den Schritten ausführen.")</f>
        <v>Sie folgen auch einem Muster ihrer Beinbewegungen, während sie rhythmisch den Schritten ausführen.</v>
      </c>
    </row>
    <row r="26006">
      <c r="A26006" s="4" t="s">
        <v>32728</v>
      </c>
      <c r="B26006" s="4" t="s">
        <v>32734</v>
      </c>
      <c r="C26006" s="5" t="str">
        <f>IFERROR(__xludf.DUMMYFUNCTION("GOOGLETRANSLATE(B26006,""en"",""de"")"),"Nachdem sie fertig sind, kichern sie und gehen weg.")</f>
        <v>Nachdem sie fertig sind, kichern sie und gehen weg.</v>
      </c>
    </row>
    <row r="26007">
      <c r="A26007" s="4" t="s">
        <v>32735</v>
      </c>
      <c r="B26007" s="4" t="s">
        <v>32736</v>
      </c>
      <c r="C26007" s="5" t="str">
        <f>IFERROR(__xludf.DUMMYFUNCTION("GOOGLETRANSLATE(B26007,""en"",""de"")"),"Ein Standbild ist mit den Wörtern abgebildet, die der Hund über Amerika wandelt.")</f>
        <v>Ein Standbild ist mit den Wörtern abgebildet, die der Hund über Amerika wandelt.</v>
      </c>
    </row>
    <row r="26008">
      <c r="A26008" s="4" t="s">
        <v>32735</v>
      </c>
      <c r="B26008" s="4" t="s">
        <v>32737</v>
      </c>
      <c r="C26008" s="5" t="str">
        <f>IFERROR(__xludf.DUMMYFUNCTION("GOOGLETRANSLATE(B26008,""en"",""de"")"),"Ein Paar mittleren Alters wird dann gezeigt, wie sie mit ihren Hunden, die hinter ihnen streifen, und einem anderen Mann, der auf einem großen Felsbock sitzt, auf Holzstämmen sitzt.")</f>
        <v>Ein Paar mittleren Alters wird dann gezeigt, wie sie mit ihren Hunden, die hinter ihnen streifen, und einem anderen Mann, der auf einem großen Felsbock sitzt, auf Holzstämmen sitzt.</v>
      </c>
    </row>
    <row r="26009">
      <c r="A26009" s="4" t="s">
        <v>32735</v>
      </c>
      <c r="B26009" s="4" t="s">
        <v>32738</v>
      </c>
      <c r="C26009" s="5" t="str">
        <f>IFERROR(__xludf.DUMMYFUNCTION("GOOGLETRANSLATE(B26009,""en"",""de"")"),"Dann werden mehrere Bilder von Hunden gezeigt und dann taucht die Frau allein wieder auf.")</f>
        <v>Dann werden mehrere Bilder von Hunden gezeigt und dann taucht die Frau allein wieder auf.</v>
      </c>
    </row>
    <row r="26010">
      <c r="A26010" s="4" t="s">
        <v>32735</v>
      </c>
      <c r="B26010" s="4" t="s">
        <v>32739</v>
      </c>
      <c r="C26010" s="5" t="str">
        <f>IFERROR(__xludf.DUMMYFUNCTION("GOOGLETRANSLATE(B26010,""en"",""de"")"),"Dann wird ein weiterer Satz von Bildern gezeigt, wo die Hunde von Tierärzten geholfen werden.")</f>
        <v>Dann wird ein weiterer Satz von Bildern gezeigt, wo die Hunde von Tierärzten geholfen werden.</v>
      </c>
    </row>
    <row r="26011">
      <c r="A26011" s="4" t="s">
        <v>32735</v>
      </c>
      <c r="B26011" s="4" t="s">
        <v>32740</v>
      </c>
      <c r="C26011" s="5" t="str">
        <f>IFERROR(__xludf.DUMMYFUNCTION("GOOGLETRANSLATE(B26011,""en"",""de"")"),"Der Mann taucht dann mit der Dame wieder auf und sie beginnen wieder zu reden.")</f>
        <v>Der Mann taucht dann mit der Dame wieder auf und sie beginnen wieder zu reden.</v>
      </c>
    </row>
    <row r="26012">
      <c r="A26012" s="4" t="s">
        <v>32735</v>
      </c>
      <c r="B26012" s="4" t="s">
        <v>32741</v>
      </c>
      <c r="C26012" s="5" t="str">
        <f>IFERROR(__xludf.DUMMYFUNCTION("GOOGLETRANSLATE(B26012,""en"",""de"")"),"Zuletzt geht der Mann weg und es wird ein schwarzer Bildschirm angezeigt, das mehrere Websites zeigt.")</f>
        <v>Zuletzt geht der Mann weg und es wird ein schwarzer Bildschirm angezeigt, das mehrere Websites zeigt.</v>
      </c>
    </row>
    <row r="26013">
      <c r="A26013" s="4" t="s">
        <v>32742</v>
      </c>
      <c r="B26013" s="4" t="s">
        <v>32743</v>
      </c>
      <c r="C26013" s="5" t="str">
        <f>IFERROR(__xludf.DUMMYFUNCTION("GOOGLETRANSLATE(B26013,""en"",""de"")"),"Einige Jungen sind in einem Fitnessstudio.")</f>
        <v>Einige Jungen sind in einem Fitnessstudio.</v>
      </c>
    </row>
    <row r="26014">
      <c r="A26014" s="4" t="s">
        <v>32742</v>
      </c>
      <c r="B26014" s="4" t="s">
        <v>32744</v>
      </c>
      <c r="C26014" s="5" t="str">
        <f>IFERROR(__xludf.DUMMYFUNCTION("GOOGLETRANSLATE(B26014,""en"",""de"")"),"Sie wechseln abwechselnd einen Stapel Reifen aus.")</f>
        <v>Sie wechseln abwechselnd einen Stapel Reifen aus.</v>
      </c>
    </row>
    <row r="26015">
      <c r="A26015" s="4" t="s">
        <v>32742</v>
      </c>
      <c r="B26015" s="4" t="s">
        <v>32745</v>
      </c>
      <c r="C26015" s="5" t="str">
        <f>IFERROR(__xludf.DUMMYFUNCTION("GOOGLETRANSLATE(B26015,""en"",""de"")"),"Nach jeder Addition springt einer von ihnen und steht oben.")</f>
        <v>Nach jeder Addition springt einer von ihnen und steht oben.</v>
      </c>
    </row>
    <row r="26016">
      <c r="A26016" s="4" t="s">
        <v>32746</v>
      </c>
      <c r="B26016" s="4" t="s">
        <v>32747</v>
      </c>
      <c r="C26016" s="5" t="str">
        <f>IFERROR(__xludf.DUMMYFUNCTION("GOOGLETRANSLATE(B26016,""en"",""de"")"),"Der Mensch befindet sich in einem orientierten Fitnessstudio, das sein Bein streckt und Sport vor einem Stuhl macht.")</f>
        <v>Der Mensch befindet sich in einem orientierten Fitnessstudio, das sein Bein streckt und Sport vor einem Stuhl macht.</v>
      </c>
    </row>
    <row r="26017">
      <c r="A26017" s="4" t="s">
        <v>32746</v>
      </c>
      <c r="B26017" s="4" t="s">
        <v>32748</v>
      </c>
      <c r="C26017" s="5" t="str">
        <f>IFERROR(__xludf.DUMMYFUNCTION("GOOGLETRANSLATE(B26017,""en"",""de"")"),"Der Mann biegt das andere Bein und streckt es.")</f>
        <v>Der Mann biegt das andere Bein und streckt es.</v>
      </c>
    </row>
    <row r="26018">
      <c r="A26018" s="4" t="s">
        <v>32749</v>
      </c>
      <c r="B26018" s="4" t="s">
        <v>32750</v>
      </c>
      <c r="C26018" s="5" t="str">
        <f>IFERROR(__xludf.DUMMYFUNCTION("GOOGLETRANSLATE(B26018,""en"",""de"")"),"Ein Mann kniet kniet, um ein Gewicht zu holen, während ein Mann ihn beobachtet.")</f>
        <v>Ein Mann kniet kniet, um ein Gewicht zu holen, während ein Mann ihn beobachtet.</v>
      </c>
    </row>
    <row r="26019">
      <c r="A26019" s="4" t="s">
        <v>32749</v>
      </c>
      <c r="B26019" s="4" t="s">
        <v>32751</v>
      </c>
      <c r="C26019" s="5" t="str">
        <f>IFERROR(__xludf.DUMMYFUNCTION("GOOGLETRANSLATE(B26019,""en"",""de"")"),"Ein topless dicker Mann übt Gewicht hinter dem Mann.")</f>
        <v>Ein topless dicker Mann übt Gewicht hinter dem Mann.</v>
      </c>
    </row>
    <row r="26020">
      <c r="A26020" s="4" t="s">
        <v>32749</v>
      </c>
      <c r="B26020" s="4" t="s">
        <v>32752</v>
      </c>
      <c r="C26020" s="5" t="str">
        <f>IFERROR(__xludf.DUMMYFUNCTION("GOOGLETRANSLATE(B26020,""en"",""de"")"),"Eine Person hebt ein Gewicht auf dem Rücken.")</f>
        <v>Eine Person hebt ein Gewicht auf dem Rücken.</v>
      </c>
    </row>
    <row r="26021">
      <c r="A26021" s="4" t="s">
        <v>32749</v>
      </c>
      <c r="B26021" s="4" t="s">
        <v>32753</v>
      </c>
      <c r="C26021" s="5" t="str">
        <f>IFERROR(__xludf.DUMMYFUNCTION("GOOGLETRANSLATE(B26021,""en"",""de"")"),"Dann hebt der Mann das Gewicht, nachdem er das Gewicht auf den Boden fallen lässt.")</f>
        <v>Dann hebt der Mann das Gewicht, nachdem er das Gewicht auf den Boden fallen lässt.</v>
      </c>
    </row>
    <row r="26022">
      <c r="A26022" s="4" t="s">
        <v>32749</v>
      </c>
      <c r="B26022" s="4" t="s">
        <v>32754</v>
      </c>
      <c r="C26022" s="5" t="str">
        <f>IFERROR(__xludf.DUMMYFUNCTION("GOOGLETRANSLATE(B26022,""en"",""de"")"),"Wieder kniet der Mann wieder und hebt das Gewicht über seinen Kopf und lässt es dann fallen.")</f>
        <v>Wieder kniet der Mann wieder und hebt das Gewicht über seinen Kopf und lässt es dann fallen.</v>
      </c>
    </row>
    <row r="26023">
      <c r="A26023" s="4" t="s">
        <v>32755</v>
      </c>
      <c r="B26023" s="4" t="s">
        <v>32756</v>
      </c>
      <c r="C26023" s="5" t="str">
        <f>IFERROR(__xludf.DUMMYFUNCTION("GOOGLETRANSLATE(B26023,""en"",""de"")"),"Zwei Mann sitzen an einem Tisch.")</f>
        <v>Zwei Mann sitzen an einem Tisch.</v>
      </c>
    </row>
    <row r="26024">
      <c r="A26024" s="4" t="s">
        <v>32755</v>
      </c>
      <c r="B26024" s="4" t="s">
        <v>32757</v>
      </c>
      <c r="C26024" s="5" t="str">
        <f>IFERROR(__xludf.DUMMYFUNCTION("GOOGLETRANSLATE(B26024,""en"",""de"")"),"Der Mann, der der Kamera am nächsten liegt.")</f>
        <v>Der Mann, der der Kamera am nächsten liegt.</v>
      </c>
    </row>
    <row r="26025">
      <c r="A26025" s="4" t="s">
        <v>32755</v>
      </c>
      <c r="B26025" s="4" t="s">
        <v>32758</v>
      </c>
      <c r="C26025" s="5" t="str">
        <f>IFERROR(__xludf.DUMMYFUNCTION("GOOGLETRANSLATE(B26025,""en"",""de"")"),"Der Mann, der der Kamera am nächsten liegt, kratzt sein Ohr.")</f>
        <v>Der Mann, der der Kamera am nächsten liegt, kratzt sein Ohr.</v>
      </c>
    </row>
    <row r="26026">
      <c r="A26026" s="4" t="s">
        <v>32759</v>
      </c>
      <c r="B26026" s="4" t="s">
        <v>32760</v>
      </c>
      <c r="C26026" s="5" t="str">
        <f>IFERROR(__xludf.DUMMYFUNCTION("GOOGLETRANSLATE(B26026,""en"",""de"")"),"Eine Person hält einen Speer und bereitet sich darauf vor, ihn zu starten.")</f>
        <v>Eine Person hält einen Speer und bereitet sich darauf vor, ihn zu starten.</v>
      </c>
    </row>
    <row r="26027">
      <c r="A26027" s="4" t="s">
        <v>32759</v>
      </c>
      <c r="B26027" s="4" t="s">
        <v>32761</v>
      </c>
      <c r="C26027" s="5" t="str">
        <f>IFERROR(__xludf.DUMMYFUNCTION("GOOGLETRANSLATE(B26027,""en"",""de"")"),"Dann rennt der Mann und startet den Speer.")</f>
        <v>Dann rennt der Mann und startet den Speer.</v>
      </c>
    </row>
    <row r="26028">
      <c r="A26028" s="4" t="s">
        <v>32762</v>
      </c>
      <c r="B26028" s="4" t="s">
        <v>32763</v>
      </c>
      <c r="C26028" s="5" t="str">
        <f>IFERROR(__xludf.DUMMYFUNCTION("GOOGLETRANSLATE(B26028,""en"",""de"")"),"Eine Frau zeigt, wie man eine Tapete auf eine Wand aufbringt.")</f>
        <v>Eine Frau zeigt, wie man eine Tapete auf eine Wand aufbringt.</v>
      </c>
    </row>
    <row r="26029">
      <c r="A26029" s="4" t="s">
        <v>32762</v>
      </c>
      <c r="B26029" s="4" t="s">
        <v>32764</v>
      </c>
      <c r="C26029" s="5" t="str">
        <f>IFERROR(__xludf.DUMMYFUNCTION("GOOGLETRANSLATE(B26029,""en"",""de"")"),"Eine Frau hält die verschiedenen Werkzeuge auf, die für die Anwendung von Tapeten erforderlich sind.")</f>
        <v>Eine Frau hält die verschiedenen Werkzeuge auf, die für die Anwendung von Tapeten erforderlich sind.</v>
      </c>
    </row>
    <row r="26030">
      <c r="A26030" s="4" t="s">
        <v>32762</v>
      </c>
      <c r="B26030" s="4" t="s">
        <v>32765</v>
      </c>
      <c r="C26030" s="5" t="str">
        <f>IFERROR(__xludf.DUMMYFUNCTION("GOOGLETRANSLATE(B26030,""en"",""de"")"),"Die Frau demonstriert den Prozess, bevor das Papier in kurzen Demonstrationssegmenten angewendet wird.")</f>
        <v>Die Frau demonstriert den Prozess, bevor das Papier in kurzen Demonstrationssegmenten angewendet wird.</v>
      </c>
    </row>
    <row r="26031">
      <c r="A26031" s="4" t="s">
        <v>32762</v>
      </c>
      <c r="B26031" s="4" t="s">
        <v>32766</v>
      </c>
      <c r="C26031" s="5" t="str">
        <f>IFERROR(__xludf.DUMMYFUNCTION("GOOGLETRANSLATE(B26031,""en"",""de"")"),"Die Frau beginnt dann Schritt für Schritt auf eine Wand auf eine Wand aufzutragen.")</f>
        <v>Die Frau beginnt dann Schritt für Schritt auf eine Wand auf eine Wand aufzutragen.</v>
      </c>
    </row>
    <row r="26032">
      <c r="A26032" s="4" t="s">
        <v>32767</v>
      </c>
      <c r="B26032" s="4" t="s">
        <v>32768</v>
      </c>
      <c r="C26032" s="5" t="str">
        <f>IFERROR(__xludf.DUMMYFUNCTION("GOOGLETRANSLATE(B26032,""en"",""de"")"),"Die nackten Füße einer Person werden gezeigt, wie er einen Treppenflug hinaufgeht.")</f>
        <v>Die nackten Füße einer Person werden gezeigt, wie er einen Treppenflug hinaufgeht.</v>
      </c>
    </row>
    <row r="26033">
      <c r="A26033" s="4" t="s">
        <v>32767</v>
      </c>
      <c r="B26033" s="4" t="s">
        <v>32769</v>
      </c>
      <c r="C26033" s="5" t="str">
        <f>IFERROR(__xludf.DUMMYFUNCTION("GOOGLETRANSLATE(B26033,""en"",""de"")"),"Dann werden verschiedene Männer in Zeitlupe vom Tauchbrett ins Wasser tauchen.")</f>
        <v>Dann werden verschiedene Männer in Zeitlupe vom Tauchbrett ins Wasser tauchen.</v>
      </c>
    </row>
    <row r="26034">
      <c r="A26034" s="4" t="s">
        <v>32767</v>
      </c>
      <c r="B26034" s="4" t="s">
        <v>32770</v>
      </c>
      <c r="C26034" s="5" t="str">
        <f>IFERROR(__xludf.DUMMYFUNCTION("GOOGLETRANSLATE(B26034,""en"",""de"")"),"Frauen und Jungen springen ebenfalls und landen jeweils in einem Außenpool.")</f>
        <v>Frauen und Jungen springen ebenfalls und landen jeweils in einem Außenpool.</v>
      </c>
    </row>
    <row r="26035">
      <c r="A26035" s="4" t="s">
        <v>32771</v>
      </c>
      <c r="B26035" s="4" t="s">
        <v>32772</v>
      </c>
      <c r="C26035" s="5" t="str">
        <f>IFERROR(__xludf.DUMMYFUNCTION("GOOGLETRANSLATE(B26035,""en"",""de"")"),"Eine Frau legt sich auf ihrem Rücken in einem Fitnessstudio.")</f>
        <v>Eine Frau legt sich auf ihrem Rücken in einem Fitnessstudio.</v>
      </c>
    </row>
    <row r="26036">
      <c r="A26036" s="4" t="s">
        <v>32771</v>
      </c>
      <c r="B26036" s="4" t="s">
        <v>32773</v>
      </c>
      <c r="C26036" s="5" t="str">
        <f>IFERROR(__xludf.DUMMYFUNCTION("GOOGLETRANSLATE(B26036,""en"",""de"")"),"Sie trägt Schwarz und Rosa und sieht einfach sehr bequem aus, während sie trainiert.")</f>
        <v>Sie trägt Schwarz und Rosa und sieht einfach sehr bequem aus, während sie trainiert.</v>
      </c>
    </row>
    <row r="26037">
      <c r="A26037" s="4" t="s">
        <v>32771</v>
      </c>
      <c r="B26037" s="4" t="s">
        <v>32774</v>
      </c>
      <c r="C26037" s="5" t="str">
        <f>IFERROR(__xludf.DUMMYFUNCTION("GOOGLETRANSLATE(B26037,""en"",""de"")"),"Sie bringt ihre Arme hoch und ihre Beine in die Mitte ihres Körpers.")</f>
        <v>Sie bringt ihre Arme hoch und ihre Beine in die Mitte ihres Körpers.</v>
      </c>
    </row>
    <row r="26038">
      <c r="A26038" s="4" t="s">
        <v>32771</v>
      </c>
      <c r="B26038" s="4" t="s">
        <v>32775</v>
      </c>
      <c r="C26038" s="5" t="str">
        <f>IFERROR(__xludf.DUMMYFUNCTION("GOOGLETRANSLATE(B26038,""en"",""de"")"),"Sie macht das für eine Weile wiederholt.")</f>
        <v>Sie macht das für eine Weile wiederholt.</v>
      </c>
    </row>
    <row r="26039">
      <c r="A26039" s="4" t="s">
        <v>32776</v>
      </c>
      <c r="B26039" s="4" t="s">
        <v>19329</v>
      </c>
      <c r="C26039" s="5" t="str">
        <f>IFERROR(__xludf.DUMMYFUNCTION("GOOGLETRANSLATE(B26039,""en"",""de"")"),"Wir sehen, dass ein Hockeyspiel gespielt wird.")</f>
        <v>Wir sehen, dass ein Hockeyspiel gespielt wird.</v>
      </c>
    </row>
    <row r="26040">
      <c r="A26040" s="4" t="s">
        <v>32776</v>
      </c>
      <c r="B26040" s="4" t="s">
        <v>32777</v>
      </c>
      <c r="C26040" s="5" t="str">
        <f>IFERROR(__xludf.DUMMYFUNCTION("GOOGLETRANSLATE(B26040,""en"",""de"")"),"Die Spieler eilen das Feld und beginnen zu kämpfen.")</f>
        <v>Die Spieler eilen das Feld und beginnen zu kämpfen.</v>
      </c>
    </row>
    <row r="26041">
      <c r="A26041" s="4" t="s">
        <v>32776</v>
      </c>
      <c r="B26041" s="4" t="s">
        <v>32778</v>
      </c>
      <c r="C26041" s="5" t="str">
        <f>IFERROR(__xludf.DUMMYFUNCTION("GOOGLETRANSLATE(B26041,""en"",""de"")"),"Eine Person schlägt jemanden in den Kopf.")</f>
        <v>Eine Person schlägt jemanden in den Kopf.</v>
      </c>
    </row>
    <row r="26042">
      <c r="A26042" s="4" t="s">
        <v>32776</v>
      </c>
      <c r="B26042" s="4" t="s">
        <v>32779</v>
      </c>
      <c r="C26042" s="5" t="str">
        <f>IFERROR(__xludf.DUMMYFUNCTION("GOOGLETRANSLATE(B26042,""en"",""de"")"),"Der Trainer versucht, einen anderen Trainer zu bekämpfen.")</f>
        <v>Der Trainer versucht, einen anderen Trainer zu bekämpfen.</v>
      </c>
    </row>
    <row r="26043">
      <c r="A26043" s="4" t="s">
        <v>32776</v>
      </c>
      <c r="B26043" s="4" t="s">
        <v>32780</v>
      </c>
      <c r="C26043" s="5" t="str">
        <f>IFERROR(__xludf.DUMMYFUNCTION("GOOGLETRANSLATE(B26043,""en"",""de"")"),"Ein Mann steigt über den Balkon, um zu versuchen, zu kämpfen.")</f>
        <v>Ein Mann steigt über den Balkon, um zu versuchen, zu kämpfen.</v>
      </c>
    </row>
    <row r="26044">
      <c r="A26044" s="4" t="s">
        <v>32776</v>
      </c>
      <c r="B26044" s="4" t="s">
        <v>32781</v>
      </c>
      <c r="C26044" s="5" t="str">
        <f>IFERROR(__xludf.DUMMYFUNCTION("GOOGLETRANSLATE(B26044,""en"",""de"")"),"Das rote Team versammelt sich und umarmt sich.")</f>
        <v>Das rote Team versammelt sich und umarmt sich.</v>
      </c>
    </row>
    <row r="26045">
      <c r="A26045" s="4" t="s">
        <v>32782</v>
      </c>
      <c r="B26045" s="4" t="s">
        <v>32783</v>
      </c>
      <c r="C26045" s="5" t="str">
        <f>IFERROR(__xludf.DUMMYFUNCTION("GOOGLETRANSLATE(B26045,""en"",""de"")"),"Ein Volleyballtrainer steht zu einem Netz, der einen Ball hält und spricht.")</f>
        <v>Ein Volleyballtrainer steht zu einem Netz, der einen Ball hält und spricht.</v>
      </c>
    </row>
    <row r="26046">
      <c r="A26046" s="4" t="s">
        <v>32782</v>
      </c>
      <c r="B26046" s="4" t="s">
        <v>32784</v>
      </c>
      <c r="C26046" s="5" t="str">
        <f>IFERROR(__xludf.DUMMYFUNCTION("GOOGLETRANSLATE(B26046,""en"",""de"")"),"Zwei Gruppen von Mädchen rennen in die Mitte eines Platzes, um Volleyballs zu schnappen.")</f>
        <v>Zwei Gruppen von Mädchen rennen in die Mitte eines Platzes, um Volleyballs zu schnappen.</v>
      </c>
    </row>
    <row r="26047">
      <c r="A26047" s="4" t="s">
        <v>32782</v>
      </c>
      <c r="B26047" s="4" t="s">
        <v>32785</v>
      </c>
      <c r="C26047" s="5" t="str">
        <f>IFERROR(__xludf.DUMMYFUNCTION("GOOGLETRANSLATE(B26047,""en"",""de"")"),"Sie werfen die Bälle aufeinander.")</f>
        <v>Sie werfen die Bälle aufeinander.</v>
      </c>
    </row>
    <row r="26048">
      <c r="A26048" s="4" t="s">
        <v>32782</v>
      </c>
      <c r="B26048" s="4" t="s">
        <v>32786</v>
      </c>
      <c r="C26048" s="5" t="str">
        <f>IFERROR(__xludf.DUMMYFUNCTION("GOOGLETRANSLATE(B26048,""en"",""de"")"),"Der Trainer gibt Anweisungen.")</f>
        <v>Der Trainer gibt Anweisungen.</v>
      </c>
    </row>
    <row r="26049">
      <c r="A26049" s="4" t="s">
        <v>32782</v>
      </c>
      <c r="B26049" s="4" t="s">
        <v>32787</v>
      </c>
      <c r="C26049" s="5" t="str">
        <f>IFERROR(__xludf.DUMMYFUNCTION("GOOGLETRANSLATE(B26049,""en"",""de"")"),"Die Mädchen werfen die Bälle weiter aufeinander.")</f>
        <v>Die Mädchen werfen die Bälle weiter aufeinander.</v>
      </c>
    </row>
    <row r="26050">
      <c r="A26050" s="4" t="s">
        <v>32782</v>
      </c>
      <c r="B26050" s="4" t="s">
        <v>32788</v>
      </c>
      <c r="C26050" s="5" t="str">
        <f>IFERROR(__xludf.DUMMYFUNCTION("GOOGLETRANSLATE(B26050,""en"",""de"")"),"Zwei Mädchen stehen an der Seitenlinie und reden.")</f>
        <v>Zwei Mädchen stehen an der Seitenlinie und reden.</v>
      </c>
    </row>
    <row r="26051">
      <c r="A26051" s="4" t="s">
        <v>32789</v>
      </c>
      <c r="B26051" s="4" t="s">
        <v>32790</v>
      </c>
      <c r="C26051" s="5" t="str">
        <f>IFERROR(__xludf.DUMMYFUNCTION("GOOGLETRANSLATE(B26051,""en"",""de"")"),"Die Leute sitzen gelangweilt in einer Lounge.")</f>
        <v>Die Leute sitzen gelangweilt in einer Lounge.</v>
      </c>
    </row>
    <row r="26052">
      <c r="A26052" s="4" t="s">
        <v>32789</v>
      </c>
      <c r="B26052" s="4" t="s">
        <v>32791</v>
      </c>
      <c r="C26052" s="5" t="str">
        <f>IFERROR(__xludf.DUMMYFUNCTION("GOOGLETRANSLATE(B26052,""en"",""de"")"),"Ein Mann findet in einem tragbaren Bier -Pong -Tisch.")</f>
        <v>Ein Mann findet in einem tragbaren Bier -Pong -Tisch.</v>
      </c>
    </row>
    <row r="26053">
      <c r="A26053" s="4" t="s">
        <v>32789</v>
      </c>
      <c r="B26053" s="4" t="s">
        <v>32792</v>
      </c>
      <c r="C26053" s="5" t="str">
        <f>IFERROR(__xludf.DUMMYFUNCTION("GOOGLETRANSLATE(B26053,""en"",""de"")"),"Die Leute freuen sich auf ihn.")</f>
        <v>Die Leute freuen sich auf ihn.</v>
      </c>
    </row>
    <row r="26054">
      <c r="A26054" s="4" t="s">
        <v>32789</v>
      </c>
      <c r="B26054" s="4" t="s">
        <v>32793</v>
      </c>
      <c r="C26054" s="5" t="str">
        <f>IFERROR(__xludf.DUMMYFUNCTION("GOOGLETRANSLATE(B26054,""en"",""de"")"),"Sie spielen ein paar Runden Bierpong.")</f>
        <v>Sie spielen ein paar Runden Bierpong.</v>
      </c>
    </row>
    <row r="26055">
      <c r="A26055" s="4" t="s">
        <v>32789</v>
      </c>
      <c r="B26055" s="4" t="s">
        <v>32794</v>
      </c>
      <c r="C26055" s="5" t="str">
        <f>IFERROR(__xludf.DUMMYFUNCTION("GOOGLETRANSLATE(B26055,""en"",""de"")"),"Ein Mann hält einen Ping -Pong -Ball vor einer Gruppe von Menschen hoch.")</f>
        <v>Ein Mann hält einen Ping -Pong -Ball vor einer Gruppe von Menschen hoch.</v>
      </c>
    </row>
    <row r="26056">
      <c r="A26056" s="4" t="s">
        <v>32789</v>
      </c>
      <c r="B26056" s="4" t="s">
        <v>32795</v>
      </c>
      <c r="C26056" s="5" t="str">
        <f>IFERROR(__xludf.DUMMYFUNCTION("GOOGLETRANSLATE(B26056,""en"",""de"")"),"Der Text wird auf dem Bildschirm angezeigt.")</f>
        <v>Der Text wird auf dem Bildschirm angezeigt.</v>
      </c>
    </row>
    <row r="26057">
      <c r="A26057" s="4" t="s">
        <v>32796</v>
      </c>
      <c r="B26057" s="4" t="s">
        <v>32797</v>
      </c>
      <c r="C26057" s="5" t="str">
        <f>IFERROR(__xludf.DUMMYFUNCTION("GOOGLETRANSLATE(B26057,""en"",""de"")"),"Ein Skateboarder rollt auf einer steilen Straße.")</f>
        <v>Ein Skateboarder rollt auf einer steilen Straße.</v>
      </c>
    </row>
    <row r="26058">
      <c r="A26058" s="4" t="s">
        <v>32796</v>
      </c>
      <c r="B26058" s="4" t="s">
        <v>32798</v>
      </c>
      <c r="C26058" s="5" t="str">
        <f>IFERROR(__xludf.DUMMYFUNCTION("GOOGLETRANSLATE(B26058,""en"",""de"")"),"Skateboarder rollen in der Mitte der öffentlichen Straßen herunter.")</f>
        <v>Skateboarder rollen in der Mitte der öffentlichen Straßen herunter.</v>
      </c>
    </row>
    <row r="26059">
      <c r="A26059" s="4" t="s">
        <v>32796</v>
      </c>
      <c r="B26059" s="4" t="s">
        <v>32799</v>
      </c>
      <c r="C26059" s="5" t="str">
        <f>IFERROR(__xludf.DUMMYFUNCTION("GOOGLETRANSLATE(B26059,""en"",""de"")"),"Die Worte ""Fair Oaks Longboarding"" und Credits erscheinen über den Skatern.")</f>
        <v>Die Worte "Fair Oaks Longboarding" und Credits erscheinen über den Skatern.</v>
      </c>
    </row>
    <row r="26060">
      <c r="A26060" s="4" t="s">
        <v>32800</v>
      </c>
      <c r="B26060" s="4" t="s">
        <v>32801</v>
      </c>
      <c r="C26060" s="5" t="str">
        <f>IFERROR(__xludf.DUMMYFUNCTION("GOOGLETRANSLATE(B26060,""en"",""de"")"),"Eine Katze legt sich auf der Couch auf dem Rücken.")</f>
        <v>Eine Katze legt sich auf der Couch auf dem Rücken.</v>
      </c>
    </row>
    <row r="26061">
      <c r="A26061" s="4" t="s">
        <v>32800</v>
      </c>
      <c r="B26061" s="4" t="s">
        <v>32802</v>
      </c>
      <c r="C26061" s="5" t="str">
        <f>IFERROR(__xludf.DUMMYFUNCTION("GOOGLETRANSLATE(B26061,""en"",""de"")"),"Eine Person nimmt die Katze auf und legt sie auf ihren Schoß.")</f>
        <v>Eine Person nimmt die Katze auf und legt sie auf ihren Schoß.</v>
      </c>
    </row>
    <row r="26062">
      <c r="A26062" s="4" t="s">
        <v>32800</v>
      </c>
      <c r="B26062" s="4" t="s">
        <v>32803</v>
      </c>
      <c r="C26062" s="5" t="str">
        <f>IFERROR(__xludf.DUMMYFUNCTION("GOOGLETRANSLATE(B26062,""en"",""de"")"),"Sie beginnen die Katzennägel zu schneiden.")</f>
        <v>Sie beginnen die Katzennägel zu schneiden.</v>
      </c>
    </row>
    <row r="26063">
      <c r="A26063" s="4" t="s">
        <v>32804</v>
      </c>
      <c r="B26063" s="4" t="s">
        <v>32805</v>
      </c>
      <c r="C26063" s="5" t="str">
        <f>IFERROR(__xludf.DUMMYFUNCTION("GOOGLETRANSLATE(B26063,""en"",""de"")"),"Es gibt eine Frau im Bikini, die mit Hula Hoops an Menschen vorbeikommt.")</f>
        <v>Es gibt eine Frau im Bikini, die mit Hula Hoops an Menschen vorbeikommt.</v>
      </c>
    </row>
    <row r="26064">
      <c r="A26064" s="4" t="s">
        <v>32804</v>
      </c>
      <c r="B26064" s="4" t="s">
        <v>32806</v>
      </c>
      <c r="C26064" s="5" t="str">
        <f>IFERROR(__xludf.DUMMYFUNCTION("GOOGLETRANSLATE(B26064,""en"",""de"")"),"Sie geht ins Gras und beginnt im Kreis zu reifen, sie hat wirklich gute Zeit tanzt und äht.")</f>
        <v>Sie geht ins Gras und beginnt im Kreis zu reifen, sie hat wirklich gute Zeit tanzt und äht.</v>
      </c>
    </row>
    <row r="26065">
      <c r="A26065" s="4" t="s">
        <v>32804</v>
      </c>
      <c r="B26065" s="4" t="s">
        <v>32807</v>
      </c>
      <c r="C26065" s="5" t="str">
        <f>IFERROR(__xludf.DUMMYFUNCTION("GOOGLETRANSLATE(B26065,""en"",""de"")"),"Dann tanzen andere Leute auch herum und reichen auch Tricks und genießen einfach den Tag.")</f>
        <v>Dann tanzen andere Leute auch herum und reichen auch Tricks und genießen einfach den Tag.</v>
      </c>
    </row>
    <row r="26066">
      <c r="A26066" s="4" t="s">
        <v>32804</v>
      </c>
      <c r="B26066" s="4" t="s">
        <v>32808</v>
      </c>
      <c r="C26066" s="5" t="str">
        <f>IFERROR(__xludf.DUMMYFUNCTION("GOOGLETRANSLATE(B26066,""en"",""de"")"),"Alle beobachten, wie sich die beiden Mädchen außerhalb des Ladens herumragen.")</f>
        <v>Alle beobachten, wie sich die beiden Mädchen außerhalb des Ladens herumragen.</v>
      </c>
    </row>
    <row r="26067">
      <c r="A26067" s="4" t="s">
        <v>32809</v>
      </c>
      <c r="B26067" s="4" t="s">
        <v>32810</v>
      </c>
      <c r="C26067" s="5" t="str">
        <f>IFERROR(__xludf.DUMMYFUNCTION("GOOGLETRANSLATE(B26067,""en"",""de"")"),"Ein kleines Mädchen ist an einem schneebedeckten Tag draußen.")</f>
        <v>Ein kleines Mädchen ist an einem schneebedeckten Tag draußen.</v>
      </c>
    </row>
    <row r="26068">
      <c r="A26068" s="4" t="s">
        <v>32809</v>
      </c>
      <c r="B26068" s="4" t="s">
        <v>32811</v>
      </c>
      <c r="C26068" s="5" t="str">
        <f>IFERROR(__xludf.DUMMYFUNCTION("GOOGLETRANSLATE(B26068,""en"",""de"")"),"Sie spielt Hopscotch, der auf der Einfahrt gezogen wird.")</f>
        <v>Sie spielt Hopscotch, der auf der Einfahrt gezogen wird.</v>
      </c>
    </row>
    <row r="26069">
      <c r="A26069" s="4" t="s">
        <v>32809</v>
      </c>
      <c r="B26069" s="4" t="s">
        <v>32812</v>
      </c>
      <c r="C26069" s="5" t="str">
        <f>IFERROR(__xludf.DUMMYFUNCTION("GOOGLETRANSLATE(B26069,""en"",""de"")"),"Sie hüpft an jedem Platz entlang, dreht sich dann um und kehrt zum Anfang zurück.")</f>
        <v>Sie hüpft an jedem Platz entlang, dreht sich dann um und kehrt zum Anfang zurück.</v>
      </c>
    </row>
    <row r="26070">
      <c r="A26070" s="4" t="s">
        <v>32813</v>
      </c>
      <c r="B26070" s="4" t="s">
        <v>32814</v>
      </c>
      <c r="C26070" s="5" t="str">
        <f>IFERROR(__xludf.DUMMYFUNCTION("GOOGLETRANSLATE(B26070,""en"",""de"")"),"Ein Handtuch und Glas befinden sich auf einem Tisch neben einem Stück Schaum und Metall.")</f>
        <v>Ein Handtuch und Glas befinden sich auf einem Tisch neben einem Stück Schaum und Metall.</v>
      </c>
    </row>
    <row r="26071">
      <c r="A26071" s="4" t="s">
        <v>32813</v>
      </c>
      <c r="B26071" s="4" t="s">
        <v>32815</v>
      </c>
      <c r="C26071" s="5" t="str">
        <f>IFERROR(__xludf.DUMMYFUNCTION("GOOGLETRANSLATE(B26071,""en"",""de"")"),"Ein Werkzeug wird von einem Mann gezeigt, der es hält.")</f>
        <v>Ein Werkzeug wird von einem Mann gezeigt, der es hält.</v>
      </c>
    </row>
    <row r="26072">
      <c r="A26072" s="4" t="s">
        <v>32813</v>
      </c>
      <c r="B26072" s="4" t="s">
        <v>32816</v>
      </c>
      <c r="C26072" s="5" t="str">
        <f>IFERROR(__xludf.DUMMYFUNCTION("GOOGLETRANSLATE(B26072,""en"",""de"")"),"Das Metall wird verwendet, um ein Messer vor ihm zu schärfen.")</f>
        <v>Das Metall wird verwendet, um ein Messer vor ihm zu schärfen.</v>
      </c>
    </row>
    <row r="26073">
      <c r="A26073" s="4" t="s">
        <v>32817</v>
      </c>
      <c r="B26073" s="4" t="s">
        <v>32818</v>
      </c>
      <c r="C26073" s="5" t="str">
        <f>IFERROR(__xludf.DUMMYFUNCTION("GOOGLETRANSLATE(B26073,""en"",""de"")"),"Eine Gruppe von Menschen hängt in einer Gegend ab, in der sich mehrere um ein Bierpong -Match befinden.")</f>
        <v>Eine Gruppe von Menschen hängt in einer Gegend ab, in der sich mehrere um ein Bierpong -Match befinden.</v>
      </c>
    </row>
    <row r="26074">
      <c r="A26074" s="4" t="s">
        <v>32817</v>
      </c>
      <c r="B26074" s="4" t="s">
        <v>32819</v>
      </c>
      <c r="C26074" s="5" t="str">
        <f>IFERROR(__xludf.DUMMYFUNCTION("GOOGLETRANSLATE(B26074,""en"",""de"")"),"Die Leute spielen Bierpong zurück und den vierten Platz und eine Frau nimmt am Ende ein Getränk, das eklig ist.")</f>
        <v>Die Leute spielen Bierpong zurück und den vierten Platz und eine Frau nimmt am Ende ein Getränk, das eklig ist.</v>
      </c>
    </row>
    <row r="26075">
      <c r="A26075" s="4" t="s">
        <v>32820</v>
      </c>
      <c r="B26075" s="4" t="s">
        <v>32821</v>
      </c>
      <c r="C26075" s="5" t="str">
        <f>IFERROR(__xludf.DUMMYFUNCTION("GOOGLETRANSLATE(B26075,""en"",""de"")"),"Eine Tanzklasse choreografiert eine Routine und jeder ist im Allgemeinen miteinander synchronisiert.")</f>
        <v>Eine Tanzklasse choreografiert eine Routine und jeder ist im Allgemeinen miteinander synchronisiert.</v>
      </c>
    </row>
    <row r="26076">
      <c r="A26076" s="4" t="s">
        <v>32820</v>
      </c>
      <c r="B26076" s="4" t="s">
        <v>32822</v>
      </c>
      <c r="C26076" s="5" t="str">
        <f>IFERROR(__xludf.DUMMYFUNCTION("GOOGLETRANSLATE(B26076,""en"",""de"")"),"Sie bewegen sich hin und her und schütteln sich die Brust.")</f>
        <v>Sie bewegen sich hin und her und schütteln sich die Brust.</v>
      </c>
    </row>
    <row r="26077">
      <c r="A26077" s="4" t="s">
        <v>32823</v>
      </c>
      <c r="B26077" s="4" t="s">
        <v>32824</v>
      </c>
      <c r="C26077" s="5" t="str">
        <f>IFERROR(__xludf.DUMMYFUNCTION("GOOGLETRANSLATE(B26077,""en"",""de"")"),"Ein Mann in einem weißen asiatisch inspirierten Outfit steht im Freien, umgeben von Bäumen, im Gras und führt mehrere langsame Kampfkünste und Meditationsbewegungen durch.")</f>
        <v>Ein Mann in einem weißen asiatisch inspirierten Outfit steht im Freien, umgeben von Bäumen, im Gras und führt mehrere langsame Kampfkünste und Meditationsbewegungen durch.</v>
      </c>
    </row>
    <row r="26078">
      <c r="A26078" s="4" t="s">
        <v>32823</v>
      </c>
      <c r="B26078" s="4" t="s">
        <v>32825</v>
      </c>
      <c r="C26078" s="5" t="str">
        <f>IFERROR(__xludf.DUMMYFUNCTION("GOOGLETRANSLATE(B26078,""en"",""de"")"),"Die Szene beginnt mit einem bloßen grünen Fleck geschnittenes Gras, umgeben von hohen Bäumen und einem Gebäude im Hintergrund jenseits des Laubs.")</f>
        <v>Die Szene beginnt mit einem bloßen grünen Fleck geschnittenes Gras, umgeben von hohen Bäumen und einem Gebäude im Hintergrund jenseits des Laubs.</v>
      </c>
    </row>
    <row r="26079">
      <c r="A26079" s="4" t="s">
        <v>32823</v>
      </c>
      <c r="B26079" s="4" t="s">
        <v>32826</v>
      </c>
      <c r="C26079" s="5" t="str">
        <f>IFERROR(__xludf.DUMMYFUNCTION("GOOGLETRANSLATE(B26079,""en"",""de"")"),"Der Mann rennt in den Rahmen in die Mitte des Grass, zentriert sich und macht einen Beinlift, gefolgt von mehreren langsamen Handbewegungen auf und ab.")</f>
        <v>Der Mann rennt in den Rahmen in die Mitte des Grass, zentriert sich und macht einen Beinlift, gefolgt von mehreren langsamen Handbewegungen auf und ab.</v>
      </c>
    </row>
    <row r="26080">
      <c r="A26080" s="4" t="s">
        <v>32823</v>
      </c>
      <c r="B26080" s="4" t="s">
        <v>32827</v>
      </c>
      <c r="C26080" s="5" t="str">
        <f>IFERROR(__xludf.DUMMYFUNCTION("GOOGLETRANSLATE(B26080,""en"",""de"")"),"Der Mann führt weiterhin langsame Kampfkünste mit Füßen, Händen, Knien und Schultern durch, die sich um den Grasfleck bewegt und manchmal mit den Füßen auf den Boden stampft.")</f>
        <v>Der Mann führt weiterhin langsame Kampfkünste mit Füßen, Händen, Knien und Schultern durch, die sich um den Grasfleck bewegt und manchmal mit den Füßen auf den Boden stampft.</v>
      </c>
    </row>
    <row r="26081">
      <c r="A26081" s="4" t="s">
        <v>32828</v>
      </c>
      <c r="B26081" s="4" t="s">
        <v>32829</v>
      </c>
      <c r="C26081" s="5" t="str">
        <f>IFERROR(__xludf.DUMMYFUNCTION("GOOGLETRANSLATE(B26081,""en"",""de"")"),"Dies ist ein How -to -Film, um ein Siegel auf ein Dach aufzutragen.")</f>
        <v>Dies ist ein How -to -Film, um ein Siegel auf ein Dach aufzutragen.</v>
      </c>
    </row>
    <row r="26082">
      <c r="A26082" s="4" t="s">
        <v>32828</v>
      </c>
      <c r="B26082" s="4" t="s">
        <v>32830</v>
      </c>
      <c r="C26082" s="5" t="str">
        <f>IFERROR(__xludf.DUMMYFUNCTION("GOOGLETRANSLATE(B26082,""en"",""de"")"),"Schwarze Dinge werden auf die Seite des Daches gelegt.")</f>
        <v>Schwarze Dinge werden auf die Seite des Daches gelegt.</v>
      </c>
    </row>
    <row r="26083">
      <c r="A26083" s="4" t="s">
        <v>32828</v>
      </c>
      <c r="B26083" s="4" t="s">
        <v>32831</v>
      </c>
      <c r="C26083" s="5" t="str">
        <f>IFERROR(__xludf.DUMMYFUNCTION("GOOGLETRANSLATE(B26083,""en"",""de"")"),"Das Dach ist versiegelt.")</f>
        <v>Das Dach ist versiegelt.</v>
      </c>
    </row>
    <row r="26084">
      <c r="A26084" s="4" t="s">
        <v>32832</v>
      </c>
      <c r="B26084" s="4" t="s">
        <v>32833</v>
      </c>
      <c r="C26084" s="5" t="str">
        <f>IFERROR(__xludf.DUMMYFUNCTION("GOOGLETRANSLATE(B26084,""en"",""de"")"),"Eine große Gruppe von Menschen spielt ein Tauziehen miteinander und zieht auf ein Seil gegeneinander.")</f>
        <v>Eine große Gruppe von Menschen spielt ein Tauziehen miteinander und zieht auf ein Seil gegeneinander.</v>
      </c>
    </row>
    <row r="26085">
      <c r="A26085" s="4" t="s">
        <v>32832</v>
      </c>
      <c r="B26085" s="4" t="s">
        <v>32834</v>
      </c>
      <c r="C26085" s="5" t="str">
        <f>IFERROR(__xludf.DUMMYFUNCTION("GOOGLETRANSLATE(B26085,""en"",""de"")"),"Die Leute spielen weiter miteinander und endet damit, dass ein Team gewinnt und die Menge jubelt.")</f>
        <v>Die Leute spielen weiter miteinander und endet damit, dass ein Team gewinnt und die Menge jubelt.</v>
      </c>
    </row>
    <row r="26086">
      <c r="A26086" s="4" t="s">
        <v>32835</v>
      </c>
      <c r="B26086" s="4" t="s">
        <v>32836</v>
      </c>
      <c r="C26086" s="5" t="str">
        <f>IFERROR(__xludf.DUMMYFUNCTION("GOOGLETRANSLATE(B26086,""en"",""de"")"),"Eine Grafik zeigt auf dem Bildschirm für eine Website über Basketballübungen.")</f>
        <v>Eine Grafik zeigt auf dem Bildschirm für eine Website über Basketballübungen.</v>
      </c>
    </row>
    <row r="26087">
      <c r="A26087" s="4" t="s">
        <v>32835</v>
      </c>
      <c r="B26087" s="4" t="s">
        <v>32837</v>
      </c>
      <c r="C26087" s="5" t="str">
        <f>IFERROR(__xludf.DUMMYFUNCTION("GOOGLETRANSLATE(B26087,""en"",""de"")"),"Einige junge Männer auf einem Indoor -Basketballplatz werden einige der Basketballübungen machen.")</f>
        <v>Einige junge Männer auf einem Indoor -Basketballplatz werden einige der Basketballübungen machen.</v>
      </c>
    </row>
    <row r="26088">
      <c r="A26088" s="4" t="s">
        <v>32835</v>
      </c>
      <c r="B26088" s="4" t="s">
        <v>32838</v>
      </c>
      <c r="C26088" s="5" t="str">
        <f>IFERROR(__xludf.DUMMYFUNCTION("GOOGLETRANSLATE(B26088,""en"",""de"")"),"Ein älterer Mann erklärt die Übungen, während die Spieler, die sie demonstrieren, mehr Filmmaterial gezeigt.")</f>
        <v>Ein älterer Mann erklärt die Übungen, während die Spieler, die sie demonstrieren, mehr Filmmaterial gezeigt.</v>
      </c>
    </row>
    <row r="26089">
      <c r="A26089" s="4" t="s">
        <v>32835</v>
      </c>
      <c r="B26089" s="4" t="s">
        <v>32839</v>
      </c>
      <c r="C26089" s="5" t="str">
        <f>IFERROR(__xludf.DUMMYFUNCTION("GOOGLETRANSLATE(B26089,""en"",""de"")"),"Der Bildschirm wird schwarz und mehr Text erinnert den Betrachter daran, die Website für weitere Informationen zu besuchen.")</f>
        <v>Der Bildschirm wird schwarz und mehr Text erinnert den Betrachter daran, die Website für weitere Informationen zu besuchen.</v>
      </c>
    </row>
    <row r="26090">
      <c r="A26090" s="4" t="s">
        <v>32840</v>
      </c>
      <c r="B26090" s="4" t="s">
        <v>32841</v>
      </c>
      <c r="C26090" s="5" t="str">
        <f>IFERROR(__xludf.DUMMYFUNCTION("GOOGLETRANSLATE(B26090,""en"",""de"")"),"Frau spricht mit einem weiteren Stehend vor grünen Schließfächern in einem Flur. Ein Mann geht zu den Mädchen, die gelbe Rosen an seiner Hand halten.")</f>
        <v>Frau spricht mit einem weiteren Stehend vor grünen Schließfächern in einem Flur. Ein Mann geht zu den Mädchen, die gelbe Rosen an seiner Hand halten.</v>
      </c>
    </row>
    <row r="26091">
      <c r="A26091" s="4" t="s">
        <v>32840</v>
      </c>
      <c r="B26091" s="4" t="s">
        <v>32842</v>
      </c>
      <c r="C26091" s="5" t="str">
        <f>IFERROR(__xludf.DUMMYFUNCTION("GOOGLETRANSLATE(B26091,""en"",""de"")"),"Eine Frau geht in den Flur und hält einen Mundwasser und spricht mit der Kamera darüber.")</f>
        <v>Eine Frau geht in den Flur und hält einen Mundwasser und spricht mit der Kamera darüber.</v>
      </c>
    </row>
    <row r="26092">
      <c r="A26092" s="4" t="s">
        <v>32840</v>
      </c>
      <c r="B26092" s="4" t="s">
        <v>32843</v>
      </c>
      <c r="C26092" s="5" t="str">
        <f>IFERROR(__xludf.DUMMYFUNCTION("GOOGLETRANSLATE(B26092,""en"",""de"")"),"Die Frau steht vor einem Handwaschen, der seinen Mund mit Mundwasser reinigt.")</f>
        <v>Die Frau steht vor einem Handwaschen, der seinen Mund mit Mundwasser reinigt.</v>
      </c>
    </row>
    <row r="26093">
      <c r="A26093" s="4" t="s">
        <v>32840</v>
      </c>
      <c r="B26093" s="4" t="s">
        <v>32844</v>
      </c>
      <c r="C26093" s="5" t="str">
        <f>IFERROR(__xludf.DUMMYFUNCTION("GOOGLETRANSLATE(B26093,""en"",""de"")"),"Die Frau ist in der Halle und spricht mit den Jungen und sie scheinen beeindruckt von ihrem frischen Atemzug zu sein.")</f>
        <v>Die Frau ist in der Halle und spricht mit den Jungen und sie scheinen beeindruckt von ihrem frischen Atemzug zu sein.</v>
      </c>
    </row>
    <row r="26094">
      <c r="A26094" s="4" t="s">
        <v>32845</v>
      </c>
      <c r="B26094" s="4" t="s">
        <v>32846</v>
      </c>
      <c r="C26094" s="5" t="str">
        <f>IFERROR(__xludf.DUMMYFUNCTION("GOOGLETRANSLATE(B26094,""en"",""de"")"),"Ein Kind in einem Helm wird gezeigt.")</f>
        <v>Ein Kind in einem Helm wird gezeigt.</v>
      </c>
    </row>
    <row r="26095">
      <c r="A26095" s="4" t="s">
        <v>32845</v>
      </c>
      <c r="B26095" s="4" t="s">
        <v>32847</v>
      </c>
      <c r="C26095" s="5" t="str">
        <f>IFERROR(__xludf.DUMMYFUNCTION("GOOGLETRANSLATE(B26095,""en"",""de"")"),"Mehrere andere Kinder in Helmen auf Fahrrädern reiten von einer Rampe.")</f>
        <v>Mehrere andere Kinder in Helmen auf Fahrrädern reiten von einer Rampe.</v>
      </c>
    </row>
    <row r="26096">
      <c r="A26096" s="4" t="s">
        <v>32845</v>
      </c>
      <c r="B26096" s="4" t="s">
        <v>32848</v>
      </c>
      <c r="C26096" s="5" t="str">
        <f>IFERROR(__xludf.DUMMYFUNCTION("GOOGLETRANSLATE(B26096,""en"",""de"")"),"Ein Mann rennt an ihnen entlang.")</f>
        <v>Ein Mann rennt an ihnen entlang.</v>
      </c>
    </row>
    <row r="26097">
      <c r="A26097" s="4" t="s">
        <v>32845</v>
      </c>
      <c r="B26097" s="4" t="s">
        <v>32849</v>
      </c>
      <c r="C26097" s="5" t="str">
        <f>IFERROR(__xludf.DUMMYFUNCTION("GOOGLETRANSLATE(B26097,""en"",""de"")"),"Das Kreuz eine Ziellinie.")</f>
        <v>Das Kreuz eine Ziellinie.</v>
      </c>
    </row>
    <row r="26098">
      <c r="A26098" s="4" t="s">
        <v>32850</v>
      </c>
      <c r="B26098" s="4" t="s">
        <v>32851</v>
      </c>
      <c r="C26098" s="5" t="str">
        <f>IFERROR(__xludf.DUMMYFUNCTION("GOOGLETRANSLATE(B26098,""en"",""de"")"),"Ein Spezialeffekt -Videoclip erscheint mit jemandem auf einem Laufband und weißen Worten auf der Mitte des Bildschirms mit der Aufschrift ""CityNews Health"".")</f>
        <v>Ein Spezialeffekt -Videoclip erscheint mit jemandem auf einem Laufband und weißen Worten auf der Mitte des Bildschirms mit der Aufschrift "CityNews Health".</v>
      </c>
    </row>
    <row r="26099">
      <c r="A26099" s="4" t="s">
        <v>32850</v>
      </c>
      <c r="B26099" s="4" t="s">
        <v>32852</v>
      </c>
      <c r="C26099" s="5" t="str">
        <f>IFERROR(__xludf.DUMMYFUNCTION("GOOGLETRANSLATE(B26099,""en"",""de"")"),"Ein Newscaster von Mann und Frau scheinen auf Hockern zu sitzen, die beide in Arbeit gekleidet sind und mit der Kamera und miteinander sprechen.")</f>
        <v>Ein Newscaster von Mann und Frau scheinen auf Hockern zu sitzen, die beide in Arbeit gekleidet sind und mit der Kamera und miteinander sprechen.</v>
      </c>
    </row>
    <row r="26100">
      <c r="A26100" s="4" t="s">
        <v>32850</v>
      </c>
      <c r="B26100" s="4" t="s">
        <v>32853</v>
      </c>
      <c r="C26100" s="5" t="str">
        <f>IFERROR(__xludf.DUMMYFUNCTION("GOOGLETRANSLATE(B26100,""en"",""de"")"),"Die Newscaster -Frau wird jetzt im Freien gezeigt und spricht mit Menschen an einem Strand, und es gibt eine Auswahl an Menschen, die Sonnenlotion und verschiedene Arten von Suntan -Lotionen auftragen.")</f>
        <v>Die Newscaster -Frau wird jetzt im Freien gezeigt und spricht mit Menschen an einem Strand, und es gibt eine Auswahl an Menschen, die Sonnenlotion und verschiedene Arten von Suntan -Lotionen auftragen.</v>
      </c>
    </row>
    <row r="26101">
      <c r="A26101" s="4" t="s">
        <v>32850</v>
      </c>
      <c r="B26101" s="4" t="s">
        <v>32854</v>
      </c>
      <c r="C26101" s="5" t="str">
        <f>IFERROR(__xludf.DUMMYFUNCTION("GOOGLETRANSLATE(B26101,""en"",""de"")"),"Die Nachrichtensenderin sitzt jetzt am Strand, hält eine Flasche Suntan -Lotion und beginnt, Lotion über ihren Arm aufzutragen.")</f>
        <v>Die Nachrichtensenderin sitzt jetzt am Strand, hält eine Flasche Suntan -Lotion und beginnt, Lotion über ihren Arm aufzutragen.</v>
      </c>
    </row>
    <row r="26102">
      <c r="A26102" s="4" t="s">
        <v>32850</v>
      </c>
      <c r="B26102" s="4" t="s">
        <v>32855</v>
      </c>
      <c r="C26102" s="5" t="str">
        <f>IFERROR(__xludf.DUMMYFUNCTION("GOOGLETRANSLATE(B26102,""en"",""de"")"),"Ein neuer Clip erscheint mit der Nachrichtensenderin, die einen Arzt interviewt, dann wird eine Frau auf einem Stuhl sitzen, während der Arzt mit ihr einsetzt, und das Banner unten sagt ""Dr. Paul Cohen Dermatologe"" und verschiedene Klammern von Menschen"&amp;" Spielen in der Sonne spielen zwischen ihm und redeten.")</f>
        <v>Ein neuer Clip erscheint mit der Nachrichtensenderin, die einen Arzt interviewt, dann wird eine Frau auf einem Stuhl sitzen, während der Arzt mit ihr einsetzt, und das Banner unten sagt "Dr. Paul Cohen Dermatologe" und verschiedene Klammern von Menschen Spielen in der Sonne spielen zwischen ihm und redeten.</v>
      </c>
    </row>
    <row r="26103">
      <c r="A26103" s="4" t="s">
        <v>32850</v>
      </c>
      <c r="B26103" s="4" t="s">
        <v>32856</v>
      </c>
      <c r="C26103" s="5" t="str">
        <f>IFERROR(__xludf.DUMMYFUNCTION("GOOGLETRANSLATE(B26103,""en"",""de"")"),"Die Nachrichtensenderin ist im drinnen zurück mit dem Mann, mit dem sie früher gezeigt wurde, und sie enden mit einem Lächeln.")</f>
        <v>Die Nachrichtensenderin ist im drinnen zurück mit dem Mann, mit dem sie früher gezeigt wurde, und sie enden mit einem Lächeln.</v>
      </c>
    </row>
    <row r="26104">
      <c r="A26104" s="4" t="s">
        <v>32857</v>
      </c>
      <c r="B26104" s="4" t="s">
        <v>32858</v>
      </c>
      <c r="C26104" s="5" t="str">
        <f>IFERROR(__xludf.DUMMYFUNCTION("GOOGLETRANSLATE(B26104,""en"",""de"")"),"Es werden mehrere Clips von Männern gezeigt, die miteinander sprechen und auf einem Dirtbike fahren.")</f>
        <v>Es werden mehrere Clips von Männern gezeigt, die miteinander sprechen und auf einem Dirtbike fahren.</v>
      </c>
    </row>
    <row r="26105">
      <c r="A26105" s="4" t="s">
        <v>32857</v>
      </c>
      <c r="B26105" s="4" t="s">
        <v>32859</v>
      </c>
      <c r="C26105" s="5" t="str">
        <f>IFERROR(__xludf.DUMMYFUNCTION("GOOGLETRANSLATE(B26105,""en"",""de"")"),"Weitere Clips werden von Menschen gezeigt, die herumfahren und miteinander jubeln.")</f>
        <v>Weitere Clips werden von Menschen gezeigt, die herumfahren und miteinander jubeln.</v>
      </c>
    </row>
    <row r="26106">
      <c r="A26106" s="4" t="s">
        <v>32857</v>
      </c>
      <c r="B26106" s="4" t="s">
        <v>32860</v>
      </c>
      <c r="C26106" s="5" t="str">
        <f>IFERROR(__xludf.DUMMYFUNCTION("GOOGLETRANSLATE(B26106,""en"",""de"")"),"Die Fahrer gehen weiterhin um die Strecke und zeigen am Ende Sprünge.")</f>
        <v>Die Fahrer gehen weiterhin um die Strecke und zeigen am Ende Sprünge.</v>
      </c>
    </row>
    <row r="26107">
      <c r="A26107" s="4" t="s">
        <v>32861</v>
      </c>
      <c r="B26107" s="4" t="s">
        <v>32862</v>
      </c>
      <c r="C26107" s="5" t="str">
        <f>IFERROR(__xludf.DUMMYFUNCTION("GOOGLETRANSLATE(B26107,""en"",""de"")"),"Ein großer Burguer befindet sich in einem Tisch.")</f>
        <v>Ein großer Burguer befindet sich in einem Tisch.</v>
      </c>
    </row>
    <row r="26108">
      <c r="A26108" s="4" t="s">
        <v>32861</v>
      </c>
      <c r="B26108" s="4" t="s">
        <v>32863</v>
      </c>
      <c r="C26108" s="5" t="str">
        <f>IFERROR(__xludf.DUMMYFUNCTION("GOOGLETRANSLATE(B26108,""en"",""de"")"),"Frau spricht mit der Kamera, die ich vor einer Wand mit vielen Tapeten vor einer Wand schleife.")</f>
        <v>Frau spricht mit der Kamera, die ich vor einer Wand mit vielen Tapeten vor einer Wand schleife.</v>
      </c>
    </row>
    <row r="26109">
      <c r="A26109" s="4" t="s">
        <v>32861</v>
      </c>
      <c r="B26109" s="4" t="s">
        <v>32864</v>
      </c>
      <c r="C26109" s="5" t="str">
        <f>IFERROR(__xludf.DUMMYFUNCTION("GOOGLETRANSLATE(B26109,""en"",""de"")"),"Frau schnappen Sie sich ein Sandwich und verteilen Sie Butter darin, setzen Sie Gurken, Cheddar -Käse, Marmelade und Schweinefleisch.")</f>
        <v>Frau schnappen Sie sich ein Sandwich und verteilen Sie Butter darin, setzen Sie Gurken, Cheddar -Käse, Marmelade und Schweinefleisch.</v>
      </c>
    </row>
    <row r="26110">
      <c r="A26110" s="4" t="s">
        <v>32865</v>
      </c>
      <c r="B26110" s="4" t="s">
        <v>32866</v>
      </c>
      <c r="C26110" s="5" t="str">
        <f>IFERROR(__xludf.DUMMYFUNCTION("GOOGLETRANSLATE(B26110,""en"",""de"")"),"Die Leute fahren Stoßstangenautos auf einem braunen Boden.")</f>
        <v>Die Leute fahren Stoßstangenautos auf einem braunen Boden.</v>
      </c>
    </row>
    <row r="26111">
      <c r="A26111" s="4" t="s">
        <v>32865</v>
      </c>
      <c r="B26111" s="4" t="s">
        <v>32867</v>
      </c>
      <c r="C26111" s="5" t="str">
        <f>IFERROR(__xludf.DUMMYFUNCTION("GOOGLETRANSLATE(B26111,""en"",""de"")"),"Das rote Stoßfänger eines Jungen steckt auf der Säule fest.")</f>
        <v>Das rote Stoßfänger eines Jungen steckt auf der Säule fest.</v>
      </c>
    </row>
    <row r="26112">
      <c r="A26112" s="4" t="s">
        <v>32865</v>
      </c>
      <c r="B26112" s="4" t="s">
        <v>32868</v>
      </c>
      <c r="C26112" s="5" t="str">
        <f>IFERROR(__xludf.DUMMYFUNCTION("GOOGLETRANSLATE(B26112,""en"",""de"")"),"Eine Dame in einem schwarzen Jilbabwellen.")</f>
        <v>Eine Dame in einem schwarzen Jilbabwellen.</v>
      </c>
    </row>
    <row r="26113">
      <c r="A26113" s="4" t="s">
        <v>32865</v>
      </c>
      <c r="B26113" s="4" t="s">
        <v>32869</v>
      </c>
      <c r="C26113" s="5" t="str">
        <f>IFERROR(__xludf.DUMMYFUNCTION("GOOGLETRANSLATE(B26113,""en"",""de"")"),"Das Auto -Stoßfänger -Auto kollidiert mit einem Mann.")</f>
        <v>Das Auto -Stoßfänger -Auto kollidiert mit einem Mann.</v>
      </c>
    </row>
    <row r="26114">
      <c r="A26114" s="4" t="s">
        <v>32865</v>
      </c>
      <c r="B26114" s="4" t="s">
        <v>32870</v>
      </c>
      <c r="C26114" s="5" t="str">
        <f>IFERROR(__xludf.DUMMYFUNCTION("GOOGLETRANSLATE(B26114,""en"",""de"")"),"Ein Mann geht über den braunen Boden.")</f>
        <v>Ein Mann geht über den braunen Boden.</v>
      </c>
    </row>
    <row r="26115">
      <c r="A26115" s="4" t="s">
        <v>32871</v>
      </c>
      <c r="B26115" s="4" t="s">
        <v>32872</v>
      </c>
      <c r="C26115" s="5" t="str">
        <f>IFERROR(__xludf.DUMMYFUNCTION("GOOGLETRANSLATE(B26115,""en"",""de"")"),"Ein Mann wird gesehen, wie Produkte in die Haare einer Frau steckt, gefolgt von Blasen, die ihr Haar trocknet und sie abbischen.")</f>
        <v>Ein Mann wird gesehen, wie Produkte in die Haare einer Frau steckt, gefolgt von Blasen, die ihr Haar trocknet und sie abbischen.</v>
      </c>
    </row>
    <row r="26116">
      <c r="A26116" s="4" t="s">
        <v>32871</v>
      </c>
      <c r="B26116" s="4" t="s">
        <v>32873</v>
      </c>
      <c r="C26116" s="5" t="str">
        <f>IFERROR(__xludf.DUMMYFUNCTION("GOOGLETRANSLATE(B26116,""en"",""de"")"),"Die Person schneidet dann die Haare der Frau mehrere Zentimeter, während sie sich am Ende langsamer bewegt.")</f>
        <v>Die Person schneidet dann die Haare der Frau mehrere Zentimeter, während sie sich am Ende langsamer bewegt.</v>
      </c>
    </row>
    <row r="26117">
      <c r="A26117" s="4" t="s">
        <v>32874</v>
      </c>
      <c r="B26117" s="4" t="s">
        <v>32875</v>
      </c>
      <c r="C26117" s="5" t="str">
        <f>IFERROR(__xludf.DUMMYFUNCTION("GOOGLETRANSLATE(B26117,""en"",""de"")"),"Eine Gruppe von Models wird in einer Autowäsche gesammelt.")</f>
        <v>Eine Gruppe von Models wird in einer Autowäsche gesammelt.</v>
      </c>
    </row>
    <row r="26118">
      <c r="A26118" s="4" t="s">
        <v>32874</v>
      </c>
      <c r="B26118" s="4" t="s">
        <v>32876</v>
      </c>
      <c r="C26118" s="5" t="str">
        <f>IFERROR(__xludf.DUMMYFUNCTION("GOOGLETRANSLATE(B26118,""en"",""de"")"),"Autos ziehen sich an, und die Frau benutzt Seife, um die Autos zu seifen.")</f>
        <v>Autos ziehen sich an, und die Frau benutzt Seife, um die Autos zu seifen.</v>
      </c>
    </row>
    <row r="26119">
      <c r="A26119" s="4" t="s">
        <v>32874</v>
      </c>
      <c r="B26119" s="4" t="s">
        <v>32877</v>
      </c>
      <c r="C26119" s="5" t="str">
        <f>IFERROR(__xludf.DUMMYFUNCTION("GOOGLETRANSLATE(B26119,""en"",""de"")"),"Sie spülen dann und wischen die Autos sauber.")</f>
        <v>Sie spülen dann und wischen die Autos sauber.</v>
      </c>
    </row>
    <row r="26120">
      <c r="A26120" s="4" t="s">
        <v>32878</v>
      </c>
      <c r="B26120" s="4" t="s">
        <v>32879</v>
      </c>
      <c r="C26120" s="5" t="str">
        <f>IFERROR(__xludf.DUMMYFUNCTION("GOOGLETRANSLATE(B26120,""en"",""de"")"),"Ein kleiner Junge spielt im Dschungel -Fitnessstudio, während ein Mann mit ihm spricht und aufzeichnet.")</f>
        <v>Ein kleiner Junge spielt im Dschungel -Fitnessstudio, während ein Mann mit ihm spricht und aufzeichnet.</v>
      </c>
    </row>
    <row r="26121">
      <c r="A26121" s="4" t="s">
        <v>32878</v>
      </c>
      <c r="B26121" s="4" t="s">
        <v>32880</v>
      </c>
      <c r="C26121" s="5" t="str">
        <f>IFERROR(__xludf.DUMMYFUNCTION("GOOGLETRANSLATE(B26121,""en"",""de"")"),"Er geht die Treppe hinauf und rutscht mehrmals die Rutsche hinunter.")</f>
        <v>Er geht die Treppe hinauf und rutscht mehrmals die Rutsche hinunter.</v>
      </c>
    </row>
    <row r="26122">
      <c r="A26122" s="4" t="s">
        <v>32878</v>
      </c>
      <c r="B26122" s="4" t="s">
        <v>32881</v>
      </c>
      <c r="C26122" s="5" t="str">
        <f>IFERROR(__xludf.DUMMYFUNCTION("GOOGLETRANSLATE(B26122,""en"",""de"")"),"Wenn er fertig ist, geht er rüber und umarmt eine Dame im Rollstuhl.")</f>
        <v>Wenn er fertig ist, geht er rüber und umarmt eine Dame im Rollstuhl.</v>
      </c>
    </row>
    <row r="26123">
      <c r="A26123" s="4" t="s">
        <v>32882</v>
      </c>
      <c r="B26123" s="4" t="s">
        <v>32883</v>
      </c>
      <c r="C26123" s="5" t="str">
        <f>IFERROR(__xludf.DUMMYFUNCTION("GOOGLETRANSLATE(B26123,""en"",""de"")"),"Es gibt einen Spezialisten für Hausverbesserung, der zeigt, wie man Tapete von Wänden entzieht.")</f>
        <v>Es gibt einen Spezialisten für Hausverbesserung, der zeigt, wie man Tapete von Wänden entzieht.</v>
      </c>
    </row>
    <row r="26124">
      <c r="A26124" s="4" t="s">
        <v>32882</v>
      </c>
      <c r="B26124" s="4" t="s">
        <v>32884</v>
      </c>
      <c r="C26124" s="5" t="str">
        <f>IFERROR(__xludf.DUMMYFUNCTION("GOOGLETRANSLATE(B26124,""en"",""de"")"),"Er beginnt damit, den Raum vorzubereiten, indem er Möbel von den Wänden weg bewegen und die Möbel mit Plastikblättern zum Schutz bedeckt.")</f>
        <v>Er beginnt damit, den Raum vorzubereiten, indem er Möbel von den Wänden weg bewegen und die Möbel mit Plastikblättern zum Schutz bedeckt.</v>
      </c>
    </row>
    <row r="26125">
      <c r="A26125" s="4" t="s">
        <v>32882</v>
      </c>
      <c r="B26125" s="4" t="s">
        <v>32885</v>
      </c>
      <c r="C26125" s="5" t="str">
        <f>IFERROR(__xludf.DUMMYFUNCTION("GOOGLETRANSLATE(B26125,""en"",""de"")"),"Er entfernt auch die Fensterbehandlungen von Fenstern.")</f>
        <v>Er entfernt auch die Fensterbehandlungen von Fenstern.</v>
      </c>
    </row>
    <row r="26126">
      <c r="A26126" s="4" t="s">
        <v>32882</v>
      </c>
      <c r="B26126" s="4" t="s">
        <v>32886</v>
      </c>
      <c r="C26126" s="5" t="str">
        <f>IFERROR(__xludf.DUMMYFUNCTION("GOOGLETRANSLATE(B26126,""en"",""de"")"),"Er zeigt, wie man Vorsichtsmaßnahmen in Bezug auf elektrische Verkabelung, Schalter und Schaltkreise ergriffen.")</f>
        <v>Er zeigt, wie man Vorsichtsmaßnahmen in Bezug auf elektrische Verkabelung, Schalter und Schaltkreise ergriffen.</v>
      </c>
    </row>
    <row r="26127">
      <c r="A26127" s="4" t="s">
        <v>32882</v>
      </c>
      <c r="B26127" s="4" t="s">
        <v>32887</v>
      </c>
      <c r="C26127" s="5" t="str">
        <f>IFERROR(__xludf.DUMMYFUNCTION("GOOGLETRANSLATE(B26127,""en"",""de"")"),"Dann zeigt er, wie man Fans benutzt, um den Raum zu belüften.")</f>
        <v>Dann zeigt er, wie man Fans benutzt, um den Raum zu belüften.</v>
      </c>
    </row>
    <row r="26128">
      <c r="A26128" s="4" t="s">
        <v>32882</v>
      </c>
      <c r="B26128" s="4" t="s">
        <v>32888</v>
      </c>
      <c r="C26128" s="5" t="str">
        <f>IFERROR(__xludf.DUMMYFUNCTION("GOOGLETRANSLATE(B26128,""en"",""de"")"),"Er nimmt einen Geißel und beginnt, das Handlitt zu durchsuchen.")</f>
        <v>Er nimmt einen Geißel und beginnt, das Handlitt zu durchsuchen.</v>
      </c>
    </row>
    <row r="26129">
      <c r="A26129" s="4" t="s">
        <v>32882</v>
      </c>
      <c r="B26129" s="4" t="s">
        <v>32889</v>
      </c>
      <c r="C26129" s="5" t="str">
        <f>IFERROR(__xludf.DUMMYFUNCTION("GOOGLETRANSLATE(B26129,""en"",""de"")"),"Er benutzt eine Lackwalze, um das Handlittpapier für die einfache Entfernung einzuweichen.")</f>
        <v>Er benutzt eine Lackwalze, um das Handlittpapier für die einfache Entfernung einzuweichen.</v>
      </c>
    </row>
    <row r="26130">
      <c r="A26130" s="4" t="s">
        <v>32882</v>
      </c>
      <c r="B26130" s="4" t="s">
        <v>32890</v>
      </c>
      <c r="C26130" s="5" t="str">
        <f>IFERROR(__xludf.DUMMYFUNCTION("GOOGLETRANSLATE(B26130,""en"",""de"")"),"Dann zeigt er, wie auch Dampf verwendet werden kann, um das Handlungspapier zu lockern.")</f>
        <v>Dann zeigt er, wie auch Dampf verwendet werden kann, um das Handlungspapier zu lockern.</v>
      </c>
    </row>
    <row r="26131">
      <c r="A26131" s="4" t="s">
        <v>32882</v>
      </c>
      <c r="B26131" s="4" t="s">
        <v>32891</v>
      </c>
      <c r="C26131" s="5" t="str">
        <f>IFERROR(__xludf.DUMMYFUNCTION("GOOGLETRANSLATE(B26131,""en"",""de"")"),"Dann beginnt er langsam das Papier von der Wand abzuziehen.")</f>
        <v>Dann beginnt er langsam das Papier von der Wand abzuziehen.</v>
      </c>
    </row>
    <row r="26132">
      <c r="A26132" s="4" t="s">
        <v>32882</v>
      </c>
      <c r="B26132" s="4" t="s">
        <v>32892</v>
      </c>
      <c r="C26132" s="5" t="str">
        <f>IFERROR(__xludf.DUMMYFUNCTION("GOOGLETRANSLATE(B26132,""en"",""de"")"),"Er weist die Oberfläche erneut auf und entfernen ein flaches Werkzeug, um hartnäckige Nadelpapier zu entfernen.")</f>
        <v>Er weist die Oberfläche erneut auf und entfernen ein flaches Werkzeug, um hartnäckige Nadelpapier zu entfernen.</v>
      </c>
    </row>
    <row r="26133">
      <c r="A26133" s="4" t="s">
        <v>32882</v>
      </c>
      <c r="B26133" s="4" t="s">
        <v>32893</v>
      </c>
      <c r="C26133" s="5" t="str">
        <f>IFERROR(__xludf.DUMMYFUNCTION("GOOGLETRANSLATE(B26133,""en"",""de"")"),"Er verwendet schließlich einen Schwamm und ein Seifenwasser, um die Wand zu reinigen, um alle restlichen Handteten zu entfernen.")</f>
        <v>Er verwendet schließlich einen Schwamm und ein Seifenwasser, um die Wand zu reinigen, um alle restlichen Handteten zu entfernen.</v>
      </c>
    </row>
    <row r="26134">
      <c r="A26134" s="4" t="s">
        <v>32882</v>
      </c>
      <c r="B26134" s="4" t="s">
        <v>32894</v>
      </c>
      <c r="C26134" s="5" t="str">
        <f>IFERROR(__xludf.DUMMYFUNCTION("GOOGLETRANSLATE(B26134,""en"",""de"")"),"Er zeigt, wie man Primer anwendet, um die Wand zum Malen vorzubereiten.")</f>
        <v>Er zeigt, wie man Primer anwendet, um die Wand zum Malen vorzubereiten.</v>
      </c>
    </row>
    <row r="26135">
      <c r="A26135" s="4" t="s">
        <v>32882</v>
      </c>
      <c r="B26135" s="4" t="s">
        <v>32895</v>
      </c>
      <c r="C26135" s="5" t="str">
        <f>IFERROR(__xludf.DUMMYFUNCTION("GOOGLETRANSLATE(B26135,""en"",""de"")"),"Informationen zur Verwendung dieser Techniken finden Sie auf der Firma -Website von Lowe.")</f>
        <v>Informationen zur Verwendung dieser Techniken finden Sie auf der Firma -Website von Lowe.</v>
      </c>
    </row>
    <row r="26136">
      <c r="A26136" s="4" t="s">
        <v>32896</v>
      </c>
      <c r="B26136" s="4" t="s">
        <v>32897</v>
      </c>
      <c r="C26136" s="5" t="str">
        <f>IFERROR(__xludf.DUMMYFUNCTION("GOOGLETRANSLATE(B26136,""en"",""de"")"),"Der Küchenchef schleift vor einem Coutner mit gehackten Zutaten in verschiedenen Tellern und spricht mit der Kamera.")</f>
        <v>Der Küchenchef schleift vor einem Coutner mit gehackten Zutaten in verschiedenen Tellern und spricht mit der Kamera.</v>
      </c>
    </row>
    <row r="26137">
      <c r="A26137" s="4" t="s">
        <v>32896</v>
      </c>
      <c r="B26137" s="4" t="s">
        <v>32898</v>
      </c>
      <c r="C26137" s="5" t="str">
        <f>IFERROR(__xludf.DUMMYFUNCTION("GOOGLETRANSLATE(B26137,""en"",""de"")"),"Mann Öl auf die Pfanne sprühen und die Mischung aus Eiern und Gemüse hinzufügen.")</f>
        <v>Mann Öl auf die Pfanne sprühen und die Mischung aus Eiern und Gemüse hinzufügen.</v>
      </c>
    </row>
    <row r="26138">
      <c r="A26138" s="4" t="s">
        <v>32896</v>
      </c>
      <c r="B26138" s="4" t="s">
        <v>32899</v>
      </c>
      <c r="C26138" s="5" t="str">
        <f>IFERROR(__xludf.DUMMYFUNCTION("GOOGLETRANSLATE(B26138,""en"",""de"")"),"Der Mann steht in der Küche und spricht mit der Kamera und gibt ein Rezept.")</f>
        <v>Der Mann steht in der Küche und spricht mit der Kamera und gibt ein Rezept.</v>
      </c>
    </row>
    <row r="26139">
      <c r="A26139" s="4" t="s">
        <v>32900</v>
      </c>
      <c r="B26139" s="4" t="s">
        <v>32901</v>
      </c>
      <c r="C26139" s="5" t="str">
        <f>IFERROR(__xludf.DUMMYFUNCTION("GOOGLETRANSLATE(B26139,""en"",""de"")"),"Zwei Teams sind im Field Playa -Spiel und versuchen zu punkten.")</f>
        <v>Zwei Teams sind im Field Playa -Spiel und versuchen zu punkten.</v>
      </c>
    </row>
    <row r="26140">
      <c r="A26140" s="4" t="s">
        <v>32900</v>
      </c>
      <c r="B26140" s="4" t="s">
        <v>32902</v>
      </c>
      <c r="C26140" s="5" t="str">
        <f>IFERROR(__xludf.DUMMYFUNCTION("GOOGLETRANSLATE(B26140,""en"",""de"")"),"Einer der Spieler im Blue Team fällt auf das Feld.")</f>
        <v>Einer der Spieler im Blue Team fällt auf das Feld.</v>
      </c>
    </row>
    <row r="26141">
      <c r="A26141" s="4" t="s">
        <v>32900</v>
      </c>
      <c r="B26141" s="4" t="s">
        <v>32903</v>
      </c>
      <c r="C26141" s="5" t="str">
        <f>IFERROR(__xludf.DUMMYFUNCTION("GOOGLETRANSLATE(B26141,""en"",""de"")"),"Ein anderer blauer Spieler bekommt den Ball von außerhalb der Grenzen, setzt ihn auf die Linie und schlägt wieder ins Spiel.")</f>
        <v>Ein anderer blauer Spieler bekommt den Ball von außerhalb der Grenzen, setzt ihn auf die Linie und schlägt wieder ins Spiel.</v>
      </c>
    </row>
    <row r="26142">
      <c r="A26142" s="4" t="s">
        <v>32900</v>
      </c>
      <c r="B26142" s="4" t="s">
        <v>32904</v>
      </c>
      <c r="C26142" s="5" t="str">
        <f>IFERROR(__xludf.DUMMYFUNCTION("GOOGLETRANSLATE(B26142,""en"",""de"")"),"TE -Trainer beginnen sowohl mit Freude als auch mit den Spielern zu springen.")</f>
        <v>TE -Trainer beginnen sowohl mit Freude als auch mit den Spielern zu springen.</v>
      </c>
    </row>
    <row r="26143">
      <c r="A26143" s="4" t="s">
        <v>32905</v>
      </c>
      <c r="B26143" s="4" t="s">
        <v>32906</v>
      </c>
      <c r="C26143" s="5" t="str">
        <f>IFERROR(__xludf.DUMMYFUNCTION("GOOGLETRANSLATE(B26143,""en"",""de"")"),"Zwei Männer schlurfen Besen über einen Boden, wobei ein weiterer an einer Schnur es zieht.")</f>
        <v>Zwei Männer schlurfen Besen über einen Boden, wobei ein weiterer an einer Schnur es zieht.</v>
      </c>
    </row>
    <row r="26144">
      <c r="A26144" s="4" t="s">
        <v>32905</v>
      </c>
      <c r="B26144" s="4" t="s">
        <v>32907</v>
      </c>
      <c r="C26144" s="5" t="str">
        <f>IFERROR(__xludf.DUMMYFUNCTION("GOOGLETRANSLATE(B26144,""en"",""de"")"),"Ein Mann folgt hinter und die beiden Mischungen bewegen den Puck schließlich in ein Loch.")</f>
        <v>Ein Mann folgt hinter und die beiden Mischungen bewegen den Puck schließlich in ein Loch.</v>
      </c>
    </row>
    <row r="26145">
      <c r="A26145" s="4" t="s">
        <v>32905</v>
      </c>
      <c r="B26145" s="4" t="s">
        <v>32908</v>
      </c>
      <c r="C26145" s="5" t="str">
        <f>IFERROR(__xludf.DUMMYFUNCTION("GOOGLETRANSLATE(B26145,""en"",""de"")"),"Die drei Männer jubeln miteinander und geben sich gegenseitig große Umarmungen.")</f>
        <v>Die drei Männer jubeln miteinander und geben sich gegenseitig große Umarmungen.</v>
      </c>
    </row>
    <row r="26146">
      <c r="A26146" s="4" t="s">
        <v>32909</v>
      </c>
      <c r="B26146" s="4" t="s">
        <v>32910</v>
      </c>
      <c r="C26146" s="5" t="str">
        <f>IFERROR(__xludf.DUMMYFUNCTION("GOOGLETRANSLATE(B26146,""en"",""de"")"),"Das Video beginnt mit einer Nahaufnahme eines Reifens in einem Autoladen.")</f>
        <v>Das Video beginnt mit einer Nahaufnahme eines Reifens in einem Autoladen.</v>
      </c>
    </row>
    <row r="26147">
      <c r="A26147" s="4" t="s">
        <v>32909</v>
      </c>
      <c r="B26147" s="4" t="s">
        <v>32911</v>
      </c>
      <c r="C26147" s="5" t="str">
        <f>IFERROR(__xludf.DUMMYFUNCTION("GOOGLETRANSLATE(B26147,""en"",""de"")"),"Der Kameramann nutzt seine Hand, um einen bestimmten Ort auf dem Reifen zu zeigen und näher zu zoomen.")</f>
        <v>Der Kameramann nutzt seine Hand, um einen bestimmten Ort auf dem Reifen zu zeigen und näher zu zoomen.</v>
      </c>
    </row>
    <row r="26148">
      <c r="A26148" s="4" t="s">
        <v>32909</v>
      </c>
      <c r="B26148" s="4" t="s">
        <v>32912</v>
      </c>
      <c r="C26148" s="5" t="str">
        <f>IFERROR(__xludf.DUMMYFUNCTION("GOOGLETRANSLATE(B26148,""en"",""de"")"),"Der Mann legt die Kamera nieder und arbeitet am Reifen.")</f>
        <v>Der Mann legt die Kamera nieder und arbeitet am Reifen.</v>
      </c>
    </row>
    <row r="26149">
      <c r="A26149" s="4" t="s">
        <v>32909</v>
      </c>
      <c r="B26149" s="4" t="s">
        <v>32913</v>
      </c>
      <c r="C26149" s="5" t="str">
        <f>IFERROR(__xludf.DUMMYFUNCTION("GOOGLETRANSLATE(B26149,""en"",""de"")"),"Er schnappt sich die Kamera erneut, um verschiedene Schrauben zu zeigen.")</f>
        <v>Er schnappt sich die Kamera erneut, um verschiedene Schrauben zu zeigen.</v>
      </c>
    </row>
    <row r="26150">
      <c r="A26150" s="4" t="s">
        <v>32909</v>
      </c>
      <c r="B26150" s="4" t="s">
        <v>32914</v>
      </c>
      <c r="C26150" s="5" t="str">
        <f>IFERROR(__xludf.DUMMYFUNCTION("GOOGLETRANSLATE(B26150,""en"",""de"")"),"Das Video endet beide Seiten des Reifens.")</f>
        <v>Das Video endet beide Seiten des Reifens.</v>
      </c>
    </row>
    <row r="26151">
      <c r="A26151" s="4" t="s">
        <v>32915</v>
      </c>
      <c r="B26151" s="4" t="s">
        <v>32916</v>
      </c>
      <c r="C26151" s="5" t="str">
        <f>IFERROR(__xludf.DUMMYFUNCTION("GOOGLETRANSLATE(B26151,""en"",""de"")"),"Die Kamera schwenkt über die Wände eines Duschkabels.")</f>
        <v>Die Kamera schwenkt über die Wände eines Duschkabels.</v>
      </c>
    </row>
    <row r="26152">
      <c r="A26152" s="4" t="s">
        <v>32915</v>
      </c>
      <c r="B26152" s="4" t="s">
        <v>32917</v>
      </c>
      <c r="C26152" s="5" t="str">
        <f>IFERROR(__xludf.DUMMYFUNCTION("GOOGLETRANSLATE(B26152,""en"",""de"")"),"Ein Mann plastert und installiert Fliesen an der Wand.")</f>
        <v>Ein Mann plastert und installiert Fliesen an der Wand.</v>
      </c>
    </row>
    <row r="26153">
      <c r="A26153" s="4" t="s">
        <v>32915</v>
      </c>
      <c r="B26153" s="4" t="s">
        <v>24144</v>
      </c>
      <c r="C26153" s="5" t="str">
        <f>IFERROR(__xludf.DUMMYFUNCTION("GOOGLETRANSLATE(B26153,""en"",""de"")"),"Der Mann spricht mit der Kamera.")</f>
        <v>Der Mann spricht mit der Kamera.</v>
      </c>
    </row>
    <row r="26154">
      <c r="A26154" s="4" t="s">
        <v>32915</v>
      </c>
      <c r="B26154" s="4" t="s">
        <v>32918</v>
      </c>
      <c r="C26154" s="5" t="str">
        <f>IFERROR(__xludf.DUMMYFUNCTION("GOOGLETRANSLATE(B26154,""en"",""de"")"),"Der Mann wendet Fugenmörtel auf die Lücken zwischen den Fliesen an.")</f>
        <v>Der Mann wendet Fugenmörtel auf die Lücken zwischen den Fliesen an.</v>
      </c>
    </row>
    <row r="26155">
      <c r="A26155" s="4" t="s">
        <v>32915</v>
      </c>
      <c r="B26155" s="4" t="s">
        <v>32919</v>
      </c>
      <c r="C26155" s="5" t="str">
        <f>IFERROR(__xludf.DUMMYFUNCTION("GOOGLETRANSLATE(B26155,""en"",""de"")"),"Der Mann misst und schneidet eine Fliese zur Installation in der Dusche.")</f>
        <v>Der Mann misst und schneidet eine Fliese zur Installation in der Dusche.</v>
      </c>
    </row>
    <row r="26156">
      <c r="A26156" s="4" t="s">
        <v>32915</v>
      </c>
      <c r="B26156" s="4" t="s">
        <v>32920</v>
      </c>
      <c r="C26156" s="5" t="str">
        <f>IFERROR(__xludf.DUMMYFUNCTION("GOOGLETRANSLATE(B26156,""en"",""de"")"),"Der Mann installiert die Seifenschale.")</f>
        <v>Der Mann installiert die Seifenschale.</v>
      </c>
    </row>
    <row r="26157">
      <c r="A26157" s="4" t="s">
        <v>32915</v>
      </c>
      <c r="B26157" s="4" t="s">
        <v>32921</v>
      </c>
      <c r="C26157" s="5" t="str">
        <f>IFERROR(__xludf.DUMMYFUNCTION("GOOGLETRANSLATE(B26157,""en"",""de"")"),"Scrolling -Text wird auf einem blauen Bildschirm angezeigt.")</f>
        <v>Scrolling -Text wird auf einem blauen Bildschirm angezeigt.</v>
      </c>
    </row>
    <row r="26158">
      <c r="A26158" s="4" t="s">
        <v>32922</v>
      </c>
      <c r="B26158" s="4" t="s">
        <v>32923</v>
      </c>
      <c r="C26158" s="5" t="str">
        <f>IFERROR(__xludf.DUMMYFUNCTION("GOOGLETRANSLATE(B26158,""en"",""de"")"),"Es gibt eine Einrichtung, die nur für Bier -Pong -Spiele geöffnet ist, damit die Leute spielen können.")</f>
        <v>Es gibt eine Einrichtung, die nur für Bier -Pong -Spiele geöffnet ist, damit die Leute spielen können.</v>
      </c>
    </row>
    <row r="26159">
      <c r="A26159" s="4" t="s">
        <v>32922</v>
      </c>
      <c r="B26159" s="4" t="s">
        <v>32924</v>
      </c>
      <c r="C26159" s="5" t="str">
        <f>IFERROR(__xludf.DUMMYFUNCTION("GOOGLETRANSLATE(B26159,""en"",""de"")"),"Jeder liebt es und freut sich, dort in anderen Menschen zu sein, die gerne spielen.")</f>
        <v>Jeder liebt es und freut sich, dort in anderen Menschen zu sein, die gerne spielen.</v>
      </c>
    </row>
    <row r="26160">
      <c r="A26160" s="4" t="s">
        <v>32922</v>
      </c>
      <c r="B26160" s="4" t="s">
        <v>32925</v>
      </c>
      <c r="C26160" s="5" t="str">
        <f>IFERROR(__xludf.DUMMYFUNCTION("GOOGLETRANSLATE(B26160,""en"",""de"")"),"Viele verschiedene Gruppen spielen und reden darüber und spielen sogar Rockpapierschere, um zu sehen, wer zuerst gehen darf.")</f>
        <v>Viele verschiedene Gruppen spielen und reden darüber und spielen sogar Rockpapierschere, um zu sehen, wer zuerst gehen darf.</v>
      </c>
    </row>
    <row r="26161">
      <c r="A26161" s="4" t="s">
        <v>32922</v>
      </c>
      <c r="B26161" s="4" t="s">
        <v>32926</v>
      </c>
      <c r="C26161" s="5" t="str">
        <f>IFERROR(__xludf.DUMMYFUNCTION("GOOGLETRANSLATE(B26161,""en"",""de"")"),"Wer der Gewinner ist, bekommt am Ende des Spiels einen Scheck.")</f>
        <v>Wer der Gewinner ist, bekommt am Ende des Spiels einen Scheck.</v>
      </c>
    </row>
    <row r="26162">
      <c r="A26162" s="4" t="s">
        <v>32927</v>
      </c>
      <c r="B26162" s="4" t="s">
        <v>32928</v>
      </c>
      <c r="C26162" s="5" t="str">
        <f>IFERROR(__xludf.DUMMYFUNCTION("GOOGLETRANSLATE(B26162,""en"",""de"")"),"Eine große Gruppe von Menschen befindet sich in einem Einkaufszentrum und beobachtet, wie Menschen einen Bereich mit einem großen schwarzen Boden und einer großen schwarzen Wand einrichten.")</f>
        <v>Eine große Gruppe von Menschen befindet sich in einem Einkaufszentrum und beobachtet, wie Menschen einen Bereich mit einem großen schwarzen Boden und einer großen schwarzen Wand einrichten.</v>
      </c>
    </row>
    <row r="26163">
      <c r="A26163" s="4" t="s">
        <v>32927</v>
      </c>
      <c r="B26163" s="4" t="s">
        <v>32929</v>
      </c>
      <c r="C26163" s="5" t="str">
        <f>IFERROR(__xludf.DUMMYFUNCTION("GOOGLETRANSLATE(B26163,""en"",""de"")"),"Plötzlich gibt es beleuchtete Menschen, die leichte Anzüge tragen, die auf der schwarzen Gegend tanzen, und sie wechseln von 1-7 Personen und wechseln sich von weißen und dann wieder zu Weiß zurück.")</f>
        <v>Plötzlich gibt es beleuchtete Menschen, die leichte Anzüge tragen, die auf der schwarzen Gegend tanzen, und sie wechseln von 1-7 Personen und wechseln sich von weißen und dann wieder zu Weiß zurück.</v>
      </c>
    </row>
    <row r="26164">
      <c r="A26164" s="4" t="s">
        <v>32927</v>
      </c>
      <c r="B26164" s="4" t="s">
        <v>32930</v>
      </c>
      <c r="C26164" s="5" t="str">
        <f>IFERROR(__xludf.DUMMYFUNCTION("GOOGLETRANSLATE(B26164,""en"",""de"")"),"Ihre Lichtanzüge gehen aus und der Tanz ist vorbei.")</f>
        <v>Ihre Lichtanzüge gehen aus und der Tanz ist vorbei.</v>
      </c>
    </row>
    <row r="26165">
      <c r="A26165" s="4" t="s">
        <v>32931</v>
      </c>
      <c r="B26165" s="4" t="s">
        <v>32932</v>
      </c>
      <c r="C26165" s="5" t="str">
        <f>IFERROR(__xludf.DUMMYFUNCTION("GOOGLETRANSLATE(B26165,""en"",""de"")"),"Ein Mann, der einen sich bewegenden Traktor fährt, tritt herum und schaut nach vorne.")</f>
        <v>Ein Mann, der einen sich bewegenden Traktor fährt, tritt herum und schaut nach vorne.</v>
      </c>
    </row>
    <row r="26166">
      <c r="A26166" s="4" t="s">
        <v>32931</v>
      </c>
      <c r="B26166" s="4" t="s">
        <v>32933</v>
      </c>
      <c r="C26166" s="5" t="str">
        <f>IFERROR(__xludf.DUMMYFUNCTION("GOOGLETRANSLATE(B26166,""en"",""de"")"),"Er beginnt sich wieder auf der Maschine zu bewegen, die das Gras schneidet und das Instrument lenkt.")</f>
        <v>Er beginnt sich wieder auf der Maschine zu bewegen, die das Gras schneidet und das Instrument lenkt.</v>
      </c>
    </row>
    <row r="26167">
      <c r="A26167" s="4" t="s">
        <v>32931</v>
      </c>
      <c r="B26167" s="4" t="s">
        <v>32934</v>
      </c>
      <c r="C26167" s="5" t="str">
        <f>IFERROR(__xludf.DUMMYFUNCTION("GOOGLETRANSLATE(B26167,""en"",""de"")"),"Ein Mann auf einem Fahrrad schaut weiter und lacht und der Mann tritt schließlich los.")</f>
        <v>Ein Mann auf einem Fahrrad schaut weiter und lacht und der Mann tritt schließlich los.</v>
      </c>
    </row>
    <row r="26168">
      <c r="A26168" s="4" t="s">
        <v>32935</v>
      </c>
      <c r="B26168" s="4" t="s">
        <v>32936</v>
      </c>
      <c r="C26168" s="5" t="str">
        <f>IFERROR(__xludf.DUMMYFUNCTION("GOOGLETRANSLATE(B26168,""en"",""de"")"),"Ein tätowierter Künstler wird gezeigt, durchsetzt mit den Künstlern, die mit der Kamera sprechen und Tätowierungen geben.")</f>
        <v>Ein tätowierter Künstler wird gezeigt, durchsetzt mit den Künstlern, die mit der Kamera sprechen und Tätowierungen geben.</v>
      </c>
    </row>
    <row r="26169">
      <c r="A26169" s="4" t="s">
        <v>32935</v>
      </c>
      <c r="B26169" s="4" t="s">
        <v>32937</v>
      </c>
      <c r="C26169" s="5" t="str">
        <f>IFERROR(__xludf.DUMMYFUNCTION("GOOGLETRANSLATE(B26169,""en"",""de"")"),"Sie zeigen verschiedene Bilder ihrer fertigen Arbeit, die mit einer aktiven Injektion von Tinte und der Herstellung von Designs verbunden sind.")</f>
        <v>Sie zeigen verschiedene Bilder ihrer fertigen Arbeit, die mit einer aktiven Injektion von Tinte und der Herstellung von Designs verbunden sind.</v>
      </c>
    </row>
    <row r="26170">
      <c r="A26170" s="4" t="s">
        <v>32938</v>
      </c>
      <c r="B26170" s="4" t="s">
        <v>32939</v>
      </c>
      <c r="C26170" s="5" t="str">
        <f>IFERROR(__xludf.DUMMYFUNCTION("GOOGLETRANSLATE(B26170,""en"",""de"")"),"Ein Junge geht mit Helm und Schwert über die Bühne.")</f>
        <v>Ein Junge geht mit Helm und Schwert über die Bühne.</v>
      </c>
    </row>
    <row r="26171">
      <c r="A26171" s="4" t="s">
        <v>32938</v>
      </c>
      <c r="B26171" s="4" t="s">
        <v>32940</v>
      </c>
      <c r="C26171" s="5" t="str">
        <f>IFERROR(__xludf.DUMMYFUNCTION("GOOGLETRANSLATE(B26171,""en"",""de"")"),"Der Junge trifft einen anderen Jungen, bei dem Babygesichter auf seinen Gesichtern gezeigt werden.")</f>
        <v>Der Junge trifft einen anderen Jungen, bei dem Babygesichter auf seinen Gesichtern gezeigt werden.</v>
      </c>
    </row>
    <row r="26172">
      <c r="A26172" s="4" t="s">
        <v>32938</v>
      </c>
      <c r="B26172" s="4" t="s">
        <v>32941</v>
      </c>
      <c r="C26172" s="5" t="str">
        <f>IFERROR(__xludf.DUMMYFUNCTION("GOOGLETRANSLATE(B26172,""en"",""de"")"),"Ein Mann, der zeigt, dass ich kahle Worte bin, ist über seinem Kopf.")</f>
        <v>Ein Mann, der zeigt, dass ich kahle Worte bin, ist über seinem Kopf.</v>
      </c>
    </row>
    <row r="26173">
      <c r="A26173" s="4" t="s">
        <v>32938</v>
      </c>
      <c r="B26173" s="4" t="s">
        <v>32942</v>
      </c>
      <c r="C26173" s="5" t="str">
        <f>IFERROR(__xludf.DUMMYFUNCTION("GOOGLETRANSLATE(B26173,""en"",""de"")"),"Die Jungen trennen sich als Fragezeichen über ihren Köpfen.")</f>
        <v>Die Jungen trennen sich als Fragezeichen über ihren Köpfen.</v>
      </c>
    </row>
    <row r="26174">
      <c r="A26174" s="4" t="s">
        <v>32938</v>
      </c>
      <c r="B26174" s="4" t="s">
        <v>32943</v>
      </c>
      <c r="C26174" s="5" t="str">
        <f>IFERROR(__xludf.DUMMYFUNCTION("GOOGLETRANSLATE(B26174,""en"",""de"")"),"Eine Beschreibung des Videos wird angezeigt.")</f>
        <v>Eine Beschreibung des Videos wird angezeigt.</v>
      </c>
    </row>
    <row r="26175">
      <c r="A26175" s="4" t="s">
        <v>32938</v>
      </c>
      <c r="B26175" s="4" t="s">
        <v>32944</v>
      </c>
      <c r="C26175" s="5" t="str">
        <f>IFERROR(__xludf.DUMMYFUNCTION("GOOGLETRANSLATE(B26175,""en"",""de"")"),"Der Jungen sparsam über die Bühne.")</f>
        <v>Der Jungen sparsam über die Bühne.</v>
      </c>
    </row>
    <row r="26176">
      <c r="A26176" s="4" t="s">
        <v>32938</v>
      </c>
      <c r="B26176" s="4" t="s">
        <v>32945</v>
      </c>
      <c r="C26176" s="5" t="str">
        <f>IFERROR(__xludf.DUMMYFUNCTION("GOOGLETRANSLATE(B26176,""en"",""de"")"),"Täuschung Zitate werden über ihrem Kopf angezeigt und sie sparen weiter.")</f>
        <v>Täuschung Zitate werden über ihrem Kopf angezeigt und sie sparen weiter.</v>
      </c>
    </row>
    <row r="26177">
      <c r="A26177" s="4" t="s">
        <v>32938</v>
      </c>
      <c r="B26177" s="4" t="s">
        <v>32946</v>
      </c>
      <c r="C26177" s="5" t="str">
        <f>IFERROR(__xludf.DUMMYFUNCTION("GOOGLETRANSLATE(B26177,""en"",""de"")"),"Der Junge auf der linken Seite verwandelt sich in Flammen und sie stellten sich wieder auf und sparen sich weiter.")</f>
        <v>Der Junge auf der linken Seite verwandelt sich in Flammen und sie stellten sich wieder auf und sparen sich weiter.</v>
      </c>
    </row>
    <row r="26178">
      <c r="A26178" s="4" t="s">
        <v>32938</v>
      </c>
      <c r="B26178" s="4" t="s">
        <v>32947</v>
      </c>
      <c r="C26178" s="5" t="str">
        <f>IFERROR(__xludf.DUMMYFUNCTION("GOOGLETRANSLATE(B26178,""en"",""de"")"),"Die Bühne leuchtet um grün und sie trennen sich und kehren zum Spar zurück.")</f>
        <v>Die Bühne leuchtet um grün und sie trennen sich und kehren zum Spar zurück.</v>
      </c>
    </row>
    <row r="26179">
      <c r="A26179" s="4" t="s">
        <v>32938</v>
      </c>
      <c r="B26179" s="4" t="s">
        <v>32948</v>
      </c>
      <c r="C26179" s="5" t="str">
        <f>IFERROR(__xludf.DUMMYFUNCTION("GOOGLETRANSLATE(B26179,""en"",""de"")"),"Die Bühne leuchtet blau auf, als alberne Zitate über dem Jungen auf dem Rechtekopf erscheinen.")</f>
        <v>Die Bühne leuchtet blau auf, als alberne Zitate über dem Jungen auf dem Rechtekopf erscheinen.</v>
      </c>
    </row>
    <row r="26180">
      <c r="A26180" s="4" t="s">
        <v>32949</v>
      </c>
      <c r="B26180" s="4" t="s">
        <v>32950</v>
      </c>
      <c r="C26180" s="5" t="str">
        <f>IFERROR(__xludf.DUMMYFUNCTION("GOOGLETRANSLATE(B26180,""en"",""de"")"),"Ein Mann reitet ein Pferd in eine Arena.")</f>
        <v>Ein Mann reitet ein Pferd in eine Arena.</v>
      </c>
    </row>
    <row r="26181">
      <c r="A26181" s="4" t="s">
        <v>32949</v>
      </c>
      <c r="B26181" s="4" t="s">
        <v>32951</v>
      </c>
      <c r="C26181" s="5" t="str">
        <f>IFERROR(__xludf.DUMMYFUNCTION("GOOGLETRANSLATE(B26181,""en"",""de"")"),"Er springt vom Pferd und bindet ein Kalb.")</f>
        <v>Er springt vom Pferd und bindet ein Kalb.</v>
      </c>
    </row>
    <row r="26182">
      <c r="A26182" s="4" t="s">
        <v>32949</v>
      </c>
      <c r="B26182" s="4" t="s">
        <v>32952</v>
      </c>
      <c r="C26182" s="5" t="str">
        <f>IFERROR(__xludf.DUMMYFUNCTION("GOOGLETRANSLATE(B26182,""en"",""de"")"),"Er steht auf und steigt wieder auf sein Pferd.")</f>
        <v>Er steht auf und steigt wieder auf sein Pferd.</v>
      </c>
    </row>
    <row r="26183">
      <c r="A26183" s="4" t="s">
        <v>32949</v>
      </c>
      <c r="B26183" s="4" t="s">
        <v>32953</v>
      </c>
      <c r="C26183" s="5" t="str">
        <f>IFERROR(__xludf.DUMMYFUNCTION("GOOGLETRANSLATE(B26183,""en"",""de"")"),"Zwei Leute kommen und legten das Kalb auf die Arena.")</f>
        <v>Zwei Leute kommen und legten das Kalb auf die Arena.</v>
      </c>
    </row>
    <row r="26184">
      <c r="A26184" s="4" t="s">
        <v>32954</v>
      </c>
      <c r="B26184" s="4" t="s">
        <v>32955</v>
      </c>
      <c r="C26184" s="5" t="str">
        <f>IFERROR(__xludf.DUMMYFUNCTION("GOOGLETRANSLATE(B26184,""en"",""de"")"),"Ein Mann spricht mit der Kamera, während er einen Schaber hält.")</f>
        <v>Ein Mann spricht mit der Kamera, während er einen Schaber hält.</v>
      </c>
    </row>
    <row r="26185">
      <c r="A26185" s="4" t="s">
        <v>32954</v>
      </c>
      <c r="B26185" s="4" t="s">
        <v>32956</v>
      </c>
      <c r="C26185" s="5" t="str">
        <f>IFERROR(__xludf.DUMMYFUNCTION("GOOGLETRANSLATE(B26185,""en"",""de"")"),"Er schiebt den Schaber über das Auto, während er mit der Kamera spricht.")</f>
        <v>Er schiebt den Schaber über das Auto, während er mit der Kamera spricht.</v>
      </c>
    </row>
    <row r="26186">
      <c r="A26186" s="4" t="s">
        <v>32954</v>
      </c>
      <c r="B26186" s="4" t="s">
        <v>32957</v>
      </c>
      <c r="C26186" s="5" t="str">
        <f>IFERROR(__xludf.DUMMYFUNCTION("GOOGLETRANSLATE(B26186,""en"",""de"")"),"Am Ende rutscht er in den Schnee.")</f>
        <v>Am Ende rutscht er in den Schnee.</v>
      </c>
    </row>
    <row r="26187">
      <c r="A26187" s="4" t="s">
        <v>32958</v>
      </c>
      <c r="B26187" s="4" t="s">
        <v>32959</v>
      </c>
      <c r="C26187" s="5" t="str">
        <f>IFERROR(__xludf.DUMMYFUNCTION("GOOGLETRANSLATE(B26187,""en"",""de"")"),"Eine Gruppe von Einzelpersonen tritt in einem Ferien -Baton -Konzert auf.")</f>
        <v>Eine Gruppe von Einzelpersonen tritt in einem Ferien -Baton -Konzert auf.</v>
      </c>
    </row>
    <row r="26188">
      <c r="A26188" s="4" t="s">
        <v>32958</v>
      </c>
      <c r="B26188" s="4" t="s">
        <v>32960</v>
      </c>
      <c r="C26188" s="5" t="str">
        <f>IFERROR(__xludf.DUMMYFUNCTION("GOOGLETRANSLATE(B26188,""en"",""de"")"),"Die Mädchen tanzen weiter, bewegt sich auf und ab und wirbeln den Staffelstab.")</f>
        <v>Die Mädchen tanzen weiter, bewegt sich auf und ab und wirbeln den Staffelstab.</v>
      </c>
    </row>
    <row r="26189">
      <c r="A26189" s="4" t="s">
        <v>32958</v>
      </c>
      <c r="B26189" s="4" t="s">
        <v>32961</v>
      </c>
      <c r="C26189" s="5" t="str">
        <f>IFERROR(__xludf.DUMMYFUNCTION("GOOGLETRANSLATE(B26189,""en"",""de"")"),"Die Lichter flackern und die Mädchen bilden eine gerade Linie auf der Rückseite der Bühne.")</f>
        <v>Die Lichter flackern und die Mädchen bilden eine gerade Linie auf der Rückseite der Bühne.</v>
      </c>
    </row>
    <row r="26190">
      <c r="A26190" s="4" t="s">
        <v>32958</v>
      </c>
      <c r="B26190" s="4" t="s">
        <v>32962</v>
      </c>
      <c r="C26190" s="5" t="str">
        <f>IFERROR(__xludf.DUMMYFUNCTION("GOOGLETRANSLATE(B26190,""en"",""de"")"),"Während des Konzerts machen die Mädchen die gleiche Routine, aber anstelle einer horizontalen Linie bilden eine vertikale.")</f>
        <v>Während des Konzerts machen die Mädchen die gleiche Routine, aber anstelle einer horizontalen Linie bilden eine vertikale.</v>
      </c>
    </row>
    <row r="26191">
      <c r="A26191" s="4" t="s">
        <v>32958</v>
      </c>
      <c r="B26191" s="4" t="s">
        <v>32963</v>
      </c>
      <c r="C26191" s="5" t="str">
        <f>IFERROR(__xludf.DUMMYFUNCTION("GOOGLETRANSLATE(B26191,""en"",""de"")"),"Sobald sie fertig sind, bewegen sie sich in Richtung hinterer Bühne und tanzen hinter den Vorhängen ab.")</f>
        <v>Sobald sie fertig sind, bewegen sie sich in Richtung hinterer Bühne und tanzen hinter den Vorhängen ab.</v>
      </c>
    </row>
    <row r="26192">
      <c r="A26192" s="4" t="s">
        <v>32964</v>
      </c>
      <c r="B26192" s="4" t="s">
        <v>32965</v>
      </c>
      <c r="C26192" s="5" t="str">
        <f>IFERROR(__xludf.DUMMYFUNCTION("GOOGLETRANSLATE(B26192,""en"",""de"")"),"Ein Mann zieht ein Matador -Outfit in einem Raum an.")</f>
        <v>Ein Mann zieht ein Matador -Outfit in einem Raum an.</v>
      </c>
    </row>
    <row r="26193">
      <c r="A26193" s="4" t="s">
        <v>32964</v>
      </c>
      <c r="B26193" s="4" t="s">
        <v>32966</v>
      </c>
      <c r="C26193" s="5" t="str">
        <f>IFERROR(__xludf.DUMMYFUNCTION("GOOGLETRANSLATE(B26193,""en"",""de"")"),"Ein Matador kämpft mit einer Schüssel mit einem roten Umhang in einem Stadion.")</f>
        <v>Ein Matador kämpft mit einer Schüssel mit einem roten Umhang in einem Stadion.</v>
      </c>
    </row>
    <row r="26194">
      <c r="A26194" s="4" t="s">
        <v>32964</v>
      </c>
      <c r="B26194" s="4" t="s">
        <v>32967</v>
      </c>
      <c r="C26194" s="5" t="str">
        <f>IFERROR(__xludf.DUMMYFUNCTION("GOOGLETRANSLATE(B26194,""en"",""de"")"),"Jungen üben das rote Umhang zusammen in der Arena.")</f>
        <v>Jungen üben das rote Umhang zusammen in der Arena.</v>
      </c>
    </row>
    <row r="26195">
      <c r="A26195" s="4" t="s">
        <v>32964</v>
      </c>
      <c r="B26195" s="4" t="s">
        <v>32968</v>
      </c>
      <c r="C26195" s="5" t="str">
        <f>IFERROR(__xludf.DUMMYFUNCTION("GOOGLETRANSLATE(B26195,""en"",""de"")"),"Die Leute bekommen Autogramme vom Matador und werden auf der Straße über die Veranstaltung interviewt.")</f>
        <v>Die Leute bekommen Autogramme vom Matador und werden auf der Straße über die Veranstaltung interviewt.</v>
      </c>
    </row>
    <row r="26196">
      <c r="A26196" s="4" t="s">
        <v>32964</v>
      </c>
      <c r="B26196" s="4" t="s">
        <v>32969</v>
      </c>
      <c r="C26196" s="5" t="str">
        <f>IFERROR(__xludf.DUMMYFUNCTION("GOOGLETRANSLATE(B26196,""en"",""de"")"),"Der Stier läuft und berechnet nach dem Matador aus der Ferne.")</f>
        <v>Der Stier läuft und berechnet nach dem Matador aus der Ferne.</v>
      </c>
    </row>
    <row r="26197">
      <c r="A26197" s="4" t="s">
        <v>32964</v>
      </c>
      <c r="B26197" s="4" t="s">
        <v>32970</v>
      </c>
      <c r="C26197" s="5" t="str">
        <f>IFERROR(__xludf.DUMMYFUNCTION("GOOGLETRANSLATE(B26197,""en"",""de"")"),"Der Matador jubelt der Menge mit seinem Rücken vor dem Stier.")</f>
        <v>Der Matador jubelt der Menge mit seinem Rücken vor dem Stier.</v>
      </c>
    </row>
    <row r="26198">
      <c r="A26198" s="4" t="s">
        <v>32971</v>
      </c>
      <c r="B26198" s="4" t="s">
        <v>32972</v>
      </c>
      <c r="C26198" s="5" t="str">
        <f>IFERROR(__xludf.DUMMYFUNCTION("GOOGLETRANSLATE(B26198,""en"",""de"")"),"Ein Mann im schwarzen T-Shirt steht alleine in einer Küche, spricht auf animierte Weise mit einer Kamera und bereitet ein Erdnussbutter-Gelee-Sandwich vor.")</f>
        <v>Ein Mann im schwarzen T-Shirt steht alleine in einer Küche, spricht auf animierte Weise mit einer Kamera und bereitet ein Erdnussbutter-Gelee-Sandwich vor.</v>
      </c>
    </row>
    <row r="26199">
      <c r="A26199" s="4" t="s">
        <v>32971</v>
      </c>
      <c r="B26199" s="4" t="s">
        <v>32973</v>
      </c>
      <c r="C26199" s="5" t="str">
        <f>IFERROR(__xludf.DUMMYFUNCTION("GOOGLETRANSLATE(B26199,""en"",""de"")"),"Der Mann hält ein Glas Erdnussbutter und eine Flasche Gelee hoch, nachdem er zwei Brotstücke herausgezogen hat, während er vor einer Küchenarbeitsplatte stand.")</f>
        <v>Der Mann hält ein Glas Erdnussbutter und eine Flasche Gelee hoch, nachdem er zwei Brotstücke herausgezogen hat, während er vor einer Küchenarbeitsplatte stand.</v>
      </c>
    </row>
    <row r="26200">
      <c r="A26200" s="4" t="s">
        <v>32971</v>
      </c>
      <c r="B26200" s="4" t="s">
        <v>32974</v>
      </c>
      <c r="C26200" s="5" t="str">
        <f>IFERROR(__xludf.DUMMYFUNCTION("GOOGLETRANSLATE(B26200,""en"",""de"")"),"Der Mann legt Gelee und Erdnussbutter auf das Brot.")</f>
        <v>Der Mann legt Gelee und Erdnussbutter auf das Brot.</v>
      </c>
    </row>
    <row r="26201">
      <c r="A26201" s="4" t="s">
        <v>32971</v>
      </c>
      <c r="B26201" s="4" t="s">
        <v>32975</v>
      </c>
      <c r="C26201" s="5" t="str">
        <f>IFERROR(__xludf.DUMMYFUNCTION("GOOGLETRANSLATE(B26201,""en"",""de"")"),"Der Mann beißt in das Sandwich, beginnt wieder zu reden, knallt das Sandwich auf einen Teller und geht weg.")</f>
        <v>Der Mann beißt in das Sandwich, beginnt wieder zu reden, knallt das Sandwich auf einen Teller und geht weg.</v>
      </c>
    </row>
    <row r="26202">
      <c r="A26202" s="4" t="s">
        <v>32976</v>
      </c>
      <c r="B26202" s="4" t="s">
        <v>32977</v>
      </c>
      <c r="C26202" s="5" t="str">
        <f>IFERROR(__xludf.DUMMYFUNCTION("GOOGLETRANSLATE(B26202,""en"",""de"")"),"Die Leute werden auf einem Volleyballplatz gezeigt, wenn sie sich aufwärmen.")</f>
        <v>Die Leute werden auf einem Volleyballplatz gezeigt, wenn sie sich aufwärmen.</v>
      </c>
    </row>
    <row r="26203">
      <c r="A26203" s="4" t="s">
        <v>32976</v>
      </c>
      <c r="B26203" s="4" t="s">
        <v>32978</v>
      </c>
      <c r="C26203" s="5" t="str">
        <f>IFERROR(__xludf.DUMMYFUNCTION("GOOGLETRANSLATE(B26203,""en"",""de"")"),"Die Mädchen sparen den Ball über das Netz hin und her.")</f>
        <v>Die Mädchen sparen den Ball über das Netz hin und her.</v>
      </c>
    </row>
    <row r="26204">
      <c r="A26204" s="4" t="s">
        <v>32976</v>
      </c>
      <c r="B26204" s="4" t="s">
        <v>32979</v>
      </c>
      <c r="C26204" s="5" t="str">
        <f>IFERROR(__xludf.DUMMYFUNCTION("GOOGLETRANSLATE(B26204,""en"",""de"")"),"Sie versuchen, den Ball vor ihren Gegnern zu halten, wenn das Spiel wirklich beginnt.")</f>
        <v>Sie versuchen, den Ball vor ihren Gegnern zu halten, wenn das Spiel wirklich beginnt.</v>
      </c>
    </row>
    <row r="26205">
      <c r="A26205" s="4" t="s">
        <v>32980</v>
      </c>
      <c r="B26205" s="4" t="s">
        <v>32981</v>
      </c>
      <c r="C26205" s="5" t="str">
        <f>IFERROR(__xludf.DUMMYFUNCTION("GOOGLETRANSLATE(B26205,""en"",""de"")"),"Eine Frau spricht mit der Kamera, die verschiedene Mops hochhält und sie der Kamera präsentiert.")</f>
        <v>Eine Frau spricht mit der Kamera, die verschiedene Mops hochhält und sie der Kamera präsentiert.</v>
      </c>
    </row>
    <row r="26206">
      <c r="A26206" s="4" t="s">
        <v>32980</v>
      </c>
      <c r="B26206" s="4" t="s">
        <v>32982</v>
      </c>
      <c r="C26206" s="5" t="str">
        <f>IFERROR(__xludf.DUMMYFUNCTION("GOOGLETRANSLATE(B26206,""en"",""de"")"),"Dann taucht sie die Mops in einen Eimer und wäscht sie entlang des Bodens.")</f>
        <v>Dann taucht sie die Mops in einen Eimer und wäscht sie entlang des Bodens.</v>
      </c>
    </row>
    <row r="26207">
      <c r="A26207" s="4" t="s">
        <v>32980</v>
      </c>
      <c r="B26207" s="4" t="s">
        <v>32983</v>
      </c>
      <c r="C26207" s="5" t="str">
        <f>IFERROR(__xludf.DUMMYFUNCTION("GOOGLETRANSLATE(B26207,""en"",""de"")"),"Sie spricht weiter, während sie die Mops hochhält und sie auseinander nimmt und zeigt, wie sie funktionieren.")</f>
        <v>Sie spricht weiter, während sie die Mops hochhält und sie auseinander nimmt und zeigt, wie sie funktionieren.</v>
      </c>
    </row>
    <row r="26208">
      <c r="A26208" s="4" t="s">
        <v>32984</v>
      </c>
      <c r="B26208" s="4" t="s">
        <v>32985</v>
      </c>
      <c r="C26208" s="5" t="str">
        <f>IFERROR(__xludf.DUMMYFUNCTION("GOOGLETRANSLATE(B26208,""en"",""de"")"),"Eine Gruppe von Männern und Jungen befindet sich auf einem schneebedeckten Hügel.")</f>
        <v>Eine Gruppe von Männern und Jungen befindet sich auf einem schneebedeckten Hügel.</v>
      </c>
    </row>
    <row r="26209">
      <c r="A26209" s="4" t="s">
        <v>32984</v>
      </c>
      <c r="B26209" s="4" t="s">
        <v>32986</v>
      </c>
      <c r="C26209" s="5" t="str">
        <f>IFERROR(__xludf.DUMMYFUNCTION("GOOGLETRANSLATE(B26209,""en"",""de"")"),"Sie setzen Schneebälle und fahren mit den Autos, dann fahren sie den Hügel hinunter.")</f>
        <v>Sie setzen Schneebälle und fahren mit den Autos, dann fahren sie den Hügel hinunter.</v>
      </c>
    </row>
    <row r="26210">
      <c r="A26210" s="4" t="s">
        <v>32984</v>
      </c>
      <c r="B26210" s="4" t="s">
        <v>32987</v>
      </c>
      <c r="C26210" s="5" t="str">
        <f>IFERROR(__xludf.DUMMYFUNCTION("GOOGLETRANSLATE(B26210,""en"",""de"")"),"Sie werden Skifahren gezeigt und spielen viele Tricks, drehen sich und drehen sich während des Gehens.")</f>
        <v>Sie werden Skifahren gezeigt und spielen viele Tricks, drehen sich und drehen sich während des Gehens.</v>
      </c>
    </row>
    <row r="26211">
      <c r="A26211" s="4" t="s">
        <v>32988</v>
      </c>
      <c r="B26211" s="4" t="s">
        <v>32989</v>
      </c>
      <c r="C26211" s="5" t="str">
        <f>IFERROR(__xludf.DUMMYFUNCTION("GOOGLETRANSLATE(B26211,""en"",""de"")"),"Wir sehen einen Jungen, der ein Akkordeon spielt.")</f>
        <v>Wir sehen einen Jungen, der ein Akkordeon spielt.</v>
      </c>
    </row>
    <row r="26212">
      <c r="A26212" s="4" t="s">
        <v>32988</v>
      </c>
      <c r="B26212" s="4" t="s">
        <v>32990</v>
      </c>
      <c r="C26212" s="5" t="str">
        <f>IFERROR(__xludf.DUMMYFUNCTION("GOOGLETRANSLATE(B26212,""en"",""de"")"),"Der Junge schiebt seine Hand über die Schlüssel.")</f>
        <v>Der Junge schiebt seine Hand über die Schlüssel.</v>
      </c>
    </row>
    <row r="26213">
      <c r="A26213" s="4" t="s">
        <v>32988</v>
      </c>
      <c r="B26213" s="4" t="s">
        <v>32991</v>
      </c>
      <c r="C26213" s="5" t="str">
        <f>IFERROR(__xludf.DUMMYFUNCTION("GOOGLETRANSLATE(B26213,""en"",""de"")"),"Ein Stück Papier betritt die Szene unten rechts.")</f>
        <v>Ein Stück Papier betritt die Szene unten rechts.</v>
      </c>
    </row>
    <row r="26214">
      <c r="A26214" s="4" t="s">
        <v>32988</v>
      </c>
      <c r="B26214" s="4" t="s">
        <v>32992</v>
      </c>
      <c r="C26214" s="5" t="str">
        <f>IFERROR(__xludf.DUMMYFUNCTION("GOOGLETRANSLATE(B26214,""en"",""de"")"),"Der Junge endet und der Bildschirm wird schwarz.")</f>
        <v>Der Junge endet und der Bildschirm wird schwarz.</v>
      </c>
    </row>
    <row r="26215">
      <c r="A26215" s="4" t="s">
        <v>32993</v>
      </c>
      <c r="B26215" s="4" t="s">
        <v>25249</v>
      </c>
      <c r="C26215" s="5" t="str">
        <f>IFERROR(__xludf.DUMMYFUNCTION("GOOGLETRANSLATE(B26215,""en"",""de"")"),"Die Credits der Clips werden angezeigt.")</f>
        <v>Die Credits der Clips werden angezeigt.</v>
      </c>
    </row>
    <row r="26216">
      <c r="A26216" s="4" t="s">
        <v>32993</v>
      </c>
      <c r="B26216" s="4" t="s">
        <v>32994</v>
      </c>
      <c r="C26216" s="5" t="str">
        <f>IFERROR(__xludf.DUMMYFUNCTION("GOOGLETRANSLATE(B26216,""en"",""de"")"),"Die Hand bohrt ein Loch mit einem elektrischen Werkzeug.")</f>
        <v>Die Hand bohrt ein Loch mit einem elektrischen Werkzeug.</v>
      </c>
    </row>
    <row r="26217">
      <c r="A26217" s="4" t="s">
        <v>32993</v>
      </c>
      <c r="B26217" s="4" t="s">
        <v>32995</v>
      </c>
      <c r="C26217" s="5" t="str">
        <f>IFERROR(__xludf.DUMMYFUNCTION("GOOGLETRANSLATE(B26217,""en"",""de"")"),"Die Hand schraubt zwei Nagel in Löcher mit einem elektrischen Werkzeug.")</f>
        <v>Die Hand schraubt zwei Nagel in Löcher mit einem elektrischen Werkzeug.</v>
      </c>
    </row>
    <row r="26218">
      <c r="A26218" s="4" t="s">
        <v>32993</v>
      </c>
      <c r="B26218" s="4" t="s">
        <v>32996</v>
      </c>
      <c r="C26218" s="5" t="str">
        <f>IFERROR(__xludf.DUMMYFUNCTION("GOOGLETRANSLATE(B26218,""en"",""de"")"),"Die Person verlässt mit dem elektrischen Werkzeug.")</f>
        <v>Die Person verlässt mit dem elektrischen Werkzeug.</v>
      </c>
    </row>
    <row r="26219">
      <c r="A26219" s="4" t="s">
        <v>32997</v>
      </c>
      <c r="B26219" s="4" t="s">
        <v>32998</v>
      </c>
      <c r="C26219" s="5" t="str">
        <f>IFERROR(__xludf.DUMMYFUNCTION("GOOGLETRANSLATE(B26219,""en"",""de"")"),"Mehrere Kinder spielen in einem Pool ein Spiel mit Wasserball.")</f>
        <v>Mehrere Kinder spielen in einem Pool ein Spiel mit Wasserball.</v>
      </c>
    </row>
    <row r="26220">
      <c r="A26220" s="4" t="s">
        <v>32997</v>
      </c>
      <c r="B26220" s="4" t="s">
        <v>32999</v>
      </c>
      <c r="C26220" s="5" t="str">
        <f>IFERROR(__xludf.DUMMYFUNCTION("GOOGLETRANSLATE(B26220,""en"",""de"")"),"Eines der Mädchen bekommt den Ball und schießt ins Netz, als die Menge jubelt.")</f>
        <v>Eines der Mädchen bekommt den Ball und schießt ins Netz, als die Menge jubelt.</v>
      </c>
    </row>
    <row r="26221">
      <c r="A26221" s="4" t="s">
        <v>32997</v>
      </c>
      <c r="B26221" s="4" t="s">
        <v>33000</v>
      </c>
      <c r="C26221" s="5" t="str">
        <f>IFERROR(__xludf.DUMMYFUNCTION("GOOGLETRANSLATE(B26221,""en"",""de"")"),"Das Spiel wird zurückgesetzt und die Teams beginnen wieder zu spielen.")</f>
        <v>Das Spiel wird zurückgesetzt und die Teams beginnen wieder zu spielen.</v>
      </c>
    </row>
    <row r="26222">
      <c r="A26222" s="4" t="s">
        <v>33001</v>
      </c>
      <c r="B26222" s="4" t="s">
        <v>33002</v>
      </c>
      <c r="C26222" s="5" t="str">
        <f>IFERROR(__xludf.DUMMYFUNCTION("GOOGLETRANSLATE(B26222,""en"",""de"")"),"Zwei Männer sprechen auf einer Party, die mit zwei anderen Männern eine Pong spielt.")</f>
        <v>Zwei Männer sprechen auf einer Party, die mit zwei anderen Männern eine Pong spielt.</v>
      </c>
    </row>
    <row r="26223">
      <c r="A26223" s="4" t="s">
        <v>33001</v>
      </c>
      <c r="B26223" s="4" t="s">
        <v>33003</v>
      </c>
      <c r="C26223" s="5" t="str">
        <f>IFERROR(__xludf.DUMMYFUNCTION("GOOGLETRANSLATE(B26223,""en"",""de"")"),"Die Männer bringen die Bälle immer wieder in die Tassen zurück und den vierten und einer springt auf die Rückseite des anderen.")</f>
        <v>Die Männer bringen die Bälle immer wieder in die Tassen zurück und den vierten und einer springt auf die Rückseite des anderen.</v>
      </c>
    </row>
    <row r="26224">
      <c r="A26224" s="4" t="s">
        <v>33004</v>
      </c>
      <c r="B26224" s="4" t="s">
        <v>33005</v>
      </c>
      <c r="C26224" s="5" t="str">
        <f>IFERROR(__xludf.DUMMYFUNCTION("GOOGLETRANSLATE(B26224,""en"",""de"")"),"Eine Spüle ist mit Dreck bedeckt.")</f>
        <v>Eine Spüle ist mit Dreck bedeckt.</v>
      </c>
    </row>
    <row r="26225">
      <c r="A26225" s="4" t="s">
        <v>33004</v>
      </c>
      <c r="B26225" s="4" t="s">
        <v>33006</v>
      </c>
      <c r="C26225" s="5" t="str">
        <f>IFERROR(__xludf.DUMMYFUNCTION("GOOGLETRANSLATE(B26225,""en"",""de"")"),"Eine Flasche wird an die Kamera gehalten.")</f>
        <v>Eine Flasche wird an die Kamera gehalten.</v>
      </c>
    </row>
    <row r="26226">
      <c r="A26226" s="4" t="s">
        <v>33004</v>
      </c>
      <c r="B26226" s="4" t="s">
        <v>33007</v>
      </c>
      <c r="C26226" s="5" t="str">
        <f>IFERROR(__xludf.DUMMYFUNCTION("GOOGLETRANSLATE(B26226,""en"",""de"")"),"Das Wasser verläuft über einen Schwamm.")</f>
        <v>Das Wasser verläuft über einen Schwamm.</v>
      </c>
    </row>
    <row r="26227">
      <c r="A26227" s="4" t="s">
        <v>33004</v>
      </c>
      <c r="B26227" s="4" t="s">
        <v>33008</v>
      </c>
      <c r="C26227" s="5" t="str">
        <f>IFERROR(__xludf.DUMMYFUNCTION("GOOGLETRANSLATE(B26227,""en"",""de"")"),"Die Lösung wird auf den Schwamm gegossen und die Spüle gereinigt.")</f>
        <v>Die Lösung wird auf den Schwamm gegossen und die Spüle gereinigt.</v>
      </c>
    </row>
    <row r="26228">
      <c r="A26228" s="4" t="s">
        <v>33009</v>
      </c>
      <c r="B26228" s="4" t="s">
        <v>33010</v>
      </c>
      <c r="C26228" s="5" t="str">
        <f>IFERROR(__xludf.DUMMYFUNCTION("GOOGLETRANSLATE(B26228,""en"",""de"")"),"Ein Teenager, der ein weißes Hemd und eine schwarze Trackhose trägt, schießt in einem Basketballplatz im Freien Reifen.")</f>
        <v>Ein Teenager, der ein weißes Hemd und eine schwarze Trackhose trägt, schießt in einem Basketballplatz im Freien Reifen.</v>
      </c>
    </row>
    <row r="26229">
      <c r="A26229" s="4" t="s">
        <v>33009</v>
      </c>
      <c r="B26229" s="4" t="s">
        <v>33011</v>
      </c>
      <c r="C26229" s="5" t="str">
        <f>IFERROR(__xludf.DUMMYFUNCTION("GOOGLETRANSLATE(B26229,""en"",""de"")"),"Rund um das Gericht sind einige Zapfen arrangiert.")</f>
        <v>Rund um das Gericht sind einige Zapfen arrangiert.</v>
      </c>
    </row>
    <row r="26230">
      <c r="A26230" s="4" t="s">
        <v>33009</v>
      </c>
      <c r="B26230" s="4" t="s">
        <v>33012</v>
      </c>
      <c r="C26230" s="5" t="str">
        <f>IFERROR(__xludf.DUMMYFUNCTION("GOOGLETRANSLATE(B26230,""en"",""de"")"),"Der Junge rennt weiter, dribiert und schießt mit dem Basketball Reifen.")</f>
        <v>Der Junge rennt weiter, dribiert und schießt mit dem Basketball Reifen.</v>
      </c>
    </row>
    <row r="26231">
      <c r="A26231" s="4" t="s">
        <v>33009</v>
      </c>
      <c r="B26231" s="4" t="s">
        <v>33013</v>
      </c>
      <c r="C26231" s="5" t="str">
        <f>IFERROR(__xludf.DUMMYFUNCTION("GOOGLETRANSLATE(B26231,""en"",""de"")"),"Er trifft einen Schuss und macht einen Korb und hört dann auf zu spielen.")</f>
        <v>Er trifft einen Schuss und macht einen Korb und hört dann auf zu spielen.</v>
      </c>
    </row>
    <row r="26232">
      <c r="A26232" s="4" t="s">
        <v>33014</v>
      </c>
      <c r="B26232" s="4" t="s">
        <v>33015</v>
      </c>
      <c r="C26232" s="5" t="str">
        <f>IFERROR(__xludf.DUMMYFUNCTION("GOOGLETRANSLATE(B26232,""en"",""de"")"),"Eine Karte wird gezeigt und dann werden zwei große Fische im Wasser gezeigt, wenn ein Vogel über das Wasser schwimmt.")</f>
        <v>Eine Karte wird gezeigt und dann werden zwei große Fische im Wasser gezeigt, wenn ein Vogel über das Wasser schwimmt.</v>
      </c>
    </row>
    <row r="26233">
      <c r="A26233" s="4" t="s">
        <v>33014</v>
      </c>
      <c r="B26233" s="4" t="s">
        <v>33016</v>
      </c>
      <c r="C26233" s="5" t="str">
        <f>IFERROR(__xludf.DUMMYFUNCTION("GOOGLETRANSLATE(B26233,""en"",""de"")"),"Zwei Männer sind auf einem Boot und segeln über das Wasser über Fisch.")</f>
        <v>Zwei Männer sind auf einem Boot und segeln über das Wasser über Fisch.</v>
      </c>
    </row>
    <row r="26234">
      <c r="A26234" s="4" t="s">
        <v>33014</v>
      </c>
      <c r="B26234" s="4" t="s">
        <v>33017</v>
      </c>
      <c r="C26234" s="5" t="str">
        <f>IFERROR(__xludf.DUMMYFUNCTION("GOOGLETRANSLATE(B26234,""en"",""de"")"),"Anschließend wird eine Unterwasseransicht angezeigt und Sie können den Boden des Entenkörpers sehen.")</f>
        <v>Anschließend wird eine Unterwasseransicht angezeigt und Sie können den Boden des Entenkörpers sehen.</v>
      </c>
    </row>
    <row r="26235">
      <c r="A26235" s="4" t="s">
        <v>33014</v>
      </c>
      <c r="B26235" s="4" t="s">
        <v>33018</v>
      </c>
      <c r="C26235" s="5" t="str">
        <f>IFERROR(__xludf.DUMMYFUNCTION("GOOGLETRANSLATE(B26235,""en"",""de"")"),"Dann werden mehrere Männer und Boote gezeigt und eine Post fängt einen Fisch.")</f>
        <v>Dann werden mehrere Männer und Boote gezeigt und eine Post fängt einen Fisch.</v>
      </c>
    </row>
    <row r="26236">
      <c r="A26236" s="4" t="s">
        <v>33014</v>
      </c>
      <c r="B26236" s="4" t="s">
        <v>33019</v>
      </c>
      <c r="C26236" s="5" t="str">
        <f>IFERROR(__xludf.DUMMYFUNCTION("GOOGLETRANSLATE(B26236,""en"",""de"")"),"Danach ist ein Mann, der in Schwarz gekleidet ist, unter Wasser und ein Wasserhubschrauber wird gezeigt, dann geht der Mann wieder unter Wasser und spielt mit großen Fischen.")</f>
        <v>Danach ist ein Mann, der in Schwarz gekleidet ist, unter Wasser und ein Wasserhubschrauber wird gezeigt, dann geht der Mann wieder unter Wasser und spielt mit großen Fischen.</v>
      </c>
    </row>
    <row r="26237">
      <c r="A26237" s="4" t="s">
        <v>33014</v>
      </c>
      <c r="B26237" s="4" t="s">
        <v>33020</v>
      </c>
      <c r="C26237" s="5" t="str">
        <f>IFERROR(__xludf.DUMMYFUNCTION("GOOGLETRANSLATE(B26237,""en"",""de"")"),"Weitere werden gezeigt, und Männer springen weiter vom Boot und zeigen ihre Ergebnisse unter Wasser und werden Wasser auf sich selbst abwerfen, und eine andere Karte wird gezeigt.")</f>
        <v>Weitere werden gezeigt, und Männer springen weiter vom Boot und zeigen ihre Ergebnisse unter Wasser und werden Wasser auf sich selbst abwerfen, und eine andere Karte wird gezeigt.</v>
      </c>
    </row>
    <row r="26238">
      <c r="A26238" s="4" t="s">
        <v>33021</v>
      </c>
      <c r="B26238" s="4" t="s">
        <v>33022</v>
      </c>
      <c r="C26238" s="5" t="str">
        <f>IFERROR(__xludf.DUMMYFUNCTION("GOOGLETRANSLATE(B26238,""en"",""de"")"),"Zwei Leute spielen Racquetball.")</f>
        <v>Zwei Leute spielen Racquetball.</v>
      </c>
    </row>
    <row r="26239">
      <c r="A26239" s="4" t="s">
        <v>33021</v>
      </c>
      <c r="B26239" s="4" t="s">
        <v>33023</v>
      </c>
      <c r="C26239" s="5" t="str">
        <f>IFERROR(__xludf.DUMMYFUNCTION("GOOGLETRANSLATE(B26239,""en"",""de"")"),"Der Ball kommt hinter den Spielern vorbei.")</f>
        <v>Der Ball kommt hinter den Spielern vorbei.</v>
      </c>
    </row>
    <row r="26240">
      <c r="A26240" s="4" t="s">
        <v>33021</v>
      </c>
      <c r="B26240" s="4" t="s">
        <v>33024</v>
      </c>
      <c r="C26240" s="5" t="str">
        <f>IFERROR(__xludf.DUMMYFUNCTION("GOOGLETRANSLATE(B26240,""en"",""de"")"),"Sie nehmen das Spielen und Springen wieder auf.")</f>
        <v>Sie nehmen das Spielen und Springen wieder auf.</v>
      </c>
    </row>
    <row r="26241">
      <c r="A26241" s="4" t="s">
        <v>33021</v>
      </c>
      <c r="B26241" s="4" t="s">
        <v>33025</v>
      </c>
      <c r="C26241" s="5" t="str">
        <f>IFERROR(__xludf.DUMMYFUNCTION("GOOGLETRANSLATE(B26241,""en"",""de"")"),"Der Ball kommt wieder an den Spielern.")</f>
        <v>Der Ball kommt wieder an den Spielern.</v>
      </c>
    </row>
    <row r="26242">
      <c r="A26242" s="4" t="s">
        <v>33021</v>
      </c>
      <c r="B26242" s="4" t="s">
        <v>33026</v>
      </c>
      <c r="C26242" s="5" t="str">
        <f>IFERROR(__xludf.DUMMYFUNCTION("GOOGLETRANSLATE(B26242,""en"",""de"")"),"Der Mann in Gelb startet ein neues Match neu.")</f>
        <v>Der Mann in Gelb startet ein neues Match neu.</v>
      </c>
    </row>
    <row r="26243">
      <c r="A26243" s="4" t="s">
        <v>33021</v>
      </c>
      <c r="B26243" s="4" t="s">
        <v>33027</v>
      </c>
      <c r="C26243" s="5" t="str">
        <f>IFERROR(__xludf.DUMMYFUNCTION("GOOGLETRANSLATE(B26243,""en"",""de"")"),"Der Mann in Blau geht zum Fenster und macht mit einem Aufkleber.")</f>
        <v>Der Mann in Blau geht zum Fenster und macht mit einem Aufkleber.</v>
      </c>
    </row>
    <row r="26244">
      <c r="A26244" s="4" t="s">
        <v>33021</v>
      </c>
      <c r="B26244" s="4" t="s">
        <v>33028</v>
      </c>
      <c r="C26244" s="5" t="str">
        <f>IFERROR(__xludf.DUMMYFUNCTION("GOOGLETRANSLATE(B26244,""en"",""de"")"),"Der Mann in Gelb versucht ein neues Match neu zu starten.")</f>
        <v>Der Mann in Gelb versucht ein neues Match neu zu starten.</v>
      </c>
    </row>
    <row r="26245">
      <c r="A26245" s="4" t="s">
        <v>33021</v>
      </c>
      <c r="B26245" s="4" t="s">
        <v>33029</v>
      </c>
      <c r="C26245" s="5" t="str">
        <f>IFERROR(__xludf.DUMMYFUNCTION("GOOGLETRANSLATE(B26245,""en"",""de"")"),"Der Mann in Blau trifft den Ball in der Ecke und er rollt zurück.")</f>
        <v>Der Mann in Blau trifft den Ball in der Ecke und er rollt zurück.</v>
      </c>
    </row>
    <row r="26246">
      <c r="A26246" s="4" t="s">
        <v>33021</v>
      </c>
      <c r="B26246" s="4" t="s">
        <v>33030</v>
      </c>
      <c r="C26246" s="5" t="str">
        <f>IFERROR(__xludf.DUMMYFUNCTION("GOOGLETRANSLATE(B26246,""en"",""de"")"),"Sie beginnen eine weitere Runde Racquetball.")</f>
        <v>Sie beginnen eine weitere Runde Racquetball.</v>
      </c>
    </row>
    <row r="26247">
      <c r="A26247" s="4" t="s">
        <v>33031</v>
      </c>
      <c r="B26247" s="4" t="s">
        <v>33032</v>
      </c>
      <c r="C26247" s="5" t="str">
        <f>IFERROR(__xludf.DUMMYFUNCTION("GOOGLETRANSLATE(B26247,""en"",""de"")"),"Ein Mädchen bekommt ihre Nase durchbohrt.")</f>
        <v>Ein Mädchen bekommt ihre Nase durchbohrt.</v>
      </c>
    </row>
    <row r="26248">
      <c r="A26248" s="4" t="s">
        <v>33031</v>
      </c>
      <c r="B26248" s="4" t="s">
        <v>33033</v>
      </c>
      <c r="C26248" s="5" t="str">
        <f>IFERROR(__xludf.DUMMYFUNCTION("GOOGLETRANSLATE(B26248,""en"",""de"")"),"Die Nase wird vor dem Piercing gereinigt.")</f>
        <v>Die Nase wird vor dem Piercing gereinigt.</v>
      </c>
    </row>
    <row r="26249">
      <c r="A26249" s="4" t="s">
        <v>33031</v>
      </c>
      <c r="B26249" s="4" t="s">
        <v>33034</v>
      </c>
      <c r="C26249" s="5" t="str">
        <f>IFERROR(__xludf.DUMMYFUNCTION("GOOGLETRANSLATE(B26249,""en"",""de"")"),"Sie spricht mit der Kamera.")</f>
        <v>Sie spricht mit der Kamera.</v>
      </c>
    </row>
    <row r="26250">
      <c r="A26250" s="4" t="s">
        <v>33031</v>
      </c>
      <c r="B26250" s="4" t="s">
        <v>33035</v>
      </c>
      <c r="C26250" s="5" t="str">
        <f>IFERROR(__xludf.DUMMYFUNCTION("GOOGLETRANSLATE(B26250,""en"",""de"")"),"Der Mann durchbohrt ihre Nase.")</f>
        <v>Der Mann durchbohrt ihre Nase.</v>
      </c>
    </row>
    <row r="26251">
      <c r="A26251" s="4" t="s">
        <v>33036</v>
      </c>
      <c r="B26251" s="4" t="s">
        <v>33037</v>
      </c>
      <c r="C26251" s="5" t="str">
        <f>IFERROR(__xludf.DUMMYFUNCTION("GOOGLETRANSLATE(B26251,""en"",""de"")"),"Eine Landschaft eines Wohnsitzes wird gezeigt.")</f>
        <v>Eine Landschaft eines Wohnsitzes wird gezeigt.</v>
      </c>
    </row>
    <row r="26252">
      <c r="A26252" s="4" t="s">
        <v>33036</v>
      </c>
      <c r="B26252" s="4" t="s">
        <v>33038</v>
      </c>
      <c r="C26252" s="5" t="str">
        <f>IFERROR(__xludf.DUMMYFUNCTION("GOOGLETRANSLATE(B26252,""en"",""de"")"),"Ein Mann erscheint hinter einer Hecke und er hält einen lindgrünen Heckschneider und er beginnt seine Hecken umzugehen und beginnt sie zuerst oben zu schneiden, dann konzentriert er sich auf die Seiten und nach unten.")</f>
        <v>Ein Mann erscheint hinter einer Hecke und er hält einen lindgrünen Heckschneider und er beginnt seine Hecken umzugehen und beginnt sie zuerst oben zu schneiden, dann konzentriert er sich auf die Seiten und nach unten.</v>
      </c>
    </row>
    <row r="26253">
      <c r="A26253" s="4" t="s">
        <v>33036</v>
      </c>
      <c r="B26253" s="4" t="s">
        <v>33039</v>
      </c>
      <c r="C26253" s="5" t="str">
        <f>IFERROR(__xludf.DUMMYFUNCTION("GOOGLETRANSLATE(B26253,""en"",""de"")"),"Der Mann bewegt dann seinen Heckschneider und konzentriert sich auf die Oberseite der Hecken.")</f>
        <v>Der Mann bewegt dann seinen Heckschneider und konzentriert sich auf die Oberseite der Hecken.</v>
      </c>
    </row>
    <row r="26254">
      <c r="A26254" s="4" t="s">
        <v>33040</v>
      </c>
      <c r="B26254" s="4" t="s">
        <v>33041</v>
      </c>
      <c r="C26254" s="5" t="str">
        <f>IFERROR(__xludf.DUMMYFUNCTION("GOOGLETRANSLATE(B26254,""en"",""de"")"),"Vier Personen sind gesehen, die einen Ball um ein Gymnasium zurück und vierten von der Wand mit einem Tennisschläger schlagen.")</f>
        <v>Vier Personen sind gesehen, die einen Ball um ein Gymnasium zurück und vierten von der Wand mit einem Tennisschläger schlagen.</v>
      </c>
    </row>
    <row r="26255">
      <c r="A26255" s="4" t="s">
        <v>33040</v>
      </c>
      <c r="B26255" s="4" t="s">
        <v>33042</v>
      </c>
      <c r="C26255" s="5" t="str">
        <f>IFERROR(__xludf.DUMMYFUNCTION("GOOGLETRANSLATE(B26255,""en"",""de"")"),"Die Männer spielen weiter miteinander und enden, indem sie sich die Hand miteinander schütteln.")</f>
        <v>Die Männer spielen weiter miteinander und enden, indem sie sich die Hand miteinander schütteln.</v>
      </c>
    </row>
    <row r="26256">
      <c r="A26256" s="4" t="s">
        <v>33043</v>
      </c>
      <c r="B26256" s="4" t="s">
        <v>33044</v>
      </c>
      <c r="C26256" s="5" t="str">
        <f>IFERROR(__xludf.DUMMYFUNCTION("GOOGLETRANSLATE(B26256,""en"",""de"")"),"Ein Mann steht vor der Kamera, die sich an einem Set Dudelsets hält.")</f>
        <v>Ein Mann steht vor der Kamera, die sich an einem Set Dudelsets hält.</v>
      </c>
    </row>
    <row r="26257">
      <c r="A26257" s="4" t="s">
        <v>33043</v>
      </c>
      <c r="B26257" s="4" t="s">
        <v>20772</v>
      </c>
      <c r="C26257" s="5" t="str">
        <f>IFERROR(__xludf.DUMMYFUNCTION("GOOGLETRANSLATE(B26257,""en"",""de"")"),"Der Mann spielt dann das Instrument vor der Kamera.")</f>
        <v>Der Mann spielt dann das Instrument vor der Kamera.</v>
      </c>
    </row>
    <row r="26258">
      <c r="A26258" s="4" t="s">
        <v>33043</v>
      </c>
      <c r="B26258" s="4" t="s">
        <v>33045</v>
      </c>
      <c r="C26258" s="5" t="str">
        <f>IFERROR(__xludf.DUMMYFUNCTION("GOOGLETRANSLATE(B26258,""en"",""de"")"),"Der Mann spielt weiterhin, während er hier und da Pausen macht und am Ende Text zeigt.")</f>
        <v>Der Mann spielt weiterhin, während er hier und da Pausen macht und am Ende Text zeigt.</v>
      </c>
    </row>
    <row r="26259">
      <c r="A26259" s="4" t="s">
        <v>33046</v>
      </c>
      <c r="B26259" s="4" t="s">
        <v>33047</v>
      </c>
      <c r="C26259" s="5" t="str">
        <f>IFERROR(__xludf.DUMMYFUNCTION("GOOGLETRANSLATE(B26259,""en"",""de"")"),"Eine Frau wird gesehen, wie sie Blätter um einen Rasen herumschlägen, während drei Hunde in ihrer Nähe stehen und Spielzeug halten.")</f>
        <v>Eine Frau wird gesehen, wie sie Blätter um einen Rasen herumschlägen, während drei Hunde in ihrer Nähe stehen und Spielzeug halten.</v>
      </c>
    </row>
    <row r="26260">
      <c r="A26260" s="4" t="s">
        <v>33046</v>
      </c>
      <c r="B26260" s="4" t="s">
        <v>33048</v>
      </c>
      <c r="C26260" s="5" t="str">
        <f>IFERROR(__xludf.DUMMYFUNCTION("GOOGLETRANSLATE(B26260,""en"",""de"")"),"Die Frau remt weiter, als der Hund mit Spielzeug um sie herum durchstreift und sie allmählich aufnimmt und sie für die Hunde wirft.")</f>
        <v>Die Frau remt weiter, als der Hund mit Spielzeug um sie herum durchstreift und sie allmählich aufnimmt und sie für die Hunde wirft.</v>
      </c>
    </row>
    <row r="26261">
      <c r="A26261" s="4" t="s">
        <v>33049</v>
      </c>
      <c r="B26261" s="4" t="s">
        <v>33050</v>
      </c>
      <c r="C26261" s="5" t="str">
        <f>IFERROR(__xludf.DUMMYFUNCTION("GOOGLETRANSLATE(B26261,""en"",""de"")"),"Es gibt mehrere Männer, die Foos Ball in einem Innenraum mit Holzpaneele spielen.")</f>
        <v>Es gibt mehrere Männer, die Foos Ball in einem Innenraum mit Holzpaneele spielen.</v>
      </c>
    </row>
    <row r="26262">
      <c r="A26262" s="4" t="s">
        <v>33049</v>
      </c>
      <c r="B26262" s="4" t="s">
        <v>33051</v>
      </c>
      <c r="C26262" s="5" t="str">
        <f>IFERROR(__xludf.DUMMYFUNCTION("GOOGLETRANSLATE(B26262,""en"",""de"")"),"Sie sind alle im Spiel vertieft, als sie den Ball hin und her schlagen.")</f>
        <v>Sie sind alle im Spiel vertieft, als sie den Ball hin und her schlagen.</v>
      </c>
    </row>
    <row r="26263">
      <c r="A26263" s="4" t="s">
        <v>33052</v>
      </c>
      <c r="B26263" s="4" t="s">
        <v>33053</v>
      </c>
      <c r="C26263" s="5" t="str">
        <f>IFERROR(__xludf.DUMMYFUNCTION("GOOGLETRANSLATE(B26263,""en"",""de"")"),"Eine Frau beugt sich nach vorne und streckt ihren linken linken Arm vorne und hebt ihr Bein nach oben, während sie die rechte Hand über die Schulter hat.")</f>
        <v>Eine Frau beugt sich nach vorne und streckt ihren linken linken Arm vorne und hebt ihr Bein nach oben, während sie die rechte Hand über die Schulter hat.</v>
      </c>
    </row>
    <row r="26264">
      <c r="A26264" s="4" t="s">
        <v>33052</v>
      </c>
      <c r="B26264" s="4" t="s">
        <v>33054</v>
      </c>
      <c r="C26264" s="5" t="str">
        <f>IFERROR(__xludf.DUMMYFUNCTION("GOOGLETRANSLATE(B26264,""en"",""de"")"),"Dann dreht sich die Frau nach links und wirft einen Ball und dreht ihren Körper.")</f>
        <v>Dann dreht sich die Frau nach links und wirft einen Ball und dreht ihren Körper.</v>
      </c>
    </row>
    <row r="26265">
      <c r="A26265" s="4" t="s">
        <v>33055</v>
      </c>
      <c r="B26265" s="4" t="s">
        <v>33056</v>
      </c>
      <c r="C26265" s="5" t="str">
        <f>IFERROR(__xludf.DUMMYFUNCTION("GOOGLETRANSLATE(B26265,""en"",""de"")"),"Eine Frau führt eine Klasse von Jungen und Mädchen im Training an.")</f>
        <v>Eine Frau führt eine Klasse von Jungen und Mädchen im Training an.</v>
      </c>
    </row>
    <row r="26266">
      <c r="A26266" s="4" t="s">
        <v>33055</v>
      </c>
      <c r="B26266" s="4" t="s">
        <v>33057</v>
      </c>
      <c r="C26266" s="5" t="str">
        <f>IFERROR(__xludf.DUMMYFUNCTION("GOOGLETRANSLATE(B26266,""en"",""de"")"),"Sie verwenden Stepper, um auf und ab zu springen und voneinander zu Seite.")</f>
        <v>Sie verwenden Stepper, um auf und ab zu springen und voneinander zu Seite.</v>
      </c>
    </row>
    <row r="26267">
      <c r="A26267" s="4" t="s">
        <v>33055</v>
      </c>
      <c r="B26267" s="4" t="s">
        <v>33058</v>
      </c>
      <c r="C26267" s="5" t="str">
        <f>IFERROR(__xludf.DUMMYFUNCTION("GOOGLETRANSLATE(B26267,""en"",""de"")"),"Dann rennen sie an Ort und Stelle und hüpfen auf und neben den Steppern.")</f>
        <v>Dann rennen sie an Ort und Stelle und hüpfen auf und neben den Steppern.</v>
      </c>
    </row>
    <row r="26268">
      <c r="A26268" s="4" t="s">
        <v>33055</v>
      </c>
      <c r="B26268" s="4" t="s">
        <v>33059</v>
      </c>
      <c r="C26268" s="5" t="str">
        <f>IFERROR(__xludf.DUMMYFUNCTION("GOOGLETRANSLATE(B26268,""en"",""de"")"),"Sie verlangsamen und kühlen sich ab, bevor sie klatschen.")</f>
        <v>Sie verlangsamen und kühlen sich ab, bevor sie klatschen.</v>
      </c>
    </row>
    <row r="26269">
      <c r="A26269" s="4" t="s">
        <v>33060</v>
      </c>
      <c r="B26269" s="4" t="s">
        <v>33061</v>
      </c>
      <c r="C26269" s="5" t="str">
        <f>IFERROR(__xludf.DUMMYFUNCTION("GOOGLETRANSLATE(B26269,""en"",""de"")"),"Frau ist im Meereswechsel und ein Mann ist hinter ihr.")</f>
        <v>Frau ist im Meereswechsel und ein Mann ist hinter ihr.</v>
      </c>
    </row>
    <row r="26270">
      <c r="A26270" s="4" t="s">
        <v>33060</v>
      </c>
      <c r="B26270" s="4" t="s">
        <v>33062</v>
      </c>
      <c r="C26270" s="5" t="str">
        <f>IFERROR(__xludf.DUMMYFUNCTION("GOOGLETRANSLATE(B26270,""en"",""de"")"),"Sie beobachten die Fische und Koffer.")</f>
        <v>Sie beobachten die Fische und Koffer.</v>
      </c>
    </row>
    <row r="26271">
      <c r="A26271" s="4" t="s">
        <v>33060</v>
      </c>
      <c r="B26271" s="4" t="s">
        <v>33063</v>
      </c>
      <c r="C26271" s="5" t="str">
        <f>IFERROR(__xludf.DUMMYFUNCTION("GOOGLETRANSLATE(B26271,""en"",""de"")"),"Männer tauchen unter dem Meer tauchen.")</f>
        <v>Männer tauchen unter dem Meer tauchen.</v>
      </c>
    </row>
    <row r="26272">
      <c r="A26272" s="4" t="s">
        <v>33064</v>
      </c>
      <c r="B26272" s="4" t="s">
        <v>33065</v>
      </c>
      <c r="C26272" s="5" t="str">
        <f>IFERROR(__xludf.DUMMYFUNCTION("GOOGLETRANSLATE(B26272,""en"",""de"")"),"Eine Gruppe von Jungen ist aufgereiht und spielt Schlagzeug.")</f>
        <v>Eine Gruppe von Jungen ist aufgereiht und spielt Schlagzeug.</v>
      </c>
    </row>
    <row r="26273">
      <c r="A26273" s="4" t="s">
        <v>33064</v>
      </c>
      <c r="B26273" s="4" t="s">
        <v>33066</v>
      </c>
      <c r="C26273" s="5" t="str">
        <f>IFERROR(__xludf.DUMMYFUNCTION("GOOGLETRANSLATE(B26273,""en"",""de"")"),"Ein paar Teams befinden sich im Pool.")</f>
        <v>Ein paar Teams befinden sich im Pool.</v>
      </c>
    </row>
    <row r="26274">
      <c r="A26274" s="4" t="s">
        <v>33064</v>
      </c>
      <c r="B26274" s="4" t="s">
        <v>27454</v>
      </c>
      <c r="C26274" s="5" t="str">
        <f>IFERROR(__xludf.DUMMYFUNCTION("GOOGLETRANSLATE(B26274,""en"",""de"")"),"Sie spielen ein Spiel Wasserball.")</f>
        <v>Sie spielen ein Spiel Wasserball.</v>
      </c>
    </row>
    <row r="26275">
      <c r="A26275" s="4" t="s">
        <v>33067</v>
      </c>
      <c r="B26275" s="4" t="s">
        <v>33068</v>
      </c>
      <c r="C26275" s="5" t="str">
        <f>IFERROR(__xludf.DUMMYFUNCTION("GOOGLETRANSLATE(B26275,""en"",""de"")"),"Eine Frau spricht mit jemandem außerhalb der Kamera und führt in sich selbst und spielt Schlagzeug.")</f>
        <v>Eine Frau spricht mit jemandem außerhalb der Kamera und führt in sich selbst und spielt Schlagzeug.</v>
      </c>
    </row>
    <row r="26276">
      <c r="A26276" s="4" t="s">
        <v>33067</v>
      </c>
      <c r="B26276" s="4" t="s">
        <v>33069</v>
      </c>
      <c r="C26276" s="5" t="str">
        <f>IFERROR(__xludf.DUMMYFUNCTION("GOOGLETRANSLATE(B26276,""en"",""de"")"),"Ein anderer Mann tritt in den Rahmen und spielt mit einer Frau Schlagzeug.")</f>
        <v>Ein anderer Mann tritt in den Rahmen und spielt mit einer Frau Schlagzeug.</v>
      </c>
    </row>
    <row r="26277">
      <c r="A26277" s="4" t="s">
        <v>33067</v>
      </c>
      <c r="B26277" s="4" t="s">
        <v>33070</v>
      </c>
      <c r="C26277" s="5" t="str">
        <f>IFERROR(__xludf.DUMMYFUNCTION("GOOGLETRANSLATE(B26277,""en"",""de"")"),"Ein kleines Kind erscheint ein bisschen vorne an der Frau, während sie und der Mann immer noch Schlagzeug spielen.")</f>
        <v>Ein kleines Kind erscheint ein bisschen vorne an der Frau, während sie und der Mann immer noch Schlagzeug spielen.</v>
      </c>
    </row>
    <row r="26278">
      <c r="A26278" s="4" t="s">
        <v>33071</v>
      </c>
      <c r="B26278" s="4" t="s">
        <v>33072</v>
      </c>
      <c r="C26278" s="5" t="str">
        <f>IFERROR(__xludf.DUMMYFUNCTION("GOOGLETRANSLATE(B26278,""en"",""de"")"),"Eine große Gruppe von Menschen spielt gegeneinander Völkerball und wirft den Ball zurück und den vierten Platz.")</f>
        <v>Eine große Gruppe von Menschen spielt gegeneinander Völkerball und wirft den Ball zurück und den vierten Platz.</v>
      </c>
    </row>
    <row r="26279">
      <c r="A26279" s="4" t="s">
        <v>33071</v>
      </c>
      <c r="B26279" s="4" t="s">
        <v>33073</v>
      </c>
      <c r="C26279" s="5" t="str">
        <f>IFERROR(__xludf.DUMMYFUNCTION("GOOGLETRANSLATE(B26279,""en"",""de"")"),"Viele Leute sehen das Spiel am Rande an, während die Leute weiter spielen, während einige fallen und in und aus dem Rahmen gehen.")</f>
        <v>Viele Leute sehen das Spiel am Rande an, während die Leute weiter spielen, während einige fallen und in und aus dem Rahmen gehen.</v>
      </c>
    </row>
    <row r="26280">
      <c r="A26280" s="4" t="s">
        <v>33074</v>
      </c>
      <c r="B26280" s="4" t="s">
        <v>33075</v>
      </c>
      <c r="C26280" s="5" t="str">
        <f>IFERROR(__xludf.DUMMYFUNCTION("GOOGLETRANSLATE(B26280,""en"",""de"")"),"Eine asiatische Frau hält eine Karte mit goldenen Buchstaben auf der Rückseite.")</f>
        <v>Eine asiatische Frau hält eine Karte mit goldenen Buchstaben auf der Rückseite.</v>
      </c>
    </row>
    <row r="26281">
      <c r="A26281" s="4" t="s">
        <v>33074</v>
      </c>
      <c r="B26281" s="4" t="s">
        <v>33076</v>
      </c>
      <c r="C26281" s="5" t="str">
        <f>IFERROR(__xludf.DUMMYFUNCTION("GOOGLETRANSLATE(B26281,""en"",""de"")"),"Ein Clip beginnt zu spielen und es zeigt verschiedene Männer in einem großen Feld, das Krocket spielt, während die Zuschauer weiterschauen.")</f>
        <v>Ein Clip beginnt zu spielen und es zeigt verschiedene Männer in einem großen Feld, das Krocket spielt, während die Zuschauer weiterschauen.</v>
      </c>
    </row>
    <row r="26282">
      <c r="A26282" s="4" t="s">
        <v>33074</v>
      </c>
      <c r="B26282" s="4" t="s">
        <v>33077</v>
      </c>
      <c r="C26282" s="5" t="str">
        <f>IFERROR(__xludf.DUMMYFUNCTION("GOOGLETRANSLATE(B26282,""en"",""de"")"),"Einer junger Mann wird dann mit einer großen silbernen Tasse präsentiert, die ihm von einem älteren Mann überreicht wird.")</f>
        <v>Einer junger Mann wird dann mit einer großen silbernen Tasse präsentiert, die ihm von einem älteren Mann überreicht wird.</v>
      </c>
    </row>
    <row r="26283">
      <c r="A26283" s="4" t="s">
        <v>33078</v>
      </c>
      <c r="B26283" s="4" t="s">
        <v>33079</v>
      </c>
      <c r="C26283" s="5" t="str">
        <f>IFERROR(__xludf.DUMMYFUNCTION("GOOGLETRANSLATE(B26283,""en"",""de"")"),"Eine Frau liegt auf ihrem Rücken und macht Bauchmuskeln.")</f>
        <v>Eine Frau liegt auf ihrem Rücken und macht Bauchmuskeln.</v>
      </c>
    </row>
    <row r="26284">
      <c r="A26284" s="4" t="s">
        <v>33078</v>
      </c>
      <c r="B26284" s="4" t="s">
        <v>33080</v>
      </c>
      <c r="C26284" s="5" t="str">
        <f>IFERROR(__xludf.DUMMYFUNCTION("GOOGLETRANSLATE(B26284,""en"",""de"")"),"Die Frau hebt ihre Knie an die Brust und zieht den Kopf mit ihren Händen.")</f>
        <v>Die Frau hebt ihre Knie an die Brust und zieht den Kopf mit ihren Händen.</v>
      </c>
    </row>
    <row r="26285">
      <c r="A26285" s="4" t="s">
        <v>33078</v>
      </c>
      <c r="B26285" s="4" t="s">
        <v>33081</v>
      </c>
      <c r="C26285" s="5" t="str">
        <f>IFERROR(__xludf.DUMMYFUNCTION("GOOGLETRANSLATE(B26285,""en"",""de"")"),"Dann hält die Frau stehen und ein Hund nähert sich ihr.")</f>
        <v>Dann hält die Frau stehen und ein Hund nähert sich ihr.</v>
      </c>
    </row>
    <row r="26286">
      <c r="A26286" s="4" t="s">
        <v>33082</v>
      </c>
      <c r="B26286" s="4" t="s">
        <v>33083</v>
      </c>
      <c r="C26286" s="5" t="str">
        <f>IFERROR(__xludf.DUMMYFUNCTION("GOOGLETRANSLATE(B26286,""en"",""de"")"),"Ein junges Team von Jungen befindet sich in einem Fitnessstudio in einem Karate -Match.")</f>
        <v>Ein junges Team von Jungen befindet sich in einem Fitnessstudio in einem Karate -Match.</v>
      </c>
    </row>
    <row r="26287">
      <c r="A26287" s="4" t="s">
        <v>33082</v>
      </c>
      <c r="B26287" s="4" t="s">
        <v>33084</v>
      </c>
      <c r="C26287" s="5" t="str">
        <f>IFERROR(__xludf.DUMMYFUNCTION("GOOGLETRANSLATE(B26287,""en"",""de"")"),"Eine Frau geht ihren Sohn auf die Matte und beginnt seine Matte zu reparieren und ihn auf seine Gegnerin vorzubereiten.")</f>
        <v>Eine Frau geht ihren Sohn auf die Matte und beginnt seine Matte zu reparieren und ihn auf seine Gegnerin vorzubereiten.</v>
      </c>
    </row>
    <row r="26288">
      <c r="A26288" s="4" t="s">
        <v>33082</v>
      </c>
      <c r="B26288" s="4" t="s">
        <v>33085</v>
      </c>
      <c r="C26288" s="5" t="str">
        <f>IFERROR(__xludf.DUMMYFUNCTION("GOOGLETRANSLATE(B26288,""en"",""de"")"),"Die beiden Individuen gehen zur Matte und der Schiedsrichter gibt ihnen das Signal.")</f>
        <v>Die beiden Individuen gehen zur Matte und der Schiedsrichter gibt ihnen das Signal.</v>
      </c>
    </row>
    <row r="26289">
      <c r="A26289" s="4" t="s">
        <v>33082</v>
      </c>
      <c r="B26289" s="4" t="s">
        <v>33086</v>
      </c>
      <c r="C26289" s="5" t="str">
        <f>IFERROR(__xludf.DUMMYFUNCTION("GOOGLETRANSLATE(B26289,""en"",""de"")"),"Als der Junge angesprochen wird, tritt er seinen Gegner in den Kopf.")</f>
        <v>Als der Junge angesprochen wird, tritt er seinen Gegner in den Kopf.</v>
      </c>
    </row>
    <row r="26290">
      <c r="A26290" s="4" t="s">
        <v>33082</v>
      </c>
      <c r="B26290" s="4" t="s">
        <v>33087</v>
      </c>
      <c r="C26290" s="5" t="str">
        <f>IFERROR(__xludf.DUMMYFUNCTION("GOOGLETRANSLATE(B26290,""en"",""de"")"),"Der Junge, der getreten wird, fällt auf den Boden und seine Mutter eilt raus, um sicherzustellen, dass es ihm gut geht, wenn der andere Junge ein Knie nimmt.")</f>
        <v>Der Junge, der getreten wird, fällt auf den Boden und seine Mutter eilt raus, um sicherzustellen, dass es ihm gut geht, wenn der andere Junge ein Knie nimmt.</v>
      </c>
    </row>
    <row r="26291">
      <c r="A26291" s="4" t="s">
        <v>33082</v>
      </c>
      <c r="B26291" s="4" t="s">
        <v>33088</v>
      </c>
      <c r="C26291" s="5" t="str">
        <f>IFERROR(__xludf.DUMMYFUNCTION("GOOGLETRANSLATE(B26291,""en"",""de"")"),"Sobald es dem Jungen in Ordnung ist, macht der Schiedsrichter mehrere Handgesten und er schließt das Match, der junge Junge geht zu seiner Mutter und macht sich auf den Weg zu dem, wer jemals die Kamera hält.")</f>
        <v>Sobald es dem Jungen in Ordnung ist, macht der Schiedsrichter mehrere Handgesten und er schließt das Match, der junge Junge geht zu seiner Mutter und macht sich auf den Weg zu dem, wer jemals die Kamera hält.</v>
      </c>
    </row>
    <row r="26292">
      <c r="A26292" s="4" t="s">
        <v>33089</v>
      </c>
      <c r="B26292" s="4" t="s">
        <v>33090</v>
      </c>
      <c r="C26292" s="5" t="str">
        <f>IFERROR(__xludf.DUMMYFUNCTION("GOOGLETRANSLATE(B26292,""en"",""de"")"),"Ein Mann mit verbundenen Augen sitzt an einem Tisch mit einem Timer neben ihm, der versucht, einen Rubix -Würfel zu lösen.")</f>
        <v>Ein Mann mit verbundenen Augen sitzt an einem Tisch mit einem Timer neben ihm, der versucht, einen Rubix -Würfel zu lösen.</v>
      </c>
    </row>
    <row r="26293">
      <c r="A26293" s="4" t="s">
        <v>33089</v>
      </c>
      <c r="B26293" s="4" t="s">
        <v>33091</v>
      </c>
      <c r="C26293" s="5" t="str">
        <f>IFERROR(__xludf.DUMMYFUNCTION("GOOGLETRANSLATE(B26293,""en"",""de"")"),"Der Mann beendet den Würfel und der Timer stoppt, während eine Person, die neben ihm steht, seine Zeit aufzeichnet.")</f>
        <v>Der Mann beendet den Würfel und der Timer stoppt, während eine Person, die neben ihm steht, seine Zeit aufzeichnet.</v>
      </c>
    </row>
    <row r="26294">
      <c r="A26294" s="4" t="s">
        <v>33089</v>
      </c>
      <c r="B26294" s="4" t="s">
        <v>33092</v>
      </c>
      <c r="C26294" s="5" t="str">
        <f>IFERROR(__xludf.DUMMYFUNCTION("GOOGLETRANSLATE(B26294,""en"",""de"")"),"Ein anderer Mann ist im Hintergrund herumläuft, während die Kamera nach mehr Menschen umsetzt, um Würfel zu lösen.")</f>
        <v>Ein anderer Mann ist im Hintergrund herumläuft, während die Kamera nach mehr Menschen umsetzt, um Würfel zu lösen.</v>
      </c>
    </row>
    <row r="26295">
      <c r="A26295" s="4" t="s">
        <v>33093</v>
      </c>
      <c r="B26295" s="4" t="s">
        <v>33094</v>
      </c>
      <c r="C26295" s="5" t="str">
        <f>IFERROR(__xludf.DUMMYFUNCTION("GOOGLETRANSLATE(B26295,""en"",""de"")"),"Ein Mädchen wird auf dem Gymnastikboden gezeigt, das sich auf eine Stabroutine vorbereitet.")</f>
        <v>Ein Mädchen wird auf dem Gymnastikboden gezeigt, das sich auf eine Stabroutine vorbereitet.</v>
      </c>
    </row>
    <row r="26296">
      <c r="A26296" s="4" t="s">
        <v>33093</v>
      </c>
      <c r="B26296" s="4" t="s">
        <v>33095</v>
      </c>
      <c r="C26296" s="5" t="str">
        <f>IFERROR(__xludf.DUMMYFUNCTION("GOOGLETRANSLATE(B26296,""en"",""de"")"),"Die Routine beginnt, als sie beginnt, um den Boden zu tanzen und ihre Schlagstöcke zu verdrehen.")</f>
        <v>Die Routine beginnt, als sie beginnt, um den Boden zu tanzen und ihre Schlagstöcke zu verdrehen.</v>
      </c>
    </row>
    <row r="26297">
      <c r="A26297" s="4" t="s">
        <v>33093</v>
      </c>
      <c r="B26297" s="4" t="s">
        <v>33096</v>
      </c>
      <c r="C26297" s="5" t="str">
        <f>IFERROR(__xludf.DUMMYFUNCTION("GOOGLETRANSLATE(B26297,""en"",""de"")"),"Die Routine endet und sie rennt von der Bühne, als die Menge jubelt.")</f>
        <v>Die Routine endet und sie rennt von der Bühne, als die Menge jubelt.</v>
      </c>
    </row>
    <row r="26298">
      <c r="A26298" s="4" t="s">
        <v>33097</v>
      </c>
      <c r="B26298" s="4" t="s">
        <v>33098</v>
      </c>
      <c r="C26298" s="5" t="str">
        <f>IFERROR(__xludf.DUMMYFUNCTION("GOOGLETRANSLATE(B26298,""en"",""de"")"),"Eine Person wird gesehen, wie sie sich entlang des Wassers bewegt und gleichzeitig in Zeitlupe gezeigt wird.")</f>
        <v>Eine Person wird gesehen, wie sie sich entlang des Wassers bewegt und gleichzeitig in Zeitlupe gezeigt wird.</v>
      </c>
    </row>
    <row r="26299">
      <c r="A26299" s="4" t="s">
        <v>33097</v>
      </c>
      <c r="B26299" s="4" t="s">
        <v>33099</v>
      </c>
      <c r="C26299" s="5" t="str">
        <f>IFERROR(__xludf.DUMMYFUNCTION("GOOGLETRANSLATE(B26299,""en"",""de"")"),"Die Person schiebt sich unter das Wasser und bewegt sich weiter unter sich.")</f>
        <v>Die Person schiebt sich unter das Wasser und bewegt sich weiter unter sich.</v>
      </c>
    </row>
    <row r="26300">
      <c r="A26300" s="4" t="s">
        <v>33097</v>
      </c>
      <c r="B26300" s="4" t="s">
        <v>33100</v>
      </c>
      <c r="C26300" s="5" t="str">
        <f>IFERROR(__xludf.DUMMYFUNCTION("GOOGLETRANSLATE(B26300,""en"",""de"")"),"Die Kamera fängt den Mann aus mehreren Blickwinkeln ein.")</f>
        <v>Die Kamera fängt den Mann aus mehreren Blickwinkeln ein.</v>
      </c>
    </row>
    <row r="26301">
      <c r="A26301" s="4" t="s">
        <v>33101</v>
      </c>
      <c r="B26301" s="4" t="s">
        <v>33102</v>
      </c>
      <c r="C26301" s="5" t="str">
        <f>IFERROR(__xludf.DUMMYFUNCTION("GOOGLETRANSLATE(B26301,""en"",""de"")"),"Es gibt entfernte Ansichten von Gebieten in Bezug auf Los Angeles, Hollywood und Umgebung.")</f>
        <v>Es gibt entfernte Ansichten von Gebieten in Bezug auf Los Angeles, Hollywood und Umgebung.</v>
      </c>
    </row>
    <row r="26302">
      <c r="A26302" s="4" t="s">
        <v>33101</v>
      </c>
      <c r="B26302" s="4" t="s">
        <v>33103</v>
      </c>
      <c r="C26302" s="5" t="str">
        <f>IFERROR(__xludf.DUMMYFUNCTION("GOOGLETRANSLATE(B26302,""en"",""de"")"),"Ein Mann spricht dann hinter einem Tisch voller Zutaten und Kochutensilien.")</f>
        <v>Ein Mann spricht dann hinter einem Tisch voller Zutaten und Kochutensilien.</v>
      </c>
    </row>
    <row r="26303">
      <c r="A26303" s="4" t="s">
        <v>33101</v>
      </c>
      <c r="B26303" s="4" t="s">
        <v>33104</v>
      </c>
      <c r="C26303" s="5" t="str">
        <f>IFERROR(__xludf.DUMMYFUNCTION("GOOGLETRANSLATE(B26303,""en"",""de"")"),"Der Mann zeigt dann einige seiner Gemüse und Zutaten und riecht sie.")</f>
        <v>Der Mann zeigt dann einige seiner Gemüse und Zutaten und riecht sie.</v>
      </c>
    </row>
    <row r="26304">
      <c r="A26304" s="4" t="s">
        <v>33101</v>
      </c>
      <c r="B26304" s="4" t="s">
        <v>33105</v>
      </c>
      <c r="C26304" s="5" t="str">
        <f>IFERROR(__xludf.DUMMYFUNCTION("GOOGLETRANSLATE(B26304,""en"",""de"")"),"Er beginnt zu kochen, indem er eine Zitrone in eine Schüssel mit eingeweichtem Gemüse drückt.")</f>
        <v>Er beginnt zu kochen, indem er eine Zitrone in eine Schüssel mit eingeweichtem Gemüse drückt.</v>
      </c>
    </row>
    <row r="26305">
      <c r="A26305" s="4" t="s">
        <v>33101</v>
      </c>
      <c r="B26305" s="4" t="s">
        <v>33106</v>
      </c>
      <c r="C26305" s="5" t="str">
        <f>IFERROR(__xludf.DUMMYFUNCTION("GOOGLETRANSLATE(B26305,""en"",""de"")"),"Dann legt er Zwiebeln, Zitronensaft, Pfeffer, Öl, die er riecht, und ein anderes Gemüse auf einen Teller.")</f>
        <v>Dann legt er Zwiebeln, Zitronensaft, Pfeffer, Öl, die er riecht, und ein anderes Gemüse auf einen Teller.</v>
      </c>
    </row>
    <row r="26306">
      <c r="A26306" s="4" t="s">
        <v>33101</v>
      </c>
      <c r="B26306" s="4" t="s">
        <v>33107</v>
      </c>
      <c r="C26306" s="5" t="str">
        <f>IFERROR(__xludf.DUMMYFUNCTION("GOOGLETRANSLATE(B26306,""en"",""de"")"),"Dann schlägt er Käse mit einem Shredder auf einen Ort.")</f>
        <v>Dann schlägt er Käse mit einem Shredder auf einen Ort.</v>
      </c>
    </row>
    <row r="26307">
      <c r="A26307" s="4" t="s">
        <v>33101</v>
      </c>
      <c r="B26307" s="4" t="s">
        <v>33108</v>
      </c>
      <c r="C26307" s="5" t="str">
        <f>IFERROR(__xludf.DUMMYFUNCTION("GOOGLETRANSLATE(B26307,""en"",""de"")"),"Er legt den zerkleinerten Käse auf den ursprünglichen Teller.")</f>
        <v>Er legt den zerkleinerten Käse auf den ursprünglichen Teller.</v>
      </c>
    </row>
    <row r="26308">
      <c r="A26308" s="4" t="s">
        <v>33101</v>
      </c>
      <c r="B26308" s="4" t="s">
        <v>33109</v>
      </c>
      <c r="C26308" s="5" t="str">
        <f>IFERROR(__xludf.DUMMYFUNCTION("GOOGLETRANSLATE(B26308,""en"",""de"")"),"Danach nimmt er ein paar Kräuter aus und legt sie auf einen Teller.")</f>
        <v>Danach nimmt er ein paar Kräuter aus und legt sie auf einen Teller.</v>
      </c>
    </row>
    <row r="26309">
      <c r="A26309" s="4" t="s">
        <v>33101</v>
      </c>
      <c r="B26309" s="4" t="s">
        <v>33110</v>
      </c>
      <c r="C26309" s="5" t="str">
        <f>IFERROR(__xludf.DUMMYFUNCTION("GOOGLETRANSLATE(B26309,""en"",""de"")"),"Dann fügt er dem ursprünglichen Teller Salz und mehr Pfeffer hinzu.")</f>
        <v>Dann fügt er dem ursprünglichen Teller Salz und mehr Pfeffer hinzu.</v>
      </c>
    </row>
    <row r="26310">
      <c r="A26310" s="4" t="s">
        <v>33101</v>
      </c>
      <c r="B26310" s="4" t="s">
        <v>33111</v>
      </c>
      <c r="C26310" s="5" t="str">
        <f>IFERROR(__xludf.DUMMYFUNCTION("GOOGLETRANSLATE(B26310,""en"",""de"")"),"Dann spricht er über eine Flasche Öl und fügt den Originalplatten etwas hinzu.")</f>
        <v>Dann spricht er über eine Flasche Öl und fügt den Originalplatten etwas hinzu.</v>
      </c>
    </row>
    <row r="26311">
      <c r="A26311" s="4" t="s">
        <v>33101</v>
      </c>
      <c r="B26311" s="4" t="s">
        <v>33112</v>
      </c>
      <c r="C26311" s="5" t="str">
        <f>IFERROR(__xludf.DUMMYFUNCTION("GOOGLETRANSLATE(B26311,""en"",""de"")"),"Er fügt auch eine andere Art von Öl in die Platte hinzu.")</f>
        <v>Er fügt auch eine andere Art von Öl in die Platte hinzu.</v>
      </c>
    </row>
    <row r="26312">
      <c r="A26312" s="4" t="s">
        <v>33101</v>
      </c>
      <c r="B26312" s="4" t="s">
        <v>33113</v>
      </c>
      <c r="C26312" s="5" t="str">
        <f>IFERROR(__xludf.DUMMYFUNCTION("GOOGLETRANSLATE(B26312,""en"",""de"")"),"Es gibt dann verschiedene Clips und Winkel der fertigen Lebensmittelplatte.")</f>
        <v>Es gibt dann verschiedene Clips und Winkel der fertigen Lebensmittelplatte.</v>
      </c>
    </row>
    <row r="26313">
      <c r="A26313" s="4" t="s">
        <v>33114</v>
      </c>
      <c r="B26313" s="4" t="s">
        <v>33115</v>
      </c>
      <c r="C26313" s="5" t="str">
        <f>IFERROR(__xludf.DUMMYFUNCTION("GOOGLETRANSLATE(B26313,""en"",""de"")"),"Ein Mann vervollständigt eine große Reihe von Liegestütze und führt dann die Konzepte des Völkerballs ein.")</f>
        <v>Ein Mann vervollständigt eine große Reihe von Liegestütze und führt dann die Konzepte des Völkerballs ein.</v>
      </c>
    </row>
    <row r="26314">
      <c r="A26314" s="4" t="s">
        <v>33114</v>
      </c>
      <c r="B26314" s="4" t="s">
        <v>33116</v>
      </c>
      <c r="C26314" s="5" t="str">
        <f>IFERROR(__xludf.DUMMYFUNCTION("GOOGLETRANSLATE(B26314,""en"",""de"")"),"Das Gericht wird eine Grafik gezeigt.")</f>
        <v>Das Gericht wird eine Grafik gezeigt.</v>
      </c>
    </row>
    <row r="26315">
      <c r="A26315" s="4" t="s">
        <v>33114</v>
      </c>
      <c r="B26315" s="4" t="s">
        <v>33117</v>
      </c>
      <c r="C26315" s="5" t="str">
        <f>IFERROR(__xludf.DUMMYFUNCTION("GOOGLETRANSLATE(B26315,""en"",""de"")"),"Die beiden Teams spielen sich an, um gegeneinander zu spielen.")</f>
        <v>Die beiden Teams spielen sich an, um gegeneinander zu spielen.</v>
      </c>
    </row>
    <row r="26316">
      <c r="A26316" s="4" t="s">
        <v>33114</v>
      </c>
      <c r="B26316" s="4" t="s">
        <v>33118</v>
      </c>
      <c r="C26316" s="5" t="str">
        <f>IFERROR(__xludf.DUMMYFUNCTION("GOOGLETRANSLATE(B26316,""en"",""de"")"),"Die Konzepte, die die Menschen ausschließen und den Ball blockieren, werden eingeführt.")</f>
        <v>Die Konzepte, die die Menschen ausschließen und den Ball blockieren, werden eingeführt.</v>
      </c>
    </row>
    <row r="26317">
      <c r="A26317" s="4" t="s">
        <v>33114</v>
      </c>
      <c r="B26317" s="4" t="s">
        <v>33119</v>
      </c>
      <c r="C26317" s="5" t="str">
        <f>IFERROR(__xludf.DUMMYFUNCTION("GOOGLETRANSLATE(B26317,""en"",""de"")"),"Die Teams gratulieren sich gegenseitig und zeigen Sportlichkeit.")</f>
        <v>Die Teams gratulieren sich gegenseitig und zeigen Sportlichkeit.</v>
      </c>
    </row>
    <row r="26318">
      <c r="A26318" s="4" t="s">
        <v>33114</v>
      </c>
      <c r="B26318" s="4" t="s">
        <v>33120</v>
      </c>
      <c r="C26318" s="5" t="str">
        <f>IFERROR(__xludf.DUMMYFUNCTION("GOOGLETRANSLATE(B26318,""en"",""de"")"),"Weitere Regeln werden auf dem Bildschirm angezeigt, wodurch die Sicherheit der Spieler hervorgehoben wird.")</f>
        <v>Weitere Regeln werden auf dem Bildschirm angezeigt, wodurch die Sicherheit der Spieler hervorgehoben wird.</v>
      </c>
    </row>
    <row r="26319">
      <c r="A26319" s="4" t="s">
        <v>33121</v>
      </c>
      <c r="B26319" s="4" t="s">
        <v>33122</v>
      </c>
      <c r="C26319" s="5" t="str">
        <f>IFERROR(__xludf.DUMMYFUNCTION("GOOGLETRANSLATE(B26319,""en"",""de"")"),"Eine Person ist in verschiedenen Schüssen zu sehen, die Tricks entlang des Wassers durchführen, während andere um ihn herum fahren.")</f>
        <v>Eine Person ist in verschiedenen Schüssen zu sehen, die Tricks entlang des Wassers durchführen, während andere um ihn herum fahren.</v>
      </c>
    </row>
    <row r="26320">
      <c r="A26320" s="4" t="s">
        <v>33121</v>
      </c>
      <c r="B26320" s="4" t="s">
        <v>33123</v>
      </c>
      <c r="C26320" s="5" t="str">
        <f>IFERROR(__xludf.DUMMYFUNCTION("GOOGLETRANSLATE(B26320,""en"",""de"")"),"Der Mann führt weiterhin Tricks entlang des Wassers durch und endet damit, dass das Video schwarz verblasst.")</f>
        <v>Der Mann führt weiterhin Tricks entlang des Wassers durch und endet damit, dass das Video schwarz verblasst.</v>
      </c>
    </row>
    <row r="26321">
      <c r="A26321" s="4" t="s">
        <v>33124</v>
      </c>
      <c r="B26321" s="4" t="s">
        <v>33125</v>
      </c>
      <c r="C26321" s="5" t="str">
        <f>IFERROR(__xludf.DUMMYFUNCTION("GOOGLETRANSLATE(B26321,""en"",""de"")"),"Eine grüne Figur geht die Straße hinunter.")</f>
        <v>Eine grüne Figur geht die Straße hinunter.</v>
      </c>
    </row>
    <row r="26322">
      <c r="A26322" s="4" t="s">
        <v>33124</v>
      </c>
      <c r="B26322" s="4" t="s">
        <v>33126</v>
      </c>
      <c r="C26322" s="5" t="str">
        <f>IFERROR(__xludf.DUMMYFUNCTION("GOOGLETRANSLATE(B26322,""en"",""de"")"),"Es erscheinen ein endloser Strom anderer grüner Figuren.")</f>
        <v>Es erscheinen ein endloser Strom anderer grüner Figuren.</v>
      </c>
    </row>
    <row r="26323">
      <c r="A26323" s="4" t="s">
        <v>33124</v>
      </c>
      <c r="B26323" s="4" t="s">
        <v>33127</v>
      </c>
      <c r="C26323" s="5" t="str">
        <f>IFERROR(__xludf.DUMMYFUNCTION("GOOGLETRANSLATE(B26323,""en"",""de"")"),"Jede der Figuren geht mit einem Hund.")</f>
        <v>Jede der Figuren geht mit einem Hund.</v>
      </c>
    </row>
    <row r="26324">
      <c r="A26324" s="4" t="s">
        <v>33124</v>
      </c>
      <c r="B26324" s="4" t="s">
        <v>33128</v>
      </c>
      <c r="C26324" s="5" t="str">
        <f>IFERROR(__xludf.DUMMYFUNCTION("GOOGLETRANSLATE(B26324,""en"",""de"")"),"Der Clip scheint eine Schleife zu sein.")</f>
        <v>Der Clip scheint eine Schleife zu sein.</v>
      </c>
    </row>
    <row r="26325">
      <c r="A26325" s="4" t="s">
        <v>33129</v>
      </c>
      <c r="B26325" s="4" t="s">
        <v>33130</v>
      </c>
      <c r="C26325" s="5" t="str">
        <f>IFERROR(__xludf.DUMMYFUNCTION("GOOGLETRANSLATE(B26325,""en"",""de"")"),"Die Leute sitzen in Kajaks auf einem Fluss.")</f>
        <v>Die Leute sitzen in Kajaks auf einem Fluss.</v>
      </c>
    </row>
    <row r="26326">
      <c r="A26326" s="4" t="s">
        <v>33129</v>
      </c>
      <c r="B26326" s="4" t="s">
        <v>33131</v>
      </c>
      <c r="C26326" s="5" t="str">
        <f>IFERROR(__xludf.DUMMYFUNCTION("GOOGLETRANSLATE(B26326,""en"",""de"")"),"Sie rudern ihre Ruder.")</f>
        <v>Sie rudern ihre Ruder.</v>
      </c>
    </row>
    <row r="26327">
      <c r="A26327" s="4" t="s">
        <v>33129</v>
      </c>
      <c r="B26327" s="4" t="s">
        <v>33132</v>
      </c>
      <c r="C26327" s="5" t="str">
        <f>IFERROR(__xludf.DUMMYFUNCTION("GOOGLETRANSLATE(B26327,""en"",""de"")"),"Die Menschen stehen am Strand mit Medaillen um den Hals.")</f>
        <v>Die Menschen stehen am Strand mit Medaillen um den Hals.</v>
      </c>
    </row>
    <row r="26328">
      <c r="A26328" s="4" t="s">
        <v>33133</v>
      </c>
      <c r="B26328" s="4" t="s">
        <v>33134</v>
      </c>
      <c r="C26328" s="5" t="str">
        <f>IFERROR(__xludf.DUMMYFUNCTION("GOOGLETRANSLATE(B26328,""en"",""de"")"),"Wir sehen einen Mann auf einer Strecke.")</f>
        <v>Wir sehen einen Mann auf einer Strecke.</v>
      </c>
    </row>
    <row r="26329">
      <c r="A26329" s="4" t="s">
        <v>33133</v>
      </c>
      <c r="B26329" s="4" t="s">
        <v>33135</v>
      </c>
      <c r="C26329" s="5" t="str">
        <f>IFERROR(__xludf.DUMMYFUNCTION("GOOGLETRANSLATE(B26329,""en"",""de"")"),"Der Mann verwendet einen langen Stock, um einen Weitsprung durchzuführen.")</f>
        <v>Der Mann verwendet einen langen Stock, um einen Weitsprung durchzuführen.</v>
      </c>
    </row>
    <row r="26330">
      <c r="A26330" s="4" t="s">
        <v>33133</v>
      </c>
      <c r="B26330" s="4" t="s">
        <v>33136</v>
      </c>
      <c r="C26330" s="5" t="str">
        <f>IFERROR(__xludf.DUMMYFUNCTION("GOOGLETRANSLATE(B26330,""en"",""de"")"),"Wir sehen dann, dass der Mann versucht und den Weitsprung wiederholt versagen.")</f>
        <v>Wir sehen dann, dass der Mann versucht und den Weitsprung wiederholt versagen.</v>
      </c>
    </row>
    <row r="26331">
      <c r="A26331" s="4" t="s">
        <v>33133</v>
      </c>
      <c r="B26331" s="4" t="s">
        <v>33137</v>
      </c>
      <c r="C26331" s="5" t="str">
        <f>IFERROR(__xludf.DUMMYFUNCTION("GOOGLETRANSLATE(B26331,""en"",""de"")"),"Wir sehen, dass das Hemd des Mannes auf der Stange stecken bleibt.")</f>
        <v>Wir sehen, dass das Hemd des Mannes auf der Stange stecken bleibt.</v>
      </c>
    </row>
    <row r="26332">
      <c r="A26332" s="4" t="s">
        <v>33138</v>
      </c>
      <c r="B26332" s="4" t="s">
        <v>33139</v>
      </c>
      <c r="C26332" s="5" t="str">
        <f>IFERROR(__xludf.DUMMYFUNCTION("GOOGLETRANSLATE(B26332,""en"",""de"")"),"Eine Nahaufnahme der Trommeln wird von einer Person gesehen, die in den Rahmen geht.")</f>
        <v>Eine Nahaufnahme der Trommeln wird von einer Person gesehen, die in den Rahmen geht.</v>
      </c>
    </row>
    <row r="26333">
      <c r="A26333" s="4" t="s">
        <v>33138</v>
      </c>
      <c r="B26333" s="4" t="s">
        <v>33140</v>
      </c>
      <c r="C26333" s="5" t="str">
        <f>IFERROR(__xludf.DUMMYFUNCTION("GOOGLETRANSLATE(B26333,""en"",""de"")"),"Die Person setzt sich vor dem Schlagzeug und spielt sie kontinuierlich.")</f>
        <v>Die Person setzt sich vor dem Schlagzeug und spielt sie kontinuierlich.</v>
      </c>
    </row>
    <row r="26334">
      <c r="A26334" s="4" t="s">
        <v>33138</v>
      </c>
      <c r="B26334" s="4" t="s">
        <v>33141</v>
      </c>
      <c r="C26334" s="5" t="str">
        <f>IFERROR(__xludf.DUMMYFUNCTION("GOOGLETRANSLATE(B26334,""en"",""de"")"),"Der Mann spielt weiterhin schneller und schneller beim Schlagzeug, während die Kamera seine Bewegungen einfängt.")</f>
        <v>Der Mann spielt weiterhin schneller und schneller beim Schlagzeug, während die Kamera seine Bewegungen einfängt.</v>
      </c>
    </row>
    <row r="26335">
      <c r="A26335" s="4" t="s">
        <v>33142</v>
      </c>
      <c r="B26335" s="4" t="s">
        <v>33143</v>
      </c>
      <c r="C26335" s="5" t="str">
        <f>IFERROR(__xludf.DUMMYFUNCTION("GOOGLETRANSLATE(B26335,""en"",""de"")"),"Ein Mann schiebt einen Rasenmäher entlang eines Hofes und bewegt die Maschine über den ganzen Hof.")</f>
        <v>Ein Mann schiebt einen Rasenmäher entlang eines Hofes und bewegt die Maschine über den ganzen Hof.</v>
      </c>
    </row>
    <row r="26336">
      <c r="A26336" s="4" t="s">
        <v>33142</v>
      </c>
      <c r="B26336" s="4" t="s">
        <v>33144</v>
      </c>
      <c r="C26336" s="5" t="str">
        <f>IFERROR(__xludf.DUMMYFUNCTION("GOOGLETRANSLATE(B26336,""en"",""de"")"),"Ein anderer Mann hat gesehen, wie er eine Maschine aus einem LKW schnappt, während der andere Mann den Rasen weiter mähen.")</f>
        <v>Ein anderer Mann hat gesehen, wie er eine Maschine aus einem LKW schnappt, während der andere Mann den Rasen weiter mähen.</v>
      </c>
    </row>
    <row r="26337">
      <c r="A26337" s="4" t="s">
        <v>33145</v>
      </c>
      <c r="B26337" s="4" t="s">
        <v>33146</v>
      </c>
      <c r="C26337" s="5" t="str">
        <f>IFERROR(__xludf.DUMMYFUNCTION("GOOGLETRANSLATE(B26337,""en"",""de"")"),"Eine schwangere Frau bewegt sich langsam in einem Raum.")</f>
        <v>Eine schwangere Frau bewegt sich langsam in einem Raum.</v>
      </c>
    </row>
    <row r="26338">
      <c r="A26338" s="4" t="s">
        <v>33145</v>
      </c>
      <c r="B26338" s="4" t="s">
        <v>33147</v>
      </c>
      <c r="C26338" s="5" t="str">
        <f>IFERROR(__xludf.DUMMYFUNCTION("GOOGLETRANSLATE(B26338,""en"",""de"")"),"Sie bewegt sich voneinander an die Seite, während sie geht.")</f>
        <v>Sie bewegt sich voneinander an die Seite, während sie geht.</v>
      </c>
    </row>
    <row r="26339">
      <c r="A26339" s="4" t="s">
        <v>33145</v>
      </c>
      <c r="B26339" s="4" t="s">
        <v>33148</v>
      </c>
      <c r="C26339" s="5" t="str">
        <f>IFERROR(__xludf.DUMMYFUNCTION("GOOGLETRANSLATE(B26339,""en"",""de"")"),"Sie hebt ihre Füße und Arme und macht mehrere Kampfkunstbewegungen.")</f>
        <v>Sie hebt ihre Füße und Arme und macht mehrere Kampfkunstbewegungen.</v>
      </c>
    </row>
    <row r="26340">
      <c r="A26340" s="4" t="s">
        <v>33149</v>
      </c>
      <c r="B26340" s="4" t="s">
        <v>33150</v>
      </c>
      <c r="C26340" s="5" t="str">
        <f>IFERROR(__xludf.DUMMYFUNCTION("GOOGLETRANSLATE(B26340,""en"",""de"")"),"Ein Mann sitzt auf einem Stuhl nervös in die Kamera, während ein anderer Mann hinter ihm sitzt.")</f>
        <v>Ein Mann sitzt auf einem Stuhl nervös in die Kamera, während ein anderer Mann hinter ihm sitzt.</v>
      </c>
    </row>
    <row r="26341">
      <c r="A26341" s="4" t="s">
        <v>33149</v>
      </c>
      <c r="B26341" s="4" t="s">
        <v>33151</v>
      </c>
      <c r="C26341" s="5" t="str">
        <f>IFERROR(__xludf.DUMMYFUNCTION("GOOGLETRANSLATE(B26341,""en"",""de"")"),"Der Mann beginnt dann mit Tätowierungen der Brust des Mannes und der Mann schaut ab und zu in die Kamera.")</f>
        <v>Der Mann beginnt dann mit Tätowierungen der Brust des Mannes und der Mann schaut ab und zu in die Kamera.</v>
      </c>
    </row>
    <row r="26342">
      <c r="A26342" s="4" t="s">
        <v>33152</v>
      </c>
      <c r="B26342" s="4" t="s">
        <v>33153</v>
      </c>
      <c r="C26342" s="5" t="str">
        <f>IFERROR(__xludf.DUMMYFUNCTION("GOOGLETRANSLATE(B26342,""en"",""de"")"),"Es gibt eine Frau, die Messer in Holz wirft und sie herausnimmt.")</f>
        <v>Es gibt eine Frau, die Messer in Holz wirft und sie herausnimmt.</v>
      </c>
    </row>
    <row r="26343">
      <c r="A26343" s="4" t="s">
        <v>33152</v>
      </c>
      <c r="B26343" s="4" t="s">
        <v>33154</v>
      </c>
      <c r="C26343" s="5" t="str">
        <f>IFERROR(__xludf.DUMMYFUNCTION("GOOGLETRANSLATE(B26343,""en"",""de"")"),"Am Ende setzen sich die anderen Leute, die dort sind, hin und essen Eis am Stiel.")</f>
        <v>Am Ende setzen sich die anderen Leute, die dort sind, hin und essen Eis am Stiel.</v>
      </c>
    </row>
    <row r="26344">
      <c r="A26344" s="4" t="s">
        <v>33155</v>
      </c>
      <c r="B26344" s="4" t="s">
        <v>33156</v>
      </c>
      <c r="C26344" s="5" t="str">
        <f>IFERROR(__xludf.DUMMYFUNCTION("GOOGLETRANSLATE(B26344,""en"",""de"")"),"Ein Mann, der ein graues T-Shirt trägt, steht an einem Schreibtisch mit einem Computermonitor mit einem Timer.")</f>
        <v>Ein Mann, der ein graues T-Shirt trägt, steht an einem Schreibtisch mit einem Computermonitor mit einem Timer.</v>
      </c>
    </row>
    <row r="26345">
      <c r="A26345" s="4" t="s">
        <v>33155</v>
      </c>
      <c r="B26345" s="4" t="s">
        <v>33157</v>
      </c>
      <c r="C26345" s="5" t="str">
        <f>IFERROR(__xludf.DUMMYFUNCTION("GOOGLETRANSLATE(B26345,""en"",""de"")"),"Der Mann hält einen Rubik -Würfel und beginnt den Timer, als er den Rubik's Cube löst.")</f>
        <v>Der Mann hält einen Rubik -Würfel und beginnt den Timer, als er den Rubik's Cube löst.</v>
      </c>
    </row>
    <row r="26346">
      <c r="A26346" s="4" t="s">
        <v>33155</v>
      </c>
      <c r="B26346" s="4" t="s">
        <v>33158</v>
      </c>
      <c r="C26346" s="5" t="str">
        <f>IFERROR(__xludf.DUMMYFUNCTION("GOOGLETRANSLATE(B26346,""en"",""de"")"),"Als der Mann den Rubik's Cube vervollständigt, lässt er das Rätsel fallen und stoppt den Timer mit 26 Sekunden.")</f>
        <v>Als der Mann den Rubik's Cube vervollständigt, lässt er das Rätsel fallen und stoppt den Timer mit 26 Sekunden.</v>
      </c>
    </row>
    <row r="26347">
      <c r="A26347" s="4" t="s">
        <v>33159</v>
      </c>
      <c r="B26347" s="4" t="s">
        <v>33160</v>
      </c>
      <c r="C26347" s="5" t="str">
        <f>IFERROR(__xludf.DUMMYFUNCTION("GOOGLETRANSLATE(B26347,""en"",""de"")"),"Wir sehen einen schwarzen Öffnen von Titelbildschirm.")</f>
        <v>Wir sehen einen schwarzen Öffnen von Titelbildschirm.</v>
      </c>
    </row>
    <row r="26348">
      <c r="A26348" s="4" t="s">
        <v>33159</v>
      </c>
      <c r="B26348" s="4" t="s">
        <v>33161</v>
      </c>
      <c r="C26348" s="5" t="str">
        <f>IFERROR(__xludf.DUMMYFUNCTION("GOOGLETRANSLATE(B26348,""en"",""de"")"),"Wir sehen, wie ein Boot im Meer schwebt und Menschen auf dem Boot sitzen.")</f>
        <v>Wir sehen, wie ein Boot im Meer schwebt und Menschen auf dem Boot sitzen.</v>
      </c>
    </row>
    <row r="26349">
      <c r="A26349" s="4" t="s">
        <v>33159</v>
      </c>
      <c r="B26349" s="4" t="s">
        <v>33162</v>
      </c>
      <c r="C26349" s="5" t="str">
        <f>IFERROR(__xludf.DUMMYFUNCTION("GOOGLETRANSLATE(B26349,""en"",""de"")"),"Drei Personen sind unter Wasser im Tauchgerät und schauen auf das Sealife.")</f>
        <v>Drei Personen sind unter Wasser im Tauchgerät und schauen auf das Sealife.</v>
      </c>
    </row>
    <row r="26350">
      <c r="A26350" s="4" t="s">
        <v>33159</v>
      </c>
      <c r="B26350" s="4" t="s">
        <v>33163</v>
      </c>
      <c r="C26350" s="5" t="str">
        <f>IFERROR(__xludf.DUMMYFUNCTION("GOOGLETRANSLATE(B26350,""en"",""de"")"),"Wir sehen einen Mann und eine Frau zusammen schwimmen und die Dame winkt in die Kamera.")</f>
        <v>Wir sehen einen Mann und eine Frau zusammen schwimmen und die Dame winkt in die Kamera.</v>
      </c>
    </row>
    <row r="26351">
      <c r="A26351" s="4" t="s">
        <v>33159</v>
      </c>
      <c r="B26351" s="4" t="s">
        <v>33164</v>
      </c>
      <c r="C26351" s="5" t="str">
        <f>IFERROR(__xludf.DUMMYFUNCTION("GOOGLETRANSLATE(B26351,""en"",""de"")"),"Die Dame macht ein Explosionszeichen mit ihren Händen und Wellen.")</f>
        <v>Die Dame macht ein Explosionszeichen mit ihren Händen und Wellen.</v>
      </c>
    </row>
    <row r="26352">
      <c r="A26352" s="4" t="s">
        <v>33159</v>
      </c>
      <c r="B26352" s="4" t="s">
        <v>33165</v>
      </c>
      <c r="C26352" s="5" t="str">
        <f>IFERROR(__xludf.DUMMYFUNCTION("GOOGLETRANSLATE(B26352,""en"",""de"")"),"Die Dame nimmt ihr Mundstück heraus und zuckt mit den Schultern.")</f>
        <v>Die Dame nimmt ihr Mundstück heraus und zuckt mit den Schultern.</v>
      </c>
    </row>
    <row r="26353">
      <c r="A26353" s="4" t="s">
        <v>33159</v>
      </c>
      <c r="B26353" s="4" t="s">
        <v>33166</v>
      </c>
      <c r="C26353" s="5" t="str">
        <f>IFERROR(__xludf.DUMMYFUNCTION("GOOGLETRANSLATE(B26353,""en"",""de"")"),"Wir sehen die Leute wieder auf dem Boot und das Mann und das Mädchen umarmen sich gegenseitig.")</f>
        <v>Wir sehen die Leute wieder auf dem Boot und das Mann und das Mädchen umarmen sich gegenseitig.</v>
      </c>
    </row>
    <row r="26354">
      <c r="A26354" s="4" t="s">
        <v>33159</v>
      </c>
      <c r="B26354" s="4" t="s">
        <v>33167</v>
      </c>
      <c r="C26354" s="5" t="str">
        <f>IFERROR(__xludf.DUMMYFUNCTION("GOOGLETRANSLATE(B26354,""en"",""de"")"),"Wir sehen einen Ballon hoch am Himmel.")</f>
        <v>Wir sehen einen Ballon hoch am Himmel.</v>
      </c>
    </row>
    <row r="26355">
      <c r="A26355" s="4" t="s">
        <v>33168</v>
      </c>
      <c r="B26355" s="4" t="s">
        <v>33169</v>
      </c>
      <c r="C26355" s="5" t="str">
        <f>IFERROR(__xludf.DUMMYFUNCTION("GOOGLETRANSLATE(B26355,""en"",""de"")"),"Drei Männer in Weiß machen Karatebewegungen in einem Raum.")</f>
        <v>Drei Männer in Weiß machen Karatebewegungen in einem Raum.</v>
      </c>
    </row>
    <row r="26356">
      <c r="A26356" s="4" t="s">
        <v>33168</v>
      </c>
      <c r="B26356" s="4" t="s">
        <v>33170</v>
      </c>
      <c r="C26356" s="5" t="str">
        <f>IFERROR(__xludf.DUMMYFUNCTION("GOOGLETRANSLATE(B26356,""en"",""de"")"),"Sie machen ein paar Tritte in die Luft.")</f>
        <v>Sie machen ein paar Tritte in die Luft.</v>
      </c>
    </row>
    <row r="26357">
      <c r="A26357" s="4" t="s">
        <v>33168</v>
      </c>
      <c r="B26357" s="4" t="s">
        <v>33171</v>
      </c>
      <c r="C26357" s="5" t="str">
        <f>IFERROR(__xludf.DUMMYFUNCTION("GOOGLETRANSLATE(B26357,""en"",""de"")"),"Zwei der Männer fangen an, gegeneinander zu kämpfen.")</f>
        <v>Zwei der Männer fangen an, gegeneinander zu kämpfen.</v>
      </c>
    </row>
    <row r="26358">
      <c r="A26358" s="4" t="s">
        <v>33172</v>
      </c>
      <c r="B26358" s="4" t="s">
        <v>33173</v>
      </c>
      <c r="C26358" s="5" t="str">
        <f>IFERROR(__xludf.DUMMYFUNCTION("GOOGLETRANSLATE(B26358,""en"",""de"")"),"Eine große blaue Kugel wird in die Luft geworfen.")</f>
        <v>Eine große blaue Kugel wird in die Luft geworfen.</v>
      </c>
    </row>
    <row r="26359">
      <c r="A26359" s="4" t="s">
        <v>33172</v>
      </c>
      <c r="B26359" s="4" t="s">
        <v>33174</v>
      </c>
      <c r="C26359" s="5" t="str">
        <f>IFERROR(__xludf.DUMMYFUNCTION("GOOGLETRANSLATE(B26359,""en"",""de"")"),"Ein Kind rennt, um einen blauen, großen Ball zu fangen.")</f>
        <v>Ein Kind rennt, um einen blauen, großen Ball zu fangen.</v>
      </c>
    </row>
    <row r="26360">
      <c r="A26360" s="4" t="s">
        <v>33172</v>
      </c>
      <c r="B26360" s="4" t="s">
        <v>33175</v>
      </c>
      <c r="C26360" s="5" t="str">
        <f>IFERROR(__xludf.DUMMYFUNCTION("GOOGLETRANSLATE(B26360,""en"",""de"")"),"Das Kind fällt auf den Rasen.")</f>
        <v>Das Kind fällt auf den Rasen.</v>
      </c>
    </row>
    <row r="26361">
      <c r="A26361" s="4" t="s">
        <v>33176</v>
      </c>
      <c r="B26361" s="4" t="s">
        <v>33177</v>
      </c>
      <c r="C26361" s="5" t="str">
        <f>IFERROR(__xludf.DUMMYFUNCTION("GOOGLETRANSLATE(B26361,""en"",""de"")"),"Eine Frau kommt auf den Bildschirm, um ein Video über das Training vorzustellen.")</f>
        <v>Eine Frau kommt auf den Bildschirm, um ein Video über das Training vorzustellen.</v>
      </c>
    </row>
    <row r="26362">
      <c r="A26362" s="4" t="s">
        <v>33176</v>
      </c>
      <c r="B26362" s="4" t="s">
        <v>33178</v>
      </c>
      <c r="C26362" s="5" t="str">
        <f>IFERROR(__xludf.DUMMYFUNCTION("GOOGLETRANSLATE(B26362,""en"",""de"")"),"Dieselbe Frau wird gezeigt, wie sie eine Spinklasse mit mehreren Teilnehmern unterrichtet.")</f>
        <v>Dieselbe Frau wird gezeigt, wie sie eine Spinklasse mit mehreren Teilnehmern unterrichtet.</v>
      </c>
    </row>
    <row r="26363">
      <c r="A26363" s="4" t="s">
        <v>33176</v>
      </c>
      <c r="B26363" s="4" t="s">
        <v>33179</v>
      </c>
      <c r="C26363" s="5" t="str">
        <f>IFERROR(__xludf.DUMMYFUNCTION("GOOGLETRANSLATE(B26363,""en"",""de"")"),"Sie macht eine Pause vom Fahrrad und macht Bauchübungen auf dem Boden.")</f>
        <v>Sie macht eine Pause vom Fahrrad und macht Bauchübungen auf dem Boden.</v>
      </c>
    </row>
    <row r="26364">
      <c r="A26364" s="4" t="s">
        <v>33176</v>
      </c>
      <c r="B26364" s="4" t="s">
        <v>33180</v>
      </c>
      <c r="C26364" s="5" t="str">
        <f>IFERROR(__xludf.DUMMYFUNCTION("GOOGLETRANSLATE(B26364,""en"",""de"")"),"Das Video endet mit dem am Ende gezeigten Abschlussguthaben.")</f>
        <v>Das Video endet mit dem am Ende gezeigten Abschlussguthaben.</v>
      </c>
    </row>
    <row r="26365">
      <c r="A26365" s="4" t="s">
        <v>33181</v>
      </c>
      <c r="B26365" s="4" t="s">
        <v>33182</v>
      </c>
      <c r="C26365" s="5" t="str">
        <f>IFERROR(__xludf.DUMMYFUNCTION("GOOGLETRANSLATE(B26365,""en"",""de"")"),"Eine Person sitzt vorne auf einem Laptop und einem Würfelrätsel.")</f>
        <v>Eine Person sitzt vorne auf einem Laptop und einem Würfelrätsel.</v>
      </c>
    </row>
    <row r="26366">
      <c r="A26366" s="4" t="s">
        <v>33181</v>
      </c>
      <c r="B26366" s="4" t="s">
        <v>33183</v>
      </c>
      <c r="C26366" s="5" t="str">
        <f>IFERROR(__xludf.DUMMYFUNCTION("GOOGLETRANSLATE(B26366,""en"",""de"")"),"Dann löst die Person ein Würfel -Puzzle.")</f>
        <v>Dann löst die Person ein Würfel -Puzzle.</v>
      </c>
    </row>
    <row r="26367">
      <c r="A26367" s="4" t="s">
        <v>33181</v>
      </c>
      <c r="B26367" s="4" t="s">
        <v>33184</v>
      </c>
      <c r="C26367" s="5" t="str">
        <f>IFERROR(__xludf.DUMMYFUNCTION("GOOGLETRANSLATE(B26367,""en"",""de"")"),"Danach löst die Person das Würfel -Puzzle auf den Laptop.")</f>
        <v>Danach löst die Person das Würfel -Puzzle auf den Laptop.</v>
      </c>
    </row>
    <row r="26368">
      <c r="A26368" s="4" t="s">
        <v>33185</v>
      </c>
      <c r="B26368" s="4" t="s">
        <v>33186</v>
      </c>
      <c r="C26368" s="5" t="str">
        <f>IFERROR(__xludf.DUMMYFUNCTION("GOOGLETRANSLATE(B26368,""en"",""de"")"),"Eine Gruppe von Menschen trainiert in einer Aerobic -Klasse.")</f>
        <v>Eine Gruppe von Menschen trainiert in einer Aerobic -Klasse.</v>
      </c>
    </row>
    <row r="26369">
      <c r="A26369" s="4" t="s">
        <v>33185</v>
      </c>
      <c r="B26369" s="4" t="s">
        <v>33187</v>
      </c>
      <c r="C26369" s="5" t="str">
        <f>IFERROR(__xludf.DUMMYFUNCTION("GOOGLETRANSLATE(B26369,""en"",""de"")"),"Sie verwenden einen Stepper, tanzen und springen auf und aus der Ausrüstung.")</f>
        <v>Sie verwenden einen Stepper, tanzen und springen auf und aus der Ausrüstung.</v>
      </c>
    </row>
    <row r="26370">
      <c r="A26370" s="4" t="s">
        <v>33188</v>
      </c>
      <c r="B26370" s="4" t="s">
        <v>33189</v>
      </c>
      <c r="C26370" s="5" t="str">
        <f>IFERROR(__xludf.DUMMYFUNCTION("GOOGLETRANSLATE(B26370,""en"",""de"")"),"Zwei kleine Kinder werden draußen von einem Swingset gesehen.")</f>
        <v>Zwei kleine Kinder werden draußen von einem Swingset gesehen.</v>
      </c>
    </row>
    <row r="26371">
      <c r="A26371" s="4" t="s">
        <v>33188</v>
      </c>
      <c r="B26371" s="4" t="s">
        <v>33190</v>
      </c>
      <c r="C26371" s="5" t="str">
        <f>IFERROR(__xludf.DUMMYFUNCTION("GOOGLETRANSLATE(B26371,""en"",""de"")"),"Einer schwingt zurück und viertes, während der andere nebenbei steht.")</f>
        <v>Einer schwingt zurück und viertes, während der andere nebenbei steht.</v>
      </c>
    </row>
    <row r="26372">
      <c r="A26372" s="4" t="s">
        <v>33188</v>
      </c>
      <c r="B26372" s="4" t="s">
        <v>33191</v>
      </c>
      <c r="C26372" s="5" t="str">
        <f>IFERROR(__xludf.DUMMYFUNCTION("GOOGLETRANSLATE(B26372,""en"",""de"")"),"Ein Mann tritt den anderen Jungen und er beugt sich.")</f>
        <v>Ein Mann tritt den anderen Jungen und er beugt sich.</v>
      </c>
    </row>
    <row r="26373">
      <c r="A26373" s="4" t="s">
        <v>33192</v>
      </c>
      <c r="B26373" s="4" t="s">
        <v>33193</v>
      </c>
      <c r="C26373" s="5" t="str">
        <f>IFERROR(__xludf.DUMMYFUNCTION("GOOGLETRANSLATE(B26373,""en"",""de"")"),"Bier und anderer Alkohol werden auf einer Theke in einer Küche gezeigt.")</f>
        <v>Bier und anderer Alkohol werden auf einer Theke in einer Küche gezeigt.</v>
      </c>
    </row>
    <row r="26374">
      <c r="A26374" s="4" t="s">
        <v>33192</v>
      </c>
      <c r="B26374" s="4" t="s">
        <v>33194</v>
      </c>
      <c r="C26374" s="5" t="str">
        <f>IFERROR(__xludf.DUMMYFUNCTION("GOOGLETRANSLATE(B26374,""en"",""de"")"),"Ein Mann nimmt einen Krug Bier und spricht mit der Kamera.")</f>
        <v>Ein Mann nimmt einen Krug Bier und spricht mit der Kamera.</v>
      </c>
    </row>
    <row r="26375">
      <c r="A26375" s="4" t="s">
        <v>33192</v>
      </c>
      <c r="B26375" s="4" t="s">
        <v>33195</v>
      </c>
      <c r="C26375" s="5" t="str">
        <f>IFERROR(__xludf.DUMMYFUNCTION("GOOGLETRANSLATE(B26375,""en"",""de"")"),"Der Mann trinkt den gesamten Krug Bier.")</f>
        <v>Der Mann trinkt den gesamten Krug Bier.</v>
      </c>
    </row>
    <row r="26376">
      <c r="A26376" s="4" t="s">
        <v>33196</v>
      </c>
      <c r="B26376" s="4" t="s">
        <v>33197</v>
      </c>
      <c r="C26376" s="5" t="str">
        <f>IFERROR(__xludf.DUMMYFUNCTION("GOOGLETRANSLATE(B26376,""en"",""de"")"),"Eine Dame spricht in einer Küche mit einer Medaille auf dem Bildschirm und wir sehen Kuchen und Kochen.")</f>
        <v>Eine Dame spricht in einer Küche mit einer Medaille auf dem Bildschirm und wir sehen Kuchen und Kochen.</v>
      </c>
    </row>
    <row r="26377">
      <c r="A26377" s="4" t="s">
        <v>33196</v>
      </c>
      <c r="B26377" s="4" t="s">
        <v>33198</v>
      </c>
      <c r="C26377" s="5" t="str">
        <f>IFERROR(__xludf.DUMMYFUNCTION("GOOGLETRANSLATE(B26377,""en"",""de"")"),"Wir sehen, wie die Dame einen Kuchen macht und Anweisungen geben.")</f>
        <v>Wir sehen, wie die Dame einen Kuchen macht und Anweisungen geben.</v>
      </c>
    </row>
    <row r="26378">
      <c r="A26378" s="4" t="s">
        <v>33196</v>
      </c>
      <c r="B26378" s="4" t="s">
        <v>33199</v>
      </c>
      <c r="C26378" s="5" t="str">
        <f>IFERROR(__xludf.DUMMYFUNCTION("GOOGLETRANSLATE(B26378,""en"",""de"")"),"Die Dame nimmt und bereitet ihre Kuchenpfannen vor.")</f>
        <v>Die Dame nimmt und bereitet ihre Kuchenpfannen vor.</v>
      </c>
    </row>
    <row r="26379">
      <c r="A26379" s="4" t="s">
        <v>33196</v>
      </c>
      <c r="B26379" s="4" t="s">
        <v>33200</v>
      </c>
      <c r="C26379" s="5" t="str">
        <f>IFERROR(__xludf.DUMMYFUNCTION("GOOGLETRANSLATE(B26379,""en"",""de"")"),"Die Dame mischt ihre trockenen Zutaten und mischt sie dann mit rotem Lebensmittelfärben in den Mixer und gießt sie in Kuchenpfannen und kühlt sie auf Racks.")</f>
        <v>Die Dame mischt ihre trockenen Zutaten und mischt sie dann mit rotem Lebensmittelfärben in den Mixer und gießt sie in Kuchenpfannen und kühlt sie auf Racks.</v>
      </c>
    </row>
    <row r="26380">
      <c r="A26380" s="4" t="s">
        <v>33196</v>
      </c>
      <c r="B26380" s="4" t="s">
        <v>33201</v>
      </c>
      <c r="C26380" s="5" t="str">
        <f>IFERROR(__xludf.DUMMYFUNCTION("GOOGLETRANSLATE(B26380,""en"",""de"")"),"Die Dame macht Zuckerguss im Mixer und setzt Zuckerguss in die Kuchenschichten und darüber.")</f>
        <v>Die Dame macht Zuckerguss im Mixer und setzt Zuckerguss in die Kuchenschichten und darüber.</v>
      </c>
    </row>
    <row r="26381">
      <c r="A26381" s="4" t="s">
        <v>33196</v>
      </c>
      <c r="B26381" s="4" t="s">
        <v>33202</v>
      </c>
      <c r="C26381" s="5" t="str">
        <f>IFERROR(__xludf.DUMMYFUNCTION("GOOGLETRANSLATE(B26381,""en"",""de"")"),"Die Dame schneidet den Kuchen und wir sehen den End -Titelbildschirm.")</f>
        <v>Die Dame schneidet den Kuchen und wir sehen den End -Titelbildschirm.</v>
      </c>
    </row>
    <row r="26382">
      <c r="A26382" s="4" t="s">
        <v>33203</v>
      </c>
      <c r="B26382" s="4" t="s">
        <v>33204</v>
      </c>
      <c r="C26382" s="5" t="str">
        <f>IFERROR(__xludf.DUMMYFUNCTION("GOOGLETRANSLATE(B26382,""en"",""de"")"),"Eine Frau, die einen Schutzhelm trägt, spricht mit der Kamera, während sie im Freien neben einer Palme steht.")</f>
        <v>Eine Frau, die einen Schutzhelm trägt, spricht mit der Kamera, während sie im Freien neben einer Palme steht.</v>
      </c>
    </row>
    <row r="26383">
      <c r="A26383" s="4" t="s">
        <v>33203</v>
      </c>
      <c r="B26383" s="4" t="s">
        <v>33205</v>
      </c>
      <c r="C26383" s="5" t="str">
        <f>IFERROR(__xludf.DUMMYFUNCTION("GOOGLETRANSLATE(B26383,""en"",""de"")"),"Die Frau steht auf einem Bürgersteig mit Rollerblades und Schutzausrüstung.")</f>
        <v>Die Frau steht auf einem Bürgersteig mit Rollerblades und Schutzausrüstung.</v>
      </c>
    </row>
    <row r="26384">
      <c r="A26384" s="4" t="s">
        <v>33203</v>
      </c>
      <c r="B26384" s="4" t="s">
        <v>33206</v>
      </c>
      <c r="C26384" s="5" t="str">
        <f>IFERROR(__xludf.DUMMYFUNCTION("GOOGLETRANSLATE(B26384,""en"",""de"")"),"Die Frau spricht mit der Kamera und demonstriert verschiedene Techniken, um den Bürgersteig hinunter zu fahren.")</f>
        <v>Die Frau spricht mit der Kamera und demonstriert verschiedene Techniken, um den Bürgersteig hinunter zu fahren.</v>
      </c>
    </row>
    <row r="26385">
      <c r="A26385" s="4" t="s">
        <v>33207</v>
      </c>
      <c r="B26385" s="4" t="s">
        <v>33208</v>
      </c>
      <c r="C26385" s="5" t="str">
        <f>IFERROR(__xludf.DUMMYFUNCTION("GOOGLETRANSLATE(B26385,""en"",""de"")"),"Wir sehen zwei Jungen in einem Zug reden.")</f>
        <v>Wir sehen zwei Jungen in einem Zug reden.</v>
      </c>
    </row>
    <row r="26386">
      <c r="A26386" s="4" t="s">
        <v>33207</v>
      </c>
      <c r="B26386" s="4" t="s">
        <v>33209</v>
      </c>
      <c r="C26386" s="5" t="str">
        <f>IFERROR(__xludf.DUMMYFUNCTION("GOOGLETRANSLATE(B26386,""en"",""de"")"),"Es wird dunkel in einem Tunnel.")</f>
        <v>Es wird dunkel in einem Tunnel.</v>
      </c>
    </row>
    <row r="26387">
      <c r="A26387" s="4" t="s">
        <v>33207</v>
      </c>
      <c r="B26387" s="4" t="s">
        <v>33210</v>
      </c>
      <c r="C26387" s="5" t="str">
        <f>IFERROR(__xludf.DUMMYFUNCTION("GOOGLETRANSLATE(B26387,""en"",""de"")"),"Jemand wirft etwas zu einem Jungen.")</f>
        <v>Jemand wirft etwas zu einem Jungen.</v>
      </c>
    </row>
    <row r="26388">
      <c r="A26388" s="4" t="s">
        <v>33207</v>
      </c>
      <c r="B26388" s="4" t="s">
        <v>33211</v>
      </c>
      <c r="C26388" s="5" t="str">
        <f>IFERROR(__xludf.DUMMYFUNCTION("GOOGLETRANSLATE(B26388,""en"",""de"")"),"Wir sehen die Jungen, die Skateboards in einer Wohnstraße reiten.")</f>
        <v>Wir sehen die Jungen, die Skateboards in einer Wohnstraße reiten.</v>
      </c>
    </row>
    <row r="26389">
      <c r="A26389" s="4" t="s">
        <v>33207</v>
      </c>
      <c r="B26389" s="4" t="s">
        <v>33212</v>
      </c>
      <c r="C26389" s="5" t="str">
        <f>IFERROR(__xludf.DUMMYFUNCTION("GOOGLETRANSLATE(B26389,""en"",""de"")"),"Ein Mann fährt nach hinten bergab.")</f>
        <v>Ein Mann fährt nach hinten bergab.</v>
      </c>
    </row>
    <row r="26390">
      <c r="A26390" s="4" t="s">
        <v>33207</v>
      </c>
      <c r="B26390" s="4" t="s">
        <v>33213</v>
      </c>
      <c r="C26390" s="5" t="str">
        <f>IFERROR(__xludf.DUMMYFUNCTION("GOOGLETRANSLATE(B26390,""en"",""de"")"),"Wir sehen einen Jungen von seinem Skateboard fallen.")</f>
        <v>Wir sehen einen Jungen von seinem Skateboard fallen.</v>
      </c>
    </row>
    <row r="26391">
      <c r="A26391" s="4" t="s">
        <v>33207</v>
      </c>
      <c r="B26391" s="4" t="s">
        <v>33214</v>
      </c>
      <c r="C26391" s="5" t="str">
        <f>IFERROR(__xludf.DUMMYFUNCTION("GOOGLETRANSLATE(B26391,""en"",""de"")"),"Wir sehen eine Nummer drei an einer Wand.")</f>
        <v>Wir sehen eine Nummer drei an einer Wand.</v>
      </c>
    </row>
    <row r="26392">
      <c r="A26392" s="4" t="s">
        <v>33207</v>
      </c>
      <c r="B26392" s="4" t="s">
        <v>33215</v>
      </c>
      <c r="C26392" s="5" t="str">
        <f>IFERROR(__xludf.DUMMYFUNCTION("GOOGLETRANSLATE(B26392,""en"",""de"")"),"Wir sehen, wie eine Person von ihrem Skateboard springt.")</f>
        <v>Wir sehen, wie eine Person von ihrem Skateboard springt.</v>
      </c>
    </row>
    <row r="26393">
      <c r="A26393" s="4" t="s">
        <v>33216</v>
      </c>
      <c r="B26393" s="4" t="s">
        <v>33217</v>
      </c>
      <c r="C26393" s="5" t="str">
        <f>IFERROR(__xludf.DUMMYFUNCTION("GOOGLETRANSLATE(B26393,""en"",""de"")"),"Ein Intro führt in eine Frau, die in den Spiegel schaut und Make -up anzieht.")</f>
        <v>Ein Intro führt in eine Frau, die in den Spiegel schaut und Make -up anzieht.</v>
      </c>
    </row>
    <row r="26394">
      <c r="A26394" s="4" t="s">
        <v>33216</v>
      </c>
      <c r="B26394" s="4" t="s">
        <v>33218</v>
      </c>
      <c r="C26394" s="5" t="str">
        <f>IFERROR(__xludf.DUMMYFUNCTION("GOOGLETRANSLATE(B26394,""en"",""de"")"),"Sie setzt eine Brille und schaut auf den Spiegel.")</f>
        <v>Sie setzt eine Brille und schaut auf den Spiegel.</v>
      </c>
    </row>
    <row r="26395">
      <c r="A26395" s="4" t="s">
        <v>33216</v>
      </c>
      <c r="B26395" s="4" t="s">
        <v>33219</v>
      </c>
      <c r="C26395" s="5" t="str">
        <f>IFERROR(__xludf.DUMMYFUNCTION("GOOGLETRANSLATE(B26395,""en"",""de"")"),"Sie wendet sich um und endet mit einem gezeigten Logo.")</f>
        <v>Sie wendet sich um und endet mit einem gezeigten Logo.</v>
      </c>
    </row>
    <row r="26396">
      <c r="A26396" s="4" t="s">
        <v>33220</v>
      </c>
      <c r="B26396" s="4" t="s">
        <v>33221</v>
      </c>
      <c r="C26396" s="5" t="str">
        <f>IFERROR(__xludf.DUMMYFUNCTION("GOOGLETRANSLATE(B26396,""en"",""de"")"),"Eine Gruppe von Lacrosse -Spielern wird auf einem Feld angezeigt.")</f>
        <v>Eine Gruppe von Lacrosse -Spielern wird auf einem Feld angezeigt.</v>
      </c>
    </row>
    <row r="26397">
      <c r="A26397" s="4" t="s">
        <v>33220</v>
      </c>
      <c r="B26397" s="4" t="s">
        <v>33222</v>
      </c>
      <c r="C26397" s="5" t="str">
        <f>IFERROR(__xludf.DUMMYFUNCTION("GOOGLETRANSLATE(B26397,""en"",""de"")"),"Sie rennen herum und versuchen, den Ball voneinander zu entfernen.")</f>
        <v>Sie rennen herum und versuchen, den Ball voneinander zu entfernen.</v>
      </c>
    </row>
    <row r="26398">
      <c r="A26398" s="4" t="s">
        <v>33220</v>
      </c>
      <c r="B26398" s="4" t="s">
        <v>33223</v>
      </c>
      <c r="C26398" s="5" t="str">
        <f>IFERROR(__xludf.DUMMYFUNCTION("GOOGLETRANSLATE(B26398,""en"",""de"")"),"Sie werden in Zeitlupe spielen.")</f>
        <v>Sie werden in Zeitlupe spielen.</v>
      </c>
    </row>
    <row r="26399">
      <c r="A26399" s="4" t="s">
        <v>33224</v>
      </c>
      <c r="B26399" s="4" t="s">
        <v>33225</v>
      </c>
      <c r="C26399" s="5" t="str">
        <f>IFERROR(__xludf.DUMMYFUNCTION("GOOGLETRANSLATE(B26399,""en"",""de"")"),"Ein Mann, der eine Plastikkopfbedeckung trägt, wird gezeigt, wie Eis Eis ist.")</f>
        <v>Ein Mann, der eine Plastikkopfbedeckung trägt, wird gezeigt, wie Eis Eis ist.</v>
      </c>
    </row>
    <row r="26400">
      <c r="A26400" s="4" t="s">
        <v>33224</v>
      </c>
      <c r="B26400" s="4" t="s">
        <v>33226</v>
      </c>
      <c r="C26400" s="5" t="str">
        <f>IFERROR(__xludf.DUMMYFUNCTION("GOOGLETRANSLATE(B26400,""en"",""de"")"),"Wir sehen das Innere einer Pflanze, in der Kekse zerkleinert und in Behälter aus Vanilleeis gelegt und dann sortiert werden.")</f>
        <v>Wir sehen das Innere einer Pflanze, in der Kekse zerkleinert und in Behälter aus Vanilleeis gelegt und dann sortiert werden.</v>
      </c>
    </row>
    <row r="26401">
      <c r="A26401" s="4" t="s">
        <v>33224</v>
      </c>
      <c r="B26401" s="4" t="s">
        <v>33227</v>
      </c>
      <c r="C26401" s="5" t="str">
        <f>IFERROR(__xludf.DUMMYFUNCTION("GOOGLETRANSLATE(B26401,""en"",""de"")"),"Das Eis füllt die Pints ​​und wird in einem riesigen Gewölbe gemischt, bevor andere Zutaten hinzugefügt und die Pints ​​gefüllt werden.")</f>
        <v>Das Eis füllt die Pints ​​und wird in einem riesigen Gewölbe gemischt, bevor andere Zutaten hinzugefügt und die Pints ​​gefüllt werden.</v>
      </c>
    </row>
    <row r="26402">
      <c r="A26402" s="4" t="s">
        <v>33224</v>
      </c>
      <c r="B26402" s="4" t="s">
        <v>33228</v>
      </c>
      <c r="C26402" s="5" t="str">
        <f>IFERROR(__xludf.DUMMYFUNCTION("GOOGLETRANSLATE(B26402,""en"",""de"")"),"Wir sehen dann, wie Eis am Stiel geschaffen wird, bevor ein Mann und eine Frau gezeigt werden, die die Leckereien essen.")</f>
        <v>Wir sehen dann, wie Eis am Stiel geschaffen wird, bevor ein Mann und eine Frau gezeigt werden, die die Leckereien essen.</v>
      </c>
    </row>
    <row r="26403">
      <c r="A26403" s="4" t="s">
        <v>33229</v>
      </c>
      <c r="B26403" s="4" t="s">
        <v>33230</v>
      </c>
      <c r="C26403" s="5" t="str">
        <f>IFERROR(__xludf.DUMMYFUNCTION("GOOGLETRANSLATE(B26403,""en"",""de"")"),"Ein Mann, der Handschuhe trägt, hält eine Zange und stellt ein Objekt dazwischen.")</f>
        <v>Ein Mann, der Handschuhe trägt, hält eine Zange und stellt ein Objekt dazwischen.</v>
      </c>
    </row>
    <row r="26404">
      <c r="A26404" s="4" t="s">
        <v>33229</v>
      </c>
      <c r="B26404" s="4" t="s">
        <v>33231</v>
      </c>
      <c r="C26404" s="5" t="str">
        <f>IFERROR(__xludf.DUMMYFUNCTION("GOOGLETRANSLATE(B26404,""en"",""de"")"),"Er löst das Objekt aus, um eine Flamme zu erstellen, und legt seine Maske auf, um sich zu schützen.")</f>
        <v>Er löst das Objekt aus, um eine Flamme zu erstellen, und legt seine Maske auf, um sich zu schützen.</v>
      </c>
    </row>
    <row r="26405">
      <c r="A26405" s="4" t="s">
        <v>33229</v>
      </c>
      <c r="B26405" s="4" t="s">
        <v>33232</v>
      </c>
      <c r="C26405" s="5" t="str">
        <f>IFERROR(__xludf.DUMMYFUNCTION("GOOGLETRANSLATE(B26405,""en"",""de"")"),"Er fließt fort, das Objekt zu flammen und zeigt, was er verbrannt hat.")</f>
        <v>Er fließt fort, das Objekt zu flammen und zeigt, was er verbrannt hat.</v>
      </c>
    </row>
    <row r="26406">
      <c r="A26406" s="4" t="s">
        <v>33233</v>
      </c>
      <c r="B26406" s="4" t="s">
        <v>33234</v>
      </c>
      <c r="C26406" s="5" t="str">
        <f>IFERROR(__xludf.DUMMYFUNCTION("GOOGLETRANSLATE(B26406,""en"",""de"")"),"Ein Junge springt auf ein Tauchbrett hoch.")</f>
        <v>Ein Junge springt auf ein Tauchbrett hoch.</v>
      </c>
    </row>
    <row r="26407">
      <c r="A26407" s="4" t="s">
        <v>33233</v>
      </c>
      <c r="B26407" s="4" t="s">
        <v>33235</v>
      </c>
      <c r="C26407" s="5" t="str">
        <f>IFERROR(__xludf.DUMMYFUNCTION("GOOGLETRANSLATE(B26407,""en"",""de"")"),"Dann springt der Junge und dreht dreimal um, fällt aber auf den Rücken und macht für Furore.")</f>
        <v>Dann springt der Junge und dreht dreimal um, fällt aber auf den Rücken und macht für Furore.</v>
      </c>
    </row>
    <row r="26408">
      <c r="A26408" s="4" t="s">
        <v>33236</v>
      </c>
      <c r="B26408" s="4" t="s">
        <v>33237</v>
      </c>
      <c r="C26408" s="5" t="str">
        <f>IFERROR(__xludf.DUMMYFUNCTION("GOOGLETRANSLATE(B26408,""en"",""de"")"),"Ein junger Mann ist ein Hemd auf einem Bügelbrett in einem Flur.")</f>
        <v>Ein junger Mann ist ein Hemd auf einem Bügelbrett in einem Flur.</v>
      </c>
    </row>
    <row r="26409">
      <c r="A26409" s="4" t="s">
        <v>33236</v>
      </c>
      <c r="B26409" s="4" t="s">
        <v>33238</v>
      </c>
      <c r="C26409" s="5" t="str">
        <f>IFERROR(__xludf.DUMMYFUNCTION("GOOGLETRANSLATE(B26409,""en"",""de"")"),"Der Mann passt die Kamera an und kehrt zum Bügeln zurück.")</f>
        <v>Der Mann passt die Kamera an und kehrt zum Bügeln zurück.</v>
      </c>
    </row>
    <row r="26410">
      <c r="A26410" s="4" t="s">
        <v>33236</v>
      </c>
      <c r="B26410" s="4" t="s">
        <v>33239</v>
      </c>
      <c r="C26410" s="5" t="str">
        <f>IFERROR(__xludf.DUMMYFUNCTION("GOOGLETRANSLATE(B26410,""en"",""de"")"),"Der Mann beendet das Bügel und dreht die Kamera weg.")</f>
        <v>Der Mann beendet das Bügel und dreht die Kamera weg.</v>
      </c>
    </row>
    <row r="26411">
      <c r="A26411" s="4" t="s">
        <v>33240</v>
      </c>
      <c r="B26411" s="4" t="s">
        <v>33241</v>
      </c>
      <c r="C26411" s="5" t="str">
        <f>IFERROR(__xludf.DUMMYFUNCTION("GOOGLETRANSLATE(B26411,""en"",""de"")"),"Ein Mann in einem roten Hemd kniet nieder.")</f>
        <v>Ein Mann in einem roten Hemd kniet nieder.</v>
      </c>
    </row>
    <row r="26412">
      <c r="A26412" s="4" t="s">
        <v>33240</v>
      </c>
      <c r="B26412" s="4" t="s">
        <v>33242</v>
      </c>
      <c r="C26412" s="5" t="str">
        <f>IFERROR(__xludf.DUMMYFUNCTION("GOOGLETRANSLATE(B26412,""en"",""de"")"),"Ein anderer Mann in einem schwarzen Hemd steht vor ihm auf.")</f>
        <v>Ein anderer Mann in einem schwarzen Hemd steht vor ihm auf.</v>
      </c>
    </row>
    <row r="26413">
      <c r="A26413" s="4" t="s">
        <v>33240</v>
      </c>
      <c r="B26413" s="4" t="s">
        <v>33243</v>
      </c>
      <c r="C26413" s="5" t="str">
        <f>IFERROR(__xludf.DUMMYFUNCTION("GOOGLETRANSLATE(B26413,""en"",""de"")"),"Sie reparieren etwas auf ein Fahrrad.")</f>
        <v>Sie reparieren etwas auf ein Fahrrad.</v>
      </c>
    </row>
    <row r="26414">
      <c r="A26414" s="4" t="s">
        <v>33244</v>
      </c>
      <c r="B26414" s="4" t="s">
        <v>33245</v>
      </c>
      <c r="C26414" s="5" t="str">
        <f>IFERROR(__xludf.DUMMYFUNCTION("GOOGLETRANSLATE(B26414,""en"",""de"")"),"Eine Frau erklärt, wie man eine Schachtel mit Geschenkpapier einpackt.")</f>
        <v>Eine Frau erklärt, wie man eine Schachtel mit Geschenkpapier einpackt.</v>
      </c>
    </row>
    <row r="26415">
      <c r="A26415" s="4" t="s">
        <v>33244</v>
      </c>
      <c r="B26415" s="4" t="s">
        <v>33246</v>
      </c>
      <c r="C26415" s="5" t="str">
        <f>IFERROR(__xludf.DUMMYFUNCTION("GOOGLETRANSLATE(B26415,""en"",""de"")"),"Dann schneidet die Frau das Papier und wickelt sich mit Band um die Schachtel.")</f>
        <v>Dann schneidet die Frau das Papier und wickelt sich mit Band um die Schachtel.</v>
      </c>
    </row>
    <row r="26416">
      <c r="A26416" s="4" t="s">
        <v>33244</v>
      </c>
      <c r="B26416" s="4" t="s">
        <v>33247</v>
      </c>
      <c r="C26416" s="5" t="str">
        <f>IFERROR(__xludf.DUMMYFUNCTION("GOOGLETRANSLATE(B26416,""en"",""de"")"),"Danach faltet die Frau die Seiten des Papiers und schneidet ein Stück, um die Schachtel anzupassen, und legen Sie dann Klebeband, um die Enden zu verbinden, während Sie erklären.")</f>
        <v>Danach faltet die Frau die Seiten des Papiers und schneidet ein Stück, um die Schachtel anzupassen, und legen Sie dann Klebeband, um die Enden zu verbinden, während Sie erklären.</v>
      </c>
    </row>
    <row r="26417">
      <c r="A26417" s="4" t="s">
        <v>33248</v>
      </c>
      <c r="B26417" s="4" t="s">
        <v>33249</v>
      </c>
      <c r="C26417" s="5" t="str">
        <f>IFERROR(__xludf.DUMMYFUNCTION("GOOGLETRANSLATE(B26417,""en"",""de"")"),"Ein junges Mädchen leckt eine Eiskegel, während die Kamera sie isst.")</f>
        <v>Ein junges Mädchen leckt eine Eiskegel, während die Kamera sie isst.</v>
      </c>
    </row>
    <row r="26418">
      <c r="A26418" s="4" t="s">
        <v>33248</v>
      </c>
      <c r="B26418" s="4" t="s">
        <v>33250</v>
      </c>
      <c r="C26418" s="5" t="str">
        <f>IFERROR(__xludf.DUMMYFUNCTION("GOOGLETRANSLATE(B26418,""en"",""de"")"),"Sie isst weiter den Eiskegel und schaut in die Ferne.")</f>
        <v>Sie isst weiter den Eiskegel und schaut in die Ferne.</v>
      </c>
    </row>
    <row r="26419">
      <c r="A26419" s="4" t="s">
        <v>33251</v>
      </c>
      <c r="B26419" s="4" t="s">
        <v>33252</v>
      </c>
      <c r="C26419" s="5" t="str">
        <f>IFERROR(__xludf.DUMMYFUNCTION("GOOGLETRANSLATE(B26419,""en"",""de"")"),"Ein Mann in Jeans und T -Shirt rollt eine Lackwalze im Tablett.")</f>
        <v>Ein Mann in Jeans und T -Shirt rollt eine Lackwalze im Tablett.</v>
      </c>
    </row>
    <row r="26420">
      <c r="A26420" s="4" t="s">
        <v>33251</v>
      </c>
      <c r="B26420" s="4" t="s">
        <v>33253</v>
      </c>
      <c r="C26420" s="5" t="str">
        <f>IFERROR(__xludf.DUMMYFUNCTION("GOOGLETRANSLATE(B26420,""en"",""de"")"),"Der Mann wendet mehr Farbe auf den Zaun mit einer Walze und bekommt mehr Farbe, bis er die Walze hebt und erfreut ist.")</f>
        <v>Der Mann wendet mehr Farbe auf den Zaun mit einer Walze und bekommt mehr Farbe, bis er die Walze hebt und erfreut ist.</v>
      </c>
    </row>
    <row r="26421">
      <c r="A26421" s="4" t="s">
        <v>33251</v>
      </c>
      <c r="B26421" s="4" t="s">
        <v>33254</v>
      </c>
      <c r="C26421" s="5" t="str">
        <f>IFERROR(__xludf.DUMMYFUNCTION("GOOGLETRANSLATE(B26421,""en"",""de"")"),"Der Mann bekommt mehr Farbe auf seinem Pinsel aus dem Tablett.")</f>
        <v>Der Mann bekommt mehr Farbe auf seinem Pinsel aus dem Tablett.</v>
      </c>
    </row>
    <row r="26422">
      <c r="A26422" s="4" t="s">
        <v>33251</v>
      </c>
      <c r="B26422" s="4" t="s">
        <v>33255</v>
      </c>
      <c r="C26422" s="5" t="str">
        <f>IFERROR(__xludf.DUMMYFUNCTION("GOOGLETRANSLATE(B26422,""en"",""de"")"),"Der Mann beendet den Zaunabschnitt und legt dann seine Walze ab.")</f>
        <v>Der Mann beendet den Zaunabschnitt und legt dann seine Walze ab.</v>
      </c>
    </row>
    <row r="26423">
      <c r="A26423" s="4" t="s">
        <v>33256</v>
      </c>
      <c r="B26423" s="4" t="s">
        <v>33257</v>
      </c>
      <c r="C26423" s="5" t="str">
        <f>IFERROR(__xludf.DUMMYFUNCTION("GOOGLETRANSLATE(B26423,""en"",""de"")"),"Mehrere Menschen fahren einen Hügel hinunter und radeln.")</f>
        <v>Mehrere Menschen fahren einen Hügel hinunter und radeln.</v>
      </c>
    </row>
    <row r="26424">
      <c r="A26424" s="4" t="s">
        <v>33256</v>
      </c>
      <c r="B26424" s="4" t="s">
        <v>33258</v>
      </c>
      <c r="C26424" s="5" t="str">
        <f>IFERROR(__xludf.DUMMYFUNCTION("GOOGLETRANSLATE(B26424,""en"",""de"")"),"Eine Person hat einen weißen Handschuh und hält sich an der Person vor sich.")</f>
        <v>Eine Person hat einen weißen Handschuh und hält sich an der Person vor sich.</v>
      </c>
    </row>
    <row r="26425">
      <c r="A26425" s="4" t="s">
        <v>33256</v>
      </c>
      <c r="B26425" s="4" t="s">
        <v>33259</v>
      </c>
      <c r="C26425" s="5" t="str">
        <f>IFERROR(__xludf.DUMMYFUNCTION("GOOGLETRANSLATE(B26425,""en"",""de"")"),"Wörter gehen am Ende auf den Bildschirm.")</f>
        <v>Wörter gehen am Ende auf den Bildschirm.</v>
      </c>
    </row>
    <row r="26426">
      <c r="A26426" s="4" t="s">
        <v>33260</v>
      </c>
      <c r="B26426" s="4" t="s">
        <v>33261</v>
      </c>
      <c r="C26426" s="5" t="str">
        <f>IFERROR(__xludf.DUMMYFUNCTION("GOOGLETRANSLATE(B26426,""en"",""de"")"),"Der Mann geht ein Snowboarden hinunter, der in Zickzags, die kleine Fahnen vorbeifahren, einen Hügel hinunterrutscht.")</f>
        <v>Der Mann geht ein Snowboarden hinunter, der in Zickzags, die kleine Fahnen vorbeifahren, einen Hügel hinunterrutscht.</v>
      </c>
    </row>
    <row r="26427">
      <c r="A26427" s="4" t="s">
        <v>33260</v>
      </c>
      <c r="B26427" s="4" t="s">
        <v>33262</v>
      </c>
      <c r="C26427" s="5" t="str">
        <f>IFERROR(__xludf.DUMMYFUNCTION("GOOGLETRANSLATE(B26427,""en"",""de"")"),"Der Mensch spricht in einem dunklen Raum mit der Kamera.")</f>
        <v>Der Mensch spricht in einem dunklen Raum mit der Kamera.</v>
      </c>
    </row>
    <row r="26428">
      <c r="A26428" s="4" t="s">
        <v>33260</v>
      </c>
      <c r="B26428" s="4" t="s">
        <v>33263</v>
      </c>
      <c r="C26428" s="5" t="str">
        <f>IFERROR(__xludf.DUMMYFUNCTION("GOOGLETRANSLATE(B26428,""en"",""de"")"),"Der Mensch snowboarden am schneebedeckten Hang und ein Video zeigt die richtige Position des Körpers, wenn sie Seite zur Seite gehen.")</f>
        <v>Der Mensch snowboarden am schneebedeckten Hang und ein Video zeigt die richtige Position des Körpers, wenn sie Seite zur Seite gehen.</v>
      </c>
    </row>
    <row r="26429">
      <c r="A26429" s="4" t="s">
        <v>33264</v>
      </c>
      <c r="B26429" s="4" t="s">
        <v>33265</v>
      </c>
      <c r="C26429" s="5" t="str">
        <f>IFERROR(__xludf.DUMMYFUNCTION("GOOGLETRANSLATE(B26429,""en"",""de"")"),"Ein Mann und eine Tochter werden gesehen, wie sie nur Socken und ein langes Hemd in einen Rahmen rutschen.")</f>
        <v>Ein Mann und eine Tochter werden gesehen, wie sie nur Socken und ein langes Hemd in einen Rahmen rutschen.</v>
      </c>
    </row>
    <row r="26430">
      <c r="A26430" s="4" t="s">
        <v>33264</v>
      </c>
      <c r="B26430" s="4" t="s">
        <v>33266</v>
      </c>
      <c r="C26430" s="5" t="str">
        <f>IFERROR(__xludf.DUMMYFUNCTION("GOOGLETRANSLATE(B26430,""en"",""de"")"),"Die beiden halten Mops und beginnen miteinander zu singen.")</f>
        <v>Die beiden halten Mops und beginnen miteinander zu singen.</v>
      </c>
    </row>
    <row r="26431">
      <c r="A26431" s="4" t="s">
        <v>33264</v>
      </c>
      <c r="B26431" s="4" t="s">
        <v>33267</v>
      </c>
      <c r="C26431" s="5" t="str">
        <f>IFERROR(__xludf.DUMMYFUNCTION("GOOGLETRANSLATE(B26431,""en"",""de"")"),"Die beiden tanzen weiter herum und singen miteinander.")</f>
        <v>Die beiden tanzen weiter herum und singen miteinander.</v>
      </c>
    </row>
    <row r="26432">
      <c r="A26432" s="4" t="s">
        <v>33268</v>
      </c>
      <c r="B26432" s="4" t="s">
        <v>33269</v>
      </c>
      <c r="C26432" s="5" t="str">
        <f>IFERROR(__xludf.DUMMYFUNCTION("GOOGLETRANSLATE(B26432,""en"",""de"")"),"Taucher schwimmen und gleitet unter Wasser im Meer in der Nähe eines Felswands.")</f>
        <v>Taucher schwimmen und gleitet unter Wasser im Meer in der Nähe eines Felswands.</v>
      </c>
    </row>
    <row r="26433">
      <c r="A26433" s="4" t="s">
        <v>33268</v>
      </c>
      <c r="B26433" s="4" t="s">
        <v>33270</v>
      </c>
      <c r="C26433" s="5" t="str">
        <f>IFERROR(__xludf.DUMMYFUNCTION("GOOGLETRANSLATE(B26433,""en"",""de"")"),"Die Taucher machen Handgesten und Scherz.")</f>
        <v>Die Taucher machen Handgesten und Scherz.</v>
      </c>
    </row>
    <row r="26434">
      <c r="A26434" s="4" t="s">
        <v>33268</v>
      </c>
      <c r="B26434" s="4" t="s">
        <v>33271</v>
      </c>
      <c r="C26434" s="5" t="str">
        <f>IFERROR(__xludf.DUMMYFUNCTION("GOOGLETRANSLATE(B26434,""en"",""de"")"),"Die Männer schwimmen näher in Sicht.")</f>
        <v>Die Männer schwimmen näher in Sicht.</v>
      </c>
    </row>
    <row r="26435">
      <c r="A26435" s="4" t="s">
        <v>33272</v>
      </c>
      <c r="B26435" s="4" t="s">
        <v>33273</v>
      </c>
      <c r="C26435" s="5" t="str">
        <f>IFERROR(__xludf.DUMMYFUNCTION("GOOGLETRANSLATE(B26435,""en"",""de"")"),"Eine Nahaufnahme von Skiern wird gezeigt, gefolgt von einer Person, die sich entlang mit Stöcken und Skifahren am Berg drückt.")</f>
        <v>Eine Nahaufnahme von Skiern wird gezeigt, gefolgt von einer Person, die sich entlang mit Stöcken und Skifahren am Berg drückt.</v>
      </c>
    </row>
    <row r="26436">
      <c r="A26436" s="4" t="s">
        <v>33272</v>
      </c>
      <c r="B26436" s="4" t="s">
        <v>33274</v>
      </c>
      <c r="C26436" s="5" t="str">
        <f>IFERROR(__xludf.DUMMYFUNCTION("GOOGLETRANSLATE(B26436,""en"",""de"")"),"Die Person reitet kontinuierlich auf den Berg herab und zoomte an den Menschen vorbei und hielt am Boden an.")</f>
        <v>Die Person reitet kontinuierlich auf den Berg herab und zoomte an den Menschen vorbei und hielt am Boden an.</v>
      </c>
    </row>
    <row r="26437">
      <c r="A26437" s="4" t="s">
        <v>33275</v>
      </c>
      <c r="B26437" s="4" t="s">
        <v>33276</v>
      </c>
      <c r="C26437" s="5" t="str">
        <f>IFERROR(__xludf.DUMMYFUNCTION("GOOGLETRANSLATE(B26437,""en"",""de"")"),"Ein Mann steht bereit und legt seine Arme an seinen Seiten hoch.")</f>
        <v>Ein Mann steht bereit und legt seine Arme an seinen Seiten hoch.</v>
      </c>
    </row>
    <row r="26438">
      <c r="A26438" s="4" t="s">
        <v>33275</v>
      </c>
      <c r="B26438" s="4" t="s">
        <v>33277</v>
      </c>
      <c r="C26438" s="5" t="str">
        <f>IFERROR(__xludf.DUMMYFUNCTION("GOOGLETRANSLATE(B26438,""en"",""de"")"),"Der Mann springt dann auf eine Reihe von ungleichmäßigen Bars und beginnt eine Gymnastikroutine durchzuführen.")</f>
        <v>Der Mann springt dann auf eine Reihe von ungleichmäßigen Bars und beginnt eine Gymnastikroutine durchzuführen.</v>
      </c>
    </row>
    <row r="26439">
      <c r="A26439" s="4" t="s">
        <v>33275</v>
      </c>
      <c r="B26439" s="4" t="s">
        <v>33278</v>
      </c>
      <c r="C26439" s="5" t="str">
        <f>IFERROR(__xludf.DUMMYFUNCTION("GOOGLETRANSLATE(B26439,""en"",""de"")"),"Der Mann dreht sich überall und endet, indem er mit hochem Armen von der Seite springt.")</f>
        <v>Der Mann dreht sich überall und endet, indem er mit hochem Armen von der Seite springt.</v>
      </c>
    </row>
    <row r="26440">
      <c r="A26440" s="4" t="s">
        <v>33279</v>
      </c>
      <c r="B26440" s="4" t="s">
        <v>33280</v>
      </c>
      <c r="C26440" s="5" t="str">
        <f>IFERROR(__xludf.DUMMYFUNCTION("GOOGLETRANSLATE(B26440,""en"",""de"")"),"Zwei Frauen waschen Geschirr in der Küche.")</f>
        <v>Zwei Frauen waschen Geschirr in der Küche.</v>
      </c>
    </row>
    <row r="26441">
      <c r="A26441" s="4" t="s">
        <v>33279</v>
      </c>
      <c r="B26441" s="4" t="s">
        <v>33281</v>
      </c>
      <c r="C26441" s="5" t="str">
        <f>IFERROR(__xludf.DUMMYFUNCTION("GOOGLETRANSLATE(B26441,""en"",""de"")"),"Sie gehen hin und her über die Küche.")</f>
        <v>Sie gehen hin und her über die Küche.</v>
      </c>
    </row>
    <row r="26442">
      <c r="A26442" s="4" t="s">
        <v>33279</v>
      </c>
      <c r="B26442" s="4" t="s">
        <v>33282</v>
      </c>
      <c r="C26442" s="5" t="str">
        <f>IFERROR(__xludf.DUMMYFUNCTION("GOOGLETRANSLATE(B26442,""en"",""de"")"),"Die Szene ist in sehr schneller Bewegung.")</f>
        <v>Die Szene ist in sehr schneller Bewegung.</v>
      </c>
    </row>
    <row r="26443">
      <c r="A26443" s="4" t="s">
        <v>33283</v>
      </c>
      <c r="B26443" s="4" t="s">
        <v>33284</v>
      </c>
      <c r="C26443" s="5" t="str">
        <f>IFERROR(__xludf.DUMMYFUNCTION("GOOGLETRANSLATE(B26443,""en"",""de"")"),"Ein Mann und eine Frau sitzen zusammen auf einer Bühne.")</f>
        <v>Ein Mann und eine Frau sitzen zusammen auf einer Bühne.</v>
      </c>
    </row>
    <row r="26444">
      <c r="A26444" s="4" t="s">
        <v>33283</v>
      </c>
      <c r="B26444" s="4" t="s">
        <v>33285</v>
      </c>
      <c r="C26444" s="5" t="str">
        <f>IFERROR(__xludf.DUMMYFUNCTION("GOOGLETRANSLATE(B26444,""en"",""de"")"),"Sie sprechen über den Tango -Tanz.")</f>
        <v>Sie sprechen über den Tango -Tanz.</v>
      </c>
    </row>
    <row r="26445">
      <c r="A26445" s="4" t="s">
        <v>33283</v>
      </c>
      <c r="B26445" s="4" t="s">
        <v>33286</v>
      </c>
      <c r="C26445" s="5" t="str">
        <f>IFERROR(__xludf.DUMMYFUNCTION("GOOGLETRANSLATE(B26445,""en"",""de"")"),"Sie drehen sich und wirbeln vor einem Publikum.")</f>
        <v>Sie drehen sich und wirbeln vor einem Publikum.</v>
      </c>
    </row>
    <row r="26446">
      <c r="A26446" s="4" t="s">
        <v>33287</v>
      </c>
      <c r="B26446" s="4" t="s">
        <v>33288</v>
      </c>
      <c r="C26446" s="5" t="str">
        <f>IFERROR(__xludf.DUMMYFUNCTION("GOOGLETRANSLATE(B26446,""en"",""de"")"),"Eine Nachricht über das Gehen einer Slackline.")</f>
        <v>Eine Nachricht über das Gehen einer Slackline.</v>
      </c>
    </row>
    <row r="26447">
      <c r="A26447" s="4" t="s">
        <v>33287</v>
      </c>
      <c r="B26447" s="4" t="s">
        <v>33289</v>
      </c>
      <c r="C26447" s="5" t="str">
        <f>IFERROR(__xludf.DUMMYFUNCTION("GOOGLETRANSLATE(B26447,""en"",""de"")"),"Menschen aller Ebenen gehen, lügen und meditieren über das Seil.")</f>
        <v>Menschen aller Ebenen gehen, lügen und meditieren über das Seil.</v>
      </c>
    </row>
    <row r="26448">
      <c r="A26448" s="4" t="s">
        <v>33287</v>
      </c>
      <c r="B26448" s="4" t="s">
        <v>33290</v>
      </c>
      <c r="C26448" s="5" t="str">
        <f>IFERROR(__xludf.DUMMYFUNCTION("GOOGLETRANSLATE(B26448,""en"",""de"")"),"Einige Leute gehen über die entgegengesetzten Canoers.")</f>
        <v>Einige Leute gehen über die entgegengesetzten Canoers.</v>
      </c>
    </row>
    <row r="26449">
      <c r="A26449" s="4" t="s">
        <v>33291</v>
      </c>
      <c r="B26449" s="4" t="s">
        <v>33292</v>
      </c>
      <c r="C26449" s="5" t="str">
        <f>IFERROR(__xludf.DUMMYFUNCTION("GOOGLETRANSLATE(B26449,""en"",""de"")"),"Eine Frau legte Lippenstift auf ihre Lippen auf einem Spiegel.")</f>
        <v>Eine Frau legte Lippenstift auf ihre Lippen auf einem Spiegel.</v>
      </c>
    </row>
    <row r="26450">
      <c r="A26450" s="4" t="s">
        <v>33291</v>
      </c>
      <c r="B26450" s="4" t="s">
        <v>33293</v>
      </c>
      <c r="C26450" s="5" t="str">
        <f>IFERROR(__xludf.DUMMYFUNCTION("GOOGLETRANSLATE(B26450,""en"",""de"")"),"Dann lacht sie mit anderen Teenagern neben ihr.")</f>
        <v>Dann lacht sie mit anderen Teenagern neben ihr.</v>
      </c>
    </row>
    <row r="26451">
      <c r="A26451" s="4" t="s">
        <v>33294</v>
      </c>
      <c r="B26451" s="4" t="s">
        <v>33295</v>
      </c>
      <c r="C26451" s="5" t="str">
        <f>IFERROR(__xludf.DUMMYFUNCTION("GOOGLETRANSLATE(B26451,""en"",""de"")"),"Ein Mann spricht mit einer Kamera in seinem Badezimmer.")</f>
        <v>Ein Mann spricht mit einer Kamera in seinem Badezimmer.</v>
      </c>
    </row>
    <row r="26452">
      <c r="A26452" s="4" t="s">
        <v>33294</v>
      </c>
      <c r="B26452" s="4" t="s">
        <v>33296</v>
      </c>
      <c r="C26452" s="5" t="str">
        <f>IFERROR(__xludf.DUMMYFUNCTION("GOOGLETRANSLATE(B26452,""en"",""de"")"),"Dann wird ihm die Haare einer Frau bürsten, sprühen und stylen, bevor er es flechtet.")</f>
        <v>Dann wird ihm die Haare einer Frau bürsten, sprühen und stylen, bevor er es flechtet.</v>
      </c>
    </row>
    <row r="26453">
      <c r="A26453" s="4" t="s">
        <v>33294</v>
      </c>
      <c r="B26453" s="4" t="s">
        <v>33297</v>
      </c>
      <c r="C26453" s="5" t="str">
        <f>IFERROR(__xludf.DUMMYFUNCTION("GOOGLETRANSLATE(B26453,""en"",""de"")"),"Sie posiert für die Kamera, wenn er fertig ist.")</f>
        <v>Sie posiert für die Kamera, wenn er fertig ist.</v>
      </c>
    </row>
    <row r="26454">
      <c r="A26454" s="4" t="s">
        <v>33298</v>
      </c>
      <c r="B26454" s="4" t="s">
        <v>33299</v>
      </c>
      <c r="C26454" s="5" t="str">
        <f>IFERROR(__xludf.DUMMYFUNCTION("GOOGLETRANSLATE(B26454,""en"",""de"")"),"Der Mann weist vier Frauen beim Kochen an.")</f>
        <v>Der Mann weist vier Frauen beim Kochen an.</v>
      </c>
    </row>
    <row r="26455">
      <c r="A26455" s="4" t="s">
        <v>33298</v>
      </c>
      <c r="B26455" s="4" t="s">
        <v>33300</v>
      </c>
      <c r="C26455" s="5" t="str">
        <f>IFERROR(__xludf.DUMMYFUNCTION("GOOGLETRANSLATE(B26455,""en"",""de"")"),"Der Mann fügt einem Topf Öl, Zwiebeln, Knoblauch und Paprika hinzu.")</f>
        <v>Der Mann fügt einem Topf Öl, Zwiebeln, Knoblauch und Paprika hinzu.</v>
      </c>
    </row>
    <row r="26456">
      <c r="A26456" s="4" t="s">
        <v>33298</v>
      </c>
      <c r="B26456" s="4" t="s">
        <v>33301</v>
      </c>
      <c r="C26456" s="5" t="str">
        <f>IFERROR(__xludf.DUMMYFUNCTION("GOOGLETRANSLATE(B26456,""en"",""de"")"),"Der Mann fügt dem Topf Muscheln hinzu.")</f>
        <v>Der Mann fügt dem Topf Muscheln hinzu.</v>
      </c>
    </row>
    <row r="26457">
      <c r="A26457" s="4" t="s">
        <v>33298</v>
      </c>
      <c r="B26457" s="4" t="s">
        <v>33302</v>
      </c>
      <c r="C26457" s="5" t="str">
        <f>IFERROR(__xludf.DUMMYFUNCTION("GOOGLETRANSLATE(B26457,""en"",""de"")"),"Der Mann fügt dem Topf Brühe hinzu.")</f>
        <v>Der Mann fügt dem Topf Brühe hinzu.</v>
      </c>
    </row>
    <row r="26458">
      <c r="A26458" s="4" t="s">
        <v>33298</v>
      </c>
      <c r="B26458" s="4" t="s">
        <v>33303</v>
      </c>
      <c r="C26458" s="5" t="str">
        <f>IFERROR(__xludf.DUMMYFUNCTION("GOOGLETRANSLATE(B26458,""en"",""de"")"),"Der Mann kocht Nudeln in einem separaten Topf.")</f>
        <v>Der Mann kocht Nudeln in einem separaten Topf.</v>
      </c>
    </row>
    <row r="26459">
      <c r="A26459" s="4" t="s">
        <v>33298</v>
      </c>
      <c r="B26459" s="4" t="s">
        <v>33304</v>
      </c>
      <c r="C26459" s="5" t="str">
        <f>IFERROR(__xludf.DUMMYFUNCTION("GOOGLETRANSLATE(B26459,""en"",""de"")"),"Die Frauen versammeln sich um einen Topf, um die Nudeln zu sehen.")</f>
        <v>Die Frauen versammeln sich um einen Topf, um die Nudeln zu sehen.</v>
      </c>
    </row>
    <row r="26460">
      <c r="A26460" s="4" t="s">
        <v>33298</v>
      </c>
      <c r="B26460" s="4" t="s">
        <v>33305</v>
      </c>
      <c r="C26460" s="5" t="str">
        <f>IFERROR(__xludf.DUMMYFUNCTION("GOOGLETRANSLATE(B26460,""en"",""de"")"),"Der Mann beendet die Sauce und gießt sie in einen Topf.")</f>
        <v>Der Mann beendet die Sauce und gießt sie in einen Topf.</v>
      </c>
    </row>
    <row r="26461">
      <c r="A26461" s="4" t="s">
        <v>33298</v>
      </c>
      <c r="B26461" s="4" t="s">
        <v>33306</v>
      </c>
      <c r="C26461" s="5" t="str">
        <f>IFERROR(__xludf.DUMMYFUNCTION("GOOGLETRANSLATE(B26461,""en"",""de"")"),"Der Mann fügt die Nudeln hinzu.")</f>
        <v>Der Mann fügt die Nudeln hinzu.</v>
      </c>
    </row>
    <row r="26462">
      <c r="A26462" s="4" t="s">
        <v>33298</v>
      </c>
      <c r="B26462" s="4" t="s">
        <v>33307</v>
      </c>
      <c r="C26462" s="5" t="str">
        <f>IFERROR(__xludf.DUMMYFUNCTION("GOOGLETRANSLATE(B26462,""en"",""de"")"),"Der Mann fügt die Pasta auf den Teller.")</f>
        <v>Der Mann fügt die Pasta auf den Teller.</v>
      </c>
    </row>
    <row r="26463">
      <c r="A26463" s="4" t="s">
        <v>33298</v>
      </c>
      <c r="B26463" s="4" t="s">
        <v>33308</v>
      </c>
      <c r="C26463" s="5" t="str">
        <f>IFERROR(__xludf.DUMMYFUNCTION("GOOGLETRANSLATE(B26463,""en"",""de"")"),"Die Frauen probieren das Pasta -Gericht.")</f>
        <v>Die Frauen probieren das Pasta -Gericht.</v>
      </c>
    </row>
    <row r="26464">
      <c r="A26464" s="4" t="s">
        <v>33298</v>
      </c>
      <c r="B26464" s="4" t="s">
        <v>33309</v>
      </c>
      <c r="C26464" s="5" t="str">
        <f>IFERROR(__xludf.DUMMYFUNCTION("GOOGLETRANSLATE(B26464,""en"",""de"")"),"Jeder lacht und scheint glücklich zu sein.")</f>
        <v>Jeder lacht und scheint glücklich zu sein.</v>
      </c>
    </row>
    <row r="26465">
      <c r="A26465" s="4" t="s">
        <v>33298</v>
      </c>
      <c r="B26465" s="4" t="s">
        <v>33310</v>
      </c>
      <c r="C26465" s="5" t="str">
        <f>IFERROR(__xludf.DUMMYFUNCTION("GOOGLETRANSLATE(B26465,""en"",""de"")"),"Der Mann ruft Tickets aus.")</f>
        <v>Der Mann ruft Tickets aus.</v>
      </c>
    </row>
    <row r="26466">
      <c r="A26466" s="4" t="s">
        <v>33298</v>
      </c>
      <c r="B26466" s="4" t="s">
        <v>33311</v>
      </c>
      <c r="C26466" s="5" t="str">
        <f>IFERROR(__xludf.DUMMYFUNCTION("GOOGLETRANSLATE(B26466,""en"",""de"")"),"Die Frauen kochen das Gericht, das der Mann ihnen gerade beigebracht hatte.")</f>
        <v>Die Frauen kochen das Gericht, das der Mann ihnen gerade beigebracht hatte.</v>
      </c>
    </row>
    <row r="26467">
      <c r="A26467" s="4" t="s">
        <v>33298</v>
      </c>
      <c r="B26467" s="4" t="s">
        <v>33312</v>
      </c>
      <c r="C26467" s="5" t="str">
        <f>IFERROR(__xludf.DUMMYFUNCTION("GOOGLETRANSLATE(B26467,""en"",""de"")"),"Der Mann hilft ihnen und gibt ihnen Hinweise.")</f>
        <v>Der Mann hilft ihnen und gibt ihnen Hinweise.</v>
      </c>
    </row>
    <row r="26468">
      <c r="A26468" s="4" t="s">
        <v>33298</v>
      </c>
      <c r="B26468" s="4" t="s">
        <v>33313</v>
      </c>
      <c r="C26468" s="5" t="str">
        <f>IFERROR(__xludf.DUMMYFUNCTION("GOOGLETRANSLATE(B26468,""en"",""de"")"),"Die Frauen sehen ängstlich aus, als sie versuchen zu kochen.")</f>
        <v>Die Frauen sehen ängstlich aus, als sie versuchen zu kochen.</v>
      </c>
    </row>
    <row r="26469">
      <c r="A26469" s="4" t="s">
        <v>33298</v>
      </c>
      <c r="B26469" s="4" t="s">
        <v>33314</v>
      </c>
      <c r="C26469" s="5" t="str">
        <f>IFERROR(__xludf.DUMMYFUNCTION("GOOGLETRANSLATE(B26469,""en"",""de"")"),"Die Kellner dienen den Tellern.")</f>
        <v>Die Kellner dienen den Tellern.</v>
      </c>
    </row>
    <row r="26470">
      <c r="A26470" s="4" t="s">
        <v>33315</v>
      </c>
      <c r="B26470" s="4" t="s">
        <v>33316</v>
      </c>
      <c r="C26470" s="5" t="str">
        <f>IFERROR(__xludf.DUMMYFUNCTION("GOOGLETRANSLATE(B26470,""en"",""de"")"),"Ein Bauarbeiter steht in einem Gebäude und hält einen Mopp und einen Eimer.")</f>
        <v>Ein Bauarbeiter steht in einem Gebäude und hält einen Mopp und einen Eimer.</v>
      </c>
    </row>
    <row r="26471">
      <c r="A26471" s="4" t="s">
        <v>33315</v>
      </c>
      <c r="B26471" s="4" t="s">
        <v>33317</v>
      </c>
      <c r="C26471" s="5" t="str">
        <f>IFERROR(__xludf.DUMMYFUNCTION("GOOGLETRANSLATE(B26471,""en"",""de"")"),"Er zeigt den Eimer und die Lösung und mops dann in einer Demonstration den Boden.")</f>
        <v>Er zeigt den Eimer und die Lösung und mops dann in einer Demonstration den Boden.</v>
      </c>
    </row>
    <row r="26472">
      <c r="A26472" s="4" t="s">
        <v>33315</v>
      </c>
      <c r="B26472" s="4" t="s">
        <v>33318</v>
      </c>
      <c r="C26472" s="5" t="str">
        <f>IFERROR(__xludf.DUMMYFUNCTION("GOOGLETRANSLATE(B26472,""en"",""de"")"),"Er bekommt den Boden völlig sauber und glänzend, bevor er zur Seite steht.")</f>
        <v>Er bekommt den Boden völlig sauber und glänzend, bevor er zur Seite steht.</v>
      </c>
    </row>
    <row r="26473">
      <c r="A26473" s="4" t="s">
        <v>33319</v>
      </c>
      <c r="B26473" s="4" t="s">
        <v>33320</v>
      </c>
      <c r="C26473" s="5" t="str">
        <f>IFERROR(__xludf.DUMMYFUNCTION("GOOGLETRANSLATE(B26473,""en"",""de"")"),"Frau steht in einem Wohnzimmer mit einem Bügeleisen.")</f>
        <v>Frau steht in einem Wohnzimmer mit einem Bügeleisen.</v>
      </c>
    </row>
    <row r="26474">
      <c r="A26474" s="4" t="s">
        <v>33319</v>
      </c>
      <c r="B26474" s="4" t="s">
        <v>33321</v>
      </c>
      <c r="C26474" s="5" t="str">
        <f>IFERROR(__xludf.DUMMYFUNCTION("GOOGLETRANSLATE(B26474,""en"",""de"")"),"Frau, die ein rosa Hemd trägt, bügelt ein blaues Hemd.")</f>
        <v>Frau, die ein rosa Hemd trägt, bügelt ein blaues Hemd.</v>
      </c>
    </row>
    <row r="26475">
      <c r="A26475" s="4" t="s">
        <v>33319</v>
      </c>
      <c r="B26475" s="4" t="s">
        <v>33322</v>
      </c>
      <c r="C26475" s="5" t="str">
        <f>IFERROR(__xludf.DUMMYFUNCTION("GOOGLETRANSLATE(B26475,""en"",""de"")"),"Das ruhige Wohnzimmer ist mit alten Möbel.")</f>
        <v>Das ruhige Wohnzimmer ist mit alten Möbel.</v>
      </c>
    </row>
    <row r="26476">
      <c r="A26476" s="4" t="s">
        <v>33323</v>
      </c>
      <c r="B26476" s="4" t="s">
        <v>33324</v>
      </c>
      <c r="C26476" s="5" t="str">
        <f>IFERROR(__xludf.DUMMYFUNCTION("GOOGLETRANSLATE(B26476,""en"",""de"")"),"Eine Frau harkt Blätter in einen großen Stapel.")</f>
        <v>Eine Frau harkt Blätter in einen großen Stapel.</v>
      </c>
    </row>
    <row r="26477">
      <c r="A26477" s="4" t="s">
        <v>33323</v>
      </c>
      <c r="B26477" s="4" t="s">
        <v>33325</v>
      </c>
      <c r="C26477" s="5" t="str">
        <f>IFERROR(__xludf.DUMMYFUNCTION("GOOGLETRANSLATE(B26477,""en"",""de"")"),"Ein Mann führt einen Rasenmäher über Blätter.")</f>
        <v>Ein Mann führt einen Rasenmäher über Blätter.</v>
      </c>
    </row>
    <row r="26478">
      <c r="A26478" s="4" t="s">
        <v>33323</v>
      </c>
      <c r="B26478" s="4" t="s">
        <v>33326</v>
      </c>
      <c r="C26478" s="5" t="str">
        <f>IFERROR(__xludf.DUMMYFUNCTION("GOOGLETRANSLATE(B26478,""en"",""de"")"),"Er steckt einige Blätter in ein Gartenbett.")</f>
        <v>Er steckt einige Blätter in ein Gartenbett.</v>
      </c>
    </row>
    <row r="26479">
      <c r="A26479" s="4" t="s">
        <v>33327</v>
      </c>
      <c r="B26479" s="4" t="s">
        <v>33328</v>
      </c>
      <c r="C26479" s="5" t="str">
        <f>IFERROR(__xludf.DUMMYFUNCTION("GOOGLETRANSLATE(B26479,""en"",""de"")"),"Eine Frau spricht mit der Kamera und führt in ihr Bügel ein Paar Hosen.")</f>
        <v>Eine Frau spricht mit der Kamera und führt in ihr Bügel ein Paar Hosen.</v>
      </c>
    </row>
    <row r="26480">
      <c r="A26480" s="4" t="s">
        <v>33327</v>
      </c>
      <c r="B26480" s="4" t="s">
        <v>33329</v>
      </c>
      <c r="C26480" s="5" t="str">
        <f>IFERROR(__xludf.DUMMYFUNCTION("GOOGLETRANSLATE(B26480,""en"",""de"")"),"Die Frau bügelt die Hose weiter, während sie das Eisen auf und ab bewegt.")</f>
        <v>Die Frau bügelt die Hose weiter, während sie das Eisen auf und ab bewegt.</v>
      </c>
    </row>
    <row r="26481">
      <c r="A26481" s="4" t="s">
        <v>33330</v>
      </c>
      <c r="B26481" s="4" t="s">
        <v>33331</v>
      </c>
      <c r="C26481" s="5" t="str">
        <f>IFERROR(__xludf.DUMMYFUNCTION("GOOGLETRANSLATE(B26481,""en"",""de"")"),"Wir sehen viel Teller mit ausgefallenem Essen.")</f>
        <v>Wir sehen viel Teller mit ausgefallenem Essen.</v>
      </c>
    </row>
    <row r="26482">
      <c r="A26482" s="4" t="s">
        <v>33330</v>
      </c>
      <c r="B26482" s="4" t="s">
        <v>33332</v>
      </c>
      <c r="C26482" s="5" t="str">
        <f>IFERROR(__xludf.DUMMYFUNCTION("GOOGLETRANSLATE(B26482,""en"",""de"")"),"Wir zoomen dann die Teller.")</f>
        <v>Wir zoomen dann die Teller.</v>
      </c>
    </row>
    <row r="26483">
      <c r="A26483" s="4" t="s">
        <v>33330</v>
      </c>
      <c r="B26483" s="4" t="s">
        <v>33333</v>
      </c>
      <c r="C26483" s="5" t="str">
        <f>IFERROR(__xludf.DUMMYFUNCTION("GOOGLETRANSLATE(B26483,""en"",""de"")"),"Wir sehen einen Schatten auf den Tellern.")</f>
        <v>Wir sehen einen Schatten auf den Tellern.</v>
      </c>
    </row>
    <row r="26484">
      <c r="A26484" s="4" t="s">
        <v>33330</v>
      </c>
      <c r="B26484" s="4" t="s">
        <v>33334</v>
      </c>
      <c r="C26484" s="5" t="str">
        <f>IFERROR(__xludf.DUMMYFUNCTION("GOOGLETRANSLATE(B26484,""en"",""de"")"),"Ein Mann auf der rechten Seite nimmt ein paar Teller auf.")</f>
        <v>Ein Mann auf der rechten Seite nimmt ein paar Teller auf.</v>
      </c>
    </row>
    <row r="26485">
      <c r="A26485" s="4" t="s">
        <v>33335</v>
      </c>
      <c r="B26485" s="4" t="s">
        <v>33336</v>
      </c>
      <c r="C26485" s="5" t="str">
        <f>IFERROR(__xludf.DUMMYFUNCTION("GOOGLETRANSLATE(B26485,""en"",""de"")"),"Eine Frau, die Trainingsausrüstung trägt, steht aufrecht und hängt an einem sehr langen Schlagsack.")</f>
        <v>Eine Frau, die Trainingsausrüstung trägt, steht aufrecht und hängt an einem sehr langen Schlagsack.</v>
      </c>
    </row>
    <row r="26486">
      <c r="A26486" s="4" t="s">
        <v>33335</v>
      </c>
      <c r="B26486" s="4" t="s">
        <v>33337</v>
      </c>
      <c r="C26486" s="5" t="str">
        <f>IFERROR(__xludf.DUMMYFUNCTION("GOOGLETRANSLATE(B26486,""en"",""de"")"),"Plötzlich springt die Frau auf und überspannt die Tasche.")</f>
        <v>Plötzlich springt die Frau auf und überspannt die Tasche.</v>
      </c>
    </row>
    <row r="26487">
      <c r="A26487" s="4" t="s">
        <v>33335</v>
      </c>
      <c r="B26487" s="4" t="s">
        <v>33338</v>
      </c>
      <c r="C26487" s="5" t="str">
        <f>IFERROR(__xludf.DUMMYFUNCTION("GOOGLETRANSLATE(B26487,""en"",""de"")"),"Langsam lässt die Frau ihre obere Hälfte ihres Körpers fallen, während sie immer noch die Tasche überspannt, und 5 Sit -Ups, während die Tasche mit ihr schwingt.")</f>
        <v>Langsam lässt die Frau ihre obere Hälfte ihres Körpers fallen, während sie immer noch die Tasche überspannt, und 5 Sit -Ups, während die Tasche mit ihr schwingt.</v>
      </c>
    </row>
    <row r="26488">
      <c r="A26488" s="4" t="s">
        <v>33335</v>
      </c>
      <c r="B26488" s="4" t="s">
        <v>33339</v>
      </c>
      <c r="C26488" s="5" t="str">
        <f>IFERROR(__xludf.DUMMYFUNCTION("GOOGLETRANSLATE(B26488,""en"",""de"")"),"Die Frau hält die Tasche fest, lächelt und springt dann ab.")</f>
        <v>Die Frau hält die Tasche fest, lächelt und springt dann ab.</v>
      </c>
    </row>
    <row r="26489">
      <c r="A26489" s="4" t="s">
        <v>33340</v>
      </c>
      <c r="B26489" s="4" t="s">
        <v>33341</v>
      </c>
      <c r="C26489" s="5" t="str">
        <f>IFERROR(__xludf.DUMMYFUNCTION("GOOGLETRANSLATE(B26489,""en"",""de"")"),"Eine Frau und ein junges Mädchen schwimmen in einem Pool.")</f>
        <v>Eine Frau und ein junges Mädchen schwimmen in einem Pool.</v>
      </c>
    </row>
    <row r="26490">
      <c r="A26490" s="4" t="s">
        <v>33340</v>
      </c>
      <c r="B26490" s="4" t="s">
        <v>33342</v>
      </c>
      <c r="C26490" s="5" t="str">
        <f>IFERROR(__xludf.DUMMYFUNCTION("GOOGLETRANSLATE(B26490,""en"",""de"")"),"Das junge Mädchen hält die Frau fest, als sie schwimmt.")</f>
        <v>Das junge Mädchen hält die Frau fest, als sie schwimmt.</v>
      </c>
    </row>
    <row r="26491">
      <c r="A26491" s="4" t="s">
        <v>33340</v>
      </c>
      <c r="B26491" s="4" t="s">
        <v>33343</v>
      </c>
      <c r="C26491" s="5" t="str">
        <f>IFERROR(__xludf.DUMMYFUNCTION("GOOGLETRANSLATE(B26491,""en"",""de"")"),"Das junge Mädchen lässt los und schwimmt in der Nähe der Frau.")</f>
        <v>Das junge Mädchen lässt los und schwimmt in der Nähe der Frau.</v>
      </c>
    </row>
    <row r="26492">
      <c r="A26492" s="4" t="s">
        <v>33340</v>
      </c>
      <c r="B26492" s="4" t="s">
        <v>33344</v>
      </c>
      <c r="C26492" s="5" t="str">
        <f>IFERROR(__xludf.DUMMYFUNCTION("GOOGLETRANSLATE(B26492,""en"",""de"")"),"Das junge Mädchen und die Frau halten die Hände und schwimmen an die Oberfläche des Pools.")</f>
        <v>Das junge Mädchen und die Frau halten die Hände und schwimmen an die Oberfläche des Pools.</v>
      </c>
    </row>
    <row r="26493">
      <c r="A26493" s="4" t="s">
        <v>33340</v>
      </c>
      <c r="B26493" s="4" t="s">
        <v>33345</v>
      </c>
      <c r="C26493" s="5" t="str">
        <f>IFERROR(__xludf.DUMMYFUNCTION("GOOGLETRANSLATE(B26493,""en"",""de"")"),"Die Frau hält das Mädchen fest.")</f>
        <v>Die Frau hält das Mädchen fest.</v>
      </c>
    </row>
    <row r="26494">
      <c r="A26494" s="4" t="s">
        <v>33346</v>
      </c>
      <c r="B26494" s="4" t="s">
        <v>33347</v>
      </c>
      <c r="C26494" s="5" t="str">
        <f>IFERROR(__xludf.DUMMYFUNCTION("GOOGLETRANSLATE(B26494,""en"",""de"")"),"Eine große Gruppe von Menschen wird gesehen, wie sie um eine Sandgrube herumläuft und einen Fußball -Ball herumnimmt.")</f>
        <v>Eine große Gruppe von Menschen wird gesehen, wie sie um eine Sandgrube herumläuft und einen Fußball -Ball herumnimmt.</v>
      </c>
    </row>
    <row r="26495">
      <c r="A26495" s="4" t="s">
        <v>33346</v>
      </c>
      <c r="B26495" s="4" t="s">
        <v>33348</v>
      </c>
      <c r="C26495" s="5" t="str">
        <f>IFERROR(__xludf.DUMMYFUNCTION("GOOGLETRANSLATE(B26495,""en"",""de"")"),"Die Leute spielen weiterhin Fußball miteinander und warten am Ende auf einen Anruf.")</f>
        <v>Die Leute spielen weiterhin Fußball miteinander und warten am Ende auf einen Anruf.</v>
      </c>
    </row>
    <row r="26496">
      <c r="A26496" s="4" t="s">
        <v>33349</v>
      </c>
      <c r="B26496" s="4" t="s">
        <v>33350</v>
      </c>
      <c r="C26496" s="5" t="str">
        <f>IFERROR(__xludf.DUMMYFUNCTION("GOOGLETRANSLATE(B26496,""en"",""de"")"),"Eine Frau hält ein Kätzchen in ihrem Schoß.")</f>
        <v>Eine Frau hält ein Kätzchen in ihrem Schoß.</v>
      </c>
    </row>
    <row r="26497">
      <c r="A26497" s="4" t="s">
        <v>33349</v>
      </c>
      <c r="B26497" s="4" t="s">
        <v>33351</v>
      </c>
      <c r="C26497" s="5" t="str">
        <f>IFERROR(__xludf.DUMMYFUNCTION("GOOGLETRANSLATE(B26497,""en"",""de"")"),"Ein Typ schneidet die Nägel an der Katze aus.")</f>
        <v>Ein Typ schneidet die Nägel an der Katze aus.</v>
      </c>
    </row>
    <row r="26498">
      <c r="A26498" s="4" t="s">
        <v>33352</v>
      </c>
      <c r="B26498" s="4" t="s">
        <v>33353</v>
      </c>
      <c r="C26498" s="5" t="str">
        <f>IFERROR(__xludf.DUMMYFUNCTION("GOOGLETRANSLATE(B26498,""en"",""de"")"),"Zwei Bodybuilder -Frauen sitzen an einem Tisch.")</f>
        <v>Zwei Bodybuilder -Frauen sitzen an einem Tisch.</v>
      </c>
    </row>
    <row r="26499">
      <c r="A26499" s="4" t="s">
        <v>33352</v>
      </c>
      <c r="B26499" s="4" t="s">
        <v>33354</v>
      </c>
      <c r="C26499" s="5" t="str">
        <f>IFERROR(__xludf.DUMMYFUNCTION("GOOGLETRANSLATE(B26499,""en"",""de"")"),"Sie sind Armringen, um zu gewinnen.")</f>
        <v>Sie sind Armringen, um zu gewinnen.</v>
      </c>
    </row>
    <row r="26500">
      <c r="A26500" s="4" t="s">
        <v>33352</v>
      </c>
      <c r="B26500" s="4" t="s">
        <v>33355</v>
      </c>
      <c r="C26500" s="5" t="str">
        <f>IFERROR(__xludf.DUMMYFUNCTION("GOOGLETRANSLATE(B26500,""en"",""de"")"),"Wenn es einen Sieger gibt, schütteln die beiden Frauen die Hand.")</f>
        <v>Wenn es einen Sieger gibt, schütteln die beiden Frauen die Hand.</v>
      </c>
    </row>
    <row r="26501">
      <c r="A26501" s="4" t="s">
        <v>33356</v>
      </c>
      <c r="B26501" s="4" t="s">
        <v>33357</v>
      </c>
      <c r="C26501" s="5" t="str">
        <f>IFERROR(__xludf.DUMMYFUNCTION("GOOGLETRANSLATE(B26501,""en"",""de"")"),"Das grüne und weiße Team steigt vom Boden.")</f>
        <v>Das grüne und weiße Team steigt vom Boden.</v>
      </c>
    </row>
    <row r="26502">
      <c r="A26502" s="4" t="s">
        <v>33356</v>
      </c>
      <c r="B26502" s="4" t="s">
        <v>33358</v>
      </c>
      <c r="C26502" s="5" t="str">
        <f>IFERROR(__xludf.DUMMYFUNCTION("GOOGLETRANSLATE(B26502,""en"",""de"")"),"Das grüne und weiße Team zieht das Seil in einem Tauziehen des Kriegswettbewerbs.")</f>
        <v>Das grüne und weiße Team zieht das Seil in einem Tauziehen des Kriegswettbewerbs.</v>
      </c>
    </row>
    <row r="26503">
      <c r="A26503" s="4" t="s">
        <v>33356</v>
      </c>
      <c r="B26503" s="4" t="s">
        <v>33359</v>
      </c>
      <c r="C26503" s="5" t="str">
        <f>IFERROR(__xludf.DUMMYFUNCTION("GOOGLETRANSLATE(B26503,""en"",""de"")"),"Das rote und schwarze Team zieht das Seil in einem Tauziehen des Kriegswettbewerbs.")</f>
        <v>Das rote und schwarze Team zieht das Seil in einem Tauziehen des Kriegswettbewerbs.</v>
      </c>
    </row>
    <row r="26504">
      <c r="A26504" s="4" t="s">
        <v>33356</v>
      </c>
      <c r="B26504" s="4" t="s">
        <v>33360</v>
      </c>
      <c r="C26504" s="5" t="str">
        <f>IFERROR(__xludf.DUMMYFUNCTION("GOOGLETRANSLATE(B26504,""en"",""de"")"),"Das grüne und weiße Team unternehmen wiederholt Schritte und das Publikum jubelt.")</f>
        <v>Das grüne und weiße Team unternehmen wiederholt Schritte und das Publikum jubelt.</v>
      </c>
    </row>
    <row r="26505">
      <c r="A26505" s="4" t="s">
        <v>33356</v>
      </c>
      <c r="B26505" s="4" t="s">
        <v>33361</v>
      </c>
      <c r="C26505" s="5" t="str">
        <f>IFERROR(__xludf.DUMMYFUNCTION("GOOGLETRANSLATE(B26505,""en"",""de"")"),"Das grüne und weiße Team stehen am Seil.")</f>
        <v>Das grüne und weiße Team stehen am Seil.</v>
      </c>
    </row>
    <row r="26506">
      <c r="A26506" s="4" t="s">
        <v>33362</v>
      </c>
      <c r="B26506" s="4" t="s">
        <v>33363</v>
      </c>
      <c r="C26506" s="5" t="str">
        <f>IFERROR(__xludf.DUMMYFUNCTION("GOOGLETRANSLATE(B26506,""en"",""de"")"),"Ein Mann in einem gelben Hemd liegt auf den Knien und schichtet Zement auf dem Boden.")</f>
        <v>Ein Mann in einem gelben Hemd liegt auf den Knien und schichtet Zement auf dem Boden.</v>
      </c>
    </row>
    <row r="26507">
      <c r="A26507" s="4" t="s">
        <v>33362</v>
      </c>
      <c r="B26507" s="4" t="s">
        <v>33364</v>
      </c>
      <c r="C26507" s="5" t="str">
        <f>IFERROR(__xludf.DUMMYFUNCTION("GOOGLETRANSLATE(B26507,""en"",""de"")"),"Er hält eine Sekunde an und schaut auf.")</f>
        <v>Er hält eine Sekunde an und schaut auf.</v>
      </c>
    </row>
    <row r="26508">
      <c r="A26508" s="4" t="s">
        <v>33362</v>
      </c>
      <c r="B26508" s="4" t="s">
        <v>33365</v>
      </c>
      <c r="C26508" s="5" t="str">
        <f>IFERROR(__xludf.DUMMYFUNCTION("GOOGLETRANSLATE(B26508,""en"",""de"")"),"Der Mann kehrt zurück, um den Boden mit Zement zu schichten.")</f>
        <v>Der Mann kehrt zurück, um den Boden mit Zement zu schichten.</v>
      </c>
    </row>
    <row r="26509">
      <c r="A26509" s="4" t="s">
        <v>33366</v>
      </c>
      <c r="B26509" s="4" t="s">
        <v>33367</v>
      </c>
      <c r="C26509" s="5" t="str">
        <f>IFERROR(__xludf.DUMMYFUNCTION("GOOGLETRANSLATE(B26509,""en"",""de"")"),"Ein kleiner Junge wird gesehen, wie er einen Mopp aus einem Eimer zieht, gefolgt von ihm, der den Mopp über den Boden schob.")</f>
        <v>Ein kleiner Junge wird gesehen, wie er einen Mopp aus einem Eimer zieht, gefolgt von ihm, der den Mopp über den Boden schob.</v>
      </c>
    </row>
    <row r="26510">
      <c r="A26510" s="4" t="s">
        <v>33366</v>
      </c>
      <c r="B26510" s="4" t="s">
        <v>33368</v>
      </c>
      <c r="C26510" s="5" t="str">
        <f>IFERROR(__xludf.DUMMYFUNCTION("GOOGLETRANSLATE(B26510,""en"",""de"")"),"Die Kamera schwenkt zu einer Frau in der Ferne und der Junge drückt weiterhin den Mopp entlang des Bodens.")</f>
        <v>Die Kamera schwenkt zu einer Frau in der Ferne und der Junge drückt weiterhin den Mopp entlang des Bodens.</v>
      </c>
    </row>
    <row r="26511">
      <c r="A26511" s="4" t="s">
        <v>33369</v>
      </c>
      <c r="B26511" s="4" t="s">
        <v>33370</v>
      </c>
      <c r="C26511" s="5" t="str">
        <f>IFERROR(__xludf.DUMMYFUNCTION("GOOGLETRANSLATE(B26511,""en"",""de"")"),"Eine Person verbreitet die Zweige an einem Weihnachtsbaum.")</f>
        <v>Eine Person verbreitet die Zweige an einem Weihnachtsbaum.</v>
      </c>
    </row>
    <row r="26512">
      <c r="A26512" s="4" t="s">
        <v>33369</v>
      </c>
      <c r="B26512" s="4" t="s">
        <v>33371</v>
      </c>
      <c r="C26512" s="5" t="str">
        <f>IFERROR(__xludf.DUMMYFUNCTION("GOOGLETRANSLATE(B26512,""en"",""de"")"),"Die Person fällt glänzende Lametta -Stränge um den Baum.")</f>
        <v>Die Person fällt glänzende Lametta -Stränge um den Baum.</v>
      </c>
    </row>
    <row r="26513">
      <c r="A26513" s="4" t="s">
        <v>33369</v>
      </c>
      <c r="B26513" s="4" t="s">
        <v>33372</v>
      </c>
      <c r="C26513" s="5" t="str">
        <f>IFERROR(__xludf.DUMMYFUNCTION("GOOGLETRANSLATE(B26513,""en"",""de"")"),"Die Person hängt Weihnachtsbirnen am Baum.")</f>
        <v>Die Person hängt Weihnachtsbirnen am Baum.</v>
      </c>
    </row>
    <row r="26514">
      <c r="A26514" s="4" t="s">
        <v>33369</v>
      </c>
      <c r="B26514" s="4" t="s">
        <v>33373</v>
      </c>
      <c r="C26514" s="5" t="str">
        <f>IFERROR(__xludf.DUMMYFUNCTION("GOOGLETRANSLATE(B26514,""en"",""de"")"),"Ein Kind kommt und sieht zu, wie die Person, die den Baum dekoriert, und rennt herum und spielt.")</f>
        <v>Ein Kind kommt und sieht zu, wie die Person, die den Baum dekoriert, und rennt herum und spielt.</v>
      </c>
    </row>
    <row r="26515">
      <c r="A26515" s="4" t="s">
        <v>33369</v>
      </c>
      <c r="B26515" s="4" t="s">
        <v>33374</v>
      </c>
      <c r="C26515" s="5" t="str">
        <f>IFERROR(__xludf.DUMMYFUNCTION("GOOGLETRANSLATE(B26515,""en"",""de"")"),"Die Person rollt ein bloßes Stück Stoff auf, um wegzulegen.")</f>
        <v>Die Person rollt ein bloßes Stück Stoff auf, um wegzulegen.</v>
      </c>
    </row>
    <row r="26516">
      <c r="A26516" s="4" t="s">
        <v>33375</v>
      </c>
      <c r="B26516" s="4" t="s">
        <v>33376</v>
      </c>
      <c r="C26516" s="5" t="str">
        <f>IFERROR(__xludf.DUMMYFUNCTION("GOOGLETRANSLATE(B26516,""en"",""de"")"),"Es werden verschiedene Crowd -Szenen in einer Bullager -Arena gezeigt.")</f>
        <v>Es werden verschiedene Crowd -Szenen in einer Bullager -Arena gezeigt.</v>
      </c>
    </row>
    <row r="26517">
      <c r="A26517" s="4" t="s">
        <v>33375</v>
      </c>
      <c r="B26517" s="4" t="s">
        <v>33377</v>
      </c>
      <c r="C26517" s="5" t="str">
        <f>IFERROR(__xludf.DUMMYFUNCTION("GOOGLETRANSLATE(B26517,""en"",""de"")"),"Matadors gehen in den Ringbereich.")</f>
        <v>Matadors gehen in den Ringbereich.</v>
      </c>
    </row>
    <row r="26518">
      <c r="A26518" s="4" t="s">
        <v>33375</v>
      </c>
      <c r="B26518" s="4" t="s">
        <v>33378</v>
      </c>
      <c r="C26518" s="5" t="str">
        <f>IFERROR(__xludf.DUMMYFUNCTION("GOOGLETRANSLATE(B26518,""en"",""de"")"),"Eine Parade von Pferden und Fahrern wird gezeigt.")</f>
        <v>Eine Parade von Pferden und Fahrern wird gezeigt.</v>
      </c>
    </row>
    <row r="26519">
      <c r="A26519" s="4" t="s">
        <v>33375</v>
      </c>
      <c r="B26519" s="4" t="s">
        <v>33379</v>
      </c>
      <c r="C26519" s="5" t="str">
        <f>IFERROR(__xludf.DUMMYFUNCTION("GOOGLETRANSLATE(B26519,""en"",""de"")"),"Szenen von Matadoren, die mit Bullen interagieren, werden gezeigt.")</f>
        <v>Szenen von Matadoren, die mit Bullen interagieren, werden gezeigt.</v>
      </c>
    </row>
    <row r="26520">
      <c r="A26520" s="4" t="s">
        <v>33375</v>
      </c>
      <c r="B26520" s="4" t="s">
        <v>33380</v>
      </c>
      <c r="C26520" s="5" t="str">
        <f>IFERROR(__xludf.DUMMYFUNCTION("GOOGLETRANSLATE(B26520,""en"",""de"")"),"Die Menge jubelt einen Matador.")</f>
        <v>Die Menge jubelt einen Matador.</v>
      </c>
    </row>
    <row r="26521">
      <c r="A26521" s="4" t="s">
        <v>33375</v>
      </c>
      <c r="B26521" s="4" t="s">
        <v>33381</v>
      </c>
      <c r="C26521" s="5" t="str">
        <f>IFERROR(__xludf.DUMMYFUNCTION("GOOGLETRANSLATE(B26521,""en"",""de"")"),"Matadors werden auf den Schultern der Menschen gehisst und paradiert.")</f>
        <v>Matadors werden auf den Schultern der Menschen gehisst und paradiert.</v>
      </c>
    </row>
    <row r="26522">
      <c r="A26522" s="4" t="s">
        <v>33382</v>
      </c>
      <c r="B26522" s="4" t="s">
        <v>33383</v>
      </c>
      <c r="C26522" s="5" t="str">
        <f>IFERROR(__xludf.DUMMYFUNCTION("GOOGLETRANSLATE(B26522,""en"",""de"")"),"Die Frau lehnt sich auf den Billardtisch und konzentriert sich auf den Ball.")</f>
        <v>Die Frau lehnt sich auf den Billardtisch und konzentriert sich auf den Ball.</v>
      </c>
    </row>
    <row r="26523">
      <c r="A26523" s="4" t="s">
        <v>33382</v>
      </c>
      <c r="B26523" s="4" t="s">
        <v>33384</v>
      </c>
      <c r="C26523" s="5" t="str">
        <f>IFERROR(__xludf.DUMMYFUNCTION("GOOGLETRANSLATE(B26523,""en"",""de"")"),"Die Frau schlug den Ball und jubelte.")</f>
        <v>Die Frau schlug den Ball und jubelte.</v>
      </c>
    </row>
    <row r="26524">
      <c r="A26524" s="4" t="s">
        <v>33382</v>
      </c>
      <c r="B26524" s="4" t="s">
        <v>33385</v>
      </c>
      <c r="C26524" s="5" t="str">
        <f>IFERROR(__xludf.DUMMYFUNCTION("GOOGLETRANSLATE(B26524,""en"",""de"")"),"Die Frau schlug wieder den Ball und fing an zu springen.")</f>
        <v>Die Frau schlug wieder den Ball und fing an zu springen.</v>
      </c>
    </row>
    <row r="26525">
      <c r="A26525" s="4" t="s">
        <v>33386</v>
      </c>
      <c r="B26525" s="4" t="s">
        <v>33387</v>
      </c>
      <c r="C26525" s="5" t="str">
        <f>IFERROR(__xludf.DUMMYFUNCTION("GOOGLETRANSLATE(B26525,""en"",""de"")"),"Ein Mann in einem Trikot bläst in seinen Händen und wird sich aufwärmen, um zu rennen.")</f>
        <v>Ein Mann in einem Trikot bläst in seinen Händen und wird sich aufwärmen, um zu rennen.</v>
      </c>
    </row>
    <row r="26526">
      <c r="A26526" s="4" t="s">
        <v>33386</v>
      </c>
      <c r="B26526" s="4" t="s">
        <v>33388</v>
      </c>
      <c r="C26526" s="5" t="str">
        <f>IFERROR(__xludf.DUMMYFUNCTION("GOOGLETRANSLATE(B26526,""en"",""de"")"),"Sobald er anfängt, springt er super schnell in den Sand.")</f>
        <v>Sobald er anfängt, springt er super schnell in den Sand.</v>
      </c>
    </row>
    <row r="26527">
      <c r="A26527" s="4" t="s">
        <v>33386</v>
      </c>
      <c r="B26527" s="4" t="s">
        <v>33389</v>
      </c>
      <c r="C26527" s="5" t="str">
        <f>IFERROR(__xludf.DUMMYFUNCTION("GOOGLETRANSLATE(B26527,""en"",""de"")"),"Sie zeigen eine Wiederholung seines Laufs und Landes in Zeitlupe.")</f>
        <v>Sie zeigen eine Wiederholung seines Laufs und Landes in Zeitlupe.</v>
      </c>
    </row>
    <row r="26528">
      <c r="A26528" s="4" t="s">
        <v>33386</v>
      </c>
      <c r="B26528" s="4" t="s">
        <v>33390</v>
      </c>
      <c r="C26528" s="5" t="str">
        <f>IFERROR(__xludf.DUMMYFUNCTION("GOOGLETRANSLATE(B26528,""en"",""de"")"),"Wenn er fertig ist, geht er durch die Arena, während er von einer Kamera folgt.")</f>
        <v>Wenn er fertig ist, geht er durch die Arena, während er von einer Kamera folgt.</v>
      </c>
    </row>
    <row r="26529">
      <c r="A26529" s="4" t="s">
        <v>33391</v>
      </c>
      <c r="B26529" s="4" t="s">
        <v>33392</v>
      </c>
      <c r="C26529" s="5" t="str">
        <f>IFERROR(__xludf.DUMMYFUNCTION("GOOGLETRANSLATE(B26529,""en"",""de"")"),"Ein kleines Mädchen steht in einer Küche und beginnt eine Zitrone in eine Wasserschale, eine Person steht an ihrer Seite.")</f>
        <v>Ein kleines Mädchen steht in einer Küche und beginnt eine Zitrone in eine Wasserschale, eine Person steht an ihrer Seite.</v>
      </c>
    </row>
    <row r="26530">
      <c r="A26530" s="4" t="s">
        <v>33391</v>
      </c>
      <c r="B26530" s="4" t="s">
        <v>33393</v>
      </c>
      <c r="C26530" s="5" t="str">
        <f>IFERROR(__xludf.DUMMYFUNCTION("GOOGLETRANSLATE(B26530,""en"",""de"")"),"Ltle Girl saugt mit dem Finger und lächelt, während eine Frau durch die Küche geht und etwas in die Theke steckt.")</f>
        <v>Ltle Girl saugt mit dem Finger und lächelt, während eine Frau durch die Küche geht und etwas in die Theke steckt.</v>
      </c>
    </row>
    <row r="26531">
      <c r="A26531" s="4" t="s">
        <v>33391</v>
      </c>
      <c r="B26531" s="4" t="s">
        <v>33394</v>
      </c>
      <c r="C26531" s="5" t="str">
        <f>IFERROR(__xludf.DUMMYFUNCTION("GOOGLETRANSLATE(B26531,""en"",""de"")"),"Das kleine Mädchen steht mit offenem Mund in der Küche und spielt mit ihren Haaren.")</f>
        <v>Das kleine Mädchen steht mit offenem Mund in der Küche und spielt mit ihren Haaren.</v>
      </c>
    </row>
    <row r="26532">
      <c r="A26532" s="4" t="s">
        <v>33391</v>
      </c>
      <c r="B26532" s="4" t="s">
        <v>33395</v>
      </c>
      <c r="C26532" s="5" t="str">
        <f>IFERROR(__xludf.DUMMYFUNCTION("GOOGLETRANSLATE(B26532,""en"",""de"")"),"Das Mädchen geht mit einer Schüssel Früchte vor eine Theke und spricht mit der Kamera, spaziert wieder in der Küche und hält sich in der Wasserschale, die Frau hilft ihr.")</f>
        <v>Das Mädchen geht mit einer Schüssel Früchte vor eine Theke und spricht mit der Kamera, spaziert wieder in der Küche und hält sich in der Wasserschale, die Frau hilft ihr.</v>
      </c>
    </row>
    <row r="26533">
      <c r="A26533" s="4" t="s">
        <v>33391</v>
      </c>
      <c r="B26533" s="4" t="s">
        <v>33396</v>
      </c>
      <c r="C26533" s="5" t="str">
        <f>IFERROR(__xludf.DUMMYFUNCTION("GOOGLETRANSLATE(B26533,""en"",""de"")"),"Frau reinigt ihre Hände im Waschbecken und das Mädchen geht in die Küche und drückt weiter die Zitronen.")</f>
        <v>Frau reinigt ihre Hände im Waschbecken und das Mädchen geht in die Küche und drückt weiter die Zitronen.</v>
      </c>
    </row>
    <row r="26534">
      <c r="A26534" s="4" t="s">
        <v>33397</v>
      </c>
      <c r="B26534" s="4" t="s">
        <v>33398</v>
      </c>
      <c r="C26534" s="5" t="str">
        <f>IFERROR(__xludf.DUMMYFUNCTION("GOOGLETRANSLATE(B26534,""en"",""de"")"),"Ein Mann legt sich mit einer Maschine auf den Boden auf den Boden und andere helfen.")</f>
        <v>Ein Mann legt sich mit einer Maschine auf den Boden auf den Boden und andere helfen.</v>
      </c>
    </row>
    <row r="26535">
      <c r="A26535" s="4" t="s">
        <v>33397</v>
      </c>
      <c r="B26535" s="4" t="s">
        <v>33399</v>
      </c>
      <c r="C26535" s="5" t="str">
        <f>IFERROR(__xludf.DUMMYFUNCTION("GOOGLETRANSLATE(B26535,""en"",""de"")"),"Es werden mehrere Schüsse von den Männern gezeigt, die den Boden hinunterschieben und eine Fackel darunter verwenden, um sie an Ort und Stelle zu halten.")</f>
        <v>Es werden mehrere Schüsse von den Männern gezeigt, die den Boden hinunterschieben und eine Fackel darunter verwenden, um sie an Ort und Stelle zu halten.</v>
      </c>
    </row>
    <row r="26536">
      <c r="A26536" s="4" t="s">
        <v>33397</v>
      </c>
      <c r="B26536" s="4" t="s">
        <v>33400</v>
      </c>
      <c r="C26536" s="5" t="str">
        <f>IFERROR(__xludf.DUMMYFUNCTION("GOOGLETRANSLATE(B26536,""en"",""de"")"),"Der Mann arbeitet weiter und zeigt den Dampf auf den heißen Matten und das fertige Dach mit Fertig.")</f>
        <v>Der Mann arbeitet weiter und zeigt den Dampf auf den heißen Matten und das fertige Dach mit Fertig.</v>
      </c>
    </row>
    <row r="26537">
      <c r="A26537" s="4" t="s">
        <v>33401</v>
      </c>
      <c r="B26537" s="4" t="s">
        <v>33402</v>
      </c>
      <c r="C26537" s="5" t="str">
        <f>IFERROR(__xludf.DUMMYFUNCTION("GOOGLETRANSLATE(B26537,""en"",""de"")"),"Eine große Welle kracht zum Ufer.")</f>
        <v>Eine große Welle kracht zum Ufer.</v>
      </c>
    </row>
    <row r="26538">
      <c r="A26538" s="4" t="s">
        <v>33401</v>
      </c>
      <c r="B26538" s="4" t="s">
        <v>33403</v>
      </c>
      <c r="C26538" s="5" t="str">
        <f>IFERROR(__xludf.DUMMYFUNCTION("GOOGLETRANSLATE(B26538,""en"",""de"")"),"Ein Surfer wird gezeigt, der durch das Wasser reißt.")</f>
        <v>Ein Surfer wird gezeigt, der durch das Wasser reißt.</v>
      </c>
    </row>
    <row r="26539">
      <c r="A26539" s="4" t="s">
        <v>33401</v>
      </c>
      <c r="B26539" s="4" t="s">
        <v>33404</v>
      </c>
      <c r="C26539" s="5" t="str">
        <f>IFERROR(__xludf.DUMMYFUNCTION("GOOGLETRANSLATE(B26539,""en"",""de"")"),"Ein Regenbogen erscheint, dann sehen wir Boote am Strand und mehr Surfer in den Wellen.")</f>
        <v>Ein Regenbogen erscheint, dann sehen wir Boote am Strand und mehr Surfer in den Wellen.</v>
      </c>
    </row>
    <row r="26540">
      <c r="A26540" s="4" t="s">
        <v>33405</v>
      </c>
      <c r="B26540" s="4" t="s">
        <v>33406</v>
      </c>
      <c r="C26540" s="5" t="str">
        <f>IFERROR(__xludf.DUMMYFUNCTION("GOOGLETRANSLATE(B26540,""en"",""de"")"),"Ein Nachrichtenreporter spricht über eine lokale Spendenaktion, die von einer Kindergartenschule abgehalten wird.")</f>
        <v>Ein Nachrichtenreporter spricht über eine lokale Spendenaktion, die von einer Kindergartenschule abgehalten wird.</v>
      </c>
    </row>
    <row r="26541">
      <c r="A26541" s="4" t="s">
        <v>33405</v>
      </c>
      <c r="B26541" s="4" t="s">
        <v>33407</v>
      </c>
      <c r="C26541" s="5" t="str">
        <f>IFERROR(__xludf.DUMMYFUNCTION("GOOGLETRANSLATE(B26541,""en"",""de"")"),"Es gibt mehrere Personen, die die Sache unterstützen.")</f>
        <v>Es gibt mehrere Personen, die die Sache unterstützen.</v>
      </c>
    </row>
    <row r="26542">
      <c r="A26542" s="4" t="s">
        <v>33405</v>
      </c>
      <c r="B26542" s="4" t="s">
        <v>33408</v>
      </c>
      <c r="C26542" s="5" t="str">
        <f>IFERROR(__xludf.DUMMYFUNCTION("GOOGLETRANSLATE(B26542,""en"",""de"")"),"Es gibt einen Limonadenstand, an dem die Leute Limonade kaufen, um Geld für eine Sache zu spenden.")</f>
        <v>Es gibt einen Limonadenstand, an dem die Leute Limonade kaufen, um Geld für eine Sache zu spenden.</v>
      </c>
    </row>
    <row r="26543">
      <c r="A26543" s="4" t="s">
        <v>33405</v>
      </c>
      <c r="B26543" s="4" t="s">
        <v>33409</v>
      </c>
      <c r="C26543" s="5" t="str">
        <f>IFERROR(__xludf.DUMMYFUNCTION("GOOGLETRANSLATE(B26543,""en"",""de"")"),"Einer der Eltern spricht mit dem Nachrichtenreporter über den Spendenreiber.")</f>
        <v>Einer der Eltern spricht mit dem Nachrichtenreporter über den Spendenreiber.</v>
      </c>
    </row>
    <row r="26544">
      <c r="A26544" s="4" t="s">
        <v>33405</v>
      </c>
      <c r="B26544" s="4" t="s">
        <v>33410</v>
      </c>
      <c r="C26544" s="5" t="str">
        <f>IFERROR(__xludf.DUMMYFUNCTION("GOOGLETRANSLATE(B26544,""en"",""de"")"),"Drei weitere Eltern stehen unterhalten, während sie Limonade trinken.")</f>
        <v>Drei weitere Eltern stehen unterhalten, während sie Limonade trinken.</v>
      </c>
    </row>
    <row r="26545">
      <c r="A26545" s="4" t="s">
        <v>33405</v>
      </c>
      <c r="B26545" s="4" t="s">
        <v>33411</v>
      </c>
      <c r="C26545" s="5" t="str">
        <f>IFERROR(__xludf.DUMMYFUNCTION("GOOGLETRANSLATE(B26545,""en"",""de"")"),"Ein Bild, das das Mädchen, Hannah, gezeigt wird, für das der Spendenreiber stattfand.")</f>
        <v>Ein Bild, das das Mädchen, Hannah, gezeigt wird, für das der Spendenreiber stattfand.</v>
      </c>
    </row>
    <row r="26546">
      <c r="A26546" s="4" t="s">
        <v>33412</v>
      </c>
      <c r="B26546" s="4" t="s">
        <v>33413</v>
      </c>
      <c r="C26546" s="5" t="str">
        <f>IFERROR(__xludf.DUMMYFUNCTION("GOOGLETRANSLATE(B26546,""en"",""de"")"),"Cheerleader mit ihren Händen haben einen Jubel.")</f>
        <v>Cheerleader mit ihren Händen haben einen Jubel.</v>
      </c>
    </row>
    <row r="26547">
      <c r="A26547" s="4" t="s">
        <v>33412</v>
      </c>
      <c r="B26547" s="4" t="s">
        <v>33414</v>
      </c>
      <c r="C26547" s="5" t="str">
        <f>IFERROR(__xludf.DUMMYFUNCTION("GOOGLETRANSLATE(B26547,""en"",""de"")"),"Sie gehen auf den Boden und stehen still.")</f>
        <v>Sie gehen auf den Boden und stehen still.</v>
      </c>
    </row>
    <row r="26548">
      <c r="A26548" s="4" t="s">
        <v>33412</v>
      </c>
      <c r="B26548" s="4" t="s">
        <v>33415</v>
      </c>
      <c r="C26548" s="5" t="str">
        <f>IFERROR(__xludf.DUMMYFUNCTION("GOOGLETRANSLATE(B26548,""en"",""de"")"),"Sie führen eine jubelste Routine durch.")</f>
        <v>Sie führen eine jubelste Routine durch.</v>
      </c>
    </row>
    <row r="26549">
      <c r="A26549" s="4" t="s">
        <v>33412</v>
      </c>
      <c r="B26549" s="4" t="s">
        <v>33416</v>
      </c>
      <c r="C26549" s="5" t="str">
        <f>IFERROR(__xludf.DUMMYFUNCTION("GOOGLETRANSLATE(B26549,""en"",""de"")"),"Vier Mädchen werden angehoben und halten ihre Beine.")</f>
        <v>Vier Mädchen werden angehoben und halten ihre Beine.</v>
      </c>
    </row>
    <row r="26550">
      <c r="A26550" s="4" t="s">
        <v>33412</v>
      </c>
      <c r="B26550" s="4" t="s">
        <v>33417</v>
      </c>
      <c r="C26550" s="5" t="str">
        <f>IFERROR(__xludf.DUMMYFUNCTION("GOOGLETRANSLATE(B26550,""en"",""de"")"),"Zwei Mädchen werden in der Luft gehoben und zwei Mädchen werden umgedreht, dann heben zwei Mädchen die beiden Mädchen an.")</f>
        <v>Zwei Mädchen werden in der Luft gehoben und zwei Mädchen werden umgedreht, dann heben zwei Mädchen die beiden Mädchen an.</v>
      </c>
    </row>
    <row r="26551">
      <c r="A26551" s="4" t="s">
        <v>33412</v>
      </c>
      <c r="B26551" s="4" t="s">
        <v>33418</v>
      </c>
      <c r="C26551" s="5" t="str">
        <f>IFERROR(__xludf.DUMMYFUNCTION("GOOGLETRANSLATE(B26551,""en"",""de"")"),"Vier Mädchen werden aufgehoben und halten zwei weitere Mädchen auf und ein drittes wird hinzugefügt.")</f>
        <v>Vier Mädchen werden aufgehoben und halten zwei weitere Mädchen auf und ein drittes wird hinzugefügt.</v>
      </c>
    </row>
    <row r="26552">
      <c r="A26552" s="4" t="s">
        <v>33412</v>
      </c>
      <c r="B26552" s="4" t="s">
        <v>33419</v>
      </c>
      <c r="C26552" s="5" t="str">
        <f>IFERROR(__xludf.DUMMYFUNCTION("GOOGLETRANSLATE(B26552,""en"",""de"")"),"Zwei Mädchen vorne hielten ein rotes Schild hoch.")</f>
        <v>Zwei Mädchen vorne hielten ein rotes Schild hoch.</v>
      </c>
    </row>
    <row r="26553">
      <c r="A26553" s="4" t="s">
        <v>33412</v>
      </c>
      <c r="B26553" s="4" t="s">
        <v>33420</v>
      </c>
      <c r="C26553" s="5" t="str">
        <f>IFERROR(__xludf.DUMMYFUNCTION("GOOGLETRANSLATE(B26553,""en"",""de"")"),"Drei Mädchen werden angehoben und sie halten jeweils ein anderes Mädchen auf ihren Schultern.")</f>
        <v>Drei Mädchen werden angehoben und sie halten jeweils ein anderes Mädchen auf ihren Schultern.</v>
      </c>
    </row>
    <row r="26554">
      <c r="A26554" s="4" t="s">
        <v>33421</v>
      </c>
      <c r="B26554" s="4" t="s">
        <v>33422</v>
      </c>
      <c r="C26554" s="5" t="str">
        <f>IFERROR(__xludf.DUMMYFUNCTION("GOOGLETRANSLATE(B26554,""en"",""de"")"),"Mehrere Personen spielen in einem Tischfußballspiel gegeneinander.")</f>
        <v>Mehrere Personen spielen in einem Tischfußballspiel gegeneinander.</v>
      </c>
    </row>
    <row r="26555">
      <c r="A26555" s="4" t="s">
        <v>33421</v>
      </c>
      <c r="B26555" s="4" t="s">
        <v>33423</v>
      </c>
      <c r="C26555" s="5" t="str">
        <f>IFERROR(__xludf.DUMMYFUNCTION("GOOGLETRANSLATE(B26555,""en"",""de"")"),"Zwei Personen gehen im Hintergrund vorbei.")</f>
        <v>Zwei Personen gehen im Hintergrund vorbei.</v>
      </c>
    </row>
    <row r="26556">
      <c r="A26556" s="4" t="s">
        <v>33421</v>
      </c>
      <c r="B26556" s="4" t="s">
        <v>33424</v>
      </c>
      <c r="C26556" s="5" t="str">
        <f>IFERROR(__xludf.DUMMYFUNCTION("GOOGLETRANSLATE(B26556,""en"",""de"")"),"Zwei weitere Personen gehen im Hintergrund vorbei.")</f>
        <v>Zwei weitere Personen gehen im Hintergrund vorbei.</v>
      </c>
    </row>
    <row r="26557">
      <c r="A26557" s="4" t="s">
        <v>33425</v>
      </c>
      <c r="B26557" s="4" t="s">
        <v>33426</v>
      </c>
      <c r="C26557" s="5" t="str">
        <f>IFERROR(__xludf.DUMMYFUNCTION("GOOGLETRANSLATE(B26557,""en"",""de"")"),"Zwei junge Kinder sind seine Mutter, die in einer Küche stehen, waschen Geschirr.")</f>
        <v>Zwei junge Kinder sind seine Mutter, die in einer Küche stehen, waschen Geschirr.</v>
      </c>
    </row>
    <row r="26558">
      <c r="A26558" s="4" t="s">
        <v>33425</v>
      </c>
      <c r="B26558" s="4" t="s">
        <v>33427</v>
      </c>
      <c r="C26558" s="5" t="str">
        <f>IFERROR(__xludf.DUMMYFUNCTION("GOOGLETRANSLATE(B26558,""en"",""de"")"),"Das kleine Mädchen nimmt ein blaues Schwamm, das ihr Gericht reinigt und dann runter geht und beginnt herumzulaufen.")</f>
        <v>Das kleine Mädchen nimmt ein blaues Schwamm, das ihr Gericht reinigt und dann runter geht und beginnt herumzulaufen.</v>
      </c>
    </row>
    <row r="26559">
      <c r="A26559" s="4" t="s">
        <v>33425</v>
      </c>
      <c r="B26559" s="4" t="s">
        <v>33428</v>
      </c>
      <c r="C26559" s="5" t="str">
        <f>IFERROR(__xludf.DUMMYFUNCTION("GOOGLETRANSLATE(B26559,""en"",""de"")"),"Sowohl die Mutter als auch der Sohn sind immer noch am Waschbecken und sie steht neben ihm und hilft ihm auch, sein Gericht zu reinigen.")</f>
        <v>Sowohl die Mutter als auch der Sohn sind immer noch am Waschbecken und sie steht neben ihm und hilft ihm auch, sein Gericht zu reinigen.</v>
      </c>
    </row>
    <row r="26560">
      <c r="A26560" s="4" t="s">
        <v>33429</v>
      </c>
      <c r="B26560" s="4" t="s">
        <v>33430</v>
      </c>
      <c r="C26560" s="5" t="str">
        <f>IFERROR(__xludf.DUMMYFUNCTION("GOOGLETRANSLATE(B26560,""en"",""de"")"),"Eine Gruppe von Menschen, Kindern und Familien leben, reisen und Eisfisch auf einem riesigen Eis und schneebedeckten Stück Land.")</f>
        <v>Eine Gruppe von Menschen, Kindern und Familien leben, reisen und Eisfisch auf einem riesigen Eis und schneebedeckten Stück Land.</v>
      </c>
    </row>
    <row r="26561">
      <c r="A26561" s="4" t="s">
        <v>33429</v>
      </c>
      <c r="B26561" s="4" t="s">
        <v>33431</v>
      </c>
      <c r="C26561" s="5" t="str">
        <f>IFERROR(__xludf.DUMMYFUNCTION("GOOGLETRANSLATE(B26561,""en"",""de"")"),"Eine Gruppe von Männern und eine Frau sprechen mit einer Kamera, während sie Fische präsentiert und lebte und lebte in Eislöchern auf einem Schnee und eisbedeckten Gelände.")</f>
        <v>Eine Gruppe von Männern und eine Frau sprechen mit einer Kamera, während sie Fische präsentiert und lebte und lebte in Eislöchern auf einem Schnee und eisbedeckten Gelände.</v>
      </c>
    </row>
    <row r="26562">
      <c r="A26562" s="4" t="s">
        <v>33429</v>
      </c>
      <c r="B26562" s="4" t="s">
        <v>33432</v>
      </c>
      <c r="C26562" s="5" t="str">
        <f>IFERROR(__xludf.DUMMYFUNCTION("GOOGLETRANSLATE(B26562,""en"",""de"")"),"Mehrere Menschen fischen in Eislöchern mit Kindern in der Nähe, während andere über das Eisgelände fahren.")</f>
        <v>Mehrere Menschen fischen in Eislöchern mit Kindern in der Nähe, während andere über das Eisgelände fahren.</v>
      </c>
    </row>
    <row r="26563">
      <c r="A26563" s="4" t="s">
        <v>33429</v>
      </c>
      <c r="B26563" s="4" t="s">
        <v>33433</v>
      </c>
      <c r="C26563" s="5" t="str">
        <f>IFERROR(__xludf.DUMMYFUNCTION("GOOGLETRANSLATE(B26563,""en"",""de"")"),"Fische werden gezeigt, lokale Tiere, die in der Gegend beheimatet sind, Toiletten, Autos auf dem Eis, Kinder, Menschen, die nur gefangen sind, und Eislöcher, aus denen der Fisch kommt, zusammen mit Hunden, die Schneeschlitten ziehen.")</f>
        <v>Fische werden gezeigt, lokale Tiere, die in der Gegend beheimatet sind, Toiletten, Autos auf dem Eis, Kinder, Menschen, die nur gefangen sind, und Eislöcher, aus denen der Fisch kommt, zusammen mit Hunden, die Schneeschlitten ziehen.</v>
      </c>
    </row>
    <row r="26564">
      <c r="A26564" s="4" t="s">
        <v>33434</v>
      </c>
      <c r="B26564" s="4" t="s">
        <v>33435</v>
      </c>
      <c r="C26564" s="5" t="str">
        <f>IFERROR(__xludf.DUMMYFUNCTION("GOOGLETRANSLATE(B26564,""en"",""de"")"),"Ein Mädchen sitzt im Freien und hält eine Flasche Sonnenschutzmittel hoch, während er mit der Kamera spricht.")</f>
        <v>Ein Mädchen sitzt im Freien und hält eine Flasche Sonnenschutzmittel hoch, während er mit der Kamera spricht.</v>
      </c>
    </row>
    <row r="26565">
      <c r="A26565" s="4" t="s">
        <v>33434</v>
      </c>
      <c r="B26565" s="4" t="s">
        <v>33436</v>
      </c>
      <c r="C26565" s="5" t="str">
        <f>IFERROR(__xludf.DUMMYFUNCTION("GOOGLETRANSLATE(B26565,""en"",""de"")"),"Das Mädchen schüttelt dann die Flasche, gießt sie in ihre Hände und reibt sie über ihren Körper.")</f>
        <v>Das Mädchen schüttelt dann die Flasche, gießt sie in ihre Hände und reibt sie über ihren Körper.</v>
      </c>
    </row>
    <row r="26566">
      <c r="A26566" s="4" t="s">
        <v>33437</v>
      </c>
      <c r="B26566" s="4" t="s">
        <v>33438</v>
      </c>
      <c r="C26566" s="5" t="str">
        <f>IFERROR(__xludf.DUMMYFUNCTION("GOOGLETRANSLATE(B26566,""en"",""de"")"),"Eine große Strecke wird mit mehreren Personen gezeigt, die gleichzeitig auf Röhren reiten.")</f>
        <v>Eine große Strecke wird mit mehreren Personen gezeigt, die gleichzeitig auf Röhren reiten.</v>
      </c>
    </row>
    <row r="26567">
      <c r="A26567" s="4" t="s">
        <v>33437</v>
      </c>
      <c r="B26567" s="4" t="s">
        <v>33439</v>
      </c>
      <c r="C26567" s="5" t="str">
        <f>IFERROR(__xludf.DUMMYFUNCTION("GOOGLETRANSLATE(B26567,""en"",""de"")"),"Ein Mann verzeichnet eine Nahaufnahme einer Röhre und schiebt sie in eine Frau, die im Schnee steht.")</f>
        <v>Ein Mann verzeichnet eine Nahaufnahme einer Röhre und schiebt sie in eine Frau, die im Schnee steht.</v>
      </c>
    </row>
    <row r="26568">
      <c r="A26568" s="4" t="s">
        <v>33437</v>
      </c>
      <c r="B26568" s="4" t="s">
        <v>33440</v>
      </c>
      <c r="C26568" s="5" t="str">
        <f>IFERROR(__xludf.DUMMYFUNCTION("GOOGLETRANSLATE(B26568,""en"",""de"")"),"Sie beginnt auf ihrem Handy zu reden und der gleiche Clip wird in Zeitlupe wieder angezeigt.")</f>
        <v>Sie beginnt auf ihrem Handy zu reden und der gleiche Clip wird in Zeitlupe wieder angezeigt.</v>
      </c>
    </row>
    <row r="26569">
      <c r="A26569" s="4" t="s">
        <v>33441</v>
      </c>
      <c r="B26569" s="4" t="s">
        <v>33442</v>
      </c>
      <c r="C26569" s="5" t="str">
        <f>IFERROR(__xludf.DUMMYFUNCTION("GOOGLETRANSLATE(B26569,""en"",""de"")"),"Eine Frau spricht und zeigt einen Schuh, dann reinigt sie ihn mit einem Tuch.")</f>
        <v>Eine Frau spricht und zeigt einen Schuh, dann reinigt sie ihn mit einem Tuch.</v>
      </c>
    </row>
    <row r="26570">
      <c r="A26570" s="4" t="s">
        <v>33441</v>
      </c>
      <c r="B26570" s="4" t="s">
        <v>33443</v>
      </c>
      <c r="C26570" s="5" t="str">
        <f>IFERROR(__xludf.DUMMYFUNCTION("GOOGLETRANSLATE(B26570,""en"",""de"")"),"Die Frau steckt Öl in ein Tuch und poliert den Schuh.")</f>
        <v>Die Frau steckt Öl in ein Tuch und poliert den Schuh.</v>
      </c>
    </row>
    <row r="26571">
      <c r="A26571" s="4" t="s">
        <v>33441</v>
      </c>
      <c r="B26571" s="4" t="s">
        <v>33444</v>
      </c>
      <c r="C26571" s="5" t="str">
        <f>IFERROR(__xludf.DUMMYFUNCTION("GOOGLETRANSLATE(B26571,""en"",""de"")"),"Dann nimmt die Frau Schuhkrise und tritt auf den Schuh auf.")</f>
        <v>Dann nimmt die Frau Schuhkrise und tritt auf den Schuh auf.</v>
      </c>
    </row>
    <row r="26572">
      <c r="A26572" s="4" t="s">
        <v>33445</v>
      </c>
      <c r="B26572" s="4" t="s">
        <v>33446</v>
      </c>
      <c r="C26572" s="5" t="str">
        <f>IFERROR(__xludf.DUMMYFUNCTION("GOOGLETRANSLATE(B26572,""en"",""de"")"),"Eine Frau parasailing im Meer.")</f>
        <v>Eine Frau parasailing im Meer.</v>
      </c>
    </row>
    <row r="26573">
      <c r="A26573" s="4" t="s">
        <v>33445</v>
      </c>
      <c r="B26573" s="4" t="s">
        <v>33447</v>
      </c>
      <c r="C26573" s="5" t="str">
        <f>IFERROR(__xludf.DUMMYFUNCTION("GOOGLETRANSLATE(B26573,""en"",""de"")"),"Sie geht durch harte Wellen.")</f>
        <v>Sie geht durch harte Wellen.</v>
      </c>
    </row>
    <row r="26574">
      <c r="A26574" s="4" t="s">
        <v>33445</v>
      </c>
      <c r="B26574" s="4" t="s">
        <v>33448</v>
      </c>
      <c r="C26574" s="5" t="str">
        <f>IFERROR(__xludf.DUMMYFUNCTION("GOOGLETRANSLATE(B26574,""en"",""de"")"),"Sie geht über eine große Welle, die sie umdreht.")</f>
        <v>Sie geht über eine große Welle, die sie umdreht.</v>
      </c>
    </row>
    <row r="26575">
      <c r="A26575" s="4" t="s">
        <v>33449</v>
      </c>
      <c r="B26575" s="4" t="s">
        <v>33450</v>
      </c>
      <c r="C26575" s="5" t="str">
        <f>IFERROR(__xludf.DUMMYFUNCTION("GOOGLETRANSLATE(B26575,""en"",""de"")"),"Eine junge Frau steht auf einem Hof, der einen Hut trägt und einen Tennisschläger hält.")</f>
        <v>Eine junge Frau steht auf einem Hof, der einen Hut trägt und einen Tennisschläger hält.</v>
      </c>
    </row>
    <row r="26576">
      <c r="A26576" s="4" t="s">
        <v>33449</v>
      </c>
      <c r="B26576" s="4" t="s">
        <v>33451</v>
      </c>
      <c r="C26576" s="5" t="str">
        <f>IFERROR(__xludf.DUMMYFUNCTION("GOOGLETRANSLATE(B26576,""en"",""de"")"),"Das Mädchen wirft dann den Ball in die Luft und schlägt ihn in die Ferne.")</f>
        <v>Das Mädchen wirft dann den Ball in die Luft und schlägt ihn in die Ferne.</v>
      </c>
    </row>
    <row r="26577">
      <c r="A26577" s="4" t="s">
        <v>33449</v>
      </c>
      <c r="B26577" s="4" t="s">
        <v>33452</v>
      </c>
      <c r="C26577" s="5" t="str">
        <f>IFERROR(__xludf.DUMMYFUNCTION("GOOGLETRANSLATE(B26577,""en"",""de"")"),"Sie schaut zurück und lächelt zur Kamera.")</f>
        <v>Sie schaut zurück und lächelt zur Kamera.</v>
      </c>
    </row>
    <row r="26578">
      <c r="A26578" s="4" t="s">
        <v>33453</v>
      </c>
      <c r="B26578" s="4" t="s">
        <v>33454</v>
      </c>
      <c r="C26578" s="5" t="str">
        <f>IFERROR(__xludf.DUMMYFUNCTION("GOOGLETRANSLATE(B26578,""en"",""de"")"),"Eine Nahaufnahme eines Autos ist zu sehen, gefolgt von Menschen, die in den Rahmen gehen und das Auto waschen.")</f>
        <v>Eine Nahaufnahme eines Autos ist zu sehen, gefolgt von Menschen, die in den Rahmen gehen und das Auto waschen.</v>
      </c>
    </row>
    <row r="26579">
      <c r="A26579" s="4" t="s">
        <v>33453</v>
      </c>
      <c r="B26579" s="4" t="s">
        <v>33455</v>
      </c>
      <c r="C26579" s="5" t="str">
        <f>IFERROR(__xludf.DUMMYFUNCTION("GOOGLETRANSLATE(B26579,""en"",""de"")"),"Die Menschen reinigen das Äußere sowie das Innenraum und rollen das Auto nach draußen.")</f>
        <v>Die Menschen reinigen das Äußere sowie das Innenraum und rollen das Auto nach draußen.</v>
      </c>
    </row>
    <row r="26580">
      <c r="A26580" s="4" t="s">
        <v>33453</v>
      </c>
      <c r="B26580" s="4" t="s">
        <v>33456</v>
      </c>
      <c r="C26580" s="5" t="str">
        <f>IFERROR(__xludf.DUMMYFUNCTION("GOOGLETRANSLATE(B26580,""en"",""de"")"),"Sie parken das Auto und wischten es weiter ab, gefolgt davon, indem sie es am Ende abtrocknen.")</f>
        <v>Sie parken das Auto und wischten es weiter ab, gefolgt davon, indem sie es am Ende abtrocknen.</v>
      </c>
    </row>
    <row r="26581">
      <c r="A26581" s="4" t="s">
        <v>33457</v>
      </c>
      <c r="B26581" s="4" t="s">
        <v>33458</v>
      </c>
      <c r="C26581" s="5" t="str">
        <f>IFERROR(__xludf.DUMMYFUNCTION("GOOGLETRANSLATE(B26581,""en"",""de"")"),"Die Menschen am Flussufer steigen auf aufgeblähte Boote und Floß in einem Fluss mit abgehacktem Wasser.")</f>
        <v>Die Menschen am Flussufer steigen auf aufgeblähte Boote und Floß in einem Fluss mit abgehacktem Wasser.</v>
      </c>
    </row>
    <row r="26582">
      <c r="A26582" s="4" t="s">
        <v>33457</v>
      </c>
      <c r="B26582" s="4" t="s">
        <v>33459</v>
      </c>
      <c r="C26582" s="5" t="str">
        <f>IFERROR(__xludf.DUMMYFUNCTION("GOOGLETRANSLATE(B26582,""en"",""de"")"),"Zwei Männer befinden sich auf einem roten Kanu.")</f>
        <v>Zwei Männer befinden sich auf einem roten Kanu.</v>
      </c>
    </row>
    <row r="26583">
      <c r="A26583" s="4" t="s">
        <v>33457</v>
      </c>
      <c r="B26583" s="4" t="s">
        <v>33460</v>
      </c>
      <c r="C26583" s="5" t="str">
        <f>IFERROR(__xludf.DUMMYFUNCTION("GOOGLETRANSLATE(B26583,""en"",""de"")"),"Eine Gruppe von Sparren geht den Fluss hinunter, auch Menschen in Kanusfloß.")</f>
        <v>Eine Gruppe von Sparren geht den Fluss hinunter, auch Menschen in Kanusfloß.</v>
      </c>
    </row>
    <row r="26584">
      <c r="A26584" s="4" t="s">
        <v>33457</v>
      </c>
      <c r="B26584" s="4" t="s">
        <v>33461</v>
      </c>
      <c r="C26584" s="5" t="str">
        <f>IFERROR(__xludf.DUMMYFUNCTION("GOOGLETRANSLATE(B26584,""en"",""de"")"),"Die Sparren kommen zu ruhigem Wasser, dann feiert ein Team einen Sieg.")</f>
        <v>Die Sparren kommen zu ruhigem Wasser, dann feiert ein Team einen Sieg.</v>
      </c>
    </row>
    <row r="26585">
      <c r="A26585" s="4" t="s">
        <v>33462</v>
      </c>
      <c r="B26585" s="4" t="s">
        <v>33463</v>
      </c>
      <c r="C26585" s="5" t="str">
        <f>IFERROR(__xludf.DUMMYFUNCTION("GOOGLETRANSLATE(B26585,""en"",""de"")"),"Eine Kamera schwenkt zu einem Mann, der sitzt und eine Zigarette raucht.")</f>
        <v>Eine Kamera schwenkt zu einem Mann, der sitzt und eine Zigarette raucht.</v>
      </c>
    </row>
    <row r="26586">
      <c r="A26586" s="4" t="s">
        <v>33462</v>
      </c>
      <c r="B26586" s="4" t="s">
        <v>33464</v>
      </c>
      <c r="C26586" s="5" t="str">
        <f>IFERROR(__xludf.DUMMYFUNCTION("GOOGLETRANSLATE(B26586,""en"",""de"")"),"Ein anderer Mann geht mit einem Karren hinüber und beginnt durch Müll zu graben.")</f>
        <v>Ein anderer Mann geht mit einem Karren hinüber und beginnt durch Müll zu graben.</v>
      </c>
    </row>
    <row r="26587">
      <c r="A26587" s="4" t="s">
        <v>33462</v>
      </c>
      <c r="B26587" s="4" t="s">
        <v>33465</v>
      </c>
      <c r="C26587" s="5" t="str">
        <f>IFERROR(__xludf.DUMMYFUNCTION("GOOGLETRANSLATE(B26587,""en"",""de"")"),"Der Mann, der Zigaretten raucht, beginnt mit dem Obdachlosen darüber zu sprechen, wie das Leben saugt und wie er sich auf den Obdachlosen beziehen kann.")</f>
        <v>Der Mann, der Zigaretten raucht, beginnt mit dem Obdachlosen darüber zu sprechen, wie das Leben saugt und wie er sich auf den Obdachlosen beziehen kann.</v>
      </c>
    </row>
    <row r="26588">
      <c r="A26588" s="4" t="s">
        <v>33466</v>
      </c>
      <c r="B26588" s="4" t="s">
        <v>33467</v>
      </c>
      <c r="C26588" s="5" t="str">
        <f>IFERROR(__xludf.DUMMYFUNCTION("GOOGLETRANSLATE(B26588,""en"",""de"")"),"Wir sehen Outdoor -Bilder dann einen Mann in einer Küche.")</f>
        <v>Wir sehen Outdoor -Bilder dann einen Mann in einer Küche.</v>
      </c>
    </row>
    <row r="26589">
      <c r="A26589" s="4" t="s">
        <v>33466</v>
      </c>
      <c r="B26589" s="4" t="s">
        <v>33468</v>
      </c>
      <c r="C26589" s="5" t="str">
        <f>IFERROR(__xludf.DUMMYFUNCTION("GOOGLETRANSLATE(B26589,""en"",""de"")"),"Wir sehen Zutaten auf einem Tisch.")</f>
        <v>Wir sehen Zutaten auf einem Tisch.</v>
      </c>
    </row>
    <row r="26590">
      <c r="A26590" s="4" t="s">
        <v>33466</v>
      </c>
      <c r="B26590" s="4" t="s">
        <v>33469</v>
      </c>
      <c r="C26590" s="5" t="str">
        <f>IFERROR(__xludf.DUMMYFUNCTION("GOOGLETRANSLATE(B26590,""en"",""de"")"),"Der Mann mischt die Zutaten in einer Mixerschale.")</f>
        <v>Der Mann mischt die Zutaten in einer Mixerschale.</v>
      </c>
    </row>
    <row r="26591">
      <c r="A26591" s="4" t="s">
        <v>33466</v>
      </c>
      <c r="B26591" s="4" t="s">
        <v>33470</v>
      </c>
      <c r="C26591" s="5" t="str">
        <f>IFERROR(__xludf.DUMMYFUNCTION("GOOGLETRANSLATE(B26591,""en"",""de"")"),"Der Mann rührt die Mischung und macht den Mixer wieder ein.")</f>
        <v>Der Mann rührt die Mischung und macht den Mixer wieder ein.</v>
      </c>
    </row>
    <row r="26592">
      <c r="A26592" s="4" t="s">
        <v>33466</v>
      </c>
      <c r="B26592" s="4" t="s">
        <v>33471</v>
      </c>
      <c r="C26592" s="5" t="str">
        <f>IFERROR(__xludf.DUMMYFUNCTION("GOOGLETRANSLATE(B26592,""en"",""de"")"),"Der Mann mischt die Mischung und gießt sie in Kuchenformen.")</f>
        <v>Der Mann mischt die Mischung und gießt sie in Kuchenformen.</v>
      </c>
    </row>
    <row r="26593">
      <c r="A26593" s="4" t="s">
        <v>33466</v>
      </c>
      <c r="B26593" s="4" t="s">
        <v>33472</v>
      </c>
      <c r="C26593" s="5" t="str">
        <f>IFERROR(__xludf.DUMMYFUNCTION("GOOGLETRANSLATE(B26593,""en"",""de"")"),"Der Mann klopft auf die Pfannen und steckt dann den Kuchen in den Ofen.")</f>
        <v>Der Mann klopft auf die Pfannen und steckt dann den Kuchen in den Ofen.</v>
      </c>
    </row>
    <row r="26594">
      <c r="A26594" s="4" t="s">
        <v>33466</v>
      </c>
      <c r="B26594" s="4" t="s">
        <v>33473</v>
      </c>
      <c r="C26594" s="5" t="str">
        <f>IFERROR(__xludf.DUMMYFUNCTION("GOOGLETRANSLATE(B26594,""en"",""de"")"),"Wir sehen Kochgeschirr, Cupcakes und den Mann, der kocht.")</f>
        <v>Wir sehen Kochgeschirr, Cupcakes und den Mann, der kocht.</v>
      </c>
    </row>
    <row r="26595">
      <c r="A26595" s="4" t="s">
        <v>33466</v>
      </c>
      <c r="B26595" s="4" t="s">
        <v>33474</v>
      </c>
      <c r="C26595" s="5" t="str">
        <f>IFERROR(__xludf.DUMMYFUNCTION("GOOGLETRANSLATE(B26595,""en"",""de"")"),"Sehen Sie dann den hellen Endbildschirm.")</f>
        <v>Sehen Sie dann den hellen Endbildschirm.</v>
      </c>
    </row>
    <row r="26596">
      <c r="A26596" s="4" t="s">
        <v>33475</v>
      </c>
      <c r="B26596" s="4" t="s">
        <v>33476</v>
      </c>
      <c r="C26596" s="5" t="str">
        <f>IFERROR(__xludf.DUMMYFUNCTION("GOOGLETRANSLATE(B26596,""en"",""de"")"),"Ein schwarzer Intro -Bildschirm erscheint und enthält weiße Wörter mit ""genannten Gymnastic Elements Parallele Bars"", dann ""Musik: Nightwish Wo warst du letzte Nacht"", und der letzte Bildschirm enthält fremde Wörter eine E -Mail und eine Website.")</f>
        <v>Ein schwarzer Intro -Bildschirm erscheint und enthält weiße Wörter mit "genannten Gymnastic Elements Parallele Bars", dann "Musik: Nightwish Wo warst du letzte Nacht", und der letzte Bildschirm enthält fremde Wörter eine E -Mail und eine Website.</v>
      </c>
    </row>
    <row r="26597">
      <c r="A26597" s="4" t="s">
        <v>33475</v>
      </c>
      <c r="B26597" s="4" t="s">
        <v>33477</v>
      </c>
      <c r="C26597" s="5" t="str">
        <f>IFERROR(__xludf.DUMMYFUNCTION("GOOGLETRANSLATE(B26597,""en"",""de"")"),"Verschiedene kurze Clips verschiedener Männer in verschiedenen parallelen Bars in Turnhallen machen Handstände, schwingen auf sie und machen verschiedene andere Tricks, wenn die Zuschauer zuschauen.")</f>
        <v>Verschiedene kurze Clips verschiedener Männer in verschiedenen parallelen Bars in Turnhallen machen Handstände, schwingen auf sie und machen verschiedene andere Tricks, wenn die Zuschauer zuschauen.</v>
      </c>
    </row>
    <row r="26598">
      <c r="A26598" s="4" t="s">
        <v>33475</v>
      </c>
      <c r="B26598" s="4" t="s">
        <v>33478</v>
      </c>
      <c r="C26598" s="5" t="str">
        <f>IFERROR(__xludf.DUMMYFUNCTION("GOOGLETRANSLATE(B26598,""en"",""de"")"),"Der letzte Mann in den parallelen Bars scheint in einem Fitnessstudio zu üben, ohne dass eine große Gruppe von Zuschauern zuschaut.")</f>
        <v>Der letzte Mann in den parallelen Bars scheint in einem Fitnessstudio zu üben, ohne dass eine große Gruppe von Zuschauern zuschaut.</v>
      </c>
    </row>
    <row r="26599">
      <c r="A26599" s="4" t="s">
        <v>33479</v>
      </c>
      <c r="B26599" s="4" t="s">
        <v>33480</v>
      </c>
      <c r="C26599" s="5" t="str">
        <f>IFERROR(__xludf.DUMMYFUNCTION("GOOGLETRANSLATE(B26599,""en"",""de"")"),"Eine Gruppe von Menschen führt an einem sonnigen Tag einfache Stufen -Aerobic durch.")</f>
        <v>Eine Gruppe von Menschen führt an einem sonnigen Tag einfache Stufen -Aerobic durch.</v>
      </c>
    </row>
    <row r="26600">
      <c r="A26600" s="4" t="s">
        <v>33479</v>
      </c>
      <c r="B26600" s="4" t="s">
        <v>33481</v>
      </c>
      <c r="C26600" s="5" t="str">
        <f>IFERROR(__xludf.DUMMYFUNCTION("GOOGLETRANSLATE(B26600,""en"",""de"")"),"Der Aerobic -Ausbilder lässt den Klassenwechsel zu einem neuen Aerobic -Umzug wechseln, in dem die Gruppe ihre Arme vor sichtet und das Klatschen einbindet, während sie Schritte unternehmen.")</f>
        <v>Der Aerobic -Ausbilder lässt den Klassenwechsel zu einem neuen Aerobic -Umzug wechseln, in dem die Gruppe ihre Arme vor sichtet und das Klatschen einbindet, während sie Schritte unternehmen.</v>
      </c>
    </row>
    <row r="26601">
      <c r="A26601" s="4" t="s">
        <v>33479</v>
      </c>
      <c r="B26601" s="4" t="s">
        <v>33482</v>
      </c>
      <c r="C26601" s="5" t="str">
        <f>IFERROR(__xludf.DUMMYFUNCTION("GOOGLETRANSLATE(B26601,""en"",""de"")"),"Ihre nächste Bewegung besteht darin, ihre Hände zum Himmel zu legen, wenn sie einen Schritt machen.")</f>
        <v>Ihre nächste Bewegung besteht darin, ihre Hände zum Himmel zu legen, wenn sie einen Schritt machen.</v>
      </c>
    </row>
    <row r="26602">
      <c r="A26602" s="4" t="s">
        <v>33483</v>
      </c>
      <c r="B26602" s="4" t="s">
        <v>33484</v>
      </c>
      <c r="C26602" s="5" t="str">
        <f>IFERROR(__xludf.DUMMYFUNCTION("GOOGLETRANSLATE(B26602,""en"",""de"")"),"Der Mensch steht vor einem Bildschirm, der mit der Kamera spricht.")</f>
        <v>Der Mensch steht vor einem Bildschirm, der mit der Kamera spricht.</v>
      </c>
    </row>
    <row r="26603">
      <c r="A26603" s="4" t="s">
        <v>33483</v>
      </c>
      <c r="B26603" s="4" t="s">
        <v>33485</v>
      </c>
      <c r="C26603" s="5" t="str">
        <f>IFERROR(__xludf.DUMMYFUNCTION("GOOGLETRANSLATE(B26603,""en"",""de"")"),"Eine Frau spielt mit einer Katze und einem Tisch mit einem Nagelschneider, der die Nägel der Katze schneidet.")</f>
        <v>Eine Frau spielt mit einer Katze und einem Tisch mit einem Nagelschneider, der die Nägel der Katze schneidet.</v>
      </c>
    </row>
    <row r="26604">
      <c r="A26604" s="4" t="s">
        <v>33486</v>
      </c>
      <c r="B26604" s="4" t="s">
        <v>33487</v>
      </c>
      <c r="C26604" s="5" t="str">
        <f>IFERROR(__xludf.DUMMYFUNCTION("GOOGLETRANSLATE(B26604,""en"",""de"")"),"Eine Frau wird gesehen, wie der Stier sie abschließt und andere rennen, um zu helfen.")</f>
        <v>Eine Frau wird gesehen, wie der Stier sie abschließt und andere rennen, um zu helfen.</v>
      </c>
    </row>
    <row r="26605">
      <c r="A26605" s="4" t="s">
        <v>33486</v>
      </c>
      <c r="B26605" s="4" t="s">
        <v>33488</v>
      </c>
      <c r="C26605" s="5" t="str">
        <f>IFERROR(__xludf.DUMMYFUNCTION("GOOGLETRANSLATE(B26605,""en"",""de"")"),"Einige weitere Menschen versuchen, den Stier zu verspotten und zu enden, indem sie verletzt werden und andere helfen.")</f>
        <v>Einige weitere Menschen versuchen, den Stier zu verspotten und zu enden, indem sie verletzt werden und andere helfen.</v>
      </c>
    </row>
    <row r="26606">
      <c r="A26606" s="4" t="s">
        <v>33489</v>
      </c>
      <c r="B26606" s="4" t="s">
        <v>33490</v>
      </c>
      <c r="C26606" s="5" t="str">
        <f>IFERROR(__xludf.DUMMYFUNCTION("GOOGLETRANSLATE(B26606,""en"",""de"")"),"Es wird eine Nahaufnahme eines Instruments gezeigt, gefolgt von einer Frau, die in einen Rahmen sitzt und mit der Kamera spricht.")</f>
        <v>Es wird eine Nahaufnahme eines Instruments gezeigt, gefolgt von einer Frau, die in einen Rahmen sitzt und mit der Kamera spricht.</v>
      </c>
    </row>
    <row r="26607">
      <c r="A26607" s="4" t="s">
        <v>33489</v>
      </c>
      <c r="B26607" s="4" t="s">
        <v>33491</v>
      </c>
      <c r="C26607" s="5" t="str">
        <f>IFERROR(__xludf.DUMMYFUNCTION("GOOGLETRANSLATE(B26607,""en"",""de"")"),"Sie nimmt dann die Flöte auf und spielt sie und hielt eine Pause, um dazwischen zu sprechen.")</f>
        <v>Sie nimmt dann die Flöte auf und spielt sie und hielt eine Pause, um dazwischen zu sprechen.</v>
      </c>
    </row>
    <row r="26608">
      <c r="A26608" s="4" t="s">
        <v>33489</v>
      </c>
      <c r="B26608" s="4" t="s">
        <v>33492</v>
      </c>
      <c r="C26608" s="5" t="str">
        <f>IFERROR(__xludf.DUMMYFUNCTION("GOOGLETRANSLATE(B26608,""en"",""de"")"),"Sie spielt das Instrument erneut und macht eine Pause, um es niederzulegen und mit der Kamera zu sprechen.")</f>
        <v>Sie spielt das Instrument erneut und macht eine Pause, um es niederzulegen und mit der Kamera zu sprechen.</v>
      </c>
    </row>
    <row r="26609">
      <c r="A26609" s="4" t="s">
        <v>33493</v>
      </c>
      <c r="B26609" s="4" t="s">
        <v>33494</v>
      </c>
      <c r="C26609" s="5" t="str">
        <f>IFERROR(__xludf.DUMMYFUNCTION("GOOGLETRANSLATE(B26609,""en"",""de"")"),"Ein schwarzer Bildschirm erscheint und schnelle weiße Wörter fliegen darüber und sie sagen: ""Hier wird er für den Vollbildschirm gesetzt.""")</f>
        <v>Ein schwarzer Bildschirm erscheint und schnelle weiße Wörter fliegen darüber und sie sagen: "Hier wird er für den Vollbildschirm gesetzt."</v>
      </c>
    </row>
    <row r="26610">
      <c r="A26610" s="4" t="s">
        <v>33493</v>
      </c>
      <c r="B26610" s="4" t="s">
        <v>33495</v>
      </c>
      <c r="C26610" s="5" t="str">
        <f>IFERROR(__xludf.DUMMYFUNCTION("GOOGLETRANSLATE(B26610,""en"",""de"")"),"Ein Bild eines schneebedeckten Berges erscheint und weiße Worte auf dem Bildschirm sagen ""Hartel -Produktionen"".")</f>
        <v>Ein Bild eines schneebedeckten Berges erscheint und weiße Worte auf dem Bildschirm sagen "Hartel -Produktionen".</v>
      </c>
    </row>
    <row r="26611">
      <c r="A26611" s="4" t="s">
        <v>33493</v>
      </c>
      <c r="B26611" s="4" t="s">
        <v>33496</v>
      </c>
      <c r="C26611" s="5" t="str">
        <f>IFERROR(__xludf.DUMMYFUNCTION("GOOGLETRANSLATE(B26611,""en"",""de"")"),"Ein Holzbrett erscheint in einem Außenbereich und es ist ""Clam Beach County Park Welcome North Day Nutzungspark"". In Gelb erscheint ein Text, der ""The Dog Walk"" heißt.")</f>
        <v>Ein Holzbrett erscheint in einem Außenbereich und es ist "Clam Beach County Park Welcome North Day Nutzungspark". In Gelb erscheint ein Text, der "The Dog Walk" heißt.</v>
      </c>
    </row>
    <row r="26612">
      <c r="A26612" s="4" t="s">
        <v>33493</v>
      </c>
      <c r="B26612" s="4" t="s">
        <v>33497</v>
      </c>
      <c r="C26612" s="5" t="str">
        <f>IFERROR(__xludf.DUMMYFUNCTION("GOOGLETRANSLATE(B26612,""en"",""de"")"),"Verschiedene immer noch Schüsse von Menschen, die mit Hunden laufen oder alleine entlang einer Straße entlang gehen, treten zusammen mit verschiedenen Schüssen der Gegend und den Titeln dessen, was sie sind, auf.")</f>
        <v>Verschiedene immer noch Schüsse von Menschen, die mit Hunden laufen oder alleine entlang einer Straße entlang gehen, treten zusammen mit verschiedenen Schüssen der Gegend und den Titeln dessen, was sie sind, auf.</v>
      </c>
    </row>
    <row r="26613">
      <c r="A26613" s="4" t="s">
        <v>33493</v>
      </c>
      <c r="B26613" s="4" t="s">
        <v>33498</v>
      </c>
      <c r="C26613" s="5" t="str">
        <f>IFERROR(__xludf.DUMMYFUNCTION("GOOGLETRANSLATE(B26613,""en"",""de"")"),"Am Ende gibt es immer noch Schüsse von Hunden, die in ein Auto geladen werden, die Hunde im Auto, ein Mann, der das Auto mit seinem Wanderer lädt, ein Schlusszeichen und dann gelbe Wörter, die ""das Ende"" sagen und es schwarz nachverlasst.")</f>
        <v>Am Ende gibt es immer noch Schüsse von Hunden, die in ein Auto geladen werden, die Hunde im Auto, ein Mann, der das Auto mit seinem Wanderer lädt, ein Schlusszeichen und dann gelbe Wörter, die "das Ende" sagen und es schwarz nachverlasst.</v>
      </c>
    </row>
    <row r="26614">
      <c r="A26614" s="4" t="s">
        <v>33499</v>
      </c>
      <c r="B26614" s="4" t="s">
        <v>33500</v>
      </c>
      <c r="C26614" s="5" t="str">
        <f>IFERROR(__xludf.DUMMYFUNCTION("GOOGLETRANSLATE(B26614,""en"",""de"")"),"Eine Dame kniet vor Büschen und Gesprächen.")</f>
        <v>Eine Dame kniet vor Büschen und Gesprächen.</v>
      </c>
    </row>
    <row r="26615">
      <c r="A26615" s="4" t="s">
        <v>33499</v>
      </c>
      <c r="B26615" s="4" t="s">
        <v>33501</v>
      </c>
      <c r="C26615" s="5" t="str">
        <f>IFERROR(__xludf.DUMMYFUNCTION("GOOGLETRANSLATE(B26615,""en"",""de"")"),"Die Dame verwendet Gartenschere, um den Busch zu schneiden.")</f>
        <v>Die Dame verwendet Gartenschere, um den Busch zu schneiden.</v>
      </c>
    </row>
    <row r="26616">
      <c r="A26616" s="4" t="s">
        <v>33499</v>
      </c>
      <c r="B26616" s="4" t="s">
        <v>33502</v>
      </c>
      <c r="C26616" s="5" t="str">
        <f>IFERROR(__xludf.DUMMYFUNCTION("GOOGLETRANSLATE(B26616,""en"",""de"")"),"Die Dame steht und schneidet die Büsche ab.")</f>
        <v>Die Dame steht und schneidet die Büsche ab.</v>
      </c>
    </row>
    <row r="26617">
      <c r="A26617" s="4" t="s">
        <v>33499</v>
      </c>
      <c r="B26617" s="4" t="s">
        <v>33503</v>
      </c>
      <c r="C26617" s="5" t="str">
        <f>IFERROR(__xludf.DUMMYFUNCTION("GOOGLETRANSLATE(B26617,""en"",""de"")"),"Die Dame kniet wieder nieder und spricht weiterhin mit der Kamera.")</f>
        <v>Die Dame kniet wieder nieder und spricht weiterhin mit der Kamera.</v>
      </c>
    </row>
    <row r="26618">
      <c r="A26618" s="4" t="s">
        <v>33504</v>
      </c>
      <c r="B26618" s="4" t="s">
        <v>33505</v>
      </c>
      <c r="C26618" s="5" t="str">
        <f>IFERROR(__xludf.DUMMYFUNCTION("GOOGLETRANSLATE(B26618,""en"",""de"")"),"Ein kleines Mädchen steht in ihrem Badezimmer und zeigt, wie sie ihren Mund mit Mundwäsche spült.")</f>
        <v>Ein kleines Mädchen steht in ihrem Badezimmer und zeigt, wie sie ihren Mund mit Mundwäsche spült.</v>
      </c>
    </row>
    <row r="26619">
      <c r="A26619" s="4" t="s">
        <v>33504</v>
      </c>
      <c r="B26619" s="4" t="s">
        <v>33506</v>
      </c>
      <c r="C26619" s="5" t="str">
        <f>IFERROR(__xludf.DUMMYFUNCTION("GOOGLETRANSLATE(B26619,""en"",""de"")"),"Sie nimmt einen Schluck Listerine -Mund aus ihrer Tasse und hält ihn für einige Sekunden in ihrem Mund, während ihr älterer Bruder sie festbindet.")</f>
        <v>Sie nimmt einen Schluck Listerine -Mund aus ihrer Tasse und hält ihn für einige Sekunden in ihrem Mund, während ihr älterer Bruder sie festbindet.</v>
      </c>
    </row>
    <row r="26620">
      <c r="A26620" s="4" t="s">
        <v>33504</v>
      </c>
      <c r="B26620" s="4" t="s">
        <v>33507</v>
      </c>
      <c r="C26620" s="5" t="str">
        <f>IFERROR(__xludf.DUMMYFUNCTION("GOOGLETRANSLATE(B26620,""en"",""de"")"),"Ein weiteres kleines Mädchen geht hinter sie und beobachtet ihre Spülung.")</f>
        <v>Ein weiteres kleines Mädchen geht hinter sie und beobachtet ihre Spülung.</v>
      </c>
    </row>
    <row r="26621">
      <c r="A26621" s="4" t="s">
        <v>33504</v>
      </c>
      <c r="B26621" s="4" t="s">
        <v>33508</v>
      </c>
      <c r="C26621" s="5" t="str">
        <f>IFERROR(__xludf.DUMMYFUNCTION("GOOGLETRANSLATE(B26621,""en"",""de"")"),"Sie hält die Mundwäsche lange in ihrem Mund und spuckt sie dann in die Spüle aus.")</f>
        <v>Sie hält die Mundwäsche lange in ihrem Mund und spuckt sie dann in die Spüle aus.</v>
      </c>
    </row>
    <row r="26622">
      <c r="A26622" s="4" t="s">
        <v>33509</v>
      </c>
      <c r="B26622" s="4" t="s">
        <v>33510</v>
      </c>
      <c r="C26622" s="5" t="str">
        <f>IFERROR(__xludf.DUMMYFUNCTION("GOOGLETRANSLATE(B26622,""en"",""de"")"),"Ein Mann wird gesehen, wie er mit einer Kamera sehr nahe an seinem Gesicht spricht.")</f>
        <v>Ein Mann wird gesehen, wie er mit einer Kamera sehr nahe an seinem Gesicht spricht.</v>
      </c>
    </row>
    <row r="26623">
      <c r="A26623" s="4" t="s">
        <v>33509</v>
      </c>
      <c r="B26623" s="4" t="s">
        <v>33511</v>
      </c>
      <c r="C26623" s="5" t="str">
        <f>IFERROR(__xludf.DUMMYFUNCTION("GOOGLETRANSLATE(B26623,""en"",""de"")"),"Ein anderer Mann mit einem Helm steht in der Nähe.")</f>
        <v>Ein anderer Mann mit einem Helm steht in der Nähe.</v>
      </c>
    </row>
    <row r="26624">
      <c r="A26624" s="4" t="s">
        <v>33509</v>
      </c>
      <c r="B26624" s="4" t="s">
        <v>33512</v>
      </c>
      <c r="C26624" s="5" t="str">
        <f>IFERROR(__xludf.DUMMYFUNCTION("GOOGLETRANSLATE(B26624,""en"",""de"")"),"Ein dritter Mann ist in einem Auto neben dem Mann zu sehen, der redet.")</f>
        <v>Ein dritter Mann ist in einem Auto neben dem Mann zu sehen, der redet.</v>
      </c>
    </row>
    <row r="26625">
      <c r="A26625" s="4" t="s">
        <v>33509</v>
      </c>
      <c r="B26625" s="4" t="s">
        <v>33513</v>
      </c>
      <c r="C26625" s="5" t="str">
        <f>IFERROR(__xludf.DUMMYFUNCTION("GOOGLETRANSLATE(B26625,""en"",""de"")"),"Der Mann, der den Helm trägt, beginnt auf einem Skateboard die Straße runter.")</f>
        <v>Der Mann, der den Helm trägt, beginnt auf einem Skateboard die Straße runter.</v>
      </c>
    </row>
    <row r="26626">
      <c r="A26626" s="4" t="s">
        <v>33509</v>
      </c>
      <c r="B26626" s="4" t="s">
        <v>33514</v>
      </c>
      <c r="C26626" s="5" t="str">
        <f>IFERROR(__xludf.DUMMYFUNCTION("GOOGLETRANSLATE(B26626,""en"",""de"")"),"Der Mann geht ein paar sehr steile Hügel auf seinem Skateboard hinunter.")</f>
        <v>Der Mann geht ein paar sehr steile Hügel auf seinem Skateboard hinunter.</v>
      </c>
    </row>
    <row r="26627">
      <c r="A26627" s="4" t="s">
        <v>33509</v>
      </c>
      <c r="B26627" s="4" t="s">
        <v>33515</v>
      </c>
      <c r="C26627" s="5" t="str">
        <f>IFERROR(__xludf.DUMMYFUNCTION("GOOGLETRANSLATE(B26627,""en"",""de"")"),"Der Mann fährt an einem Stoppschild vorbei.")</f>
        <v>Der Mann fährt an einem Stoppschild vorbei.</v>
      </c>
    </row>
    <row r="26628">
      <c r="A26628" s="4" t="s">
        <v>33509</v>
      </c>
      <c r="B26628" s="4" t="s">
        <v>33516</v>
      </c>
      <c r="C26628" s="5" t="str">
        <f>IFERROR(__xludf.DUMMYFUNCTION("GOOGLETRANSLATE(B26628,""en"",""de"")"),"Der Mann mit der Kamera und dem Mann im Auto folgt und filmt den Mann auf dem Skateboard.")</f>
        <v>Der Mann mit der Kamera und dem Mann im Auto folgt und filmt den Mann auf dem Skateboard.</v>
      </c>
    </row>
    <row r="26629">
      <c r="A26629" s="4" t="s">
        <v>33509</v>
      </c>
      <c r="B26629" s="4" t="s">
        <v>33517</v>
      </c>
      <c r="C26629" s="5" t="str">
        <f>IFERROR(__xludf.DUMMYFUNCTION("GOOGLETRANSLATE(B26629,""en"",""de"")"),"Nach dem Stoppschild passt das Auto den Mann am Skateboard.")</f>
        <v>Nach dem Stoppschild passt das Auto den Mann am Skateboard.</v>
      </c>
    </row>
    <row r="26630">
      <c r="A26630" s="4" t="s">
        <v>33509</v>
      </c>
      <c r="B26630" s="4" t="s">
        <v>33518</v>
      </c>
      <c r="C26630" s="5" t="str">
        <f>IFERROR(__xludf.DUMMYFUNCTION("GOOGLETRANSLATE(B26630,""en"",""de"")"),"Das Auto stoppt und der Mann auf dem Skateboard bleibt direkt an ihnen vorbei und nimmt sein Skateboard auf.")</f>
        <v>Das Auto stoppt und der Mann auf dem Skateboard bleibt direkt an ihnen vorbei und nimmt sein Skateboard auf.</v>
      </c>
    </row>
    <row r="26631">
      <c r="A26631" s="4" t="s">
        <v>33519</v>
      </c>
      <c r="B26631" s="4" t="s">
        <v>33520</v>
      </c>
      <c r="C26631" s="5" t="str">
        <f>IFERROR(__xludf.DUMMYFUNCTION("GOOGLETRANSLATE(B26631,""en"",""de"")"),"Ein Mann mit Gitarre und ein Mikrofon spielt ein Musikstück.")</f>
        <v>Ein Mann mit Gitarre und ein Mikrofon spielt ein Musikstück.</v>
      </c>
    </row>
    <row r="26632">
      <c r="A26632" s="4" t="s">
        <v>33519</v>
      </c>
      <c r="B26632" s="4" t="s">
        <v>33521</v>
      </c>
      <c r="C26632" s="5" t="str">
        <f>IFERROR(__xludf.DUMMYFUNCTION("GOOGLETRANSLATE(B26632,""en"",""de"")"),"Ein schwarzer Bildschirm mit einer Grafik einer weißen Gitarre und einer Website erscheinen.")</f>
        <v>Ein schwarzer Bildschirm mit einer Grafik einer weißen Gitarre und einer Website erscheinen.</v>
      </c>
    </row>
    <row r="26633">
      <c r="A26633" s="4" t="s">
        <v>33519</v>
      </c>
      <c r="B26633" s="4" t="s">
        <v>33522</v>
      </c>
      <c r="C26633" s="5" t="str">
        <f>IFERROR(__xludf.DUMMYFUNCTION("GOOGLETRANSLATE(B26633,""en"",""de"")"),"Der Mann hört auf zu spielen, dann erscheinen die schwarzen Bildschirm mit weißer Gitarre und Website erneut.")</f>
        <v>Der Mann hört auf zu spielen, dann erscheinen die schwarzen Bildschirm mit weißer Gitarre und Website erneut.</v>
      </c>
    </row>
    <row r="26634">
      <c r="A26634" s="4" t="s">
        <v>33523</v>
      </c>
      <c r="B26634" s="4" t="s">
        <v>33524</v>
      </c>
      <c r="C26634" s="5" t="str">
        <f>IFERROR(__xludf.DUMMYFUNCTION("GOOGLETRANSLATE(B26634,""en"",""de"")"),"Ein Athlet ist gesehen, wie er in einen Kreis geht und sich darauf vorbereitet, einen Schuss zu werfen.")</f>
        <v>Ein Athlet ist gesehen, wie er in einen Kreis geht und sich darauf vorbereitet, einen Schuss zu werfen.</v>
      </c>
    </row>
    <row r="26635">
      <c r="A26635" s="4" t="s">
        <v>33523</v>
      </c>
      <c r="B26635" s="4" t="s">
        <v>33525</v>
      </c>
      <c r="C26635" s="5" t="str">
        <f>IFERROR(__xludf.DUMMYFUNCTION("GOOGLETRANSLATE(B26635,""en"",""de"")"),"Der Mann wirft das Objekt mehrmals, nachdem er herumgedreht hat und mehrere Leute am Rande beobachten.")</f>
        <v>Der Mann wirft das Objekt mehrmals, nachdem er herumgedreht hat und mehrere Leute am Rande beobachten.</v>
      </c>
    </row>
    <row r="26636">
      <c r="A26636" s="4" t="s">
        <v>33526</v>
      </c>
      <c r="B26636" s="4" t="s">
        <v>33527</v>
      </c>
      <c r="C26636" s="5" t="str">
        <f>IFERROR(__xludf.DUMMYFUNCTION("GOOGLETRANSLATE(B26636,""en"",""de"")"),"Ein Logo und die Wörter Master Lube TV zeigen auf einem schwarzen Bildschirm.")</f>
        <v>Ein Logo und die Wörter Master Lube TV zeigen auf einem schwarzen Bildschirm.</v>
      </c>
    </row>
    <row r="26637">
      <c r="A26637" s="4" t="s">
        <v>33526</v>
      </c>
      <c r="B26637" s="4" t="s">
        <v>33528</v>
      </c>
      <c r="C26637" s="5" t="str">
        <f>IFERROR(__xludf.DUMMYFUNCTION("GOOGLETRANSLATE(B26637,""en"",""de"")"),"Ein junger Mann steht und spricht in einem Geschäft, während andere junge Männer das Innere und außerhalb eines silbernen Fahrzeugs reinigen und detailliert haben.")</f>
        <v>Ein junger Mann steht und spricht in einem Geschäft, während andere junge Männer das Innere und außerhalb eines silbernen Fahrzeugs reinigen und detailliert haben.</v>
      </c>
    </row>
    <row r="26638">
      <c r="A26638" s="4" t="s">
        <v>33526</v>
      </c>
      <c r="B26638" s="4" t="s">
        <v>33529</v>
      </c>
      <c r="C26638" s="5" t="str">
        <f>IFERROR(__xludf.DUMMYFUNCTION("GOOGLETRANSLATE(B26638,""en"",""de"")"),"Das jetzt gereinigte Fahrzeug zieht sich aus der Garage und fährt vom Geschäft weg.")</f>
        <v>Das jetzt gereinigte Fahrzeug zieht sich aus der Garage und fährt vom Geschäft weg.</v>
      </c>
    </row>
    <row r="26639">
      <c r="A26639" s="4" t="s">
        <v>33526</v>
      </c>
      <c r="B26639" s="4" t="s">
        <v>33530</v>
      </c>
      <c r="C26639" s="5" t="str">
        <f>IFERROR(__xludf.DUMMYFUNCTION("GOOGLETRANSLATE(B26639,""en"",""de"")"),"Das Fahrzeug ist jetzt geparkt und zwei junge Männer wischen es mit einem trockenen Tuch ab.")</f>
        <v>Das Fahrzeug ist jetzt geparkt und zwei junge Männer wischen es mit einem trockenen Tuch ab.</v>
      </c>
    </row>
    <row r="26640">
      <c r="A26640" s="4" t="s">
        <v>33526</v>
      </c>
      <c r="B26640" s="4" t="s">
        <v>33531</v>
      </c>
      <c r="C26640" s="5" t="str">
        <f>IFERROR(__xludf.DUMMYFUNCTION("GOOGLETRANSLATE(B26640,""en"",""de"")"),"Weitere Clips des jungen Mannes redeten alleine und die Reinigung, die sie zuvor wiederholten.")</f>
        <v>Weitere Clips des jungen Mannes redeten alleine und die Reinigung, die sie zuvor wiederholten.</v>
      </c>
    </row>
    <row r="26641">
      <c r="A26641" s="4" t="s">
        <v>33526</v>
      </c>
      <c r="B26641" s="4" t="s">
        <v>33532</v>
      </c>
      <c r="C26641" s="5" t="str">
        <f>IFERROR(__xludf.DUMMYFUNCTION("GOOGLETRANSLATE(B26641,""en"",""de"")"),"Eine rote, weiße und blaue Flagge mit den Wörtern ""Handautautwagenwäsche"" bläst im Wind.")</f>
        <v>Eine rote, weiße und blaue Flagge mit den Wörtern "Handautautwagenwäsche" bläst im Wind.</v>
      </c>
    </row>
    <row r="26642">
      <c r="A26642" s="4" t="s">
        <v>33526</v>
      </c>
      <c r="B26642" s="4" t="s">
        <v>33533</v>
      </c>
      <c r="C26642" s="5" t="str">
        <f>IFERROR(__xludf.DUMMYFUNCTION("GOOGLETRANSLATE(B26642,""en"",""de"")"),"Weitere Clips des jungen Mannes spricht Solo und Wiederholungen der Reinigungsschleifen als Wörter unter dem Mann auf und lesen Sie ""MasterLube Handautautos Wash 750 Broadwater Ave (406) 294-5530.")</f>
        <v>Weitere Clips des jungen Mannes spricht Solo und Wiederholungen der Reinigungsschleifen als Wörter unter dem Mann auf und lesen Sie "MasterLube Handautautos Wash 750 Broadwater Ave (406) 294-5530.</v>
      </c>
    </row>
    <row r="26643">
      <c r="A26643" s="4" t="s">
        <v>33526</v>
      </c>
      <c r="B26643" s="4" t="s">
        <v>33534</v>
      </c>
      <c r="C26643" s="5" t="str">
        <f>IFERROR(__xludf.DUMMYFUNCTION("GOOGLETRANSLATE(B26643,""en"",""de"")"),"Die Flaggen werden wieder angezeigt und verblasst zu einem schwarzen Bildschirm mit einem Logo und den Wörtern MasterLube.")</f>
        <v>Die Flaggen werden wieder angezeigt und verblasst zu einem schwarzen Bildschirm mit einem Logo und den Wörtern MasterLube.</v>
      </c>
    </row>
    <row r="26644">
      <c r="A26644" s="4" t="s">
        <v>33535</v>
      </c>
      <c r="B26644" s="4" t="s">
        <v>33536</v>
      </c>
      <c r="C26644" s="5" t="str">
        <f>IFERROR(__xludf.DUMMYFUNCTION("GOOGLETRANSLATE(B26644,""en"",""de"")"),"Zahlreiche verschiedene Bilder von Fitness -Menschen blinken auf dem Bildschirm und das Logo La Muscle blinkt schnell.")</f>
        <v>Zahlreiche verschiedene Bilder von Fitness -Menschen blinken auf dem Bildschirm und das Logo La Muscle blinkt schnell.</v>
      </c>
    </row>
    <row r="26645">
      <c r="A26645" s="4" t="s">
        <v>33535</v>
      </c>
      <c r="B26645" s="4" t="s">
        <v>33537</v>
      </c>
      <c r="C26645" s="5" t="str">
        <f>IFERROR(__xludf.DUMMYFUNCTION("GOOGLETRANSLATE(B26645,""en"",""de"")"),"Eine Gruppe von Menschen tritt auf und sie sind auf dem Fahrrad mit Pedal und machen einen Cardio -Workshop, während der Mann vor dem Tragen eines Stirnbands die ganze Zeit spricht.")</f>
        <v>Eine Gruppe von Menschen tritt auf und sie sind auf dem Fahrrad mit Pedal und machen einen Cardio -Workshop, während der Mann vor dem Tragen eines Stirnbands die ganze Zeit spricht.</v>
      </c>
    </row>
    <row r="26646">
      <c r="A26646" s="4" t="s">
        <v>33535</v>
      </c>
      <c r="B26646" s="4" t="s">
        <v>33538</v>
      </c>
      <c r="C26646" s="5" t="str">
        <f>IFERROR(__xludf.DUMMYFUNCTION("GOOGLETRANSLATE(B26646,""en"",""de"")"),"Der Outro -Bildschirm erscheint und es ist ein weißer Bildschirm, der das La -Muskel -Logo wie am Anfang und die Wörter ""Weitere Informationen zu Lamuscle Dot TV"" schuht.")</f>
        <v>Der Outro -Bildschirm erscheint und es ist ein weißer Bildschirm, der das La -Muskel -Logo wie am Anfang und die Wörter "Weitere Informationen zu Lamuscle Dot TV" schuht.</v>
      </c>
    </row>
    <row r="26647">
      <c r="A26647" s="4" t="s">
        <v>33539</v>
      </c>
      <c r="B26647" s="4" t="s">
        <v>33540</v>
      </c>
      <c r="C26647" s="5" t="str">
        <f>IFERROR(__xludf.DUMMYFUNCTION("GOOGLETRANSLATE(B26647,""en"",""de"")"),"Ein Mann vervollständigt einen Rubiks -Würfel.")</f>
        <v>Ein Mann vervollständigt einen Rubiks -Würfel.</v>
      </c>
    </row>
    <row r="26648">
      <c r="A26648" s="4" t="s">
        <v>33539</v>
      </c>
      <c r="B26648" s="4" t="s">
        <v>33541</v>
      </c>
      <c r="C26648" s="5" t="str">
        <f>IFERROR(__xludf.DUMMYFUNCTION("GOOGLETRANSLATE(B26648,""en"",""de"")"),"Ein Timer sitzt neben ihm auf dem Tisch.")</f>
        <v>Ein Timer sitzt neben ihm auf dem Tisch.</v>
      </c>
    </row>
    <row r="26649">
      <c r="A26649" s="4" t="s">
        <v>33539</v>
      </c>
      <c r="B26649" s="4" t="s">
        <v>33542</v>
      </c>
      <c r="C26649" s="5" t="str">
        <f>IFERROR(__xludf.DUMMYFUNCTION("GOOGLETRANSLATE(B26649,""en"",""de"")"),"Er setzt den fertigen Rubiks -Würfel auf den Tisch.")</f>
        <v>Er setzt den fertigen Rubiks -Würfel auf den Tisch.</v>
      </c>
    </row>
    <row r="26650">
      <c r="A26650" s="4" t="s">
        <v>33543</v>
      </c>
      <c r="B26650" s="4" t="s">
        <v>33544</v>
      </c>
      <c r="C26650" s="5" t="str">
        <f>IFERROR(__xludf.DUMMYFUNCTION("GOOGLETRANSLATE(B26650,""en"",""de"")"),"Die Leute rennen sehr schnell den Strand hinauf.")</f>
        <v>Die Leute rennen sehr schnell den Strand hinauf.</v>
      </c>
    </row>
    <row r="26651">
      <c r="A26651" s="4" t="s">
        <v>33543</v>
      </c>
      <c r="B26651" s="4" t="s">
        <v>33545</v>
      </c>
      <c r="C26651" s="5" t="str">
        <f>IFERROR(__xludf.DUMMYFUNCTION("GOOGLETRANSLATE(B26651,""en"",""de"")"),"Dann machen sie seltsame Gesichter zur Kamera.")</f>
        <v>Dann machen sie seltsame Gesichter zur Kamera.</v>
      </c>
    </row>
    <row r="26652">
      <c r="A26652" s="4" t="s">
        <v>33543</v>
      </c>
      <c r="B26652" s="4" t="s">
        <v>33546</v>
      </c>
      <c r="C26652" s="5" t="str">
        <f>IFERROR(__xludf.DUMMYFUNCTION("GOOGLETRANSLATE(B26652,""en"",""de"")"),"Sie fangen an, auf einer Art Hüpfseil zu springen und Tricks zu machen.")</f>
        <v>Sie fangen an, auf einer Art Hüpfseil zu springen und Tricks zu machen.</v>
      </c>
    </row>
    <row r="26653">
      <c r="A26653" s="4" t="s">
        <v>33543</v>
      </c>
      <c r="B26653" s="4" t="s">
        <v>33547</v>
      </c>
      <c r="C26653" s="5" t="str">
        <f>IFERROR(__xludf.DUMMYFUNCTION("GOOGLETRANSLATE(B26653,""en"",""de"")"),"Einige der Tricks sehen so aus, als wären sie sehr extrem.")</f>
        <v>Einige der Tricks sehen so aus, als wären sie sehr extrem.</v>
      </c>
    </row>
    <row r="26654">
      <c r="A26654" s="4" t="s">
        <v>33548</v>
      </c>
      <c r="B26654" s="4" t="s">
        <v>33549</v>
      </c>
      <c r="C26654" s="5" t="str">
        <f>IFERROR(__xludf.DUMMYFUNCTION("GOOGLETRANSLATE(B26654,""en"",""de"")"),"Eine Frau steht hinter einem Bügelbrett, das ein Hemd bügelt, während er ab und zu mit der Kamera spricht.")</f>
        <v>Eine Frau steht hinter einem Bügelbrett, das ein Hemd bügelt, während er ab und zu mit der Kamera spricht.</v>
      </c>
    </row>
    <row r="26655">
      <c r="A26655" s="4" t="s">
        <v>33548</v>
      </c>
      <c r="B26655" s="4" t="s">
        <v>33550</v>
      </c>
      <c r="C26655" s="5" t="str">
        <f>IFERROR(__xludf.DUMMYFUNCTION("GOOGLETRANSLATE(B26655,""en"",""de"")"),"Das bewegt das Hemd rund um den Tisch, der es bügelt und am Ende hält, um vorhanden zu sein.")</f>
        <v>Das bewegt das Hemd rund um den Tisch, der es bügelt und am Ende hält, um vorhanden zu sein.</v>
      </c>
    </row>
    <row r="26656">
      <c r="A26656" s="4" t="s">
        <v>33551</v>
      </c>
      <c r="B26656" s="4" t="s">
        <v>33552</v>
      </c>
      <c r="C26656" s="5" t="str">
        <f>IFERROR(__xludf.DUMMYFUNCTION("GOOGLETRANSLATE(B26656,""en"",""de"")"),"Eine Frau mit langem, schwarzem, lockigem Haar trägt Freizeitkleidung, Reden und hockt auf einem Dach.")</f>
        <v>Eine Frau mit langem, schwarzem, lockigem Haar trägt Freizeitkleidung, Reden und hockt auf einem Dach.</v>
      </c>
    </row>
    <row r="26657">
      <c r="A26657" s="4" t="s">
        <v>33551</v>
      </c>
      <c r="B26657" s="4" t="s">
        <v>33553</v>
      </c>
      <c r="C26657" s="5" t="str">
        <f>IFERROR(__xludf.DUMMYFUNCTION("GOOGLETRANSLATE(B26657,""en"",""de"")"),"Die Frau steht dann auf und geht zu einem Teil des Daches, wo sie einen schwarzen Schindel auf dem Dach hochhebt.")</f>
        <v>Die Frau steht dann auf und geht zu einem Teil des Daches, wo sie einen schwarzen Schindel auf dem Dach hochhebt.</v>
      </c>
    </row>
    <row r="26658">
      <c r="A26658" s="4" t="s">
        <v>33551</v>
      </c>
      <c r="B26658" s="4" t="s">
        <v>33554</v>
      </c>
      <c r="C26658" s="5" t="str">
        <f>IFERROR(__xludf.DUMMYFUNCTION("GOOGLETRANSLATE(B26658,""en"",""de"")"),"Die Frau steht jetzt auf dem Boden vor dem Haus lächelnd und redet.")</f>
        <v>Die Frau steht jetzt auf dem Boden vor dem Haus lächelnd und redet.</v>
      </c>
    </row>
    <row r="26659">
      <c r="A26659" s="4" t="s">
        <v>33551</v>
      </c>
      <c r="B26659" s="4" t="s">
        <v>33555</v>
      </c>
      <c r="C26659" s="5" t="str">
        <f>IFERROR(__xludf.DUMMYFUNCTION("GOOGLETRANSLATE(B26659,""en"",""de"")"),"Ein großer LKW fährt zum Haus und ein Mann beginnt, Schindeln auf das Dach zu entladen.")</f>
        <v>Ein großer LKW fährt zum Haus und ein Mann beginnt, Schindeln auf das Dach zu entladen.</v>
      </c>
    </row>
    <row r="26660">
      <c r="A26660" s="4" t="s">
        <v>33551</v>
      </c>
      <c r="B26660" s="4" t="s">
        <v>33556</v>
      </c>
      <c r="C26660" s="5" t="str">
        <f>IFERROR(__xludf.DUMMYFUNCTION("GOOGLETRANSLATE(B26660,""en"",""de"")"),"Die Frau ist mit einer Schaufel wieder auf dem Dach und schaufelt alle alten Schindeln, dann wirft sie sie in einen großen Müllcontainer.")</f>
        <v>Die Frau ist mit einer Schaufel wieder auf dem Dach und schaufelt alle alten Schindeln, dann wirft sie sie in einen großen Müllcontainer.</v>
      </c>
    </row>
    <row r="26661">
      <c r="A26661" s="4" t="s">
        <v>33551</v>
      </c>
      <c r="B26661" s="4" t="s">
        <v>33557</v>
      </c>
      <c r="C26661" s="5" t="str">
        <f>IFERROR(__xludf.DUMMYFUNCTION("GOOGLETRANSLATE(B26661,""en"",""de"")"),"Männer legen jetzt lange Stücke schwarzer Materialien aus und nageln sie aufs Dach und nageln die Schindeln nach unten.")</f>
        <v>Männer legen jetzt lange Stücke schwarzer Materialien aus und nageln sie aufs Dach und nageln die Schindeln nach unten.</v>
      </c>
    </row>
    <row r="26662">
      <c r="A26662" s="4" t="s">
        <v>33551</v>
      </c>
      <c r="B26662" s="4" t="s">
        <v>33558</v>
      </c>
      <c r="C26662" s="5" t="str">
        <f>IFERROR(__xludf.DUMMYFUNCTION("GOOGLETRANSLATE(B26662,""en"",""de"")"),"Das Dach ist fertig und ein Blick auf das gesamte Haus zeigt das fertige Dach.")</f>
        <v>Das Dach ist fertig und ein Blick auf das gesamte Haus zeigt das fertige Dach.</v>
      </c>
    </row>
    <row r="26663">
      <c r="A26663" s="4" t="s">
        <v>33551</v>
      </c>
      <c r="B26663" s="4" t="s">
        <v>33559</v>
      </c>
      <c r="C26663" s="5" t="str">
        <f>IFERROR(__xludf.DUMMYFUNCTION("GOOGLETRANSLATE(B26663,""en"",""de"")"),"Die Frau steht vor dem Haus und lächelt während des Redens.")</f>
        <v>Die Frau steht vor dem Haus und lächelt während des Redens.</v>
      </c>
    </row>
    <row r="26664">
      <c r="A26664" s="4" t="s">
        <v>33560</v>
      </c>
      <c r="B26664" s="4" t="s">
        <v>33561</v>
      </c>
      <c r="C26664" s="5" t="str">
        <f>IFERROR(__xludf.DUMMYFUNCTION("GOOGLETRANSLATE(B26664,""en"",""de"")"),"Eine Kamera vergrößert zwei Personen, die zusammen in einem Kanu fahren.")</f>
        <v>Eine Kamera vergrößert zwei Personen, die zusammen in einem Kanu fahren.</v>
      </c>
    </row>
    <row r="26665">
      <c r="A26665" s="4" t="s">
        <v>33560</v>
      </c>
      <c r="B26665" s="4" t="s">
        <v>33562</v>
      </c>
      <c r="C26665" s="5" t="str">
        <f>IFERROR(__xludf.DUMMYFUNCTION("GOOGLETRANSLATE(B26665,""en"",""de"")"),"Die Kamera rückt näher ein und fängt die Menschen ein, die weiter den Fluss hinunter paddeln.")</f>
        <v>Die Kamera rückt näher ein und fängt die Menschen ein, die weiter den Fluss hinunter paddeln.</v>
      </c>
    </row>
    <row r="26666">
      <c r="A26666" s="4" t="s">
        <v>33563</v>
      </c>
      <c r="B26666" s="4" t="s">
        <v>33564</v>
      </c>
      <c r="C26666" s="5" t="str">
        <f>IFERROR(__xludf.DUMMYFUNCTION("GOOGLETRANSLATE(B26666,""en"",""de"")"),"Wir sehen einen Mann, der sitzt und eine Trommel hält.")</f>
        <v>Wir sehen einen Mann, der sitzt und eine Trommel hält.</v>
      </c>
    </row>
    <row r="26667">
      <c r="A26667" s="4" t="s">
        <v>33563</v>
      </c>
      <c r="B26667" s="4" t="s">
        <v>33565</v>
      </c>
      <c r="C26667" s="5" t="str">
        <f>IFERROR(__xludf.DUMMYFUNCTION("GOOGLETRANSLATE(B26667,""en"",""de"")"),"Wir sehen dann den Mann auf der Trommel spielen.")</f>
        <v>Wir sehen dann den Mann auf der Trommel spielen.</v>
      </c>
    </row>
    <row r="26668">
      <c r="A26668" s="4" t="s">
        <v>33563</v>
      </c>
      <c r="B26668" s="4" t="s">
        <v>33566</v>
      </c>
      <c r="C26668" s="5" t="str">
        <f>IFERROR(__xludf.DUMMYFUNCTION("GOOGLETRANSLATE(B26668,""en"",""de"")"),"Der Mann trifft eine Trommel von der Kamera.")</f>
        <v>Der Mann trifft eine Trommel von der Kamera.</v>
      </c>
    </row>
    <row r="26669">
      <c r="A26669" s="4" t="s">
        <v>33563</v>
      </c>
      <c r="B26669" s="4" t="s">
        <v>33567</v>
      </c>
      <c r="C26669" s="5" t="str">
        <f>IFERROR(__xludf.DUMMYFUNCTION("GOOGLETRANSLATE(B26669,""en"",""de"")"),"Der Mann schlurft die Hände auf die Trommel.")</f>
        <v>Der Mann schlurft die Hände auf die Trommel.</v>
      </c>
    </row>
    <row r="26670">
      <c r="A26670" s="4" t="s">
        <v>33563</v>
      </c>
      <c r="B26670" s="4" t="s">
        <v>33568</v>
      </c>
      <c r="C26670" s="5" t="str">
        <f>IFERROR(__xludf.DUMMYFUNCTION("GOOGLETRANSLATE(B26670,""en"",""de"")"),"Der Mann hört auf, die Trommeln zu bezahlen.")</f>
        <v>Der Mann hört auf, die Trommeln zu bezahlen.</v>
      </c>
    </row>
    <row r="26671">
      <c r="A26671" s="4" t="s">
        <v>33569</v>
      </c>
      <c r="B26671" s="4" t="s">
        <v>33570</v>
      </c>
      <c r="C26671" s="5" t="str">
        <f>IFERROR(__xludf.DUMMYFUNCTION("GOOGLETRANSLATE(B26671,""en"",""de"")"),"Ein Kind hilft dabei, einen Rasenmäher mit einem Erwachsenen zu schieben, um das Gras zu schneiden.")</f>
        <v>Ein Kind hilft dabei, einen Rasenmäher mit einem Erwachsenen zu schieben, um das Gras zu schneiden.</v>
      </c>
    </row>
    <row r="26672">
      <c r="A26672" s="4" t="s">
        <v>33569</v>
      </c>
      <c r="B26672" s="4" t="s">
        <v>33571</v>
      </c>
      <c r="C26672" s="5" t="str">
        <f>IFERROR(__xludf.DUMMYFUNCTION("GOOGLETRANSLATE(B26672,""en"",""de"")"),"Ein Mann mäht den Rasen eines großen Gartens zusammen mit einem Kind in der Nähe.")</f>
        <v>Ein Mann mäht den Rasen eines großen Gartens zusammen mit einem Kind in der Nähe.</v>
      </c>
    </row>
    <row r="26673">
      <c r="A26673" s="4" t="s">
        <v>33569</v>
      </c>
      <c r="B26673" s="4" t="s">
        <v>33572</v>
      </c>
      <c r="C26673" s="5" t="str">
        <f>IFERROR(__xludf.DUMMYFUNCTION("GOOGLETRANSLATE(B26673,""en"",""de"")"),"Der Mann leert die Sammel -Hopper -Tasche auf dem Rasenmäher aus und leert sie in einen Mülleimer und räderte sie weg.")</f>
        <v>Der Mann leert die Sammel -Hopper -Tasche auf dem Rasenmäher aus und leert sie in einen Mülleimer und räderte sie weg.</v>
      </c>
    </row>
    <row r="26674">
      <c r="A26674" s="4" t="s">
        <v>33569</v>
      </c>
      <c r="B26674" s="4" t="s">
        <v>33573</v>
      </c>
      <c r="C26674" s="5" t="str">
        <f>IFERROR(__xludf.DUMMYFUNCTION("GOOGLETRANSLATE(B26674,""en"",""de"")"),"Das Kind spielt mit dem Rasenmäher, während er ausgeschaltet ist.")</f>
        <v>Das Kind spielt mit dem Rasenmäher, während er ausgeschaltet ist.</v>
      </c>
    </row>
    <row r="26675">
      <c r="A26675" s="4" t="s">
        <v>33574</v>
      </c>
      <c r="B26675" s="4" t="s">
        <v>33575</v>
      </c>
      <c r="C26675" s="5" t="str">
        <f>IFERROR(__xludf.DUMMYFUNCTION("GOOGLETRANSLATE(B26675,""en"",""de"")"),"Eine Person wirft einen Tennisball in die Luft und trifft den Ball.")</f>
        <v>Eine Person wirft einen Tennisball in die Luft und trifft den Ball.</v>
      </c>
    </row>
    <row r="26676">
      <c r="A26676" s="4" t="s">
        <v>33574</v>
      </c>
      <c r="B26676" s="4" t="s">
        <v>33576</v>
      </c>
      <c r="C26676" s="5" t="str">
        <f>IFERROR(__xludf.DUMMYFUNCTION("GOOGLETRANSLATE(B26676,""en"",""de"")"),"Zwei Männer sprechen über diesen Tenniszug und darüber, wie Sie Ihren Schläger richtig halten sollten.")</f>
        <v>Zwei Männer sprechen über diesen Tenniszug und darüber, wie Sie Ihren Schläger richtig halten sollten.</v>
      </c>
    </row>
    <row r="26677">
      <c r="A26677" s="4" t="s">
        <v>33574</v>
      </c>
      <c r="B26677" s="4" t="s">
        <v>33577</v>
      </c>
      <c r="C26677" s="5" t="str">
        <f>IFERROR(__xludf.DUMMYFUNCTION("GOOGLETRANSLATE(B26677,""en"",""de"")"),"Der Mann zeigt, wie man den Ball hochwirft und wie man schwingt.")</f>
        <v>Der Mann zeigt, wie man den Ball hochwirft und wie man schwingt.</v>
      </c>
    </row>
    <row r="26678">
      <c r="A26678" s="4" t="s">
        <v>33574</v>
      </c>
      <c r="B26678" s="4" t="s">
        <v>33578</v>
      </c>
      <c r="C26678" s="5" t="str">
        <f>IFERROR(__xludf.DUMMYFUNCTION("GOOGLETRANSLATE(B26678,""en"",""de"")"),"Der Mann diskutiert weiterhin, wann er den Ball für diesen Schritt schlagen und wie er ihn richtig ausführen kann.")</f>
        <v>Der Mann diskutiert weiterhin, wann er den Ball für diesen Schritt schlagen und wie er ihn richtig ausführen kann.</v>
      </c>
    </row>
    <row r="26679">
      <c r="A26679" s="4" t="s">
        <v>33579</v>
      </c>
      <c r="B26679" s="4" t="s">
        <v>33580</v>
      </c>
      <c r="C26679" s="5" t="str">
        <f>IFERROR(__xludf.DUMMYFUNCTION("GOOGLETRANSLATE(B26679,""en"",""de"")"),"Ein Mann, der ein weißes Zaun -Outfit trägt, geht zu einer Frau in Leder mit zusammengebundenen Händen.")</f>
        <v>Ein Mann, der ein weißes Zaun -Outfit trägt, geht zu einer Frau in Leder mit zusammengebundenen Händen.</v>
      </c>
    </row>
    <row r="26680">
      <c r="A26680" s="4" t="s">
        <v>33579</v>
      </c>
      <c r="B26680" s="4" t="s">
        <v>33581</v>
      </c>
      <c r="C26680" s="5" t="str">
        <f>IFERROR(__xludf.DUMMYFUNCTION("GOOGLETRANSLATE(B26680,""en"",""de"")"),"Er hält ihre Taille und spricht mit ihr, während er die Männer hinter sich beobachtet.")</f>
        <v>Er hält ihre Taille und spricht mit ihr, während er die Männer hinter sich beobachtet.</v>
      </c>
    </row>
    <row r="26681">
      <c r="A26681" s="4" t="s">
        <v>33579</v>
      </c>
      <c r="B26681" s="4" t="s">
        <v>33582</v>
      </c>
      <c r="C26681" s="5" t="str">
        <f>IFERROR(__xludf.DUMMYFUNCTION("GOOGLETRANSLATE(B26681,""en"",""de"")"),"Sie sprechen trotzig mit einem anderen Paar und die Männer bereiten sich auf den Kampf vor.")</f>
        <v>Sie sprechen trotzig mit einem anderen Paar und die Männer bereiten sich auf den Kampf vor.</v>
      </c>
    </row>
    <row r="26682">
      <c r="A26682" s="4" t="s">
        <v>33579</v>
      </c>
      <c r="B26682" s="4" t="s">
        <v>33583</v>
      </c>
      <c r="C26682" s="5" t="str">
        <f>IFERROR(__xludf.DUMMYFUNCTION("GOOGLETRANSLATE(B26682,""en"",""de"")"),"Die Männer zäfen sich zurück und viertens, als der ältere Herr seine Augen drückt und wieder kämpft.")</f>
        <v>Die Männer zäfen sich zurück und viertens, als der ältere Herr seine Augen drückt und wieder kämpft.</v>
      </c>
    </row>
    <row r="26683">
      <c r="A26683" s="4" t="s">
        <v>33579</v>
      </c>
      <c r="B26683" s="4" t="s">
        <v>33584</v>
      </c>
      <c r="C26683" s="5" t="str">
        <f>IFERROR(__xludf.DUMMYFUNCTION("GOOGLETRANSLATE(B26683,""en"",""de"")"),"Die Männer werden aufgeregt und einer lässt mit dem Hemd aus.")</f>
        <v>Die Männer werden aufgeregt und einer lässt mit dem Hemd aus.</v>
      </c>
    </row>
    <row r="26684">
      <c r="A26684" s="4" t="s">
        <v>33585</v>
      </c>
      <c r="B26684" s="4" t="s">
        <v>33586</v>
      </c>
      <c r="C26684" s="5" t="str">
        <f>IFERROR(__xludf.DUMMYFUNCTION("GOOGLETRANSLATE(B26684,""en"",""de"")"),"Ein Mann, der einen Hut trägt, hält einen Tennisschläger und hüpft einen Ball auf und ab.")</f>
        <v>Ein Mann, der einen Hut trägt, hält einen Tennisschläger und hüpft einen Ball auf und ab.</v>
      </c>
    </row>
    <row r="26685">
      <c r="A26685" s="4" t="s">
        <v>33585</v>
      </c>
      <c r="B26685" s="4" t="s">
        <v>33587</v>
      </c>
      <c r="C26685" s="5" t="str">
        <f>IFERROR(__xludf.DUMMYFUNCTION("GOOGLETRANSLATE(B26685,""en"",""de"")"),"Der Mann dient dann den Ball und führt in ein Tennisspiel zwischen vier Personen.")</f>
        <v>Der Mann dient dann den Ball und führt in ein Tennisspiel zwischen vier Personen.</v>
      </c>
    </row>
    <row r="26686">
      <c r="A26686" s="4" t="s">
        <v>33585</v>
      </c>
      <c r="B26686" s="4" t="s">
        <v>33588</v>
      </c>
      <c r="C26686" s="5" t="str">
        <f>IFERROR(__xludf.DUMMYFUNCTION("GOOGLETRANSLATE(B26686,""en"",""de"")"),"Der Ansager lacht, als die anderen Teamkollegen miteinander sprechen und seinen Treffer in Zeitlupe erneut zeigen.")</f>
        <v>Der Ansager lacht, als die anderen Teamkollegen miteinander sprechen und seinen Treffer in Zeitlupe erneut zeigen.</v>
      </c>
    </row>
    <row r="26687">
      <c r="A26687" s="4" t="s">
        <v>33589</v>
      </c>
      <c r="B26687" s="4" t="s">
        <v>33590</v>
      </c>
      <c r="C26687" s="5" t="str">
        <f>IFERROR(__xludf.DUMMYFUNCTION("GOOGLETRANSLATE(B26687,""en"",""de"")"),"Ein grünes und gelbes Team Hockey -Team ist abgebildet und es wird auf einer Karte der Ort angezeigt.")</f>
        <v>Ein grünes und gelbes Team Hockey -Team ist abgebildet und es wird auf einer Karte der Ort angezeigt.</v>
      </c>
    </row>
    <row r="26688">
      <c r="A26688" s="4" t="s">
        <v>33589</v>
      </c>
      <c r="B26688" s="4" t="s">
        <v>33591</v>
      </c>
      <c r="C26688" s="5" t="str">
        <f>IFERROR(__xludf.DUMMYFUNCTION("GOOGLETRANSLATE(B26688,""en"",""de"")"),"Das Video kehrt dann wieder zum Spiel zurück und zeigt den Veranstaltungsort, in dem die Teams spielen.")</f>
        <v>Das Video kehrt dann wieder zum Spiel zurück und zeigt den Veranstaltungsort, in dem die Teams spielen.</v>
      </c>
    </row>
    <row r="26689">
      <c r="A26689" s="4" t="s">
        <v>33589</v>
      </c>
      <c r="B26689" s="4" t="s">
        <v>33592</v>
      </c>
      <c r="C26689" s="5" t="str">
        <f>IFERROR(__xludf.DUMMYFUNCTION("GOOGLETRANSLATE(B26689,""en"",""de"")"),"Danach werden mehrere Spieler gezeigt, die um die Eisbahn fahren, und dann wird ein kaukasischer Mann in einem schwarzen Polo mit der Kamera gesprochen.")</f>
        <v>Danach werden mehrere Spieler gezeigt, die um die Eisbahn fahren, und dann wird ein kaukasischer Mann in einem schwarzen Polo mit der Kamera gesprochen.</v>
      </c>
    </row>
    <row r="26690">
      <c r="A26690" s="4" t="s">
        <v>33589</v>
      </c>
      <c r="B26690" s="4" t="s">
        <v>33593</v>
      </c>
      <c r="C26690" s="5" t="str">
        <f>IFERROR(__xludf.DUMMYFUNCTION("GOOGLETRANSLATE(B26690,""en"",""de"")"),"Sobald die Bank fertig ist, wird die Bank geplant und das Spiel beginnt damit, dass der Schiedsrichter zwischen den beiden Teams steht und sie spielen.")</f>
        <v>Sobald die Bank fertig ist, wird die Bank geplant und das Spiel beginnt damit, dass der Schiedsrichter zwischen den beiden Teams steht und sie spielen.</v>
      </c>
    </row>
    <row r="26691">
      <c r="A26691" s="4" t="s">
        <v>33589</v>
      </c>
      <c r="B26691" s="4" t="s">
        <v>33594</v>
      </c>
      <c r="C26691" s="5" t="str">
        <f>IFERROR(__xludf.DUMMYFUNCTION("GOOGLETRANSLATE(B26691,""en"",""de"")"),"Während sie weitergehen, ist der kahle Mann Shows und redet weiter und sie blinken weiter zwischen ihm, den Spielern und den Spielen.")</f>
        <v>Während sie weitergehen, ist der kahle Mann Shows und redet weiter und sie blinken weiter zwischen ihm, den Spielern und den Spielen.</v>
      </c>
    </row>
    <row r="26692">
      <c r="A26692" s="4" t="s">
        <v>33595</v>
      </c>
      <c r="B26692" s="4" t="s">
        <v>33596</v>
      </c>
      <c r="C26692" s="5" t="str">
        <f>IFERROR(__xludf.DUMMYFUNCTION("GOOGLETRANSLATE(B26692,""en"",""de"")"),"Verschiedene Athleten stehen zusammen mitten in einem großen Stadion und führen zu einer Frau, die einen Schuss wirft und dann weggeht.")</f>
        <v>Verschiedene Athleten stehen zusammen mitten in einem großen Stadion und führen zu einer Frau, die einen Schuss wirft und dann weggeht.</v>
      </c>
    </row>
    <row r="26693">
      <c r="A26693" s="4" t="s">
        <v>33595</v>
      </c>
      <c r="B26693" s="4" t="s">
        <v>33597</v>
      </c>
      <c r="C26693" s="5" t="str">
        <f>IFERROR(__xludf.DUMMYFUNCTION("GOOGLETRANSLATE(B26693,""en"",""de"")"),"Mehrere weitere Menschen sind gesehen, wie sie mit einer Frau mit der amerikanischen Flagge auf ein Podium stehen und mit anderen auf einem Podium stehen.")</f>
        <v>Mehrere weitere Menschen sind gesehen, wie sie mit einer Frau mit der amerikanischen Flagge auf ein Podium stehen und mit anderen auf einem Podium stehen.</v>
      </c>
    </row>
    <row r="26694">
      <c r="A26694" s="4" t="s">
        <v>33598</v>
      </c>
      <c r="B26694" s="4" t="s">
        <v>33599</v>
      </c>
      <c r="C26694" s="5" t="str">
        <f>IFERROR(__xludf.DUMMYFUNCTION("GOOGLETRANSLATE(B26694,""en"",""de"")"),"Die Kamera vergrößert einen Koch, der sich in einer Pfanne um einen Spatel dreht und mehr Zutaten in die Pfanne gibt.")</f>
        <v>Die Kamera vergrößert einen Koch, der sich in einer Pfanne um einen Spatel dreht und mehr Zutaten in die Pfanne gibt.</v>
      </c>
    </row>
    <row r="26695">
      <c r="A26695" s="4" t="s">
        <v>33598</v>
      </c>
      <c r="B26695" s="4" t="s">
        <v>33600</v>
      </c>
      <c r="C26695" s="5" t="str">
        <f>IFERROR(__xludf.DUMMYFUNCTION("GOOGLETRANSLATE(B26695,""en"",""de"")"),"Er rührt sich um die Mischung und drückt sie zur Seite, während er den Spatel nach unten legt.")</f>
        <v>Er rührt sich um die Mischung und drückt sie zur Seite, während er den Spatel nach unten legt.</v>
      </c>
    </row>
    <row r="26696">
      <c r="A26696" s="4" t="s">
        <v>33601</v>
      </c>
      <c r="B26696" s="4" t="s">
        <v>33602</v>
      </c>
      <c r="C26696" s="5" t="str">
        <f>IFERROR(__xludf.DUMMYFUNCTION("GOOGLETRANSLATE(B26696,""en"",""de"")"),"Zwei Drähte werden überlegt und Tisch, wobei eine Person eine Schachtel darüber legt.")</f>
        <v>Zwei Drähte werden überlegt und Tisch, wobei eine Person eine Schachtel darüber legt.</v>
      </c>
    </row>
    <row r="26697">
      <c r="A26697" s="4" t="s">
        <v>33601</v>
      </c>
      <c r="B26697" s="4" t="s">
        <v>33603</v>
      </c>
      <c r="C26697" s="5" t="str">
        <f>IFERROR(__xludf.DUMMYFUNCTION("GOOGLETRANSLATE(B26697,""en"",""de"")"),"Die Person schließt die Schachtel mit Drähten und bindet einen Bogen darüber.")</f>
        <v>Die Person schließt die Schachtel mit Drähten und bindet einen Bogen darüber.</v>
      </c>
    </row>
    <row r="26698">
      <c r="A26698" s="4" t="s">
        <v>33601</v>
      </c>
      <c r="B26698" s="4" t="s">
        <v>33604</v>
      </c>
      <c r="C26698" s="5" t="str">
        <f>IFERROR(__xludf.DUMMYFUNCTION("GOOGLETRANSLATE(B26698,""en"",""de"")"),"Die Person bindet einen Süßigkeitsrohr mit der Box und zeigt ihn an die Kamera.")</f>
        <v>Die Person bindet einen Süßigkeitsrohr mit der Box und zeigt ihn an die Kamera.</v>
      </c>
    </row>
    <row r="26699">
      <c r="A26699" s="4" t="s">
        <v>33605</v>
      </c>
      <c r="B26699" s="4" t="s">
        <v>33606</v>
      </c>
      <c r="C26699" s="5" t="str">
        <f>IFERROR(__xludf.DUMMYFUNCTION("GOOGLETRANSLATE(B26699,""en"",""de"")"),"Ein Mann hält am Ende einen Kraftbohrer mit einer Kartoffel und die Leute, die sich um ihn herum schälten.")</f>
        <v>Ein Mann hält am Ende einen Kraftbohrer mit einer Kartoffel und die Leute, die sich um ihn herum schälten.</v>
      </c>
    </row>
    <row r="26700">
      <c r="A26700" s="4" t="s">
        <v>33605</v>
      </c>
      <c r="B26700" s="4" t="s">
        <v>33607</v>
      </c>
      <c r="C26700" s="5" t="str">
        <f>IFERROR(__xludf.DUMMYFUNCTION("GOOGLETRANSLATE(B26700,""en"",""de"")"),"Der Mann schaltet den Bohrer ein und schält die Kartoffel mit einer anderen Person, die auf der Seite zeigt.")</f>
        <v>Der Mann schaltet den Bohrer ein und schält die Kartoffel mit einer anderen Person, die auf der Seite zeigt.</v>
      </c>
    </row>
    <row r="26701">
      <c r="A26701" s="4" t="s">
        <v>33608</v>
      </c>
      <c r="B26701" s="4" t="s">
        <v>33609</v>
      </c>
      <c r="C26701" s="5" t="str">
        <f>IFERROR(__xludf.DUMMYFUNCTION("GOOGLETRANSLATE(B26701,""en"",""de"")"),"Zwei Männer sehen sich gegenseitig die Arme und führen in die Männer, die ein Arm -Wrestling -Match ausführen.")</f>
        <v>Zwei Männer sehen sich gegenseitig die Arme und führen in die Männer, die ein Arm -Wrestling -Match ausführen.</v>
      </c>
    </row>
    <row r="26702">
      <c r="A26702" s="4" t="s">
        <v>33608</v>
      </c>
      <c r="B26702" s="4" t="s">
        <v>33610</v>
      </c>
      <c r="C26702" s="5" t="str">
        <f>IFERROR(__xludf.DUMMYFUNCTION("GOOGLETRANSLATE(B26702,""en"",""de"")"),"Ein Mann raucht eine Zigarette, während sie weiter spielen, und dieser Mann windet sich, während er seine Arme hochhält.")</f>
        <v>Ein Mann raucht eine Zigarette, während sie weiter spielen, und dieser Mann windet sich, während er seine Arme hochhält.</v>
      </c>
    </row>
    <row r="26703">
      <c r="A26703" s="4" t="s">
        <v>33611</v>
      </c>
      <c r="B26703" s="4" t="s">
        <v>33612</v>
      </c>
      <c r="C26703" s="5" t="str">
        <f>IFERROR(__xludf.DUMMYFUNCTION("GOOGLETRANSLATE(B26703,""en"",""de"")"),"Ein Mann wird mit einer großen Stange gesehen.")</f>
        <v>Ein Mann wird mit einer großen Stange gesehen.</v>
      </c>
    </row>
    <row r="26704">
      <c r="A26704" s="4" t="s">
        <v>33611</v>
      </c>
      <c r="B26704" s="4" t="s">
        <v>33613</v>
      </c>
      <c r="C26704" s="5" t="str">
        <f>IFERROR(__xludf.DUMMYFUNCTION("GOOGLETRANSLATE(B26704,""en"",""de"")"),"Eine große Menge befindet sich im Hintergrund.")</f>
        <v>Eine große Menge befindet sich im Hintergrund.</v>
      </c>
    </row>
    <row r="26705">
      <c r="A26705" s="4" t="s">
        <v>33611</v>
      </c>
      <c r="B26705" s="4" t="s">
        <v>33614</v>
      </c>
      <c r="C26705" s="5" t="str">
        <f>IFERROR(__xludf.DUMMYFUNCTION("GOOGLETRANSLATE(B26705,""en"",""de"")"),"Der Mann mit der Stange läuft und wirft es und schlägt dann auf den Boden.")</f>
        <v>Der Mann mit der Stange läuft und wirft es und schlägt dann auf den Boden.</v>
      </c>
    </row>
    <row r="26706">
      <c r="A26706" s="4" t="s">
        <v>33611</v>
      </c>
      <c r="B26706" s="4" t="s">
        <v>33615</v>
      </c>
      <c r="C26706" s="5" t="str">
        <f>IFERROR(__xludf.DUMMYFUNCTION("GOOGLETRANSLATE(B26706,""en"",""de"")"),"Die Pole fliegt durch die Luft und landet kurz hinter der Nummer 85 auf einem Feld.")</f>
        <v>Die Pole fliegt durch die Luft und landet kurz hinter der Nummer 85 auf einem Feld.</v>
      </c>
    </row>
    <row r="26707">
      <c r="A26707" s="4" t="s">
        <v>33611</v>
      </c>
      <c r="B26707" s="4" t="s">
        <v>33616</v>
      </c>
      <c r="C26707" s="5" t="str">
        <f>IFERROR(__xludf.DUMMYFUNCTION("GOOGLETRANSLATE(B26707,""en"",""de"")"),"Mehrere Mann rennen zum Pol.")</f>
        <v>Mehrere Mann rennen zum Pol.</v>
      </c>
    </row>
    <row r="26708">
      <c r="A26708" s="4" t="s">
        <v>33611</v>
      </c>
      <c r="B26708" s="4" t="s">
        <v>33617</v>
      </c>
      <c r="C26708" s="5" t="str">
        <f>IFERROR(__xludf.DUMMYFUNCTION("GOOGLETRANSLATE(B26708,""en"",""de"")"),"Männer werden auf dem Tribtern gesehen.")</f>
        <v>Männer werden auf dem Tribtern gesehen.</v>
      </c>
    </row>
    <row r="26709">
      <c r="A26709" s="4" t="s">
        <v>33611</v>
      </c>
      <c r="B26709" s="4" t="s">
        <v>33618</v>
      </c>
      <c r="C26709" s="5" t="str">
        <f>IFERROR(__xludf.DUMMYFUNCTION("GOOGLETRANSLATE(B26709,""en"",""de"")"),"Der Mann, der die Stange geworfen hat, zeigt eine Jacke an.")</f>
        <v>Der Mann, der die Stange geworfen hat, zeigt eine Jacke an.</v>
      </c>
    </row>
    <row r="26710">
      <c r="A26710" s="4" t="s">
        <v>33611</v>
      </c>
      <c r="B26710" s="4" t="s">
        <v>33619</v>
      </c>
      <c r="C26710" s="5" t="str">
        <f>IFERROR(__xludf.DUMMYFUNCTION("GOOGLETRANSLATE(B26710,""en"",""de"")"),"Viele Menschen gehen herum und sitzen auf dem Feld.")</f>
        <v>Viele Menschen gehen herum und sitzen auf dem Feld.</v>
      </c>
    </row>
    <row r="26711">
      <c r="A26711" s="4" t="s">
        <v>33611</v>
      </c>
      <c r="B26711" s="4" t="s">
        <v>33620</v>
      </c>
      <c r="C26711" s="5" t="str">
        <f>IFERROR(__xludf.DUMMYFUNCTION("GOOGLETRANSLATE(B26711,""en"",""de"")"),"Der Mann wirft wieder die Stange.")</f>
        <v>Der Mann wirft wieder die Stange.</v>
      </c>
    </row>
    <row r="26712">
      <c r="A26712" s="4" t="s">
        <v>33621</v>
      </c>
      <c r="B26712" s="4" t="s">
        <v>33622</v>
      </c>
      <c r="C26712" s="5" t="str">
        <f>IFERROR(__xludf.DUMMYFUNCTION("GOOGLETRANSLATE(B26712,""en"",""de"")"),"Eine Nahaufnahme einer Maschine wird Druckpapier gezeigt und führt zu Menschen, die auf dem Bild arbeiten.")</f>
        <v>Eine Nahaufnahme einer Maschine wird Druckpapier gezeigt und führt zu Menschen, die auf dem Bild arbeiten.</v>
      </c>
    </row>
    <row r="26713">
      <c r="A26713" s="4" t="s">
        <v>33621</v>
      </c>
      <c r="B26713" s="4" t="s">
        <v>33623</v>
      </c>
      <c r="C26713" s="5" t="str">
        <f>IFERROR(__xludf.DUMMYFUNCTION("GOOGLETRANSLATE(B26713,""en"",""de"")"),"Die Leute arbeiten weiter mit der Maschine, die Papier durchlegt und misst und auf einen Tisch legt.")</f>
        <v>Die Leute arbeiten weiter mit der Maschine, die Papier durchlegt und misst und auf einen Tisch legt.</v>
      </c>
    </row>
    <row r="26714">
      <c r="A26714" s="4" t="s">
        <v>33621</v>
      </c>
      <c r="B26714" s="4" t="s">
        <v>33624</v>
      </c>
      <c r="C26714" s="5" t="str">
        <f>IFERROR(__xludf.DUMMYFUNCTION("GOOGLETRANSLATE(B26714,""en"",""de"")"),"Die Menschen werden dann gesehen, wie sie das Papier an eine Wand hängen und es am Ende präsentieren.")</f>
        <v>Die Menschen werden dann gesehen, wie sie das Papier an eine Wand hängen und es am Ende präsentieren.</v>
      </c>
    </row>
    <row r="26715">
      <c r="A26715" s="4" t="s">
        <v>33625</v>
      </c>
      <c r="B26715" s="4" t="s">
        <v>33626</v>
      </c>
      <c r="C26715" s="5" t="str">
        <f>IFERROR(__xludf.DUMMYFUNCTION("GOOGLETRANSLATE(B26715,""en"",""de"")"),"Die Stoßfängerauto -Fahrt ist voller Menschen, bereits stürzen viele ab.")</f>
        <v>Die Stoßfängerauto -Fahrt ist voller Menschen, bereits stürzen viele ab.</v>
      </c>
    </row>
    <row r="26716">
      <c r="A26716" s="4" t="s">
        <v>33625</v>
      </c>
      <c r="B26716" s="4" t="s">
        <v>33627</v>
      </c>
      <c r="C26716" s="5" t="str">
        <f>IFERROR(__xludf.DUMMYFUNCTION("GOOGLETRANSLATE(B26716,""en"",""de"")"),"Ein Mann blitzt das Friedensschild in die Kamera und hat eine gute Zeit.")</f>
        <v>Ein Mann blitzt das Friedensschild in die Kamera und hat eine gute Zeit.</v>
      </c>
    </row>
    <row r="26717">
      <c r="A26717" s="4" t="s">
        <v>33625</v>
      </c>
      <c r="B26717" s="4" t="s">
        <v>33628</v>
      </c>
      <c r="C26717" s="5" t="str">
        <f>IFERROR(__xludf.DUMMYFUNCTION("GOOGLETRANSLATE(B26717,""en"",""de"")"),"Car 9 hat endlich in Gang gekommen, aber er stürzt nach links und rechts ab.")</f>
        <v>Car 9 hat endlich in Gang gekommen, aber er stürzt nach links und rechts ab.</v>
      </c>
    </row>
    <row r="26718">
      <c r="A26718" s="4" t="s">
        <v>33625</v>
      </c>
      <c r="B26718" s="4" t="s">
        <v>33629</v>
      </c>
      <c r="C26718" s="5" t="str">
        <f>IFERROR(__xludf.DUMMYFUNCTION("GOOGLETRANSLATE(B26718,""en"",""de"")"),"Ein Mann kehrt in ein anderes Auto hinter sich zurück.")</f>
        <v>Ein Mann kehrt in ein anderes Auto hinter sich zurück.</v>
      </c>
    </row>
    <row r="26719">
      <c r="A26719" s="4" t="s">
        <v>33625</v>
      </c>
      <c r="B26719" s="4" t="s">
        <v>33630</v>
      </c>
      <c r="C26719" s="5" t="str">
        <f>IFERROR(__xludf.DUMMYFUNCTION("GOOGLETRANSLATE(B26719,""en"",""de"")"),"In der Mitte der Strecke tritt ein großer Haufen auf.")</f>
        <v>In der Mitte der Strecke tritt ein großer Haufen auf.</v>
      </c>
    </row>
    <row r="26720">
      <c r="A26720" s="4" t="s">
        <v>33631</v>
      </c>
      <c r="B26720" s="4" t="s">
        <v>33632</v>
      </c>
      <c r="C26720" s="5" t="str">
        <f>IFERROR(__xludf.DUMMYFUNCTION("GOOGLETRANSLATE(B26720,""en"",""de"")"),"Ein Mann sitzt hinter einem Drum -Set, der am Schlagzeug spielt.")</f>
        <v>Ein Mann sitzt hinter einem Drum -Set, der am Schlagzeug spielt.</v>
      </c>
    </row>
    <row r="26721">
      <c r="A26721" s="4" t="s">
        <v>33631</v>
      </c>
      <c r="B26721" s="4" t="s">
        <v>33633</v>
      </c>
      <c r="C26721" s="5" t="str">
        <f>IFERROR(__xludf.DUMMYFUNCTION("GOOGLETRANSLATE(B26721,""en"",""de"")"),"Die Kamera schwenkt rund um seine Bewegungen, während er mit der Kamera spricht.")</f>
        <v>Die Kamera schwenkt rund um seine Bewegungen, während er mit der Kamera spricht.</v>
      </c>
    </row>
    <row r="26722">
      <c r="A26722" s="4" t="s">
        <v>33631</v>
      </c>
      <c r="B26722" s="4" t="s">
        <v>33634</v>
      </c>
      <c r="C26722" s="5" t="str">
        <f>IFERROR(__xludf.DUMMYFUNCTION("GOOGLETRANSLATE(B26722,""en"",""de"")"),"Es werden mehr Schüsse gezeigt, wie er spielt und singt und andere Leute, die Instrumente um ihn herum spielen.")</f>
        <v>Es werden mehr Schüsse gezeigt, wie er spielt und singt und andere Leute, die Instrumente um ihn herum spielen.</v>
      </c>
    </row>
    <row r="26723">
      <c r="A26723" s="4" t="s">
        <v>33635</v>
      </c>
      <c r="B26723" s="4" t="s">
        <v>33636</v>
      </c>
      <c r="C26723" s="5" t="str">
        <f>IFERROR(__xludf.DUMMYFUNCTION("GOOGLETRANSLATE(B26723,""en"",""de"")"),"Ein Junge bereitet sich auf einen Hochsprung in einem Fitnessstudio vor.")</f>
        <v>Ein Junge bereitet sich auf einen Hochsprung in einem Fitnessstudio vor.</v>
      </c>
    </row>
    <row r="26724">
      <c r="A26724" s="4" t="s">
        <v>33635</v>
      </c>
      <c r="B26724" s="4" t="s">
        <v>33637</v>
      </c>
      <c r="C26724" s="5" t="str">
        <f>IFERROR(__xludf.DUMMYFUNCTION("GOOGLETRANSLATE(B26724,""en"",""de"")"),"Er rennt mit dem Hochsprungstock.")</f>
        <v>Er rennt mit dem Hochsprungstock.</v>
      </c>
    </row>
    <row r="26725">
      <c r="A26725" s="4" t="s">
        <v>33635</v>
      </c>
      <c r="B26725" s="4" t="s">
        <v>33638</v>
      </c>
      <c r="C26725" s="5" t="str">
        <f>IFERROR(__xludf.DUMMYFUNCTION("GOOGLETRANSLATE(B26725,""en"",""de"")"),"Er macht den Sprung und landet auf den Sicherheitslagen.")</f>
        <v>Er macht den Sprung und landet auf den Sicherheitslagen.</v>
      </c>
    </row>
    <row r="26726">
      <c r="A26726" s="4" t="s">
        <v>33639</v>
      </c>
      <c r="B26726" s="4" t="s">
        <v>33640</v>
      </c>
      <c r="C26726" s="5" t="str">
        <f>IFERROR(__xludf.DUMMYFUNCTION("GOOGLETRANSLATE(B26726,""en"",""de"")"),"Die Hände einer Person mit Nägeln werden gefolgt von zwei Frauen gezeigt, die mit der Kamera sprechen.")</f>
        <v>Die Hände einer Person mit Nägeln werden gefolgt von zwei Frauen gezeigt, die mit der Kamera sprechen.</v>
      </c>
    </row>
    <row r="26727">
      <c r="A26727" s="4" t="s">
        <v>33639</v>
      </c>
      <c r="B26727" s="4" t="s">
        <v>33641</v>
      </c>
      <c r="C26727" s="5" t="str">
        <f>IFERROR(__xludf.DUMMYFUNCTION("GOOGLETRANSLATE(B26727,""en"",""de"")"),"Es werden mehrere Objekte auf Papier angezeigt, während die Frauen weiter sprechen und man beginnt, Designs auf den Nägeln zu machen.")</f>
        <v>Es werden mehrere Objekte auf Papier angezeigt, während die Frauen weiter sprechen und man beginnt, Designs auf den Nägeln zu machen.</v>
      </c>
    </row>
    <row r="26728">
      <c r="A26728" s="4" t="s">
        <v>33642</v>
      </c>
      <c r="B26728" s="4" t="s">
        <v>6958</v>
      </c>
      <c r="C26728" s="5" t="str">
        <f>IFERROR(__xludf.DUMMYFUNCTION("GOOGLETRANSLATE(B26728,""en"",""de"")"),"Wir sehen einen weißen Öffnungsbildschirm.")</f>
        <v>Wir sehen einen weißen Öffnungsbildschirm.</v>
      </c>
    </row>
    <row r="26729">
      <c r="A26729" s="4" t="s">
        <v>33642</v>
      </c>
      <c r="B26729" s="4" t="s">
        <v>33643</v>
      </c>
      <c r="C26729" s="5" t="str">
        <f>IFERROR(__xludf.DUMMYFUNCTION("GOOGLETRANSLATE(B26729,""en"",""de"")"),"Wir sehen dann einen Mann, der etwas in einer Plastiktüte hält.")</f>
        <v>Wir sehen dann einen Mann, der etwas in einer Plastiktüte hält.</v>
      </c>
    </row>
    <row r="26730">
      <c r="A26730" s="4" t="s">
        <v>33642</v>
      </c>
      <c r="B26730" s="4" t="s">
        <v>33644</v>
      </c>
      <c r="C26730" s="5" t="str">
        <f>IFERROR(__xludf.DUMMYFUNCTION("GOOGLETRANSLATE(B26730,""en"",""de"")"),"Eine Frau schließt sich dem Mann an.")</f>
        <v>Eine Frau schließt sich dem Mann an.</v>
      </c>
    </row>
    <row r="26731">
      <c r="A26731" s="4" t="s">
        <v>33642</v>
      </c>
      <c r="B26731" s="4" t="s">
        <v>33645</v>
      </c>
      <c r="C26731" s="5" t="str">
        <f>IFERROR(__xludf.DUMMYFUNCTION("GOOGLETRANSLATE(B26731,""en"",""de"")"),"Der Mann öffnet die Plastiktüte.")</f>
        <v>Der Mann öffnet die Plastiktüte.</v>
      </c>
    </row>
    <row r="26732">
      <c r="A26732" s="4" t="s">
        <v>33642</v>
      </c>
      <c r="B26732" s="4" t="s">
        <v>33646</v>
      </c>
      <c r="C26732" s="5" t="str">
        <f>IFERROR(__xludf.DUMMYFUNCTION("GOOGLETRANSLATE(B26732,""en"",""de"")"),"Das Geschenk der Dame wickelt die Schachtel für den Mann.")</f>
        <v>Das Geschenk der Dame wickelt die Schachtel für den Mann.</v>
      </c>
    </row>
    <row r="26733">
      <c r="A26733" s="4" t="s">
        <v>33642</v>
      </c>
      <c r="B26733" s="4" t="s">
        <v>33647</v>
      </c>
      <c r="C26733" s="5" t="str">
        <f>IFERROR(__xludf.DUMMYFUNCTION("GOOGLETRANSLATE(B26733,""en"",""de"")"),"Der Mann schießt auf die Geschenkverpackung.")</f>
        <v>Der Mann schießt auf die Geschenkverpackung.</v>
      </c>
    </row>
    <row r="26734">
      <c r="A26734" s="4" t="s">
        <v>33642</v>
      </c>
      <c r="B26734" s="4" t="s">
        <v>33648</v>
      </c>
      <c r="C26734" s="5" t="str">
        <f>IFERROR(__xludf.DUMMYFUNCTION("GOOGLETRANSLATE(B26734,""en"",""de"")"),"Die Dame beendet das Geschenk.")</f>
        <v>Die Dame beendet das Geschenk.</v>
      </c>
    </row>
    <row r="26735">
      <c r="A26735" s="4" t="s">
        <v>33642</v>
      </c>
      <c r="B26735" s="4" t="s">
        <v>33649</v>
      </c>
      <c r="C26735" s="5" t="str">
        <f>IFERROR(__xludf.DUMMYFUNCTION("GOOGLETRANSLATE(B26735,""en"",""de"")"),"Der Mann faltet eine Kante und die Lady klappt ihn.")</f>
        <v>Der Mann faltet eine Kante und die Lady klappt ihn.</v>
      </c>
    </row>
    <row r="26736">
      <c r="A26736" s="4" t="s">
        <v>33642</v>
      </c>
      <c r="B26736" s="4" t="s">
        <v>33650</v>
      </c>
      <c r="C26736" s="5" t="str">
        <f>IFERROR(__xludf.DUMMYFUNCTION("GOOGLETRANSLATE(B26736,""en"",""de"")"),"Der Mann präsentiert die Box der Kamera und spricht.")</f>
        <v>Der Mann präsentiert die Box der Kamera und spricht.</v>
      </c>
    </row>
    <row r="26737">
      <c r="A26737" s="4" t="s">
        <v>33642</v>
      </c>
      <c r="B26737" s="4" t="s">
        <v>33651</v>
      </c>
      <c r="C26737" s="5" t="str">
        <f>IFERROR(__xludf.DUMMYFUNCTION("GOOGLETRANSLATE(B26737,""en"",""de"")"),"Der Schlussbildschirm wird dann gesehen und wird schwarz.")</f>
        <v>Der Schlussbildschirm wird dann gesehen und wird schwarz.</v>
      </c>
    </row>
    <row r="26738">
      <c r="A26738" s="4" t="s">
        <v>33652</v>
      </c>
      <c r="B26738" s="4" t="s">
        <v>4448</v>
      </c>
      <c r="C26738" s="5" t="str">
        <f>IFERROR(__xludf.DUMMYFUNCTION("GOOGLETRANSLATE(B26738,""en"",""de"")"),"Wir sehen den Öffnungsbildschirm.")</f>
        <v>Wir sehen den Öffnungsbildschirm.</v>
      </c>
    </row>
    <row r="26739">
      <c r="A26739" s="4" t="s">
        <v>33652</v>
      </c>
      <c r="B26739" s="4" t="s">
        <v>33653</v>
      </c>
      <c r="C26739" s="5" t="str">
        <f>IFERROR(__xludf.DUMMYFUNCTION("GOOGLETRANSLATE(B26739,""en"",""de"")"),"Wir sehen einen Mann, der an einem Gerät arbeitet.")</f>
        <v>Wir sehen einen Mann, der an einem Gerät arbeitet.</v>
      </c>
    </row>
    <row r="26740">
      <c r="A26740" s="4" t="s">
        <v>33652</v>
      </c>
      <c r="B26740" s="4" t="s">
        <v>33654</v>
      </c>
      <c r="C26740" s="5" t="str">
        <f>IFERROR(__xludf.DUMMYFUNCTION("GOOGLETRANSLATE(B26740,""en"",""de"")"),"Der Mann erwärmt die Kessel und kratzt ihn ab.")</f>
        <v>Der Mann erwärmt die Kessel und kratzt ihn ab.</v>
      </c>
    </row>
    <row r="26741">
      <c r="A26741" s="4" t="s">
        <v>33652</v>
      </c>
      <c r="B26741" s="4" t="s">
        <v>33655</v>
      </c>
      <c r="C26741" s="5" t="str">
        <f>IFERROR(__xludf.DUMMYFUNCTION("GOOGLETRANSLATE(B26741,""en"",""de"")"),"Der Bildschirm blinkt und der Mann legt neue Kessel auf.")</f>
        <v>Der Bildschirm blinkt und der Mann legt neue Kessel auf.</v>
      </c>
    </row>
    <row r="26742">
      <c r="A26742" s="4" t="s">
        <v>33652</v>
      </c>
      <c r="B26742" s="4" t="s">
        <v>33656</v>
      </c>
      <c r="C26742" s="5" t="str">
        <f>IFERROR(__xludf.DUMMYFUNCTION("GOOGLETRANSLATE(B26742,""en"",""de"")"),"Der Mann hält an und zeigt auf die Kessel. Die Endszene ist zu sehen.")</f>
        <v>Der Mann hält an und zeigt auf die Kessel. Die Endszene ist zu sehen.</v>
      </c>
    </row>
    <row r="26743">
      <c r="A26743" s="4" t="s">
        <v>33657</v>
      </c>
      <c r="B26743" s="4" t="s">
        <v>33658</v>
      </c>
      <c r="C26743" s="5" t="str">
        <f>IFERROR(__xludf.DUMMYFUNCTION("GOOGLETRANSLATE(B26743,""en"",""de"")"),"Der Mann trägt einen schwarzen Kimono- und Isdo -Yoga -Bewegungen.")</f>
        <v>Der Mann trägt einen schwarzen Kimono- und Isdo -Yoga -Bewegungen.</v>
      </c>
    </row>
    <row r="26744">
      <c r="A26744" s="4" t="s">
        <v>33657</v>
      </c>
      <c r="B26744" s="4" t="s">
        <v>33659</v>
      </c>
      <c r="C26744" s="5" t="str">
        <f>IFERROR(__xludf.DUMMYFUNCTION("GOOGLETRANSLATE(B26744,""en"",""de"")"),"Der Mensch steht in einem großen grünen Grasfeld.")</f>
        <v>Der Mensch steht in einem großen grünen Grasfeld.</v>
      </c>
    </row>
    <row r="26745">
      <c r="A26745" s="4" t="s">
        <v>33657</v>
      </c>
      <c r="B26745" s="4" t="s">
        <v>33660</v>
      </c>
      <c r="C26745" s="5" t="str">
        <f>IFERROR(__xludf.DUMMYFUNCTION("GOOGLETRANSLATE(B26745,""en"",""de"")"),"Der Mensch wandelt langsam Boxbewegungen.")</f>
        <v>Der Mensch wandelt langsam Boxbewegungen.</v>
      </c>
    </row>
    <row r="26746">
      <c r="A26746" s="4" t="s">
        <v>33661</v>
      </c>
      <c r="B26746" s="4" t="s">
        <v>33662</v>
      </c>
      <c r="C26746" s="5" t="str">
        <f>IFERROR(__xludf.DUMMYFUNCTION("GOOGLETRANSLATE(B26746,""en"",""de"")"),"Eine Frau und ein Mann werden im Wasser eines Pools rückwärts schwimmen.")</f>
        <v>Eine Frau und ein Mann werden im Wasser eines Pools rückwärts schwimmen.</v>
      </c>
    </row>
    <row r="26747">
      <c r="A26747" s="4" t="s">
        <v>33661</v>
      </c>
      <c r="B26747" s="4" t="s">
        <v>33663</v>
      </c>
      <c r="C26747" s="5" t="str">
        <f>IFERROR(__xludf.DUMMYFUNCTION("GOOGLETRANSLATE(B26747,""en"",""de"")"),"Sie zeigen verschiedene Techniken als Schwimmen.")</f>
        <v>Sie zeigen verschiedene Techniken als Schwimmen.</v>
      </c>
    </row>
    <row r="26748">
      <c r="A26748" s="4" t="s">
        <v>33661</v>
      </c>
      <c r="B26748" s="4" t="s">
        <v>33664</v>
      </c>
      <c r="C26748" s="5" t="str">
        <f>IFERROR(__xludf.DUMMYFUNCTION("GOOGLETRANSLATE(B26748,""en"",""de"")"),"Die Namen der verschiedenen Methoden werden auf dem Bildschirm zwischen Beispielen angezeigt.")</f>
        <v>Die Namen der verschiedenen Methoden werden auf dem Bildschirm zwischen Beispielen angezeigt.</v>
      </c>
    </row>
    <row r="26749">
      <c r="A26749" s="4" t="s">
        <v>33665</v>
      </c>
      <c r="B26749" s="4" t="s">
        <v>33666</v>
      </c>
      <c r="C26749" s="5" t="str">
        <f>IFERROR(__xludf.DUMMYFUNCTION("GOOGLETRANSLATE(B26749,""en"",""de"")"),"Manis trägt ein weißes Hemd und geht in einem grünen Gras mit einem Rasenmäher.")</f>
        <v>Manis trägt ein weißes Hemd und geht in einem grünen Gras mit einem Rasenmäher.</v>
      </c>
    </row>
    <row r="26750">
      <c r="A26750" s="4" t="s">
        <v>33665</v>
      </c>
      <c r="B26750" s="4" t="s">
        <v>33667</v>
      </c>
      <c r="C26750" s="5" t="str">
        <f>IFERROR(__xludf.DUMMYFUNCTION("GOOGLETRANSLATE(B26750,""en"",""de"")"),"Kid steht auf dem Feld und beobachtet den Mann mit dem Rasenmäher.")</f>
        <v>Kid steht auf dem Feld und beobachtet den Mann mit dem Rasenmäher.</v>
      </c>
    </row>
    <row r="26751">
      <c r="A26751" s="4" t="s">
        <v>33665</v>
      </c>
      <c r="B26751" s="4" t="s">
        <v>33668</v>
      </c>
      <c r="C26751" s="5" t="str">
        <f>IFERROR(__xludf.DUMMYFUNCTION("GOOGLETRANSLATE(B26751,""en"",""de"")"),"Der Mensch steht und erweitert die Hand, um das Kind zu halten.")</f>
        <v>Der Mensch steht und erweitert die Hand, um das Kind zu halten.</v>
      </c>
    </row>
    <row r="26752">
      <c r="A26752" s="4" t="s">
        <v>33669</v>
      </c>
      <c r="B26752" s="4" t="s">
        <v>33670</v>
      </c>
      <c r="C26752" s="5" t="str">
        <f>IFERROR(__xludf.DUMMYFUNCTION("GOOGLETRANSLATE(B26752,""en"",""de"")"),"Eine Frau spricht mit der Kamera, während sie einen Schlagstock in ihre Hände legt.")</f>
        <v>Eine Frau spricht mit der Kamera, während sie einen Schlagstock in ihre Hände legt.</v>
      </c>
    </row>
    <row r="26753">
      <c r="A26753" s="4" t="s">
        <v>33669</v>
      </c>
      <c r="B26753" s="4" t="s">
        <v>33671</v>
      </c>
      <c r="C26753" s="5" t="str">
        <f>IFERROR(__xludf.DUMMYFUNCTION("GOOGLETRANSLATE(B26753,""en"",""de"")"),"Sie spricht weiter mit der Kamera, während sie sich um den Staffelstab dreht.")</f>
        <v>Sie spricht weiter mit der Kamera, während sie sich um den Staffelstab dreht.</v>
      </c>
    </row>
    <row r="26754">
      <c r="A26754" s="4" t="s">
        <v>33669</v>
      </c>
      <c r="B26754" s="4" t="s">
        <v>33672</v>
      </c>
      <c r="C26754" s="5" t="str">
        <f>IFERROR(__xludf.DUMMYFUNCTION("GOOGLETRANSLATE(B26754,""en"",""de"")"),"Sie dreht sich weiter im Stab und zeigt, wie man sie richtig verdreht.")</f>
        <v>Sie dreht sich weiter im Stab und zeigt, wie man sie richtig verdreht.</v>
      </c>
    </row>
    <row r="26755">
      <c r="A26755" s="4" t="s">
        <v>33673</v>
      </c>
      <c r="B26755" s="4" t="s">
        <v>33674</v>
      </c>
      <c r="C26755" s="5" t="str">
        <f>IFERROR(__xludf.DUMMYFUNCTION("GOOGLETRANSLATE(B26755,""en"",""de"")"),"Eine Dame und ein Mann knien in einem Lockenring.")</f>
        <v>Eine Dame und ein Mann knien in einem Lockenring.</v>
      </c>
    </row>
    <row r="26756">
      <c r="A26756" s="4" t="s">
        <v>33673</v>
      </c>
      <c r="B26756" s="4" t="s">
        <v>33675</v>
      </c>
      <c r="C26756" s="5" t="str">
        <f>IFERROR(__xludf.DUMMYFUNCTION("GOOGLETRANSLATE(B26756,""en"",""de"")"),"Sie sprechen miteinander und ein Besen betritt die Szene.")</f>
        <v>Sie sprechen miteinander und ein Besen betritt die Szene.</v>
      </c>
    </row>
    <row r="26757">
      <c r="A26757" s="4" t="s">
        <v>33673</v>
      </c>
      <c r="B26757" s="4" t="s">
        <v>33676</v>
      </c>
      <c r="C26757" s="5" t="str">
        <f>IFERROR(__xludf.DUMMYFUNCTION("GOOGLETRANSLATE(B26757,""en"",""de"")"),"Sie beginnen vorwärts zu bewegen.")</f>
        <v>Sie beginnen vorwärts zu bewegen.</v>
      </c>
    </row>
    <row r="26758">
      <c r="A26758" s="4" t="s">
        <v>33673</v>
      </c>
      <c r="B26758" s="4" t="s">
        <v>33677</v>
      </c>
      <c r="C26758" s="5" t="str">
        <f>IFERROR(__xludf.DUMMYFUNCTION("GOOGLETRANSLATE(B26758,""en"",""de"")"),"Der Mann hält stehen und die Dame stolpert.")</f>
        <v>Der Mann hält stehen und die Dame stolpert.</v>
      </c>
    </row>
    <row r="26759">
      <c r="A26759" s="4" t="s">
        <v>33678</v>
      </c>
      <c r="B26759" s="4" t="s">
        <v>33679</v>
      </c>
      <c r="C26759" s="5" t="str">
        <f>IFERROR(__xludf.DUMMYFUNCTION("GOOGLETRANSLATE(B26759,""en"",""de"")"),"Ein Mann steht drinnen auf einer Plattform vor drei Zuschauern und hebt eine stark gewichtete Barglocke.")</f>
        <v>Ein Mann steht drinnen auf einer Plattform vor drei Zuschauern und hebt eine stark gewichtete Barglocke.</v>
      </c>
    </row>
    <row r="26760">
      <c r="A26760" s="4" t="s">
        <v>33678</v>
      </c>
      <c r="B26760" s="4" t="s">
        <v>33680</v>
      </c>
      <c r="C26760" s="5" t="str">
        <f>IFERROR(__xludf.DUMMYFUNCTION("GOOGLETRANSLATE(B26760,""en"",""de"")"),"Ein Mann nähert sich einer Langhantel auf dem Boden und steht vor, bevor er sich darauf vorbereitet, sie zu heben.")</f>
        <v>Ein Mann nähert sich einer Langhantel auf dem Boden und steht vor, bevor er sich darauf vorbereitet, sie zu heben.</v>
      </c>
    </row>
    <row r="26761">
      <c r="A26761" s="4" t="s">
        <v>33678</v>
      </c>
      <c r="B26761" s="4" t="s">
        <v>33681</v>
      </c>
      <c r="C26761" s="5" t="str">
        <f>IFERROR(__xludf.DUMMYFUNCTION("GOOGLETRANSLATE(B26761,""en"",""de"")"),"Der Mann biegt dann an den Knien und legt seine Hände auf den Balkenteil des Gewichts.")</f>
        <v>Der Mann biegt dann an den Knien und legt seine Hände auf den Balkenteil des Gewichts.</v>
      </c>
    </row>
    <row r="26762">
      <c r="A26762" s="4" t="s">
        <v>33678</v>
      </c>
      <c r="B26762" s="4" t="s">
        <v>33682</v>
      </c>
      <c r="C26762" s="5" t="str">
        <f>IFERROR(__xludf.DUMMYFUNCTION("GOOGLETRANSLATE(B26762,""en"",""de"")"),"Der Mann hebt dann die Glocke über seinem Kopf und lässt dann die Glocke auf den Boden fallen, wo sie beim Landen etwas springt, während sich der Mann umdreht und sich vom Gewicht weggeht.")</f>
        <v>Der Mann hebt dann die Glocke über seinem Kopf und lässt dann die Glocke auf den Boden fallen, wo sie beim Landen etwas springt, während sich der Mann umdreht und sich vom Gewicht weggeht.</v>
      </c>
    </row>
    <row r="26763">
      <c r="A26763" s="4" t="s">
        <v>33683</v>
      </c>
      <c r="B26763" s="4" t="s">
        <v>33684</v>
      </c>
      <c r="C26763" s="5" t="str">
        <f>IFERROR(__xludf.DUMMYFUNCTION("GOOGLETRANSLATE(B26763,""en"",""de"")"),"Zwei Männer beschreiben Bleiklettern, während ein Mann in einem hellgrünen Hemd eine Kletterwand klettert. Der andere Mann, der ein dunkelgrünes Hemd trägt, hält die Bleilinie und erklärt den Prozess.")</f>
        <v>Zwei Männer beschreiben Bleiklettern, während ein Mann in einem hellgrünen Hemd eine Kletterwand klettert. Der andere Mann, der ein dunkelgrünes Hemd trägt, hält die Bleilinie und erklärt den Prozess.</v>
      </c>
    </row>
    <row r="26764">
      <c r="A26764" s="4" t="s">
        <v>33683</v>
      </c>
      <c r="B26764" s="4" t="s">
        <v>33685</v>
      </c>
      <c r="C26764" s="5" t="str">
        <f>IFERROR(__xludf.DUMMYFUNCTION("GOOGLETRANSLATE(B26764,""en"",""de"")"),"Der Mann im dunkelgrünen Hemd setzt einen Riemen und verbindet sich mit der Kletterwand und schaltet ein Seil durch den Clip.")</f>
        <v>Der Mann im dunkelgrünen Hemd setzt einen Riemen und verbindet sich mit der Kletterwand und schaltet ein Seil durch den Clip.</v>
      </c>
    </row>
    <row r="26765">
      <c r="A26765" s="4" t="s">
        <v>33683</v>
      </c>
      <c r="B26765" s="4" t="s">
        <v>33686</v>
      </c>
      <c r="C26765" s="5" t="str">
        <f>IFERROR(__xludf.DUMMYFUNCTION("GOOGLETRANSLATE(B26765,""en"",""de"")"),"Der Mann kehrt die Riemenposition um und schaltet das Seil durch das Gurt -Augenglied ab.")</f>
        <v>Der Mann kehrt die Riemenposition um und schaltet das Seil durch das Gurt -Augenglied ab.</v>
      </c>
    </row>
    <row r="26766">
      <c r="A26766" s="4" t="s">
        <v>33683</v>
      </c>
      <c r="B26766" s="4" t="s">
        <v>33687</v>
      </c>
      <c r="C26766" s="5" t="str">
        <f>IFERROR(__xludf.DUMMYFUNCTION("GOOGLETRANSLATE(B26766,""en"",""de"")"),"Der Mann im hellgrünen Hemd klettern weiter auf die Oberseite der Wand.")</f>
        <v>Der Mann im hellgrünen Hemd klettern weiter auf die Oberseite der Wand.</v>
      </c>
    </row>
    <row r="26767">
      <c r="A26767" s="4" t="s">
        <v>33683</v>
      </c>
      <c r="B26767" s="4" t="s">
        <v>33688</v>
      </c>
      <c r="C26767" s="5" t="str">
        <f>IFERROR(__xludf.DUMMYFUNCTION("GOOGLETRANSLATE(B26767,""en"",""de"")"),"Der Mann im dunkelgrünen Hemd spricht weiter mit der Kamera.")</f>
        <v>Der Mann im dunkelgrünen Hemd spricht weiter mit der Kamera.</v>
      </c>
    </row>
    <row r="26768">
      <c r="A26768" s="4" t="s">
        <v>33689</v>
      </c>
      <c r="B26768" s="4" t="s">
        <v>33690</v>
      </c>
      <c r="C26768" s="5" t="str">
        <f>IFERROR(__xludf.DUMMYFUNCTION("GOOGLETRANSLATE(B26768,""en"",""de"")"),"Eine Frau wirft eine andere auf eine andere.")</f>
        <v>Eine Frau wirft eine andere auf eine andere.</v>
      </c>
    </row>
    <row r="26769">
      <c r="A26769" s="4" t="s">
        <v>33689</v>
      </c>
      <c r="B26769" s="4" t="s">
        <v>33691</v>
      </c>
      <c r="C26769" s="5" t="str">
        <f>IFERROR(__xludf.DUMMYFUNCTION("GOOGLETRANSLATE(B26769,""en"",""de"")"),"Dann spielen die beiden Frauen Hopscotch.")</f>
        <v>Dann spielen die beiden Frauen Hopscotch.</v>
      </c>
    </row>
    <row r="26770">
      <c r="A26770" s="4" t="s">
        <v>33692</v>
      </c>
      <c r="B26770" s="4" t="s">
        <v>33693</v>
      </c>
      <c r="C26770" s="5" t="str">
        <f>IFERROR(__xludf.DUMMYFUNCTION("GOOGLETRANSLATE(B26770,""en"",""de"")"),"Eine Frau sitzt hinter einem Schreibtisch mit der Kamera.")</f>
        <v>Eine Frau sitzt hinter einem Schreibtisch mit der Kamera.</v>
      </c>
    </row>
    <row r="26771">
      <c r="A26771" s="4" t="s">
        <v>33692</v>
      </c>
      <c r="B26771" s="4" t="s">
        <v>33694</v>
      </c>
      <c r="C26771" s="5" t="str">
        <f>IFERROR(__xludf.DUMMYFUNCTION("GOOGLETRANSLATE(B26771,""en"",""de"")"),"Eine Frau betritt einen Raum und sitzt in einer Bank.")</f>
        <v>Eine Frau betritt einen Raum und sitzt in einer Bank.</v>
      </c>
    </row>
    <row r="26772">
      <c r="A26772" s="4" t="s">
        <v>33692</v>
      </c>
      <c r="B26772" s="4" t="s">
        <v>33695</v>
      </c>
      <c r="C26772" s="5" t="str">
        <f>IFERROR(__xludf.DUMMYFUNCTION("GOOGLETRANSLATE(B26772,""en"",""de"")"),"Die Frau beginnt zu stricken.")</f>
        <v>Die Frau beginnt zu stricken.</v>
      </c>
    </row>
    <row r="26773">
      <c r="A26773" s="4" t="s">
        <v>33692</v>
      </c>
      <c r="B26773" s="4" t="s">
        <v>33696</v>
      </c>
      <c r="C26773" s="5" t="str">
        <f>IFERROR(__xludf.DUMMYFUNCTION("GOOGLETRANSLATE(B26773,""en"",""de"")"),"Die Frau spricht dann mit der Kamera.")</f>
        <v>Die Frau spricht dann mit der Kamera.</v>
      </c>
    </row>
    <row r="26774">
      <c r="A26774" s="4" t="s">
        <v>33697</v>
      </c>
      <c r="B26774" s="4" t="s">
        <v>33698</v>
      </c>
      <c r="C26774" s="5" t="str">
        <f>IFERROR(__xludf.DUMMYFUNCTION("GOOGLETRANSLATE(B26774,""en"",""de"")"),"Kinder springen in einem Fitnessstudio.")</f>
        <v>Kinder springen in einem Fitnessstudio.</v>
      </c>
    </row>
    <row r="26775">
      <c r="A26775" s="4" t="s">
        <v>33697</v>
      </c>
      <c r="B26775" s="4" t="s">
        <v>33699</v>
      </c>
      <c r="C26775" s="5" t="str">
        <f>IFERROR(__xludf.DUMMYFUNCTION("GOOGLETRANSLATE(B26775,""en"",""de"")"),"Sie drehen sich übereinander.")</f>
        <v>Sie drehen sich übereinander.</v>
      </c>
    </row>
    <row r="26776">
      <c r="A26776" s="4" t="s">
        <v>33697</v>
      </c>
      <c r="B26776" s="4" t="s">
        <v>33700</v>
      </c>
      <c r="C26776" s="5" t="str">
        <f>IFERROR(__xludf.DUMMYFUNCTION("GOOGLETRANSLATE(B26776,""en"",""de"")"),"Die Leute im Publikum klatschen am Ende für sie.")</f>
        <v>Die Leute im Publikum klatschen am Ende für sie.</v>
      </c>
    </row>
    <row r="26777">
      <c r="A26777" s="4" t="s">
        <v>33701</v>
      </c>
      <c r="B26777" s="4" t="s">
        <v>33702</v>
      </c>
      <c r="C26777" s="5" t="str">
        <f>IFERROR(__xludf.DUMMYFUNCTION("GOOGLETRANSLATE(B26777,""en"",""de"")"),"Eine Nahaufnahme der Füße einer Person werden sowohl auf dem Bildschirm als auch Text gesehen.")</f>
        <v>Eine Nahaufnahme der Füße einer Person werden sowohl auf dem Bildschirm als auch Text gesehen.</v>
      </c>
    </row>
    <row r="26778">
      <c r="A26778" s="4" t="s">
        <v>33701</v>
      </c>
      <c r="B26778" s="4" t="s">
        <v>33703</v>
      </c>
      <c r="C26778" s="5" t="str">
        <f>IFERROR(__xludf.DUMMYFUNCTION("GOOGLETRANSLATE(B26778,""en"",""de"")"),"Die Person nimmt die Schnürsenkel von den Schuhen unter Wasser ab.")</f>
        <v>Die Person nimmt die Schnürsenkel von den Schuhen unter Wasser ab.</v>
      </c>
    </row>
    <row r="26779">
      <c r="A26779" s="4" t="s">
        <v>33701</v>
      </c>
      <c r="B26779" s="4" t="s">
        <v>33704</v>
      </c>
      <c r="C26779" s="5" t="str">
        <f>IFERROR(__xludf.DUMMYFUNCTION("GOOGLETRANSLATE(B26779,""en"",""de"")"),"Die Person mischt Zutaten in eine Schüssel und schrubbt die Schuhe mit der Zahnbürste.")</f>
        <v>Die Person mischt Zutaten in eine Schüssel und schrubbt die Schuhe mit der Zahnbürste.</v>
      </c>
    </row>
    <row r="26780">
      <c r="A26780" s="4" t="s">
        <v>33701</v>
      </c>
      <c r="B26780" s="4" t="s">
        <v>33705</v>
      </c>
      <c r="C26780" s="5" t="str">
        <f>IFERROR(__xludf.DUMMYFUNCTION("GOOGLETRANSLATE(B26780,""en"",""de"")"),"Sie steckt dann die Schuhe in die Wäsche und zeigt sie danach aus.")</f>
        <v>Sie steckt dann die Schuhe in die Wäsche und zeigt sie danach aus.</v>
      </c>
    </row>
    <row r="26781">
      <c r="A26781" s="4" t="s">
        <v>33706</v>
      </c>
      <c r="B26781" s="4" t="s">
        <v>33707</v>
      </c>
      <c r="C26781" s="5" t="str">
        <f>IFERROR(__xludf.DUMMYFUNCTION("GOOGLETRANSLATE(B26781,""en"",""de"")"),"Wir sehen einen Mann, der sich darauf vorbereitet, einen Hammer in Leichtathletik zu werfen.")</f>
        <v>Wir sehen einen Mann, der sich darauf vorbereitet, einen Hammer in Leichtathletik zu werfen.</v>
      </c>
    </row>
    <row r="26782">
      <c r="A26782" s="4" t="s">
        <v>33706</v>
      </c>
      <c r="B26782" s="4" t="s">
        <v>33708</v>
      </c>
      <c r="C26782" s="5" t="str">
        <f>IFERROR(__xludf.DUMMYFUNCTION("GOOGLETRANSLATE(B26782,""en"",""de"")"),"Der Mann schüttelt die Beine und geht auf das Feld.")</f>
        <v>Der Mann schüttelt die Beine und geht auf das Feld.</v>
      </c>
    </row>
    <row r="26783">
      <c r="A26783" s="4" t="s">
        <v>33706</v>
      </c>
      <c r="B26783" s="4" t="s">
        <v>33709</v>
      </c>
      <c r="C26783" s="5" t="str">
        <f>IFERROR(__xludf.DUMMYFUNCTION("GOOGLETRANSLATE(B26783,""en"",""de"")"),"Der Mann dreht sich hart und wirft den Hammer.")</f>
        <v>Der Mann dreht sich hart und wirft den Hammer.</v>
      </c>
    </row>
    <row r="26784">
      <c r="A26784" s="4" t="s">
        <v>33706</v>
      </c>
      <c r="B26784" s="4" t="s">
        <v>33710</v>
      </c>
      <c r="C26784" s="5" t="str">
        <f>IFERROR(__xludf.DUMMYFUNCTION("GOOGLETRANSLATE(B26784,""en"",""de"")"),"Wir sehen den Hammer, während er über die Strecke fliegt.")</f>
        <v>Wir sehen den Hammer, während er über die Strecke fliegt.</v>
      </c>
    </row>
    <row r="26785">
      <c r="A26785" s="4" t="s">
        <v>33711</v>
      </c>
      <c r="B26785" s="4" t="s">
        <v>33712</v>
      </c>
      <c r="C26785" s="5" t="str">
        <f>IFERROR(__xludf.DUMMYFUNCTION("GOOGLETRANSLATE(B26785,""en"",""de"")"),"Zwei Männer führen auf einem Spielplatz eine Flip -Bewegung durch, die dazu führt, dass einer auf den Boden fallen gelassen wird.")</f>
        <v>Zwei Männer führen auf einem Spielplatz eine Flip -Bewegung durch, die dazu führt, dass einer auf den Boden fallen gelassen wird.</v>
      </c>
    </row>
    <row r="26786">
      <c r="A26786" s="4" t="s">
        <v>33711</v>
      </c>
      <c r="B26786" s="4" t="s">
        <v>33713</v>
      </c>
      <c r="C26786" s="5" t="str">
        <f>IFERROR(__xludf.DUMMYFUNCTION("GOOGLETRANSLATE(B26786,""en"",""de"")"),"Die Kamera vergrößert den gefallenen Mann, während sie alle zusammen lachen.")</f>
        <v>Die Kamera vergrößert den gefallenen Mann, während sie alle zusammen lachen.</v>
      </c>
    </row>
    <row r="26787">
      <c r="A26787" s="4" t="s">
        <v>33714</v>
      </c>
      <c r="B26787" s="4" t="s">
        <v>33715</v>
      </c>
      <c r="C26787" s="5" t="str">
        <f>IFERROR(__xludf.DUMMYFUNCTION("GOOGLETRANSLATE(B26787,""en"",""de"")"),"Ein Mädchen fährt auf einem weißen Pferd, das sich in einem geschlossenen Hindernisparcours befindet, aber es geht nur zu Fuß, Trab und rennt den Umfang um Runden.")</f>
        <v>Ein Mädchen fährt auf einem weißen Pferd, das sich in einem geschlossenen Hindernisparcours befindet, aber es geht nur zu Fuß, Trab und rennt den Umfang um Runden.</v>
      </c>
    </row>
    <row r="26788">
      <c r="A26788" s="4" t="s">
        <v>33714</v>
      </c>
      <c r="B26788" s="4" t="s">
        <v>33716</v>
      </c>
      <c r="C26788" s="5" t="str">
        <f>IFERROR(__xludf.DUMMYFUNCTION("GOOGLETRANSLATE(B26788,""en"",""de"")"),"Ein anderes Mädchen steht jetzt im Fokus und sie reitet auf einem größeren braunen Pferd, das beginnt zu gehen, zu trabten und sie auch am Rande der Gegend bleiben.")</f>
        <v>Ein anderes Mädchen steht jetzt im Fokus und sie reitet auf einem größeren braunen Pferd, das beginnt zu gehen, zu trabten und sie auch am Rande der Gegend bleiben.</v>
      </c>
    </row>
    <row r="26789">
      <c r="A26789" s="4" t="s">
        <v>33714</v>
      </c>
      <c r="B26789" s="4" t="s">
        <v>33717</v>
      </c>
      <c r="C26789" s="5" t="str">
        <f>IFERROR(__xludf.DUMMYFUNCTION("GOOGLETRANSLATE(B26789,""en"",""de"")"),"Wenn das braune Pferd in Runden herumgeht, geht es zu dem weißen Pferd, das sich jetzt mitten in der Gegend befindet, und hört auf.")</f>
        <v>Wenn das braune Pferd in Runden herumgeht, geht es zu dem weißen Pferd, das sich jetzt mitten in der Gegend befindet, und hört auf.</v>
      </c>
    </row>
    <row r="26790">
      <c r="A26790" s="4" t="s">
        <v>33718</v>
      </c>
      <c r="B26790" s="4" t="s">
        <v>33719</v>
      </c>
      <c r="C26790" s="5" t="str">
        <f>IFERROR(__xludf.DUMMYFUNCTION("GOOGLETRANSLATE(B26790,""en"",""de"")"),"In einem Fitnessstudio stehen mehrere Mädchen bereit mit ihren Sprungseilen.")</f>
        <v>In einem Fitnessstudio stehen mehrere Mädchen bereit mit ihren Sprungseilen.</v>
      </c>
    </row>
    <row r="26791">
      <c r="A26791" s="4" t="s">
        <v>33718</v>
      </c>
      <c r="B26791" s="4" t="s">
        <v>33720</v>
      </c>
      <c r="C26791" s="5" t="str">
        <f>IFERROR(__xludf.DUMMYFUNCTION("GOOGLETRANSLATE(B26791,""en"",""de"")"),"Sie sind bereit, im Wettbewerb teilzunehmen.")</f>
        <v>Sie sind bereit, im Wettbewerb teilzunehmen.</v>
      </c>
    </row>
    <row r="26792">
      <c r="A26792" s="4" t="s">
        <v>33718</v>
      </c>
      <c r="B26792" s="4" t="s">
        <v>33721</v>
      </c>
      <c r="C26792" s="5" t="str">
        <f>IFERROR(__xludf.DUMMYFUNCTION("GOOGLETRANSLATE(B26792,""en"",""de"")"),"Es sitzen und stehen mehrere Menschen, die die Mädchen beobachten, während sie Seil springen.")</f>
        <v>Es sitzen und stehen mehrere Menschen, die die Mädchen beobachten, während sie Seil springen.</v>
      </c>
    </row>
    <row r="26793">
      <c r="A26793" s="4" t="s">
        <v>33718</v>
      </c>
      <c r="B26793" s="4" t="s">
        <v>33722</v>
      </c>
      <c r="C26793" s="5" t="str">
        <f>IFERROR(__xludf.DUMMYFUNCTION("GOOGLETRANSLATE(B26793,""en"",""de"")"),"Die Mädchen wechseln sich ab und springen Seil auf Relais.")</f>
        <v>Die Mädchen wechseln sich ab und springen Seil auf Relais.</v>
      </c>
    </row>
    <row r="26794">
      <c r="A26794" s="4" t="s">
        <v>33718</v>
      </c>
      <c r="B26794" s="4" t="s">
        <v>33723</v>
      </c>
      <c r="C26794" s="5" t="str">
        <f>IFERROR(__xludf.DUMMYFUNCTION("GOOGLETRANSLATE(B26794,""en"",""de"")"),"Sie wechseln zwischen den Teilnehmern und bewegen sich vom schnellen Überspringen zu langsamer und stetigeren Überspringen.")</f>
        <v>Sie wechseln zwischen den Teilnehmern und bewegen sich vom schnellen Überspringen zu langsamer und stetigeren Überspringen.</v>
      </c>
    </row>
    <row r="26795">
      <c r="A26795" s="4" t="s">
        <v>33718</v>
      </c>
      <c r="B26795" s="4" t="s">
        <v>33724</v>
      </c>
      <c r="C26795" s="5" t="str">
        <f>IFERROR(__xludf.DUMMYFUNCTION("GOOGLETRANSLATE(B26795,""en"",""de"")"),"Sie wechseln sich ab, während sie überspringen.")</f>
        <v>Sie wechseln sich ab, während sie überspringen.</v>
      </c>
    </row>
    <row r="26796">
      <c r="A26796" s="4" t="s">
        <v>33718</v>
      </c>
      <c r="B26796" s="4" t="s">
        <v>33725</v>
      </c>
      <c r="C26796" s="5" t="str">
        <f>IFERROR(__xludf.DUMMYFUNCTION("GOOGLETRANSLATE(B26796,""en"",""de"")"),"Nachdem sie angehalten hatten, klatscht und jubelt die Menge.")</f>
        <v>Nachdem sie angehalten hatten, klatscht und jubelt die Menge.</v>
      </c>
    </row>
    <row r="26797">
      <c r="A26797" s="4" t="s">
        <v>33726</v>
      </c>
      <c r="B26797" s="4" t="s">
        <v>33727</v>
      </c>
      <c r="C26797" s="5" t="str">
        <f>IFERROR(__xludf.DUMMYFUNCTION("GOOGLETRANSLATE(B26797,""en"",""de"")"),"Eine Gruppe von Menschen hat sich vor einem Gericht im Freien versammelt.")</f>
        <v>Eine Gruppe von Menschen hat sich vor einem Gericht im Freien versammelt.</v>
      </c>
    </row>
    <row r="26798">
      <c r="A26798" s="4" t="s">
        <v>33726</v>
      </c>
      <c r="B26798" s="4" t="s">
        <v>33728</v>
      </c>
      <c r="C26798" s="5" t="str">
        <f>IFERROR(__xludf.DUMMYFUNCTION("GOOGLETRANSLATE(B26798,""en"",""de"")"),"Sie sind in ein Lockenspiel verwickelt.")</f>
        <v>Sie sind in ein Lockenspiel verwickelt.</v>
      </c>
    </row>
    <row r="26799">
      <c r="A26799" s="4" t="s">
        <v>33726</v>
      </c>
      <c r="B26799" s="4" t="s">
        <v>33729</v>
      </c>
      <c r="C26799" s="5" t="str">
        <f>IFERROR(__xludf.DUMMYFUNCTION("GOOGLETRANSLATE(B26799,""en"",""de"")"),"Jede Person benutzt den Stock, um den Puck zu schieben, während ein Mädchen mit der Kamera spricht.")</f>
        <v>Jede Person benutzt den Stock, um den Puck zu schieben, während ein Mädchen mit der Kamera spricht.</v>
      </c>
    </row>
    <row r="26800">
      <c r="A26800" s="4" t="s">
        <v>33730</v>
      </c>
      <c r="B26800" s="4" t="s">
        <v>33731</v>
      </c>
      <c r="C26800" s="5" t="str">
        <f>IFERROR(__xludf.DUMMYFUNCTION("GOOGLETRANSLATE(B26800,""en"",""de"")"),"Kinder stehen in einem grünen Grasfeld fliegenden Drachen.")</f>
        <v>Kinder stehen in einem grünen Grasfeld fliegenden Drachen.</v>
      </c>
    </row>
    <row r="26801">
      <c r="A26801" s="4" t="s">
        <v>33730</v>
      </c>
      <c r="B26801" s="4" t="s">
        <v>33732</v>
      </c>
      <c r="C26801" s="5" t="str">
        <f>IFERROR(__xludf.DUMMYFUNCTION("GOOGLETRANSLATE(B26801,""en"",""de"")"),"Der Mann, der weißes Hemd trägt, fliegt den Drachen in einem Lagenfeld.")</f>
        <v>Der Mann, der weißes Hemd trägt, fliegt den Drachen in einem Lagenfeld.</v>
      </c>
    </row>
    <row r="26802">
      <c r="A26802" s="4" t="s">
        <v>33730</v>
      </c>
      <c r="B26802" s="4" t="s">
        <v>33733</v>
      </c>
      <c r="C26802" s="5" t="str">
        <f>IFERROR(__xludf.DUMMYFUNCTION("GOOGLETRANSLATE(B26802,""en"",""de"")"),"Litle Kind, das ein orangefarbenes Hemd trägt, beobachtet den Mann.")</f>
        <v>Litle Kind, das ein orangefarbenes Hemd trägt, beobachtet den Mann.</v>
      </c>
    </row>
    <row r="26803">
      <c r="A26803" s="4" t="s">
        <v>33734</v>
      </c>
      <c r="B26803" s="4" t="s">
        <v>33735</v>
      </c>
      <c r="C26803" s="5" t="str">
        <f>IFERROR(__xludf.DUMMYFUNCTION("GOOGLETRANSLATE(B26803,""en"",""de"")"),"Das Video führt zu mehreren Clips eines Hockeyspieler, der sich um das Eis bewegt und Spieler, die mit der Kamera sprechen.")</f>
        <v>Das Video führt zu mehreren Clips eines Hockeyspieler, der sich um das Eis bewegt und Spieler, die mit der Kamera sprechen.</v>
      </c>
    </row>
    <row r="26804">
      <c r="A26804" s="4" t="s">
        <v>33734</v>
      </c>
      <c r="B26804" s="4" t="s">
        <v>33736</v>
      </c>
      <c r="C26804" s="5" t="str">
        <f>IFERROR(__xludf.DUMMYFUNCTION("GOOGLETRANSLATE(B26804,""en"",""de"")"),"Die Leute, die weiter auf dem Eis skaten, während sie als Spieler eingreifen, um mit der Kamera zu sprechen.")</f>
        <v>Die Leute, die weiter auf dem Eis skaten, während sie als Spieler eingreifen, um mit der Kamera zu sprechen.</v>
      </c>
    </row>
    <row r="26805">
      <c r="A26805" s="4" t="s">
        <v>33737</v>
      </c>
      <c r="B26805" s="4" t="s">
        <v>33738</v>
      </c>
      <c r="C26805" s="5" t="str">
        <f>IFERROR(__xludf.DUMMYFUNCTION("GOOGLETRANSLATE(B26805,""en"",""de"")"),"Ein Text -Intro führt zu mehreren Aufnahmen eines Lagers und Menschen, die mit Fackeln arbeiten.")</f>
        <v>Ein Text -Intro führt zu mehreren Aufnahmen eines Lagers und Menschen, die mit Fackeln arbeiten.</v>
      </c>
    </row>
    <row r="26806">
      <c r="A26806" s="4" t="s">
        <v>33737</v>
      </c>
      <c r="B26806" s="4" t="s">
        <v>33739</v>
      </c>
      <c r="C26806" s="5" t="str">
        <f>IFERROR(__xludf.DUMMYFUNCTION("GOOGLETRANSLATE(B26806,""en"",""de"")"),"Menschen werden sowohl Computer als auch Magnete verwendet, die zu Menschen führen, die Kuchen machen.")</f>
        <v>Menschen werden sowohl Computer als auch Magnete verwendet, die zu Menschen führen, die Kuchen machen.</v>
      </c>
    </row>
    <row r="26807">
      <c r="A26807" s="4" t="s">
        <v>33737</v>
      </c>
      <c r="B26807" s="4" t="s">
        <v>33740</v>
      </c>
      <c r="C26807" s="5" t="str">
        <f>IFERROR(__xludf.DUMMYFUNCTION("GOOGLETRANSLATE(B26807,""en"",""de"")"),"Menschen verwenden mehrere Werkzeuge und Materialien, um einen großen Kuchen zu machen, der sich am Ende in eine Ausstellung bewegt.")</f>
        <v>Menschen verwenden mehrere Werkzeuge und Materialien, um einen großen Kuchen zu machen, der sich am Ende in eine Ausstellung bewegt.</v>
      </c>
    </row>
    <row r="26808">
      <c r="A26808" s="4" t="s">
        <v>33741</v>
      </c>
      <c r="B26808" s="4" t="s">
        <v>33742</v>
      </c>
      <c r="C26808" s="5" t="str">
        <f>IFERROR(__xludf.DUMMYFUNCTION("GOOGLETRANSLATE(B26808,""en"",""de"")"),"Eine Gruppe von Freunden sitzt zusammen gegen einen Zaun in einem Skatepark.")</f>
        <v>Eine Gruppe von Freunden sitzt zusammen gegen einen Zaun in einem Skatepark.</v>
      </c>
    </row>
    <row r="26809">
      <c r="A26809" s="4" t="s">
        <v>33741</v>
      </c>
      <c r="B26809" s="4" t="s">
        <v>33743</v>
      </c>
      <c r="C26809" s="5" t="str">
        <f>IFERROR(__xludf.DUMMYFUNCTION("GOOGLETRANSLATE(B26809,""en"",""de"")"),"Menschen auf Rollschaufeln tricken Tricks auf einer Rampe über Stufen.")</f>
        <v>Menschen auf Rollschaufeln tricken Tricks auf einer Rampe über Stufen.</v>
      </c>
    </row>
    <row r="26810">
      <c r="A26810" s="4" t="s">
        <v>33741</v>
      </c>
      <c r="B26810" s="4" t="s">
        <v>33744</v>
      </c>
      <c r="C26810" s="5" t="str">
        <f>IFERROR(__xludf.DUMMYFUNCTION("GOOGLETRANSLATE(B26810,""en"",""de"")"),"Menschen auf Rollschaufeln trinken auf einer Bank im Skate Park.")</f>
        <v>Menschen auf Rollschaufeln trinken auf einer Bank im Skate Park.</v>
      </c>
    </row>
    <row r="26811">
      <c r="A26811" s="4" t="s">
        <v>33741</v>
      </c>
      <c r="B26811" s="4" t="s">
        <v>33745</v>
      </c>
      <c r="C26811" s="5" t="str">
        <f>IFERROR(__xludf.DUMMYFUNCTION("GOOGLETRANSLATE(B26811,""en"",""de"")"),"Die Leute machen Lastwagen auf einem Geländer im Skatepark.")</f>
        <v>Die Leute machen Lastwagen auf einem Geländer im Skatepark.</v>
      </c>
    </row>
    <row r="26812">
      <c r="A26812" s="4" t="s">
        <v>33741</v>
      </c>
      <c r="B26812" s="4" t="s">
        <v>33746</v>
      </c>
      <c r="C26812" s="5" t="str">
        <f>IFERROR(__xludf.DUMMYFUNCTION("GOOGLETRANSLATE(B26812,""en"",""de"")"),"Die Rollschuhe fahren mit Halbrohrrampen.")</f>
        <v>Die Rollschuhe fahren mit Halbrohrrampen.</v>
      </c>
    </row>
    <row r="26813">
      <c r="A26813" s="4" t="s">
        <v>33747</v>
      </c>
      <c r="B26813" s="4" t="s">
        <v>33748</v>
      </c>
      <c r="C26813" s="5" t="str">
        <f>IFERROR(__xludf.DUMMYFUNCTION("GOOGLETRANSLATE(B26813,""en"",""de"")"),"Ein Typ steigt die Treppe hinauf, die einen schwarzen Verstärker trägt.")</f>
        <v>Ein Typ steigt die Treppe hinauf, die einen schwarzen Verstärker trägt.</v>
      </c>
    </row>
    <row r="26814">
      <c r="A26814" s="4" t="s">
        <v>33747</v>
      </c>
      <c r="B26814" s="4" t="s">
        <v>33749</v>
      </c>
      <c r="C26814" s="5" t="str">
        <f>IFERROR(__xludf.DUMMYFUNCTION("GOOGLETRANSLATE(B26814,""en"",""de"")"),"Der Typ geht durch eine Tür, die er geöffnet hat.")</f>
        <v>Der Typ geht durch eine Tür, die er geöffnet hat.</v>
      </c>
    </row>
    <row r="26815">
      <c r="A26815" s="4" t="s">
        <v>33747</v>
      </c>
      <c r="B26815" s="4" t="s">
        <v>33750</v>
      </c>
      <c r="C26815" s="5" t="str">
        <f>IFERROR(__xludf.DUMMYFUNCTION("GOOGLETRANSLATE(B26815,""en"",""de"")"),"Der Typ spielt eine Mundharmonika mit einem Mikrofon in einer Hand.")</f>
        <v>Der Typ spielt eine Mundharmonika mit einem Mikrofon in einer Hand.</v>
      </c>
    </row>
    <row r="26816">
      <c r="A26816" s="4" t="s">
        <v>33747</v>
      </c>
      <c r="B26816" s="4" t="s">
        <v>33751</v>
      </c>
      <c r="C26816" s="5" t="str">
        <f>IFERROR(__xludf.DUMMYFUNCTION("GOOGLETRANSLATE(B26816,""en"",""de"")"),"Der Typ spielt Gitarre.")</f>
        <v>Der Typ spielt Gitarre.</v>
      </c>
    </row>
    <row r="26817">
      <c r="A26817" s="4" t="s">
        <v>33747</v>
      </c>
      <c r="B26817" s="4" t="s">
        <v>33752</v>
      </c>
      <c r="C26817" s="5" t="str">
        <f>IFERROR(__xludf.DUMMYFUNCTION("GOOGLETRANSLATE(B26817,""en"",""de"")"),"Der schwarze Verstärker wird auf einem Tisch angezeigt.")</f>
        <v>Der schwarze Verstärker wird auf einem Tisch angezeigt.</v>
      </c>
    </row>
    <row r="26818">
      <c r="A26818" s="4" t="s">
        <v>33747</v>
      </c>
      <c r="B26818" s="4" t="s">
        <v>33753</v>
      </c>
      <c r="C26818" s="5" t="str">
        <f>IFERROR(__xludf.DUMMYFUNCTION("GOOGLETRANSLATE(B26818,""en"",""de"")"),"Der Verstärker wird auf einer Tabelle angezeigt.")</f>
        <v>Der Verstärker wird auf einer Tabelle angezeigt.</v>
      </c>
    </row>
    <row r="26819">
      <c r="A26819" s="4" t="s">
        <v>33754</v>
      </c>
      <c r="B26819" s="4" t="s">
        <v>33755</v>
      </c>
      <c r="C26819" s="5" t="str">
        <f>IFERROR(__xludf.DUMMYFUNCTION("GOOGLETRANSLATE(B26819,""en"",""de"")"),"Eine Frau spricht mit verschiedenen Zutaten sowie ihrer Reinigung mit verschiedenen Zutaten.")</f>
        <v>Eine Frau spricht mit verschiedenen Zutaten sowie ihrer Reinigung mit verschiedenen Zutaten.</v>
      </c>
    </row>
    <row r="26820">
      <c r="A26820" s="4" t="s">
        <v>33754</v>
      </c>
      <c r="B26820" s="4" t="s">
        <v>33756</v>
      </c>
      <c r="C26820" s="5" t="str">
        <f>IFERROR(__xludf.DUMMYFUNCTION("GOOGLETRANSLATE(B26820,""en"",""de"")"),"Sie legt eine Zeitung aus und mischt verschiedene Zutaten in eine Sprühflasche.")</f>
        <v>Sie legt eine Zeitung aus und mischt verschiedene Zutaten in eine Sprühflasche.</v>
      </c>
    </row>
    <row r="26821">
      <c r="A26821" s="4" t="s">
        <v>33754</v>
      </c>
      <c r="B26821" s="4" t="s">
        <v>33757</v>
      </c>
      <c r="C26821" s="5" t="str">
        <f>IFERROR(__xludf.DUMMYFUNCTION("GOOGLETRANSLATE(B26821,""en"",""de"")"),"Sie zieht Handschuhe an und benutzt die Zeitung, um ein Fenster abzuwischen, nachdem sie es besprüht hat.")</f>
        <v>Sie zieht Handschuhe an und benutzt die Zeitung, um ein Fenster abzuwischen, nachdem sie es besprüht hat.</v>
      </c>
    </row>
    <row r="26822">
      <c r="A26822" s="4" t="s">
        <v>33754</v>
      </c>
      <c r="B26822" s="4" t="s">
        <v>33758</v>
      </c>
      <c r="C26822" s="5" t="str">
        <f>IFERROR(__xludf.DUMMYFUNCTION("GOOGLETRANSLATE(B26822,""en"",""de"")"),"Sie wischt sich weiter im Fenster ab, während sie mit der Kamera spricht.")</f>
        <v>Sie wischt sich weiter im Fenster ab, während sie mit der Kamera spricht.</v>
      </c>
    </row>
    <row r="26823">
      <c r="A26823" s="4" t="s">
        <v>33759</v>
      </c>
      <c r="B26823" s="4" t="s">
        <v>33760</v>
      </c>
      <c r="C26823" s="5" t="str">
        <f>IFERROR(__xludf.DUMMYFUNCTION("GOOGLETRANSLATE(B26823,""en"",""de"")"),"Ein Mädchen erwärmt sich und streckt sich und greift 2 große Seile.")</f>
        <v>Ein Mädchen erwärmt sich und streckt sich und greift 2 große Seile.</v>
      </c>
    </row>
    <row r="26824">
      <c r="A26824" s="4" t="s">
        <v>33759</v>
      </c>
      <c r="B26824" s="4" t="s">
        <v>33761</v>
      </c>
      <c r="C26824" s="5" t="str">
        <f>IFERROR(__xludf.DUMMYFUNCTION("GOOGLETRANSLATE(B26824,""en"",""de"")"),"Zwei Frauen halten jedes Seil und das Mädchen versucht, beide Seile gleichzeitig zu ziehen.")</f>
        <v>Zwei Frauen halten jedes Seil und das Mädchen versucht, beide Seile gleichzeitig zu ziehen.</v>
      </c>
    </row>
    <row r="26825">
      <c r="A26825" s="4" t="s">
        <v>33759</v>
      </c>
      <c r="B26825" s="4" t="s">
        <v>33762</v>
      </c>
      <c r="C26825" s="5" t="str">
        <f>IFERROR(__xludf.DUMMYFUNCTION("GOOGLETRANSLATE(B26825,""en"",""de"")"),"Sie zieht weiter am Seil und gelingt es, die beiden Frauen näher an sie zu ziehen.")</f>
        <v>Sie zieht weiter am Seil und gelingt es, die beiden Frauen näher an sie zu ziehen.</v>
      </c>
    </row>
    <row r="26826">
      <c r="A26826" s="4" t="s">
        <v>33763</v>
      </c>
      <c r="B26826" s="4" t="s">
        <v>33764</v>
      </c>
      <c r="C26826" s="5" t="str">
        <f>IFERROR(__xludf.DUMMYFUNCTION("GOOGLETRANSLATE(B26826,""en"",""de"")"),"Kühe laufen durch Felder mit Männern, die mit Stöcken nachjagen.")</f>
        <v>Kühe laufen durch Felder mit Männern, die mit Stöcken nachjagen.</v>
      </c>
    </row>
    <row r="26827">
      <c r="A26827" s="4" t="s">
        <v>33763</v>
      </c>
      <c r="B26827" s="4" t="s">
        <v>33765</v>
      </c>
      <c r="C26827" s="5" t="str">
        <f>IFERROR(__xludf.DUMMYFUNCTION("GOOGLETRANSLATE(B26827,""en"",""de"")"),"Die Männer aufrühren die Kühe und lassen sie miteinander kämpfen.")</f>
        <v>Die Männer aufrühren die Kühe und lassen sie miteinander kämpfen.</v>
      </c>
    </row>
    <row r="26828">
      <c r="A26828" s="4" t="s">
        <v>33763</v>
      </c>
      <c r="B26828" s="4" t="s">
        <v>33766</v>
      </c>
      <c r="C26828" s="5" t="str">
        <f>IFERROR(__xludf.DUMMYFUNCTION("GOOGLETRANSLATE(B26828,""en"",""de"")"),"Die Männer singen und tanzen um die Kühe.")</f>
        <v>Die Männer singen und tanzen um die Kühe.</v>
      </c>
    </row>
    <row r="26829">
      <c r="A26829" s="4" t="s">
        <v>33763</v>
      </c>
      <c r="B26829" s="4" t="s">
        <v>33767</v>
      </c>
      <c r="C26829" s="5" t="str">
        <f>IFERROR(__xludf.DUMMYFUNCTION("GOOGLETRANSLATE(B26829,""en"",""de"")"),"Die Medien interviewt Männer aus der Menge.")</f>
        <v>Die Medien interviewt Männer aus der Menge.</v>
      </c>
    </row>
    <row r="26830">
      <c r="A26830" s="4" t="s">
        <v>33763</v>
      </c>
      <c r="B26830" s="4" t="s">
        <v>33768</v>
      </c>
      <c r="C26830" s="5" t="str">
        <f>IFERROR(__xludf.DUMMYFUNCTION("GOOGLETRANSLATE(B26830,""en"",""de"")"),"Ein weiblicher Reporter hält ein Mikrofon, während er einen Nachrichtenbericht erstellt.")</f>
        <v>Ein weiblicher Reporter hält ein Mikrofon, während er einen Nachrichtenbericht erstellt.</v>
      </c>
    </row>
    <row r="26831">
      <c r="A26831" s="4" t="s">
        <v>33763</v>
      </c>
      <c r="B26831" s="4" t="s">
        <v>33769</v>
      </c>
      <c r="C26831" s="5" t="str">
        <f>IFERROR(__xludf.DUMMYFUNCTION("GOOGLETRANSLATE(B26831,""en"",""de"")"),"Eine große Menge von Männern folgt ihr.")</f>
        <v>Eine große Menge von Männern folgt ihr.</v>
      </c>
    </row>
    <row r="26832">
      <c r="A26832" s="4" t="s">
        <v>33770</v>
      </c>
      <c r="B26832" s="4" t="s">
        <v>33771</v>
      </c>
      <c r="C26832" s="5" t="str">
        <f>IFERROR(__xludf.DUMMYFUNCTION("GOOGLETRANSLATE(B26832,""en"",""de"")"),"Mehrere Menschen knien an einem Strand, der einem kleinen Kind hilft, Sandburgen zu machen.")</f>
        <v>Mehrere Menschen knien an einem Strand, der einem kleinen Kind hilft, Sandburgen zu machen.</v>
      </c>
    </row>
    <row r="26833">
      <c r="A26833" s="4" t="s">
        <v>33770</v>
      </c>
      <c r="B26833" s="4" t="s">
        <v>33772</v>
      </c>
      <c r="C26833" s="5" t="str">
        <f>IFERROR(__xludf.DUMMYFUNCTION("GOOGLETRANSLATE(B26833,""en"",""de"")"),"Viele Menschen laufen am Strand herum, als die Frau und die ältere Frau weiterhin Sandburgen machen.")</f>
        <v>Viele Menschen laufen am Strand herum, als die Frau und die ältere Frau weiterhin Sandburgen machen.</v>
      </c>
    </row>
    <row r="26834">
      <c r="A26834" s="4" t="s">
        <v>33773</v>
      </c>
      <c r="B26834" s="4" t="s">
        <v>33774</v>
      </c>
      <c r="C26834" s="5" t="str">
        <f>IFERROR(__xludf.DUMMYFUNCTION("GOOGLETRANSLATE(B26834,""en"",""de"")"),"Ein paar große Luftballons schweben über dem Meerwasser.")</f>
        <v>Ein paar große Luftballons schweben über dem Meerwasser.</v>
      </c>
    </row>
    <row r="26835">
      <c r="A26835" s="4" t="s">
        <v>33773</v>
      </c>
      <c r="B26835" s="4" t="s">
        <v>33775</v>
      </c>
      <c r="C26835" s="5" t="str">
        <f>IFERROR(__xludf.DUMMYFUNCTION("GOOGLETRANSLATE(B26835,""en"",""de"")"),"Konkurrentbootfahrer werden im Wasser gefahren.")</f>
        <v>Konkurrentbootfahrer werden im Wasser gefahren.</v>
      </c>
    </row>
    <row r="26836">
      <c r="A26836" s="4" t="s">
        <v>33773</v>
      </c>
      <c r="B26836" s="4" t="s">
        <v>33776</v>
      </c>
      <c r="C26836" s="5" t="str">
        <f>IFERROR(__xludf.DUMMYFUNCTION("GOOGLETRANSLATE(B26836,""en"",""de"")"),"Sie paddeln schnell zur Finish -Marke.")</f>
        <v>Sie paddeln schnell zur Finish -Marke.</v>
      </c>
    </row>
    <row r="26837">
      <c r="A26837" s="4" t="s">
        <v>33777</v>
      </c>
      <c r="B26837" s="4" t="s">
        <v>33778</v>
      </c>
      <c r="C26837" s="5" t="str">
        <f>IFERROR(__xludf.DUMMYFUNCTION("GOOGLETRANSLATE(B26837,""en"",""de"")"),"Ein Mädchen rennt in Zeitlupe eine Spur.")</f>
        <v>Ein Mädchen rennt in Zeitlupe eine Spur.</v>
      </c>
    </row>
    <row r="26838">
      <c r="A26838" s="4" t="s">
        <v>33777</v>
      </c>
      <c r="B26838" s="4" t="s">
        <v>33779</v>
      </c>
      <c r="C26838" s="5" t="str">
        <f>IFERROR(__xludf.DUMMYFUNCTION("GOOGLETRANSLATE(B26838,""en"",""de"")"),"Sie macht einen großen Sprung und schleudert sich über eine Bar.")</f>
        <v>Sie macht einen großen Sprung und schleudert sich über eine Bar.</v>
      </c>
    </row>
    <row r="26839">
      <c r="A26839" s="4" t="s">
        <v>33777</v>
      </c>
      <c r="B26839" s="4" t="s">
        <v>33780</v>
      </c>
      <c r="C26839" s="5" t="str">
        <f>IFERROR(__xludf.DUMMYFUNCTION("GOOGLETRANSLATE(B26839,""en"",""de"")"),"Sie wird gezeigt, dass sie die Handlung in Zeitlupe erneut ausführt.")</f>
        <v>Sie wird gezeigt, dass sie die Handlung in Zeitlupe erneut ausführt.</v>
      </c>
    </row>
    <row r="26840">
      <c r="A26840" s="4" t="s">
        <v>33781</v>
      </c>
      <c r="B26840" s="4" t="s">
        <v>33782</v>
      </c>
      <c r="C26840" s="5" t="str">
        <f>IFERROR(__xludf.DUMMYFUNCTION("GOOGLETRANSLATE(B26840,""en"",""de"")"),"Ein Mädchen klopft an eine Tür, aber niemand antwortet.")</f>
        <v>Ein Mädchen klopft an eine Tür, aber niemand antwortet.</v>
      </c>
    </row>
    <row r="26841">
      <c r="A26841" s="4" t="s">
        <v>33781</v>
      </c>
      <c r="B26841" s="4" t="s">
        <v>33783</v>
      </c>
      <c r="C26841" s="5" t="str">
        <f>IFERROR(__xludf.DUMMYFUNCTION("GOOGLETRANSLATE(B26841,""en"",""de"")"),"Sie tanzt und bereitet das Essen vor dem Herd mit einer anderen Frau vor.")</f>
        <v>Sie tanzt und bereitet das Essen vor dem Herd mit einer anderen Frau vor.</v>
      </c>
    </row>
    <row r="26842">
      <c r="A26842" s="4" t="s">
        <v>33781</v>
      </c>
      <c r="B26842" s="4" t="s">
        <v>33784</v>
      </c>
      <c r="C26842" s="5" t="str">
        <f>IFERROR(__xludf.DUMMYFUNCTION("GOOGLETRANSLATE(B26842,""en"",""de"")"),"Sie kämpft und dann trennen beide Mädchen.")</f>
        <v>Sie kämpft und dann trennen beide Mädchen.</v>
      </c>
    </row>
    <row r="26843">
      <c r="A26843" s="4" t="s">
        <v>33785</v>
      </c>
      <c r="B26843" s="4" t="s">
        <v>33786</v>
      </c>
      <c r="C26843" s="5" t="str">
        <f>IFERROR(__xludf.DUMMYFUNCTION("GOOGLETRANSLATE(B26843,""en"",""de"")"),"Die Leute sind in einem Schwimmbad und spielen Wasserball.")</f>
        <v>Die Leute sind in einem Schwimmbad und spielen Wasserball.</v>
      </c>
    </row>
    <row r="26844">
      <c r="A26844" s="4" t="s">
        <v>33785</v>
      </c>
      <c r="B26844" s="4" t="s">
        <v>33787</v>
      </c>
      <c r="C26844" s="5" t="str">
        <f>IFERROR(__xludf.DUMMYFUNCTION("GOOGLETRANSLATE(B26844,""en"",""de"")"),"Eine Frau geht außerhalb des Pools.")</f>
        <v>Eine Frau geht außerhalb des Pools.</v>
      </c>
    </row>
    <row r="26845">
      <c r="A26845" s="4" t="s">
        <v>33785</v>
      </c>
      <c r="B26845" s="4" t="s">
        <v>33788</v>
      </c>
      <c r="C26845" s="5" t="str">
        <f>IFERROR(__xludf.DUMMYFUNCTION("GOOGLETRANSLATE(B26845,""en"",""de"")"),"Ein Mann reibt sich im Wasser das Gesicht, bevor er aus dem Wasser steigt.")</f>
        <v>Ein Mann reibt sich im Wasser das Gesicht, bevor er aus dem Wasser steigt.</v>
      </c>
    </row>
    <row r="26846">
      <c r="A26846" s="4" t="s">
        <v>33789</v>
      </c>
      <c r="B26846" s="4" t="s">
        <v>33790</v>
      </c>
      <c r="C26846" s="5" t="str">
        <f>IFERROR(__xludf.DUMMYFUNCTION("GOOGLETRANSLATE(B26846,""en"",""de"")"),"Die Video -Statistiken, in denen erläutert wird, wie Omelett -Muffins hergestellt werden.")</f>
        <v>Die Video -Statistiken, in denen erläutert wird, wie Omelett -Muffins hergestellt werden.</v>
      </c>
    </row>
    <row r="26847">
      <c r="A26847" s="4" t="s">
        <v>33789</v>
      </c>
      <c r="B26847" s="4" t="s">
        <v>33791</v>
      </c>
      <c r="C26847" s="5" t="str">
        <f>IFERROR(__xludf.DUMMYFUNCTION("GOOGLETRANSLATE(B26847,""en"",""de"")"),"Sie zeigt die Zutaten und erzählt, worauf er den Ofen einstellen soll.")</f>
        <v>Sie zeigt die Zutaten und erzählt, worauf er den Ofen einstellen soll.</v>
      </c>
    </row>
    <row r="26848">
      <c r="A26848" s="4" t="s">
        <v>33789</v>
      </c>
      <c r="B26848" s="4" t="s">
        <v>33792</v>
      </c>
      <c r="C26848" s="5" t="str">
        <f>IFERROR(__xludf.DUMMYFUNCTION("GOOGLETRANSLATE(B26848,""en"",""de"")"),"Sie mischt alles zusammen und rührt es mit Gewürzen auf.")</f>
        <v>Sie mischt alles zusammen und rührt es mit Gewürzen auf.</v>
      </c>
    </row>
    <row r="26849">
      <c r="A26849" s="4" t="s">
        <v>33789</v>
      </c>
      <c r="B26849" s="4" t="s">
        <v>33793</v>
      </c>
      <c r="C26849" s="5" t="str">
        <f>IFERROR(__xludf.DUMMYFUNCTION("GOOGLETRANSLATE(B26849,""en"",""de"")"),"Sie steckt es dann in das Tablett und in den Ofen, um zu backen.")</f>
        <v>Sie steckt es dann in das Tablett und in den Ofen, um zu backen.</v>
      </c>
    </row>
    <row r="26850">
      <c r="A26850" s="4" t="s">
        <v>33789</v>
      </c>
      <c r="B26850" s="4" t="s">
        <v>33794</v>
      </c>
      <c r="C26850" s="5" t="str">
        <f>IFERROR(__xludf.DUMMYFUNCTION("GOOGLETRANSLATE(B26850,""en"",""de"")"),"Danach nimmt sie es heraus und zeigt das fertige Produkt.")</f>
        <v>Danach nimmt sie es heraus und zeigt das fertige Produkt.</v>
      </c>
    </row>
    <row r="26851">
      <c r="A26851" s="4" t="s">
        <v>33795</v>
      </c>
      <c r="B26851" s="4" t="s">
        <v>33796</v>
      </c>
      <c r="C26851" s="5" t="str">
        <f>IFERROR(__xludf.DUMMYFUNCTION("GOOGLETRANSLATE(B26851,""en"",""de"")"),"Bilder von Menschenhaaren werden gezeigt.")</f>
        <v>Bilder von Menschenhaaren werden gezeigt.</v>
      </c>
    </row>
    <row r="26852">
      <c r="A26852" s="4" t="s">
        <v>33795</v>
      </c>
      <c r="B26852" s="4" t="s">
        <v>33797</v>
      </c>
      <c r="C26852" s="5" t="str">
        <f>IFERROR(__xludf.DUMMYFUNCTION("GOOGLETRANSLATE(B26852,""en"",""de"")"),"Eine Frau in einem rosa Hemd hat Bilder von ihren Haaren.")</f>
        <v>Eine Frau in einem rosa Hemd hat Bilder von ihren Haaren.</v>
      </c>
    </row>
    <row r="26853">
      <c r="A26853" s="4" t="s">
        <v>33795</v>
      </c>
      <c r="B26853" s="4" t="s">
        <v>33798</v>
      </c>
      <c r="C26853" s="5" t="str">
        <f>IFERROR(__xludf.DUMMYFUNCTION("GOOGLETRANSLATE(B26853,""en"",""de"")"),"Wörter kommen am Ende auf den Bildschirm.")</f>
        <v>Wörter kommen am Ende auf den Bildschirm.</v>
      </c>
    </row>
    <row r="26854">
      <c r="A26854" s="4" t="s">
        <v>33799</v>
      </c>
      <c r="B26854" s="4" t="s">
        <v>33800</v>
      </c>
      <c r="C26854" s="5" t="str">
        <f>IFERROR(__xludf.DUMMYFUNCTION("GOOGLETRANSLATE(B26854,""en"",""de"")"),"Eine Gruppe von Turner betritt die Vorderseite eines Stadions.")</f>
        <v>Eine Gruppe von Turner betritt die Vorderseite eines Stadions.</v>
      </c>
    </row>
    <row r="26855">
      <c r="A26855" s="4" t="s">
        <v>33799</v>
      </c>
      <c r="B26855" s="4" t="s">
        <v>33801</v>
      </c>
      <c r="C26855" s="5" t="str">
        <f>IFERROR(__xludf.DUMMYFUNCTION("GOOGLETRANSLATE(B26855,""en"",""de"")"),"Als nächstes wird ein Turner an der Bar gezeigt und macht mehrere Tricks aus, die aus Flips und Handständen bestehen, um zu landen und zu gehen.")</f>
        <v>Als nächstes wird ein Turner an der Bar gezeigt und macht mehrere Tricks aus, die aus Flips und Handständen bestehen, um zu landen und zu gehen.</v>
      </c>
    </row>
    <row r="26856">
      <c r="A26856" s="4" t="s">
        <v>33799</v>
      </c>
      <c r="B26856" s="4" t="s">
        <v>33802</v>
      </c>
      <c r="C26856" s="5" t="str">
        <f>IFERROR(__xludf.DUMMYFUNCTION("GOOGLETRANSLATE(B26856,""en"",""de"")"),"Als ein Mann in seiner Nähe läuft, wird eine Wiederholung der Fälle gezeigt, in denen er durcheinander gebracht wurde und dann seine Punktzahl gezeigt wird.")</f>
        <v>Als ein Mann in seiner Nähe läuft, wird eine Wiederholung der Fälle gezeigt, in denen er durcheinander gebracht wurde und dann seine Punktzahl gezeigt wird.</v>
      </c>
    </row>
    <row r="26857">
      <c r="A26857" s="4" t="s">
        <v>33799</v>
      </c>
      <c r="B26857" s="4" t="s">
        <v>33803</v>
      </c>
      <c r="C26857" s="5" t="str">
        <f>IFERROR(__xludf.DUMMYFUNCTION("GOOGLETRANSLATE(B26857,""en"",""de"")"),"Ein anderer Mann wird gezeigt, dass er verschiedene Tricks und Flips macht, aber anstatt über der Stange zu stehen, startet er unter der Stange und kommt oben, um einen Handstand zu machen, bevor er schließlich abflippt.")</f>
        <v>Ein anderer Mann wird gezeigt, dass er verschiedene Tricks und Flips macht, aber anstatt über der Stange zu stehen, startet er unter der Stange und kommt oben, um einen Handstand zu machen, bevor er schließlich abflippt.</v>
      </c>
    </row>
    <row r="26858">
      <c r="A26858" s="4" t="s">
        <v>33799</v>
      </c>
      <c r="B26858" s="4" t="s">
        <v>33804</v>
      </c>
      <c r="C26858" s="5" t="str">
        <f>IFERROR(__xludf.DUMMYFUNCTION("GOOGLETRANSLATE(B26858,""en"",""de"")"),"Mehrere andere Teams nähern sich der Bar und auch sie machen die gleichen Tricks in ihrer Konkurrenz.")</f>
        <v>Mehrere andere Teams nähern sich der Bar und auch sie machen die gleichen Tricks in ihrer Konkurrenz.</v>
      </c>
    </row>
    <row r="26859">
      <c r="A26859" s="4" t="s">
        <v>33799</v>
      </c>
      <c r="B26859" s="4" t="s">
        <v>33805</v>
      </c>
      <c r="C26859" s="5" t="str">
        <f>IFERROR(__xludf.DUMMYFUNCTION("GOOGLETRANSLATE(B26859,""en"",""de"")"),"Der Gewinner winkt dann mit seiner Flagge und winkte mit seiner Hand zur Menge.")</f>
        <v>Der Gewinner winkt dann mit seiner Flagge und winkte mit seiner Hand zur Menge.</v>
      </c>
    </row>
    <row r="26860">
      <c r="A26860" s="4" t="s">
        <v>33806</v>
      </c>
      <c r="B26860" s="4" t="s">
        <v>33807</v>
      </c>
      <c r="C26860" s="5" t="str">
        <f>IFERROR(__xludf.DUMMYFUNCTION("GOOGLETRANSLATE(B26860,""en"",""de"")"),"Wir sehen einen Mann in einem Raum vor einem Bücherregal mit einem Keks.")</f>
        <v>Wir sehen einen Mann in einem Raum vor einem Bücherregal mit einem Keks.</v>
      </c>
    </row>
    <row r="26861">
      <c r="A26861" s="4" t="s">
        <v>33806</v>
      </c>
      <c r="B26861" s="4" t="s">
        <v>33808</v>
      </c>
      <c r="C26861" s="5" t="str">
        <f>IFERROR(__xludf.DUMMYFUNCTION("GOOGLETRANSLATE(B26861,""en"",""de"")"),"Der Keks wird vom Mann geschnappt.")</f>
        <v>Der Keks wird vom Mann geschnappt.</v>
      </c>
    </row>
    <row r="26862">
      <c r="A26862" s="4" t="s">
        <v>33806</v>
      </c>
      <c r="B26862" s="4" t="s">
        <v>33809</v>
      </c>
      <c r="C26862" s="5" t="str">
        <f>IFERROR(__xludf.DUMMYFUNCTION("GOOGLETRANSLATE(B26862,""en"",""de"")"),"Wir sehen das Gesicht eines Jungen.")</f>
        <v>Wir sehen das Gesicht eines Jungen.</v>
      </c>
    </row>
    <row r="26863">
      <c r="A26863" s="4" t="s">
        <v>33806</v>
      </c>
      <c r="B26863" s="4" t="s">
        <v>33810</v>
      </c>
      <c r="C26863" s="5" t="str">
        <f>IFERROR(__xludf.DUMMYFUNCTION("GOOGLETRANSLATE(B26863,""en"",""de"")"),"Wir sehen Zutaten, die einer Schüssel hinzugefügt werden.")</f>
        <v>Wir sehen Zutaten, die einer Schüssel hinzugefügt werden.</v>
      </c>
    </row>
    <row r="26864">
      <c r="A26864" s="4" t="s">
        <v>33806</v>
      </c>
      <c r="B26864" s="4" t="s">
        <v>33811</v>
      </c>
      <c r="C26864" s="5" t="str">
        <f>IFERROR(__xludf.DUMMYFUNCTION("GOOGLETRANSLATE(B26864,""en"",""de"")"),"Wir wechseln und sehen eine Katze.")</f>
        <v>Wir wechseln und sehen eine Katze.</v>
      </c>
    </row>
    <row r="26865">
      <c r="A26865" s="4" t="s">
        <v>33806</v>
      </c>
      <c r="B26865" s="4" t="s">
        <v>33812</v>
      </c>
      <c r="C26865" s="5" t="str">
        <f>IFERROR(__xludf.DUMMYFUNCTION("GOOGLETRANSLATE(B26865,""en"",""de"")"),"Wir sehen Zutaten in einem Mixer und gießen dann in eine Schüssel gegossen und dann gekühlt.")</f>
        <v>Wir sehen Zutaten in einem Mixer und gießen dann in eine Schüssel gegossen und dann gekühlt.</v>
      </c>
    </row>
    <row r="26866">
      <c r="A26866" s="4" t="s">
        <v>33806</v>
      </c>
      <c r="B26866" s="4" t="s">
        <v>33813</v>
      </c>
      <c r="C26866" s="5" t="str">
        <f>IFERROR(__xludf.DUMMYFUNCTION("GOOGLETRANSLATE(B26866,""en"",""de"")"),"Wir sehen die Katze wieder erscheinen.")</f>
        <v>Wir sehen die Katze wieder erscheinen.</v>
      </c>
    </row>
    <row r="26867">
      <c r="A26867" s="4" t="s">
        <v>33806</v>
      </c>
      <c r="B26867" s="4" t="s">
        <v>33814</v>
      </c>
      <c r="C26867" s="5" t="str">
        <f>IFERROR(__xludf.DUMMYFUNCTION("GOOGLETRANSLATE(B26867,""en"",""de"")"),"Eine Person formt Kugeln und beschichtet sie mit pulverisiertem Zucker.")</f>
        <v>Eine Person formt Kugeln und beschichtet sie mit pulverisiertem Zucker.</v>
      </c>
    </row>
    <row r="26868">
      <c r="A26868" s="4" t="s">
        <v>33806</v>
      </c>
      <c r="B26868" s="4" t="s">
        <v>33815</v>
      </c>
      <c r="C26868" s="5" t="str">
        <f>IFERROR(__xludf.DUMMYFUNCTION("GOOGLETRANSLATE(B26868,""en"",""de"")"),"Die Kekse sind gebacken.")</f>
        <v>Die Kekse sind gebacken.</v>
      </c>
    </row>
    <row r="26869">
      <c r="A26869" s="4" t="s">
        <v>33806</v>
      </c>
      <c r="B26869" s="4" t="s">
        <v>33816</v>
      </c>
      <c r="C26869" s="5" t="str">
        <f>IFERROR(__xludf.DUMMYFUNCTION("GOOGLETRANSLATE(B26869,""en"",""de"")"),"Wir sehen den Mann mit einem Mädchen reden.")</f>
        <v>Wir sehen den Mann mit einem Mädchen reden.</v>
      </c>
    </row>
    <row r="26870">
      <c r="A26870" s="4" t="s">
        <v>33806</v>
      </c>
      <c r="B26870" s="4" t="s">
        <v>33817</v>
      </c>
      <c r="C26870" s="5" t="str">
        <f>IFERROR(__xludf.DUMMYFUNCTION("GOOGLETRANSLATE(B26870,""en"",""de"")"),"Wir sehen die Kekse und zwei Tassen.")</f>
        <v>Wir sehen die Kekse und zwei Tassen.</v>
      </c>
    </row>
    <row r="26871">
      <c r="A26871" s="4" t="s">
        <v>33806</v>
      </c>
      <c r="B26871" s="4" t="s">
        <v>33818</v>
      </c>
      <c r="C26871" s="5" t="str">
        <f>IFERROR(__xludf.DUMMYFUNCTION("GOOGLETRANSLATE(B26871,""en"",""de"")"),"Wir sehen den Mann mit zwei Kindern.")</f>
        <v>Wir sehen den Mann mit zwei Kindern.</v>
      </c>
    </row>
    <row r="26872">
      <c r="A26872" s="4" t="s">
        <v>33819</v>
      </c>
      <c r="B26872" s="4" t="s">
        <v>33820</v>
      </c>
      <c r="C26872" s="5" t="str">
        <f>IFERROR(__xludf.DUMMYFUNCTION("GOOGLETRANSLATE(B26872,""en"",""de"")"),"Eine Frau spielt eine Reihe von Dudelsets, während die Leute um sie herum sitzen und zuschauen.")</f>
        <v>Eine Frau spielt eine Reihe von Dudelsets, während die Leute um sie herum sitzen und zuschauen.</v>
      </c>
    </row>
    <row r="26873">
      <c r="A26873" s="4" t="s">
        <v>33819</v>
      </c>
      <c r="B26873" s="4" t="s">
        <v>33821</v>
      </c>
      <c r="C26873" s="5" t="str">
        <f>IFERROR(__xludf.DUMMYFUNCTION("GOOGLETRANSLATE(B26873,""en"",""de"")"),"Das Mädchen spielt weiter, während die Kamera ihre Hände entlang des Instruments bewegt und ein Mann neben ihr stand, um zu posieren und Veränderungen zu werfen.")</f>
        <v>Das Mädchen spielt weiter, während die Kamera ihre Hände entlang des Instruments bewegt und ein Mann neben ihr stand, um zu posieren und Veränderungen zu werfen.</v>
      </c>
    </row>
    <row r="26874">
      <c r="A26874" s="4" t="s">
        <v>33822</v>
      </c>
      <c r="B26874" s="4" t="s">
        <v>33823</v>
      </c>
      <c r="C26874" s="5" t="str">
        <f>IFERROR(__xludf.DUMMYFUNCTION("GOOGLETRANSLATE(B26874,""en"",""de"")"),"Ein Mann steht vor einem großen Baumstamm, der eine Axt in seinen Händen hält.")</f>
        <v>Ein Mann steht vor einem großen Baumstamm, der eine Axt in seinen Händen hält.</v>
      </c>
    </row>
    <row r="26875">
      <c r="A26875" s="4" t="s">
        <v>33822</v>
      </c>
      <c r="B26875" s="4" t="s">
        <v>33824</v>
      </c>
      <c r="C26875" s="5" t="str">
        <f>IFERROR(__xludf.DUMMYFUNCTION("GOOGLETRANSLATE(B26875,""en"",""de"")"),"Er hält die Axt über seinem Kopf, während er immer noch auf den Baumstamm hinunterblickte.")</f>
        <v>Er hält die Axt über seinem Kopf, während er immer noch auf den Baumstamm hinunterblickte.</v>
      </c>
    </row>
    <row r="26876">
      <c r="A26876" s="4" t="s">
        <v>33822</v>
      </c>
      <c r="B26876" s="4" t="s">
        <v>33825</v>
      </c>
      <c r="C26876" s="5" t="str">
        <f>IFERROR(__xludf.DUMMYFUNCTION("GOOGLETRANSLATE(B26876,""en"",""de"")"),"Er schwingt die Axt nach unten und kräuselt das Protokoll in zwei Hälften.")</f>
        <v>Er schwingt die Axt nach unten und kräuselt das Protokoll in zwei Hälften.</v>
      </c>
    </row>
    <row r="26877">
      <c r="A26877" s="4" t="s">
        <v>33826</v>
      </c>
      <c r="B26877" s="4" t="s">
        <v>33827</v>
      </c>
      <c r="C26877" s="5" t="str">
        <f>IFERROR(__xludf.DUMMYFUNCTION("GOOGLETRANSLATE(B26877,""en"",""de"")"),"Die Leute sind in einem Raum, der miteinander spricht.")</f>
        <v>Die Leute sind in einem Raum, der miteinander spricht.</v>
      </c>
    </row>
    <row r="26878">
      <c r="A26878" s="4" t="s">
        <v>33826</v>
      </c>
      <c r="B26878" s="4" t="s">
        <v>33828</v>
      </c>
      <c r="C26878" s="5" t="str">
        <f>IFERROR(__xludf.DUMMYFUNCTION("GOOGLETRANSLATE(B26878,""en"",""de"")"),"Dann treten die Männer am Arm an und der Gewinner sieht glücklich aus, während Menschen
 applaudieren.")</f>
        <v>Dann treten die Männer am Arm an und der Gewinner sieht glücklich aus, während Menschen
 applaudieren.</v>
      </c>
    </row>
    <row r="26879">
      <c r="A26879" s="4" t="s">
        <v>33826</v>
      </c>
      <c r="B26879" s="4" t="s">
        <v>33829</v>
      </c>
      <c r="C26879" s="5" t="str">
        <f>IFERROR(__xludf.DUMMYFUNCTION("GOOGLETRANSLATE(B26879,""en"",""de"")"),"Ein Mann trinkt Bier aus einer Flasche.")</f>
        <v>Ein Mann trinkt Bier aus einer Flasche.</v>
      </c>
    </row>
    <row r="26880">
      <c r="A26880" s="4" t="s">
        <v>33830</v>
      </c>
      <c r="B26880" s="4" t="s">
        <v>33831</v>
      </c>
      <c r="C26880" s="5" t="str">
        <f>IFERROR(__xludf.DUMMYFUNCTION("GOOGLETRANSLATE(B26880,""en"",""de"")"),"Eine Person ist gesehen, wie sie um einen Paintball -Kurs herumläuft und führt in Clips von Leuten, die Paintball spielen und miteinander sprechen.")</f>
        <v>Eine Person ist gesehen, wie sie um einen Paintball -Kurs herumläuft und führt in Clips von Leuten, die Paintball spielen und miteinander sprechen.</v>
      </c>
    </row>
    <row r="26881">
      <c r="A26881" s="4" t="s">
        <v>33830</v>
      </c>
      <c r="B26881" s="4" t="s">
        <v>33832</v>
      </c>
      <c r="C26881" s="5" t="str">
        <f>IFERROR(__xludf.DUMMYFUNCTION("GOOGLETRANSLATE(B26881,""en"",""de"")"),"Ein Mann weist auf die Kamera hin und führt zu mehr Schüssen von Menschen, die miteinander spielen und arbeiten.")</f>
        <v>Ein Mann weist auf die Kamera hin und führt zu mehr Schüssen von Menschen, die miteinander spielen und arbeiten.</v>
      </c>
    </row>
    <row r="26882">
      <c r="A26882" s="4" t="s">
        <v>33833</v>
      </c>
      <c r="B26882" s="4" t="s">
        <v>33834</v>
      </c>
      <c r="C26882" s="5" t="str">
        <f>IFERROR(__xludf.DUMMYFUNCTION("GOOGLETRANSLATE(B26882,""en"",""de"")"),"Eine Nahaufnahme eines Sandwichs wird von Zutaten und einer Frau gezeigt, die mit der Kamera spricht.")</f>
        <v>Eine Nahaufnahme eines Sandwichs wird von Zutaten und einer Frau gezeigt, die mit der Kamera spricht.</v>
      </c>
    </row>
    <row r="26883">
      <c r="A26883" s="4" t="s">
        <v>33833</v>
      </c>
      <c r="B26883" s="4" t="s">
        <v>33835</v>
      </c>
      <c r="C26883" s="5" t="str">
        <f>IFERROR(__xludf.DUMMYFUNCTION("GOOGLETRANSLATE(B26883,""en"",""de"")"),"Es werden mehrere Zutaten angelegt und nacheinander in der Nähe gezeigt, während die Frau sie alle in einer Schüssel mischt.")</f>
        <v>Es werden mehrere Zutaten angelegt und nacheinander in der Nähe gezeigt, während die Frau sie alle in einer Schüssel mischt.</v>
      </c>
    </row>
    <row r="26884">
      <c r="A26884" s="4" t="s">
        <v>33833</v>
      </c>
      <c r="B26884" s="4" t="s">
        <v>33836</v>
      </c>
      <c r="C26884" s="5" t="str">
        <f>IFERROR(__xludf.DUMMYFUNCTION("GOOGLETRANSLATE(B26884,""en"",""de"")"),"Dann gießt sie die Mischung auf eine Pause und präsentiert sie auf einem Teller, während sie kontinuierlich spricht.")</f>
        <v>Dann gießt sie die Mischung auf eine Pause und präsentiert sie auf einem Teller, während sie kontinuierlich spricht.</v>
      </c>
    </row>
    <row r="26885">
      <c r="A26885" s="4" t="s">
        <v>33837</v>
      </c>
      <c r="B26885" s="4" t="s">
        <v>33838</v>
      </c>
      <c r="C26885" s="5" t="str">
        <f>IFERROR(__xludf.DUMMYFUNCTION("GOOGLETRANSLATE(B26885,""en"",""de"")"),"Ein Mann legt Handpapier an die Wand, er versucht, es genau richtig zu messen, damit es sogar mit dem Rest ist.")</f>
        <v>Ein Mann legt Handpapier an die Wand, er versucht, es genau richtig zu messen, damit es sogar mit dem Rest ist.</v>
      </c>
    </row>
    <row r="26886">
      <c r="A26886" s="4" t="s">
        <v>33837</v>
      </c>
      <c r="B26886" s="4" t="s">
        <v>33839</v>
      </c>
      <c r="C26886" s="5" t="str">
        <f>IFERROR(__xludf.DUMMYFUNCTION("GOOGLETRANSLATE(B26886,""en"",""de"")"),"Er schneidet einen Teil des Papiers und nimmt das Plastikteil von der Rückseite, so dass es klebrig ist und beginnt, die Klebeseite an der Wand nach unten zu drücken.")</f>
        <v>Er schneidet einen Teil des Papiers und nimmt das Plastikteil von der Rückseite, so dass es klebrig ist und beginnt, die Klebeseite an der Wand nach unten zu drücken.</v>
      </c>
    </row>
    <row r="26887">
      <c r="A26887" s="4" t="s">
        <v>33837</v>
      </c>
      <c r="B26887" s="4" t="s">
        <v>33840</v>
      </c>
      <c r="C26887" s="5" t="str">
        <f>IFERROR(__xludf.DUMMYFUNCTION("GOOGLETRANSLATE(B26887,""en"",""de"")"),"Er fängt an, Druck auszuüben, damit alle Blasen raus und es sieht gut und gleichmäßig aus.")</f>
        <v>Er fängt an, Druck auszuüben, damit alle Blasen raus und es sieht gut und gleichmäßig aus.</v>
      </c>
    </row>
    <row r="26888">
      <c r="A26888" s="4" t="s">
        <v>33837</v>
      </c>
      <c r="B26888" s="4" t="s">
        <v>33841</v>
      </c>
      <c r="C26888" s="5" t="str">
        <f>IFERROR(__xludf.DUMMYFUNCTION("GOOGLETRANSLATE(B26888,""en"",""de"")"),"Er steht zurück, um die Wand zu schauen und sicherzustellen, dass sie gut aussieht, und zeigt dann ein Vor und nach dem Foto.")</f>
        <v>Er steht zurück, um die Wand zu schauen und sicherzustellen, dass sie gut aussieht, und zeigt dann ein Vor und nach dem Foto.</v>
      </c>
    </row>
    <row r="26889">
      <c r="A26889" s="4" t="s">
        <v>33842</v>
      </c>
      <c r="B26889" s="4" t="s">
        <v>33843</v>
      </c>
      <c r="C26889" s="5" t="str">
        <f>IFERROR(__xludf.DUMMYFUNCTION("GOOGLETRANSLATE(B26889,""en"",""de"")"),"Ein Mann kniet auf einem Feld.")</f>
        <v>Ein Mann kniet auf einem Feld.</v>
      </c>
    </row>
    <row r="26890">
      <c r="A26890" s="4" t="s">
        <v>33842</v>
      </c>
      <c r="B26890" s="4" t="s">
        <v>33844</v>
      </c>
      <c r="C26890" s="5" t="str">
        <f>IFERROR(__xludf.DUMMYFUNCTION("GOOGLETRANSLATE(B26890,""en"",""de"")"),"Er nimmt einen schweren Ball auf und nutzt ihn, um zahlreiche Trainingstechniken durchzuführen.")</f>
        <v>Er nimmt einen schweren Ball auf und nutzt ihn, um zahlreiche Trainingstechniken durchzuführen.</v>
      </c>
    </row>
    <row r="26891">
      <c r="A26891" s="4" t="s">
        <v>33842</v>
      </c>
      <c r="B26891" s="4" t="s">
        <v>33845</v>
      </c>
      <c r="C26891" s="5" t="str">
        <f>IFERROR(__xludf.DUMMYFUNCTION("GOOGLETRANSLATE(B26891,""en"",""de"")"),"Dann setzt er es wieder auf das Gras.")</f>
        <v>Dann setzt er es wieder auf das Gras.</v>
      </c>
    </row>
    <row r="26892">
      <c r="A26892" s="4" t="s">
        <v>33846</v>
      </c>
      <c r="B26892" s="4" t="s">
        <v>33847</v>
      </c>
      <c r="C26892" s="5" t="str">
        <f>IFERROR(__xludf.DUMMYFUNCTION("GOOGLETRANSLATE(B26892,""en"",""de"")"),"Ein Boot fährt mit einem Mann, der andere herumfährt.")</f>
        <v>Ein Boot fährt mit einem Mann, der andere herumfährt.</v>
      </c>
    </row>
    <row r="26893">
      <c r="A26893" s="4" t="s">
        <v>33846</v>
      </c>
      <c r="B26893" s="4" t="s">
        <v>33848</v>
      </c>
      <c r="C26893" s="5" t="str">
        <f>IFERROR(__xludf.DUMMYFUNCTION("GOOGLETRANSLATE(B26893,""en"",""de"")"),"Eine Person ist gesehen, wie sie auf dem Rücken fährt und mehrere Flips und Tricks auf seinem Brett und auf ihrem Brett fährt.")</f>
        <v>Eine Person ist gesehen, wie sie auf dem Rücken fährt und mehrere Flips und Tricks auf seinem Brett und auf ihrem Brett fährt.</v>
      </c>
    </row>
    <row r="26894">
      <c r="A26894" s="4" t="s">
        <v>33846</v>
      </c>
      <c r="B26894" s="4" t="s">
        <v>33849</v>
      </c>
      <c r="C26894" s="5" t="str">
        <f>IFERROR(__xludf.DUMMYFUNCTION("GOOGLETRANSLATE(B26894,""en"",""de"")"),"Die Leute beobachten sowohl den Mann als auch die Kamera, während er weiter herumblättert und zur Kamera zurückblickt.")</f>
        <v>Die Leute beobachten sowohl den Mann als auch die Kamera, während er weiter herumblättert und zur Kamera zurückblickt.</v>
      </c>
    </row>
    <row r="26895">
      <c r="A26895" s="4" t="s">
        <v>33850</v>
      </c>
      <c r="B26895" s="4" t="s">
        <v>33851</v>
      </c>
      <c r="C26895" s="5" t="str">
        <f>IFERROR(__xludf.DUMMYFUNCTION("GOOGLETRANSLATE(B26895,""en"",""de"")"),"Ein Mann snowboarnt einen Schneehügel hinunter.")</f>
        <v>Ein Mann snowboarnt einen Schneehügel hinunter.</v>
      </c>
    </row>
    <row r="26896">
      <c r="A26896" s="4" t="s">
        <v>33850</v>
      </c>
      <c r="B26896" s="4" t="s">
        <v>33852</v>
      </c>
      <c r="C26896" s="5" t="str">
        <f>IFERROR(__xludf.DUMMYFUNCTION("GOOGLETRANSLATE(B26896,""en"",""de"")"),"Er springt in die Luft und macht Tricks von Rohren.")</f>
        <v>Er springt in die Luft und macht Tricks von Rohren.</v>
      </c>
    </row>
    <row r="26897">
      <c r="A26897" s="4" t="s">
        <v>33853</v>
      </c>
      <c r="B26897" s="4" t="s">
        <v>33854</v>
      </c>
      <c r="C26897" s="5" t="str">
        <f>IFERROR(__xludf.DUMMYFUNCTION("GOOGLETRANSLATE(B26897,""en"",""de"")"),"Ein Mann geht herum, während er einen Gürtel anstellt, mit vielen anderen Menschen im Raum.")</f>
        <v>Ein Mann geht herum, während er einen Gürtel anstellt, mit vielen anderen Menschen im Raum.</v>
      </c>
    </row>
    <row r="26898">
      <c r="A26898" s="4" t="s">
        <v>33853</v>
      </c>
      <c r="B26898" s="4" t="s">
        <v>33855</v>
      </c>
      <c r="C26898" s="5" t="str">
        <f>IFERROR(__xludf.DUMMYFUNCTION("GOOGLETRANSLATE(B26898,""en"",""de"")"),"Der Mann geht durch einen Tunnel, der von mehreren anderen Männern flankiert wird.")</f>
        <v>Der Mann geht durch einen Tunnel, der von mehreren anderen Männern flankiert wird.</v>
      </c>
    </row>
    <row r="26899">
      <c r="A26899" s="4" t="s">
        <v>33853</v>
      </c>
      <c r="B26899" s="4" t="s">
        <v>33856</v>
      </c>
      <c r="C26899" s="5" t="str">
        <f>IFERROR(__xludf.DUMMYFUNCTION("GOOGLETRANSLATE(B26899,""en"",""de"")"),"Der Mann steigt auf eine Bühne und verdunkelt seine Hände.")</f>
        <v>Der Mann steigt auf eine Bühne und verdunkelt seine Hände.</v>
      </c>
    </row>
    <row r="26900">
      <c r="A26900" s="4" t="s">
        <v>33853</v>
      </c>
      <c r="B26900" s="4" t="s">
        <v>33857</v>
      </c>
      <c r="C26900" s="5" t="str">
        <f>IFERROR(__xludf.DUMMYFUNCTION("GOOGLETRANSLATE(B26900,""en"",""de"")"),"Der Mann geht vor einer Langhantel mit Gewichten.")</f>
        <v>Der Mann geht vor einer Langhantel mit Gewichten.</v>
      </c>
    </row>
    <row r="26901">
      <c r="A26901" s="4" t="s">
        <v>33853</v>
      </c>
      <c r="B26901" s="4" t="s">
        <v>33858</v>
      </c>
      <c r="C26901" s="5" t="str">
        <f>IFERROR(__xludf.DUMMYFUNCTION("GOOGLETRANSLATE(B26901,""en"",""de"")"),"Der Mann hebt die Gewichte.")</f>
        <v>Der Mann hebt die Gewichte.</v>
      </c>
    </row>
    <row r="26902">
      <c r="A26902" s="4" t="s">
        <v>33853</v>
      </c>
      <c r="B26902" s="4" t="s">
        <v>33859</v>
      </c>
      <c r="C26902" s="5" t="str">
        <f>IFERROR(__xludf.DUMMYFUNCTION("GOOGLETRANSLATE(B26902,""en"",""de"")"),"Der Mann lässt die Gewichte fallen.")</f>
        <v>Der Mann lässt die Gewichte fallen.</v>
      </c>
    </row>
    <row r="26903">
      <c r="A26903" s="4" t="s">
        <v>33853</v>
      </c>
      <c r="B26903" s="4" t="s">
        <v>33860</v>
      </c>
      <c r="C26903" s="5" t="str">
        <f>IFERROR(__xludf.DUMMYFUNCTION("GOOGLETRANSLATE(B26903,""en"",""de"")"),"Der Mann geht von der Bühne, während die Begleiter das Gewicht auf der Bühne bewegen.")</f>
        <v>Der Mann geht von der Bühne, während die Begleiter das Gewicht auf der Bühne bewegen.</v>
      </c>
    </row>
    <row r="26904">
      <c r="A26904" s="4" t="s">
        <v>33853</v>
      </c>
      <c r="B26904" s="4" t="s">
        <v>33861</v>
      </c>
      <c r="C26904" s="5" t="str">
        <f>IFERROR(__xludf.DUMMYFUNCTION("GOOGLETRANSLATE(B26904,""en"",""de"")"),"Eine Wiederholung des Aufzugs wird aus einem anderen Winkel gezeigt.")</f>
        <v>Eine Wiederholung des Aufzugs wird aus einem anderen Winkel gezeigt.</v>
      </c>
    </row>
    <row r="26905">
      <c r="A26905" s="4" t="s">
        <v>33862</v>
      </c>
      <c r="B26905" s="4" t="s">
        <v>33863</v>
      </c>
      <c r="C26905" s="5" t="str">
        <f>IFERROR(__xludf.DUMMYFUNCTION("GOOGLETRANSLATE(B26905,""en"",""de"")"),"Eine Dame steht am Tisch mit Zutaten auf dem Tisch.")</f>
        <v>Eine Dame steht am Tisch mit Zutaten auf dem Tisch.</v>
      </c>
    </row>
    <row r="26906">
      <c r="A26906" s="4" t="s">
        <v>33862</v>
      </c>
      <c r="B26906" s="4" t="s">
        <v>33864</v>
      </c>
      <c r="C26906" s="5" t="str">
        <f>IFERROR(__xludf.DUMMYFUNCTION("GOOGLETRANSLATE(B26906,""en"",""de"")"),"Die Frau zeigte die Zutaten wie rote Paprika, Sellerie, Karotten, Hühnerbrust, Oliven, eingelegte Gherkins, Olivenöl in der Flasche, Weißwein in der Flasche, Mayonnaise, Senf und Gruyere, Salz und Pfeffer.")</f>
        <v>Die Frau zeigte die Zutaten wie rote Paprika, Sellerie, Karotten, Hühnerbrust, Oliven, eingelegte Gherkins, Olivenöl in der Flasche, Weißwein in der Flasche, Mayonnaise, Senf und Gruyere, Salz und Pfeffer.</v>
      </c>
    </row>
    <row r="26907">
      <c r="A26907" s="4" t="s">
        <v>33862</v>
      </c>
      <c r="B26907" s="4" t="s">
        <v>33865</v>
      </c>
      <c r="C26907" s="5" t="str">
        <f>IFERROR(__xludf.DUMMYFUNCTION("GOOGLETRANSLATE(B26907,""en"",""de"")"),"Die Dame berührte die Zutaten in den Tellern, dann schnitt sie das Huhn, steckte den Senf, Mayonnaise und Olivenöl in eine Schüssel, fügte dann das Gemüse hinzu, und dann wird der Teller mit dem Hühnersalat gezeigt.")</f>
        <v>Die Dame berührte die Zutaten in den Tellern, dann schnitt sie das Huhn, steckte den Senf, Mayonnaise und Olivenöl in eine Schüssel, fügte dann das Gemüse hinzu, und dann wird der Teller mit dem Hühnersalat gezeigt.</v>
      </c>
    </row>
    <row r="26908">
      <c r="A26908" s="4" t="s">
        <v>33866</v>
      </c>
      <c r="B26908" s="4" t="s">
        <v>33867</v>
      </c>
      <c r="C26908" s="5" t="str">
        <f>IFERROR(__xludf.DUMMYFUNCTION("GOOGLETRANSLATE(B26908,""en"",""de"")"),"Ein Kajak -Fahrer paddelt gegen die Strömung und manövriert mit seinen Hüften und dem Paddel hin und her.")</f>
        <v>Ein Kajak -Fahrer paddelt gegen die Strömung und manövriert mit seinen Hüften und dem Paddel hin und her.</v>
      </c>
    </row>
    <row r="26909">
      <c r="A26909" s="4" t="s">
        <v>33866</v>
      </c>
      <c r="B26909" s="4" t="s">
        <v>33868</v>
      </c>
      <c r="C26909" s="5" t="str">
        <f>IFERROR(__xludf.DUMMYFUNCTION("GOOGLETRANSLATE(B26909,""en"",""de"")"),"Der Kajakfahrer taucht ins Wasser ein und erholt sich.")</f>
        <v>Der Kajakfahrer taucht ins Wasser ein und erholt sich.</v>
      </c>
    </row>
    <row r="26910">
      <c r="A26910" s="4" t="s">
        <v>33869</v>
      </c>
      <c r="B26910" s="4" t="s">
        <v>33870</v>
      </c>
      <c r="C26910" s="5" t="str">
        <f>IFERROR(__xludf.DUMMYFUNCTION("GOOGLETRANSLATE(B26910,""en"",""de"")"),"Es findet ein Spiel zwischen Argentinien und Peru statt.")</f>
        <v>Es findet ein Spiel zwischen Argentinien und Peru statt.</v>
      </c>
    </row>
    <row r="26911">
      <c r="A26911" s="4" t="s">
        <v>33869</v>
      </c>
      <c r="B26911" s="4" t="s">
        <v>33871</v>
      </c>
      <c r="C26911" s="5" t="str">
        <f>IFERROR(__xludf.DUMMYFUNCTION("GOOGLETRANSLATE(B26911,""en"",""de"")"),"Menschen in den überfüllten Tribünen versammeln sich und zerstreuen sich.")</f>
        <v>Menschen in den überfüllten Tribünen versammeln sich und zerstreuen sich.</v>
      </c>
    </row>
    <row r="26912">
      <c r="A26912" s="4" t="s">
        <v>33869</v>
      </c>
      <c r="B26912" s="4" t="s">
        <v>33872</v>
      </c>
      <c r="C26912" s="5" t="str">
        <f>IFERROR(__xludf.DUMMYFUNCTION("GOOGLETRANSLATE(B26912,""en"",""de"")"),"Die Männer werden auf dem Platz gezeigt, spielen das Spiel und treten den Ball.")</f>
        <v>Die Männer werden auf dem Platz gezeigt, spielen das Spiel und treten den Ball.</v>
      </c>
    </row>
    <row r="26913">
      <c r="A26913" s="4" t="s">
        <v>33869</v>
      </c>
      <c r="B26913" s="4" t="s">
        <v>33873</v>
      </c>
      <c r="C26913" s="5" t="str">
        <f>IFERROR(__xludf.DUMMYFUNCTION("GOOGLETRANSLATE(B26913,""en"",""de"")"),"Die Anzeigetafel wird zum Vergleich angezeigt, wenn das Spiel endet.")</f>
        <v>Die Anzeigetafel wird zum Vergleich angezeigt, wenn das Spiel endet.</v>
      </c>
    </row>
    <row r="26914">
      <c r="A26914" s="4" t="s">
        <v>33874</v>
      </c>
      <c r="B26914" s="4" t="s">
        <v>33875</v>
      </c>
      <c r="C26914" s="5" t="str">
        <f>IFERROR(__xludf.DUMMYFUNCTION("GOOGLETRANSLATE(B26914,""en"",""de"")"),"Ein großes Dach ist in der Nähe zu sehen, gefolgt von einer Person, die auf einer Leiter steht und die Fliesen hinunterdrückt.")</f>
        <v>Ein großes Dach ist in der Nähe zu sehen, gefolgt von einer Person, die auf einer Leiter steht und die Fliesen hinunterdrückt.</v>
      </c>
    </row>
    <row r="26915">
      <c r="A26915" s="4" t="s">
        <v>33874</v>
      </c>
      <c r="B26915" s="4" t="s">
        <v>33876</v>
      </c>
      <c r="C26915" s="5" t="str">
        <f>IFERROR(__xludf.DUMMYFUNCTION("GOOGLETRANSLATE(B26915,""en"",""de"")"),"Weitere Menschen arbeiten auf dem Dach, das Kacheln hinunter hämmert, sie abschieben und mit der Kamera sprechen.")</f>
        <v>Weitere Menschen arbeiten auf dem Dach, das Kacheln hinunter hämmert, sie abschieben und mit der Kamera sprechen.</v>
      </c>
    </row>
    <row r="26916">
      <c r="A26916" s="4" t="s">
        <v>33874</v>
      </c>
      <c r="B26916" s="4" t="s">
        <v>33877</v>
      </c>
      <c r="C26916" s="5" t="str">
        <f>IFERROR(__xludf.DUMMYFUNCTION("GOOGLETRANSLATE(B26916,""en"",""de"")"),"Die Kamera schwang weiter rund um das Dach sowie Gebäude um sie herum und die Männer arbeiten weiter.")</f>
        <v>Die Kamera schwang weiter rund um das Dach sowie Gebäude um sie herum und die Männer arbeiten weiter.</v>
      </c>
    </row>
    <row r="26917">
      <c r="A26917" s="4" t="s">
        <v>33878</v>
      </c>
      <c r="B26917" s="4" t="s">
        <v>33879</v>
      </c>
      <c r="C26917" s="5" t="str">
        <f>IFERROR(__xludf.DUMMYFUNCTION("GOOGLETRANSLATE(B26917,""en"",""de"")"),"Ein Mädchen sitzt vor einer Couch.")</f>
        <v>Ein Mädchen sitzt vor einer Couch.</v>
      </c>
    </row>
    <row r="26918">
      <c r="A26918" s="4" t="s">
        <v>33878</v>
      </c>
      <c r="B26918" s="4" t="s">
        <v>33880</v>
      </c>
      <c r="C26918" s="5" t="str">
        <f>IFERROR(__xludf.DUMMYFUNCTION("GOOGLETRANSLATE(B26918,""en"",""de"")"),"Sie beginnt eine Flöte zu spielen.")</f>
        <v>Sie beginnt eine Flöte zu spielen.</v>
      </c>
    </row>
    <row r="26919">
      <c r="A26919" s="4" t="s">
        <v>33878</v>
      </c>
      <c r="B26919" s="4" t="s">
        <v>33881</v>
      </c>
      <c r="C26919" s="5" t="str">
        <f>IFERROR(__xludf.DUMMYFUNCTION("GOOGLETRANSLATE(B26919,""en"",""de"")"),"Sie spielt weiterhin die Flöte weiß und schaut nach unten.")</f>
        <v>Sie spielt weiterhin die Flöte weiß und schaut nach unten.</v>
      </c>
    </row>
    <row r="26920">
      <c r="A26920" s="4" t="s">
        <v>33882</v>
      </c>
      <c r="B26920" s="4" t="s">
        <v>33883</v>
      </c>
      <c r="C26920" s="5" t="str">
        <f>IFERROR(__xludf.DUMMYFUNCTION("GOOGLETRANSLATE(B26920,""en"",""de"")"),"Ein Mann steht vor einer mit Haarprodukten gefüllten Wand.")</f>
        <v>Ein Mann steht vor einer mit Haarprodukten gefüllten Wand.</v>
      </c>
    </row>
    <row r="26921">
      <c r="A26921" s="4" t="s">
        <v>33882</v>
      </c>
      <c r="B26921" s="4" t="s">
        <v>33884</v>
      </c>
      <c r="C26921" s="5" t="str">
        <f>IFERROR(__xludf.DUMMYFUNCTION("GOOGLETRANSLATE(B26921,""en"",""de"")"),"Verschiedene Scheren und Kämme sind auf einer Matte ausgelegt.")</f>
        <v>Verschiedene Scheren und Kämme sind auf einer Matte ausgelegt.</v>
      </c>
    </row>
    <row r="26922">
      <c r="A26922" s="4" t="s">
        <v>33882</v>
      </c>
      <c r="B26922" s="4" t="s">
        <v>33885</v>
      </c>
      <c r="C26922" s="5" t="str">
        <f>IFERROR(__xludf.DUMMYFUNCTION("GOOGLETRANSLATE(B26922,""en"",""de"")"),"Die Handtücher der Salon -Stylistin reißen dann mit seinen Händen Haarprodukte durch die Haare des Mannes.")</f>
        <v>Die Handtücher der Salon -Stylistin reißen dann mit seinen Händen Haarprodukte durch die Haare des Mannes.</v>
      </c>
    </row>
    <row r="26923">
      <c r="A26923" s="4" t="s">
        <v>33882</v>
      </c>
      <c r="B26923" s="4" t="s">
        <v>33886</v>
      </c>
      <c r="C26923" s="5" t="str">
        <f>IFERROR(__xludf.DUMMYFUNCTION("GOOGLETRANSLATE(B26923,""en"",""de"")"),"Die Stylistin kündigt das Haar der Person und schneidet es mit einer Schere aus.")</f>
        <v>Die Stylistin kündigt das Haar der Person und schneidet es mit einer Schere aus.</v>
      </c>
    </row>
    <row r="26924">
      <c r="A26924" s="4" t="s">
        <v>33882</v>
      </c>
      <c r="B26924" s="4" t="s">
        <v>33887</v>
      </c>
      <c r="C26924" s="5" t="str">
        <f>IFERROR(__xludf.DUMMYFUNCTION("GOOGLETRANSLATE(B26924,""en"",""de"")"),"Der Stylist schneidet die Koteletten und um die Ohren um.")</f>
        <v>Der Stylist schneidet die Koteletten und um die Ohren um.</v>
      </c>
    </row>
    <row r="26925">
      <c r="A26925" s="4" t="s">
        <v>33882</v>
      </c>
      <c r="B26925" s="4" t="s">
        <v>33888</v>
      </c>
      <c r="C26925" s="5" t="str">
        <f>IFERROR(__xludf.DUMMYFUNCTION("GOOGLETRANSLATE(B26925,""en"",""de"")"),"Der Stylist benutzt seine Hände, um das Haar zu stylen und es zu blasen, wenn es fertig ist, wenn die Person zu sehen ist.")</f>
        <v>Der Stylist benutzt seine Hände, um das Haar zu stylen und es zu blasen, wenn es fertig ist, wenn die Person zu sehen ist.</v>
      </c>
    </row>
    <row r="26926">
      <c r="A26926" s="4" t="s">
        <v>33889</v>
      </c>
      <c r="B26926" s="4" t="s">
        <v>33890</v>
      </c>
      <c r="C26926" s="5" t="str">
        <f>IFERROR(__xludf.DUMMYFUNCTION("GOOGLETRANSLATE(B26926,""en"",""de"")"),"Wir sehen einen lächelnden Mann mit Credits auf dem Bildschirm.")</f>
        <v>Wir sehen einen lächelnden Mann mit Credits auf dem Bildschirm.</v>
      </c>
    </row>
    <row r="26927">
      <c r="A26927" s="4" t="s">
        <v>33889</v>
      </c>
      <c r="B26927" s="4" t="s">
        <v>33891</v>
      </c>
      <c r="C26927" s="5" t="str">
        <f>IFERROR(__xludf.DUMMYFUNCTION("GOOGLETRANSLATE(B26927,""en"",""de"")"),"Wir sehen einen Anweisungsbildschirm.")</f>
        <v>Wir sehen einen Anweisungsbildschirm.</v>
      </c>
    </row>
    <row r="26928">
      <c r="A26928" s="4" t="s">
        <v>33889</v>
      </c>
      <c r="B26928" s="4" t="s">
        <v>33892</v>
      </c>
      <c r="C26928" s="5" t="str">
        <f>IFERROR(__xludf.DUMMYFUNCTION("GOOGLETRANSLATE(B26928,""en"",""de"")"),"Wir sehen zwei Männer, die ein Kürbisspiel spielen.")</f>
        <v>Wir sehen zwei Männer, die ein Kürbisspiel spielen.</v>
      </c>
    </row>
    <row r="26929">
      <c r="A26929" s="4" t="s">
        <v>33889</v>
      </c>
      <c r="B26929" s="4" t="s">
        <v>5107</v>
      </c>
      <c r="C26929" s="5" t="str">
        <f>IFERROR(__xludf.DUMMYFUNCTION("GOOGLETRANSLATE(B26929,""en"",""de"")"),"Wir sehen dann den Ende des Endtitels.")</f>
        <v>Wir sehen dann den Ende des Endtitels.</v>
      </c>
    </row>
    <row r="26930">
      <c r="A26930" s="4" t="s">
        <v>33893</v>
      </c>
      <c r="B26930" s="4" t="s">
        <v>33894</v>
      </c>
      <c r="C26930" s="5" t="str">
        <f>IFERROR(__xludf.DUMMYFUNCTION("GOOGLETRANSLATE(B26930,""en"",""de"")"),"Frau isst Branflocken und setzt etwas Wimperntusche, wäscht ihre Zähne und putzt ihren Mund mit Mundwasser.")</f>
        <v>Frau isst Branflocken und setzt etwas Wimperntusche, wäscht ihre Zähne und putzt ihren Mund mit Mundwasser.</v>
      </c>
    </row>
    <row r="26931">
      <c r="A26931" s="4" t="s">
        <v>33893</v>
      </c>
      <c r="B26931" s="4" t="s">
        <v>33895</v>
      </c>
      <c r="C26931" s="5" t="str">
        <f>IFERROR(__xludf.DUMMYFUNCTION("GOOGLETRANSLATE(B26931,""en"",""de"")"),"Journalisten sprechen in den Nachrichten.")</f>
        <v>Journalisten sprechen in den Nachrichten.</v>
      </c>
    </row>
    <row r="26932">
      <c r="A26932" s="4" t="s">
        <v>33896</v>
      </c>
      <c r="B26932" s="4" t="s">
        <v>33897</v>
      </c>
      <c r="C26932" s="5" t="str">
        <f>IFERROR(__xludf.DUMMYFUNCTION("GOOGLETRANSLATE(B26932,""en"",""de"")"),"Eine Frau wäscht ihre Hände über ein Waschbecken.")</f>
        <v>Eine Frau wäscht ihre Hände über ein Waschbecken.</v>
      </c>
    </row>
    <row r="26933">
      <c r="A26933" s="4" t="s">
        <v>33896</v>
      </c>
      <c r="B26933" s="4" t="s">
        <v>33898</v>
      </c>
      <c r="C26933" s="5" t="str">
        <f>IFERROR(__xludf.DUMMYFUNCTION("GOOGLETRANSLATE(B26933,""en"",""de"")"),"Sie spült ihre Hände im Waschbecken ab.")</f>
        <v>Sie spült ihre Hände im Waschbecken ab.</v>
      </c>
    </row>
    <row r="26934">
      <c r="A26934" s="4" t="s">
        <v>33896</v>
      </c>
      <c r="B26934" s="4" t="s">
        <v>33899</v>
      </c>
      <c r="C26934" s="5" t="str">
        <f>IFERROR(__xludf.DUMMYFUNCTION("GOOGLETRANSLATE(B26934,""en"",""de"")"),"Sie schnappt sich ein Papiertuch und trocknet ihre Hände.")</f>
        <v>Sie schnappt sich ein Papiertuch und trocknet ihre Hände.</v>
      </c>
    </row>
    <row r="26935">
      <c r="A26935" s="4" t="s">
        <v>33900</v>
      </c>
      <c r="B26935" s="4" t="s">
        <v>33901</v>
      </c>
      <c r="C26935" s="5" t="str">
        <f>IFERROR(__xludf.DUMMYFUNCTION("GOOGLETRANSLATE(B26935,""en"",""de"")"),"Wir sehen den Titelbildschirm auf Grau.")</f>
        <v>Wir sehen den Titelbildschirm auf Grau.</v>
      </c>
    </row>
    <row r="26936">
      <c r="A26936" s="4" t="s">
        <v>33900</v>
      </c>
      <c r="B26936" s="4" t="s">
        <v>33902</v>
      </c>
      <c r="C26936" s="5" t="str">
        <f>IFERROR(__xludf.DUMMYFUNCTION("GOOGLETRANSLATE(B26936,""en"",""de"")"),"Zwei Männer spielen Kürbis.")</f>
        <v>Zwei Männer spielen Kürbis.</v>
      </c>
    </row>
    <row r="26937">
      <c r="A26937" s="4" t="s">
        <v>33900</v>
      </c>
      <c r="B26937" s="4" t="s">
        <v>33903</v>
      </c>
      <c r="C26937" s="5" t="str">
        <f>IFERROR(__xludf.DUMMYFUNCTION("GOOGLETRANSLATE(B26937,""en"",""de"")"),"Wir sehen eine Übergangs -Drang -Praxis.")</f>
        <v>Wir sehen eine Übergangs -Drang -Praxis.</v>
      </c>
    </row>
    <row r="26938">
      <c r="A26938" s="4" t="s">
        <v>33900</v>
      </c>
      <c r="B26938" s="4" t="s">
        <v>33904</v>
      </c>
      <c r="C26938" s="5" t="str">
        <f>IFERROR(__xludf.DUMMYFUNCTION("GOOGLETRANSLATE(B26938,""en"",""de"")"),"Ein Übergang beginnt, ändert sich aber auf nichts.")</f>
        <v>Ein Übergang beginnt, ändert sich aber auf nichts.</v>
      </c>
    </row>
    <row r="26939">
      <c r="A26939" s="4" t="s">
        <v>33900</v>
      </c>
      <c r="B26939" s="4" t="s">
        <v>33905</v>
      </c>
      <c r="C26939" s="5" t="str">
        <f>IFERROR(__xludf.DUMMYFUNCTION("GOOGLETRANSLATE(B26939,""en"",""de"")"),"Der Mann in Weiß wischt sich mit seinem Ärmel die Stirn.")</f>
        <v>Der Mann in Weiß wischt sich mit seinem Ärmel die Stirn.</v>
      </c>
    </row>
    <row r="26940">
      <c r="A26940" s="4" t="s">
        <v>33900</v>
      </c>
      <c r="B26940" s="4" t="s">
        <v>33906</v>
      </c>
      <c r="C26940" s="5" t="str">
        <f>IFERROR(__xludf.DUMMYFUNCTION("GOOGLETRANSLATE(B26940,""en"",""de"")"),"Die Endkredite leiten den Bildschirm hoch.")</f>
        <v>Die Endkredite leiten den Bildschirm hoch.</v>
      </c>
    </row>
    <row r="26941">
      <c r="A26941" s="4" t="s">
        <v>33907</v>
      </c>
      <c r="B26941" s="4" t="s">
        <v>33908</v>
      </c>
      <c r="C26941" s="5" t="str">
        <f>IFERROR(__xludf.DUMMYFUNCTION("GOOGLETRANSLATE(B26941,""en"",""de"")"),"Eine Frau kniet neben einem Schreibtisch auf dem Boden.")</f>
        <v>Eine Frau kniet neben einem Schreibtisch auf dem Boden.</v>
      </c>
    </row>
    <row r="26942">
      <c r="A26942" s="4" t="s">
        <v>33907</v>
      </c>
      <c r="B26942" s="4" t="s">
        <v>33909</v>
      </c>
      <c r="C26942" s="5" t="str">
        <f>IFERROR(__xludf.DUMMYFUNCTION("GOOGLETRANSLATE(B26942,""en"",""de"")"),"Sie fängt an, den Schreibtisch weiß mit einem Pinsel zu malen.")</f>
        <v>Sie fängt an, den Schreibtisch weiß mit einem Pinsel zu malen.</v>
      </c>
    </row>
    <row r="26943">
      <c r="A26943" s="4" t="s">
        <v>33907</v>
      </c>
      <c r="B26943" s="4" t="s">
        <v>33910</v>
      </c>
      <c r="C26943" s="5" t="str">
        <f>IFERROR(__xludf.DUMMYFUNCTION("GOOGLETRANSLATE(B26943,""en"",""de"")"),"Sie fängt dann an, zwei der Schubladen orange zu malen.")</f>
        <v>Sie fängt dann an, zwei der Schubladen orange zu malen.</v>
      </c>
    </row>
    <row r="26944">
      <c r="A26944" s="4" t="s">
        <v>33911</v>
      </c>
      <c r="B26944" s="4" t="s">
        <v>33912</v>
      </c>
      <c r="C26944" s="5" t="str">
        <f>IFERROR(__xludf.DUMMYFUNCTION("GOOGLETRANSLATE(B26944,""en"",""de"")"),"Männer werfen abwechselnd Darts auf ein Dartbrett.")</f>
        <v>Männer werfen abwechselnd Darts auf ein Dartbrett.</v>
      </c>
    </row>
    <row r="26945">
      <c r="A26945" s="4" t="s">
        <v>33911</v>
      </c>
      <c r="B26945" s="4" t="s">
        <v>33913</v>
      </c>
      <c r="C26945" s="5" t="str">
        <f>IFERROR(__xludf.DUMMYFUNCTION("GOOGLETRANSLATE(B26945,""en"",""de"")"),"Eine Frau in der Menge klatscht für sie.")</f>
        <v>Eine Frau in der Menge klatscht für sie.</v>
      </c>
    </row>
    <row r="26946">
      <c r="A26946" s="4" t="s">
        <v>33911</v>
      </c>
      <c r="B26946" s="4" t="s">
        <v>33914</v>
      </c>
      <c r="C26946" s="5" t="str">
        <f>IFERROR(__xludf.DUMMYFUNCTION("GOOGLETRANSLATE(B26946,""en"",""de"")"),"Ein Mann nimmt ein Getränk aus einem Glas.")</f>
        <v>Ein Mann nimmt ein Getränk aus einem Glas.</v>
      </c>
    </row>
    <row r="26947">
      <c r="A26947" s="4" t="s">
        <v>33915</v>
      </c>
      <c r="B26947" s="4" t="s">
        <v>33916</v>
      </c>
      <c r="C26947" s="5" t="str">
        <f>IFERROR(__xludf.DUMMYFUNCTION("GOOGLETRANSLATE(B26947,""en"",""de"")"),"Eine Person rudert am Rand eines Bootes.")</f>
        <v>Eine Person rudert am Rand eines Bootes.</v>
      </c>
    </row>
    <row r="26948">
      <c r="A26948" s="4" t="s">
        <v>33915</v>
      </c>
      <c r="B26948" s="4" t="s">
        <v>33917</v>
      </c>
      <c r="C26948" s="5" t="str">
        <f>IFERROR(__xludf.DUMMYFUNCTION("GOOGLETRANSLATE(B26948,""en"",""de"")"),"Die Person nimmt einen Angelhaken heraus.")</f>
        <v>Die Person nimmt einen Angelhaken heraus.</v>
      </c>
    </row>
    <row r="26949">
      <c r="A26949" s="4" t="s">
        <v>33915</v>
      </c>
      <c r="B26949" s="4" t="s">
        <v>33918</v>
      </c>
      <c r="C26949" s="5" t="str">
        <f>IFERROR(__xludf.DUMMYFUNCTION("GOOGLETRANSLATE(B26949,""en"",""de"")"),"Die Person fängt an seiner Kante an.")</f>
        <v>Die Person fängt an seiner Kante an.</v>
      </c>
    </row>
    <row r="26950">
      <c r="A26950" s="4" t="s">
        <v>33919</v>
      </c>
      <c r="B26950" s="4" t="s">
        <v>33920</v>
      </c>
      <c r="C26950" s="5" t="str">
        <f>IFERROR(__xludf.DUMMYFUNCTION("GOOGLETRANSLATE(B26950,""en"",""de"")"),"Auf einer großen Bühne spielt eine Frau eine Bauch -Tanzroutine mit anderen Menschen an den Seiten.")</f>
        <v>Auf einer großen Bühne spielt eine Frau eine Bauch -Tanzroutine mit anderen Menschen an den Seiten.</v>
      </c>
    </row>
    <row r="26951">
      <c r="A26951" s="4" t="s">
        <v>33919</v>
      </c>
      <c r="B26951" s="4" t="s">
        <v>33921</v>
      </c>
      <c r="C26951" s="5" t="str">
        <f>IFERROR(__xludf.DUMMYFUNCTION("GOOGLETRANSLATE(B26951,""en"",""de"")"),"Die Frau tanzt weiter und dreht sich um die Bühne und endet damit, dass sie posiert und davon geht.")</f>
        <v>Die Frau tanzt weiter und dreht sich um die Bühne und endet damit, dass sie posiert und davon geht.</v>
      </c>
    </row>
    <row r="26952">
      <c r="A26952" s="4" t="s">
        <v>33922</v>
      </c>
      <c r="B26952" s="4" t="s">
        <v>33923</v>
      </c>
      <c r="C26952" s="5" t="str">
        <f>IFERROR(__xludf.DUMMYFUNCTION("GOOGLETRANSLATE(B26952,""en"",""de"")"),"Es gibt eine Gruppe von Marschbandstudenten, die die Trompeten spielen.")</f>
        <v>Es gibt eine Gruppe von Marschbandstudenten, die die Trompeten spielen.</v>
      </c>
    </row>
    <row r="26953">
      <c r="A26953" s="4" t="s">
        <v>33922</v>
      </c>
      <c r="B26953" s="4" t="s">
        <v>33924</v>
      </c>
      <c r="C26953" s="5" t="str">
        <f>IFERROR(__xludf.DUMMYFUNCTION("GOOGLETRANSLATE(B26953,""en"",""de"")"),"Sie sind in kastanienbraunen und gelben Uniformen und weißen Hüten gekleidet.")</f>
        <v>Sie sind in kastanienbraunen und gelben Uniformen und weißen Hüten gekleidet.</v>
      </c>
    </row>
    <row r="26954">
      <c r="A26954" s="4" t="s">
        <v>33922</v>
      </c>
      <c r="B26954" s="4" t="s">
        <v>33925</v>
      </c>
      <c r="C26954" s="5" t="str">
        <f>IFERROR(__xludf.DUMMYFUNCTION("GOOGLETRANSLATE(B26954,""en"",""de"")"),"Es gibt einige Schüler, die Schlagzeug spielen, und einige Schüler spielen die Trompete.")</f>
        <v>Es gibt einige Schüler, die Schlagzeug spielen, und einige Schüler spielen die Trompete.</v>
      </c>
    </row>
    <row r="26955">
      <c r="A26955" s="4" t="s">
        <v>33922</v>
      </c>
      <c r="B26955" s="4" t="s">
        <v>33926</v>
      </c>
      <c r="C26955" s="5" t="str">
        <f>IFERROR(__xludf.DUMMYFUNCTION("GOOGLETRANSLATE(B26955,""en"",""de"")"),"Sie spielen weiter die Band, während sie auf den Straßen marschieren.")</f>
        <v>Sie spielen weiter die Band, während sie auf den Straßen marschieren.</v>
      </c>
    </row>
    <row r="26956">
      <c r="A26956" s="4" t="s">
        <v>33927</v>
      </c>
      <c r="B26956" s="4" t="s">
        <v>33928</v>
      </c>
      <c r="C26956" s="5" t="str">
        <f>IFERROR(__xludf.DUMMYFUNCTION("GOOGLETRANSLATE(B26956,""en"",""de"")"),"Ein Wrestler geht aus und steigt in den Ring.")</f>
        <v>Ein Wrestler geht aus und steigt in den Ring.</v>
      </c>
    </row>
    <row r="26957">
      <c r="A26957" s="4" t="s">
        <v>33927</v>
      </c>
      <c r="B26957" s="4" t="s">
        <v>33929</v>
      </c>
      <c r="C26957" s="5" t="str">
        <f>IFERROR(__xludf.DUMMYFUNCTION("GOOGLETRANSLATE(B26957,""en"",""de"")"),"Jemand legt sich auf dem Bauch und bekommt ein Tattoo auf dem Rücken.")</f>
        <v>Jemand legt sich auf dem Bauch und bekommt ein Tattoo auf dem Rücken.</v>
      </c>
    </row>
    <row r="26958">
      <c r="A26958" s="4" t="s">
        <v>33927</v>
      </c>
      <c r="B26958" s="4" t="s">
        <v>33930</v>
      </c>
      <c r="C26958" s="5" t="str">
        <f>IFERROR(__xludf.DUMMYFUNCTION("GOOGLETRANSLATE(B26958,""en"",""de"")"),"Ein Mann in einem roten Hemd tätowiert den Mann.")</f>
        <v>Ein Mann in einem roten Hemd tätowiert den Mann.</v>
      </c>
    </row>
    <row r="26959">
      <c r="A26959" s="4" t="s">
        <v>33927</v>
      </c>
      <c r="B26959" s="4" t="s">
        <v>33931</v>
      </c>
      <c r="C26959" s="5" t="str">
        <f>IFERROR(__xludf.DUMMYFUNCTION("GOOGLETRANSLATE(B26959,""en"",""de"")"),"Der Wrestler wird erneut gezeigt.")</f>
        <v>Der Wrestler wird erneut gezeigt.</v>
      </c>
    </row>
    <row r="26960">
      <c r="A26960" s="4" t="s">
        <v>33932</v>
      </c>
      <c r="B26960" s="4" t="s">
        <v>33933</v>
      </c>
      <c r="C26960" s="5" t="str">
        <f>IFERROR(__xludf.DUMMYFUNCTION("GOOGLETRANSLATE(B26960,""en"",""de"")"),"Ein Schauspieler, Jason Stathom, sitzt in einem blauen Liegestuhl, der über einen Late -Night -TV -Gastgeber namens Jimmy Fallon spricht, der hinter einem Schreibtisch sitzt.")</f>
        <v>Ein Schauspieler, Jason Stathom, sitzt in einem blauen Liegestuhl, der über einen Late -Night -TV -Gastgeber namens Jimmy Fallon spricht, der hinter einem Schreibtisch sitzt.</v>
      </c>
    </row>
    <row r="26961">
      <c r="A26961" s="4" t="s">
        <v>33932</v>
      </c>
      <c r="B26961" s="4" t="s">
        <v>33934</v>
      </c>
      <c r="C26961" s="5" t="str">
        <f>IFERROR(__xludf.DUMMYFUNCTION("GOOGLETRANSLATE(B26961,""en"",""de"")"),"Die beiden sprechen weiter, dann stehen sie beide scherzhaft und gehen zu einem Tisch.")</f>
        <v>Die beiden sprechen weiter, dann stehen sie beide scherzhaft und gehen zu einem Tisch.</v>
      </c>
    </row>
    <row r="26962">
      <c r="A26962" s="4" t="s">
        <v>33932</v>
      </c>
      <c r="B26962" s="4" t="s">
        <v>33935</v>
      </c>
      <c r="C26962" s="5" t="str">
        <f>IFERROR(__xludf.DUMMYFUNCTION("GOOGLETRANSLATE(B26962,""en"",""de"")"),"Beide stehen an den Enden des Tisches und beginnen mit dem Arm ringen und reden.")</f>
        <v>Beide stehen an den Enden des Tisches und beginnen mit dem Arm ringen und reden.</v>
      </c>
    </row>
    <row r="26963">
      <c r="A26963" s="4" t="s">
        <v>33932</v>
      </c>
      <c r="B26963" s="4" t="s">
        <v>33936</v>
      </c>
      <c r="C26963" s="5" t="str">
        <f>IFERROR(__xludf.DUMMYFUNCTION("GOOGLETRANSLATE(B26963,""en"",""de"")"),"Nach langer Zeit vergeht der Schauspieler und beginnt sich zu jubeln.")</f>
        <v>Nach langer Zeit vergeht der Schauspieler und beginnt sich zu jubeln.</v>
      </c>
    </row>
    <row r="26964">
      <c r="A26964" s="4" t="s">
        <v>33937</v>
      </c>
      <c r="B26964" s="4" t="s">
        <v>33938</v>
      </c>
      <c r="C26964" s="5" t="str">
        <f>IFERROR(__xludf.DUMMYFUNCTION("GOOGLETRANSLATE(B26964,""en"",""de"")"),"Eine Frau im weißen Hemd posiert mit ihren kurzen Haaren.")</f>
        <v>Eine Frau im weißen Hemd posiert mit ihren kurzen Haaren.</v>
      </c>
    </row>
    <row r="26965">
      <c r="A26965" s="4" t="s">
        <v>33937</v>
      </c>
      <c r="B26965" s="4" t="s">
        <v>33939</v>
      </c>
      <c r="C26965" s="5" t="str">
        <f>IFERROR(__xludf.DUMMYFUNCTION("GOOGLETRANSLATE(B26965,""en"",""de"")"),"Ein Mann im weißen Hemd schneidet das Haar des Mädchens in einem Studio mit weißem Hintergrund, dann floh er den Rücken ihres Haares und schneidet dann die Haare des Mädchens weiter und stymt weiter.")</f>
        <v>Ein Mann im weißen Hemd schneidet das Haar des Mädchens in einem Studio mit weißem Hintergrund, dann floh er den Rücken ihres Haares und schneidet dann die Haare des Mädchens weiter und stymt weiter.</v>
      </c>
    </row>
    <row r="26966">
      <c r="A26966" s="4" t="s">
        <v>33940</v>
      </c>
      <c r="B26966" s="4" t="s">
        <v>33941</v>
      </c>
      <c r="C26966" s="5" t="str">
        <f>IFERROR(__xludf.DUMMYFUNCTION("GOOGLETRANSLATE(B26966,""en"",""de"")"),"Ein Mann wird gesehen, wie er auf einem Boden kniet, gefolgt von Schüssen, von denen er Gips und Fliesen nach unten setzt.")</f>
        <v>Ein Mann wird gesehen, wie er auf einem Boden kniet, gefolgt von Schüssen, von denen er Gips und Fliesen nach unten setzt.</v>
      </c>
    </row>
    <row r="26967">
      <c r="A26967" s="4" t="s">
        <v>33940</v>
      </c>
      <c r="B26967" s="4" t="s">
        <v>33942</v>
      </c>
      <c r="C26967" s="5" t="str">
        <f>IFERROR(__xludf.DUMMYFUNCTION("GOOGLETRANSLATE(B26967,""en"",""de"")"),"Dann bohrt er in einen Eimer und legt Gips nach unten. Sie legt wieder Kacheln auf den Boden und zeigt mehr Schüsse von ihm, die am Ende arbeitet.")</f>
        <v>Dann bohrt er in einen Eimer und legt Gips nach unten. Sie legt wieder Kacheln auf den Boden und zeigt mehr Schüsse von ihm, die am Ende arbeitet.</v>
      </c>
    </row>
    <row r="26968">
      <c r="A26968" s="4" t="s">
        <v>33943</v>
      </c>
      <c r="B26968" s="4" t="s">
        <v>33944</v>
      </c>
      <c r="C26968" s="5" t="str">
        <f>IFERROR(__xludf.DUMMYFUNCTION("GOOGLETRANSLATE(B26968,""en"",""de"")"),"Kid steht vor der Bühne und spielt Congas.")</f>
        <v>Kid steht vor der Bühne und spielt Congas.</v>
      </c>
    </row>
    <row r="26969">
      <c r="A26969" s="4" t="s">
        <v>33943</v>
      </c>
      <c r="B26969" s="4" t="s">
        <v>33945</v>
      </c>
      <c r="C26969" s="5" t="str">
        <f>IFERROR(__xludf.DUMMYFUNCTION("GOOGLETRANSLATE(B26969,""en"",""de"")"),"Hinter ihm ist ein Mädchen, das Tamburin spielt, und ein Junge, der das Dreieck spielt.")</f>
        <v>Hinter ihm ist ein Mädchen, das Tamburin spielt, und ein Junge, der das Dreieck spielt.</v>
      </c>
    </row>
    <row r="26970">
      <c r="A26970" s="4" t="s">
        <v>33943</v>
      </c>
      <c r="B26970" s="4" t="s">
        <v>33946</v>
      </c>
      <c r="C26970" s="5" t="str">
        <f>IFERROR(__xludf.DUMMYFUNCTION("GOOGLETRANSLATE(B26970,""en"",""de"")"),"Im Hintergrund spielen Kinder auf der Bühne Schlagzeug.")</f>
        <v>Im Hintergrund spielen Kinder auf der Bühne Schlagzeug.</v>
      </c>
    </row>
    <row r="26971">
      <c r="A26971" s="4" t="s">
        <v>33947</v>
      </c>
      <c r="B26971" s="4" t="s">
        <v>33948</v>
      </c>
      <c r="C26971" s="5" t="str">
        <f>IFERROR(__xludf.DUMMYFUNCTION("GOOGLETRANSLATE(B26971,""en"",""de"")"),"Ein Mann sitzt an einem Tisch.")</f>
        <v>Ein Mann sitzt an einem Tisch.</v>
      </c>
    </row>
    <row r="26972">
      <c r="A26972" s="4" t="s">
        <v>33947</v>
      </c>
      <c r="B26972" s="4" t="s">
        <v>33949</v>
      </c>
      <c r="C26972" s="5" t="str">
        <f>IFERROR(__xludf.DUMMYFUNCTION("GOOGLETRANSLATE(B26972,""en"",""de"")"),"Eine Frau tritt auf den Tisch und fällt in seine Arme.")</f>
        <v>Eine Frau tritt auf den Tisch und fällt in seine Arme.</v>
      </c>
    </row>
    <row r="26973">
      <c r="A26973" s="4" t="s">
        <v>33947</v>
      </c>
      <c r="B26973" s="4" t="s">
        <v>33950</v>
      </c>
      <c r="C26973" s="5" t="str">
        <f>IFERROR(__xludf.DUMMYFUNCTION("GOOGLETRANSLATE(B26973,""en"",""de"")"),"Sie macht einen Rücken von ihm auf den Boden.")</f>
        <v>Sie macht einen Rücken von ihm auf den Boden.</v>
      </c>
    </row>
    <row r="26974">
      <c r="A26974" s="4" t="s">
        <v>33947</v>
      </c>
      <c r="B26974" s="4" t="s">
        <v>33951</v>
      </c>
      <c r="C26974" s="5" t="str">
        <f>IFERROR(__xludf.DUMMYFUNCTION("GOOGLETRANSLATE(B26974,""en"",""de"")"),"Sie beginnen auf der Tanzfläche zu tanzen.")</f>
        <v>Sie beginnen auf der Tanzfläche zu tanzen.</v>
      </c>
    </row>
    <row r="26975">
      <c r="A26975" s="4" t="s">
        <v>33952</v>
      </c>
      <c r="B26975" s="4" t="s">
        <v>33953</v>
      </c>
      <c r="C26975" s="5" t="str">
        <f>IFERROR(__xludf.DUMMYFUNCTION("GOOGLETRANSLATE(B26975,""en"",""de"")"),"Ein Mann wird gesehen, der sich auf einen Zaun lehnt und sich ständig nach unten beugt, um Farbe in einen Eimer zu tauchen.")</f>
        <v>Ein Mann wird gesehen, der sich auf einen Zaun lehnt und sich ständig nach unten beugt, um Farbe in einen Eimer zu tauchen.</v>
      </c>
    </row>
    <row r="26976">
      <c r="A26976" s="4" t="s">
        <v>33952</v>
      </c>
      <c r="B26976" s="4" t="s">
        <v>33954</v>
      </c>
      <c r="C26976" s="5" t="str">
        <f>IFERROR(__xludf.DUMMYFUNCTION("GOOGLETRANSLATE(B26976,""en"",""de"")"),"Die Frau streift den Zaun kontinuierlich vor sie, während die Kamera sie von hinten ein fängt.")</f>
        <v>Die Frau streift den Zaun kontinuierlich vor sie, während die Kamera sie von hinten ein fängt.</v>
      </c>
    </row>
    <row r="26977">
      <c r="A26977" s="4" t="s">
        <v>33955</v>
      </c>
      <c r="B26977" s="4" t="s">
        <v>33956</v>
      </c>
      <c r="C26977" s="5" t="str">
        <f>IFERROR(__xludf.DUMMYFUNCTION("GOOGLETRANSLATE(B26977,""en"",""de"")"),"Autos und Wohnmobile sitzen vor einem Rodeo -Zentrum.")</f>
        <v>Autos und Wohnmobile sitzen vor einem Rodeo -Zentrum.</v>
      </c>
    </row>
    <row r="26978">
      <c r="A26978" s="4" t="s">
        <v>33955</v>
      </c>
      <c r="B26978" s="4" t="s">
        <v>33957</v>
      </c>
      <c r="C26978" s="5" t="str">
        <f>IFERROR(__xludf.DUMMYFUNCTION("GOOGLETRANSLATE(B26978,""en"",""de"")"),"Cowboys üben ihre Lasso -Arbeit.")</f>
        <v>Cowboys üben ihre Lasso -Arbeit.</v>
      </c>
    </row>
    <row r="26979">
      <c r="A26979" s="4" t="s">
        <v>33955</v>
      </c>
      <c r="B26979" s="4" t="s">
        <v>33958</v>
      </c>
      <c r="C26979" s="5" t="str">
        <f>IFERROR(__xludf.DUMMYFUNCTION("GOOGLETRANSLATE(B26979,""en"",""de"")"),"Die Leute kaufen im Laden des Rodeo Centers ein.")</f>
        <v>Die Leute kaufen im Laden des Rodeo Centers ein.</v>
      </c>
    </row>
    <row r="26980">
      <c r="A26980" s="4" t="s">
        <v>33955</v>
      </c>
      <c r="B26980" s="4" t="s">
        <v>33959</v>
      </c>
      <c r="C26980" s="5" t="str">
        <f>IFERROR(__xludf.DUMMYFUNCTION("GOOGLETRANSLATE(B26980,""en"",""de"")"),"Ein junges Kind fängt ein Kalb.")</f>
        <v>Ein junges Kind fängt ein Kalb.</v>
      </c>
    </row>
    <row r="26981">
      <c r="A26981" s="4" t="s">
        <v>33955</v>
      </c>
      <c r="B26981" s="4" t="s">
        <v>33960</v>
      </c>
      <c r="C26981" s="5" t="str">
        <f>IFERROR(__xludf.DUMMYFUNCTION("GOOGLETRANSLATE(B26981,""en"",""de"")"),"Ein Cowboy springt von seinem Pferd, um das Kalb zu kontrollieren, das er gefangen hat.")</f>
        <v>Ein Cowboy springt von seinem Pferd, um das Kalb zu kontrollieren, das er gefangen hat.</v>
      </c>
    </row>
    <row r="26982">
      <c r="A26982" s="4" t="s">
        <v>33955</v>
      </c>
      <c r="B26982" s="4" t="s">
        <v>33961</v>
      </c>
      <c r="C26982" s="5" t="str">
        <f>IFERROR(__xludf.DUMMYFUNCTION("GOOGLETRANSLATE(B26982,""en"",""de"")"),"Ein weiterer Cowboy in einem schwarzen Hemd springt von seinem Pferd.")</f>
        <v>Ein weiterer Cowboy in einem schwarzen Hemd springt von seinem Pferd.</v>
      </c>
    </row>
    <row r="26983">
      <c r="A26983" s="4" t="s">
        <v>33955</v>
      </c>
      <c r="B26983" s="4" t="s">
        <v>33962</v>
      </c>
      <c r="C26983" s="5" t="str">
        <f>IFERROR(__xludf.DUMMYFUNCTION("GOOGLETRANSLATE(B26983,""en"",""de"")"),"Ein Mann in einem rosa Hemd lassos ein Kalb.")</f>
        <v>Ein Mann in einem rosa Hemd lassos ein Kalb.</v>
      </c>
    </row>
    <row r="26984">
      <c r="A26984" s="4" t="s">
        <v>33955</v>
      </c>
      <c r="B26984" s="4" t="s">
        <v>33963</v>
      </c>
      <c r="C26984" s="5" t="str">
        <f>IFERROR(__xludf.DUMMYFUNCTION("GOOGLETRANSLATE(B26984,""en"",""de"")"),"Eine Frau auf einem Pferd fängt ein Kalb.")</f>
        <v>Eine Frau auf einem Pferd fängt ein Kalb.</v>
      </c>
    </row>
    <row r="26985">
      <c r="A26985" s="4" t="s">
        <v>33955</v>
      </c>
      <c r="B26985" s="4" t="s">
        <v>33964</v>
      </c>
      <c r="C26985" s="5" t="str">
        <f>IFERROR(__xludf.DUMMYFUNCTION("GOOGLETRANSLATE(B26985,""en"",""de"")"),"Ein anderer Mann springt von seinem braunen Pferd, um das Kalb zu kontrollieren, das er gefangen hat.")</f>
        <v>Ein anderer Mann springt von seinem braunen Pferd, um das Kalb zu kontrollieren, das er gefangen hat.</v>
      </c>
    </row>
    <row r="26986">
      <c r="A26986" s="4" t="s">
        <v>33965</v>
      </c>
      <c r="B26986" s="4" t="s">
        <v>33966</v>
      </c>
      <c r="C26986" s="5" t="str">
        <f>IFERROR(__xludf.DUMMYFUNCTION("GOOGLETRANSLATE(B26986,""en"",""de"")"),"Ein Mann hebt ein großes Gewicht vom Boden.")</f>
        <v>Ein Mann hebt ein großes Gewicht vom Boden.</v>
      </c>
    </row>
    <row r="26987">
      <c r="A26987" s="4" t="s">
        <v>33965</v>
      </c>
      <c r="B26987" s="4" t="s">
        <v>33967</v>
      </c>
      <c r="C26987" s="5" t="str">
        <f>IFERROR(__xludf.DUMMYFUNCTION("GOOGLETRANSLATE(B26987,""en"",""de"")"),"Er schiebt es über seinen Kopf, bevor er es auf den Boden fallen lässt.")</f>
        <v>Er schiebt es über seinen Kopf, bevor er es auf den Boden fallen lässt.</v>
      </c>
    </row>
    <row r="26988">
      <c r="A26988" s="4" t="s">
        <v>33968</v>
      </c>
      <c r="B26988" s="4" t="s">
        <v>33969</v>
      </c>
      <c r="C26988" s="5" t="str">
        <f>IFERROR(__xludf.DUMMYFUNCTION("GOOGLETRANSLATE(B26988,""en"",""de"")"),"Ein Mann wirft einen Ball zu seinem Sohn, der ihn mit einem Lacrosse -Stock fängt.")</f>
        <v>Ein Mann wirft einen Ball zu seinem Sohn, der ihn mit einem Lacrosse -Stock fängt.</v>
      </c>
    </row>
    <row r="26989">
      <c r="A26989" s="4" t="s">
        <v>33968</v>
      </c>
      <c r="B26989" s="4" t="s">
        <v>33970</v>
      </c>
      <c r="C26989" s="5" t="str">
        <f>IFERROR(__xludf.DUMMYFUNCTION("GOOGLETRANSLATE(B26989,""en"",""de"")"),"Der Junge schleudert es zurück und es segelt rechts vom Mann.")</f>
        <v>Der Junge schleudert es zurück und es segelt rechts vom Mann.</v>
      </c>
    </row>
    <row r="26990">
      <c r="A26990" s="4" t="s">
        <v>33971</v>
      </c>
      <c r="B26990" s="4" t="s">
        <v>33972</v>
      </c>
      <c r="C26990" s="5" t="str">
        <f>IFERROR(__xludf.DUMMYFUNCTION("GOOGLETRANSLATE(B26990,""en"",""de"")"),"Eine Frau wird aus verschiedenen Winkeln gezeigt, die sich auf einer Übungsmaschine bewegen, und führt in die Erde, die sich dreht.")</f>
        <v>Eine Frau wird aus verschiedenen Winkeln gezeigt, die sich auf einer Übungsmaschine bewegen, und führt in die Erde, die sich dreht.</v>
      </c>
    </row>
    <row r="26991">
      <c r="A26991" s="4" t="s">
        <v>33971</v>
      </c>
      <c r="B26991" s="4" t="s">
        <v>33973</v>
      </c>
      <c r="C26991" s="5" t="str">
        <f>IFERROR(__xludf.DUMMYFUNCTION("GOOGLETRANSLATE(B26991,""en"",""de"")"),"Sie legt einen Gegenstand auf die Maschine und es werden mehrere Bilder der Gesundheit gezeigt.")</f>
        <v>Sie legt einen Gegenstand auf die Maschine und es werden mehrere Bilder der Gesundheit gezeigt.</v>
      </c>
    </row>
    <row r="26992">
      <c r="A26992" s="4" t="s">
        <v>33971</v>
      </c>
      <c r="B26992" s="4" t="s">
        <v>33974</v>
      </c>
      <c r="C26992" s="5" t="str">
        <f>IFERROR(__xludf.DUMMYFUNCTION("GOOGLETRANSLATE(B26992,""en"",""de"")"),"Sie fährt wieder auf der Maschine und faltet die Maschine am Ende schließlich zusammen.")</f>
        <v>Sie fährt wieder auf der Maschine und faltet die Maschine am Ende schließlich zusammen.</v>
      </c>
    </row>
    <row r="26993">
      <c r="A26993" s="4" t="s">
        <v>33975</v>
      </c>
      <c r="B26993" s="4" t="s">
        <v>33976</v>
      </c>
      <c r="C26993" s="5" t="str">
        <f>IFERROR(__xludf.DUMMYFUNCTION("GOOGLETRANSLATE(B26993,""en"",""de"")"),"Ein Mann spricht vor einem Netz.")</f>
        <v>Ein Mann spricht vor einem Netz.</v>
      </c>
    </row>
    <row r="26994">
      <c r="A26994" s="4" t="s">
        <v>33975</v>
      </c>
      <c r="B26994" s="4" t="s">
        <v>33977</v>
      </c>
      <c r="C26994" s="5" t="str">
        <f>IFERROR(__xludf.DUMMYFUNCTION("GOOGLETRANSLATE(B26994,""en"",""de"")"),"Er kauert zu Boden und überquert die Knöchel.")</f>
        <v>Er kauert zu Boden und überquert die Knöchel.</v>
      </c>
    </row>
    <row r="26995">
      <c r="A26995" s="4" t="s">
        <v>33975</v>
      </c>
      <c r="B26995" s="4" t="s">
        <v>33978</v>
      </c>
      <c r="C26995" s="5" t="str">
        <f>IFERROR(__xludf.DUMMYFUNCTION("GOOGLETRANSLATE(B26995,""en"",""de"")"),"Er geht dann mehrmals vorwärts und zurück und streckt sich.")</f>
        <v>Er geht dann mehrmals vorwärts und zurück und streckt sich.</v>
      </c>
    </row>
    <row r="26996">
      <c r="A26996" s="4" t="s">
        <v>33979</v>
      </c>
      <c r="B26996" s="4" t="s">
        <v>33980</v>
      </c>
      <c r="C26996" s="5" t="str">
        <f>IFERROR(__xludf.DUMMYFUNCTION("GOOGLETRANSLATE(B26996,""en"",""de"")"),"Ein Mann sitzt in einem Raum und diskutiert.")</f>
        <v>Ein Mann sitzt in einem Raum und diskutiert.</v>
      </c>
    </row>
    <row r="26997">
      <c r="A26997" s="4" t="s">
        <v>33979</v>
      </c>
      <c r="B26997" s="4" t="s">
        <v>33981</v>
      </c>
      <c r="C26997" s="5" t="str">
        <f>IFERROR(__xludf.DUMMYFUNCTION("GOOGLETRANSLATE(B26997,""en"",""de"")"),"Der Mann hält eine Kaffeetasse, während er redet.")</f>
        <v>Der Mann hält eine Kaffeetasse, während er redet.</v>
      </c>
    </row>
    <row r="26998">
      <c r="A26998" s="4" t="s">
        <v>33979</v>
      </c>
      <c r="B26998" s="4" t="s">
        <v>33982</v>
      </c>
      <c r="C26998" s="5" t="str">
        <f>IFERROR(__xludf.DUMMYFUNCTION("GOOGLETRANSLATE(B26998,""en"",""de"")"),"Der Mann nimmt ein paar Getränke aus der Kaffeetasse.")</f>
        <v>Der Mann nimmt ein paar Getränke aus der Kaffeetasse.</v>
      </c>
    </row>
    <row r="26999">
      <c r="A26999" s="4" t="s">
        <v>33983</v>
      </c>
      <c r="B26999" s="4" t="s">
        <v>33984</v>
      </c>
      <c r="C26999" s="5" t="str">
        <f>IFERROR(__xludf.DUMMYFUNCTION("GOOGLETRANSLATE(B26999,""en"",""de"")"),"Ein Kleinkind sitzt vor einem Tisch, wobei ihr Spiel auf dem Tisch ausgelegt ist.")</f>
        <v>Ein Kleinkind sitzt vor einem Tisch, wobei ihr Spiel auf dem Tisch ausgelegt ist.</v>
      </c>
    </row>
    <row r="27000">
      <c r="A27000" s="4" t="s">
        <v>33983</v>
      </c>
      <c r="B27000" s="4" t="s">
        <v>33985</v>
      </c>
      <c r="C27000" s="5" t="str">
        <f>IFERROR(__xludf.DUMMYFUNCTION("GOOGLETRANSLATE(B27000,""en"",""de"")"),"Sie nimmt dann ihr Fundament und legt sie um ihr Gesicht.")</f>
        <v>Sie nimmt dann ihr Fundament und legt sie um ihr Gesicht.</v>
      </c>
    </row>
    <row r="27001">
      <c r="A27001" s="4" t="s">
        <v>33983</v>
      </c>
      <c r="B27001" s="4" t="s">
        <v>33986</v>
      </c>
      <c r="C27001" s="5" t="str">
        <f>IFERROR(__xludf.DUMMYFUNCTION("GOOGLETRANSLATE(B27001,""en"",""de"")"),"Als nächstes kommt ihr Lidschatten, dann ihre Lippen, aber sie lässt ihn auf den Boden fallen und muss unter den Tisch gehen, um es zu bekommen.")</f>
        <v>Als nächstes kommt ihr Lidschatten, dann ihre Lippen, aber sie lässt ihn auf den Boden fallen und muss unter den Tisch gehen, um es zu bekommen.</v>
      </c>
    </row>
    <row r="27002">
      <c r="A27002" s="4" t="s">
        <v>33983</v>
      </c>
      <c r="B27002" s="4" t="s">
        <v>33987</v>
      </c>
      <c r="C27002" s="5" t="str">
        <f>IFERROR(__xludf.DUMMYFUNCTION("GOOGLETRANSLATE(B27002,""en"",""de"")"),"Schließlich kommt sie zurück und fügt ihren Lippen den letzten Schliff hinzu. Sie beendet ihre Lippen und verleiht ihren Wangen mehr Farbe.")</f>
        <v>Schließlich kommt sie zurück und fügt ihren Lippen den letzten Schliff hinzu. Sie beendet ihre Lippen und verleiht ihren Wangen mehr Farbe.</v>
      </c>
    </row>
    <row r="27003">
      <c r="A27003" s="4" t="s">
        <v>33988</v>
      </c>
      <c r="B27003" s="4" t="s">
        <v>33989</v>
      </c>
      <c r="C27003" s="5" t="str">
        <f>IFERROR(__xludf.DUMMYFUNCTION("GOOGLETRANSLATE(B27003,""en"",""de"")"),"Wir sehen Bilder, die um DC geschossen wurden.")</f>
        <v>Wir sehen Bilder, die um DC geschossen wurden.</v>
      </c>
    </row>
    <row r="27004">
      <c r="A27004" s="4" t="s">
        <v>33988</v>
      </c>
      <c r="B27004" s="4" t="s">
        <v>33990</v>
      </c>
      <c r="C27004" s="5" t="str">
        <f>IFERROR(__xludf.DUMMYFUNCTION("GOOGLETRANSLATE(B27004,""en"",""de"")"),"Wir sehen einen Mann reden und Skateboards aufnahmen, während sich Menschen in einem Raum versammeln.")</f>
        <v>Wir sehen einen Mann reden und Skateboards aufnahmen, während sich Menschen in einem Raum versammeln.</v>
      </c>
    </row>
    <row r="27005">
      <c r="A27005" s="4" t="s">
        <v>33988</v>
      </c>
      <c r="B27005" s="4" t="s">
        <v>33991</v>
      </c>
      <c r="C27005" s="5" t="str">
        <f>IFERROR(__xludf.DUMMYFUNCTION("GOOGLETRANSLATE(B27005,""en"",""de"")"),"Wir sehen Tony Hawk, der auf andere Menschen zeigt.")</f>
        <v>Wir sehen Tony Hawk, der auf andere Menschen zeigt.</v>
      </c>
    </row>
    <row r="27006">
      <c r="A27006" s="4" t="s">
        <v>33988</v>
      </c>
      <c r="B27006" s="4" t="s">
        <v>33992</v>
      </c>
      <c r="C27006" s="5" t="str">
        <f>IFERROR(__xludf.DUMMYFUNCTION("GOOGLETRANSLATE(B27006,""en"",""de"")"),"Wir sehen Leute, die auf der Straße und in der Nähe von DC skateboarden.")</f>
        <v>Wir sehen Leute, die auf der Straße und in der Nähe von DC skateboarden.</v>
      </c>
    </row>
    <row r="27007">
      <c r="A27007" s="4" t="s">
        <v>33988</v>
      </c>
      <c r="B27007" s="4" t="s">
        <v>33993</v>
      </c>
      <c r="C27007" s="5" t="str">
        <f>IFERROR(__xludf.DUMMYFUNCTION("GOOGLETRANSLATE(B27007,""en"",""de"")"),"Wir sehen einen Skater namens Shaun Gregoirie.")</f>
        <v>Wir sehen einen Skater namens Shaun Gregoirie.</v>
      </c>
    </row>
    <row r="27008">
      <c r="A27008" s="4" t="s">
        <v>33988</v>
      </c>
      <c r="B27008" s="4" t="s">
        <v>33994</v>
      </c>
      <c r="C27008" s="5" t="str">
        <f>IFERROR(__xludf.DUMMYFUNCTION("GOOGLETRANSLATE(B27008,""en"",""de"")"),"Eine Dame hält eine Flagge der USA und spricht.")</f>
        <v>Eine Dame hält eine Flagge der USA und spricht.</v>
      </c>
    </row>
    <row r="27009">
      <c r="A27009" s="4" t="s">
        <v>33988</v>
      </c>
      <c r="B27009" s="4" t="s">
        <v>33995</v>
      </c>
      <c r="C27009" s="5" t="str">
        <f>IFERROR(__xludf.DUMMYFUNCTION("GOOGLETRANSLATE(B27009,""en"",""de"")"),"Wir sehen ein Cop -Auto auf der Straße.")</f>
        <v>Wir sehen ein Cop -Auto auf der Straße.</v>
      </c>
    </row>
    <row r="27010">
      <c r="A27010" s="4" t="s">
        <v>33988</v>
      </c>
      <c r="B27010" s="4" t="s">
        <v>33996</v>
      </c>
      <c r="C27010" s="5" t="str">
        <f>IFERROR(__xludf.DUMMYFUNCTION("GOOGLETRANSLATE(B27010,""en"",""de"")"),"Wir sehen Anthony Shetler sitzen und reden, bevor wir auf der Straße skaten.")</f>
        <v>Wir sehen Anthony Shetler sitzen und reden, bevor wir auf der Straße skaten.</v>
      </c>
    </row>
    <row r="27011">
      <c r="A27011" s="4" t="s">
        <v>33988</v>
      </c>
      <c r="B27011" s="4" t="s">
        <v>33997</v>
      </c>
      <c r="C27011" s="5" t="str">
        <f>IFERROR(__xludf.DUMMYFUNCTION("GOOGLETRANSLATE(B27011,""en"",""de"")"),"Ein Mann springt Treppen und Stürze.")</f>
        <v>Ein Mann springt Treppen und Stürze.</v>
      </c>
    </row>
    <row r="27012">
      <c r="A27012" s="4" t="s">
        <v>33988</v>
      </c>
      <c r="B27012" s="4" t="s">
        <v>19168</v>
      </c>
      <c r="C27012" s="5" t="str">
        <f>IFERROR(__xludf.DUMMYFUNCTION("GOOGLETRANSLATE(B27012,""en"",""de"")"),"Wir sehen die End -Credits für das Video.")</f>
        <v>Wir sehen die End -Credits für das Video.</v>
      </c>
    </row>
    <row r="27013">
      <c r="A27013" s="4" t="s">
        <v>33998</v>
      </c>
      <c r="B27013" s="4" t="s">
        <v>33999</v>
      </c>
      <c r="C27013" s="5" t="str">
        <f>IFERROR(__xludf.DUMMYFUNCTION("GOOGLETRANSLATE(B27013,""en"",""de"")"),"Ein Mann sitzt in einem Stoßfänger, der einen Daumen hoch hält, und fängt dann an.")</f>
        <v>Ein Mann sitzt in einem Stoßfänger, der einen Daumen hoch hält, und fängt dann an.</v>
      </c>
    </row>
    <row r="27014">
      <c r="A27014" s="4" t="s">
        <v>33998</v>
      </c>
      <c r="B27014" s="4" t="s">
        <v>34000</v>
      </c>
      <c r="C27014" s="5" t="str">
        <f>IFERROR(__xludf.DUMMYFUNCTION("GOOGLETRANSLATE(B27014,""en"",""de"")"),"Die Menschen fahren weiter herum und endet mit ihnen, wenn sie aufstehen.")</f>
        <v>Die Menschen fahren weiter herum und endet mit ihnen, wenn sie aufstehen.</v>
      </c>
    </row>
    <row r="27015">
      <c r="A27015" s="4" t="s">
        <v>34001</v>
      </c>
      <c r="B27015" s="4" t="s">
        <v>34002</v>
      </c>
      <c r="C27015" s="5" t="str">
        <f>IFERROR(__xludf.DUMMYFUNCTION("GOOGLETRANSLATE(B27015,""en"",""de"")"),"Jungen werden vor den Richtern eine Karate -Demo durchführen.")</f>
        <v>Jungen werden vor den Richtern eine Karate -Demo durchführen.</v>
      </c>
    </row>
    <row r="27016">
      <c r="A27016" s="4" t="s">
        <v>34001</v>
      </c>
      <c r="B27016" s="4" t="s">
        <v>34003</v>
      </c>
      <c r="C27016" s="5" t="str">
        <f>IFERROR(__xludf.DUMMYFUNCTION("GOOGLETRANSLATE(B27016,""en"",""de"")"),"Sie bewegen sich hin und her und von vorne nach hinten und führen verschiedene Schläge aus.")</f>
        <v>Sie bewegen sich hin und her und von vorne nach hinten und führen verschiedene Schläge aus.</v>
      </c>
    </row>
    <row r="27017">
      <c r="A27017" s="4" t="s">
        <v>34001</v>
      </c>
      <c r="B27017" s="4" t="s">
        <v>34004</v>
      </c>
      <c r="C27017" s="5" t="str">
        <f>IFERROR(__xludf.DUMMYFUNCTION("GOOGLETRANSLATE(B27017,""en"",""de"")"),"Sie entspannen sich dann und schließen sich an, während die Menschen hinter ihnen klatschen.")</f>
        <v>Sie entspannen sich dann und schließen sich an, während die Menschen hinter ihnen klatschen.</v>
      </c>
    </row>
    <row r="27018">
      <c r="A27018" s="4" t="s">
        <v>34001</v>
      </c>
      <c r="B27018" s="4" t="s">
        <v>34005</v>
      </c>
      <c r="C27018" s="5" t="str">
        <f>IFERROR(__xludf.DUMMYFUNCTION("GOOGLETRANSLATE(B27018,""en"",""de"")"),"Sie fahren dann mit ihrer Routine des Spiels weiter.")</f>
        <v>Sie fahren dann mit ihrer Routine des Spiels weiter.</v>
      </c>
    </row>
    <row r="27019">
      <c r="A27019" s="4" t="s">
        <v>34001</v>
      </c>
      <c r="B27019" s="4" t="s">
        <v>34006</v>
      </c>
      <c r="C27019" s="5" t="str">
        <f>IFERROR(__xludf.DUMMYFUNCTION("GOOGLETRANSLATE(B27019,""en"",""de"")"),"Dies setzt sich fort, bis der Junge seine Routine zum Applaus beendet und sich dann hinsetzte.")</f>
        <v>Dies setzt sich fort, bis der Junge seine Routine zum Applaus beendet und sich dann hinsetzte.</v>
      </c>
    </row>
    <row r="27020">
      <c r="A27020" s="4" t="s">
        <v>34007</v>
      </c>
      <c r="B27020" s="4" t="s">
        <v>34008</v>
      </c>
      <c r="C27020" s="5" t="str">
        <f>IFERROR(__xludf.DUMMYFUNCTION("GOOGLETRANSLATE(B27020,""en"",""de"")"),"Ein Mann trägt Sonnenbrillen in einem Gebäude.")</f>
        <v>Ein Mann trägt Sonnenbrillen in einem Gebäude.</v>
      </c>
    </row>
    <row r="27021">
      <c r="A27021" s="4" t="s">
        <v>34007</v>
      </c>
      <c r="B27021" s="4" t="s">
        <v>34009</v>
      </c>
      <c r="C27021" s="5" t="str">
        <f>IFERROR(__xludf.DUMMYFUNCTION("GOOGLETRANSLATE(B27021,""en"",""de"")"),"Wir sehen eine Gruppe von Menschen im Gebäude, während sie aerob tanzen.")</f>
        <v>Wir sehen eine Gruppe von Menschen im Gebäude, während sie aerob tanzen.</v>
      </c>
    </row>
    <row r="27022">
      <c r="A27022" s="4" t="s">
        <v>34007</v>
      </c>
      <c r="B27022" s="4" t="s">
        <v>34010</v>
      </c>
      <c r="C27022" s="5" t="str">
        <f>IFERROR(__xludf.DUMMYFUNCTION("GOOGLETRANSLATE(B27022,""en"",""de"")"),"Sie zittern unisono, gehen hin und her und Seite zur Seite.")</f>
        <v>Sie zittern unisono, gehen hin und her und Seite zur Seite.</v>
      </c>
    </row>
    <row r="27023">
      <c r="A27023" s="4" t="s">
        <v>34011</v>
      </c>
      <c r="B27023" s="4" t="s">
        <v>34012</v>
      </c>
      <c r="C27023" s="5" t="str">
        <f>IFERROR(__xludf.DUMMYFUNCTION("GOOGLETRANSLATE(B27023,""en"",""de"")"),"Die Leute stehen draußen und spielen Volleyball.")</f>
        <v>Die Leute stehen draußen und spielen Volleyball.</v>
      </c>
    </row>
    <row r="27024">
      <c r="A27024" s="4" t="s">
        <v>34011</v>
      </c>
      <c r="B27024" s="4" t="s">
        <v>34013</v>
      </c>
      <c r="C27024" s="5" t="str">
        <f>IFERROR(__xludf.DUMMYFUNCTION("GOOGLETRANSLATE(B27024,""en"",""de"")"),"Ein Mann in einem schwarzen Hemd spricht mit jemandem.")</f>
        <v>Ein Mann in einem schwarzen Hemd spricht mit jemandem.</v>
      </c>
    </row>
    <row r="27025">
      <c r="A27025" s="4" t="s">
        <v>34011</v>
      </c>
      <c r="B27025" s="4" t="s">
        <v>34014</v>
      </c>
      <c r="C27025" s="5" t="str">
        <f>IFERROR(__xludf.DUMMYFUNCTION("GOOGLETRANSLATE(B27025,""en"",""de"")"),"Ein Mann in einem grauen Hemd hat seine Hände an den Hüften.")</f>
        <v>Ein Mann in einem grauen Hemd hat seine Hände an den Hüften.</v>
      </c>
    </row>
    <row r="27026">
      <c r="A27026" s="4" t="s">
        <v>34015</v>
      </c>
      <c r="B27026" s="4" t="s">
        <v>34016</v>
      </c>
      <c r="C27026" s="5" t="str">
        <f>IFERROR(__xludf.DUMMYFUNCTION("GOOGLETRANSLATE(B27026,""en"",""de"")"),"Ein Mann kniet auf dem Boden und schirmt eine Wand mit einem silbernen Utensil.")</f>
        <v>Ein Mann kniet auf dem Boden und schirmt eine Wand mit einem silbernen Utensil.</v>
      </c>
    </row>
    <row r="27027">
      <c r="A27027" s="4" t="s">
        <v>34015</v>
      </c>
      <c r="B27027" s="4" t="s">
        <v>34017</v>
      </c>
      <c r="C27027" s="5" t="str">
        <f>IFERROR(__xludf.DUMMYFUNCTION("GOOGLETRANSLATE(B27027,""en"",""de"")"),"Der Mann steht auf, blickt zurück in die Kamera und erledigt seine Aufgabe weiter.")</f>
        <v>Der Mann steht auf, blickt zurück in die Kamera und erledigt seine Aufgabe weiter.</v>
      </c>
    </row>
    <row r="27028">
      <c r="A27028" s="4" t="s">
        <v>34015</v>
      </c>
      <c r="B27028" s="4" t="s">
        <v>34018</v>
      </c>
      <c r="C27028" s="5" t="str">
        <f>IFERROR(__xludf.DUMMYFUNCTION("GOOGLETRANSLATE(B27028,""en"",""de"")"),"Jetzt ist der Mann wieder auf den Knien und tut weiterhin das, was er am Anfang tat.")</f>
        <v>Jetzt ist der Mann wieder auf den Knien und tut weiterhin das, was er am Anfang tat.</v>
      </c>
    </row>
    <row r="27029">
      <c r="A27029" s="4" t="s">
        <v>34019</v>
      </c>
      <c r="B27029" s="4" t="s">
        <v>34020</v>
      </c>
      <c r="C27029" s="5" t="str">
        <f>IFERROR(__xludf.DUMMYFUNCTION("GOOGLETRANSLATE(B27029,""en"",""de"")"),"Eine Frau steht in einem Badezimmer, das in einem Handtuch eingewickelt ist.")</f>
        <v>Eine Frau steht in einem Badezimmer, das in einem Handtuch eingewickelt ist.</v>
      </c>
    </row>
    <row r="27030">
      <c r="A27030" s="4" t="s">
        <v>34019</v>
      </c>
      <c r="B27030" s="4" t="s">
        <v>34021</v>
      </c>
      <c r="C27030" s="5" t="str">
        <f>IFERROR(__xludf.DUMMYFUNCTION("GOOGLETRANSLATE(B27030,""en"",""de"")"),"Das Mädchen hält ihre Haare mit einer Hand und reibt Make -up mit der anderen.")</f>
        <v>Das Mädchen hält ihre Haare mit einer Hand und reibt Make -up mit der anderen.</v>
      </c>
    </row>
    <row r="27031">
      <c r="A27031" s="4" t="s">
        <v>34022</v>
      </c>
      <c r="B27031" s="4" t="s">
        <v>34023</v>
      </c>
      <c r="C27031" s="5" t="str">
        <f>IFERROR(__xludf.DUMMYFUNCTION("GOOGLETRANSLATE(B27031,""en"",""de"")"),"Es gibt einen kahlen Mann mit einem Spitzbartbart in seinem Badezimmer vor einem großen Spiegel mit einem elektrischen Rasierer in der Hand.")</f>
        <v>Es gibt einen kahlen Mann mit einem Spitzbartbart in seinem Badezimmer vor einem großen Spiegel mit einem elektrischen Rasierer in der Hand.</v>
      </c>
    </row>
    <row r="27032">
      <c r="A27032" s="4" t="s">
        <v>34022</v>
      </c>
      <c r="B27032" s="4" t="s">
        <v>34024</v>
      </c>
      <c r="C27032" s="5" t="str">
        <f>IFERROR(__xludf.DUMMYFUNCTION("GOOGLETRANSLATE(B27032,""en"",""de"")"),"Er zeigt, wie man seinen Bart abrasert und aufrechterhält.")</f>
        <v>Er zeigt, wie man seinen Bart abrasert und aufrechterhält.</v>
      </c>
    </row>
    <row r="27033">
      <c r="A27033" s="4" t="s">
        <v>34022</v>
      </c>
      <c r="B27033" s="4" t="s">
        <v>34025</v>
      </c>
      <c r="C27033" s="5" t="str">
        <f>IFERROR(__xludf.DUMMYFUNCTION("GOOGLETRANSLATE(B27033,""en"",""de"")"),"Dann zeigt er, wie man den Trimmer für seinen Bart benutzt, indem er die Clipper -Größe einstellt.")</f>
        <v>Dann zeigt er, wie man den Trimmer für seinen Bart benutzt, indem er die Clipper -Größe einstellt.</v>
      </c>
    </row>
    <row r="27034">
      <c r="A27034" s="4" t="s">
        <v>34022</v>
      </c>
      <c r="B27034" s="4" t="s">
        <v>34026</v>
      </c>
      <c r="C27034" s="5" t="str">
        <f>IFERROR(__xludf.DUMMYFUNCTION("GOOGLETRANSLATE(B27034,""en"",""de"")"),"Er rasiert seinen Bart völlig ab.")</f>
        <v>Er rasiert seinen Bart völlig ab.</v>
      </c>
    </row>
    <row r="27035">
      <c r="A27035" s="4" t="s">
        <v>34022</v>
      </c>
      <c r="B27035" s="4" t="s">
        <v>34027</v>
      </c>
      <c r="C27035" s="5" t="str">
        <f>IFERROR(__xludf.DUMMYFUNCTION("GOOGLETRANSLATE(B27035,""en"",""de"")"),"Dann berührt er seine Haut, um zu sehen, wie sauber die Rasur ist.")</f>
        <v>Dann berührt er seine Haut, um zu sehen, wie sauber die Rasur ist.</v>
      </c>
    </row>
    <row r="27036">
      <c r="A27036" s="4" t="s">
        <v>34022</v>
      </c>
      <c r="B27036" s="4" t="s">
        <v>34028</v>
      </c>
      <c r="C27036" s="5" t="str">
        <f>IFERROR(__xludf.DUMMYFUNCTION("GOOGLETRANSLATE(B27036,""en"",""de"")"),"Er entfernt die Haare vom Rasierer und reinigt es.")</f>
        <v>Er entfernt die Haare vom Rasierer und reinigt es.</v>
      </c>
    </row>
    <row r="27037">
      <c r="A27037" s="4" t="s">
        <v>34029</v>
      </c>
      <c r="B27037" s="4" t="s">
        <v>34030</v>
      </c>
      <c r="C27037" s="5" t="str">
        <f>IFERROR(__xludf.DUMMYFUNCTION("GOOGLETRANSLATE(B27037,""en"",""de"")"),"Ein Mann in einer weißen Jacke nimmt ein Eisen auf.")</f>
        <v>Ein Mann in einer weißen Jacke nimmt ein Eisen auf.</v>
      </c>
    </row>
    <row r="27038">
      <c r="A27038" s="4" t="s">
        <v>34029</v>
      </c>
      <c r="B27038" s="4" t="s">
        <v>34031</v>
      </c>
      <c r="C27038" s="5" t="str">
        <f>IFERROR(__xludf.DUMMYFUNCTION("GOOGLETRANSLATE(B27038,""en"",""de"")"),"Er legt Zinnfolie auf einen Tisch.")</f>
        <v>Er legt Zinnfolie auf einen Tisch.</v>
      </c>
    </row>
    <row r="27039">
      <c r="A27039" s="4" t="s">
        <v>34029</v>
      </c>
      <c r="B27039" s="4" t="s">
        <v>34032</v>
      </c>
      <c r="C27039" s="5" t="str">
        <f>IFERROR(__xludf.DUMMYFUNCTION("GOOGLETRANSLATE(B27039,""en"",""de"")"),"Er legt Brot mit Butter und Käse auf die Blechfolie.")</f>
        <v>Er legt Brot mit Butter und Käse auf die Blechfolie.</v>
      </c>
    </row>
    <row r="27040">
      <c r="A27040" s="4" t="s">
        <v>34029</v>
      </c>
      <c r="B27040" s="4" t="s">
        <v>34033</v>
      </c>
      <c r="C27040" s="5" t="str">
        <f>IFERROR(__xludf.DUMMYFUNCTION("GOOGLETRANSLATE(B27040,""en"",""de"")"),"Er legt das Eisen auf das Sandwich.")</f>
        <v>Er legt das Eisen auf das Sandwich.</v>
      </c>
    </row>
    <row r="27041">
      <c r="A27041" s="4" t="s">
        <v>34029</v>
      </c>
      <c r="B27041" s="4" t="s">
        <v>34034</v>
      </c>
      <c r="C27041" s="5" t="str">
        <f>IFERROR(__xludf.DUMMYFUNCTION("GOOGLETRANSLATE(B27041,""en"",""de"")"),"Er öffnet die Zinnfolie und schneidet das Sandwich in zwei Hälften.")</f>
        <v>Er öffnet die Zinnfolie und schneidet das Sandwich in zwei Hälften.</v>
      </c>
    </row>
    <row r="27042">
      <c r="A27042" s="4" t="s">
        <v>34029</v>
      </c>
      <c r="B27042" s="4" t="s">
        <v>34035</v>
      </c>
      <c r="C27042" s="5" t="str">
        <f>IFERROR(__xludf.DUMMYFUNCTION("GOOGLETRANSLATE(B27042,""en"",""de"")"),"Er nimmt ein bisschen das Sandwich.")</f>
        <v>Er nimmt ein bisschen das Sandwich.</v>
      </c>
    </row>
    <row r="27043">
      <c r="A27043" s="4" t="s">
        <v>34036</v>
      </c>
      <c r="B27043" s="4" t="s">
        <v>34037</v>
      </c>
      <c r="C27043" s="5" t="str">
        <f>IFERROR(__xludf.DUMMYFUNCTION("GOOGLETRANSLATE(B27043,""en"",""de"")"),"Ein Athlet ist gesehen, wie er auf eine Plattform geht und beginnt sich zu drehen und ein Objekt in die Ferne zu werfen.")</f>
        <v>Ein Athlet ist gesehen, wie er auf eine Plattform geht und beginnt sich zu drehen und ein Objekt in die Ferne zu werfen.</v>
      </c>
    </row>
    <row r="27044">
      <c r="A27044" s="4" t="s">
        <v>34036</v>
      </c>
      <c r="B27044" s="4" t="s">
        <v>34038</v>
      </c>
      <c r="C27044" s="5" t="str">
        <f>IFERROR(__xludf.DUMMYFUNCTION("GOOGLETRANSLATE(B27044,""en"",""de"")"),"Sein Wurf wird wieder in Zeitlupe gezeigt und ein anderer Mann wird herumdrehen und das Objekt danach mit seinen Händen nach oben wirft.")</f>
        <v>Sein Wurf wird wieder in Zeitlupe gezeigt und ein anderer Mann wird herumdrehen und das Objekt danach mit seinen Händen nach oben wirft.</v>
      </c>
    </row>
    <row r="27045">
      <c r="A27045" s="4" t="s">
        <v>34039</v>
      </c>
      <c r="B27045" s="4" t="s">
        <v>34040</v>
      </c>
      <c r="C27045" s="5" t="str">
        <f>IFERROR(__xludf.DUMMYFUNCTION("GOOGLETRANSLATE(B27045,""en"",""de"")"),"Ein Mann sitzt auf einem Übungsgerät und rudert sich zurück und vierten auf einer Maschine.")</f>
        <v>Ein Mann sitzt auf einem Übungsgerät und rudert sich zurück und vierten auf einer Maschine.</v>
      </c>
    </row>
    <row r="27046">
      <c r="A27046" s="4" t="s">
        <v>34039</v>
      </c>
      <c r="B27046" s="4" t="s">
        <v>34041</v>
      </c>
      <c r="C27046" s="5" t="str">
        <f>IFERROR(__xludf.DUMMYFUNCTION("GOOGLETRANSLATE(B27046,""en"",""de"")"),"Der Mann bewegt sich weiterhin zurück und den vierten Platz, als die Kamera ihn aus mehreren Blickwinkeln einfängt.")</f>
        <v>Der Mann bewegt sich weiterhin zurück und den vierten Platz, als die Kamera ihn aus mehreren Blickwinkeln einfängt.</v>
      </c>
    </row>
    <row r="27047">
      <c r="A27047" s="4" t="s">
        <v>34042</v>
      </c>
      <c r="B27047" s="4" t="s">
        <v>34043</v>
      </c>
      <c r="C27047" s="5" t="str">
        <f>IFERROR(__xludf.DUMMYFUNCTION("GOOGLETRANSLATE(B27047,""en"",""de"")"),"Der Mensch steht in einer Rennstrecke und rennt, um einen Sprung zu machen, und die Leute stehen um ihn herum.")</f>
        <v>Der Mensch steht in einer Rennstrecke und rennt, um einen Sprung zu machen, und die Leute stehen um ihn herum.</v>
      </c>
    </row>
    <row r="27048">
      <c r="A27048" s="4" t="s">
        <v>34042</v>
      </c>
      <c r="B27048" s="4" t="s">
        <v>34044</v>
      </c>
      <c r="C27048" s="5" t="str">
        <f>IFERROR(__xludf.DUMMYFUNCTION("GOOGLETRANSLATE(B27048,""en"",""de"")"),"Der Mann sitzt in einem Raum mit der Kamera.")</f>
        <v>Der Mann sitzt in einem Raum mit der Kamera.</v>
      </c>
    </row>
    <row r="27049">
      <c r="A27049" s="4" t="s">
        <v>34042</v>
      </c>
      <c r="B27049" s="4" t="s">
        <v>34045</v>
      </c>
      <c r="C27049" s="5" t="str">
        <f>IFERROR(__xludf.DUMMYFUNCTION("GOOGLETRANSLATE(B27049,""en"",""de"")"),"Der Mensch rennt in einer Rennstrecke und springt im Staub und der Mann sitzt in einem Raum und redet.")</f>
        <v>Der Mensch rennt in einer Rennstrecke und springt im Staub und der Mann sitzt in einem Raum und redet.</v>
      </c>
    </row>
    <row r="27050">
      <c r="A27050" s="4" t="s">
        <v>34042</v>
      </c>
      <c r="B27050" s="4" t="s">
        <v>34046</v>
      </c>
      <c r="C27050" s="5" t="str">
        <f>IFERROR(__xludf.DUMMYFUNCTION("GOOGLETRANSLATE(B27050,""en"",""de"")"),"Die Spieler spielen amerikanische Fußball und Zuschauer sind auf den Terrassen.")</f>
        <v>Die Spieler spielen amerikanische Fußball und Zuschauer sind auf den Terrassen.</v>
      </c>
    </row>
    <row r="27051">
      <c r="A27051" s="4" t="s">
        <v>34042</v>
      </c>
      <c r="B27051" s="4" t="s">
        <v>34047</v>
      </c>
      <c r="C27051" s="5" t="str">
        <f>IFERROR(__xludf.DUMMYFUNCTION("GOOGLETRANSLATE(B27051,""en"",""de"")"),"Der alte Mann spricht im Raum und der Mann auf der Rennstrecke rennt und übt den Sprung.")</f>
        <v>Der alte Mann spricht im Raum und der Mann auf der Rennstrecke rennt und übt den Sprung.</v>
      </c>
    </row>
    <row r="27052">
      <c r="A27052" s="4" t="s">
        <v>34048</v>
      </c>
      <c r="B27052" s="4" t="s">
        <v>34049</v>
      </c>
      <c r="C27052" s="5" t="str">
        <f>IFERROR(__xludf.DUMMYFUNCTION("GOOGLETRANSLATE(B27052,""en"",""de"")"),"Zwei große Stücke dekorierter Baupapier werden mit den Worten, alles Gute zum Geburtstag, überall angezeigt.")</f>
        <v>Zwei große Stücke dekorierter Baupapier werden mit den Worten, alles Gute zum Geburtstag, überall angezeigt.</v>
      </c>
    </row>
    <row r="27053">
      <c r="A27053" s="4" t="s">
        <v>34048</v>
      </c>
      <c r="B27053" s="4" t="s">
        <v>34050</v>
      </c>
      <c r="C27053" s="5" t="str">
        <f>IFERROR(__xludf.DUMMYFUNCTION("GOOGLETRANSLATE(B27053,""en"",""de"")"),"Wir sehen dann Geschenke, die mit dem gleichen Wortlaut eingewickelt sind.")</f>
        <v>Wir sehen dann Geschenke, die mit dem gleichen Wortlaut eingewickelt sind.</v>
      </c>
    </row>
    <row r="27054">
      <c r="A27054" s="4" t="s">
        <v>34051</v>
      </c>
      <c r="B27054" s="4" t="s">
        <v>34052</v>
      </c>
      <c r="C27054" s="5" t="str">
        <f>IFERROR(__xludf.DUMMYFUNCTION("GOOGLETRANSLATE(B27054,""en"",""de"")"),"Es wird ein Paar Schuhe angezeigt, gefolgt von verschiedenen Textanweisungen und Werkzeugen.")</f>
        <v>Es wird ein Paar Schuhe angezeigt, gefolgt von verschiedenen Textanweisungen und Werkzeugen.</v>
      </c>
    </row>
    <row r="27055">
      <c r="A27055" s="4" t="s">
        <v>34051</v>
      </c>
      <c r="B27055" s="4" t="s">
        <v>34053</v>
      </c>
      <c r="C27055" s="5" t="str">
        <f>IFERROR(__xludf.DUMMYFUNCTION("GOOGLETRANSLATE(B27055,""en"",""de"")"),"Eine Person wird dann gesehen, wie sie die Show mit einem Lappen unter Verwendung mehrerer Zutaten rieb und das saubere Paar Schuhe zoomt.")</f>
        <v>Eine Person wird dann gesehen, wie sie die Show mit einem Lappen unter Verwendung mehrerer Zutaten rieb und das saubere Paar Schuhe zoomt.</v>
      </c>
    </row>
    <row r="27056">
      <c r="A27056" s="4" t="s">
        <v>34054</v>
      </c>
      <c r="B27056" s="4" t="s">
        <v>34055</v>
      </c>
      <c r="C27056" s="5" t="str">
        <f>IFERROR(__xludf.DUMMYFUNCTION("GOOGLETRANSLATE(B27056,""en"",""de"")"),"Eine Frau steht auf einem Holzboden.")</f>
        <v>Eine Frau steht auf einem Holzboden.</v>
      </c>
    </row>
    <row r="27057">
      <c r="A27057" s="4" t="s">
        <v>34054</v>
      </c>
      <c r="B27057" s="4" t="s">
        <v>34056</v>
      </c>
      <c r="C27057" s="5" t="str">
        <f>IFERROR(__xludf.DUMMYFUNCTION("GOOGLETRANSLATE(B27057,""en"",""de"")"),"Sie hebt und senkt ihre Arme und wechselt in verschiedene Positionen.")</f>
        <v>Sie hebt und senkt ihre Arme und wechselt in verschiedene Positionen.</v>
      </c>
    </row>
    <row r="27058">
      <c r="A27058" s="4" t="s">
        <v>34054</v>
      </c>
      <c r="B27058" s="4" t="s">
        <v>34057</v>
      </c>
      <c r="C27058" s="5" t="str">
        <f>IFERROR(__xludf.DUMMYFUNCTION("GOOGLETRANSLATE(B27058,""en"",""de"")"),"Sie zeigt Tai Chai Acts für die Kamera.")</f>
        <v>Sie zeigt Tai Chai Acts für die Kamera.</v>
      </c>
    </row>
    <row r="27059">
      <c r="A27059" s="4" t="s">
        <v>34058</v>
      </c>
      <c r="B27059" s="4" t="s">
        <v>34059</v>
      </c>
      <c r="C27059" s="5" t="str">
        <f>IFERROR(__xludf.DUMMYFUNCTION("GOOGLETRANSLATE(B27059,""en"",""de"")"),"Ein Mann wird auf einer Bühne gezeigt und spielt eine Reihe von Trommeln.")</f>
        <v>Ein Mann wird auf einer Bühne gezeigt und spielt eine Reihe von Trommeln.</v>
      </c>
    </row>
    <row r="27060">
      <c r="A27060" s="4" t="s">
        <v>34058</v>
      </c>
      <c r="B27060" s="4" t="s">
        <v>34060</v>
      </c>
      <c r="C27060" s="5" t="str">
        <f>IFERROR(__xludf.DUMMYFUNCTION("GOOGLETRANSLATE(B27060,""en"",""de"")"),"Die Frau auf einer Seite spielt Maracas.")</f>
        <v>Die Frau auf einer Seite spielt Maracas.</v>
      </c>
    </row>
    <row r="27061">
      <c r="A27061" s="4" t="s">
        <v>34058</v>
      </c>
      <c r="B27061" s="4" t="s">
        <v>34061</v>
      </c>
      <c r="C27061" s="5" t="str">
        <f>IFERROR(__xludf.DUMMYFUNCTION("GOOGLETRANSLATE(B27061,""en"",""de"")"),"Der Mann auf der anderen Seite spielt eine E -Gitarre.")</f>
        <v>Der Mann auf der anderen Seite spielt eine E -Gitarre.</v>
      </c>
    </row>
    <row r="27062">
      <c r="A27062" s="4" t="s">
        <v>34062</v>
      </c>
      <c r="B27062" s="4" t="s">
        <v>34063</v>
      </c>
      <c r="C27062" s="5" t="str">
        <f>IFERROR(__xludf.DUMMYFUNCTION("GOOGLETRANSLATE(B27062,""en"",""de"")"),"Ein Mann wird gezeigt, der in einen kreisförmigen Käfigbereich mit einer Seite geöffnet ist.")</f>
        <v>Ein Mann wird gezeigt, der in einen kreisförmigen Käfigbereich mit einer Seite geöffnet ist.</v>
      </c>
    </row>
    <row r="27063">
      <c r="A27063" s="4" t="s">
        <v>34062</v>
      </c>
      <c r="B27063" s="4" t="s">
        <v>34064</v>
      </c>
      <c r="C27063" s="5" t="str">
        <f>IFERROR(__xludf.DUMMYFUNCTION("GOOGLETRANSLATE(B27063,""en"",""de"")"),"Der Mann beginnt einen Ball zu drehen, der an einer Schnur um ihn herum befestigt ist.")</f>
        <v>Der Mann beginnt einen Ball zu drehen, der an einer Schnur um ihn herum befestigt ist.</v>
      </c>
    </row>
    <row r="27064">
      <c r="A27064" s="4" t="s">
        <v>34062</v>
      </c>
      <c r="B27064" s="4" t="s">
        <v>34065</v>
      </c>
      <c r="C27064" s="5" t="str">
        <f>IFERROR(__xludf.DUMMYFUNCTION("GOOGLETRANSLATE(B27064,""en"",""de"")"),"Der Mann beginnt im Kreis schnell seinen Körper zu drehen.")</f>
        <v>Der Mann beginnt im Kreis schnell seinen Körper zu drehen.</v>
      </c>
    </row>
    <row r="27065">
      <c r="A27065" s="4" t="s">
        <v>34062</v>
      </c>
      <c r="B27065" s="4" t="s">
        <v>34066</v>
      </c>
      <c r="C27065" s="5" t="str">
        <f>IFERROR(__xludf.DUMMYFUNCTION("GOOGLETRANSLATE(B27065,""en"",""de"")"),"Der Mann lässt die Schnur los und der Ball fliegt durch die Luft.")</f>
        <v>Der Mann lässt die Schnur los und der Ball fliegt durch die Luft.</v>
      </c>
    </row>
    <row r="27066">
      <c r="A27066" s="4" t="s">
        <v>34067</v>
      </c>
      <c r="B27066" s="4" t="s">
        <v>34068</v>
      </c>
      <c r="C27066" s="5" t="str">
        <f>IFERROR(__xludf.DUMMYFUNCTION("GOOGLETRANSLATE(B27066,""en"",""de"")"),"Zwei Teams spielen Polo, die Polen hält, um einen Ball auf eine Menge auf einem Feld zu werfen.")</f>
        <v>Zwei Teams spielen Polo, die Polen hält, um einen Ball auf eine Menge auf einem Feld zu werfen.</v>
      </c>
    </row>
    <row r="27067">
      <c r="A27067" s="4" t="s">
        <v>34067</v>
      </c>
      <c r="B27067" s="4" t="s">
        <v>34069</v>
      </c>
      <c r="C27067" s="5" t="str">
        <f>IFERROR(__xludf.DUMMYFUNCTION("GOOGLETRANSLATE(B27067,""en"",""de"")"),"Die Leute stehen neben den Scores Boards.")</f>
        <v>Die Leute stehen neben den Scores Boards.</v>
      </c>
    </row>
    <row r="27068">
      <c r="A27068" s="4" t="s">
        <v>34067</v>
      </c>
      <c r="B27068" s="4" t="s">
        <v>34070</v>
      </c>
      <c r="C27068" s="5" t="str">
        <f>IFERROR(__xludf.DUMMYFUNCTION("GOOGLETRANSLATE(B27068,""en"",""de"")"),"Dann stellt ein Spieler die Bühne auf, um eine Trophäe zu erhalten, nachdem eine Frau den Gewinner und andere Spieler auf die Bühne geküsst hat und alle die Trophäe erheben.")</f>
        <v>Dann stellt ein Spieler die Bühne auf, um eine Trophäe zu erhalten, nachdem eine Frau den Gewinner und andere Spieler auf die Bühne geküsst hat und alle die Trophäe erheben.</v>
      </c>
    </row>
    <row r="27069">
      <c r="A27069" s="4" t="s">
        <v>34071</v>
      </c>
      <c r="B27069" s="4" t="s">
        <v>4448</v>
      </c>
      <c r="C27069" s="5" t="str">
        <f>IFERROR(__xludf.DUMMYFUNCTION("GOOGLETRANSLATE(B27069,""en"",""de"")"),"Wir sehen den Öffnungsbildschirm.")</f>
        <v>Wir sehen den Öffnungsbildschirm.</v>
      </c>
    </row>
    <row r="27070">
      <c r="A27070" s="4" t="s">
        <v>34071</v>
      </c>
      <c r="B27070" s="4" t="s">
        <v>34072</v>
      </c>
      <c r="C27070" s="5" t="str">
        <f>IFERROR(__xludf.DUMMYFUNCTION("GOOGLETRANSLATE(B27070,""en"",""de"")"),"Ein Mann hält eine Bank hoch und öffnet die Teile, damit er sie einrichten kann.")</f>
        <v>Ein Mann hält eine Bank hoch und öffnet die Teile, damit er sie einrichten kann.</v>
      </c>
    </row>
    <row r="27071">
      <c r="A27071" s="4" t="s">
        <v>34071</v>
      </c>
      <c r="B27071" s="4" t="s">
        <v>34073</v>
      </c>
      <c r="C27071" s="5" t="str">
        <f>IFERROR(__xludf.DUMMYFUNCTION("GOOGLETRANSLATE(B27071,""en"",""de"")"),"Er steckt einen Stift hinein und schnappt seinen Ski hinein.")</f>
        <v>Er steckt einen Stift hinein und schnappt seinen Ski hinein.</v>
      </c>
    </row>
    <row r="27072">
      <c r="A27072" s="4" t="s">
        <v>34071</v>
      </c>
      <c r="B27072" s="4" t="s">
        <v>34074</v>
      </c>
      <c r="C27072" s="5" t="str">
        <f>IFERROR(__xludf.DUMMYFUNCTION("GOOGLETRANSLATE(B27072,""en"",""de"")"),"Dann wachsen er den Ski und entfernt den Stift.")</f>
        <v>Dann wachsen er den Ski und entfernt den Stift.</v>
      </c>
    </row>
    <row r="27073">
      <c r="A27073" s="4" t="s">
        <v>34071</v>
      </c>
      <c r="B27073" s="4" t="s">
        <v>34075</v>
      </c>
      <c r="C27073" s="5" t="str">
        <f>IFERROR(__xludf.DUMMYFUNCTION("GOOGLETRANSLATE(B27073,""en"",""de"")"),"Er passt die Teile der Bank ein.")</f>
        <v>Er passt die Teile der Bank ein.</v>
      </c>
    </row>
    <row r="27074">
      <c r="A27074" s="4" t="s">
        <v>34071</v>
      </c>
      <c r="B27074" s="4" t="s">
        <v>34076</v>
      </c>
      <c r="C27074" s="5" t="str">
        <f>IFERROR(__xludf.DUMMYFUNCTION("GOOGLETRANSLATE(B27074,""en"",""de"")"),"Wir sehen die Bank in Schüssen mit den Endkrediten.")</f>
        <v>Wir sehen die Bank in Schüssen mit den Endkrediten.</v>
      </c>
    </row>
    <row r="27075">
      <c r="A27075" s="4" t="s">
        <v>34077</v>
      </c>
      <c r="B27075" s="4" t="s">
        <v>34078</v>
      </c>
      <c r="C27075" s="5" t="str">
        <f>IFERROR(__xludf.DUMMYFUNCTION("GOOGLETRANSLATE(B27075,""en"",""de"")"),"Ein Mann dient einem Tennisball, wenn er mit einer Person in einem Tennisplatz Tennis spielt.")</f>
        <v>Ein Mann dient einem Tennisball, wenn er mit einer Person in einem Tennisplatz Tennis spielt.</v>
      </c>
    </row>
    <row r="27076">
      <c r="A27076" s="4" t="s">
        <v>34077</v>
      </c>
      <c r="B27076" s="4" t="s">
        <v>34079</v>
      </c>
      <c r="C27076" s="5" t="str">
        <f>IFERROR(__xludf.DUMMYFUNCTION("GOOGLETRANSLATE(B27076,""en"",""de"")"),"Dann dient der Mann erneut einer Person hinter dem Netz, während ein Spieler neben ihm steht.")</f>
        <v>Dann dient der Mann erneut einer Person hinter dem Netz, während ein Spieler neben ihm steht.</v>
      </c>
    </row>
    <row r="27077">
      <c r="A27077" s="4" t="s">
        <v>34077</v>
      </c>
      <c r="B27077" s="4" t="s">
        <v>34080</v>
      </c>
      <c r="C27077" s="5" t="str">
        <f>IFERROR(__xludf.DUMMYFUNCTION("GOOGLETRANSLATE(B27077,""en"",""de"")"),"Danach serviert der Mann einen Ball, aber niemand ist hinter dem Netz.")</f>
        <v>Danach serviert der Mann einen Ball, aber niemand ist hinter dem Netz.</v>
      </c>
    </row>
    <row r="27078">
      <c r="A27078" s="4" t="s">
        <v>34081</v>
      </c>
      <c r="B27078" s="4" t="s">
        <v>34082</v>
      </c>
      <c r="C27078" s="5" t="str">
        <f>IFERROR(__xludf.DUMMYFUNCTION("GOOGLETRANSLATE(B27078,""en"",""de"")"),"Ein Mann, der mit einem Pferd reitet und ein Seil herumschwingt, ist zu sehen, wie er nach einem Kalb jagt und schließlich das Tier mit seinem Seil packt.")</f>
        <v>Ein Mann, der mit einem Pferd reitet und ein Seil herumschwingt, ist zu sehen, wie er nach einem Kalb jagt und schließlich das Tier mit seinem Seil packt.</v>
      </c>
    </row>
    <row r="27079">
      <c r="A27079" s="4" t="s">
        <v>34081</v>
      </c>
      <c r="B27079" s="4" t="s">
        <v>34083</v>
      </c>
      <c r="C27079" s="5" t="str">
        <f>IFERROR(__xludf.DUMMYFUNCTION("GOOGLETRANSLATE(B27079,""en"",""de"")"),"Er hält das Kalb nieder und ein anderer Mann kommt heraus, um dem Mann zu helfen, das Kalb zu binden.")</f>
        <v>Er hält das Kalb nieder und ein anderer Mann kommt heraus, um dem Mann zu helfen, das Kalb zu binden.</v>
      </c>
    </row>
    <row r="27080">
      <c r="A27080" s="4" t="s">
        <v>34081</v>
      </c>
      <c r="B27080" s="4" t="s">
        <v>34084</v>
      </c>
      <c r="C27080" s="5" t="str">
        <f>IFERROR(__xludf.DUMMYFUNCTION("GOOGLETRANSLATE(B27080,""en"",""de"")"),"Dann packt er sein Seil und reitet aus der Arena auf seinem Pferd.")</f>
        <v>Dann packt er sein Seil und reitet aus der Arena auf seinem Pferd.</v>
      </c>
    </row>
    <row r="27081">
      <c r="A27081" s="4" t="s">
        <v>34085</v>
      </c>
      <c r="B27081" s="4" t="s">
        <v>34086</v>
      </c>
      <c r="C27081" s="5" t="str">
        <f>IFERROR(__xludf.DUMMYFUNCTION("GOOGLETRANSLATE(B27081,""en"",""de"")"),"Möbelstücke werden mit Schränken und Tischen gesehen.")</f>
        <v>Möbelstücke werden mit Schränken und Tischen gesehen.</v>
      </c>
    </row>
    <row r="27082">
      <c r="A27082" s="4" t="s">
        <v>34085</v>
      </c>
      <c r="B27082" s="4" t="s">
        <v>34087</v>
      </c>
      <c r="C27082" s="5" t="str">
        <f>IFERROR(__xludf.DUMMYFUNCTION("GOOGLETRANSLATE(B27082,""en"",""de"")"),"Eine Person schleift ein Stück Holz mit einem elektrischen Schleifer ab.")</f>
        <v>Eine Person schleift ein Stück Holz mit einem elektrischen Schleifer ab.</v>
      </c>
    </row>
    <row r="27083">
      <c r="A27083" s="4" t="s">
        <v>34085</v>
      </c>
      <c r="B27083" s="4" t="s">
        <v>34088</v>
      </c>
      <c r="C27083" s="5" t="str">
        <f>IFERROR(__xludf.DUMMYFUNCTION("GOOGLETRANSLATE(B27083,""en"",""de"")"),"Eine Person schleift von Hand ein Stück Holz.")</f>
        <v>Eine Person schleift von Hand ein Stück Holz.</v>
      </c>
    </row>
    <row r="27084">
      <c r="A27084" s="4" t="s">
        <v>34089</v>
      </c>
      <c r="B27084" s="4" t="s">
        <v>34090</v>
      </c>
      <c r="C27084" s="5" t="str">
        <f>IFERROR(__xludf.DUMMYFUNCTION("GOOGLETRANSLATE(B27084,""en"",""de"")"),"Die Leute fahren auf einer Strecke Fahrräder.")</f>
        <v>Die Leute fahren auf einer Strecke Fahrräder.</v>
      </c>
    </row>
    <row r="27085">
      <c r="A27085" s="4" t="s">
        <v>34089</v>
      </c>
      <c r="B27085" s="4" t="s">
        <v>34091</v>
      </c>
      <c r="C27085" s="5" t="str">
        <f>IFERROR(__xludf.DUMMYFUNCTION("GOOGLETRANSLATE(B27085,""en"",""de"")"),"Ein Mann stürzt und landet auf der Strecke.")</f>
        <v>Ein Mann stürzt und landet auf der Strecke.</v>
      </c>
    </row>
    <row r="27086">
      <c r="A27086" s="4" t="s">
        <v>34089</v>
      </c>
      <c r="B27086" s="4" t="s">
        <v>34092</v>
      </c>
      <c r="C27086" s="5" t="str">
        <f>IFERROR(__xludf.DUMMYFUNCTION("GOOGLETRANSLATE(B27086,""en"",""de"")"),"Ein Mann in einem Hut spricht mit der Kamera.")</f>
        <v>Ein Mann in einem Hut spricht mit der Kamera.</v>
      </c>
    </row>
    <row r="27087">
      <c r="A27087" s="4" t="s">
        <v>34089</v>
      </c>
      <c r="B27087" s="4" t="s">
        <v>34093</v>
      </c>
      <c r="C27087" s="5" t="str">
        <f>IFERROR(__xludf.DUMMYFUNCTION("GOOGLETRANSLATE(B27087,""en"",""de"")"),"Die Leute fahren weiterhin Fahrräder auf der Strecke und stürzen ab.")</f>
        <v>Die Leute fahren weiterhin Fahrräder auf der Strecke und stürzen ab.</v>
      </c>
    </row>
    <row r="27088">
      <c r="A27088" s="4" t="s">
        <v>34094</v>
      </c>
      <c r="B27088" s="4" t="s">
        <v>34095</v>
      </c>
      <c r="C27088" s="5" t="str">
        <f>IFERROR(__xludf.DUMMYFUNCTION("GOOGLETRANSLATE(B27088,""en"",""de"")"),"Eine Kamera vergrößert ein Gewicht, wobei eine Person in der Nähe steht.")</f>
        <v>Eine Kamera vergrößert ein Gewicht, wobei eine Person in der Nähe steht.</v>
      </c>
    </row>
    <row r="27089">
      <c r="A27089" s="4" t="s">
        <v>34094</v>
      </c>
      <c r="B27089" s="4" t="s">
        <v>34096</v>
      </c>
      <c r="C27089" s="5" t="str">
        <f>IFERROR(__xludf.DUMMYFUNCTION("GOOGLETRANSLATE(B27089,""en"",""de"")"),"Eine Frau steht dann mit Gewichten in ihren Händen und macht Ausfallschritte.")</f>
        <v>Eine Frau steht dann mit Gewichten in ihren Händen und macht Ausfallschritte.</v>
      </c>
    </row>
    <row r="27090">
      <c r="A27090" s="4" t="s">
        <v>34094</v>
      </c>
      <c r="B27090" s="4" t="s">
        <v>34097</v>
      </c>
      <c r="C27090" s="5" t="str">
        <f>IFERROR(__xludf.DUMMYFUNCTION("GOOGLETRANSLATE(B27090,""en"",""de"")"),"Eine zweite Frau kommt sowohl herein als auch ein Mann, der verschiedene Weithebezüge macht.")</f>
        <v>Eine zweite Frau kommt sowohl herein als auch ein Mann, der verschiedene Weithebezüge macht.</v>
      </c>
    </row>
    <row r="27091">
      <c r="A27091" s="4" t="s">
        <v>34098</v>
      </c>
      <c r="B27091" s="4" t="s">
        <v>34099</v>
      </c>
      <c r="C27091" s="5" t="str">
        <f>IFERROR(__xludf.DUMMYFUNCTION("GOOGLETRANSLATE(B27091,""en"",""de"")"),"Ein Baby fährt auf dem Spielplatz.")</f>
        <v>Ein Baby fährt auf dem Spielplatz.</v>
      </c>
    </row>
    <row r="27092">
      <c r="A27092" s="4" t="s">
        <v>34098</v>
      </c>
      <c r="B27092" s="4" t="s">
        <v>34100</v>
      </c>
      <c r="C27092" s="5" t="str">
        <f>IFERROR(__xludf.DUMMYFUNCTION("GOOGLETRANSLATE(B27092,""en"",""de"")"),"Eine Hand drückt sie, während sie die Fahrt genießt.")</f>
        <v>Eine Hand drückt sie, während sie die Fahrt genießt.</v>
      </c>
    </row>
    <row r="27093">
      <c r="A27093" s="4" t="s">
        <v>34098</v>
      </c>
      <c r="B27093" s="4" t="s">
        <v>34101</v>
      </c>
      <c r="C27093" s="5" t="str">
        <f>IFERROR(__xludf.DUMMYFUNCTION("GOOGLETRANSLATE(B27093,""en"",""de"")"),"Der Mann beginnt mit ihr zu spielen.")</f>
        <v>Der Mann beginnt mit ihr zu spielen.</v>
      </c>
    </row>
    <row r="27094">
      <c r="A27094" s="4" t="s">
        <v>34102</v>
      </c>
      <c r="B27094" s="4" t="s">
        <v>34103</v>
      </c>
      <c r="C27094" s="5" t="str">
        <f>IFERROR(__xludf.DUMMYFUNCTION("GOOGLETRANSLATE(B27094,""en"",""de"")"),"Die Leute laufen in einem Marathon auf der Straße.")</f>
        <v>Die Leute laufen in einem Marathon auf der Straße.</v>
      </c>
    </row>
    <row r="27095">
      <c r="A27095" s="4" t="s">
        <v>34102</v>
      </c>
      <c r="B27095" s="4" t="s">
        <v>34104</v>
      </c>
      <c r="C27095" s="5" t="str">
        <f>IFERROR(__xludf.DUMMYFUNCTION("GOOGLETRANSLATE(B27095,""en"",""de"")"),"Ein Mann führt das Rennen und rennt alleine auf der Straße.")</f>
        <v>Ein Mann führt das Rennen und rennt alleine auf der Straße.</v>
      </c>
    </row>
    <row r="27096">
      <c r="A27096" s="4" t="s">
        <v>34102</v>
      </c>
      <c r="B27096" s="4" t="s">
        <v>34105</v>
      </c>
      <c r="C27096" s="5" t="str">
        <f>IFERROR(__xludf.DUMMYFUNCTION("GOOGLETRANSLATE(B27096,""en"",""de"")"),"Plötzlich stürzt der Mann ins Auto und fällt.")</f>
        <v>Plötzlich stürzt der Mann ins Auto und fällt.</v>
      </c>
    </row>
    <row r="27097">
      <c r="A27097" s="4" t="s">
        <v>34106</v>
      </c>
      <c r="B27097" s="4" t="s">
        <v>34107</v>
      </c>
      <c r="C27097" s="5" t="str">
        <f>IFERROR(__xludf.DUMMYFUNCTION("GOOGLETRANSLATE(B27097,""en"",""de"")"),"Es gibt einen Mann in einem blauen Hemd, das in ein großes Gebäude spaziert, in dem es eine Indoor -Zaunarena gibt.")</f>
        <v>Es gibt einen Mann in einem blauen Hemd, das in ein großes Gebäude spaziert, in dem es eine Indoor -Zaunarena gibt.</v>
      </c>
    </row>
    <row r="27098">
      <c r="A27098" s="4" t="s">
        <v>34106</v>
      </c>
      <c r="B27098" s="4" t="s">
        <v>34108</v>
      </c>
      <c r="C27098" s="5" t="str">
        <f>IFERROR(__xludf.DUMMYFUNCTION("GOOGLETRANSLATE(B27098,""en"",""de"")"),"Er betritt die Arena und spricht mit zwei Fencern.")</f>
        <v>Er betritt die Arena und spricht mit zwei Fencern.</v>
      </c>
    </row>
    <row r="27099">
      <c r="A27099" s="4" t="s">
        <v>34106</v>
      </c>
      <c r="B27099" s="4" t="s">
        <v>34109</v>
      </c>
      <c r="C27099" s="5" t="str">
        <f>IFERROR(__xludf.DUMMYFUNCTION("GOOGLETRANSLATE(B27099,""en"",""de"")"),"Einer der Fechter setzt einen Zaunanzug auf den Mann.")</f>
        <v>Einer der Fechter setzt einen Zaunanzug auf den Mann.</v>
      </c>
    </row>
    <row r="27100">
      <c r="A27100" s="4" t="s">
        <v>34106</v>
      </c>
      <c r="B27100" s="4" t="s">
        <v>34110</v>
      </c>
      <c r="C27100" s="5" t="str">
        <f>IFERROR(__xludf.DUMMYFUNCTION("GOOGLETRANSLATE(B27100,""en"",""de"")"),"Der Fechter demonstriert dann und gibt dem Mann eine Lektion im Fechten.")</f>
        <v>Der Fechter demonstriert dann und gibt dem Mann eine Lektion im Fechten.</v>
      </c>
    </row>
    <row r="27101">
      <c r="A27101" s="4" t="s">
        <v>34106</v>
      </c>
      <c r="B27101" s="4" t="s">
        <v>34111</v>
      </c>
      <c r="C27101" s="5" t="str">
        <f>IFERROR(__xludf.DUMMYFUNCTION("GOOGLETRANSLATE(B27101,""en"",""de"")"),"Er zeigt dem Mann die verschiedenen Fähigkeiten, die mit dem Fechten verbunden sind.")</f>
        <v>Er zeigt dem Mann die verschiedenen Fähigkeiten, die mit dem Fechten verbunden sind.</v>
      </c>
    </row>
    <row r="27102">
      <c r="A27102" s="4" t="s">
        <v>34106</v>
      </c>
      <c r="B27102" s="4" t="s">
        <v>34112</v>
      </c>
      <c r="C27102" s="5" t="str">
        <f>IFERROR(__xludf.DUMMYFUNCTION("GOOGLETRANSLATE(B27102,""en"",""de"")"),"Der Mann ist in der Lage, jeden Zug des Fechters zu verpassen und auszuweichen, als er vom Schwert unberührt wird.")</f>
        <v>Der Mann ist in der Lage, jeden Zug des Fechters zu verpassen und auszuweichen, als er vom Schwert unberührt wird.</v>
      </c>
    </row>
    <row r="27103">
      <c r="A27103" s="4" t="s">
        <v>34106</v>
      </c>
      <c r="B27103" s="4" t="s">
        <v>34113</v>
      </c>
      <c r="C27103" s="5" t="str">
        <f>IFERROR(__xludf.DUMMYFUNCTION("GOOGLETRANSLATE(B27103,""en"",""de"")"),"Dann entfernen beide Fechter ihre Masken und schütteln die Hand.")</f>
        <v>Dann entfernen beide Fechter ihre Masken und schütteln die Hand.</v>
      </c>
    </row>
    <row r="27104">
      <c r="A27104" s="4" t="s">
        <v>34106</v>
      </c>
      <c r="B27104" s="4" t="s">
        <v>34114</v>
      </c>
      <c r="C27104" s="5" t="str">
        <f>IFERROR(__xludf.DUMMYFUNCTION("GOOGLETRANSLATE(B27104,""en"",""de"")"),"Der Fencer spricht über seine Erfahrungen mit dem Meisterfencer.")</f>
        <v>Der Fencer spricht über seine Erfahrungen mit dem Meisterfencer.</v>
      </c>
    </row>
    <row r="27105">
      <c r="A27105" s="4" t="s">
        <v>34115</v>
      </c>
      <c r="B27105" s="4" t="s">
        <v>34116</v>
      </c>
      <c r="C27105" s="5" t="str">
        <f>IFERROR(__xludf.DUMMYFUNCTION("GOOGLETRANSLATE(B27105,""en"",""de"")"),"Ein Lacrosse -Spiel beginnt und ein Junge namens Chase Madrid zeigt Highlights, die Szenen während des gesamten Spiels machen.")</f>
        <v>Ein Lacrosse -Spiel beginnt und ein Junge namens Chase Madrid zeigt Highlights, die Szenen während des gesamten Spiels machen.</v>
      </c>
    </row>
    <row r="27106">
      <c r="A27106" s="4" t="s">
        <v>34115</v>
      </c>
      <c r="B27106" s="4" t="s">
        <v>34117</v>
      </c>
      <c r="C27106" s="5" t="str">
        <f>IFERROR(__xludf.DUMMYFUNCTION("GOOGLETRANSLATE(B27106,""en"",""de"")"),"Für jedes Spiel, wenn er hin und her läuft, beginnen mehrere verschiedene Spiele um ihn herum.")</f>
        <v>Für jedes Spiel, wenn er hin und her läuft, beginnen mehrere verschiedene Spiele um ihn herum.</v>
      </c>
    </row>
    <row r="27107">
      <c r="A27107" s="4" t="s">
        <v>34115</v>
      </c>
      <c r="B27107" s="4" t="s">
        <v>34118</v>
      </c>
      <c r="C27107" s="5" t="str">
        <f>IFERROR(__xludf.DUMMYFUNCTION("GOOGLETRANSLATE(B27107,""en"",""de"")"),"Wenn die Highlight -Rolle fertig ist, erscheint ein schwarzer Bildschirm und zeigt die High School sowie den Namen für den Spieler.")</f>
        <v>Wenn die Highlight -Rolle fertig ist, erscheint ein schwarzer Bildschirm und zeigt die High School sowie den Namen für den Spieler.</v>
      </c>
    </row>
    <row r="27108">
      <c r="A27108" s="4" t="s">
        <v>34119</v>
      </c>
      <c r="B27108" s="4" t="s">
        <v>34120</v>
      </c>
      <c r="C27108" s="5" t="str">
        <f>IFERROR(__xludf.DUMMYFUNCTION("GOOGLETRANSLATE(B27108,""en"",""de"")"),"Ein Mann ist in einem Park, in dem er und seine Frau, die ein Baby hält, zwei kleine Kinder auf die Schaukeln schieben.")</f>
        <v>Ein Mann ist in einem Park, in dem er und seine Frau, die ein Baby hält, zwei kleine Kinder auf die Schaukeln schieben.</v>
      </c>
    </row>
    <row r="27109">
      <c r="A27109" s="4" t="s">
        <v>34119</v>
      </c>
      <c r="B27109" s="4" t="s">
        <v>34121</v>
      </c>
      <c r="C27109" s="5" t="str">
        <f>IFERROR(__xludf.DUMMYFUNCTION("GOOGLETRANSLATE(B27109,""en"",""de"")"),"Die Frau verschwindet, als der Mann weiter drückt.")</f>
        <v>Die Frau verschwindet, als der Mann weiter drückt.</v>
      </c>
    </row>
    <row r="27110">
      <c r="A27110" s="4" t="s">
        <v>34122</v>
      </c>
      <c r="B27110" s="4" t="s">
        <v>34123</v>
      </c>
      <c r="C27110" s="5" t="str">
        <f>IFERROR(__xludf.DUMMYFUNCTION("GOOGLETRANSLATE(B27110,""en"",""de"")"),"Eine kleine Gruppe von Kindern ist zu sehen, wie sie sich um ein Gymnasium bewegt und Bälle herumwirft.")</f>
        <v>Eine kleine Gruppe von Kindern ist zu sehen, wie sie sich um ein Gymnasium bewegt und Bälle herumwirft.</v>
      </c>
    </row>
    <row r="27111">
      <c r="A27111" s="4" t="s">
        <v>34122</v>
      </c>
      <c r="B27111" s="4" t="s">
        <v>34124</v>
      </c>
      <c r="C27111" s="5" t="str">
        <f>IFERROR(__xludf.DUMMYFUNCTION("GOOGLETRANSLATE(B27111,""en"",""de"")"),"Die Kinder werfen die Bälle zueinander, während sie ein Spiel spielen.")</f>
        <v>Die Kinder werfen die Bälle zueinander, während sie ein Spiel spielen.</v>
      </c>
    </row>
    <row r="27112">
      <c r="A27112" s="4" t="s">
        <v>34122</v>
      </c>
      <c r="B27112" s="4" t="s">
        <v>34125</v>
      </c>
      <c r="C27112" s="5" t="str">
        <f>IFERROR(__xludf.DUMMYFUNCTION("GOOGLETRANSLATE(B27112,""en"",""de"")"),"Das Spiel geht weiter, während die Kinder springen und runter springen.")</f>
        <v>Das Spiel geht weiter, während die Kinder springen und runter springen.</v>
      </c>
    </row>
    <row r="27113">
      <c r="A27113" s="4" t="s">
        <v>34126</v>
      </c>
      <c r="B27113" s="4" t="s">
        <v>34127</v>
      </c>
      <c r="C27113" s="5" t="str">
        <f>IFERROR(__xludf.DUMMYFUNCTION("GOOGLETRANSLATE(B27113,""en"",""de"")"),"Ein Mann tanzt in einem großen Raum hinein.")</f>
        <v>Ein Mann tanzt in einem großen Raum hinein.</v>
      </c>
    </row>
    <row r="27114">
      <c r="A27114" s="4" t="s">
        <v>34126</v>
      </c>
      <c r="B27114" s="4" t="s">
        <v>34128</v>
      </c>
      <c r="C27114" s="5" t="str">
        <f>IFERROR(__xludf.DUMMYFUNCTION("GOOGLETRANSLATE(B27114,""en"",""de"")"),"Während er den Tanz macht, erklärt er, wie es geht.")</f>
        <v>Während er den Tanz macht, erklärt er, wie es geht.</v>
      </c>
    </row>
    <row r="27115">
      <c r="A27115" s="4" t="s">
        <v>34129</v>
      </c>
      <c r="B27115" s="4" t="s">
        <v>34130</v>
      </c>
      <c r="C27115" s="5" t="str">
        <f>IFERROR(__xludf.DUMMYFUNCTION("GOOGLETRANSLATE(B27115,""en"",""de"")"),"Diese Pferde gehen alleine in einer Grasfläche und dann wird eine Frau gezeigt, die die Haare des Pferdes bürstet.")</f>
        <v>Diese Pferde gehen alleine in einer Grasfläche und dann wird eine Frau gezeigt, die die Haare des Pferdes bürstet.</v>
      </c>
    </row>
    <row r="27116">
      <c r="A27116" s="4" t="s">
        <v>34129</v>
      </c>
      <c r="B27116" s="4" t="s">
        <v>34131</v>
      </c>
      <c r="C27116" s="5" t="str">
        <f>IFERROR(__xludf.DUMMYFUNCTION("GOOGLETRANSLATE(B27116,""en"",""de"")"),"Die Kamera zeigt die Nase des Pferdes und dann steigt die Frau auf den Sattel des Pferdes, um sie irgendwo zu fahren.")</f>
        <v>Die Kamera zeigt die Nase des Pferdes und dann steigt die Frau auf den Sattel des Pferdes, um sie irgendwo zu fahren.</v>
      </c>
    </row>
    <row r="27117">
      <c r="A27117" s="4" t="s">
        <v>34129</v>
      </c>
      <c r="B27117" s="4" t="s">
        <v>34132</v>
      </c>
      <c r="C27117" s="5" t="str">
        <f>IFERROR(__xludf.DUMMYFUNCTION("GOOGLETRANSLATE(B27117,""en"",""de"")"),"Dann reiten zwei weitere Menschen in verschiedenen Umgebungen mit dem Pferd.")</f>
        <v>Dann reiten zwei weitere Menschen in verschiedenen Umgebungen mit dem Pferd.</v>
      </c>
    </row>
    <row r="27118">
      <c r="A27118" s="4" t="s">
        <v>34133</v>
      </c>
      <c r="B27118" s="4" t="s">
        <v>34134</v>
      </c>
      <c r="C27118" s="5" t="str">
        <f>IFERROR(__xludf.DUMMYFUNCTION("GOOGLETRANSLATE(B27118,""en"",""de"")"),"Zwei Mädchen sitzen draußen mit gekreuzten Füßen.")</f>
        <v>Zwei Mädchen sitzen draußen mit gekreuzten Füßen.</v>
      </c>
    </row>
    <row r="27119">
      <c r="A27119" s="4" t="s">
        <v>34133</v>
      </c>
      <c r="B27119" s="4" t="s">
        <v>34135</v>
      </c>
      <c r="C27119" s="5" t="str">
        <f>IFERROR(__xludf.DUMMYFUNCTION("GOOGLETRANSLATE(B27119,""en"",""de"")"),"Eines der Mädchen gibt dem anderen einen Container, den sie ein kleines Papier herauszieht, das ihr sagt, was sie tun sollen.")</f>
        <v>Eines der Mädchen gibt dem anderen einen Container, den sie ein kleines Papier herauszieht, das ihr sagt, was sie tun sollen.</v>
      </c>
    </row>
    <row r="27120">
      <c r="A27120" s="4" t="s">
        <v>34133</v>
      </c>
      <c r="B27120" s="4" t="s">
        <v>34136</v>
      </c>
      <c r="C27120" s="5" t="str">
        <f>IFERROR(__xludf.DUMMYFUNCTION("GOOGLETRANSLATE(B27120,""en"",""de"")"),"Sie liest es und macht dann das, was das Papier sagt.")</f>
        <v>Sie liest es und macht dann das, was das Papier sagt.</v>
      </c>
    </row>
    <row r="27121">
      <c r="A27121" s="4" t="s">
        <v>34133</v>
      </c>
      <c r="B27121" s="4" t="s">
        <v>34137</v>
      </c>
      <c r="C27121" s="5" t="str">
        <f>IFERROR(__xludf.DUMMYFUNCTION("GOOGLETRANSLATE(B27121,""en"",""de"")"),"Sie wechseln sich abwechselnd aus, wählen eine Notiz aus und erledigen dann die Aufgabe, die sie erledigen, und sie haben Spaß daran.")</f>
        <v>Sie wechseln sich abwechselnd aus, wählen eine Notiz aus und erledigen dann die Aufgabe, die sie erledigen, und sie haben Spaß daran.</v>
      </c>
    </row>
    <row r="27122">
      <c r="A27122" s="4" t="s">
        <v>34138</v>
      </c>
      <c r="B27122" s="4" t="s">
        <v>34139</v>
      </c>
      <c r="C27122" s="5" t="str">
        <f>IFERROR(__xludf.DUMMYFUNCTION("GOOGLETRANSLATE(B27122,""en"",""de"")"),"Wasser spritzt auf einem Uhrenturm.")</f>
        <v>Wasser spritzt auf einem Uhrenturm.</v>
      </c>
    </row>
    <row r="27123">
      <c r="A27123" s="4" t="s">
        <v>34138</v>
      </c>
      <c r="B27123" s="4" t="s">
        <v>34140</v>
      </c>
      <c r="C27123" s="5" t="str">
        <f>IFERROR(__xludf.DUMMYFUNCTION("GOOGLETRANSLATE(B27123,""en"",""de"")"),"Menschen, die in einem Boot am Strand sitzen.")</f>
        <v>Menschen, die in einem Boot am Strand sitzen.</v>
      </c>
    </row>
    <row r="27124">
      <c r="A27124" s="4" t="s">
        <v>34138</v>
      </c>
      <c r="B27124" s="4" t="s">
        <v>34141</v>
      </c>
      <c r="C27124" s="5" t="str">
        <f>IFERROR(__xludf.DUMMYFUNCTION("GOOGLETRANSLATE(B27124,""en"",""de"")"),"Musik spielt im Hintergrund, da verschiedene Menschen in verschiedenen Clips segeln.")</f>
        <v>Musik spielt im Hintergrund, da verschiedene Menschen in verschiedenen Clips segeln.</v>
      </c>
    </row>
    <row r="27125">
      <c r="A27125" s="4" t="s">
        <v>34142</v>
      </c>
      <c r="B27125" s="4" t="s">
        <v>34143</v>
      </c>
      <c r="C27125" s="5" t="str">
        <f>IFERROR(__xludf.DUMMYFUNCTION("GOOGLETRANSLATE(B27125,""en"",""de"")"),"Zwei Jungen in Karate Hosen ringen sich im Hintergrund gegenseitig.")</f>
        <v>Zwei Jungen in Karate Hosen ringen sich im Hintergrund gegenseitig.</v>
      </c>
    </row>
    <row r="27126">
      <c r="A27126" s="4" t="s">
        <v>34142</v>
      </c>
      <c r="B27126" s="4" t="s">
        <v>34144</v>
      </c>
      <c r="C27126" s="5" t="str">
        <f>IFERROR(__xludf.DUMMYFUNCTION("GOOGLETRANSLATE(B27126,""en"",""de"")"),"Die Gruppe bildet einen Kreis und zwei der Jungen beginnen in einer Kampfkunstpraxis zu sparen.")</f>
        <v>Die Gruppe bildet einen Kreis und zwei der Jungen beginnen in einer Kampfkunstpraxis zu sparen.</v>
      </c>
    </row>
    <row r="27127">
      <c r="A27127" s="4" t="s">
        <v>34142</v>
      </c>
      <c r="B27127" s="4" t="s">
        <v>34145</v>
      </c>
      <c r="C27127" s="5" t="str">
        <f>IFERROR(__xludf.DUMMYFUNCTION("GOOGLETRANSLATE(B27127,""en"",""de"")"),"Der Junge in Pink Top macht einen Kick.")</f>
        <v>Der Junge in Pink Top macht einen Kick.</v>
      </c>
    </row>
    <row r="27128">
      <c r="A27128" s="4" t="s">
        <v>34146</v>
      </c>
      <c r="B27128" s="4" t="s">
        <v>34147</v>
      </c>
      <c r="C27128" s="5" t="str">
        <f>IFERROR(__xludf.DUMMYFUNCTION("GOOGLETRANSLATE(B27128,""en"",""de"")"),"Eine Band spielt Musik auf der Bühne.")</f>
        <v>Eine Band spielt Musik auf der Bühne.</v>
      </c>
    </row>
    <row r="27129">
      <c r="A27129" s="4" t="s">
        <v>34146</v>
      </c>
      <c r="B27129" s="4" t="s">
        <v>34148</v>
      </c>
      <c r="C27129" s="5" t="str">
        <f>IFERROR(__xludf.DUMMYFUNCTION("GOOGLETRANSLATE(B27129,""en"",""de"")"),"Ein Mann spielt intensiv Schlagzeug.")</f>
        <v>Ein Mann spielt intensiv Schlagzeug.</v>
      </c>
    </row>
    <row r="27130">
      <c r="A27130" s="4" t="s">
        <v>34146</v>
      </c>
      <c r="B27130" s="4" t="s">
        <v>34149</v>
      </c>
      <c r="C27130" s="5" t="str">
        <f>IFERROR(__xludf.DUMMYFUNCTION("GOOGLETRANSLATE(B27130,""en"",""de"")"),"Ein großer Bildschirm zeigt das Band oben.")</f>
        <v>Ein großer Bildschirm zeigt das Band oben.</v>
      </c>
    </row>
    <row r="27131">
      <c r="A27131" s="4" t="s">
        <v>34146</v>
      </c>
      <c r="B27131" s="4" t="s">
        <v>34150</v>
      </c>
      <c r="C27131" s="5" t="str">
        <f>IFERROR(__xludf.DUMMYFUNCTION("GOOGLETRANSLATE(B27131,""en"",""de"")"),"Die Leute spielen die Gitarre auf der Bühne.")</f>
        <v>Die Leute spielen die Gitarre auf der Bühne.</v>
      </c>
    </row>
    <row r="27132">
      <c r="A27132" s="4" t="s">
        <v>34151</v>
      </c>
      <c r="B27132" s="4" t="s">
        <v>34152</v>
      </c>
      <c r="C27132" s="5" t="str">
        <f>IFERROR(__xludf.DUMMYFUNCTION("GOOGLETRANSLATE(B27132,""en"",""de"")"),"Die Spieler laufen herum und spielen Lacrosse auf einem Grasfeld.")</f>
        <v>Die Spieler laufen herum und spielen Lacrosse auf einem Grasfeld.</v>
      </c>
    </row>
    <row r="27133">
      <c r="A27133" s="4" t="s">
        <v>34151</v>
      </c>
      <c r="B27133" s="4" t="s">
        <v>34153</v>
      </c>
      <c r="C27133" s="5" t="str">
        <f>IFERROR(__xludf.DUMMYFUNCTION("GOOGLETRANSLATE(B27133,""en"",""de"")"),"Das Publikum beobachtet und applaudiert für sie.")</f>
        <v>Das Publikum beobachtet und applaudiert für sie.</v>
      </c>
    </row>
    <row r="27134">
      <c r="A27134" s="4" t="s">
        <v>34154</v>
      </c>
      <c r="B27134" s="4" t="s">
        <v>34155</v>
      </c>
      <c r="C27134" s="5" t="str">
        <f>IFERROR(__xludf.DUMMYFUNCTION("GOOGLETRANSLATE(B27134,""en"",""de"")"),"Ein bunten Mann wird gesehen, wie er mit einer Kamera spricht, während er sich den Kopf rieb und Grimasse Gesichter macht.")</f>
        <v>Ein bunten Mann wird gesehen, wie er mit einer Kamera spricht, während er sich den Kopf rieb und Grimasse Gesichter macht.</v>
      </c>
    </row>
    <row r="27135">
      <c r="A27135" s="4" t="s">
        <v>34154</v>
      </c>
      <c r="B27135" s="4" t="s">
        <v>34156</v>
      </c>
      <c r="C27135" s="5" t="str">
        <f>IFERROR(__xludf.DUMMYFUNCTION("GOOGLETRANSLATE(B27135,""en"",""de"")"),"Er spricht weiter mit der Kamera und das Video endet damit, dass er die Kamera winkt und die Kamera ausschaltet.")</f>
        <v>Er spricht weiter mit der Kamera und das Video endet damit, dass er die Kamera winkt und die Kamera ausschaltet.</v>
      </c>
    </row>
    <row r="27136">
      <c r="A27136" s="4" t="s">
        <v>34157</v>
      </c>
      <c r="B27136" s="4" t="s">
        <v>34158</v>
      </c>
      <c r="C27136" s="5" t="str">
        <f>IFERROR(__xludf.DUMMYFUNCTION("GOOGLETRANSLATE(B27136,""en"",""de"")"),"In einer Reihe von Fotos wird eine Gruppe zusammen gezeigt und auf BMX -Fahrrädern rennt.")</f>
        <v>In einer Reihe von Fotos wird eine Gruppe zusammen gezeigt und auf BMX -Fahrrädern rennt.</v>
      </c>
    </row>
    <row r="27137">
      <c r="A27137" s="4" t="s">
        <v>34157</v>
      </c>
      <c r="B27137" s="4" t="s">
        <v>34159</v>
      </c>
      <c r="C27137" s="5" t="str">
        <f>IFERROR(__xludf.DUMMYFUNCTION("GOOGLETRANSLATE(B27137,""en"",""de"")"),"Dann sehen wir Leute auf Fahrrädern, spielen Stunts, gehen um einen Ring und springen Hügel.")</f>
        <v>Dann sehen wir Leute auf Fahrrädern, spielen Stunts, gehen um einen Ring und springen Hügel.</v>
      </c>
    </row>
    <row r="27138">
      <c r="A27138" s="4" t="s">
        <v>34157</v>
      </c>
      <c r="B27138" s="4" t="s">
        <v>34160</v>
      </c>
      <c r="C27138" s="5" t="str">
        <f>IFERROR(__xludf.DUMMYFUNCTION("GOOGLETRANSLATE(B27138,""en"",""de"")"),"Ein Biker fliegt durch die Luft, dann sehen wir ein letztes Foto der Gewinner mit ihren Medaillen.")</f>
        <v>Ein Biker fliegt durch die Luft, dann sehen wir ein letztes Foto der Gewinner mit ihren Medaillen.</v>
      </c>
    </row>
    <row r="27139">
      <c r="A27139" s="4" t="s">
        <v>34161</v>
      </c>
      <c r="B27139" s="4" t="s">
        <v>34162</v>
      </c>
      <c r="C27139" s="5" t="str">
        <f>IFERROR(__xludf.DUMMYFUNCTION("GOOGLETRANSLATE(B27139,""en"",""de"")"),"Ein Mann in einem Hof ​​beginnt seinen Rasenmäher.")</f>
        <v>Ein Mann in einem Hof ​​beginnt seinen Rasenmäher.</v>
      </c>
    </row>
    <row r="27140">
      <c r="A27140" s="4" t="s">
        <v>34161</v>
      </c>
      <c r="B27140" s="4" t="s">
        <v>34163</v>
      </c>
      <c r="C27140" s="5" t="str">
        <f>IFERROR(__xludf.DUMMYFUNCTION("GOOGLETRANSLATE(B27140,""en"",""de"")"),"Der Mann mäht seinen Rasen mit Kopfhörern an seinen Ohren, während sein Hund um den Hof geht.")</f>
        <v>Der Mann mäht seinen Rasen mit Kopfhörern an seinen Ohren, während sein Hund um den Hof geht.</v>
      </c>
    </row>
    <row r="27141">
      <c r="A27141" s="4" t="s">
        <v>34161</v>
      </c>
      <c r="B27141" s="4" t="s">
        <v>34164</v>
      </c>
      <c r="C27141" s="5" t="str">
        <f>IFERROR(__xludf.DUMMYFUNCTION("GOOGLETRANSLATE(B27141,""en"",""de"")"),"Der Hund rennt, um den Rasenmäher aus dem Weg zu gehen und verlässt die Szene.")</f>
        <v>Der Hund rennt, um den Rasenmäher aus dem Weg zu gehen und verlässt die Szene.</v>
      </c>
    </row>
    <row r="27142">
      <c r="A27142" s="4" t="s">
        <v>34165</v>
      </c>
      <c r="B27142" s="4" t="s">
        <v>34166</v>
      </c>
      <c r="C27142" s="5" t="str">
        <f>IFERROR(__xludf.DUMMYFUNCTION("GOOGLETRANSLATE(B27142,""en"",""de"")"),"Eine Katze leckt sich auf ein Bett, während eine Person ständig versucht, ihre Krallen zu schneiden.")</f>
        <v>Eine Katze leckt sich auf ein Bett, während eine Person ständig versucht, ihre Krallen zu schneiden.</v>
      </c>
    </row>
    <row r="27143">
      <c r="A27143" s="4" t="s">
        <v>34165</v>
      </c>
      <c r="B27143" s="4" t="s">
        <v>34167</v>
      </c>
      <c r="C27143" s="5" t="str">
        <f>IFERROR(__xludf.DUMMYFUNCTION("GOOGLETRANSLATE(B27143,""en"",""de"")"),"Die Person kratzt die Katze, während sie sich weiterhin leckt und versucht erneut, ihre Krallen zu schneiden.")</f>
        <v>Die Person kratzt die Katze, während sie sich weiterhin leckt und versucht erneut, ihre Krallen zu schneiden.</v>
      </c>
    </row>
    <row r="27144">
      <c r="A27144" s="4" t="s">
        <v>34165</v>
      </c>
      <c r="B27144" s="4" t="s">
        <v>34168</v>
      </c>
      <c r="C27144" s="5" t="str">
        <f>IFERROR(__xludf.DUMMYFUNCTION("GOOGLETRANSLATE(B27144,""en"",""de"")"),"Schließlich spielt die Person mit der Katze und das Auto leckt weiter.")</f>
        <v>Schließlich spielt die Person mit der Katze und das Auto leckt weiter.</v>
      </c>
    </row>
    <row r="27145">
      <c r="A27145" s="4" t="s">
        <v>34169</v>
      </c>
      <c r="B27145" s="4" t="s">
        <v>34170</v>
      </c>
      <c r="C27145" s="5" t="str">
        <f>IFERROR(__xludf.DUMMYFUNCTION("GOOGLETRANSLATE(B27145,""en"",""de"")"),"Ein Typ rasiert das Bein eines Mannes.")</f>
        <v>Ein Typ rasiert das Bein eines Mannes.</v>
      </c>
    </row>
    <row r="27146">
      <c r="A27146" s="4" t="s">
        <v>34169</v>
      </c>
      <c r="B27146" s="4" t="s">
        <v>34171</v>
      </c>
      <c r="C27146" s="5" t="str">
        <f>IFERROR(__xludf.DUMMYFUNCTION("GOOGLETRANSLATE(B27146,""en"",""de"")"),"Der männliche lacht und schlägt mit seinen Shorts.")</f>
        <v>Der männliche lacht und schlägt mit seinen Shorts.</v>
      </c>
    </row>
    <row r="27147">
      <c r="A27147" s="4" t="s">
        <v>34169</v>
      </c>
      <c r="B27147" s="4" t="s">
        <v>34172</v>
      </c>
      <c r="C27147" s="5" t="str">
        <f>IFERROR(__xludf.DUMMYFUNCTION("GOOGLETRANSLATE(B27147,""en"",""de"")"),"Der Typ spült den Rasierer in einer blauen Schüssel voller Seifenflüssigkeit.")</f>
        <v>Der Typ spült den Rasierer in einer blauen Schüssel voller Seifenflüssigkeit.</v>
      </c>
    </row>
    <row r="27148">
      <c r="A27148" s="4" t="s">
        <v>34173</v>
      </c>
      <c r="B27148" s="4" t="s">
        <v>34174</v>
      </c>
      <c r="C27148" s="5" t="str">
        <f>IFERROR(__xludf.DUMMYFUNCTION("GOOGLETRANSLATE(B27148,""en"",""de"")"),"Ein Mann hält einen Volleyball, während er auf einem Platz steht und spricht.")</f>
        <v>Ein Mann hält einen Volleyball, während er auf einem Platz steht und spricht.</v>
      </c>
    </row>
    <row r="27149">
      <c r="A27149" s="4" t="s">
        <v>34173</v>
      </c>
      <c r="B27149" s="4" t="s">
        <v>34175</v>
      </c>
      <c r="C27149" s="5" t="str">
        <f>IFERROR(__xludf.DUMMYFUNCTION("GOOGLETRANSLATE(B27149,""en"",""de"")"),"Spielerinnen trainieren und üben hinter ihm, während er spricht.")</f>
        <v>Spielerinnen trainieren und üben hinter ihm, während er spricht.</v>
      </c>
    </row>
    <row r="27150">
      <c r="A27150" s="4" t="s">
        <v>34176</v>
      </c>
      <c r="B27150" s="4" t="s">
        <v>34177</v>
      </c>
      <c r="C27150" s="5" t="str">
        <f>IFERROR(__xludf.DUMMYFUNCTION("GOOGLETRANSLATE(B27150,""en"",""de"")"),"Zwei Kinder im Pyjama hängen Weihnachtsschmuck an einem Baum.")</f>
        <v>Zwei Kinder im Pyjama hängen Weihnachtsschmuck an einem Baum.</v>
      </c>
    </row>
    <row r="27151">
      <c r="A27151" s="4" t="s">
        <v>34176</v>
      </c>
      <c r="B27151" s="4" t="s">
        <v>34178</v>
      </c>
      <c r="C27151" s="5" t="str">
        <f>IFERROR(__xludf.DUMMYFUNCTION("GOOGLETRANSLATE(B27151,""en"",""de"")"),"Eine falsche Fledermaus platzt aus dem Weihnachtsbaum und erschreckt die Kinder.")</f>
        <v>Eine falsche Fledermaus platzt aus dem Weihnachtsbaum und erschreckt die Kinder.</v>
      </c>
    </row>
    <row r="27152">
      <c r="A27152" s="4" t="s">
        <v>34179</v>
      </c>
      <c r="B27152" s="4" t="s">
        <v>34180</v>
      </c>
      <c r="C27152" s="5" t="str">
        <f>IFERROR(__xludf.DUMMYFUNCTION("GOOGLETRANSLATE(B27152,""en"",""de"")"),"Ein Mann steht vor einem Anhänger.")</f>
        <v>Ein Mann steht vor einem Anhänger.</v>
      </c>
    </row>
    <row r="27153">
      <c r="A27153" s="4" t="s">
        <v>34179</v>
      </c>
      <c r="B27153" s="4" t="s">
        <v>34181</v>
      </c>
      <c r="C27153" s="5" t="str">
        <f>IFERROR(__xludf.DUMMYFUNCTION("GOOGLETRANSLATE(B27153,""en"",""de"")"),"Er beginnt, Schnee vor dem Anhänger zu schaufeln.")</f>
        <v>Er beginnt, Schnee vor dem Anhänger zu schaufeln.</v>
      </c>
    </row>
    <row r="27154">
      <c r="A27154" s="4" t="s">
        <v>34179</v>
      </c>
      <c r="B27154" s="4" t="s">
        <v>34182</v>
      </c>
      <c r="C27154" s="5" t="str">
        <f>IFERROR(__xludf.DUMMYFUNCTION("GOOGLETRANSLATE(B27154,""en"",""de"")"),"Er steckt die Schneeschaufel in den Schnee und redet weiter.")</f>
        <v>Er steckt die Schneeschaufel in den Schnee und redet weiter.</v>
      </c>
    </row>
    <row r="27155">
      <c r="A27155" s="4" t="s">
        <v>34183</v>
      </c>
      <c r="B27155" s="4" t="s">
        <v>34184</v>
      </c>
      <c r="C27155" s="5" t="str">
        <f>IFERROR(__xludf.DUMMYFUNCTION("GOOGLETRANSLATE(B27155,""en"",""de"")"),"Ein kleines Kind sitzt in einer Röhre, während andere um ihn herum stehen.")</f>
        <v>Ein kleines Kind sitzt in einer Röhre, während andere um ihn herum stehen.</v>
      </c>
    </row>
    <row r="27156">
      <c r="A27156" s="4" t="s">
        <v>34183</v>
      </c>
      <c r="B27156" s="4" t="s">
        <v>34185</v>
      </c>
      <c r="C27156" s="5" t="str">
        <f>IFERROR(__xludf.DUMMYFUNCTION("GOOGLETRANSLATE(B27156,""en"",""de"")"),"Der Junge fängt dann an, einen schneebedeckten Hügel in der Röhre hinunter zu reiten.")</f>
        <v>Der Junge fängt dann an, einen schneebedeckten Hügel in der Röhre hinunter zu reiten.</v>
      </c>
    </row>
    <row r="27157">
      <c r="A27157" s="4" t="s">
        <v>34183</v>
      </c>
      <c r="B27157" s="4" t="s">
        <v>34186</v>
      </c>
      <c r="C27157" s="5" t="str">
        <f>IFERROR(__xludf.DUMMYFUNCTION("GOOGLETRANSLATE(B27157,""en"",""de"")"),"Der Junge fährt weiter, bis er den Boden erreicht.")</f>
        <v>Der Junge fährt weiter, bis er den Boden erreicht.</v>
      </c>
    </row>
    <row r="27158">
      <c r="A27158" s="4" t="s">
        <v>34187</v>
      </c>
      <c r="B27158" s="4" t="s">
        <v>34188</v>
      </c>
      <c r="C27158" s="5" t="str">
        <f>IFERROR(__xludf.DUMMYFUNCTION("GOOGLETRANSLATE(B27158,""en"",""de"")"),"Eine Frau steht an einem Waschbecken, während sie spricht.")</f>
        <v>Eine Frau steht an einem Waschbecken, während sie spricht.</v>
      </c>
    </row>
    <row r="27159">
      <c r="A27159" s="4" t="s">
        <v>34187</v>
      </c>
      <c r="B27159" s="4" t="s">
        <v>34189</v>
      </c>
      <c r="C27159" s="5" t="str">
        <f>IFERROR(__xludf.DUMMYFUNCTION("GOOGLETRANSLATE(B27159,""en"",""de"")"),"Sie schaltet den Wasserhahn ein und benimmt das Waschbecken.")</f>
        <v>Sie schaltet den Wasserhahn ein und benimmt das Waschbecken.</v>
      </c>
    </row>
    <row r="27160">
      <c r="A27160" s="4" t="s">
        <v>34187</v>
      </c>
      <c r="B27160" s="4" t="s">
        <v>34190</v>
      </c>
      <c r="C27160" s="5" t="str">
        <f>IFERROR(__xludf.DUMMYFUNCTION("GOOGLETRANSLATE(B27160,""en"",""de"")"),"Sie sprüht das Waschbecken mit einem Reiniger.")</f>
        <v>Sie sprüht das Waschbecken mit einem Reiniger.</v>
      </c>
    </row>
    <row r="27161">
      <c r="A27161" s="4" t="s">
        <v>34187</v>
      </c>
      <c r="B27161" s="4" t="s">
        <v>34191</v>
      </c>
      <c r="C27161" s="5" t="str">
        <f>IFERROR(__xludf.DUMMYFUNCTION("GOOGLETRANSLATE(B27161,""en"",""de"")"),"Sie schnappt sich ein Papiertuch und wischt das Waschbecken ab.")</f>
        <v>Sie schnappt sich ein Papiertuch und wischt das Waschbecken ab.</v>
      </c>
    </row>
    <row r="27162">
      <c r="A27162" s="4" t="s">
        <v>34187</v>
      </c>
      <c r="B27162" s="4" t="s">
        <v>34192</v>
      </c>
      <c r="C27162" s="5" t="str">
        <f>IFERROR(__xludf.DUMMYFUNCTION("GOOGLETRANSLATE(B27162,""en"",""de"")"),"Sie schaltet das Wasser ein und benimmt das Waschbecken.")</f>
        <v>Sie schaltet das Wasser ein und benimmt das Waschbecken.</v>
      </c>
    </row>
    <row r="27163">
      <c r="A27163" s="4" t="s">
        <v>34187</v>
      </c>
      <c r="B27163" s="4" t="s">
        <v>34193</v>
      </c>
      <c r="C27163" s="5" t="str">
        <f>IFERROR(__xludf.DUMMYFUNCTION("GOOGLETRANSLATE(B27163,""en"",""de"")"),"Sie schnappt sich ein weiteres Papiertuch und wischt das Waschbecken ab.")</f>
        <v>Sie schnappt sich ein weiteres Papiertuch und wischt das Waschbecken ab.</v>
      </c>
    </row>
    <row r="27164">
      <c r="A27164" s="4" t="s">
        <v>34187</v>
      </c>
      <c r="B27164" s="4" t="s">
        <v>34194</v>
      </c>
      <c r="C27164" s="5" t="str">
        <f>IFERROR(__xludf.DUMMYFUNCTION("GOOGLETRANSLATE(B27164,""en"",""de"")"),"Sie beendet das Waschbecken und spricht.")</f>
        <v>Sie beendet das Waschbecken und spricht.</v>
      </c>
    </row>
    <row r="27165">
      <c r="A27165" s="4" t="s">
        <v>34195</v>
      </c>
      <c r="B27165" s="4" t="s">
        <v>34196</v>
      </c>
      <c r="C27165" s="5" t="str">
        <f>IFERROR(__xludf.DUMMYFUNCTION("GOOGLETRANSLATE(B27165,""en"",""de"")"),"Ein Team spielt Basketball gegen eine andere Mannschaft.")</f>
        <v>Ein Team spielt Basketball gegen eine andere Mannschaft.</v>
      </c>
    </row>
    <row r="27166">
      <c r="A27166" s="4" t="s">
        <v>34195</v>
      </c>
      <c r="B27166" s="4" t="s">
        <v>34197</v>
      </c>
      <c r="C27166" s="5" t="str">
        <f>IFERROR(__xludf.DUMMYFUNCTION("GOOGLETRANSLATE(B27166,""en"",""de"")"),"Sie jagen den Ball über den gesamten Platz.")</f>
        <v>Sie jagen den Ball über den gesamten Platz.</v>
      </c>
    </row>
    <row r="27167">
      <c r="A27167" s="4" t="s">
        <v>34195</v>
      </c>
      <c r="B27167" s="4" t="s">
        <v>34198</v>
      </c>
      <c r="C27167" s="5" t="str">
        <f>IFERROR(__xludf.DUMMYFUNCTION("GOOGLETRANSLATE(B27167,""en"",""de"")"),"Sie versuchen, den Ball von ihrem Gegner fernzuhalten und Körbe zu machen, während sie gehen.")</f>
        <v>Sie versuchen, den Ball von ihrem Gegner fernzuhalten und Körbe zu machen, während sie gehen.</v>
      </c>
    </row>
    <row r="27168">
      <c r="A27168" s="4" t="s">
        <v>34199</v>
      </c>
      <c r="B27168" s="4" t="s">
        <v>34200</v>
      </c>
      <c r="C27168" s="5" t="str">
        <f>IFERROR(__xludf.DUMMYFUNCTION("GOOGLETRANSLATE(B27168,""en"",""de"")"),"Zwei Männer, die sich auf einen Wettbewerb vorbereiten, indem sie Papierscheren steinen, um zu sehen, wer zuerst geht.")</f>
        <v>Zwei Männer, die sich auf einen Wettbewerb vorbereiten, indem sie Papierscheren steinen, um zu sehen, wer zuerst geht.</v>
      </c>
    </row>
    <row r="27169">
      <c r="A27169" s="4" t="s">
        <v>34199</v>
      </c>
      <c r="B27169" s="4" t="s">
        <v>34201</v>
      </c>
      <c r="C27169" s="5" t="str">
        <f>IFERROR(__xludf.DUMMYFUNCTION("GOOGLETRANSLATE(B27169,""en"",""de"")"),"Die Männer überqueren ihre Arme und begannen während des Wettbewerbs die Flüssigkeiten zu trinken.")</f>
        <v>Die Männer überqueren ihre Arme und begannen während des Wettbewerbs die Flüssigkeiten zu trinken.</v>
      </c>
    </row>
    <row r="27170">
      <c r="A27170" s="4" t="s">
        <v>34202</v>
      </c>
      <c r="B27170" s="4" t="s">
        <v>34203</v>
      </c>
      <c r="C27170" s="5" t="str">
        <f>IFERROR(__xludf.DUMMYFUNCTION("GOOGLETRANSLATE(B27170,""en"",""de"")"),"Ein Oreo -Käsekuchen befindet sich auf einem Tisch.")</f>
        <v>Ein Oreo -Käsekuchen befindet sich auf einem Tisch.</v>
      </c>
    </row>
    <row r="27171">
      <c r="A27171" s="4" t="s">
        <v>34202</v>
      </c>
      <c r="B27171" s="4" t="s">
        <v>34204</v>
      </c>
      <c r="C27171" s="5" t="str">
        <f>IFERROR(__xludf.DUMMYFUNCTION("GOOGLETRANSLATE(B27171,""en"",""de"")"),"Oreos befinden sich in einer Schüssel und der Kocher zerkleinert sie und geschmolzene Butter und mischt und steckt sie in eine Pfanne.")</f>
        <v>Oreos befinden sich in einer Schüssel und der Kocher zerkleinert sie und geschmolzene Butter und mischt und steckt sie in eine Pfanne.</v>
      </c>
    </row>
    <row r="27172">
      <c r="A27172" s="4" t="s">
        <v>34202</v>
      </c>
      <c r="B27172" s="4" t="s">
        <v>34205</v>
      </c>
      <c r="C27172" s="5" t="str">
        <f>IFERROR(__xludf.DUMMYFUNCTION("GOOGLETRANSLATE(B27172,""en"",""de"")"),"Schlagsahne wird in einer Schüssel geschmiert und bis zum Doppelte seines Volumens geschlagen.")</f>
        <v>Schlagsahne wird in einer Schüssel geschmiert und bis zum Doppelte seines Volumens geschlagen.</v>
      </c>
    </row>
    <row r="27173">
      <c r="A27173" s="4" t="s">
        <v>34202</v>
      </c>
      <c r="B27173" s="4" t="s">
        <v>34206</v>
      </c>
      <c r="C27173" s="5" t="str">
        <f>IFERROR(__xludf.DUMMYFUNCTION("GOOGLETRANSLATE(B27173,""en"",""de"")"),"In einer anderen Schüssel wird ein Frischkäse mit Zucker und Vanille gemischt und Oreo -Kekse in einer Schüssel brechen und ihn dann in die Pfanne fallen und mit Oreo -Keksen abzuruhen.")</f>
        <v>In einer anderen Schüssel wird ein Frischkäse mit Zucker und Vanille gemischt und Oreo -Kekse in einer Schüssel brechen und ihn dann in die Pfanne fallen und mit Oreo -Keksen abzuruhen.</v>
      </c>
    </row>
    <row r="27174">
      <c r="A27174" s="4" t="s">
        <v>34207</v>
      </c>
      <c r="B27174" s="4" t="s">
        <v>34208</v>
      </c>
      <c r="C27174" s="5" t="str">
        <f>IFERROR(__xludf.DUMMYFUNCTION("GOOGLETRANSLATE(B27174,""en"",""de"")"),"Eine Frau spricht in ein Mikrofon und führt nach dem Spinnen in ihre Pfeile an den Kopf einer Person.")</f>
        <v>Eine Frau spricht in ein Mikrofon und führt nach dem Spinnen in ihre Pfeile an den Kopf einer Person.</v>
      </c>
    </row>
    <row r="27175">
      <c r="A27175" s="4" t="s">
        <v>34207</v>
      </c>
      <c r="B27175" s="4" t="s">
        <v>34209</v>
      </c>
      <c r="C27175" s="5" t="str">
        <f>IFERROR(__xludf.DUMMYFUNCTION("GOOGLETRANSLATE(B27175,""en"",""de"")"),"Die Person trägt einen Kürbiskopf und es werden mehr Menschen gesehen, die versuchen, Pfeile zu werfen.")</f>
        <v>Die Person trägt einen Kürbiskopf und es werden mehr Menschen gesehen, die versuchen, Pfeile zu werfen.</v>
      </c>
    </row>
    <row r="27176">
      <c r="A27176" s="4" t="s">
        <v>34207</v>
      </c>
      <c r="B27176" s="4" t="s">
        <v>34210</v>
      </c>
      <c r="C27176" s="5" t="str">
        <f>IFERROR(__xludf.DUMMYFUNCTION("GOOGLETRANSLATE(B27176,""en"",""de"")"),"Am Ende nimmt der Mann den Kürbis von seinem Kopf.")</f>
        <v>Am Ende nimmt der Mann den Kürbis von seinem Kopf.</v>
      </c>
    </row>
    <row r="27177">
      <c r="A27177" s="4" t="s">
        <v>34211</v>
      </c>
      <c r="B27177" s="4" t="s">
        <v>34212</v>
      </c>
      <c r="C27177" s="5" t="str">
        <f>IFERROR(__xludf.DUMMYFUNCTION("GOOGLETRANSLATE(B27177,""en"",""de"")"),"Ein Mann sitzt vor einem Baum, der Karten schlurft, wenn jemand ihm ein Getränk gibt.")</f>
        <v>Ein Mann sitzt vor einem Baum, der Karten schlurft, wenn jemand ihm ein Getränk gibt.</v>
      </c>
    </row>
    <row r="27178">
      <c r="A27178" s="4" t="s">
        <v>34211</v>
      </c>
      <c r="B27178" s="4" t="s">
        <v>34213</v>
      </c>
      <c r="C27178" s="5" t="str">
        <f>IFERROR(__xludf.DUMMYFUNCTION("GOOGLETRANSLATE(B27178,""en"",""de"")"),"Dann tuckert er das Getränk sehr schnell und zeigt auf den, der das Getränk geworfen hat.")</f>
        <v>Dann tuckert er das Getränk sehr schnell und zeigt auf den, der das Getränk geworfen hat.</v>
      </c>
    </row>
    <row r="27179">
      <c r="A27179" s="4" t="s">
        <v>34214</v>
      </c>
      <c r="B27179" s="4" t="s">
        <v>34215</v>
      </c>
      <c r="C27179" s="5" t="str">
        <f>IFERROR(__xludf.DUMMYFUNCTION("GOOGLETRANSLATE(B27179,""en"",""de"")"),"Es werden mehrere Bilder einer Bäckerei und eines Kochs gezeigt, und dann kommt ein kleiner Animed -Typ, worum es im Video geht.")</f>
        <v>Es werden mehrere Bilder einer Bäckerei und eines Kochs gezeigt, und dann kommt ein kleiner Animed -Typ, worum es im Video geht.</v>
      </c>
    </row>
    <row r="27180">
      <c r="A27180" s="4" t="s">
        <v>34214</v>
      </c>
      <c r="B27180" s="4" t="s">
        <v>34216</v>
      </c>
      <c r="C27180" s="5" t="str">
        <f>IFERROR(__xludf.DUMMYFUNCTION("GOOGLETRANSLATE(B27180,""en"",""de"")"),"Ein echter Koch erscheint dann und fängt an, kleine Kuchenschichten zu schneiden und zusammen hinzuzufügen.")</f>
        <v>Ein echter Koch erscheint dann und fängt an, kleine Kuchenschichten zu schneiden und zusammen hinzuzufügen.</v>
      </c>
    </row>
    <row r="27181">
      <c r="A27181" s="4" t="s">
        <v>34214</v>
      </c>
      <c r="B27181" s="4" t="s">
        <v>34217</v>
      </c>
      <c r="C27181" s="5" t="str">
        <f>IFERROR(__xludf.DUMMYFUNCTION("GOOGLETRANSLATE(B27181,""en"",""de"")"),"Sobald alle Schichten des Kuchens zusammengeschnitten und vereisen sind, wird der Fondant sowohl auf den Kuchen als auch auf die Zuckerguss platziert und die Wüste ist vollständig.")</f>
        <v>Sobald alle Schichten des Kuchens zusammengeschnitten und vereisen sind, wird der Fondant sowohl auf den Kuchen als auch auf die Zuckerguss platziert und die Wüste ist vollständig.</v>
      </c>
    </row>
    <row r="27182">
      <c r="A27182" s="4" t="s">
        <v>34218</v>
      </c>
      <c r="B27182" s="4" t="s">
        <v>34219</v>
      </c>
      <c r="C27182" s="5" t="str">
        <f>IFERROR(__xludf.DUMMYFUNCTION("GOOGLETRANSLATE(B27182,""en"",""de"")"),"Eine Gruppe hemdloser Männer steht in der Außenseite eines Hauses, als man verschiedene Werkzeuge und Hände mehr zu einem anderen schnappt.")</f>
        <v>Eine Gruppe hemdloser Männer steht in der Außenseite eines Hauses, als man verschiedene Werkzeuge und Hände mehr zu einem anderen schnappt.</v>
      </c>
    </row>
    <row r="27183">
      <c r="A27183" s="4" t="s">
        <v>34218</v>
      </c>
      <c r="B27183" s="4" t="s">
        <v>34220</v>
      </c>
      <c r="C27183" s="5" t="str">
        <f>IFERROR(__xludf.DUMMYFUNCTION("GOOGLETRANSLATE(B27183,""en"",""de"")"),"Die Männer schlugen dann einen Ball um den Hof durch die Ständer und sprechen miteinander aus, während sie Wasser trinken.")</f>
        <v>Die Männer schlugen dann einen Ball um den Hof durch die Ständer und sprechen miteinander aus, während sie Wasser trinken.</v>
      </c>
    </row>
    <row r="27184">
      <c r="A27184" s="4" t="s">
        <v>34218</v>
      </c>
      <c r="B27184" s="4" t="s">
        <v>34221</v>
      </c>
      <c r="C27184" s="5" t="str">
        <f>IFERROR(__xludf.DUMMYFUNCTION("GOOGLETRANSLATE(B27184,""en"",""de"")"),"Die Männer schlugen noch ein paar Mal den Ball und sprechen weiterhin miteinander.")</f>
        <v>Die Männer schlugen noch ein paar Mal den Ball und sprechen weiterhin miteinander.</v>
      </c>
    </row>
    <row r="27185">
      <c r="A27185" s="4" t="s">
        <v>34222</v>
      </c>
      <c r="B27185" s="4" t="s">
        <v>34223</v>
      </c>
      <c r="C27185" s="5" t="str">
        <f>IFERROR(__xludf.DUMMYFUNCTION("GOOGLETRANSLATE(B27185,""en"",""de"")"),"Ein junges Mädchen nimmt nasse Kleidung aus einem Eimer.")</f>
        <v>Ein junges Mädchen nimmt nasse Kleidung aus einem Eimer.</v>
      </c>
    </row>
    <row r="27186">
      <c r="A27186" s="4" t="s">
        <v>34222</v>
      </c>
      <c r="B27186" s="4" t="s">
        <v>34224</v>
      </c>
      <c r="C27186" s="5" t="str">
        <f>IFERROR(__xludf.DUMMYFUNCTION("GOOGLETRANSLATE(B27186,""en"",""de"")"),"Mehrere Menschen sind in der Nähe ihrer Waschkleidung und kümmern sich um sie.")</f>
        <v>Mehrere Menschen sind in der Nähe ihrer Waschkleidung und kümmern sich um sie.</v>
      </c>
    </row>
    <row r="27187">
      <c r="A27187" s="4" t="s">
        <v>34222</v>
      </c>
      <c r="B27187" s="4" t="s">
        <v>34225</v>
      </c>
      <c r="C27187" s="5" t="str">
        <f>IFERROR(__xludf.DUMMYFUNCTION("GOOGLETRANSLATE(B27187,""en"",""de"")"),"Sie schaut zurück in die Kamera und scheint Spaß zu haben.")</f>
        <v>Sie schaut zurück in die Kamera und scheint Spaß zu haben.</v>
      </c>
    </row>
    <row r="27188">
      <c r="A27188" s="4" t="s">
        <v>34222</v>
      </c>
      <c r="B27188" s="4" t="s">
        <v>34226</v>
      </c>
      <c r="C27188" s="5" t="str">
        <f>IFERROR(__xludf.DUMMYFUNCTION("GOOGLETRANSLATE(B27188,""en"",""de"")"),"Ein kleiner Junge springt vor die Kamera und lächelt.")</f>
        <v>Ein kleiner Junge springt vor die Kamera und lächelt.</v>
      </c>
    </row>
    <row r="27189">
      <c r="A27189" s="4" t="s">
        <v>34222</v>
      </c>
      <c r="B27189" s="4" t="s">
        <v>34227</v>
      </c>
      <c r="C27189" s="5" t="str">
        <f>IFERROR(__xludf.DUMMYFUNCTION("GOOGLETRANSLATE(B27189,""en"",""de"")"),"Die kleinen Mädchen spülen die Kleidung im Eimer weiter aus, als der Junge den Rücken in die Kamera dreht.")</f>
        <v>Die kleinen Mädchen spülen die Kleidung im Eimer weiter aus, als der Junge den Rücken in die Kamera dreht.</v>
      </c>
    </row>
    <row r="27190">
      <c r="A27190" s="4" t="s">
        <v>34222</v>
      </c>
      <c r="B27190" s="4" t="s">
        <v>34228</v>
      </c>
      <c r="C27190" s="5" t="str">
        <f>IFERROR(__xludf.DUMMYFUNCTION("GOOGLETRANSLATE(B27190,""en"",""de"")"),"Das junge Mädchen setzt sich mit ihrer Arbeit fort und ist sehr fokussiert in ihrer Aufgabe.")</f>
        <v>Das junge Mädchen setzt sich mit ihrer Arbeit fort und ist sehr fokussiert in ihrer Aufgabe.</v>
      </c>
    </row>
    <row r="27191">
      <c r="A27191" s="4" t="s">
        <v>34229</v>
      </c>
      <c r="B27191" s="4" t="s">
        <v>34230</v>
      </c>
      <c r="C27191" s="5" t="str">
        <f>IFERROR(__xludf.DUMMYFUNCTION("GOOGLETRANSLATE(B27191,""en"",""de"")"),"Wasser fällt als Mann auf einem Jetski.")</f>
        <v>Wasser fällt als Mann auf einem Jetski.</v>
      </c>
    </row>
    <row r="27192">
      <c r="A27192" s="4" t="s">
        <v>34229</v>
      </c>
      <c r="B27192" s="4" t="s">
        <v>34231</v>
      </c>
      <c r="C27192" s="5" t="str">
        <f>IFERROR(__xludf.DUMMYFUNCTION("GOOGLETRANSLATE(B27192,""en"",""de"")"),"Wir sehen, wie der Mann Jet Skifahren und Sprünge auf einem See durchführt.")</f>
        <v>Wir sehen, wie der Mann Jet Skifahren und Sprünge auf einem See durchführt.</v>
      </c>
    </row>
    <row r="27193">
      <c r="A27193" s="4" t="s">
        <v>34229</v>
      </c>
      <c r="B27193" s="4" t="s">
        <v>34232</v>
      </c>
      <c r="C27193" s="5" t="str">
        <f>IFERROR(__xludf.DUMMYFUNCTION("GOOGLETRANSLATE(B27193,""en"",""de"")"),"Der Mann fasst mit seiner Hand im Wasser, als er sich biegt.")</f>
        <v>Der Mann fasst mit seiner Hand im Wasser, als er sich biegt.</v>
      </c>
    </row>
    <row r="27194">
      <c r="A27194" s="4" t="s">
        <v>34229</v>
      </c>
      <c r="B27194" s="4" t="s">
        <v>34233</v>
      </c>
      <c r="C27194" s="5" t="str">
        <f>IFERROR(__xludf.DUMMYFUNCTION("GOOGLETRANSLATE(B27194,""en"",""de"")"),"Wir sehen, wie das Boot uns mit dem Skifahrer in der Luft vorbeikommt.")</f>
        <v>Wir sehen, wie das Boot uns mit dem Skifahrer in der Luft vorbeikommt.</v>
      </c>
    </row>
    <row r="27195">
      <c r="A27195" s="4" t="s">
        <v>34234</v>
      </c>
      <c r="B27195" s="4" t="s">
        <v>34235</v>
      </c>
      <c r="C27195" s="5" t="str">
        <f>IFERROR(__xludf.DUMMYFUNCTION("GOOGLETRANSLATE(B27195,""en"",""de"")"),"Zwei Frauen und ein Mann gehen im Flur und schauen sich die ausgestellten Teppiche an.")</f>
        <v>Zwei Frauen und ein Mann gehen im Flur und schauen sich die ausgestellten Teppiche an.</v>
      </c>
    </row>
    <row r="27196">
      <c r="A27196" s="4" t="s">
        <v>34234</v>
      </c>
      <c r="B27196" s="4" t="s">
        <v>34236</v>
      </c>
      <c r="C27196" s="5" t="str">
        <f>IFERROR(__xludf.DUMMYFUNCTION("GOOGLETRANSLATE(B27196,""en"",""de"")"),"Ein rotes Van, der von einem Mann gefahren wurde, dann ging ein Mann zum Haus, dann hockt ein Mann auf dem Teppichboden, der ein Stück oder einen braunen Teppich schneidet, den Teppich bügelt, den Teppich mit Schwermetall drücken.")</f>
        <v>Ein rotes Van, der von einem Mann gefahren wurde, dann ging ein Mann zum Haus, dann hockt ein Mann auf dem Teppichboden, der ein Stück oder einen braunen Teppich schneidet, den Teppich bügelt, den Teppich mit Schwermetall drücken.</v>
      </c>
    </row>
    <row r="27197">
      <c r="A27197" s="4" t="s">
        <v>34237</v>
      </c>
      <c r="B27197" s="4" t="s">
        <v>34238</v>
      </c>
      <c r="C27197" s="5" t="str">
        <f>IFERROR(__xludf.DUMMYFUNCTION("GOOGLETRANSLATE(B27197,""en"",""de"")"),"Ein Mann und eine Frau kratzen Frost von den Fenstern, Windschutzscheiben und Wischblättern eines geparkten Autos, während eine zweite Frau mit ihnen von der Seite des Autos im Schnee spricht.")</f>
        <v>Ein Mann und eine Frau kratzen Frost von den Fenstern, Windschutzscheiben und Wischblättern eines geparkten Autos, während eine zweite Frau mit ihnen von der Seite des Autos im Schnee spricht.</v>
      </c>
    </row>
    <row r="27198">
      <c r="A27198" s="4" t="s">
        <v>34237</v>
      </c>
      <c r="B27198" s="4" t="s">
        <v>34239</v>
      </c>
      <c r="C27198" s="5" t="str">
        <f>IFERROR(__xludf.DUMMYFUNCTION("GOOGLETRANSLATE(B27198,""en"",""de"")"),"Ein Mann in einem langen schwarzen Wollmantel kratzt Eis aus der Windschutzscheibe eines blauen Autos, während eine Frau in einem schwarzen Pelzmantel von der Seite des Autos mit ihm spricht.")</f>
        <v>Ein Mann in einem langen schwarzen Wollmantel kratzt Eis aus der Windschutzscheibe eines blauen Autos, während eine Frau in einem schwarzen Pelzmantel von der Seite des Autos mit ihm spricht.</v>
      </c>
    </row>
    <row r="27199">
      <c r="A27199" s="4" t="s">
        <v>34237</v>
      </c>
      <c r="B27199" s="4" t="s">
        <v>34240</v>
      </c>
      <c r="C27199" s="5" t="str">
        <f>IFERROR(__xludf.DUMMYFUNCTION("GOOGLETRANSLATE(B27199,""en"",""de"")"),"Eine zweite Frau beginnt, den Schnee von den Scheibenwischern des Autos aus dem Schnee zu wischen, während er mit der Frau im Pelz -Kapuzenmantel sprach.")</f>
        <v>Eine zweite Frau beginnt, den Schnee von den Scheibenwischern des Autos aus dem Schnee zu wischen, während er mit der Frau im Pelz -Kapuzenmantel sprach.</v>
      </c>
    </row>
    <row r="27200">
      <c r="A27200" s="4" t="s">
        <v>34237</v>
      </c>
      <c r="B27200" s="4" t="s">
        <v>34241</v>
      </c>
      <c r="C27200" s="5" t="str">
        <f>IFERROR(__xludf.DUMMYFUNCTION("GOOGLETRANSLATE(B27200,""en"",""de"")"),"Der Mann steigt auf den Rücksitz des Autos und schließt die Tür hinter sich, während die Frau im Pelz mit Kapuze -Mantel der anderen Frau, die sich in Richtung der Fahrzeug -Autotür bewegt.")</f>
        <v>Der Mann steigt auf den Rücksitz des Autos und schließt die Tür hinter sich, während die Frau im Pelz mit Kapuze -Mantel der anderen Frau, die sich in Richtung der Fahrzeug -Autotür bewegt.</v>
      </c>
    </row>
    <row r="27201">
      <c r="A27201" s="4" t="s">
        <v>34242</v>
      </c>
      <c r="B27201" s="4" t="s">
        <v>34243</v>
      </c>
      <c r="C27201" s="5" t="str">
        <f>IFERROR(__xludf.DUMMYFUNCTION("GOOGLETRANSLATE(B27201,""en"",""de"")"),"Es gibt ein paar Mädchen, die in einem Fitnessstudio Gymnastik machen.")</f>
        <v>Es gibt ein paar Mädchen, die in einem Fitnessstudio Gymnastik machen.</v>
      </c>
    </row>
    <row r="27202">
      <c r="A27202" s="4" t="s">
        <v>34242</v>
      </c>
      <c r="B27202" s="4" t="s">
        <v>34244</v>
      </c>
      <c r="C27202" s="5" t="str">
        <f>IFERROR(__xludf.DUMMYFUNCTION("GOOGLETRANSLATE(B27202,""en"",""de"")"),"Es gibt ein junges Mädchen, das ein sportliches Tanktop und Shorts trägt, die Rücken in ihrem Garten fließen.")</f>
        <v>Es gibt ein junges Mädchen, das ein sportliches Tanktop und Shorts trägt, die Rücken in ihrem Garten fließen.</v>
      </c>
    </row>
    <row r="27203">
      <c r="A27203" s="4" t="s">
        <v>34242</v>
      </c>
      <c r="B27203" s="4" t="s">
        <v>34245</v>
      </c>
      <c r="C27203" s="5" t="str">
        <f>IFERROR(__xludf.DUMMYFUNCTION("GOOGLETRANSLATE(B27203,""en"",""de"")"),"Sie kehrt weiterhin auf schnelle Weise zurück.")</f>
        <v>Sie kehrt weiterhin auf schnelle Weise zurück.</v>
      </c>
    </row>
    <row r="27204">
      <c r="A27204" s="4" t="s">
        <v>34242</v>
      </c>
      <c r="B27204" s="4" t="s">
        <v>34246</v>
      </c>
      <c r="C27204" s="5" t="str">
        <f>IFERROR(__xludf.DUMMYFUNCTION("GOOGLETRANSLATE(B27204,""en"",""de"")"),"Sie macht auch einen Rücken am Strand.")</f>
        <v>Sie macht auch einen Rücken am Strand.</v>
      </c>
    </row>
    <row r="27205">
      <c r="A27205" s="4" t="s">
        <v>34242</v>
      </c>
      <c r="B27205" s="4" t="s">
        <v>34247</v>
      </c>
      <c r="C27205" s="5" t="str">
        <f>IFERROR(__xludf.DUMMYFUNCTION("GOOGLETRANSLATE(B27205,""en"",""de"")"),"Dann macht sie noch ein paar Rückenflips in ihrem Garten und in einem Park.")</f>
        <v>Dann macht sie noch ein paar Rückenflips in ihrem Garten und in einem Park.</v>
      </c>
    </row>
    <row r="27206">
      <c r="A27206" s="4" t="s">
        <v>34242</v>
      </c>
      <c r="B27206" s="4" t="s">
        <v>34248</v>
      </c>
      <c r="C27206" s="5" t="str">
        <f>IFERROR(__xludf.DUMMYFUNCTION("GOOGLETRANSLATE(B27206,""en"",""de"")"),"Das Mädchen streckt dann ihr Bein in Richtung ihres Kopfes, um sie Zehen zu berühren.")</f>
        <v>Das Mädchen streckt dann ihr Bein in Richtung ihres Kopfes, um sie Zehen zu berühren.</v>
      </c>
    </row>
    <row r="27207">
      <c r="A27207" s="4" t="s">
        <v>34242</v>
      </c>
      <c r="B27207" s="4" t="s">
        <v>34249</v>
      </c>
      <c r="C27207" s="5" t="str">
        <f>IFERROR(__xludf.DUMMYFUNCTION("GOOGLETRANSLATE(B27207,""en"",""de"")"),"Mehrere Bilder des Mädchens werden gezeigt, wo sie als Cheerleaderin und bei vielen Gymnastikveranstaltungen teilgenommen hat.")</f>
        <v>Mehrere Bilder des Mädchens werden gezeigt, wo sie als Cheerleaderin und bei vielen Gymnastikveranstaltungen teilgenommen hat.</v>
      </c>
    </row>
    <row r="27208">
      <c r="A27208" s="4" t="s">
        <v>34250</v>
      </c>
      <c r="B27208" s="4" t="s">
        <v>34251</v>
      </c>
      <c r="C27208" s="5" t="str">
        <f>IFERROR(__xludf.DUMMYFUNCTION("GOOGLETRANSLATE(B27208,""en"",""de"")"),"Eine Frau wird gesehen, wie sie mit der Kamera spricht, während Aufnahmen von Häusern gezeigt werden.")</f>
        <v>Eine Frau wird gesehen, wie sie mit der Kamera spricht, während Aufnahmen von Häusern gezeigt werden.</v>
      </c>
    </row>
    <row r="27209">
      <c r="A27209" s="4" t="s">
        <v>34250</v>
      </c>
      <c r="B27209" s="4" t="s">
        <v>34252</v>
      </c>
      <c r="C27209" s="5" t="str">
        <f>IFERROR(__xludf.DUMMYFUNCTION("GOOGLETRANSLATE(B27209,""en"",""de"")"),"Die Leute werden dann zu sehen, wie sie Hunde pflegen und Auszeichnungen halten.")</f>
        <v>Die Leute werden dann zu sehen, wie sie Hunde pflegen und Auszeichnungen halten.</v>
      </c>
    </row>
    <row r="27210">
      <c r="A27210" s="4" t="s">
        <v>34250</v>
      </c>
      <c r="B27210" s="4" t="s">
        <v>34253</v>
      </c>
      <c r="C27210" s="5" t="str">
        <f>IFERROR(__xludf.DUMMYFUNCTION("GOOGLETRANSLATE(B27210,""en"",""de"")"),"Die Frau spricht weiter mit der Kamera, während die Hunde weiter hinter sich gepflegt werden.")</f>
        <v>Die Frau spricht weiter mit der Kamera, während die Hunde weiter hinter sich gepflegt werden.</v>
      </c>
    </row>
    <row r="27211">
      <c r="A27211" s="4" t="s">
        <v>34254</v>
      </c>
      <c r="B27211" s="4" t="s">
        <v>34255</v>
      </c>
      <c r="C27211" s="5" t="str">
        <f>IFERROR(__xludf.DUMMYFUNCTION("GOOGLETRANSLATE(B27211,""en"",""de"")"),"Ein sprechender Mann, der in sportlicher Ausrüstung gekleidet ist, steht auf einem sehr grünen Feld und die Wörter auf der Unterseite links sagen, sein Name ist Neil Macmillan und sein Titel ist Cheftrainer.")</f>
        <v>Ein sprechender Mann, der in sportlicher Ausrüstung gekleidet ist, steht auf einem sehr grünen Feld und die Wörter auf der Unterseite links sagen, sein Name ist Neil Macmillan und sein Titel ist Cheftrainer.</v>
      </c>
    </row>
    <row r="27212">
      <c r="A27212" s="4" t="s">
        <v>34254</v>
      </c>
      <c r="B27212" s="4" t="s">
        <v>34256</v>
      </c>
      <c r="C27212" s="5" t="str">
        <f>IFERROR(__xludf.DUMMYFUNCTION("GOOGLETRANSLATE(B27212,""en"",""de"")"),"Eine große Gruppe von Mädchen, die in sportlicher Ausrüstung gekleidet sind, spielen Landhockey, und die Leute, die nicht spielen, sind für kaltes Wetter gekleidet.")</f>
        <v>Eine große Gruppe von Mädchen, die in sportlicher Ausrüstung gekleidet sind, spielen Landhockey, und die Leute, die nicht spielen, sind für kaltes Wetter gekleidet.</v>
      </c>
    </row>
    <row r="27213">
      <c r="A27213" s="4" t="s">
        <v>34254</v>
      </c>
      <c r="B27213" s="4" t="s">
        <v>34257</v>
      </c>
      <c r="C27213" s="5" t="str">
        <f>IFERROR(__xludf.DUMMYFUNCTION("GOOGLETRANSLATE(B27213,""en"",""de"")"),"Clips des Mannes spielen weiter und drehen sich vom Zeigen des Mannes und den Mädchen, die Landhockey spielen, bis sie mit dem Spielen fertig sind.")</f>
        <v>Clips des Mannes spielen weiter und drehen sich vom Zeigen des Mannes und den Mädchen, die Landhockey spielen, bis sie mit dem Spielen fertig sind.</v>
      </c>
    </row>
    <row r="27214">
      <c r="A27214" s="4" t="s">
        <v>34258</v>
      </c>
      <c r="B27214" s="4" t="s">
        <v>34259</v>
      </c>
      <c r="C27214" s="5" t="str">
        <f>IFERROR(__xludf.DUMMYFUNCTION("GOOGLETRANSLATE(B27214,""en"",""de"")"),"Ein Junge schweißt sich auf ein Stück Metall, die funkeln.")</f>
        <v>Ein Junge schweißt sich auf ein Stück Metall, die funkeln.</v>
      </c>
    </row>
    <row r="27215">
      <c r="A27215" s="4" t="s">
        <v>34258</v>
      </c>
      <c r="B27215" s="4" t="s">
        <v>34260</v>
      </c>
      <c r="C27215" s="5" t="str">
        <f>IFERROR(__xludf.DUMMYFUNCTION("GOOGLETRANSLATE(B27215,""en"",""de"")"),"Dann hebt der Junge seinen Helm und spricht.")</f>
        <v>Dann hebt der Junge seinen Helm und spricht.</v>
      </c>
    </row>
    <row r="27216">
      <c r="A27216" s="4" t="s">
        <v>34261</v>
      </c>
      <c r="B27216" s="4" t="s">
        <v>34262</v>
      </c>
      <c r="C27216" s="5" t="str">
        <f>IFERROR(__xludf.DUMMYFUNCTION("GOOGLETRANSLATE(B27216,""en"",""de"")"),"Eine Frau öffnet ihren Mund und lächelt in die Kamera.")</f>
        <v>Eine Frau öffnet ihren Mund und lächelt in die Kamera.</v>
      </c>
    </row>
    <row r="27217">
      <c r="A27217" s="4" t="s">
        <v>34261</v>
      </c>
      <c r="B27217" s="4" t="s">
        <v>34263</v>
      </c>
      <c r="C27217" s="5" t="str">
        <f>IFERROR(__xludf.DUMMYFUNCTION("GOOGLETRANSLATE(B27217,""en"",""de"")"),"Die Leute gehen vorbei, Wasser segeln.")</f>
        <v>Die Leute gehen vorbei, Wasser segeln.</v>
      </c>
    </row>
    <row r="27218">
      <c r="A27218" s="4" t="s">
        <v>34261</v>
      </c>
      <c r="B27218" s="4" t="s">
        <v>34264</v>
      </c>
      <c r="C27218" s="5" t="str">
        <f>IFERROR(__xludf.DUMMYFUNCTION("GOOGLETRANSLATE(B27218,""en"",""de"")"),"Sie drehen und drehen sich ins Wasser, während sie segeln.")</f>
        <v>Sie drehen und drehen sich ins Wasser, während sie segeln.</v>
      </c>
    </row>
    <row r="27219">
      <c r="A27219" s="4" t="s">
        <v>34265</v>
      </c>
      <c r="B27219" s="4" t="s">
        <v>34266</v>
      </c>
      <c r="C27219" s="5" t="str">
        <f>IFERROR(__xludf.DUMMYFUNCTION("GOOGLETRANSLATE(B27219,""en"",""de"")"),"Ein Mann schließt seine Haustür und öffnete dann seine Autotür.")</f>
        <v>Ein Mann schließt seine Haustür und öffnete dann seine Autotür.</v>
      </c>
    </row>
    <row r="27220">
      <c r="A27220" s="4" t="s">
        <v>34265</v>
      </c>
      <c r="B27220" s="4" t="s">
        <v>34267</v>
      </c>
      <c r="C27220" s="5" t="str">
        <f>IFERROR(__xludf.DUMMYFUNCTION("GOOGLETRANSLATE(B27220,""en"",""de"")"),"Er steigt ins Auto und steckt die Schlüssel in die Zündung und fährt die Autobahn zu seinem Laden hinunter.")</f>
        <v>Er steigt ins Auto und steckt die Schlüssel in die Zündung und fährt die Autobahn zu seinem Laden hinunter.</v>
      </c>
    </row>
    <row r="27221">
      <c r="A27221" s="4" t="s">
        <v>34265</v>
      </c>
      <c r="B27221" s="4" t="s">
        <v>34268</v>
      </c>
      <c r="C27221" s="5" t="str">
        <f>IFERROR(__xludf.DUMMYFUNCTION("GOOGLETRANSLATE(B27221,""en"",""de"")"),"Er bekommt ein paar Bretter und beginnt sie zu schleifen, sie zu glätten.")</f>
        <v>Er bekommt ein paar Bretter und beginnt sie zu schleifen, sie zu glätten.</v>
      </c>
    </row>
    <row r="27222">
      <c r="A27222" s="4" t="s">
        <v>34265</v>
      </c>
      <c r="B27222" s="4" t="s">
        <v>34269</v>
      </c>
      <c r="C27222" s="5" t="str">
        <f>IFERROR(__xludf.DUMMYFUNCTION("GOOGLETRANSLATE(B27222,""en"",""de"")"),"Wenn der Tag vorbei ist, schaltet er das Licht aus und macht sich auf die Arbeit vorbereitet.")</f>
        <v>Wenn der Tag vorbei ist, schaltet er das Licht aus und macht sich auf die Arbeit vorbereitet.</v>
      </c>
    </row>
    <row r="27223">
      <c r="A27223" s="4" t="s">
        <v>34270</v>
      </c>
      <c r="B27223" s="4" t="s">
        <v>34271</v>
      </c>
      <c r="C27223" s="5" t="str">
        <f>IFERROR(__xludf.DUMMYFUNCTION("GOOGLETRANSLATE(B27223,""en"",""de"")"),"Ein Mann steht auf Eis und hält eine Angelstange in der rechten Hand und es steckt ein sehr kleines Loch im Eis vor sich und er lässt seinen Haken in das Loch fallen und zieht an seiner Stange.")</f>
        <v>Ein Mann steht auf Eis und hält eine Angelstange in der rechten Hand und es steckt ein sehr kleines Loch im Eis vor sich und er lässt seinen Haken in das Loch fallen und zieht an seiner Stange.</v>
      </c>
    </row>
    <row r="27224">
      <c r="A27224" s="4" t="s">
        <v>34270</v>
      </c>
      <c r="B27224" s="4" t="s">
        <v>34272</v>
      </c>
      <c r="C27224" s="5" t="str">
        <f>IFERROR(__xludf.DUMMYFUNCTION("GOOGLETRANSLATE(B27224,""en"",""de"")"),"Der Mann zieht dann ein paar Mal den Fischerdraht an und steht da und hält seinen Fischereistangen, bewegt ihn von Zeit zu Zeit.")</f>
        <v>Der Mann zieht dann ein paar Mal den Fischerdraht an und steht da und hält seinen Fischereistangen, bewegt ihn von Zeit zu Zeit.</v>
      </c>
    </row>
    <row r="27225">
      <c r="A27225" s="4" t="s">
        <v>34270</v>
      </c>
      <c r="B27225" s="4" t="s">
        <v>34273</v>
      </c>
      <c r="C27225" s="5" t="str">
        <f>IFERROR(__xludf.DUMMYFUNCTION("GOOGLETRANSLATE(B27225,""en"",""de"")"),"Das Ende der Stange beginnt sich zu beugen und der Mann zieht an der Stange und schlängelt sich und er zieht einen Fisch aus dem Loch und landet auf das Eis.")</f>
        <v>Das Ende der Stange beginnt sich zu beugen und der Mann zieht an der Stange und schlängelt sich und er zieht einen Fisch aus dem Loch und landet auf das Eis.</v>
      </c>
    </row>
    <row r="27226">
      <c r="A27226" s="4" t="s">
        <v>34270</v>
      </c>
      <c r="B27226" s="4" t="s">
        <v>34274</v>
      </c>
      <c r="C27226" s="5" t="str">
        <f>IFERROR(__xludf.DUMMYFUNCTION("GOOGLETRANSLATE(B27226,""en"",""de"")"),"Der Mann schnappt sich den Fisch aus dem Eis und legt ihn direkt in das Loch zurück, von dem er gerade herausgezogen hat, während er noch am Haken und seinem Draht befestigt ist.")</f>
        <v>Der Mann schnappt sich den Fisch aus dem Eis und legt ihn direkt in das Loch zurück, von dem er gerade herausgezogen hat, während er noch am Haken und seinem Draht befestigt ist.</v>
      </c>
    </row>
    <row r="27227">
      <c r="A27227" s="4" t="s">
        <v>34270</v>
      </c>
      <c r="B27227" s="4" t="s">
        <v>34275</v>
      </c>
      <c r="C27227" s="5" t="str">
        <f>IFERROR(__xludf.DUMMYFUNCTION("GOOGLETRANSLATE(B27227,""en"",""de"")"),"Der Mann zieht dann an dem Fischereidraht, zieht seine Stange ein paar Mal hoch und runter und passt dann die Kamera ein.")</f>
        <v>Der Mann zieht dann an dem Fischereidraht, zieht seine Stange ein paar Mal hoch und runter und passt dann die Kamera ein.</v>
      </c>
    </row>
    <row r="27228">
      <c r="A27228" s="4" t="s">
        <v>34276</v>
      </c>
      <c r="B27228" s="4" t="s">
        <v>34277</v>
      </c>
      <c r="C27228" s="5" t="str">
        <f>IFERROR(__xludf.DUMMYFUNCTION("GOOGLETRANSLATE(B27228,""en"",""de"")"),"Der Fliesenbildschirm wird mit einigen Namen angezeigt.")</f>
        <v>Der Fliesenbildschirm wird mit einigen Namen angezeigt.</v>
      </c>
    </row>
    <row r="27229">
      <c r="A27229" s="4" t="s">
        <v>34276</v>
      </c>
      <c r="B27229" s="4" t="s">
        <v>34278</v>
      </c>
      <c r="C27229" s="5" t="str">
        <f>IFERROR(__xludf.DUMMYFUNCTION("GOOGLETRANSLATE(B27229,""en"",""de"")"),"Ein Mann wirft ein Schussbecher mehrere verschiedene Zeiten, während Namen unten scrollen.")</f>
        <v>Ein Mann wirft ein Schussbecher mehrere verschiedene Zeiten, während Namen unten scrollen.</v>
      </c>
    </row>
    <row r="27230">
      <c r="A27230" s="4" t="s">
        <v>34276</v>
      </c>
      <c r="B27230" s="4" t="s">
        <v>34279</v>
      </c>
      <c r="C27230" s="5" t="str">
        <f>IFERROR(__xludf.DUMMYFUNCTION("GOOGLETRANSLATE(B27230,""en"",""de"")"),"Eine Gruppe ist hinter ihm zu sehen.")</f>
        <v>Eine Gruppe ist hinter ihm zu sehen.</v>
      </c>
    </row>
    <row r="27231">
      <c r="A27231" s="4" t="s">
        <v>34276</v>
      </c>
      <c r="B27231" s="4" t="s">
        <v>34280</v>
      </c>
      <c r="C27231" s="5" t="str">
        <f>IFERROR(__xludf.DUMMYFUNCTION("GOOGLETRANSLATE(B27231,""en"",""de"")"),"Ein Mann ist hinter dem letzten geworfen.")</f>
        <v>Ein Mann ist hinter dem letzten geworfen.</v>
      </c>
    </row>
    <row r="27232">
      <c r="A27232" s="4" t="s">
        <v>34281</v>
      </c>
      <c r="B27232" s="4" t="s">
        <v>34282</v>
      </c>
      <c r="C27232" s="5" t="str">
        <f>IFERROR(__xludf.DUMMYFUNCTION("GOOGLETRANSLATE(B27232,""en"",""de"")"),"Wörter erscheinen auf dem Bildschirm, bevor es schwarz wird.")</f>
        <v>Wörter erscheinen auf dem Bildschirm, bevor es schwarz wird.</v>
      </c>
    </row>
    <row r="27233">
      <c r="A27233" s="4" t="s">
        <v>34281</v>
      </c>
      <c r="B27233" s="4" t="s">
        <v>34283</v>
      </c>
      <c r="C27233" s="5" t="str">
        <f>IFERROR(__xludf.DUMMYFUNCTION("GOOGLETRANSLATE(B27233,""en"",""de"")"),"Ein Mann erscheint und verwendet Reekees, um ein Fenster vor sich zu waschen, während er spricht.")</f>
        <v>Ein Mann erscheint und verwendet Reekees, um ein Fenster vor sich zu waschen, während er spricht.</v>
      </c>
    </row>
    <row r="27234">
      <c r="A27234" s="4" t="s">
        <v>34281</v>
      </c>
      <c r="B27234" s="4" t="s">
        <v>34284</v>
      </c>
      <c r="C27234" s="5" t="str">
        <f>IFERROR(__xludf.DUMMYFUNCTION("GOOGLETRANSLATE(B27234,""en"",""de"")"),"Er wendet Seife großzügig an, bevor er sie mit dem Rechen abschließt.")</f>
        <v>Er wendet Seife großzügig an, bevor er sie mit dem Rechen abschließt.</v>
      </c>
    </row>
    <row r="27235">
      <c r="A27235" s="4" t="s">
        <v>34281</v>
      </c>
      <c r="B27235" s="4" t="s">
        <v>34285</v>
      </c>
      <c r="C27235" s="5" t="str">
        <f>IFERROR(__xludf.DUMMYFUNCTION("GOOGLETRANSLATE(B27235,""en"",""de"")"),"Er hört auf, das Fenster zu reinigen, und sagt zum Schließen ein paar Worte.")</f>
        <v>Er hört auf, das Fenster zu reinigen, und sagt zum Schließen ein paar Worte.</v>
      </c>
    </row>
    <row r="27236">
      <c r="A27236" s="4" t="s">
        <v>34286</v>
      </c>
      <c r="B27236" s="4" t="s">
        <v>34287</v>
      </c>
      <c r="C27236" s="5" t="str">
        <f>IFERROR(__xludf.DUMMYFUNCTION("GOOGLETRANSLATE(B27236,""en"",""de"")"),"Ein Athlet geht zu einem Strahl.")</f>
        <v>Ein Athlet geht zu einem Strahl.</v>
      </c>
    </row>
    <row r="27237">
      <c r="A27237" s="4" t="s">
        <v>34286</v>
      </c>
      <c r="B27237" s="4" t="s">
        <v>34288</v>
      </c>
      <c r="C27237" s="5" t="str">
        <f>IFERROR(__xludf.DUMMYFUNCTION("GOOGLETRANSLATE(B27237,""en"",""de"")"),"Er montiert schnell, dreht sich und dreht es um und springt mehrmals zwischen den beiden Balken.")</f>
        <v>Er montiert schnell, dreht sich und dreht es um und springt mehrmals zwischen den beiden Balken.</v>
      </c>
    </row>
    <row r="27238">
      <c r="A27238" s="4" t="s">
        <v>34286</v>
      </c>
      <c r="B27238" s="4" t="s">
        <v>34289</v>
      </c>
      <c r="C27238" s="5" t="str">
        <f>IFERROR(__xludf.DUMMYFUNCTION("GOOGLETRANSLATE(B27238,""en"",""de"")"),"Er steigt schließlich ab und wirft seine Arme in die Luft, bevor er weggeht.")</f>
        <v>Er steigt schließlich ab und wirft seine Arme in die Luft, bevor er weggeht.</v>
      </c>
    </row>
    <row r="27239">
      <c r="A27239" s="4" t="s">
        <v>34290</v>
      </c>
      <c r="B27239" s="4" t="s">
        <v>34291</v>
      </c>
      <c r="C27239" s="5" t="str">
        <f>IFERROR(__xludf.DUMMYFUNCTION("GOOGLETRANSLATE(B27239,""en"",""de"")"),"Ein Mann macht Tätowierungen auf dem Hinterkopf und Hals einer Person.")</f>
        <v>Ein Mann macht Tätowierungen auf dem Hinterkopf und Hals einer Person.</v>
      </c>
    </row>
    <row r="27240">
      <c r="A27240" s="4" t="s">
        <v>34290</v>
      </c>
      <c r="B27240" s="4" t="s">
        <v>34292</v>
      </c>
      <c r="C27240" s="5" t="str">
        <f>IFERROR(__xludf.DUMMYFUNCTION("GOOGLETRANSLATE(B27240,""en"",""de"")"),"Dann reinigt der Mann Kopf und Hals mit einem weißen Gewebe.")</f>
        <v>Dann reinigt der Mann Kopf und Hals mit einem weißen Gewebe.</v>
      </c>
    </row>
    <row r="27241">
      <c r="A27241" s="4" t="s">
        <v>34290</v>
      </c>
      <c r="B27241" s="4" t="s">
        <v>34293</v>
      </c>
      <c r="C27241" s="5" t="str">
        <f>IFERROR(__xludf.DUMMYFUNCTION("GOOGLETRANSLATE(B27241,""en"",""de"")"),"Danach macht der Mann das Tattoo weiterhin auf der Seite des Kopfes, während er die Farbe reinigt.")</f>
        <v>Danach macht der Mann das Tattoo weiterhin auf der Seite des Kopfes, während er die Farbe reinigt.</v>
      </c>
    </row>
    <row r="27242">
      <c r="A27242" s="4" t="s">
        <v>34294</v>
      </c>
      <c r="B27242" s="4" t="s">
        <v>34295</v>
      </c>
      <c r="C27242" s="5" t="str">
        <f>IFERROR(__xludf.DUMMYFUNCTION("GOOGLETRANSLATE(B27242,""en"",""de"")"),"Eine Frau in einem schwarzen Trikot spricht auf einer Bühne.")</f>
        <v>Eine Frau in einem schwarzen Trikot spricht auf einer Bühne.</v>
      </c>
    </row>
    <row r="27243">
      <c r="A27243" s="4" t="s">
        <v>34294</v>
      </c>
      <c r="B27243" s="4" t="s">
        <v>34296</v>
      </c>
      <c r="C27243" s="5" t="str">
        <f>IFERROR(__xludf.DUMMYFUNCTION("GOOGLETRANSLATE(B27243,""en"",""de"")"),"Sie beginnt für die Kamera zu tanzen.")</f>
        <v>Sie beginnt für die Kamera zu tanzen.</v>
      </c>
    </row>
    <row r="27244">
      <c r="A27244" s="4" t="s">
        <v>34294</v>
      </c>
      <c r="B27244" s="4" t="s">
        <v>34297</v>
      </c>
      <c r="C27244" s="5" t="str">
        <f>IFERROR(__xludf.DUMMYFUNCTION("GOOGLETRANSLATE(B27244,""en"",""de"")"),"Sie zeigt mehrere Tanzbewegungen, wie sie sie tut.")</f>
        <v>Sie zeigt mehrere Tanzbewegungen, wie sie sie tut.</v>
      </c>
    </row>
    <row r="27245">
      <c r="A27245" s="4" t="s">
        <v>34298</v>
      </c>
      <c r="B27245" s="4" t="s">
        <v>34299</v>
      </c>
      <c r="C27245" s="5" t="str">
        <f>IFERROR(__xludf.DUMMYFUNCTION("GOOGLETRANSLATE(B27245,""en"",""de"")"),"Zwei Leute spielen ein Lacrosse -Spiel.")</f>
        <v>Zwei Leute spielen ein Lacrosse -Spiel.</v>
      </c>
    </row>
    <row r="27246">
      <c r="A27246" s="4" t="s">
        <v>34298</v>
      </c>
      <c r="B27246" s="4" t="s">
        <v>34300</v>
      </c>
      <c r="C27246" s="5" t="str">
        <f>IFERROR(__xludf.DUMMYFUNCTION("GOOGLETRANSLATE(B27246,""en"",""de"")"),"Sie schießen auf das Tor und machen den Punkt.")</f>
        <v>Sie schießen auf das Tor und machen den Punkt.</v>
      </c>
    </row>
    <row r="27247">
      <c r="A27247" s="4" t="s">
        <v>34301</v>
      </c>
      <c r="B27247" s="4" t="s">
        <v>34302</v>
      </c>
      <c r="C27247" s="5" t="str">
        <f>IFERROR(__xludf.DUMMYFUNCTION("GOOGLETRANSLATE(B27247,""en"",""de"")"),"Ein kleines Mädchen in einem Raum vor einigen Stühlen trifft auf eine Dora Pinata.")</f>
        <v>Ein kleines Mädchen in einem Raum vor einigen Stühlen trifft auf eine Dora Pinata.</v>
      </c>
    </row>
    <row r="27248">
      <c r="A27248" s="4" t="s">
        <v>34301</v>
      </c>
      <c r="B27248" s="4" t="s">
        <v>34303</v>
      </c>
      <c r="C27248" s="5" t="str">
        <f>IFERROR(__xludf.DUMMYFUNCTION("GOOGLETRANSLATE(B27248,""en"",""de"")"),"Sie trifft es ein paar Mal und dann ist es an der Reihe eines anderen.")</f>
        <v>Sie trifft es ein paar Mal und dann ist es an der Reihe eines anderen.</v>
      </c>
    </row>
    <row r="27249">
      <c r="A27249" s="4" t="s">
        <v>34301</v>
      </c>
      <c r="B27249" s="4" t="s">
        <v>34304</v>
      </c>
      <c r="C27249" s="5" t="str">
        <f>IFERROR(__xludf.DUMMYFUNCTION("GOOGLETRANSLATE(B27249,""en"",""de"")"),"Ein älteres Mädchen trifft es so schwer, dass es nicht bricht, aber die ganze Pinata fällt nieder und die Erwachsenen müssen es wieder aufstellen.")</f>
        <v>Ein älteres Mädchen trifft es so schwer, dass es nicht bricht, aber die ganze Pinata fällt nieder und die Erwachsenen müssen es wieder aufstellen.</v>
      </c>
    </row>
    <row r="27250">
      <c r="A27250" s="4" t="s">
        <v>34301</v>
      </c>
      <c r="B27250" s="4" t="s">
        <v>34305</v>
      </c>
      <c r="C27250" s="5" t="str">
        <f>IFERROR(__xludf.DUMMYFUNCTION("GOOGLETRANSLATE(B27250,""en"",""de"")"),"Nachdem alle ihre Tun genommen haben, kann das kleine Mädchen wieder gehen, wenn das Schlagen nicht funktioniert, schnappen sie sich alle ein Stück Schnur und ziehen es.")</f>
        <v>Nachdem alle ihre Tun genommen haben, kann das kleine Mädchen wieder gehen, wenn das Schlagen nicht funktioniert, schnappen sie sich alle ein Stück Schnur und ziehen es.</v>
      </c>
    </row>
    <row r="27251">
      <c r="A27251" s="4" t="s">
        <v>34306</v>
      </c>
      <c r="B27251" s="4" t="s">
        <v>34307</v>
      </c>
      <c r="C27251" s="5" t="str">
        <f>IFERROR(__xludf.DUMMYFUNCTION("GOOGLETRANSLATE(B27251,""en"",""de"")"),"Die Menschen befinden sich in einem Gericht, das sich dehnt und Sport treibt, das Seil und das Gewichtheben springt.")</f>
        <v>Die Menschen befinden sich in einem Gericht, das sich dehnt und Sport treibt, das Seil und das Gewichtheben springt.</v>
      </c>
    </row>
    <row r="27252">
      <c r="A27252" s="4" t="s">
        <v>34306</v>
      </c>
      <c r="B27252" s="4" t="s">
        <v>34308</v>
      </c>
      <c r="C27252" s="5" t="str">
        <f>IFERROR(__xludf.DUMMYFUNCTION("GOOGLETRANSLATE(B27252,""en"",""de"")"),"Der Mensch spricht mit der Kamera und die Leute, die Capoeira praktizieren, Selbstmorde machen und Gewichtheben trainieren.")</f>
        <v>Der Mensch spricht mit der Kamera und die Leute, die Capoeira praktizieren, Selbstmorde machen und Gewichtheben trainieren.</v>
      </c>
    </row>
    <row r="27253">
      <c r="A27253" s="4" t="s">
        <v>34309</v>
      </c>
      <c r="B27253" s="4" t="s">
        <v>34310</v>
      </c>
      <c r="C27253" s="5" t="str">
        <f>IFERROR(__xludf.DUMMYFUNCTION("GOOGLETRANSLATE(B27253,""en"",""de"")"),"Ein Mann und eine Frau Anker sprechen hinter einem Schreibtisch und mehreren Fernsehen.")</f>
        <v>Ein Mann und eine Frau Anker sprechen hinter einem Schreibtisch und mehreren Fernsehen.</v>
      </c>
    </row>
    <row r="27254">
      <c r="A27254" s="4" t="s">
        <v>34309</v>
      </c>
      <c r="B27254" s="4" t="s">
        <v>34311</v>
      </c>
      <c r="C27254" s="5" t="str">
        <f>IFERROR(__xludf.DUMMYFUNCTION("GOOGLETRANSLATE(B27254,""en"",""de"")"),"Die Frau wird dann allein gezeigt und sie beginnt zu reden.")</f>
        <v>Die Frau wird dann allein gezeigt und sie beginnt zu reden.</v>
      </c>
    </row>
    <row r="27255">
      <c r="A27255" s="4" t="s">
        <v>34309</v>
      </c>
      <c r="B27255" s="4" t="s">
        <v>34312</v>
      </c>
      <c r="C27255" s="5" t="str">
        <f>IFERROR(__xludf.DUMMYFUNCTION("GOOGLETRANSLATE(B27255,""en"",""de"")"),"Dann erscheint eine Eisbahn und eine Frau beginnt einen Mann über bestimmte Techniken für ein Spiel zu trainieren.")</f>
        <v>Dann erscheint eine Eisbahn und eine Frau beginnt einen Mann über bestimmte Techniken für ein Spiel zu trainieren.</v>
      </c>
    </row>
    <row r="27256">
      <c r="A27256" s="4" t="s">
        <v>34309</v>
      </c>
      <c r="B27256" s="4" t="s">
        <v>34313</v>
      </c>
      <c r="C27256" s="5" t="str">
        <f>IFERROR(__xludf.DUMMYFUNCTION("GOOGLETRANSLATE(B27256,""en"",""de"")"),"Sie hat ein kurzes Interview und trainiert weiterhin Leute bei Curling.")</f>
        <v>Sie hat ein kurzes Interview und trainiert weiterhin Leute bei Curling.</v>
      </c>
    </row>
    <row r="27257">
      <c r="A27257" s="4" t="s">
        <v>34309</v>
      </c>
      <c r="B27257" s="4" t="s">
        <v>34314</v>
      </c>
      <c r="C27257" s="5" t="str">
        <f>IFERROR(__xludf.DUMMYFUNCTION("GOOGLETRANSLATE(B27257,""en"",""de"")"),"Mehr Menschen sind im Fitnessstudio und sie werden fortgesetzt und mehr Ausbilder beginnen Interviews.")</f>
        <v>Mehr Menschen sind im Fitnessstudio und sie werden fortgesetzt und mehr Ausbilder beginnen Interviews.</v>
      </c>
    </row>
    <row r="27258">
      <c r="A27258" s="4" t="s">
        <v>34309</v>
      </c>
      <c r="B27258" s="4" t="s">
        <v>34315</v>
      </c>
      <c r="C27258" s="5" t="str">
        <f>IFERROR(__xludf.DUMMYFUNCTION("GOOGLETRANSLATE(B27258,""en"",""de"")"),"Clips stammen aus einem echten Lockenspiel und die Leute beginnen an der Wand zu warten.")</f>
        <v>Clips stammen aus einem echten Lockenspiel und die Leute beginnen an der Wand zu warten.</v>
      </c>
    </row>
    <row r="27259">
      <c r="A27259" s="4" t="s">
        <v>34316</v>
      </c>
      <c r="B27259" s="4" t="s">
        <v>34317</v>
      </c>
      <c r="C27259" s="5" t="str">
        <f>IFERROR(__xludf.DUMMYFUNCTION("GOOGLETRANSLATE(B27259,""en"",""de"")"),"Es gibt ein Feld mit einem Drachen, der darin liegt.")</f>
        <v>Es gibt ein Feld mit einem Drachen, der darin liegt.</v>
      </c>
    </row>
    <row r="27260">
      <c r="A27260" s="4" t="s">
        <v>34316</v>
      </c>
      <c r="B27260" s="4" t="s">
        <v>34318</v>
      </c>
      <c r="C27260" s="5" t="str">
        <f>IFERROR(__xludf.DUMMYFUNCTION("GOOGLETRANSLATE(B27260,""en"",""de"")"),"Ein Mann bereitet sich darauf vor, den Drachen zu fliegen.")</f>
        <v>Ein Mann bereitet sich darauf vor, den Drachen zu fliegen.</v>
      </c>
    </row>
    <row r="27261">
      <c r="A27261" s="4" t="s">
        <v>34316</v>
      </c>
      <c r="B27261" s="4" t="s">
        <v>34319</v>
      </c>
      <c r="C27261" s="5" t="str">
        <f>IFERROR(__xludf.DUMMYFUNCTION("GOOGLETRANSLATE(B27261,""en"",""de"")"),"Der Drachen bekommt in der Luft und steigt.")</f>
        <v>Der Drachen bekommt in der Luft und steigt.</v>
      </c>
    </row>
    <row r="27262">
      <c r="A27262" s="4" t="s">
        <v>34320</v>
      </c>
      <c r="B27262" s="4" t="s">
        <v>34321</v>
      </c>
      <c r="C27262" s="5" t="str">
        <f>IFERROR(__xludf.DUMMYFUNCTION("GOOGLETRANSLATE(B27262,""en"",""de"")"),"Ein Mann, der eine sehr große Brille trägt, spricht in ein schwarzes Mikrofon, während die Leute hinter ihm tanzen, bis er in ihre Richtung zeigt und sie alle die Tanzfläche abstreuen.")</f>
        <v>Ein Mann, der eine sehr große Brille trägt, spricht in ein schwarzes Mikrofon, während die Leute hinter ihm tanzen, bis er in ihre Richtung zeigt und sie alle die Tanzfläche abstreuen.</v>
      </c>
    </row>
    <row r="27263">
      <c r="A27263" s="4" t="s">
        <v>34320</v>
      </c>
      <c r="B27263" s="4" t="s">
        <v>34322</v>
      </c>
      <c r="C27263" s="5" t="str">
        <f>IFERROR(__xludf.DUMMYFUNCTION("GOOGLETRANSLATE(B27263,""en"",""de"")"),"Männer sind in roten Anzügen gekleidet und jeder wechselt sich ab, wenn Wörter auf dem Bildschirm möglicherweise den Tänzer benennen.")</f>
        <v>Männer sind in roten Anzügen gekleidet und jeder wechselt sich ab, wenn Wörter auf dem Bildschirm möglicherweise den Tänzer benennen.</v>
      </c>
    </row>
    <row r="27264">
      <c r="A27264" s="4" t="s">
        <v>34320</v>
      </c>
      <c r="B27264" s="4" t="s">
        <v>34323</v>
      </c>
      <c r="C27264" s="5" t="str">
        <f>IFERROR(__xludf.DUMMYFUNCTION("GOOGLETRANSLATE(B27264,""en"",""de"")"),"Wenn der letzte Mann tanzt, stehen sie alle an und schlagen eine Pose und einen DJ, der die ganze Zeit gespielt hat, weiterhin Musik in seinem DJ -Sender.")</f>
        <v>Wenn der letzte Mann tanzt, stehen sie alle an und schlagen eine Pose und einen DJ, der die ganze Zeit gespielt hat, weiterhin Musik in seinem DJ -Sender.</v>
      </c>
    </row>
    <row r="27265">
      <c r="A27265" s="4" t="s">
        <v>34324</v>
      </c>
      <c r="B27265" s="4" t="s">
        <v>34325</v>
      </c>
      <c r="C27265" s="5" t="str">
        <f>IFERROR(__xludf.DUMMYFUNCTION("GOOGLETRANSLATE(B27265,""en"",""de"")"),"Eine Frau und ein Mann spielen Armringen.")</f>
        <v>Eine Frau und ein Mann spielen Armringen.</v>
      </c>
    </row>
    <row r="27266">
      <c r="A27266" s="4" t="s">
        <v>34324</v>
      </c>
      <c r="B27266" s="4" t="s">
        <v>34326</v>
      </c>
      <c r="C27266" s="5" t="str">
        <f>IFERROR(__xludf.DUMMYFUNCTION("GOOGLETRANSLATE(B27266,""en"",""de"")"),"Der Mann hebt seine T-Shirt-Ärmel bis zur Schulter.")</f>
        <v>Der Mann hebt seine T-Shirt-Ärmel bis zur Schulter.</v>
      </c>
    </row>
    <row r="27267">
      <c r="A27267" s="4" t="s">
        <v>34324</v>
      </c>
      <c r="B27267" s="4" t="s">
        <v>34327</v>
      </c>
      <c r="C27267" s="5" t="str">
        <f>IFERROR(__xludf.DUMMYFUNCTION("GOOGLETRANSLATE(B27267,""en"",""de"")"),"Ein Mann betritt einen Raum hinter den Wrestlern.")</f>
        <v>Ein Mann betritt einen Raum hinter den Wrestlern.</v>
      </c>
    </row>
    <row r="27268">
      <c r="A27268" s="4" t="s">
        <v>34324</v>
      </c>
      <c r="B27268" s="4" t="s">
        <v>34328</v>
      </c>
      <c r="C27268" s="5" t="str">
        <f>IFERROR(__xludf.DUMMYFUNCTION("GOOGLETRANSLATE(B27268,""en"",""de"")"),"Der Mann biegt den Arm der Frau, aber die Frau hindeutet ihren Arm und beugt den Arm des Mannes und gewinnt.")</f>
        <v>Der Mann biegt den Arm der Frau, aber die Frau hindeutet ihren Arm und beugt den Arm des Mannes und gewinnt.</v>
      </c>
    </row>
    <row r="27269">
      <c r="A27269" s="4" t="s">
        <v>34329</v>
      </c>
      <c r="B27269" s="4" t="s">
        <v>34330</v>
      </c>
      <c r="C27269" s="5" t="str">
        <f>IFERROR(__xludf.DUMMYFUNCTION("GOOGLETRANSLATE(B27269,""en"",""de"")"),"Ein Mann dreht sich im Winter tote Zweige aus der Obstlagerpflanze.")</f>
        <v>Ein Mann dreht sich im Winter tote Zweige aus der Obstlagerpflanze.</v>
      </c>
    </row>
    <row r="27270">
      <c r="A27270" s="4" t="s">
        <v>34329</v>
      </c>
      <c r="B27270" s="4" t="s">
        <v>34331</v>
      </c>
      <c r="C27270" s="5" t="str">
        <f>IFERROR(__xludf.DUMMYFUNCTION("GOOGLETRANSLATE(B27270,""en"",""de"")"),"Ein Mann in einem Feld aus Schmutz und Obstkulturen mit nackten Zweigen aus dem Winter beginnt tote Zweige aus den Obstpflanzen mit einem Schnittwerkzeug und einem Beil.")</f>
        <v>Ein Mann in einem Feld aus Schmutz und Obstkulturen mit nackten Zweigen aus dem Winter beginnt tote Zweige aus den Obstpflanzen mit einem Schnittwerkzeug und einem Beil.</v>
      </c>
    </row>
    <row r="27271">
      <c r="A27271" s="4" t="s">
        <v>34329</v>
      </c>
      <c r="B27271" s="4" t="s">
        <v>34332</v>
      </c>
      <c r="C27271" s="5" t="str">
        <f>IFERROR(__xludf.DUMMYFUNCTION("GOOGLETRANSLATE(B27271,""en"",""de"")"),"Ein Bild der Pflanzen in den Monaten der Fruchtlager erscheint, bevor er zum Mann auf dem Feld zurückkehrt und die toten Zweige beschnitten.")</f>
        <v>Ein Bild der Pflanzen in den Monaten der Fruchtlager erscheint, bevor er zum Mann auf dem Feld zurückkehrt und die toten Zweige beschnitten.</v>
      </c>
    </row>
    <row r="27272">
      <c r="A27272" s="4" t="s">
        <v>34333</v>
      </c>
      <c r="B27272" s="4" t="s">
        <v>34334</v>
      </c>
      <c r="C27272" s="5" t="str">
        <f>IFERROR(__xludf.DUMMYFUNCTION("GOOGLETRANSLATE(B27272,""en"",""de"")"),"Es wird gezeigt, dass eine Person einen Tauchgang eines Bretts durchführt, während ein paar Leute am Rande zuschauen und klatschen.")</f>
        <v>Es wird gezeigt, dass eine Person einen Tauchgang eines Bretts durchführt, während ein paar Leute am Rande zuschauen und klatschen.</v>
      </c>
    </row>
    <row r="27273">
      <c r="A27273" s="4" t="s">
        <v>34333</v>
      </c>
      <c r="B27273" s="4" t="s">
        <v>34335</v>
      </c>
      <c r="C27273" s="5" t="str">
        <f>IFERROR(__xludf.DUMMYFUNCTION("GOOGLETRANSLATE(B27273,""en"",""de"")"),"Die Person führt mehrere weitere Tricks aus dem hohen Tauchgang durch, während mehr Menschen an den Seiten zuschauen.")</f>
        <v>Die Person führt mehrere weitere Tricks aus dem hohen Tauchgang durch, während mehr Menschen an den Seiten zuschauen.</v>
      </c>
    </row>
    <row r="27274">
      <c r="A27274" s="4" t="s">
        <v>34336</v>
      </c>
      <c r="B27274" s="4" t="s">
        <v>34337</v>
      </c>
      <c r="C27274" s="5" t="str">
        <f>IFERROR(__xludf.DUMMYFUNCTION("GOOGLETRANSLATE(B27274,""en"",""de"")"),"Kinder fährt Stoßstangenautos in einem Karneval.")</f>
        <v>Kinder fährt Stoßstangenautos in einem Karneval.</v>
      </c>
    </row>
    <row r="27275">
      <c r="A27275" s="4" t="s">
        <v>34336</v>
      </c>
      <c r="B27275" s="4" t="s">
        <v>34338</v>
      </c>
      <c r="C27275" s="5" t="str">
        <f>IFERROR(__xludf.DUMMYFUNCTION("GOOGLETRANSLATE(B27275,""en"",""de"")"),"Ein kleines Mädchen stößt an der Wand und bleibt mit anderen Autos stecken, dann wird das Mädchen frei und reitet weiter.")</f>
        <v>Ein kleines Mädchen stößt an der Wand und bleibt mit anderen Autos stecken, dann wird das Mädchen frei und reitet weiter.</v>
      </c>
    </row>
    <row r="27276">
      <c r="A27276" s="4" t="s">
        <v>34336</v>
      </c>
      <c r="B27276" s="4" t="s">
        <v>34339</v>
      </c>
      <c r="C27276" s="5" t="str">
        <f>IFERROR(__xludf.DUMMYFUNCTION("GOOGLETRANSLATE(B27276,""en"",""de"")"),"Das kleine Mädchen bleibt mit anderen Kindern stecken, dann wird sie frei und fährt dann das Stoßfängerauto.")</f>
        <v>Das kleine Mädchen bleibt mit anderen Kindern stecken, dann wird sie frei und fährt dann das Stoßfängerauto.</v>
      </c>
    </row>
    <row r="27277">
      <c r="A27277" s="4" t="s">
        <v>34340</v>
      </c>
      <c r="B27277" s="4" t="s">
        <v>34341</v>
      </c>
      <c r="C27277" s="5" t="str">
        <f>IFERROR(__xludf.DUMMYFUNCTION("GOOGLETRANSLATE(B27277,""en"",""de"")"),"Eine Person zeigt, wie man eine Mini -Fleisch- und Käse -Sandwichplatte mit Beilage herstellt.")</f>
        <v>Eine Person zeigt, wie man eine Mini -Fleisch- und Käse -Sandwichplatte mit Beilage herstellt.</v>
      </c>
    </row>
    <row r="27278">
      <c r="A27278" s="4" t="s">
        <v>34340</v>
      </c>
      <c r="B27278" s="4" t="s">
        <v>34342</v>
      </c>
      <c r="C27278" s="5" t="str">
        <f>IFERROR(__xludf.DUMMYFUNCTION("GOOGLETRANSLATE(B27278,""en"",""de"")"),"Eine große Platte von vorbereiteten Sandwiches.")</f>
        <v>Eine große Platte von vorbereiteten Sandwiches.</v>
      </c>
    </row>
    <row r="27279">
      <c r="A27279" s="4" t="s">
        <v>34340</v>
      </c>
      <c r="B27279" s="4" t="s">
        <v>34343</v>
      </c>
      <c r="C27279" s="5" t="str">
        <f>IFERROR(__xludf.DUMMYFUNCTION("GOOGLETRANSLATE(B27279,""en"",""de"")"),"Die Hände von Personen werfen verschiedene Sandwich -Zutaten in einen Einkaufswagen in einem Lebensmittelgeschäft, die Zutaten umfassen Brötchen und Mittagsfleisch.")</f>
        <v>Die Hände von Personen werfen verschiedene Sandwich -Zutaten in einen Einkaufswagen in einem Lebensmittelgeschäft, die Zutaten umfassen Brötchen und Mittagsfleisch.</v>
      </c>
    </row>
    <row r="27280">
      <c r="A27280" s="4" t="s">
        <v>34340</v>
      </c>
      <c r="B27280" s="4" t="s">
        <v>34344</v>
      </c>
      <c r="C27280" s="5" t="str">
        <f>IFERROR(__xludf.DUMMYFUNCTION("GOOGLETRANSLATE(B27280,""en"",""de"")"),"Eine Person wird dann gesehen, wie ein Sandwich aus Käse und Fleisch auf Weißbrotbrötchen mit Salat auf einer Theke zusammengestellt wird.")</f>
        <v>Eine Person wird dann gesehen, wie ein Sandwich aus Käse und Fleisch auf Weißbrotbrötchen mit Salat auf einer Theke zusammengestellt wird.</v>
      </c>
    </row>
    <row r="27281">
      <c r="A27281" s="4" t="s">
        <v>34340</v>
      </c>
      <c r="B27281" s="4" t="s">
        <v>34345</v>
      </c>
      <c r="C27281" s="5" t="str">
        <f>IFERROR(__xludf.DUMMYFUNCTION("GOOGLETRANSLATE(B27281,""en"",""de"")"),"Die Person schneidet die Rollen auseinander, um einzelne Sandwiches herzustellen, und fügt dann Zahnstocher und Erdbeeren zusammen mit Salatgarnitur zur Platte hinzu, auf die sich die Kamera als fertiges Produkt konzentriert.")</f>
        <v>Die Person schneidet die Rollen auseinander, um einzelne Sandwiches herzustellen, und fügt dann Zahnstocher und Erdbeeren zusammen mit Salatgarnitur zur Platte hinzu, auf die sich die Kamera als fertiges Produkt konzentriert.</v>
      </c>
    </row>
    <row r="27282">
      <c r="A27282" s="4" t="s">
        <v>34346</v>
      </c>
      <c r="B27282" s="4" t="s">
        <v>34347</v>
      </c>
      <c r="C27282" s="5" t="str">
        <f>IFERROR(__xludf.DUMMYFUNCTION("GOOGLETRANSLATE(B27282,""en"",""de"")"),"Wir sehen ein Schild mit dem Namen eines Mannes.")</f>
        <v>Wir sehen ein Schild mit dem Namen eines Mannes.</v>
      </c>
    </row>
    <row r="27283">
      <c r="A27283" s="4" t="s">
        <v>34346</v>
      </c>
      <c r="B27283" s="4" t="s">
        <v>34348</v>
      </c>
      <c r="C27283" s="5" t="str">
        <f>IFERROR(__xludf.DUMMYFUNCTION("GOOGLETRANSLATE(B27283,""en"",""de"")"),"Wir sehen, wie ein Mann rennt und einen Weitsprung auf verschiedene Tracks machen, mit seinem Namen gelegentlich auf einem Schild.")</f>
        <v>Wir sehen, wie ein Mann rennt und einen Weitsprung auf verschiedene Tracks machen, mit seinem Namen gelegentlich auf einem Schild.</v>
      </c>
    </row>
    <row r="27284">
      <c r="A27284" s="4" t="s">
        <v>34346</v>
      </c>
      <c r="B27284" s="4" t="s">
        <v>34349</v>
      </c>
      <c r="C27284" s="5" t="str">
        <f>IFERROR(__xludf.DUMMYFUNCTION("GOOGLETRANSLATE(B27284,""en"",""de"")"),"Wir sehen den Mann auf einer blauen Strecke mit Anzeigenschildern.")</f>
        <v>Wir sehen den Mann auf einer blauen Strecke mit Anzeigenschildern.</v>
      </c>
    </row>
    <row r="27285">
      <c r="A27285" s="4" t="s">
        <v>34346</v>
      </c>
      <c r="B27285" s="4" t="s">
        <v>34350</v>
      </c>
      <c r="C27285" s="5" t="str">
        <f>IFERROR(__xludf.DUMMYFUNCTION("GOOGLETRANSLATE(B27285,""en"",""de"")"),"Der Mann fällt auf seine Landung.")</f>
        <v>Der Mann fällt auf seine Landung.</v>
      </c>
    </row>
    <row r="27286">
      <c r="A27286" s="4" t="s">
        <v>34346</v>
      </c>
      <c r="B27286" s="4" t="s">
        <v>34351</v>
      </c>
      <c r="C27286" s="5" t="str">
        <f>IFERROR(__xludf.DUMMYFUNCTION("GOOGLETRANSLATE(B27286,""en"",""de"")"),"Der Mann landet auf dem Rücken.")</f>
        <v>Der Mann landet auf dem Rücken.</v>
      </c>
    </row>
    <row r="27287">
      <c r="A27287" s="4" t="s">
        <v>34346</v>
      </c>
      <c r="B27287" s="4" t="s">
        <v>34352</v>
      </c>
      <c r="C27287" s="5" t="str">
        <f>IFERROR(__xludf.DUMMYFUNCTION("GOOGLETRANSLATE(B27287,""en"",""de"")"),"Der Bildschirm verblasst schwarz.")</f>
        <v>Der Bildschirm verblasst schwarz.</v>
      </c>
    </row>
    <row r="27288">
      <c r="A27288" s="4" t="s">
        <v>34353</v>
      </c>
      <c r="B27288" s="4" t="s">
        <v>34354</v>
      </c>
      <c r="C27288" s="5" t="str">
        <f>IFERROR(__xludf.DUMMYFUNCTION("GOOGLETRANSLATE(B27288,""en"",""de"")"),"Ein Mann sinkt unter Wasser in einem Pool.")</f>
        <v>Ein Mann sinkt unter Wasser in einem Pool.</v>
      </c>
    </row>
    <row r="27289">
      <c r="A27289" s="4" t="s">
        <v>34353</v>
      </c>
      <c r="B27289" s="4" t="s">
        <v>34355</v>
      </c>
      <c r="C27289" s="5" t="str">
        <f>IFERROR(__xludf.DUMMYFUNCTION("GOOGLETRANSLATE(B27289,""en"",""de"")"),"Der Mann sinkt unter Wasser in einem Pool rückwärts.")</f>
        <v>Der Mann sinkt unter Wasser in einem Pool rückwärts.</v>
      </c>
    </row>
    <row r="27290">
      <c r="A27290" s="4" t="s">
        <v>34353</v>
      </c>
      <c r="B27290" s="4" t="s">
        <v>34356</v>
      </c>
      <c r="C27290" s="5" t="str">
        <f>IFERROR(__xludf.DUMMYFUNCTION("GOOGLETRANSLATE(B27290,""en"",""de"")"),"Der Text wird auf einem schwarzen Bildschirm angezeigt.")</f>
        <v>Der Text wird auf einem schwarzen Bildschirm angezeigt.</v>
      </c>
    </row>
    <row r="27291">
      <c r="A27291" s="4" t="s">
        <v>34357</v>
      </c>
      <c r="B27291" s="4" t="s">
        <v>34358</v>
      </c>
      <c r="C27291" s="5" t="str">
        <f>IFERROR(__xludf.DUMMYFUNCTION("GOOGLETRANSLATE(B27291,""en"",""de"")"),"Frau sitzt auf einer Holzbank und spricht mit der Kamera.")</f>
        <v>Frau sitzt auf einer Holzbank und spricht mit der Kamera.</v>
      </c>
    </row>
    <row r="27292">
      <c r="A27292" s="4" t="s">
        <v>34357</v>
      </c>
      <c r="B27292" s="4" t="s">
        <v>34359</v>
      </c>
      <c r="C27292" s="5" t="str">
        <f>IFERROR(__xludf.DUMMYFUNCTION("GOOGLETRANSLATE(B27292,""en"",""de"")"),"Frau macht auf einem großen grünen Grasfeld Saltos.")</f>
        <v>Frau macht auf einem großen grünen Grasfeld Saltos.</v>
      </c>
    </row>
    <row r="27293">
      <c r="A27293" s="4" t="s">
        <v>34357</v>
      </c>
      <c r="B27293" s="4" t="s">
        <v>34360</v>
      </c>
      <c r="C27293" s="5" t="str">
        <f>IFERROR(__xludf.DUMMYFUNCTION("GOOGLETRANSLATE(B27293,""en"",""de"")"),"Frau macht einen Sprung und rutscht und fiel ins Gras.")</f>
        <v>Frau macht einen Sprung und rutscht und fiel ins Gras.</v>
      </c>
    </row>
    <row r="27294">
      <c r="A27294" s="4" t="s">
        <v>34361</v>
      </c>
      <c r="B27294" s="4" t="s">
        <v>34362</v>
      </c>
      <c r="C27294" s="5" t="str">
        <f>IFERROR(__xludf.DUMMYFUNCTION("GOOGLETRANSLATE(B27294,""en"",""de"")"),"Ein Video wird von Skateboardern in einem Skatepark im Freien gezeigt.")</f>
        <v>Ein Video wird von Skateboardern in einem Skatepark im Freien gezeigt.</v>
      </c>
    </row>
    <row r="27295">
      <c r="A27295" s="4" t="s">
        <v>34361</v>
      </c>
      <c r="B27295" s="4" t="s">
        <v>34363</v>
      </c>
      <c r="C27295" s="5" t="str">
        <f>IFERROR(__xludf.DUMMYFUNCTION("GOOGLETRANSLATE(B27295,""en"",""de"")"),"Interviews werden gezeigt und dann einige Rennen gezeigt.")</f>
        <v>Interviews werden gezeigt und dann einige Rennen gezeigt.</v>
      </c>
    </row>
    <row r="27296">
      <c r="A27296" s="4" t="s">
        <v>34364</v>
      </c>
      <c r="B27296" s="4" t="s">
        <v>34365</v>
      </c>
      <c r="C27296" s="5" t="str">
        <f>IFERROR(__xludf.DUMMYFUNCTION("GOOGLETRANSLATE(B27296,""en"",""de"")"),"Ein kleines Kind, das an einem Tisch sitzt, frisst Eis mit einem Löffel, während die Leute im Hintergrund vorbeigehen.")</f>
        <v>Ein kleines Kind, das an einem Tisch sitzt, frisst Eis mit einem Löffel, während die Leute im Hintergrund vorbeigehen.</v>
      </c>
    </row>
    <row r="27297">
      <c r="A27297" s="4" t="s">
        <v>34364</v>
      </c>
      <c r="B27297" s="4" t="s">
        <v>34366</v>
      </c>
      <c r="C27297" s="5" t="str">
        <f>IFERROR(__xludf.DUMMYFUNCTION("GOOGLETRANSLATE(B27297,""en"",""de"")"),"Ein Paar erwachsener Hände betritt kurz den Kamerahrahmen im Vordergrund.")</f>
        <v>Ein Paar erwachsener Hände betritt kurz den Kamerahrahmen im Vordergrund.</v>
      </c>
    </row>
    <row r="27298">
      <c r="A27298" s="4" t="s">
        <v>34364</v>
      </c>
      <c r="B27298" s="4" t="s">
        <v>34367</v>
      </c>
      <c r="C27298" s="5" t="str">
        <f>IFERROR(__xludf.DUMMYFUNCTION("GOOGLETRANSLATE(B27298,""en"",""de"")"),"Das Kind steckt ihren Löffel in ihren Eiscremesbehälter auf den Tisch.")</f>
        <v>Das Kind steckt ihren Löffel in ihren Eiscremesbehälter auf den Tisch.</v>
      </c>
    </row>
    <row r="27299">
      <c r="A27299" s="4" t="s">
        <v>34364</v>
      </c>
      <c r="B27299" s="4" t="s">
        <v>34368</v>
      </c>
      <c r="C27299" s="5" t="str">
        <f>IFERROR(__xludf.DUMMYFUNCTION("GOOGLETRANSLATE(B27299,""en"",""de"")"),"Das Kind beschwert sich über etwas.")</f>
        <v>Das Kind beschwert sich über etwas.</v>
      </c>
    </row>
    <row r="27300">
      <c r="A27300" s="4" t="s">
        <v>34364</v>
      </c>
      <c r="B27300" s="4" t="s">
        <v>34369</v>
      </c>
      <c r="C27300" s="5" t="str">
        <f>IFERROR(__xludf.DUMMYFUNCTION("GOOGLETRANSLATE(B27300,""en"",""de"")"),"Die Kamera zoomt auf dem Eis.")</f>
        <v>Die Kamera zoomt auf dem Eis.</v>
      </c>
    </row>
    <row r="27301">
      <c r="A27301" s="4" t="s">
        <v>34370</v>
      </c>
      <c r="B27301" s="4" t="s">
        <v>34371</v>
      </c>
      <c r="C27301" s="5" t="str">
        <f>IFERROR(__xludf.DUMMYFUNCTION("GOOGLETRANSLATE(B27301,""en"",""de"")"),"Eine Person steht auf einem Hof, das Stelzen an den Füßen trägt.")</f>
        <v>Eine Person steht auf einem Hof, das Stelzen an den Füßen trägt.</v>
      </c>
    </row>
    <row r="27302">
      <c r="A27302" s="4" t="s">
        <v>34370</v>
      </c>
      <c r="B27302" s="4" t="s">
        <v>34372</v>
      </c>
      <c r="C27302" s="5" t="str">
        <f>IFERROR(__xludf.DUMMYFUNCTION("GOOGLETRANSLATE(B27302,""en"",""de"")"),"Der Junge rennt dann auf den Stelzen den Platz hinunter.")</f>
        <v>Der Junge rennt dann auf den Stelzen den Platz hinunter.</v>
      </c>
    </row>
    <row r="27303">
      <c r="A27303" s="4" t="s">
        <v>34370</v>
      </c>
      <c r="B27303" s="4" t="s">
        <v>34373</v>
      </c>
      <c r="C27303" s="5" t="str">
        <f>IFERROR(__xludf.DUMMYFUNCTION("GOOGLETRANSLATE(B27303,""en"",""de"")"),"Der Junge taucht einen kleinen Ball in den Korb und geht zurück, um ihn zu greifen.")</f>
        <v>Der Junge taucht einen kleinen Ball in den Korb und geht zurück, um ihn zu greifen.</v>
      </c>
    </row>
    <row r="27304">
      <c r="A27304" s="4" t="s">
        <v>34374</v>
      </c>
      <c r="B27304" s="4" t="s">
        <v>34375</v>
      </c>
      <c r="C27304" s="5" t="str">
        <f>IFERROR(__xludf.DUMMYFUNCTION("GOOGLETRANSLATE(B27304,""en"",""de"")"),"Ein Mann wird in einer großen Schüssel mit Schokolade verwendet.")</f>
        <v>Ein Mann wird in einer großen Schüssel mit Schokolade verwendet.</v>
      </c>
    </row>
    <row r="27305">
      <c r="A27305" s="4" t="s">
        <v>34374</v>
      </c>
      <c r="B27305" s="4" t="s">
        <v>34376</v>
      </c>
      <c r="C27305" s="5" t="str">
        <f>IFERROR(__xludf.DUMMYFUNCTION("GOOGLETRANSLATE(B27305,""en"",""de"")"),"Eine andere Person gibt ihm einen Mixer über, aber der Mann benutzt den Bohrer in der Schüssel weiter.")</f>
        <v>Eine andere Person gibt ihm einen Mixer über, aber der Mann benutzt den Bohrer in der Schüssel weiter.</v>
      </c>
    </row>
    <row r="27306">
      <c r="A27306" s="4" t="s">
        <v>34377</v>
      </c>
      <c r="B27306" s="4" t="s">
        <v>34378</v>
      </c>
      <c r="C27306" s="5" t="str">
        <f>IFERROR(__xludf.DUMMYFUNCTION("GOOGLETRANSLATE(B27306,""en"",""de"")"),"Eine junge Frau steht in einem Hof ​​hinter einem Rasenmäher.")</f>
        <v>Eine junge Frau steht in einem Hof ​​hinter einem Rasenmäher.</v>
      </c>
    </row>
    <row r="27307">
      <c r="A27307" s="4" t="s">
        <v>34377</v>
      </c>
      <c r="B27307" s="4" t="s">
        <v>34379</v>
      </c>
      <c r="C27307" s="5" t="str">
        <f>IFERROR(__xludf.DUMMYFUNCTION("GOOGLETRANSLATE(B27307,""en"",""de"")"),"Sie beginnt den Rasenmäher entlang des Hofes.")</f>
        <v>Sie beginnt den Rasenmäher entlang des Hofes.</v>
      </c>
    </row>
    <row r="27308">
      <c r="A27308" s="4" t="s">
        <v>34377</v>
      </c>
      <c r="B27308" s="4" t="s">
        <v>34380</v>
      </c>
      <c r="C27308" s="5" t="str">
        <f>IFERROR(__xludf.DUMMYFUNCTION("GOOGLETRANSLATE(B27308,""en"",""de"")"),"Sie bewegt sich wieder auf den Rasen und schaut in die Kamera.")</f>
        <v>Sie bewegt sich wieder auf den Rasen und schaut in die Kamera.</v>
      </c>
    </row>
    <row r="27309">
      <c r="A27309" s="4" t="s">
        <v>34381</v>
      </c>
      <c r="B27309" s="4" t="s">
        <v>34382</v>
      </c>
      <c r="C27309" s="5" t="str">
        <f>IFERROR(__xludf.DUMMYFUNCTION("GOOGLETRANSLATE(B27309,""en"",""de"")"),"Ein Turner führt eine Routine an den horizontalen Balken durch.")</f>
        <v>Ein Turner führt eine Routine an den horizontalen Balken durch.</v>
      </c>
    </row>
    <row r="27310">
      <c r="A27310" s="4" t="s">
        <v>34381</v>
      </c>
      <c r="B27310" s="4" t="s">
        <v>34383</v>
      </c>
      <c r="C27310" s="5" t="str">
        <f>IFERROR(__xludf.DUMMYFUNCTION("GOOGLETRANSLATE(B27310,""en"",""de"")"),"Der Turner dreht sich und dreht sich von einer Bar zur anderen und hält ebenfalls einer Hand.")</f>
        <v>Der Turner dreht sich und dreht sich von einer Bar zur anderen und hält ebenfalls einer Hand.</v>
      </c>
    </row>
    <row r="27311">
      <c r="A27311" s="4" t="s">
        <v>34381</v>
      </c>
      <c r="B27311" s="4" t="s">
        <v>34384</v>
      </c>
      <c r="C27311" s="5" t="str">
        <f>IFERROR(__xludf.DUMMYFUNCTION("GOOGLETRANSLATE(B27311,""en"",""de"")"),"Dann dreht sich der Turner und Sprünge auf dem Boden, dann wird ein Rückblick auf die Routine präsentiert.")</f>
        <v>Dann dreht sich der Turner und Sprünge auf dem Boden, dann wird ein Rückblick auf die Routine präsentiert.</v>
      </c>
    </row>
    <row r="27312">
      <c r="A27312" s="4" t="s">
        <v>34385</v>
      </c>
      <c r="B27312" s="4" t="s">
        <v>34386</v>
      </c>
      <c r="C27312" s="5" t="str">
        <f>IFERROR(__xludf.DUMMYFUNCTION("GOOGLETRANSLATE(B27312,""en"",""de"")"),"Ein Mann und eine Frau fahren schnell eine asphaltierte Straße entlang.")</f>
        <v>Ein Mann und eine Frau fahren schnell eine asphaltierte Straße entlang.</v>
      </c>
    </row>
    <row r="27313">
      <c r="A27313" s="4" t="s">
        <v>34385</v>
      </c>
      <c r="B27313" s="4" t="s">
        <v>34387</v>
      </c>
      <c r="C27313" s="5" t="str">
        <f>IFERROR(__xludf.DUMMYFUNCTION("GOOGLETRANSLATE(B27313,""en"",""de"")"),"Sie stoppen und pumpen Luft in ihre Reifen.")</f>
        <v>Sie stoppen und pumpen Luft in ihre Reifen.</v>
      </c>
    </row>
    <row r="27314">
      <c r="A27314" s="4" t="s">
        <v>34385</v>
      </c>
      <c r="B27314" s="4" t="s">
        <v>34388</v>
      </c>
      <c r="C27314" s="5" t="str">
        <f>IFERROR(__xludf.DUMMYFUNCTION("GOOGLETRANSLATE(B27314,""en"",""de"")"),"Sie ersetzen dann die Röhren und steigen wieder auf ihre Fahrräder.")</f>
        <v>Sie ersetzen dann die Röhren und steigen wieder auf ihre Fahrräder.</v>
      </c>
    </row>
    <row r="27315">
      <c r="A27315" s="4" t="s">
        <v>34385</v>
      </c>
      <c r="B27315" s="4" t="s">
        <v>34389</v>
      </c>
      <c r="C27315" s="5" t="str">
        <f>IFERROR(__xludf.DUMMYFUNCTION("GOOGLETRANSLATE(B27315,""en"",""de"")"),"Sie reiten weiter die Straße hinunter.")</f>
        <v>Sie reiten weiter die Straße hinunter.</v>
      </c>
    </row>
    <row r="27316">
      <c r="A27316" s="4" t="s">
        <v>34390</v>
      </c>
      <c r="B27316" s="4" t="s">
        <v>34391</v>
      </c>
      <c r="C27316" s="5" t="str">
        <f>IFERROR(__xludf.DUMMYFUNCTION("GOOGLETRANSLATE(B27316,""en"",""de"")"),"Eine Frau steht in der Badewanne mit der Dusche, um ihre Kleidung zu waschen.")</f>
        <v>Eine Frau steht in der Badewanne mit der Dusche, um ihre Kleidung zu waschen.</v>
      </c>
    </row>
    <row r="27317">
      <c r="A27317" s="4" t="s">
        <v>34390</v>
      </c>
      <c r="B27317" s="4" t="s">
        <v>34392</v>
      </c>
      <c r="C27317" s="5" t="str">
        <f>IFERROR(__xludf.DUMMYFUNCTION("GOOGLETRANSLATE(B27317,""en"",""de"")"),"Sie tritt die Kleidung herum und tritt herum und tanzt auf sie.")</f>
        <v>Sie tritt die Kleidung herum und tritt herum und tanzt auf sie.</v>
      </c>
    </row>
    <row r="27318">
      <c r="A27318" s="4" t="s">
        <v>34390</v>
      </c>
      <c r="B27318" s="4" t="s">
        <v>34393</v>
      </c>
      <c r="C27318" s="5" t="str">
        <f>IFERROR(__xludf.DUMMYFUNCTION("GOOGLETRANSLATE(B27318,""en"",""de"")"),"Ihr Freund nimmt sie und sich selbst im Spiegel auf.")</f>
        <v>Ihr Freund nimmt sie und sich selbst im Spiegel auf.</v>
      </c>
    </row>
    <row r="27319">
      <c r="A27319" s="4" t="s">
        <v>34390</v>
      </c>
      <c r="B27319" s="4" t="s">
        <v>34394</v>
      </c>
      <c r="C27319" s="5" t="str">
        <f>IFERROR(__xludf.DUMMYFUNCTION("GOOGLETRANSLATE(B27319,""en"",""de"")"),"Er beobachtet sie weiter, als sie auf die Kleidung tritt, und dann dreht er die Kamera an seine Mutter.")</f>
        <v>Er beobachtet sie weiter, als sie auf die Kleidung tritt, und dann dreht er die Kamera an seine Mutter.</v>
      </c>
    </row>
    <row r="27320">
      <c r="A27320" s="4" t="s">
        <v>34395</v>
      </c>
      <c r="B27320" s="4" t="s">
        <v>34396</v>
      </c>
      <c r="C27320" s="5" t="str">
        <f>IFERROR(__xludf.DUMMYFUNCTION("GOOGLETRANSLATE(B27320,""en"",""de"")"),"Mehrere Menschen befinden sich in einem kleinen Raum in Work -Kleidung, die auf und auf dem Treppenschritt gehen.")</f>
        <v>Mehrere Menschen befinden sich in einem kleinen Raum in Work -Kleidung, die auf und auf dem Treppenschritt gehen.</v>
      </c>
    </row>
    <row r="27321">
      <c r="A27321" s="4" t="s">
        <v>34395</v>
      </c>
      <c r="B27321" s="4" t="s">
        <v>34397</v>
      </c>
      <c r="C27321" s="5" t="str">
        <f>IFERROR(__xludf.DUMMYFUNCTION("GOOGLETRANSLATE(B27321,""en"",""de"")"),"Sie drehen sich dann um und tanzen auf dem Treppenschritt und verstärken das Training.")</f>
        <v>Sie drehen sich dann um und tanzen auf dem Treppenschritt und verstärken das Training.</v>
      </c>
    </row>
    <row r="27322">
      <c r="A27322" s="4" t="s">
        <v>34395</v>
      </c>
      <c r="B27322" s="4" t="s">
        <v>34398</v>
      </c>
      <c r="C27322" s="5" t="str">
        <f>IFERROR(__xludf.DUMMYFUNCTION("GOOGLETRANSLATE(B27322,""en"",""de"")"),"Auf halbem Weg steigt der Ausbilder aus und geht herum, während der Rest der Klasse weitergeht.")</f>
        <v>Auf halbem Weg steigt der Ausbilder aus und geht herum, während der Rest der Klasse weitergeht.</v>
      </c>
    </row>
    <row r="27323">
      <c r="A27323" s="4" t="s">
        <v>34395</v>
      </c>
      <c r="B27323" s="4" t="s">
        <v>34399</v>
      </c>
      <c r="C27323" s="5" t="str">
        <f>IFERROR(__xludf.DUMMYFUNCTION("GOOGLETRANSLATE(B27323,""en"",""de"")"),"Danach greifen Sie auf die Treppe, legen Sie ihn gegen die Wand und kehren Sie für den Rest des Trainings zu ihren Stellen zurück.")</f>
        <v>Danach greifen Sie auf die Treppe, legen Sie ihn gegen die Wand und kehren Sie für den Rest des Trainings zu ihren Stellen zurück.</v>
      </c>
    </row>
    <row r="27324">
      <c r="A27324" s="4" t="s">
        <v>34400</v>
      </c>
      <c r="B27324" s="4" t="s">
        <v>34401</v>
      </c>
      <c r="C27324" s="5" t="str">
        <f>IFERROR(__xludf.DUMMYFUNCTION("GOOGLETRANSLATE(B27324,""en"",""de"")"),"Steven Richardson, ein Geschäftsleiter, erörtert das Thema Reifenversorgung für Fahrzeuge mit 4 Rad Drive.")</f>
        <v>Steven Richardson, ein Geschäftsleiter, erörtert das Thema Reifenversorgung für Fahrzeuge mit 4 Rad Drive.</v>
      </c>
    </row>
    <row r="27325">
      <c r="A27325" s="4" t="s">
        <v>34400</v>
      </c>
      <c r="B27325" s="4" t="s">
        <v>34402</v>
      </c>
      <c r="C27325" s="5" t="str">
        <f>IFERROR(__xludf.DUMMYFUNCTION("GOOGLETRANSLATE(B27325,""en"",""de"")"),"Er erklärt, dass nicht übereinstimmende Reifen auf 4 -Rad -Fahrzeugen Verschleiß verursachen.")</f>
        <v>Er erklärt, dass nicht übereinstimmende Reifen auf 4 -Rad -Fahrzeugen Verschleiß verursachen.</v>
      </c>
    </row>
    <row r="27326">
      <c r="A27326" s="4" t="s">
        <v>34400</v>
      </c>
      <c r="B27326" s="4" t="s">
        <v>34403</v>
      </c>
      <c r="C27326" s="5" t="str">
        <f>IFERROR(__xludf.DUMMYFUNCTION("GOOGLETRANSLATE(B27326,""en"",""de"")"),"Er empfiehlt, dass alle 4 Reifen gleichzeitig ersetzt werden sollten.")</f>
        <v>Er empfiehlt, dass alle 4 Reifen gleichzeitig ersetzt werden sollten.</v>
      </c>
    </row>
    <row r="27327">
      <c r="A27327" s="4" t="s">
        <v>34400</v>
      </c>
      <c r="B27327" s="4" t="s">
        <v>34404</v>
      </c>
      <c r="C27327" s="5" t="str">
        <f>IFERROR(__xludf.DUMMYFUNCTION("GOOGLETRANSLATE(B27327,""en"",""de"")"),"Er wirbt für die Website Belletire Dot Com und sagt, dass er sie verwenden soll, um einen Standort in Ihrer Nähe zu finden.")</f>
        <v>Er wirbt für die Website Belletire Dot Com und sagt, dass er sie verwenden soll, um einen Standort in Ihrer Nähe zu finden.</v>
      </c>
    </row>
    <row r="27328">
      <c r="A27328" s="4" t="s">
        <v>34405</v>
      </c>
      <c r="B27328" s="4" t="s">
        <v>34406</v>
      </c>
      <c r="C27328" s="5" t="str">
        <f>IFERROR(__xludf.DUMMYFUNCTION("GOOGLETRANSLATE(B27328,""en"",""de"")"),"Eine Ballerina ist gesehen, die auf eine Bühne geht und führt in sie eine Ballettroutine.")</f>
        <v>Eine Ballerina ist gesehen, die auf eine Bühne geht und führt in sie eine Ballettroutine.</v>
      </c>
    </row>
    <row r="27329">
      <c r="A27329" s="4" t="s">
        <v>34405</v>
      </c>
      <c r="B27329" s="4" t="s">
        <v>34407</v>
      </c>
      <c r="C27329" s="5" t="str">
        <f>IFERROR(__xludf.DUMMYFUNCTION("GOOGLETRANSLATE(B27329,""en"",""de"")"),"Das Mädchen dreht sich über ihre Schuhe herum, während das Publikum sie beobachtet.")</f>
        <v>Das Mädchen dreht sich über ihre Schuhe herum, während das Publikum sie beobachtet.</v>
      </c>
    </row>
    <row r="27330">
      <c r="A27330" s="4" t="s">
        <v>34405</v>
      </c>
      <c r="B27330" s="4" t="s">
        <v>34408</v>
      </c>
      <c r="C27330" s="5" t="str">
        <f>IFERROR(__xludf.DUMMYFUNCTION("GOOGLETRANSLATE(B27330,""en"",""de"")"),"Sie dreht sich weiter und wirbelt herum und endet, indem sie eine Pose hält und sich verbeugt.")</f>
        <v>Sie dreht sich weiter und wirbelt herum und endet, indem sie eine Pose hält und sich verbeugt.</v>
      </c>
    </row>
    <row r="27331">
      <c r="A27331" s="4" t="s">
        <v>34409</v>
      </c>
      <c r="B27331" s="4" t="s">
        <v>34410</v>
      </c>
      <c r="C27331" s="5" t="str">
        <f>IFERROR(__xludf.DUMMYFUNCTION("GOOGLETRANSLATE(B27331,""en"",""de"")"),"Ein barfuß -Mann beendet ein Stück Holzmöbel mit einem Pinsel.")</f>
        <v>Ein barfuß -Mann beendet ein Stück Holzmöbel mit einem Pinsel.</v>
      </c>
    </row>
    <row r="27332">
      <c r="A27332" s="4" t="s">
        <v>34409</v>
      </c>
      <c r="B27332" s="4" t="s">
        <v>34411</v>
      </c>
      <c r="C27332" s="5" t="str">
        <f>IFERROR(__xludf.DUMMYFUNCTION("GOOGLETRANSLATE(B27332,""en"",""de"")"),"Dann bewegt er das Stück herum, um die Abnutzungen zu zeigen, und poliert sie mit einem Pinsel aus.")</f>
        <v>Dann bewegt er das Stück herum, um die Abnutzungen zu zeigen, und poliert sie mit einem Pinsel aus.</v>
      </c>
    </row>
    <row r="27333">
      <c r="A27333" s="4" t="s">
        <v>34409</v>
      </c>
      <c r="B27333" s="4" t="s">
        <v>34412</v>
      </c>
      <c r="C27333" s="5" t="str">
        <f>IFERROR(__xludf.DUMMYFUNCTION("GOOGLETRANSLATE(B27333,""en"",""de"")"),"Der Mann zeigt die gereinigten Kanten mit seinen Fingern.")</f>
        <v>Der Mann zeigt die gereinigten Kanten mit seinen Fingern.</v>
      </c>
    </row>
    <row r="27334">
      <c r="A27334" s="4" t="s">
        <v>34413</v>
      </c>
      <c r="B27334" s="4" t="s">
        <v>34414</v>
      </c>
      <c r="C27334" s="5" t="str">
        <f>IFERROR(__xludf.DUMMYFUNCTION("GOOGLETRANSLATE(B27334,""en"",""de"")"),"Ein paar Kinder jubeln in einer Kegelbahn.")</f>
        <v>Ein paar Kinder jubeln in einer Kegelbahn.</v>
      </c>
    </row>
    <row r="27335">
      <c r="A27335" s="4" t="s">
        <v>34413</v>
      </c>
      <c r="B27335" s="4" t="s">
        <v>34415</v>
      </c>
      <c r="C27335" s="5" t="str">
        <f>IFERROR(__xludf.DUMMYFUNCTION("GOOGLETRANSLATE(B27335,""en"",""de"")"),"Sie schließen sich anderen Kindern an und streiten sich über einen Bowlingball.")</f>
        <v>Sie schließen sich anderen Kindern an und streiten sich über einen Bowlingball.</v>
      </c>
    </row>
    <row r="27336">
      <c r="A27336" s="4" t="s">
        <v>34413</v>
      </c>
      <c r="B27336" s="4" t="s">
        <v>34416</v>
      </c>
      <c r="C27336" s="5" t="str">
        <f>IFERROR(__xludf.DUMMYFUNCTION("GOOGLETRANSLATE(B27336,""en"",""de"")"),"Sie pflücken einen Ball und rollen ihn dann auf die Fahrspur.")</f>
        <v>Sie pflücken einen Ball und rollen ihn dann auf die Fahrspur.</v>
      </c>
    </row>
    <row r="27337">
      <c r="A27337" s="4" t="s">
        <v>34417</v>
      </c>
      <c r="B27337" s="4" t="s">
        <v>34418</v>
      </c>
      <c r="C27337" s="5" t="str">
        <f>IFERROR(__xludf.DUMMYFUNCTION("GOOGLETRANSLATE(B27337,""en"",""de"")"),"Eine Gruppe von Menschen tanzt umeinander.")</f>
        <v>Eine Gruppe von Menschen tanzt umeinander.</v>
      </c>
    </row>
    <row r="27338">
      <c r="A27338" s="4" t="s">
        <v>34417</v>
      </c>
      <c r="B27338" s="4" t="s">
        <v>34419</v>
      </c>
      <c r="C27338" s="5" t="str">
        <f>IFERROR(__xludf.DUMMYFUNCTION("GOOGLETRANSLATE(B27338,""en"",""de"")"),"Ein Mädchen bewegt sich mit einem Hula -Reifen, der verschiedene Bewegungen macht.")</f>
        <v>Ein Mädchen bewegt sich mit einem Hula -Reifen, der verschiedene Bewegungen macht.</v>
      </c>
    </row>
    <row r="27339">
      <c r="A27339" s="4" t="s">
        <v>34417</v>
      </c>
      <c r="B27339" s="4" t="s">
        <v>34420</v>
      </c>
      <c r="C27339" s="5" t="str">
        <f>IFERROR(__xludf.DUMMYFUNCTION("GOOGLETRANSLATE(B27339,""en"",""de"")"),"Die Menschen tanzten weiter in verschiedenen Bewegungen um sie herum.")</f>
        <v>Die Menschen tanzten weiter in verschiedenen Bewegungen um sie herum.</v>
      </c>
    </row>
    <row r="27340">
      <c r="A27340" s="4" t="s">
        <v>34417</v>
      </c>
      <c r="B27340" s="4" t="s">
        <v>34421</v>
      </c>
      <c r="C27340" s="5" t="str">
        <f>IFERROR(__xludf.DUMMYFUNCTION("GOOGLETRANSLATE(B27340,""en"",""de"")"),"Das Mädchen dreht ihren Hula -Hoop um ihren Kopf.")</f>
        <v>Das Mädchen dreht ihren Hula -Hoop um ihren Kopf.</v>
      </c>
    </row>
    <row r="27341">
      <c r="A27341" s="4" t="s">
        <v>34422</v>
      </c>
      <c r="B27341" s="4" t="s">
        <v>34423</v>
      </c>
      <c r="C27341" s="5" t="str">
        <f>IFERROR(__xludf.DUMMYFUNCTION("GOOGLETRANSLATE(B27341,""en"",""de"")"),"Zwei Mädchen sprechen und winken zur Kamera, die in sie führen und mehrere Sprünge und Tricks auf einer Matte durchführen.")</f>
        <v>Zwei Mädchen sprechen und winken zur Kamera, die in sie führen und mehrere Sprünge und Tricks auf einer Matte durchführen.</v>
      </c>
    </row>
    <row r="27342">
      <c r="A27342" s="4" t="s">
        <v>34422</v>
      </c>
      <c r="B27342" s="4" t="s">
        <v>34424</v>
      </c>
      <c r="C27342" s="5" t="str">
        <f>IFERROR(__xludf.DUMMYFUNCTION("GOOGLETRANSLATE(B27342,""en"",""de"")"),"Die Mädchen wechseln weiterhin abwechselnd um die Matte in der Gegend und sprechen mit der Kamera und winken.")</f>
        <v>Die Mädchen wechseln weiterhin abwechselnd um die Matte in der Gegend und sprechen mit der Kamera und winken.</v>
      </c>
    </row>
    <row r="27343">
      <c r="A27343" s="4" t="s">
        <v>34425</v>
      </c>
      <c r="B27343" s="4" t="s">
        <v>34426</v>
      </c>
      <c r="C27343" s="5" t="str">
        <f>IFERROR(__xludf.DUMMYFUNCTION("GOOGLETRANSLATE(B27343,""en"",""de"")"),"Eine Frau steht mit einem Ball auf einer Schnur.")</f>
        <v>Eine Frau steht mit einem Ball auf einer Schnur.</v>
      </c>
    </row>
    <row r="27344">
      <c r="A27344" s="4" t="s">
        <v>34425</v>
      </c>
      <c r="B27344" s="4" t="s">
        <v>34427</v>
      </c>
      <c r="C27344" s="5" t="str">
        <f>IFERROR(__xludf.DUMMYFUNCTION("GOOGLETRANSLATE(B27344,""en"",""de"")"),"Sie ist in einem Wettbewerb um Leichtathletik.")</f>
        <v>Sie ist in einem Wettbewerb um Leichtathletik.</v>
      </c>
    </row>
    <row r="27345">
      <c r="A27345" s="4" t="s">
        <v>34425</v>
      </c>
      <c r="B27345" s="4" t="s">
        <v>34428</v>
      </c>
      <c r="C27345" s="5" t="str">
        <f>IFERROR(__xludf.DUMMYFUNCTION("GOOGLETRANSLATE(B27345,""en"",""de"")"),"Sie schwingt den Ball mehrmals herum, dann gehen die Beine und jubeln, als er weit ins Feld landet.")</f>
        <v>Sie schwingt den Ball mehrmals herum, dann gehen die Beine und jubeln, als er weit ins Feld landet.</v>
      </c>
    </row>
    <row r="27346">
      <c r="A27346" s="4" t="s">
        <v>34429</v>
      </c>
      <c r="B27346" s="4" t="s">
        <v>34430</v>
      </c>
      <c r="C27346" s="5" t="str">
        <f>IFERROR(__xludf.DUMMYFUNCTION("GOOGLETRANSLATE(B27346,""en"",""de"")"),"Ein Athlet steht in der Mitte eines kleinen Kreises bereit und wirft dann einen Schuss in die Ferne.")</f>
        <v>Ein Athlet steht in der Mitte eines kleinen Kreises bereit und wirft dann einen Schuss in die Ferne.</v>
      </c>
    </row>
    <row r="27347">
      <c r="A27347" s="4" t="s">
        <v>34429</v>
      </c>
      <c r="B27347" s="4" t="s">
        <v>34431</v>
      </c>
      <c r="C27347" s="5" t="str">
        <f>IFERROR(__xludf.DUMMYFUNCTION("GOOGLETRANSLATE(B27347,""en"",""de"")"),"Der Mann geht weg und schüttelt die Arme und sein Wurf wird mehrmals wieder gezeigt.")</f>
        <v>Der Mann geht weg und schüttelt die Arme und sein Wurf wird mehrmals wieder gezeigt.</v>
      </c>
    </row>
    <row r="27348">
      <c r="A27348" s="4" t="s">
        <v>34429</v>
      </c>
      <c r="B27348" s="4" t="s">
        <v>34432</v>
      </c>
      <c r="C27348" s="5" t="str">
        <f>IFERROR(__xludf.DUMMYFUNCTION("GOOGLETRANSLATE(B27348,""en"",""de"")"),"Einige weitere Athleten treten auf die Plattform, die den Auftakt werfen und mit einem Mann in einem Hut enden, der mit dem Publikum spricht.")</f>
        <v>Einige weitere Athleten treten auf die Plattform, die den Auftakt werfen und mit einem Mann in einem Hut enden, der mit dem Publikum spricht.</v>
      </c>
    </row>
    <row r="27349">
      <c r="A27349" s="4" t="s">
        <v>34433</v>
      </c>
      <c r="B27349" s="4" t="s">
        <v>34434</v>
      </c>
      <c r="C27349" s="5" t="str">
        <f>IFERROR(__xludf.DUMMYFUNCTION("GOOGLETRANSLATE(B27349,""en"",""de"")"),"Eine Dame in einem BH und Höschen greift und wirft einen Schuss.")</f>
        <v>Eine Dame in einem BH und Höschen greift und wirft einen Schuss.</v>
      </c>
    </row>
    <row r="27350">
      <c r="A27350" s="4" t="s">
        <v>34433</v>
      </c>
      <c r="B27350" s="4" t="s">
        <v>34435</v>
      </c>
      <c r="C27350" s="5" t="str">
        <f>IFERROR(__xludf.DUMMYFUNCTION("GOOGLETRANSLATE(B27350,""en"",""de"")"),"Es geht durch ein Fenster in einem Haus und eine Katze läuft.")</f>
        <v>Es geht durch ein Fenster in einem Haus und eine Katze läuft.</v>
      </c>
    </row>
    <row r="27351">
      <c r="A27351" s="4" t="s">
        <v>34433</v>
      </c>
      <c r="B27351" s="4" t="s">
        <v>34436</v>
      </c>
      <c r="C27351" s="5" t="str">
        <f>IFERROR(__xludf.DUMMYFUNCTION("GOOGLETRANSLATE(B27351,""en"",""de"")"),"Der Mann schaut nach draußen und sieht die Dame.")</f>
        <v>Der Mann schaut nach draußen und sieht die Dame.</v>
      </c>
    </row>
    <row r="27352">
      <c r="A27352" s="4" t="s">
        <v>34433</v>
      </c>
      <c r="B27352" s="4" t="s">
        <v>34437</v>
      </c>
      <c r="C27352" s="5" t="str">
        <f>IFERROR(__xludf.DUMMYFUNCTION("GOOGLETRANSLATE(B27352,""en"",""de"")"),"Die Dame benutzt eine Pole, um Stabhochsprung in das Fenster der zweiten Geschichte und springt auf den Mann.")</f>
        <v>Die Dame benutzt eine Pole, um Stabhochsprung in das Fenster der zweiten Geschichte und springt auf den Mann.</v>
      </c>
    </row>
    <row r="27353">
      <c r="A27353" s="4" t="s">
        <v>34433</v>
      </c>
      <c r="B27353" s="4" t="s">
        <v>34438</v>
      </c>
      <c r="C27353" s="5" t="str">
        <f>IFERROR(__xludf.DUMMYFUNCTION("GOOGLETRANSLATE(B27353,""en"",""de"")"),"Wir sehen den Titelbildschirm und die Hose des Mannes fliegen aus dem Fenster.")</f>
        <v>Wir sehen den Titelbildschirm und die Hose des Mannes fliegen aus dem Fenster.</v>
      </c>
    </row>
    <row r="27354">
      <c r="A27354" s="4" t="s">
        <v>34439</v>
      </c>
      <c r="B27354" s="4" t="s">
        <v>34440</v>
      </c>
      <c r="C27354" s="5" t="str">
        <f>IFERROR(__xludf.DUMMYFUNCTION("GOOGLETRANSLATE(B27354,""en"",""de"")"),"Eine Person, die einen Besen hält, reinigt den Boden hin und her.")</f>
        <v>Eine Person, die einen Besen hält, reinigt den Boden hin und her.</v>
      </c>
    </row>
    <row r="27355">
      <c r="A27355" s="4" t="s">
        <v>34439</v>
      </c>
      <c r="B27355" s="4" t="s">
        <v>34441</v>
      </c>
      <c r="C27355" s="5" t="str">
        <f>IFERROR(__xludf.DUMMYFUNCTION("GOOGLETRANSLATE(B27355,""en"",""de"")"),"Die Person dreht den Besen, um den Staub zu sammeln.")</f>
        <v>Die Person dreht den Besen, um den Staub zu sammeln.</v>
      </c>
    </row>
    <row r="27356">
      <c r="A27356" s="4" t="s">
        <v>34442</v>
      </c>
      <c r="B27356" s="4" t="s">
        <v>34443</v>
      </c>
      <c r="C27356" s="5" t="str">
        <f>IFERROR(__xludf.DUMMYFUNCTION("GOOGLETRANSLATE(B27356,""en"",""de"")"),"Die Athleten laufen während des Trainings auf einem Außenbereich eines Feldes und eines Stabhochsprunges.")</f>
        <v>Die Athleten laufen während des Trainings auf einem Außenbereich eines Feldes und eines Stabhochsprunges.</v>
      </c>
    </row>
    <row r="27357">
      <c r="A27357" s="4" t="s">
        <v>34442</v>
      </c>
      <c r="B27357" s="4" t="s">
        <v>34444</v>
      </c>
      <c r="C27357" s="5" t="str">
        <f>IFERROR(__xludf.DUMMYFUNCTION("GOOGLETRANSLATE(B27357,""en"",""de"")"),"Ein Athlet läuft und Stabhochsprung während eines olympischen Wettbewerbs in einem Stadion.")</f>
        <v>Ein Athlet läuft und Stabhochsprung während eines olympischen Wettbewerbs in einem Stadion.</v>
      </c>
    </row>
    <row r="27358">
      <c r="A27358" s="4" t="s">
        <v>34442</v>
      </c>
      <c r="B27358" s="4" t="s">
        <v>34445</v>
      </c>
      <c r="C27358" s="5" t="str">
        <f>IFERROR(__xludf.DUMMYFUNCTION("GOOGLETRANSLATE(B27358,""en"",""de"")"),"Athleten machen einen Übungssprung und tauchen unter dem Seil auf die Matte.")</f>
        <v>Athleten machen einen Übungssprung und tauchen unter dem Seil auf die Matte.</v>
      </c>
    </row>
    <row r="27359">
      <c r="A27359" s="4" t="s">
        <v>34446</v>
      </c>
      <c r="B27359" s="4" t="s">
        <v>34447</v>
      </c>
      <c r="C27359" s="5" t="str">
        <f>IFERROR(__xludf.DUMMYFUNCTION("GOOGLETRANSLATE(B27359,""en"",""de"")"),"Ein kleiner Junge füllt eine Eiskegel mit Eis.")</f>
        <v>Ein kleiner Junge füllt eine Eiskegel mit Eis.</v>
      </c>
    </row>
    <row r="27360">
      <c r="A27360" s="4" t="s">
        <v>34446</v>
      </c>
      <c r="B27360" s="4" t="s">
        <v>34448</v>
      </c>
      <c r="C27360" s="5" t="str">
        <f>IFERROR(__xludf.DUMMYFUNCTION("GOOGLETRANSLATE(B27360,""en"",""de"")"),"Er leckt den Eiskegel.")</f>
        <v>Er leckt den Eiskegel.</v>
      </c>
    </row>
    <row r="27361">
      <c r="A27361" s="4" t="s">
        <v>34446</v>
      </c>
      <c r="B27361" s="4" t="s">
        <v>34449</v>
      </c>
      <c r="C27361" s="5" t="str">
        <f>IFERROR(__xludf.DUMMYFUNCTION("GOOGLETRANSLATE(B27361,""en"",""de"")"),"Er hebt den Eiskegel hoch, um die Kamera zu zeigen.")</f>
        <v>Er hebt den Eiskegel hoch, um die Kamera zu zeigen.</v>
      </c>
    </row>
    <row r="27362">
      <c r="A27362" s="4" t="s">
        <v>34450</v>
      </c>
      <c r="B27362" s="4" t="s">
        <v>34451</v>
      </c>
      <c r="C27362" s="5" t="str">
        <f>IFERROR(__xludf.DUMMYFUNCTION("GOOGLETRANSLATE(B27362,""en"",""de"")"),"Ein Mädchen hat eine Stange und sie ist die Augen verbunden.")</f>
        <v>Ein Mädchen hat eine Stange und sie ist die Augen verbunden.</v>
      </c>
    </row>
    <row r="27363">
      <c r="A27363" s="4" t="s">
        <v>34450</v>
      </c>
      <c r="B27363" s="4" t="s">
        <v>34452</v>
      </c>
      <c r="C27363" s="5" t="str">
        <f>IFERROR(__xludf.DUMMYFUNCTION("GOOGLETRANSLATE(B27363,""en"",""de"")"),"Sie schwingt zu einer Pinata und vermisst.")</f>
        <v>Sie schwingt zu einer Pinata und vermisst.</v>
      </c>
    </row>
    <row r="27364">
      <c r="A27364" s="4" t="s">
        <v>34450</v>
      </c>
      <c r="B27364" s="4" t="s">
        <v>34453</v>
      </c>
      <c r="C27364" s="5" t="str">
        <f>IFERROR(__xludf.DUMMYFUNCTION("GOOGLETRANSLATE(B27364,""en"",""de"")"),"Sie tritt näher und versucht es erneut, diesmal zu treffen.")</f>
        <v>Sie tritt näher und versucht es erneut, diesmal zu treffen.</v>
      </c>
    </row>
    <row r="27365">
      <c r="A27365" s="4" t="s">
        <v>34450</v>
      </c>
      <c r="B27365" s="4" t="s">
        <v>34454</v>
      </c>
      <c r="C27365" s="5" t="str">
        <f>IFERROR(__xludf.DUMMYFUNCTION("GOOGLETRANSLATE(B27365,""en"",""de"")"),"Sie tritt zurück, als ein Hund ins Bild kommt.")</f>
        <v>Sie tritt zurück, als ein Hund ins Bild kommt.</v>
      </c>
    </row>
    <row r="27366">
      <c r="A27366" s="4" t="s">
        <v>34450</v>
      </c>
      <c r="B27366" s="4" t="s">
        <v>34455</v>
      </c>
      <c r="C27366" s="5" t="str">
        <f>IFERROR(__xludf.DUMMYFUNCTION("GOOGLETRANSLATE(B27366,""en"",""de"")"),"Sie schwingt immer wieder.")</f>
        <v>Sie schwingt immer wieder.</v>
      </c>
    </row>
    <row r="27367">
      <c r="A27367" s="4" t="s">
        <v>34450</v>
      </c>
      <c r="B27367" s="4" t="s">
        <v>34456</v>
      </c>
      <c r="C27367" s="5" t="str">
        <f>IFERROR(__xludf.DUMMYFUNCTION("GOOGLETRANSLATE(B27367,""en"",""de"")"),"Sie hält für den Moment an, nimmt einen hartnäckigen Schwung und schlägt es.")</f>
        <v>Sie hält für den Moment an, nimmt einen hartnäckigen Schwung und schlägt es.</v>
      </c>
    </row>
    <row r="27368">
      <c r="A27368" s="4" t="s">
        <v>34457</v>
      </c>
      <c r="B27368" s="4" t="s">
        <v>34458</v>
      </c>
      <c r="C27368" s="5" t="str">
        <f>IFERROR(__xludf.DUMMYFUNCTION("GOOGLETRANSLATE(B27368,""en"",""de"")"),"Auf dem Bildschirm werden verschiedene Text angezeigt und führt zu einem Mann, der spricht und mehr Werkzeuge angezeigt werden.")</f>
        <v>Auf dem Bildschirm werden verschiedene Text angezeigt und führt zu einem Mann, der spricht und mehr Werkzeuge angezeigt werden.</v>
      </c>
    </row>
    <row r="27369">
      <c r="A27369" s="4" t="s">
        <v>34457</v>
      </c>
      <c r="B27369" s="4" t="s">
        <v>34459</v>
      </c>
      <c r="C27369" s="5" t="str">
        <f>IFERROR(__xludf.DUMMYFUNCTION("GOOGLETRANSLATE(B27369,""en"",""de"")"),"Der Mann reibt die Werkzeuge entlang seiner Haut und verweist im Vakuum im Vakuum.")</f>
        <v>Der Mann reibt die Werkzeuge entlang seiner Haut und verweist im Vakuum im Vakuum.</v>
      </c>
    </row>
    <row r="27370">
      <c r="A27370" s="4" t="s">
        <v>34460</v>
      </c>
      <c r="B27370" s="4" t="s">
        <v>34461</v>
      </c>
      <c r="C27370" s="5" t="str">
        <f>IFERROR(__xludf.DUMMYFUNCTION("GOOGLETRANSLATE(B27370,""en"",""de"")"),"Das obere Schindel eines Daches baumelt ungesichert.")</f>
        <v>Das obere Schindel eines Daches baumelt ungesichert.</v>
      </c>
    </row>
    <row r="27371">
      <c r="A27371" s="4" t="s">
        <v>34460</v>
      </c>
      <c r="B27371" s="4" t="s">
        <v>34462</v>
      </c>
      <c r="C27371" s="5" t="str">
        <f>IFERROR(__xludf.DUMMYFUNCTION("GOOGLETRANSLATE(B27371,""en"",""de"")"),"Ein Mann auf einem Dach hämmert einen Nagel in den Schindel und befestigt den Schindel.")</f>
        <v>Ein Mann auf einem Dach hämmert einen Nagel in den Schindel und befestigt den Schindel.</v>
      </c>
    </row>
    <row r="27372">
      <c r="A27372" s="4" t="s">
        <v>34463</v>
      </c>
      <c r="B27372" s="4" t="s">
        <v>34464</v>
      </c>
      <c r="C27372" s="5" t="str">
        <f>IFERROR(__xludf.DUMMYFUNCTION("GOOGLETRANSLATE(B27372,""en"",""de"")"),"Verschiedene Menschen sind zu sehen, die um einen Strand herumlaufen, der zu Männern führt, die ein Seil anziehen und auf dem Seil springen.")</f>
        <v>Verschiedene Menschen sind zu sehen, die um einen Strand herumlaufen, der zu Männern führt, die ein Seil anziehen und auf dem Seil springen.</v>
      </c>
    </row>
    <row r="27373">
      <c r="A27373" s="4" t="s">
        <v>34463</v>
      </c>
      <c r="B27373" s="4" t="s">
        <v>34465</v>
      </c>
      <c r="C27373" s="5" t="str">
        <f>IFERROR(__xludf.DUMMYFUNCTION("GOOGLETRANSLATE(B27373,""en"",""de"")"),"Mehrere Menschen führen viele Tricks aus und springen auf das Seil, während andere nebenbei stehen und zuschauen.")</f>
        <v>Mehrere Menschen führen viele Tricks aus und springen auf das Seil, während andere nebenbei stehen und zuschauen.</v>
      </c>
    </row>
    <row r="27374">
      <c r="A27374" s="4" t="s">
        <v>34466</v>
      </c>
      <c r="B27374" s="4" t="s">
        <v>34467</v>
      </c>
      <c r="C27374" s="5" t="str">
        <f>IFERROR(__xludf.DUMMYFUNCTION("GOOGLETRANSLATE(B27374,""en"",""de"")"),"Eine Person fährt in einem Röhrchen einen Fluss hinunter, während die Kamera auf den Füßen der Personen zoomt.")</f>
        <v>Eine Person fährt in einem Röhrchen einen Fluss hinunter, während die Kamera auf den Füßen der Personen zoomt.</v>
      </c>
    </row>
    <row r="27375">
      <c r="A27375" s="4" t="s">
        <v>34466</v>
      </c>
      <c r="B27375" s="4" t="s">
        <v>34468</v>
      </c>
      <c r="C27375" s="5" t="str">
        <f>IFERROR(__xludf.DUMMYFUNCTION("GOOGLETRANSLATE(B27375,""en"",""de"")"),"Die Menschen in Röhren reiten im Wasser an anderen vorbei.")</f>
        <v>Die Menschen in Röhren reiten im Wasser an anderen vorbei.</v>
      </c>
    </row>
    <row r="27376">
      <c r="A27376" s="4" t="s">
        <v>34466</v>
      </c>
      <c r="B27376" s="4" t="s">
        <v>34469</v>
      </c>
      <c r="C27376" s="5" t="str">
        <f>IFERROR(__xludf.DUMMYFUNCTION("GOOGLETRANSLATE(B27376,""en"",""de"")"),"Weitere Menschen reiten in Röhren den Fluss hinunter.")</f>
        <v>Weitere Menschen reiten in Röhren den Fluss hinunter.</v>
      </c>
    </row>
    <row r="27377">
      <c r="A27377" s="4" t="s">
        <v>34470</v>
      </c>
      <c r="B27377" s="4" t="s">
        <v>34471</v>
      </c>
      <c r="C27377" s="5" t="str">
        <f>IFERROR(__xludf.DUMMYFUNCTION("GOOGLETRANSLATE(B27377,""en"",""de"")"),"Eine Reihe von Clips derselben Frau, die bei verschiedenen professionellen sportlichen Ereignissen Stabhochsprung aufführt.")</f>
        <v>Eine Reihe von Clips derselben Frau, die bei verschiedenen professionellen sportlichen Ereignissen Stabhochsprung aufführt.</v>
      </c>
    </row>
    <row r="27378">
      <c r="A27378" s="4" t="s">
        <v>34470</v>
      </c>
      <c r="B27378" s="4" t="s">
        <v>34472</v>
      </c>
      <c r="C27378" s="5" t="str">
        <f>IFERROR(__xludf.DUMMYFUNCTION("GOOGLETRANSLATE(B27378,""en"",""de"")"),"Eine Frau, die eine Pole hält, läuft auf einer Spur in Richtung einer Torlinie und führt ein Stabhochsprung vor den Event -Zuschauern und Anhängern durch.")</f>
        <v>Eine Frau, die eine Pole hält, läuft auf einer Spur in Richtung einer Torlinie und führt ein Stabhochsprung vor den Event -Zuschauern und Anhängern durch.</v>
      </c>
    </row>
    <row r="27379">
      <c r="A27379" s="4" t="s">
        <v>34470</v>
      </c>
      <c r="B27379" s="4" t="s">
        <v>34473</v>
      </c>
      <c r="C27379" s="5" t="str">
        <f>IFERROR(__xludf.DUMMYFUNCTION("GOOGLETRANSLATE(B27379,""en"",""de"")"),"Die Frau wird dann bei zwei weiteren Ereignissen gezeigt, die das gleiche Stabhochsprung durchführen, das von Zuschauern und Treffern umgeben ist.")</f>
        <v>Die Frau wird dann bei zwei weiteren Ereignissen gezeigt, die das gleiche Stabhochsprung durchführen, das von Zuschauern und Treffern umgeben ist.</v>
      </c>
    </row>
    <row r="27380">
      <c r="A27380" s="4" t="s">
        <v>34474</v>
      </c>
      <c r="B27380" s="4" t="s">
        <v>34475</v>
      </c>
      <c r="C27380" s="5" t="str">
        <f>IFERROR(__xludf.DUMMYFUNCTION("GOOGLETRANSLATE(B27380,""en"",""de"")"),"Eine Frau steht vor einem Spiegel und spült ihren Mund, bevor sie ihr Gesicht nahe am Spiegel zieht und ihre Zähne aus einem Nahwinkel ansieht.")</f>
        <v>Eine Frau steht vor einem Spiegel und spült ihren Mund, bevor sie ihr Gesicht nahe am Spiegel zieht und ihre Zähne aus einem Nahwinkel ansieht.</v>
      </c>
    </row>
    <row r="27381">
      <c r="A27381" s="4" t="s">
        <v>34474</v>
      </c>
      <c r="B27381" s="4" t="s">
        <v>34476</v>
      </c>
      <c r="C27381" s="5" t="str">
        <f>IFERROR(__xludf.DUMMYFUNCTION("GOOGLETRANSLATE(B27381,""en"",""de"")"),"Eine Frau sitzt vor einem Badezimmerspiegel, der Wasser in ihrem Mund senkt, als würde sie ihren Mund abspülen.")</f>
        <v>Eine Frau sitzt vor einem Badezimmerspiegel, der Wasser in ihrem Mund senkt, als würde sie ihren Mund abspülen.</v>
      </c>
    </row>
    <row r="27382">
      <c r="A27382" s="4" t="s">
        <v>34474</v>
      </c>
      <c r="B27382" s="4" t="s">
        <v>34477</v>
      </c>
      <c r="C27382" s="5" t="str">
        <f>IFERROR(__xludf.DUMMYFUNCTION("GOOGLETRANSLATE(B27382,""en"",""de"")"),"Die Frau spuckt dann das Wasser in die Spüle und schaut sich ihre Zähne sehr nahe im Spiegel, bevor die Szene ausbricht.")</f>
        <v>Die Frau spuckt dann das Wasser in die Spüle und schaut sich ihre Zähne sehr nahe im Spiegel, bevor die Szene ausbricht.</v>
      </c>
    </row>
    <row r="27383">
      <c r="A27383" s="4" t="s">
        <v>34478</v>
      </c>
      <c r="B27383" s="4" t="s">
        <v>34479</v>
      </c>
      <c r="C27383" s="5" t="str">
        <f>IFERROR(__xludf.DUMMYFUNCTION("GOOGLETRANSLATE(B27383,""en"",""de"")"),"Wir sehen Menschen auf Skiern.")</f>
        <v>Wir sehen Menschen auf Skiern.</v>
      </c>
    </row>
    <row r="27384">
      <c r="A27384" s="4" t="s">
        <v>34478</v>
      </c>
      <c r="B27384" s="4" t="s">
        <v>34480</v>
      </c>
      <c r="C27384" s="5" t="str">
        <f>IFERROR(__xludf.DUMMYFUNCTION("GOOGLETRANSLATE(B27384,""en"",""de"")"),"Wir sehen eine Person in einen Schneehaufen fliegen.")</f>
        <v>Wir sehen eine Person in einen Schneehaufen fliegen.</v>
      </c>
    </row>
    <row r="27385">
      <c r="A27385" s="4" t="s">
        <v>34478</v>
      </c>
      <c r="B27385" s="4" t="s">
        <v>34481</v>
      </c>
      <c r="C27385" s="5" t="str">
        <f>IFERROR(__xludf.DUMMYFUNCTION("GOOGLETRANSLATE(B27385,""en"",""de"")"),"Eine Person Skier und fällt, wenn sie über eine Straße springen.")</f>
        <v>Eine Person Skier und fällt, wenn sie über eine Straße springen.</v>
      </c>
    </row>
    <row r="27386">
      <c r="A27386" s="4" t="s">
        <v>34478</v>
      </c>
      <c r="B27386" s="4" t="s">
        <v>34482</v>
      </c>
      <c r="C27386" s="5" t="str">
        <f>IFERROR(__xludf.DUMMYFUNCTION("GOOGLETRANSLATE(B27386,""en"",""de"")"),"Eine Person auf den Skiern hält eine Linie und fällt dann, dann stürzt eine Person in Weiß gegen eine andere und beide fallen.")</f>
        <v>Eine Person auf den Skiern hält eine Linie und fällt dann, dann stürzt eine Person in Weiß gegen eine andere und beide fallen.</v>
      </c>
    </row>
    <row r="27387">
      <c r="A27387" s="4" t="s">
        <v>34478</v>
      </c>
      <c r="B27387" s="4" t="s">
        <v>34483</v>
      </c>
      <c r="C27387" s="5" t="str">
        <f>IFERROR(__xludf.DUMMYFUNCTION("GOOGLETRANSLATE(B27387,""en"",""de"")"),"Ein Snowboarder kann die Linie nicht halten und klopft über eine Person, die hilft und fällt.")</f>
        <v>Ein Snowboarder kann die Linie nicht halten und klopft über eine Person, die hilft und fällt.</v>
      </c>
    </row>
    <row r="27388">
      <c r="A27388" s="4" t="s">
        <v>34484</v>
      </c>
      <c r="B27388" s="4" t="s">
        <v>34485</v>
      </c>
      <c r="C27388" s="5" t="str">
        <f>IFERROR(__xludf.DUMMYFUNCTION("GOOGLETRANSLATE(B27388,""en"",""de"")"),"Ein Fluss, umgeben von Felsen Apperas.")</f>
        <v>Ein Fluss, umgeben von Felsen Apperas.</v>
      </c>
    </row>
    <row r="27389">
      <c r="A27389" s="4" t="s">
        <v>34484</v>
      </c>
      <c r="B27389" s="4" t="s">
        <v>34486</v>
      </c>
      <c r="C27389" s="5" t="str">
        <f>IFERROR(__xludf.DUMMYFUNCTION("GOOGLETRANSLATE(B27389,""en"",""de"")"),"Mehrere Menschen schweben in Gezeiten durch.")</f>
        <v>Mehrere Menschen schweben in Gezeiten durch.</v>
      </c>
    </row>
    <row r="27390">
      <c r="A27390" s="4" t="s">
        <v>34484</v>
      </c>
      <c r="B27390" s="4" t="s">
        <v>34487</v>
      </c>
      <c r="C27390" s="5" t="str">
        <f>IFERROR(__xludf.DUMMYFUNCTION("GOOGLETRANSLATE(B27390,""en"",""de"")"),"Sie schweben zusammen durch die Stromschnellen den Fluss hinunter.")</f>
        <v>Sie schweben zusammen durch die Stromschnellen den Fluss hinunter.</v>
      </c>
    </row>
    <row r="27391">
      <c r="A27391" s="4" t="s">
        <v>34488</v>
      </c>
      <c r="B27391" s="4" t="s">
        <v>34489</v>
      </c>
      <c r="C27391" s="5" t="str">
        <f>IFERROR(__xludf.DUMMYFUNCTION("GOOGLETRANSLATE(B27391,""en"",""de"")"),"Ein Mann und ein Mann im grünen Hemd dekorieren den Weihnachtsbaum mit seinem Kind im grauen Hemd, sie setzen die Dekorationen, während die Frau am Baum auf einem Stuhl sitzt und die Dekore auf den blauen Tisch legt.")</f>
        <v>Ein Mann und ein Mann im grünen Hemd dekorieren den Weihnachtsbaum mit seinem Kind im grauen Hemd, sie setzen die Dekorationen, während die Frau am Baum auf einem Stuhl sitzt und die Dekore auf den blauen Tisch legt.</v>
      </c>
    </row>
    <row r="27392">
      <c r="A27392" s="4" t="s">
        <v>34488</v>
      </c>
      <c r="B27392" s="4" t="s">
        <v>34490</v>
      </c>
      <c r="C27392" s="5" t="str">
        <f>IFERROR(__xludf.DUMMYFUNCTION("GOOGLETRANSLATE(B27392,""en"",""de"")"),"Die Dame half dem Mann und Kind, das Dekor im Weihnachtsbaum aufzuhängen, der Mann gab der Dame ein paar Dekorationen und sie legte es auf den Baum.")</f>
        <v>Die Dame half dem Mann und Kind, das Dekor im Weihnachtsbaum aufzuhängen, der Mann gab der Dame ein paar Dekorationen und sie legte es auf den Baum.</v>
      </c>
    </row>
    <row r="27393">
      <c r="A27393" s="4" t="s">
        <v>34488</v>
      </c>
      <c r="B27393" s="4" t="s">
        <v>34491</v>
      </c>
      <c r="C27393" s="5" t="str">
        <f>IFERROR(__xludf.DUMMYFUNCTION("GOOGLETRANSLATE(B27393,""en"",""de"")"),"Die Frau saß auf dem Stuhl, um den Weihnachtsball auf dem Tisch zu arrangieren, und half ihnen bei den Dekorationen.")</f>
        <v>Die Frau saß auf dem Stuhl, um den Weihnachtsball auf dem Tisch zu arrangieren, und half ihnen bei den Dekorationen.</v>
      </c>
    </row>
    <row r="27394">
      <c r="A27394" s="4" t="s">
        <v>34488</v>
      </c>
      <c r="B27394" s="4" t="s">
        <v>34492</v>
      </c>
      <c r="C27394" s="5" t="str">
        <f>IFERROR(__xludf.DUMMYFUNCTION("GOOGLETRANSLATE(B27394,""en"",""de"")"),"Eine Dame in schwarzem Top legte den Weihnachtsbaum mehr Dekorationen.")</f>
        <v>Eine Dame in schwarzem Top legte den Weihnachtsbaum mehr Dekorationen.</v>
      </c>
    </row>
    <row r="27395">
      <c r="A27395" s="4" t="s">
        <v>34493</v>
      </c>
      <c r="B27395" s="4" t="s">
        <v>34494</v>
      </c>
      <c r="C27395" s="5" t="str">
        <f>IFERROR(__xludf.DUMMYFUNCTION("GOOGLETRANSLATE(B27395,""en"",""de"")"),"Ein Junge geht zu einem Posten auf einem sehr großen Innenhof.")</f>
        <v>Ein Junge geht zu einem Posten auf einem sehr großen Innenhof.</v>
      </c>
    </row>
    <row r="27396">
      <c r="A27396" s="4" t="s">
        <v>34493</v>
      </c>
      <c r="B27396" s="4" t="s">
        <v>34495</v>
      </c>
      <c r="C27396" s="5" t="str">
        <f>IFERROR(__xludf.DUMMYFUNCTION("GOOGLETRANSLATE(B27396,""en"",""de"")"),"Er macht sich fertig und bewegt seine Arme herum.")</f>
        <v>Er macht sich fertig und bewegt seine Arme herum.</v>
      </c>
    </row>
    <row r="27397">
      <c r="A27397" s="4" t="s">
        <v>34493</v>
      </c>
      <c r="B27397" s="4" t="s">
        <v>34496</v>
      </c>
      <c r="C27397" s="5" t="str">
        <f>IFERROR(__xludf.DUMMYFUNCTION("GOOGLETRANSLATE(B27397,""en"",""de"")"),"Er beginnt sich sehr schnell herumzudrehen.")</f>
        <v>Er beginnt sich sehr schnell herumzudrehen.</v>
      </c>
    </row>
    <row r="27398">
      <c r="A27398" s="4" t="s">
        <v>34493</v>
      </c>
      <c r="B27398" s="4" t="s">
        <v>34497</v>
      </c>
      <c r="C27398" s="5" t="str">
        <f>IFERROR(__xludf.DUMMYFUNCTION("GOOGLETRANSLATE(B27398,""en"",""de"")"),"Schließlich loslassen und den Ball werfen.")</f>
        <v>Schließlich loslassen und den Ball werfen.</v>
      </c>
    </row>
    <row r="27399">
      <c r="A27399" s="4" t="s">
        <v>34498</v>
      </c>
      <c r="B27399" s="4" t="s">
        <v>34499</v>
      </c>
      <c r="C27399" s="5" t="str">
        <f>IFERROR(__xludf.DUMMYFUNCTION("GOOGLETRANSLATE(B27399,""en"",""de"")"),"Eine Frau schlägt die Wange, als sie sich auf ein Feld vorbereitet.")</f>
        <v>Eine Frau schlägt die Wange, als sie sich auf ein Feld vorbereitet.</v>
      </c>
    </row>
    <row r="27400">
      <c r="A27400" s="4" t="s">
        <v>34498</v>
      </c>
      <c r="B27400" s="4" t="s">
        <v>34500</v>
      </c>
      <c r="C27400" s="5" t="str">
        <f>IFERROR(__xludf.DUMMYFUNCTION("GOOGLETRANSLATE(B27400,""en"",""de"")"),"Sie schwingt mehrmals mit einem Ball herum.")</f>
        <v>Sie schwingt mehrmals mit einem Ball herum.</v>
      </c>
    </row>
    <row r="27401">
      <c r="A27401" s="4" t="s">
        <v>34498</v>
      </c>
      <c r="B27401" s="4" t="s">
        <v>34501</v>
      </c>
      <c r="C27401" s="5" t="str">
        <f>IFERROR(__xludf.DUMMYFUNCTION("GOOGLETRANSLATE(B27401,""en"",""de"")"),"Sie lässt los und lässt den Ball durch die Luft fliegen.")</f>
        <v>Sie lässt los und lässt den Ball durch die Luft fliegen.</v>
      </c>
    </row>
    <row r="27402">
      <c r="A27402" s="4" t="s">
        <v>34502</v>
      </c>
      <c r="B27402" s="4" t="s">
        <v>34503</v>
      </c>
      <c r="C27402" s="5" t="str">
        <f>IFERROR(__xludf.DUMMYFUNCTION("GOOGLETRANSLATE(B27402,""en"",""de"")"),"Eine Frau, die ein schwarzes Oberteil und mit lockigem braunem Haar und Bronze -Highlights trägt, zeigt, wie man einen Diffusor zum trockenen Haar verwendet.")</f>
        <v>Eine Frau, die ein schwarzes Oberteil und mit lockigem braunem Haar und Bronze -Highlights trägt, zeigt, wie man einen Diffusor zum trockenen Haar verwendet.</v>
      </c>
    </row>
    <row r="27403">
      <c r="A27403" s="4" t="s">
        <v>34502</v>
      </c>
      <c r="B27403" s="4" t="s">
        <v>34504</v>
      </c>
      <c r="C27403" s="5" t="str">
        <f>IFERROR(__xludf.DUMMYFUNCTION("GOOGLETRANSLATE(B27403,""en"",""de"")"),"Sie benutzt den Föhn bei mittlerer Hitze, um ihr Haar zu trocknen.")</f>
        <v>Sie benutzt den Föhn bei mittlerer Hitze, um ihr Haar zu trocknen.</v>
      </c>
    </row>
    <row r="27404">
      <c r="A27404" s="4" t="s">
        <v>34502</v>
      </c>
      <c r="B27404" s="4" t="s">
        <v>34505</v>
      </c>
      <c r="C27404" s="5" t="str">
        <f>IFERROR(__xludf.DUMMYFUNCTION("GOOGLETRANSLATE(B27404,""en"",""de"")"),"Sie trocknet die Locken, bis die Feuchtigkeit aus dem Haar verschwunden ist.")</f>
        <v>Sie trocknet die Locken, bis die Feuchtigkeit aus dem Haar verschwunden ist.</v>
      </c>
    </row>
    <row r="27405">
      <c r="A27405" s="4" t="s">
        <v>34502</v>
      </c>
      <c r="B27405" s="4" t="s">
        <v>34506</v>
      </c>
      <c r="C27405" s="5" t="str">
        <f>IFERROR(__xludf.DUMMYFUNCTION("GOOGLETRANSLATE(B27405,""en"",""de"")"),"Nachdem sie mit dem Föhn fertig war, benutzt sie einen breiten Zahnkamm, um durch ihre Locken zu kämmen.")</f>
        <v>Nachdem sie mit dem Föhn fertig war, benutzt sie einen breiten Zahnkamm, um durch ihre Locken zu kämmen.</v>
      </c>
    </row>
    <row r="27406">
      <c r="A27406" s="4" t="s">
        <v>34502</v>
      </c>
      <c r="B27406" s="4" t="s">
        <v>34507</v>
      </c>
      <c r="C27406" s="5" t="str">
        <f>IFERROR(__xludf.DUMMYFUNCTION("GOOGLETRANSLATE(B27406,""en"",""de"")"),"Sie kocht dann ihre Haare und zeigt ihre üppigen Locken.")</f>
        <v>Sie kocht dann ihre Haare und zeigt ihre üppigen Locken.</v>
      </c>
    </row>
    <row r="27407">
      <c r="A27407" s="4" t="s">
        <v>34508</v>
      </c>
      <c r="B27407" s="4" t="s">
        <v>34509</v>
      </c>
      <c r="C27407" s="5" t="str">
        <f>IFERROR(__xludf.DUMMYFUNCTION("GOOGLETRANSLATE(B27407,""en"",""de"")"),"Ein Hubschrauber fliegt in einigen Leuten, die dann anfangen, Paintball zu spielen.")</f>
        <v>Ein Hubschrauber fliegt in einigen Leuten, die dann anfangen, Paintball zu spielen.</v>
      </c>
    </row>
    <row r="27408">
      <c r="A27408" s="4" t="s">
        <v>34508</v>
      </c>
      <c r="B27408" s="4" t="s">
        <v>34510</v>
      </c>
      <c r="C27408" s="5" t="str">
        <f>IFERROR(__xludf.DUMMYFUNCTION("GOOGLETRANSLATE(B27408,""en"",""de"")"),"Sie rennen Hindernisse herum und haben eine tolle Zeit.")</f>
        <v>Sie rennen Hindernisse herum und haben eine tolle Zeit.</v>
      </c>
    </row>
    <row r="27409">
      <c r="A27409" s="4" t="s">
        <v>34511</v>
      </c>
      <c r="B27409" s="4" t="s">
        <v>34512</v>
      </c>
      <c r="C27409" s="5" t="str">
        <f>IFERROR(__xludf.DUMMYFUNCTION("GOOGLETRANSLATE(B27409,""en"",""de"")"),"Ein Junge hält eine Axt draußen.")</f>
        <v>Ein Junge hält eine Axt draußen.</v>
      </c>
    </row>
    <row r="27410">
      <c r="A27410" s="4" t="s">
        <v>34511</v>
      </c>
      <c r="B27410" s="4" t="s">
        <v>34513</v>
      </c>
      <c r="C27410" s="5" t="str">
        <f>IFERROR(__xludf.DUMMYFUNCTION("GOOGLETRANSLATE(B27410,""en"",""de"")"),"Er schwingt die Axt mit einem Stumpf.")</f>
        <v>Er schwingt die Axt mit einem Stumpf.</v>
      </c>
    </row>
    <row r="27411">
      <c r="A27411" s="4" t="s">
        <v>34511</v>
      </c>
      <c r="B27411" s="4" t="s">
        <v>34514</v>
      </c>
      <c r="C27411" s="5" t="str">
        <f>IFERROR(__xludf.DUMMYFUNCTION("GOOGLETRANSLATE(B27411,""en"",""de"")"),"Ein anderer Junge wird gezeigt, was das Gleiche tut.")</f>
        <v>Ein anderer Junge wird gezeigt, was das Gleiche tut.</v>
      </c>
    </row>
    <row r="27412">
      <c r="A27412" s="4" t="s">
        <v>34511</v>
      </c>
      <c r="B27412" s="4" t="s">
        <v>34515</v>
      </c>
      <c r="C27412" s="5" t="str">
        <f>IFERROR(__xludf.DUMMYFUNCTION("GOOGLETRANSLATE(B27412,""en"",""de"")"),"Sie versuchen weiterhin, das Holz zu teilen.")</f>
        <v>Sie versuchen weiterhin, das Holz zu teilen.</v>
      </c>
    </row>
    <row r="27413">
      <c r="A27413" s="4" t="s">
        <v>34516</v>
      </c>
      <c r="B27413" s="4" t="s">
        <v>34517</v>
      </c>
      <c r="C27413" s="5" t="str">
        <f>IFERROR(__xludf.DUMMYFUNCTION("GOOGLETRANSLATE(B27413,""en"",""de"")"),"Der Beginn eines Rennens wird im Laufe der Menschen gezeigt und das Finish wird ebenfalls gezeigt.")</f>
        <v>Der Beginn eines Rennens wird im Laufe der Menschen gezeigt und das Finish wird ebenfalls gezeigt.</v>
      </c>
    </row>
    <row r="27414">
      <c r="A27414" s="4" t="s">
        <v>34516</v>
      </c>
      <c r="B27414" s="4" t="s">
        <v>34518</v>
      </c>
      <c r="C27414" s="5" t="str">
        <f>IFERROR(__xludf.DUMMYFUNCTION("GOOGLETRANSLATE(B27414,""en"",""de"")"),"Menschen in Kostümen werden gezeigt und die Menschen haben im Allgemeinen eine tolle Zeit.")</f>
        <v>Menschen in Kostümen werden gezeigt und die Menschen haben im Allgemeinen eine tolle Zeit.</v>
      </c>
    </row>
    <row r="27415">
      <c r="A27415" s="4" t="s">
        <v>34519</v>
      </c>
      <c r="B27415" s="4" t="s">
        <v>34520</v>
      </c>
      <c r="C27415" s="5" t="str">
        <f>IFERROR(__xludf.DUMMYFUNCTION("GOOGLETRANSLATE(B27415,""en"",""de"")"),"Ein Intro führt in mehrere Schüsse von Menschen, die schneebedeckte Hügel hinunterfahren und die Seite hinaufklettern.")</f>
        <v>Ein Intro führt in mehrere Schüsse von Menschen, die schneebedeckte Hügel hinunterfahren und die Seite hinaufklettern.</v>
      </c>
    </row>
    <row r="27416">
      <c r="A27416" s="4" t="s">
        <v>34519</v>
      </c>
      <c r="B27416" s="4" t="s">
        <v>34521</v>
      </c>
      <c r="C27416" s="5" t="str">
        <f>IFERROR(__xludf.DUMMYFUNCTION("GOOGLETRANSLATE(B27416,""en"",""de"")"),"Zwei Leute sprechen mit der Kamera und zeigen mehr Aufnahmen von ihnen, die auf einen Berg und verschiedene Schüsse des Berges klettern.")</f>
        <v>Zwei Leute sprechen mit der Kamera und zeigen mehr Aufnahmen von ihnen, die auf einen Berg und verschiedene Schüsse des Berges klettern.</v>
      </c>
    </row>
    <row r="27417">
      <c r="A27417" s="4" t="s">
        <v>34519</v>
      </c>
      <c r="B27417" s="4" t="s">
        <v>34522</v>
      </c>
      <c r="C27417" s="5" t="str">
        <f>IFERROR(__xludf.DUMMYFUNCTION("GOOGLETRANSLATE(B27417,""en"",""de"")"),"Die Leute reiten dann mit Skiern herum, während sie immer noch mit der Kamera sprechen, und zeigen mehrere Aufnahmen von ihnen, die den schneebedeckten Berg hinunterfahren.")</f>
        <v>Die Leute reiten dann mit Skiern herum, während sie immer noch mit der Kamera sprechen, und zeigen mehrere Aufnahmen von ihnen, die den schneebedeckten Berg hinunterfahren.</v>
      </c>
    </row>
    <row r="27418">
      <c r="A27418" s="4" t="s">
        <v>34523</v>
      </c>
      <c r="B27418" s="4" t="s">
        <v>34524</v>
      </c>
      <c r="C27418" s="5" t="str">
        <f>IFERROR(__xludf.DUMMYFUNCTION("GOOGLETRANSLATE(B27418,""en"",""de"")"),"Zwei Frauen und ein kleines Mädchen gehen im Freien und zeigen dem kleinen Mädchen eine Gruppe von Jungen in der Ferne.")</f>
        <v>Zwei Frauen und ein kleines Mädchen gehen im Freien und zeigen dem kleinen Mädchen eine Gruppe von Jungen in der Ferne.</v>
      </c>
    </row>
    <row r="27419">
      <c r="A27419" s="4" t="s">
        <v>34523</v>
      </c>
      <c r="B27419" s="4" t="s">
        <v>34525</v>
      </c>
      <c r="C27419" s="5" t="str">
        <f>IFERROR(__xludf.DUMMYFUNCTION("GOOGLETRANSLATE(B27419,""en"",""de"")"),"Sie werfen einen Ball und das Mädchen tritt ihn, bevor sie zu einer Basis geführt werden.")</f>
        <v>Sie werfen einen Ball und das Mädchen tritt ihn, bevor sie zu einer Basis geführt werden.</v>
      </c>
    </row>
    <row r="27420">
      <c r="A27420" s="4" t="s">
        <v>34523</v>
      </c>
      <c r="B27420" s="4" t="s">
        <v>34526</v>
      </c>
      <c r="C27420" s="5" t="str">
        <f>IFERROR(__xludf.DUMMYFUNCTION("GOOGLETRANSLATE(B27420,""en"",""de"")"),"Die Gruppe versammelt sich zusammen, um ihr zu gratulieren.")</f>
        <v>Die Gruppe versammelt sich zusammen, um ihr zu gratulieren.</v>
      </c>
    </row>
    <row r="27421">
      <c r="A27421" s="4" t="s">
        <v>34527</v>
      </c>
      <c r="B27421" s="4" t="s">
        <v>34528</v>
      </c>
      <c r="C27421" s="5" t="str">
        <f>IFERROR(__xludf.DUMMYFUNCTION("GOOGLETRANSLATE(B27421,""en"",""de"")"),"Ein Mann sitzt hinter einem Schreibtisch, der an einem Computer arbeitet.")</f>
        <v>Ein Mann sitzt hinter einem Schreibtisch, der an einem Computer arbeitet.</v>
      </c>
    </row>
    <row r="27422">
      <c r="A27422" s="4" t="s">
        <v>34527</v>
      </c>
      <c r="B27422" s="4" t="s">
        <v>34529</v>
      </c>
      <c r="C27422" s="5" t="str">
        <f>IFERROR(__xludf.DUMMYFUNCTION("GOOGLETRANSLATE(B27422,""en"",""de"")"),"Es werden mehrere Schüsse gezeigt, die von Menschen aus Papier und Papier in der Nähe gedruckt werden.")</f>
        <v>Es werden mehrere Schüsse gezeigt, die von Menschen aus Papier und Papier in der Nähe gedruckt werden.</v>
      </c>
    </row>
    <row r="27423">
      <c r="A27423" s="4" t="s">
        <v>34527</v>
      </c>
      <c r="B27423" s="4" t="s">
        <v>34530</v>
      </c>
      <c r="C27423" s="5" t="str">
        <f>IFERROR(__xludf.DUMMYFUNCTION("GOOGLETRANSLATE(B27423,""en"",""de"")"),"Weitere Clips werden von Menschen gezeigt, die sowohl die Tapete als auch auf die Stadt aufhängen.")</f>
        <v>Weitere Clips werden von Menschen gezeigt, die sowohl die Tapete als auch auf die Stadt aufhängen.</v>
      </c>
    </row>
    <row r="27424">
      <c r="A27424" s="4" t="s">
        <v>34531</v>
      </c>
      <c r="B27424" s="4" t="s">
        <v>34532</v>
      </c>
      <c r="C27424" s="5" t="str">
        <f>IFERROR(__xludf.DUMMYFUNCTION("GOOGLETRANSLATE(B27424,""en"",""de"")"),"Ein Video zeigt einen Mann und eine Frau, die sich gegenseitig hält und sich zurück und vierten bewegt.")</f>
        <v>Ein Video zeigt einen Mann und eine Frau, die sich gegenseitig hält und sich zurück und vierten bewegt.</v>
      </c>
    </row>
    <row r="27425">
      <c r="A27425" s="4" t="s">
        <v>34531</v>
      </c>
      <c r="B27425" s="4" t="s">
        <v>34533</v>
      </c>
      <c r="C27425" s="5" t="str">
        <f>IFERROR(__xludf.DUMMYFUNCTION("GOOGLETRANSLATE(B27425,""en"",""de"")"),"Das Paar bewegt die Füße zurück und vierten, während der Mann mit der Kamera spricht.")</f>
        <v>Das Paar bewegt die Füße zurück und vierten, während der Mann mit der Kamera spricht.</v>
      </c>
    </row>
    <row r="27426">
      <c r="A27426" s="4" t="s">
        <v>34531</v>
      </c>
      <c r="B27426" s="4" t="s">
        <v>34534</v>
      </c>
      <c r="C27426" s="5" t="str">
        <f>IFERROR(__xludf.DUMMYFUNCTION("GOOGLETRANSLATE(B27426,""en"",""de"")"),"Die Frau spricht schließlich die Kamera, während er mehrere verschiedene Tanzbewegungen ausführt, damit die Kamera sehen kann.")</f>
        <v>Die Frau spricht schließlich die Kamera, während er mehrere verschiedene Tanzbewegungen ausführt, damit die Kamera sehen kann.</v>
      </c>
    </row>
    <row r="27427">
      <c r="A27427" s="4" t="s">
        <v>34535</v>
      </c>
      <c r="B27427" s="4" t="s">
        <v>34536</v>
      </c>
      <c r="C27427" s="5" t="str">
        <f>IFERROR(__xludf.DUMMYFUNCTION("GOOGLETRANSLATE(B27427,""en"",""de"")"),"Mehrere Kanus sind im Leerlauf in trüben Wasser gezeigt.")</f>
        <v>Mehrere Kanus sind im Leerlauf in trüben Wasser gezeigt.</v>
      </c>
    </row>
    <row r="27428">
      <c r="A27428" s="4" t="s">
        <v>34535</v>
      </c>
      <c r="B27428" s="4" t="s">
        <v>34537</v>
      </c>
      <c r="C27428" s="5" t="str">
        <f>IFERROR(__xludf.DUMMYFUNCTION("GOOGLETRANSLATE(B27428,""en"",""de"")"),"Dann beginnt ein Satz Jungen im Wasser Kajakfahren und springt von den Bäumen.")</f>
        <v>Dann beginnt ein Satz Jungen im Wasser Kajakfahren und springt von den Bäumen.</v>
      </c>
    </row>
    <row r="27429">
      <c r="A27429" s="4" t="s">
        <v>34538</v>
      </c>
      <c r="B27429" s="4" t="s">
        <v>34539</v>
      </c>
      <c r="C27429" s="5" t="str">
        <f>IFERROR(__xludf.DUMMYFUNCTION("GOOGLETRANSLATE(B27429,""en"",""de"")"),"Eine Person wäscht ihre Hände in einem Waschbecken.")</f>
        <v>Eine Person wäscht ihre Hände in einem Waschbecken.</v>
      </c>
    </row>
    <row r="27430">
      <c r="A27430" s="4" t="s">
        <v>34538</v>
      </c>
      <c r="B27430" s="4" t="s">
        <v>34540</v>
      </c>
      <c r="C27430" s="5" t="str">
        <f>IFERROR(__xludf.DUMMYFUNCTION("GOOGLETRANSLATE(B27430,""en"",""de"")"),"Zwei Frauen stehen am Waschbecken und waschen ihre Hände.")</f>
        <v>Zwei Frauen stehen am Waschbecken und waschen ihre Hände.</v>
      </c>
    </row>
    <row r="27431">
      <c r="A27431" s="4" t="s">
        <v>34538</v>
      </c>
      <c r="B27431" s="4" t="s">
        <v>13650</v>
      </c>
      <c r="C27431" s="5" t="str">
        <f>IFERROR(__xludf.DUMMYFUNCTION("GOOGLETRANSLATE(B27431,""en"",""de"")"),"Wörter kommen auf den Bildschirm.")</f>
        <v>Wörter kommen auf den Bildschirm.</v>
      </c>
    </row>
    <row r="27432">
      <c r="A27432" s="4" t="s">
        <v>34541</v>
      </c>
      <c r="B27432" s="4" t="s">
        <v>34542</v>
      </c>
      <c r="C27432" s="5" t="str">
        <f>IFERROR(__xludf.DUMMYFUNCTION("GOOGLETRANSLATE(B27432,""en"",""de"")"),"Zwei Männer auf einem Knie zeigen in einem Therapie -Fitnessstudio eine Hüftflexer -Strecke.")</f>
        <v>Zwei Männer auf einem Knie zeigen in einem Therapie -Fitnessstudio eine Hüftflexer -Strecke.</v>
      </c>
    </row>
    <row r="27433">
      <c r="A27433" s="4" t="s">
        <v>34541</v>
      </c>
      <c r="B27433" s="4" t="s">
        <v>34543</v>
      </c>
      <c r="C27433" s="5" t="str">
        <f>IFERROR(__xludf.DUMMYFUNCTION("GOOGLETRANSLATE(B27433,""en"",""de"")"),"Der Mann, der ein schwarzes T-Shirt trägt, verwendet den Mann, der ein grünes T-Shirt trägt, als Modell, um die Hüftflexer-Dehnung zu demonstrieren.")</f>
        <v>Der Mann, der ein schwarzes T-Shirt trägt, verwendet den Mann, der ein grünes T-Shirt trägt, als Modell, um die Hüftflexer-Dehnung zu demonstrieren.</v>
      </c>
    </row>
    <row r="27434">
      <c r="A27434" s="4" t="s">
        <v>34541</v>
      </c>
      <c r="B27434" s="4" t="s">
        <v>34544</v>
      </c>
      <c r="C27434" s="5" t="str">
        <f>IFERROR(__xludf.DUMMYFUNCTION("GOOGLETRANSLATE(B27434,""en"",""de"")"),"Der Mann im schwarzen T -Shirt passt den Mann im grün -t -Hemd A in verschiedene Positionen ein, indem er Fuß, Bein, Hüften und Arme leichte Positionierung des Fußes, der Hüften und der Arme hat.")</f>
        <v>Der Mann im schwarzen T -Shirt passt den Mann im grün -t -Hemd A in verschiedene Positionen ein, indem er Fuß, Bein, Hüften und Arme leichte Positionierung des Fußes, der Hüften und der Arme hat.</v>
      </c>
    </row>
    <row r="27435">
      <c r="A27435" s="4" t="s">
        <v>34545</v>
      </c>
      <c r="B27435" s="4" t="s">
        <v>34546</v>
      </c>
      <c r="C27435" s="5" t="str">
        <f>IFERROR(__xludf.DUMMYFUNCTION("GOOGLETRANSLATE(B27435,""en"",""de"")"),"Die Credits der Clips werden angezeigt.")</f>
        <v>Die Credits der Clips werden angezeigt.</v>
      </c>
    </row>
    <row r="27436">
      <c r="A27436" s="4" t="s">
        <v>34545</v>
      </c>
      <c r="B27436" s="4" t="s">
        <v>34547</v>
      </c>
      <c r="C27436" s="5" t="str">
        <f>IFERROR(__xludf.DUMMYFUNCTION("GOOGLETRANSLATE(B27436,""en"",""de"")"),"Eine Frau ist draußen neben einem Schneehaufen.")</f>
        <v>Eine Frau ist draußen neben einem Schneehaufen.</v>
      </c>
    </row>
    <row r="27437">
      <c r="A27437" s="4" t="s">
        <v>34545</v>
      </c>
      <c r="B27437" s="4" t="s">
        <v>34548</v>
      </c>
      <c r="C27437" s="5" t="str">
        <f>IFERROR(__xludf.DUMMYFUNCTION("GOOGLETRANSLATE(B27437,""en"",""de"")"),"Ein Mann nimmt einen Schaufellandschaufel schaufelte Schnee zur Seite.")</f>
        <v>Ein Mann nimmt einen Schaufellandschaufel schaufelte Schnee zur Seite.</v>
      </c>
    </row>
    <row r="27438">
      <c r="A27438" s="4" t="s">
        <v>34545</v>
      </c>
      <c r="B27438" s="4" t="s">
        <v>34549</v>
      </c>
      <c r="C27438" s="5" t="str">
        <f>IFERROR(__xludf.DUMMYFUNCTION("GOOGLETRANSLATE(B27438,""en"",""de"")"),"Der Typ legt die Schaufel nieder und streckt seinen Rücken zweimal nach hinten.")</f>
        <v>Der Typ legt die Schaufel nieder und streckt seinen Rücken zweimal nach hinten.</v>
      </c>
    </row>
    <row r="27439">
      <c r="A27439" s="4" t="s">
        <v>34545</v>
      </c>
      <c r="B27439" s="4" t="s">
        <v>34550</v>
      </c>
      <c r="C27439" s="5" t="str">
        <f>IFERROR(__xludf.DUMMYFUNCTION("GOOGLETRANSLATE(B27439,""en"",""de"")"),"Der Typ nimmt die Schaufel auf und schaufelt weiter Schnee.")</f>
        <v>Der Typ nimmt die Schaufel auf und schaufelt weiter Schnee.</v>
      </c>
    </row>
    <row r="27440">
      <c r="A27440" s="4" t="s">
        <v>34545</v>
      </c>
      <c r="B27440" s="4" t="s">
        <v>34546</v>
      </c>
      <c r="C27440" s="5" t="str">
        <f>IFERROR(__xludf.DUMMYFUNCTION("GOOGLETRANSLATE(B27440,""en"",""de"")"),"Die Credits der Clips werden angezeigt.")</f>
        <v>Die Credits der Clips werden angezeigt.</v>
      </c>
    </row>
    <row r="27441">
      <c r="A27441" s="4" t="s">
        <v>34551</v>
      </c>
      <c r="B27441" s="4" t="s">
        <v>34552</v>
      </c>
      <c r="C27441" s="5" t="str">
        <f>IFERROR(__xludf.DUMMYFUNCTION("GOOGLETRANSLATE(B27441,""en"",""de"")"),"Eine Nahaufnahme von Kindern ist zu sehen, wie sie ein Stoßfängerauto -Spiel reiten und ineinander rennen.")</f>
        <v>Eine Nahaufnahme von Kindern ist zu sehen, wie sie ein Stoßfängerauto -Spiel reiten und ineinander rennen.</v>
      </c>
    </row>
    <row r="27442">
      <c r="A27442" s="4" t="s">
        <v>34551</v>
      </c>
      <c r="B27442" s="4" t="s">
        <v>34553</v>
      </c>
      <c r="C27442" s="5" t="str">
        <f>IFERROR(__xludf.DUMMYFUNCTION("GOOGLETRANSLATE(B27442,""en"",""de"")"),"Zwei Jungen sind gesehen, wie sich mehrere andere Kinder herumtreffen und sich gegenseitig schlagen.")</f>
        <v>Zwei Jungen sind gesehen, wie sich mehrere andere Kinder herumtreffen und sich gegenseitig schlagen.</v>
      </c>
    </row>
    <row r="27443">
      <c r="A27443" s="4" t="s">
        <v>34554</v>
      </c>
      <c r="B27443" s="4" t="s">
        <v>34555</v>
      </c>
      <c r="C27443" s="5" t="str">
        <f>IFERROR(__xludf.DUMMYFUNCTION("GOOGLETRANSLATE(B27443,""en"",""de"")"),"Ein Kind füllt einen Topf mit Wasser.")</f>
        <v>Ein Kind füllt einen Topf mit Wasser.</v>
      </c>
    </row>
    <row r="27444">
      <c r="A27444" s="4" t="s">
        <v>34554</v>
      </c>
      <c r="B27444" s="4" t="s">
        <v>34556</v>
      </c>
      <c r="C27444" s="5" t="str">
        <f>IFERROR(__xludf.DUMMYFUNCTION("GOOGLETRANSLATE(B27444,""en"",""de"")"),"Er legt den Topf auf einen Herd und legt einen Deckel darauf.")</f>
        <v>Er legt den Topf auf einen Herd und legt einen Deckel darauf.</v>
      </c>
    </row>
    <row r="27445">
      <c r="A27445" s="4" t="s">
        <v>34554</v>
      </c>
      <c r="B27445" s="4" t="s">
        <v>34557</v>
      </c>
      <c r="C27445" s="5" t="str">
        <f>IFERROR(__xludf.DUMMYFUNCTION("GOOGLETRANSLATE(B27445,""en"",""de"")"),"Er fügt dem Topf Salz und Nudeln hinzu.")</f>
        <v>Er fügt dem Topf Salz und Nudeln hinzu.</v>
      </c>
    </row>
    <row r="27446">
      <c r="A27446" s="4" t="s">
        <v>34554</v>
      </c>
      <c r="B27446" s="4" t="s">
        <v>34558</v>
      </c>
      <c r="C27446" s="5" t="str">
        <f>IFERROR(__xludf.DUMMYFUNCTION("GOOGLETRANSLATE(B27446,""en"",""de"")"),"Er legt den Deckel wieder auf den Topf.")</f>
        <v>Er legt den Deckel wieder auf den Topf.</v>
      </c>
    </row>
    <row r="27447">
      <c r="A27447" s="4" t="s">
        <v>34554</v>
      </c>
      <c r="B27447" s="4" t="s">
        <v>34559</v>
      </c>
      <c r="C27447" s="5" t="str">
        <f>IFERROR(__xludf.DUMMYFUNCTION("GOOGLETRANSLATE(B27447,""en"",""de"")"),"Er rührt den Topf und gießt die Nudeln in ein Sieb.")</f>
        <v>Er rührt den Topf und gießt die Nudeln in ein Sieb.</v>
      </c>
    </row>
    <row r="27448">
      <c r="A27448" s="4" t="s">
        <v>34554</v>
      </c>
      <c r="B27448" s="4" t="s">
        <v>34560</v>
      </c>
      <c r="C27448" s="5" t="str">
        <f>IFERROR(__xludf.DUMMYFUNCTION("GOOGLETRANSLATE(B27448,""en"",""de"")"),"Er gießt die Nudeln zurück in die Pfanne.")</f>
        <v>Er gießt die Nudeln zurück in die Pfanne.</v>
      </c>
    </row>
    <row r="27449">
      <c r="A27449" s="4" t="s">
        <v>34554</v>
      </c>
      <c r="B27449" s="4" t="s">
        <v>34561</v>
      </c>
      <c r="C27449" s="5" t="str">
        <f>IFERROR(__xludf.DUMMYFUNCTION("GOOGLETRANSLATE(B27449,""en"",""de"")"),"Er fügt Sauce hinzu und rührt sie zusammen.")</f>
        <v>Er fügt Sauce hinzu und rührt sie zusammen.</v>
      </c>
    </row>
    <row r="27450">
      <c r="A27450" s="4" t="s">
        <v>34562</v>
      </c>
      <c r="B27450" s="4" t="s">
        <v>34563</v>
      </c>
      <c r="C27450" s="5" t="str">
        <f>IFERROR(__xludf.DUMMYFUNCTION("GOOGLETRANSLATE(B27450,""en"",""de"")"),"Ein Mann skateboard eine Stadtstraße entlang.")</f>
        <v>Ein Mann skateboard eine Stadtstraße entlang.</v>
      </c>
    </row>
    <row r="27451">
      <c r="A27451" s="4" t="s">
        <v>34562</v>
      </c>
      <c r="B27451" s="4" t="s">
        <v>34564</v>
      </c>
      <c r="C27451" s="5" t="str">
        <f>IFERROR(__xludf.DUMMYFUNCTION("GOOGLETRANSLATE(B27451,""en"",""de"")"),"Er wird gesehen, wie er mitten auf der Straße mit der Kamera spricht.")</f>
        <v>Er wird gesehen, wie er mitten auf der Straße mit der Kamera spricht.</v>
      </c>
    </row>
    <row r="27452">
      <c r="A27452" s="4" t="s">
        <v>34562</v>
      </c>
      <c r="B27452" s="4" t="s">
        <v>34565</v>
      </c>
      <c r="C27452" s="5" t="str">
        <f>IFERROR(__xludf.DUMMYFUNCTION("GOOGLETRANSLATE(B27452,""en"",""de"")"),"Dann sehen wir, wie er mehrere verschiedene Stunts macht, während er sich in den Verkehr wickelt und aus dem Verkehr bringt.")</f>
        <v>Dann sehen wir, wie er mehrere verschiedene Stunts macht, während er sich in den Verkehr wickelt und aus dem Verkehr bringt.</v>
      </c>
    </row>
    <row r="27453">
      <c r="A27453" s="4" t="s">
        <v>34566</v>
      </c>
      <c r="B27453" s="4" t="s">
        <v>34567</v>
      </c>
      <c r="C27453" s="5" t="str">
        <f>IFERROR(__xludf.DUMMYFUNCTION("GOOGLETRANSLATE(B27453,""en"",""de"")"),"Eine Person sitzt am Rand eines Bettes mit einer Gitarre.")</f>
        <v>Eine Person sitzt am Rand eines Bettes mit einer Gitarre.</v>
      </c>
    </row>
    <row r="27454">
      <c r="A27454" s="4" t="s">
        <v>34566</v>
      </c>
      <c r="B27454" s="4" t="s">
        <v>34568</v>
      </c>
      <c r="C27454" s="5" t="str">
        <f>IFERROR(__xludf.DUMMYFUNCTION("GOOGLETRANSLATE(B27454,""en"",""de"")"),"Die Person beginnt Gitarre zu spielen und schaut zur Kamera.")</f>
        <v>Die Person beginnt Gitarre zu spielen und schaut zur Kamera.</v>
      </c>
    </row>
    <row r="27455">
      <c r="A27455" s="4" t="s">
        <v>34566</v>
      </c>
      <c r="B27455" s="4" t="s">
        <v>34569</v>
      </c>
      <c r="C27455" s="5" t="str">
        <f>IFERROR(__xludf.DUMMYFUNCTION("GOOGLETRANSLATE(B27455,""en"",""de"")"),"Der Mann spielt weiter und hört auf, seine Hand aus dem Rahmen zu bewegen.")</f>
        <v>Der Mann spielt weiter und hört auf, seine Hand aus dem Rahmen zu bewegen.</v>
      </c>
    </row>
    <row r="27456">
      <c r="A27456" s="4" t="s">
        <v>34570</v>
      </c>
      <c r="B27456" s="4" t="s">
        <v>34571</v>
      </c>
      <c r="C27456" s="5" t="str">
        <f>IFERROR(__xludf.DUMMYFUNCTION("GOOGLETRANSLATE(B27456,""en"",""de"")"),"Mehrere Personen werden in Bildern gezeigt, die außerhalb eines Gebäudes gesammelt wurden.")</f>
        <v>Mehrere Personen werden in Bildern gezeigt, die außerhalb eines Gebäudes gesammelt wurden.</v>
      </c>
    </row>
    <row r="27457">
      <c r="A27457" s="4" t="s">
        <v>34570</v>
      </c>
      <c r="B27457" s="4" t="s">
        <v>34572</v>
      </c>
      <c r="C27457" s="5" t="str">
        <f>IFERROR(__xludf.DUMMYFUNCTION("GOOGLETRANSLATE(B27457,""en"",""de"")"),"Zwei Cartoon -Sumo -Wrestler sind in einen Kampf verwickelt.")</f>
        <v>Zwei Cartoon -Sumo -Wrestler sind in einen Kampf verwickelt.</v>
      </c>
    </row>
    <row r="27458">
      <c r="A27458" s="4" t="s">
        <v>34570</v>
      </c>
      <c r="B27458" s="4" t="s">
        <v>34573</v>
      </c>
      <c r="C27458" s="5" t="str">
        <f>IFERROR(__xludf.DUMMYFUNCTION("GOOGLETRANSLATE(B27458,""en"",""de"")"),"Sie schlagen sich gegenseitig als Schiedsrichter.")</f>
        <v>Sie schlagen sich gegenseitig als Schiedsrichter.</v>
      </c>
    </row>
    <row r="27459">
      <c r="A27459" s="4" t="s">
        <v>34574</v>
      </c>
      <c r="B27459" s="4" t="s">
        <v>34575</v>
      </c>
      <c r="C27459" s="5" t="str">
        <f>IFERROR(__xludf.DUMMYFUNCTION("GOOGLETRANSLATE(B27459,""en"",""de"")"),"Sumos stehen in einem Staubplatz voreinander und ein Schiedsrichterkleid in weißem Anzug beobachtet sie.")</f>
        <v>Sumos stehen in einem Staubplatz voreinander und ein Schiedsrichterkleid in weißem Anzug beobachtet sie.</v>
      </c>
    </row>
    <row r="27460">
      <c r="A27460" s="4" t="s">
        <v>34574</v>
      </c>
      <c r="B27460" s="4" t="s">
        <v>34576</v>
      </c>
      <c r="C27460" s="5" t="str">
        <f>IFERROR(__xludf.DUMMYFUNCTION("GOOGLETRANSLATE(B27460,""en"",""de"")"),"Männer stat ringen und einer von ihnen, wenn sie den Gerichtshof abheben.")</f>
        <v>Männer stat ringen und einer von ihnen, wenn sie den Gerichtshof abheben.</v>
      </c>
    </row>
    <row r="27461">
      <c r="A27461" s="4" t="s">
        <v>34577</v>
      </c>
      <c r="B27461" s="4" t="s">
        <v>34578</v>
      </c>
      <c r="C27461" s="5" t="str">
        <f>IFERROR(__xludf.DUMMYFUNCTION("GOOGLETRANSLATE(B27461,""en"",""de"")"),"Die Hände einer Person haben gesehen, wie ein Stück Papier mit einer Schere schneidet und dann eine Schachtel mit Papier einwickelt.")</f>
        <v>Die Hände einer Person haben gesehen, wie ein Stück Papier mit einer Schere schneidet und dann eine Schachtel mit Papier einwickelt.</v>
      </c>
    </row>
    <row r="27462">
      <c r="A27462" s="4" t="s">
        <v>34577</v>
      </c>
      <c r="B27462" s="4" t="s">
        <v>34579</v>
      </c>
      <c r="C27462" s="5" t="str">
        <f>IFERROR(__xludf.DUMMYFUNCTION("GOOGLETRANSLATE(B27462,""en"",""de"")"),"Sie speichert die Gegenwart und bindet es in einer Schüssel, endet, indem sie die überschüssige Schnur schneidet und ein Tag darauf legt.")</f>
        <v>Sie speichert die Gegenwart und bindet es in einer Schüssel, endet, indem sie die überschüssige Schnur schneidet und ein Tag darauf legt.</v>
      </c>
    </row>
    <row r="27463">
      <c r="A27463" s="4" t="s">
        <v>34580</v>
      </c>
      <c r="B27463" s="4" t="s">
        <v>34581</v>
      </c>
      <c r="C27463" s="5" t="str">
        <f>IFERROR(__xludf.DUMMYFUNCTION("GOOGLETRANSLATE(B27463,""en"",""de"")"),"Ein kleines Kind sitzt auf dem Boden und streift ihre Haare vor einem Spiegel.")</f>
        <v>Ein kleines Kind sitzt auf dem Boden und streift ihre Haare vor einem Spiegel.</v>
      </c>
    </row>
    <row r="27464">
      <c r="A27464" s="4" t="s">
        <v>34580</v>
      </c>
      <c r="B27464" s="4" t="s">
        <v>34582</v>
      </c>
      <c r="C27464" s="5" t="str">
        <f>IFERROR(__xludf.DUMMYFUNCTION("GOOGLETRANSLATE(B27464,""en"",""de"")"),"Das Mädchen streift weiterhin die Haare und endet damit, dass sie ein Video ansieht und mit der Kamera spricht.")</f>
        <v>Das Mädchen streift weiterhin die Haare und endet damit, dass sie ein Video ansieht und mit der Kamera spricht.</v>
      </c>
    </row>
    <row r="27465">
      <c r="A27465" s="4" t="s">
        <v>34583</v>
      </c>
      <c r="B27465" s="4" t="s">
        <v>34584</v>
      </c>
      <c r="C27465" s="5" t="str">
        <f>IFERROR(__xludf.DUMMYFUNCTION("GOOGLETRANSLATE(B27465,""en"",""de"")"),"Zwei Männer sprechen mit der Kamera, wenn ein anderer in den Rahmen lacht und weggeht.")</f>
        <v>Zwei Männer sprechen mit der Kamera, wenn ein anderer in den Rahmen lacht und weggeht.</v>
      </c>
    </row>
    <row r="27466">
      <c r="A27466" s="4" t="s">
        <v>34583</v>
      </c>
      <c r="B27466" s="4" t="s">
        <v>34585</v>
      </c>
      <c r="C27466" s="5" t="str">
        <f>IFERROR(__xludf.DUMMYFUNCTION("GOOGLETRANSLATE(B27466,""en"",""de"")"),"Die Männer sprechen weiterhin in ein Arm -Wrestling -Match zwischen den beiden.")</f>
        <v>Die Männer sprechen weiterhin in ein Arm -Wrestling -Match zwischen den beiden.</v>
      </c>
    </row>
    <row r="27467">
      <c r="A27467" s="4" t="s">
        <v>34583</v>
      </c>
      <c r="B27467" s="4" t="s">
        <v>34586</v>
      </c>
      <c r="C27467" s="5" t="str">
        <f>IFERROR(__xludf.DUMMYFUNCTION("GOOGLETRANSLATE(B27467,""en"",""de"")"),"Einer schlägt den anderen und beugt seine Arme zur Kamera, während sie lächelt.")</f>
        <v>Einer schlägt den anderen und beugt seine Arme zur Kamera, während sie lächelt.</v>
      </c>
    </row>
    <row r="27468">
      <c r="A27468" s="4" t="s">
        <v>34587</v>
      </c>
      <c r="B27468" s="4" t="s">
        <v>6935</v>
      </c>
      <c r="C27468" s="5" t="str">
        <f>IFERROR(__xludf.DUMMYFUNCTION("GOOGLETRANSLATE(B27468,""en"",""de"")"),"Der Text wird kurz auf dem Bildschirm angezeigt.")</f>
        <v>Der Text wird kurz auf dem Bildschirm angezeigt.</v>
      </c>
    </row>
    <row r="27469">
      <c r="A27469" s="4" t="s">
        <v>34587</v>
      </c>
      <c r="B27469" s="4" t="s">
        <v>34588</v>
      </c>
      <c r="C27469" s="5" t="str">
        <f>IFERROR(__xludf.DUMMYFUNCTION("GOOGLETRANSLATE(B27469,""en"",""de"")"),"Ein Mann wäscht Macht einen Zaun.")</f>
        <v>Ein Mann wäscht Macht einen Zaun.</v>
      </c>
    </row>
    <row r="27470">
      <c r="A27470" s="4" t="s">
        <v>34587</v>
      </c>
      <c r="B27470" s="4" t="s">
        <v>34589</v>
      </c>
      <c r="C27470" s="5" t="str">
        <f>IFERROR(__xludf.DUMMYFUNCTION("GOOGLETRANSLATE(B27470,""en"",""de"")"),"Es schneidet ihm die Macht, einen anderen Abschnitt zu waschen.")</f>
        <v>Es schneidet ihm die Macht, einen anderen Abschnitt zu waschen.</v>
      </c>
    </row>
    <row r="27471">
      <c r="A27471" s="4" t="s">
        <v>34587</v>
      </c>
      <c r="B27471" s="4" t="s">
        <v>34590</v>
      </c>
      <c r="C27471" s="5" t="str">
        <f>IFERROR(__xludf.DUMMYFUNCTION("GOOGLETRANSLATE(B27471,""en"",""de"")"),"Es verblasst zu einem offenen Schuss des Zauns.")</f>
        <v>Es verblasst zu einem offenen Schuss des Zauns.</v>
      </c>
    </row>
    <row r="27472">
      <c r="A27472" s="4" t="s">
        <v>34591</v>
      </c>
      <c r="B27472" s="4" t="s">
        <v>34592</v>
      </c>
      <c r="C27472" s="5" t="str">
        <f>IFERROR(__xludf.DUMMYFUNCTION("GOOGLETRANSLATE(B27472,""en"",""de"")"),"Es erscheinen mehrere abwechselnde Bilder von Gerichten mit Lebensmitteln.")</f>
        <v>Es erscheinen mehrere abwechselnde Bilder von Gerichten mit Lebensmitteln.</v>
      </c>
    </row>
    <row r="27473">
      <c r="A27473" s="4" t="s">
        <v>34591</v>
      </c>
      <c r="B27473" s="4" t="s">
        <v>34593</v>
      </c>
      <c r="C27473" s="5" t="str">
        <f>IFERROR(__xludf.DUMMYFUNCTION("GOOGLETRANSLATE(B27473,""en"",""de"")"),"Ein Rezept für griechisches Dressing beginnt.")</f>
        <v>Ein Rezept für griechisches Dressing beginnt.</v>
      </c>
    </row>
    <row r="27474">
      <c r="A27474" s="4" t="s">
        <v>34591</v>
      </c>
      <c r="B27474" s="4" t="s">
        <v>34594</v>
      </c>
      <c r="C27474" s="5" t="str">
        <f>IFERROR(__xludf.DUMMYFUNCTION("GOOGLETRANSLATE(B27474,""en"",""de"")"),"Die Zutaten aus Ölpulver werden in einem Glas gemischt und geschüttelt und auf einen Salat gegossen.")</f>
        <v>Die Zutaten aus Ölpulver werden in einem Glas gemischt und geschüttelt und auf einen Salat gegossen.</v>
      </c>
    </row>
    <row r="27475">
      <c r="A27475" s="4" t="s">
        <v>34591</v>
      </c>
      <c r="B27475" s="4" t="s">
        <v>34595</v>
      </c>
      <c r="C27475" s="5" t="str">
        <f>IFERROR(__xludf.DUMMYFUNCTION("GOOGLETRANSLATE(B27475,""en"",""de"")"),"Es wird dann mit Käseblöcken belegt.")</f>
        <v>Es wird dann mit Käseblöcken belegt.</v>
      </c>
    </row>
    <row r="27476">
      <c r="A27476" s="4" t="s">
        <v>34596</v>
      </c>
      <c r="B27476" s="4" t="s">
        <v>34597</v>
      </c>
      <c r="C27476" s="5" t="str">
        <f>IFERROR(__xludf.DUMMYFUNCTION("GOOGLETRANSLATE(B27476,""en"",""de"")"),"Ein schwarzer Bildschirm erscheint und die gelben Wörter auf ihnen lesen ""Extreme How-to Presents"".")</f>
        <v>Ein schwarzer Bildschirm erscheint und die gelben Wörter auf ihnen lesen "Extreme How-to Presents".</v>
      </c>
    </row>
    <row r="27477">
      <c r="A27477" s="4" t="s">
        <v>34596</v>
      </c>
      <c r="B27477" s="4" t="s">
        <v>34598</v>
      </c>
      <c r="C27477" s="5" t="str">
        <f>IFERROR(__xludf.DUMMYFUNCTION("GOOGLETRANSLATE(B27477,""en"",""de"")"),"Der zweite schwarze Bildschirm enthält gelbe Wörter mit der Aufschrift ""Installation erhitzter Bodenfliesen"".")</f>
        <v>Der zweite schwarze Bildschirm enthält gelbe Wörter mit der Aufschrift "Installation erhitzter Bodenfliesen".</v>
      </c>
    </row>
    <row r="27478">
      <c r="A27478" s="4" t="s">
        <v>34596</v>
      </c>
      <c r="B27478" s="4" t="s">
        <v>34599</v>
      </c>
      <c r="C27478" s="5" t="str">
        <f>IFERROR(__xludf.DUMMYFUNCTION("GOOGLETRANSLATE(B27478,""en"",""de"")"),"Ein Mann steht jetzt in der Ecke eines Wohnhauses und spricht jetzt in einem langen ärblichen Knopf mit schwarzem Hemd, braunen langen Hosen, Schuhen und einem Hut.")</f>
        <v>Ein Mann steht jetzt in der Ecke eines Wohnhauses und spricht jetzt in einem langen ärblichen Knopf mit schwarzem Hemd, braunen langen Hosen, Schuhen und einem Hut.</v>
      </c>
    </row>
    <row r="27479">
      <c r="A27479" s="4" t="s">
        <v>34596</v>
      </c>
      <c r="B27479" s="4" t="s">
        <v>34600</v>
      </c>
      <c r="C27479" s="5" t="str">
        <f>IFERROR(__xludf.DUMMYFUNCTION("GOOGLETRANSLATE(B27479,""en"",""de"")"),"Der Mann geht von der Ecke weg und die nächste Aussicht ist von einem knienden Mann, der ein Werkzeug verwendet, um das Grundform aus einer Wand zu entfernen, indem sie eine Bohrpistole mit einem langen Lineal messen und dann auf den gemahlenen grauen Sto"&amp;"ffstücken mit einigen Drähten liegen angehängt an.")</f>
        <v>Der Mann geht von der Ecke weg und die nächste Aussicht ist von einem knienden Mann, der ein Werkzeug verwendet, um das Grundform aus einer Wand zu entfernen, indem sie eine Bohrpistole mit einem langen Lineal messen und dann auf den gemahlenen grauen Stoffstücken mit einigen Drähten liegen angehängt an.</v>
      </c>
    </row>
    <row r="27480">
      <c r="A27480" s="4" t="s">
        <v>34596</v>
      </c>
      <c r="B27480" s="4" t="s">
        <v>34601</v>
      </c>
      <c r="C27480" s="5" t="str">
        <f>IFERROR(__xludf.DUMMYFUNCTION("GOOGLETRANSLATE(B27480,""en"",""de"")"),"Der Mann wird dann angezeigt, was auf einer kleinen weißen Schachtel Knöpfe drückt, und der Mann zeigt nun auf die Drähte, die an diesen grauen Stoffteilen befestigt sind, und der Mann beginnt Drähte in ein graues Rohr zu stecken, das jetzt an der Wand an"&amp;"gezeigt wird.")</f>
        <v>Der Mann wird dann angezeigt, was auf einer kleinen weißen Schachtel Knöpfe drückt, und der Mann zeigt nun auf die Drähte, die an diesen grauen Stoffteilen befestigt sind, und der Mann beginnt Drähte in ein graues Rohr zu stecken, das jetzt an der Wand angezeigt wird.</v>
      </c>
    </row>
    <row r="27481">
      <c r="A27481" s="4" t="s">
        <v>34596</v>
      </c>
      <c r="B27481" s="4" t="s">
        <v>34602</v>
      </c>
      <c r="C27481" s="5" t="str">
        <f>IFERROR(__xludf.DUMMYFUNCTION("GOOGLETRANSLATE(B27481,""en"",""de"")"),"Der Mann ist wieder auf dem Boden mit einer langen Klebebandmessung und misst den Boden.")</f>
        <v>Der Mann ist wieder auf dem Boden mit einer langen Klebebandmessung und misst den Boden.</v>
      </c>
    </row>
    <row r="27482">
      <c r="A27482" s="4" t="s">
        <v>34596</v>
      </c>
      <c r="B27482" s="4" t="s">
        <v>34603</v>
      </c>
      <c r="C27482" s="5" t="str">
        <f>IFERROR(__xludf.DUMMYFUNCTION("GOOGLETRANSLATE(B27482,""en"",""de"")"),"Der Mann hält jetzt eine Fliese mit Kämmen auf allen vier Seiten und er nimmt ein Schläger und ein Werkzeug, um die Teile sanft zusammenzupacken.")</f>
        <v>Der Mann hält jetzt eine Fliese mit Kämmen auf allen vier Seiten und er nimmt ein Schläger und ein Werkzeug, um die Teile sanft zusammenzupacken.</v>
      </c>
    </row>
    <row r="27483">
      <c r="A27483" s="4" t="s">
        <v>34596</v>
      </c>
      <c r="B27483" s="4" t="s">
        <v>34604</v>
      </c>
      <c r="C27483" s="5" t="str">
        <f>IFERROR(__xludf.DUMMYFUNCTION("GOOGLETRANSLATE(B27483,""en"",""de"")"),"Wenn der Mann die Wand erreicht, benutzt er einen Bleistift, um die Fliese zu messen, es zu einem nassen Fliesenschneider und schneidet sie.")</f>
        <v>Wenn der Mann die Wand erreicht, benutzt er einen Bleistift, um die Fliese zu messen, es zu einem nassen Fliesenschneider und schneidet sie.</v>
      </c>
    </row>
    <row r="27484">
      <c r="A27484" s="4" t="s">
        <v>34596</v>
      </c>
      <c r="B27484" s="4" t="s">
        <v>34605</v>
      </c>
      <c r="C27484" s="5" t="str">
        <f>IFERROR(__xludf.DUMMYFUNCTION("GOOGLETRANSLATE(B27484,""en"",""de"")"),"Der Mann ist wieder im Haus und setzt eine kleine Fliese in der Nähe einiger Schränke zusammen. Dann beginnt der Mann zu fördern und benutzt einen großen, feuchten, gelben Schwamm, um den überschüssigen Mörtel zu reinigen.")</f>
        <v>Der Mann ist wieder im Haus und setzt eine kleine Fliese in der Nähe einiger Schränke zusammen. Dann beginnt der Mann zu fördern und benutzt einen großen, feuchten, gelben Schwamm, um den überschüssigen Mörtel zu reinigen.</v>
      </c>
    </row>
    <row r="27485">
      <c r="A27485" s="4" t="s">
        <v>34596</v>
      </c>
      <c r="B27485" s="4" t="s">
        <v>34606</v>
      </c>
      <c r="C27485" s="5" t="str">
        <f>IFERROR(__xludf.DUMMYFUNCTION("GOOGLETRANSLATE(B27485,""en"",""de"")"),"Der sprechende Mann von früher erscheint in der Ecke, und gelbe Wörter erscheinen auf dem Bildschirm, das Websites enthält.")</f>
        <v>Der sprechende Mann von früher erscheint in der Ecke, und gelbe Wörter erscheinen auf dem Bildschirm, das Websites enthält.</v>
      </c>
    </row>
    <row r="27486">
      <c r="A27486" s="4" t="s">
        <v>34607</v>
      </c>
      <c r="B27486" s="4" t="s">
        <v>34608</v>
      </c>
      <c r="C27486" s="5" t="str">
        <f>IFERROR(__xludf.DUMMYFUNCTION("GOOGLETRANSLATE(B27486,""en"",""de"")"),"In einem großen Raum sind mehrere Tische eingerichtet.")</f>
        <v>In einem großen Raum sind mehrere Tische eingerichtet.</v>
      </c>
    </row>
    <row r="27487">
      <c r="A27487" s="4" t="s">
        <v>34607</v>
      </c>
      <c r="B27487" s="4" t="s">
        <v>34609</v>
      </c>
      <c r="C27487" s="5" t="str">
        <f>IFERROR(__xludf.DUMMYFUNCTION("GOOGLETRANSLATE(B27487,""en"",""de"")"),"Mehrere Gruppen spielen Bierpong.")</f>
        <v>Mehrere Gruppen spielen Bierpong.</v>
      </c>
    </row>
    <row r="27488">
      <c r="A27488" s="4" t="s">
        <v>34607</v>
      </c>
      <c r="B27488" s="4" t="s">
        <v>34610</v>
      </c>
      <c r="C27488" s="5" t="str">
        <f>IFERROR(__xludf.DUMMYFUNCTION("GOOGLETRANSLATE(B27488,""en"",""de"")"),"Einige Leute jagen zu gewinnen.")</f>
        <v>Einige Leute jagen zu gewinnen.</v>
      </c>
    </row>
    <row r="27489">
      <c r="A27489" s="4" t="s">
        <v>34607</v>
      </c>
      <c r="B27489" s="4" t="s">
        <v>34611</v>
      </c>
      <c r="C27489" s="5" t="str">
        <f>IFERROR(__xludf.DUMMYFUNCTION("GOOGLETRANSLATE(B27489,""en"",""de"")"),"Andere sehen über das Verlieren verärgert aus.")</f>
        <v>Andere sehen über das Verlieren verärgert aus.</v>
      </c>
    </row>
    <row r="27490">
      <c r="A27490" s="4" t="s">
        <v>34612</v>
      </c>
      <c r="B27490" s="4" t="s">
        <v>34613</v>
      </c>
      <c r="C27490" s="5" t="str">
        <f>IFERROR(__xludf.DUMMYFUNCTION("GOOGLETRANSLATE(B27490,""en"",""de"")"),"Die Person parasailing, er hält das Segel.")</f>
        <v>Die Person parasailing, er hält das Segel.</v>
      </c>
    </row>
    <row r="27491">
      <c r="A27491" s="4" t="s">
        <v>34612</v>
      </c>
      <c r="B27491" s="4" t="s">
        <v>34614</v>
      </c>
      <c r="C27491" s="5" t="str">
        <f>IFERROR(__xludf.DUMMYFUNCTION("GOOGLETRANSLATE(B27491,""en"",""de"")"),"Der Mann bewegt sich vorwärts in Richtung der Insel.")</f>
        <v>Der Mann bewegt sich vorwärts in Richtung der Insel.</v>
      </c>
    </row>
    <row r="27492">
      <c r="A27492" s="4" t="s">
        <v>34612</v>
      </c>
      <c r="B27492" s="4" t="s">
        <v>34615</v>
      </c>
      <c r="C27492" s="5" t="str">
        <f>IFERROR(__xludf.DUMMYFUNCTION("GOOGLETRANSLATE(B27492,""en"",""de"")"),"Die Person hat ihre Füße auf dem Parasail Board.")</f>
        <v>Die Person hat ihre Füße auf dem Parasail Board.</v>
      </c>
    </row>
    <row r="27493">
      <c r="A27493" s="4" t="s">
        <v>34616</v>
      </c>
      <c r="B27493" s="4" t="s">
        <v>34617</v>
      </c>
      <c r="C27493" s="5" t="str">
        <f>IFERROR(__xludf.DUMMYFUNCTION("GOOGLETRANSLATE(B27493,""en"",""de"")"),"Wir sehen einen Mann und eine Frau, die Billard spielt.")</f>
        <v>Wir sehen einen Mann und eine Frau, die Billard spielt.</v>
      </c>
    </row>
    <row r="27494">
      <c r="A27494" s="4" t="s">
        <v>34616</v>
      </c>
      <c r="B27494" s="4" t="s">
        <v>34618</v>
      </c>
      <c r="C27494" s="5" t="str">
        <f>IFERROR(__xludf.DUMMYFUNCTION("GOOGLETRANSLATE(B27494,""en"",""de"")"),"Die Dame nimmt sie an der Reihe, den Ball zu schießen.")</f>
        <v>Die Dame nimmt sie an der Reihe, den Ball zu schießen.</v>
      </c>
    </row>
    <row r="27495">
      <c r="A27495" s="4" t="s">
        <v>34616</v>
      </c>
      <c r="B27495" s="4" t="s">
        <v>34619</v>
      </c>
      <c r="C27495" s="5" t="str">
        <f>IFERROR(__xludf.DUMMYFUNCTION("GOOGLETRANSLATE(B27495,""en"",""de"")"),"Wir sehen helle Kamera -Blitze.")</f>
        <v>Wir sehen helle Kamera -Blitze.</v>
      </c>
    </row>
    <row r="27496">
      <c r="A27496" s="4" t="s">
        <v>34616</v>
      </c>
      <c r="B27496" s="4" t="s">
        <v>34620</v>
      </c>
      <c r="C27496" s="5" t="str">
        <f>IFERROR(__xludf.DUMMYFUNCTION("GOOGLETRANSLATE(B27496,""en"",""de"")"),"Wir sehen, wie die Dame die Fotos macht.")</f>
        <v>Wir sehen, wie die Dame die Fotos macht.</v>
      </c>
    </row>
    <row r="27497">
      <c r="A27497" s="4" t="s">
        <v>34616</v>
      </c>
      <c r="B27497" s="4" t="s">
        <v>34621</v>
      </c>
      <c r="C27497" s="5" t="str">
        <f>IFERROR(__xludf.DUMMYFUNCTION("GOOGLETRANSLATE(B27497,""en"",""de"")"),"Die Dame gibt ihren Pool an einen Mann und schüttelt seine Hand.")</f>
        <v>Die Dame gibt ihren Pool an einen Mann und schüttelt seine Hand.</v>
      </c>
    </row>
    <row r="27498">
      <c r="A27498" s="4" t="s">
        <v>34616</v>
      </c>
      <c r="B27498" s="4" t="s">
        <v>34622</v>
      </c>
      <c r="C27498" s="5" t="str">
        <f>IFERROR(__xludf.DUMMYFUNCTION("GOOGLETRANSLATE(B27498,""en"",""de"")"),"Sie schüttelt die Hand eines anderen Mannes und geht.")</f>
        <v>Sie schüttelt die Hand eines anderen Mannes und geht.</v>
      </c>
    </row>
    <row r="27499">
      <c r="A27499" s="4" t="s">
        <v>34623</v>
      </c>
      <c r="B27499" s="4" t="s">
        <v>34624</v>
      </c>
      <c r="C27499" s="5" t="str">
        <f>IFERROR(__xludf.DUMMYFUNCTION("GOOGLETRANSLATE(B27499,""en"",""de"")"),"Eine Frau bekommt ihre Nase von einem Mann klemmt, der hinter ihrem Kopf sitzt.")</f>
        <v>Eine Frau bekommt ihre Nase von einem Mann klemmt, der hinter ihrem Kopf sitzt.</v>
      </c>
    </row>
    <row r="27500">
      <c r="A27500" s="4" t="s">
        <v>34623</v>
      </c>
      <c r="B27500" s="4" t="s">
        <v>34625</v>
      </c>
      <c r="C27500" s="5" t="str">
        <f>IFERROR(__xludf.DUMMYFUNCTION("GOOGLETRANSLATE(B27500,""en"",""de"")"),"Er durchbohrt ihr Septum.")</f>
        <v>Er durchbohrt ihr Septum.</v>
      </c>
    </row>
    <row r="27501">
      <c r="A27501" s="4" t="s">
        <v>34623</v>
      </c>
      <c r="B27501" s="4" t="s">
        <v>34626</v>
      </c>
      <c r="C27501" s="5" t="str">
        <f>IFERROR(__xludf.DUMMYFUNCTION("GOOGLETRANSLATE(B27501,""en"",""de"")"),"Er schneidet es und entfernt die Klemme.")</f>
        <v>Er schneidet es und entfernt die Klemme.</v>
      </c>
    </row>
    <row r="27502">
      <c r="A27502" s="4" t="s">
        <v>34623</v>
      </c>
      <c r="B27502" s="4" t="s">
        <v>34627</v>
      </c>
      <c r="C27502" s="5" t="str">
        <f>IFERROR(__xludf.DUMMYFUNCTION("GOOGLETRANSLATE(B27502,""en"",""de"")"),"Der Mann legt einen Ohrring durch das Loch.")</f>
        <v>Der Mann legt einen Ohrring durch das Loch.</v>
      </c>
    </row>
    <row r="27503">
      <c r="A27503" s="4" t="s">
        <v>34623</v>
      </c>
      <c r="B27503" s="4" t="s">
        <v>34628</v>
      </c>
      <c r="C27503" s="5" t="str">
        <f>IFERROR(__xludf.DUMMYFUNCTION("GOOGLETRANSLATE(B27503,""en"",""de"")"),"Er steckt Qtips in die Nase, um das Blut zu fangen.")</f>
        <v>Er steckt Qtips in die Nase, um das Blut zu fangen.</v>
      </c>
    </row>
    <row r="27504">
      <c r="A27504" s="4" t="s">
        <v>34629</v>
      </c>
      <c r="B27504" s="4" t="s">
        <v>34630</v>
      </c>
      <c r="C27504" s="5" t="str">
        <f>IFERROR(__xludf.DUMMYFUNCTION("GOOGLETRANSLATE(B27504,""en"",""de"")"),"Eine Frau sitzt auf einem Stuhl.")</f>
        <v>Eine Frau sitzt auf einem Stuhl.</v>
      </c>
    </row>
    <row r="27505">
      <c r="A27505" s="4" t="s">
        <v>34629</v>
      </c>
      <c r="B27505" s="4" t="s">
        <v>34631</v>
      </c>
      <c r="C27505" s="5" t="str">
        <f>IFERROR(__xludf.DUMMYFUNCTION("GOOGLETRANSLATE(B27505,""en"",""de"")"),"Sie bekommt ein Hautstier in ihrer Wange.")</f>
        <v>Sie bekommt ein Hautstier in ihrer Wange.</v>
      </c>
    </row>
    <row r="27506">
      <c r="A27506" s="4" t="s">
        <v>34629</v>
      </c>
      <c r="B27506" s="4" t="s">
        <v>34632</v>
      </c>
      <c r="C27506" s="5" t="str">
        <f>IFERROR(__xludf.DUMMYFUNCTION("GOOGLETRANSLATE(B27506,""en"",""de"")"),"Das Mädchen zeigt das Piercing und lächelt.")</f>
        <v>Das Mädchen zeigt das Piercing und lächelt.</v>
      </c>
    </row>
    <row r="27507">
      <c r="A27507" s="4" t="s">
        <v>34633</v>
      </c>
      <c r="B27507" s="4" t="s">
        <v>34634</v>
      </c>
      <c r="C27507" s="5" t="str">
        <f>IFERROR(__xludf.DUMMYFUNCTION("GOOGLETRANSLATE(B27507,""en"",""de"")"),"Zwei Leute tragen lustige Hates und stehen hinter einem Tisch, der mit der Kamera spricht.")</f>
        <v>Zwei Leute tragen lustige Hates und stehen hinter einem Tisch, der mit der Kamera spricht.</v>
      </c>
    </row>
    <row r="27508">
      <c r="A27508" s="4" t="s">
        <v>34633</v>
      </c>
      <c r="B27508" s="4" t="s">
        <v>34635</v>
      </c>
      <c r="C27508" s="5" t="str">
        <f>IFERROR(__xludf.DUMMYFUNCTION("GOOGLETRANSLATE(B27508,""en"",""de"")"),"Sie wickeln dann schnell ein Geschenk und zeigen ein besseres Geschenk darunter.")</f>
        <v>Sie wickeln dann schnell ein Geschenk und zeigen ein besseres Geschenk darunter.</v>
      </c>
    </row>
    <row r="27509">
      <c r="A27509" s="4" t="s">
        <v>34633</v>
      </c>
      <c r="B27509" s="4" t="s">
        <v>34636</v>
      </c>
      <c r="C27509" s="5" t="str">
        <f>IFERROR(__xludf.DUMMYFUNCTION("GOOGLETRANSLATE(B27509,""en"",""de"")"),"Es werden weitere Aufnahmen gezeigt, die sich umwickeln, wenn sie sich schnell bewegen und mit der Kamera sprechen.")</f>
        <v>Es werden weitere Aufnahmen gezeigt, die sich umwickeln, wenn sie sich schnell bewegen und mit der Kamera sprechen.</v>
      </c>
    </row>
    <row r="27510">
      <c r="A27510" s="4" t="s">
        <v>34637</v>
      </c>
      <c r="B27510" s="4" t="s">
        <v>34638</v>
      </c>
      <c r="C27510" s="5" t="str">
        <f>IFERROR(__xludf.DUMMYFUNCTION("GOOGLETRANSLATE(B27510,""en"",""de"")"),"Eine Person fährt in einem Auto, das zu anderen fährt, während er einer großen Gruppe von Menschen mit Fahrrädern verfolgt.")</f>
        <v>Eine Person fährt in einem Auto, das zu anderen fährt, während er einer großen Gruppe von Menschen mit Fahrrädern verfolgt.</v>
      </c>
    </row>
    <row r="27511">
      <c r="A27511" s="4" t="s">
        <v>34637</v>
      </c>
      <c r="B27511" s="4" t="s">
        <v>34639</v>
      </c>
      <c r="C27511" s="5" t="str">
        <f>IFERROR(__xludf.DUMMYFUNCTION("GOOGLETRANSLATE(B27511,""en"",""de"")"),"Der Fahrer hält die Menschen auf der Seite und zieht sie ein, um ein Fahrrad zu reparieren.")</f>
        <v>Der Fahrer hält die Menschen auf der Seite und zieht sie ein, um ein Fahrrad zu reparieren.</v>
      </c>
    </row>
    <row r="27512">
      <c r="A27512" s="4" t="s">
        <v>34637</v>
      </c>
      <c r="B27512" s="4" t="s">
        <v>34640</v>
      </c>
      <c r="C27512" s="5" t="str">
        <f>IFERROR(__xludf.DUMMYFUNCTION("GOOGLETRANSLATE(B27512,""en"",""de"")"),"Das Auto folgt weiter und hilft dem Mann, ein Rad zu wechseln und wieder im Auto zu klettern.")</f>
        <v>Das Auto folgt weiter und hilft dem Mann, ein Rad zu wechseln und wieder im Auto zu klettern.</v>
      </c>
    </row>
    <row r="27513">
      <c r="A27513" s="4" t="s">
        <v>34641</v>
      </c>
      <c r="B27513" s="4" t="s">
        <v>34642</v>
      </c>
      <c r="C27513" s="5" t="str">
        <f>IFERROR(__xludf.DUMMYFUNCTION("GOOGLETRANSLATE(B27513,""en"",""de"")"),"Ein Mann schaut genau in die Kamera, gefolgt von einer Person, die verschiedene Tricks aufweckt.")</f>
        <v>Ein Mann schaut genau in die Kamera, gefolgt von einer Person, die verschiedene Tricks aufweckt.</v>
      </c>
    </row>
    <row r="27514">
      <c r="A27514" s="4" t="s">
        <v>34641</v>
      </c>
      <c r="B27514" s="4" t="s">
        <v>34643</v>
      </c>
      <c r="C27514" s="5" t="str">
        <f>IFERROR(__xludf.DUMMYFUNCTION("GOOGLETRANSLATE(B27514,""en"",""de"")"),"Es werden mehrere Schüsse von Menschen gezeigt, die Tricks entlang des Wassers machen, während das Boot sie von vorne zieht.")</f>
        <v>Es werden mehrere Schüsse von Menschen gezeigt, die Tricks entlang des Wassers machen, während das Boot sie von vorne zieht.</v>
      </c>
    </row>
    <row r="27515">
      <c r="A27515" s="4" t="s">
        <v>34644</v>
      </c>
      <c r="B27515" s="4" t="s">
        <v>34645</v>
      </c>
      <c r="C27515" s="5" t="str">
        <f>IFERROR(__xludf.DUMMYFUNCTION("GOOGLETRANSLATE(B27515,""en"",""de"")"),"Ein Mann hält ein Stück Holz hoch und rieb es nach unten, während er mit der Kamera spricht und den Politur besprüht.")</f>
        <v>Ein Mann hält ein Stück Holz hoch und rieb es nach unten, während er mit der Kamera spricht und den Politur besprüht.</v>
      </c>
    </row>
    <row r="27516">
      <c r="A27516" s="4" t="s">
        <v>34644</v>
      </c>
      <c r="B27516" s="4" t="s">
        <v>34646</v>
      </c>
      <c r="C27516" s="5" t="str">
        <f>IFERROR(__xludf.DUMMYFUNCTION("GOOGLETRANSLATE(B27516,""en"",""de"")"),"Der Mann wischt den Lack mit einem Lappen ab, während er weiter mit der Kamera spricht und am Ende das Stück Holz hochhält.")</f>
        <v>Der Mann wischt den Lack mit einem Lappen ab, während er weiter mit der Kamera spricht und am Ende das Stück Holz hochhält.</v>
      </c>
    </row>
    <row r="27517">
      <c r="A27517" s="4" t="s">
        <v>34647</v>
      </c>
      <c r="B27517" s="4" t="s">
        <v>34648</v>
      </c>
      <c r="C27517" s="5" t="str">
        <f>IFERROR(__xludf.DUMMYFUNCTION("GOOGLETRANSLATE(B27517,""en"",""de"")"),"Die trockenen braunen und gelben Blätter befinden sich auf dem Boden auf grünem Gras.")</f>
        <v>Die trockenen braunen und gelben Blätter befinden sich auf dem Boden auf grünem Gras.</v>
      </c>
    </row>
    <row r="27518">
      <c r="A27518" s="4" t="s">
        <v>34647</v>
      </c>
      <c r="B27518" s="4" t="s">
        <v>34649</v>
      </c>
      <c r="C27518" s="5" t="str">
        <f>IFERROR(__xludf.DUMMYFUNCTION("GOOGLETRANSLATE(B27518,""en"",""de"")"),"Ein Mann mit einem Blattgebläse in der Hand begann die Blätter in Richtung der Mitte des Feldes zu blasen.")</f>
        <v>Ein Mann mit einem Blattgebläse in der Hand begann die Blätter in Richtung der Mitte des Feldes zu blasen.</v>
      </c>
    </row>
    <row r="27519">
      <c r="A27519" s="4" t="s">
        <v>34647</v>
      </c>
      <c r="B27519" s="4" t="s">
        <v>34650</v>
      </c>
      <c r="C27519" s="5" t="str">
        <f>IFERROR(__xludf.DUMMYFUNCTION("GOOGLETRANSLATE(B27519,""en"",""de"")"),"Der Mann blies die Blätter von der Straßenseite zum Baum, während ein anderer Mann mit Blattgebläse auf der anderen Seite des Gehwegs geht.")</f>
        <v>Der Mann blies die Blätter von der Straßenseite zum Baum, während ein anderer Mann mit Blattgebläse auf der anderen Seite des Gehwegs geht.</v>
      </c>
    </row>
    <row r="27520">
      <c r="A27520" s="4" t="s">
        <v>34651</v>
      </c>
      <c r="B27520" s="4" t="s">
        <v>34652</v>
      </c>
      <c r="C27520" s="5" t="str">
        <f>IFERROR(__xludf.DUMMYFUNCTION("GOOGLETRANSLATE(B27520,""en"",""de"")"),"Ein Mann wird gezeigt, der an einem Zaun im Hinterhof arbeitet.")</f>
        <v>Ein Mann wird gezeigt, der an einem Zaun im Hinterhof arbeitet.</v>
      </c>
    </row>
    <row r="27521">
      <c r="A27521" s="4" t="s">
        <v>34651</v>
      </c>
      <c r="B27521" s="4" t="s">
        <v>34653</v>
      </c>
      <c r="C27521" s="5" t="str">
        <f>IFERROR(__xludf.DUMMYFUNCTION("GOOGLETRANSLATE(B27521,""en"",""de"")"),"Der Mann trägt ein blaues Outfit, als er den Holzzaun eine rote Farbe malt.")</f>
        <v>Der Mann trägt ein blaues Outfit, als er den Holzzaun eine rote Farbe malt.</v>
      </c>
    </row>
    <row r="27522">
      <c r="A27522" s="4" t="s">
        <v>34651</v>
      </c>
      <c r="B27522" s="4" t="s">
        <v>34654</v>
      </c>
      <c r="C27522" s="5" t="str">
        <f>IFERROR(__xludf.DUMMYFUNCTION("GOOGLETRANSLATE(B27522,""en"",""de"")"),"Der Mann reinigt die Farbe von Brettern.")</f>
        <v>Der Mann reinigt die Farbe von Brettern.</v>
      </c>
    </row>
    <row r="27523">
      <c r="A27523" s="4" t="s">
        <v>34655</v>
      </c>
      <c r="B27523" s="4" t="s">
        <v>34656</v>
      </c>
      <c r="C27523" s="5" t="str">
        <f>IFERROR(__xludf.DUMMYFUNCTION("GOOGLETRANSLATE(B27523,""en"",""de"")"),"Ein Mann spricht mit der Kamera, während er eine Schachtel um etwas Papier legt.")</f>
        <v>Ein Mann spricht mit der Kamera, während er eine Schachtel um etwas Papier legt.</v>
      </c>
    </row>
    <row r="27524">
      <c r="A27524" s="4" t="s">
        <v>34655</v>
      </c>
      <c r="B27524" s="4" t="s">
        <v>34657</v>
      </c>
      <c r="C27524" s="5" t="str">
        <f>IFERROR(__xludf.DUMMYFUNCTION("GOOGLETRANSLATE(B27524,""en"",""de"")"),"Er wickelt die Schachtel in Papier, während er eine Schere benutzt, um die Seiten umzuschneiden.")</f>
        <v>Er wickelt die Schachtel in Papier, während er eine Schere benutzt, um die Seiten umzuschneiden.</v>
      </c>
    </row>
    <row r="27525">
      <c r="A27525" s="4" t="s">
        <v>34655</v>
      </c>
      <c r="B27525" s="4" t="s">
        <v>34658</v>
      </c>
      <c r="C27525" s="5" t="str">
        <f>IFERROR(__xludf.DUMMYFUNCTION("GOOGLETRANSLATE(B27525,""en"",""de"")"),"Der Mann basiert die Box und präsentiert sie der Kamera.")</f>
        <v>Der Mann basiert die Box und präsentiert sie der Kamera.</v>
      </c>
    </row>
    <row r="27526">
      <c r="A27526" s="4" t="s">
        <v>34659</v>
      </c>
      <c r="B27526" s="4" t="s">
        <v>34660</v>
      </c>
      <c r="C27526" s="5" t="str">
        <f>IFERROR(__xludf.DUMMYFUNCTION("GOOGLETRANSLATE(B27526,""en"",""de"")"),"Ein Nachrichtenanker steht hinter einem Tisch mit Papieren, in denen ein Mann auf dem Fernsehbildschirm hinter sich schwimmt.")</f>
        <v>Ein Nachrichtenanker steht hinter einem Tisch mit Papieren, in denen ein Mann auf dem Fernsehbildschirm hinter sich schwimmt.</v>
      </c>
    </row>
    <row r="27527">
      <c r="A27527" s="4" t="s">
        <v>34659</v>
      </c>
      <c r="B27527" s="4" t="s">
        <v>34661</v>
      </c>
      <c r="C27527" s="5" t="str">
        <f>IFERROR(__xludf.DUMMYFUNCTION("GOOGLETRANSLATE(B27527,""en"",""de"")"),"Danach spielt eine Gruppe von Menschen in einem Pool, das ein Spiel mit Wasserball spielt und Tore erzielt.")</f>
        <v>Danach spielt eine Gruppe von Menschen in einem Pool, das ein Spiel mit Wasserball spielt und Tore erzielt.</v>
      </c>
    </row>
    <row r="27528">
      <c r="A27528" s="4" t="s">
        <v>34659</v>
      </c>
      <c r="B27528" s="4" t="s">
        <v>34662</v>
      </c>
      <c r="C27528" s="5" t="str">
        <f>IFERROR(__xludf.DUMMYFUNCTION("GOOGLETRANSLATE(B27528,""en"",""de"")"),"Ein Trainer wird dann in einem Flur gezeigt, als die Leute zurückkommen und das Spiel weiter spielen, bevor ein Fußballspiel dann zeigt.")</f>
        <v>Ein Trainer wird dann in einem Flur gezeigt, als die Leute zurückkommen und das Spiel weiter spielen, bevor ein Fußballspiel dann zeigt.</v>
      </c>
    </row>
    <row r="27529">
      <c r="A27529" s="4" t="s">
        <v>34663</v>
      </c>
      <c r="B27529" s="4" t="s">
        <v>34664</v>
      </c>
      <c r="C27529" s="5" t="str">
        <f>IFERROR(__xludf.DUMMYFUNCTION("GOOGLETRANSLATE(B27529,""en"",""de"")"),"Ein Mädchen wird gesehen, wie sie Gegenstände in Wasser springen und eine Pfanne mit einem Pinsel schrubben.")</f>
        <v>Ein Mädchen wird gesehen, wie sie Gegenstände in Wasser springen und eine Pfanne mit einem Pinsel schrubben.</v>
      </c>
    </row>
    <row r="27530">
      <c r="A27530" s="4" t="s">
        <v>34663</v>
      </c>
      <c r="B27530" s="4" t="s">
        <v>34665</v>
      </c>
      <c r="C27530" s="5" t="str">
        <f>IFERROR(__xludf.DUMMYFUNCTION("GOOGLETRANSLATE(B27530,""en"",""de"")"),"Sie spricht weiter mit der Kamera und in die Pfanne und zeigt, wie man eine Pfanne richtig reinigt.")</f>
        <v>Sie spricht weiter mit der Kamera und in die Pfanne und zeigt, wie man eine Pfanne richtig reinigt.</v>
      </c>
    </row>
    <row r="27531">
      <c r="A27531" s="4" t="s">
        <v>34666</v>
      </c>
      <c r="B27531" s="4" t="s">
        <v>34667</v>
      </c>
      <c r="C27531" s="5" t="str">
        <f>IFERROR(__xludf.DUMMYFUNCTION("GOOGLETRANSLATE(B27531,""en"",""de"")"),"Eine Kamera schwenkt rund um einen Wald und führt in ein Seil, das an einen Baum gebunden ist.")</f>
        <v>Eine Kamera schwenkt rund um einen Wald und führt in ein Seil, das an einen Baum gebunden ist.</v>
      </c>
    </row>
    <row r="27532">
      <c r="A27532" s="4" t="s">
        <v>34666</v>
      </c>
      <c r="B27532" s="4" t="s">
        <v>34668</v>
      </c>
      <c r="C27532" s="5" t="str">
        <f>IFERROR(__xludf.DUMMYFUNCTION("GOOGLETRANSLATE(B27532,""en"",""de"")"),"Eine Person wird gesehen, wie das Seil, gefolgt von dem Seil, anschließt.")</f>
        <v>Eine Person wird gesehen, wie das Seil, gefolgt von dem Seil, anschließt.</v>
      </c>
    </row>
    <row r="27533">
      <c r="A27533" s="4" t="s">
        <v>34666</v>
      </c>
      <c r="B27533" s="4" t="s">
        <v>34669</v>
      </c>
      <c r="C27533" s="5" t="str">
        <f>IFERROR(__xludf.DUMMYFUNCTION("GOOGLETRANSLATE(B27533,""en"",""de"")"),"Mehrere Menschen sind gesehen, wie sie auf dem Seil laufen sowie Tricks hüpfen und durchführen.")</f>
        <v>Mehrere Menschen sind gesehen, wie sie auf dem Seil laufen sowie Tricks hüpfen und durchführen.</v>
      </c>
    </row>
    <row r="27534">
      <c r="A27534" s="4" t="s">
        <v>34670</v>
      </c>
      <c r="B27534" s="4" t="s">
        <v>34671</v>
      </c>
      <c r="C27534" s="5" t="str">
        <f>IFERROR(__xludf.DUMMYFUNCTION("GOOGLETRANSLATE(B27534,""en"",""de"")"),"Wir sehen ein Mädchen in Gold, das eine Stabroutine macht.")</f>
        <v>Wir sehen ein Mädchen in Gold, das eine Stabroutine macht.</v>
      </c>
    </row>
    <row r="27535">
      <c r="A27535" s="4" t="s">
        <v>34670</v>
      </c>
      <c r="B27535" s="4" t="s">
        <v>34672</v>
      </c>
      <c r="C27535" s="5" t="str">
        <f>IFERROR(__xludf.DUMMYFUNCTION("GOOGLETRANSLATE(B27535,""en"",""de"")"),"Das Mädchen macht einen Flip.")</f>
        <v>Das Mädchen macht einen Flip.</v>
      </c>
    </row>
    <row r="27536">
      <c r="A27536" s="4" t="s">
        <v>34670</v>
      </c>
      <c r="B27536" s="4" t="s">
        <v>34673</v>
      </c>
      <c r="C27536" s="5" t="str">
        <f>IFERROR(__xludf.DUMMYFUNCTION("GOOGLETRANSLATE(B27536,""en"",""de"")"),"Die Mädchen dreht sich wiederholt und fangen ihren Schlagstock.")</f>
        <v>Die Mädchen dreht sich wiederholt und fangen ihren Schlagstock.</v>
      </c>
    </row>
    <row r="27537">
      <c r="A27537" s="4" t="s">
        <v>34670</v>
      </c>
      <c r="B27537" s="4" t="s">
        <v>34674</v>
      </c>
      <c r="C27537" s="5" t="str">
        <f>IFERROR(__xludf.DUMMYFUNCTION("GOOGLETRANSLATE(B27537,""en"",""de"")"),"Das Mädchen dreht sich und zwei Schlagstöcke rollen hinein und sie greift jeweils.")</f>
        <v>Das Mädchen dreht sich und zwei Schlagstöcke rollen hinein und sie greift jeweils.</v>
      </c>
    </row>
    <row r="27538">
      <c r="A27538" s="4" t="s">
        <v>34670</v>
      </c>
      <c r="B27538" s="4" t="s">
        <v>34675</v>
      </c>
      <c r="C27538" s="5" t="str">
        <f>IFERROR(__xludf.DUMMYFUNCTION("GOOGLETRANSLATE(B27538,""en"",""de"")"),"Das Mädchen dreht sich, fängt ihren Staffelstab und posiert für ihr Ziel, während die Menge klatscht.")</f>
        <v>Das Mädchen dreht sich, fängt ihren Staffelstab und posiert für ihr Ziel, während die Menge klatscht.</v>
      </c>
    </row>
    <row r="27539">
      <c r="A27539" s="4" t="s">
        <v>34676</v>
      </c>
      <c r="B27539" s="4" t="s">
        <v>34677</v>
      </c>
      <c r="C27539" s="5" t="str">
        <f>IFERROR(__xludf.DUMMYFUNCTION("GOOGLETRANSLATE(B27539,""en"",""de"")"),"Eine Person harkt Blätter in einen Stapel.")</f>
        <v>Eine Person harkt Blätter in einen Stapel.</v>
      </c>
    </row>
    <row r="27540">
      <c r="A27540" s="4" t="s">
        <v>34676</v>
      </c>
      <c r="B27540" s="4" t="s">
        <v>34678</v>
      </c>
      <c r="C27540" s="5" t="str">
        <f>IFERROR(__xludf.DUMMYFUNCTION("GOOGLETRANSLATE(B27540,""en"",""de"")"),"Ein kleiner Junge nimmt die Blätter auf und spielt auf dem Stapel.")</f>
        <v>Ein kleiner Junge nimmt die Blätter auf und spielt auf dem Stapel.</v>
      </c>
    </row>
    <row r="27541">
      <c r="A27541" s="4" t="s">
        <v>34676</v>
      </c>
      <c r="B27541" s="4" t="s">
        <v>34679</v>
      </c>
      <c r="C27541" s="5" t="str">
        <f>IFERROR(__xludf.DUMMYFUNCTION("GOOGLETRANSLATE(B27541,""en"",""de"")"),"Der Junge nimmt einen Rechen und beginnt die Blätter zu fahren.")</f>
        <v>Der Junge nimmt einen Rechen und beginnt die Blätter zu fahren.</v>
      </c>
    </row>
    <row r="27542">
      <c r="A27542" s="4" t="s">
        <v>34680</v>
      </c>
      <c r="B27542" s="4" t="s">
        <v>34681</v>
      </c>
      <c r="C27542" s="5" t="str">
        <f>IFERROR(__xludf.DUMMYFUNCTION("GOOGLETRANSLATE(B27542,""en"",""de"")"),"Es gibt ein junges Mädchen, das einen braunen Pullover trägt, der Geige spielt.")</f>
        <v>Es gibt ein junges Mädchen, das einen braunen Pullover trägt, der Geige spielt.</v>
      </c>
    </row>
    <row r="27543">
      <c r="A27543" s="4" t="s">
        <v>34680</v>
      </c>
      <c r="B27543" s="4" t="s">
        <v>34682</v>
      </c>
      <c r="C27543" s="5" t="str">
        <f>IFERROR(__xludf.DUMMYFUNCTION("GOOGLETRANSLATE(B27543,""en"",""de"")"),"Sie sainiert die Geige mit ihrer linken Hand, während sie den Bogenstab mit ihrer rechten Hand benutzt.")</f>
        <v>Sie sainiert die Geige mit ihrer linken Hand, während sie den Bogenstab mit ihrer rechten Hand benutzt.</v>
      </c>
    </row>
    <row r="27544">
      <c r="A27544" s="4" t="s">
        <v>34680</v>
      </c>
      <c r="B27544" s="4" t="s">
        <v>34683</v>
      </c>
      <c r="C27544" s="5" t="str">
        <f>IFERROR(__xludf.DUMMYFUNCTION("GOOGLETRANSLATE(B27544,""en"",""de"")"),"Sie spielt weiterhin ihre Melodie auf die Geige mit voller Konzentration, ohne in der Pause zu gehen.")</f>
        <v>Sie spielt weiterhin ihre Melodie auf die Geige mit voller Konzentration, ohne in der Pause zu gehen.</v>
      </c>
    </row>
    <row r="27545">
      <c r="A27545" s="4" t="s">
        <v>34680</v>
      </c>
      <c r="B27545" s="4" t="s">
        <v>34684</v>
      </c>
      <c r="C27545" s="5" t="str">
        <f>IFERROR(__xludf.DUMMYFUNCTION("GOOGLETRANSLATE(B27545,""en"",""de"")"),"Sie schaut ständig auf die Geige herab, als sie die Notizen spielt.")</f>
        <v>Sie schaut ständig auf die Geige herab, als sie die Notizen spielt.</v>
      </c>
    </row>
    <row r="27546">
      <c r="A27546" s="4" t="s">
        <v>34680</v>
      </c>
      <c r="B27546" s="4" t="s">
        <v>34685</v>
      </c>
      <c r="C27546" s="5" t="str">
        <f>IFERROR(__xludf.DUMMYFUNCTION("GOOGLETRANSLATE(B27546,""en"",""de"")"),"Nachdem sie die Geige gespielt hat, lächelt sie und geht weg.")</f>
        <v>Nachdem sie die Geige gespielt hat, lächelt sie und geht weg.</v>
      </c>
    </row>
    <row r="27547">
      <c r="A27547" s="4" t="s">
        <v>34686</v>
      </c>
      <c r="B27547" s="4" t="s">
        <v>34687</v>
      </c>
      <c r="C27547" s="5" t="str">
        <f>IFERROR(__xludf.DUMMYFUNCTION("GOOGLETRANSLATE(B27547,""en"",""de"")"),"Es wird ein Video mit dem Ausschnitt von Katzenzehennäscheln angezeigt.")</f>
        <v>Es wird ein Video mit dem Ausschnitt von Katzenzehennäscheln angezeigt.</v>
      </c>
    </row>
    <row r="27548">
      <c r="A27548" s="4" t="s">
        <v>34686</v>
      </c>
      <c r="B27548" s="4" t="s">
        <v>34688</v>
      </c>
      <c r="C27548" s="5" t="str">
        <f>IFERROR(__xludf.DUMMYFUNCTION("GOOGLETRANSLATE(B27548,""en"",""de"")"),"Jede Pfote wird gepackt und der Nagel wird herausgedrückt und abgeschnitten.")</f>
        <v>Jede Pfote wird gepackt und der Nagel wird herausgedrückt und abgeschnitten.</v>
      </c>
    </row>
    <row r="27549">
      <c r="A27549" s="4" t="s">
        <v>34686</v>
      </c>
      <c r="B27549" s="4" t="s">
        <v>34689</v>
      </c>
      <c r="C27549" s="5" t="str">
        <f>IFERROR(__xludf.DUMMYFUNCTION("GOOGLETRANSLATE(B27549,""en"",""de"")"),"Die Katze ist die ganze Zeit seltsam ruhig.")</f>
        <v>Die Katze ist die ganze Zeit seltsam ruhig.</v>
      </c>
    </row>
    <row r="27550">
      <c r="A27550" s="4" t="s">
        <v>34690</v>
      </c>
      <c r="B27550" s="4" t="s">
        <v>34691</v>
      </c>
      <c r="C27550" s="5" t="str">
        <f>IFERROR(__xludf.DUMMYFUNCTION("GOOGLETRANSLATE(B27550,""en"",""de"")"),"Ein Mann geht in einem Raum.")</f>
        <v>Ein Mann geht in einem Raum.</v>
      </c>
    </row>
    <row r="27551">
      <c r="A27551" s="4" t="s">
        <v>34690</v>
      </c>
      <c r="B27551" s="4" t="s">
        <v>34692</v>
      </c>
      <c r="C27551" s="5" t="str">
        <f>IFERROR(__xludf.DUMMYFUNCTION("GOOGLETRANSLATE(B27551,""en"",""de"")"),"Ein Mädchen tanzt vor einem Spiegel im Raum.")</f>
        <v>Ein Mädchen tanzt vor einem Spiegel im Raum.</v>
      </c>
    </row>
    <row r="27552">
      <c r="A27552" s="4" t="s">
        <v>34690</v>
      </c>
      <c r="B27552" s="4" t="s">
        <v>34693</v>
      </c>
      <c r="C27552" s="5" t="str">
        <f>IFERROR(__xludf.DUMMYFUNCTION("GOOGLETRANSLATE(B27552,""en"",""de"")"),"Er beobachtet sie von außerhalb des Raumes.")</f>
        <v>Er beobachtet sie von außerhalb des Raumes.</v>
      </c>
    </row>
    <row r="27553">
      <c r="A27553" s="4" t="s">
        <v>34694</v>
      </c>
      <c r="B27553" s="4" t="s">
        <v>1487</v>
      </c>
      <c r="C27553" s="5" t="str">
        <f>IFERROR(__xludf.DUMMYFUNCTION("GOOGLETRANSLATE(B27553,""en"",""de"")"),"Wir sehen einen Öffnungsbildschirm.")</f>
        <v>Wir sehen einen Öffnungsbildschirm.</v>
      </c>
    </row>
    <row r="27554">
      <c r="A27554" s="4" t="s">
        <v>34694</v>
      </c>
      <c r="B27554" s="4" t="s">
        <v>34695</v>
      </c>
      <c r="C27554" s="5" t="str">
        <f>IFERROR(__xludf.DUMMYFUNCTION("GOOGLETRANSLATE(B27554,""en"",""de"")"),"Es gibt eine Schwarz -Weiß -TV -Show mit zwei Männern auf einer Bühne, die spricht und lacht.")</f>
        <v>Es gibt eine Schwarz -Weiß -TV -Show mit zwei Männern auf einer Bühne, die spricht und lacht.</v>
      </c>
    </row>
    <row r="27555">
      <c r="A27555" s="4" t="s">
        <v>34694</v>
      </c>
      <c r="B27555" s="4" t="s">
        <v>34696</v>
      </c>
      <c r="C27555" s="5" t="str">
        <f>IFERROR(__xludf.DUMMYFUNCTION("GOOGLETRANSLATE(B27555,""en"",""de"")"),"Der richtige Mann steht auf und geht zu einem Klavier.")</f>
        <v>Der richtige Mann steht auf und geht zu einem Klavier.</v>
      </c>
    </row>
    <row r="27556">
      <c r="A27556" s="4" t="s">
        <v>34694</v>
      </c>
      <c r="B27556" s="4" t="s">
        <v>34697</v>
      </c>
      <c r="C27556" s="5" t="str">
        <f>IFERROR(__xludf.DUMMYFUNCTION("GOOGLETRANSLATE(B27556,""en"",""de"")"),"Der Mann spielt ein Grand Piano.")</f>
        <v>Der Mann spielt ein Grand Piano.</v>
      </c>
    </row>
    <row r="27557">
      <c r="A27557" s="4" t="s">
        <v>34694</v>
      </c>
      <c r="B27557" s="4" t="s">
        <v>34698</v>
      </c>
      <c r="C27557" s="5" t="str">
        <f>IFERROR(__xludf.DUMMYFUNCTION("GOOGLETRANSLATE(B27557,""en"",""de"")"),"Der Mann endet und steht auf.")</f>
        <v>Der Mann endet und steht auf.</v>
      </c>
    </row>
    <row r="27558">
      <c r="A27558" s="4" t="s">
        <v>34694</v>
      </c>
      <c r="B27558" s="4" t="s">
        <v>19328</v>
      </c>
      <c r="C27558" s="5" t="str">
        <f>IFERROR(__xludf.DUMMYFUNCTION("GOOGLETRANSLATE(B27558,""en"",""de"")"),"Wir sehen die Menge klatschend.")</f>
        <v>Wir sehen die Menge klatschend.</v>
      </c>
    </row>
    <row r="27559">
      <c r="A27559" s="4" t="s">
        <v>34694</v>
      </c>
      <c r="B27559" s="4" t="s">
        <v>34699</v>
      </c>
      <c r="C27559" s="5" t="str">
        <f>IFERROR(__xludf.DUMMYFUNCTION("GOOGLETRANSLATE(B27559,""en"",""de"")"),"Die Männer schütteln die Hand und der Klavierspieler geht weg und der Gastgeber spricht und schimmert ein bisschen.")</f>
        <v>Die Männer schütteln die Hand und der Klavierspieler geht weg und der Gastgeber spricht und schimmert ein bisschen.</v>
      </c>
    </row>
    <row r="27560">
      <c r="A27560" s="4" t="s">
        <v>34700</v>
      </c>
      <c r="B27560" s="4" t="s">
        <v>34701</v>
      </c>
      <c r="C27560" s="5" t="str">
        <f>IFERROR(__xludf.DUMMYFUNCTION("GOOGLETRANSLATE(B27560,""en"",""de"")"),"Ein Athlet wird gesehen, wie er mit den Händen zur Menge schwenkt und klatscht, gefolgt von ihm, der über einen Strahl rennt.")</f>
        <v>Ein Athlet wird gesehen, wie er mit den Händen zur Menge schwenkt und klatscht, gefolgt von ihm, der über einen Strahl rennt.</v>
      </c>
    </row>
    <row r="27561">
      <c r="A27561" s="4" t="s">
        <v>34700</v>
      </c>
      <c r="B27561" s="4" t="s">
        <v>34702</v>
      </c>
      <c r="C27561" s="5" t="str">
        <f>IFERROR(__xludf.DUMMYFUNCTION("GOOGLETRANSLATE(B27561,""en"",""de"")"),"Sein gleicher Schuss wird wieder in Zeitlupe gezeigt und er hat gesehen, wie er mit einem Mann sprach.")</f>
        <v>Sein gleicher Schuss wird wieder in Zeitlupe gezeigt und er hat gesehen, wie er mit einem Mann sprach.</v>
      </c>
    </row>
    <row r="27562">
      <c r="A27562" s="4" t="s">
        <v>34703</v>
      </c>
      <c r="B27562" s="4" t="s">
        <v>34704</v>
      </c>
      <c r="C27562" s="5" t="str">
        <f>IFERROR(__xludf.DUMMYFUNCTION("GOOGLETRANSLATE(B27562,""en"",""de"")"),"Eine Gruppe junger Männer befindet sich in einer Küche und spielt ein Spiel Bierpong.")</f>
        <v>Eine Gruppe junger Männer befindet sich in einer Küche und spielt ein Spiel Bierpong.</v>
      </c>
    </row>
    <row r="27563">
      <c r="A27563" s="4" t="s">
        <v>34703</v>
      </c>
      <c r="B27563" s="4" t="s">
        <v>34705</v>
      </c>
      <c r="C27563" s="5" t="str">
        <f>IFERROR(__xludf.DUMMYFUNCTION("GOOGLETRANSLATE(B27563,""en"",""de"")"),"Sie jubeln, als sie den Ball in eine Tasse bekommen.")</f>
        <v>Sie jubeln, als sie den Ball in eine Tasse bekommen.</v>
      </c>
    </row>
    <row r="27564">
      <c r="A27564" s="4" t="s">
        <v>34703</v>
      </c>
      <c r="B27564" s="4" t="s">
        <v>34706</v>
      </c>
      <c r="C27564" s="5" t="str">
        <f>IFERROR(__xludf.DUMMYFUNCTION("GOOGLETRANSLATE(B27564,""en"",""de"")"),"Eine Frau erscheint und nimmt eine der Tassen auf.")</f>
        <v>Eine Frau erscheint und nimmt eine der Tassen auf.</v>
      </c>
    </row>
    <row r="27565">
      <c r="A27565" s="4" t="s">
        <v>34707</v>
      </c>
      <c r="B27565" s="4" t="s">
        <v>34708</v>
      </c>
      <c r="C27565" s="5" t="str">
        <f>IFERROR(__xludf.DUMMYFUNCTION("GOOGLETRANSLATE(B27565,""en"",""de"")"),"Zwei Jungen spielen in jungen Jahren Fooseball miteinander.")</f>
        <v>Zwei Jungen spielen in jungen Jahren Fooseball miteinander.</v>
      </c>
    </row>
    <row r="27566">
      <c r="A27566" s="4" t="s">
        <v>34707</v>
      </c>
      <c r="B27566" s="4" t="s">
        <v>34709</v>
      </c>
      <c r="C27566" s="5" t="str">
        <f>IFERROR(__xludf.DUMMYFUNCTION("GOOGLETRANSLATE(B27566,""en"",""de"")"),"Einer schnappt sich den Ball und stellt ihn wieder ins Spiel.")</f>
        <v>Einer schnappt sich den Ball und stellt ihn wieder ins Spiel.</v>
      </c>
    </row>
    <row r="27567">
      <c r="A27567" s="4" t="s">
        <v>34707</v>
      </c>
      <c r="B27567" s="4" t="s">
        <v>34710</v>
      </c>
      <c r="C27567" s="5" t="str">
        <f>IFERROR(__xludf.DUMMYFUNCTION("GOOGLETRANSLATE(B27567,""en"",""de"")"),"Die Jungs spielen weiterhin das Spiel zurück und den vierten Platz auf den Registerkarten.")</f>
        <v>Die Jungs spielen weiterhin das Spiel zurück und den vierten Platz auf den Registerkarten.</v>
      </c>
    </row>
    <row r="27568">
      <c r="A27568" s="4" t="s">
        <v>34711</v>
      </c>
      <c r="B27568" s="4" t="s">
        <v>34712</v>
      </c>
      <c r="C27568" s="5" t="str">
        <f>IFERROR(__xludf.DUMMYFUNCTION("GOOGLETRANSLATE(B27568,""en"",""de"")"),"Eine Kamera schwenkt um einen Hof, der zu einem Rechen führt, der sich gegen eine Mülleimerin sitzt.")</f>
        <v>Eine Kamera schwenkt um einen Hof, der zu einem Rechen führt, der sich gegen eine Mülleimerin sitzt.</v>
      </c>
    </row>
    <row r="27569">
      <c r="A27569" s="4" t="s">
        <v>34711</v>
      </c>
      <c r="B27569" s="4" t="s">
        <v>34713</v>
      </c>
      <c r="C27569" s="5" t="str">
        <f>IFERROR(__xludf.DUMMYFUNCTION("GOOGLETRANSLATE(B27569,""en"",""de"")"),"Ein Mann wird gesehen, der sich in die Ferne erstreckt und beginnt die Blätter zu rechnen.")</f>
        <v>Ein Mann wird gesehen, der sich in die Ferne erstreckt und beginnt die Blätter zu rechnen.</v>
      </c>
    </row>
    <row r="27570">
      <c r="A27570" s="4" t="s">
        <v>34711</v>
      </c>
      <c r="B27570" s="4" t="s">
        <v>34714</v>
      </c>
      <c r="C27570" s="5" t="str">
        <f>IFERROR(__xludf.DUMMYFUNCTION("GOOGLETRANSLATE(B27570,""en"",""de"")"),"Er nimmt die Blätter auf und wirft sie sowohl in den Müll als auch in eine Decke und übergibt sie einem Mädchen.")</f>
        <v>Er nimmt die Blätter auf und wirft sie sowohl in den Müll als auch in eine Decke und übergibt sie einem Mädchen.</v>
      </c>
    </row>
    <row r="27571">
      <c r="A27571" s="4" t="s">
        <v>34715</v>
      </c>
      <c r="B27571" s="4" t="s">
        <v>34716</v>
      </c>
      <c r="C27571" s="5" t="str">
        <f>IFERROR(__xludf.DUMMYFUNCTION("GOOGLETRANSLATE(B27571,""en"",""de"")"),"Eine Sammlung von Skateboards in einer Straße in der Aufwärtsposition auf ihren Rädern und auf der Plattform.")</f>
        <v>Eine Sammlung von Skateboards in einer Straße in der Aufwärtsposition auf ihren Rädern und auf der Plattform.</v>
      </c>
    </row>
    <row r="27572">
      <c r="A27572" s="4" t="s">
        <v>34715</v>
      </c>
      <c r="B27572" s="4" t="s">
        <v>34717</v>
      </c>
      <c r="C27572" s="5" t="str">
        <f>IFERROR(__xludf.DUMMYFUNCTION("GOOGLETRANSLATE(B27572,""en"",""de"")"),"Ein Skateboarder trägt einen weißen Helmschläger von einem anderen Skateboarder, während die Kamera eine Gruppe von Skateboarder -Zuschauern von der Straße aus dem Straßenrand beobachtet.")</f>
        <v>Ein Skateboarder trägt einen weißen Helmschläger von einem anderen Skateboarder, während die Kamera eine Gruppe von Skateboarder -Zuschauern von der Straße aus dem Straßenrand beobachtet.</v>
      </c>
    </row>
    <row r="27573">
      <c r="A27573" s="4" t="s">
        <v>34715</v>
      </c>
      <c r="B27573" s="4" t="s">
        <v>34718</v>
      </c>
      <c r="C27573" s="5" t="str">
        <f>IFERROR(__xludf.DUMMYFUNCTION("GOOGLETRANSLATE(B27573,""en"",""de"")"),"Eine Gruppe von Skateboardern führt Tricks und Manöver auf der Straße durch.")</f>
        <v>Eine Gruppe von Skateboardern führt Tricks und Manöver auf der Straße durch.</v>
      </c>
    </row>
    <row r="27574">
      <c r="A27574" s="4" t="s">
        <v>34715</v>
      </c>
      <c r="B27574" s="4" t="s">
        <v>34719</v>
      </c>
      <c r="C27574" s="5" t="str">
        <f>IFERROR(__xludf.DUMMYFUNCTION("GOOGLETRANSLATE(B27574,""en"",""de"")"),"Ein Blick auf ein Fahrzeug mit Skateboards und Skateboard -Geräten.")</f>
        <v>Ein Blick auf ein Fahrzeug mit Skateboards und Skateboard -Geräten.</v>
      </c>
    </row>
    <row r="27575">
      <c r="A27575" s="4" t="s">
        <v>34715</v>
      </c>
      <c r="B27575" s="4" t="s">
        <v>34720</v>
      </c>
      <c r="C27575" s="5" t="str">
        <f>IFERROR(__xludf.DUMMYFUNCTION("GOOGLETRANSLATE(B27575,""en"",""de"")"),"Ein weiterer Blick auf die Skateboards in der Straße in der aufrechten Position auf der Straße.")</f>
        <v>Ein weiterer Blick auf die Skateboards in der Straße in der aufrechten Position auf der Straße.</v>
      </c>
    </row>
    <row r="27576">
      <c r="A27576" s="4" t="s">
        <v>34715</v>
      </c>
      <c r="B27576" s="4" t="s">
        <v>34721</v>
      </c>
      <c r="C27576" s="5" t="str">
        <f>IFERROR(__xludf.DUMMYFUNCTION("GOOGLETRANSLATE(B27576,""en"",""de"")"),"Die Zuschauer beobachten von der Straßenrandteile, während eine Gruppe von Skateboardern abwechselnd nach unten wechselt und an einem ausgewiesenen Ort einen scharfen Spin -Stopp machen.")</f>
        <v>Die Zuschauer beobachten von der Straßenrandteile, während eine Gruppe von Skateboardern abwechselnd nach unten wechselt und an einem ausgewiesenen Ort einen scharfen Spin -Stopp machen.</v>
      </c>
    </row>
    <row r="27577">
      <c r="A27577" s="4" t="s">
        <v>34722</v>
      </c>
      <c r="B27577" s="4" t="s">
        <v>34723</v>
      </c>
      <c r="C27577" s="5" t="str">
        <f>IFERROR(__xludf.DUMMYFUNCTION("GOOGLETRANSLATE(B27577,""en"",""de"")"),"Frau geht in einem grünen grasbewachsenen Garten.")</f>
        <v>Frau geht in einem grünen grasbewachsenen Garten.</v>
      </c>
    </row>
    <row r="27578">
      <c r="A27578" s="4" t="s">
        <v>34722</v>
      </c>
      <c r="B27578" s="4" t="s">
        <v>34724</v>
      </c>
      <c r="C27578" s="5" t="str">
        <f>IFERROR(__xludf.DUMMYFUNCTION("GOOGLETRANSLATE(B27578,""en"",""de"")"),"Der Mensch steht in einem bacardard vor einem Zaun mit einer Maschine vor ihm.")</f>
        <v>Der Mensch steht in einem bacardard vor einem Zaun mit einer Maschine vor ihm.</v>
      </c>
    </row>
    <row r="27579">
      <c r="A27579" s="4" t="s">
        <v>34722</v>
      </c>
      <c r="B27579" s="4" t="s">
        <v>34725</v>
      </c>
      <c r="C27579" s="5" t="str">
        <f>IFERROR(__xludf.DUMMYFUNCTION("GOOGLETRANSLATE(B27579,""en"",""de"")"),"Frau ist im Hinterhof und ein Mann steht hinter ihr und benutzt einen Rasenmäher, um das Gras zu schneiden.")</f>
        <v>Frau ist im Hinterhof und ein Mann steht hinter ihr und benutzt einen Rasenmäher, um das Gras zu schneiden.</v>
      </c>
    </row>
    <row r="27580">
      <c r="A27580" s="4" t="s">
        <v>34722</v>
      </c>
      <c r="B27580" s="4" t="s">
        <v>34726</v>
      </c>
      <c r="C27580" s="5" t="str">
        <f>IFERROR(__xludf.DUMMYFUNCTION("GOOGLETRANSLATE(B27580,""en"",""de"")"),"Der Mensch geht mit einigen weißen Plastiktüten auf dem Tuch.")</f>
        <v>Der Mensch geht mit einigen weißen Plastiktüten auf dem Tuch.</v>
      </c>
    </row>
    <row r="27581">
      <c r="A27581" s="4" t="s">
        <v>34727</v>
      </c>
      <c r="B27581" s="4" t="s">
        <v>34728</v>
      </c>
      <c r="C27581" s="5" t="str">
        <f>IFERROR(__xludf.DUMMYFUNCTION("GOOGLETRANSLATE(B27581,""en"",""de"")"),"Ein alter Mann warf den gelben Ball in die Tasse und er sprang zurück auf den Tisch.")</f>
        <v>Ein alter Mann warf den gelben Ball in die Tasse und er sprang zurück auf den Tisch.</v>
      </c>
    </row>
    <row r="27582">
      <c r="A27582" s="4" t="s">
        <v>34727</v>
      </c>
      <c r="B27582" s="4" t="s">
        <v>34729</v>
      </c>
      <c r="C27582" s="5" t="str">
        <f>IFERROR(__xludf.DUMMYFUNCTION("GOOGLETRANSLATE(B27582,""en"",""de"")"),"Der alte Mann im schwarzen Hemd warf den Ball und landete auf den Tisch.")</f>
        <v>Der alte Mann im schwarzen Hemd warf den Ball und landete auf den Tisch.</v>
      </c>
    </row>
    <row r="27583">
      <c r="A27583" s="4" t="s">
        <v>34727</v>
      </c>
      <c r="B27583" s="4" t="s">
        <v>34730</v>
      </c>
      <c r="C27583" s="5" t="str">
        <f>IFERROR(__xludf.DUMMYFUNCTION("GOOGLETRANSLATE(B27583,""en"",""de"")"),"Ein Mann warf den Ball zurück und der Mann im schwarzen Hemd nimmt den Ball aus der Tasse und warf ihn aber vor dem Tisch.")</f>
        <v>Ein Mann warf den Ball zurück und der Mann im schwarzen Hemd nimmt den Ball aus der Tasse und warf ihn aber vor dem Tisch.</v>
      </c>
    </row>
    <row r="27584">
      <c r="A27584" s="4" t="s">
        <v>34731</v>
      </c>
      <c r="B27584" s="4" t="s">
        <v>34732</v>
      </c>
      <c r="C27584" s="5" t="str">
        <f>IFERROR(__xludf.DUMMYFUNCTION("GOOGLETRANSLATE(B27584,""en"",""de"")"),"Wir sehen einen Mann in einem Orchester, das Gesichter macht.")</f>
        <v>Wir sehen einen Mann in einem Orchester, das Gesichter macht.</v>
      </c>
    </row>
    <row r="27585">
      <c r="A27585" s="4" t="s">
        <v>34731</v>
      </c>
      <c r="B27585" s="4" t="s">
        <v>34733</v>
      </c>
      <c r="C27585" s="5" t="str">
        <f>IFERROR(__xludf.DUMMYFUNCTION("GOOGLETRANSLATE(B27585,""en"",""de"")"),"Der Mann steht dann und spielt die Geige.")</f>
        <v>Der Mann steht dann und spielt die Geige.</v>
      </c>
    </row>
    <row r="27586">
      <c r="A27586" s="4" t="s">
        <v>34731</v>
      </c>
      <c r="B27586" s="4" t="s">
        <v>34734</v>
      </c>
      <c r="C27586" s="5" t="str">
        <f>IFERROR(__xludf.DUMMYFUNCTION("GOOGLETRANSLATE(B27586,""en"",""de"")"),"Wir sehen Leute in Schließfächern.")</f>
        <v>Wir sehen Leute in Schließfächern.</v>
      </c>
    </row>
    <row r="27587">
      <c r="A27587" s="4" t="s">
        <v>34731</v>
      </c>
      <c r="B27587" s="4" t="s">
        <v>34735</v>
      </c>
      <c r="C27587" s="5" t="str">
        <f>IFERROR(__xludf.DUMMYFUNCTION("GOOGLETRANSLATE(B27587,""en"",""de"")"),"Wir gehen zurück zu dem Mann, der die Geige spielt.")</f>
        <v>Wir gehen zurück zu dem Mann, der die Geige spielt.</v>
      </c>
    </row>
    <row r="27588">
      <c r="A27588" s="4" t="s">
        <v>34731</v>
      </c>
      <c r="B27588" s="4" t="s">
        <v>34736</v>
      </c>
      <c r="C27588" s="5" t="str">
        <f>IFERROR(__xludf.DUMMYFUNCTION("GOOGLETRANSLATE(B27588,""en"",""de"")"),"Wir sehen die Leute im Schließfach.")</f>
        <v>Wir sehen die Leute im Schließfach.</v>
      </c>
    </row>
    <row r="27589">
      <c r="A27589" s="4" t="s">
        <v>34731</v>
      </c>
      <c r="B27589" s="4" t="s">
        <v>34737</v>
      </c>
      <c r="C27589" s="5" t="str">
        <f>IFERROR(__xludf.DUMMYFUNCTION("GOOGLETRANSLATE(B27589,""en"",""de"")"),"Wir sehen den spielerischen Mann und dann steht die Menge und klatscht.")</f>
        <v>Wir sehen den spielerischen Mann und dann steht die Menge und klatscht.</v>
      </c>
    </row>
    <row r="27590">
      <c r="A27590" s="4" t="s">
        <v>34731</v>
      </c>
      <c r="B27590" s="4" t="s">
        <v>34738</v>
      </c>
      <c r="C27590" s="5" t="str">
        <f>IFERROR(__xludf.DUMMYFUNCTION("GOOGLETRANSLATE(B27590,""en"",""de"")"),"Der Mann lächelt und Wellen.")</f>
        <v>Der Mann lächelt und Wellen.</v>
      </c>
    </row>
    <row r="27591">
      <c r="A27591" s="4" t="s">
        <v>34739</v>
      </c>
      <c r="B27591" s="4" t="s">
        <v>34740</v>
      </c>
      <c r="C27591" s="5" t="str">
        <f>IFERROR(__xludf.DUMMYFUNCTION("GOOGLETRANSLATE(B27591,""en"",""de"")"),"Die Leute sind lange ein Bord in einen Hügel.")</f>
        <v>Die Leute sind lange ein Bord in einen Hügel.</v>
      </c>
    </row>
    <row r="27592">
      <c r="A27592" s="4" t="s">
        <v>34739</v>
      </c>
      <c r="B27592" s="4" t="s">
        <v>34741</v>
      </c>
      <c r="C27592" s="5" t="str">
        <f>IFERROR(__xludf.DUMMYFUNCTION("GOOGLETRANSLATE(B27592,""en"",""de"")"),"Neben dem Hügel wird ein silberner LKW geparkt.")</f>
        <v>Neben dem Hügel wird ein silberner LKW geparkt.</v>
      </c>
    </row>
    <row r="27593">
      <c r="A27593" s="4" t="s">
        <v>34739</v>
      </c>
      <c r="B27593" s="4" t="s">
        <v>34742</v>
      </c>
      <c r="C27593" s="5" t="str">
        <f>IFERROR(__xludf.DUMMYFUNCTION("GOOGLETRANSLATE(B27593,""en"",""de"")"),"Eine Person fällt vom langen Brett auf den Bürgersteig.")</f>
        <v>Eine Person fällt vom langen Brett auf den Bürgersteig.</v>
      </c>
    </row>
    <row r="27594">
      <c r="A27594" s="4" t="s">
        <v>34743</v>
      </c>
      <c r="B27594" s="4" t="s">
        <v>34744</v>
      </c>
      <c r="C27594" s="5" t="str">
        <f>IFERROR(__xludf.DUMMYFUNCTION("GOOGLETRANSLATE(B27594,""en"",""de"")"),"Weißer Text sagt in Erinnerung an Paul Walker.")</f>
        <v>Weißer Text sagt in Erinnerung an Paul Walker.</v>
      </c>
    </row>
    <row r="27595">
      <c r="A27595" s="4" t="s">
        <v>34743</v>
      </c>
      <c r="B27595" s="4" t="s">
        <v>34745</v>
      </c>
      <c r="C27595" s="5" t="str">
        <f>IFERROR(__xludf.DUMMYFUNCTION("GOOGLETRANSLATE(B27595,""en"",""de"")"),"Eine Person wird mit einem kleinen Pinsel angezeigt, um ein Bild von Paul Walker zu erstellen.")</f>
        <v>Eine Person wird mit einem kleinen Pinsel angezeigt, um ein Bild von Paul Walker zu erstellen.</v>
      </c>
    </row>
    <row r="27596">
      <c r="A27596" s="4" t="s">
        <v>34743</v>
      </c>
      <c r="B27596" s="4" t="s">
        <v>34746</v>
      </c>
      <c r="C27596" s="5" t="str">
        <f>IFERROR(__xludf.DUMMYFUNCTION("GOOGLETRANSLATE(B27596,""en"",""de"")"),"Jedes Detail wird nacheinander gezeichnet und erzeugt das endgültige abgeschlossene Bild.")</f>
        <v>Jedes Detail wird nacheinander gezeichnet und erzeugt das endgültige abgeschlossene Bild.</v>
      </c>
    </row>
    <row r="27597">
      <c r="A27597" s="4" t="s">
        <v>34747</v>
      </c>
      <c r="B27597" s="4" t="s">
        <v>34748</v>
      </c>
      <c r="C27597" s="5" t="str">
        <f>IFERROR(__xludf.DUMMYFUNCTION("GOOGLETRANSLATE(B27597,""en"",""de"")"),"Zwei Personen veranstalten ein Nachrichtensegment, das in Clips von Menschen führt, die ihre Autos abkratzen.")</f>
        <v>Zwei Personen veranstalten ein Nachrichtensegment, das in Clips von Menschen führt, die ihre Autos abkratzen.</v>
      </c>
    </row>
    <row r="27598">
      <c r="A27598" s="4" t="s">
        <v>34747</v>
      </c>
      <c r="B27598" s="4" t="s">
        <v>34749</v>
      </c>
      <c r="C27598" s="5" t="str">
        <f>IFERROR(__xludf.DUMMYFUNCTION("GOOGLETRANSLATE(B27598,""en"",""de"")"),"Eine Frau spricht mit der Kamera, während sie ihr Auto abkratzt und Produkte hält, um zu helfen.")</f>
        <v>Eine Frau spricht mit der Kamera, während sie ihr Auto abkratzt und Produkte hält, um zu helfen.</v>
      </c>
    </row>
    <row r="27599">
      <c r="A27599" s="4" t="s">
        <v>34747</v>
      </c>
      <c r="B27599" s="4" t="s">
        <v>34750</v>
      </c>
      <c r="C27599" s="5" t="str">
        <f>IFERROR(__xludf.DUMMYFUNCTION("GOOGLETRANSLATE(B27599,""en"",""de"")"),"Weitere Menschen sprechen mit der Kamera und zeigen ihre Methoden, Eis zu schmelzen und zu den beiden Reportern zurückzukehren.")</f>
        <v>Weitere Menschen sprechen mit der Kamera und zeigen ihre Methoden, Eis zu schmelzen und zu den beiden Reportern zurückzukehren.</v>
      </c>
    </row>
    <row r="27600">
      <c r="A27600" s="4" t="s">
        <v>34751</v>
      </c>
      <c r="B27600" s="4" t="s">
        <v>34752</v>
      </c>
      <c r="C27600" s="5" t="str">
        <f>IFERROR(__xludf.DUMMYFUNCTION("GOOGLETRANSLATE(B27600,""en"",""de"")"),"Ein männlicher Gymnast, der rot und weiße Trikots gekleidet ist, tritt auf einer Pferdestange auf.")</f>
        <v>Ein männlicher Gymnast, der rot und weiße Trikots gekleidet ist, tritt auf einer Pferdestange auf.</v>
      </c>
    </row>
    <row r="27601">
      <c r="A27601" s="4" t="s">
        <v>34751</v>
      </c>
      <c r="B27601" s="4" t="s">
        <v>34753</v>
      </c>
      <c r="C27601" s="5" t="str">
        <f>IFERROR(__xludf.DUMMYFUNCTION("GOOGLETRANSLATE(B27601,""en"",""de"")"),"Er klettert die Pferdestange hinauf und macht Rückhandfedern.")</f>
        <v>Er klettert die Pferdestange hinauf und macht Rückhandfedern.</v>
      </c>
    </row>
    <row r="27602">
      <c r="A27602" s="4" t="s">
        <v>34751</v>
      </c>
      <c r="B27602" s="4" t="s">
        <v>34754</v>
      </c>
      <c r="C27602" s="5" t="str">
        <f>IFERROR(__xludf.DUMMYFUNCTION("GOOGLETRANSLATE(B27602,""en"",""de"")"),"Er setzt sich schnell über die Pferdestange fort, als er seinen Körper erhebt, indem er sein Körpergewicht auf seine Arme schob.")</f>
        <v>Er setzt sich schnell über die Pferdestange fort, als er seinen Körper erhebt, indem er sein Körpergewicht auf seine Arme schob.</v>
      </c>
    </row>
    <row r="27603">
      <c r="A27603" s="4" t="s">
        <v>34751</v>
      </c>
      <c r="B27603" s="4" t="s">
        <v>34755</v>
      </c>
      <c r="C27603" s="5" t="str">
        <f>IFERROR(__xludf.DUMMYFUNCTION("GOOGLETRANSLATE(B27603,""en"",""de"")"),"Er macht weiter vorne und zurück.")</f>
        <v>Er macht weiter vorne und zurück.</v>
      </c>
    </row>
    <row r="27604">
      <c r="A27604" s="4" t="s">
        <v>34751</v>
      </c>
      <c r="B27604" s="4" t="s">
        <v>34756</v>
      </c>
      <c r="C27604" s="5" t="str">
        <f>IFERROR(__xludf.DUMMYFUNCTION("GOOGLETRANSLATE(B27604,""en"",""de"")"),"Nachdem er fertig ist, steigt er von der Bar und geht auf die Richter und andere Teilnehmer zu.")</f>
        <v>Nachdem er fertig ist, steigt er von der Bar und geht auf die Richter und andere Teilnehmer zu.</v>
      </c>
    </row>
    <row r="27605">
      <c r="A27605" s="4" t="s">
        <v>34751</v>
      </c>
      <c r="B27605" s="4" t="s">
        <v>34757</v>
      </c>
      <c r="C27605" s="5" t="str">
        <f>IFERROR(__xludf.DUMMYFUNCTION("GOOGLETRANSLATE(B27605,""en"",""de"")"),"Die Zuschauer jubeln ihm an und die Richter schütteln dem Turner die Hand.")</f>
        <v>Die Zuschauer jubeln ihm an und die Richter schütteln dem Turner die Hand.</v>
      </c>
    </row>
    <row r="27606">
      <c r="A27606" s="4" t="s">
        <v>34758</v>
      </c>
      <c r="B27606" s="4" t="s">
        <v>34759</v>
      </c>
      <c r="C27606" s="5" t="str">
        <f>IFERROR(__xludf.DUMMYFUNCTION("GOOGLETRANSLATE(B27606,""en"",""de"")"),"Ein Mann steht in einem Raum, der über ein Objekt mit einem Utensil schmilzt, das mehrere Funken erzeugt.")</f>
        <v>Ein Mann steht in einem Raum, der über ein Objekt mit einem Utensil schmilzt, das mehrere Funken erzeugt.</v>
      </c>
    </row>
    <row r="27607">
      <c r="A27607" s="4" t="s">
        <v>34758</v>
      </c>
      <c r="B27607" s="4" t="s">
        <v>34760</v>
      </c>
      <c r="C27607" s="5" t="str">
        <f>IFERROR(__xludf.DUMMYFUNCTION("GOOGLETRANSLATE(B27607,""en"",""de"")"),"Ein anderer Mann geht dann hinter die Person und legt einen Helm zum Schutz an, als er den Mann vor sich beobachtet.")</f>
        <v>Ein anderer Mann geht dann hinter die Person und legt einen Helm zum Schutz an, als er den Mann vor sich beobachtet.</v>
      </c>
    </row>
    <row r="27608">
      <c r="A27608" s="4" t="s">
        <v>34761</v>
      </c>
      <c r="B27608" s="4" t="s">
        <v>34762</v>
      </c>
      <c r="C27608" s="5" t="str">
        <f>IFERROR(__xludf.DUMMYFUNCTION("GOOGLETRANSLATE(B27608,""en"",""de"")"),"Drei Kinder schwingen auf dem Spiel im Hinterhof.")</f>
        <v>Drei Kinder schwingen auf dem Spiel im Hinterhof.</v>
      </c>
    </row>
    <row r="27609">
      <c r="A27609" s="4" t="s">
        <v>34761</v>
      </c>
      <c r="B27609" s="4" t="s">
        <v>34763</v>
      </c>
      <c r="C27609" s="5" t="str">
        <f>IFERROR(__xludf.DUMMYFUNCTION("GOOGLETRANSLATE(B27609,""en"",""de"")"),"Einer der Jungen klettern und gleitet die Rutsche hinunter.")</f>
        <v>Einer der Jungen klettern und gleitet die Rutsche hinunter.</v>
      </c>
    </row>
    <row r="27610">
      <c r="A27610" s="4" t="s">
        <v>34761</v>
      </c>
      <c r="B27610" s="4" t="s">
        <v>34764</v>
      </c>
      <c r="C27610" s="5" t="str">
        <f>IFERROR(__xludf.DUMMYFUNCTION("GOOGLETRANSLATE(B27610,""en"",""de"")"),"Weitere Kinder beitreten und und sie gehen zusammen die Rutsche und bewegen sich sehr schnell um das Set.")</f>
        <v>Weitere Kinder beitreten und und sie gehen zusammen die Rutsche und bewegen sich sehr schnell um das Set.</v>
      </c>
    </row>
    <row r="27611">
      <c r="A27611" s="4" t="s">
        <v>34761</v>
      </c>
      <c r="B27611" s="4" t="s">
        <v>34765</v>
      </c>
      <c r="C27611" s="5" t="str">
        <f>IFERROR(__xludf.DUMMYFUNCTION("GOOGLETRANSLATE(B27611,""en"",""de"")"),"Sie beginnen ihre Bäuche zu schwingen und haben insgesamt eine tolle Zeit mit dem Spielen.")</f>
        <v>Sie beginnen ihre Bäuche zu schwingen und haben insgesamt eine tolle Zeit mit dem Spielen.</v>
      </c>
    </row>
    <row r="27612">
      <c r="A27612" s="4" t="s">
        <v>34766</v>
      </c>
      <c r="B27612" s="4" t="s">
        <v>34767</v>
      </c>
      <c r="C27612" s="5" t="str">
        <f>IFERROR(__xludf.DUMMYFUNCTION("GOOGLETRANSLATE(B27612,""en"",""de"")"),"Auf dem Bildschirm erscheinen eine Reihe von Wörtern und sie informieren uns, dass die Männer versuchen, über den Atlantik zu rudern.")</f>
        <v>Auf dem Bildschirm erscheinen eine Reihe von Wörtern und sie informieren uns, dass die Männer versuchen, über den Atlantik zu rudern.</v>
      </c>
    </row>
    <row r="27613">
      <c r="A27613" s="4" t="s">
        <v>34766</v>
      </c>
      <c r="B27613" s="4" t="s">
        <v>34768</v>
      </c>
      <c r="C27613" s="5" t="str">
        <f>IFERROR(__xludf.DUMMYFUNCTION("GOOGLETRANSLATE(B27613,""en"",""de"")"),"Ein Mann wird dann draußen auf seinem Ruder des Terrasses gezeigt und Worte zeigen, dass es zwei Stunden und 1600 Kalorien verbrannt wurden.")</f>
        <v>Ein Mann wird dann draußen auf seinem Ruder des Terrasses gezeigt und Worte zeigen, dass es zwei Stunden und 1600 Kalorien verbrannt wurden.</v>
      </c>
    </row>
    <row r="27614">
      <c r="A27614" s="4" t="s">
        <v>34766</v>
      </c>
      <c r="B27614" s="4" t="s">
        <v>34769</v>
      </c>
      <c r="C27614" s="5" t="str">
        <f>IFERROR(__xludf.DUMMYFUNCTION("GOOGLETRANSLATE(B27614,""en"",""de"")"),"Nachdem der Mann wieder gezeigt wurde, aber diesmal ist er erschöpft und ist gezwungen, einen Atemzug zu holen, damit er atmen kann.")</f>
        <v>Nachdem der Mann wieder gezeigt wurde, aber diesmal ist er erschöpft und ist gezwungen, einen Atemzug zu holen, damit er atmen kann.</v>
      </c>
    </row>
    <row r="27615">
      <c r="A27615" s="4" t="s">
        <v>34766</v>
      </c>
      <c r="B27615" s="4" t="s">
        <v>34770</v>
      </c>
      <c r="C27615" s="5" t="str">
        <f>IFERROR(__xludf.DUMMYFUNCTION("GOOGLETRANSLATE(B27615,""en"",""de"")"),"Jetzt steht der Mann auf und nimmt zur Kamera und hält seine Hand hoch, um den Blasen, die er in den Händen hat, zu zeigen.")</f>
        <v>Jetzt steht der Mann auf und nimmt zur Kamera und hält seine Hand hoch, um den Blasen, die er in den Händen hat, zu zeigen.</v>
      </c>
    </row>
    <row r="27616">
      <c r="A27616" s="4" t="s">
        <v>34771</v>
      </c>
      <c r="B27616" s="4" t="s">
        <v>34772</v>
      </c>
      <c r="C27616" s="5" t="str">
        <f>IFERROR(__xludf.DUMMYFUNCTION("GOOGLETRANSLATE(B27616,""en"",""de"")"),"Die Leute stehen auf einem Tauchbrett, der ein Mann springt in den Schwimmbad.")</f>
        <v>Die Leute stehen auf einem Tauchbrett, der ein Mann springt in den Schwimmbad.</v>
      </c>
    </row>
    <row r="27617">
      <c r="A27617" s="4" t="s">
        <v>34771</v>
      </c>
      <c r="B27617" s="4" t="s">
        <v>34773</v>
      </c>
      <c r="C27617" s="5" t="str">
        <f>IFERROR(__xludf.DUMMYFUNCTION("GOOGLETRANSLATE(B27617,""en"",""de"")"),"Plötzlich läuft ein Mädchen auf einem unteren Essbrett und springt in den Schwimmbad.")</f>
        <v>Plötzlich läuft ein Mädchen auf einem unteren Essbrett und springt in den Schwimmbad.</v>
      </c>
    </row>
    <row r="27618">
      <c r="A27618" s="4" t="s">
        <v>34771</v>
      </c>
      <c r="B27618" s="4" t="s">
        <v>34774</v>
      </c>
      <c r="C27618" s="5" t="str">
        <f>IFERROR(__xludf.DUMMYFUNCTION("GOOGLETRANSLATE(B27618,""en"",""de"")"),"Die Leute sitzen um den Pool.")</f>
        <v>Die Leute sitzen um den Pool.</v>
      </c>
    </row>
    <row r="27619">
      <c r="A27619" s="4" t="s">
        <v>34775</v>
      </c>
      <c r="B27619" s="4" t="s">
        <v>34776</v>
      </c>
      <c r="C27619" s="5" t="str">
        <f>IFERROR(__xludf.DUMMYFUNCTION("GOOGLETRANSLATE(B27619,""en"",""de"")"),"Einige ältere Männer stehen vor Affenstangen, die miteinander sprechen.")</f>
        <v>Einige ältere Männer stehen vor Affenstangen, die miteinander sprechen.</v>
      </c>
    </row>
    <row r="27620">
      <c r="A27620" s="4" t="s">
        <v>34775</v>
      </c>
      <c r="B27620" s="4" t="s">
        <v>34777</v>
      </c>
      <c r="C27620" s="5" t="str">
        <f>IFERROR(__xludf.DUMMYFUNCTION("GOOGLETRANSLATE(B27620,""en"",""de"")"),"Man beginnt mit mehreren anderen Menschen über die Bars zu klettern.")</f>
        <v>Man beginnt mit mehreren anderen Menschen über die Bars zu klettern.</v>
      </c>
    </row>
    <row r="27621">
      <c r="A27621" s="4" t="s">
        <v>34775</v>
      </c>
      <c r="B27621" s="4" t="s">
        <v>34778</v>
      </c>
      <c r="C27621" s="5" t="str">
        <f>IFERROR(__xludf.DUMMYFUNCTION("GOOGLETRANSLATE(B27621,""en"",""de"")"),"Eine Frau fällt ins Wasser und viele weitere klettern über die Affenbars.")</f>
        <v>Eine Frau fällt ins Wasser und viele weitere klettern über die Affenbars.</v>
      </c>
    </row>
    <row r="27622">
      <c r="A27622" s="4" t="s">
        <v>34779</v>
      </c>
      <c r="B27622" s="4" t="s">
        <v>34780</v>
      </c>
      <c r="C27622" s="5" t="str">
        <f>IFERROR(__xludf.DUMMYFUNCTION("GOOGLETRANSLATE(B27622,""en"",""de"")"),"Ein kleiner Junge, der ein schwarzes und rot gestreiftes Hemd trägt, sitzt mit einem Drum -Set und spielt Schlagzeug.")</f>
        <v>Ein kleiner Junge, der ein schwarzes und rot gestreiftes Hemd trägt, sitzt mit einem Drum -Set und spielt Schlagzeug.</v>
      </c>
    </row>
    <row r="27623">
      <c r="A27623" s="4" t="s">
        <v>34779</v>
      </c>
      <c r="B27623" s="4" t="s">
        <v>34781</v>
      </c>
      <c r="C27623" s="5" t="str">
        <f>IFERROR(__xludf.DUMMYFUNCTION("GOOGLETRANSLATE(B27623,""en"",""de"")"),"Ein Mann, der ein rosa Hemd und eine schwarze Hose trägt, steht neben ihm.")</f>
        <v>Ein Mann, der ein rosa Hemd und eine schwarze Hose trägt, steht neben ihm.</v>
      </c>
    </row>
    <row r="27624">
      <c r="A27624" s="4" t="s">
        <v>34779</v>
      </c>
      <c r="B27624" s="4" t="s">
        <v>34782</v>
      </c>
      <c r="C27624" s="5" t="str">
        <f>IFERROR(__xludf.DUMMYFUNCTION("GOOGLETRANSLATE(B27624,""en"",""de"")"),"Eine andere Person, die ein Jeanshemd trägt, geht am Jungen vorbei.")</f>
        <v>Eine andere Person, die ein Jeanshemd trägt, geht am Jungen vorbei.</v>
      </c>
    </row>
    <row r="27625">
      <c r="A27625" s="4" t="s">
        <v>34779</v>
      </c>
      <c r="B27625" s="4" t="s">
        <v>34783</v>
      </c>
      <c r="C27625" s="5" t="str">
        <f>IFERROR(__xludf.DUMMYFUNCTION("GOOGLETRANSLATE(B27625,""en"",""de"")"),"Der Junge trommelt weiterhin die Becken und das Hi-Had auf rhythmische Weise, wenn die Menschen ihn anfeuern.")</f>
        <v>Der Junge trommelt weiterhin die Becken und das Hi-Had auf rhythmische Weise, wenn die Menschen ihn anfeuern.</v>
      </c>
    </row>
    <row r="27626">
      <c r="A27626" s="4" t="s">
        <v>34779</v>
      </c>
      <c r="B27626" s="4" t="s">
        <v>34784</v>
      </c>
      <c r="C27626" s="5" t="str">
        <f>IFERROR(__xludf.DUMMYFUNCTION("GOOGLETRANSLATE(B27626,""en"",""de"")"),"Er trifft abwechselnd die Becken und die Snare -Trommeln mit den Stöcken.")</f>
        <v>Er trifft abwechselnd die Becken und die Snare -Trommeln mit den Stöcken.</v>
      </c>
    </row>
    <row r="27627">
      <c r="A27627" s="4" t="s">
        <v>34779</v>
      </c>
      <c r="B27627" s="4" t="s">
        <v>34785</v>
      </c>
      <c r="C27627" s="5" t="str">
        <f>IFERROR(__xludf.DUMMYFUNCTION("GOOGLETRANSLATE(B27627,""en"",""de"")"),"Er endet, indem er die Becken schlägt.")</f>
        <v>Er endet, indem er die Becken schlägt.</v>
      </c>
    </row>
    <row r="27628">
      <c r="A27628" s="4" t="s">
        <v>34786</v>
      </c>
      <c r="B27628" s="4" t="s">
        <v>34787</v>
      </c>
      <c r="C27628" s="5" t="str">
        <f>IFERROR(__xludf.DUMMYFUNCTION("GOOGLETRANSLATE(B27628,""en"",""de"")"),"Die Turner schwingen während des olympischen Wettbewerbs auf Doppelbars.")</f>
        <v>Die Turner schwingen während des olympischen Wettbewerbs auf Doppelbars.</v>
      </c>
    </row>
    <row r="27629">
      <c r="A27629" s="4" t="s">
        <v>34786</v>
      </c>
      <c r="B27629" s="4" t="s">
        <v>34788</v>
      </c>
      <c r="C27629" s="5" t="str">
        <f>IFERROR(__xludf.DUMMYFUNCTION("GOOGLETRANSLATE(B27629,""en"",""de"")"),"Turner schwingt während des Trainings in einem Fitnessstudio auf Doppelbars.")</f>
        <v>Turner schwingt während des Trainings in einem Fitnessstudio auf Doppelbars.</v>
      </c>
    </row>
    <row r="27630">
      <c r="A27630" s="4" t="s">
        <v>34789</v>
      </c>
      <c r="B27630" s="4" t="s">
        <v>34790</v>
      </c>
      <c r="C27630" s="5" t="str">
        <f>IFERROR(__xludf.DUMMYFUNCTION("GOOGLETRANSLATE(B27630,""en"",""de"")"),"Mehrere Erwachsene sind eine Sprungbringung auf Plattformen.")</f>
        <v>Mehrere Erwachsene sind eine Sprungbringung auf Plattformen.</v>
      </c>
    </row>
    <row r="27631">
      <c r="A27631" s="4" t="s">
        <v>34789</v>
      </c>
      <c r="B27631" s="4" t="s">
        <v>34791</v>
      </c>
      <c r="C27631" s="5" t="str">
        <f>IFERROR(__xludf.DUMMYFUNCTION("GOOGLETRANSLATE(B27631,""en"",""de"")"),"Sie treten auf und von und drehen sich herum.")</f>
        <v>Sie treten auf und von und drehen sich herum.</v>
      </c>
    </row>
    <row r="27632">
      <c r="A27632" s="4" t="s">
        <v>34789</v>
      </c>
      <c r="B27632" s="4" t="s">
        <v>34792</v>
      </c>
      <c r="C27632" s="5" t="str">
        <f>IFERROR(__xludf.DUMMYFUNCTION("GOOGLETRANSLATE(B27632,""en"",""de"")"),"Sie machen ein Karrenrad von der Plattform.")</f>
        <v>Sie machen ein Karrenrad von der Plattform.</v>
      </c>
    </row>
    <row r="27633">
      <c r="A27633" s="4" t="s">
        <v>34789</v>
      </c>
      <c r="B27633" s="4" t="s">
        <v>34793</v>
      </c>
      <c r="C27633" s="5" t="str">
        <f>IFERROR(__xludf.DUMMYFUNCTION("GOOGLETRANSLATE(B27633,""en"",""de"")"),"Sie beenden ihre Übung und gehen ab.")</f>
        <v>Sie beenden ihre Übung und gehen ab.</v>
      </c>
    </row>
    <row r="27634">
      <c r="A27634" s="4" t="s">
        <v>34794</v>
      </c>
      <c r="B27634" s="4" t="s">
        <v>34795</v>
      </c>
      <c r="C27634" s="5" t="str">
        <f>IFERROR(__xludf.DUMMYFUNCTION("GOOGLETRANSLATE(B27634,""en"",""de"")"),"Ein junges Mädchen im Teenageralter sitzt auf einem großen Stuhl am Telefon und macht Gesichter.")</f>
        <v>Ein junges Mädchen im Teenageralter sitzt auf einem großen Stuhl am Telefon und macht Gesichter.</v>
      </c>
    </row>
    <row r="27635">
      <c r="A27635" s="4" t="s">
        <v>34794</v>
      </c>
      <c r="B27635" s="4" t="s">
        <v>34796</v>
      </c>
      <c r="C27635" s="5" t="str">
        <f>IFERROR(__xludf.DUMMYFUNCTION("GOOGLETRANSLATE(B27635,""en"",""de"")"),"Zwei andere Frauen tanzen dann auf einem Bürgersteig im Hof ​​vorne im Hof.")</f>
        <v>Zwei andere Frauen tanzen dann auf einem Bürgersteig im Hof ​​vorne im Hof.</v>
      </c>
    </row>
    <row r="27636">
      <c r="A27636" s="4" t="s">
        <v>34794</v>
      </c>
      <c r="B27636" s="4" t="s">
        <v>34797</v>
      </c>
      <c r="C27636" s="5" t="str">
        <f>IFERROR(__xludf.DUMMYFUNCTION("GOOGLETRANSLATE(B27636,""en"",""de"")"),"Das Mädchen greift dann nach ihrer Schwitzhose und lehrt ihr Gegenstück verschiedene Tanzschritte, und die erste Frau taucht am Telefon wieder auf.")</f>
        <v>Das Mädchen greift dann nach ihrer Schwitzhose und lehrt ihr Gegenstück verschiedene Tanzschritte, und die erste Frau taucht am Telefon wieder auf.</v>
      </c>
    </row>
    <row r="27637">
      <c r="A27637" s="4" t="s">
        <v>34798</v>
      </c>
      <c r="B27637" s="4" t="s">
        <v>34799</v>
      </c>
      <c r="C27637" s="5" t="str">
        <f>IFERROR(__xludf.DUMMYFUNCTION("GOOGLETRANSLATE(B27637,""en"",""de"")"),"Eine Person zeigt, wie man Gummifliesen in einem Fitnessstudio installiert.")</f>
        <v>Eine Person zeigt, wie man Gummifliesen in einem Fitnessstudio installiert.</v>
      </c>
    </row>
    <row r="27638">
      <c r="A27638" s="4" t="s">
        <v>34798</v>
      </c>
      <c r="B27638" s="4" t="s">
        <v>34800</v>
      </c>
      <c r="C27638" s="5" t="str">
        <f>IFERROR(__xludf.DUMMYFUNCTION("GOOGLETRANSLATE(B27638,""en"",""de"")"),"Das Video zeigt mehrere Personen, die in einem Fitnessstudio auf dem Boden arbeiten.")</f>
        <v>Das Video zeigt mehrere Personen, die in einem Fitnessstudio auf dem Boden arbeiten.</v>
      </c>
    </row>
    <row r="27639">
      <c r="A27639" s="4" t="s">
        <v>34798</v>
      </c>
      <c r="B27639" s="4" t="s">
        <v>34801</v>
      </c>
      <c r="C27639" s="5" t="str">
        <f>IFERROR(__xludf.DUMMYFUNCTION("GOOGLETRANSLATE(B27639,""en"",""de"")"),"Die Person zeigt, wie die Bodenfläche vor dem Installieren der Fliesen vorbereitet wird.")</f>
        <v>Die Person zeigt, wie die Bodenfläche vor dem Installieren der Fliesen vorbereitet wird.</v>
      </c>
    </row>
    <row r="27640">
      <c r="A27640" s="4" t="s">
        <v>34798</v>
      </c>
      <c r="B27640" s="4" t="s">
        <v>34802</v>
      </c>
      <c r="C27640" s="5" t="str">
        <f>IFERROR(__xludf.DUMMYFUNCTION("GOOGLETRANSLATE(B27640,""en"",""de"")"),"Er zeigt, wie man die Kacheln auf den Boden auf den Boden legt.")</f>
        <v>Er zeigt, wie man die Kacheln auf den Boden auf den Boden legt.</v>
      </c>
    </row>
    <row r="27641">
      <c r="A27641" s="4" t="s">
        <v>34798</v>
      </c>
      <c r="B27641" s="4" t="s">
        <v>34803</v>
      </c>
      <c r="C27641" s="5" t="str">
        <f>IFERROR(__xludf.DUMMYFUNCTION("GOOGLETRANSLATE(B27641,""en"",""de"")"),"Das Video zeigt eine Simulation, wie die Fliesen gemessen und nacheinander gemessen werden können, um eine perfekte Wand zur Wandanpassung zu erhalten.")</f>
        <v>Das Video zeigt eine Simulation, wie die Fliesen gemessen und nacheinander gemessen werden können, um eine perfekte Wand zur Wandanpassung zu erhalten.</v>
      </c>
    </row>
    <row r="27642">
      <c r="A27642" s="4" t="s">
        <v>34798</v>
      </c>
      <c r="B27642" s="4" t="s">
        <v>34804</v>
      </c>
      <c r="C27642" s="5" t="str">
        <f>IFERROR(__xludf.DUMMYFUNCTION("GOOGLETRANSLATE(B27642,""en"",""de"")"),"Eine Person zeigt auch, wie Fliesen die Flush -Kante an die Kante passen, ohne eine Lücke zwischen Fliesen zu hinterlassen.")</f>
        <v>Eine Person zeigt auch, wie Fliesen die Flush -Kante an die Kante passen, ohne eine Lücke zwischen Fliesen zu hinterlassen.</v>
      </c>
    </row>
    <row r="27643">
      <c r="A27643" s="4" t="s">
        <v>34798</v>
      </c>
      <c r="B27643" s="4" t="s">
        <v>34805</v>
      </c>
      <c r="C27643" s="5" t="str">
        <f>IFERROR(__xludf.DUMMYFUNCTION("GOOGLETRANSLATE(B27643,""en"",""de"")"),"Schließlich zeigt er, wie man eine Essiglösung verwendet, um die Fliesen zu reinigen, um die Qualität der Fliesen aufrechtzuerhalten.")</f>
        <v>Schließlich zeigt er, wie man eine Essiglösung verwendet, um die Fliesen zu reinigen, um die Qualität der Fliesen aufrechtzuerhalten.</v>
      </c>
    </row>
    <row r="27644">
      <c r="A27644" s="4" t="s">
        <v>34798</v>
      </c>
      <c r="B27644" s="4" t="s">
        <v>34806</v>
      </c>
      <c r="C27644" s="5" t="str">
        <f>IFERROR(__xludf.DUMMYFUNCTION("GOOGLETRANSLATE(B27644,""en"",""de"")"),"Das Video endet mit den Informationen der Fliesenfirma.")</f>
        <v>Das Video endet mit den Informationen der Fliesenfirma.</v>
      </c>
    </row>
    <row r="27645">
      <c r="A27645" s="4" t="s">
        <v>34807</v>
      </c>
      <c r="B27645" s="4" t="s">
        <v>34808</v>
      </c>
      <c r="C27645" s="5" t="str">
        <f>IFERROR(__xludf.DUMMYFUNCTION("GOOGLETRANSLATE(B27645,""en"",""de"")"),"Es wird eine Innenstange gezeigt und ein Mann sitzt auf einem Pferd.")</f>
        <v>Es wird eine Innenstange gezeigt und ein Mann sitzt auf einem Pferd.</v>
      </c>
    </row>
    <row r="27646">
      <c r="A27646" s="4" t="s">
        <v>34807</v>
      </c>
      <c r="B27646" s="4" t="s">
        <v>34809</v>
      </c>
      <c r="C27646" s="5" t="str">
        <f>IFERROR(__xludf.DUMMYFUNCTION("GOOGLETRANSLATE(B27646,""en"",""de"")"),"Die Tore öffnen sich und der Mann fliegt mit Lasso nach einem schwarz -weißen Kalb.")</f>
        <v>Die Tore öffnen sich und der Mann fliegt mit Lasso nach einem schwarz -weißen Kalb.</v>
      </c>
    </row>
    <row r="27647">
      <c r="A27647" s="4" t="s">
        <v>34807</v>
      </c>
      <c r="B27647" s="4" t="s">
        <v>34810</v>
      </c>
      <c r="C27647" s="5" t="str">
        <f>IFERROR(__xludf.DUMMYFUNCTION("GOOGLETRANSLATE(B27647,""en"",""de"")"),"Der Mann wirft das Seil und fängt das Kalb, steigt aus, bindet die Kuh und kehrt wieder auf das Pferd zurück.")</f>
        <v>Der Mann wirft das Seil und fängt das Kalb, steigt aus, bindet die Kuh und kehrt wieder auf das Pferd zurück.</v>
      </c>
    </row>
    <row r="27648">
      <c r="A27648" s="4" t="s">
        <v>34811</v>
      </c>
      <c r="B27648" s="4" t="s">
        <v>34812</v>
      </c>
      <c r="C27648" s="5" t="str">
        <f>IFERROR(__xludf.DUMMYFUNCTION("GOOGLETRANSLATE(B27648,""en"",""de"")"),"Ein Mädchen mit langem Haar wird gezeigt, wie er mit der Kamera spricht und in ihr sprühendes Wasser über einen Hund in der Wanne sprüht.")</f>
        <v>Ein Mädchen mit langem Haar wird gezeigt, wie er mit der Kamera spricht und in ihr sprühendes Wasser über einen Hund in der Wanne sprüht.</v>
      </c>
    </row>
    <row r="27649">
      <c r="A27649" s="4" t="s">
        <v>34811</v>
      </c>
      <c r="B27649" s="4" t="s">
        <v>34813</v>
      </c>
      <c r="C27649" s="5" t="str">
        <f>IFERROR(__xludf.DUMMYFUNCTION("GOOGLETRANSLATE(B27649,""en"",""de"")"),"Sie schrubbt den Hund mit Shampoo und rennt wieder das Wasser über den Hund.")</f>
        <v>Sie schrubbt den Hund mit Shampoo und rennt wieder das Wasser über den Hund.</v>
      </c>
    </row>
    <row r="27650">
      <c r="A27650" s="4" t="s">
        <v>34811</v>
      </c>
      <c r="B27650" s="4" t="s">
        <v>34814</v>
      </c>
      <c r="C27650" s="5" t="str">
        <f>IFERROR(__xludf.DUMMYFUNCTION("GOOGLETRANSLATE(B27650,""en"",""de"")"),"Sie hält den Hund mit einem Handtuch und trocknet dann den Hund in ihrem Schoß, während er ihn kämmt.")</f>
        <v>Sie hält den Hund mit einem Handtuch und trocknet dann den Hund in ihrem Schoß, während er ihn kämmt.</v>
      </c>
    </row>
    <row r="27651">
      <c r="A27651" s="4" t="s">
        <v>34811</v>
      </c>
      <c r="B27651" s="4" t="s">
        <v>34815</v>
      </c>
      <c r="C27651" s="5" t="str">
        <f>IFERROR(__xludf.DUMMYFUNCTION("GOOGLETRANSLATE(B27651,""en"",""de"")"),"Der Hund wird erneut ausgetrocknet und schüttelt sich, während er in die Kamera schaut und das Mädchen mehr spricht.")</f>
        <v>Der Hund wird erneut ausgetrocknet und schüttelt sich, während er in die Kamera schaut und das Mädchen mehr spricht.</v>
      </c>
    </row>
    <row r="27652">
      <c r="A27652" s="4" t="s">
        <v>34816</v>
      </c>
      <c r="B27652" s="4" t="s">
        <v>34817</v>
      </c>
      <c r="C27652" s="5" t="str">
        <f>IFERROR(__xludf.DUMMYFUNCTION("GOOGLETRANSLATE(B27652,""en"",""de"")"),"Ein Mann in einem schwarzen Hemd setzt eine Kamera auf, während er vor einem Rub-Iix-Würfel und einer elektronischen Stoppuhr sitzt.")</f>
        <v>Ein Mann in einem schwarzen Hemd setzt eine Kamera auf, während er vor einem Rub-Iix-Würfel und einer elektronischen Stoppuhr sitzt.</v>
      </c>
    </row>
    <row r="27653">
      <c r="A27653" s="4" t="s">
        <v>34816</v>
      </c>
      <c r="B27653" s="4" t="s">
        <v>34818</v>
      </c>
      <c r="C27653" s="5" t="str">
        <f>IFERROR(__xludf.DUMMYFUNCTION("GOOGLETRANSLATE(B27653,""en"",""de"")"),"Sobald die Uhr ein anderer Mann abbricht und der Mann, der vor dem Würfel sitzt, beginnt das Rätsel herauszufinden.")</f>
        <v>Sobald die Uhr ein anderer Mann abbricht und der Mann, der vor dem Würfel sitzt, beginnt das Rätsel herauszufinden.</v>
      </c>
    </row>
    <row r="27654">
      <c r="A27654" s="4" t="s">
        <v>34816</v>
      </c>
      <c r="B27654" s="4" t="s">
        <v>34819</v>
      </c>
      <c r="C27654" s="5" t="str">
        <f>IFERROR(__xludf.DUMMYFUNCTION("GOOGLETRANSLATE(B27654,""en"",""de"")"),"Sobald die Uhr 43 Sekunden erreicht, beenden beide Männer das Puzzle und gratulieren sich gegenseitig zum Abschluss des Rätsels.")</f>
        <v>Sobald die Uhr 43 Sekunden erreicht, beenden beide Männer das Puzzle und gratulieren sich gegenseitig zum Abschluss des Rätsels.</v>
      </c>
    </row>
    <row r="27655">
      <c r="A27655" s="4" t="s">
        <v>34820</v>
      </c>
      <c r="B27655" s="4" t="s">
        <v>34821</v>
      </c>
      <c r="C27655" s="5" t="str">
        <f>IFERROR(__xludf.DUMMYFUNCTION("GOOGLETRANSLATE(B27655,""en"",""de"")"),"Wir sehen einen Mann in einem Basketball -Fitnessstudio.")</f>
        <v>Wir sehen einen Mann in einem Basketball -Fitnessstudio.</v>
      </c>
    </row>
    <row r="27656">
      <c r="A27656" s="4" t="s">
        <v>34820</v>
      </c>
      <c r="B27656" s="4" t="s">
        <v>34822</v>
      </c>
      <c r="C27656" s="5" t="str">
        <f>IFERROR(__xludf.DUMMYFUNCTION("GOOGLETRANSLATE(B27656,""en"",""de"")"),"Der Mann zeigt auf den Jungen.")</f>
        <v>Der Mann zeigt auf den Jungen.</v>
      </c>
    </row>
    <row r="27657">
      <c r="A27657" s="4" t="s">
        <v>34820</v>
      </c>
      <c r="B27657" s="4" t="s">
        <v>34823</v>
      </c>
      <c r="C27657" s="5" t="str">
        <f>IFERROR(__xludf.DUMMYFUNCTION("GOOGLETRANSLATE(B27657,""en"",""de"")"),"Der Mann zeigt nach rechts.")</f>
        <v>Der Mann zeigt nach rechts.</v>
      </c>
    </row>
    <row r="27658">
      <c r="A27658" s="4" t="s">
        <v>34820</v>
      </c>
      <c r="B27658" s="4" t="s">
        <v>34824</v>
      </c>
      <c r="C27658" s="5" t="str">
        <f>IFERROR(__xludf.DUMMYFUNCTION("GOOGLETRANSLATE(B27658,""en"",""de"")"),"Wir sehen einen Mann in einem Basketball -Reifen.")</f>
        <v>Wir sehen einen Mann in einem Basketball -Reifen.</v>
      </c>
    </row>
    <row r="27659">
      <c r="A27659" s="4" t="s">
        <v>34825</v>
      </c>
      <c r="B27659" s="4" t="s">
        <v>34826</v>
      </c>
      <c r="C27659" s="5" t="str">
        <f>IFERROR(__xludf.DUMMYFUNCTION("GOOGLETRANSLATE(B27659,""en"",""de"")"),"Eine Frau spricht mit der Kamera und führt in ihr Eis in ein Glas.")</f>
        <v>Eine Frau spricht mit der Kamera und führt in ihr Eis in ein Glas.</v>
      </c>
    </row>
    <row r="27660">
      <c r="A27660" s="4" t="s">
        <v>34825</v>
      </c>
      <c r="B27660" s="4" t="s">
        <v>34827</v>
      </c>
      <c r="C27660" s="5" t="str">
        <f>IFERROR(__xludf.DUMMYFUNCTION("GOOGLETRANSLATE(B27660,""en"",""de"")"),"Sie mischt dann verschiedene Zutaten in das Glas und mischt sie in einem Shaker.")</f>
        <v>Sie mischt dann verschiedene Zutaten in das Glas und mischt sie in einem Shaker.</v>
      </c>
    </row>
    <row r="27661">
      <c r="A27661" s="4" t="s">
        <v>34825</v>
      </c>
      <c r="B27661" s="4" t="s">
        <v>34828</v>
      </c>
      <c r="C27661" s="5" t="str">
        <f>IFERROR(__xludf.DUMMYFUNCTION("GOOGLETRANSLATE(B27661,""en"",""de"")"),"Die Frau legt dann das Glas ab und gießt die Mischung in das Glas und präsentiert es der Kamera.")</f>
        <v>Die Frau legt dann das Glas ab und gießt die Mischung in das Glas und präsentiert es der Kamera.</v>
      </c>
    </row>
    <row r="27662">
      <c r="A27662" s="4" t="s">
        <v>34829</v>
      </c>
      <c r="B27662" s="4" t="s">
        <v>34830</v>
      </c>
      <c r="C27662" s="5" t="str">
        <f>IFERROR(__xludf.DUMMYFUNCTION("GOOGLETRANSLATE(B27662,""en"",""de"")"),"Ein Mann, der ein Coach -Shirt trägt, steht vor, während ein weiblicher Turner auf einen Strahl dreht.")</f>
        <v>Ein Mann, der ein Coach -Shirt trägt, steht vor, während ein weiblicher Turner auf einen Strahl dreht.</v>
      </c>
    </row>
    <row r="27663">
      <c r="A27663" s="4" t="s">
        <v>34829</v>
      </c>
      <c r="B27663" s="4" t="s">
        <v>34831</v>
      </c>
      <c r="C27663" s="5" t="str">
        <f>IFERROR(__xludf.DUMMYFUNCTION("GOOGLETRANSLATE(B27663,""en"",""de"")"),"Er entdeckt sie, als sie sich umdreht und steigt, bevor sie sich hinsetzt.")</f>
        <v>Er entdeckt sie, als sie sich umdreht und steigt, bevor sie sich hinsetzt.</v>
      </c>
    </row>
    <row r="27664">
      <c r="A27664" s="4" t="s">
        <v>34832</v>
      </c>
      <c r="B27664" s="4" t="s">
        <v>34833</v>
      </c>
      <c r="C27664" s="5" t="str">
        <f>IFERROR(__xludf.DUMMYFUNCTION("GOOGLETRANSLATE(B27664,""en"",""de"")"),"Eine große Gruppe von Menschen wird in verschiedenen Aufnahmen gezeigt, die in Kanus herumfuhren.")</f>
        <v>Eine große Gruppe von Menschen wird in verschiedenen Aufnahmen gezeigt, die in Kanus herumfuhren.</v>
      </c>
    </row>
    <row r="27665">
      <c r="A27665" s="4" t="s">
        <v>34832</v>
      </c>
      <c r="B27665" s="4" t="s">
        <v>34834</v>
      </c>
      <c r="C27665" s="5" t="str">
        <f>IFERROR(__xludf.DUMMYFUNCTION("GOOGLETRANSLATE(B27665,""en"",""de"")"),"Ein Mann spricht mit der Kamera, während die Leute mit den Kanus herumlaufen und Bilder zeigen.")</f>
        <v>Ein Mann spricht mit der Kamera, während die Leute mit den Kanus herumlaufen und Bilder zeigen.</v>
      </c>
    </row>
    <row r="27666">
      <c r="A27666" s="4" t="s">
        <v>34832</v>
      </c>
      <c r="B27666" s="4" t="s">
        <v>34835</v>
      </c>
      <c r="C27666" s="5" t="str">
        <f>IFERROR(__xludf.DUMMYFUNCTION("GOOGLETRANSLATE(B27666,""en"",""de"")"),"Weitere Menschen werden sie benutzen und herumlaufen.")</f>
        <v>Weitere Menschen werden sie benutzen und herumlaufen.</v>
      </c>
    </row>
    <row r="27667">
      <c r="A27667" s="4" t="s">
        <v>34836</v>
      </c>
      <c r="B27667" s="4" t="s">
        <v>34837</v>
      </c>
      <c r="C27667" s="5" t="str">
        <f>IFERROR(__xludf.DUMMYFUNCTION("GOOGLETRANSLATE(B27667,""en"",""de"")"),"Eine Person ist zu sehen, wie er ein Surfbrett hält und erneut auf ihr Telefon und lacht zeigt.")</f>
        <v>Eine Person ist zu sehen, wie er ein Surfbrett hält und erneut auf ihr Telefon und lacht zeigt.</v>
      </c>
    </row>
    <row r="27668">
      <c r="A27668" s="4" t="s">
        <v>34836</v>
      </c>
      <c r="B27668" s="4" t="s">
        <v>34838</v>
      </c>
      <c r="C27668" s="5" t="str">
        <f>IFERROR(__xludf.DUMMYFUNCTION("GOOGLETRANSLATE(B27668,""en"",""de"")"),"Mehr Menschen werden an verschiedenen Orten gesehen, die ihr Telefon überprüfen und endet mit einer Frau, die mit einem Übungsrad fährt.")</f>
        <v>Mehr Menschen werden an verschiedenen Orten gesehen, die ihr Telefon überprüfen und endet mit einer Frau, die mit einem Übungsrad fährt.</v>
      </c>
    </row>
    <row r="27669">
      <c r="A27669" s="4" t="s">
        <v>34839</v>
      </c>
      <c r="B27669" s="4" t="s">
        <v>34840</v>
      </c>
      <c r="C27669" s="5" t="str">
        <f>IFERROR(__xludf.DUMMYFUNCTION("GOOGLETRANSLATE(B27669,""en"",""de"")"),"Die Hand einer Frau nimmt ein Stofftier auf, das von Geschenken umgeben ist.")</f>
        <v>Die Hand einer Frau nimmt ein Stofftier auf, das von Geschenken umgeben ist.</v>
      </c>
    </row>
    <row r="27670">
      <c r="A27670" s="4" t="s">
        <v>34839</v>
      </c>
      <c r="B27670" s="4" t="s">
        <v>34841</v>
      </c>
      <c r="C27670" s="5" t="str">
        <f>IFERROR(__xludf.DUMMYFUNCTION("GOOGLETRANSLATE(B27670,""en"",""de"")"),"Zubehör für Geschenkverpackungen werden angezeigt.")</f>
        <v>Zubehör für Geschenkverpackungen werden angezeigt.</v>
      </c>
    </row>
    <row r="27671">
      <c r="A27671" s="4" t="s">
        <v>34839</v>
      </c>
      <c r="B27671" s="4" t="s">
        <v>34842</v>
      </c>
      <c r="C27671" s="5" t="str">
        <f>IFERROR(__xludf.DUMMYFUNCTION("GOOGLETRANSLATE(B27671,""en"",""de"")"),"Eine Frau legt Taschentuchpapier aus und legt ein ausgestopftes Spielzeug in die Mitte.")</f>
        <v>Eine Frau legt Taschentuchpapier aus und legt ein ausgestopftes Spielzeug in die Mitte.</v>
      </c>
    </row>
    <row r="27672">
      <c r="A27672" s="4" t="s">
        <v>34839</v>
      </c>
      <c r="B27672" s="4" t="s">
        <v>34843</v>
      </c>
      <c r="C27672" s="5" t="str">
        <f>IFERROR(__xludf.DUMMYFUNCTION("GOOGLETRANSLATE(B27672,""en"",""de"")"),"Die Frau wickelt das Spielzeug in das Gewebepapier und schloss es.")</f>
        <v>Die Frau wickelt das Spielzeug in das Gewebepapier und schloss es.</v>
      </c>
    </row>
    <row r="27673">
      <c r="A27673" s="4" t="s">
        <v>34839</v>
      </c>
      <c r="B27673" s="4" t="s">
        <v>34844</v>
      </c>
      <c r="C27673" s="5" t="str">
        <f>IFERROR(__xludf.DUMMYFUNCTION("GOOGLETRANSLATE(B27673,""en"",""de"")"),"Die Frau legt Cellophan aus und legt das verpackte Spielzeug darauf.")</f>
        <v>Die Frau legt Cellophan aus und legt das verpackte Spielzeug darauf.</v>
      </c>
    </row>
    <row r="27674">
      <c r="A27674" s="4" t="s">
        <v>34839</v>
      </c>
      <c r="B27674" s="4" t="s">
        <v>34845</v>
      </c>
      <c r="C27674" s="5" t="str">
        <f>IFERROR(__xludf.DUMMYFUNCTION("GOOGLETRANSLATE(B27674,""en"",""de"")"),"Die Frau schneidet das Cellophan und rollt dann das mit Gewebepapier bedeckte Spielzeug auf.")</f>
        <v>Die Frau schneidet das Cellophan und rollt dann das mit Gewebepapier bedeckte Spielzeug auf.</v>
      </c>
    </row>
    <row r="27675">
      <c r="A27675" s="4" t="s">
        <v>34839</v>
      </c>
      <c r="B27675" s="4" t="s">
        <v>34846</v>
      </c>
      <c r="C27675" s="5" t="str">
        <f>IFERROR(__xludf.DUMMYFUNCTION("GOOGLETRANSLATE(B27675,""en"",""de"")"),"Die Frau verdreht die Enden des Cellophans und klebt das Paket geschlossen.")</f>
        <v>Die Frau verdreht die Enden des Cellophans und klebt das Paket geschlossen.</v>
      </c>
    </row>
    <row r="27676">
      <c r="A27676" s="4" t="s">
        <v>34839</v>
      </c>
      <c r="B27676" s="4" t="s">
        <v>34847</v>
      </c>
      <c r="C27676" s="5" t="str">
        <f>IFERROR(__xludf.DUMMYFUNCTION("GOOGLETRANSLATE(B27676,""en"",""de"")"),"Das Band wird um die Enden des Pakets platziert.")</f>
        <v>Das Band wird um die Enden des Pakets platziert.</v>
      </c>
    </row>
    <row r="27677">
      <c r="A27677" s="4" t="s">
        <v>34839</v>
      </c>
      <c r="B27677" s="4" t="s">
        <v>34848</v>
      </c>
      <c r="C27677" s="5" t="str">
        <f>IFERROR(__xludf.DUMMYFUNCTION("GOOGLETRANSLATE(B27677,""en"",""de"")"),"Die Frau zeigt das Paket der Kamera und stellt es auf einen Schalter.")</f>
        <v>Die Frau zeigt das Paket der Kamera und stellt es auf einen Schalter.</v>
      </c>
    </row>
    <row r="27678">
      <c r="A27678" s="4" t="s">
        <v>34849</v>
      </c>
      <c r="B27678" s="4" t="s">
        <v>34850</v>
      </c>
      <c r="C27678" s="5" t="str">
        <f>IFERROR(__xludf.DUMMYFUNCTION("GOOGLETRANSLATE(B27678,""en"",""de"")"),"Ein kleiner Junge spielt ein Arcade -Spiel.")</f>
        <v>Ein kleiner Junge spielt ein Arcade -Spiel.</v>
      </c>
    </row>
    <row r="27679">
      <c r="A27679" s="4" t="s">
        <v>34849</v>
      </c>
      <c r="B27679" s="4" t="s">
        <v>34851</v>
      </c>
      <c r="C27679" s="5" t="str">
        <f>IFERROR(__xludf.DUMMYFUNCTION("GOOGLETRANSLATE(B27679,""en"",""de"")"),"Er nimmt einen Ball auf und wirft ihn auf die Stifte.")</f>
        <v>Er nimmt einen Ball auf und wirft ihn auf die Stifte.</v>
      </c>
    </row>
    <row r="27680">
      <c r="A27680" s="4" t="s">
        <v>34849</v>
      </c>
      <c r="B27680" s="4" t="s">
        <v>34852</v>
      </c>
      <c r="C27680" s="5" t="str">
        <f>IFERROR(__xludf.DUMMYFUNCTION("GOOGLETRANSLATE(B27680,""en"",""de"")"),"Er dreht sich um und geht weg.")</f>
        <v>Er dreht sich um und geht weg.</v>
      </c>
    </row>
    <row r="27681">
      <c r="A27681" s="4" t="s">
        <v>34853</v>
      </c>
      <c r="B27681" s="4" t="s">
        <v>34854</v>
      </c>
      <c r="C27681" s="5" t="str">
        <f>IFERROR(__xludf.DUMMYFUNCTION("GOOGLETRANSLATE(B27681,""en"",""de"")"),"Männer, Frauen und Kinder rösten Marshmallow am Lagerfeuer, während andere Skifahren oder auf den Stühlen ruhen.")</f>
        <v>Männer, Frauen und Kinder rösten Marshmallow am Lagerfeuer, während andere Skifahren oder auf den Stühlen ruhen.</v>
      </c>
    </row>
    <row r="27682">
      <c r="A27682" s="4" t="s">
        <v>34853</v>
      </c>
      <c r="B27682" s="4" t="s">
        <v>34855</v>
      </c>
      <c r="C27682" s="5" t="str">
        <f>IFERROR(__xludf.DUMMYFUNCTION("GOOGLETRANSLATE(B27682,""en"",""de"")"),"Eine Frau gleitet den Hang hinunter und das kleine Mädchen kam auf sie zu und gab ihr einen Kuss, dann hilft die Frau dem kleinen Mädchen den Hang hinunter.")</f>
        <v>Eine Frau gleitet den Hang hinunter und das kleine Mädchen kam auf sie zu und gab ihr einen Kuss, dann hilft die Frau dem kleinen Mädchen den Hang hinunter.</v>
      </c>
    </row>
    <row r="27683">
      <c r="A27683" s="4" t="s">
        <v>34856</v>
      </c>
      <c r="B27683" s="4" t="s">
        <v>34857</v>
      </c>
      <c r="C27683" s="5" t="str">
        <f>IFERROR(__xludf.DUMMYFUNCTION("GOOGLETRANSLATE(B27683,""en"",""de"")"),"Ein Mann ist draußen im Schnee und hält ein Seil, das an einem Schneemobil befestigt ist.")</f>
        <v>Ein Mann ist draußen im Schnee und hält ein Seil, das an einem Schneemobil befestigt ist.</v>
      </c>
    </row>
    <row r="27684">
      <c r="A27684" s="4" t="s">
        <v>34856</v>
      </c>
      <c r="B27684" s="4" t="s">
        <v>34858</v>
      </c>
      <c r="C27684" s="5" t="str">
        <f>IFERROR(__xludf.DUMMYFUNCTION("GOOGLETRANSLATE(B27684,""en"",""de"")"),"Das Schneemobil beginnt sich zu bewegen und die Person beginnt das Snowboarden im gesamten Feld.")</f>
        <v>Das Schneemobil beginnt sich zu bewegen und die Person beginnt das Snowboarden im gesamten Feld.</v>
      </c>
    </row>
    <row r="27685">
      <c r="A27685" s="4" t="s">
        <v>34856</v>
      </c>
      <c r="B27685" s="4" t="s">
        <v>34859</v>
      </c>
      <c r="C27685" s="5" t="str">
        <f>IFERROR(__xludf.DUMMYFUNCTION("GOOGLETRANSLATE(B27685,""en"",""de"")"),"Sie bewegen sich weiterhin durch den Schnee und den Wald der Bäume auf einen Parkplatz an einer Hütte.")</f>
        <v>Sie bewegen sich weiterhin durch den Schnee und den Wald der Bäume auf einen Parkplatz an einer Hütte.</v>
      </c>
    </row>
    <row r="27686">
      <c r="A27686" s="4" t="s">
        <v>34860</v>
      </c>
      <c r="B27686" s="4" t="s">
        <v>34861</v>
      </c>
      <c r="C27686" s="5" t="str">
        <f>IFERROR(__xludf.DUMMYFUNCTION("GOOGLETRANSLATE(B27686,""en"",""de"")"),"Ein junges Mädchen steht bereit, auf eine Geige herabzusehen.")</f>
        <v>Ein junges Mädchen steht bereit, auf eine Geige herabzusehen.</v>
      </c>
    </row>
    <row r="27687">
      <c r="A27687" s="4" t="s">
        <v>34860</v>
      </c>
      <c r="B27687" s="4" t="s">
        <v>34862</v>
      </c>
      <c r="C27687" s="5" t="str">
        <f>IFERROR(__xludf.DUMMYFUNCTION("GOOGLETRANSLATE(B27687,""en"",""de"")"),"Das Mädchen wird dann gesehen, wie sie die Geige spielt, während sie ihre Hände auf und ab bewegt.")</f>
        <v>Das Mädchen wird dann gesehen, wie sie die Geige spielt, während sie ihre Hände auf und ab bewegt.</v>
      </c>
    </row>
    <row r="27688">
      <c r="A27688" s="4" t="s">
        <v>34860</v>
      </c>
      <c r="B27688" s="4" t="s">
        <v>34863</v>
      </c>
      <c r="C27688" s="5" t="str">
        <f>IFERROR(__xludf.DUMMYFUNCTION("GOOGLETRANSLATE(B27688,""en"",""de"")"),"Das Mädchen spielt weiterhin das Instrument und endet, indem sie in die Kamera schaut.")</f>
        <v>Das Mädchen spielt weiterhin das Instrument und endet, indem sie in die Kamera schaut.</v>
      </c>
    </row>
    <row r="27689">
      <c r="A27689" s="4" t="s">
        <v>34864</v>
      </c>
      <c r="B27689" s="4" t="s">
        <v>34865</v>
      </c>
      <c r="C27689" s="5" t="str">
        <f>IFERROR(__xludf.DUMMYFUNCTION("GOOGLETRANSLATE(B27689,""en"",""de"")"),"Ein Mann rieb Sonnenschutzmittel auf dem Rücken.")</f>
        <v>Ein Mann rieb Sonnenschutzmittel auf dem Rücken.</v>
      </c>
    </row>
    <row r="27690">
      <c r="A27690" s="4" t="s">
        <v>34864</v>
      </c>
      <c r="B27690" s="4" t="s">
        <v>34866</v>
      </c>
      <c r="C27690" s="5" t="str">
        <f>IFERROR(__xludf.DUMMYFUNCTION("GOOGLETRANSLATE(B27690,""en"",""de"")"),"Ein Mädchen legt sich auf ein Handtuch am Strand hinter ihm.")</f>
        <v>Ein Mädchen legt sich auf ein Handtuch am Strand hinter ihm.</v>
      </c>
    </row>
    <row r="27691">
      <c r="A27691" s="4" t="s">
        <v>34864</v>
      </c>
      <c r="B27691" s="4" t="s">
        <v>34867</v>
      </c>
      <c r="C27691" s="5" t="str">
        <f>IFERROR(__xludf.DUMMYFUNCTION("GOOGLETRANSLATE(B27691,""en"",""de"")"),"Eine Person in einem orangefarbenen Hemd geht hinter ihm.")</f>
        <v>Eine Person in einem orangefarbenen Hemd geht hinter ihm.</v>
      </c>
    </row>
    <row r="27692">
      <c r="A27692" s="4" t="s">
        <v>34868</v>
      </c>
      <c r="B27692" s="4" t="s">
        <v>34869</v>
      </c>
      <c r="C27692" s="5" t="str">
        <f>IFERROR(__xludf.DUMMYFUNCTION("GOOGLETRANSLATE(B27692,""en"",""de"")"),"Eine Person fällt vor einem Sprung ins Wasser.")</f>
        <v>Eine Person fällt vor einem Sprung ins Wasser.</v>
      </c>
    </row>
    <row r="27693">
      <c r="A27693" s="4" t="s">
        <v>34868</v>
      </c>
      <c r="B27693" s="4" t="s">
        <v>34870</v>
      </c>
      <c r="C27693" s="5" t="str">
        <f>IFERROR(__xludf.DUMMYFUNCTION("GOOGLETRANSLATE(B27693,""en"",""de"")"),"Eine andere Person wird gesehen, wie er an ihm vorbei an ihm vorbeifährt.")</f>
        <v>Eine andere Person wird gesehen, wie er an ihm vorbei an ihm vorbeifährt.</v>
      </c>
    </row>
    <row r="27694">
      <c r="A27694" s="4" t="s">
        <v>34868</v>
      </c>
      <c r="B27694" s="4" t="s">
        <v>34871</v>
      </c>
      <c r="C27694" s="5" t="str">
        <f>IFERROR(__xludf.DUMMYFUNCTION("GOOGLETRANSLATE(B27694,""en"",""de"")"),"Der Mann fährt weiter, während die Kamera auf dem Wasser zoomt.")</f>
        <v>Der Mann fährt weiter, während die Kamera auf dem Wasser zoomt.</v>
      </c>
    </row>
    <row r="27695">
      <c r="A27695" s="4" t="s">
        <v>34872</v>
      </c>
      <c r="B27695" s="4" t="s">
        <v>34873</v>
      </c>
      <c r="C27695" s="5" t="str">
        <f>IFERROR(__xludf.DUMMYFUNCTION("GOOGLETRANSLATE(B27695,""en"",""de"")"),"Ein Mann hält ein Instrument vor einem großen Stapel Instrumente und spricht mit der Kamera.")</f>
        <v>Ein Mann hält ein Instrument vor einem großen Stapel Instrumente und spricht mit der Kamera.</v>
      </c>
    </row>
    <row r="27696">
      <c r="A27696" s="4" t="s">
        <v>34872</v>
      </c>
      <c r="B27696" s="4" t="s">
        <v>34874</v>
      </c>
      <c r="C27696" s="5" t="str">
        <f>IFERROR(__xludf.DUMMYFUNCTION("GOOGLETRANSLATE(B27696,""en"",""de"")"),"Der Mann spielt dann kontinuierlich das Instrument und endet damit, dass er inneht und das Instrument hält.")</f>
        <v>Der Mann spielt dann kontinuierlich das Instrument und endet damit, dass er inneht und das Instrument hält.</v>
      </c>
    </row>
    <row r="27697">
      <c r="A27697" s="4" t="s">
        <v>34875</v>
      </c>
      <c r="B27697" s="4" t="s">
        <v>34876</v>
      </c>
      <c r="C27697" s="5" t="str">
        <f>IFERROR(__xludf.DUMMYFUNCTION("GOOGLETRANSLATE(B27697,""en"",""de"")"),"Zwei Männer fangen an, draußen zu stehen.")</f>
        <v>Zwei Männer fangen an, draußen zu stehen.</v>
      </c>
    </row>
    <row r="27698">
      <c r="A27698" s="4" t="s">
        <v>34875</v>
      </c>
      <c r="B27698" s="4" t="s">
        <v>34877</v>
      </c>
      <c r="C27698" s="5" t="str">
        <f>IFERROR(__xludf.DUMMYFUNCTION("GOOGLETRANSLATE(B27698,""en"",""de"")"),"Ein Mann wirft den anderen Mann auf einen Tisch.")</f>
        <v>Ein Mann wirft den anderen Mann auf einen Tisch.</v>
      </c>
    </row>
    <row r="27699">
      <c r="A27699" s="4" t="s">
        <v>34878</v>
      </c>
      <c r="B27699" s="4" t="s">
        <v>34879</v>
      </c>
      <c r="C27699" s="5" t="str">
        <f>IFERROR(__xludf.DUMMYFUNCTION("GOOGLETRANSLATE(B27699,""en"",""de"")"),"Eine Kamera zoomt auf ein Baby, das einen Baseballhut trägt und auf einem Schwung auf dem vierten Platz reitet.")</f>
        <v>Eine Kamera zoomt auf ein Baby, das einen Baseballhut trägt und auf einem Schwung auf dem vierten Platz reitet.</v>
      </c>
    </row>
    <row r="27700">
      <c r="A27700" s="4" t="s">
        <v>34878</v>
      </c>
      <c r="B27700" s="4" t="s">
        <v>34880</v>
      </c>
      <c r="C27700" s="5" t="str">
        <f>IFERROR(__xludf.DUMMYFUNCTION("GOOGLETRANSLATE(B27700,""en"",""de"")"),"Das Baby reitet ständig zurück und viertes, während ein anderes Kind eine Schaukel neben sich reitet.")</f>
        <v>Das Baby reitet ständig zurück und viertes, während ein anderes Kind eine Schaukel neben sich reitet.</v>
      </c>
    </row>
    <row r="27701">
      <c r="A27701" s="4" t="s">
        <v>34881</v>
      </c>
      <c r="B27701" s="4" t="s">
        <v>34882</v>
      </c>
      <c r="C27701" s="5" t="str">
        <f>IFERROR(__xludf.DUMMYFUNCTION("GOOGLETRANSLATE(B27701,""en"",""de"")"),"Eine Gruppe von Mädchen sitzt in einem alten Auto, während sich eine große Gruppe von Autos dahinter bewegt.")</f>
        <v>Eine Gruppe von Mädchen sitzt in einem alten Auto, während sich eine große Gruppe von Autos dahinter bewegt.</v>
      </c>
    </row>
    <row r="27702">
      <c r="A27702" s="4" t="s">
        <v>34881</v>
      </c>
      <c r="B27702" s="4" t="s">
        <v>34883</v>
      </c>
      <c r="C27702" s="5" t="str">
        <f>IFERROR(__xludf.DUMMYFUNCTION("GOOGLETRANSLATE(B27702,""en"",""de"")"),"Andere Menschen tragen Weihnachtskleidung und tanzen in den Straßen des Autos.")</f>
        <v>Andere Menschen tragen Weihnachtskleidung und tanzen in den Straßen des Autos.</v>
      </c>
    </row>
    <row r="27703">
      <c r="A27703" s="4" t="s">
        <v>34881</v>
      </c>
      <c r="B27703" s="4" t="s">
        <v>34884</v>
      </c>
      <c r="C27703" s="5" t="str">
        <f>IFERROR(__xludf.DUMMYFUNCTION("GOOGLETRANSLATE(B27703,""en"",""de"")"),"Eine Band spielt von einer Gruppe von Kindern, während die Parade ihnen voller Menschen tanzt.")</f>
        <v>Eine Band spielt von einer Gruppe von Kindern, während die Parade ihnen voller Menschen tanzt.</v>
      </c>
    </row>
    <row r="27704">
      <c r="A27704" s="4" t="s">
        <v>34885</v>
      </c>
      <c r="B27704" s="4" t="s">
        <v>34886</v>
      </c>
      <c r="C27704" s="5" t="str">
        <f>IFERROR(__xludf.DUMMYFUNCTION("GOOGLETRANSLATE(B27704,""en"",""de"")"),"Ein Mann und ein Kind malen einen Zaun mit Pinsel.")</f>
        <v>Ein Mann und ein Kind malen einen Zaun mit Pinsel.</v>
      </c>
    </row>
    <row r="27705">
      <c r="A27705" s="4" t="s">
        <v>34885</v>
      </c>
      <c r="B27705" s="4" t="s">
        <v>34887</v>
      </c>
      <c r="C27705" s="5" t="str">
        <f>IFERROR(__xludf.DUMMYFUNCTION("GOOGLETRANSLATE(B27705,""en"",""de"")"),"Ein Baby beobachtet den Mann und das Kleinkindmalerei.")</f>
        <v>Ein Baby beobachtet den Mann und das Kleinkindmalerei.</v>
      </c>
    </row>
    <row r="27706">
      <c r="A27706" s="4" t="s">
        <v>34888</v>
      </c>
      <c r="B27706" s="4" t="s">
        <v>34889</v>
      </c>
      <c r="C27706" s="5" t="str">
        <f>IFERROR(__xludf.DUMMYFUNCTION("GOOGLETRANSLATE(B27706,""en"",""de"")"),"Eine große Gruppe von Menschen steht auf einer Bühne, während andere nebenbei zuschauen.")</f>
        <v>Eine große Gruppe von Menschen steht auf einer Bühne, während andere nebenbei zuschauen.</v>
      </c>
    </row>
    <row r="27707">
      <c r="A27707" s="4" t="s">
        <v>34888</v>
      </c>
      <c r="B27707" s="4" t="s">
        <v>34890</v>
      </c>
      <c r="C27707" s="5" t="str">
        <f>IFERROR(__xludf.DUMMYFUNCTION("GOOGLETRANSLATE(B27707,""en"",""de"")"),"Die Cheerleader führen dann eine Routine durch, während sie andere hochwerfen und herumblättern.")</f>
        <v>Die Cheerleader führen dann eine Routine durch, während sie andere hochwerfen und herumblättern.</v>
      </c>
    </row>
    <row r="27708">
      <c r="A27708" s="4" t="s">
        <v>34888</v>
      </c>
      <c r="B27708" s="4" t="s">
        <v>34891</v>
      </c>
      <c r="C27708" s="5" t="str">
        <f>IFERROR(__xludf.DUMMYFUNCTION("GOOGLETRANSLATE(B27708,""en"",""de"")"),"Die Gruppe tritt weiter auf der Bühne auf und endet, indem sie eine Pose hält und weggeht.")</f>
        <v>Die Gruppe tritt weiter auf der Bühne auf und endet, indem sie eine Pose hält und weggeht.</v>
      </c>
    </row>
    <row r="27709">
      <c r="A27709" s="4" t="s">
        <v>34892</v>
      </c>
      <c r="B27709" s="4" t="s">
        <v>34893</v>
      </c>
      <c r="C27709" s="5" t="str">
        <f>IFERROR(__xludf.DUMMYFUNCTION("GOOGLETRANSLATE(B27709,""en"",""de"")"),"Ein Mann sitzt mit seinen Beinen in der Nähe seiner Brust.")</f>
        <v>Ein Mann sitzt mit seinen Beinen in der Nähe seiner Brust.</v>
      </c>
    </row>
    <row r="27710">
      <c r="A27710" s="4" t="s">
        <v>34892</v>
      </c>
      <c r="B27710" s="4" t="s">
        <v>34894</v>
      </c>
      <c r="C27710" s="5" t="str">
        <f>IFERROR(__xludf.DUMMYFUNCTION("GOOGLETRANSLATE(B27710,""en"",""de"")"),"Der Typ trainiert, indem er einen Griff zieht.")</f>
        <v>Der Typ trainiert, indem er einen Griff zieht.</v>
      </c>
    </row>
    <row r="27711">
      <c r="A27711" s="4" t="s">
        <v>34892</v>
      </c>
      <c r="B27711" s="4" t="s">
        <v>34895</v>
      </c>
      <c r="C27711" s="5" t="str">
        <f>IFERROR(__xludf.DUMMYFUNCTION("GOOGLETRANSLATE(B27711,""en"",""de"")"),"Der Typ hört auf, die Reparaturen seine Lesebrille zu trainieren und berührt seinen Bart.")</f>
        <v>Der Typ hört auf, die Reparaturen seine Lesebrille zu trainieren und berührt seinen Bart.</v>
      </c>
    </row>
    <row r="27712">
      <c r="A27712" s="4" t="s">
        <v>34892</v>
      </c>
      <c r="B27712" s="4" t="s">
        <v>34896</v>
      </c>
      <c r="C27712" s="5" t="str">
        <f>IFERROR(__xludf.DUMMYFUNCTION("GOOGLETRANSLATE(B27712,""en"",""de"")"),"Der Typ entfernt seine Beine aus der Trainingsmaschine und berührt den Knopf.")</f>
        <v>Der Typ entfernt seine Beine aus der Trainingsmaschine und berührt den Knopf.</v>
      </c>
    </row>
    <row r="27713">
      <c r="A27713" s="4" t="s">
        <v>34897</v>
      </c>
      <c r="B27713" s="4" t="s">
        <v>34898</v>
      </c>
      <c r="C27713" s="5" t="str">
        <f>IFERROR(__xludf.DUMMYFUNCTION("GOOGLETRANSLATE(B27713,""en"",""de"")"),"Wir sehen ein Mädchen, das in Türen auf ein Trampolin springt.")</f>
        <v>Wir sehen ein Mädchen, das in Türen auf ein Trampolin springt.</v>
      </c>
    </row>
    <row r="27714">
      <c r="A27714" s="4" t="s">
        <v>34897</v>
      </c>
      <c r="B27714" s="4" t="s">
        <v>34899</v>
      </c>
      <c r="C27714" s="5" t="str">
        <f>IFERROR(__xludf.DUMMYFUNCTION("GOOGLETRANSLATE(B27714,""en"",""de"")"),"Wir sehen, wie sich das Mädchen in der Luft dreht.")</f>
        <v>Wir sehen, wie sich das Mädchen in der Luft dreht.</v>
      </c>
    </row>
    <row r="27715">
      <c r="A27715" s="4" t="s">
        <v>34897</v>
      </c>
      <c r="B27715" s="4" t="s">
        <v>34900</v>
      </c>
      <c r="C27715" s="5" t="str">
        <f>IFERROR(__xludf.DUMMYFUNCTION("GOOGLETRANSLATE(B27715,""en"",""de"")"),"Das Mädchen macht eine Reihe von Flips.")</f>
        <v>Das Mädchen macht eine Reihe von Flips.</v>
      </c>
    </row>
    <row r="27716">
      <c r="A27716" s="4" t="s">
        <v>34897</v>
      </c>
      <c r="B27716" s="4" t="s">
        <v>34901</v>
      </c>
      <c r="C27716" s="5" t="str">
        <f>IFERROR(__xludf.DUMMYFUNCTION("GOOGLETRANSLATE(B27716,""en"",""de"")"),"Das Mädchen dreht sich in blaue Kisten.")</f>
        <v>Das Mädchen dreht sich in blaue Kisten.</v>
      </c>
    </row>
    <row r="27717">
      <c r="A27717" s="4" t="s">
        <v>34897</v>
      </c>
      <c r="B27717" s="4" t="s">
        <v>34902</v>
      </c>
      <c r="C27717" s="5" t="str">
        <f>IFERROR(__xludf.DUMMYFUNCTION("GOOGLETRANSLATE(B27717,""en"",""de"")"),"Das Mädchen macht eine Reihe von Flips und einen Dreh.")</f>
        <v>Das Mädchen macht eine Reihe von Flips und einen Dreh.</v>
      </c>
    </row>
    <row r="27718">
      <c r="A27718" s="4" t="s">
        <v>34897</v>
      </c>
      <c r="B27718" s="4" t="s">
        <v>34903</v>
      </c>
      <c r="C27718" s="5" t="str">
        <f>IFERROR(__xludf.DUMMYFUNCTION("GOOGLETRANSLATE(B27718,""en"",""de"")"),"Wir sehen einen Titelbildschirm und sehen dann die Girls Bloopers.")</f>
        <v>Wir sehen einen Titelbildschirm und sehen dann die Girls Bloopers.</v>
      </c>
    </row>
    <row r="27719">
      <c r="A27719" s="4" t="s">
        <v>34897</v>
      </c>
      <c r="B27719" s="4" t="s">
        <v>3608</v>
      </c>
      <c r="C27719" s="5" t="str">
        <f>IFERROR(__xludf.DUMMYFUNCTION("GOOGLETRANSLATE(B27719,""en"",""de"")"),"Wir sehen den Endbildschirm.")</f>
        <v>Wir sehen den Endbildschirm.</v>
      </c>
    </row>
    <row r="27720">
      <c r="A27720" s="4" t="s">
        <v>34904</v>
      </c>
      <c r="B27720" s="4" t="s">
        <v>34905</v>
      </c>
      <c r="C27720" s="5" t="str">
        <f>IFERROR(__xludf.DUMMYFUNCTION("GOOGLETRANSLATE(B27720,""en"",""de"")"),"Eine Frau wird gezeigt, die mit ihren Händen mit der Kamera spricht und die Kamera auf ein Gebäude zeigt.")</f>
        <v>Eine Frau wird gezeigt, die mit ihren Händen mit der Kamera spricht und die Kamera auf ein Gebäude zeigt.</v>
      </c>
    </row>
    <row r="27721">
      <c r="A27721" s="4" t="s">
        <v>34904</v>
      </c>
      <c r="B27721" s="4" t="s">
        <v>34906</v>
      </c>
      <c r="C27721" s="5" t="str">
        <f>IFERROR(__xludf.DUMMYFUNCTION("GOOGLETRANSLATE(B27721,""en"",""de"")"),"Sie steht vor dem Gebäude und macht mehrere kleine Tänze und setzt dies vor mehreren Gebäuden und Orten fort.")</f>
        <v>Sie steht vor dem Gebäude und macht mehrere kleine Tänze und setzt dies vor mehreren Gebäuden und Orten fort.</v>
      </c>
    </row>
    <row r="27722">
      <c r="A27722" s="4" t="s">
        <v>34907</v>
      </c>
      <c r="B27722" s="4" t="s">
        <v>34908</v>
      </c>
      <c r="C27722" s="5" t="str">
        <f>IFERROR(__xludf.DUMMYFUNCTION("GOOGLETRANSLATE(B27722,""en"",""de"")"),"Eine Frau, die in die Kamera lächelt, wird gezeigt, wie sie ihr Auto mit einem Schaber abkratzen.")</f>
        <v>Eine Frau, die in die Kamera lächelt, wird gezeigt, wie sie ihr Auto mit einem Schaber abkratzen.</v>
      </c>
    </row>
    <row r="27723">
      <c r="A27723" s="4" t="s">
        <v>34907</v>
      </c>
      <c r="B27723" s="4" t="s">
        <v>34909</v>
      </c>
      <c r="C27723" s="5" t="str">
        <f>IFERROR(__xludf.DUMMYFUNCTION("GOOGLETRANSLATE(B27723,""en"",""de"")"),"Sie spricht mit dem Kameramann, während sie in die Kamera lächelt und weiter kratzt.")</f>
        <v>Sie spricht mit dem Kameramann, während sie in die Kamera lächelt und weiter kratzt.</v>
      </c>
    </row>
    <row r="27724">
      <c r="A27724" s="4" t="s">
        <v>34910</v>
      </c>
      <c r="B27724" s="4" t="s">
        <v>34911</v>
      </c>
      <c r="C27724" s="5" t="str">
        <f>IFERROR(__xludf.DUMMYFUNCTION("GOOGLETRANSLATE(B27724,""en"",""de"")"),"Wir sehen, dass eine Dame ein Pferd in ein stabiles Dreh des Pferdes bringt und ihn zusammenhält.")</f>
        <v>Wir sehen, dass eine Dame ein Pferd in ein stabiles Dreh des Pferdes bringt und ihn zusammenhält.</v>
      </c>
    </row>
    <row r="27725">
      <c r="A27725" s="4" t="s">
        <v>34910</v>
      </c>
      <c r="B27725" s="4" t="s">
        <v>34912</v>
      </c>
      <c r="C27725" s="5" t="str">
        <f>IFERROR(__xludf.DUMMYFUNCTION("GOOGLETRANSLATE(B27725,""en"",""de"")"),"Die Dame streift dann das Pferd und reinigt die Hufe auf dem Pferd rechts.")</f>
        <v>Die Dame streift dann das Pferd und reinigt die Hufe auf dem Pferd rechts.</v>
      </c>
    </row>
    <row r="27726">
      <c r="A27726" s="4" t="s">
        <v>34910</v>
      </c>
      <c r="B27726" s="4" t="s">
        <v>34913</v>
      </c>
      <c r="C27726" s="5" t="str">
        <f>IFERROR(__xludf.DUMMYFUNCTION("GOOGLETRANSLATE(B27726,""en"",""de"")"),"Die Dame sprüht dann ein Produkt in die Mähne und kommt es.")</f>
        <v>Die Dame sprüht dann ein Produkt in die Mähne und kommt es.</v>
      </c>
    </row>
    <row r="27727">
      <c r="A27727" s="4" t="s">
        <v>34910</v>
      </c>
      <c r="B27727" s="4" t="s">
        <v>34914</v>
      </c>
      <c r="C27727" s="5" t="str">
        <f>IFERROR(__xludf.DUMMYFUNCTION("GOOGLETRANSLATE(B27727,""en"",""de"")"),"Die Dame bewegt sich vor dem Pferd und streift seine Mähne.")</f>
        <v>Die Dame bewegt sich vor dem Pferd und streift seine Mähne.</v>
      </c>
    </row>
    <row r="27728">
      <c r="A27728" s="4" t="s">
        <v>34910</v>
      </c>
      <c r="B27728" s="4" t="s">
        <v>34915</v>
      </c>
      <c r="C27728" s="5" t="str">
        <f>IFERROR(__xludf.DUMMYFUNCTION("GOOGLETRANSLATE(B27728,""en"",""de"")"),"Die Dame streift die linke Seite des Pferdes und reinigt seine Hufe.")</f>
        <v>Die Dame streift die linke Seite des Pferdes und reinigt seine Hufe.</v>
      </c>
    </row>
    <row r="27729">
      <c r="A27729" s="4" t="s">
        <v>34910</v>
      </c>
      <c r="B27729" s="4" t="s">
        <v>34916</v>
      </c>
      <c r="C27729" s="5" t="str">
        <f>IFERROR(__xludf.DUMMYFUNCTION("GOOGLETRANSLATE(B27729,""en"",""de"")"),"Die Dame streift dann den Schwanz und das Pferd und die Dame geht.")</f>
        <v>Die Dame streift dann den Schwanz und das Pferd und die Dame geht.</v>
      </c>
    </row>
    <row r="27730">
      <c r="A27730" s="4" t="s">
        <v>34917</v>
      </c>
      <c r="B27730" s="4" t="s">
        <v>34918</v>
      </c>
      <c r="C27730" s="5" t="str">
        <f>IFERROR(__xludf.DUMMYFUNCTION("GOOGLETRANSLATE(B27730,""en"",""de"")"),"Verschiedene Bilder von Zutaten werden gefolgt von Bildern der auf einer Schneidebrett angegebenen Zutaten angezeigt.")</f>
        <v>Verschiedene Bilder von Zutaten werden gefolgt von Bildern der auf einer Schneidebrett angegebenen Zutaten angezeigt.</v>
      </c>
    </row>
    <row r="27731">
      <c r="A27731" s="4" t="s">
        <v>34917</v>
      </c>
      <c r="B27731" s="4" t="s">
        <v>34919</v>
      </c>
      <c r="C27731" s="5" t="str">
        <f>IFERROR(__xludf.DUMMYFUNCTION("GOOGLETRANSLATE(B27731,""en"",""de"")"),"Die Bilder wechseln in mehr Zutaten mit Händen, die sie bedecken und sie in einen Ball drücken.")</f>
        <v>Die Bilder wechseln in mehr Zutaten mit Händen, die sie bedecken und sie in einen Ball drücken.</v>
      </c>
    </row>
    <row r="27732">
      <c r="A27732" s="4" t="s">
        <v>34917</v>
      </c>
      <c r="B27732" s="4" t="s">
        <v>34920</v>
      </c>
      <c r="C27732" s="5" t="str">
        <f>IFERROR(__xludf.DUMMYFUNCTION("GOOGLETRANSLATE(B27732,""en"",""de"")"),"Bilder und Videos des Essens, das in einer Pfanne gekocht wird, werden gezeigt, gefolgt von einer Person, die es herausnimmt und mit einem Messer schneidet.")</f>
        <v>Bilder und Videos des Essens, das in einer Pfanne gekocht wird, werden gezeigt, gefolgt von einer Person, die es herausnimmt und mit einem Messer schneidet.</v>
      </c>
    </row>
    <row r="27733">
      <c r="A27733" s="4" t="s">
        <v>34917</v>
      </c>
      <c r="B27733" s="4" t="s">
        <v>34921</v>
      </c>
      <c r="C27733" s="5" t="str">
        <f>IFERROR(__xludf.DUMMYFUNCTION("GOOGLETRANSLATE(B27733,""en"",""de"")"),"Schließlich wird ein Bild des fertigen Lebensmittelprodukts gezeigt.")</f>
        <v>Schließlich wird ein Bild des fertigen Lebensmittelprodukts gezeigt.</v>
      </c>
    </row>
    <row r="27734">
      <c r="A27734" s="4" t="s">
        <v>34922</v>
      </c>
      <c r="B27734" s="4" t="s">
        <v>3859</v>
      </c>
      <c r="C27734" s="5" t="str">
        <f>IFERROR(__xludf.DUMMYFUNCTION("GOOGLETRANSLATE(B27734,""en"",""de"")"),"Wir sehen einen Öffnungsbildschirm.")</f>
        <v>Wir sehen einen Öffnungsbildschirm.</v>
      </c>
    </row>
    <row r="27735">
      <c r="A27735" s="4" t="s">
        <v>34922</v>
      </c>
      <c r="B27735" s="4" t="s">
        <v>34923</v>
      </c>
      <c r="C27735" s="5" t="str">
        <f>IFERROR(__xludf.DUMMYFUNCTION("GOOGLETRANSLATE(B27735,""en"",""de"")"),"Wir sehen Leute, die einen Fluss in einem gelben Floß raftern.")</f>
        <v>Wir sehen Leute, die einen Fluss in einem gelben Floß raftern.</v>
      </c>
    </row>
    <row r="27736">
      <c r="A27736" s="4" t="s">
        <v>34922</v>
      </c>
      <c r="B27736" s="4" t="s">
        <v>34924</v>
      </c>
      <c r="C27736" s="5" t="str">
        <f>IFERROR(__xludf.DUMMYFUNCTION("GOOGLETRANSLATE(B27736,""en"",""de"")"),"Das Floß wird aufgehoben und die Menschen fallen in den Fluss.")</f>
        <v>Das Floß wird aufgehoben und die Menschen fallen in den Fluss.</v>
      </c>
    </row>
    <row r="27737">
      <c r="A27737" s="4" t="s">
        <v>34922</v>
      </c>
      <c r="B27737" s="4" t="s">
        <v>34925</v>
      </c>
      <c r="C27737" s="5" t="str">
        <f>IFERROR(__xludf.DUMMYFUNCTION("GOOGLETRANSLATE(B27737,""en"",""de"")"),"Das Volk duckt sich unter dem Zweig eines niedrigen hängenden Baumes und der rechte Frontmann steht und tanzt.")</f>
        <v>Das Volk duckt sich unter dem Zweig eines niedrigen hängenden Baumes und der rechte Frontmann steht und tanzt.</v>
      </c>
    </row>
    <row r="27738">
      <c r="A27738" s="4" t="s">
        <v>34922</v>
      </c>
      <c r="B27738" s="4" t="s">
        <v>34926</v>
      </c>
      <c r="C27738" s="5" t="str">
        <f>IFERROR(__xludf.DUMMYFUNCTION("GOOGLETRANSLATE(B27738,""en"",""de"")"),"Ein Mann im hinteren Teil des Floßs geht vorwärts.")</f>
        <v>Ein Mann im hinteren Teil des Floßs geht vorwärts.</v>
      </c>
    </row>
    <row r="27739">
      <c r="A27739" s="4" t="s">
        <v>34922</v>
      </c>
      <c r="B27739" s="4" t="s">
        <v>777</v>
      </c>
      <c r="C27739" s="5" t="str">
        <f>IFERROR(__xludf.DUMMYFUNCTION("GOOGLETRANSLATE(B27739,""en"",""de"")"),"Wir sehen den End -Titelbildschirm.")</f>
        <v>Wir sehen den End -Titelbildschirm.</v>
      </c>
    </row>
    <row r="27740">
      <c r="A27740" s="4" t="s">
        <v>34927</v>
      </c>
      <c r="B27740" s="4" t="s">
        <v>34928</v>
      </c>
      <c r="C27740" s="5" t="str">
        <f>IFERROR(__xludf.DUMMYFUNCTION("GOOGLETRANSLATE(B27740,""en"",""de"")"),"Ein Team spielt ein Spiel auf dem Feld, einer von ihnen erzielt.")</f>
        <v>Ein Team spielt ein Spiel auf dem Feld, einer von ihnen erzielt.</v>
      </c>
    </row>
    <row r="27741">
      <c r="A27741" s="4" t="s">
        <v>34927</v>
      </c>
      <c r="B27741" s="4" t="s">
        <v>34929</v>
      </c>
      <c r="C27741" s="5" t="str">
        <f>IFERROR(__xludf.DUMMYFUNCTION("GOOGLETRANSLATE(B27741,""en"",""de"")"),"Das Publikum wird verrückt und dann versuchen die Teams wieder, das Ziel zu erzielen.")</f>
        <v>Das Publikum wird verrückt und dann versuchen die Teams wieder, das Ziel zu erzielen.</v>
      </c>
    </row>
    <row r="27742">
      <c r="A27742" s="4" t="s">
        <v>34927</v>
      </c>
      <c r="B27742" s="4" t="s">
        <v>34930</v>
      </c>
      <c r="C27742" s="5" t="str">
        <f>IFERROR(__xludf.DUMMYFUNCTION("GOOGLETRANSLATE(B27742,""en"",""de"")"),"Der Typ aus dem gelben Team hat den Ball am Stock, er rennt schnell damit und er erzielt.")</f>
        <v>Der Typ aus dem gelben Team hat den Ball am Stock, er rennt schnell damit und er erzielt.</v>
      </c>
    </row>
    <row r="27743">
      <c r="A27743" s="4" t="s">
        <v>34927</v>
      </c>
      <c r="B27743" s="4" t="s">
        <v>34931</v>
      </c>
      <c r="C27743" s="5" t="str">
        <f>IFERROR(__xludf.DUMMYFUNCTION("GOOGLETRANSLATE(B27743,""en"",""de"")"),"Sie legten die Trophäe in die Luft und schreien vor Aufregung.")</f>
        <v>Sie legten die Trophäe in die Luft und schreien vor Aufregung.</v>
      </c>
    </row>
    <row r="27744">
      <c r="A27744" s="4" t="s">
        <v>34932</v>
      </c>
      <c r="B27744" s="4" t="s">
        <v>34933</v>
      </c>
      <c r="C27744" s="5" t="str">
        <f>IFERROR(__xludf.DUMMYFUNCTION("GOOGLETRANSLATE(B27744,""en"",""de"")"),"Ein Mann, der einen schwarzen Mantel trägt, steht auf dem Bürgersteig.")</f>
        <v>Ein Mann, der einen schwarzen Mantel trägt, steht auf dem Bürgersteig.</v>
      </c>
    </row>
    <row r="27745">
      <c r="A27745" s="4" t="s">
        <v>34932</v>
      </c>
      <c r="B27745" s="4" t="s">
        <v>34934</v>
      </c>
      <c r="C27745" s="5" t="str">
        <f>IFERROR(__xludf.DUMMYFUNCTION("GOOGLETRANSLATE(B27745,""en"",""de"")"),"Er geht zu einem Auto und beginnt den Schnee von den Fenstern zu kratzen.")</f>
        <v>Er geht zu einem Auto und beginnt den Schnee von den Fenstern zu kratzen.</v>
      </c>
    </row>
    <row r="27746">
      <c r="A27746" s="4" t="s">
        <v>34932</v>
      </c>
      <c r="B27746" s="4" t="s">
        <v>34935</v>
      </c>
      <c r="C27746" s="5" t="str">
        <f>IFERROR(__xludf.DUMMYFUNCTION("GOOGLETRANSLATE(B27746,""en"",""de"")"),"Der Schnee fällt vor dem Auto auf den Boden.")</f>
        <v>Der Schnee fällt vor dem Auto auf den Boden.</v>
      </c>
    </row>
    <row r="27747">
      <c r="A27747" s="4" t="s">
        <v>34936</v>
      </c>
      <c r="B27747" s="4" t="s">
        <v>34937</v>
      </c>
      <c r="C27747" s="5" t="str">
        <f>IFERROR(__xludf.DUMMYFUNCTION("GOOGLETRANSLATE(B27747,""en"",""de"")"),"Ein Mann und ein kleines Mädchen stehen an einem Strand.")</f>
        <v>Ein Mann und ein kleines Mädchen stehen an einem Strand.</v>
      </c>
    </row>
    <row r="27748">
      <c r="A27748" s="4" t="s">
        <v>34936</v>
      </c>
      <c r="B27748" s="4" t="s">
        <v>34938</v>
      </c>
      <c r="C27748" s="5" t="str">
        <f>IFERROR(__xludf.DUMMYFUNCTION("GOOGLETRANSLATE(B27748,""en"",""de"")"),"Der Mann nimmt das Mädchen auf und nimmt ein Surfbrett auf.")</f>
        <v>Der Mann nimmt das Mädchen auf und nimmt ein Surfbrett auf.</v>
      </c>
    </row>
    <row r="27749">
      <c r="A27749" s="4" t="s">
        <v>34936</v>
      </c>
      <c r="B27749" s="4" t="s">
        <v>34939</v>
      </c>
      <c r="C27749" s="5" t="str">
        <f>IFERROR(__xludf.DUMMYFUNCTION("GOOGLETRANSLATE(B27749,""en"",""de"")"),"Er surft mit ihr im Rücken ins Wasser.")</f>
        <v>Er surft mit ihr im Rücken ins Wasser.</v>
      </c>
    </row>
    <row r="27750">
      <c r="A27750" s="4" t="s">
        <v>34940</v>
      </c>
      <c r="B27750" s="4" t="s">
        <v>34941</v>
      </c>
      <c r="C27750" s="5" t="str">
        <f>IFERROR(__xludf.DUMMYFUNCTION("GOOGLETRANSLATE(B27750,""en"",""de"")"),"Ein Mann hält die hinteren Pfoten einer Katze und klammert seine Nägel auf dem Boden.")</f>
        <v>Ein Mann hält die hinteren Pfoten einer Katze und klammert seine Nägel auf dem Boden.</v>
      </c>
    </row>
    <row r="27751">
      <c r="A27751" s="4" t="s">
        <v>34940</v>
      </c>
      <c r="B27751" s="4" t="s">
        <v>34942</v>
      </c>
      <c r="C27751" s="5" t="str">
        <f>IFERROR(__xludf.DUMMYFUNCTION("GOOGLETRANSLATE(B27751,""en"",""de"")"),"Der Mann beendet eine Pfote und ringt dann mit der Katze.")</f>
        <v>Der Mann beendet eine Pfote und ringt dann mit der Katze.</v>
      </c>
    </row>
    <row r="27752">
      <c r="A27752" s="4" t="s">
        <v>34940</v>
      </c>
      <c r="B27752" s="4" t="s">
        <v>34943</v>
      </c>
      <c r="C27752" s="5" t="str">
        <f>IFERROR(__xludf.DUMMYFUNCTION("GOOGLETRANSLATE(B27752,""en"",""de"")"),"Der Mann streichelt, der sich kennt.")</f>
        <v>Der Mann streichelt, der sich kennt.</v>
      </c>
    </row>
    <row r="27753">
      <c r="A27753" s="4" t="s">
        <v>34940</v>
      </c>
      <c r="B27753" s="4" t="s">
        <v>34944</v>
      </c>
      <c r="C27753" s="5" t="str">
        <f>IFERROR(__xludf.DUMMYFUNCTION("GOOGLETRANSLATE(B27753,""en"",""de"")"),"Der Mann untersucht die Katzen, nachdem der Job erledigt ist.")</f>
        <v>Der Mann untersucht die Katzen, nachdem der Job erledigt ist.</v>
      </c>
    </row>
    <row r="27754">
      <c r="A27754" s="4" t="s">
        <v>34945</v>
      </c>
      <c r="B27754" s="4" t="s">
        <v>34946</v>
      </c>
      <c r="C27754" s="5" t="str">
        <f>IFERROR(__xludf.DUMMYFUNCTION("GOOGLETRANSLATE(B27754,""en"",""de"")"),"Eine Tasse mit Limonade ist als nächstes ein Glas mit einer Limonade.")</f>
        <v>Eine Tasse mit Limonade ist als nächstes ein Glas mit einer Limonade.</v>
      </c>
    </row>
    <row r="27755">
      <c r="A27755" s="4" t="s">
        <v>34945</v>
      </c>
      <c r="B27755" s="4" t="s">
        <v>34947</v>
      </c>
      <c r="C27755" s="5" t="str">
        <f>IFERROR(__xludf.DUMMYFUNCTION("GOOGLETRANSLATE(B27755,""en"",""de"")"),"Eine Schüssel mit drei Tassen kaltem Wasser, eine Tasse Zitronensaft, eine Tasse Wasser und eine Tasse Zucker befinden sich am Tisch.")</f>
        <v>Eine Schüssel mit drei Tassen kaltem Wasser, eine Tasse Zitronensaft, eine Tasse Wasser und eine Tasse Zucker befinden sich am Tisch.</v>
      </c>
    </row>
    <row r="27756">
      <c r="A27756" s="4" t="s">
        <v>34945</v>
      </c>
      <c r="B27756" s="4" t="s">
        <v>34948</v>
      </c>
      <c r="C27756" s="5" t="str">
        <f>IFERROR(__xludf.DUMMYFUNCTION("GOOGLETRANSLATE(B27756,""en"",""de"")"),"Dann fügt eine Person Zucker und Zitrone in den Topf mit Wasser zum Wärmen hinzu.")</f>
        <v>Dann fügt eine Person Zucker und Zitrone in den Topf mit Wasser zum Wärmen hinzu.</v>
      </c>
    </row>
    <row r="27757">
      <c r="A27757" s="4" t="s">
        <v>34945</v>
      </c>
      <c r="B27757" s="4" t="s">
        <v>34949</v>
      </c>
      <c r="C27757" s="5" t="str">
        <f>IFERROR(__xludf.DUMMYFUNCTION("GOOGLETRANSLATE(B27757,""en"",""de"")"),"Dann fügt die Person die Limonade in ein Glas hinzu und dient in einer Tasse.")</f>
        <v>Dann fügt die Person die Limonade in ein Glas hinzu und dient in einer Tasse.</v>
      </c>
    </row>
    <row r="27758">
      <c r="A27758" s="4" t="s">
        <v>34950</v>
      </c>
      <c r="B27758" s="4" t="s">
        <v>34951</v>
      </c>
      <c r="C27758" s="5" t="str">
        <f>IFERROR(__xludf.DUMMYFUNCTION("GOOGLETRANSLATE(B27758,""en"",""de"")"),"Ein Mann ist in einer Garage mit Zeitung auf einem Tisch.")</f>
        <v>Ein Mann ist in einer Garage mit Zeitung auf einem Tisch.</v>
      </c>
    </row>
    <row r="27759">
      <c r="A27759" s="4" t="s">
        <v>34950</v>
      </c>
      <c r="B27759" s="4" t="s">
        <v>34952</v>
      </c>
      <c r="C27759" s="5" t="str">
        <f>IFERROR(__xludf.DUMMYFUNCTION("GOOGLETRANSLATE(B27759,""en"",""de"")"),"Er zeigt, wie man das Oberteil von einem Kürbis schneidet und die Innenseiten entfernt.")</f>
        <v>Er zeigt, wie man das Oberteil von einem Kürbis schneidet und die Innenseiten entfernt.</v>
      </c>
    </row>
    <row r="27760">
      <c r="A27760" s="4" t="s">
        <v>34950</v>
      </c>
      <c r="B27760" s="4" t="s">
        <v>34953</v>
      </c>
      <c r="C27760" s="5" t="str">
        <f>IFERROR(__xludf.DUMMYFUNCTION("GOOGLETRANSLATE(B27760,""en"",""de"")"),"Dann schnitzt er ein Design in den Kürbis und schafft eine Neuheit Jackolantern.")</f>
        <v>Dann schnitzt er ein Design in den Kürbis und schafft eine Neuheit Jackolantern.</v>
      </c>
    </row>
    <row r="27761">
      <c r="A27761" s="4" t="s">
        <v>34954</v>
      </c>
      <c r="B27761" s="4" t="s">
        <v>34955</v>
      </c>
      <c r="C27761" s="5" t="str">
        <f>IFERROR(__xludf.DUMMYFUNCTION("GOOGLETRANSLATE(B27761,""en"",""de"")"),"Eine Gruppe von Menschen wird gezeigt, die auf Pferden in der Wüste reiten.")</f>
        <v>Eine Gruppe von Menschen wird gezeigt, die auf Pferden in der Wüste reiten.</v>
      </c>
    </row>
    <row r="27762">
      <c r="A27762" s="4" t="s">
        <v>34954</v>
      </c>
      <c r="B27762" s="4" t="s">
        <v>34956</v>
      </c>
      <c r="C27762" s="5" t="str">
        <f>IFERROR(__xludf.DUMMYFUNCTION("GOOGLETRANSLATE(B27762,""en"",""de"")"),"Ein Mann spricht mit der Kamera, während er mit dem Pferd reitet und verschiedene Schüsse des Landes gibt.")</f>
        <v>Ein Mann spricht mit der Kamera, während er mit dem Pferd reitet und verschiedene Schüsse des Landes gibt.</v>
      </c>
    </row>
    <row r="27763">
      <c r="A27763" s="4" t="s">
        <v>34954</v>
      </c>
      <c r="B27763" s="4" t="s">
        <v>34957</v>
      </c>
      <c r="C27763" s="5" t="str">
        <f>IFERROR(__xludf.DUMMYFUNCTION("GOOGLETRANSLATE(B27763,""en"",""de"")"),"Er zeigt die verschiedenen anderen Leute auf Pferden und redet weiter über sein Abenteuer in der Nähe der Kamera.")</f>
        <v>Er zeigt die verschiedenen anderen Leute auf Pferden und redet weiter über sein Abenteuer in der Nähe der Kamera.</v>
      </c>
    </row>
    <row r="27764">
      <c r="A27764" s="4" t="s">
        <v>34958</v>
      </c>
      <c r="B27764" s="4" t="s">
        <v>34959</v>
      </c>
      <c r="C27764" s="5" t="str">
        <f>IFERROR(__xludf.DUMMYFUNCTION("GOOGLETRANSLATE(B27764,""en"",""de"")"),"Eine Person öffnet eine Tür und geht in eine Küche.")</f>
        <v>Eine Person öffnet eine Tür und geht in eine Küche.</v>
      </c>
    </row>
    <row r="27765">
      <c r="A27765" s="4" t="s">
        <v>34958</v>
      </c>
      <c r="B27765" s="4" t="s">
        <v>34960</v>
      </c>
      <c r="C27765" s="5" t="str">
        <f>IFERROR(__xludf.DUMMYFUNCTION("GOOGLETRANSLATE(B27765,""en"",""de"")"),"Eine Frau sitzt auf einer Küchentheke, die ihre Beine in einem Waschbecken rasiert.")</f>
        <v>Eine Frau sitzt auf einer Küchentheke, die ihre Beine in einem Waschbecken rasiert.</v>
      </c>
    </row>
    <row r="27766">
      <c r="A27766" s="4" t="s">
        <v>34961</v>
      </c>
      <c r="B27766" s="4" t="s">
        <v>34962</v>
      </c>
      <c r="C27766" s="5" t="str">
        <f>IFERROR(__xludf.DUMMYFUNCTION("GOOGLETRANSLATE(B27766,""en"",""de"")"),"Ein Intro führt zu einer Gruppe von Frauen, die auf einem Holzboden hinter einem Übungsgerät stehen.")</f>
        <v>Ein Intro führt zu einer Gruppe von Frauen, die auf einem Holzboden hinter einem Übungsgerät stehen.</v>
      </c>
    </row>
    <row r="27767">
      <c r="A27767" s="4" t="s">
        <v>34961</v>
      </c>
      <c r="B27767" s="4" t="s">
        <v>34963</v>
      </c>
      <c r="C27767" s="5" t="str">
        <f>IFERROR(__xludf.DUMMYFUNCTION("GOOGLETRANSLATE(B27767,""en"",""de"")"),"Die Frauen bewegen sich dann zurück und den vierten und rauf und runter auf der Ausrüstung, während die Frau vorne laut spricht.")</f>
        <v>Die Frauen bewegen sich dann zurück und den vierten und rauf und runter auf der Ausrüstung, während die Frau vorne laut spricht.</v>
      </c>
    </row>
    <row r="27768">
      <c r="A27768" s="4" t="s">
        <v>34964</v>
      </c>
      <c r="B27768" s="4" t="s">
        <v>34965</v>
      </c>
      <c r="C27768" s="5" t="str">
        <f>IFERROR(__xludf.DUMMYFUNCTION("GOOGLETRANSLATE(B27768,""en"",""de"")"),"Ein Mann zeigt, wie man ein Eiersalat -Sandwich macht.")</f>
        <v>Ein Mann zeigt, wie man ein Eiersalat -Sandwich macht.</v>
      </c>
    </row>
    <row r="27769">
      <c r="A27769" s="4" t="s">
        <v>34964</v>
      </c>
      <c r="B27769" s="4" t="s">
        <v>34966</v>
      </c>
      <c r="C27769" s="5" t="str">
        <f>IFERROR(__xludf.DUMMYFUNCTION("GOOGLETRANSLATE(B27769,""en"",""de"")"),"Ein Mann spricht in Nahwinkel mit der Kamera und nimmt dann einen Bissen eines Sandwichs.")</f>
        <v>Ein Mann spricht in Nahwinkel mit der Kamera und nimmt dann einen Bissen eines Sandwichs.</v>
      </c>
    </row>
    <row r="27770">
      <c r="A27770" s="4" t="s">
        <v>34964</v>
      </c>
      <c r="B27770" s="4" t="s">
        <v>34967</v>
      </c>
      <c r="C27770" s="5" t="str">
        <f>IFERROR(__xludf.DUMMYFUNCTION("GOOGLETRANSLATE(B27770,""en"",""de"")"),"Es wird ein Grop von Sandwich -Herstellungsmaterialien gezeigt.")</f>
        <v>Es wird ein Grop von Sandwich -Herstellungsmaterialien gezeigt.</v>
      </c>
    </row>
    <row r="27771">
      <c r="A27771" s="4" t="s">
        <v>34964</v>
      </c>
      <c r="B27771" s="4" t="s">
        <v>34968</v>
      </c>
      <c r="C27771" s="5" t="str">
        <f>IFERROR(__xludf.DUMMYFUNCTION("GOOGLETRANSLATE(B27771,""en"",""de"")"),"Ein Eier wird in einer Pfanne gekocht, und dann werden die Eier unter kaltem Wasser gelaufen.")</f>
        <v>Ein Eier wird in einer Pfanne gekocht, und dann werden die Eier unter kaltem Wasser gelaufen.</v>
      </c>
    </row>
    <row r="27772">
      <c r="A27772" s="4" t="s">
        <v>34964</v>
      </c>
      <c r="B27772" s="4" t="s">
        <v>34969</v>
      </c>
      <c r="C27772" s="5" t="str">
        <f>IFERROR(__xludf.DUMMYFUNCTION("GOOGLETRANSLATE(B27772,""en"",""de"")"),"Sellerie wird zusammen mit anderen Gemüse in Stücke gehackt und dann werden die Eier mit diesem gemischt und ein fertiges Sandwich wird gezeigt.")</f>
        <v>Sellerie wird zusammen mit anderen Gemüse in Stücke gehackt und dann werden die Eier mit diesem gemischt und ein fertiges Sandwich wird gezeigt.</v>
      </c>
    </row>
    <row r="27773">
      <c r="A27773" s="4" t="s">
        <v>34970</v>
      </c>
      <c r="B27773" s="4" t="s">
        <v>34971</v>
      </c>
      <c r="C27773" s="5" t="str">
        <f>IFERROR(__xludf.DUMMYFUNCTION("GOOGLETRANSLATE(B27773,""en"",""de"")"),"Ein Barkeeper spricht darüber, wie man einen richtigen Cocktail macht.")</f>
        <v>Ein Barkeeper spricht darüber, wie man einen richtigen Cocktail macht.</v>
      </c>
    </row>
    <row r="27774">
      <c r="A27774" s="4" t="s">
        <v>34970</v>
      </c>
      <c r="B27774" s="4" t="s">
        <v>34972</v>
      </c>
      <c r="C27774" s="5" t="str">
        <f>IFERROR(__xludf.DUMMYFUNCTION("GOOGLETRANSLATE(B27774,""en"",""de"")"),"Er schnappt sich ein Glas und steckt Eis in das Glas.")</f>
        <v>Er schnappt sich ein Glas und steckt Eis in das Glas.</v>
      </c>
    </row>
    <row r="27775">
      <c r="A27775" s="4" t="s">
        <v>34970</v>
      </c>
      <c r="B27775" s="4" t="s">
        <v>34973</v>
      </c>
      <c r="C27775" s="5" t="str">
        <f>IFERROR(__xludf.DUMMYFUNCTION("GOOGLETRANSLATE(B27775,""en"",""de"")"),"Dann mischt er Wodka und Soda im Glas.")</f>
        <v>Dann mischt er Wodka und Soda im Glas.</v>
      </c>
    </row>
    <row r="27776">
      <c r="A27776" s="4" t="s">
        <v>34970</v>
      </c>
      <c r="B27776" s="4" t="s">
        <v>34974</v>
      </c>
      <c r="C27776" s="5" t="str">
        <f>IFERROR(__xludf.DUMMYFUNCTION("GOOGLETRANSLATE(B27776,""en"",""de"")"),"Er schnappt sich eine Zitrone und legt sie in das Glas, um fertig zu werden.")</f>
        <v>Er schnappt sich eine Zitrone und legt sie in das Glas, um fertig zu werden.</v>
      </c>
    </row>
    <row r="27777">
      <c r="A27777" s="4" t="s">
        <v>34975</v>
      </c>
      <c r="B27777" s="4" t="s">
        <v>34976</v>
      </c>
      <c r="C27777" s="5" t="str">
        <f>IFERROR(__xludf.DUMMYFUNCTION("GOOGLETRANSLATE(B27777,""en"",""de"")"),"Eine Nahaufnahme verschiedener Objekte in einem Schmutzkreis und führt zu einer Person, die eine Tasche hält.")</f>
        <v>Eine Nahaufnahme verschiedener Objekte in einem Schmutzkreis und führt zu einer Person, die eine Tasche hält.</v>
      </c>
    </row>
    <row r="27778">
      <c r="A27778" s="4" t="s">
        <v>34975</v>
      </c>
      <c r="B27778" s="4" t="s">
        <v>34977</v>
      </c>
      <c r="C27778" s="5" t="str">
        <f>IFERROR(__xludf.DUMMYFUNCTION("GOOGLETRANSLATE(B27778,""en"",""de"")"),"Die Person öffnet dann die Tasche und zeigt auf die Objekte in Schmutz und beleuchtet ein Streichholz.")</f>
        <v>Die Person öffnet dann die Tasche und zeigt auf die Objekte in Schmutz und beleuchtet ein Streichholz.</v>
      </c>
    </row>
    <row r="27779">
      <c r="A27779" s="4" t="s">
        <v>34975</v>
      </c>
      <c r="B27779" s="4" t="s">
        <v>34978</v>
      </c>
      <c r="C27779" s="5" t="str">
        <f>IFERROR(__xludf.DUMMYFUNCTION("GOOGLETRANSLATE(B27779,""en"",""de"")"),"Die Objekte fangen Feuer und die Kamera vergrößert die brennenden Objekte.")</f>
        <v>Die Objekte fangen Feuer und die Kamera vergrößert die brennenden Objekte.</v>
      </c>
    </row>
    <row r="27780">
      <c r="A27780" s="4" t="s">
        <v>34979</v>
      </c>
      <c r="B27780" s="4" t="s">
        <v>34980</v>
      </c>
      <c r="C27780" s="5" t="str">
        <f>IFERROR(__xludf.DUMMYFUNCTION("GOOGLETRANSLATE(B27780,""en"",""de"")"),"Eine Gruppe von Freunden fährt mit kleinen Röhren durch kleine Stromschnellen in einem tropischen Dschungel.")</f>
        <v>Eine Gruppe von Freunden fährt mit kleinen Röhren durch kleine Stromschnellen in einem tropischen Dschungel.</v>
      </c>
    </row>
    <row r="27781">
      <c r="A27781" s="4" t="s">
        <v>34979</v>
      </c>
      <c r="B27781" s="4" t="s">
        <v>34981</v>
      </c>
      <c r="C27781" s="5" t="str">
        <f>IFERROR(__xludf.DUMMYFUNCTION("GOOGLETRANSLATE(B27781,""en"",""de"")"),"Die Gruppe geht an große Felsbrocken vorbei, die aus dem Wasser auftauchen.")</f>
        <v>Die Gruppe geht an große Felsbrocken vorbei, die aus dem Wasser auftauchen.</v>
      </c>
    </row>
    <row r="27782">
      <c r="A27782" s="4" t="s">
        <v>34982</v>
      </c>
      <c r="B27782" s="4" t="s">
        <v>34983</v>
      </c>
      <c r="C27782" s="5" t="str">
        <f>IFERROR(__xludf.DUMMYFUNCTION("GOOGLETRANSLATE(B27782,""en"",""de"")"),"Ein Junge steht im hohen Gras eines Feldes.")</f>
        <v>Ein Junge steht im hohen Gras eines Feldes.</v>
      </c>
    </row>
    <row r="27783">
      <c r="A27783" s="4" t="s">
        <v>34982</v>
      </c>
      <c r="B27783" s="4" t="s">
        <v>34984</v>
      </c>
      <c r="C27783" s="5" t="str">
        <f>IFERROR(__xludf.DUMMYFUNCTION("GOOGLETRANSLATE(B27783,""en"",""de"")"),"Er hält sich an einem Drachen in der Luft.")</f>
        <v>Er hält sich an einem Drachen in der Luft.</v>
      </c>
    </row>
    <row r="27784">
      <c r="A27784" s="4" t="s">
        <v>34982</v>
      </c>
      <c r="B27784" s="4" t="s">
        <v>34985</v>
      </c>
      <c r="C27784" s="5" t="str">
        <f>IFERROR(__xludf.DUMMYFUNCTION("GOOGLETRANSLATE(B27784,""en"",""de"")"),"Er beugt sich weit zurück und ist Droge durch die Windkraft.")</f>
        <v>Er beugt sich weit zurück und ist Droge durch die Windkraft.</v>
      </c>
    </row>
    <row r="27785">
      <c r="A27785" s="4" t="s">
        <v>34986</v>
      </c>
      <c r="B27785" s="4" t="s">
        <v>34987</v>
      </c>
      <c r="C27785" s="5" t="str">
        <f>IFERROR(__xludf.DUMMYFUNCTION("GOOGLETRANSLATE(B27785,""en"",""de"")"),"Ein Mann sitzt auf der Couch und trägt Jeans mit einem Hemd, und er hält eine Gitarre auf seinem Schoß, schlägt mit seiner rechten Hand und klopft mit seiner linken Hand auf die oberen Saiten.")</f>
        <v>Ein Mann sitzt auf der Couch und trägt Jeans mit einem Hemd, und er hält eine Gitarre auf seinem Schoß, schlägt mit seiner rechten Hand und klopft mit seiner linken Hand auf die oberen Saiten.</v>
      </c>
    </row>
    <row r="27786">
      <c r="A27786" s="4" t="s">
        <v>34986</v>
      </c>
      <c r="B27786" s="4" t="s">
        <v>34988</v>
      </c>
      <c r="C27786" s="5" t="str">
        <f>IFERROR(__xludf.DUMMYFUNCTION("GOOGLETRANSLATE(B27786,""en"",""de"")"),"Der Mann verlangsamt sich und hört auf, auf seiner Gitarre zu klimpern und zu klopfen.")</f>
        <v>Der Mann verlangsamt sich und hört auf, auf seiner Gitarre zu klimpern und zu klopfen.</v>
      </c>
    </row>
    <row r="27787">
      <c r="A27787" s="4" t="s">
        <v>34986</v>
      </c>
      <c r="B27787" s="4" t="s">
        <v>34989</v>
      </c>
      <c r="C27787" s="5" t="str">
        <f>IFERROR(__xludf.DUMMYFUNCTION("GOOGLETRANSLATE(B27787,""en"",""de"")"),"Ein farbenfroher Bildschirm erscheint und zeigt ein Cartoon-Bild eines Pokémon, der im Freien in der Nähe eines Baumes steht, während es schneit, und rote Wörter lauteten ""Pokemon-Pallet-Town"".")</f>
        <v>Ein farbenfroher Bildschirm erscheint und zeigt ein Cartoon-Bild eines Pokémon, der im Freien in der Nähe eines Baumes steht, während es schneit, und rote Wörter lauteten "Pokemon-Pallet-Town".</v>
      </c>
    </row>
    <row r="27788">
      <c r="A27788" s="4" t="s">
        <v>34990</v>
      </c>
      <c r="B27788" s="4" t="s">
        <v>34991</v>
      </c>
      <c r="C27788" s="5" t="str">
        <f>IFERROR(__xludf.DUMMYFUNCTION("GOOGLETRANSLATE(B27788,""en"",""de"")"),"Die Menschen stehen auf dem Rücken von Pferden.")</f>
        <v>Die Menschen stehen auf dem Rücken von Pferden.</v>
      </c>
    </row>
    <row r="27789">
      <c r="A27789" s="4" t="s">
        <v>34990</v>
      </c>
      <c r="B27789" s="4" t="s">
        <v>34992</v>
      </c>
      <c r="C27789" s="5" t="str">
        <f>IFERROR(__xludf.DUMMYFUNCTION("GOOGLETRANSLATE(B27789,""en"",""de"")"),"Drei Mädchen sprechen mit einer Kamera.")</f>
        <v>Drei Mädchen sprechen mit einer Kamera.</v>
      </c>
    </row>
    <row r="27790">
      <c r="A27790" s="4" t="s">
        <v>34990</v>
      </c>
      <c r="B27790" s="4" t="s">
        <v>34993</v>
      </c>
      <c r="C27790" s="5" t="str">
        <f>IFERROR(__xludf.DUMMYFUNCTION("GOOGLETRANSLATE(B27790,""en"",""de"")"),"Die Pferde gehen über eine unbefestigte Straße.")</f>
        <v>Die Pferde gehen über eine unbefestigte Straße.</v>
      </c>
    </row>
    <row r="27791">
      <c r="A27791" s="4" t="s">
        <v>34994</v>
      </c>
      <c r="B27791" s="4" t="s">
        <v>34995</v>
      </c>
      <c r="C27791" s="5" t="str">
        <f>IFERROR(__xludf.DUMMYFUNCTION("GOOGLETRANSLATE(B27791,""en"",""de"")"),"Ein Mann spricht mit der Kamera, während er sich in einem Flugzeug an einem Hund festhält.")</f>
        <v>Ein Mann spricht mit der Kamera, während er sich in einem Flugzeug an einem Hund festhält.</v>
      </c>
    </row>
    <row r="27792">
      <c r="A27792" s="4" t="s">
        <v>34994</v>
      </c>
      <c r="B27792" s="4" t="s">
        <v>34996</v>
      </c>
      <c r="C27792" s="5" t="str">
        <f>IFERROR(__xludf.DUMMYFUNCTION("GOOGLETRANSLATE(B27792,""en"",""de"")"),"Der Mann in einem Flugzeug mit dem Hund sowie unter Wasser werden mehrere Clips angezeigt.")</f>
        <v>Der Mann in einem Flugzeug mit dem Hund sowie unter Wasser werden mehrere Clips angezeigt.</v>
      </c>
    </row>
    <row r="27793">
      <c r="A27793" s="4" t="s">
        <v>34994</v>
      </c>
      <c r="B27793" s="4" t="s">
        <v>34997</v>
      </c>
      <c r="C27793" s="5" t="str">
        <f>IFERROR(__xludf.DUMMYFUNCTION("GOOGLETRANSLATE(B27793,""en"",""de"")"),"Der Mann führt mehrere Aktivitäten mit seinem Hund in der Hand durch, während eine Frau mit der Kamera spricht.")</f>
        <v>Der Mann führt mehrere Aktivitäten mit seinem Hund in der Hand durch, während eine Frau mit der Kamera spricht.</v>
      </c>
    </row>
    <row r="27794">
      <c r="A27794" s="4" t="s">
        <v>34998</v>
      </c>
      <c r="B27794" s="4" t="s">
        <v>34999</v>
      </c>
      <c r="C27794" s="5" t="str">
        <f>IFERROR(__xludf.DUMMYFUNCTION("GOOGLETRANSLATE(B27794,""en"",""de"")"),"Eine Kamera schwenkt um ein schneebedecktes Dach und führt zu einem Mann, der Schnee von einem Dach auf den Boden drückt.")</f>
        <v>Eine Kamera schwenkt um ein schneebedecktes Dach und führt zu einem Mann, der Schnee von einem Dach auf den Boden drückt.</v>
      </c>
    </row>
    <row r="27795">
      <c r="A27795" s="4" t="s">
        <v>34998</v>
      </c>
      <c r="B27795" s="4" t="s">
        <v>35000</v>
      </c>
      <c r="C27795" s="5" t="str">
        <f>IFERROR(__xludf.DUMMYFUNCTION("GOOGLETRANSLATE(B27795,""en"",""de"")"),"Der Mann spricht weiterhin mit der Kamera, während er Schnee abschaltet und in ein leeres Dach führt.")</f>
        <v>Der Mann spricht weiterhin mit der Kamera, während er Schnee abschaltet und in ein leeres Dach führt.</v>
      </c>
    </row>
    <row r="27796">
      <c r="A27796" s="4" t="s">
        <v>34998</v>
      </c>
      <c r="B27796" s="4" t="s">
        <v>35001</v>
      </c>
      <c r="C27796" s="5" t="str">
        <f>IFERROR(__xludf.DUMMYFUNCTION("GOOGLETRANSLATE(B27796,""en"",""de"")"),"Ein anderer Mann schaufelt Schnee und endet mit Bildern der Männer.")</f>
        <v>Ein anderer Mann schaufelt Schnee und endet mit Bildern der Männer.</v>
      </c>
    </row>
    <row r="27797">
      <c r="A27797" s="4" t="s">
        <v>35002</v>
      </c>
      <c r="B27797" s="4" t="s">
        <v>35003</v>
      </c>
      <c r="C27797" s="5" t="str">
        <f>IFERROR(__xludf.DUMMYFUNCTION("GOOGLETRANSLATE(B27797,""en"",""de"")"),"Eine ältere Frau sitzt auf einem Stuhl.")</f>
        <v>Eine ältere Frau sitzt auf einem Stuhl.</v>
      </c>
    </row>
    <row r="27798">
      <c r="A27798" s="4" t="s">
        <v>35002</v>
      </c>
      <c r="B27798" s="4" t="s">
        <v>35004</v>
      </c>
      <c r="C27798" s="5" t="str">
        <f>IFERROR(__xludf.DUMMYFUNCTION("GOOGLETRANSLATE(B27798,""en"",""de"")"),"Sie strickt mit rotem Garn.")</f>
        <v>Sie strickt mit rotem Garn.</v>
      </c>
    </row>
    <row r="27799">
      <c r="A27799" s="4" t="s">
        <v>35002</v>
      </c>
      <c r="B27799" s="4" t="s">
        <v>35005</v>
      </c>
      <c r="C27799" s="5" t="str">
        <f>IFERROR(__xludf.DUMMYFUNCTION("GOOGLETRANSLATE(B27799,""en"",""de"")"),"Sie spricht mit der Person mit der Kamera, während sie strickt.")</f>
        <v>Sie spricht mit der Person mit der Kamera, während sie strickt.</v>
      </c>
    </row>
    <row r="27800">
      <c r="A27800" s="4" t="s">
        <v>35006</v>
      </c>
      <c r="B27800" s="4" t="s">
        <v>35007</v>
      </c>
      <c r="C27800" s="5" t="str">
        <f>IFERROR(__xludf.DUMMYFUNCTION("GOOGLETRANSLATE(B27800,""en"",""de"")"),"Eine Person schiebt einen Schleifer über einen Ski und führt in eine andere Person, die einen Ski festzieht und Wachs entlang sprüht.")</f>
        <v>Eine Person schiebt einen Schleifer über einen Ski und führt in eine andere Person, die einen Ski festzieht und Wachs entlang sprüht.</v>
      </c>
    </row>
    <row r="27801">
      <c r="A27801" s="4" t="s">
        <v>35006</v>
      </c>
      <c r="B27801" s="4" t="s">
        <v>35008</v>
      </c>
      <c r="C27801" s="5" t="str">
        <f>IFERROR(__xludf.DUMMYFUNCTION("GOOGLETRANSLATE(B27801,""en"",""de"")"),"Die Person wischt es ab und benutzt dann eine Stange Wachs auf dem Schleifer entlang des Ski.")</f>
        <v>Die Person wischt es ab und benutzt dann eine Stange Wachs auf dem Schleifer entlang des Ski.</v>
      </c>
    </row>
    <row r="27802">
      <c r="A27802" s="4" t="s">
        <v>35009</v>
      </c>
      <c r="B27802" s="4" t="s">
        <v>35010</v>
      </c>
      <c r="C27802" s="5" t="str">
        <f>IFERROR(__xludf.DUMMYFUNCTION("GOOGLETRANSLATE(B27802,""en"",""de"")"),"Eine Frau veranstaltet ein Nachrichtensegment, das in Clips von Menschen führt, die auf der Straße arbeiten und protestieren.")</f>
        <v>Eine Frau veranstaltet ein Nachrichtensegment, das in Clips von Menschen führt, die auf der Straße arbeiten und protestieren.</v>
      </c>
    </row>
    <row r="27803">
      <c r="A27803" s="4" t="s">
        <v>35009</v>
      </c>
      <c r="B27803" s="4" t="s">
        <v>35011</v>
      </c>
      <c r="C27803" s="5" t="str">
        <f>IFERROR(__xludf.DUMMYFUNCTION("GOOGLETRANSLATE(B27803,""en"",""de"")"),"Mehrere Frauen werden von der Kamera interviewt und zeigen mehr Clips von Menschen, die arbeiten und protestieren.")</f>
        <v>Mehrere Frauen werden von der Kamera interviewt und zeigen mehr Clips von Menschen, die arbeiten und protestieren.</v>
      </c>
    </row>
    <row r="27804">
      <c r="A27804" s="4" t="s">
        <v>35012</v>
      </c>
      <c r="B27804" s="4" t="s">
        <v>35013</v>
      </c>
      <c r="C27804" s="5" t="str">
        <f>IFERROR(__xludf.DUMMYFUNCTION("GOOGLETRANSLATE(B27804,""en"",""de"")"),"Wir sehen einen Mann, der Pool auf einem blauen Tisch schießt.")</f>
        <v>Wir sehen einen Mann, der Pool auf einem blauen Tisch schießt.</v>
      </c>
    </row>
    <row r="27805">
      <c r="A27805" s="4" t="s">
        <v>35012</v>
      </c>
      <c r="B27805" s="4" t="s">
        <v>35014</v>
      </c>
      <c r="C27805" s="5" t="str">
        <f>IFERROR(__xludf.DUMMYFUNCTION("GOOGLETRANSLATE(B27805,""en"",""de"")"),"Der Mann endet und lächelt, als sein Freund in die Hände klatscht.")</f>
        <v>Der Mann endet und lächelt, als sein Freund in die Hände klatscht.</v>
      </c>
    </row>
    <row r="27806">
      <c r="A27806" s="4" t="s">
        <v>35012</v>
      </c>
      <c r="B27806" s="4" t="s">
        <v>2486</v>
      </c>
      <c r="C27806" s="5" t="str">
        <f>IFERROR(__xludf.DUMMYFUNCTION("GOOGLETRANSLATE(B27806,""en"",""de"")"),"Wir sehen den Schlussbildschirm.")</f>
        <v>Wir sehen den Schlussbildschirm.</v>
      </c>
    </row>
    <row r="27807">
      <c r="A27807" s="4" t="s">
        <v>35015</v>
      </c>
      <c r="B27807" s="4" t="s">
        <v>35016</v>
      </c>
      <c r="C27807" s="5" t="str">
        <f>IFERROR(__xludf.DUMMYFUNCTION("GOOGLETRANSLATE(B27807,""en"",""de"")"),"Es wird ein älteres Bild einer Frau gezeigt, und dann wird ein Bildschirm angezeigt, was darauf hinweist, dass ihre Highlights angezeigt werden.")</f>
        <v>Es wird ein älteres Bild einer Frau gezeigt, und dann wird ein Bildschirm angezeigt, was darauf hinweist, dass ihre Highlights angezeigt werden.</v>
      </c>
    </row>
    <row r="27808">
      <c r="A27808" s="4" t="s">
        <v>35015</v>
      </c>
      <c r="B27808" s="4" t="s">
        <v>35017</v>
      </c>
      <c r="C27808" s="5" t="str">
        <f>IFERROR(__xludf.DUMMYFUNCTION("GOOGLETRANSLATE(B27808,""en"",""de"")"),"Mehrere Videos von ihr werden dann gezeigt, dass sie gegen Mädchen aus anderen Teams rennen, die ihr Territorium verteidigen und den Ball von den anderen Gegnern entziehen.")</f>
        <v>Mehrere Videos von ihr werden dann gezeigt, dass sie gegen Mädchen aus anderen Teams rennen, die ihr Territorium verteidigen und den Ball von den anderen Gegnern entziehen.</v>
      </c>
    </row>
    <row r="27809">
      <c r="A27809" s="4" t="s">
        <v>35018</v>
      </c>
      <c r="B27809" s="4" t="s">
        <v>35019</v>
      </c>
      <c r="C27809" s="5" t="str">
        <f>IFERROR(__xludf.DUMMYFUNCTION("GOOGLETRANSLATE(B27809,""en"",""de"")"),"Der Mann steht in einem Raum mit Dart -Spiel an der Wand.")</f>
        <v>Der Mann steht in einem Raum mit Dart -Spiel an der Wand.</v>
      </c>
    </row>
    <row r="27810">
      <c r="A27810" s="4" t="s">
        <v>35018</v>
      </c>
      <c r="B27810" s="4" t="s">
        <v>35020</v>
      </c>
      <c r="C27810" s="5" t="str">
        <f>IFERROR(__xludf.DUMMYFUNCTION("GOOGLETRANSLATE(B27810,""en"",""de"")"),"Er nahm einen der Pfeile aus dem Brett und redet weiter, nähert sich der Kamera und zeigt den scharfen Pfeil.")</f>
        <v>Er nahm einen der Pfeile aus dem Brett und redet weiter, nähert sich der Kamera und zeigt den scharfen Pfeil.</v>
      </c>
    </row>
    <row r="27811">
      <c r="A27811" s="4" t="s">
        <v>35018</v>
      </c>
      <c r="B27811" s="4" t="s">
        <v>35021</v>
      </c>
      <c r="C27811" s="5" t="str">
        <f>IFERROR(__xludf.DUMMYFUNCTION("GOOGLETRANSLATE(B27811,""en"",""de"")"),"Er wirft den Pfeil an das Brett und lehnt sich an die Wand.")</f>
        <v>Er wirft den Pfeil an das Brett und lehnt sich an die Wand.</v>
      </c>
    </row>
    <row r="27812">
      <c r="A27812" s="4" t="s">
        <v>35018</v>
      </c>
      <c r="B27812" s="4" t="s">
        <v>35022</v>
      </c>
      <c r="C27812" s="5" t="str">
        <f>IFERROR(__xludf.DUMMYFUNCTION("GOOGLETRANSLATE(B27812,""en"",""de"")"),"Der Mann öffnet seine Arme und Schaukeln von Seite zur Seite und knien auf dem Boden.")</f>
        <v>Der Mann öffnet seine Arme und Schaukeln von Seite zur Seite und knien auf dem Boden.</v>
      </c>
    </row>
    <row r="27813">
      <c r="A27813" s="4" t="s">
        <v>35018</v>
      </c>
      <c r="B27813" s="4" t="s">
        <v>35023</v>
      </c>
      <c r="C27813" s="5" t="str">
        <f>IFERROR(__xludf.DUMMYFUNCTION("GOOGLETRANSLATE(B27813,""en"",""de"")"),"Er nimmt einen anderen Pfeil ins Brett und beginnt mit dem Kopf nach unten in die Kamera zu schreien.")</f>
        <v>Er nimmt einen anderen Pfeil ins Brett und beginnt mit dem Kopf nach unten in die Kamera zu schreien.</v>
      </c>
    </row>
    <row r="27814">
      <c r="A27814" s="4" t="s">
        <v>35024</v>
      </c>
      <c r="B27814" s="4" t="s">
        <v>35025</v>
      </c>
      <c r="C27814" s="5" t="str">
        <f>IFERROR(__xludf.DUMMYFUNCTION("GOOGLETRANSLATE(B27814,""en"",""de"")"),"Ein Turner ist bereit zu stehen und hält ihre Arme hoch, die in ihr Klettern auf einem Strahl führten und eine Gymnastikroutine auf dem Strahl durchführen.")</f>
        <v>Ein Turner ist bereit zu stehen und hält ihre Arme hoch, die in ihr Klettern auf einem Strahl führten und eine Gymnastikroutine auf dem Strahl durchführen.</v>
      </c>
    </row>
    <row r="27815">
      <c r="A27815" s="4" t="s">
        <v>35024</v>
      </c>
      <c r="B27815" s="4" t="s">
        <v>35026</v>
      </c>
      <c r="C27815" s="5" t="str">
        <f>IFERROR(__xludf.DUMMYFUNCTION("GOOGLETRANSLATE(B27815,""en"",""de"")"),"Das Mädchen führt mehrere Sprünge und Tricks durch, die mit ihr in eine Matte springen und ihre Arme hoch halten.")</f>
        <v>Das Mädchen führt mehrere Sprünge und Tricks durch, die mit ihr in eine Matte springen und ihre Arme hoch halten.</v>
      </c>
    </row>
    <row r="27816">
      <c r="A27816" s="4" t="s">
        <v>35027</v>
      </c>
      <c r="B27816" s="4" t="s">
        <v>35028</v>
      </c>
      <c r="C27816" s="5" t="str">
        <f>IFERROR(__xludf.DUMMYFUNCTION("GOOGLETRANSLATE(B27816,""en"",""de"")"),"Eine Person sitzt hinter einer Reihe von Trommeln, die sie konsequent spielen.")</f>
        <v>Eine Person sitzt hinter einer Reihe von Trommeln, die sie konsequent spielen.</v>
      </c>
    </row>
    <row r="27817">
      <c r="A27817" s="4" t="s">
        <v>35027</v>
      </c>
      <c r="B27817" s="4" t="s">
        <v>35029</v>
      </c>
      <c r="C27817" s="5" t="str">
        <f>IFERROR(__xludf.DUMMYFUNCTION("GOOGLETRANSLATE(B27817,""en"",""de"")"),"Sie spielt weiterhin Schlagzeug, während die Kamera in ihren Händen eingreift.")</f>
        <v>Sie spielt weiterhin Schlagzeug, während die Kamera in ihren Händen eingreift.</v>
      </c>
    </row>
    <row r="27818">
      <c r="A27818" s="4" t="s">
        <v>35030</v>
      </c>
      <c r="B27818" s="4" t="s">
        <v>35031</v>
      </c>
      <c r="C27818" s="5" t="str">
        <f>IFERROR(__xludf.DUMMYFUNCTION("GOOGLETRANSLATE(B27818,""en"",""de"")"),"Es gibt viele Trophäen, die Sie für einen guten Job gewinnen können.")</f>
        <v>Es gibt viele Trophäen, die Sie für einen guten Job gewinnen können.</v>
      </c>
    </row>
    <row r="27819">
      <c r="A27819" s="4" t="s">
        <v>35030</v>
      </c>
      <c r="B27819" s="4" t="s">
        <v>35032</v>
      </c>
      <c r="C27819" s="5" t="str">
        <f>IFERROR(__xludf.DUMMYFUNCTION("GOOGLETRANSLATE(B27819,""en"",""de"")"),"Männer auf ihren Fahrrädern warten darauf, ein Rennen zu beginnen.")</f>
        <v>Männer auf ihren Fahrrädern warten darauf, ein Rennen zu beginnen.</v>
      </c>
    </row>
    <row r="27820">
      <c r="A27820" s="4" t="s">
        <v>35030</v>
      </c>
      <c r="B27820" s="4" t="s">
        <v>35033</v>
      </c>
      <c r="C27820" s="5" t="str">
        <f>IFERROR(__xludf.DUMMYFUNCTION("GOOGLETRANSLATE(B27820,""en"",""de"")"),"Zwei Männer schlugen zusammen die Knöchel, bevor das Rennen beginnt.")</f>
        <v>Zwei Männer schlugen zusammen die Knöchel, bevor das Rennen beginnt.</v>
      </c>
    </row>
    <row r="27821">
      <c r="A27821" s="4" t="s">
        <v>35030</v>
      </c>
      <c r="B27821" s="4" t="s">
        <v>35034</v>
      </c>
      <c r="C27821" s="5" t="str">
        <f>IFERROR(__xludf.DUMMYFUNCTION("GOOGLETRANSLATE(B27821,""en"",""de"")"),"Das Publikum jubelt und die Fahrer sind super schnell und versuchen zu gewinnen.")</f>
        <v>Das Publikum jubelt und die Fahrer sind super schnell und versuchen zu gewinnen.</v>
      </c>
    </row>
    <row r="27822">
      <c r="A27822" s="4" t="s">
        <v>35035</v>
      </c>
      <c r="B27822" s="4" t="s">
        <v>35036</v>
      </c>
      <c r="C27822" s="5" t="str">
        <f>IFERROR(__xludf.DUMMYFUNCTION("GOOGLETRANSLATE(B27822,""en"",""de"")"),"Ein Mann, der mit einem Messer Karate vor einem anderen macht und führt zu einem Schuss eines Mannes und eines Textes über sein Gesicht.")</f>
        <v>Ein Mann, der mit einem Messer Karate vor einem anderen macht und führt zu einem Schuss eines Mannes und eines Textes über sein Gesicht.</v>
      </c>
    </row>
    <row r="27823">
      <c r="A27823" s="4" t="s">
        <v>35035</v>
      </c>
      <c r="B27823" s="4" t="s">
        <v>35037</v>
      </c>
      <c r="C27823" s="5" t="str">
        <f>IFERROR(__xludf.DUMMYFUNCTION("GOOGLETRANSLATE(B27823,""en"",""de"")"),"Der Mann feiert, wie die Leute zuschauen und Clipart wird gezeigt sowie mehr Aufnahmen des Mannes, der feiert und Bowling.")</f>
        <v>Der Mann feiert, wie die Leute zuschauen und Clipart wird gezeigt sowie mehr Aufnahmen des Mannes, der feiert und Bowling.</v>
      </c>
    </row>
    <row r="27824">
      <c r="A27824" s="4" t="s">
        <v>35035</v>
      </c>
      <c r="B27824" s="4" t="s">
        <v>35038</v>
      </c>
      <c r="C27824" s="5" t="str">
        <f>IFERROR(__xludf.DUMMYFUNCTION("GOOGLETRANSLATE(B27824,""en"",""de"")"),"Der Mann hält am Ende eine Trophäe und schreit zur Kamera und zum Publikum.")</f>
        <v>Der Mann hält am Ende eine Trophäe und schreit zur Kamera und zum Publikum.</v>
      </c>
    </row>
    <row r="27825">
      <c r="A27825" s="4" t="s">
        <v>35035</v>
      </c>
      <c r="B27825" s="4" t="s">
        <v>35039</v>
      </c>
      <c r="C27825" s="5" t="str">
        <f>IFERROR(__xludf.DUMMYFUNCTION("GOOGLETRANSLATE(B27825,""en"",""de"")"),"Die Kamera vergrößert dann ein Foto auf einem Poster.")</f>
        <v>Die Kamera vergrößert dann ein Foto auf einem Poster.</v>
      </c>
    </row>
    <row r="27826">
      <c r="A27826" s="4" t="s">
        <v>35040</v>
      </c>
      <c r="B27826" s="4" t="s">
        <v>35041</v>
      </c>
      <c r="C27826" s="5" t="str">
        <f>IFERROR(__xludf.DUMMYFUNCTION("GOOGLETRANSLATE(B27826,""en"",""de"")"),"Eine Frau wird vor einem großen Gewicht knien und kontinuierlich mit der Kamera spricht.")</f>
        <v>Eine Frau wird vor einem großen Gewicht knien und kontinuierlich mit der Kamera spricht.</v>
      </c>
    </row>
    <row r="27827">
      <c r="A27827" s="4" t="s">
        <v>35040</v>
      </c>
      <c r="B27827" s="4" t="s">
        <v>35042</v>
      </c>
      <c r="C27827" s="5" t="str">
        <f>IFERROR(__xludf.DUMMYFUNCTION("GOOGLETRANSLATE(B27827,""en"",""de"")"),"Sie bewegt ihren Körper um das Gewicht und zeigt herum, um zu demonstrieren, wie man das Gewicht richtig hält.")</f>
        <v>Sie bewegt ihren Körper um das Gewicht und zeigt herum, um zu demonstrieren, wie man das Gewicht richtig hält.</v>
      </c>
    </row>
    <row r="27828">
      <c r="A27828" s="4" t="s">
        <v>35043</v>
      </c>
      <c r="B27828" s="4" t="s">
        <v>7459</v>
      </c>
      <c r="C27828" s="5" t="str">
        <f>IFERROR(__xludf.DUMMYFUNCTION("GOOGLETRANSLATE(B27828,""en"",""de"")"),"Eine Person fährt einen Schneehügel hinunter.")</f>
        <v>Eine Person fährt einen Schneehügel hinunter.</v>
      </c>
    </row>
    <row r="27829">
      <c r="A27829" s="4" t="s">
        <v>35043</v>
      </c>
      <c r="B27829" s="4" t="s">
        <v>35044</v>
      </c>
      <c r="C27829" s="5" t="str">
        <f>IFERROR(__xludf.DUMMYFUNCTION("GOOGLETRANSLATE(B27829,""en"",""de"")"),"Sie passieren eine Gruppe von Menschen Snowboarden.")</f>
        <v>Sie passieren eine Gruppe von Menschen Snowboarden.</v>
      </c>
    </row>
    <row r="27830">
      <c r="A27830" s="4" t="s">
        <v>35043</v>
      </c>
      <c r="B27830" s="4" t="s">
        <v>35045</v>
      </c>
      <c r="C27830" s="5" t="str">
        <f>IFERROR(__xludf.DUMMYFUNCTION("GOOGLETRANSLATE(B27830,""en"",""de"")"),"Sie gelangen auf den Grund des Hügels und halten vor einem kleinen Gebäude an.")</f>
        <v>Sie gelangen auf den Grund des Hügels und halten vor einem kleinen Gebäude an.</v>
      </c>
    </row>
    <row r="27831">
      <c r="A27831" s="4" t="s">
        <v>35046</v>
      </c>
      <c r="B27831" s="4" t="s">
        <v>1487</v>
      </c>
      <c r="C27831" s="5" t="str">
        <f>IFERROR(__xludf.DUMMYFUNCTION("GOOGLETRANSLATE(B27831,""en"",""de"")"),"Wir sehen einen Öffnungsbildschirm.")</f>
        <v>Wir sehen einen Öffnungsbildschirm.</v>
      </c>
    </row>
    <row r="27832">
      <c r="A27832" s="4" t="s">
        <v>35046</v>
      </c>
      <c r="B27832" s="4" t="s">
        <v>35047</v>
      </c>
      <c r="C27832" s="5" t="str">
        <f>IFERROR(__xludf.DUMMYFUNCTION("GOOGLETRANSLATE(B27832,""en"",""de"")"),"Wir sehen 5 Männer an der Straßenseite an Seite.")</f>
        <v>Wir sehen 5 Männer an der Straßenseite an Seite.</v>
      </c>
    </row>
    <row r="27833">
      <c r="A27833" s="4" t="s">
        <v>35046</v>
      </c>
      <c r="B27833" s="4" t="s">
        <v>35048</v>
      </c>
      <c r="C27833" s="5" t="str">
        <f>IFERROR(__xludf.DUMMYFUNCTION("GOOGLETRANSLATE(B27833,""en"",""de"")"),"Ein Mann schaut die Männer an.")</f>
        <v>Ein Mann schaut die Männer an.</v>
      </c>
    </row>
    <row r="27834">
      <c r="A27834" s="4" t="s">
        <v>35046</v>
      </c>
      <c r="B27834" s="4" t="s">
        <v>35049</v>
      </c>
      <c r="C27834" s="5" t="str">
        <f>IFERROR(__xludf.DUMMYFUNCTION("GOOGLETRANSLATE(B27834,""en"",""de"")"),"Eine Dame schaut die Männer an.")</f>
        <v>Eine Dame schaut die Männer an.</v>
      </c>
    </row>
    <row r="27835">
      <c r="A27835" s="4" t="s">
        <v>35046</v>
      </c>
      <c r="B27835" s="4" t="s">
        <v>35050</v>
      </c>
      <c r="C27835" s="5" t="str">
        <f>IFERROR(__xludf.DUMMYFUNCTION("GOOGLETRANSLATE(B27835,""en"",""de"")"),"Zwei Männer drehen sich um und sehen sich an.")</f>
        <v>Zwei Männer drehen sich um und sehen sich an.</v>
      </c>
    </row>
    <row r="27836">
      <c r="A27836" s="4" t="s">
        <v>35046</v>
      </c>
      <c r="B27836" s="4" t="s">
        <v>35051</v>
      </c>
      <c r="C27836" s="5" t="str">
        <f>IFERROR(__xludf.DUMMYFUNCTION("GOOGLETRANSLATE(B27836,""en"",""de"")"),"Ein Mann kauft Getränke, als jeder sie anstarrt.")</f>
        <v>Ein Mann kauft Getränke, als jeder sie anstarrt.</v>
      </c>
    </row>
    <row r="27837">
      <c r="A27837" s="4" t="s">
        <v>35046</v>
      </c>
      <c r="B27837" s="4" t="s">
        <v>35052</v>
      </c>
      <c r="C27837" s="5" t="str">
        <f>IFERROR(__xludf.DUMMYFUNCTION("GOOGLETRANSLATE(B27837,""en"",""de"")"),"Die fünf Männer trinken ihre Biere in einem Schluck.")</f>
        <v>Die fünf Männer trinken ihre Biere in einem Schluck.</v>
      </c>
    </row>
    <row r="27838">
      <c r="A27838" s="4" t="s">
        <v>35046</v>
      </c>
      <c r="B27838" s="4" t="s">
        <v>35053</v>
      </c>
      <c r="C27838" s="5" t="str">
        <f>IFERROR(__xludf.DUMMYFUNCTION("GOOGLETRANSLATE(B27838,""en"",""de"")"),"Die Männer lassen die Bar betrunken.")</f>
        <v>Die Männer lassen die Bar betrunken.</v>
      </c>
    </row>
    <row r="27839">
      <c r="A27839" s="4" t="s">
        <v>35046</v>
      </c>
      <c r="B27839" s="4" t="s">
        <v>35054</v>
      </c>
      <c r="C27839" s="5" t="str">
        <f>IFERROR(__xludf.DUMMYFUNCTION("GOOGLETRANSLATE(B27839,""en"",""de"")"),"Wir sehen einen grauen Schlussbildschirm.")</f>
        <v>Wir sehen einen grauen Schlussbildschirm.</v>
      </c>
    </row>
    <row r="27840">
      <c r="A27840" s="4" t="s">
        <v>35055</v>
      </c>
      <c r="B27840" s="4" t="s">
        <v>35056</v>
      </c>
      <c r="C27840" s="5" t="str">
        <f>IFERROR(__xludf.DUMMYFUNCTION("GOOGLETRANSLATE(B27840,""en"",""de"")"),"Frau, die schwarze Kleidung trägt, legt sich im Boden und mit Bauchmuskeln.")</f>
        <v>Frau, die schwarze Kleidung trägt, legt sich im Boden und mit Bauchmuskeln.</v>
      </c>
    </row>
    <row r="27841">
      <c r="A27841" s="4" t="s">
        <v>35055</v>
      </c>
      <c r="B27841" s="4" t="s">
        <v>35057</v>
      </c>
      <c r="C27841" s="5" t="str">
        <f>IFERROR(__xludf.DUMMYFUNCTION("GOOGLETRANSLATE(B27841,""en"",""de"")"),"Frau, die Bauchmuskeln im Boden macht, hat ihren Fet an Elastik gebunden.")</f>
        <v>Frau, die Bauchmuskeln im Boden macht, hat ihren Fet an Elastik gebunden.</v>
      </c>
    </row>
    <row r="27842">
      <c r="A27842" s="4" t="s">
        <v>35055</v>
      </c>
      <c r="B27842" s="4" t="s">
        <v>35058</v>
      </c>
      <c r="C27842" s="5" t="str">
        <f>IFERROR(__xludf.DUMMYFUNCTION("GOOGLETRANSLATE(B27842,""en"",""de"")"),"Frau trainiert in einem überdachten Fitnessstudio.")</f>
        <v>Frau trainiert in einem überdachten Fitnessstudio.</v>
      </c>
    </row>
    <row r="27843">
      <c r="A27843" s="4" t="s">
        <v>35059</v>
      </c>
      <c r="B27843" s="4" t="s">
        <v>35060</v>
      </c>
      <c r="C27843" s="5" t="str">
        <f>IFERROR(__xludf.DUMMYFUNCTION("GOOGLETRANSLATE(B27843,""en"",""de"")"),"Ein Mann spielt eine Tanzroutine auf einer Bühne, während ein Orchester hinter ihm spielt.")</f>
        <v>Ein Mann spielt eine Tanzroutine auf einer Bühne, während ein Orchester hinter ihm spielt.</v>
      </c>
    </row>
    <row r="27844">
      <c r="A27844" s="4" t="s">
        <v>35059</v>
      </c>
      <c r="B27844" s="4" t="s">
        <v>35061</v>
      </c>
      <c r="C27844" s="5" t="str">
        <f>IFERROR(__xludf.DUMMYFUNCTION("GOOGLETRANSLATE(B27844,""en"",""de"")"),"Eine Frau tritt dann ein und tanzt mit dem Mann, während er seinen Hut herumdreht und auf der Bühne wirbelt.")</f>
        <v>Eine Frau tritt dann ein und tanzt mit dem Mann, während er seinen Hut herumdreht und auf der Bühne wirbelt.</v>
      </c>
    </row>
    <row r="27845">
      <c r="A27845" s="4" t="s">
        <v>35059</v>
      </c>
      <c r="B27845" s="4" t="s">
        <v>35062</v>
      </c>
      <c r="C27845" s="5" t="str">
        <f>IFERROR(__xludf.DUMMYFUNCTION("GOOGLETRANSLATE(B27845,""en"",""de"")"),"Die beiden enden mit einer lustigen Geste und gehen dann von der Bühne zur Seite.")</f>
        <v>Die beiden enden mit einer lustigen Geste und gehen dann von der Bühne zur Seite.</v>
      </c>
    </row>
    <row r="27846">
      <c r="A27846" s="4" t="s">
        <v>35063</v>
      </c>
      <c r="B27846" s="4" t="s">
        <v>35064</v>
      </c>
      <c r="C27846" s="5" t="str">
        <f>IFERROR(__xludf.DUMMYFUNCTION("GOOGLETRANSLATE(B27846,""en"",""de"")"),"Ein Mann spricht in mehreren Übungsrädern.")</f>
        <v>Ein Mann spricht in mehreren Übungsrädern.</v>
      </c>
    </row>
    <row r="27847">
      <c r="A27847" s="4" t="s">
        <v>35063</v>
      </c>
      <c r="B27847" s="4" t="s">
        <v>35065</v>
      </c>
      <c r="C27847" s="5" t="str">
        <f>IFERROR(__xludf.DUMMYFUNCTION("GOOGLETRANSLATE(B27847,""en"",""de"")"),"Er beginnt an einem der Fahrräder zu arbeiten.")</f>
        <v>Er beginnt an einem der Fahrräder zu arbeiten.</v>
      </c>
    </row>
    <row r="27848">
      <c r="A27848" s="4" t="s">
        <v>35063</v>
      </c>
      <c r="B27848" s="4" t="s">
        <v>35066</v>
      </c>
      <c r="C27848" s="5" t="str">
        <f>IFERROR(__xludf.DUMMYFUNCTION("GOOGLETRANSLATE(B27848,""en"",""de"")"),"Die Leute trainieren im Dunkeln.")</f>
        <v>Die Leute trainieren im Dunkeln.</v>
      </c>
    </row>
    <row r="27849">
      <c r="A27849" s="4" t="s">
        <v>35067</v>
      </c>
      <c r="B27849" s="4" t="s">
        <v>35068</v>
      </c>
      <c r="C27849" s="5" t="str">
        <f>IFERROR(__xludf.DUMMYFUNCTION("GOOGLETRANSLATE(B27849,""en"",""de"")"),"Eine Gruppe von Menschen spielt Polo auf Pferden auf einem Gras, das auf einem Feld eingezäunt ist, umgeben von Zuschauern und Zuschauern.")</f>
        <v>Eine Gruppe von Menschen spielt Polo auf Pferden auf einem Gras, das auf einem Feld eingezäunt ist, umgeben von Zuschauern und Zuschauern.</v>
      </c>
    </row>
    <row r="27850">
      <c r="A27850" s="4" t="s">
        <v>35067</v>
      </c>
      <c r="B27850" s="4" t="s">
        <v>35069</v>
      </c>
      <c r="C27850" s="5" t="str">
        <f>IFERROR(__xludf.DUMMYFUNCTION("GOOGLETRANSLATE(B27850,""en"",""de"")"),"Ein Mann auf einem Pferd geht in die Mitte einer Reihe von Menschen auf einem Pferd und hält einen langen Schlägerstab.")</f>
        <v>Ein Mann auf einem Pferd geht in die Mitte einer Reihe von Menschen auf einem Pferd und hält einen langen Schlägerstab.</v>
      </c>
    </row>
    <row r="27851">
      <c r="A27851" s="4" t="s">
        <v>35067</v>
      </c>
      <c r="B27851" s="4" t="s">
        <v>35070</v>
      </c>
      <c r="C27851" s="5" t="str">
        <f>IFERROR(__xludf.DUMMYFUNCTION("GOOGLETRANSLATE(B27851,""en"",""de"")"),"Eine Gruppe von Zuschauern, die auf dem Gras stehen und sitzen, schaut von der Seite des Feldes aus.")</f>
        <v>Eine Gruppe von Zuschauern, die auf dem Gras stehen und sitzen, schaut von der Seite des Feldes aus.</v>
      </c>
    </row>
    <row r="27852">
      <c r="A27852" s="4" t="s">
        <v>35067</v>
      </c>
      <c r="B27852" s="4" t="s">
        <v>35071</v>
      </c>
      <c r="C27852" s="5" t="str">
        <f>IFERROR(__xludf.DUMMYFUNCTION("GOOGLETRANSLATE(B27852,""en"",""de"")"),"Das Polospiel beginnt und die Menschen auf den Pferden beginnen, ihre Schlägerstangen über den Boden zu schwingen.")</f>
        <v>Das Polospiel beginnt und die Menschen auf den Pferden beginnen, ihre Schlägerstangen über den Boden zu schwingen.</v>
      </c>
    </row>
    <row r="27853">
      <c r="A27853" s="4" t="s">
        <v>35072</v>
      </c>
      <c r="B27853" s="4" t="s">
        <v>35073</v>
      </c>
      <c r="C27853" s="5" t="str">
        <f>IFERROR(__xludf.DUMMYFUNCTION("GOOGLETRANSLATE(B27853,""en"",""de"")"),"Ein Mann wird gesehen, wie er mit der Kamera spricht, während er seine Arme herumbewegt und andere in einem Pool hinter ihm schwimmen.")</f>
        <v>Ein Mann wird gesehen, wie er mit der Kamera spricht, während er seine Arme herumbewegt und andere in einem Pool hinter ihm schwimmen.</v>
      </c>
    </row>
    <row r="27854">
      <c r="A27854" s="4" t="s">
        <v>35072</v>
      </c>
      <c r="B27854" s="4" t="s">
        <v>35074</v>
      </c>
      <c r="C27854" s="5" t="str">
        <f>IFERROR(__xludf.DUMMYFUNCTION("GOOGLETRANSLATE(B27854,""en"",""de"")"),"Der Mann spricht weiter mit der Kamera und eine Person springt vom Tauchbrett hinter ihm.")</f>
        <v>Der Mann spricht weiter mit der Kamera und eine Person springt vom Tauchbrett hinter ihm.</v>
      </c>
    </row>
    <row r="27855">
      <c r="A27855" s="4" t="s">
        <v>35075</v>
      </c>
      <c r="B27855" s="4" t="s">
        <v>35076</v>
      </c>
      <c r="C27855" s="5" t="str">
        <f>IFERROR(__xludf.DUMMYFUNCTION("GOOGLETRANSLATE(B27855,""en"",""de"")"),"Ein Turner steigt in einem Fitnessstudio einen High Beam an.")</f>
        <v>Ein Turner steigt in einem Fitnessstudio einen High Beam an.</v>
      </c>
    </row>
    <row r="27856">
      <c r="A27856" s="4" t="s">
        <v>35075</v>
      </c>
      <c r="B27856" s="4" t="s">
        <v>35077</v>
      </c>
      <c r="C27856" s="5" t="str">
        <f>IFERROR(__xludf.DUMMYFUNCTION("GOOGLETRANSLATE(B27856,""en"",""de"")"),"Er dreht und macht mehrere Federn.")</f>
        <v>Er dreht und macht mehrere Federn.</v>
      </c>
    </row>
    <row r="27857">
      <c r="A27857" s="4" t="s">
        <v>35075</v>
      </c>
      <c r="B27857" s="4" t="s">
        <v>35078</v>
      </c>
      <c r="C27857" s="5" t="str">
        <f>IFERROR(__xludf.DUMMYFUNCTION("GOOGLETRANSLATE(B27857,""en"",""de"")"),"Dann steigt er ab und wirft dabei die Arme hoch.")</f>
        <v>Dann steigt er ab und wirft dabei die Arme hoch.</v>
      </c>
    </row>
    <row r="27858">
      <c r="A27858" s="4" t="s">
        <v>35079</v>
      </c>
      <c r="B27858" s="4" t="s">
        <v>35080</v>
      </c>
      <c r="C27858" s="5" t="str">
        <f>IFERROR(__xludf.DUMMYFUNCTION("GOOGLETRANSLATE(B27858,""en"",""de"")"),"Eine große orangefarbene Maschine wird gezeigt, die eine Straße mit einer Kralle wie Arm und Rasiermesser entlang bewegt, das das Gras fällte.")</f>
        <v>Eine große orangefarbene Maschine wird gezeigt, die eine Straße mit einer Kralle wie Arm und Rasiermesser entlang bewegt, das das Gras fällte.</v>
      </c>
    </row>
    <row r="27859">
      <c r="A27859" s="4" t="s">
        <v>35079</v>
      </c>
      <c r="B27859" s="4" t="s">
        <v>35081</v>
      </c>
      <c r="C27859" s="5" t="str">
        <f>IFERROR(__xludf.DUMMYFUNCTION("GOOGLETRANSLATE(B27859,""en"",""de"")"),"Das Schneiden wird fortgesetzt und die Maschine wird in verschiedenen Bereichen wie Autobahnen betrieben.")</f>
        <v>Das Schneiden wird fortgesetzt und die Maschine wird in verschiedenen Bereichen wie Autobahnen betrieben.</v>
      </c>
    </row>
    <row r="27860">
      <c r="A27860" s="4" t="s">
        <v>35082</v>
      </c>
      <c r="B27860" s="4" t="s">
        <v>35083</v>
      </c>
      <c r="C27860" s="5" t="str">
        <f>IFERROR(__xludf.DUMMYFUNCTION("GOOGLETRANSLATE(B27860,""en"",""de"")"),"Auf einer kleinen Bühne führt ein Mädchen eine Bauchtanzroutine durch.")</f>
        <v>Auf einer kleinen Bühne führt ein Mädchen eine Bauchtanzroutine durch.</v>
      </c>
    </row>
    <row r="27861">
      <c r="A27861" s="4" t="s">
        <v>35082</v>
      </c>
      <c r="B27861" s="4" t="s">
        <v>35084</v>
      </c>
      <c r="C27861" s="5" t="str">
        <f>IFERROR(__xludf.DUMMYFUNCTION("GOOGLETRANSLATE(B27861,""en"",""de"")"),"Sie tanzt weiter und tritt auf der Bühne auf und beendet ihren Tanz mit Posen, Verbeugung und geht davon.")</f>
        <v>Sie tanzt weiter und tritt auf der Bühne auf und beendet ihren Tanz mit Posen, Verbeugung und geht davon.</v>
      </c>
    </row>
    <row r="27862">
      <c r="A27862" s="4" t="s">
        <v>35085</v>
      </c>
      <c r="B27862" s="4" t="s">
        <v>35086</v>
      </c>
      <c r="C27862" s="5" t="str">
        <f>IFERROR(__xludf.DUMMYFUNCTION("GOOGLETRANSLATE(B27862,""en"",""de"")"),"Es werden verschiedene Clips angezeigt, in denen Zutaten in Schalen angelegt werden, gefolgt von einer Person, die sie alle zusammen mischt.")</f>
        <v>Es werden verschiedene Clips angezeigt, in denen Zutaten in Schalen angelegt werden, gefolgt von einer Person, die sie alle zusammen mischt.</v>
      </c>
    </row>
    <row r="27863">
      <c r="A27863" s="4" t="s">
        <v>35085</v>
      </c>
      <c r="B27863" s="4" t="s">
        <v>35087</v>
      </c>
      <c r="C27863" s="5" t="str">
        <f>IFERROR(__xludf.DUMMYFUNCTION("GOOGLETRANSLATE(B27863,""en"",""de"")"),"Die Person rollt sie in Kugeln und setzt sie auf einen Teller und steckt sie schließlich in den Ofen.")</f>
        <v>Die Person rollt sie in Kugeln und setzt sie auf einen Teller und steckt sie schließlich in den Ofen.</v>
      </c>
    </row>
    <row r="27864">
      <c r="A27864" s="4" t="s">
        <v>35085</v>
      </c>
      <c r="B27864" s="4" t="s">
        <v>35088</v>
      </c>
      <c r="C27864" s="5" t="str">
        <f>IFERROR(__xludf.DUMMYFUNCTION("GOOGLETRANSLATE(B27864,""en"",""de"")"),"Sie zieht dann die hergestellten Kekse heraus und gibt der Kamera einen Daumen hoch.")</f>
        <v>Sie zieht dann die hergestellten Kekse heraus und gibt der Kamera einen Daumen hoch.</v>
      </c>
    </row>
    <row r="27865">
      <c r="A27865" s="4" t="s">
        <v>35089</v>
      </c>
      <c r="B27865" s="4" t="s">
        <v>35090</v>
      </c>
      <c r="C27865" s="5" t="str">
        <f>IFERROR(__xludf.DUMMYFUNCTION("GOOGLETRANSLATE(B27865,""en"",""de"")"),"Die Leute fahren Stoßstangenautos und krachen gegeneinander.")</f>
        <v>Die Leute fahren Stoßstangenautos und krachen gegeneinander.</v>
      </c>
    </row>
    <row r="27866">
      <c r="A27866" s="4" t="s">
        <v>35089</v>
      </c>
      <c r="B27866" s="4" t="s">
        <v>35091</v>
      </c>
      <c r="C27866" s="5" t="str">
        <f>IFERROR(__xludf.DUMMYFUNCTION("GOOGLETRANSLATE(B27866,""en"",""de"")"),"Ein grünes Auto stürzt gegen ein goldenes Auto.")</f>
        <v>Ein grünes Auto stürzt gegen ein goldenes Auto.</v>
      </c>
    </row>
    <row r="27867">
      <c r="A27867" s="4" t="s">
        <v>35089</v>
      </c>
      <c r="B27867" s="4" t="s">
        <v>35092</v>
      </c>
      <c r="C27867" s="5" t="str">
        <f>IFERROR(__xludf.DUMMYFUNCTION("GOOGLETRANSLATE(B27867,""en"",""de"")"),"Ein blaues Auto stürzt gegen ein goldenes Auto.")</f>
        <v>Ein blaues Auto stürzt gegen ein goldenes Auto.</v>
      </c>
    </row>
    <row r="27868">
      <c r="A27868" s="4" t="s">
        <v>35093</v>
      </c>
      <c r="B27868" s="4" t="s">
        <v>35094</v>
      </c>
      <c r="C27868" s="5" t="str">
        <f>IFERROR(__xludf.DUMMYFUNCTION("GOOGLETRANSLATE(B27868,""en"",""de"")"),"Eine Kamera schwenkt um ein großes Lagerhaus und zeigt Materialklammern und Männer, die arbeiten.")</f>
        <v>Eine Kamera schwenkt um ein großes Lagerhaus und zeigt Materialklammern und Männer, die arbeiten.</v>
      </c>
    </row>
    <row r="27869">
      <c r="A27869" s="4" t="s">
        <v>35093</v>
      </c>
      <c r="B27869" s="4" t="s">
        <v>35095</v>
      </c>
      <c r="C27869" s="5" t="str">
        <f>IFERROR(__xludf.DUMMYFUNCTION("GOOGLETRANSLATE(B27869,""en"",""de"")"),"Maschinen werden gezeigt, die Materialien weiterschieben, während die Leute an den Seiten zuschauen.")</f>
        <v>Maschinen werden gezeigt, die Materialien weiterschieben, während die Leute an den Seiten zuschauen.</v>
      </c>
    </row>
    <row r="27870">
      <c r="A27870" s="4" t="s">
        <v>35093</v>
      </c>
      <c r="B27870" s="4" t="s">
        <v>35096</v>
      </c>
      <c r="C27870" s="5" t="str">
        <f>IFERROR(__xludf.DUMMYFUNCTION("GOOGLETRANSLATE(B27870,""en"",""de"")"),"Weitere Produkte für Häuser werden herausgeschoben und eine Maschinerie wird gezeigt, die sie wegträgt.")</f>
        <v>Weitere Produkte für Häuser werden herausgeschoben und eine Maschinerie wird gezeigt, die sie wegträgt.</v>
      </c>
    </row>
    <row r="27871">
      <c r="A27871" s="4" t="s">
        <v>35097</v>
      </c>
      <c r="B27871" s="4" t="s">
        <v>35098</v>
      </c>
      <c r="C27871" s="5" t="str">
        <f>IFERROR(__xludf.DUMMYFUNCTION("GOOGLETRANSLATE(B27871,""en"",""de"")"),"Eine Nahaufnahme einer Rutsche wird von einem Erwachsenen und einem kleinen Kind gesehen, das die Rutsche hinunterfährt.")</f>
        <v>Eine Nahaufnahme einer Rutsche wird von einem Erwachsenen und einem kleinen Kind gesehen, das die Rutsche hinunterfährt.</v>
      </c>
    </row>
    <row r="27872">
      <c r="A27872" s="4" t="s">
        <v>35097</v>
      </c>
      <c r="B27872" s="4" t="s">
        <v>35099</v>
      </c>
      <c r="C27872" s="5" t="str">
        <f>IFERROR(__xludf.DUMMYFUNCTION("GOOGLETRANSLATE(B27872,""en"",""de"")"),"Die Frau lacht mit dem Baby und nimmt sie unten ab.")</f>
        <v>Die Frau lacht mit dem Baby und nimmt sie unten ab.</v>
      </c>
    </row>
    <row r="27873">
      <c r="A27873" s="4" t="s">
        <v>35100</v>
      </c>
      <c r="B27873" s="4" t="s">
        <v>35101</v>
      </c>
      <c r="C27873" s="5" t="str">
        <f>IFERROR(__xludf.DUMMYFUNCTION("GOOGLETRANSLATE(B27873,""en"",""de"")"),"Eine Frau steht in einem großen Kreis und beugt sich nach vorne.")</f>
        <v>Eine Frau steht in einem großen Kreis und beugt sich nach vorne.</v>
      </c>
    </row>
    <row r="27874">
      <c r="A27874" s="4" t="s">
        <v>35100</v>
      </c>
      <c r="B27874" s="4" t="s">
        <v>35102</v>
      </c>
      <c r="C27874" s="5" t="str">
        <f>IFERROR(__xludf.DUMMYFUNCTION("GOOGLETRANSLATE(B27874,""en"",""de"")"),"Die Frau dreht sich dann herum und wirft ein Objekt in die Ferne.")</f>
        <v>Die Frau dreht sich dann herum und wirft ein Objekt in die Ferne.</v>
      </c>
    </row>
    <row r="27875">
      <c r="A27875" s="4" t="s">
        <v>35100</v>
      </c>
      <c r="B27875" s="4" t="s">
        <v>35103</v>
      </c>
      <c r="C27875" s="5" t="str">
        <f>IFERROR(__xludf.DUMMYFUNCTION("GOOGLETRANSLATE(B27875,""en"",""de"")"),"Die Frau macht dies mehrmals danach.")</f>
        <v>Die Frau macht dies mehrmals danach.</v>
      </c>
    </row>
    <row r="27876">
      <c r="A27876" s="4" t="s">
        <v>35104</v>
      </c>
      <c r="B27876" s="4" t="s">
        <v>35105</v>
      </c>
      <c r="C27876" s="5" t="str">
        <f>IFERROR(__xludf.DUMMYFUNCTION("GOOGLETRANSLATE(B27876,""en"",""de"")"),"Eine Drum -Linie wird bei einem Outdoor -Event geformt.")</f>
        <v>Eine Drum -Linie wird bei einem Outdoor -Event geformt.</v>
      </c>
    </row>
    <row r="27877">
      <c r="A27877" s="4" t="s">
        <v>35104</v>
      </c>
      <c r="B27877" s="4" t="s">
        <v>35106</v>
      </c>
      <c r="C27877" s="5" t="str">
        <f>IFERROR(__xludf.DUMMYFUNCTION("GOOGLETRANSLATE(B27877,""en"",""de"")"),"Sie beginnen ihre Routine, jeder Abschnitt bewegt sich in seinem eigenen Satz, bevor sie zusammenkommen und sich wieder ausbreiten.")</f>
        <v>Sie beginnen ihre Routine, jeder Abschnitt bewegt sich in seinem eigenen Satz, bevor sie zusammenkommen und sich wieder ausbreiten.</v>
      </c>
    </row>
    <row r="27878">
      <c r="A27878" s="4" t="s">
        <v>35104</v>
      </c>
      <c r="B27878" s="4" t="s">
        <v>35107</v>
      </c>
      <c r="C27878" s="5" t="str">
        <f>IFERROR(__xludf.DUMMYFUNCTION("GOOGLETRANSLATE(B27878,""en"",""de"")"),"Sie bilden sich zu zwei Reihen und beenden das Lied.")</f>
        <v>Sie bilden sich zu zwei Reihen und beenden das Lied.</v>
      </c>
    </row>
    <row r="27879">
      <c r="A27879" s="4" t="s">
        <v>35108</v>
      </c>
      <c r="B27879" s="4" t="s">
        <v>1487</v>
      </c>
      <c r="C27879" s="5" t="str">
        <f>IFERROR(__xludf.DUMMYFUNCTION("GOOGLETRANSLATE(B27879,""en"",""de"")"),"Wir sehen einen Öffnungsbildschirm.")</f>
        <v>Wir sehen einen Öffnungsbildschirm.</v>
      </c>
    </row>
    <row r="27880">
      <c r="A27880" s="4" t="s">
        <v>35108</v>
      </c>
      <c r="B27880" s="4" t="s">
        <v>35109</v>
      </c>
      <c r="C27880" s="5" t="str">
        <f>IFERROR(__xludf.DUMMYFUNCTION("GOOGLETRANSLATE(B27880,""en"",""de"")"),"Eine Person geht Treppen in ein Zimmer hinauf und sieht Bier aus einem Fass und den Menschen reden.")</f>
        <v>Eine Person geht Treppen in ein Zimmer hinauf und sieht Bier aus einem Fass und den Menschen reden.</v>
      </c>
    </row>
    <row r="27881">
      <c r="A27881" s="4" t="s">
        <v>35108</v>
      </c>
      <c r="B27881" s="4" t="s">
        <v>35110</v>
      </c>
      <c r="C27881" s="5" t="str">
        <f>IFERROR(__xludf.DUMMYFUNCTION("GOOGLETRANSLATE(B27881,""en"",""de"")"),"Die Leute stehen und spielen Bierpong, während andere zuschauen.")</f>
        <v>Die Leute stehen und spielen Bierpong, während andere zuschauen.</v>
      </c>
    </row>
    <row r="27882">
      <c r="A27882" s="4" t="s">
        <v>35108</v>
      </c>
      <c r="B27882" s="4" t="s">
        <v>35111</v>
      </c>
      <c r="C27882" s="5" t="str">
        <f>IFERROR(__xludf.DUMMYFUNCTION("GOOGLETRANSLATE(B27882,""en"",""de"")"),"Ein Mann versucht einen Ball aus einer Tasse zu blasen.")</f>
        <v>Ein Mann versucht einen Ball aus einer Tasse zu blasen.</v>
      </c>
    </row>
    <row r="27883">
      <c r="A27883" s="4" t="s">
        <v>35108</v>
      </c>
      <c r="B27883" s="4" t="s">
        <v>35112</v>
      </c>
      <c r="C27883" s="5" t="str">
        <f>IFERROR(__xludf.DUMMYFUNCTION("GOOGLETRANSLATE(B27883,""en"",""de"")"),"Ein Mann schlägt den Ball von der Tasse weg.")</f>
        <v>Ein Mann schlägt den Ball von der Tasse weg.</v>
      </c>
    </row>
    <row r="27884">
      <c r="A27884" s="4" t="s">
        <v>35108</v>
      </c>
      <c r="B27884" s="4" t="s">
        <v>35113</v>
      </c>
      <c r="C27884" s="5" t="str">
        <f>IFERROR(__xludf.DUMMYFUNCTION("GOOGLETRANSLATE(B27884,""en"",""de"")"),"Das linke Team springt und jubelt.")</f>
        <v>Das linke Team springt und jubelt.</v>
      </c>
    </row>
    <row r="27885">
      <c r="A27885" s="4" t="s">
        <v>35108</v>
      </c>
      <c r="B27885" s="4" t="s">
        <v>35114</v>
      </c>
      <c r="C27885" s="5" t="str">
        <f>IFERROR(__xludf.DUMMYFUNCTION("GOOGLETRANSLATE(B27885,""en"",""de"")"),"Wir sehen die Gesichter der Menschen aus nächster Nähe und Teller mit Lebensmitteln auf einem Tisch.")</f>
        <v>Wir sehen die Gesichter der Menschen aus nächster Nähe und Teller mit Lebensmitteln auf einem Tisch.</v>
      </c>
    </row>
    <row r="27886">
      <c r="A27886" s="4" t="s">
        <v>35108</v>
      </c>
      <c r="B27886" s="4" t="s">
        <v>35115</v>
      </c>
      <c r="C27886" s="5" t="str">
        <f>IFERROR(__xludf.DUMMYFUNCTION("GOOGLETRANSLATE(B27886,""en"",""de"")"),"Wir sehen ein beleuchtetes Zeichen und enden.")</f>
        <v>Wir sehen ein beleuchtetes Zeichen und enden.</v>
      </c>
    </row>
    <row r="27887">
      <c r="A27887" s="4" t="s">
        <v>35116</v>
      </c>
      <c r="B27887" s="4" t="s">
        <v>35117</v>
      </c>
      <c r="C27887" s="5" t="str">
        <f>IFERROR(__xludf.DUMMYFUNCTION("GOOGLETRANSLATE(B27887,""en"",""de"")"),"Ein Mann steht in einer Nachbarschaft auf einem Paar Stelzen.")</f>
        <v>Ein Mann steht in einer Nachbarschaft auf einem Paar Stelzen.</v>
      </c>
    </row>
    <row r="27888">
      <c r="A27888" s="4" t="s">
        <v>35116</v>
      </c>
      <c r="B27888" s="4" t="s">
        <v>35118</v>
      </c>
      <c r="C27888" s="5" t="str">
        <f>IFERROR(__xludf.DUMMYFUNCTION("GOOGLETRANSLATE(B27888,""en"",""de"")"),"Der Mann geht die Straße hinauf und dreht sich nach hinten.")</f>
        <v>Der Mann geht die Straße hinauf und dreht sich nach hinten.</v>
      </c>
    </row>
    <row r="27889">
      <c r="A27889" s="4" t="s">
        <v>35116</v>
      </c>
      <c r="B27889" s="4" t="s">
        <v>35119</v>
      </c>
      <c r="C27889" s="5" t="str">
        <f>IFERROR(__xludf.DUMMYFUNCTION("GOOGLETRANSLATE(B27889,""en"",""de"")"),"Dann springt er die Straße hinunter und schaut zurück zur Kamera.")</f>
        <v>Dann springt er die Straße hinunter und schaut zurück zur Kamera.</v>
      </c>
    </row>
    <row r="27890">
      <c r="A27890" s="4" t="s">
        <v>35120</v>
      </c>
      <c r="B27890" s="4" t="s">
        <v>35121</v>
      </c>
      <c r="C27890" s="5" t="str">
        <f>IFERROR(__xludf.DUMMYFUNCTION("GOOGLETRANSLATE(B27890,""en"",""de"")"),"Ein Mann springt von einem Tauchbrett nach hinten in einen Schwimmbad.")</f>
        <v>Ein Mann springt von einem Tauchbrett nach hinten in einen Schwimmbad.</v>
      </c>
    </row>
    <row r="27891">
      <c r="A27891" s="4" t="s">
        <v>35120</v>
      </c>
      <c r="B27891" s="4" t="s">
        <v>35122</v>
      </c>
      <c r="C27891" s="5" t="str">
        <f>IFERROR(__xludf.DUMMYFUNCTION("GOOGLETRANSLATE(B27891,""en"",""de"")"),"Es gibt einen großen Spritzer und der Mann lächelt.")</f>
        <v>Es gibt einen großen Spritzer und der Mann lächelt.</v>
      </c>
    </row>
    <row r="27892">
      <c r="A27892" s="4" t="s">
        <v>35123</v>
      </c>
      <c r="B27892" s="4" t="s">
        <v>35124</v>
      </c>
      <c r="C27892" s="5" t="str">
        <f>IFERROR(__xludf.DUMMYFUNCTION("GOOGLETRANSLATE(B27892,""en"",""de"")"),"Kinder bringen Desert für ihr Familienmitglied heraus.")</f>
        <v>Kinder bringen Desert für ihr Familienmitglied heraus.</v>
      </c>
    </row>
    <row r="27893">
      <c r="A27893" s="4" t="s">
        <v>35123</v>
      </c>
      <c r="B27893" s="4" t="s">
        <v>35125</v>
      </c>
      <c r="C27893" s="5" t="str">
        <f>IFERROR(__xludf.DUMMYFUNCTION("GOOGLETRANSLATE(B27893,""en"",""de"")"),"Die Familie genießt es, gemeinsam die Wüste zu essen.")</f>
        <v>Die Familie genießt es, gemeinsam die Wüste zu essen.</v>
      </c>
    </row>
    <row r="27894">
      <c r="A27894" s="4" t="s">
        <v>35123</v>
      </c>
      <c r="B27894" s="4" t="s">
        <v>35126</v>
      </c>
      <c r="C27894" s="5" t="str">
        <f>IFERROR(__xludf.DUMMYFUNCTION("GOOGLETRANSLATE(B27894,""en"",""de"")"),"Die Leute im Restaurant lachen über den Mann und er fragt sich, was sie tun.")</f>
        <v>Die Leute im Restaurant lachen über den Mann und er fragt sich, was sie tun.</v>
      </c>
    </row>
    <row r="27895">
      <c r="A27895" s="4" t="s">
        <v>35123</v>
      </c>
      <c r="B27895" s="4" t="s">
        <v>35127</v>
      </c>
      <c r="C27895" s="5" t="str">
        <f>IFERROR(__xludf.DUMMYFUNCTION("GOOGLETRANSLATE(B27895,""en"",""de"")"),"Der Mann steht auf und geht in den anderen Raum.")</f>
        <v>Der Mann steht auf und geht in den anderen Raum.</v>
      </c>
    </row>
    <row r="27896">
      <c r="A27896" s="4" t="s">
        <v>35128</v>
      </c>
      <c r="B27896" s="4" t="s">
        <v>35129</v>
      </c>
      <c r="C27896" s="5" t="str">
        <f>IFERROR(__xludf.DUMMYFUNCTION("GOOGLETRANSLATE(B27896,""en"",""de"")"),"Ein Mann steht in seinem Hinterhof.")</f>
        <v>Ein Mann steht in seinem Hinterhof.</v>
      </c>
    </row>
    <row r="27897">
      <c r="A27897" s="4" t="s">
        <v>35128</v>
      </c>
      <c r="B27897" s="4" t="s">
        <v>35130</v>
      </c>
      <c r="C27897" s="5" t="str">
        <f>IFERROR(__xludf.DUMMYFUNCTION("GOOGLETRANSLATE(B27897,""en"",""de"")"),"Er lacht, als er die Seite eines Schuppens paitiert.")</f>
        <v>Er lacht, als er die Seite eines Schuppens paitiert.</v>
      </c>
    </row>
    <row r="27898">
      <c r="A27898" s="4" t="s">
        <v>35128</v>
      </c>
      <c r="B27898" s="4" t="s">
        <v>35131</v>
      </c>
      <c r="C27898" s="5" t="str">
        <f>IFERROR(__xludf.DUMMYFUNCTION("GOOGLETRANSLATE(B27898,""en"",""de"")"),"Er verwendet ein Sprühgerät, um die rote Farbe aufzutragen.")</f>
        <v>Er verwendet ein Sprühgerät, um die rote Farbe aufzutragen.</v>
      </c>
    </row>
    <row r="27899">
      <c r="A27899" s="4" t="s">
        <v>35132</v>
      </c>
      <c r="B27899" s="4" t="s">
        <v>35133</v>
      </c>
      <c r="C27899" s="5" t="str">
        <f>IFERROR(__xludf.DUMMYFUNCTION("GOOGLETRANSLATE(B27899,""en"",""de"")"),"Wir sehen einen Mann auf einem Tauchbrett hoch in der Luft.")</f>
        <v>Wir sehen einen Mann auf einem Tauchbrett hoch in der Luft.</v>
      </c>
    </row>
    <row r="27900">
      <c r="A27900" s="4" t="s">
        <v>35132</v>
      </c>
      <c r="B27900" s="4" t="s">
        <v>35134</v>
      </c>
      <c r="C27900" s="5" t="str">
        <f>IFERROR(__xludf.DUMMYFUNCTION("GOOGLETRANSLATE(B27900,""en"",""de"")"),"Der Mann macht einen Handstand und fällt vom Handstand ins Wasser.")</f>
        <v>Der Mann macht einen Handstand und fällt vom Handstand ins Wasser.</v>
      </c>
    </row>
    <row r="27901">
      <c r="A27901" s="4" t="s">
        <v>35132</v>
      </c>
      <c r="B27901" s="4" t="s">
        <v>35135</v>
      </c>
      <c r="C27901" s="5" t="str">
        <f>IFERROR(__xludf.DUMMYFUNCTION("GOOGLETRANSLATE(B27901,""en"",""de"")"),"Der nächste Mann rennt einfach und taucht taucht, während er ins Wasser flippt.")</f>
        <v>Der nächste Mann rennt einfach und taucht taucht, während er ins Wasser flippt.</v>
      </c>
    </row>
    <row r="27902">
      <c r="A27902" s="4" t="s">
        <v>35132</v>
      </c>
      <c r="B27902" s="4" t="s">
        <v>35136</v>
      </c>
      <c r="C27902" s="5" t="str">
        <f>IFERROR(__xludf.DUMMYFUNCTION("GOOGLETRANSLATE(B27902,""en"",""de"")"),"Der letzte Mann macht einen traditionelleren Tauchgang.")</f>
        <v>Der letzte Mann macht einen traditionelleren Tauchgang.</v>
      </c>
    </row>
    <row r="27903">
      <c r="A27903" s="4" t="s">
        <v>35137</v>
      </c>
      <c r="B27903" s="4" t="s">
        <v>35138</v>
      </c>
      <c r="C27903" s="5" t="str">
        <f>IFERROR(__xludf.DUMMYFUNCTION("GOOGLETRANSLATE(B27903,""en"",""de"")"),"Eine Person zeigt, wie man ein Geschenk wie ein Profi verzieht und schicke Ornamente und Bänder auf Geschenken macht.")</f>
        <v>Eine Person zeigt, wie man ein Geschenk wie ein Profi verzieht und schicke Ornamente und Bänder auf Geschenken macht.</v>
      </c>
    </row>
    <row r="27904">
      <c r="A27904" s="4" t="s">
        <v>35137</v>
      </c>
      <c r="B27904" s="4" t="s">
        <v>35139</v>
      </c>
      <c r="C27904" s="5" t="str">
        <f>IFERROR(__xludf.DUMMYFUNCTION("GOOGLETRANSLATE(B27904,""en"",""de"")"),"Die Frau arrangiert einen Geschenkkorb und zeigt einen Haufen schöner Geschenke.")</f>
        <v>Die Frau arrangiert einen Geschenkkorb und zeigt einen Haufen schöner Geschenke.</v>
      </c>
    </row>
    <row r="27905">
      <c r="A27905" s="4" t="s">
        <v>35137</v>
      </c>
      <c r="B27905" s="4" t="s">
        <v>35140</v>
      </c>
      <c r="C27905" s="5" t="str">
        <f>IFERROR(__xludf.DUMMYFUNCTION("GOOGLETRANSLATE(B27905,""en"",""de"")"),"Dann wickelt die Frau Geschenke mit verschiedenen Formen und Ornamenten.")</f>
        <v>Dann wickelt die Frau Geschenke mit verschiedenen Formen und Ornamenten.</v>
      </c>
    </row>
    <row r="27906">
      <c r="A27906" s="4" t="s">
        <v>35141</v>
      </c>
      <c r="B27906" s="4" t="s">
        <v>35142</v>
      </c>
      <c r="C27906" s="5" t="str">
        <f>IFERROR(__xludf.DUMMYFUNCTION("GOOGLETRANSLATE(B27906,""en"",""de"")"),"Eine Dame kniet in einem Kanu, als sie an einem See reißt.")</f>
        <v>Eine Dame kniet in einem Kanu, als sie an einem See reißt.</v>
      </c>
    </row>
    <row r="27907">
      <c r="A27907" s="4" t="s">
        <v>35141</v>
      </c>
      <c r="B27907" s="4" t="s">
        <v>35143</v>
      </c>
      <c r="C27907" s="5" t="str">
        <f>IFERROR(__xludf.DUMMYFUNCTION("GOOGLETRANSLATE(B27907,""en"",""de"")"),"Eine Dame versucht, auf einem Fuß im Boot zu stehen und fällt in den See.")</f>
        <v>Eine Dame versucht, auf einem Fuß im Boot zu stehen und fällt in den See.</v>
      </c>
    </row>
    <row r="27908">
      <c r="A27908" s="4" t="s">
        <v>35141</v>
      </c>
      <c r="B27908" s="4" t="s">
        <v>35144</v>
      </c>
      <c r="C27908" s="5" t="str">
        <f>IFERROR(__xludf.DUMMYFUNCTION("GOOGLETRANSLATE(B27908,""en"",""de"")"),"Eine Dame hat einen Fuß im Wasser und einen im Boot und sie beginnt Liegestütze auf dem Boot zu machen.")</f>
        <v>Eine Dame hat einen Fuß im Wasser und einen im Boot und sie beginnt Liegestütze auf dem Boot zu machen.</v>
      </c>
    </row>
    <row r="27909">
      <c r="A27909" s="4" t="s">
        <v>35141</v>
      </c>
      <c r="B27909" s="4" t="s">
        <v>35145</v>
      </c>
      <c r="C27909" s="5" t="str">
        <f>IFERROR(__xludf.DUMMYFUNCTION("GOOGLETRANSLATE(B27909,""en"",""de"")"),"Die Dame endet und zeigt ihren Muskel der Kamera.")</f>
        <v>Die Dame endet und zeigt ihren Muskel der Kamera.</v>
      </c>
    </row>
    <row r="27910">
      <c r="A27910" s="4" t="s">
        <v>35141</v>
      </c>
      <c r="B27910" s="4" t="s">
        <v>35146</v>
      </c>
      <c r="C27910" s="5" t="str">
        <f>IFERROR(__xludf.DUMMYFUNCTION("GOOGLETRANSLATE(B27910,""en"",""de"")"),"Wir sehen ein Emblem auf dem Bildschirm.")</f>
        <v>Wir sehen ein Emblem auf dem Bildschirm.</v>
      </c>
    </row>
    <row r="27911">
      <c r="A27911" s="4" t="s">
        <v>35147</v>
      </c>
      <c r="B27911" s="4" t="s">
        <v>35148</v>
      </c>
      <c r="C27911" s="5" t="str">
        <f>IFERROR(__xludf.DUMMYFUNCTION("GOOGLETRANSLATE(B27911,""en"",""de"")"),"Ein kleines Kind, das einen Helm trägt, klettert auf einem Spielplatz mit einem kleinen Jungen unter sich auf Affenbars.")</f>
        <v>Ein kleines Kind, das einen Helm trägt, klettert auf einem Spielplatz mit einem kleinen Jungen unter sich auf Affenbars.</v>
      </c>
    </row>
    <row r="27912">
      <c r="A27912" s="4" t="s">
        <v>35147</v>
      </c>
      <c r="B27912" s="4" t="s">
        <v>35149</v>
      </c>
      <c r="C27912" s="5" t="str">
        <f>IFERROR(__xludf.DUMMYFUNCTION("GOOGLETRANSLATE(B27912,""en"",""de"")"),"Eine Person, die Fahrrad fährt, geht um das junge Mädchen und sie steigt bis zur letzten Bar.")</f>
        <v>Eine Person, die Fahrrad fährt, geht um das junge Mädchen und sie steigt bis zur letzten Bar.</v>
      </c>
    </row>
    <row r="27913">
      <c r="A27913" s="4" t="s">
        <v>35150</v>
      </c>
      <c r="B27913" s="4" t="s">
        <v>35151</v>
      </c>
      <c r="C27913" s="5" t="str">
        <f>IFERROR(__xludf.DUMMYFUNCTION("GOOGLETRANSLATE(B27913,""en"",""de"")"),"Ein Mann in rotem Kurzfilm gießt eine Flasche auf etwas Holz.")</f>
        <v>Ein Mann in rotem Kurzfilm gießt eine Flasche auf etwas Holz.</v>
      </c>
    </row>
    <row r="27914">
      <c r="A27914" s="4" t="s">
        <v>35150</v>
      </c>
      <c r="B27914" s="4" t="s">
        <v>35152</v>
      </c>
      <c r="C27914" s="5" t="str">
        <f>IFERROR(__xludf.DUMMYFUNCTION("GOOGLETRANSLATE(B27914,""en"",""de"")"),"Der Mann wirft etwas Papier auf den Holz.")</f>
        <v>Der Mann wirft etwas Papier auf den Holz.</v>
      </c>
    </row>
    <row r="27915">
      <c r="A27915" s="4" t="s">
        <v>35150</v>
      </c>
      <c r="B27915" s="4" t="s">
        <v>35153</v>
      </c>
      <c r="C27915" s="5" t="str">
        <f>IFERROR(__xludf.DUMMYFUNCTION("GOOGLETRANSLATE(B27915,""en"",""de"")"),"Der Mann wirft Streichhölzer auf den Holzstapel.")</f>
        <v>Der Mann wirft Streichhölzer auf den Holzstapel.</v>
      </c>
    </row>
    <row r="27916">
      <c r="A27916" s="4" t="s">
        <v>35150</v>
      </c>
      <c r="B27916" s="4" t="s">
        <v>35154</v>
      </c>
      <c r="C27916" s="5" t="str">
        <f>IFERROR(__xludf.DUMMYFUNCTION("GOOGLETRANSLATE(B27916,""en"",""de"")"),"Ein Feuer beginnt zu brennen.")</f>
        <v>Ein Feuer beginnt zu brennen.</v>
      </c>
    </row>
    <row r="27917">
      <c r="A27917" s="4" t="s">
        <v>35155</v>
      </c>
      <c r="B27917" s="4" t="s">
        <v>35156</v>
      </c>
      <c r="C27917" s="5" t="str">
        <f>IFERROR(__xludf.DUMMYFUNCTION("GOOGLETRANSLATE(B27917,""en"",""de"")"),"Eine Kamera schwenkt um einen großen Innenpool und zeigt einen Mann, der von einem Tauchbrett ins Wasser springt.")</f>
        <v>Eine Kamera schwenkt um einen großen Innenpool und zeigt einen Mann, der von einem Tauchbrett ins Wasser springt.</v>
      </c>
    </row>
    <row r="27918">
      <c r="A27918" s="4" t="s">
        <v>35155</v>
      </c>
      <c r="B27918" s="4" t="s">
        <v>35157</v>
      </c>
      <c r="C27918" s="5" t="str">
        <f>IFERROR(__xludf.DUMMYFUNCTION("GOOGLETRANSLATE(B27918,""en"",""de"")"),"Mehrere Menschen werden sich erwärmen und folgen von vielen, die in den Pool springen.")</f>
        <v>Mehrere Menschen werden sich erwärmen und folgen von vielen, die in den Pool springen.</v>
      </c>
    </row>
    <row r="27919">
      <c r="A27919" s="4" t="s">
        <v>35155</v>
      </c>
      <c r="B27919" s="4" t="s">
        <v>35158</v>
      </c>
      <c r="C27919" s="5" t="str">
        <f>IFERROR(__xludf.DUMMYFUNCTION("GOOGLETRANSLATE(B27919,""en"",""de"")"),"Ein Mann weist sie an, wie man richtig im Wasser landet, gefolgt von mehreren Personen, die nacheinander in den Pool springen, einschließlich des Kameramanns.")</f>
        <v>Ein Mann weist sie an, wie man richtig im Wasser landet, gefolgt von mehreren Personen, die nacheinander in den Pool springen, einschließlich des Kameramanns.</v>
      </c>
    </row>
    <row r="27920">
      <c r="A27920" s="4" t="s">
        <v>35159</v>
      </c>
      <c r="B27920" s="4" t="s">
        <v>35160</v>
      </c>
      <c r="C27920" s="5" t="str">
        <f>IFERROR(__xludf.DUMMYFUNCTION("GOOGLETRANSLATE(B27920,""en"",""de"")"),"Zwei Sumos bereiten sich darauf vor, in einem Ring zu ringen, während ein Richter mitten in ihnen steht.")</f>
        <v>Zwei Sumos bereiten sich darauf vor, in einem Ring zu ringen, während ein Richter mitten in ihnen steht.</v>
      </c>
    </row>
    <row r="27921">
      <c r="A27921" s="4" t="s">
        <v>35159</v>
      </c>
      <c r="B27921" s="4" t="s">
        <v>35161</v>
      </c>
      <c r="C27921" s="5" t="str">
        <f>IFERROR(__xludf.DUMMYFUNCTION("GOOGLETRANSLATE(B27921,""en"",""de"")"),"Dann ringen der Sumos und der dünne Sumo wirft den Fettsumo auf den Boden.")</f>
        <v>Dann ringen der Sumos und der dünne Sumo wirft den Fettsumo auf den Boden.</v>
      </c>
    </row>
    <row r="27922">
      <c r="A27922" s="4" t="s">
        <v>35159</v>
      </c>
      <c r="B27922" s="4" t="s">
        <v>35162</v>
      </c>
      <c r="C27922" s="5" t="str">
        <f>IFERROR(__xludf.DUMMYFUNCTION("GOOGLETRANSLATE(B27922,""en"",""de"")"),"Danach steht der Fettsumo auf und verließ den Ring.")</f>
        <v>Danach steht der Fettsumo auf und verließ den Ring.</v>
      </c>
    </row>
    <row r="27923">
      <c r="A27923" s="4" t="s">
        <v>35159</v>
      </c>
      <c r="B27923" s="4" t="s">
        <v>35163</v>
      </c>
      <c r="C27923" s="5" t="str">
        <f>IFERROR(__xludf.DUMMYFUNCTION("GOOGLETRANSLATE(B27923,""en"",""de"")"),"Die Krähe applaudiert, dann Bream der Männer den Ring.")</f>
        <v>Die Krähe applaudiert, dann Bream der Männer den Ring.</v>
      </c>
    </row>
    <row r="27924">
      <c r="A27924" s="4" t="s">
        <v>35164</v>
      </c>
      <c r="B27924" s="4" t="s">
        <v>35165</v>
      </c>
      <c r="C27924" s="5" t="str">
        <f>IFERROR(__xludf.DUMMYFUNCTION("GOOGLETRANSLATE(B27924,""en"",""de"")"),"Ein Mann spricht mit der Kamera, die einen Hockeystock hält, und führt zu ihm, um andere Spieler zu unterweisen.")</f>
        <v>Ein Mann spricht mit der Kamera, die einen Hockeystock hält, und führt zu ihm, um andere Spieler zu unterweisen.</v>
      </c>
    </row>
    <row r="27925">
      <c r="A27925" s="4" t="s">
        <v>35164</v>
      </c>
      <c r="B27925" s="4" t="s">
        <v>35166</v>
      </c>
      <c r="C27925" s="5" t="str">
        <f>IFERROR(__xludf.DUMMYFUNCTION("GOOGLETRANSLATE(B27925,""en"",""de"")"),"Der Mann spielt weiterhin umeinander, während der Mann ihnen zu ihnen schreit und die anderen weiter spielen.")</f>
        <v>Der Mann spielt weiterhin umeinander, während der Mann ihnen zu ihnen schreit und die anderen weiter spielen.</v>
      </c>
    </row>
    <row r="27926">
      <c r="A27926" s="4" t="s">
        <v>35167</v>
      </c>
      <c r="B27926" s="4" t="s">
        <v>35168</v>
      </c>
      <c r="C27926" s="5" t="str">
        <f>IFERROR(__xludf.DUMMYFUNCTION("GOOGLETRANSLATE(B27926,""en"",""de"")"),"Eine kleine Gruppe von Männern steht in einem Hof ​​mit vielen Menschen, die an den Seiten sitzen und zuschauen.")</f>
        <v>Eine kleine Gruppe von Männern steht in einem Hof ​​mit vielen Menschen, die an den Seiten sitzen und zuschauen.</v>
      </c>
    </row>
    <row r="27927">
      <c r="A27927" s="4" t="s">
        <v>35167</v>
      </c>
      <c r="B27927" s="4" t="s">
        <v>35169</v>
      </c>
      <c r="C27927" s="5" t="str">
        <f>IFERROR(__xludf.DUMMYFUNCTION("GOOGLETRANSLATE(B27927,""en"",""de"")"),"Eine Person rennt mit einem Stabhochsprung herunter und wirft es in die Ferne ab, während der gleiche Clip in Zeitlupe erneut angezeigt wird und eine andere nachgibt.")</f>
        <v>Eine Person rennt mit einem Stabhochsprung herunter und wirft es in die Ferne ab, während der gleiche Clip in Zeitlupe erneut angezeigt wird und eine andere nachgibt.</v>
      </c>
    </row>
    <row r="27928">
      <c r="A27928" s="4" t="s">
        <v>35170</v>
      </c>
      <c r="B27928" s="4" t="s">
        <v>35171</v>
      </c>
      <c r="C27928" s="5" t="str">
        <f>IFERROR(__xludf.DUMMYFUNCTION("GOOGLETRANSLATE(B27928,""en"",""de"")"),"Das Video beginnt mit einer Einführung in Rezepte über Quick Spaghetti -Sauce.")</f>
        <v>Das Video beginnt mit einer Einführung in Rezepte über Quick Spaghetti -Sauce.</v>
      </c>
    </row>
    <row r="27929">
      <c r="A27929" s="4" t="s">
        <v>35170</v>
      </c>
      <c r="B27929" s="4" t="s">
        <v>35172</v>
      </c>
      <c r="C27929" s="5" t="str">
        <f>IFERROR(__xludf.DUMMYFUNCTION("GOOGLETRANSLATE(B27929,""en"",""de"")"),"Das Video übergeht in eine Kelle, die die Sauce auf Nudeln gießt.")</f>
        <v>Das Video übergeht in eine Kelle, die die Sauce auf Nudeln gießt.</v>
      </c>
    </row>
    <row r="27930">
      <c r="A27930" s="4" t="s">
        <v>35170</v>
      </c>
      <c r="B27930" s="4" t="s">
        <v>35173</v>
      </c>
      <c r="C27930" s="5" t="str">
        <f>IFERROR(__xludf.DUMMYFUNCTION("GOOGLETRANSLATE(B27930,""en"",""de"")"),"Jemand beginnt mit einem Messer verschiedenes Gemüse zu schneiden. Dazu gehören ein grünes Gemüse und Zwiebeln.")</f>
        <v>Jemand beginnt mit einem Messer verschiedenes Gemüse zu schneiden. Dazu gehören ein grünes Gemüse und Zwiebeln.</v>
      </c>
    </row>
    <row r="27931">
      <c r="A27931" s="4" t="s">
        <v>35170</v>
      </c>
      <c r="B27931" s="4" t="s">
        <v>35174</v>
      </c>
      <c r="C27931" s="5" t="str">
        <f>IFERROR(__xludf.DUMMYFUNCTION("GOOGLETRANSLATE(B27931,""en"",""de"")"),"Als nächstes wird eine leere metallische Pfanne gezeigt, wenn jemand Öl und Gemüse hineingießt.")</f>
        <v>Als nächstes wird eine leere metallische Pfanne gezeigt, wenn jemand Öl und Gemüse hineingießt.</v>
      </c>
    </row>
    <row r="27932">
      <c r="A27932" s="4" t="s">
        <v>35170</v>
      </c>
      <c r="B27932" s="4" t="s">
        <v>35175</v>
      </c>
      <c r="C27932" s="5" t="str">
        <f>IFERROR(__xludf.DUMMYFUNCTION("GOOGLETRANSLATE(B27932,""en"",""de"")"),"Sie beginnen dann mit dem Rühren des Gemüses mit dem Öl zu rühren.")</f>
        <v>Sie beginnen dann mit dem Rühren des Gemüses mit dem Öl zu rühren.</v>
      </c>
    </row>
    <row r="27933">
      <c r="A27933" s="4" t="s">
        <v>35170</v>
      </c>
      <c r="B27933" s="4" t="s">
        <v>35176</v>
      </c>
      <c r="C27933" s="5" t="str">
        <f>IFERROR(__xludf.DUMMYFUNCTION("GOOGLETRANSLATE(B27933,""en"",""de"")"),"Danach sind die anderen Zutaten hinzugefügt, die Tomaten, Gewürze und eine Flüssigkeitsart gehören.")</f>
        <v>Danach sind die anderen Zutaten hinzugefügt, die Tomaten, Gewürze und eine Flüssigkeitsart gehören.</v>
      </c>
    </row>
    <row r="27934">
      <c r="A27934" s="4" t="s">
        <v>35170</v>
      </c>
      <c r="B27934" s="4" t="s">
        <v>35177</v>
      </c>
      <c r="C27934" s="5" t="str">
        <f>IFERROR(__xludf.DUMMYFUNCTION("GOOGLETRANSLATE(B27934,""en"",""de"")"),"Alles wird zusammengerührt.")</f>
        <v>Alles wird zusammengerührt.</v>
      </c>
    </row>
    <row r="27935">
      <c r="A27935" s="4" t="s">
        <v>35170</v>
      </c>
      <c r="B27935" s="4" t="s">
        <v>35178</v>
      </c>
      <c r="C27935" s="5" t="str">
        <f>IFERROR(__xludf.DUMMYFUNCTION("GOOGLETRANSLATE(B27935,""en"",""de"")"),"Die Pfanne wird entfernt und die gerührten Zutaten werden gemischt.")</f>
        <v>Die Pfanne wird entfernt und die gerührten Zutaten werden gemischt.</v>
      </c>
    </row>
    <row r="27936">
      <c r="A27936" s="4" t="s">
        <v>35170</v>
      </c>
      <c r="B27936" s="4" t="s">
        <v>35179</v>
      </c>
      <c r="C27936" s="5" t="str">
        <f>IFERROR(__xludf.DUMMYFUNCTION("GOOGLETRANSLATE(B27936,""en"",""de"")"),"Die gemischten Zutaten werden wieder auf den Mann gelegt und eine rote Substanz einer Dose wird in die Pfanne gegossen und gemischt.")</f>
        <v>Die gemischten Zutaten werden wieder auf den Mann gelegt und eine rote Substanz einer Dose wird in die Pfanne gegossen und gemischt.</v>
      </c>
    </row>
    <row r="27937">
      <c r="A27937" s="4" t="s">
        <v>35170</v>
      </c>
      <c r="B27937" s="4" t="s">
        <v>35180</v>
      </c>
      <c r="C27937" s="5" t="str">
        <f>IFERROR(__xludf.DUMMYFUNCTION("GOOGLETRANSLATE(B27937,""en"",""de"")"),"Die Sauce ist fertiggestellt und auf die Nudeln gegossen.")</f>
        <v>Die Sauce ist fertiggestellt und auf die Nudeln gegossen.</v>
      </c>
    </row>
    <row r="27938">
      <c r="A27938" s="4" t="s">
        <v>35170</v>
      </c>
      <c r="B27938" s="4" t="s">
        <v>35181</v>
      </c>
      <c r="C27938" s="5" t="str">
        <f>IFERROR(__xludf.DUMMYFUNCTION("GOOGLETRANSLATE(B27938,""en"",""de"")"),"Das Video endet mit einem orangefarbenen Hintergrund mit Informationen darüber, wo weitere Videos angezeigt werden können.")</f>
        <v>Das Video endet mit einem orangefarbenen Hintergrund mit Informationen darüber, wo weitere Videos angezeigt werden können.</v>
      </c>
    </row>
    <row r="27939">
      <c r="A27939" s="4" t="s">
        <v>35182</v>
      </c>
      <c r="B27939" s="4" t="s">
        <v>35183</v>
      </c>
      <c r="C27939" s="5" t="str">
        <f>IFERROR(__xludf.DUMMYFUNCTION("GOOGLETRANSLATE(B27939,""en"",""de"")"),"Ein Teenager -Junge schlägt einen Schwamm Bob Piñata bedeckt seine Augen mit einem Tuch, während die Frau Fotos macht.")</f>
        <v>Ein Teenager -Junge schlägt einen Schwamm Bob Piñata bedeckt seine Augen mit einem Tuch, während die Frau Fotos macht.</v>
      </c>
    </row>
    <row r="27940">
      <c r="A27940" s="4" t="s">
        <v>35182</v>
      </c>
      <c r="B27940" s="4" t="s">
        <v>35184</v>
      </c>
      <c r="C27940" s="5" t="str">
        <f>IFERROR(__xludf.DUMMYFUNCTION("GOOGLETRANSLATE(B27940,""en"",""de"")"),"Ein Junge trifft die Piñata, bis er fällt, während der Junge seine Augen mit einem blauen Tuch bedeckt.")</f>
        <v>Ein Junge trifft die Piñata, bis er fällt, während der Junge seine Augen mit einem blauen Tuch bedeckt.</v>
      </c>
    </row>
    <row r="27941">
      <c r="A27941" s="4" t="s">
        <v>35182</v>
      </c>
      <c r="B27941" s="4" t="s">
        <v>35185</v>
      </c>
      <c r="C27941" s="5" t="str">
        <f>IFERROR(__xludf.DUMMYFUNCTION("GOOGLETRANSLATE(B27941,""en"",""de"")"),"Ein Mann reibt sein Gesicht mit seiner Hand und dann streckt er seine Zange aus.")</f>
        <v>Ein Mann reibt sein Gesicht mit seiner Hand und dann streckt er seine Zange aus.</v>
      </c>
    </row>
    <row r="27942">
      <c r="A27942" s="4" t="s">
        <v>35186</v>
      </c>
      <c r="B27942" s="4" t="s">
        <v>35187</v>
      </c>
      <c r="C27942" s="5" t="str">
        <f>IFERROR(__xludf.DUMMYFUNCTION("GOOGLETRANSLATE(B27942,""en"",""de"")"),"Zwei Menschen sind draußen im Balltanzen auf einem Platz, als eine Gruppe von Menschen sie umgibt und zuzusehen.")</f>
        <v>Zwei Menschen sind draußen im Balltanzen auf einem Platz, als eine Gruppe von Menschen sie umgibt und zuzusehen.</v>
      </c>
    </row>
    <row r="27943">
      <c r="A27943" s="4" t="s">
        <v>35186</v>
      </c>
      <c r="B27943" s="4" t="s">
        <v>35188</v>
      </c>
      <c r="C27943" s="5" t="str">
        <f>IFERROR(__xludf.DUMMYFUNCTION("GOOGLETRANSLATE(B27943,""en"",""de"")"),"Die Leute kommen und gehen, um den beiden Menschen zu tanzen zu sehen, und dann hören sie endlich auf zu tanzen, sich zu verbeugen und schnappen sich ein Tuch, um ihr Gesicht zu waschen.")</f>
        <v>Die Leute kommen und gehen, um den beiden Menschen zu tanzen zu sehen, und dann hören sie endlich auf zu tanzen, sich zu verbeugen und schnappen sich ein Tuch, um ihr Gesicht zu waschen.</v>
      </c>
    </row>
    <row r="27944">
      <c r="A27944" s="4" t="s">
        <v>35189</v>
      </c>
      <c r="B27944" s="4" t="s">
        <v>35190</v>
      </c>
      <c r="C27944" s="5" t="str">
        <f>IFERROR(__xludf.DUMMYFUNCTION("GOOGLETRANSLATE(B27944,""en"",""de"")"),"Eine Frau legt Gemüseblätter in einen Bug.")</f>
        <v>Eine Frau legt Gemüseblätter in einen Bug.</v>
      </c>
    </row>
    <row r="27945">
      <c r="A27945" s="4" t="s">
        <v>35189</v>
      </c>
      <c r="B27945" s="4" t="s">
        <v>35191</v>
      </c>
      <c r="C27945" s="5" t="str">
        <f>IFERROR(__xludf.DUMMYFUNCTION("GOOGLETRANSLATE(B27945,""en"",""de"")"),"Die Kamera schwenkt, einen Mann neben der Frau zu zeigen.")</f>
        <v>Die Kamera schwenkt, einen Mann neben der Frau zu zeigen.</v>
      </c>
    </row>
    <row r="27946">
      <c r="A27946" s="4" t="s">
        <v>35189</v>
      </c>
      <c r="B27946" s="4" t="s">
        <v>35192</v>
      </c>
      <c r="C27946" s="5" t="str">
        <f>IFERROR(__xludf.DUMMYFUNCTION("GOOGLETRANSLATE(B27946,""en"",""de"")"),"Der Mann schneidet eine Gurke auf einem Teller.")</f>
        <v>Der Mann schneidet eine Gurke auf einem Teller.</v>
      </c>
    </row>
    <row r="27947">
      <c r="A27947" s="4" t="s">
        <v>35193</v>
      </c>
      <c r="B27947" s="4" t="s">
        <v>35194</v>
      </c>
      <c r="C27947" s="5" t="str">
        <f>IFERROR(__xludf.DUMMYFUNCTION("GOOGLETRANSLATE(B27947,""en"",""de"")"),"Zwei Männer führen über die Motorhaube des Autos, während sie sich gegenseitig an die Hände greifen.")</f>
        <v>Zwei Männer führen über die Motorhaube des Autos, während sie sich gegenseitig an die Hände greifen.</v>
      </c>
    </row>
    <row r="27948">
      <c r="A27948" s="4" t="s">
        <v>35193</v>
      </c>
      <c r="B27948" s="4" t="s">
        <v>35195</v>
      </c>
      <c r="C27948" s="5" t="str">
        <f>IFERROR(__xludf.DUMMYFUNCTION("GOOGLETRANSLATE(B27948,""en"",""de"")"),"Dann beginnen sie ein Armringen und endet mit einem Mann, der gewinnt und beide in die Kamera schauen und ein Handgelenk hält.")</f>
        <v>Dann beginnen sie ein Armringen und endet mit einem Mann, der gewinnt und beide in die Kamera schauen und ein Handgelenk hält.</v>
      </c>
    </row>
    <row r="27949">
      <c r="A27949" s="4" t="s">
        <v>35196</v>
      </c>
      <c r="B27949" s="4" t="s">
        <v>35197</v>
      </c>
      <c r="C27949" s="5" t="str">
        <f>IFERROR(__xludf.DUMMYFUNCTION("GOOGLETRANSLATE(B27949,""en"",""de"")"),"Videotitel oder Etikett werden angezeigt.")</f>
        <v>Videotitel oder Etikett werden angezeigt.</v>
      </c>
    </row>
    <row r="27950">
      <c r="A27950" s="4" t="s">
        <v>35196</v>
      </c>
      <c r="B27950" s="4" t="s">
        <v>35198</v>
      </c>
      <c r="C27950" s="5" t="str">
        <f>IFERROR(__xludf.DUMMYFUNCTION("GOOGLETRANSLATE(B27950,""en"",""de"")"),"Ein Typ trägt das Friedenszeichen.")</f>
        <v>Ein Typ trägt das Friedenszeichen.</v>
      </c>
    </row>
    <row r="27951">
      <c r="A27951" s="4" t="s">
        <v>35196</v>
      </c>
      <c r="B27951" s="4" t="s">
        <v>35199</v>
      </c>
      <c r="C27951" s="5" t="str">
        <f>IFERROR(__xludf.DUMMYFUNCTION("GOOGLETRANSLATE(B27951,""en"",""de"")"),"Ein Typ ist Schneebrett einen Hang hinunter.")</f>
        <v>Ein Typ ist Schneebrett einen Hang hinunter.</v>
      </c>
    </row>
    <row r="27952">
      <c r="A27952" s="4" t="s">
        <v>35196</v>
      </c>
      <c r="B27952" s="4" t="s">
        <v>35200</v>
      </c>
      <c r="C27952" s="5" t="str">
        <f>IFERROR(__xludf.DUMMYFUNCTION("GOOGLETRANSLATE(B27952,""en"",""de"")"),"Eine Gruppe in Folge Welle auf Wiedersehen.")</f>
        <v>Eine Gruppe in Folge Welle auf Wiedersehen.</v>
      </c>
    </row>
    <row r="27953">
      <c r="A27953" s="4" t="s">
        <v>35201</v>
      </c>
      <c r="B27953" s="4" t="s">
        <v>35202</v>
      </c>
      <c r="C27953" s="5" t="str">
        <f>IFERROR(__xludf.DUMMYFUNCTION("GOOGLETRANSLATE(B27953,""en"",""de"")"),"Ein Mann bereitet sich auf Waterboard vor, ein Boot wartet zu seiner rechten und die weißen Worte in der rechten unteren Ecke ""Spray Lake Watersports &amp; Activity Center"".")</f>
        <v>Ein Mann bereitet sich auf Waterboard vor, ein Boot wartet zu seiner rechten und die weißen Worte in der rechten unteren Ecke "Spray Lake Watersports &amp; Activity Center".</v>
      </c>
    </row>
    <row r="27954">
      <c r="A27954" s="4" t="s">
        <v>35201</v>
      </c>
      <c r="B27954" s="4" t="s">
        <v>35203</v>
      </c>
      <c r="C27954" s="5" t="str">
        <f>IFERROR(__xludf.DUMMYFUNCTION("GOOGLETRANSLATE(B27954,""en"",""de"")"),"Der Mann geht ins Wasser und als er an der mit dem Seil und dem Boot verbundenen Stange festhält, watert er schnell auf dem See, manchmal benutzt er beide Hände, um sich an der Stange zu halten und manchmal die Hände abwechseln.")</f>
        <v>Der Mann geht ins Wasser und als er an der mit dem Seil und dem Boot verbundenen Stange festhält, watert er schnell auf dem See, manchmal benutzt er beide Hände, um sich an der Stange zu halten und manchmal die Hände abwechseln.</v>
      </c>
    </row>
    <row r="27955">
      <c r="A27955" s="4" t="s">
        <v>35201</v>
      </c>
      <c r="B27955" s="4" t="s">
        <v>35204</v>
      </c>
      <c r="C27955" s="5" t="str">
        <f>IFERROR(__xludf.DUMMYFUNCTION("GOOGLETRANSLATE(B27955,""en"",""de"")"),"Der Mann lässt die Bar los und beginnt sich zu einem Dock zu verlangsamen.")</f>
        <v>Der Mann lässt die Bar los und beginnt sich zu einem Dock zu verlangsamen.</v>
      </c>
    </row>
    <row r="27956">
      <c r="A27956" s="4" t="s">
        <v>35201</v>
      </c>
      <c r="B27956" s="4" t="s">
        <v>35205</v>
      </c>
      <c r="C27956" s="5" t="str">
        <f>IFERROR(__xludf.DUMMYFUNCTION("GOOGLETRANSLATE(B27956,""en"",""de"")"),"Ein Paar Hände hält jetzt eine Waterboard mit schwarzem und silbernem Paar Schuhen.")</f>
        <v>Ein Paar Hände hält jetzt eine Waterboard mit schwarzem und silbernem Paar Schuhen.</v>
      </c>
    </row>
    <row r="27957">
      <c r="A27957" s="4" t="s">
        <v>35201</v>
      </c>
      <c r="B27957" s="4" t="s">
        <v>35206</v>
      </c>
      <c r="C27957" s="5" t="str">
        <f>IFERROR(__xludf.DUMMYFUNCTION("GOOGLETRANSLATE(B27957,""en"",""de"")"),"Eine Person wird kurz Waterboarding gezeigt und die Aussicht wird unter Wasser sprudeln.")</f>
        <v>Eine Person wird kurz Waterboarding gezeigt und die Aussicht wird unter Wasser sprudeln.</v>
      </c>
    </row>
    <row r="27958">
      <c r="A27958" s="4" t="s">
        <v>35207</v>
      </c>
      <c r="B27958" s="4" t="s">
        <v>35208</v>
      </c>
      <c r="C27958" s="5" t="str">
        <f>IFERROR(__xludf.DUMMYFUNCTION("GOOGLETRANSLATE(B27958,""en"",""de"")"),"Eine Person wird in einem geschlossenen Gebiet auf dem Pferd herumfährt.")</f>
        <v>Eine Person wird in einem geschlossenen Gebiet auf dem Pferd herumfährt.</v>
      </c>
    </row>
    <row r="27959">
      <c r="A27959" s="4" t="s">
        <v>35207</v>
      </c>
      <c r="B27959" s="4" t="s">
        <v>35209</v>
      </c>
      <c r="C27959" s="5" t="str">
        <f>IFERROR(__xludf.DUMMYFUNCTION("GOOGLETRANSLATE(B27959,""en"",""de"")"),"Die Kamera folgt ihm weiterhin, dass er in der Gegend herumgaloppiert.")</f>
        <v>Die Kamera folgt ihm weiterhin, dass er in der Gegend herumgaloppiert.</v>
      </c>
    </row>
    <row r="27960">
      <c r="A27960" s="4" t="s">
        <v>35210</v>
      </c>
      <c r="B27960" s="4" t="s">
        <v>35211</v>
      </c>
      <c r="C27960" s="5" t="str">
        <f>IFERROR(__xludf.DUMMYFUNCTION("GOOGLETRANSLATE(B27960,""en"",""de"")"),"Das kleine Mädchen ist oben auf der Affenbar.")</f>
        <v>Das kleine Mädchen ist oben auf der Affenbar.</v>
      </c>
    </row>
    <row r="27961">
      <c r="A27961" s="4" t="s">
        <v>35210</v>
      </c>
      <c r="B27961" s="4" t="s">
        <v>35212</v>
      </c>
      <c r="C27961" s="5" t="str">
        <f>IFERROR(__xludf.DUMMYFUNCTION("GOOGLETRANSLATE(B27961,""en"",""de"")"),"Ein kleines Kind im farbenfrohen Hemd überquert die Affenbar.")</f>
        <v>Ein kleines Kind im farbenfrohen Hemd überquert die Affenbar.</v>
      </c>
    </row>
    <row r="27962">
      <c r="A27962" s="4" t="s">
        <v>35210</v>
      </c>
      <c r="B27962" s="4" t="s">
        <v>35213</v>
      </c>
      <c r="C27962" s="5" t="str">
        <f>IFERROR(__xludf.DUMMYFUNCTION("GOOGLETRANSLATE(B27962,""en"",""de"")"),"Das kleine Mädchen fiel aus der Monkey Bar und ging zurück in die Affenbar.")</f>
        <v>Das kleine Mädchen fiel aus der Monkey Bar und ging zurück in die Affenbar.</v>
      </c>
    </row>
    <row r="27963">
      <c r="A27963" s="4" t="s">
        <v>35214</v>
      </c>
      <c r="B27963" s="4" t="s">
        <v>35215</v>
      </c>
      <c r="C27963" s="5" t="str">
        <f>IFERROR(__xludf.DUMMYFUNCTION("GOOGLETRANSLATE(B27963,""en"",""de"")"),"Die Spieler spielen vor dem Publikum Lacrosse im Freien.")</f>
        <v>Die Spieler spielen vor dem Publikum Lacrosse im Freien.</v>
      </c>
    </row>
    <row r="27964">
      <c r="A27964" s="4" t="s">
        <v>35214</v>
      </c>
      <c r="B27964" s="4" t="s">
        <v>35216</v>
      </c>
      <c r="C27964" s="5" t="str">
        <f>IFERROR(__xludf.DUMMYFUNCTION("GOOGLETRANSLATE(B27964,""en"",""de"")"),"Ein Spieler liegt auf dem Feld.")</f>
        <v>Ein Spieler liegt auf dem Feld.</v>
      </c>
    </row>
    <row r="27965">
      <c r="A27965" s="4" t="s">
        <v>35214</v>
      </c>
      <c r="B27965" s="4" t="s">
        <v>35217</v>
      </c>
      <c r="C27965" s="5" t="str">
        <f>IFERROR(__xludf.DUMMYFUNCTION("GOOGLETRANSLATE(B27965,""en"",""de"")"),"Der Spieler trifft den Ball in das Tor.")</f>
        <v>Der Spieler trifft den Ball in das Tor.</v>
      </c>
    </row>
    <row r="27966">
      <c r="A27966" s="4" t="s">
        <v>35214</v>
      </c>
      <c r="B27966" s="4" t="s">
        <v>35218</v>
      </c>
      <c r="C27966" s="5" t="str">
        <f>IFERROR(__xludf.DUMMYFUNCTION("GOOGLETRANSLATE(B27966,""en"",""de"")"),"Das Publikum und die Teamkollegen feiern das Ziel, und die Teamkollegen klopfen sich auf der Schulter.")</f>
        <v>Das Publikum und die Teamkollegen feiern das Ziel, und die Teamkollegen klopfen sich auf der Schulter.</v>
      </c>
    </row>
    <row r="27967">
      <c r="A27967" s="4" t="s">
        <v>35214</v>
      </c>
      <c r="B27967" s="4" t="s">
        <v>35219</v>
      </c>
      <c r="C27967" s="5" t="str">
        <f>IFERROR(__xludf.DUMMYFUNCTION("GOOGLETRANSLATE(B27967,""en"",""de"")"),"Ein Mann entfernt seinen Helm.")</f>
        <v>Ein Mann entfernt seinen Helm.</v>
      </c>
    </row>
    <row r="27968">
      <c r="A27968" s="4" t="s">
        <v>35220</v>
      </c>
      <c r="B27968" s="4" t="s">
        <v>35221</v>
      </c>
      <c r="C27968" s="5" t="str">
        <f>IFERROR(__xludf.DUMMYFUNCTION("GOOGLETRANSLATE(B27968,""en"",""de"")"),"Ein Mädchen zeigt, wie man Limonade macht.")</f>
        <v>Ein Mädchen zeigt, wie man Limonade macht.</v>
      </c>
    </row>
    <row r="27969">
      <c r="A27969" s="4" t="s">
        <v>35220</v>
      </c>
      <c r="B27969" s="4" t="s">
        <v>35222</v>
      </c>
      <c r="C27969" s="5" t="str">
        <f>IFERROR(__xludf.DUMMYFUNCTION("GOOGLETRANSLATE(B27969,""en"",""de"")"),"Sie hat dann in das Geld, ihre Eltern, ihr geholfen.")</f>
        <v>Sie hat dann in das Geld, ihre Eltern, ihr geholfen.</v>
      </c>
    </row>
    <row r="27970">
      <c r="A27970" s="4" t="s">
        <v>35223</v>
      </c>
      <c r="B27970" s="4" t="s">
        <v>35224</v>
      </c>
      <c r="C27970" s="5" t="str">
        <f>IFERROR(__xludf.DUMMYFUNCTION("GOOGLETRANSLATE(B27970,""en"",""de"")"),"Eine Kamera schwenkt zu einem Drachen, der am Himmel herumfliegt, sowie Menschen auf einem Feld.")</f>
        <v>Eine Kamera schwenkt zu einem Drachen, der am Himmel herumfliegt, sowie Menschen auf einem Feld.</v>
      </c>
    </row>
    <row r="27971">
      <c r="A27971" s="4" t="s">
        <v>35223</v>
      </c>
      <c r="B27971" s="4" t="s">
        <v>35225</v>
      </c>
      <c r="C27971" s="5" t="str">
        <f>IFERROR(__xludf.DUMMYFUNCTION("GOOGLETRANSLATE(B27971,""en"",""de"")"),"Ein Mann wird auf den Ort zu sehen, der den Drachen mit seinen Händen kontrolliert.")</f>
        <v>Ein Mann wird auf den Ort zu sehen, der den Drachen mit seinen Händen kontrolliert.</v>
      </c>
    </row>
    <row r="27972">
      <c r="A27972" s="4" t="s">
        <v>35223</v>
      </c>
      <c r="B27972" s="4" t="s">
        <v>35226</v>
      </c>
      <c r="C27972" s="5" t="str">
        <f>IFERROR(__xludf.DUMMYFUNCTION("GOOGLETRANSLATE(B27972,""en"",""de"")"),"Er fliegt das Objekt weiter mit der Kamera um den Himmel.")</f>
        <v>Er fliegt das Objekt weiter mit der Kamera um den Himmel.</v>
      </c>
    </row>
    <row r="27973">
      <c r="A27973" s="4" t="s">
        <v>35227</v>
      </c>
      <c r="B27973" s="4" t="s">
        <v>35228</v>
      </c>
      <c r="C27973" s="5" t="str">
        <f>IFERROR(__xludf.DUMMYFUNCTION("GOOGLETRANSLATE(B27973,""en"",""de"")"),"Ein junger Mann setzt sich vor einem Schlagzeug auf einen Stuhl.")</f>
        <v>Ein junger Mann setzt sich vor einem Schlagzeug auf einen Stuhl.</v>
      </c>
    </row>
    <row r="27974">
      <c r="A27974" s="4" t="s">
        <v>35227</v>
      </c>
      <c r="B27974" s="4" t="s">
        <v>35229</v>
      </c>
      <c r="C27974" s="5" t="str">
        <f>IFERROR(__xludf.DUMMYFUNCTION("GOOGLETRANSLATE(B27974,""en"",""de"")"),"Er beginnt, die Schlagzeug zu spielen, die sich in einem Wohnzimmer befinden.")</f>
        <v>Er beginnt, die Schlagzeug zu spielen, die sich in einem Wohnzimmer befinden.</v>
      </c>
    </row>
    <row r="27975">
      <c r="A27975" s="4" t="s">
        <v>35227</v>
      </c>
      <c r="B27975" s="4" t="s">
        <v>35230</v>
      </c>
      <c r="C27975" s="5" t="str">
        <f>IFERROR(__xludf.DUMMYFUNCTION("GOOGLETRANSLATE(B27975,""en"",""de"")"),"Das Spiel geht weiter, bis er die Drum -Sticks niederlegt und mit einem schockierten Look in die Kamera schaut.")</f>
        <v>Das Spiel geht weiter, bis er die Drum -Sticks niederlegt und mit einem schockierten Look in die Kamera schaut.</v>
      </c>
    </row>
    <row r="27976">
      <c r="A27976" s="4" t="s">
        <v>35227</v>
      </c>
      <c r="B27976" s="4" t="s">
        <v>35231</v>
      </c>
      <c r="C27976" s="5" t="str">
        <f>IFERROR(__xludf.DUMMYFUNCTION("GOOGLETRANSLATE(B27976,""en"",""de"")"),"Das Video endet damit, dass der Mann aufsteht, um die Kamera auszuschalten.")</f>
        <v>Das Video endet damit, dass der Mann aufsteht, um die Kamera auszuschalten.</v>
      </c>
    </row>
    <row r="27977">
      <c r="A27977" s="4" t="s">
        <v>35232</v>
      </c>
      <c r="B27977" s="4" t="s">
        <v>35233</v>
      </c>
      <c r="C27977" s="5" t="str">
        <f>IFERROR(__xludf.DUMMYFUNCTION("GOOGLETRANSLATE(B27977,""en"",""de"")"),"Eine Gruppe von Menschen, die aufblasbare Boote innehat und zu einem See ankommen, dann segeln die Menschen im See.")</f>
        <v>Eine Gruppe von Menschen, die aufblasbare Boote innehat und zu einem See ankommen, dann segeln die Menschen im See.</v>
      </c>
    </row>
    <row r="27978">
      <c r="A27978" s="4" t="s">
        <v>35232</v>
      </c>
      <c r="B27978" s="4" t="s">
        <v>35234</v>
      </c>
      <c r="C27978" s="5" t="str">
        <f>IFERROR(__xludf.DUMMYFUNCTION("GOOGLETRANSLATE(B27978,""en"",""de"")"),"Danach nehmen die Leute die Boote, um auf einem schmalen, abgehackten Fluss zu segeln.")</f>
        <v>Danach nehmen die Leute die Boote, um auf einem schmalen, abgehackten Fluss zu segeln.</v>
      </c>
    </row>
    <row r="27979">
      <c r="A27979" s="4" t="s">
        <v>35232</v>
      </c>
      <c r="B27979" s="4" t="s">
        <v>35235</v>
      </c>
      <c r="C27979" s="5" t="str">
        <f>IFERROR(__xludf.DUMMYFUNCTION("GOOGLETRANSLATE(B27979,""en"",""de"")"),"Die Sparren kommen zu einer Kaskade an und die Boote falten sich beim Abstieg der Kaskade und räumen weiter im Fluss.")</f>
        <v>Die Sparren kommen zu einer Kaskade an und die Boote falten sich beim Abstieg der Kaskade und räumen weiter im Fluss.</v>
      </c>
    </row>
    <row r="27980">
      <c r="A27980" s="4" t="s">
        <v>35236</v>
      </c>
      <c r="B27980" s="4" t="s">
        <v>35237</v>
      </c>
      <c r="C27980" s="5" t="str">
        <f>IFERROR(__xludf.DUMMYFUNCTION("GOOGLETRANSLATE(B27980,""en"",""de"")"),"Ein Mann steht auf einer Leiter.")</f>
        <v>Ein Mann steht auf einer Leiter.</v>
      </c>
    </row>
    <row r="27981">
      <c r="A27981" s="4" t="s">
        <v>35236</v>
      </c>
      <c r="B27981" s="4" t="s">
        <v>35238</v>
      </c>
      <c r="C27981" s="5" t="str">
        <f>IFERROR(__xludf.DUMMYFUNCTION("GOOGLETRANSLATE(B27981,""en"",""de"")"),"Er hängt eine Wandpapier an einer Wand vor ihm.")</f>
        <v>Er hängt eine Wandpapier an einer Wand vor ihm.</v>
      </c>
    </row>
    <row r="27982">
      <c r="A27982" s="4" t="s">
        <v>35236</v>
      </c>
      <c r="B27982" s="4" t="s">
        <v>35239</v>
      </c>
      <c r="C27982" s="5" t="str">
        <f>IFERROR(__xludf.DUMMYFUNCTION("GOOGLETRANSLATE(B27982,""en"",""de"")"),"Er verwendet ein Werkzeug, um das Handlungspapier zu glätten, sobald es an der Wand ist.")</f>
        <v>Er verwendet ein Werkzeug, um das Handlungspapier zu glätten, sobald es an der Wand ist.</v>
      </c>
    </row>
    <row r="27983">
      <c r="A27983" s="4" t="s">
        <v>35240</v>
      </c>
      <c r="B27983" s="4" t="s">
        <v>35241</v>
      </c>
      <c r="C27983" s="5" t="str">
        <f>IFERROR(__xludf.DUMMYFUNCTION("GOOGLETRANSLATE(B27983,""en"",""de"")"),"Es werden verschiedene Aufnahmen von Menschen zusammengestellt, die zusammen stehen und sich um Eis bewegen, ebenso wie Menschen, die Shuffle Board spielen und sich gegenseitig schreien.")</f>
        <v>Es werden verschiedene Aufnahmen von Menschen zusammengestellt, die zusammen stehen und sich um Eis bewegen, ebenso wie Menschen, die Shuffle Board spielen und sich gegenseitig schreien.</v>
      </c>
    </row>
    <row r="27984">
      <c r="A27984" s="4" t="s">
        <v>35240</v>
      </c>
      <c r="B27984" s="4" t="s">
        <v>35242</v>
      </c>
      <c r="C27984" s="5" t="str">
        <f>IFERROR(__xludf.DUMMYFUNCTION("GOOGLETRANSLATE(B27984,""en"",""de"")"),"Mehrere Personen werden auf der Kamera interviewt, die mit Shuffleboard -Aufnahmen und Menschen, die sich den Hals reiben und miteinander sprechen, eingrenzen.")</f>
        <v>Mehrere Personen werden auf der Kamera interviewt, die mit Shuffleboard -Aufnahmen und Menschen, die sich den Hals reiben und miteinander sprechen, eingrenzen.</v>
      </c>
    </row>
    <row r="27985">
      <c r="A27985" s="4" t="s">
        <v>35243</v>
      </c>
      <c r="B27985" s="4" t="s">
        <v>35244</v>
      </c>
      <c r="C27985" s="5" t="str">
        <f>IFERROR(__xludf.DUMMYFUNCTION("GOOGLETRANSLATE(B27985,""en"",""de"")"),"Eine Frau fährt mit einem Gefangenen einen schneebedeckten Hügel hinunter.")</f>
        <v>Eine Frau fährt mit einem Gefangenen einen schneebedeckten Hügel hinunter.</v>
      </c>
    </row>
    <row r="27986">
      <c r="A27986" s="4" t="s">
        <v>35243</v>
      </c>
      <c r="B27986" s="4" t="s">
        <v>35245</v>
      </c>
      <c r="C27986" s="5" t="str">
        <f>IFERROR(__xludf.DUMMYFUNCTION("GOOGLETRANSLATE(B27986,""en"",""de"")"),"Sie dreht sich, als sie untergeht und auf eine andere Person trifft.")</f>
        <v>Sie dreht sich, als sie untergeht und auf eine andere Person trifft.</v>
      </c>
    </row>
    <row r="27987">
      <c r="A27987" s="4" t="s">
        <v>35243</v>
      </c>
      <c r="B27987" s="4" t="s">
        <v>35246</v>
      </c>
      <c r="C27987" s="5" t="str">
        <f>IFERROR(__xludf.DUMMYFUNCTION("GOOGLETRANSLATE(B27987,""en"",""de"")"),"Sie wird aus ihrem Gezeiten gestrichen.")</f>
        <v>Sie wird aus ihrem Gezeiten gestrichen.</v>
      </c>
    </row>
    <row r="27988">
      <c r="A27988" s="4" t="s">
        <v>35247</v>
      </c>
      <c r="B27988" s="4" t="s">
        <v>35248</v>
      </c>
      <c r="C27988" s="5" t="str">
        <f>IFERROR(__xludf.DUMMYFUNCTION("GOOGLETRANSLATE(B27988,""en"",""de"")"),"Es werden mehrere Schüsse von Bullen gezeigt, die auf Menschen in geschäftigen Straßen geraten und von den Bullen verletzt werden.")</f>
        <v>Es werden mehrere Schüsse von Bullen gezeigt, die auf Menschen in geschäftigen Straßen geraten und von den Bullen verletzt werden.</v>
      </c>
    </row>
    <row r="27989">
      <c r="A27989" s="4" t="s">
        <v>35247</v>
      </c>
      <c r="B27989" s="4" t="s">
        <v>35249</v>
      </c>
      <c r="C27989" s="5" t="str">
        <f>IFERROR(__xludf.DUMMYFUNCTION("GOOGLETRANSLATE(B27989,""en"",""de"")"),"Es werden viele weitere Aufnahmen von Bullen gezeigt, die Menschen an verschiedenen Orten verletzen, während andere versuchen, ihnen nebenbei zu helfen.")</f>
        <v>Es werden viele weitere Aufnahmen von Bullen gezeigt, die Menschen an verschiedenen Orten verletzen, während andere versuchen, ihnen nebenbei zu helfen.</v>
      </c>
    </row>
    <row r="27990">
      <c r="A27990" s="4" t="s">
        <v>35250</v>
      </c>
      <c r="B27990" s="4" t="s">
        <v>35251</v>
      </c>
      <c r="C27990" s="5" t="str">
        <f>IFERROR(__xludf.DUMMYFUNCTION("GOOGLETRANSLATE(B27990,""en"",""de"")"),"Ein dunkler Himmel mit einem Mond und einer Wolke wird zwischen dem Trail so Schmutz gezeigt.")</f>
        <v>Ein dunkler Himmel mit einem Mond und einer Wolke wird zwischen dem Trail so Schmutz gezeigt.</v>
      </c>
    </row>
    <row r="27991">
      <c r="A27991" s="4" t="s">
        <v>35250</v>
      </c>
      <c r="B27991" s="4" t="s">
        <v>35252</v>
      </c>
      <c r="C27991" s="5" t="str">
        <f>IFERROR(__xludf.DUMMYFUNCTION("GOOGLETRANSLATE(B27991,""en"",""de"")"),"Danach wird ein Mann, der einen Hut trägt, den Weg entlang gezeigt, und es werden mehrere Dirt Biker -Rennen gezeigt.")</f>
        <v>Danach wird ein Mann, der einen Hut trägt, den Weg entlang gezeigt, und es werden mehrere Dirt Biker -Rennen gezeigt.</v>
      </c>
    </row>
    <row r="27992">
      <c r="A27992" s="4" t="s">
        <v>35250</v>
      </c>
      <c r="B27992" s="4" t="s">
        <v>35253</v>
      </c>
      <c r="C27992" s="5" t="str">
        <f>IFERROR(__xludf.DUMMYFUNCTION("GOOGLETRANSLATE(B27992,""en"",""de"")"),"Der Mann zieht dann einen Helm an, die Bar ist im Stich und er beginnt über einen Hügel zu springen.")</f>
        <v>Der Mann zieht dann einen Helm an, die Bar ist im Stich und er beginnt über einen Hügel zu springen.</v>
      </c>
    </row>
    <row r="27993">
      <c r="A27993" s="4" t="s">
        <v>35250</v>
      </c>
      <c r="B27993" s="4" t="s">
        <v>35254</v>
      </c>
      <c r="C27993" s="5" t="str">
        <f>IFERROR(__xludf.DUMMYFUNCTION("GOOGLETRANSLATE(B27993,""en"",""de"")"),"Während das Video weitergeht, folgen Sie dem Mann, der durch den Weg raste, Tricks macht und in Seitenwinkeln reitet, um sicherzustellen, dass die Tricks gelandet sind und er nicht abfällt.")</f>
        <v>Während das Video weitergeht, folgen Sie dem Mann, der durch den Weg raste, Tricks macht und in Seitenwinkeln reitet, um sicherzustellen, dass die Tricks gelandet sind und er nicht abfällt.</v>
      </c>
    </row>
    <row r="27994">
      <c r="A27994" s="4" t="s">
        <v>35250</v>
      </c>
      <c r="B27994" s="4" t="s">
        <v>35255</v>
      </c>
      <c r="C27994" s="5" t="str">
        <f>IFERROR(__xludf.DUMMYFUNCTION("GOOGLETRANSLATE(B27994,""en"",""de"")"),"Der Mann taucht dann wieder auf und das Spiegelbild des Rennens wird in seinen Augen gezeigt, bevor er losgeht.")</f>
        <v>Der Mann taucht dann wieder auf und das Spiegelbild des Rennens wird in seinen Augen gezeigt, bevor er losgeht.</v>
      </c>
    </row>
    <row r="27995">
      <c r="A27995" s="4" t="s">
        <v>35256</v>
      </c>
      <c r="B27995" s="4" t="s">
        <v>35257</v>
      </c>
      <c r="C27995" s="5" t="str">
        <f>IFERROR(__xludf.DUMMYFUNCTION("GOOGLETRANSLATE(B27995,""en"",""de"")"),"Bowlingstifte werden mit Bowlingkugel getroffen.")</f>
        <v>Bowlingstifte werden mit Bowlingkugel getroffen.</v>
      </c>
    </row>
    <row r="27996">
      <c r="A27996" s="4" t="s">
        <v>35256</v>
      </c>
      <c r="B27996" s="4" t="s">
        <v>35258</v>
      </c>
      <c r="C27996" s="5" t="str">
        <f>IFERROR(__xludf.DUMMYFUNCTION("GOOGLETRANSLATE(B27996,""en"",""de"")"),"Eine Menge Jubel, der hinter der Kegelbahn sitzt.")</f>
        <v>Eine Menge Jubel, der hinter der Kegelbahn sitzt.</v>
      </c>
    </row>
    <row r="27997">
      <c r="A27997" s="4" t="s">
        <v>35256</v>
      </c>
      <c r="B27997" s="4" t="s">
        <v>35259</v>
      </c>
      <c r="C27997" s="5" t="str">
        <f>IFERROR(__xludf.DUMMYFUNCTION("GOOGLETRANSLATE(B27997,""en"",""de"")"),"Ein Mann küsst eine Trophäe in seinen Händen.")</f>
        <v>Ein Mann küsst eine Trophäe in seinen Händen.</v>
      </c>
    </row>
    <row r="27998">
      <c r="A27998" s="4" t="s">
        <v>35260</v>
      </c>
      <c r="B27998" s="4" t="s">
        <v>35261</v>
      </c>
      <c r="C27998" s="5" t="str">
        <f>IFERROR(__xludf.DUMMYFUNCTION("GOOGLETRANSLATE(B27998,""en"",""de"")"),"Die Leute stehen in einem Raum, der Tennis spielt.")</f>
        <v>Die Leute stehen in einem Raum, der Tennis spielt.</v>
      </c>
    </row>
    <row r="27999">
      <c r="A27999" s="4" t="s">
        <v>35260</v>
      </c>
      <c r="B27999" s="4" t="s">
        <v>35262</v>
      </c>
      <c r="C27999" s="5" t="str">
        <f>IFERROR(__xludf.DUMMYFUNCTION("GOOGLETRANSLATE(B27999,""en"",""de"")"),"Eine Frau nimmt einen Ball auf, der auf den Boden fällt.")</f>
        <v>Eine Frau nimmt einen Ball auf, der auf den Boden fällt.</v>
      </c>
    </row>
    <row r="28000">
      <c r="A28000" s="4" t="s">
        <v>35260</v>
      </c>
      <c r="B28000" s="4" t="s">
        <v>35263</v>
      </c>
      <c r="C28000" s="5" t="str">
        <f>IFERROR(__xludf.DUMMYFUNCTION("GOOGLETRANSLATE(B28000,""en"",""de"")"),"Das Mädchen geht ins Netz.")</f>
        <v>Das Mädchen geht ins Netz.</v>
      </c>
    </row>
    <row r="28001">
      <c r="A28001" s="4" t="s">
        <v>35264</v>
      </c>
      <c r="B28001" s="4" t="s">
        <v>35265</v>
      </c>
      <c r="C28001" s="5" t="str">
        <f>IFERROR(__xludf.DUMMYFUNCTION("GOOGLETRANSLATE(B28001,""en"",""de"")"),"Zwei junge Männer Arm ringen in einer Küche mit einem stehenden Katzenstuhl als Tisch.")</f>
        <v>Zwei junge Männer Arm ringen in einer Küche mit einem stehenden Katzenstuhl als Tisch.</v>
      </c>
    </row>
    <row r="28002">
      <c r="A28002" s="4" t="s">
        <v>35264</v>
      </c>
      <c r="B28002" s="4" t="s">
        <v>35266</v>
      </c>
      <c r="C28002" s="5" t="str">
        <f>IFERROR(__xludf.DUMMYFUNCTION("GOOGLETRANSLATE(B28002,""en"",""de"")"),"Ein junger Mann in einem weißen Tanktop legt seinen Ellbogen auf einen erhöhten Katzenstuhl zusammen mit einem anderen jungen Mann in einem schwarzen Hemd.")</f>
        <v>Ein junger Mann in einem weißen Tanktop legt seinen Ellbogen auf einen erhöhten Katzenstuhl zusammen mit einem anderen jungen Mann in einem schwarzen Hemd.</v>
      </c>
    </row>
    <row r="28003">
      <c r="A28003" s="4" t="s">
        <v>35264</v>
      </c>
      <c r="B28003" s="4" t="s">
        <v>35267</v>
      </c>
      <c r="C28003" s="5" t="str">
        <f>IFERROR(__xludf.DUMMYFUNCTION("GOOGLETRANSLATE(B28003,""en"",""de"")"),"Die beiden jungen Männer fangen an zu ringen.")</f>
        <v>Die beiden jungen Männer fangen an zu ringen.</v>
      </c>
    </row>
    <row r="28004">
      <c r="A28004" s="4" t="s">
        <v>35264</v>
      </c>
      <c r="B28004" s="4" t="s">
        <v>35268</v>
      </c>
      <c r="C28004" s="5" t="str">
        <f>IFERROR(__xludf.DUMMYFUNCTION("GOOGLETRANSLATE(B28004,""en"",""de"")"),"Der Mann im schwarzen Hemd gewinnt das Arm -Wrestling -Match, an dem der Mann im weißen Tanktoprücken vor einem Kühlschrank neben einem Mädchen steht, das ein Getränk in Konserven trinkt.")</f>
        <v>Der Mann im schwarzen Hemd gewinnt das Arm -Wrestling -Match, an dem der Mann im weißen Tanktoprücken vor einem Kühlschrank neben einem Mädchen steht, das ein Getränk in Konserven trinkt.</v>
      </c>
    </row>
    <row r="28005">
      <c r="A28005" s="4" t="s">
        <v>35269</v>
      </c>
      <c r="B28005" s="4" t="s">
        <v>35270</v>
      </c>
      <c r="C28005" s="5" t="str">
        <f>IFERROR(__xludf.DUMMYFUNCTION("GOOGLETRANSLATE(B28005,""en"",""de"")"),"Ein Mann und eine Frau stehen in einer Küche.")</f>
        <v>Ein Mann und eine Frau stehen in einer Küche.</v>
      </c>
    </row>
    <row r="28006">
      <c r="A28006" s="4" t="s">
        <v>35269</v>
      </c>
      <c r="B28006" s="4" t="s">
        <v>35271</v>
      </c>
      <c r="C28006" s="5" t="str">
        <f>IFERROR(__xludf.DUMMYFUNCTION("GOOGLETRANSLATE(B28006,""en"",""de"")"),"Die Frau hackt verschiedene Gemüse auf einem weißen Tablett.")</f>
        <v>Die Frau hackt verschiedene Gemüse auf einem weißen Tablett.</v>
      </c>
    </row>
    <row r="28007">
      <c r="A28007" s="4" t="s">
        <v>35272</v>
      </c>
      <c r="B28007" s="4" t="s">
        <v>35273</v>
      </c>
      <c r="C28007" s="5" t="str">
        <f>IFERROR(__xludf.DUMMYFUNCTION("GOOGLETRANSLATE(B28007,""en"",""de"")"),"Eine riesige Menge ist auf der Tribüne in einer Arena.")</f>
        <v>Eine riesige Menge ist auf der Tribüne in einer Arena.</v>
      </c>
    </row>
    <row r="28008">
      <c r="A28008" s="4" t="s">
        <v>35272</v>
      </c>
      <c r="B28008" s="4" t="s">
        <v>35274</v>
      </c>
      <c r="C28008" s="5" t="str">
        <f>IFERROR(__xludf.DUMMYFUNCTION("GOOGLETRANSLATE(B28008,""en"",""de"")"),"Ein Mann wirft einen Speer.")</f>
        <v>Ein Mann wirft einen Speer.</v>
      </c>
    </row>
    <row r="28009">
      <c r="A28009" s="4" t="s">
        <v>35272</v>
      </c>
      <c r="B28009" s="4" t="s">
        <v>35275</v>
      </c>
      <c r="C28009" s="5" t="str">
        <f>IFERROR(__xludf.DUMMYFUNCTION("GOOGLETRANSLATE(B28009,""en"",""de"")"),"Fotografen machen Fotos im Hintergrund.")</f>
        <v>Fotografen machen Fotos im Hintergrund.</v>
      </c>
    </row>
    <row r="28010">
      <c r="A28010" s="4" t="s">
        <v>35272</v>
      </c>
      <c r="B28010" s="4" t="s">
        <v>35276</v>
      </c>
      <c r="C28010" s="5" t="str">
        <f>IFERROR(__xludf.DUMMYFUNCTION("GOOGLETRANSLATE(B28010,""en"",""de"")"),"Mehrere Männer rennen dorthin, wo der Speer landet.")</f>
        <v>Mehrere Männer rennen dorthin, wo der Speer landet.</v>
      </c>
    </row>
    <row r="28011">
      <c r="A28011" s="4" t="s">
        <v>35272</v>
      </c>
      <c r="B28011" s="4" t="s">
        <v>35277</v>
      </c>
      <c r="C28011" s="5" t="str">
        <f>IFERROR(__xludf.DUMMYFUNCTION("GOOGLETRANSLATE(B28011,""en"",""de"")"),"Der Mann, der den Speer geworfen hat, feiert.")</f>
        <v>Der Mann, der den Speer geworfen hat, feiert.</v>
      </c>
    </row>
    <row r="28012">
      <c r="A28012" s="4" t="s">
        <v>35272</v>
      </c>
      <c r="B28012" s="4" t="s">
        <v>35278</v>
      </c>
      <c r="C28012" s="5" t="str">
        <f>IFERROR(__xludf.DUMMYFUNCTION("GOOGLETRANSLATE(B28012,""en"",""de"")"),"Ein anderer Mann wirft einen Speer.")</f>
        <v>Ein anderer Mann wirft einen Speer.</v>
      </c>
    </row>
    <row r="28013">
      <c r="A28013" s="4" t="s">
        <v>35272</v>
      </c>
      <c r="B28013" s="4" t="s">
        <v>35279</v>
      </c>
      <c r="C28013" s="5" t="str">
        <f>IFERROR(__xludf.DUMMYFUNCTION("GOOGLETRANSLATE(B28013,""en"",""de"")"),"Die Leute gehen rundum und machen verschiedene Dinge.")</f>
        <v>Die Leute gehen rundum und machen verschiedene Dinge.</v>
      </c>
    </row>
    <row r="28014">
      <c r="A28014" s="4" t="s">
        <v>35272</v>
      </c>
      <c r="B28014" s="4" t="s">
        <v>35280</v>
      </c>
      <c r="C28014" s="5" t="str">
        <f>IFERROR(__xludf.DUMMYFUNCTION("GOOGLETRANSLATE(B28014,""en"",""de"")"),"Mehrere Männer rennen wieder, wo der Speer wieder landet.")</f>
        <v>Mehrere Männer rennen wieder, wo der Speer wieder landet.</v>
      </c>
    </row>
    <row r="28015">
      <c r="A28015" s="4" t="s">
        <v>35272</v>
      </c>
      <c r="B28015" s="4" t="s">
        <v>35281</v>
      </c>
      <c r="C28015" s="5" t="str">
        <f>IFERROR(__xludf.DUMMYFUNCTION("GOOGLETRANSLATE(B28015,""en"",""de"")"),"Der zweite Mann, der den Speer und einen Mann auf die Tribüne wirft, feiern.")</f>
        <v>Der zweite Mann, der den Speer und einen Mann auf die Tribüne wirft, feiern.</v>
      </c>
    </row>
    <row r="28016">
      <c r="A28016" s="4" t="s">
        <v>35272</v>
      </c>
      <c r="B28016" s="4" t="s">
        <v>35282</v>
      </c>
      <c r="C28016" s="5" t="str">
        <f>IFERROR(__xludf.DUMMYFUNCTION("GOOGLETRANSLATE(B28016,""en"",""de"")"),"Ein dritter Mann wirft so stark einen Speer, dass er fällt.")</f>
        <v>Ein dritter Mann wirft so stark einen Speer, dass er fällt.</v>
      </c>
    </row>
    <row r="28017">
      <c r="A28017" s="4" t="s">
        <v>35272</v>
      </c>
      <c r="B28017" s="4" t="s">
        <v>35283</v>
      </c>
      <c r="C28017" s="5" t="str">
        <f>IFERROR(__xludf.DUMMYFUNCTION("GOOGLETRANSLATE(B28017,""en"",""de"")"),"Die gleichen Männer rennen zum Landeplatz des Speers.")</f>
        <v>Die gleichen Männer rennen zum Landeplatz des Speers.</v>
      </c>
    </row>
    <row r="28018">
      <c r="A28018" s="4" t="s">
        <v>35272</v>
      </c>
      <c r="B28018" s="4" t="s">
        <v>35284</v>
      </c>
      <c r="C28018" s="5" t="str">
        <f>IFERROR(__xludf.DUMMYFUNCTION("GOOGLETRANSLATE(B28018,""en"",""de"")"),"Der dritte Mann geht weg und sieht enttäuscht aus.")</f>
        <v>Der dritte Mann geht weg und sieht enttäuscht aus.</v>
      </c>
    </row>
    <row r="28019">
      <c r="A28019" s="4" t="s">
        <v>35272</v>
      </c>
      <c r="B28019" s="4" t="s">
        <v>35285</v>
      </c>
      <c r="C28019" s="5" t="str">
        <f>IFERROR(__xludf.DUMMYFUNCTION("GOOGLETRANSLATE(B28019,""en"",""de"")"),"Ein vierter Mann wirft einen Speer.")</f>
        <v>Ein vierter Mann wirft einen Speer.</v>
      </c>
    </row>
    <row r="28020">
      <c r="A28020" s="4" t="s">
        <v>35272</v>
      </c>
      <c r="B28020" s="4" t="s">
        <v>35286</v>
      </c>
      <c r="C28020" s="5" t="str">
        <f>IFERROR(__xludf.DUMMYFUNCTION("GOOGLETRANSLATE(B28020,""en"",""de"")"),"Wieder rennen die Männer dorthin, wo der Speer landet.")</f>
        <v>Wieder rennen die Männer dorthin, wo der Speer landet.</v>
      </c>
    </row>
    <row r="28021">
      <c r="A28021" s="4" t="s">
        <v>35272</v>
      </c>
      <c r="B28021" s="4" t="s">
        <v>35287</v>
      </c>
      <c r="C28021" s="5" t="str">
        <f>IFERROR(__xludf.DUMMYFUNCTION("GOOGLETRANSLATE(B28021,""en"",""de"")"),"Der vierte Mann sieht enttäuscht aus, um nach seiner Jacke zu suchen.")</f>
        <v>Der vierte Mann sieht enttäuscht aus, um nach seiner Jacke zu suchen.</v>
      </c>
    </row>
    <row r="28022">
      <c r="A28022" s="4" t="s">
        <v>35272</v>
      </c>
      <c r="B28022" s="4" t="s">
        <v>35288</v>
      </c>
      <c r="C28022" s="5" t="str">
        <f>IFERROR(__xludf.DUMMYFUNCTION("GOOGLETRANSLATE(B28022,""en"",""de"")"),"Der erste Mann, der einen Speer wirft, feiert herum und umarmt einen anderen Mann.")</f>
        <v>Der erste Mann, der einen Speer wirft, feiert herum und umarmt einen anderen Mann.</v>
      </c>
    </row>
    <row r="28023">
      <c r="A28023" s="4" t="s">
        <v>35272</v>
      </c>
      <c r="B28023" s="4" t="s">
        <v>35289</v>
      </c>
      <c r="C28023" s="5" t="str">
        <f>IFERROR(__xludf.DUMMYFUNCTION("GOOGLETRANSLATE(B28023,""en"",""de"")"),"Ein Mann legt eine Goldmedaille um den Hals des ersten Speerwerfers und schüttelt seine Hand.")</f>
        <v>Ein Mann legt eine Goldmedaille um den Hals des ersten Speerwerfers und schüttelt seine Hand.</v>
      </c>
    </row>
    <row r="28024">
      <c r="A28024" s="4" t="s">
        <v>35272</v>
      </c>
      <c r="B28024" s="4" t="s">
        <v>35290</v>
      </c>
      <c r="C28024" s="5" t="str">
        <f>IFERROR(__xludf.DUMMYFUNCTION("GOOGLETRANSLATE(B28024,""en"",""de"")"),"Er legt eine Silbermedaille auf den zweiten Werfer.")</f>
        <v>Er legt eine Silbermedaille auf den zweiten Werfer.</v>
      </c>
    </row>
    <row r="28025">
      <c r="A28025" s="4" t="s">
        <v>35272</v>
      </c>
      <c r="B28025" s="4" t="s">
        <v>35291</v>
      </c>
      <c r="C28025" s="5" t="str">
        <f>IFERROR(__xludf.DUMMYFUNCTION("GOOGLETRANSLATE(B28025,""en"",""de"")"),"Er legt eine Bronzemedaille auf den dritten Werfer.")</f>
        <v>Er legt eine Bronzemedaille auf den dritten Werfer.</v>
      </c>
    </row>
    <row r="28026">
      <c r="A28026" s="4" t="s">
        <v>35272</v>
      </c>
      <c r="B28026" s="4" t="s">
        <v>35292</v>
      </c>
      <c r="C28026" s="5" t="str">
        <f>IFERROR(__xludf.DUMMYFUNCTION("GOOGLETRANSLATE(B28026,""en"",""de"")"),"Alle Männer schütteln die Hand.")</f>
        <v>Alle Männer schütteln die Hand.</v>
      </c>
    </row>
    <row r="28027">
      <c r="A28027" s="4" t="s">
        <v>35272</v>
      </c>
      <c r="B28027" s="4" t="s">
        <v>35293</v>
      </c>
      <c r="C28027" s="5" t="str">
        <f>IFERROR(__xludf.DUMMYFUNCTION("GOOGLETRANSLATE(B28027,""en"",""de"")"),"Der Gewinner der Goldmedaille spricht mit einer Nachrichtenperson.")</f>
        <v>Der Gewinner der Goldmedaille spricht mit einer Nachrichtenperson.</v>
      </c>
    </row>
    <row r="28028">
      <c r="A28028" s="4" t="s">
        <v>35272</v>
      </c>
      <c r="B28028" s="4" t="s">
        <v>35294</v>
      </c>
      <c r="C28028" s="5" t="str">
        <f>IFERROR(__xludf.DUMMYFUNCTION("GOOGLETRANSLATE(B28028,""en"",""de"")"),"Der Silbermedaillengewinner spricht mit einer Nachrichtenperson.")</f>
        <v>Der Silbermedaillengewinner spricht mit einer Nachrichtenperson.</v>
      </c>
    </row>
    <row r="28029">
      <c r="A28029" s="4" t="s">
        <v>35295</v>
      </c>
      <c r="B28029" s="4" t="s">
        <v>35296</v>
      </c>
      <c r="C28029" s="5" t="str">
        <f>IFERROR(__xludf.DUMMYFUNCTION("GOOGLETRANSLATE(B28029,""en"",""de"")"),"Zwei Personen arbeiten an Trainingsrädern.")</f>
        <v>Zwei Personen arbeiten an Trainingsrädern.</v>
      </c>
    </row>
    <row r="28030">
      <c r="A28030" s="4" t="s">
        <v>35295</v>
      </c>
      <c r="B28030" s="4" t="s">
        <v>35297</v>
      </c>
      <c r="C28030" s="5" t="str">
        <f>IFERROR(__xludf.DUMMYFUNCTION("GOOGLETRANSLATE(B28030,""en"",""de"")"),"Derjenige, der eine blaue Perücke trägt, legt ihre Hände in die Luft.")</f>
        <v>Derjenige, der eine blaue Perücke trägt, legt ihre Hände in die Luft.</v>
      </c>
    </row>
    <row r="28031">
      <c r="A28031" s="4" t="s">
        <v>35295</v>
      </c>
      <c r="B28031" s="4" t="s">
        <v>35298</v>
      </c>
      <c r="C28031" s="5" t="str">
        <f>IFERROR(__xludf.DUMMYFUNCTION("GOOGLETRANSLATE(B28031,""en"",""de"")"),"Die Menschen stehen vor ihnen auch auf Übungsrädern.")</f>
        <v>Die Menschen stehen vor ihnen auch auf Übungsrädern.</v>
      </c>
    </row>
    <row r="28032">
      <c r="A28032" s="4" t="s">
        <v>35299</v>
      </c>
      <c r="B28032" s="4" t="s">
        <v>35300</v>
      </c>
      <c r="C28032" s="5" t="str">
        <f>IFERROR(__xludf.DUMMYFUNCTION("GOOGLETRANSLATE(B28032,""en"",""de"")"),"Eine Person bedeckt den Boden mit Fliesen.")</f>
        <v>Eine Person bedeckt den Boden mit Fliesen.</v>
      </c>
    </row>
    <row r="28033">
      <c r="A28033" s="4" t="s">
        <v>35299</v>
      </c>
      <c r="B28033" s="4" t="s">
        <v>35301</v>
      </c>
      <c r="C28033" s="5" t="str">
        <f>IFERROR(__xludf.DUMMYFUNCTION("GOOGLETRANSLATE(B28033,""en"",""de"")"),"Dann kommt ein anderer Mann und hilft, den Boden mit Fliesen zu bedecken.")</f>
        <v>Dann kommt ein anderer Mann und hilft, den Boden mit Fliesen zu bedecken.</v>
      </c>
    </row>
    <row r="28034">
      <c r="A28034" s="4" t="s">
        <v>35302</v>
      </c>
      <c r="B28034" s="4" t="s">
        <v>35303</v>
      </c>
      <c r="C28034" s="5" t="str">
        <f>IFERROR(__xludf.DUMMYFUNCTION("GOOGLETRANSLATE(B28034,""en"",""de"")"),"Zwei Männer stehen vorne auf einer hohen Hecke, die Trimmer hält.")</f>
        <v>Zwei Männer stehen vorne auf einer hohen Hecke, die Trimmer hält.</v>
      </c>
    </row>
    <row r="28035">
      <c r="A28035" s="4" t="s">
        <v>35302</v>
      </c>
      <c r="B28035" s="4" t="s">
        <v>35304</v>
      </c>
      <c r="C28035" s="5" t="str">
        <f>IFERROR(__xludf.DUMMYFUNCTION("GOOGLETRANSLATE(B28035,""en"",""de"")"),"Die Männer schneiden die Oberseite der Hecke.")</f>
        <v>Die Männer schneiden die Oberseite der Hecke.</v>
      </c>
    </row>
    <row r="28036">
      <c r="A28036" s="4" t="s">
        <v>35302</v>
      </c>
      <c r="B28036" s="4" t="s">
        <v>35305</v>
      </c>
      <c r="C28036" s="5" t="str">
        <f>IFERROR(__xludf.DUMMYFUNCTION("GOOGLETRANSLATE(B28036,""en"",""de"")"),"Blätter fällt von der Oberseite der Hecke.")</f>
        <v>Blätter fällt von der Oberseite der Hecke.</v>
      </c>
    </row>
    <row r="28037">
      <c r="A28037" s="4" t="s">
        <v>35306</v>
      </c>
      <c r="B28037" s="4" t="s">
        <v>35307</v>
      </c>
      <c r="C28037" s="5" t="str">
        <f>IFERROR(__xludf.DUMMYFUNCTION("GOOGLETRANSLATE(B28037,""en"",""de"")"),"Ein Mann benutzt einen großen Besen auf einem Parkplatz.")</f>
        <v>Ein Mann benutzt einen großen Besen auf einem Parkplatz.</v>
      </c>
    </row>
    <row r="28038">
      <c r="A28038" s="4" t="s">
        <v>35306</v>
      </c>
      <c r="B28038" s="4" t="s">
        <v>35308</v>
      </c>
      <c r="C28038" s="5" t="str">
        <f>IFERROR(__xludf.DUMMYFUNCTION("GOOGLETRANSLATE(B28038,""en"",""de"")"),"Er dreht den Besen in Kreisen um ihn herum.")</f>
        <v>Er dreht den Besen in Kreisen um ihn herum.</v>
      </c>
    </row>
    <row r="28039">
      <c r="A28039" s="4" t="s">
        <v>35306</v>
      </c>
      <c r="B28039" s="4" t="s">
        <v>35309</v>
      </c>
      <c r="C28039" s="5" t="str">
        <f>IFERROR(__xludf.DUMMYFUNCTION("GOOGLETRANSLATE(B28039,""en"",""de"")"),"Die Spinnwinkel bürsten die Blätterhaufen aus dem Parkplatz.")</f>
        <v>Die Spinnwinkel bürsten die Blätterhaufen aus dem Parkplatz.</v>
      </c>
    </row>
    <row r="28040">
      <c r="A28040" s="4" t="s">
        <v>35310</v>
      </c>
      <c r="B28040" s="4" t="s">
        <v>35311</v>
      </c>
      <c r="C28040" s="5" t="str">
        <f>IFERROR(__xludf.DUMMYFUNCTION("GOOGLETRANSLATE(B28040,""en"",""de"")"),"Eine Frau spricht mit der Kamera, während sie einen Lappen und Reiniger hält und führt in ihre Sprühen der Handschuhe und bewegt sie entlang eines Klaviers.")</f>
        <v>Eine Frau spricht mit der Kamera, während sie einen Lappen und Reiniger hält und führt in ihre Sprühen der Handschuhe und bewegt sie entlang eines Klaviers.</v>
      </c>
    </row>
    <row r="28041">
      <c r="A28041" s="4" t="s">
        <v>35310</v>
      </c>
      <c r="B28041" s="4" t="s">
        <v>35312</v>
      </c>
      <c r="C28041" s="5" t="str">
        <f>IFERROR(__xludf.DUMMYFUNCTION("GOOGLETRANSLATE(B28041,""en"",""de"")"),"Die Frau wischt sich weiter im Klavier ab und endet mit der Kamera.")</f>
        <v>Die Frau wischt sich weiter im Klavier ab und endet mit der Kamera.</v>
      </c>
    </row>
    <row r="28042">
      <c r="A28042" s="4" t="s">
        <v>35313</v>
      </c>
      <c r="B28042" s="4" t="s">
        <v>27371</v>
      </c>
      <c r="C28042" s="5" t="str">
        <f>IFERROR(__xludf.DUMMYFUNCTION("GOOGLETRANSLATE(B28042,""en"",""de"")"),"Wir sehen einen grünen Titelbildschirm.")</f>
        <v>Wir sehen einen grünen Titelbildschirm.</v>
      </c>
    </row>
    <row r="28043">
      <c r="A28043" s="4" t="s">
        <v>35313</v>
      </c>
      <c r="B28043" s="4" t="s">
        <v>35314</v>
      </c>
      <c r="C28043" s="5" t="str">
        <f>IFERROR(__xludf.DUMMYFUNCTION("GOOGLETRANSLATE(B28043,""en"",""de"")"),"Die Leute rennen auf einem Feld herum und spielen ein Lacrosse -Spiel.")</f>
        <v>Die Leute rennen auf einem Feld herum und spielen ein Lacrosse -Spiel.</v>
      </c>
    </row>
    <row r="28044">
      <c r="A28044" s="4" t="s">
        <v>35313</v>
      </c>
      <c r="B28044" s="4" t="s">
        <v>35315</v>
      </c>
      <c r="C28044" s="5" t="str">
        <f>IFERROR(__xludf.DUMMYFUNCTION("GOOGLETRANSLATE(B28044,""en"",""de"")"),"Ein Mann in weißen Shorts sitzt vor der Kamera.")</f>
        <v>Ein Mann in weißen Shorts sitzt vor der Kamera.</v>
      </c>
    </row>
    <row r="28045">
      <c r="A28045" s="4" t="s">
        <v>35313</v>
      </c>
      <c r="B28045" s="4" t="s">
        <v>35316</v>
      </c>
      <c r="C28045" s="5" t="str">
        <f>IFERROR(__xludf.DUMMYFUNCTION("GOOGLETRANSLATE(B28045,""en"",""de"")"),"Ein Mann schlägt einen seiner Teamkollegen um.")</f>
        <v>Ein Mann schlägt einen seiner Teamkollegen um.</v>
      </c>
    </row>
    <row r="28046">
      <c r="A28046" s="4" t="s">
        <v>35313</v>
      </c>
      <c r="B28046" s="4" t="s">
        <v>35317</v>
      </c>
      <c r="C28046" s="5" t="str">
        <f>IFERROR(__xludf.DUMMYFUNCTION("GOOGLETRANSLATE(B28046,""en"",""de"")"),"Zwei Männer krachen fast in die Kamera.")</f>
        <v>Zwei Männer krachen fast in die Kamera.</v>
      </c>
    </row>
    <row r="28047">
      <c r="A28047" s="4" t="s">
        <v>35313</v>
      </c>
      <c r="B28047" s="4" t="s">
        <v>35318</v>
      </c>
      <c r="C28047" s="5" t="str">
        <f>IFERROR(__xludf.DUMMYFUNCTION("GOOGLETRANSLATE(B28047,""en"",""de"")"),"Eine Gruppe von Spielern kämpft um den Ball.")</f>
        <v>Eine Gruppe von Spielern kämpft um den Ball.</v>
      </c>
    </row>
    <row r="28048">
      <c r="A28048" s="4" t="s">
        <v>35313</v>
      </c>
      <c r="B28048" s="4" t="s">
        <v>35319</v>
      </c>
      <c r="C28048" s="5" t="str">
        <f>IFERROR(__xludf.DUMMYFUNCTION("GOOGLETRANSLATE(B28048,""en"",""de"")"),"Ein Mann schlägt den Ball weit über das Feld.")</f>
        <v>Ein Mann schlägt den Ball weit über das Feld.</v>
      </c>
    </row>
    <row r="28049">
      <c r="A28049" s="4" t="s">
        <v>35313</v>
      </c>
      <c r="B28049" s="4" t="s">
        <v>35320</v>
      </c>
      <c r="C28049" s="5" t="str">
        <f>IFERROR(__xludf.DUMMYFUNCTION("GOOGLETRANSLATE(B28049,""en"",""de"")"),"Der Bildschirm verblasst zu grün.")</f>
        <v>Der Bildschirm verblasst zu grün.</v>
      </c>
    </row>
    <row r="28050">
      <c r="A28050" s="4" t="s">
        <v>35321</v>
      </c>
      <c r="B28050" s="4" t="s">
        <v>35322</v>
      </c>
      <c r="C28050" s="5" t="str">
        <f>IFERROR(__xludf.DUMMYFUNCTION("GOOGLETRANSLATE(B28050,""en"",""de"")"),"Ein Mann sitzt auf einem Pferd und hält einen Lasso, während Assistenten vorbeikommen und ein Publikum beobachtet.")</f>
        <v>Ein Mann sitzt auf einem Pferd und hält einen Lasso, während Assistenten vorbeikommen und ein Publikum beobachtet.</v>
      </c>
    </row>
    <row r="28051">
      <c r="A28051" s="4" t="s">
        <v>35321</v>
      </c>
      <c r="B28051" s="4" t="s">
        <v>35323</v>
      </c>
      <c r="C28051" s="5" t="str">
        <f>IFERROR(__xludf.DUMMYFUNCTION("GOOGLETRANSLATE(B28051,""en"",""de"")"),"Eine Kuh wird freigelassen und der Mann jagt danach.")</f>
        <v>Eine Kuh wird freigelassen und der Mann jagt danach.</v>
      </c>
    </row>
    <row r="28052">
      <c r="A28052" s="4" t="s">
        <v>35321</v>
      </c>
      <c r="B28052" s="4" t="s">
        <v>35324</v>
      </c>
      <c r="C28052" s="5" t="str">
        <f>IFERROR(__xludf.DUMMYFUNCTION("GOOGLETRANSLATE(B28052,""en"",""de"")"),"Der Mann Lassos und verbindet es.")</f>
        <v>Der Mann Lassos und verbindet es.</v>
      </c>
    </row>
    <row r="28053">
      <c r="A28053" s="4" t="s">
        <v>35321</v>
      </c>
      <c r="B28053" s="4" t="s">
        <v>35325</v>
      </c>
      <c r="C28053" s="5" t="str">
        <f>IFERROR(__xludf.DUMMYFUNCTION("GOOGLETRANSLATE(B28053,""en"",""de"")"),"Ein Mann betritt kurz in den Kamera -Rahmen.")</f>
        <v>Ein Mann betritt kurz in den Kamera -Rahmen.</v>
      </c>
    </row>
    <row r="28054">
      <c r="A28054" s="4" t="s">
        <v>35321</v>
      </c>
      <c r="B28054" s="4" t="s">
        <v>35326</v>
      </c>
      <c r="C28054" s="5" t="str">
        <f>IFERROR(__xludf.DUMMYFUNCTION("GOOGLETRANSLATE(B28054,""en"",""de"")"),"Ein anderer Mann sitzt auf einem Pferd und hält einen Lasso in derselben Umgebung.")</f>
        <v>Ein anderer Mann sitzt auf einem Pferd und hält einen Lasso in derselben Umgebung.</v>
      </c>
    </row>
    <row r="28055">
      <c r="A28055" s="4" t="s">
        <v>35321</v>
      </c>
      <c r="B28055" s="4" t="s">
        <v>35327</v>
      </c>
      <c r="C28055" s="5" t="str">
        <f>IFERROR(__xludf.DUMMYFUNCTION("GOOGLETRANSLATE(B28055,""en"",""de"")"),"Eine Kuh wird freigelassen und der zweite Mann jagt danach.")</f>
        <v>Eine Kuh wird freigelassen und der zweite Mann jagt danach.</v>
      </c>
    </row>
    <row r="28056">
      <c r="A28056" s="4" t="s">
        <v>35321</v>
      </c>
      <c r="B28056" s="4" t="s">
        <v>35328</v>
      </c>
      <c r="C28056" s="5" t="str">
        <f>IFERROR(__xludf.DUMMYFUNCTION("GOOGLETRANSLATE(B28056,""en"",""de"")"),"Der zweite Mann Lassos und bindet es auf.")</f>
        <v>Der zweite Mann Lassos und bindet es auf.</v>
      </c>
    </row>
    <row r="28057">
      <c r="A28057" s="4" t="s">
        <v>35321</v>
      </c>
      <c r="B28057" s="4" t="s">
        <v>35329</v>
      </c>
      <c r="C28057" s="5" t="str">
        <f>IFERROR(__xludf.DUMMYFUNCTION("GOOGLETRANSLATE(B28057,""en"",""de"")"),"Zwei Fahrer und zwei Assistenten betreten den Rahmen.")</f>
        <v>Zwei Fahrer und zwei Assistenten betreten den Rahmen.</v>
      </c>
    </row>
    <row r="28058">
      <c r="A28058" s="4" t="s">
        <v>35330</v>
      </c>
      <c r="B28058" s="4" t="s">
        <v>35331</v>
      </c>
      <c r="C28058" s="5" t="str">
        <f>IFERROR(__xludf.DUMMYFUNCTION("GOOGLETRANSLATE(B28058,""en"",""de"")"),"Ein Mann Bungee springt aus einer erhöhten Kapsel in einen Gewässer unter ihm in einem Wald wie Umwelt.")</f>
        <v>Ein Mann Bungee springt aus einer erhöhten Kapsel in einen Gewässer unter ihm in einem Wald wie Umwelt.</v>
      </c>
    </row>
    <row r="28059">
      <c r="A28059" s="4" t="s">
        <v>35330</v>
      </c>
      <c r="B28059" s="4" t="s">
        <v>35332</v>
      </c>
      <c r="C28059" s="5" t="str">
        <f>IFERROR(__xludf.DUMMYFUNCTION("GOOGLETRANSLATE(B28059,""en"",""de"")"),"Ein Mann in einem blauen Hemd ist in einem Bungee -Jumping -Gurt festgeschnallt.")</f>
        <v>Ein Mann in einem blauen Hemd ist in einem Bungee -Jumping -Gurt festgeschnallt.</v>
      </c>
    </row>
    <row r="28060">
      <c r="A28060" s="4" t="s">
        <v>35330</v>
      </c>
      <c r="B28060" s="4" t="s">
        <v>35333</v>
      </c>
      <c r="C28060" s="5" t="str">
        <f>IFERROR(__xludf.DUMMYFUNCTION("GOOGLETRANSLATE(B28060,""en"",""de"")"),"Der Mann wird dann in einer gelben Kapsel in die Luft mit einer Führung mit hohem Wasserkörper gehoben.")</f>
        <v>Der Mann wird dann in einer gelben Kapsel in die Luft mit einer Führung mit hohem Wasserkörper gehoben.</v>
      </c>
    </row>
    <row r="28061">
      <c r="A28061" s="4" t="s">
        <v>35330</v>
      </c>
      <c r="B28061" s="4" t="s">
        <v>35334</v>
      </c>
      <c r="C28061" s="5" t="str">
        <f>IFERROR(__xludf.DUMMYFUNCTION("GOOGLETRANSLATE(B28061,""en"",""de"")"),"Der Mann springt dann aus der Kapsel und fällt den Abstand zwischen der Kapsel und dem Wasser und läuft ins Wasser.")</f>
        <v>Der Mann springt dann aus der Kapsel und fällt den Abstand zwischen der Kapsel und dem Wasser und läuft ins Wasser.</v>
      </c>
    </row>
    <row r="28062">
      <c r="A28062" s="4" t="s">
        <v>35335</v>
      </c>
      <c r="B28062" s="4" t="s">
        <v>35336</v>
      </c>
      <c r="C28062" s="5" t="str">
        <f>IFERROR(__xludf.DUMMYFUNCTION("GOOGLETRANSLATE(B28062,""en"",""de"")"),"Ein Mann in einem blauen Hemd steht im Wald und erklärt etwas.")</f>
        <v>Ein Mann in einem blauen Hemd steht im Wald und erklärt etwas.</v>
      </c>
    </row>
    <row r="28063">
      <c r="A28063" s="4" t="s">
        <v>35335</v>
      </c>
      <c r="B28063" s="4" t="s">
        <v>35337</v>
      </c>
      <c r="C28063" s="5" t="str">
        <f>IFERROR(__xludf.DUMMYFUNCTION("GOOGLETRANSLATE(B28063,""en"",""de"")"),"Dann zeigt er, wie man Holz für ein Feuer aufstellt.")</f>
        <v>Dann zeigt er, wie man Holz für ein Feuer aufstellt.</v>
      </c>
    </row>
    <row r="28064">
      <c r="A28064" s="4" t="s">
        <v>35335</v>
      </c>
      <c r="B28064" s="4" t="s">
        <v>35338</v>
      </c>
      <c r="C28064" s="5" t="str">
        <f>IFERROR(__xludf.DUMMYFUNCTION("GOOGLETRANSLATE(B28064,""en"",""de"")"),"Die Kamera geht zurück zu ihm stehend.")</f>
        <v>Die Kamera geht zurück zu ihm stehend.</v>
      </c>
    </row>
    <row r="28065">
      <c r="A28065" s="4" t="s">
        <v>35335</v>
      </c>
      <c r="B28065" s="4" t="s">
        <v>35339</v>
      </c>
      <c r="C28065" s="5" t="str">
        <f>IFERROR(__xludf.DUMMYFUNCTION("GOOGLETRANSLATE(B28065,""en"",""de"")"),"Die Kamera geht ins Feuer, das begonnen wird.")</f>
        <v>Die Kamera geht ins Feuer, das begonnen wird.</v>
      </c>
    </row>
    <row r="28066">
      <c r="A28066" s="4" t="s">
        <v>35335</v>
      </c>
      <c r="B28066" s="4" t="s">
        <v>35340</v>
      </c>
      <c r="C28066" s="5" t="str">
        <f>IFERROR(__xludf.DUMMYFUNCTION("GOOGLETRANSLATE(B28066,""en"",""de"")"),"Die Kamera geht zurück zu ihm stehend.")</f>
        <v>Die Kamera geht zurück zu ihm stehend.</v>
      </c>
    </row>
    <row r="28067">
      <c r="A28067" s="4" t="s">
        <v>35335</v>
      </c>
      <c r="B28067" s="4" t="s">
        <v>35341</v>
      </c>
      <c r="C28067" s="5" t="str">
        <f>IFERROR(__xludf.DUMMYFUNCTION("GOOGLETRANSLATE(B28067,""en"",""de"")"),"Die Kamera kehrt zurück, um ein anderes Lagerfeuer zu bauen.")</f>
        <v>Die Kamera kehrt zurück, um ein anderes Lagerfeuer zu bauen.</v>
      </c>
    </row>
    <row r="28068">
      <c r="A28068" s="4" t="s">
        <v>35335</v>
      </c>
      <c r="B28068" s="4" t="s">
        <v>35342</v>
      </c>
      <c r="C28068" s="5" t="str">
        <f>IFERROR(__xludf.DUMMYFUNCTION("GOOGLETRANSLATE(B28068,""en"",""de"")"),"Er steht wieder im Wald und redet wieder.")</f>
        <v>Er steht wieder im Wald und redet wieder.</v>
      </c>
    </row>
    <row r="28069">
      <c r="A28069" s="4" t="s">
        <v>35343</v>
      </c>
      <c r="B28069" s="4" t="s">
        <v>35344</v>
      </c>
      <c r="C28069" s="5" t="str">
        <f>IFERROR(__xludf.DUMMYFUNCTION("GOOGLETRANSLATE(B28069,""en"",""de"")"),"Es wird ein Video über die Verhinderung von RV -Dachlecks gezeigt, ein Dach eines Wohnmobils und ein Mann, der den Klebstoff um das Leck räumt.")</f>
        <v>Es wird ein Video über die Verhinderung von RV -Dachlecks gezeigt, ein Dach eines Wohnmobils und ein Mann, der den Klebstoff um das Leck räumt.</v>
      </c>
    </row>
    <row r="28070">
      <c r="A28070" s="4" t="s">
        <v>35343</v>
      </c>
      <c r="B28070" s="4" t="s">
        <v>35345</v>
      </c>
      <c r="C28070" s="5" t="str">
        <f>IFERROR(__xludf.DUMMYFUNCTION("GOOGLETRANSLATE(B28070,""en"",""de"")"),"Der Mensch legt weiße Klebstoff um das Leck.")</f>
        <v>Der Mensch legt weiße Klebstoff um das Leck.</v>
      </c>
    </row>
    <row r="28071">
      <c r="A28071" s="4" t="s">
        <v>35346</v>
      </c>
      <c r="B28071" s="4" t="s">
        <v>35347</v>
      </c>
      <c r="C28071" s="5" t="str">
        <f>IFERROR(__xludf.DUMMYFUNCTION("GOOGLETRANSLATE(B28071,""en"",""de"")"),"Für ein Video über Snowboarden kommt eine Einführung auf den Bildschirm.")</f>
        <v>Für ein Video über Snowboarden kommt eine Einführung auf den Bildschirm.</v>
      </c>
    </row>
    <row r="28072">
      <c r="A28072" s="4" t="s">
        <v>35346</v>
      </c>
      <c r="B28072" s="4" t="s">
        <v>35348</v>
      </c>
      <c r="C28072" s="5" t="str">
        <f>IFERROR(__xludf.DUMMYFUNCTION("GOOGLETRANSLATE(B28072,""en"",""de"")"),"Ein Snowboarder beginnt einen Kommentar zu seinen Snowboardentechniken.")</f>
        <v>Ein Snowboarder beginnt einen Kommentar zu seinen Snowboardentechniken.</v>
      </c>
    </row>
    <row r="28073">
      <c r="A28073" s="4" t="s">
        <v>35346</v>
      </c>
      <c r="B28073" s="4" t="s">
        <v>35349</v>
      </c>
      <c r="C28073" s="5" t="str">
        <f>IFERROR(__xludf.DUMMYFUNCTION("GOOGLETRANSLATE(B28073,""en"",""de"")"),"Mehrere Clips von Snowboardern werden gezeigt, wie er erklärt.")</f>
        <v>Mehrere Clips von Snowboardern werden gezeigt, wie er erklärt.</v>
      </c>
    </row>
    <row r="28074">
      <c r="A28074" s="4" t="s">
        <v>35346</v>
      </c>
      <c r="B28074" s="4" t="s">
        <v>4761</v>
      </c>
      <c r="C28074" s="5" t="str">
        <f>IFERROR(__xludf.DUMMYFUNCTION("GOOGLETRANSLATE(B28074,""en"",""de"")"),"Das Video endet mit den auf dem Bildschirm angezeigten Schließkrediten.")</f>
        <v>Das Video endet mit den auf dem Bildschirm angezeigten Schließkrediten.</v>
      </c>
    </row>
    <row r="28075">
      <c r="A28075" s="4" t="s">
        <v>35350</v>
      </c>
      <c r="B28075" s="4" t="s">
        <v>35351</v>
      </c>
      <c r="C28075" s="5" t="str">
        <f>IFERROR(__xludf.DUMMYFUNCTION("GOOGLETRANSLATE(B28075,""en"",""de"")"),"Der Bildschirm zeigt Transworld Snowboarden in Keystone, Colorado.")</f>
        <v>Der Bildschirm zeigt Transworld Snowboarden in Keystone, Colorado.</v>
      </c>
    </row>
    <row r="28076">
      <c r="A28076" s="4" t="s">
        <v>35350</v>
      </c>
      <c r="B28076" s="4" t="s">
        <v>35352</v>
      </c>
      <c r="C28076" s="5" t="str">
        <f>IFERROR(__xludf.DUMMYFUNCTION("GOOGLETRANSLATE(B28076,""en"",""de"")"),"Es zeigt die Grundlagen des Snowboardens von Jack Mitrani.")</f>
        <v>Es zeigt die Grundlagen des Snowboardens von Jack Mitrani.</v>
      </c>
    </row>
    <row r="28077">
      <c r="A28077" s="4" t="s">
        <v>35350</v>
      </c>
      <c r="B28077" s="4" t="s">
        <v>35353</v>
      </c>
      <c r="C28077" s="5" t="str">
        <f>IFERROR(__xludf.DUMMYFUNCTION("GOOGLETRANSLATE(B28077,""en"",""de"")"),"Eine Person, die einen grünen Hoodie und einen Hut trägt, spricht über das für das Snowboarden erforderliche Nötigste.")</f>
        <v>Eine Person, die einen grünen Hoodie und einen Hut trägt, spricht über das für das Snowboarden erforderliche Nötigste.</v>
      </c>
    </row>
    <row r="28078">
      <c r="A28078" s="4" t="s">
        <v>35350</v>
      </c>
      <c r="B28078" s="4" t="s">
        <v>35354</v>
      </c>
      <c r="C28078" s="5" t="str">
        <f>IFERROR(__xludf.DUMMYFUNCTION("GOOGLETRANSLATE(B28078,""en"",""de"")"),"Er demonstriert sein Tutorial mit einem Snowboard, das vor ihm platziert ist.")</f>
        <v>Er demonstriert sein Tutorial mit einem Snowboard, das vor ihm platziert ist.</v>
      </c>
    </row>
    <row r="28079">
      <c r="A28079" s="4" t="s">
        <v>35350</v>
      </c>
      <c r="B28079" s="4" t="s">
        <v>35355</v>
      </c>
      <c r="C28079" s="5" t="str">
        <f>IFERROR(__xludf.DUMMYFUNCTION("GOOGLETRANSLATE(B28079,""en"",""de"")"),"Er hält ein Bügeleisen in der Hand, als er erklärt, wie das Brett wachsen kann.")</f>
        <v>Er hält ein Bügeleisen in der Hand, als er erklärt, wie das Brett wachsen kann.</v>
      </c>
    </row>
    <row r="28080">
      <c r="A28080" s="4" t="s">
        <v>35350</v>
      </c>
      <c r="B28080" s="4" t="s">
        <v>35356</v>
      </c>
      <c r="C28080" s="5" t="str">
        <f>IFERROR(__xludf.DUMMYFUNCTION("GOOGLETRANSLATE(B28080,""en"",""de"")"),"Er hat ein Stück hartes Wachs in der Hand und ein Eisen.")</f>
        <v>Er hat ein Stück hartes Wachs in der Hand und ein Eisen.</v>
      </c>
    </row>
    <row r="28081">
      <c r="A28081" s="4" t="s">
        <v>35350</v>
      </c>
      <c r="B28081" s="4" t="s">
        <v>35357</v>
      </c>
      <c r="C28081" s="5" t="str">
        <f>IFERROR(__xludf.DUMMYFUNCTION("GOOGLETRANSLATE(B28081,""en"",""de"")"),"Er beginnt das Wachs mit dem erhitzten Eisen zu schmelzen und lässt es auf die Brett fallen.")</f>
        <v>Er beginnt das Wachs mit dem erhitzten Eisen zu schmelzen und lässt es auf die Brett fallen.</v>
      </c>
    </row>
    <row r="28082">
      <c r="A28082" s="4" t="s">
        <v>35350</v>
      </c>
      <c r="B28082" s="4" t="s">
        <v>35358</v>
      </c>
      <c r="C28082" s="5" t="str">
        <f>IFERROR(__xludf.DUMMYFUNCTION("GOOGLETRANSLATE(B28082,""en"",""de"")"),"Er lässt das geschmolzene Wachs über die Brett fallen.")</f>
        <v>Er lässt das geschmolzene Wachs über die Brett fallen.</v>
      </c>
    </row>
    <row r="28083">
      <c r="A28083" s="4" t="s">
        <v>35350</v>
      </c>
      <c r="B28083" s="4" t="s">
        <v>35359</v>
      </c>
      <c r="C28083" s="5" t="str">
        <f>IFERROR(__xludf.DUMMYFUNCTION("GOOGLETRANSLATE(B28083,""en"",""de"")"),"Dann zieht er das geschmolzene Wachs durch das Brett.")</f>
        <v>Dann zieht er das geschmolzene Wachs durch das Brett.</v>
      </c>
    </row>
    <row r="28084">
      <c r="A28084" s="4" t="s">
        <v>35350</v>
      </c>
      <c r="B28084" s="4" t="s">
        <v>35360</v>
      </c>
      <c r="C28084" s="5" t="str">
        <f>IFERROR(__xludf.DUMMYFUNCTION("GOOGLETRANSLATE(B28084,""en"",""de"")"),"Er setzt den gleichen Prozess im gesamten Vorstand fort.")</f>
        <v>Er setzt den gleichen Prozess im gesamten Vorstand fort.</v>
      </c>
    </row>
    <row r="28085">
      <c r="A28085" s="4" t="s">
        <v>35350</v>
      </c>
      <c r="B28085" s="4" t="s">
        <v>35361</v>
      </c>
      <c r="C28085" s="5" t="str">
        <f>IFERROR(__xludf.DUMMYFUNCTION("GOOGLETRANSLATE(B28085,""en"",""de"")"),"Verwendet dann einen Schaber, um das Wachs auszukratzen und das Brett zu reinigen.")</f>
        <v>Verwendet dann einen Schaber, um das Wachs auszukratzen und das Brett zu reinigen.</v>
      </c>
    </row>
    <row r="28086">
      <c r="A28086" s="4" t="s">
        <v>35350</v>
      </c>
      <c r="B28086" s="4" t="s">
        <v>35362</v>
      </c>
      <c r="C28086" s="5" t="str">
        <f>IFERROR(__xludf.DUMMYFUNCTION("GOOGLETRANSLATE(B28086,""en"",""de"")"),"Er benutzt auch eine Bürste, um das Wachs abzuwischen und die Wachsrasuren von der Brett zu bläst.")</f>
        <v>Er benutzt auch eine Bürste, um das Wachs abzuwischen und die Wachsrasuren von der Brett zu bläst.</v>
      </c>
    </row>
    <row r="28087">
      <c r="A28087" s="4" t="s">
        <v>35363</v>
      </c>
      <c r="B28087" s="4" t="s">
        <v>35364</v>
      </c>
      <c r="C28087" s="5" t="str">
        <f>IFERROR(__xludf.DUMMYFUNCTION("GOOGLETRANSLATE(B28087,""en"",""de"")"),"Ein Turnerinnen durchläuft ihre Routine, während ihr Trainer überwacht.")</f>
        <v>Ein Turnerinnen durchläuft ihre Routine, während ihr Trainer überwacht.</v>
      </c>
    </row>
    <row r="28088">
      <c r="A28088" s="4" t="s">
        <v>35363</v>
      </c>
      <c r="B28088" s="4" t="s">
        <v>35365</v>
      </c>
      <c r="C28088" s="5" t="str">
        <f>IFERROR(__xludf.DUMMYFUNCTION("GOOGLETRANSLATE(B28088,""en"",""de"")"),"Grafiken erscheinen am Ende des Bildschirms, der dem Namen und dem Land des Mädchens, das sie repräsentiert, verleiht.")</f>
        <v>Grafiken erscheinen am Ende des Bildschirms, der dem Namen und dem Land des Mädchens, das sie repräsentiert, verleiht.</v>
      </c>
    </row>
    <row r="28089">
      <c r="A28089" s="4" t="s">
        <v>35363</v>
      </c>
      <c r="B28089" s="4" t="s">
        <v>35366</v>
      </c>
      <c r="C28089" s="5" t="str">
        <f>IFERROR(__xludf.DUMMYFUNCTION("GOOGLETRANSLATE(B28089,""en"",""de"")"),"Ihr Trainer geht in die ungleichmäßigen Bars, um sich für den Fall zu positionieren, dass sie fällt.")</f>
        <v>Ihr Trainer geht in die ungleichmäßigen Bars, um sich für den Fall zu positionieren, dass sie fällt.</v>
      </c>
    </row>
    <row r="28090">
      <c r="A28090" s="4" t="s">
        <v>35363</v>
      </c>
      <c r="B28090" s="4" t="s">
        <v>35367</v>
      </c>
      <c r="C28090" s="5" t="str">
        <f>IFERROR(__xludf.DUMMYFUNCTION("GOOGLETRANSLATE(B28090,""en"",""de"")"),"Der Trainer geht ein zweites Mal in die ungleichmäßigen Bars, um sich zu positionieren, um sie bei Bedarf zu fangen, und übergeht dann auf die andere Seite der Matten.")</f>
        <v>Der Trainer geht ein zweites Mal in die ungleichmäßigen Bars, um sich zu positionieren, um sie bei Bedarf zu fangen, und übergeht dann auf die andere Seite der Matten.</v>
      </c>
    </row>
    <row r="28091">
      <c r="A28091" s="4" t="s">
        <v>35363</v>
      </c>
      <c r="B28091" s="4" t="s">
        <v>35368</v>
      </c>
      <c r="C28091" s="5" t="str">
        <f>IFERROR(__xludf.DUMMYFUNCTION("GOOGLETRANSLATE(B28091,""en"",""de"")"),"Sie steigt von den ungleichmäßigen Bars aus und landet auf der Matte und posiert.")</f>
        <v>Sie steigt von den ungleichmäßigen Bars aus und landet auf der Matte und posiert.</v>
      </c>
    </row>
    <row r="28092">
      <c r="A28092" s="4" t="s">
        <v>35369</v>
      </c>
      <c r="B28092" s="4" t="s">
        <v>35370</v>
      </c>
      <c r="C28092" s="5" t="str">
        <f>IFERROR(__xludf.DUMMYFUNCTION("GOOGLETRANSLATE(B28092,""en"",""de"")"),"Die Leute sitzen am Lagerfeuer.")</f>
        <v>Die Leute sitzen am Lagerfeuer.</v>
      </c>
    </row>
    <row r="28093">
      <c r="A28093" s="4" t="s">
        <v>35369</v>
      </c>
      <c r="B28093" s="4" t="s">
        <v>35371</v>
      </c>
      <c r="C28093" s="5" t="str">
        <f>IFERROR(__xludf.DUMMYFUNCTION("GOOGLETRANSLATE(B28093,""en"",""de"")"),"Ein Mann in einem Hut steht auf und kräuselt Holz.")</f>
        <v>Ein Mann in einem Hut steht auf und kräuselt Holz.</v>
      </c>
    </row>
    <row r="28094">
      <c r="A28094" s="4" t="s">
        <v>35369</v>
      </c>
      <c r="B28094" s="4" t="s">
        <v>35372</v>
      </c>
      <c r="C28094" s="5" t="str">
        <f>IFERROR(__xludf.DUMMYFUNCTION("GOOGLETRANSLATE(B28094,""en"",""de"")"),"Er gibt einen Daumen hoch und legt die Axt über seine Schulter.")</f>
        <v>Er gibt einen Daumen hoch und legt die Axt über seine Schulter.</v>
      </c>
    </row>
    <row r="28095">
      <c r="A28095" s="4" t="s">
        <v>35373</v>
      </c>
      <c r="B28095" s="4" t="s">
        <v>35374</v>
      </c>
      <c r="C28095" s="5" t="str">
        <f>IFERROR(__xludf.DUMMYFUNCTION("GOOGLETRANSLATE(B28095,""en"",""de"")"),"Ein Mann fährt sein Auto zum Strand.")</f>
        <v>Ein Mann fährt sein Auto zum Strand.</v>
      </c>
    </row>
    <row r="28096">
      <c r="A28096" s="4" t="s">
        <v>35373</v>
      </c>
      <c r="B28096" s="4" t="s">
        <v>35375</v>
      </c>
      <c r="C28096" s="5" t="str">
        <f>IFERROR(__xludf.DUMMYFUNCTION("GOOGLETRANSLATE(B28096,""en"",""de"")"),"Er bereitet sich auf die Brandung vor.")</f>
        <v>Er bereitet sich auf die Brandung vor.</v>
      </c>
    </row>
    <row r="28097">
      <c r="A28097" s="4" t="s">
        <v>35373</v>
      </c>
      <c r="B28097" s="4" t="s">
        <v>35376</v>
      </c>
      <c r="C28097" s="5" t="str">
        <f>IFERROR(__xludf.DUMMYFUNCTION("GOOGLETRANSLATE(B28097,""en"",""de"")"),"Dann surft er über eine große Welle.")</f>
        <v>Dann surft er über eine große Welle.</v>
      </c>
    </row>
    <row r="28098">
      <c r="A28098" s="4" t="s">
        <v>35373</v>
      </c>
      <c r="B28098" s="4" t="s">
        <v>35377</v>
      </c>
      <c r="C28098" s="5" t="str">
        <f>IFERROR(__xludf.DUMMYFUNCTION("GOOGLETRANSLATE(B28098,""en"",""de"")"),"Er endet und steht am Strand.")</f>
        <v>Er endet und steht am Strand.</v>
      </c>
    </row>
    <row r="28099">
      <c r="A28099" s="4" t="s">
        <v>35378</v>
      </c>
      <c r="B28099" s="4" t="s">
        <v>35379</v>
      </c>
      <c r="C28099" s="5" t="str">
        <f>IFERROR(__xludf.DUMMYFUNCTION("GOOGLETRANSLATE(B28099,""en"",""de"")"),"Eine Person berührt die Haut mit einem grünen Licht, während sie den Bereich reinigt.")</f>
        <v>Eine Person berührt die Haut mit einem grünen Licht, während sie den Bereich reinigt.</v>
      </c>
    </row>
    <row r="28100">
      <c r="A28100" s="4" t="s">
        <v>35378</v>
      </c>
      <c r="B28100" s="4" t="s">
        <v>35380</v>
      </c>
      <c r="C28100" s="5" t="str">
        <f>IFERROR(__xludf.DUMMYFUNCTION("GOOGLETRANSLATE(B28100,""en"",""de"")"),"Die Person reinigt das Bein mit Baumwolle.")</f>
        <v>Die Person reinigt das Bein mit Baumwolle.</v>
      </c>
    </row>
    <row r="28101">
      <c r="A28101" s="4" t="s">
        <v>35378</v>
      </c>
      <c r="B28101" s="4" t="s">
        <v>35381</v>
      </c>
      <c r="C28101" s="5" t="str">
        <f>IFERROR(__xludf.DUMMYFUNCTION("GOOGLETRANSLATE(B28101,""en"",""de"")"),"Die Person wendet das grüne Licht weiter an.")</f>
        <v>Die Person wendet das grüne Licht weiter an.</v>
      </c>
    </row>
    <row r="28102">
      <c r="A28102" s="4" t="s">
        <v>35382</v>
      </c>
      <c r="B28102" s="4" t="s">
        <v>35383</v>
      </c>
      <c r="C28102" s="5" t="str">
        <f>IFERROR(__xludf.DUMMYFUNCTION("GOOGLETRANSLATE(B28102,""en"",""de"")"),"Es gibt 4 afroamerikanische Kinder, die auf dem Betonplatz herumspringen.")</f>
        <v>Es gibt 4 afroamerikanische Kinder, die auf dem Betonplatz herumspringen.</v>
      </c>
    </row>
    <row r="28103">
      <c r="A28103" s="4" t="s">
        <v>35382</v>
      </c>
      <c r="B28103" s="4" t="s">
        <v>35384</v>
      </c>
      <c r="C28103" s="5" t="str">
        <f>IFERROR(__xludf.DUMMYFUNCTION("GOOGLETRANSLATE(B28103,""en"",""de"")"),"3 tragen Kleider und 1 von ihnen trägt ein Hemd und eine Hose.")</f>
        <v>3 tragen Kleider und 1 von ihnen trägt ein Hemd und eine Hose.</v>
      </c>
    </row>
    <row r="28104">
      <c r="A28104" s="4" t="s">
        <v>35382</v>
      </c>
      <c r="B28104" s="4" t="s">
        <v>35385</v>
      </c>
      <c r="C28104" s="5" t="str">
        <f>IFERROR(__xludf.DUMMYFUNCTION("GOOGLETRANSLATE(B28104,""en"",""de"")"),"Nach dem Überspringen gehen sie nach Gemüse an der Seite eines Gebäudes und setzen sie in eine blaue Schüssel.")</f>
        <v>Nach dem Überspringen gehen sie nach Gemüse an der Seite eines Gebäudes und setzen sie in eine blaue Schüssel.</v>
      </c>
    </row>
    <row r="28105">
      <c r="A28105" s="4" t="s">
        <v>35386</v>
      </c>
      <c r="B28105" s="4" t="s">
        <v>35387</v>
      </c>
      <c r="C28105" s="5" t="str">
        <f>IFERROR(__xludf.DUMMYFUNCTION("GOOGLETRANSLATE(B28105,""en"",""de"")"),"Zwei Frauen befinden sich in einem Raum hinter einem Tisch und einer hält einen Teddybär.")</f>
        <v>Zwei Frauen befinden sich in einem Raum hinter einem Tisch und einer hält einen Teddybär.</v>
      </c>
    </row>
    <row r="28106">
      <c r="A28106" s="4" t="s">
        <v>35386</v>
      </c>
      <c r="B28106" s="4" t="s">
        <v>35388</v>
      </c>
      <c r="C28106" s="5" t="str">
        <f>IFERROR(__xludf.DUMMYFUNCTION("GOOGLETRANSLATE(B28106,""en"",""de"")"),"Die beiden helfen sich gegenseitig und nehmen zunächst eine Wickelpapierrolle heraus.")</f>
        <v>Die beiden helfen sich gegenseitig und nehmen zunächst eine Wickelpapierrolle heraus.</v>
      </c>
    </row>
    <row r="28107">
      <c r="A28107" s="4" t="s">
        <v>35386</v>
      </c>
      <c r="B28107" s="4" t="s">
        <v>35389</v>
      </c>
      <c r="C28107" s="5" t="str">
        <f>IFERROR(__xludf.DUMMYFUNCTION("GOOGLETRANSLATE(B28107,""en"",""de"")"),"Danach beginnt das junge Mädchen das Papier zu schneiden, zu falten und zu kleben und den Bären hinein zu platzieren.")</f>
        <v>Danach beginnt das junge Mädchen das Papier zu schneiden, zu falten und zu kleben und den Bären hinein zu platzieren.</v>
      </c>
    </row>
    <row r="28108">
      <c r="A28108" s="4" t="s">
        <v>35386</v>
      </c>
      <c r="B28108" s="4" t="s">
        <v>35390</v>
      </c>
      <c r="C28108" s="5" t="str">
        <f>IFERROR(__xludf.DUMMYFUNCTION("GOOGLETRANSLATE(B28108,""en"",""de"")"),"Schließlich ist die Aufgabe abgeschlossen und sie hält das fertige Produkt auf dem Tisch.")</f>
        <v>Schließlich ist die Aufgabe abgeschlossen und sie hält das fertige Produkt auf dem Tisch.</v>
      </c>
    </row>
    <row r="28109">
      <c r="A28109" s="4" t="s">
        <v>35391</v>
      </c>
      <c r="B28109" s="4" t="s">
        <v>35392</v>
      </c>
      <c r="C28109" s="5" t="str">
        <f>IFERROR(__xludf.DUMMYFUNCTION("GOOGLETRANSLATE(B28109,""en"",""de"")"),"Eine Gruppe von Männern steht draußen in einem Kreis, der Stöcke schlägt, als zwei Männer anfangen zu kämpfen.")</f>
        <v>Eine Gruppe von Männern steht draußen in einem Kreis, der Stöcke schlägt, als zwei Männer anfangen zu kämpfen.</v>
      </c>
    </row>
    <row r="28110">
      <c r="A28110" s="4" t="s">
        <v>35391</v>
      </c>
      <c r="B28110" s="4" t="s">
        <v>35393</v>
      </c>
      <c r="C28110" s="5" t="str">
        <f>IFERROR(__xludf.DUMMYFUNCTION("GOOGLETRANSLATE(B28110,""en"",""de"")"),"Als nächstes tanzen zwei weitere Männer im Kreis und machen Kampfbewegungen.")</f>
        <v>Als nächstes tanzen zwei weitere Männer im Kreis und machen Kampfbewegungen.</v>
      </c>
    </row>
    <row r="28111">
      <c r="A28111" s="4" t="s">
        <v>35391</v>
      </c>
      <c r="B28111" s="4" t="s">
        <v>35394</v>
      </c>
      <c r="C28111" s="5" t="str">
        <f>IFERROR(__xludf.DUMMYFUNCTION("GOOGLETRANSLATE(B28111,""en"",""de"")"),"Danach kommen die Männer paarweise in den Kreis und beginnen, sich umeinander zu tanzen, als würden sie gegeneinander kämpfen.")</f>
        <v>Danach kommen die Männer paarweise in den Kreis und beginnen, sich umeinander zu tanzen, als würden sie gegeneinander kämpfen.</v>
      </c>
    </row>
    <row r="28112">
      <c r="A28112" s="4" t="s">
        <v>35395</v>
      </c>
      <c r="B28112" s="4" t="s">
        <v>35396</v>
      </c>
      <c r="C28112" s="5" t="str">
        <f>IFERROR(__xludf.DUMMYFUNCTION("GOOGLETRANSLATE(B28112,""en"",""de"")"),"Ein Mädchen Video verzeichnet einen Mann, der das Ende eines Stabs in Brand leuchtet.")</f>
        <v>Ein Mädchen Video verzeichnet einen Mann, der das Ende eines Stabs in Brand leuchtet.</v>
      </c>
    </row>
    <row r="28113">
      <c r="A28113" s="4" t="s">
        <v>35395</v>
      </c>
      <c r="B28113" s="4" t="s">
        <v>35397</v>
      </c>
      <c r="C28113" s="5" t="str">
        <f>IFERROR(__xludf.DUMMYFUNCTION("GOOGLETRANSLATE(B28113,""en"",""de"")"),"Der Mann bläst den Feuerstab in einen Holzstapel und erzeugt schließlich ein Feuer.")</f>
        <v>Der Mann bläst den Feuerstab in einen Holzstapel und erzeugt schließlich ein Feuer.</v>
      </c>
    </row>
    <row r="28114">
      <c r="A28114" s="4" t="s">
        <v>35398</v>
      </c>
      <c r="B28114" s="4" t="s">
        <v>35399</v>
      </c>
      <c r="C28114" s="5" t="str">
        <f>IFERROR(__xludf.DUMMYFUNCTION("GOOGLETRANSLATE(B28114,""en"",""de"")"),"Zwei Männer stehen in einem Fitnessstudio.")</f>
        <v>Zwei Männer stehen in einem Fitnessstudio.</v>
      </c>
    </row>
    <row r="28115">
      <c r="A28115" s="4" t="s">
        <v>35398</v>
      </c>
      <c r="B28115" s="4" t="s">
        <v>35400</v>
      </c>
      <c r="C28115" s="5" t="str">
        <f>IFERROR(__xludf.DUMMYFUNCTION("GOOGLETRANSLATE(B28115,""en"",""de"")"),"Ein Mann steigt auf die Knie und hebt zwei Gewichte.")</f>
        <v>Ein Mann steigt auf die Knie und hebt zwei Gewichte.</v>
      </c>
    </row>
    <row r="28116">
      <c r="A28116" s="4" t="s">
        <v>35398</v>
      </c>
      <c r="B28116" s="4" t="s">
        <v>35401</v>
      </c>
      <c r="C28116" s="5" t="str">
        <f>IFERROR(__xludf.DUMMYFUNCTION("GOOGLETRANSLATE(B28116,""en"",""de"")"),"Ein Mann steht hinter ihm und spricht.")</f>
        <v>Ein Mann steht hinter ihm und spricht.</v>
      </c>
    </row>
    <row r="28117">
      <c r="A28117" s="4" t="s">
        <v>35398</v>
      </c>
      <c r="B28117" s="4" t="s">
        <v>35402</v>
      </c>
      <c r="C28117" s="5" t="str">
        <f>IFERROR(__xludf.DUMMYFUNCTION("GOOGLETRANSLATE(B28117,""en"",""de"")"),"Der Mann steht auf und kniet mehrmals zurück.")</f>
        <v>Der Mann steht auf und kniet mehrmals zurück.</v>
      </c>
    </row>
    <row r="28118">
      <c r="A28118" s="4" t="s">
        <v>35403</v>
      </c>
      <c r="B28118" s="4" t="s">
        <v>35404</v>
      </c>
      <c r="C28118" s="5" t="str">
        <f>IFERROR(__xludf.DUMMYFUNCTION("GOOGLETRANSLATE(B28118,""en"",""de"")"),"Ein Mann trägt Weiß vor einem Gebäude.")</f>
        <v>Ein Mann trägt Weiß vor einem Gebäude.</v>
      </c>
    </row>
    <row r="28119">
      <c r="A28119" s="4" t="s">
        <v>35403</v>
      </c>
      <c r="B28119" s="4" t="s">
        <v>35405</v>
      </c>
      <c r="C28119" s="5" t="str">
        <f>IFERROR(__xludf.DUMMYFUNCTION("GOOGLETRANSLATE(B28119,""en"",""de"")"),"Er macht mehrere Kampfkunstbewegungen.")</f>
        <v>Er macht mehrere Kampfkunstbewegungen.</v>
      </c>
    </row>
    <row r="28120">
      <c r="A28120" s="4" t="s">
        <v>35403</v>
      </c>
      <c r="B28120" s="4" t="s">
        <v>35406</v>
      </c>
      <c r="C28120" s="5" t="str">
        <f>IFERROR(__xludf.DUMMYFUNCTION("GOOGLETRANSLATE(B28120,""en"",""de"")"),"Er bewegt sich sehr langsam, als er die Bewegungen demonstriert.")</f>
        <v>Er bewegt sich sehr langsam, als er die Bewegungen demonstriert.</v>
      </c>
    </row>
    <row r="28121">
      <c r="A28121" s="4" t="s">
        <v>35407</v>
      </c>
      <c r="B28121" s="4" t="s">
        <v>35408</v>
      </c>
      <c r="C28121" s="5" t="str">
        <f>IFERROR(__xludf.DUMMYFUNCTION("GOOGLETRANSLATE(B28121,""en"",""de"")"),"Wir sehen einen schwarzen Intro -Bildschirm.")</f>
        <v>Wir sehen einen schwarzen Intro -Bildschirm.</v>
      </c>
    </row>
    <row r="28122">
      <c r="A28122" s="4" t="s">
        <v>35407</v>
      </c>
      <c r="B28122" s="4" t="s">
        <v>35409</v>
      </c>
      <c r="C28122" s="5" t="str">
        <f>IFERROR(__xludf.DUMMYFUNCTION("GOOGLETRANSLATE(B28122,""en"",""de"")"),"Wir sehen Prinzessin Diana und einen Mann, der Pool spielt.")</f>
        <v>Wir sehen Prinzessin Diana und einen Mann, der Pool spielt.</v>
      </c>
    </row>
    <row r="28123">
      <c r="A28123" s="4" t="s">
        <v>35407</v>
      </c>
      <c r="B28123" s="4" t="s">
        <v>35410</v>
      </c>
      <c r="C28123" s="5" t="str">
        <f>IFERROR(__xludf.DUMMYFUNCTION("GOOGLETRANSLATE(B28123,""en"",""de"")"),"Fotografen stehen am Ende ihres Tisches auf.")</f>
        <v>Fotografen stehen am Ende ihres Tisches auf.</v>
      </c>
    </row>
    <row r="28124">
      <c r="A28124" s="4" t="s">
        <v>35407</v>
      </c>
      <c r="B28124" s="4" t="s">
        <v>35411</v>
      </c>
      <c r="C28124" s="5" t="str">
        <f>IFERROR(__xludf.DUMMYFUNCTION("GOOGLETRANSLATE(B28124,""en"",""de"")"),"Die Prinzessin und ihr Volk verlassen den Raum.")</f>
        <v>Die Prinzessin und ihr Volk verlassen den Raum.</v>
      </c>
    </row>
    <row r="28125">
      <c r="A28125" s="4" t="s">
        <v>35407</v>
      </c>
      <c r="B28125" s="4" t="s">
        <v>35412</v>
      </c>
      <c r="C28125" s="5" t="str">
        <f>IFERROR(__xludf.DUMMYFUNCTION("GOOGLETRANSLATE(B28125,""en"",""de"")"),"Wir gehen zurück zum schwarzen Bildschirm.")</f>
        <v>Wir gehen zurück zum schwarzen Bildschirm.</v>
      </c>
    </row>
    <row r="28126">
      <c r="A28126" s="4" t="s">
        <v>35413</v>
      </c>
      <c r="B28126" s="4" t="s">
        <v>35414</v>
      </c>
      <c r="C28126" s="5" t="str">
        <f>IFERROR(__xludf.DUMMYFUNCTION("GOOGLETRANSLATE(B28126,""en"",""de"")"),"Eine Frau trägt ein Paar schwarze Stiefel.")</f>
        <v>Eine Frau trägt ein Paar schwarze Stiefel.</v>
      </c>
    </row>
    <row r="28127">
      <c r="A28127" s="4" t="s">
        <v>35413</v>
      </c>
      <c r="B28127" s="4" t="s">
        <v>35415</v>
      </c>
      <c r="C28127" s="5" t="str">
        <f>IFERROR(__xludf.DUMMYFUNCTION("GOOGLETRANSLATE(B28127,""en"",""de"")"),"Ihre Stiefel beginnen sich zu bewegen und zu treten, als sie anfängt zu tanzen.")</f>
        <v>Ihre Stiefel beginnen sich zu bewegen und zu treten, als sie anfängt zu tanzen.</v>
      </c>
    </row>
    <row r="28128">
      <c r="A28128" s="4" t="s">
        <v>35413</v>
      </c>
      <c r="B28128" s="4" t="s">
        <v>35416</v>
      </c>
      <c r="C28128" s="5" t="str">
        <f>IFERROR(__xludf.DUMMYFUNCTION("GOOGLETRANSLATE(B28128,""en"",""de"")"),"Sie bewegt sich von Seite zur anderen und tritt ein und aus.")</f>
        <v>Sie bewegt sich von Seite zur anderen und tritt ein und aus.</v>
      </c>
    </row>
    <row r="28129">
      <c r="A28129" s="4" t="s">
        <v>35413</v>
      </c>
      <c r="B28129" s="4" t="s">
        <v>35417</v>
      </c>
      <c r="C28129" s="5" t="str">
        <f>IFERROR(__xludf.DUMMYFUNCTION("GOOGLETRANSLATE(B28129,""en"",""de"")"),"Die Frau wird vollständig gezeigt, als sie aufhört zu tanzen und beginnt mit der Kamera zu sprechen.")</f>
        <v>Die Frau wird vollständig gezeigt, als sie aufhört zu tanzen und beginnt mit der Kamera zu sprechen.</v>
      </c>
    </row>
    <row r="28130">
      <c r="A28130" s="4" t="s">
        <v>35418</v>
      </c>
      <c r="B28130" s="4" t="s">
        <v>35419</v>
      </c>
      <c r="C28130" s="5" t="str">
        <f>IFERROR(__xludf.DUMMYFUNCTION("GOOGLETRANSLATE(B28130,""en"",""de"")"),"Ein Mann springt Seil in einem Raum.")</f>
        <v>Ein Mann springt Seil in einem Raum.</v>
      </c>
    </row>
    <row r="28131">
      <c r="A28131" s="4" t="s">
        <v>35418</v>
      </c>
      <c r="B28131" s="4" t="s">
        <v>35420</v>
      </c>
      <c r="C28131" s="5" t="str">
        <f>IFERROR(__xludf.DUMMYFUNCTION("GOOGLETRANSLATE(B28131,""en"",""de"")"),"Ein Mann hinter ihm dehnt sich.")</f>
        <v>Ein Mann hinter ihm dehnt sich.</v>
      </c>
    </row>
    <row r="28132">
      <c r="A28132" s="4" t="s">
        <v>35418</v>
      </c>
      <c r="B28132" s="4" t="s">
        <v>35421</v>
      </c>
      <c r="C28132" s="5" t="str">
        <f>IFERROR(__xludf.DUMMYFUNCTION("GOOGLETRANSLATE(B28132,""en"",""de"")"),"Ein Mann hinter ihm beginnt Push Ups zu machen.")</f>
        <v>Ein Mann hinter ihm beginnt Push Ups zu machen.</v>
      </c>
    </row>
    <row r="28133">
      <c r="A28133" s="4" t="s">
        <v>35422</v>
      </c>
      <c r="B28133" s="4" t="s">
        <v>35423</v>
      </c>
      <c r="C28133" s="5" t="str">
        <f>IFERROR(__xludf.DUMMYFUNCTION("GOOGLETRANSLATE(B28133,""en"",""de"")"),"Es gibt einen Mann, der einen blauen Hazmat -Anzugspray trägt, einen hohen Zaun.")</f>
        <v>Es gibt einen Mann, der einen blauen Hazmat -Anzugspray trägt, einen hohen Zaun.</v>
      </c>
    </row>
    <row r="28134">
      <c r="A28134" s="4" t="s">
        <v>35422</v>
      </c>
      <c r="B28134" s="4" t="s">
        <v>35424</v>
      </c>
      <c r="C28134" s="5" t="str">
        <f>IFERROR(__xludf.DUMMYFUNCTION("GOOGLETRANSLATE(B28134,""en"",""de"")"),"Er benutzt einen Sprühfarbenschlauch, um den Holzzaun zu malen.")</f>
        <v>Er benutzt einen Sprühfarbenschlauch, um den Holzzaun zu malen.</v>
      </c>
    </row>
    <row r="28135">
      <c r="A28135" s="4" t="s">
        <v>35422</v>
      </c>
      <c r="B28135" s="4" t="s">
        <v>35425</v>
      </c>
      <c r="C28135" s="5" t="str">
        <f>IFERROR(__xludf.DUMMYFUNCTION("GOOGLETRANSLATE(B28135,""en"",""de"")"),"Er bewegt den Schlauch hin und her, um sicherzustellen, dass er die gesamte Oberfläche des Zauns abdeckt.")</f>
        <v>Er bewegt den Schlauch hin und her, um sicherzustellen, dass er die gesamte Oberfläche des Zauns abdeckt.</v>
      </c>
    </row>
    <row r="28136">
      <c r="A28136" s="4" t="s">
        <v>35426</v>
      </c>
      <c r="B28136" s="4" t="s">
        <v>35427</v>
      </c>
      <c r="C28136" s="5" t="str">
        <f>IFERROR(__xludf.DUMMYFUNCTION("GOOGLETRANSLATE(B28136,""en"",""de"")"),"Ein kleines Mädchen rennt mit einem Stick -Pushing und Objekt herum, spielt und hat viel Spaß.")</f>
        <v>Ein kleines Mädchen rennt mit einem Stick -Pushing und Objekt herum, spielt und hat viel Spaß.</v>
      </c>
    </row>
    <row r="28137">
      <c r="A28137" s="4" t="s">
        <v>35426</v>
      </c>
      <c r="B28137" s="4" t="s">
        <v>35428</v>
      </c>
      <c r="C28137" s="5" t="str">
        <f>IFERROR(__xludf.DUMMYFUNCTION("GOOGLETRANSLATE(B28137,""en"",""de"")"),"Das kleine Mädchen spielt ungefähr 10 Meter und dann rennt sie zurück.")</f>
        <v>Das kleine Mädchen spielt ungefähr 10 Meter und dann rennt sie zurück.</v>
      </c>
    </row>
    <row r="28138">
      <c r="A28138" s="4" t="s">
        <v>35426</v>
      </c>
      <c r="B28138" s="4" t="s">
        <v>35429</v>
      </c>
      <c r="C28138" s="5" t="str">
        <f>IFERROR(__xludf.DUMMYFUNCTION("GOOGLETRANSLATE(B28138,""en"",""de"")"),"Sie berührt eine rote Platte und positioniert sie und rennt dann wieder auf die andere Seite.")</f>
        <v>Sie berührt eine rote Platte und positioniert sie und rennt dann wieder auf die andere Seite.</v>
      </c>
    </row>
    <row r="28139">
      <c r="A28139" s="4" t="s">
        <v>35430</v>
      </c>
      <c r="B28139" s="4" t="s">
        <v>35431</v>
      </c>
      <c r="C28139" s="5" t="str">
        <f>IFERROR(__xludf.DUMMYFUNCTION("GOOGLETRANSLATE(B28139,""en"",""de"")"),"Ein Mann hat eine Shisha in seinem Mund und er atmet Rauch für eine Weile ein.")</f>
        <v>Ein Mann hat eine Shisha in seinem Mund und er atmet Rauch für eine Weile ein.</v>
      </c>
    </row>
    <row r="28140">
      <c r="A28140" s="4" t="s">
        <v>35430</v>
      </c>
      <c r="B28140" s="4" t="s">
        <v>35432</v>
      </c>
      <c r="C28140" s="5" t="str">
        <f>IFERROR(__xludf.DUMMYFUNCTION("GOOGLETRANSLATE(B28140,""en"",""de"")"),"Er nimmt die Shisha aus seinem Mund und atmet ein, um ein Haufen Rauch auszulassen.")</f>
        <v>Er nimmt die Shisha aus seinem Mund und atmet ein, um ein Haufen Rauch auszulassen.</v>
      </c>
    </row>
    <row r="28141">
      <c r="A28141" s="4" t="s">
        <v>35430</v>
      </c>
      <c r="B28141" s="4" t="s">
        <v>35433</v>
      </c>
      <c r="C28141" s="5" t="str">
        <f>IFERROR(__xludf.DUMMYFUNCTION("GOOGLETRANSLATE(B28141,""en"",""de"")"),"Ich denke, er versucht, O mit dem Rauch zu machen, aber er weiß nicht wie.")</f>
        <v>Ich denke, er versucht, O mit dem Rauch zu machen, aber er weiß nicht wie.</v>
      </c>
    </row>
    <row r="28142">
      <c r="A28142" s="4" t="s">
        <v>35430</v>
      </c>
      <c r="B28142" s="4" t="s">
        <v>35434</v>
      </c>
      <c r="C28142" s="5" t="str">
        <f>IFERROR(__xludf.DUMMYFUNCTION("GOOGLETRANSLATE(B28142,""en"",""de"")"),"Er atmet weiter ein und versucht weiterhin, den Rauch auszublasen.")</f>
        <v>Er atmet weiter ein und versucht weiterhin, den Rauch auszublasen.</v>
      </c>
    </row>
    <row r="28143">
      <c r="A28143" s="4" t="s">
        <v>35435</v>
      </c>
      <c r="B28143" s="4" t="s">
        <v>35436</v>
      </c>
      <c r="C28143" s="5" t="str">
        <f>IFERROR(__xludf.DUMMYFUNCTION("GOOGLETRANSLATE(B28143,""en"",""de"")"),"Ein Turner wird gesehen, wie er sich auf eine Reihe ungleichmäßiger Bars drückt, während mehrere andere Leute am Rande zuschauen und auftreten.")</f>
        <v>Ein Turner wird gesehen, wie er sich auf eine Reihe ungleichmäßiger Bars drückt, während mehrere andere Leute am Rande zuschauen und auftreten.</v>
      </c>
    </row>
    <row r="28144">
      <c r="A28144" s="4" t="s">
        <v>35435</v>
      </c>
      <c r="B28144" s="4" t="s">
        <v>35437</v>
      </c>
      <c r="C28144" s="5" t="str">
        <f>IFERROR(__xludf.DUMMYFUNCTION("GOOGLETRANSLATE(B28144,""en"",""de"")"),"Mehrere ältere Männer, die Mann, rennen in den Rahmen, um nach dem Turner im Rücken zu sehen, während der Mann an den Bars seine Routine fortsetzt.")</f>
        <v>Mehrere ältere Männer, die Mann, rennen in den Rahmen, um nach dem Turner im Rücken zu sehen, während der Mann an den Bars seine Routine fortsetzt.</v>
      </c>
    </row>
    <row r="28145">
      <c r="A28145" s="4" t="s">
        <v>35435</v>
      </c>
      <c r="B28145" s="4" t="s">
        <v>35438</v>
      </c>
      <c r="C28145" s="5" t="str">
        <f>IFERROR(__xludf.DUMMYFUNCTION("GOOGLETRANSLATE(B28145,""en"",""de"")"),"Der Athlet macht einen Rückenflip und beendet seine Routine, während mehrere andere in den Rahmen stoßen.")</f>
        <v>Der Athlet macht einen Rückenflip und beendet seine Routine, während mehrere andere in den Rahmen stoßen.</v>
      </c>
    </row>
    <row r="28146">
      <c r="A28146" s="4" t="s">
        <v>35439</v>
      </c>
      <c r="B28146" s="4" t="s">
        <v>35440</v>
      </c>
      <c r="C28146" s="5" t="str">
        <f>IFERROR(__xludf.DUMMYFUNCTION("GOOGLETRANSLATE(B28146,""en"",""de"")"),"Eine Frau, die einen Kopfschal trägt, sitzt und spricht mit der Kamera.")</f>
        <v>Eine Frau, die einen Kopfschal trägt, sitzt und spricht mit der Kamera.</v>
      </c>
    </row>
    <row r="28147">
      <c r="A28147" s="4" t="s">
        <v>35439</v>
      </c>
      <c r="B28147" s="4" t="s">
        <v>35441</v>
      </c>
      <c r="C28147" s="5" t="str">
        <f>IFERROR(__xludf.DUMMYFUNCTION("GOOGLETRANSLATE(B28147,""en"",""de"")"),"Sie nimmt einen Rollen aus ihren Haaren nach dem anderen.")</f>
        <v>Sie nimmt einen Rollen aus ihren Haaren nach dem anderen.</v>
      </c>
    </row>
    <row r="28148">
      <c r="A28148" s="4" t="s">
        <v>35439</v>
      </c>
      <c r="B28148" s="4" t="s">
        <v>35442</v>
      </c>
      <c r="C28148" s="5" t="str">
        <f>IFERROR(__xludf.DUMMYFUNCTION("GOOGLETRANSLATE(B28148,""en"",""de"")"),"Sie stilft dann ihre Haare und zeigt es der Kamera.")</f>
        <v>Sie stilft dann ihre Haare und zeigt es der Kamera.</v>
      </c>
    </row>
    <row r="28149">
      <c r="A28149" s="4" t="s">
        <v>35443</v>
      </c>
      <c r="B28149" s="4" t="s">
        <v>35444</v>
      </c>
      <c r="C28149" s="5" t="str">
        <f>IFERROR(__xludf.DUMMYFUNCTION("GOOGLETRANSLATE(B28149,""en"",""de"")"),"Ein Torwart wird gezeigt, dass er mehrere Bälle rettet und von einem Reporter interviewt wird.")</f>
        <v>Ein Torwart wird gezeigt, dass er mehrere Bälle rettet und von einem Reporter interviewt wird.</v>
      </c>
    </row>
    <row r="28150">
      <c r="A28150" s="4" t="s">
        <v>35443</v>
      </c>
      <c r="B28150" s="4" t="s">
        <v>35445</v>
      </c>
      <c r="C28150" s="5" t="str">
        <f>IFERROR(__xludf.DUMMYFUNCTION("GOOGLETRANSLATE(B28150,""en"",""de"")"),"Viele Schüsse werden von Jungen gezeigt, die Fußball spielen und interviewt werden, und führt zu dem Trainer, der interviewt wird.")</f>
        <v>Viele Schüsse werden von Jungen gezeigt, die Fußball spielen und interviewt werden, und führt zu dem Trainer, der interviewt wird.</v>
      </c>
    </row>
    <row r="28151">
      <c r="A28151" s="4" t="s">
        <v>35443</v>
      </c>
      <c r="B28151" s="4" t="s">
        <v>35446</v>
      </c>
      <c r="C28151" s="5" t="str">
        <f>IFERROR(__xludf.DUMMYFUNCTION("GOOGLETRANSLATE(B28151,""en"",""de"")"),"Viele Leute sehen das Spiel genießen und beenden mit mehr Spielern interviewt.")</f>
        <v>Viele Leute sehen das Spiel genießen und beenden mit mehr Spielern interviewt.</v>
      </c>
    </row>
    <row r="28152">
      <c r="A28152" s="4" t="s">
        <v>35447</v>
      </c>
      <c r="B28152" s="4" t="s">
        <v>35448</v>
      </c>
      <c r="C28152" s="5" t="str">
        <f>IFERROR(__xludf.DUMMYFUNCTION("GOOGLETRANSLATE(B28152,""en"",""de"")"),"Der Mann steht in der Küche.")</f>
        <v>Der Mann steht in der Küche.</v>
      </c>
    </row>
    <row r="28153">
      <c r="A28153" s="4" t="s">
        <v>35447</v>
      </c>
      <c r="B28153" s="4" t="s">
        <v>35449</v>
      </c>
      <c r="C28153" s="5" t="str">
        <f>IFERROR(__xludf.DUMMYFUNCTION("GOOGLETRANSLATE(B28153,""en"",""de"")"),"Er schnappt sich eine Zange und eine silberne Metallschüssel mit Gemüse.")</f>
        <v>Er schnappt sich eine Zange und eine silberne Metallschüssel mit Gemüse.</v>
      </c>
    </row>
    <row r="28154">
      <c r="A28154" s="4" t="s">
        <v>35447</v>
      </c>
      <c r="B28154" s="4" t="s">
        <v>35450</v>
      </c>
      <c r="C28154" s="5" t="str">
        <f>IFERROR(__xludf.DUMMYFUNCTION("GOOGLETRANSLATE(B28154,""en"",""de"")"),"Die Zutaten auf der Theke befinden sich in weißen Behältern.")</f>
        <v>Die Zutaten auf der Theke befinden sich in weißen Behältern.</v>
      </c>
    </row>
    <row r="28155">
      <c r="A28155" s="4" t="s">
        <v>35447</v>
      </c>
      <c r="B28155" s="4" t="s">
        <v>35451</v>
      </c>
      <c r="C28155" s="5" t="str">
        <f>IFERROR(__xludf.DUMMYFUNCTION("GOOGLETRANSLATE(B28155,""en"",""de"")"),"Der Koch hält ein kleines Stück Nuss.")</f>
        <v>Der Koch hält ein kleines Stück Nuss.</v>
      </c>
    </row>
    <row r="28156">
      <c r="A28156" s="4" t="s">
        <v>35452</v>
      </c>
      <c r="B28156" s="4" t="s">
        <v>35453</v>
      </c>
      <c r="C28156" s="5" t="str">
        <f>IFERROR(__xludf.DUMMYFUNCTION("GOOGLETRANSLATE(B28156,""en"",""de"")"),"Die Kamera schwenkt auf einen Volleyballspieler, während sie ein Spiel mit anderen spielt.")</f>
        <v>Die Kamera schwenkt auf einen Volleyballspieler, während sie ein Spiel mit anderen spielt.</v>
      </c>
    </row>
    <row r="28157">
      <c r="A28157" s="4" t="s">
        <v>35452</v>
      </c>
      <c r="B28157" s="4" t="s">
        <v>35454</v>
      </c>
      <c r="C28157" s="5" t="str">
        <f>IFERROR(__xludf.DUMMYFUNCTION("GOOGLETRANSLATE(B28157,""en"",""de"")"),"Die Kamera hält ab und zu eine Pause, um ihre Bewegungen und Pfannen um die anderen Leute zu erfassen, die spielen.")</f>
        <v>Die Kamera hält ab und zu eine Pause, um ihre Bewegungen und Pfannen um die anderen Leute zu erfassen, die spielen.</v>
      </c>
    </row>
    <row r="28158">
      <c r="A28158" s="4" t="s">
        <v>35455</v>
      </c>
      <c r="B28158" s="4" t="s">
        <v>35456</v>
      </c>
      <c r="C28158" s="5" t="str">
        <f>IFERROR(__xludf.DUMMYFUNCTION("GOOGLETRANSLATE(B28158,""en"",""de"")"),"Ein Gastgeber spricht mit verschiedenen Musikern mit der Kamera, die hinter ihm sitzen, und führt in mehrere Landschaften.")</f>
        <v>Ein Gastgeber spricht mit verschiedenen Musikern mit der Kamera, die hinter ihm sitzen, und führt in mehrere Landschaften.</v>
      </c>
    </row>
    <row r="28159">
      <c r="A28159" s="4" t="s">
        <v>35455</v>
      </c>
      <c r="B28159" s="4" t="s">
        <v>35457</v>
      </c>
      <c r="C28159" s="5" t="str">
        <f>IFERROR(__xludf.DUMMYFUNCTION("GOOGLETRANSLATE(B28159,""en"",""de"")"),"Der gleiche Mann spricht mit der Kamera und wird mit mehreren anderen Surfern auf einem Surfbrett fährt.")</f>
        <v>Der gleiche Mann spricht mit der Kamera und wird mit mehreren anderen Surfern auf einem Surfbrett fährt.</v>
      </c>
    </row>
    <row r="28160">
      <c r="A28160" s="4" t="s">
        <v>35455</v>
      </c>
      <c r="B28160" s="4" t="s">
        <v>35458</v>
      </c>
      <c r="C28160" s="5" t="str">
        <f>IFERROR(__xludf.DUMMYFUNCTION("GOOGLETRANSLATE(B28160,""en"",""de"")"),"Der Mann wird erneut im Studio gesehen und von einer Frau und einem anderen Mann interviewt.")</f>
        <v>Der Mann wird erneut im Studio gesehen und von einer Frau und einem anderen Mann interviewt.</v>
      </c>
    </row>
    <row r="28161">
      <c r="A28161" s="4" t="s">
        <v>35459</v>
      </c>
      <c r="B28161" s="4" t="s">
        <v>35460</v>
      </c>
      <c r="C28161" s="5" t="str">
        <f>IFERROR(__xludf.DUMMYFUNCTION("GOOGLETRANSLATE(B28161,""en"",""de"")"),"Eine Frau steht und spricht mit der Kamera, als sie auf das Pferd neben ihr zeigte.")</f>
        <v>Eine Frau steht und spricht mit der Kamera, als sie auf das Pferd neben ihr zeigte.</v>
      </c>
    </row>
    <row r="28162">
      <c r="A28162" s="4" t="s">
        <v>35459</v>
      </c>
      <c r="B28162" s="4" t="s">
        <v>35461</v>
      </c>
      <c r="C28162" s="5" t="str">
        <f>IFERROR(__xludf.DUMMYFUNCTION("GOOGLETRANSLATE(B28162,""en"",""de"")"),"Eine Frau in Gelb sitzt auf dem Pferd, das Pferd ging um die Rampe.")</f>
        <v>Eine Frau in Gelb sitzt auf dem Pferd, das Pferd ging um die Rampe.</v>
      </c>
    </row>
    <row r="28163">
      <c r="A28163" s="4" t="s">
        <v>35459</v>
      </c>
      <c r="B28163" s="4" t="s">
        <v>35462</v>
      </c>
      <c r="C28163" s="5" t="str">
        <f>IFERROR(__xludf.DUMMYFUNCTION("GOOGLETRANSLATE(B28163,""en"",""de"")"),"Das Pferd rannte im Kreis, als die ältere Frau zuschaut.")</f>
        <v>Das Pferd rannte im Kreis, als die ältere Frau zuschaut.</v>
      </c>
    </row>
    <row r="28164">
      <c r="A28164" s="4" t="s">
        <v>35463</v>
      </c>
      <c r="B28164" s="4" t="s">
        <v>35464</v>
      </c>
      <c r="C28164" s="5" t="str">
        <f>IFERROR(__xludf.DUMMYFUNCTION("GOOGLETRANSLATE(B28164,""en"",""de"")"),"Ein Mann spricht mit der Kamera und führt zu ihm, der eine Reihe von Werkzeugen hält und sie der Kamera präsentiert.")</f>
        <v>Ein Mann spricht mit der Kamera und führt zu ihm, der eine Reihe von Werkzeugen hält und sie der Kamera präsentiert.</v>
      </c>
    </row>
    <row r="28165">
      <c r="A28165" s="4" t="s">
        <v>35463</v>
      </c>
      <c r="B28165" s="4" t="s">
        <v>35465</v>
      </c>
      <c r="C28165" s="5" t="str">
        <f>IFERROR(__xludf.DUMMYFUNCTION("GOOGLETRANSLATE(B28165,""en"",""de"")"),"Anschließend verwendet er die Werkzeuge auf Büschen in der Nähe, während er immer noch zur Kamera schaut, um zu sprechen.")</f>
        <v>Anschließend verwendet er die Werkzeuge auf Büschen in der Nähe, während er immer noch zur Kamera schaut, um zu sprechen.</v>
      </c>
    </row>
    <row r="28166">
      <c r="A28166" s="4" t="s">
        <v>35466</v>
      </c>
      <c r="B28166" s="4" t="s">
        <v>35467</v>
      </c>
      <c r="C28166" s="5" t="str">
        <f>IFERROR(__xludf.DUMMYFUNCTION("GOOGLETRANSLATE(B28166,""en"",""de"")"),"Ein Mann läuft in Zeitlupe eine Strecke hinunter und landet mehrere Sprünge und landet in eine Grube.")</f>
        <v>Ein Mann läuft in Zeitlupe eine Strecke hinunter und landet mehrere Sprünge und landet in eine Grube.</v>
      </c>
    </row>
    <row r="28167">
      <c r="A28167" s="4" t="s">
        <v>35466</v>
      </c>
      <c r="B28167" s="4" t="s">
        <v>35468</v>
      </c>
      <c r="C28167" s="5" t="str">
        <f>IFERROR(__xludf.DUMMYFUNCTION("GOOGLETRANSLATE(B28167,""en"",""de"")"),"Der gleiche Mann wird mehrmals durch verschiedene Clips in Zeitlupe gezeigt, die den Weitsprung auf einem Spurfeld durchführen.")</f>
        <v>Der gleiche Mann wird mehrmals durch verschiedene Clips in Zeitlupe gezeigt, die den Weitsprung auf einem Spurfeld durchführen.</v>
      </c>
    </row>
    <row r="28168">
      <c r="A28168" s="4" t="s">
        <v>35469</v>
      </c>
      <c r="B28168" s="4" t="s">
        <v>35470</v>
      </c>
      <c r="C28168" s="5" t="str">
        <f>IFERROR(__xludf.DUMMYFUNCTION("GOOGLETRANSLATE(B28168,""en"",""de"")"),"Ein Mann bewegt sich in Zeitlupe, während die Kamera ihn aus mehreren Winkeln einfängt.")</f>
        <v>Ein Mann bewegt sich in Zeitlupe, während die Kamera ihn aus mehreren Winkeln einfängt.</v>
      </c>
    </row>
    <row r="28169">
      <c r="A28169" s="4" t="s">
        <v>35469</v>
      </c>
      <c r="B28169" s="4" t="s">
        <v>35471</v>
      </c>
      <c r="C28169" s="5" t="str">
        <f>IFERROR(__xludf.DUMMYFUNCTION("GOOGLETRANSLATE(B28169,""en"",""de"")"),"Ein Paar Schere und ein Kamm werden dann in der Nähe gesehen und führt zu einer Person, die die Haare des Mannes schneidet.")</f>
        <v>Ein Paar Schere und ein Kamm werden dann in der Nähe gesehen und führt zu einer Person, die die Haare des Mannes schneidet.</v>
      </c>
    </row>
    <row r="28170">
      <c r="A28170" s="4" t="s">
        <v>35469</v>
      </c>
      <c r="B28170" s="4" t="s">
        <v>35472</v>
      </c>
      <c r="C28170" s="5" t="str">
        <f>IFERROR(__xludf.DUMMYFUNCTION("GOOGLETRANSLATE(B28170,""en"",""de"")"),"Schließlich trocknet er die Haare des Mannes und lächelt erneut und lacht gegen die Kamera.")</f>
        <v>Schließlich trocknet er die Haare des Mannes und lächelt erneut und lacht gegen die Kamera.</v>
      </c>
    </row>
    <row r="28171">
      <c r="A28171" s="4" t="s">
        <v>35473</v>
      </c>
      <c r="B28171" s="4" t="s">
        <v>35474</v>
      </c>
      <c r="C28171" s="5" t="str">
        <f>IFERROR(__xludf.DUMMYFUNCTION("GOOGLETRANSLATE(B28171,""en"",""de"")"),"Frauen spielen in einem großen grünen Feld ein Schleudern.")</f>
        <v>Frauen spielen in einem großen grünen Feld ein Schleudern.</v>
      </c>
    </row>
    <row r="28172">
      <c r="A28172" s="4" t="s">
        <v>35473</v>
      </c>
      <c r="B28172" s="4" t="s">
        <v>35475</v>
      </c>
      <c r="C28172" s="5" t="str">
        <f>IFERROR(__xludf.DUMMYFUNCTION("GOOGLETRANSLATE(B28172,""en"",""de"")"),"Frau befindet sich in einem kleinen grünen Hof und übt Schleuderschüsse.")</f>
        <v>Frau befindet sich in einem kleinen grünen Hof und übt Schleuderschüsse.</v>
      </c>
    </row>
    <row r="28173">
      <c r="A28173" s="4" t="s">
        <v>35476</v>
      </c>
      <c r="B28173" s="4" t="s">
        <v>35477</v>
      </c>
      <c r="C28173" s="5" t="str">
        <f>IFERROR(__xludf.DUMMYFUNCTION("GOOGLETRANSLATE(B28173,""en"",""de"")"),"Person beobachtet ihre Hände mit Seife in einer Handwässer, stecke eine Lösung in die Töpfe, hält einen Augenkontakt mit dem Zeigefinger und öffnet mit den anderen Händen ihr Auge und stecke den Kontakt in den Auge, schnapp dir den anderen Kontakt und mit"&amp;" dem anderen Hände öffnen die Augenanzeige in die Augen.")</f>
        <v>Person beobachtet ihre Hände mit Seife in einer Handwässer, stecke eine Lösung in die Töpfe, hält einen Augenkontakt mit dem Zeigefinger und öffnet mit den anderen Händen ihr Auge und stecke den Kontakt in den Auge, schnapp dir den anderen Kontakt und mit dem anderen Hände öffnen die Augenanzeige in die Augen.</v>
      </c>
    </row>
    <row r="28174">
      <c r="A28174" s="4" t="s">
        <v>35476</v>
      </c>
      <c r="B28174" s="4" t="s">
        <v>35478</v>
      </c>
      <c r="C28174" s="5" t="str">
        <f>IFERROR(__xludf.DUMMYFUNCTION("GOOGLETRANSLATE(B28174,""en"",""de"")"),"Jetzt wäscht die Person ihre Hände und öffnet das Auge und nimmt mit den Fingern den Kontakt aus dem Auge und steckt ihn in einen Topf, dann tut sie dasselbe mit dem anderen Auge, öffnen Sie das Auge und greifen Sie den Kontakt aus dem Auge und setzen Sie"&amp;" es. in den Topf.")</f>
        <v>Jetzt wäscht die Person ihre Hände und öffnet das Auge und nimmt mit den Fingern den Kontakt aus dem Auge und steckt ihn in einen Topf, dann tut sie dasselbe mit dem anderen Auge, öffnen Sie das Auge und greifen Sie den Kontakt aus dem Auge und setzen Sie es. in den Topf.</v>
      </c>
    </row>
    <row r="28175">
      <c r="A28175" s="4" t="s">
        <v>35479</v>
      </c>
      <c r="B28175" s="4" t="s">
        <v>35480</v>
      </c>
      <c r="C28175" s="5" t="str">
        <f>IFERROR(__xludf.DUMMYFUNCTION("GOOGLETRANSLATE(B28175,""en"",""de"")"),"Eine Person steigt aus einem Flugzeug.")</f>
        <v>Eine Person steigt aus einem Flugzeug.</v>
      </c>
    </row>
    <row r="28176">
      <c r="A28176" s="4" t="s">
        <v>35479</v>
      </c>
      <c r="B28176" s="4" t="s">
        <v>35481</v>
      </c>
      <c r="C28176" s="5" t="str">
        <f>IFERROR(__xludf.DUMMYFUNCTION("GOOGLETRANSLATE(B28176,""en"",""de"")"),"Eine Person rollerbladiert durch eine Stadt und hängt mit Freunden ab.")</f>
        <v>Eine Person rollerbladiert durch eine Stadt und hängt mit Freunden ab.</v>
      </c>
    </row>
    <row r="28177">
      <c r="A28177" s="4" t="s">
        <v>35479</v>
      </c>
      <c r="B28177" s="4" t="s">
        <v>35482</v>
      </c>
      <c r="C28177" s="5" t="str">
        <f>IFERROR(__xludf.DUMMYFUNCTION("GOOGLETRANSLATE(B28177,""en"",""de"")"),"Dies geschieht an vielen verschiedenen Orten, aber es im Grunde dasselbe.")</f>
        <v>Dies geschieht an vielen verschiedenen Orten, aber es im Grunde dasselbe.</v>
      </c>
    </row>
    <row r="28178">
      <c r="A28178" s="4" t="s">
        <v>35483</v>
      </c>
      <c r="B28178" s="4" t="s">
        <v>35484</v>
      </c>
      <c r="C28178" s="5" t="str">
        <f>IFERROR(__xludf.DUMMYFUNCTION("GOOGLETRANSLATE(B28178,""en"",""de"")"),"Ein Mann wird vor einem weißen Hintergrund gezeigt.")</f>
        <v>Ein Mann wird vor einem weißen Hintergrund gezeigt.</v>
      </c>
    </row>
    <row r="28179">
      <c r="A28179" s="4" t="s">
        <v>35483</v>
      </c>
      <c r="B28179" s="4" t="s">
        <v>35485</v>
      </c>
      <c r="C28179" s="5" t="str">
        <f>IFERROR(__xludf.DUMMYFUNCTION("GOOGLETRANSLATE(B28179,""en"",""de"")"),"Er spielt eine Gitarre mit seinen Händen.")</f>
        <v>Er spielt eine Gitarre mit seinen Händen.</v>
      </c>
    </row>
    <row r="28180">
      <c r="A28180" s="4" t="s">
        <v>35483</v>
      </c>
      <c r="B28180" s="4" t="s">
        <v>35486</v>
      </c>
      <c r="C28180" s="5" t="str">
        <f>IFERROR(__xludf.DUMMYFUNCTION("GOOGLETRANSLATE(B28180,""en"",""de"")"),"Die Akkorde und Wörter erscheinen am unteren Bildschirmrand, während er spielt.")</f>
        <v>Die Akkorde und Wörter erscheinen am unteren Bildschirmrand, während er spielt.</v>
      </c>
    </row>
    <row r="28181">
      <c r="A28181" s="4" t="s">
        <v>35487</v>
      </c>
      <c r="B28181" s="4" t="s">
        <v>35488</v>
      </c>
      <c r="C28181" s="5" t="str">
        <f>IFERROR(__xludf.DUMMYFUNCTION("GOOGLETRANSLATE(B28181,""en"",""de"")"),"Wir sind ein Öffnungsbildschirm für ein Produkt.")</f>
        <v>Wir sind ein Öffnungsbildschirm für ein Produkt.</v>
      </c>
    </row>
    <row r="28182">
      <c r="A28182" s="4" t="s">
        <v>35487</v>
      </c>
      <c r="B28182" s="4" t="s">
        <v>35489</v>
      </c>
      <c r="C28182" s="5" t="str">
        <f>IFERROR(__xludf.DUMMYFUNCTION("GOOGLETRANSLATE(B28182,""en"",""de"")"),"Wir sehen, dass eine Person ihren Bürgersteig schaufelt.")</f>
        <v>Wir sehen, dass eine Person ihren Bürgersteig schaufelt.</v>
      </c>
    </row>
    <row r="28183">
      <c r="A28183" s="4" t="s">
        <v>35487</v>
      </c>
      <c r="B28183" s="4" t="s">
        <v>35490</v>
      </c>
      <c r="C28183" s="5" t="str">
        <f>IFERROR(__xludf.DUMMYFUNCTION("GOOGLETRANSLATE(B28183,""en"",""de"")"),"Der Mann erreicht das Haus und dreht sich um, um die andere Seite des Gehwegs zu beenden.")</f>
        <v>Der Mann erreicht das Haus und dreht sich um, um die andere Seite des Gehwegs zu beenden.</v>
      </c>
    </row>
    <row r="28184">
      <c r="A28184" s="4" t="s">
        <v>35487</v>
      </c>
      <c r="B28184" s="4" t="s">
        <v>35491</v>
      </c>
      <c r="C28184" s="5" t="str">
        <f>IFERROR(__xludf.DUMMYFUNCTION("GOOGLETRANSLATE(B28184,""en"",""de"")"),"Wir sehen eine Person, die einen Gegenstand auf ihren Bürgersteig sprüht.")</f>
        <v>Wir sehen eine Person, die einen Gegenstand auf ihren Bürgersteig sprüht.</v>
      </c>
    </row>
    <row r="28185">
      <c r="A28185" s="4" t="s">
        <v>35487</v>
      </c>
      <c r="B28185" s="4" t="s">
        <v>35492</v>
      </c>
      <c r="C28185" s="5" t="str">
        <f>IFERROR(__xludf.DUMMYFUNCTION("GOOGLETRANSLATE(B28185,""en"",""de"")"),"Wir sehen dann zwei schließende Bildschirme.")</f>
        <v>Wir sehen dann zwei schließende Bildschirme.</v>
      </c>
    </row>
    <row r="28186">
      <c r="A28186" s="4" t="s">
        <v>35493</v>
      </c>
      <c r="B28186" s="4" t="s">
        <v>35494</v>
      </c>
      <c r="C28186" s="5" t="str">
        <f>IFERROR(__xludf.DUMMYFUNCTION("GOOGLETRANSLATE(B28186,""en"",""de"")"),"Ein Mann engagiert sich mit einem Poolwettbewerb.")</f>
        <v>Ein Mann engagiert sich mit einem Poolwettbewerb.</v>
      </c>
    </row>
    <row r="28187">
      <c r="A28187" s="4" t="s">
        <v>35493</v>
      </c>
      <c r="B28187" s="4" t="s">
        <v>35495</v>
      </c>
      <c r="C28187" s="5" t="str">
        <f>IFERROR(__xludf.DUMMYFUNCTION("GOOGLETRANSLATE(B28187,""en"",""de"")"),"Er schießt auf die Bälle und lässt sie in die Ecktaschen gehen.")</f>
        <v>Er schießt auf die Bälle und lässt sie in die Ecktaschen gehen.</v>
      </c>
    </row>
    <row r="28188">
      <c r="A28188" s="4" t="s">
        <v>35493</v>
      </c>
      <c r="B28188" s="4" t="s">
        <v>35496</v>
      </c>
      <c r="C28188" s="5" t="str">
        <f>IFERROR(__xludf.DUMMYFUNCTION("GOOGLETRANSLATE(B28188,""en"",""de"")"),"Wenn er gewinnt, hohe fuss er einen anderen Mann.")</f>
        <v>Wenn er gewinnt, hohe fuss er einen anderen Mann.</v>
      </c>
    </row>
    <row r="28189">
      <c r="A28189" s="4" t="s">
        <v>35497</v>
      </c>
      <c r="B28189" s="4" t="s">
        <v>35498</v>
      </c>
      <c r="C28189" s="5" t="str">
        <f>IFERROR(__xludf.DUMMYFUNCTION("GOOGLETRANSLATE(B28189,""en"",""de"")"),"Es gibt ungefähr fünf bis sechs Jungen, die in einem geschlossenen Hüpfhause mit Basketbällen in den Händen springen und springen.")</f>
        <v>Es gibt ungefähr fünf bis sechs Jungen, die in einem geschlossenen Hüpfhause mit Basketbällen in den Händen springen und springen.</v>
      </c>
    </row>
    <row r="28190">
      <c r="A28190" s="4" t="s">
        <v>35497</v>
      </c>
      <c r="B28190" s="4" t="s">
        <v>35499</v>
      </c>
      <c r="C28190" s="5" t="str">
        <f>IFERROR(__xludf.DUMMYFUNCTION("GOOGLETRANSLATE(B28190,""en"",""de"")"),"Der Trainer leitet sie, indem er die Pfeife bläst, während die Kinder weiter springen und springen.")</f>
        <v>Der Trainer leitet sie, indem er die Pfeife bläst, während die Kinder weiter springen und springen.</v>
      </c>
    </row>
    <row r="28191">
      <c r="A28191" s="4" t="s">
        <v>35497</v>
      </c>
      <c r="B28191" s="4" t="s">
        <v>35500</v>
      </c>
      <c r="C28191" s="5" t="str">
        <f>IFERROR(__xludf.DUMMYFUNCTION("GOOGLETRANSLATE(B28191,""en"",""de"")"),"Sie wenden sich ab, um die orangefarbenen Bälle zu werfen, wie sie von ihrem Trainer angewiesen wurde.")</f>
        <v>Sie wenden sich ab, um die orangefarbenen Bälle zu werfen, wie sie von ihrem Trainer angewiesen wurde.</v>
      </c>
    </row>
    <row r="28192">
      <c r="A28192" s="4" t="s">
        <v>35501</v>
      </c>
      <c r="B28192" s="4" t="s">
        <v>35502</v>
      </c>
      <c r="C28192" s="5" t="str">
        <f>IFERROR(__xludf.DUMMYFUNCTION("GOOGLETRANSLATE(B28192,""en"",""de"")"),"Die Leute spielen auf einem Feld ein Schlepper des Krieges.")</f>
        <v>Die Leute spielen auf einem Feld ein Schlepper des Krieges.</v>
      </c>
    </row>
    <row r="28193">
      <c r="A28193" s="4" t="s">
        <v>35501</v>
      </c>
      <c r="B28193" s="4" t="s">
        <v>35503</v>
      </c>
      <c r="C28193" s="5" t="str">
        <f>IFERROR(__xludf.DUMMYFUNCTION("GOOGLETRANSLATE(B28193,""en"",""de"")"),"Menschen fallen in einen Haufen schlammigem Wasser.")</f>
        <v>Menschen fallen in einen Haufen schlammigem Wasser.</v>
      </c>
    </row>
    <row r="28194">
      <c r="A28194" s="4" t="s">
        <v>35501</v>
      </c>
      <c r="B28194" s="4" t="s">
        <v>35504</v>
      </c>
      <c r="C28194" s="5" t="str">
        <f>IFERROR(__xludf.DUMMYFUNCTION("GOOGLETRANSLATE(B28194,""en"",""de"")"),"Die Leute stehen neben ihnen und beobachten.")</f>
        <v>Die Leute stehen neben ihnen und beobachten.</v>
      </c>
    </row>
    <row r="28195">
      <c r="A28195" s="4" t="s">
        <v>35505</v>
      </c>
      <c r="B28195" s="4" t="s">
        <v>35506</v>
      </c>
      <c r="C28195" s="5" t="str">
        <f>IFERROR(__xludf.DUMMYFUNCTION("GOOGLETRANSLATE(B28195,""en"",""de"")"),"Die Frau zeigt die quadratischen Matten und zeigt auf die verschiedenen Materialien und Merkmale.")</f>
        <v>Die Frau zeigt die quadratischen Matten und zeigt auf die verschiedenen Materialien und Merkmale.</v>
      </c>
    </row>
    <row r="28196">
      <c r="A28196" s="4" t="s">
        <v>35505</v>
      </c>
      <c r="B28196" s="4" t="s">
        <v>35507</v>
      </c>
      <c r="C28196" s="5" t="str">
        <f>IFERROR(__xludf.DUMMYFUNCTION("GOOGLETRANSLATE(B28196,""en"",""de"")"),"Die Frau fegt den Boden, um sich auf ein Projekt vorzubereiten.")</f>
        <v>Die Frau fegt den Boden, um sich auf ein Projekt vorzubereiten.</v>
      </c>
    </row>
    <row r="28197">
      <c r="A28197" s="4" t="s">
        <v>35505</v>
      </c>
      <c r="B28197" s="4" t="s">
        <v>35508</v>
      </c>
      <c r="C28197" s="5" t="str">
        <f>IFERROR(__xludf.DUMMYFUNCTION("GOOGLETRANSLATE(B28197,""en"",""de"")"),"Die Frau verwendet eine Kreidelinie und markiert dann den Boden.")</f>
        <v>Die Frau verwendet eine Kreidelinie und markiert dann den Boden.</v>
      </c>
    </row>
    <row r="28198">
      <c r="A28198" s="4" t="s">
        <v>35505</v>
      </c>
      <c r="B28198" s="4" t="s">
        <v>35509</v>
      </c>
      <c r="C28198" s="5" t="str">
        <f>IFERROR(__xludf.DUMMYFUNCTION("GOOGLETRANSLATE(B28198,""en"",""de"")"),"Die Frau setzt in den quadratischen Teppichstücken an, um den Boden zu bedecken.")</f>
        <v>Die Frau setzt in den quadratischen Teppichstücken an, um den Boden zu bedecken.</v>
      </c>
    </row>
    <row r="28199">
      <c r="A28199" s="4" t="s">
        <v>35505</v>
      </c>
      <c r="B28199" s="4" t="s">
        <v>35510</v>
      </c>
      <c r="C28199" s="5" t="str">
        <f>IFERROR(__xludf.DUMMYFUNCTION("GOOGLETRANSLATE(B28199,""en"",""de"")"),"Die Frau zeigt den fertigen Boden aus.")</f>
        <v>Die Frau zeigt den fertigen Boden aus.</v>
      </c>
    </row>
    <row r="28200">
      <c r="A28200" s="4" t="s">
        <v>35511</v>
      </c>
      <c r="B28200" s="4" t="s">
        <v>35512</v>
      </c>
      <c r="C28200" s="5" t="str">
        <f>IFERROR(__xludf.DUMMYFUNCTION("GOOGLETRANSLATE(B28200,""en"",""de"")"),"Er greift nach dem langen Pol und beginnt mit ihm auf die andere Seite des Feldes zu gehen.")</f>
        <v>Er greift nach dem langen Pol und beginnt mit ihm auf die andere Seite des Feldes zu gehen.</v>
      </c>
    </row>
    <row r="28201">
      <c r="A28201" s="4" t="s">
        <v>35511</v>
      </c>
      <c r="B28201" s="4" t="s">
        <v>35513</v>
      </c>
      <c r="C28201" s="5" t="str">
        <f>IFERROR(__xludf.DUMMYFUNCTION("GOOGLETRANSLATE(B28201,""en"",""de"")"),"Dann positioniert er sich selbst und macht einen Sprung und landet.")</f>
        <v>Dann positioniert er sich selbst und macht einen Sprung und landet.</v>
      </c>
    </row>
    <row r="28202">
      <c r="A28202" s="4" t="s">
        <v>35511</v>
      </c>
      <c r="B28202" s="4" t="s">
        <v>35514</v>
      </c>
      <c r="C28202" s="5" t="str">
        <f>IFERROR(__xludf.DUMMYFUNCTION("GOOGLETRANSLATE(B28202,""en"",""de"")"),"Alle anderen beginnen sich zu drehen und beginnen auch zu rennen und zu springen.")</f>
        <v>Alle anderen beginnen sich zu drehen und beginnen auch zu rennen und zu springen.</v>
      </c>
    </row>
    <row r="28203">
      <c r="A28203" s="4" t="s">
        <v>35511</v>
      </c>
      <c r="B28203" s="4" t="s">
        <v>35515</v>
      </c>
      <c r="C28203" s="5" t="str">
        <f>IFERROR(__xludf.DUMMYFUNCTION("GOOGLETRANSLATE(B28203,""en"",""de"")"),"Sie üben eine Weile und machen es noch ein paar Mal.")</f>
        <v>Sie üben eine Weile und machen es noch ein paar Mal.</v>
      </c>
    </row>
    <row r="28204">
      <c r="A28204" s="4" t="s">
        <v>35516</v>
      </c>
      <c r="B28204" s="4" t="s">
        <v>35517</v>
      </c>
      <c r="C28204" s="5" t="str">
        <f>IFERROR(__xludf.DUMMYFUNCTION("GOOGLETRANSLATE(B28204,""en"",""de"")"),"Eine große Gruppe von Menschen ist zu sehen, wie sie in einem Gymnasium ein Springenseil gesehen hat, während sie mit der Kamera zurückgezogen ist.")</f>
        <v>Eine große Gruppe von Menschen ist zu sehen, wie sie in einem Gymnasium ein Springenseil gesehen hat, während sie mit der Kamera zurückgezogen ist.</v>
      </c>
    </row>
    <row r="28205">
      <c r="A28205" s="4" t="s">
        <v>35516</v>
      </c>
      <c r="B28205" s="4" t="s">
        <v>35518</v>
      </c>
      <c r="C28205" s="5" t="str">
        <f>IFERROR(__xludf.DUMMYFUNCTION("GOOGLETRANSLATE(B28205,""en"",""de"")"),"Eine Frau steht vorne, um die Gruppe zu unterweisen und Seil weiter zu springen und dann anzuhalten.")</f>
        <v>Eine Frau steht vorne, um die Gruppe zu unterweisen und Seil weiter zu springen und dann anzuhalten.</v>
      </c>
    </row>
    <row r="28206">
      <c r="A28206" s="4" t="s">
        <v>35516</v>
      </c>
      <c r="B28206" s="4" t="s">
        <v>35519</v>
      </c>
      <c r="C28206" s="5" t="str">
        <f>IFERROR(__xludf.DUMMYFUNCTION("GOOGLETRANSLATE(B28206,""en"",""de"")"),"Die Leute machen sich dann miteinander aufwärmen und dehnen sich mit der Frau vorne.")</f>
        <v>Die Leute machen sich dann miteinander aufwärmen und dehnen sich mit der Frau vorne.</v>
      </c>
    </row>
    <row r="28207">
      <c r="A28207" s="4" t="s">
        <v>35520</v>
      </c>
      <c r="B28207" s="4" t="s">
        <v>35521</v>
      </c>
      <c r="C28207" s="5" t="str">
        <f>IFERROR(__xludf.DUMMYFUNCTION("GOOGLETRANSLATE(B28207,""en"",""de"")"),"Es wird ein Laufband gezeigt, dann wird eine Frau mit dem Laufband im Wohnzimmer gezeigt. Sie trägt blaues Oberteil und schwarze Shorts.")</f>
        <v>Es wird ein Laufband gezeigt, dann wird eine Frau mit dem Laufband im Wohnzimmer gezeigt. Sie trägt blaues Oberteil und schwarze Shorts.</v>
      </c>
    </row>
    <row r="28208">
      <c r="A28208" s="4" t="s">
        <v>35520</v>
      </c>
      <c r="B28208" s="4" t="s">
        <v>35522</v>
      </c>
      <c r="C28208" s="5" t="str">
        <f>IFERROR(__xludf.DUMMYFUNCTION("GOOGLETRANSLATE(B28208,""en"",""de"")"),"Sie hat den Monitor eingestellt, dann werden ein Laufbandanpassungen und Meter mit Zahlen angezeigt.")</f>
        <v>Sie hat den Monitor eingestellt, dann werden ein Laufbandanpassungen und Meter mit Zahlen angezeigt.</v>
      </c>
    </row>
    <row r="28209">
      <c r="A28209" s="4" t="s">
        <v>35523</v>
      </c>
      <c r="B28209" s="4" t="s">
        <v>35524</v>
      </c>
      <c r="C28209" s="5" t="str">
        <f>IFERROR(__xludf.DUMMYFUNCTION("GOOGLETRANSLATE(B28209,""en"",""de"")"),"Ein Mann steht vor einer Strecke bereit und rennt in Richtung einer Bar.")</f>
        <v>Ein Mann steht vor einer Strecke bereit und rennt in Richtung einer Bar.</v>
      </c>
    </row>
    <row r="28210">
      <c r="A28210" s="4" t="s">
        <v>35523</v>
      </c>
      <c r="B28210" s="4" t="s">
        <v>35525</v>
      </c>
      <c r="C28210" s="5" t="str">
        <f>IFERROR(__xludf.DUMMYFUNCTION("GOOGLETRANSLATE(B28210,""en"",""de"")"),"Der Mann springt dann über die Stange und wird in Zeitlupe wieder gezeigt.")</f>
        <v>Der Mann springt dann über die Stange und wird in Zeitlupe wieder gezeigt.</v>
      </c>
    </row>
    <row r="28211">
      <c r="A28211" s="4" t="s">
        <v>35526</v>
      </c>
      <c r="B28211" s="4" t="s">
        <v>35527</v>
      </c>
      <c r="C28211" s="5" t="str">
        <f>IFERROR(__xludf.DUMMYFUNCTION("GOOGLETRANSLATE(B28211,""en"",""de"")"),"Die Leute sitzen an einem schwarzen Jacktisch.")</f>
        <v>Die Leute sitzen an einem schwarzen Jacktisch.</v>
      </c>
    </row>
    <row r="28212">
      <c r="A28212" s="4" t="s">
        <v>35526</v>
      </c>
      <c r="B28212" s="4" t="s">
        <v>35528</v>
      </c>
      <c r="C28212" s="5" t="str">
        <f>IFERROR(__xludf.DUMMYFUNCTION("GOOGLETRANSLATE(B28212,""en"",""de"")"),"Ein Mann sitzt hinter dem Tisch mit den Karten.")</f>
        <v>Ein Mann sitzt hinter dem Tisch mit den Karten.</v>
      </c>
    </row>
    <row r="28213">
      <c r="A28213" s="4" t="s">
        <v>35526</v>
      </c>
      <c r="B28213" s="4" t="s">
        <v>35529</v>
      </c>
      <c r="C28213" s="5" t="str">
        <f>IFERROR(__xludf.DUMMYFUNCTION("GOOGLETRANSLATE(B28213,""en"",""de"")"),"Ein Mann kassiert Chips mit dem Händler.")</f>
        <v>Ein Mann kassiert Chips mit dem Händler.</v>
      </c>
    </row>
    <row r="28214">
      <c r="A28214" s="4" t="s">
        <v>35530</v>
      </c>
      <c r="B28214" s="4" t="s">
        <v>35531</v>
      </c>
      <c r="C28214" s="5" t="str">
        <f>IFERROR(__xludf.DUMMYFUNCTION("GOOGLETRANSLATE(B28214,""en"",""de"")"),"Eine Dame spricht in einem leichten Raum mit der Kamera.")</f>
        <v>Eine Dame spricht in einem leichten Raum mit der Kamera.</v>
      </c>
    </row>
    <row r="28215">
      <c r="A28215" s="4" t="s">
        <v>35530</v>
      </c>
      <c r="B28215" s="4" t="s">
        <v>35532</v>
      </c>
      <c r="C28215" s="5" t="str">
        <f>IFERROR(__xludf.DUMMYFUNCTION("GOOGLETRANSLATE(B28215,""en"",""de"")"),"Sie dreht sich um und schnappt sich eine Handvoll Haare.")</f>
        <v>Sie dreht sich um und schnappt sich eine Handvoll Haare.</v>
      </c>
    </row>
    <row r="28216">
      <c r="A28216" s="4" t="s">
        <v>35530</v>
      </c>
      <c r="B28216" s="4" t="s">
        <v>35533</v>
      </c>
      <c r="C28216" s="5" t="str">
        <f>IFERROR(__xludf.DUMMYFUNCTION("GOOGLETRANSLATE(B28216,""en"",""de"")"),"Die Dame fängt an, ihre Haare zu beschönigen, während sie mehr Haare fügt, während sie flechtet.")</f>
        <v>Die Dame fängt an, ihre Haare zu beschönigen, während sie mehr Haare fügt, während sie flechtet.</v>
      </c>
    </row>
    <row r="28217">
      <c r="A28217" s="4" t="s">
        <v>35530</v>
      </c>
      <c r="B28217" s="4" t="s">
        <v>35534</v>
      </c>
      <c r="C28217" s="5" t="str">
        <f>IFERROR(__xludf.DUMMYFUNCTION("GOOGLETRANSLATE(B28217,""en"",""de"")"),"Die Dame zieht ihr Geflecht vor sie und fügt eine Haarkrawatte hinzu.")</f>
        <v>Die Dame zieht ihr Geflecht vor sie und fügt eine Haarkrawatte hinzu.</v>
      </c>
    </row>
    <row r="28218">
      <c r="A28218" s="4" t="s">
        <v>35530</v>
      </c>
      <c r="B28218" s="4" t="s">
        <v>35535</v>
      </c>
      <c r="C28218" s="5" t="str">
        <f>IFERROR(__xludf.DUMMYFUNCTION("GOOGLETRANSLATE(B28218,""en"",""de"")"),"Sie zieht ihr Haar, um das Geflecht zu lockern, und dreht sich in die Kamera und lächelt.")</f>
        <v>Sie zieht ihr Haar, um das Geflecht zu lockern, und dreht sich in die Kamera und lächelt.</v>
      </c>
    </row>
    <row r="28219">
      <c r="A28219" s="4" t="s">
        <v>35536</v>
      </c>
      <c r="B28219" s="4" t="s">
        <v>35537</v>
      </c>
      <c r="C28219" s="5" t="str">
        <f>IFERROR(__xludf.DUMMYFUNCTION("GOOGLETRANSLATE(B28219,""en"",""de"")"),"Eine Reihe von Jungen im Teenageralter spielen Snare -Drums.")</f>
        <v>Eine Reihe von Jungen im Teenageralter spielen Snare -Drums.</v>
      </c>
    </row>
    <row r="28220">
      <c r="A28220" s="4" t="s">
        <v>35536</v>
      </c>
      <c r="B28220" s="4" t="s">
        <v>35538</v>
      </c>
      <c r="C28220" s="5" t="str">
        <f>IFERROR(__xludf.DUMMYFUNCTION("GOOGLETRANSLATE(B28220,""en"",""de"")"),"Eine große Bassdrum und ein großer Spieler erscheinen.")</f>
        <v>Eine große Bassdrum und ein großer Spieler erscheinen.</v>
      </c>
    </row>
    <row r="28221">
      <c r="A28221" s="4" t="s">
        <v>35536</v>
      </c>
      <c r="B28221" s="4" t="s">
        <v>35539</v>
      </c>
      <c r="C28221" s="5" t="str">
        <f>IFERROR(__xludf.DUMMYFUNCTION("GOOGLETRANSLATE(B28221,""en"",""de"")"),"Ein Mädchen, das eine Trommel spielt, macht sich mit.")</f>
        <v>Ein Mädchen, das eine Trommel spielt, macht sich mit.</v>
      </c>
    </row>
    <row r="28222">
      <c r="A28222" s="4" t="s">
        <v>35540</v>
      </c>
      <c r="B28222" s="4" t="s">
        <v>35541</v>
      </c>
      <c r="C28222" s="5" t="str">
        <f>IFERROR(__xludf.DUMMYFUNCTION("GOOGLETRANSLATE(B28222,""en"",""de"")"),"Eine Gruppe von Kindern unterschiedlicher Zeitalter rutscht in einem Themenpark eine blaue Rutsche hinunter.")</f>
        <v>Eine Gruppe von Kindern unterschiedlicher Zeitalter rutscht in einem Themenpark eine blaue Rutsche hinunter.</v>
      </c>
    </row>
    <row r="28223">
      <c r="A28223" s="4" t="s">
        <v>35540</v>
      </c>
      <c r="B28223" s="4" t="s">
        <v>35542</v>
      </c>
      <c r="C28223" s="5" t="str">
        <f>IFERROR(__xludf.DUMMYFUNCTION("GOOGLETRANSLATE(B28223,""en"",""de"")"),"Eine Gruppe von Kindern erscheint oben auf einer hohen Folie.")</f>
        <v>Eine Gruppe von Kindern erscheint oben auf einer hohen Folie.</v>
      </c>
    </row>
    <row r="28224">
      <c r="A28224" s="4" t="s">
        <v>35540</v>
      </c>
      <c r="B28224" s="4" t="s">
        <v>35543</v>
      </c>
      <c r="C28224" s="5" t="str">
        <f>IFERROR(__xludf.DUMMYFUNCTION("GOOGLETRANSLATE(B28224,""en"",""de"")"),"Die Kinder rutschen dann die Rutsche hinunter, wobei das Stirnband eines Mädchens über ihre Augen herunterkommt.")</f>
        <v>Die Kinder rutschen dann die Rutsche hinunter, wobei das Stirnband eines Mädchens über ihre Augen herunterkommt.</v>
      </c>
    </row>
    <row r="28225">
      <c r="A28225" s="4" t="s">
        <v>35540</v>
      </c>
      <c r="B28225" s="4" t="s">
        <v>35544</v>
      </c>
      <c r="C28225" s="5" t="str">
        <f>IFERROR(__xludf.DUMMYFUNCTION("GOOGLETRANSLATE(B28225,""en"",""de"")"),"Die Kinder landen und steigen auf und rennen weg.")</f>
        <v>Die Kinder landen und steigen auf und rennen weg.</v>
      </c>
    </row>
    <row r="28226">
      <c r="A28226" s="4" t="s">
        <v>35545</v>
      </c>
      <c r="B28226" s="4" t="s">
        <v>35546</v>
      </c>
      <c r="C28226" s="5" t="str">
        <f>IFERROR(__xludf.DUMMYFUNCTION("GOOGLETRANSLATE(B28226,""en"",""de"")"),"Weißer Text erklärt den Prozess der Knieverletzung.")</f>
        <v>Weißer Text erklärt den Prozess der Knieverletzung.</v>
      </c>
    </row>
    <row r="28227">
      <c r="A28227" s="4" t="s">
        <v>35545</v>
      </c>
      <c r="B28227" s="4" t="s">
        <v>35547</v>
      </c>
      <c r="C28227" s="5" t="str">
        <f>IFERROR(__xludf.DUMMYFUNCTION("GOOGLETRANSLATE(B28227,""en"",""de"")"),"Ein Mann wird gezeigt, dass sportliche Acts, einschließlich des Springens auf eine Matratze, und sich nach den Knien erstreckt, bevor er immer wieder springt.")</f>
        <v>Ein Mann wird gezeigt, dass sportliche Acts, einschließlich des Springens auf eine Matratze, und sich nach den Knien erstreckt, bevor er immer wieder springt.</v>
      </c>
    </row>
    <row r="28228">
      <c r="A28228" s="4" t="s">
        <v>35548</v>
      </c>
      <c r="B28228" s="4" t="s">
        <v>35549</v>
      </c>
      <c r="C28228" s="5" t="str">
        <f>IFERROR(__xludf.DUMMYFUNCTION("GOOGLETRANSLATE(B28228,""en"",""de"")"),"Ein Mann steht in einem Badezimmer vor einem Spiegel und hält einen Rasiermesser.")</f>
        <v>Ein Mann steht in einem Badezimmer vor einem Spiegel und hält einen Rasiermesser.</v>
      </c>
    </row>
    <row r="28229">
      <c r="A28229" s="4" t="s">
        <v>35548</v>
      </c>
      <c r="B28229" s="4" t="s">
        <v>35550</v>
      </c>
      <c r="C28229" s="5" t="str">
        <f>IFERROR(__xludf.DUMMYFUNCTION("GOOGLETRANSLATE(B28229,""en"",""de"")"),"Der Mann beginnt mit der Kamera zu sprechen und zeigt den Rasierer und seine verschiedenen Teile.")</f>
        <v>Der Mann beginnt mit der Kamera zu sprechen und zeigt den Rasierer und seine verschiedenen Teile.</v>
      </c>
    </row>
    <row r="28230">
      <c r="A28230" s="4" t="s">
        <v>35548</v>
      </c>
      <c r="B28230" s="4" t="s">
        <v>35551</v>
      </c>
      <c r="C28230" s="5" t="str">
        <f>IFERROR(__xludf.DUMMYFUNCTION("GOOGLETRANSLATE(B28230,""en"",""de"")"),"Bald fängt er an, sein Gesicht zu rasieren, während er in den Spiegel schaut.")</f>
        <v>Bald fängt er an, sein Gesicht zu rasieren, während er in den Spiegel schaut.</v>
      </c>
    </row>
    <row r="28231">
      <c r="A28231" s="4" t="s">
        <v>35548</v>
      </c>
      <c r="B28231" s="4" t="s">
        <v>35552</v>
      </c>
      <c r="C28231" s="5" t="str">
        <f>IFERROR(__xludf.DUMMYFUNCTION("GOOGLETRANSLATE(B28231,""en"",""de"")"),"Danach nimmt er wieder auf, um mit der Kamera zu sprechen und zu zeigen, wie der Rasierer ausgeführt wurde.")</f>
        <v>Danach nimmt er wieder auf, um mit der Kamera zu sprechen und zu zeigen, wie der Rasierer ausgeführt wurde.</v>
      </c>
    </row>
    <row r="28232">
      <c r="A28232" s="4" t="s">
        <v>35548</v>
      </c>
      <c r="B28232" s="4" t="s">
        <v>35553</v>
      </c>
      <c r="C28232" s="5" t="str">
        <f>IFERROR(__xludf.DUMMYFUNCTION("GOOGLETRANSLATE(B28232,""en"",""de"")"),"Der Mann legt den Rasierer auf einen Ladeständer, der ein Licht beleuchtet, und nimmt ihn dann wieder auf.")</f>
        <v>Der Mann legt den Rasierer auf einen Ladeständer, der ein Licht beleuchtet, und nimmt ihn dann wieder auf.</v>
      </c>
    </row>
    <row r="28233">
      <c r="A28233" s="4" t="s">
        <v>35548</v>
      </c>
      <c r="B28233" s="4" t="s">
        <v>35554</v>
      </c>
      <c r="C28233" s="5" t="str">
        <f>IFERROR(__xludf.DUMMYFUNCTION("GOOGLETRANSLATE(B28233,""en"",""de"")"),"Das Video endet mit dem Mann, der sein Gesicht berührt, um den reibungslosen Job zu demonstrieren.")</f>
        <v>Das Video endet mit dem Mann, der sein Gesicht berührt, um den reibungslosen Job zu demonstrieren.</v>
      </c>
    </row>
    <row r="28234">
      <c r="A28234" s="4" t="s">
        <v>35555</v>
      </c>
      <c r="B28234" s="4" t="s">
        <v>35556</v>
      </c>
      <c r="C28234" s="5" t="str">
        <f>IFERROR(__xludf.DUMMYFUNCTION("GOOGLETRANSLATE(B28234,""en"",""de"")"),"Zwei Männer zeigen Sprungseilstunts, Tricks und Techniken in einem Auditorium vor einer Gruppe von Studenten.")</f>
        <v>Zwei Männer zeigen Sprungseilstunts, Tricks und Techniken in einem Auditorium vor einer Gruppe von Studenten.</v>
      </c>
    </row>
    <row r="28235">
      <c r="A28235" s="4" t="s">
        <v>35555</v>
      </c>
      <c r="B28235" s="4" t="s">
        <v>35557</v>
      </c>
      <c r="C28235" s="5" t="str">
        <f>IFERROR(__xludf.DUMMYFUNCTION("GOOGLETRANSLATE(B28235,""en"",""de"")"),"Ein Mann in einem grauen Track -Anzug führt Sprungseiltricks vor einer Gruppe von Studenten durch.")</f>
        <v>Ein Mann in einem grauen Track -Anzug führt Sprungseiltricks vor einer Gruppe von Studenten durch.</v>
      </c>
    </row>
    <row r="28236">
      <c r="A28236" s="4" t="s">
        <v>35555</v>
      </c>
      <c r="B28236" s="4" t="s">
        <v>35558</v>
      </c>
      <c r="C28236" s="5" t="str">
        <f>IFERROR(__xludf.DUMMYFUNCTION("GOOGLETRANSLATE(B28236,""en"",""de"")"),"Der Mann im grauen Streckenanzug endet und die Kinder klatschen.")</f>
        <v>Der Mann im grauen Streckenanzug endet und die Kinder klatschen.</v>
      </c>
    </row>
    <row r="28237">
      <c r="A28237" s="4" t="s">
        <v>35555</v>
      </c>
      <c r="B28237" s="4" t="s">
        <v>35559</v>
      </c>
      <c r="C28237" s="5" t="str">
        <f>IFERROR(__xludf.DUMMYFUNCTION("GOOGLETRANSLATE(B28237,""en"",""de"")"),"Ein zweiter Mann geht neben dem Mann und den beiden Männern beginnen mehr Tricks und Stunts durchzuführen, einschließlich Backflips und Tanzbewegungen während der Demonstration.")</f>
        <v>Ein zweiter Mann geht neben dem Mann und den beiden Männern beginnen mehr Tricks und Stunts durchzuführen, einschließlich Backflips und Tanzbewegungen während der Demonstration.</v>
      </c>
    </row>
    <row r="28238">
      <c r="A28238" s="4" t="s">
        <v>35560</v>
      </c>
      <c r="B28238" s="4" t="s">
        <v>35561</v>
      </c>
      <c r="C28238" s="5" t="str">
        <f>IFERROR(__xludf.DUMMYFUNCTION("GOOGLETRANSLATE(B28238,""en"",""de"")"),"Zwei Personen veranstalten ein Nachrichtensegment, das miteinander spricht und mehrere Clips im Inneren eines Fitnessstudio zeigten.")</f>
        <v>Zwei Personen veranstalten ein Nachrichtensegment, das miteinander spricht und mehrere Clips im Inneren eines Fitnessstudio zeigten.</v>
      </c>
    </row>
    <row r="28239">
      <c r="A28239" s="4" t="s">
        <v>35560</v>
      </c>
      <c r="B28239" s="4" t="s">
        <v>35562</v>
      </c>
      <c r="C28239" s="5" t="str">
        <f>IFERROR(__xludf.DUMMYFUNCTION("GOOGLETRANSLATE(B28239,""en"",""de"")"),"Die Frau klettert dann auf das Laufband und versucht es aus, während er immer noch mit dem Mann spricht.")</f>
        <v>Die Frau klettert dann auf das Laufband und versucht es aus, während er immer noch mit dem Mann spricht.</v>
      </c>
    </row>
    <row r="28240">
      <c r="A28240" s="4" t="s">
        <v>35563</v>
      </c>
      <c r="B28240" s="4" t="s">
        <v>35564</v>
      </c>
      <c r="C28240" s="5" t="str">
        <f>IFERROR(__xludf.DUMMYFUNCTION("GOOGLETRANSLATE(B28240,""en"",""de"")"),"Eine Frau spricht mit der Kamera ein Bier und führt aus dem Glas in ihr Trinken.")</f>
        <v>Eine Frau spricht mit der Kamera ein Bier und führt aus dem Glas in ihr Trinken.</v>
      </c>
    </row>
    <row r="28241">
      <c r="A28241" s="4" t="s">
        <v>35563</v>
      </c>
      <c r="B28241" s="4" t="s">
        <v>35565</v>
      </c>
      <c r="C28241" s="5" t="str">
        <f>IFERROR(__xludf.DUMMYFUNCTION("GOOGLETRANSLATE(B28241,""en"",""de"")"),"Sie trinkt das Bier weiter, während sie über die Kamera lacht und zustimmend nickt.")</f>
        <v>Sie trinkt das Bier weiter, während sie über die Kamera lacht und zustimmend nickt.</v>
      </c>
    </row>
    <row r="28242">
      <c r="A28242" s="4" t="s">
        <v>35566</v>
      </c>
      <c r="B28242" s="4" t="s">
        <v>35567</v>
      </c>
      <c r="C28242" s="5" t="str">
        <f>IFERROR(__xludf.DUMMYFUNCTION("GOOGLETRANSLATE(B28242,""en"",""de"")"),"Ein freiwilliger Rechen geht in einem Vorgarten.")</f>
        <v>Ein freiwilliger Rechen geht in einem Vorgarten.</v>
      </c>
    </row>
    <row r="28243">
      <c r="A28243" s="4" t="s">
        <v>35566</v>
      </c>
      <c r="B28243" s="4" t="s">
        <v>35568</v>
      </c>
      <c r="C28243" s="5" t="str">
        <f>IFERROR(__xludf.DUMMYFUNCTION("GOOGLETRANSLATE(B28243,""en"",""de"")"),"Freiwillige tragen und richten Sie Gartenwerkzeuge und Reinigungsprodukte ein.")</f>
        <v>Freiwillige tragen und richten Sie Gartenwerkzeuge und Reinigungsprodukte ein.</v>
      </c>
    </row>
    <row r="28244">
      <c r="A28244" s="4" t="s">
        <v>35566</v>
      </c>
      <c r="B28244" s="4" t="s">
        <v>35569</v>
      </c>
      <c r="C28244" s="5" t="str">
        <f>IFERROR(__xludf.DUMMYFUNCTION("GOOGLETRANSLATE(B28244,""en"",""de"")"),"Eine Gruppe von Freiwilligen remt die Blätter vor einem Haus zusammen.")</f>
        <v>Eine Gruppe von Freiwilligen remt die Blätter vor einem Haus zusammen.</v>
      </c>
    </row>
    <row r="28245">
      <c r="A28245" s="4" t="s">
        <v>35566</v>
      </c>
      <c r="B28245" s="4" t="s">
        <v>35570</v>
      </c>
      <c r="C28245" s="5" t="str">
        <f>IFERROR(__xludf.DUMMYFUNCTION("GOOGLETRANSLATE(B28245,""en"",""de"")"),"Freiwillige essen alle zusammen in einer Cafeteria.")</f>
        <v>Freiwillige essen alle zusammen in einer Cafeteria.</v>
      </c>
    </row>
    <row r="28246">
      <c r="A28246" s="4" t="s">
        <v>35566</v>
      </c>
      <c r="B28246" s="4" t="s">
        <v>35571</v>
      </c>
      <c r="C28246" s="5" t="str">
        <f>IFERROR(__xludf.DUMMYFUNCTION("GOOGLETRANSLATE(B28246,""en"",""de"")"),"Ein Mann lädt Blättersäcke auf und lässt sie auf einen Sammelhof abfallen.")</f>
        <v>Ein Mann lädt Blättersäcke auf und lässt sie auf einen Sammelhof abfallen.</v>
      </c>
    </row>
    <row r="28247">
      <c r="A28247" s="4" t="s">
        <v>35572</v>
      </c>
      <c r="B28247" s="4" t="s">
        <v>35573</v>
      </c>
      <c r="C28247" s="5" t="str">
        <f>IFERROR(__xludf.DUMMYFUNCTION("GOOGLETRANSLATE(B28247,""en"",""de"")"),"Ein Mädchen in einem Badeanzug sitzt am Strand.")</f>
        <v>Ein Mädchen in einem Badeanzug sitzt am Strand.</v>
      </c>
    </row>
    <row r="28248">
      <c r="A28248" s="4" t="s">
        <v>35572</v>
      </c>
      <c r="B28248" s="4" t="s">
        <v>35574</v>
      </c>
      <c r="C28248" s="5" t="str">
        <f>IFERROR(__xludf.DUMMYFUNCTION("GOOGLETRANSLATE(B28248,""en"",""de"")"),"Sie steckt Sand in eine Tasse und baut eine Sandburg.")</f>
        <v>Sie steckt Sand in eine Tasse und baut eine Sandburg.</v>
      </c>
    </row>
    <row r="28249">
      <c r="A28249" s="4" t="s">
        <v>35572</v>
      </c>
      <c r="B28249" s="4" t="s">
        <v>35575</v>
      </c>
      <c r="C28249" s="5" t="str">
        <f>IFERROR(__xludf.DUMMYFUNCTION("GOOGLETRANSLATE(B28249,""en"",""de"")"),"Ein anderes Mädchen geht auf und spricht mit ihr.")</f>
        <v>Ein anderes Mädchen geht auf und spricht mit ihr.</v>
      </c>
    </row>
    <row r="28250">
      <c r="A28250" s="4" t="s">
        <v>35576</v>
      </c>
      <c r="B28250" s="4" t="s">
        <v>35577</v>
      </c>
      <c r="C28250" s="5" t="str">
        <f>IFERROR(__xludf.DUMMYFUNCTION("GOOGLETRANSLATE(B28250,""en"",""de"")"),"Ein Mann legt sich über einer Matte auf den Boden.")</f>
        <v>Ein Mann legt sich über einer Matte auf den Boden.</v>
      </c>
    </row>
    <row r="28251">
      <c r="A28251" s="4" t="s">
        <v>35576</v>
      </c>
      <c r="B28251" s="4" t="s">
        <v>35578</v>
      </c>
      <c r="C28251" s="5" t="str">
        <f>IFERROR(__xludf.DUMMYFUNCTION("GOOGLETRANSLATE(B28251,""en"",""de"")"),"Der Mann hält ein Gewicht von seinem Kopf.")</f>
        <v>Der Mann hält ein Gewicht von seinem Kopf.</v>
      </c>
    </row>
    <row r="28252">
      <c r="A28252" s="4" t="s">
        <v>35576</v>
      </c>
      <c r="B28252" s="4" t="s">
        <v>35579</v>
      </c>
      <c r="C28252" s="5" t="str">
        <f>IFERROR(__xludf.DUMMYFUNCTION("GOOGLETRANSLATE(B28252,""en"",""de"")"),"Der Mann übt das Gewicht und erhöht die gefalteten Beine bis zur Brust.")</f>
        <v>Der Mann übt das Gewicht und erhöht die gefalteten Beine bis zur Brust.</v>
      </c>
    </row>
    <row r="28253">
      <c r="A28253" s="4" t="s">
        <v>35580</v>
      </c>
      <c r="B28253" s="4" t="s">
        <v>35581</v>
      </c>
      <c r="C28253" s="5" t="str">
        <f>IFERROR(__xludf.DUMMYFUNCTION("GOOGLETRANSLATE(B28253,""en"",""de"")"),"Ein Mann, der ein schwarzes Hemd trägt, das weiße Worte hat, die ""gut mit sich selbst spielen"", sitzt in einem Zuhause und spielt auf zwei verschiedenen Bongos, die in Größe, Design und Farbe unterschiedlich sind.")</f>
        <v>Ein Mann, der ein schwarzes Hemd trägt, das weiße Worte hat, die "gut mit sich selbst spielen", sitzt in einem Zuhause und spielt auf zwei verschiedenen Bongos, die in Größe, Design und Farbe unterschiedlich sind.</v>
      </c>
    </row>
    <row r="28254">
      <c r="A28254" s="4" t="s">
        <v>35580</v>
      </c>
      <c r="B28254" s="4" t="s">
        <v>35582</v>
      </c>
      <c r="C28254" s="5" t="str">
        <f>IFERROR(__xludf.DUMMYFUNCTION("GOOGLETRANSLATE(B28254,""en"",""de"")"),"Der Mann hört auf, den Bongos zu treffen, und legt seine linke Hand auf den helleren Bongo.")</f>
        <v>Der Mann hört auf, den Bongos zu treffen, und legt seine linke Hand auf den helleren Bongo.</v>
      </c>
    </row>
    <row r="28255">
      <c r="A28255" s="4" t="s">
        <v>35580</v>
      </c>
      <c r="B28255" s="4" t="s">
        <v>35583</v>
      </c>
      <c r="C28255" s="5" t="str">
        <f>IFERROR(__xludf.DUMMYFUNCTION("GOOGLETRANSLATE(B28255,""en"",""de"")"),"Dann bewegt der Mann sein rechtes Bein, als würde er aufstehen und der Bongo bewegt sich ohne seine Beinunterstützung.")</f>
        <v>Dann bewegt der Mann sein rechtes Bein, als würde er aufstehen und der Bongo bewegt sich ohne seine Beinunterstützung.</v>
      </c>
    </row>
    <row r="28256">
      <c r="A28256" s="4" t="s">
        <v>35584</v>
      </c>
      <c r="B28256" s="4" t="s">
        <v>35585</v>
      </c>
      <c r="C28256" s="5" t="str">
        <f>IFERROR(__xludf.DUMMYFUNCTION("GOOGLETRANSLATE(B28256,""en"",""de"")"),"Steinkalter Steve Austin im Ring schwitzt stark.")</f>
        <v>Steinkalter Steve Austin im Ring schwitzt stark.</v>
      </c>
    </row>
    <row r="28257">
      <c r="A28257" s="4" t="s">
        <v>35584</v>
      </c>
      <c r="B28257" s="4" t="s">
        <v>35586</v>
      </c>
      <c r="C28257" s="5" t="str">
        <f>IFERROR(__xludf.DUMMYFUNCTION("GOOGLETRANSLATE(B28257,""en"",""de"")"),"Er schaut zu dem anderen Wrestler atmen und schwitzt, sie sehen sich nur für eine Weile an.")</f>
        <v>Er schaut zu dem anderen Wrestler atmen und schwitzt, sie sehen sich nur für eine Weile an.</v>
      </c>
    </row>
    <row r="28258">
      <c r="A28258" s="4" t="s">
        <v>35584</v>
      </c>
      <c r="B28258" s="4" t="s">
        <v>35587</v>
      </c>
      <c r="C28258" s="5" t="str">
        <f>IFERROR(__xludf.DUMMYFUNCTION("GOOGLETRANSLATE(B28258,""en"",""de"")"),"Sie öffnen Biere und stoßen das zusammen, dann werfen sie Bier ins Publikum.")</f>
        <v>Sie öffnen Biere und stoßen das zusammen, dann werfen sie Bier ins Publikum.</v>
      </c>
    </row>
    <row r="28259">
      <c r="A28259" s="4" t="s">
        <v>35584</v>
      </c>
      <c r="B28259" s="4" t="s">
        <v>35588</v>
      </c>
      <c r="C28259" s="5" t="str">
        <f>IFERROR(__xludf.DUMMYFUNCTION("GOOGLETRANSLATE(B28259,""en"",""de"")"),"Dann rollt Austin aus dem Ring und geht nach hinten.")</f>
        <v>Dann rollt Austin aus dem Ring und geht nach hinten.</v>
      </c>
    </row>
    <row r="28260">
      <c r="A28260" s="4" t="s">
        <v>35589</v>
      </c>
      <c r="B28260" s="4" t="s">
        <v>35590</v>
      </c>
      <c r="C28260" s="5" t="str">
        <f>IFERROR(__xludf.DUMMYFUNCTION("GOOGLETRANSLATE(B28260,""en"",""de"")"),"Frau spricht mit einem Mann in einem Eisenkandel und hält Hockeystangen, die die Scheibe ziehen.")</f>
        <v>Frau spricht mit einem Mann in einem Eisenkandel und hält Hockeystangen, die die Scheibe ziehen.</v>
      </c>
    </row>
    <row r="28261">
      <c r="A28261" s="4" t="s">
        <v>35589</v>
      </c>
      <c r="B28261" s="4" t="s">
        <v>35591</v>
      </c>
      <c r="C28261" s="5" t="str">
        <f>IFERROR(__xludf.DUMMYFUNCTION("GOOGLETRANSLATE(B28261,""en"",""de"")"),"Frau ist in einem Krankenhaus und spricht mit einem Mann.")</f>
        <v>Frau ist in einem Krankenhaus und spricht mit einem Mann.</v>
      </c>
    </row>
    <row r="28262">
      <c r="A28262" s="4" t="s">
        <v>35589</v>
      </c>
      <c r="B28262" s="4" t="s">
        <v>35592</v>
      </c>
      <c r="C28262" s="5" t="str">
        <f>IFERROR(__xludf.DUMMYFUNCTION("GOOGLETRANSLATE(B28262,""en"",""de"")"),"Mann und Frau sahen den Mann aus, der Verband im Kopf hat.")</f>
        <v>Mann und Frau sahen den Mann aus, der Verband im Kopf hat.</v>
      </c>
    </row>
    <row r="28263">
      <c r="A28263" s="4" t="s">
        <v>35593</v>
      </c>
      <c r="B28263" s="4" t="s">
        <v>35594</v>
      </c>
      <c r="C28263" s="5" t="str">
        <f>IFERROR(__xludf.DUMMYFUNCTION("GOOGLETRANSLATE(B28263,""en"",""de"")"),"Die Spieler von Brasil erzielen, während Menschen in den Bleichmitteln feiern.")</f>
        <v>Die Spieler von Brasil erzielen, während Menschen in den Bleichmitteln feiern.</v>
      </c>
    </row>
    <row r="28264">
      <c r="A28264" s="4" t="s">
        <v>35593</v>
      </c>
      <c r="B28264" s="4" t="s">
        <v>35595</v>
      </c>
      <c r="C28264" s="5" t="str">
        <f>IFERROR(__xludf.DUMMYFUNCTION("GOOGLETRANSLATE(B28264,""en"",""de"")"),"Ein brasilianischer Spieler überträgt den Ball an seinen Spielkameraden, der zahlt und läuft, um zu feiern, andere brasilianische Spieler zählen viele Male.")</f>
        <v>Ein brasilianischer Spieler überträgt den Ball an seinen Spielkameraden, der zahlt und läuft, um zu feiern, andere brasilianische Spieler zählen viele Male.</v>
      </c>
    </row>
    <row r="28265">
      <c r="A28265" s="4" t="s">
        <v>35593</v>
      </c>
      <c r="B28265" s="4" t="s">
        <v>35596</v>
      </c>
      <c r="C28265" s="5" t="str">
        <f>IFERROR(__xludf.DUMMYFUNCTION("GOOGLETRANSLATE(B28265,""en"",""de"")"),"Danach spielt Brasil viele Male mit anderen Teems und erzielt.")</f>
        <v>Danach spielt Brasil viele Male mit anderen Teems und erzielt.</v>
      </c>
    </row>
    <row r="28266">
      <c r="A28266" s="4" t="s">
        <v>35593</v>
      </c>
      <c r="B28266" s="4" t="s">
        <v>35597</v>
      </c>
      <c r="C28266" s="5" t="str">
        <f>IFERROR(__xludf.DUMMYFUNCTION("GOOGLETRANSLATE(B28266,""en"",""de"")"),"Dann spielt Brasil mit Spielern aus anderen Ländern und Punktzahlen.")</f>
        <v>Dann spielt Brasil mit Spielern aus anderen Ländern und Punktzahlen.</v>
      </c>
    </row>
    <row r="28267">
      <c r="A28267" s="4" t="s">
        <v>35593</v>
      </c>
      <c r="B28267" s="4" t="s">
        <v>35598</v>
      </c>
      <c r="C28267" s="5" t="str">
        <f>IFERROR(__xludf.DUMMYFUNCTION("GOOGLETRANSLATE(B28267,""en"",""de"")"),"Am Ende gewinnt Brasil die Konkurrenz.")</f>
        <v>Am Ende gewinnt Brasil die Konkurrenz.</v>
      </c>
    </row>
    <row r="28268">
      <c r="A28268" s="4" t="s">
        <v>35599</v>
      </c>
      <c r="B28268" s="4" t="s">
        <v>35600</v>
      </c>
      <c r="C28268" s="5" t="str">
        <f>IFERROR(__xludf.DUMMYFUNCTION("GOOGLETRANSLATE(B28268,""en"",""de"")"),"Die Leute spielen in einer Arena in Indoor -Fußball.")</f>
        <v>Die Leute spielen in einer Arena in Indoor -Fußball.</v>
      </c>
    </row>
    <row r="28269">
      <c r="A28269" s="4" t="s">
        <v>35599</v>
      </c>
      <c r="B28269" s="4" t="s">
        <v>35601</v>
      </c>
      <c r="C28269" s="5" t="str">
        <f>IFERROR(__xludf.DUMMYFUNCTION("GOOGLETRANSLATE(B28269,""en"",""de"")"),"Die Leute sitzen auf der Tribüne.")</f>
        <v>Die Leute sitzen auf der Tribüne.</v>
      </c>
    </row>
    <row r="28270">
      <c r="A28270" s="4" t="s">
        <v>35599</v>
      </c>
      <c r="B28270" s="4" t="s">
        <v>2018</v>
      </c>
      <c r="C28270" s="5" t="str">
        <f>IFERROR(__xludf.DUMMYFUNCTION("GOOGLETRANSLATE(B28270,""en"",""de"")"),"Wörter kommen auf dem Bildschirm.")</f>
        <v>Wörter kommen auf dem Bildschirm.</v>
      </c>
    </row>
    <row r="28271">
      <c r="A28271" s="4" t="s">
        <v>35602</v>
      </c>
      <c r="B28271" s="4" t="s">
        <v>35603</v>
      </c>
      <c r="C28271" s="5" t="str">
        <f>IFERROR(__xludf.DUMMYFUNCTION("GOOGLETRANSLATE(B28271,""en"",""de"")"),"Eine Frau steht in einem Raum mit einem Hula -Reifen.")</f>
        <v>Eine Frau steht in einem Raum mit einem Hula -Reifen.</v>
      </c>
    </row>
    <row r="28272">
      <c r="A28272" s="4" t="s">
        <v>35602</v>
      </c>
      <c r="B28272" s="4" t="s">
        <v>35604</v>
      </c>
      <c r="C28272" s="5" t="str">
        <f>IFERROR(__xludf.DUMMYFUNCTION("GOOGLETRANSLATE(B28272,""en"",""de"")"),"Sie zeigt, wie man den Hula Hoop benutzt.")</f>
        <v>Sie zeigt, wie man den Hula Hoop benutzt.</v>
      </c>
    </row>
    <row r="28273">
      <c r="A28273" s="4" t="s">
        <v>35602</v>
      </c>
      <c r="B28273" s="4" t="s">
        <v>35605</v>
      </c>
      <c r="C28273" s="5" t="str">
        <f>IFERROR(__xludf.DUMMYFUNCTION("GOOGLETRANSLATE(B28273,""en"",""de"")"),"Sie dreht es mit ihren Hüften und spricht mit der Kamera.")</f>
        <v>Sie dreht es mit ihren Hüften und spricht mit der Kamera.</v>
      </c>
    </row>
    <row r="28274">
      <c r="A28274" s="4" t="s">
        <v>35606</v>
      </c>
      <c r="B28274" s="4" t="s">
        <v>35607</v>
      </c>
      <c r="C28274" s="5" t="str">
        <f>IFERROR(__xludf.DUMMYFUNCTION("GOOGLETRANSLATE(B28274,""en"",""de"")"),"Ein Mann, der ein blaues Hemd trägt, spielt das Klavier in einem Hof.")</f>
        <v>Ein Mann, der ein blaues Hemd trägt, spielt das Klavier in einem Hof.</v>
      </c>
    </row>
    <row r="28275">
      <c r="A28275" s="4" t="s">
        <v>35606</v>
      </c>
      <c r="B28275" s="4" t="s">
        <v>35608</v>
      </c>
      <c r="C28275" s="5" t="str">
        <f>IFERROR(__xludf.DUMMYFUNCTION("GOOGLETRANSLATE(B28275,""en"",""de"")"),"Hinter ihm stehen zwei Elefanten.")</f>
        <v>Hinter ihm stehen zwei Elefanten.</v>
      </c>
    </row>
    <row r="28276">
      <c r="A28276" s="4" t="s">
        <v>35606</v>
      </c>
      <c r="B28276" s="4" t="s">
        <v>35609</v>
      </c>
      <c r="C28276" s="5" t="str">
        <f>IFERROR(__xludf.DUMMYFUNCTION("GOOGLETRANSLATE(B28276,""en"",""de"")"),"Einer der Elefanten versucht, mit seinem Koffer Klavier Klavier zu spielen.")</f>
        <v>Einer der Elefanten versucht, mit seinem Koffer Klavier Klavier zu spielen.</v>
      </c>
    </row>
    <row r="28277">
      <c r="A28277" s="4" t="s">
        <v>35606</v>
      </c>
      <c r="B28277" s="4" t="s">
        <v>35610</v>
      </c>
      <c r="C28277" s="5" t="str">
        <f>IFERROR(__xludf.DUMMYFUNCTION("GOOGLETRANSLATE(B28277,""en"",""de"")"),"Der Mann spielt weiterhin das Klavier in einem schnellen Tempo mit verschiedenen Schlüssel am Klavier.")</f>
        <v>Der Mann spielt weiterhin das Klavier in einem schnellen Tempo mit verschiedenen Schlüssel am Klavier.</v>
      </c>
    </row>
    <row r="28278">
      <c r="A28278" s="4" t="s">
        <v>35606</v>
      </c>
      <c r="B28278" s="4" t="s">
        <v>35611</v>
      </c>
      <c r="C28278" s="5" t="str">
        <f>IFERROR(__xludf.DUMMYFUNCTION("GOOGLETRANSLATE(B28278,""en"",""de"")"),"Er gibt mit der Melodie ein großes Finish und klopft dann den Kofferraum des Elefanten.")</f>
        <v>Er gibt mit der Melodie ein großes Finish und klopft dann den Kofferraum des Elefanten.</v>
      </c>
    </row>
    <row r="28279">
      <c r="A28279" s="4" t="s">
        <v>35612</v>
      </c>
      <c r="B28279" s="4" t="s">
        <v>35613</v>
      </c>
      <c r="C28279" s="5" t="str">
        <f>IFERROR(__xludf.DUMMYFUNCTION("GOOGLETRANSLATE(B28279,""en"",""de"")"),"Ein Mann steht am Ufer eines Strandes mit einem Hockeystab, der einen Ball ausbalanciert.")</f>
        <v>Ein Mann steht am Ufer eines Strandes mit einem Hockeystab, der einen Ball ausbalanciert.</v>
      </c>
    </row>
    <row r="28280">
      <c r="A28280" s="4" t="s">
        <v>35612</v>
      </c>
      <c r="B28280" s="4" t="s">
        <v>35614</v>
      </c>
      <c r="C28280" s="5" t="str">
        <f>IFERROR(__xludf.DUMMYFUNCTION("GOOGLETRANSLATE(B28280,""en"",""de"")"),"Ein Hockeystab und ein weißer Ball lag draußen auf falschem Gras.")</f>
        <v>Ein Hockeystab und ein weißer Ball lag draußen auf falschem Gras.</v>
      </c>
    </row>
    <row r="28281">
      <c r="A28281" s="4" t="s">
        <v>35612</v>
      </c>
      <c r="B28281" s="4" t="s">
        <v>35615</v>
      </c>
      <c r="C28281" s="5" t="str">
        <f>IFERROR(__xludf.DUMMYFUNCTION("GOOGLETRANSLATE(B28281,""en"",""de"")"),"Eine Person bewegt einen weißen Ball mit einem Hockeystab.")</f>
        <v>Eine Person bewegt einen weißen Ball mit einem Hockeystab.</v>
      </c>
    </row>
    <row r="28282">
      <c r="A28282" s="4" t="s">
        <v>35612</v>
      </c>
      <c r="B28282" s="4" t="s">
        <v>35616</v>
      </c>
      <c r="C28282" s="5" t="str">
        <f>IFERROR(__xludf.DUMMYFUNCTION("GOOGLETRANSLATE(B28282,""en"",""de"")"),"Eine Person demonstriert zehn Feldhockeytechniken.")</f>
        <v>Eine Person demonstriert zehn Feldhockeytechniken.</v>
      </c>
    </row>
    <row r="28283">
      <c r="A28283" s="4" t="s">
        <v>35612</v>
      </c>
      <c r="B28283" s="4" t="s">
        <v>35617</v>
      </c>
      <c r="C28283" s="5" t="str">
        <f>IFERROR(__xludf.DUMMYFUNCTION("GOOGLETRANSLATE(B28283,""en"",""de"")"),"Ein Mann benutzt einen Hockeystab, um einen Ball in die Luft zu springen.")</f>
        <v>Ein Mann benutzt einen Hockeystab, um einen Ball in die Luft zu springen.</v>
      </c>
    </row>
    <row r="28284">
      <c r="A28284" s="4" t="s">
        <v>35612</v>
      </c>
      <c r="B28284" s="4" t="s">
        <v>35618</v>
      </c>
      <c r="C28284" s="5" t="str">
        <f>IFERROR(__xludf.DUMMYFUNCTION("GOOGLETRANSLATE(B28284,""en"",""de"")"),"Grüße und Credits werden angezeigt.")</f>
        <v>Grüße und Credits werden angezeigt.</v>
      </c>
    </row>
    <row r="28285">
      <c r="A28285" s="4" t="s">
        <v>35619</v>
      </c>
      <c r="B28285" s="4" t="s">
        <v>35620</v>
      </c>
      <c r="C28285" s="5" t="str">
        <f>IFERROR(__xludf.DUMMYFUNCTION("GOOGLETRANSLATE(B28285,""en"",""de"")"),"Ein Junge spielt mit einem Ball in einem Hof.")</f>
        <v>Ein Junge spielt mit einem Ball in einem Hof.</v>
      </c>
    </row>
    <row r="28286">
      <c r="A28286" s="4" t="s">
        <v>35619</v>
      </c>
      <c r="B28286" s="4" t="s">
        <v>35621</v>
      </c>
      <c r="C28286" s="5" t="str">
        <f>IFERROR(__xludf.DUMMYFUNCTION("GOOGLETRANSLATE(B28286,""en"",""de"")"),"Ein Junge schwingt und schlägt den Ball aus dem Hof.")</f>
        <v>Ein Junge schwingt und schlägt den Ball aus dem Hof.</v>
      </c>
    </row>
    <row r="28287">
      <c r="A28287" s="4" t="s">
        <v>35619</v>
      </c>
      <c r="B28287" s="4" t="s">
        <v>35622</v>
      </c>
      <c r="C28287" s="5" t="str">
        <f>IFERROR(__xludf.DUMMYFUNCTION("GOOGLETRANSLATE(B28287,""en"",""de"")"),"Der Junge geht, um den Ball zu holen.")</f>
        <v>Der Junge geht, um den Ball zu holen.</v>
      </c>
    </row>
    <row r="28288">
      <c r="A28288" s="4" t="s">
        <v>35619</v>
      </c>
      <c r="B28288" s="4" t="s">
        <v>35623</v>
      </c>
      <c r="C28288" s="5" t="str">
        <f>IFERROR(__xludf.DUMMYFUNCTION("GOOGLETRANSLATE(B28288,""en"",""de"")"),"Der Junge spielt ein Spiel, in dem er den Ball trifft und Müll doppelt doppelt.")</f>
        <v>Der Junge spielt ein Spiel, in dem er den Ball trifft und Müll doppelt doppelt.</v>
      </c>
    </row>
    <row r="28289">
      <c r="A28289" s="4" t="s">
        <v>35619</v>
      </c>
      <c r="B28289" s="4" t="s">
        <v>35624</v>
      </c>
      <c r="C28289" s="5" t="str">
        <f>IFERROR(__xludf.DUMMYFUNCTION("GOOGLETRANSLATE(B28289,""en"",""de"")"),"Der Junge schwingt einen Stock an den Bällen, um sie durch ein Tor zu schlagen.")</f>
        <v>Der Junge schwingt einen Stock an den Bällen, um sie durch ein Tor zu schlagen.</v>
      </c>
    </row>
    <row r="28290">
      <c r="A28290" s="4" t="s">
        <v>35625</v>
      </c>
      <c r="B28290" s="4" t="s">
        <v>35626</v>
      </c>
      <c r="C28290" s="5" t="str">
        <f>IFERROR(__xludf.DUMMYFUNCTION("GOOGLETRANSLATE(B28290,""en"",""de"")"),"Die Leute spielen Shuffleboard in einem Fitnessstudio.")</f>
        <v>Die Leute spielen Shuffleboard in einem Fitnessstudio.</v>
      </c>
    </row>
    <row r="28291">
      <c r="A28291" s="4" t="s">
        <v>35625</v>
      </c>
      <c r="B28291" s="4" t="s">
        <v>35627</v>
      </c>
      <c r="C28291" s="5" t="str">
        <f>IFERROR(__xludf.DUMMYFUNCTION("GOOGLETRANSLATE(B28291,""en"",""de"")"),"Eine Frau wirft einen schwarzen Puck, dann spricht sie und spielt weiter.")</f>
        <v>Eine Frau wirft einen schwarzen Puck, dann spricht sie und spielt weiter.</v>
      </c>
    </row>
    <row r="28292">
      <c r="A28292" s="4" t="s">
        <v>35625</v>
      </c>
      <c r="B28292" s="4" t="s">
        <v>35628</v>
      </c>
      <c r="C28292" s="5" t="str">
        <f>IFERROR(__xludf.DUMMYFUNCTION("GOOGLETRANSLATE(B28292,""en"",""de"")"),"Der alte Mann, der eine Mütze im Fitnessstudio trägt.")</f>
        <v>Der alte Mann, der eine Mütze im Fitnessstudio trägt.</v>
      </c>
    </row>
    <row r="28293">
      <c r="A28293" s="4" t="s">
        <v>35625</v>
      </c>
      <c r="B28293" s="4" t="s">
        <v>35629</v>
      </c>
      <c r="C28293" s="5" t="str">
        <f>IFERROR(__xludf.DUMMYFUNCTION("GOOGLETRANSLATE(B28293,""en"",""de"")"),"Zwei Frauen sprechen Seite an Seite, eine der Frau hält eine Stange.")</f>
        <v>Zwei Frauen sprechen Seite an Seite, eine der Frau hält eine Stange.</v>
      </c>
    </row>
    <row r="28294">
      <c r="A28294" s="4" t="s">
        <v>35630</v>
      </c>
      <c r="B28294" s="4" t="s">
        <v>35631</v>
      </c>
      <c r="C28294" s="5" t="str">
        <f>IFERROR(__xludf.DUMMYFUNCTION("GOOGLETRANSLATE(B28294,""en"",""de"")"),"Eine Infomercial zeigt eine Person, die einen Rasiermesser am Bein verwendet, während sie mit der Kamera spricht.")</f>
        <v>Eine Infomercial zeigt eine Person, die einen Rasiermesser am Bein verwendet, während sie mit der Kamera spricht.</v>
      </c>
    </row>
    <row r="28295">
      <c r="A28295" s="4" t="s">
        <v>35630</v>
      </c>
      <c r="B28295" s="4" t="s">
        <v>35632</v>
      </c>
      <c r="C28295" s="5" t="str">
        <f>IFERROR(__xludf.DUMMYFUNCTION("GOOGLETRANSLATE(B28295,""en"",""de"")"),"Die Frau rasiert weiter ihre Beine und es wird eine Nahaufnahme des Werkzeugs gezeigt.")</f>
        <v>Die Frau rasiert weiter ihre Beine und es wird eine Nahaufnahme des Werkzeugs gezeigt.</v>
      </c>
    </row>
    <row r="28296">
      <c r="A28296" s="4" t="s">
        <v>35633</v>
      </c>
      <c r="B28296" s="4" t="s">
        <v>35634</v>
      </c>
      <c r="C28296" s="5" t="str">
        <f>IFERROR(__xludf.DUMMYFUNCTION("GOOGLETRANSLATE(B28296,""en"",""de"")"),"Eine Frau betritt den Rahmen, der mit ihren Haaren spielt und sie hinter sich teilt.")</f>
        <v>Eine Frau betritt den Rahmen, der mit ihren Haaren spielt und sie hinter sich teilt.</v>
      </c>
    </row>
    <row r="28297">
      <c r="A28297" s="4" t="s">
        <v>35633</v>
      </c>
      <c r="B28297" s="4" t="s">
        <v>35635</v>
      </c>
      <c r="C28297" s="5" t="str">
        <f>IFERROR(__xludf.DUMMYFUNCTION("GOOGLETRANSLATE(B28297,""en"",""de"")"),"Die Frau flechtet weiterhin ihre Haare und zeigt das Endergebnis, während sie in die Kamera schaut und dann weggeht.")</f>
        <v>Die Frau flechtet weiterhin ihre Haare und zeigt das Endergebnis, während sie in die Kamera schaut und dann weggeht.</v>
      </c>
    </row>
    <row r="28298">
      <c r="A28298" s="4" t="s">
        <v>35636</v>
      </c>
      <c r="B28298" s="4" t="s">
        <v>35637</v>
      </c>
      <c r="C28298" s="5" t="str">
        <f>IFERROR(__xludf.DUMMYFUNCTION("GOOGLETRANSLATE(B28298,""en"",""de"")"),"Autos, die von einem dicken Schnee bedeckt sind, wird gezeigt, und ein Mann putzt den Schnee mit einer Schaufel im Windschutzscheiben und dem ganzen Auto.")</f>
        <v>Autos, die von einem dicken Schnee bedeckt sind, wird gezeigt, und ein Mann putzt den Schnee mit einer Schaufel im Windschutzscheiben und dem ganzen Auto.</v>
      </c>
    </row>
    <row r="28299">
      <c r="A28299" s="4" t="s">
        <v>35636</v>
      </c>
      <c r="B28299" s="4" t="s">
        <v>35638</v>
      </c>
      <c r="C28299" s="5" t="str">
        <f>IFERROR(__xludf.DUMMYFUNCTION("GOOGLETRANSLATE(B28299,""en"",""de"")"),"Auto fährt auf der Straße.")</f>
        <v>Auto fährt auf der Straße.</v>
      </c>
    </row>
    <row r="28300">
      <c r="A28300" s="4" t="s">
        <v>35639</v>
      </c>
      <c r="B28300" s="4" t="s">
        <v>35640</v>
      </c>
      <c r="C28300" s="5" t="str">
        <f>IFERROR(__xludf.DUMMYFUNCTION("GOOGLETRANSLATE(B28300,""en"",""de"")"),"Ein Paar und ein Kind sind in einem Wohnzimmer.")</f>
        <v>Ein Paar und ein Kind sind in einem Wohnzimmer.</v>
      </c>
    </row>
    <row r="28301">
      <c r="A28301" s="4" t="s">
        <v>35639</v>
      </c>
      <c r="B28301" s="4" t="s">
        <v>35641</v>
      </c>
      <c r="C28301" s="5" t="str">
        <f>IFERROR(__xludf.DUMMYFUNCTION("GOOGLETRANSLATE(B28301,""en"",""de"")"),"Das Paar beginnt mitten im Raum zu tanzen, dreht sich und wirbelte.")</f>
        <v>Das Paar beginnt mitten im Raum zu tanzen, dreht sich und wirbelte.</v>
      </c>
    </row>
    <row r="28302">
      <c r="A28302" s="4" t="s">
        <v>35642</v>
      </c>
      <c r="B28302" s="4" t="s">
        <v>35643</v>
      </c>
      <c r="C28302" s="5" t="str">
        <f>IFERROR(__xludf.DUMMYFUNCTION("GOOGLETRANSLATE(B28302,""en"",""de"")"),"Ein Schiedsrichter, der ein weißes Hemd in einem Box -Match trägt, startet ein Box -Match.")</f>
        <v>Ein Schiedsrichter, der ein weißes Hemd in einem Box -Match trägt, startet ein Box -Match.</v>
      </c>
    </row>
    <row r="28303">
      <c r="A28303" s="4" t="s">
        <v>35642</v>
      </c>
      <c r="B28303" s="4" t="s">
        <v>35644</v>
      </c>
      <c r="C28303" s="5" t="str">
        <f>IFERROR(__xludf.DUMMYFUNCTION("GOOGLETRANSLATE(B28303,""en"",""de"")"),"Zwei Mädchenboxer nähern sich einander und beginnen Kick -Boxen.")</f>
        <v>Zwei Mädchenboxer nähern sich einander und beginnen Kick -Boxen.</v>
      </c>
    </row>
    <row r="28304">
      <c r="A28304" s="4" t="s">
        <v>35642</v>
      </c>
      <c r="B28304" s="4" t="s">
        <v>35645</v>
      </c>
      <c r="C28304" s="5" t="str">
        <f>IFERROR(__xludf.DUMMYFUNCTION("GOOGLETRANSLATE(B28304,""en"",""de"")"),"Der größere Boxer nähert sich dem kürzeren Boxer und trifft den kürzeren Boxer mit einem geraden Kick.")</f>
        <v>Der größere Boxer nähert sich dem kürzeren Boxer und trifft den kürzeren Boxer mit einem geraden Kick.</v>
      </c>
    </row>
    <row r="28305">
      <c r="A28305" s="4" t="s">
        <v>35642</v>
      </c>
      <c r="B28305" s="4" t="s">
        <v>35646</v>
      </c>
      <c r="C28305" s="5" t="str">
        <f>IFERROR(__xludf.DUMMYFUNCTION("GOOGLETRANSLATE(B28305,""en"",""de"")"),"Beide Boxer tauschen Schläge aus und treten in die Mitte des Rings.")</f>
        <v>Beide Boxer tauschen Schläge aus und treten in die Mitte des Rings.</v>
      </c>
    </row>
    <row r="28306">
      <c r="A28306" s="4" t="s">
        <v>35642</v>
      </c>
      <c r="B28306" s="4" t="s">
        <v>35647</v>
      </c>
      <c r="C28306" s="5" t="str">
        <f>IFERROR(__xludf.DUMMYFUNCTION("GOOGLETRANSLATE(B28306,""en"",""de"")"),"Der Schiedsrichter verwaltet den Kampf, während er die Kämpfer genau beobachtet und beobachtet.")</f>
        <v>Der Schiedsrichter verwaltet den Kampf, während er die Kämpfer genau beobachtet und beobachtet.</v>
      </c>
    </row>
    <row r="28307">
      <c r="A28307" s="4" t="s">
        <v>35648</v>
      </c>
      <c r="B28307" s="4" t="s">
        <v>35649</v>
      </c>
      <c r="C28307" s="5" t="str">
        <f>IFERROR(__xludf.DUMMYFUNCTION("GOOGLETRANSLATE(B28307,""en"",""de"")"),"Zwei Menschen schlugen in einem Bach mit üppigem Wasser und riesigen Steinen durch.")</f>
        <v>Zwei Menschen schlugen in einem Bach mit üppigem Wasser und riesigen Steinen durch.</v>
      </c>
    </row>
    <row r="28308">
      <c r="A28308" s="4" t="s">
        <v>35648</v>
      </c>
      <c r="B28308" s="4" t="s">
        <v>35650</v>
      </c>
      <c r="C28308" s="5" t="str">
        <f>IFERROR(__xludf.DUMMYFUNCTION("GOOGLETRANSLATE(B28308,""en"",""de"")"),"Sobald sich die beiden um die Kurve umgehen, schlugen sie zwei kleine Hügel und waten im ruhigeren Teil des Wassers.")</f>
        <v>Sobald sich die beiden um die Kurve umgehen, schlugen sie zwei kleine Hügel und waten im ruhigeren Teil des Wassers.</v>
      </c>
    </row>
    <row r="28309">
      <c r="A28309" s="4" t="s">
        <v>35651</v>
      </c>
      <c r="B28309" s="4" t="s">
        <v>35652</v>
      </c>
      <c r="C28309" s="5" t="str">
        <f>IFERROR(__xludf.DUMMYFUNCTION("GOOGLETRANSLATE(B28309,""en"",""de"")"),"Der Mann wachsen das Bein einer Frau.")</f>
        <v>Der Mann wachsen das Bein einer Frau.</v>
      </c>
    </row>
    <row r="28310">
      <c r="A28310" s="4" t="s">
        <v>35651</v>
      </c>
      <c r="B28310" s="4" t="s">
        <v>35653</v>
      </c>
      <c r="C28310" s="5" t="str">
        <f>IFERROR(__xludf.DUMMYFUNCTION("GOOGLETRANSLATE(B28310,""en"",""de"")"),"Frau spricht mit der Kamera und zeigt, wie man das Bein wächst.")</f>
        <v>Frau spricht mit der Kamera und zeigt, wie man das Bein wächst.</v>
      </c>
    </row>
    <row r="28311">
      <c r="A28311" s="4" t="s">
        <v>35654</v>
      </c>
      <c r="B28311" s="4" t="s">
        <v>35655</v>
      </c>
      <c r="C28311" s="5" t="str">
        <f>IFERROR(__xludf.DUMMYFUNCTION("GOOGLETRANSLATE(B28311,""en"",""de"")"),"Zwei Menschen haben ihre Beine zusammengebunden und erhalten dann Anweisungen.")</f>
        <v>Zwei Menschen haben ihre Beine zusammengebunden und erhalten dann Anweisungen.</v>
      </c>
    </row>
    <row r="28312">
      <c r="A28312" s="4" t="s">
        <v>35654</v>
      </c>
      <c r="B28312" s="4" t="s">
        <v>35656</v>
      </c>
      <c r="C28312" s="5" t="str">
        <f>IFERROR(__xludf.DUMMYFUNCTION("GOOGLETRANSLATE(B28312,""en"",""de"")"),"Sie gehen zu einem Felsvorsprung und gehen dann Bungee über die Kante.")</f>
        <v>Sie gehen zu einem Felsvorsprung und gehen dann Bungee über die Kante.</v>
      </c>
    </row>
    <row r="28313">
      <c r="A28313" s="4" t="s">
        <v>35657</v>
      </c>
      <c r="B28313" s="4" t="s">
        <v>35658</v>
      </c>
      <c r="C28313" s="5" t="str">
        <f>IFERROR(__xludf.DUMMYFUNCTION("GOOGLETRANSLATE(B28313,""en"",""de"")"),"Bilder von einem Getränk werden gefolgt von einer leeren Schüssel und einer Person gezeigt, die Zutaten in die Schüssel steckt.")</f>
        <v>Bilder von einem Getränk werden gefolgt von einer leeren Schüssel und einer Person gezeigt, die Zutaten in die Schüssel steckt.</v>
      </c>
    </row>
    <row r="28314">
      <c r="A28314" s="4" t="s">
        <v>35657</v>
      </c>
      <c r="B28314" s="4" t="s">
        <v>35659</v>
      </c>
      <c r="C28314" s="5" t="str">
        <f>IFERROR(__xludf.DUMMYFUNCTION("GOOGLETRANSLATE(B28314,""en"",""de"")"),"Die Person rührt die Zutaten rund um und gießt die Mischung in ein Glas mit Eis, um zu servieren.")</f>
        <v>Die Person rührt die Zutaten rund um und gießt die Mischung in ein Glas mit Eis, um zu servieren.</v>
      </c>
    </row>
    <row r="28315">
      <c r="A28315" s="4" t="s">
        <v>35660</v>
      </c>
      <c r="B28315" s="4" t="s">
        <v>35661</v>
      </c>
      <c r="C28315" s="5" t="str">
        <f>IFERROR(__xludf.DUMMYFUNCTION("GOOGLETRANSLATE(B28315,""en"",""de"")"),"Eine Bürste ist an einem Power -Bohrer zum Schrubben befestigt.")</f>
        <v>Eine Bürste ist an einem Power -Bohrer zum Schrubben befestigt.</v>
      </c>
    </row>
    <row r="28316">
      <c r="A28316" s="4" t="s">
        <v>35660</v>
      </c>
      <c r="B28316" s="4" t="s">
        <v>35662</v>
      </c>
      <c r="C28316" s="5" t="str">
        <f>IFERROR(__xludf.DUMMYFUNCTION("GOOGLETRANSLATE(B28316,""en"",""de"")"),"Die Oberseite des Waschbeckens wird dann die Schüssel geschrubbt.")</f>
        <v>Die Oberseite des Waschbeckens wird dann die Schüssel geschrubbt.</v>
      </c>
    </row>
    <row r="28317">
      <c r="A28317" s="4" t="s">
        <v>35660</v>
      </c>
      <c r="B28317" s="4" t="s">
        <v>35663</v>
      </c>
      <c r="C28317" s="5" t="str">
        <f>IFERROR(__xludf.DUMMYFUNCTION("GOOGLETRANSLATE(B28317,""en"",""de"")"),"Es wird mit einem Handtuch abgewischt, um fertig zu werden.")</f>
        <v>Es wird mit einem Handtuch abgewischt, um fertig zu werden.</v>
      </c>
    </row>
    <row r="28318">
      <c r="A28318" s="4" t="s">
        <v>35664</v>
      </c>
      <c r="B28318" s="4" t="s">
        <v>35665</v>
      </c>
      <c r="C28318" s="5" t="str">
        <f>IFERROR(__xludf.DUMMYFUNCTION("GOOGLETRANSLATE(B28318,""en"",""de"")"),"Die Menschen sitzen auf Trainingsmaschinen in einem Raum.")</f>
        <v>Die Menschen sitzen auf Trainingsmaschinen in einem Raum.</v>
      </c>
    </row>
    <row r="28319">
      <c r="A28319" s="4" t="s">
        <v>35664</v>
      </c>
      <c r="B28319" s="4" t="s">
        <v>35666</v>
      </c>
      <c r="C28319" s="5" t="str">
        <f>IFERROR(__xludf.DUMMYFUNCTION("GOOGLETRANSLATE(B28319,""en"",""de"")"),"Sie alle beginnen zu trainieren und ziehen an einem Seil.")</f>
        <v>Sie alle beginnen zu trainieren und ziehen an einem Seil.</v>
      </c>
    </row>
    <row r="28320">
      <c r="A28320" s="4" t="s">
        <v>35664</v>
      </c>
      <c r="B28320" s="4" t="s">
        <v>35667</v>
      </c>
      <c r="C28320" s="5" t="str">
        <f>IFERROR(__xludf.DUMMYFUNCTION("GOOGLETRANSLATE(B28320,""en"",""de"")"),"Die Leute stehen vor ihnen und jubeln sie an.")</f>
        <v>Die Leute stehen vor ihnen und jubeln sie an.</v>
      </c>
    </row>
    <row r="28321">
      <c r="A28321" s="4" t="s">
        <v>35668</v>
      </c>
      <c r="B28321" s="4" t="s">
        <v>35669</v>
      </c>
      <c r="C28321" s="5" t="str">
        <f>IFERROR(__xludf.DUMMYFUNCTION("GOOGLETRANSLATE(B28321,""en"",""de"")"),"Ein Mann tanzt mit einem Hula -Hoop in einer überfüllten Gegend, während die Leute hinter ihr herumwandern.")</f>
        <v>Ein Mann tanzt mit einem Hula -Hoop in einer überfüllten Gegend, während die Leute hinter ihr herumwandern.</v>
      </c>
    </row>
    <row r="28322">
      <c r="A28322" s="4" t="s">
        <v>35668</v>
      </c>
      <c r="B28322" s="4" t="s">
        <v>35670</v>
      </c>
      <c r="C28322" s="5" t="str">
        <f>IFERROR(__xludf.DUMMYFUNCTION("GOOGLETRANSLATE(B28322,""en"",""de"")"),"Die Frau dreht sich weiterhin um sich um sich herum, als die Leute sie drehen.")</f>
        <v>Die Frau dreht sich weiterhin um sich um sich herum, als die Leute sie drehen.</v>
      </c>
    </row>
    <row r="28323">
      <c r="A28323" s="4" t="s">
        <v>35671</v>
      </c>
      <c r="B28323" s="4" t="s">
        <v>35672</v>
      </c>
      <c r="C28323" s="5" t="str">
        <f>IFERROR(__xludf.DUMMYFUNCTION("GOOGLETRANSLATE(B28323,""en"",""de"")"),"Ein Jazzmusiker lehrt, wie man das Saxophon spielt.")</f>
        <v>Ein Jazzmusiker lehrt, wie man das Saxophon spielt.</v>
      </c>
    </row>
    <row r="28324">
      <c r="A28324" s="4" t="s">
        <v>35671</v>
      </c>
      <c r="B28324" s="4" t="s">
        <v>35673</v>
      </c>
      <c r="C28324" s="5" t="str">
        <f>IFERROR(__xludf.DUMMYFUNCTION("GOOGLETRANSLATE(B28324,""en"",""de"")"),"Er gibt Anweisungen und spricht über Musik und Waage.")</f>
        <v>Er gibt Anweisungen und spricht über Musik und Waage.</v>
      </c>
    </row>
    <row r="28325">
      <c r="A28325" s="4" t="s">
        <v>35671</v>
      </c>
      <c r="B28325" s="4" t="s">
        <v>35674</v>
      </c>
      <c r="C28325" s="5" t="str">
        <f>IFERROR(__xludf.DUMMYFUNCTION("GOOGLETRANSLATE(B28325,""en"",""de"")"),"Dann beginnt er für ein wenig zu spielen, bevor er wieder zum Vortrag zurückkehrte.")</f>
        <v>Dann beginnt er für ein wenig zu spielen, bevor er wieder zum Vortrag zurückkehrte.</v>
      </c>
    </row>
    <row r="28326">
      <c r="A28326" s="4" t="s">
        <v>35671</v>
      </c>
      <c r="B28326" s="4" t="s">
        <v>35675</v>
      </c>
      <c r="C28326" s="5" t="str">
        <f>IFERROR(__xludf.DUMMYFUNCTION("GOOGLETRANSLATE(B28326,""en"",""de"")"),"Er spricht über die Notizen, die er auf dem Kreidebrett geschrieben hat, und kehrt zurück, um mehr über alles zu unterrichten.")</f>
        <v>Er spricht über die Notizen, die er auf dem Kreidebrett geschrieben hat, und kehrt zurück, um mehr über alles zu unterrichten.</v>
      </c>
    </row>
    <row r="28327">
      <c r="A28327" s="4" t="s">
        <v>35676</v>
      </c>
      <c r="B28327" s="4" t="s">
        <v>35677</v>
      </c>
      <c r="C28327" s="5" t="str">
        <f>IFERROR(__xludf.DUMMYFUNCTION("GOOGLETRANSLATE(B28327,""en"",""de"")"),"Eine Person spricht in einem Boot mit einem Paddel.")</f>
        <v>Eine Person spricht in einem Boot mit einem Paddel.</v>
      </c>
    </row>
    <row r="28328">
      <c r="A28328" s="4" t="s">
        <v>35676</v>
      </c>
      <c r="B28328" s="4" t="s">
        <v>35678</v>
      </c>
      <c r="C28328" s="5" t="str">
        <f>IFERROR(__xludf.DUMMYFUNCTION("GOOGLETRANSLATE(B28328,""en"",""de"")"),"Dann segelt die Person in abgehacktem Gewässern, plötzlich dreht er das Boot weg, um beim Ruder zu helfen.")</f>
        <v>Dann segelt die Person in abgehacktem Gewässern, plötzlich dreht er das Boot weg, um beim Ruder zu helfen.</v>
      </c>
    </row>
    <row r="28329">
      <c r="A28329" s="4" t="s">
        <v>35679</v>
      </c>
      <c r="B28329" s="4" t="s">
        <v>35680</v>
      </c>
      <c r="C28329" s="5" t="str">
        <f>IFERROR(__xludf.DUMMYFUNCTION("GOOGLETRANSLATE(B28329,""en"",""de"")"),"Eine Gruppe von Kindern und Erwachsenen befindet sich an einem Fluss.")</f>
        <v>Eine Gruppe von Kindern und Erwachsenen befindet sich an einem Fluss.</v>
      </c>
    </row>
    <row r="28330">
      <c r="A28330" s="4" t="s">
        <v>35679</v>
      </c>
      <c r="B28330" s="4" t="s">
        <v>35681</v>
      </c>
      <c r="C28330" s="5" t="str">
        <f>IFERROR(__xludf.DUMMYFUNCTION("GOOGLETRANSLATE(B28330,""en"",""de"")"),"Sie geraten in Flöße und schweben den Strom hinunter.")</f>
        <v>Sie geraten in Flöße und schweben den Strom hinunter.</v>
      </c>
    </row>
    <row r="28331">
      <c r="A28331" s="4" t="s">
        <v>35679</v>
      </c>
      <c r="B28331" s="4" t="s">
        <v>35682</v>
      </c>
      <c r="C28331" s="5" t="str">
        <f>IFERROR(__xludf.DUMMYFUNCTION("GOOGLETRANSLATE(B28331,""en"",""de"")"),"Sie paddeln durch die Stromschnellen und Stürze.")</f>
        <v>Sie paddeln durch die Stromschnellen und Stürze.</v>
      </c>
    </row>
    <row r="28332">
      <c r="A28332" s="4" t="s">
        <v>35683</v>
      </c>
      <c r="B28332" s="4" t="s">
        <v>35684</v>
      </c>
      <c r="C28332" s="5" t="str">
        <f>IFERROR(__xludf.DUMMYFUNCTION("GOOGLETRANSLATE(B28332,""en"",""de"")"),"""Wie man ein Lagerfeuer mit Fiair beginnt"" erscheint auf dem Bildschirm.")</f>
        <v>"Wie man ein Lagerfeuer mit Fiair beginnt" erscheint auf dem Bildschirm.</v>
      </c>
    </row>
    <row r="28333">
      <c r="A28333" s="4" t="s">
        <v>35683</v>
      </c>
      <c r="B28333" s="4" t="s">
        <v>35685</v>
      </c>
      <c r="C28333" s="5" t="str">
        <f>IFERROR(__xludf.DUMMYFUNCTION("GOOGLETRANSLATE(B28333,""en"",""de"")"),"Der Wildtierbiologe Bryon Shissler sitzt draußen an einer Lagerfeuergrube und spricht mit der Kamera.")</f>
        <v>Der Wildtierbiologe Bryon Shissler sitzt draußen an einer Lagerfeuergrube und spricht mit der Kamera.</v>
      </c>
    </row>
    <row r="28334">
      <c r="A28334" s="4" t="s">
        <v>35683</v>
      </c>
      <c r="B28334" s="4" t="s">
        <v>35686</v>
      </c>
      <c r="C28334" s="5" t="str">
        <f>IFERROR(__xludf.DUMMYFUNCTION("GOOGLETRANSLATE(B28334,""en"",""de"")"),"Er baut und beleuchtet ein Feuer in der Grube mit dem Fiair -Gerät.")</f>
        <v>Er baut und beleuchtet ein Feuer in der Grube mit dem Fiair -Gerät.</v>
      </c>
    </row>
    <row r="28335">
      <c r="A28335" s="4" t="s">
        <v>35683</v>
      </c>
      <c r="B28335" s="4" t="s">
        <v>35687</v>
      </c>
      <c r="C28335" s="5" t="str">
        <f>IFERROR(__xludf.DUMMYFUNCTION("GOOGLETRANSLATE(B28335,""en"",""de"")"),"""Fiair, das handlige kleine Gebläse, um Ihre Feuer zu füttern"", erscheint auf dem Bildschirm.")</f>
        <v>"Fiair, das handlige kleine Gebläse, um Ihre Feuer zu füttern", erscheint auf dem Bildschirm.</v>
      </c>
    </row>
    <row r="28336">
      <c r="A28336" s="4" t="s">
        <v>35688</v>
      </c>
      <c r="B28336" s="4" t="s">
        <v>35689</v>
      </c>
      <c r="C28336" s="5" t="str">
        <f>IFERROR(__xludf.DUMMYFUNCTION("GOOGLETRANSLATE(B28336,""en"",""de"")"),"Die Leute beobachten eine Parade, bei der die Leute auf einer Blaskapelle ein Banner auf dem Vordergrund gehen und die Zuschauer schwenkte.")</f>
        <v>Die Leute beobachten eine Parade, bei der die Leute auf einer Blaskapelle ein Banner auf dem Vordergrund gehen und die Zuschauer schwenkte.</v>
      </c>
    </row>
    <row r="28337">
      <c r="A28337" s="4" t="s">
        <v>35688</v>
      </c>
      <c r="B28337" s="4" t="s">
        <v>35690</v>
      </c>
      <c r="C28337" s="5" t="str">
        <f>IFERROR(__xludf.DUMMYFUNCTION("GOOGLETRANSLATE(B28337,""en"",""de"")"),"Ein Mann überquert die Straße, die eine kleine Flagge hält und seine Hand verlängert.")</f>
        <v>Ein Mann überquert die Straße, die eine kleine Flagge hält und seine Hand verlängert.</v>
      </c>
    </row>
    <row r="28338">
      <c r="A28338" s="4" t="s">
        <v>35688</v>
      </c>
      <c r="B28338" s="4" t="s">
        <v>35691</v>
      </c>
      <c r="C28338" s="5" t="str">
        <f>IFERROR(__xludf.DUMMYFUNCTION("GOOGLETRANSLATE(B28338,""en"",""de"")"),"Eine Gruppe von Soldaten hält Gewehre und Fahnen auf einem schwarzen Auto.")</f>
        <v>Eine Gruppe von Soldaten hält Gewehre und Fahnen auf einem schwarzen Auto.</v>
      </c>
    </row>
    <row r="28339">
      <c r="A28339" s="4" t="s">
        <v>35688</v>
      </c>
      <c r="B28339" s="4" t="s">
        <v>35692</v>
      </c>
      <c r="C28339" s="5" t="str">
        <f>IFERROR(__xludf.DUMMYFUNCTION("GOOGLETRANSLATE(B28339,""en"",""de"")"),"Ein Veteran macht den militärischen Gruß.")</f>
        <v>Ein Veteran macht den militärischen Gruß.</v>
      </c>
    </row>
    <row r="28340">
      <c r="A28340" s="4" t="s">
        <v>35693</v>
      </c>
      <c r="B28340" s="4" t="s">
        <v>35694</v>
      </c>
      <c r="C28340" s="5" t="str">
        <f>IFERROR(__xludf.DUMMYFUNCTION("GOOGLETRANSLATE(B28340,""en"",""de"")"),"Eine Person taucht einen Pinsel in eine Pfanne ein.")</f>
        <v>Eine Person taucht einen Pinsel in eine Pfanne ein.</v>
      </c>
    </row>
    <row r="28341">
      <c r="A28341" s="4" t="s">
        <v>35693</v>
      </c>
      <c r="B28341" s="4" t="s">
        <v>35695</v>
      </c>
      <c r="C28341" s="5" t="str">
        <f>IFERROR(__xludf.DUMMYFUNCTION("GOOGLETRANSLATE(B28341,""en"",""de"")"),"Sie verwenden den Pinsel, um die Seite eines Tisches zu malen.")</f>
        <v>Sie verwenden den Pinsel, um die Seite eines Tisches zu malen.</v>
      </c>
    </row>
    <row r="28342">
      <c r="A28342" s="4" t="s">
        <v>35693</v>
      </c>
      <c r="B28342" s="4" t="s">
        <v>35696</v>
      </c>
      <c r="C28342" s="5" t="str">
        <f>IFERROR(__xludf.DUMMYFUNCTION("GOOGLETRANSLATE(B28342,""en"",""de"")"),"Sie verwenden große Striche und malen weiter.")</f>
        <v>Sie verwenden große Striche und malen weiter.</v>
      </c>
    </row>
    <row r="28343">
      <c r="A28343" s="4" t="s">
        <v>35697</v>
      </c>
      <c r="B28343" s="4" t="s">
        <v>35698</v>
      </c>
      <c r="C28343" s="5" t="str">
        <f>IFERROR(__xludf.DUMMYFUNCTION("GOOGLETRANSLATE(B28343,""en"",""de"")"),"Ein Mann geht zu einem anderen Mann verärgert und schlägt ein Arm -Wrestling -Match vor.")</f>
        <v>Ein Mann geht zu einem anderen Mann verärgert und schlägt ein Arm -Wrestling -Match vor.</v>
      </c>
    </row>
    <row r="28344">
      <c r="A28344" s="4" t="s">
        <v>35697</v>
      </c>
      <c r="B28344" s="4" t="s">
        <v>35699</v>
      </c>
      <c r="C28344" s="5" t="str">
        <f>IFERROR(__xludf.DUMMYFUNCTION("GOOGLETRANSLATE(B28344,""en"",""de"")"),"Die Männer beginnen sich die Hände zu halten und ziehen schnell weg, während zwei Frauen in die Szene gehen.")</f>
        <v>Die Männer beginnen sich die Hände zu halten und ziehen schnell weg, während zwei Frauen in die Szene gehen.</v>
      </c>
    </row>
    <row r="28345">
      <c r="A28345" s="4" t="s">
        <v>35697</v>
      </c>
      <c r="B28345" s="4" t="s">
        <v>35700</v>
      </c>
      <c r="C28345" s="5" t="str">
        <f>IFERROR(__xludf.DUMMYFUNCTION("GOOGLETRANSLATE(B28345,""en"",""de"")"),"Die Männer setzen das Match fort, während sie ruhig aussehen und der andere sieht zu kämpfen aus.")</f>
        <v>Die Männer setzen das Match fort, während sie ruhig aussehen und der andere sieht zu kämpfen aus.</v>
      </c>
    </row>
    <row r="28346">
      <c r="A28346" s="4" t="s">
        <v>35697</v>
      </c>
      <c r="B28346" s="4" t="s">
        <v>35701</v>
      </c>
      <c r="C28346" s="5" t="str">
        <f>IFERROR(__xludf.DUMMYFUNCTION("GOOGLETRANSLATE(B28346,""en"",""de"")"),"Das Match geht weiter, als die Männer ihre Probleme diskutieren und die Frauen, die die Männer anschreien.")</f>
        <v>Das Match geht weiter, als die Männer ihre Probleme diskutieren und die Frauen, die die Männer anschreien.</v>
      </c>
    </row>
    <row r="28347">
      <c r="A28347" s="4" t="s">
        <v>35697</v>
      </c>
      <c r="B28347" s="4" t="s">
        <v>35702</v>
      </c>
      <c r="C28347" s="5" t="str">
        <f>IFERROR(__xludf.DUMMYFUNCTION("GOOGLETRANSLATE(B28347,""en"",""de"")"),"Die Frauen helfen dann den Männern, Arm zu ringen, und einer schlägt den anderen, um einem Mann zu gewinnen.")</f>
        <v>Die Frauen helfen dann den Männern, Arm zu ringen, und einer schlägt den anderen, um einem Mann zu gewinnen.</v>
      </c>
    </row>
    <row r="28348">
      <c r="A28348" s="4" t="s">
        <v>35697</v>
      </c>
      <c r="B28348" s="4" t="s">
        <v>35703</v>
      </c>
      <c r="C28348" s="5" t="str">
        <f>IFERROR(__xludf.DUMMYFUNCTION("GOOGLETRANSLATE(B28348,""en"",""de"")"),"Die geschlagene Frau zieht die Arme hoch und sticht sie, während der andere Mann sie ebenfalls sticht.")</f>
        <v>Die geschlagene Frau zieht die Arme hoch und sticht sie, während der andere Mann sie ebenfalls sticht.</v>
      </c>
    </row>
    <row r="28349">
      <c r="A28349" s="4" t="s">
        <v>35697</v>
      </c>
      <c r="B28349" s="4" t="s">
        <v>35704</v>
      </c>
      <c r="C28349" s="5" t="str">
        <f>IFERROR(__xludf.DUMMYFUNCTION("GOOGLETRANSLATE(B28349,""en"",""de"")"),"Die Frauen ziehen Klebeband heraus und stopfen einen Körper in eine Tasche.")</f>
        <v>Die Frauen ziehen Klebeband heraus und stopfen einen Körper in eine Tasche.</v>
      </c>
    </row>
    <row r="28350">
      <c r="A28350" s="4" t="s">
        <v>35705</v>
      </c>
      <c r="B28350" s="4" t="s">
        <v>35706</v>
      </c>
      <c r="C28350" s="5" t="str">
        <f>IFERROR(__xludf.DUMMYFUNCTION("GOOGLETRANSLATE(B28350,""en"",""de"")"),"Ein Mann konzentriert sich extrem hart, als er bei einem Turnier in ein Brett auf ein Brett wirft.")</f>
        <v>Ein Mann konzentriert sich extrem hart, als er bei einem Turnier in ein Brett auf ein Brett wirft.</v>
      </c>
    </row>
    <row r="28351">
      <c r="A28351" s="4" t="s">
        <v>35705</v>
      </c>
      <c r="B28351" s="4" t="s">
        <v>35707</v>
      </c>
      <c r="C28351" s="5" t="str">
        <f>IFERROR(__xludf.DUMMYFUNCTION("GOOGLETRANSLATE(B28351,""en"",""de"")"),"Die Leute jubeln und senken ihn für ihn, während ein anderer Mann sich dem Vorstand nähert und ihm den Wettbewerb hat.")</f>
        <v>Die Leute jubeln und senken ihn für ihn, während ein anderer Mann sich dem Vorstand nähert und ihm den Wettbewerb hat.</v>
      </c>
    </row>
    <row r="28352">
      <c r="A28352" s="4" t="s">
        <v>35705</v>
      </c>
      <c r="B28352" s="4" t="s">
        <v>35708</v>
      </c>
      <c r="C28352" s="5" t="str">
        <f>IFERROR(__xludf.DUMMYFUNCTION("GOOGLETRANSLATE(B28352,""en"",""de"")"),"Die beiden gehen hin und her, aber der erste Mann scheint der Favorit des Fans zu sein und gewinnt das Spiel.")</f>
        <v>Die beiden gehen hin und her, aber der erste Mann scheint der Favorit des Fans zu sein und gewinnt das Spiel.</v>
      </c>
    </row>
    <row r="28353">
      <c r="A28353" s="4" t="s">
        <v>35709</v>
      </c>
      <c r="B28353" s="4" t="s">
        <v>35710</v>
      </c>
      <c r="C28353" s="5" t="str">
        <f>IFERROR(__xludf.DUMMYFUNCTION("GOOGLETRANSLATE(B28353,""en"",""de"")"),"Ein Mann sitzt auf einem Übungsrad.")</f>
        <v>Ein Mann sitzt auf einem Übungsrad.</v>
      </c>
    </row>
    <row r="28354">
      <c r="A28354" s="4" t="s">
        <v>35709</v>
      </c>
      <c r="B28354" s="4" t="s">
        <v>35711</v>
      </c>
      <c r="C28354" s="5" t="str">
        <f>IFERROR(__xludf.DUMMYFUNCTION("GOOGLETRANSLATE(B28354,""en"",""de"")"),"Er arbeitet am Fahrrad.")</f>
        <v>Er arbeitet am Fahrrad.</v>
      </c>
    </row>
    <row r="28355">
      <c r="A28355" s="4" t="s">
        <v>35709</v>
      </c>
      <c r="B28355" s="4" t="s">
        <v>35712</v>
      </c>
      <c r="C28355" s="5" t="str">
        <f>IFERROR(__xludf.DUMMYFUNCTION("GOOGLETRANSLATE(B28355,""en"",""de"")"),"Er spricht mit der Kamera, während er trainiert.")</f>
        <v>Er spricht mit der Kamera, während er trainiert.</v>
      </c>
    </row>
    <row r="28356">
      <c r="A28356" s="4" t="s">
        <v>35713</v>
      </c>
      <c r="B28356" s="4" t="s">
        <v>35714</v>
      </c>
      <c r="C28356" s="5" t="str">
        <f>IFERROR(__xludf.DUMMYFUNCTION("GOOGLETRANSLATE(B28356,""en"",""de"")"),"Eine Gruppe von Kampfkünstlern und Schlagzeugern tritt in einem Straßenwettbewerb auf.")</f>
        <v>Eine Gruppe von Kampfkünstlern und Schlagzeugern tritt in einem Straßenwettbewerb auf.</v>
      </c>
    </row>
    <row r="28357">
      <c r="A28357" s="4" t="s">
        <v>35713</v>
      </c>
      <c r="B28357" s="4" t="s">
        <v>35715</v>
      </c>
      <c r="C28357" s="5" t="str">
        <f>IFERROR(__xludf.DUMMYFUNCTION("GOOGLETRANSLATE(B28357,""en"",""de"")"),"Die Kampfkünstler in roten Hosen und schwarzen Hemden machen Tritte und Flips.")</f>
        <v>Die Kampfkünstler in roten Hosen und schwarzen Hemden machen Tritte und Flips.</v>
      </c>
    </row>
    <row r="28358">
      <c r="A28358" s="4" t="s">
        <v>35713</v>
      </c>
      <c r="B28358" s="4" t="s">
        <v>35716</v>
      </c>
      <c r="C28358" s="5" t="str">
        <f>IFERROR(__xludf.DUMMYFUNCTION("GOOGLETRANSLATE(B28358,""en"",""de"")"),"Schlagzeuger, die alle schwarzen und roten Hüte tragen, spielen Schlagzeug.")</f>
        <v>Schlagzeuger, die alle schwarzen und roten Hüte tragen, spielen Schlagzeug.</v>
      </c>
    </row>
    <row r="28359">
      <c r="A28359" s="4" t="s">
        <v>35713</v>
      </c>
      <c r="B28359" s="4" t="s">
        <v>35717</v>
      </c>
      <c r="C28359" s="5" t="str">
        <f>IFERROR(__xludf.DUMMYFUNCTION("GOOGLETRANSLATE(B28359,""en"",""de"")"),"Die Darsteller beenden ihr Stück und die Menge applaudiert.")</f>
        <v>Die Darsteller beenden ihr Stück und die Menge applaudiert.</v>
      </c>
    </row>
    <row r="28360">
      <c r="A28360" s="4" t="s">
        <v>35718</v>
      </c>
      <c r="B28360" s="4" t="s">
        <v>35719</v>
      </c>
      <c r="C28360" s="5" t="str">
        <f>IFERROR(__xludf.DUMMYFUNCTION("GOOGLETRANSLATE(B28360,""en"",""de"")"),"Ein kleiner Junge und ein Mädchen stehen über einem Waschbecken, wobei ihre Mutter spricht.")</f>
        <v>Ein kleiner Junge und ein Mädchen stehen über einem Waschbecken, wobei ihre Mutter spricht.</v>
      </c>
    </row>
    <row r="28361">
      <c r="A28361" s="4" t="s">
        <v>35718</v>
      </c>
      <c r="B28361" s="4" t="s">
        <v>35720</v>
      </c>
      <c r="C28361" s="5" t="str">
        <f>IFERROR(__xludf.DUMMYFUNCTION("GOOGLETRANSLATE(B28361,""en"",""de"")"),"Die Mutter weist sie an, wie sie ihre Zähne putzen können, während sie lachen.")</f>
        <v>Die Mutter weist sie an, wie sie ihre Zähne putzen können, während sie lachen.</v>
      </c>
    </row>
    <row r="28362">
      <c r="A28362" s="4" t="s">
        <v>35718</v>
      </c>
      <c r="B28362" s="4" t="s">
        <v>35721</v>
      </c>
      <c r="C28362" s="5" t="str">
        <f>IFERROR(__xludf.DUMMYFUNCTION("GOOGLETRANSLATE(B28362,""en"",""de"")"),"Der Junge hilft seiner jüngeren Schwester, seine Zähne zu putzen.")</f>
        <v>Der Junge hilft seiner jüngeren Schwester, seine Zähne zu putzen.</v>
      </c>
    </row>
    <row r="28363">
      <c r="A28363" s="4" t="s">
        <v>35718</v>
      </c>
      <c r="B28363" s="4" t="s">
        <v>35722</v>
      </c>
      <c r="C28363" s="5" t="str">
        <f>IFERROR(__xludf.DUMMYFUNCTION("GOOGLETRANSLATE(B28363,""en"",""de"")"),"Sie bringt ihnen etwas Wasser, um in ihrem Mund gurgeln zu können.")</f>
        <v>Sie bringt ihnen etwas Wasser, um in ihrem Mund gurgeln zu können.</v>
      </c>
    </row>
    <row r="28364">
      <c r="A28364" s="4" t="s">
        <v>35718</v>
      </c>
      <c r="B28364" s="4" t="s">
        <v>35723</v>
      </c>
      <c r="C28364" s="5" t="str">
        <f>IFERROR(__xludf.DUMMYFUNCTION("GOOGLETRANSLATE(B28364,""en"",""de"")"),"Der Junge und das Mädchen beginnen im Waschbecken zu spielen.")</f>
        <v>Der Junge und das Mädchen beginnen im Waschbecken zu spielen.</v>
      </c>
    </row>
    <row r="28365">
      <c r="A28365" s="4" t="s">
        <v>35718</v>
      </c>
      <c r="B28365" s="4" t="s">
        <v>35724</v>
      </c>
      <c r="C28365" s="5" t="str">
        <f>IFERROR(__xludf.DUMMYFUNCTION("GOOGLETRANSLATE(B28365,""en"",""de"")"),"Die Frau lacht über die Kinder, die Wasser dribbeln.")</f>
        <v>Die Frau lacht über die Kinder, die Wasser dribbeln.</v>
      </c>
    </row>
    <row r="28366">
      <c r="A28366" s="4" t="s">
        <v>35725</v>
      </c>
      <c r="B28366" s="4" t="s">
        <v>35726</v>
      </c>
      <c r="C28366" s="5" t="str">
        <f>IFERROR(__xludf.DUMMYFUNCTION("GOOGLETRANSLATE(B28366,""en"",""de"")"),"Eine Frau ist außerhalb des Windes und weht ein wenig durch ihre Haare, die Aussicht ist hervorragend.")</f>
        <v>Eine Frau ist außerhalb des Windes und weht ein wenig durch ihre Haare, die Aussicht ist hervorragend.</v>
      </c>
    </row>
    <row r="28367">
      <c r="A28367" s="4" t="s">
        <v>35725</v>
      </c>
      <c r="B28367" s="4" t="s">
        <v>35727</v>
      </c>
      <c r="C28367" s="5" t="str">
        <f>IFERROR(__xludf.DUMMYFUNCTION("GOOGLETRANSLATE(B28367,""en"",""de"")"),"Es gibt IA -Gruppe von Läufern, die einen Marathon beginnen, sich Zeit zu nehmen.")</f>
        <v>Es gibt IA -Gruppe von Läufern, die einen Marathon beginnen, sich Zeit zu nehmen.</v>
      </c>
    </row>
    <row r="28368">
      <c r="A28368" s="4" t="s">
        <v>35725</v>
      </c>
      <c r="B28368" s="4" t="s">
        <v>35728</v>
      </c>
      <c r="C28368" s="5" t="str">
        <f>IFERROR(__xludf.DUMMYFUNCTION("GOOGLETRANSLATE(B28368,""en"",""de"")"),"Es war landschaftlich und schön da draußen, Blumen blühen und alles.")</f>
        <v>Es war landschaftlich und schön da draußen, Blumen blühen und alles.</v>
      </c>
    </row>
    <row r="28369">
      <c r="A28369" s="4" t="s">
        <v>35725</v>
      </c>
      <c r="B28369" s="4" t="s">
        <v>35729</v>
      </c>
      <c r="C28369" s="5" t="str">
        <f>IFERROR(__xludf.DUMMYFUNCTION("GOOGLETRANSLATE(B28369,""en"",""de"")"),"Einige der Läufer sprechen Reporter über ihre Erfahrungen.")</f>
        <v>Einige der Läufer sprechen Reporter über ihre Erfahrungen.</v>
      </c>
    </row>
    <row r="28370">
      <c r="A28370" s="4" t="s">
        <v>35730</v>
      </c>
      <c r="B28370" s="4" t="s">
        <v>35731</v>
      </c>
      <c r="C28370" s="5" t="str">
        <f>IFERROR(__xludf.DUMMYFUNCTION("GOOGLETRANSLATE(B28370,""en"",""de"")"),"Sie tanzt mit einem Schlagstock sehr anmutig auf der Bühne für ihre Leistung.")</f>
        <v>Sie tanzt mit einem Schlagstock sehr anmutig auf der Bühne für ihre Leistung.</v>
      </c>
    </row>
    <row r="28371">
      <c r="A28371" s="4" t="s">
        <v>35730</v>
      </c>
      <c r="B28371" s="4" t="s">
        <v>35732</v>
      </c>
      <c r="C28371" s="5" t="str">
        <f>IFERROR(__xludf.DUMMYFUNCTION("GOOGLETRANSLATE(B28371,""en"",""de"")"),"Sie macht Handständer und alle möglichen faszinierenden Bewegungen.")</f>
        <v>Sie macht Handständer und alle möglichen faszinierenden Bewegungen.</v>
      </c>
    </row>
    <row r="28372">
      <c r="A28372" s="4" t="s">
        <v>35730</v>
      </c>
      <c r="B28372" s="4" t="s">
        <v>35733</v>
      </c>
      <c r="C28372" s="5" t="str">
        <f>IFERROR(__xludf.DUMMYFUNCTION("GOOGLETRANSLATE(B28372,""en"",""de"")"),"Sie wirft den Schlagstock hoch und macht ein paar Wagenräder und landet rechtzeitig, um sie zu fangen.")</f>
        <v>Sie wirft den Schlagstock hoch und macht ein paar Wagenräder und landet rechtzeitig, um sie zu fangen.</v>
      </c>
    </row>
    <row r="28373">
      <c r="A28373" s="4" t="s">
        <v>35730</v>
      </c>
      <c r="B28373" s="4" t="s">
        <v>35734</v>
      </c>
      <c r="C28373" s="5" t="str">
        <f>IFERROR(__xludf.DUMMYFUNCTION("GOOGLETRANSLATE(B28373,""en"",""de"")"),"Sie lässt versehentlich den Staffelstab fallen und nimmt ihn auf und geht weiter und weiter bis zum Ende ihres Tanzes.")</f>
        <v>Sie lässt versehentlich den Staffelstab fallen und nimmt ihn auf und geht weiter und weiter bis zum Ende ihres Tanzes.</v>
      </c>
    </row>
    <row r="28374">
      <c r="A28374" s="4" t="s">
        <v>35735</v>
      </c>
      <c r="B28374" s="4" t="s">
        <v>35736</v>
      </c>
      <c r="C28374" s="5" t="str">
        <f>IFERROR(__xludf.DUMMYFUNCTION("GOOGLETRANSLATE(B28374,""en"",""de"")"),"Kid schleift in einem Raum mit der Kamera.")</f>
        <v>Kid schleift in einem Raum mit der Kamera.</v>
      </c>
    </row>
    <row r="28375">
      <c r="A28375" s="4" t="s">
        <v>35735</v>
      </c>
      <c r="B28375" s="4" t="s">
        <v>35737</v>
      </c>
      <c r="C28375" s="5" t="str">
        <f>IFERROR(__xludf.DUMMYFUNCTION("GOOGLETRANSLATE(B28375,""en"",""de"")"),"Anoher Man erscheint im Raum und übt ein Kopfschloss.")</f>
        <v>Anoher Man erscheint im Raum und übt ein Kopfschloss.</v>
      </c>
    </row>
    <row r="28376">
      <c r="A28376" s="4" t="s">
        <v>35735</v>
      </c>
      <c r="B28376" s="4" t="s">
        <v>35738</v>
      </c>
      <c r="C28376" s="5" t="str">
        <f>IFERROR(__xludf.DUMMYFUNCTION("GOOGLETRANSLATE(B28376,""en"",""de"")"),"Mann wirf das Kind ins Bett und steht.")</f>
        <v>Mann wirf das Kind ins Bett und steht.</v>
      </c>
    </row>
    <row r="28377">
      <c r="A28377" s="4" t="s">
        <v>35739</v>
      </c>
      <c r="B28377" s="4" t="s">
        <v>35740</v>
      </c>
      <c r="C28377" s="5" t="str">
        <f>IFERROR(__xludf.DUMMYFUNCTION("GOOGLETRANSLATE(B28377,""en"",""de"")"),"Ein Öffnungsbildschirm mit dem Titel eines Songs wird gezeigt.")</f>
        <v>Ein Öffnungsbildschirm mit dem Titel eines Songs wird gezeigt.</v>
      </c>
    </row>
    <row r="28378">
      <c r="A28378" s="4" t="s">
        <v>35739</v>
      </c>
      <c r="B28378" s="4" t="s">
        <v>35741</v>
      </c>
      <c r="C28378" s="5" t="str">
        <f>IFERROR(__xludf.DUMMYFUNCTION("GOOGLETRANSLATE(B28378,""en"",""de"")"),"Wir sehen einen Mann, der in einem Aufnahmestudio eine Gitarre spielt.")</f>
        <v>Wir sehen einen Mann, der in einem Aufnahmestudio eine Gitarre spielt.</v>
      </c>
    </row>
    <row r="28379">
      <c r="A28379" s="4" t="s">
        <v>35739</v>
      </c>
      <c r="B28379" s="4" t="s">
        <v>35742</v>
      </c>
      <c r="C28379" s="5" t="str">
        <f>IFERROR(__xludf.DUMMYFUNCTION("GOOGLETRANSLATE(B28379,""en"",""de"")"),"Wir sehen einen Endbildschirm mit der YouTube -Kanaladresse des Mannes.")</f>
        <v>Wir sehen einen Endbildschirm mit der YouTube -Kanaladresse des Mannes.</v>
      </c>
    </row>
    <row r="28380">
      <c r="A28380" s="4" t="s">
        <v>35743</v>
      </c>
      <c r="B28380" s="4" t="s">
        <v>35744</v>
      </c>
      <c r="C28380" s="5" t="str">
        <f>IFERROR(__xludf.DUMMYFUNCTION("GOOGLETRANSLATE(B28380,""en"",""de"")"),"Der Mensch ist in einer Rennstrecke, um einen Hochsprung in den Staub zu machen.")</f>
        <v>Der Mensch ist in einer Rennstrecke, um einen Hochsprung in den Staub zu machen.</v>
      </c>
    </row>
    <row r="28381">
      <c r="A28381" s="4" t="s">
        <v>35743</v>
      </c>
      <c r="B28381" s="4" t="s">
        <v>35745</v>
      </c>
      <c r="C28381" s="5" t="str">
        <f>IFERROR(__xludf.DUMMYFUNCTION("GOOGLETRANSLATE(B28381,""en"",""de"")"),"Frau steckt Zahlen in ein Scoeeboard.")</f>
        <v>Frau steckt Zahlen in ein Scoeeboard.</v>
      </c>
    </row>
    <row r="28382">
      <c r="A28382" s="4" t="s">
        <v>35743</v>
      </c>
      <c r="B28382" s="4" t="s">
        <v>35746</v>
      </c>
      <c r="C28382" s="5" t="str">
        <f>IFERROR(__xludf.DUMMYFUNCTION("GOOGLETRANSLATE(B28382,""en"",""de"")"),"Der Mensch läuft mitten auf dem Feld.")</f>
        <v>Der Mensch läuft mitten auf dem Feld.</v>
      </c>
    </row>
    <row r="28383">
      <c r="A28383" s="4" t="s">
        <v>35747</v>
      </c>
      <c r="B28383" s="4" t="s">
        <v>35748</v>
      </c>
      <c r="C28383" s="5" t="str">
        <f>IFERROR(__xludf.DUMMYFUNCTION("GOOGLETRANSLATE(B28383,""en"",""de"")"),"Zwei Männer befinden sich vor Gericht.")</f>
        <v>Zwei Männer befinden sich vor Gericht.</v>
      </c>
    </row>
    <row r="28384">
      <c r="A28384" s="4" t="s">
        <v>35747</v>
      </c>
      <c r="B28384" s="4" t="s">
        <v>35749</v>
      </c>
      <c r="C28384" s="5" t="str">
        <f>IFERROR(__xludf.DUMMYFUNCTION("GOOGLETRANSLATE(B28384,""en"",""de"")"),"Sie spielen zusammen ein Racquetballspiel.")</f>
        <v>Sie spielen zusammen ein Racquetballspiel.</v>
      </c>
    </row>
    <row r="28385">
      <c r="A28385" s="4" t="s">
        <v>35747</v>
      </c>
      <c r="B28385" s="4" t="s">
        <v>35750</v>
      </c>
      <c r="C28385" s="5" t="str">
        <f>IFERROR(__xludf.DUMMYFUNCTION("GOOGLETRANSLATE(B28385,""en"",""de"")"),"Sie schlagen abwechselnd den Ball gegen die Wand.")</f>
        <v>Sie schlagen abwechselnd den Ball gegen die Wand.</v>
      </c>
    </row>
    <row r="28386">
      <c r="A28386" s="4" t="s">
        <v>35751</v>
      </c>
      <c r="B28386" s="4" t="s">
        <v>35752</v>
      </c>
      <c r="C28386" s="5" t="str">
        <f>IFERROR(__xludf.DUMMYFUNCTION("GOOGLETRANSLATE(B28386,""en"",""de"")"),"Die Leute sitzen in einem Auto.")</f>
        <v>Die Leute sitzen in einem Auto.</v>
      </c>
    </row>
    <row r="28387">
      <c r="A28387" s="4" t="s">
        <v>35751</v>
      </c>
      <c r="B28387" s="4" t="s">
        <v>35753</v>
      </c>
      <c r="C28387" s="5" t="str">
        <f>IFERROR(__xludf.DUMMYFUNCTION("GOOGLETRANSLATE(B28387,""en"",""de"")"),"Sie stehen um ein großes aufblasbares Floß.")</f>
        <v>Sie stehen um ein großes aufblasbares Floß.</v>
      </c>
    </row>
    <row r="28388">
      <c r="A28388" s="4" t="s">
        <v>35751</v>
      </c>
      <c r="B28388" s="4" t="s">
        <v>35754</v>
      </c>
      <c r="C28388" s="5" t="str">
        <f>IFERROR(__xludf.DUMMYFUNCTION("GOOGLETRANSLATE(B28388,""en"",""de"")"),"Sie raftend in abgehacktem Wasser eines Flusses.")</f>
        <v>Sie raftend in abgehacktem Wasser eines Flusses.</v>
      </c>
    </row>
    <row r="28389">
      <c r="A28389" s="4" t="s">
        <v>35755</v>
      </c>
      <c r="B28389" s="4" t="s">
        <v>35756</v>
      </c>
      <c r="C28389" s="5" t="str">
        <f>IFERROR(__xludf.DUMMYFUNCTION("GOOGLETRANSLATE(B28389,""en"",""de"")"),"Es werden verschiedene Bilder von Menschen gezeigt, die zusammengekauert sind, sowie Menschen, die an einem Strand Fußball spielen.")</f>
        <v>Es werden verschiedene Bilder von Menschen gezeigt, die zusammengekauert sind, sowie Menschen, die an einem Strand Fußball spielen.</v>
      </c>
    </row>
    <row r="28390">
      <c r="A28390" s="4" t="s">
        <v>35755</v>
      </c>
      <c r="B28390" s="4" t="s">
        <v>35757</v>
      </c>
      <c r="C28390" s="5" t="str">
        <f>IFERROR(__xludf.DUMMYFUNCTION("GOOGLETRANSLATE(B28390,""en"",""de"")"),"Es werden mehr Bilder von Menschen gezeigt, die spielen und ein Mann, der eine Trophäe erhält und mit anderen feiert.")</f>
        <v>Es werden mehr Bilder von Menschen gezeigt, die spielen und ein Mann, der eine Trophäe erhält und mit anderen feiert.</v>
      </c>
    </row>
    <row r="28391">
      <c r="A28391" s="4" t="s">
        <v>35758</v>
      </c>
      <c r="B28391" s="4" t="s">
        <v>35759</v>
      </c>
      <c r="C28391" s="5" t="str">
        <f>IFERROR(__xludf.DUMMYFUNCTION("GOOGLETRANSLATE(B28391,""en"",""de"")"),"Eine Kamera schwenkt um eine Frau, die auf einem Stuhl sitzt und eine Zigarette raucht.")</f>
        <v>Eine Kamera schwenkt um eine Frau, die auf einem Stuhl sitzt und eine Zigarette raucht.</v>
      </c>
    </row>
    <row r="28392">
      <c r="A28392" s="4" t="s">
        <v>35758</v>
      </c>
      <c r="B28392" s="4" t="s">
        <v>35760</v>
      </c>
      <c r="C28392" s="5" t="str">
        <f>IFERROR(__xludf.DUMMYFUNCTION("GOOGLETRANSLATE(B28392,""en"",""de"")"),"Sie spricht mit der Kamera, während sie weiter raucht und endet, indem sie ihre Beine verbreitet.")</f>
        <v>Sie spricht mit der Kamera, während sie weiter raucht und endet, indem sie ihre Beine verbreitet.</v>
      </c>
    </row>
    <row r="28393">
      <c r="A28393" s="4" t="s">
        <v>35761</v>
      </c>
      <c r="B28393" s="4" t="s">
        <v>35762</v>
      </c>
      <c r="C28393" s="5" t="str">
        <f>IFERROR(__xludf.DUMMYFUNCTION("GOOGLETRANSLATE(B28393,""en"",""de"")"),"Frau ist Ni Seashore trägt einen großen Hut und lächelt.")</f>
        <v>Frau ist Ni Seashore trägt einen großen Hut und lächelt.</v>
      </c>
    </row>
    <row r="28394">
      <c r="A28394" s="4" t="s">
        <v>35761</v>
      </c>
      <c r="B28394" s="4" t="s">
        <v>35763</v>
      </c>
      <c r="C28394" s="5" t="str">
        <f>IFERROR(__xludf.DUMMYFUNCTION("GOOGLETRANSLATE(B28394,""en"",""de"")"),"Peolpe tauchen im Meer neben dem Pier mit Taschen auf dem Rücken und zeigt die Fische und Felsen auf dem Boden.")</f>
        <v>Peolpe tauchen im Meer neben dem Pier mit Taschen auf dem Rücken und zeigt die Fische und Felsen auf dem Boden.</v>
      </c>
    </row>
    <row r="28395">
      <c r="A28395" s="4" t="s">
        <v>35764</v>
      </c>
      <c r="B28395" s="4" t="s">
        <v>35765</v>
      </c>
      <c r="C28395" s="5" t="str">
        <f>IFERROR(__xludf.DUMMYFUNCTION("GOOGLETRANSLATE(B28395,""en"",""de"")"),"Eine Gruppe von Jugendlichen ist draußen in einem Hof.")</f>
        <v>Eine Gruppe von Jugendlichen ist draußen in einem Hof.</v>
      </c>
    </row>
    <row r="28396">
      <c r="A28396" s="4" t="s">
        <v>35764</v>
      </c>
      <c r="B28396" s="4" t="s">
        <v>35766</v>
      </c>
      <c r="C28396" s="5" t="str">
        <f>IFERROR(__xludf.DUMMYFUNCTION("GOOGLETRANSLATE(B28396,""en"",""de"")"),"Sie sammeln Vorräte und zünden dann ein Feuer an.")</f>
        <v>Sie sammeln Vorräte und zünden dann ein Feuer an.</v>
      </c>
    </row>
    <row r="28397">
      <c r="A28397" s="4" t="s">
        <v>35764</v>
      </c>
      <c r="B28397" s="4" t="s">
        <v>35767</v>
      </c>
      <c r="C28397" s="5" t="str">
        <f>IFERROR(__xludf.DUMMYFUNCTION("GOOGLETRANSLATE(B28397,""en"",""de"")"),"Sie beginnen einen flammenden Ball hin und her zu treten.")</f>
        <v>Sie beginnen einen flammenden Ball hin und her zu treten.</v>
      </c>
    </row>
    <row r="28398">
      <c r="A28398" s="4" t="s">
        <v>35768</v>
      </c>
      <c r="B28398" s="4" t="s">
        <v>35769</v>
      </c>
      <c r="C28398" s="5" t="str">
        <f>IFERROR(__xludf.DUMMYFUNCTION("GOOGLETRANSLATE(B28398,""en"",""de"")"),"Ein Junge sitzt hinter einem Tisch.")</f>
        <v>Ein Junge sitzt hinter einem Tisch.</v>
      </c>
    </row>
    <row r="28399">
      <c r="A28399" s="4" t="s">
        <v>35768</v>
      </c>
      <c r="B28399" s="4" t="s">
        <v>35770</v>
      </c>
      <c r="C28399" s="5" t="str">
        <f>IFERROR(__xludf.DUMMYFUNCTION("GOOGLETRANSLATE(B28399,""en"",""de"")"),"Er nimmt ein Bier auf und trinkt schnell etwas.")</f>
        <v>Er nimmt ein Bier auf und trinkt schnell etwas.</v>
      </c>
    </row>
    <row r="28400">
      <c r="A28400" s="4" t="s">
        <v>35768</v>
      </c>
      <c r="B28400" s="4" t="s">
        <v>35771</v>
      </c>
      <c r="C28400" s="5" t="str">
        <f>IFERROR(__xludf.DUMMYFUNCTION("GOOGLETRANSLATE(B28400,""en"",""de"")"),"Eine Frau packt es von ihm weg.")</f>
        <v>Eine Frau packt es von ihm weg.</v>
      </c>
    </row>
    <row r="28401">
      <c r="A28401" s="4" t="s">
        <v>35772</v>
      </c>
      <c r="B28401" s="4" t="s">
        <v>35773</v>
      </c>
      <c r="C28401" s="5" t="str">
        <f>IFERROR(__xludf.DUMMYFUNCTION("GOOGLETRANSLATE(B28401,""en"",""de"")"),"Verschiedene Aufnahmen von plattiertem Essen werden gefolgt von einem Sandwich auf einem Tisch und einer Frau, die Pfannen hochhält.")</f>
        <v>Verschiedene Aufnahmen von plattiertem Essen werden gefolgt von einem Sandwich auf einem Tisch und einer Frau, die Pfannen hochhält.</v>
      </c>
    </row>
    <row r="28402">
      <c r="A28402" s="4" t="s">
        <v>35772</v>
      </c>
      <c r="B28402" s="4" t="s">
        <v>35774</v>
      </c>
      <c r="C28402" s="5" t="str">
        <f>IFERROR(__xludf.DUMMYFUNCTION("GOOGLETRANSLATE(B28402,""en"",""de"")"),"Die Frau legt dann Zutaten auf Sandwichbrot und mischt die beiden zusammen und nimmt mehrere Bissen.")</f>
        <v>Die Frau legt dann Zutaten auf Sandwichbrot und mischt die beiden zusammen und nimmt mehrere Bissen.</v>
      </c>
    </row>
    <row r="28403">
      <c r="A28403" s="4" t="s">
        <v>35775</v>
      </c>
      <c r="B28403" s="4" t="s">
        <v>35776</v>
      </c>
      <c r="C28403" s="5" t="str">
        <f>IFERROR(__xludf.DUMMYFUNCTION("GOOGLETRANSLATE(B28403,""en"",""de"")"),"Eine Frau spricht mit der Kamera und hält einen Eimer und einen Topf hoch.")</f>
        <v>Eine Frau spricht mit der Kamera und hält einen Eimer und einen Topf hoch.</v>
      </c>
    </row>
    <row r="28404">
      <c r="A28404" s="4" t="s">
        <v>35775</v>
      </c>
      <c r="B28404" s="4" t="s">
        <v>35777</v>
      </c>
      <c r="C28404" s="5" t="str">
        <f>IFERROR(__xludf.DUMMYFUNCTION("GOOGLETRANSLATE(B28404,""en"",""de"")"),"Sie gießt Wasser aus dem Topf in den Eimer sowie etwas Waschmittel.")</f>
        <v>Sie gießt Wasser aus dem Topf in den Eimer sowie etwas Waschmittel.</v>
      </c>
    </row>
    <row r="28405">
      <c r="A28405" s="4" t="s">
        <v>35775</v>
      </c>
      <c r="B28405" s="4" t="s">
        <v>35778</v>
      </c>
      <c r="C28405" s="5" t="str">
        <f>IFERROR(__xludf.DUMMYFUNCTION("GOOGLETRANSLATE(B28405,""en"",""de"")"),"Dann wäscht sie Kleidung im Eimer mit Wasser kontinuierlich und Zahnbürste.")</f>
        <v>Dann wäscht sie Kleidung im Eimer mit Wasser kontinuierlich und Zahnbürste.</v>
      </c>
    </row>
    <row r="28406">
      <c r="A28406" s="4" t="s">
        <v>35775</v>
      </c>
      <c r="B28406" s="4" t="s">
        <v>35779</v>
      </c>
      <c r="C28406" s="5" t="str">
        <f>IFERROR(__xludf.DUMMYFUNCTION("GOOGLETRANSLATE(B28406,""en"",""de"")"),"Sie legt die Kleidung am Ende aus und hängt sie auf.")</f>
        <v>Sie legt die Kleidung am Ende aus und hängt sie auf.</v>
      </c>
    </row>
    <row r="28407">
      <c r="A28407" s="4" t="s">
        <v>35780</v>
      </c>
      <c r="B28407" s="4" t="s">
        <v>35781</v>
      </c>
      <c r="C28407" s="5" t="str">
        <f>IFERROR(__xludf.DUMMYFUNCTION("GOOGLETRANSLATE(B28407,""en"",""de"")"),"Drei Leute sind im Studio und spricht über Neuigkeiten.")</f>
        <v>Drei Leute sind im Studio und spricht über Neuigkeiten.</v>
      </c>
    </row>
    <row r="28408">
      <c r="A28408" s="4" t="s">
        <v>35780</v>
      </c>
      <c r="B28408" s="4" t="s">
        <v>35782</v>
      </c>
      <c r="C28408" s="5" t="str">
        <f>IFERROR(__xludf.DUMMYFUNCTION("GOOGLETRANSLATE(B28408,""en"",""de"")"),"Eine Geschichte über Curling Sport und das Kindermannschaft, das auf dem Feld spielt, und Tor wird auf dem Bildschirm gezeigt.")</f>
        <v>Eine Geschichte über Curling Sport und das Kindermannschaft, das auf dem Feld spielt, und Tor wird auf dem Bildschirm gezeigt.</v>
      </c>
    </row>
    <row r="28409">
      <c r="A28409" s="4" t="s">
        <v>35780</v>
      </c>
      <c r="B28409" s="4" t="s">
        <v>35783</v>
      </c>
      <c r="C28409" s="5" t="str">
        <f>IFERROR(__xludf.DUMMYFUNCTION("GOOGLETRANSLATE(B28409,""en"",""de"")"),"Zurück in die Studio -Reporter sprechen weiter über die Geschichte.")</f>
        <v>Zurück in die Studio -Reporter sprechen weiter über die Geschichte.</v>
      </c>
    </row>
    <row r="28410">
      <c r="A28410" s="4" t="s">
        <v>35784</v>
      </c>
      <c r="B28410" s="4" t="s">
        <v>35785</v>
      </c>
      <c r="C28410" s="5" t="str">
        <f>IFERROR(__xludf.DUMMYFUNCTION("GOOGLETRANSLATE(B28410,""en"",""de"")"),"Ein Mann steht hinter einer Couch und trägt eine schützende Kopfbedeckung.")</f>
        <v>Ein Mann steht hinter einer Couch und trägt eine schützende Kopfbedeckung.</v>
      </c>
    </row>
    <row r="28411">
      <c r="A28411" s="4" t="s">
        <v>35784</v>
      </c>
      <c r="B28411" s="4" t="s">
        <v>35786</v>
      </c>
      <c r="C28411" s="5" t="str">
        <f>IFERROR(__xludf.DUMMYFUNCTION("GOOGLETRANSLATE(B28411,""en"",""de"")"),"Er bedeckt eine Couch mit Plastik und basiert sie an Ort und Stelle.")</f>
        <v>Er bedeckt eine Couch mit Plastik und basiert sie an Ort und Stelle.</v>
      </c>
    </row>
    <row r="28412">
      <c r="A28412" s="4" t="s">
        <v>35784</v>
      </c>
      <c r="B28412" s="4" t="s">
        <v>35787</v>
      </c>
      <c r="C28412" s="5" t="str">
        <f>IFERROR(__xludf.DUMMYFUNCTION("GOOGLETRANSLATE(B28412,""en"",""de"")"),"Er spricht mit der Kamera darüber, was er etwas länger getan hat.")</f>
        <v>Er spricht mit der Kamera darüber, was er etwas länger getan hat.</v>
      </c>
    </row>
    <row r="28413">
      <c r="A28413" s="4" t="s">
        <v>35788</v>
      </c>
      <c r="B28413" s="4" t="s">
        <v>35789</v>
      </c>
      <c r="C28413" s="5" t="str">
        <f>IFERROR(__xludf.DUMMYFUNCTION("GOOGLETRANSLATE(B28413,""en"",""de"")"),"Wir sehen blaue Buchstaben auf einem schwarzen Bildschirm und sehen ein Dach.")</f>
        <v>Wir sehen blaue Buchstaben auf einem schwarzen Bildschirm und sehen ein Dach.</v>
      </c>
    </row>
    <row r="28414">
      <c r="A28414" s="4" t="s">
        <v>35788</v>
      </c>
      <c r="B28414" s="4" t="s">
        <v>35790</v>
      </c>
      <c r="C28414" s="5" t="str">
        <f>IFERROR(__xludf.DUMMYFUNCTION("GOOGLETRANSLATE(B28414,""en"",""de"")"),"Dann wechseln wir zu mehr Buchstaben und Dach wurde mit einer Lösung besprüht.")</f>
        <v>Dann wechseln wir zu mehr Buchstaben und Dach wurde mit einer Lösung besprüht.</v>
      </c>
    </row>
    <row r="28415">
      <c r="A28415" s="4" t="s">
        <v>35788</v>
      </c>
      <c r="B28415" s="4" t="s">
        <v>35791</v>
      </c>
      <c r="C28415" s="5" t="str">
        <f>IFERROR(__xludf.DUMMYFUNCTION("GOOGLETRANSLATE(B28415,""en"",""de"")"),"Wir werden informiert, dass das Dach gereinigt und aufgenommen wurde.")</f>
        <v>Wir werden informiert, dass das Dach gereinigt und aufgenommen wurde.</v>
      </c>
    </row>
    <row r="28416">
      <c r="A28416" s="4" t="s">
        <v>35788</v>
      </c>
      <c r="B28416" s="4" t="s">
        <v>35792</v>
      </c>
      <c r="C28416" s="5" t="str">
        <f>IFERROR(__xludf.DUMMYFUNCTION("GOOGLETRANSLATE(B28416,""en"",""de"")"),"Wir sehen dann die Vorderseite des Hauses.")</f>
        <v>Wir sehen dann die Vorderseite des Hauses.</v>
      </c>
    </row>
    <row r="28417">
      <c r="A28417" s="4" t="s">
        <v>35788</v>
      </c>
      <c r="B28417" s="4" t="s">
        <v>35793</v>
      </c>
      <c r="C28417" s="5" t="str">
        <f>IFERROR(__xludf.DUMMYFUNCTION("GOOGLETRANSLATE(B28417,""en"",""de"")"),"Wir erhält die Telefonnummer der Druckscheiben.")</f>
        <v>Wir erhält die Telefonnummer der Druckscheiben.</v>
      </c>
    </row>
    <row r="28418">
      <c r="A28418" s="4" t="s">
        <v>35794</v>
      </c>
      <c r="B28418" s="4" t="s">
        <v>14504</v>
      </c>
      <c r="C28418" s="5" t="str">
        <f>IFERROR(__xludf.DUMMYFUNCTION("GOOGLETRANSLATE(B28418,""en"",""de"")"),"Die Leute spielen Volleyball an einem Strand.")</f>
        <v>Die Leute spielen Volleyball an einem Strand.</v>
      </c>
    </row>
    <row r="28419">
      <c r="A28419" s="4" t="s">
        <v>35794</v>
      </c>
      <c r="B28419" s="4" t="s">
        <v>35795</v>
      </c>
      <c r="C28419" s="5" t="str">
        <f>IFERROR(__xludf.DUMMYFUNCTION("GOOGLETRANSLATE(B28419,""en"",""de"")"),"Der Ball fällt auf den Boden und ein Mann in roten Shorts nimmt ihn auf.")</f>
        <v>Der Ball fällt auf den Boden und ein Mann in roten Shorts nimmt ihn auf.</v>
      </c>
    </row>
    <row r="28420">
      <c r="A28420" s="4" t="s">
        <v>35794</v>
      </c>
      <c r="B28420" s="4" t="s">
        <v>35796</v>
      </c>
      <c r="C28420" s="5" t="str">
        <f>IFERROR(__xludf.DUMMYFUNCTION("GOOGLETRANSLATE(B28420,""en"",""de"")"),"Ein Mann in einem schwarzen Hut serviert den Ball.")</f>
        <v>Ein Mann in einem schwarzen Hut serviert den Ball.</v>
      </c>
    </row>
    <row r="28421">
      <c r="A28421" s="4" t="s">
        <v>35797</v>
      </c>
      <c r="B28421" s="4" t="s">
        <v>35798</v>
      </c>
      <c r="C28421" s="5" t="str">
        <f>IFERROR(__xludf.DUMMYFUNCTION("GOOGLETRANSLATE(B28421,""en"",""de"")"),"Ein Mann steht draußen in einem relativ niedrigen Grasfeld.")</f>
        <v>Ein Mann steht draußen in einem relativ niedrigen Grasfeld.</v>
      </c>
    </row>
    <row r="28422">
      <c r="A28422" s="4" t="s">
        <v>35797</v>
      </c>
      <c r="B28422" s="4" t="s">
        <v>35799</v>
      </c>
      <c r="C28422" s="5" t="str">
        <f>IFERROR(__xludf.DUMMYFUNCTION("GOOGLETRANSLATE(B28422,""en"",""de"")"),"In seiner Hand hat er jedoch eine Sense und beginnt es hin und her zu schwingen, das Gras weiter abzuschneiden.")</f>
        <v>In seiner Hand hat er jedoch eine Sense und beginnt es hin und her zu schwingen, das Gras weiter abzuschneiden.</v>
      </c>
    </row>
    <row r="28423">
      <c r="A28423" s="4" t="s">
        <v>35797</v>
      </c>
      <c r="B28423" s="4" t="s">
        <v>35800</v>
      </c>
      <c r="C28423" s="5" t="str">
        <f>IFERROR(__xludf.DUMMYFUNCTION("GOOGLETRANSLATE(B28423,""en"",""de"")"),"Während er schneidet, erscheinen auf dem Bildschirm mehrere Texte mit weißen Worten darüber, was er tut, und erklären die Aktivität.")</f>
        <v>Während er schneidet, erscheinen auf dem Bildschirm mehrere Texte mit weißen Worten darüber, was er tut, und erklären die Aktivität.</v>
      </c>
    </row>
    <row r="28424">
      <c r="A28424" s="4" t="s">
        <v>35801</v>
      </c>
      <c r="B28424" s="4" t="s">
        <v>35802</v>
      </c>
      <c r="C28424" s="5" t="str">
        <f>IFERROR(__xludf.DUMMYFUNCTION("GOOGLETRANSLATE(B28424,""en"",""de"")"),"Eine Gruppe von olympischen Fechten der USA wird gezeigt, wie sie mit Bildern und Grafikwerbung ein bevorstehendes Fechten -Turnier in NYC durchsetzt.")</f>
        <v>Eine Gruppe von olympischen Fechten der USA wird gezeigt, wie sie mit Bildern und Grafikwerbung ein bevorstehendes Fechten -Turnier in NYC durchsetzt.</v>
      </c>
    </row>
    <row r="28425">
      <c r="A28425" s="4" t="s">
        <v>35801</v>
      </c>
      <c r="B28425" s="4" t="s">
        <v>35803</v>
      </c>
      <c r="C28425" s="5" t="str">
        <f>IFERROR(__xludf.DUMMYFUNCTION("GOOGLETRANSLATE(B28425,""en"",""de"")"),"Mehrere Bilder von Fencern werden mit Video von Fechtern durchgesetzt.")</f>
        <v>Mehrere Bilder von Fencern werden mit Video von Fechtern durchgesetzt.</v>
      </c>
    </row>
    <row r="28426">
      <c r="A28426" s="4" t="s">
        <v>35801</v>
      </c>
      <c r="B28426" s="4" t="s">
        <v>35804</v>
      </c>
      <c r="C28426" s="5" t="str">
        <f>IFERROR(__xludf.DUMMYFUNCTION("GOOGLETRANSLATE(B28426,""en"",""de"")"),"Ein Bild eines Mädchens, das eine amerikanische Flagge hinter sich hält, erscheint.")</f>
        <v>Ein Bild eines Mädchens, das eine amerikanische Flagge hinter sich hält, erscheint.</v>
      </c>
    </row>
    <row r="28427">
      <c r="A28427" s="4" t="s">
        <v>35801</v>
      </c>
      <c r="B28427" s="4" t="s">
        <v>35805</v>
      </c>
      <c r="C28427" s="5" t="str">
        <f>IFERROR(__xludf.DUMMYFUNCTION("GOOGLETRANSLATE(B28427,""en"",""de"")"),"Weitere Standbilder von Zäunen und ein Zeitlupenvideo eines Fechtenwettbewerbs erscheinen vor einer endgültigen Marketinggrafik mit einer Website.")</f>
        <v>Weitere Standbilder von Zäunen und ein Zeitlupenvideo eines Fechtenwettbewerbs erscheinen vor einer endgültigen Marketinggrafik mit einer Website.</v>
      </c>
    </row>
    <row r="28428">
      <c r="A28428" s="4" t="s">
        <v>35806</v>
      </c>
      <c r="B28428" s="4" t="s">
        <v>35807</v>
      </c>
      <c r="C28428" s="5" t="str">
        <f>IFERROR(__xludf.DUMMYFUNCTION("GOOGLETRANSLATE(B28428,""en"",""de"")"),"Eine ältere Frau legt sich gegen ein braunes Kissen.")</f>
        <v>Eine ältere Frau legt sich gegen ein braunes Kissen.</v>
      </c>
    </row>
    <row r="28429">
      <c r="A28429" s="4" t="s">
        <v>35806</v>
      </c>
      <c r="B28429" s="4" t="s">
        <v>35808</v>
      </c>
      <c r="C28429" s="5" t="str">
        <f>IFERROR(__xludf.DUMMYFUNCTION("GOOGLETRANSLATE(B28429,""en"",""de"")"),"Sie hält eine Mundharmonika an ihrem Mund und spielt sie.")</f>
        <v>Sie hält eine Mundharmonika an ihrem Mund und spielt sie.</v>
      </c>
    </row>
    <row r="28430">
      <c r="A28430" s="4" t="s">
        <v>35806</v>
      </c>
      <c r="B28430" s="4" t="s">
        <v>35809</v>
      </c>
      <c r="C28430" s="5" t="str">
        <f>IFERROR(__xludf.DUMMYFUNCTION("GOOGLETRANSLATE(B28430,""en"",""de"")"),"Das Licht im Raum hellt sich auf.")</f>
        <v>Das Licht im Raum hellt sich auf.</v>
      </c>
    </row>
    <row r="28431">
      <c r="A28431" s="4" t="s">
        <v>35806</v>
      </c>
      <c r="B28431" s="4" t="s">
        <v>35810</v>
      </c>
      <c r="C28431" s="5" t="str">
        <f>IFERROR(__xludf.DUMMYFUNCTION("GOOGLETRANSLATE(B28431,""en"",""de"")"),"Sie spielt und lacht.")</f>
        <v>Sie spielt und lacht.</v>
      </c>
    </row>
    <row r="28432">
      <c r="A28432" s="4" t="s">
        <v>35811</v>
      </c>
      <c r="B28432" s="4" t="s">
        <v>35812</v>
      </c>
      <c r="C28432" s="5" t="str">
        <f>IFERROR(__xludf.DUMMYFUNCTION("GOOGLETRANSLATE(B28432,""en"",""de"")"),"Mehrere Spieler aus der schwarzen und weißen Mannschaft spielen Eishockey in der Arena.")</f>
        <v>Mehrere Spieler aus der schwarzen und weißen Mannschaft spielen Eishockey in der Arena.</v>
      </c>
    </row>
    <row r="28433">
      <c r="A28433" s="4" t="s">
        <v>35811</v>
      </c>
      <c r="B28433" s="4" t="s">
        <v>35813</v>
      </c>
      <c r="C28433" s="5" t="str">
        <f>IFERROR(__xludf.DUMMYFUNCTION("GOOGLETRANSLATE(B28433,""en"",""de"")"),"Einer der Spieler des schwarzen Teams trifft den Puck von seinem Gegner.")</f>
        <v>Einer der Spieler des schwarzen Teams trifft den Puck von seinem Gegner.</v>
      </c>
    </row>
    <row r="28434">
      <c r="A28434" s="4" t="s">
        <v>35811</v>
      </c>
      <c r="B28434" s="4" t="s">
        <v>35814</v>
      </c>
      <c r="C28434" s="5" t="str">
        <f>IFERROR(__xludf.DUMMYFUNCTION("GOOGLETRANSLATE(B28434,""en"",""de"")"),"Die Spieler des weißen Teams versuchen, ihn daran zu hindern, ein Tor zu erreichen.")</f>
        <v>Die Spieler des weißen Teams versuchen, ihn daran zu hindern, ein Tor zu erreichen.</v>
      </c>
    </row>
    <row r="28435">
      <c r="A28435" s="4" t="s">
        <v>35811</v>
      </c>
      <c r="B28435" s="4" t="s">
        <v>35815</v>
      </c>
      <c r="C28435" s="5" t="str">
        <f>IFERROR(__xludf.DUMMYFUNCTION("GOOGLETRANSLATE(B28435,""en"",""de"")"),"Eine animierte Version des Spiels wird auf dem Bildschirm angezeigt.")</f>
        <v>Eine animierte Version des Spiels wird auf dem Bildschirm angezeigt.</v>
      </c>
    </row>
    <row r="28436">
      <c r="A28436" s="4" t="s">
        <v>35811</v>
      </c>
      <c r="B28436" s="4" t="s">
        <v>35816</v>
      </c>
      <c r="C28436" s="5" t="str">
        <f>IFERROR(__xludf.DUMMYFUNCTION("GOOGLETRANSLATE(B28436,""en"",""de"")"),"Dann liegt der Fokus wieder auf dem wirklichen Spiel, in dem ein schwarzer Teamplayer hervorgehoben wird, als er das Tor schafft.")</f>
        <v>Dann liegt der Fokus wieder auf dem wirklichen Spiel, in dem ein schwarzer Teamplayer hervorgehoben wird, als er das Tor schafft.</v>
      </c>
    </row>
    <row r="28437">
      <c r="A28437" s="4" t="s">
        <v>35811</v>
      </c>
      <c r="B28437" s="4" t="s">
        <v>35817</v>
      </c>
      <c r="C28437" s="5" t="str">
        <f>IFERROR(__xludf.DUMMYFUNCTION("GOOGLETRANSLATE(B28437,""en"",""de"")"),"Auch hier wird ein weiteres animiertes Beispiel gezeigt, um zu erklären, wie das Spiel funktioniert.")</f>
        <v>Auch hier wird ein weiteres animiertes Beispiel gezeigt, um zu erklären, wie das Spiel funktioniert.</v>
      </c>
    </row>
    <row r="28438">
      <c r="A28438" s="4" t="s">
        <v>35811</v>
      </c>
      <c r="B28438" s="4" t="s">
        <v>35818</v>
      </c>
      <c r="C28438" s="5" t="str">
        <f>IFERROR(__xludf.DUMMYFUNCTION("GOOGLETRANSLATE(B28438,""en"",""de"")"),"Der Black Team Player trifft den Puck auf die gegenüberliegende Ecke des Eiss.")</f>
        <v>Der Black Team Player trifft den Puck auf die gegenüberliegende Ecke des Eiss.</v>
      </c>
    </row>
    <row r="28439">
      <c r="A28439" s="4" t="s">
        <v>35811</v>
      </c>
      <c r="B28439" s="4" t="s">
        <v>35819</v>
      </c>
      <c r="C28439" s="5" t="str">
        <f>IFERROR(__xludf.DUMMYFUNCTION("GOOGLETRANSLATE(B28439,""en"",""de"")"),"Als sich der Schwarze schnell und zum Ziel bewegt, lässt es den Torwart fallen.")</f>
        <v>Als sich der Schwarze schnell und zum Ziel bewegt, lässt es den Torwart fallen.</v>
      </c>
    </row>
    <row r="28440">
      <c r="A28440" s="4" t="s">
        <v>35811</v>
      </c>
      <c r="B28440" s="4" t="s">
        <v>35820</v>
      </c>
      <c r="C28440" s="5" t="str">
        <f>IFERROR(__xludf.DUMMYFUNCTION("GOOGLETRANSLATE(B28440,""en"",""de"")"),"Das schwarze Team gewinnt das Ziel und bekommt den Sieg im Spiel.")</f>
        <v>Das schwarze Team gewinnt das Ziel und bekommt den Sieg im Spiel.</v>
      </c>
    </row>
    <row r="28441">
      <c r="A28441" s="4" t="s">
        <v>35821</v>
      </c>
      <c r="B28441" s="4" t="s">
        <v>35822</v>
      </c>
      <c r="C28441" s="5" t="str">
        <f>IFERROR(__xludf.DUMMYFUNCTION("GOOGLETRANSLATE(B28441,""en"",""de"")"),"Eine Kamera schwenkt über einen Kraftraum und zeigt verschiedene Personen, die an Maschinen arbeiten.")</f>
        <v>Eine Kamera schwenkt über einen Kraftraum und zeigt verschiedene Personen, die an Maschinen arbeiten.</v>
      </c>
    </row>
    <row r="28442">
      <c r="A28442" s="4" t="s">
        <v>35821</v>
      </c>
      <c r="B28442" s="4" t="s">
        <v>35823</v>
      </c>
      <c r="C28442" s="5" t="str">
        <f>IFERROR(__xludf.DUMMYFUNCTION("GOOGLETRANSLATE(B28442,""en"",""de"")"),"Ein Mann läuft auf einer Elliptik, während ein anderer eine Rudermaschine auf der Rückseite verwendet.")</f>
        <v>Ein Mann läuft auf einer Elliptik, während ein anderer eine Rudermaschine auf der Rückseite verwendet.</v>
      </c>
    </row>
    <row r="28443">
      <c r="A28443" s="4" t="s">
        <v>35824</v>
      </c>
      <c r="B28443" s="4" t="s">
        <v>35825</v>
      </c>
      <c r="C28443" s="5" t="str">
        <f>IFERROR(__xludf.DUMMYFUNCTION("GOOGLETRANSLATE(B28443,""en"",""de"")"),"Ein Mann schaufelt Schnee von der Spitze eines Autos.")</f>
        <v>Ein Mann schaufelt Schnee von der Spitze eines Autos.</v>
      </c>
    </row>
    <row r="28444">
      <c r="A28444" s="4" t="s">
        <v>35824</v>
      </c>
      <c r="B28444" s="4" t="s">
        <v>35826</v>
      </c>
      <c r="C28444" s="5" t="str">
        <f>IFERROR(__xludf.DUMMYFUNCTION("GOOGLETRANSLATE(B28444,""en"",""de"")"),"Er geht um das Auto herum und beginnt den Boden zu schaufeln.")</f>
        <v>Er geht um das Auto herum und beginnt den Boden zu schaufeln.</v>
      </c>
    </row>
    <row r="28445">
      <c r="A28445" s="4" t="s">
        <v>35827</v>
      </c>
      <c r="B28445" s="4" t="s">
        <v>35828</v>
      </c>
      <c r="C28445" s="5" t="str">
        <f>IFERROR(__xludf.DUMMYFUNCTION("GOOGLETRANSLATE(B28445,""en"",""de"")"),"Eine Person wirft eine Bowlingkugel auf eine Fahrspur.")</f>
        <v>Eine Person wirft eine Bowlingkugel auf eine Fahrspur.</v>
      </c>
    </row>
    <row r="28446">
      <c r="A28446" s="4" t="s">
        <v>35827</v>
      </c>
      <c r="B28446" s="4" t="s">
        <v>35829</v>
      </c>
      <c r="C28446" s="5" t="str">
        <f>IFERROR(__xludf.DUMMYFUNCTION("GOOGLETRANSLATE(B28446,""en"",""de"")"),"Sie schlagen die Stifte nieder.")</f>
        <v>Sie schlagen die Stifte nieder.</v>
      </c>
    </row>
    <row r="28447">
      <c r="A28447" s="4" t="s">
        <v>35827</v>
      </c>
      <c r="B28447" s="4" t="s">
        <v>35830</v>
      </c>
      <c r="C28447" s="5" t="str">
        <f>IFERROR(__xludf.DUMMYFUNCTION("GOOGLETRANSLATE(B28447,""en"",""de"")"),"Sie werfen den Ball in einen Ersatz und schlagen den Rest der Stifte ab.")</f>
        <v>Sie werfen den Ball in einen Ersatz und schlagen den Rest der Stifte ab.</v>
      </c>
    </row>
    <row r="28448">
      <c r="A28448" s="4" t="s">
        <v>35831</v>
      </c>
      <c r="B28448" s="4" t="s">
        <v>35832</v>
      </c>
      <c r="C28448" s="5" t="str">
        <f>IFERROR(__xludf.DUMMYFUNCTION("GOOGLETRANSLATE(B28448,""en"",""de"")"),"Eine Frau wäscht Kleidung in einem Eimer mit Seife.")</f>
        <v>Eine Frau wäscht Kleidung in einem Eimer mit Seife.</v>
      </c>
    </row>
    <row r="28449">
      <c r="A28449" s="4" t="s">
        <v>35831</v>
      </c>
      <c r="B28449" s="4" t="s">
        <v>35833</v>
      </c>
      <c r="C28449" s="5" t="str">
        <f>IFERROR(__xludf.DUMMYFUNCTION("GOOGLETRANSLATE(B28449,""en"",""de"")"),"Die Frau strahlt ein Handtuch aus.")</f>
        <v>Die Frau strahlt ein Handtuch aus.</v>
      </c>
    </row>
    <row r="28450">
      <c r="A28450" s="4" t="s">
        <v>35831</v>
      </c>
      <c r="B28450" s="4" t="s">
        <v>35834</v>
      </c>
      <c r="C28450" s="5" t="str">
        <f>IFERROR(__xludf.DUMMYFUNCTION("GOOGLETRANSLATE(B28450,""en"",""de"")"),"Jemand faltet sich im Hintergrund, während die Frau die Kleidung weiter wäscht.")</f>
        <v>Jemand faltet sich im Hintergrund, während die Frau die Kleidung weiter wäscht.</v>
      </c>
    </row>
    <row r="28451">
      <c r="A28451" s="4" t="s">
        <v>35835</v>
      </c>
      <c r="B28451" s="4" t="s">
        <v>35836</v>
      </c>
      <c r="C28451" s="5" t="str">
        <f>IFERROR(__xludf.DUMMYFUNCTION("GOOGLETRANSLATE(B28451,""en"",""de"")"),"Ein Mann in einer Baseballkappe, Shorts und ein blaues Hemd mit kurzem Ärmel serviert drei Tennisbälle über ein Tennisnetz auf einem Tennisplatz alleine.")</f>
        <v>Ein Mann in einer Baseballkappe, Shorts und ein blaues Hemd mit kurzem Ärmel serviert drei Tennisbälle über ein Tennisnetz auf einem Tennisplatz alleine.</v>
      </c>
    </row>
    <row r="28452">
      <c r="A28452" s="4" t="s">
        <v>35835</v>
      </c>
      <c r="B28452" s="4" t="s">
        <v>35837</v>
      </c>
      <c r="C28452" s="5" t="str">
        <f>IFERROR(__xludf.DUMMYFUNCTION("GOOGLETRANSLATE(B28452,""en"",""de"")"),"Ein Mann auf einem Tennisplatz serviert selbst einen Tennisball mit einem Tennisschläger in einem Netz.")</f>
        <v>Ein Mann auf einem Tennisplatz serviert selbst einen Tennisball mit einem Tennisschläger in einem Netz.</v>
      </c>
    </row>
    <row r="28453">
      <c r="A28453" s="4" t="s">
        <v>35835</v>
      </c>
      <c r="B28453" s="4" t="s">
        <v>35838</v>
      </c>
      <c r="C28453" s="5" t="str">
        <f>IFERROR(__xludf.DUMMYFUNCTION("GOOGLETRANSLATE(B28453,""en"",""de"")"),"Der Mann serviert dann zwei weitere Bälle über das Netz, der Ball landet nur auf der anderen Seite.")</f>
        <v>Der Mann serviert dann zwei weitere Bälle über das Netz, der Ball landet nur auf der anderen Seite.</v>
      </c>
    </row>
    <row r="28454">
      <c r="A28454" s="4" t="s">
        <v>35839</v>
      </c>
      <c r="B28454" s="4" t="s">
        <v>35840</v>
      </c>
      <c r="C28454" s="5" t="str">
        <f>IFERROR(__xludf.DUMMYFUNCTION("GOOGLETRANSLATE(B28454,""en"",""de"")"),"Ein männlicher Athlet läuft auf einer Strecke.")</f>
        <v>Ein männlicher Athlet läuft auf einer Strecke.</v>
      </c>
    </row>
    <row r="28455">
      <c r="A28455" s="4" t="s">
        <v>35839</v>
      </c>
      <c r="B28455" s="4" t="s">
        <v>35841</v>
      </c>
      <c r="C28455" s="5" t="str">
        <f>IFERROR(__xludf.DUMMYFUNCTION("GOOGLETRANSLATE(B28455,""en"",""de"")"),"Er springt hoch in die Luft.")</f>
        <v>Er springt hoch in die Luft.</v>
      </c>
    </row>
    <row r="28456">
      <c r="A28456" s="4" t="s">
        <v>35839</v>
      </c>
      <c r="B28456" s="4" t="s">
        <v>35842</v>
      </c>
      <c r="C28456" s="5" t="str">
        <f>IFERROR(__xludf.DUMMYFUNCTION("GOOGLETRANSLATE(B28456,""en"",""de"")"),"Er wölbt sich rückwärts über einen Hochstrahl ab.")</f>
        <v>Er wölbt sich rückwärts über einen Hochstrahl ab.</v>
      </c>
    </row>
    <row r="28457">
      <c r="A28457" s="4" t="s">
        <v>35839</v>
      </c>
      <c r="B28457" s="4" t="s">
        <v>35843</v>
      </c>
      <c r="C28457" s="5" t="str">
        <f>IFERROR(__xludf.DUMMYFUNCTION("GOOGLETRANSLATE(B28457,""en"",""de"")"),"Dies wird mehrfach in Zeitlupe wiederholt.")</f>
        <v>Dies wird mehrfach in Zeitlupe wiederholt.</v>
      </c>
    </row>
    <row r="28458">
      <c r="A28458" s="4" t="s">
        <v>35844</v>
      </c>
      <c r="B28458" s="4" t="s">
        <v>35845</v>
      </c>
      <c r="C28458" s="5" t="str">
        <f>IFERROR(__xludf.DUMMYFUNCTION("GOOGLETRANSLATE(B28458,""en"",""de"")"),"Ein Mann setzt sich mit einer Gitarre hin.")</f>
        <v>Ein Mann setzt sich mit einer Gitarre hin.</v>
      </c>
    </row>
    <row r="28459">
      <c r="A28459" s="4" t="s">
        <v>35844</v>
      </c>
      <c r="B28459" s="4" t="s">
        <v>35846</v>
      </c>
      <c r="C28459" s="5" t="str">
        <f>IFERROR(__xludf.DUMMYFUNCTION("GOOGLETRANSLATE(B28459,""en"",""de"")"),"Der Mann beginnt Gitarre zu spielen.")</f>
        <v>Der Mann beginnt Gitarre zu spielen.</v>
      </c>
    </row>
    <row r="28460">
      <c r="A28460" s="4" t="s">
        <v>35844</v>
      </c>
      <c r="B28460" s="4" t="s">
        <v>35847</v>
      </c>
      <c r="C28460" s="5" t="str">
        <f>IFERROR(__xludf.DUMMYFUNCTION("GOOGLETRANSLATE(B28460,""en"",""de"")"),"Der Mann beginnt zu singen, während er Gitarre spielt.")</f>
        <v>Der Mann beginnt zu singen, während er Gitarre spielt.</v>
      </c>
    </row>
    <row r="28461">
      <c r="A28461" s="4" t="s">
        <v>35844</v>
      </c>
      <c r="B28461" s="4" t="s">
        <v>35848</v>
      </c>
      <c r="C28461" s="5" t="str">
        <f>IFERROR(__xludf.DUMMYFUNCTION("GOOGLETRANSLATE(B28461,""en"",""de"")"),"Der Mann hört auf, Gitarre zu spielen, steht auf und geht zur Kamera.")</f>
        <v>Der Mann hört auf, Gitarre zu spielen, steht auf und geht zur Kamera.</v>
      </c>
    </row>
    <row r="28462">
      <c r="A28462" s="4" t="s">
        <v>35849</v>
      </c>
      <c r="B28462" s="4" t="s">
        <v>35850</v>
      </c>
      <c r="C28462" s="5" t="str">
        <f>IFERROR(__xludf.DUMMYFUNCTION("GOOGLETRANSLATE(B28462,""en"",""de"")"),"Ein Mann spielt Dudelsack auf einem Stadtplatz, während niemand aufmerksam macht.")</f>
        <v>Ein Mann spielt Dudelsack auf einem Stadtplatz, während niemand aufmerksam macht.</v>
      </c>
    </row>
    <row r="28463">
      <c r="A28463" s="4" t="s">
        <v>35849</v>
      </c>
      <c r="B28463" s="4" t="s">
        <v>35851</v>
      </c>
      <c r="C28463" s="5" t="str">
        <f>IFERROR(__xludf.DUMMYFUNCTION("GOOGLETRANSLATE(B28463,""en"",""de"")"),"Ein Polizist sagt ihm, er solle aufhören.")</f>
        <v>Ein Polizist sagt ihm, er solle aufhören.</v>
      </c>
    </row>
    <row r="28464">
      <c r="A28464" s="4" t="s">
        <v>35852</v>
      </c>
      <c r="B28464" s="4" t="s">
        <v>35853</v>
      </c>
      <c r="C28464" s="5" t="str">
        <f>IFERROR(__xludf.DUMMYFUNCTION("GOOGLETRANSLATE(B28464,""en"",""de"")"),"Ein Junge rennt langsam einen Weg hinunter.")</f>
        <v>Ein Junge rennt langsam einen Weg hinunter.</v>
      </c>
    </row>
    <row r="28465">
      <c r="A28465" s="4" t="s">
        <v>35852</v>
      </c>
      <c r="B28465" s="4" t="s">
        <v>35854</v>
      </c>
      <c r="C28465" s="5" t="str">
        <f>IFERROR(__xludf.DUMMYFUNCTION("GOOGLETRANSLATE(B28465,""en"",""de"")"),"Er macht einen großen Sprung in die Luft.")</f>
        <v>Er macht einen großen Sprung in die Luft.</v>
      </c>
    </row>
    <row r="28466">
      <c r="A28466" s="4" t="s">
        <v>35852</v>
      </c>
      <c r="B28466" s="4" t="s">
        <v>35855</v>
      </c>
      <c r="C28466" s="5" t="str">
        <f>IFERROR(__xludf.DUMMYFUNCTION("GOOGLETRANSLATE(B28466,""en"",""de"")"),"Er landet in einer riesigen Sandgrube.")</f>
        <v>Er landet in einer riesigen Sandgrube.</v>
      </c>
    </row>
    <row r="28467">
      <c r="A28467" s="4" t="s">
        <v>35856</v>
      </c>
      <c r="B28467" s="4" t="s">
        <v>35857</v>
      </c>
      <c r="C28467" s="5" t="str">
        <f>IFERROR(__xludf.DUMMYFUNCTION("GOOGLETRANSLATE(B28467,""en"",""de"")"),"Eine kleine Gruppe von Menschen spielt ein Baseballspiel auf einem Feld und führt zu mehreren Schüssen von ihnen, die spielen.")</f>
        <v>Eine kleine Gruppe von Menschen spielt ein Baseballspiel auf einem Feld und führt zu mehreren Schüssen von ihnen, die spielen.</v>
      </c>
    </row>
    <row r="28468">
      <c r="A28468" s="4" t="s">
        <v>35856</v>
      </c>
      <c r="B28468" s="4" t="s">
        <v>35858</v>
      </c>
      <c r="C28468" s="5" t="str">
        <f>IFERROR(__xludf.DUMMYFUNCTION("GOOGLETRANSLATE(B28468,""en"",""de"")"),"Das Video setzt sich mit mehreren Clips von Menschen fort, die den Ball schlagen und fangen und endet mit Text über den Bildschirm.")</f>
        <v>Das Video setzt sich mit mehreren Clips von Menschen fort, die den Ball schlagen und fangen und endet mit Text über den Bildschirm.</v>
      </c>
    </row>
    <row r="28469">
      <c r="A28469" s="4" t="s">
        <v>35859</v>
      </c>
      <c r="B28469" s="4" t="s">
        <v>35860</v>
      </c>
      <c r="C28469" s="5" t="str">
        <f>IFERROR(__xludf.DUMMYFUNCTION("GOOGLETRANSLATE(B28469,""en"",""de"")"),"Ein Mann und eine Frau spielen in einem Schlägerplatz.")</f>
        <v>Ein Mann und eine Frau spielen in einem Schlägerplatz.</v>
      </c>
    </row>
    <row r="28470">
      <c r="A28470" s="4" t="s">
        <v>35859</v>
      </c>
      <c r="B28470" s="4" t="s">
        <v>35861</v>
      </c>
      <c r="C28470" s="5" t="str">
        <f>IFERROR(__xludf.DUMMYFUNCTION("GOOGLETRANSLATE(B28470,""en"",""de"")"),"Sie verwenden Schläger, Bälle, spezielle Schuhe und Schutzbrillen.")</f>
        <v>Sie verwenden Schläger, Bälle, spezielle Schuhe und Schutzbrillen.</v>
      </c>
    </row>
    <row r="28471">
      <c r="A28471" s="4" t="s">
        <v>35859</v>
      </c>
      <c r="B28471" s="4" t="s">
        <v>35862</v>
      </c>
      <c r="C28471" s="5" t="str">
        <f>IFERROR(__xludf.DUMMYFUNCTION("GOOGLETRANSLATE(B28471,""en"",""de"")"),"Sie zeigen, wie man steht und den Ball schlägt.")</f>
        <v>Sie zeigen, wie man steht und den Ball schlägt.</v>
      </c>
    </row>
    <row r="28472">
      <c r="A28472" s="4" t="s">
        <v>35863</v>
      </c>
      <c r="B28472" s="4" t="s">
        <v>35864</v>
      </c>
      <c r="C28472" s="5" t="str">
        <f>IFERROR(__xludf.DUMMYFUNCTION("GOOGLETRANSLATE(B28472,""en"",""de"")"),"Ein Junge steht hinter einem Musikstand, der eine Flöte spielt.")</f>
        <v>Ein Junge steht hinter einem Musikstand, der eine Flöte spielt.</v>
      </c>
    </row>
    <row r="28473">
      <c r="A28473" s="4" t="s">
        <v>35863</v>
      </c>
      <c r="B28473" s="4" t="s">
        <v>35865</v>
      </c>
      <c r="C28473" s="5" t="str">
        <f>IFERROR(__xludf.DUMMYFUNCTION("GOOGLETRANSLATE(B28473,""en"",""de"")"),"Er hört auf zu spielen und lächelt, bevor er weggeht.")</f>
        <v>Er hört auf zu spielen und lächelt, bevor er weggeht.</v>
      </c>
    </row>
    <row r="28474">
      <c r="A28474" s="4" t="s">
        <v>35866</v>
      </c>
      <c r="B28474" s="4" t="s">
        <v>35867</v>
      </c>
      <c r="C28474" s="5" t="str">
        <f>IFERROR(__xludf.DUMMYFUNCTION("GOOGLETRANSLATE(B28474,""en"",""de"")"),"Eine Frau mit einem Hut auf Stehern und Gesprächen.")</f>
        <v>Eine Frau mit einem Hut auf Stehern und Gesprächen.</v>
      </c>
    </row>
    <row r="28475">
      <c r="A28475" s="4" t="s">
        <v>35866</v>
      </c>
      <c r="B28475" s="4" t="s">
        <v>35868</v>
      </c>
      <c r="C28475" s="5" t="str">
        <f>IFERROR(__xludf.DUMMYFUNCTION("GOOGLETRANSLATE(B28475,""en"",""de"")"),"Sie spielt mit ihren Haaren und redet.")</f>
        <v>Sie spielt mit ihren Haaren und redet.</v>
      </c>
    </row>
    <row r="28476">
      <c r="A28476" s="4" t="s">
        <v>35866</v>
      </c>
      <c r="B28476" s="4" t="s">
        <v>35869</v>
      </c>
      <c r="C28476" s="5" t="str">
        <f>IFERROR(__xludf.DUMMYFUNCTION("GOOGLETRANSLATE(B28476,""en"",""de"")"),"Bilder von ihren Haaren sind eingeführt.")</f>
        <v>Bilder von ihren Haaren sind eingeführt.</v>
      </c>
    </row>
    <row r="28477">
      <c r="A28477" s="4" t="s">
        <v>35870</v>
      </c>
      <c r="B28477" s="4" t="s">
        <v>35871</v>
      </c>
      <c r="C28477" s="5" t="str">
        <f>IFERROR(__xludf.DUMMYFUNCTION("GOOGLETRANSLATE(B28477,""en"",""de"")"),"Ein Mädchen in einem Bikini macht Hula Hoop auf einer Terrasse.")</f>
        <v>Ein Mädchen in einem Bikini macht Hula Hoop auf einer Terrasse.</v>
      </c>
    </row>
    <row r="28478">
      <c r="A28478" s="4" t="s">
        <v>35870</v>
      </c>
      <c r="B28478" s="4" t="s">
        <v>35872</v>
      </c>
      <c r="C28478" s="5" t="str">
        <f>IFERROR(__xludf.DUMMYFUNCTION("GOOGLETRANSLATE(B28478,""en"",""de"")"),"Sie dreht sich mehrmals herum und scheint viel Spaß zu haben.")</f>
        <v>Sie dreht sich mehrmals herum und scheint viel Spaß zu haben.</v>
      </c>
    </row>
    <row r="28479">
      <c r="A28479" s="4" t="s">
        <v>35870</v>
      </c>
      <c r="B28479" s="4" t="s">
        <v>35873</v>
      </c>
      <c r="C28479" s="5" t="str">
        <f>IFERROR(__xludf.DUMMYFUNCTION("GOOGLETRANSLATE(B28479,""en"",""de"")"),"Der Kollegen bewegt sich nach oben und unten, um sie im Rahmen zu halten.")</f>
        <v>Der Kollegen bewegt sich nach oben und unten, um sie im Rahmen zu halten.</v>
      </c>
    </row>
    <row r="28480">
      <c r="A28480" s="4" t="s">
        <v>35870</v>
      </c>
      <c r="B28480" s="4" t="s">
        <v>35874</v>
      </c>
      <c r="C28480" s="5" t="str">
        <f>IFERROR(__xludf.DUMMYFUNCTION("GOOGLETRANSLATE(B28480,""en"",""de"")"),"Es springt dann zu einem anderen Mädchen, der nur ihre untere Hälfte zeigt, als ein Hula -Hoop um sie herum dreht.")</f>
        <v>Es springt dann zu einem anderen Mädchen, der nur ihre untere Hälfte zeigt, als ein Hula -Hoop um sie herum dreht.</v>
      </c>
    </row>
    <row r="28481">
      <c r="A28481" s="4" t="s">
        <v>35870</v>
      </c>
      <c r="B28481" s="4" t="s">
        <v>35875</v>
      </c>
      <c r="C28481" s="5" t="str">
        <f>IFERROR(__xludf.DUMMYFUNCTION("GOOGLETRANSLATE(B28481,""en"",""de"")"),"Ein anderes Mädchen wird mehrmals in einem Haus tanzen.")</f>
        <v>Ein anderes Mädchen wird mehrmals in einem Haus tanzen.</v>
      </c>
    </row>
    <row r="28482">
      <c r="A28482" s="4" t="s">
        <v>35876</v>
      </c>
      <c r="B28482" s="4" t="s">
        <v>35877</v>
      </c>
      <c r="C28482" s="5" t="str">
        <f>IFERROR(__xludf.DUMMYFUNCTION("GOOGLETRANSLATE(B28482,""en"",""de"")"),"Eine große Gruppe von Menschen wird in mehreren Aufnahmen gezeigt, die ein Sportspiel spielen, während Hunderte von Menschen an den Seiten zuschauen.")</f>
        <v>Eine große Gruppe von Menschen wird in mehreren Aufnahmen gezeigt, die ein Sportspiel spielen, während Hunderte von Menschen an den Seiten zuschauen.</v>
      </c>
    </row>
    <row r="28483">
      <c r="A28483" s="4" t="s">
        <v>35876</v>
      </c>
      <c r="B28483" s="4" t="s">
        <v>35878</v>
      </c>
      <c r="C28483" s="5" t="str">
        <f>IFERROR(__xludf.DUMMYFUNCTION("GOOGLETRANSLATE(B28483,""en"",""de"")"),"Die Männer rennen weiter auf dem Feld, während Nahaufnahmen von Trainern gezeigt werden und ein Ziel erzielt.")</f>
        <v>Die Männer rennen weiter auf dem Feld, während Nahaufnahmen von Trainern gezeigt werden und ein Ziel erzielt.</v>
      </c>
    </row>
    <row r="28484">
      <c r="A28484" s="4" t="s">
        <v>35876</v>
      </c>
      <c r="B28484" s="4" t="s">
        <v>35879</v>
      </c>
      <c r="C28484" s="5" t="str">
        <f>IFERROR(__xludf.DUMMYFUNCTION("GOOGLETRANSLATE(B28484,""en"",""de"")"),"Ein Mann kniet nieder und die anderen schütteln den Spielern die Hand.")</f>
        <v>Ein Mann kniet nieder und die anderen schütteln den Spielern die Hand.</v>
      </c>
    </row>
    <row r="28485">
      <c r="A28485" s="4" t="s">
        <v>35880</v>
      </c>
      <c r="B28485" s="4" t="s">
        <v>35881</v>
      </c>
      <c r="C28485" s="5" t="str">
        <f>IFERROR(__xludf.DUMMYFUNCTION("GOOGLETRANSLATE(B28485,""en"",""de"")"),"Ein Koch mit einer Streifenbluse spricht in einer Küche.")</f>
        <v>Ein Koch mit einer Streifenbluse spricht in einer Küche.</v>
      </c>
    </row>
    <row r="28486">
      <c r="A28486" s="4" t="s">
        <v>35880</v>
      </c>
      <c r="B28486" s="4" t="s">
        <v>35882</v>
      </c>
      <c r="C28486" s="5" t="str">
        <f>IFERROR(__xludf.DUMMYFUNCTION("GOOGLETRANSLATE(B28486,""en"",""de"")"),"Die Lady Chef beschreibt die benötigten Zutaten und die Zubereitung der cremigen Meeresfrüchte -Pasta.")</f>
        <v>Die Lady Chef beschreibt die benötigten Zutaten und die Zubereitung der cremigen Meeresfrüchte -Pasta.</v>
      </c>
    </row>
    <row r="28487">
      <c r="A28487" s="4" t="s">
        <v>35880</v>
      </c>
      <c r="B28487" s="4" t="s">
        <v>35883</v>
      </c>
      <c r="C28487" s="5" t="str">
        <f>IFERROR(__xludf.DUMMYFUNCTION("GOOGLETRANSLATE(B28487,""en"",""de"")"),"Der Koch aus Lady zeigt einen Schritt für Schritt zur Zubereitung des cremigen Pasta -Gerichts mit Meeresfrüchten und zeigt das Endprodukt.")</f>
        <v>Der Koch aus Lady zeigt einen Schritt für Schritt zur Zubereitung des cremigen Pasta -Gerichts mit Meeresfrüchten und zeigt das Endprodukt.</v>
      </c>
    </row>
    <row r="28488">
      <c r="A28488" s="4" t="s">
        <v>35884</v>
      </c>
      <c r="B28488" s="4" t="s">
        <v>35885</v>
      </c>
      <c r="C28488" s="5" t="str">
        <f>IFERROR(__xludf.DUMMYFUNCTION("GOOGLETRANSLATE(B28488,""en"",""de"")"),"Ein Mann spricht in einem Stall, als er ein Pferd neben ihm füttert.")</f>
        <v>Ein Mann spricht in einem Stall, als er ein Pferd neben ihm füttert.</v>
      </c>
    </row>
    <row r="28489">
      <c r="A28489" s="4" t="s">
        <v>35884</v>
      </c>
      <c r="B28489" s="4" t="s">
        <v>35886</v>
      </c>
      <c r="C28489" s="5" t="str">
        <f>IFERROR(__xludf.DUMMYFUNCTION("GOOGLETRANSLATE(B28489,""en"",""de"")"),"Er spricht ausführlich über die Vorteile des Reitens.")</f>
        <v>Er spricht ausführlich über die Vorteile des Reitens.</v>
      </c>
    </row>
    <row r="28490">
      <c r="A28490" s="4" t="s">
        <v>35884</v>
      </c>
      <c r="B28490" s="4" t="s">
        <v>35887</v>
      </c>
      <c r="C28490" s="5" t="str">
        <f>IFERROR(__xludf.DUMMYFUNCTION("GOOGLETRANSLATE(B28490,""en"",""de"")"),"Er montiert einen Sattel auf das Pferd.")</f>
        <v>Er montiert einen Sattel auf das Pferd.</v>
      </c>
    </row>
    <row r="28491">
      <c r="A28491" s="4" t="s">
        <v>35884</v>
      </c>
      <c r="B28491" s="4" t="s">
        <v>35888</v>
      </c>
      <c r="C28491" s="5" t="str">
        <f>IFERROR(__xludf.DUMMYFUNCTION("GOOGLETRANSLATE(B28491,""en"",""de"")"),"Dann führt er das Pferd aus und füttert ihm einen Apfel, während er weiter spricht.")</f>
        <v>Dann führt er das Pferd aus und füttert ihm einen Apfel, während er weiter spricht.</v>
      </c>
    </row>
    <row r="28492">
      <c r="A28492" s="4" t="s">
        <v>35889</v>
      </c>
      <c r="B28492" s="4" t="s">
        <v>35890</v>
      </c>
      <c r="C28492" s="5" t="str">
        <f>IFERROR(__xludf.DUMMYFUNCTION("GOOGLETRANSLATE(B28492,""en"",""de"")"),"Ein Mann steht Sen vor einer großen Gruppe von Menschen, die an einem Seil festhalten.")</f>
        <v>Ein Mann steht Sen vor einer großen Gruppe von Menschen, die an einem Seil festhalten.</v>
      </c>
    </row>
    <row r="28493">
      <c r="A28493" s="4" t="s">
        <v>35889</v>
      </c>
      <c r="B28493" s="4" t="s">
        <v>35891</v>
      </c>
      <c r="C28493" s="5" t="str">
        <f>IFERROR(__xludf.DUMMYFUNCTION("GOOGLETRANSLATE(B28493,""en"",""de"")"),"Der Mann hebt die Arme und das beiden Team beginnt ein Tauziehenspiel.")</f>
        <v>Der Mann hebt die Arme und das beiden Team beginnt ein Tauziehenspiel.</v>
      </c>
    </row>
    <row r="28494">
      <c r="A28494" s="4" t="s">
        <v>35889</v>
      </c>
      <c r="B28494" s="4" t="s">
        <v>35892</v>
      </c>
      <c r="C28494" s="5" t="str">
        <f>IFERROR(__xludf.DUMMYFUNCTION("GOOGLETRANSLATE(B28494,""en"",""de"")"),"Ein weiteres Spiel des Krieges tritt auf der Seite vor und endet mit den Männern, die gerade stehen.")</f>
        <v>Ein weiteres Spiel des Krieges tritt auf der Seite vor und endet mit den Männern, die gerade stehen.</v>
      </c>
    </row>
    <row r="28495">
      <c r="A28495" s="4" t="s">
        <v>35893</v>
      </c>
      <c r="B28495" s="4" t="s">
        <v>35894</v>
      </c>
      <c r="C28495" s="5" t="str">
        <f>IFERROR(__xludf.DUMMYFUNCTION("GOOGLETRANSLATE(B28495,""en"",""de"")"),"Wir sehen ein Mädchen in einem durchdringenden Salon mit einer Dame in ihrer Nähe.")</f>
        <v>Wir sehen ein Mädchen in einem durchdringenden Salon mit einer Dame in ihrer Nähe.</v>
      </c>
    </row>
    <row r="28496">
      <c r="A28496" s="4" t="s">
        <v>35893</v>
      </c>
      <c r="B28496" s="4" t="s">
        <v>35895</v>
      </c>
      <c r="C28496" s="5" t="str">
        <f>IFERROR(__xludf.DUMMYFUNCTION("GOOGLETRANSLATE(B28496,""en"",""de"")"),"Die Dame legt einen Clip auf die Lippe der Mädchen und steckt eine große Nadel durch die Lippe.")</f>
        <v>Die Dame legt einen Clip auf die Lippe der Mädchen und steckt eine große Nadel durch die Lippe.</v>
      </c>
    </row>
    <row r="28497">
      <c r="A28497" s="4" t="s">
        <v>35893</v>
      </c>
      <c r="B28497" s="4" t="s">
        <v>35896</v>
      </c>
      <c r="C28497" s="5" t="str">
        <f>IFERROR(__xludf.DUMMYFUNCTION("GOOGLETRANSLATE(B28497,""en"",""de"")"),"Die Dame schiebt den Ohrring durch die Mädchenlippe und legt ein Desinfektionsmittel darauf.")</f>
        <v>Die Dame schiebt den Ohrring durch die Mädchenlippe und legt ein Desinfektionsmittel darauf.</v>
      </c>
    </row>
    <row r="28498">
      <c r="A28498" s="4" t="s">
        <v>35897</v>
      </c>
      <c r="B28498" s="4" t="s">
        <v>35898</v>
      </c>
      <c r="C28498" s="5" t="str">
        <f>IFERROR(__xludf.DUMMYFUNCTION("GOOGLETRANSLATE(B28498,""en"",""de"")"),"Ein junges Mädchen spricht mit der Kamera und hält eine Flasche an der Kamera.")</f>
        <v>Ein junges Mädchen spricht mit der Kamera und hält eine Flasche an der Kamera.</v>
      </c>
    </row>
    <row r="28499">
      <c r="A28499" s="4" t="s">
        <v>35897</v>
      </c>
      <c r="B28499" s="4" t="s">
        <v>35899</v>
      </c>
      <c r="C28499" s="5" t="str">
        <f>IFERROR(__xludf.DUMMYFUNCTION("GOOGLETRANSLATE(B28499,""en"",""de"")"),"Das Mädchen beginnt dann, ihre Nägel zu malen und sie zur Kamera zu zeigen.")</f>
        <v>Das Mädchen beginnt dann, ihre Nägel zu malen und sie zur Kamera zu zeigen.</v>
      </c>
    </row>
    <row r="28500">
      <c r="A28500" s="4" t="s">
        <v>35897</v>
      </c>
      <c r="B28500" s="4" t="s">
        <v>35900</v>
      </c>
      <c r="C28500" s="5" t="str">
        <f>IFERROR(__xludf.DUMMYFUNCTION("GOOGLETRANSLATE(B28500,""en"",""de"")"),"Sie malt weiterhin ihre Nägel und macht der Kamera lustige Gesichter.")</f>
        <v>Sie malt weiterhin ihre Nägel und macht der Kamera lustige Gesichter.</v>
      </c>
    </row>
    <row r="28501">
      <c r="A28501" s="4" t="s">
        <v>35901</v>
      </c>
      <c r="B28501" s="4" t="s">
        <v>35902</v>
      </c>
      <c r="C28501" s="5" t="str">
        <f>IFERROR(__xludf.DUMMYFUNCTION("GOOGLETRANSLATE(B28501,""en"",""de"")"),"Eine Person legt Teppiche auf den Boden.")</f>
        <v>Eine Person legt Teppiche auf den Boden.</v>
      </c>
    </row>
    <row r="28502">
      <c r="A28502" s="4" t="s">
        <v>35901</v>
      </c>
      <c r="B28502" s="4" t="s">
        <v>35903</v>
      </c>
      <c r="C28502" s="5" t="str">
        <f>IFERROR(__xludf.DUMMYFUNCTION("GOOGLETRANSLATE(B28502,""en"",""de"")"),"Der Mann misst die Scheiben so, dass sie in die Ecken passen.")</f>
        <v>Der Mann misst die Scheiben so, dass sie in die Ecken passen.</v>
      </c>
    </row>
    <row r="28503">
      <c r="A28503" s="4" t="s">
        <v>35901</v>
      </c>
      <c r="B28503" s="4" t="s">
        <v>35904</v>
      </c>
      <c r="C28503" s="5" t="str">
        <f>IFERROR(__xludf.DUMMYFUNCTION("GOOGLETRANSLATE(B28503,""en"",""de"")"),"Danach legt die Person Streifen an der Grenze der Unterlegscheiben und legt dann den Teppich.")</f>
        <v>Danach legt die Person Streifen an der Grenze der Unterlegscheiben und legt dann den Teppich.</v>
      </c>
    </row>
    <row r="28504">
      <c r="A28504" s="4" t="s">
        <v>35905</v>
      </c>
      <c r="B28504" s="4" t="s">
        <v>35906</v>
      </c>
      <c r="C28504" s="5" t="str">
        <f>IFERROR(__xludf.DUMMYFUNCTION("GOOGLETRANSLATE(B28504,""en"",""de"")"),"Ein Mann nimmt Videos von ihm Skifahren und Snowboarden einen Berg hinunter.")</f>
        <v>Ein Mann nimmt Videos von ihm Skifahren und Snowboarden einen Berg hinunter.</v>
      </c>
    </row>
    <row r="28505">
      <c r="A28505" s="4" t="s">
        <v>35905</v>
      </c>
      <c r="B28505" s="4" t="s">
        <v>35907</v>
      </c>
      <c r="C28505" s="5" t="str">
        <f>IFERROR(__xludf.DUMMYFUNCTION("GOOGLETRANSLATE(B28505,""en"",""de"")"),"Er geht auch durch einen Wald.")</f>
        <v>Er geht auch durch einen Wald.</v>
      </c>
    </row>
    <row r="28506">
      <c r="A28506" s="4" t="s">
        <v>35908</v>
      </c>
      <c r="B28506" s="4" t="s">
        <v>35909</v>
      </c>
      <c r="C28506" s="5" t="str">
        <f>IFERROR(__xludf.DUMMYFUNCTION("GOOGLETRANSLATE(B28506,""en"",""de"")"),"Zwei Schwimmer stehen auf einer hohen Tauchplattform nach vorne.")</f>
        <v>Zwei Schwimmer stehen auf einer hohen Tauchplattform nach vorne.</v>
      </c>
    </row>
    <row r="28507">
      <c r="A28507" s="4" t="s">
        <v>35908</v>
      </c>
      <c r="B28507" s="4" t="s">
        <v>35910</v>
      </c>
      <c r="C28507" s="5" t="str">
        <f>IFERROR(__xludf.DUMMYFUNCTION("GOOGLETRANSLATE(B28507,""en"",""de"")"),"Die Taucher tauchen von der Plattform ins Wasser.")</f>
        <v>Die Taucher tauchen von der Plattform ins Wasser.</v>
      </c>
    </row>
    <row r="28508">
      <c r="A28508" s="4" t="s">
        <v>35911</v>
      </c>
      <c r="B28508" s="4" t="s">
        <v>35912</v>
      </c>
      <c r="C28508" s="5" t="str">
        <f>IFERROR(__xludf.DUMMYFUNCTION("GOOGLETRANSLATE(B28508,""en"",""de"")"),"Zwei Männer stellen sich zu Beginn des Videos vor und sagen den Zuschauern, dass sie über Tätowierungen sprechen werden.")</f>
        <v>Zwei Männer stellen sich zu Beginn des Videos vor und sagen den Zuschauern, dass sie über Tätowierungen sprechen werden.</v>
      </c>
    </row>
    <row r="28509">
      <c r="A28509" s="4" t="s">
        <v>35911</v>
      </c>
      <c r="B28509" s="4" t="s">
        <v>35913</v>
      </c>
      <c r="C28509" s="5" t="str">
        <f>IFERROR(__xludf.DUMMYFUNCTION("GOOGLETRANSLATE(B28509,""en"",""de"")"),"Einer der Jungs kommt auf den Bildschirm und gibt einige Tipps, wie man sich auf ein Tattoo vorbereitet.")</f>
        <v>Einer der Jungs kommt auf den Bildschirm und gibt einige Tipps, wie man sich auf ein Tattoo vorbereitet.</v>
      </c>
    </row>
    <row r="28510">
      <c r="A28510" s="4" t="s">
        <v>35911</v>
      </c>
      <c r="B28510" s="4" t="s">
        <v>35914</v>
      </c>
      <c r="C28510" s="5" t="str">
        <f>IFERROR(__xludf.DUMMYFUNCTION("GOOGLETRANSLATE(B28510,""en"",""de"")"),"Eine Nahaufnahme eines Mannes zeigt jemandem ein Tattoo.")</f>
        <v>Eine Nahaufnahme eines Mannes zeigt jemandem ein Tattoo.</v>
      </c>
    </row>
    <row r="28511">
      <c r="A28511" s="4" t="s">
        <v>35911</v>
      </c>
      <c r="B28511" s="4" t="s">
        <v>35915</v>
      </c>
      <c r="C28511" s="5" t="str">
        <f>IFERROR(__xludf.DUMMYFUNCTION("GOOGLETRANSLATE(B28511,""en"",""de"")"),"Mehrere Clients werden auf dem Bildschirm geschlossen, während sie sich im Prozess eines Tattoo befinden.")</f>
        <v>Mehrere Clients werden auf dem Bildschirm geschlossen, während sie sich im Prozess eines Tattoo befinden.</v>
      </c>
    </row>
    <row r="28512">
      <c r="A28512" s="4" t="s">
        <v>35916</v>
      </c>
      <c r="B28512" s="4" t="s">
        <v>35917</v>
      </c>
      <c r="C28512" s="5" t="str">
        <f>IFERROR(__xludf.DUMMYFUNCTION("GOOGLETRANSLATE(B28512,""en"",""de"")"),"Eine Frau schiebt einen Puck entlang etwas Eis, gefolgt von Leuten, die Eis mit Besen vor dem Puck putzen.")</f>
        <v>Eine Frau schiebt einen Puck entlang etwas Eis, gefolgt von Leuten, die Eis mit Besen vor dem Puck putzen.</v>
      </c>
    </row>
    <row r="28513">
      <c r="A28513" s="4" t="s">
        <v>35916</v>
      </c>
      <c r="B28513" s="4" t="s">
        <v>35918</v>
      </c>
      <c r="C28513" s="5" t="str">
        <f>IFERROR(__xludf.DUMMYFUNCTION("GOOGLETRANSLATE(B28513,""en"",""de"")"),"Sie bürsten und beenden den Puck kontinuierlich in einem Kreis und endet mit der Frau, die mit den anderen spricht.")</f>
        <v>Sie bürsten und beenden den Puck kontinuierlich in einem Kreis und endet mit der Frau, die mit den anderen spricht.</v>
      </c>
    </row>
    <row r="28514">
      <c r="A28514" s="4" t="s">
        <v>35919</v>
      </c>
      <c r="B28514" s="4" t="s">
        <v>35920</v>
      </c>
      <c r="C28514" s="5" t="str">
        <f>IFERROR(__xludf.DUMMYFUNCTION("GOOGLETRANSLATE(B28514,""en"",""de"")"),"Ein Mann begrüßt zuerst und kariert dann in einem Raum, während er sich an einem Bein dreht. Als nächstes macht er Gruß.")</f>
        <v>Ein Mann begrüßt zuerst und kariert dann in einem Raum, während er sich an einem Bein dreht. Als nächstes macht er Gruß.</v>
      </c>
    </row>
    <row r="28515">
      <c r="A28515" s="4" t="s">
        <v>35919</v>
      </c>
      <c r="B28515" s="4" t="s">
        <v>35921</v>
      </c>
      <c r="C28515" s="5" t="str">
        <f>IFERROR(__xludf.DUMMYFUNCTION("GOOGLETRANSLATE(B28515,""en"",""de"")"),"Ein Mann macht das Kreuz in einer hockenden Position, dann dreht er seinen Körper.")</f>
        <v>Ein Mann macht das Kreuz in einer hockenden Position, dann dreht er seinen Körper.</v>
      </c>
    </row>
    <row r="28516">
      <c r="A28516" s="4" t="s">
        <v>35919</v>
      </c>
      <c r="B28516" s="4" t="s">
        <v>35922</v>
      </c>
      <c r="C28516" s="5" t="str">
        <f>IFERROR(__xludf.DUMMYFUNCTION("GOOGLETRANSLATE(B28516,""en"",""de"")"),"Dann kämpft der Mann und der männliche Kampf beim Springen und Treten.")</f>
        <v>Dann kämpft der Mann und der männliche Kampf beim Springen und Treten.</v>
      </c>
    </row>
    <row r="28517">
      <c r="A28517" s="4" t="s">
        <v>35919</v>
      </c>
      <c r="B28517" s="4" t="s">
        <v>35923</v>
      </c>
      <c r="C28517" s="5" t="str">
        <f>IFERROR(__xludf.DUMMYFUNCTION("GOOGLETRANSLATE(B28517,""en"",""de"")"),"Danach tritt der Mann mit seinen Füßen das Gesicht des Mannes und dreht sich mit einer Hand auf dem Boden, während der Mann auf einer schaumigen Matte landet.")</f>
        <v>Danach tritt der Mann mit seinen Füßen das Gesicht des Mannes und dreht sich mit einer Hand auf dem Boden, während der Mann auf einer schaumigen Matte landet.</v>
      </c>
    </row>
    <row r="28518">
      <c r="A28518" s="4" t="s">
        <v>35924</v>
      </c>
      <c r="B28518" s="4" t="s">
        <v>35925</v>
      </c>
      <c r="C28518" s="5" t="str">
        <f>IFERROR(__xludf.DUMMYFUNCTION("GOOGLETRANSLATE(B28518,""en"",""de"")"),"Eine Nahaufnahme einer Matte wird von Pucks umgeben und ein Stock in der Mitte sitzt.")</f>
        <v>Eine Nahaufnahme einer Matte wird von Pucks umgeben und ein Stock in der Mitte sitzt.</v>
      </c>
    </row>
    <row r="28519">
      <c r="A28519" s="4" t="s">
        <v>35924</v>
      </c>
      <c r="B28519" s="4" t="s">
        <v>35926</v>
      </c>
      <c r="C28519" s="5" t="str">
        <f>IFERROR(__xludf.DUMMYFUNCTION("GOOGLETRANSLATE(B28519,""en"",""de"")"),"Die Kamera schwenkt nach Leuten, die den Puck entlang des Eiss schieben, gefolgt von einer Person, die den Puck in die Mitte schob.")</f>
        <v>Die Kamera schwenkt nach Leuten, die den Puck entlang des Eiss schieben, gefolgt von einer Person, die den Puck in die Mitte schob.</v>
      </c>
    </row>
    <row r="28520">
      <c r="A28520" s="4" t="s">
        <v>35927</v>
      </c>
      <c r="B28520" s="4" t="s">
        <v>35928</v>
      </c>
      <c r="C28520" s="5" t="str">
        <f>IFERROR(__xludf.DUMMYFUNCTION("GOOGLETRANSLATE(B28520,""en"",""de"")"),"Ein kleiner Junge in seinem Pajamma steht im Spiegel und beobachtete sich die Zähne.")</f>
        <v>Ein kleiner Junge in seinem Pajamma steht im Spiegel und beobachtete sich die Zähne.</v>
      </c>
    </row>
    <row r="28521">
      <c r="A28521" s="4" t="s">
        <v>35927</v>
      </c>
      <c r="B28521" s="4" t="s">
        <v>35929</v>
      </c>
      <c r="C28521" s="5" t="str">
        <f>IFERROR(__xludf.DUMMYFUNCTION("GOOGLETRANSLATE(B28521,""en"",""de"")"),"Er bewegt sich ein wenig vorwärts und spuckt etwas Zahnpasta aus.")</f>
        <v>Er bewegt sich ein wenig vorwärts und spuckt etwas Zahnpasta aus.</v>
      </c>
    </row>
    <row r="28522">
      <c r="A28522" s="4" t="s">
        <v>35927</v>
      </c>
      <c r="B28522" s="4" t="s">
        <v>35930</v>
      </c>
      <c r="C28522" s="5" t="str">
        <f>IFERROR(__xludf.DUMMYFUNCTION("GOOGLETRANSLATE(B28522,""en"",""de"")"),"Dann putzt er weiter, er legt die Zahnbürste herunter und schnappt sich eine Tasse Wassergurgel und spuckt ihn aus.")</f>
        <v>Dann putzt er weiter, er legt die Zahnbürste herunter und schnappt sich eine Tasse Wassergurgel und spuckt ihn aus.</v>
      </c>
    </row>
    <row r="28523">
      <c r="A28523" s="4" t="s">
        <v>35927</v>
      </c>
      <c r="B28523" s="4" t="s">
        <v>35931</v>
      </c>
      <c r="C28523" s="5" t="str">
        <f>IFERROR(__xludf.DUMMYFUNCTION("GOOGLETRANSLATE(B28523,""en"",""de"")"),"Er findet das sehr amüsant und macht es immer wieder, bis die Tasse Wasser leer ist und er dann von seinem Hocker runtersteht und sein Gesicht mit einem Handtuch reinigt.")</f>
        <v>Er findet das sehr amüsant und macht es immer wieder, bis die Tasse Wasser leer ist und er dann von seinem Hocker runtersteht und sein Gesicht mit einem Handtuch reinigt.</v>
      </c>
    </row>
    <row r="28524">
      <c r="A28524" s="4" t="s">
        <v>35932</v>
      </c>
      <c r="B28524" s="4" t="s">
        <v>35933</v>
      </c>
      <c r="C28524" s="5" t="str">
        <f>IFERROR(__xludf.DUMMYFUNCTION("GOOGLETRANSLATE(B28524,""en"",""de"")"),"Ein Text wird auf dem Bildschirm angezeigt, in dem eine Frage zu einem Thema in der Sicherheit von Taucherfasern gefragt wird.")</f>
        <v>Ein Text wird auf dem Bildschirm angezeigt, in dem eine Frage zu einem Thema in der Sicherheit von Taucherfasern gefragt wird.</v>
      </c>
    </row>
    <row r="28525">
      <c r="A28525" s="4" t="s">
        <v>35932</v>
      </c>
      <c r="B28525" s="4" t="s">
        <v>35934</v>
      </c>
      <c r="C28525" s="5" t="str">
        <f>IFERROR(__xludf.DUMMYFUNCTION("GOOGLETRANSLATE(B28525,""en"",""de"")"),"Die Szene ändert sich, um viele Tanks zu zeigen, und ein weiterer Text, der mehr über die Frage erklärt.")</f>
        <v>Die Szene ändert sich, um viele Tanks zu zeigen, und ein weiterer Text, der mehr über die Frage erklärt.</v>
      </c>
    </row>
    <row r="28526">
      <c r="A28526" s="4" t="s">
        <v>35932</v>
      </c>
      <c r="B28526" s="4" t="s">
        <v>35935</v>
      </c>
      <c r="C28526" s="5" t="str">
        <f>IFERROR(__xludf.DUMMYFUNCTION("GOOGLETRANSLATE(B28526,""en"",""de"")"),"Ein Mann taucht unter Wasser, während er seinen Lufttank in den Händen hält, und der Text erklärt weiterhin.")</f>
        <v>Ein Mann taucht unter Wasser, während er seinen Lufttank in den Händen hält, und der Text erklärt weiterhin.</v>
      </c>
    </row>
    <row r="28527">
      <c r="A28527" s="4" t="s">
        <v>35932</v>
      </c>
      <c r="B28527" s="4" t="s">
        <v>35936</v>
      </c>
      <c r="C28527" s="5" t="str">
        <f>IFERROR(__xludf.DUMMYFUNCTION("GOOGLETRANSLATE(B28527,""en"",""de"")"),"Der Lufttank wird auf dem Meeresbett auf dem Meeresbett schwebt.")</f>
        <v>Der Lufttank wird auf dem Meeresbett auf dem Meeresbett schwebt.</v>
      </c>
    </row>
    <row r="28528">
      <c r="A28528" s="4" t="s">
        <v>35932</v>
      </c>
      <c r="B28528" s="4" t="s">
        <v>35937</v>
      </c>
      <c r="C28528" s="5" t="str">
        <f>IFERROR(__xludf.DUMMYFUNCTION("GOOGLETRANSLATE(B28528,""en"",""de"")"),"Ein anderer Mann taucht Tauchen und er lässt seinen Panzer los, um den Auftrieb zu demonstrieren.")</f>
        <v>Ein anderer Mann taucht Tauchen und er lässt seinen Panzer los, um den Auftrieb zu demonstrieren.</v>
      </c>
    </row>
    <row r="28529">
      <c r="A28529" s="4" t="s">
        <v>35932</v>
      </c>
      <c r="B28529" s="4" t="s">
        <v>35938</v>
      </c>
      <c r="C28529" s="5" t="str">
        <f>IFERROR(__xludf.DUMMYFUNCTION("GOOGLETRANSLATE(B28529,""en"",""de"")"),"Die Szene wechselt zurück in die Gruppe der Lufttanks, wobei mehr Text erklärt wird.")</f>
        <v>Die Szene wechselt zurück in die Gruppe der Lufttanks, wobei mehr Text erklärt wird.</v>
      </c>
    </row>
    <row r="28530">
      <c r="A28530" s="4" t="s">
        <v>35932</v>
      </c>
      <c r="B28530" s="4" t="s">
        <v>35939</v>
      </c>
      <c r="C28530" s="5" t="str">
        <f>IFERROR(__xludf.DUMMYFUNCTION("GOOGLETRANSLATE(B28530,""en"",""de"")"),"Eine andere Szene wird mit 2 Tanks und einer Tasche neben einigen Bäumen gezeigt.")</f>
        <v>Eine andere Szene wird mit 2 Tanks und einer Tasche neben einigen Bäumen gezeigt.</v>
      </c>
    </row>
    <row r="28531">
      <c r="A28531" s="4" t="s">
        <v>35940</v>
      </c>
      <c r="B28531" s="4" t="s">
        <v>35941</v>
      </c>
      <c r="C28531" s="5" t="str">
        <f>IFERROR(__xludf.DUMMYFUNCTION("GOOGLETRANSLATE(B28531,""en"",""de"")"),"Ein Mann hält ein Taschenmesser, während er auf einigen Felsen in der Wildnis sitzt.")</f>
        <v>Ein Mann hält ein Taschenmesser, während er auf einigen Felsen in der Wildnis sitzt.</v>
      </c>
    </row>
    <row r="28532">
      <c r="A28532" s="4" t="s">
        <v>35940</v>
      </c>
      <c r="B28532" s="4" t="s">
        <v>35942</v>
      </c>
      <c r="C28532" s="5" t="str">
        <f>IFERROR(__xludf.DUMMYFUNCTION("GOOGLETRANSLATE(B28532,""en"",""de"")"),"Dann nimmt er einen kleinen Stein aus dem fließenden Fluss und zerschmettert ihn auf einen anderen Stein.")</f>
        <v>Dann nimmt er einen kleinen Stein aus dem fließenden Fluss und zerschmettert ihn auf einen anderen Stein.</v>
      </c>
    </row>
    <row r="28533">
      <c r="A28533" s="4" t="s">
        <v>35940</v>
      </c>
      <c r="B28533" s="4" t="s">
        <v>35943</v>
      </c>
      <c r="C28533" s="5" t="str">
        <f>IFERROR(__xludf.DUMMYFUNCTION("GOOGLETRANSLATE(B28533,""en"",""de"")"),"Er beginnt den kleinen Stein in kleinere Stücke zu zerquetschen.")</f>
        <v>Er beginnt den kleinen Stein in kleinere Stücke zu zerquetschen.</v>
      </c>
    </row>
    <row r="28534">
      <c r="A28534" s="4" t="s">
        <v>35940</v>
      </c>
      <c r="B28534" s="4" t="s">
        <v>35944</v>
      </c>
      <c r="C28534" s="5" t="str">
        <f>IFERROR(__xludf.DUMMYFUNCTION("GOOGLETRANSLATE(B28534,""en"",""de"")"),"Er mahlen es schwer, die Teile kleiner zu machen.")</f>
        <v>Er mahlen es schwer, die Teile kleiner zu machen.</v>
      </c>
    </row>
    <row r="28535">
      <c r="A28535" s="4" t="s">
        <v>35940</v>
      </c>
      <c r="B28535" s="4" t="s">
        <v>35945</v>
      </c>
      <c r="C28535" s="5" t="str">
        <f>IFERROR(__xludf.DUMMYFUNCTION("GOOGLETRANSLATE(B28535,""en"",""de"")"),"Dann nimmt er ein Stück Rinde und reibt die angetriebenen Steinstücke darauf.")</f>
        <v>Dann nimmt er ein Stück Rinde und reibt die angetriebenen Steinstücke darauf.</v>
      </c>
    </row>
    <row r="28536">
      <c r="A28536" s="4" t="s">
        <v>35940</v>
      </c>
      <c r="B28536" s="4" t="s">
        <v>35946</v>
      </c>
      <c r="C28536" s="5" t="str">
        <f>IFERROR(__xludf.DUMMYFUNCTION("GOOGLETRANSLATE(B28536,""en"",""de"")"),"Die Steinpartikel haften am nassen Holzstück.")</f>
        <v>Die Steinpartikel haften am nassen Holzstück.</v>
      </c>
    </row>
    <row r="28537">
      <c r="A28537" s="4" t="s">
        <v>35940</v>
      </c>
      <c r="B28537" s="4" t="s">
        <v>35947</v>
      </c>
      <c r="C28537" s="5" t="str">
        <f>IFERROR(__xludf.DUMMYFUNCTION("GOOGLETRANSLATE(B28537,""en"",""de"")"),"Dann nimmt er das Messer und schärft es gegen das Holzstück.")</f>
        <v>Dann nimmt er das Messer und schärft es gegen das Holzstück.</v>
      </c>
    </row>
    <row r="28538">
      <c r="A28538" s="4" t="s">
        <v>35940</v>
      </c>
      <c r="B28538" s="4" t="s">
        <v>35948</v>
      </c>
      <c r="C28538" s="5" t="str">
        <f>IFERROR(__xludf.DUMMYFUNCTION("GOOGLETRANSLATE(B28538,""en"",""de"")"),"Dann bemerkt er einen kleinen schwarzen und grünen giftigen Frosch, der neben ihm sitzt.")</f>
        <v>Dann bemerkt er einen kleinen schwarzen und grünen giftigen Frosch, der neben ihm sitzt.</v>
      </c>
    </row>
    <row r="28539">
      <c r="A28539" s="4" t="s">
        <v>35940</v>
      </c>
      <c r="B28539" s="4" t="s">
        <v>35949</v>
      </c>
      <c r="C28539" s="5" t="str">
        <f>IFERROR(__xludf.DUMMYFUNCTION("GOOGLETRANSLATE(B28539,""en"",""de"")"),"Der Frosch entkommt dann und springt weg.")</f>
        <v>Der Frosch entkommt dann und springt weg.</v>
      </c>
    </row>
    <row r="28540">
      <c r="A28540" s="4" t="s">
        <v>35940</v>
      </c>
      <c r="B28540" s="4" t="s">
        <v>35950</v>
      </c>
      <c r="C28540" s="5" t="str">
        <f>IFERROR(__xludf.DUMMYFUNCTION("GOOGLETRANSLATE(B28540,""en"",""de"")"),"Er erklärt, wie der Frosch eine giftige Flüssigkeit abschließt, die äußerst schädlich sein kann.")</f>
        <v>Er erklärt, wie der Frosch eine giftige Flüssigkeit abschließt, die äußerst schädlich sein kann.</v>
      </c>
    </row>
    <row r="28541">
      <c r="A28541" s="4" t="s">
        <v>35951</v>
      </c>
      <c r="B28541" s="4" t="s">
        <v>35952</v>
      </c>
      <c r="C28541" s="5" t="str">
        <f>IFERROR(__xludf.DUMMYFUNCTION("GOOGLETRANSLATE(B28541,""en"",""de"")"),"Wir sehen einen rosa Öffnungsbildschirm.")</f>
        <v>Wir sehen einen rosa Öffnungsbildschirm.</v>
      </c>
    </row>
    <row r="28542">
      <c r="A28542" s="4" t="s">
        <v>35951</v>
      </c>
      <c r="B28542" s="4" t="s">
        <v>35953</v>
      </c>
      <c r="C28542" s="5" t="str">
        <f>IFERROR(__xludf.DUMMYFUNCTION("GOOGLETRANSLATE(B28542,""en"",""de"")"),"Wir sehen eine Dame, die zwei Miniaturpferde streift.")</f>
        <v>Wir sehen eine Dame, die zwei Miniaturpferde streift.</v>
      </c>
    </row>
    <row r="28543">
      <c r="A28543" s="4" t="s">
        <v>35951</v>
      </c>
      <c r="B28543" s="4" t="s">
        <v>35954</v>
      </c>
      <c r="C28543" s="5" t="str">
        <f>IFERROR(__xludf.DUMMYFUNCTION("GOOGLETRANSLATE(B28543,""en"",""de"")"),"Die Dame reinigt die braunen Pferde Hufe.")</f>
        <v>Die Dame reinigt die braunen Pferde Hufe.</v>
      </c>
    </row>
    <row r="28544">
      <c r="A28544" s="4" t="s">
        <v>35951</v>
      </c>
      <c r="B28544" s="4" t="s">
        <v>35955</v>
      </c>
      <c r="C28544" s="5" t="str">
        <f>IFERROR(__xludf.DUMMYFUNCTION("GOOGLETRANSLATE(B28544,""en"",""de"")"),"Die Dame reinigt die Hufe auf dem weißen und braunen Pferd.")</f>
        <v>Die Dame reinigt die Hufe auf dem weißen und braunen Pferd.</v>
      </c>
    </row>
    <row r="28545">
      <c r="A28545" s="4" t="s">
        <v>35951</v>
      </c>
      <c r="B28545" s="4" t="s">
        <v>35956</v>
      </c>
      <c r="C28545" s="5" t="str">
        <f>IFERROR(__xludf.DUMMYFUNCTION("GOOGLETRANSLATE(B28545,""en"",""de"")"),"Die Dame streift die Mähne auf beiden Pferden.")</f>
        <v>Die Dame streift die Mähne auf beiden Pferden.</v>
      </c>
    </row>
    <row r="28546">
      <c r="A28546" s="4" t="s">
        <v>35951</v>
      </c>
      <c r="B28546" s="4" t="s">
        <v>35957</v>
      </c>
      <c r="C28546" s="5" t="str">
        <f>IFERROR(__xludf.DUMMYFUNCTION("GOOGLETRANSLATE(B28546,""en"",""de"")"),"Die Dame legt ihre Vorräte nieder.")</f>
        <v>Die Dame legt ihre Vorräte nieder.</v>
      </c>
    </row>
    <row r="28547">
      <c r="A28547" s="4" t="s">
        <v>35951</v>
      </c>
      <c r="B28547" s="4" t="s">
        <v>777</v>
      </c>
      <c r="C28547" s="5" t="str">
        <f>IFERROR(__xludf.DUMMYFUNCTION("GOOGLETRANSLATE(B28547,""en"",""de"")"),"Wir sehen den End -Titelbildschirm.")</f>
        <v>Wir sehen den End -Titelbildschirm.</v>
      </c>
    </row>
    <row r="28548">
      <c r="A28548" s="4" t="s">
        <v>35951</v>
      </c>
      <c r="B28548" s="4" t="s">
        <v>35958</v>
      </c>
      <c r="C28548" s="5" t="str">
        <f>IFERROR(__xludf.DUMMYFUNCTION("GOOGLETRANSLATE(B28548,""en"",""de"")"),"Wir sehen Schwarz -Weiß -Standbilder der Pferde.")</f>
        <v>Wir sehen Schwarz -Weiß -Standbilder der Pferde.</v>
      </c>
    </row>
    <row r="28549">
      <c r="A28549" s="4" t="s">
        <v>35951</v>
      </c>
      <c r="B28549" s="4" t="s">
        <v>35959</v>
      </c>
      <c r="C28549" s="5" t="str">
        <f>IFERROR(__xludf.DUMMYFUNCTION("GOOGLETRANSLATE(B28549,""en"",""de"")"),"Wir sehen, wie die Dame das braune Pferd wieder bürstet.")</f>
        <v>Wir sehen, wie die Dame das braune Pferd wieder bürstet.</v>
      </c>
    </row>
    <row r="28550">
      <c r="A28550" s="4" t="s">
        <v>35960</v>
      </c>
      <c r="B28550" s="4" t="s">
        <v>35961</v>
      </c>
      <c r="C28550" s="5" t="str">
        <f>IFERROR(__xludf.DUMMYFUNCTION("GOOGLETRANSLATE(B28550,""en"",""de"")"),"Ein Haufen Kinder fährt in Stoßstangenautos herum.")</f>
        <v>Ein Haufen Kinder fährt in Stoßstangenautos herum.</v>
      </c>
    </row>
    <row r="28551">
      <c r="A28551" s="4" t="s">
        <v>35960</v>
      </c>
      <c r="B28551" s="4" t="s">
        <v>35962</v>
      </c>
      <c r="C28551" s="5" t="str">
        <f>IFERROR(__xludf.DUMMYFUNCTION("GOOGLETRANSLATE(B28551,""en"",""de"")"),"Sie gehen auf der Strecke hin und her.")</f>
        <v>Sie gehen auf der Strecke hin und her.</v>
      </c>
    </row>
    <row r="28552">
      <c r="A28552" s="4" t="s">
        <v>35960</v>
      </c>
      <c r="B28552" s="4" t="s">
        <v>35963</v>
      </c>
      <c r="C28552" s="5" t="str">
        <f>IFERROR(__xludf.DUMMYFUNCTION("GOOGLETRANSLATE(B28552,""en"",""de"")"),"Sie stoßen gegeneinander, lächeln und lachen.")</f>
        <v>Sie stoßen gegeneinander, lächeln und lachen.</v>
      </c>
    </row>
    <row r="28553">
      <c r="A28553" s="4" t="s">
        <v>35964</v>
      </c>
      <c r="B28553" s="4" t="s">
        <v>35965</v>
      </c>
      <c r="C28553" s="5" t="str">
        <f>IFERROR(__xludf.DUMMYFUNCTION("GOOGLETRANSLATE(B28553,""en"",""de"")"),"Es werden schneebedeckte Mountins gezeigt und die Leute machen Snowboard, der den Hügel hinunterfährt.")</f>
        <v>Es werden schneebedeckte Mountins gezeigt und die Leute machen Snowboard, der den Hügel hinunterfährt.</v>
      </c>
    </row>
    <row r="28554">
      <c r="A28554" s="4" t="s">
        <v>35964</v>
      </c>
      <c r="B28554" s="4" t="s">
        <v>35966</v>
      </c>
      <c r="C28554" s="5" t="str">
        <f>IFERROR(__xludf.DUMMYFUNCTION("GOOGLETRANSLATE(B28554,""en"",""de"")"),"Ein Schneehaus mit Kindern, die spielen, wird gezeigt.")</f>
        <v>Ein Schneehaus mit Kindern, die spielen, wird gezeigt.</v>
      </c>
    </row>
    <row r="28555">
      <c r="A28555" s="4" t="s">
        <v>35964</v>
      </c>
      <c r="B28555" s="4" t="s">
        <v>35967</v>
      </c>
      <c r="C28555" s="5" t="str">
        <f>IFERROR(__xludf.DUMMYFUNCTION("GOOGLETRANSLATE(B28555,""en"",""de"")"),"Ma spielt mit einem Spielzeugflugzeug.")</f>
        <v>Ma spielt mit einem Spielzeugflugzeug.</v>
      </c>
    </row>
    <row r="28556">
      <c r="A28556" s="4" t="s">
        <v>35964</v>
      </c>
      <c r="B28556" s="4" t="s">
        <v>35968</v>
      </c>
      <c r="C28556" s="5" t="str">
        <f>IFERROR(__xludf.DUMMYFUNCTION("GOOGLETRANSLATE(B28556,""en"",""de"")"),"Menschen, die Snowboarden machen, gehen mit roten Libeln und Feuerwerkskörpern im Himmel den Berg hinunter.")</f>
        <v>Menschen, die Snowboarden machen, gehen mit roten Libeln und Feuerwerkskörpern im Himmel den Berg hinunter.</v>
      </c>
    </row>
    <row r="28557">
      <c r="A28557" s="4" t="s">
        <v>35969</v>
      </c>
      <c r="B28557" s="4" t="s">
        <v>1251</v>
      </c>
      <c r="C28557" s="5" t="str">
        <f>IFERROR(__xludf.DUMMYFUNCTION("GOOGLETRANSLATE(B28557,""en"",""de"")"),"Die Credits des Clips werden angezeigt.")</f>
        <v>Die Credits des Clips werden angezeigt.</v>
      </c>
    </row>
    <row r="28558">
      <c r="A28558" s="4" t="s">
        <v>35969</v>
      </c>
      <c r="B28558" s="4" t="s">
        <v>35970</v>
      </c>
      <c r="C28558" s="5" t="str">
        <f>IFERROR(__xludf.DUMMYFUNCTION("GOOGLETRANSLATE(B28558,""en"",""de"")"),"Die unterschiedlichen Größen des Produkts werden angezeigt.")</f>
        <v>Die unterschiedlichen Größen des Produkts werden angezeigt.</v>
      </c>
    </row>
    <row r="28559">
      <c r="A28559" s="4" t="s">
        <v>35969</v>
      </c>
      <c r="B28559" s="4" t="s">
        <v>35971</v>
      </c>
      <c r="C28559" s="5" t="str">
        <f>IFERROR(__xludf.DUMMYFUNCTION("GOOGLETRANSLATE(B28559,""en"",""de"")"),"Der Typ gießt Produkt in einen Behälter und verwendet eine Bürste, um die Flüssigkeit auf die Oberfläche eines Metallobjekts zu legen.")</f>
        <v>Der Typ gießt Produkt in einen Behälter und verwendet eine Bürste, um die Flüssigkeit auf die Oberfläche eines Metallobjekts zu legen.</v>
      </c>
    </row>
    <row r="28560">
      <c r="A28560" s="4" t="s">
        <v>35969</v>
      </c>
      <c r="B28560" s="4" t="s">
        <v>35972</v>
      </c>
      <c r="C28560" s="5" t="str">
        <f>IFERROR(__xludf.DUMMYFUNCTION("GOOGLETRANSLATE(B28560,""en"",""de"")"),"Der Typ legt ein weißes Tuch auf die Kante.")</f>
        <v>Der Typ legt ein weißes Tuch auf die Kante.</v>
      </c>
    </row>
    <row r="28561">
      <c r="A28561" s="4" t="s">
        <v>35969</v>
      </c>
      <c r="B28561" s="4" t="s">
        <v>35973</v>
      </c>
      <c r="C28561" s="5" t="str">
        <f>IFERROR(__xludf.DUMMYFUNCTION("GOOGLETRANSLATE(B28561,""en"",""de"")"),"Der Typ leitet das Metallobjekt wiederholt über das weiße Tuch.")</f>
        <v>Der Typ leitet das Metallobjekt wiederholt über das weiße Tuch.</v>
      </c>
    </row>
    <row r="28562">
      <c r="A28562" s="4" t="s">
        <v>35969</v>
      </c>
      <c r="B28562" s="4" t="s">
        <v>573</v>
      </c>
      <c r="C28562" s="5" t="str">
        <f>IFERROR(__xludf.DUMMYFUNCTION("GOOGLETRANSLATE(B28562,""en"",""de"")"),"Die Credits des Videos werden angezeigt.")</f>
        <v>Die Credits des Videos werden angezeigt.</v>
      </c>
    </row>
    <row r="28563">
      <c r="A28563" s="4" t="s">
        <v>35974</v>
      </c>
      <c r="B28563" s="4" t="s">
        <v>35975</v>
      </c>
      <c r="C28563" s="5" t="str">
        <f>IFERROR(__xludf.DUMMYFUNCTION("GOOGLETRANSLATE(B28563,""en"",""de"")"),"Ein Gemälde zeigt mehrere Bilder von Malwerkzeugen und Vorräten.")</f>
        <v>Ein Gemälde zeigt mehrere Bilder von Malwerkzeugen und Vorräten.</v>
      </c>
    </row>
    <row r="28564">
      <c r="A28564" s="4" t="s">
        <v>35974</v>
      </c>
      <c r="B28564" s="4" t="s">
        <v>35976</v>
      </c>
      <c r="C28564" s="5" t="str">
        <f>IFERROR(__xludf.DUMMYFUNCTION("GOOGLETRANSLATE(B28564,""en"",""de"")"),"Die Hand einer Person beginnt dann, Markierungen auf das Gemälde zu setzen und ihren Pinsel kontinuierlich in die Farbe zu tauchen.")</f>
        <v>Die Hand einer Person beginnt dann, Markierungen auf das Gemälde zu setzen und ihren Pinsel kontinuierlich in die Farbe zu tauchen.</v>
      </c>
    </row>
    <row r="28565">
      <c r="A28565" s="4" t="s">
        <v>35974</v>
      </c>
      <c r="B28565" s="4" t="s">
        <v>35977</v>
      </c>
      <c r="C28565" s="5" t="str">
        <f>IFERROR(__xludf.DUMMYFUNCTION("GOOGLETRANSLATE(B28565,""en"",""de"")"),"Die Kamera schwenkt im fertigen Bild und ein Text wird über dem Bildschirm angezeigt.")</f>
        <v>Die Kamera schwenkt im fertigen Bild und ein Text wird über dem Bildschirm angezeigt.</v>
      </c>
    </row>
    <row r="28566">
      <c r="A28566" s="4" t="s">
        <v>35978</v>
      </c>
      <c r="B28566" s="4" t="s">
        <v>35979</v>
      </c>
      <c r="C28566" s="5" t="str">
        <f>IFERROR(__xludf.DUMMYFUNCTION("GOOGLETRANSLATE(B28566,""en"",""de"")"),"Eine Frau spielt Frisbee in einem Hinterhof mit einem Hund und führt mit dem Hund mehrere Tricks aus.")</f>
        <v>Eine Frau spielt Frisbee in einem Hinterhof mit einem Hund und führt mit dem Hund mehrere Tricks aus.</v>
      </c>
    </row>
    <row r="28567">
      <c r="A28567" s="4" t="s">
        <v>35978</v>
      </c>
      <c r="B28567" s="4" t="s">
        <v>35980</v>
      </c>
      <c r="C28567" s="5" t="str">
        <f>IFERROR(__xludf.DUMMYFUNCTION("GOOGLETRANSLATE(B28567,""en"",""de"")"),"Sie spielt kontinuierlich mit mehreren Spielsachen mit dem Hund, wenn eine andere Person nebenbei beobachtet.")</f>
        <v>Sie spielt kontinuierlich mit mehreren Spielsachen mit dem Hund, wenn eine andere Person nebenbei beobachtet.</v>
      </c>
    </row>
    <row r="28568">
      <c r="A28568" s="4" t="s">
        <v>35981</v>
      </c>
      <c r="B28568" s="4" t="s">
        <v>35982</v>
      </c>
      <c r="C28568" s="5" t="str">
        <f>IFERROR(__xludf.DUMMYFUNCTION("GOOGLETRANSLATE(B28568,""en"",""de"")"),"Eine kaukasische Frau in der späten Mutterschaft wird gezeigt, die auf einem Wohnzimmersofa sitzt.")</f>
        <v>Eine kaukasische Frau in der späten Mutterschaft wird gezeigt, die auf einem Wohnzimmersofa sitzt.</v>
      </c>
    </row>
    <row r="28569">
      <c r="A28569" s="4" t="s">
        <v>35981</v>
      </c>
      <c r="B28569" s="4" t="s">
        <v>35983</v>
      </c>
      <c r="C28569" s="5" t="str">
        <f>IFERROR(__xludf.DUMMYFUNCTION("GOOGLETRANSLATE(B28569,""en"",""de"")"),"Sie zieht eine Socke am linken Fuß an, während sie ihr Bein überquert und dann einen Tennisschuh auf ihrem linken Fuß anzieht.")</f>
        <v>Sie zieht eine Socke am linken Fuß an, während sie ihr Bein überquert und dann einen Tennisschuh auf ihrem linken Fuß anzieht.</v>
      </c>
    </row>
    <row r="28570">
      <c r="A28570" s="4" t="s">
        <v>35981</v>
      </c>
      <c r="B28570" s="4" t="s">
        <v>35984</v>
      </c>
      <c r="C28570" s="5" t="str">
        <f>IFERROR(__xludf.DUMMYFUNCTION("GOOGLETRANSLATE(B28570,""en"",""de"")"),"Sie ist unbehaglich klar, als sie ihren Schuh fährt, den sie auf einer Osmanischen ruht.")</f>
        <v>Sie ist unbehaglich klar, als sie ihren Schuh fährt, den sie auf einer Osmanischen ruht.</v>
      </c>
    </row>
    <row r="28571">
      <c r="A28571" s="4" t="s">
        <v>35981</v>
      </c>
      <c r="B28571" s="4" t="s">
        <v>35985</v>
      </c>
      <c r="C28571" s="5" t="str">
        <f>IFERROR(__xludf.DUMMYFUNCTION("GOOGLETRANSLATE(B28571,""en"",""de"")"),"Sie macht eine kleine Pause und legt dann ihren rechten Schuh an, sie legt ihren rechten Fuß auf die Osmanische, während sie den Schuh verbindet.")</f>
        <v>Sie macht eine kleine Pause und legt dann ihren rechten Schuh an, sie legt ihren rechten Fuß auf die Osmanische, während sie den Schuh verbindet.</v>
      </c>
    </row>
    <row r="28572">
      <c r="A28572" s="4" t="s">
        <v>35981</v>
      </c>
      <c r="B28572" s="4" t="s">
        <v>35986</v>
      </c>
      <c r="C28572" s="5" t="str">
        <f>IFERROR(__xludf.DUMMYFUNCTION("GOOGLETRANSLATE(B28572,""en"",""de"")"),"Die zufriedene und erschöpfte Frau setzt sich wieder auf dem Sofa und hält ihren großen Bauch, als sie die Aufgabe erledigt, ihren rechten Schuh anzuziehen.")</f>
        <v>Die zufriedene und erschöpfte Frau setzt sich wieder auf dem Sofa und hält ihren großen Bauch, als sie die Aufgabe erledigt, ihren rechten Schuh anzuziehen.</v>
      </c>
    </row>
    <row r="28573">
      <c r="A28573" s="4" t="s">
        <v>35987</v>
      </c>
      <c r="B28573" s="4" t="s">
        <v>35988</v>
      </c>
      <c r="C28573" s="5" t="str">
        <f>IFERROR(__xludf.DUMMYFUNCTION("GOOGLETRANSLATE(B28573,""en"",""de"")"),"Ein Mann, der einen Schläger hält, steht in einem Kürbishof, der mit der Kamera spricht.")</f>
        <v>Ein Mann, der einen Schläger hält, steht in einem Kürbishof, der mit der Kamera spricht.</v>
      </c>
    </row>
    <row r="28574">
      <c r="A28574" s="4" t="s">
        <v>35987</v>
      </c>
      <c r="B28574" s="4" t="s">
        <v>35989</v>
      </c>
      <c r="C28574" s="5" t="str">
        <f>IFERROR(__xludf.DUMMYFUNCTION("GOOGLETRANSLATE(B28574,""en"",""de"")"),"Der Mann springt und fängt einen blauen Ball.")</f>
        <v>Der Mann springt und fängt einen blauen Ball.</v>
      </c>
    </row>
    <row r="28575">
      <c r="A28575" s="4" t="s">
        <v>35987</v>
      </c>
      <c r="B28575" s="4" t="s">
        <v>35990</v>
      </c>
      <c r="C28575" s="5" t="str">
        <f>IFERROR(__xludf.DUMMYFUNCTION("GOOGLETRANSLATE(B28575,""en"",""de"")"),"Der Mann schlägt dann den Ball von der Rückwand und fängt ihn auf.")</f>
        <v>Der Mann schlägt dann den Ball von der Rückwand und fängt ihn auf.</v>
      </c>
    </row>
    <row r="28576">
      <c r="A28576" s="4" t="s">
        <v>35987</v>
      </c>
      <c r="B28576" s="4" t="s">
        <v>35991</v>
      </c>
      <c r="C28576" s="5" t="str">
        <f>IFERROR(__xludf.DUMMYFUNCTION("GOOGLETRANSLATE(B28576,""en"",""de"")"),"Der Mann steht dann und spricht mit der Kamera.")</f>
        <v>Der Mann steht dann und spricht mit der Kamera.</v>
      </c>
    </row>
    <row r="28577">
      <c r="A28577" s="4" t="s">
        <v>35992</v>
      </c>
      <c r="B28577" s="4" t="s">
        <v>35993</v>
      </c>
      <c r="C28577" s="5" t="str">
        <f>IFERROR(__xludf.DUMMYFUNCTION("GOOGLETRANSLATE(B28577,""en"",""de"")"),"Eine kleine Gruppe von Menschen steht auf einem Feld mit einem Schiedsrichter, der mit den Menschen spricht.")</f>
        <v>Eine kleine Gruppe von Menschen steht auf einem Feld mit einem Schiedsrichter, der mit den Menschen spricht.</v>
      </c>
    </row>
    <row r="28578">
      <c r="A28578" s="4" t="s">
        <v>35992</v>
      </c>
      <c r="B28578" s="4" t="s">
        <v>35994</v>
      </c>
      <c r="C28578" s="5" t="str">
        <f>IFERROR(__xludf.DUMMYFUNCTION("GOOGLETRANSLATE(B28578,""en"",""de"")"),"Die Spieler beginnen dann ein Match von Lacrosse miteinander und rennen das Feld auf und ab und spielen.")</f>
        <v>Die Spieler beginnen dann ein Match von Lacrosse miteinander und rennen das Feld auf und ab und spielen.</v>
      </c>
    </row>
    <row r="28579">
      <c r="A28579" s="4" t="s">
        <v>35995</v>
      </c>
      <c r="B28579" s="4" t="s">
        <v>35996</v>
      </c>
      <c r="C28579" s="5" t="str">
        <f>IFERROR(__xludf.DUMMYFUNCTION("GOOGLETRANSLATE(B28579,""en"",""de"")"),"In einem fertigen Keller spielen zwei Leute in gelben Hemden, die Tischtennis spielen.")</f>
        <v>In einem fertigen Keller spielen zwei Leute in gelben Hemden, die Tischtennis spielen.</v>
      </c>
    </row>
    <row r="28580">
      <c r="A28580" s="4" t="s">
        <v>35995</v>
      </c>
      <c r="B28580" s="4" t="s">
        <v>35997</v>
      </c>
      <c r="C28580" s="5" t="str">
        <f>IFERROR(__xludf.DUMMYFUNCTION("GOOGLETRANSLATE(B28580,""en"",""de"")"),"Es gibt drei Personen, die neben ihnen auf Sofas sitzen und Fußball -Fernseher sehen.")</f>
        <v>Es gibt drei Personen, die neben ihnen auf Sofas sitzen und Fußball -Fernseher sehen.</v>
      </c>
    </row>
    <row r="28581">
      <c r="A28581" s="4" t="s">
        <v>35995</v>
      </c>
      <c r="B28581" s="4" t="s">
        <v>35998</v>
      </c>
      <c r="C28581" s="5" t="str">
        <f>IFERROR(__xludf.DUMMYFUNCTION("GOOGLETRANSLATE(B28581,""en"",""de"")"),"Eine andere Person, die auf dem Sofa sitzt, spielt auf seinem Handy.")</f>
        <v>Eine andere Person, die auf dem Sofa sitzt, spielt auf seinem Handy.</v>
      </c>
    </row>
    <row r="28582">
      <c r="A28582" s="4" t="s">
        <v>35995</v>
      </c>
      <c r="B28582" s="4" t="s">
        <v>35999</v>
      </c>
      <c r="C28582" s="5" t="str">
        <f>IFERROR(__xludf.DUMMYFUNCTION("GOOGLETRANSLATE(B28582,""en"",""de"")"),"Die beiden Spieler spielen weiterhin Tischtennis.")</f>
        <v>Die beiden Spieler spielen weiterhin Tischtennis.</v>
      </c>
    </row>
    <row r="28583">
      <c r="A28583" s="4" t="s">
        <v>35995</v>
      </c>
      <c r="B28583" s="4" t="s">
        <v>36000</v>
      </c>
      <c r="C28583" s="5" t="str">
        <f>IFERROR(__xludf.DUMMYFUNCTION("GOOGLETRANSLATE(B28583,""en"",""de"")"),"Der Spieler auf der rechten Seite trifft den Ball, der Gegner ist, schnell zurück.")</f>
        <v>Der Spieler auf der rechten Seite trifft den Ball, der Gegner ist, schnell zurück.</v>
      </c>
    </row>
    <row r="28584">
      <c r="A28584" s="4" t="s">
        <v>35995</v>
      </c>
      <c r="B28584" s="4" t="s">
        <v>36001</v>
      </c>
      <c r="C28584" s="5" t="str">
        <f>IFERROR(__xludf.DUMMYFUNCTION("GOOGLETRANSLATE(B28584,""en"",""de"")"),"Der Ball fällt vom Tisch.")</f>
        <v>Der Ball fällt vom Tisch.</v>
      </c>
    </row>
    <row r="28585">
      <c r="A28585" s="4" t="s">
        <v>35995</v>
      </c>
      <c r="B28585" s="4" t="s">
        <v>36002</v>
      </c>
      <c r="C28585" s="5" t="str">
        <f>IFERROR(__xludf.DUMMYFUNCTION("GOOGLETRANSLATE(B28585,""en"",""de"")"),"Die Person auf der rechten Seite läuft, um den Ball aufzunehmen.")</f>
        <v>Die Person auf der rechten Seite läuft, um den Ball aufzunehmen.</v>
      </c>
    </row>
    <row r="28586">
      <c r="A28586" s="4" t="s">
        <v>35995</v>
      </c>
      <c r="B28586" s="4" t="s">
        <v>36003</v>
      </c>
      <c r="C28586" s="5" t="str">
        <f>IFERROR(__xludf.DUMMYFUNCTION("GOOGLETRANSLATE(B28586,""en"",""de"")"),"Sie spielen weiter und bedienen den Ball.")</f>
        <v>Sie spielen weiter und bedienen den Ball.</v>
      </c>
    </row>
    <row r="28587">
      <c r="A28587" s="4" t="s">
        <v>35995</v>
      </c>
      <c r="B28587" s="4" t="s">
        <v>36004</v>
      </c>
      <c r="C28587" s="5" t="str">
        <f>IFERROR(__xludf.DUMMYFUNCTION("GOOGLETRANSLATE(B28587,""en"",""de"")"),"Ein Mann, der in einem schwarzen Hoodie gekleidet ist, geht vorbei.")</f>
        <v>Ein Mann, der in einem schwarzen Hoodie gekleidet ist, geht vorbei.</v>
      </c>
    </row>
    <row r="28588">
      <c r="A28588" s="4" t="s">
        <v>35995</v>
      </c>
      <c r="B28588" s="4" t="s">
        <v>36005</v>
      </c>
      <c r="C28588" s="5" t="str">
        <f>IFERROR(__xludf.DUMMYFUNCTION("GOOGLETRANSLATE(B28588,""en"",""de"")"),"Einer der Spieler macht eine Pause, um den Tisch anzupassen.")</f>
        <v>Einer der Spieler macht eine Pause, um den Tisch anzupassen.</v>
      </c>
    </row>
    <row r="28589">
      <c r="A28589" s="4" t="s">
        <v>35995</v>
      </c>
      <c r="B28589" s="4" t="s">
        <v>36006</v>
      </c>
      <c r="C28589" s="5" t="str">
        <f>IFERROR(__xludf.DUMMYFUNCTION("GOOGLETRANSLATE(B28589,""en"",""de"")"),"Sie spielen weiterhin Tischtennis, während sie miteinander sprechen.")</f>
        <v>Sie spielen weiterhin Tischtennis, während sie miteinander sprechen.</v>
      </c>
    </row>
    <row r="28590">
      <c r="A28590" s="4" t="s">
        <v>36007</v>
      </c>
      <c r="B28590" s="4" t="s">
        <v>36008</v>
      </c>
      <c r="C28590" s="5" t="str">
        <f>IFERROR(__xludf.DUMMYFUNCTION("GOOGLETRANSLATE(B28590,""en"",""de"")"),"Zwei kleine Kinder werden gezeigt, wenn einer durch einen Satz von Affenstangen und der andere aus dem Rahmen steigt.")</f>
        <v>Zwei kleine Kinder werden gezeigt, wenn einer durch einen Satz von Affenstangen und der andere aus dem Rahmen steigt.</v>
      </c>
    </row>
    <row r="28591">
      <c r="A28591" s="4" t="s">
        <v>36007</v>
      </c>
      <c r="B28591" s="4" t="s">
        <v>36009</v>
      </c>
      <c r="C28591" s="5" t="str">
        <f>IFERROR(__xludf.DUMMYFUNCTION("GOOGLETRANSLATE(B28591,""en"",""de"")"),"Das Mädchen schafft es bis zum Ende der Bars und schaut in die Kamera und lächelt.")</f>
        <v>Das Mädchen schafft es bis zum Ende der Bars und schaut in die Kamera und lächelt.</v>
      </c>
    </row>
    <row r="28592">
      <c r="A28592" s="4" t="s">
        <v>36010</v>
      </c>
      <c r="B28592" s="4" t="s">
        <v>36011</v>
      </c>
      <c r="C28592" s="5" t="str">
        <f>IFERROR(__xludf.DUMMYFUNCTION("GOOGLETRANSLATE(B28592,""en"",""de"")"),"Eine Frau spricht in Küche, dann kommen zwei Jungen und redet, während die Früchte auf der Theke zeigen.")</f>
        <v>Eine Frau spricht in Küche, dann kommen zwei Jungen und redet, während die Früchte auf der Theke zeigen.</v>
      </c>
    </row>
    <row r="28593">
      <c r="A28593" s="4" t="s">
        <v>36010</v>
      </c>
      <c r="B28593" s="4" t="s">
        <v>36012</v>
      </c>
      <c r="C28593" s="5" t="str">
        <f>IFERROR(__xludf.DUMMYFUNCTION("GOOGLETRANSLATE(B28593,""en"",""de"")"),"Dann kommt ein Mann und steckt alle Früchte in eine große Schüssel, während er erklärt.")</f>
        <v>Dann kommt ein Mann und steckt alle Früchte in eine große Schüssel, während er erklärt.</v>
      </c>
    </row>
    <row r="28594">
      <c r="A28594" s="4" t="s">
        <v>36010</v>
      </c>
      <c r="B28594" s="4" t="s">
        <v>36013</v>
      </c>
      <c r="C28594" s="5" t="str">
        <f>IFERROR(__xludf.DUMMYFUNCTION("GOOGLETRANSLATE(B28594,""en"",""de"")"),"Danach fügt der Mann Joghurt, Schokolade und Müsli den Früchten hinzu.")</f>
        <v>Danach fügt der Mann Joghurt, Schokolade und Müsli den Früchten hinzu.</v>
      </c>
    </row>
    <row r="28595">
      <c r="A28595" s="4" t="s">
        <v>36014</v>
      </c>
      <c r="B28595" s="4" t="s">
        <v>36015</v>
      </c>
      <c r="C28595" s="5" t="str">
        <f>IFERROR(__xludf.DUMMYFUNCTION("GOOGLETRANSLATE(B28595,""en"",""de"")"),"Eine Person, die eine Weste trägt, hat mehrere Eimer auf der Straße, mit der sie trommelt.")</f>
        <v>Eine Person, die eine Weste trägt, hat mehrere Eimer auf der Straße, mit der sie trommelt.</v>
      </c>
    </row>
    <row r="28596">
      <c r="A28596" s="4" t="s">
        <v>36014</v>
      </c>
      <c r="B28596" s="4" t="s">
        <v>36016</v>
      </c>
      <c r="C28596" s="5" t="str">
        <f>IFERROR(__xludf.DUMMYFUNCTION("GOOGLETRANSLATE(B28596,""en"",""de"")"),"Viele Leute stehen erstaunt und sehen diesen Mann spielen, während einige mit einer Kamera aufnehmen.")</f>
        <v>Viele Leute stehen erstaunt und sehen diesen Mann spielen, während einige mit einer Kamera aufnehmen.</v>
      </c>
    </row>
    <row r="28597">
      <c r="A28597" s="4" t="s">
        <v>36014</v>
      </c>
      <c r="B28597" s="4" t="s">
        <v>36017</v>
      </c>
      <c r="C28597" s="5" t="str">
        <f>IFERROR(__xludf.DUMMYFUNCTION("GOOGLETRANSLATE(B28597,""en"",""de"")"),"Der Mann trommelt weiter und die Menge hat ihn weiter anfeuert.")</f>
        <v>Der Mann trommelt weiter und die Menge hat ihn weiter anfeuert.</v>
      </c>
    </row>
    <row r="28598">
      <c r="A28598" s="4" t="s">
        <v>36014</v>
      </c>
      <c r="B28598" s="4" t="s">
        <v>36018</v>
      </c>
      <c r="C28598" s="5" t="str">
        <f>IFERROR(__xludf.DUMMYFUNCTION("GOOGLETRANSLATE(B28598,""en"",""de"")"),"Viele Leute gehen vorbei und scheinen den Schlagzeuger nicht zu bemerken.")</f>
        <v>Viele Leute gehen vorbei und scheinen den Schlagzeuger nicht zu bemerken.</v>
      </c>
    </row>
    <row r="28599">
      <c r="A28599" s="4" t="s">
        <v>36019</v>
      </c>
      <c r="B28599" s="4" t="s">
        <v>36020</v>
      </c>
      <c r="C28599" s="5" t="str">
        <f>IFERROR(__xludf.DUMMYFUNCTION("GOOGLETRANSLATE(B28599,""en"",""de"")"),"Ein Junge steht hinter einem Tisch mit Essen.")</f>
        <v>Ein Junge steht hinter einem Tisch mit Essen.</v>
      </c>
    </row>
    <row r="28600">
      <c r="A28600" s="4" t="s">
        <v>36019</v>
      </c>
      <c r="B28600" s="4" t="s">
        <v>36021</v>
      </c>
      <c r="C28600" s="5" t="str">
        <f>IFERROR(__xludf.DUMMYFUNCTION("GOOGLETRANSLATE(B28600,""en"",""de"")"),"Er verbreitet Mayonnaise auf Brotscheiben.")</f>
        <v>Er verbreitet Mayonnaise auf Brotscheiben.</v>
      </c>
    </row>
    <row r="28601">
      <c r="A28601" s="4" t="s">
        <v>36019</v>
      </c>
      <c r="B28601" s="4" t="s">
        <v>36022</v>
      </c>
      <c r="C28601" s="5" t="str">
        <f>IFERROR(__xludf.DUMMYFUNCTION("GOOGLETRANSLATE(B28601,""en"",""de"")"),"Er legt Salat auf das Brot.")</f>
        <v>Er legt Salat auf das Brot.</v>
      </c>
    </row>
    <row r="28602">
      <c r="A28602" s="4" t="s">
        <v>36019</v>
      </c>
      <c r="B28602" s="4" t="s">
        <v>36023</v>
      </c>
      <c r="C28602" s="5" t="str">
        <f>IFERROR(__xludf.DUMMYFUNCTION("GOOGLETRANSLATE(B28602,""en"",""de"")"),"Er stapelt Tomaten auf dem Salat auf dem Brot.")</f>
        <v>Er stapelt Tomaten auf dem Salat auf dem Brot.</v>
      </c>
    </row>
    <row r="28603">
      <c r="A28603" s="4" t="s">
        <v>36019</v>
      </c>
      <c r="B28603" s="4" t="s">
        <v>36024</v>
      </c>
      <c r="C28603" s="5" t="str">
        <f>IFERROR(__xludf.DUMMYFUNCTION("GOOGLETRANSLATE(B28603,""en"",""de"")"),"Er legt Hühnchen auf die Tomate.")</f>
        <v>Er legt Hühnchen auf die Tomate.</v>
      </c>
    </row>
    <row r="28604">
      <c r="A28604" s="4" t="s">
        <v>36019</v>
      </c>
      <c r="B28604" s="4" t="s">
        <v>36025</v>
      </c>
      <c r="C28604" s="5" t="str">
        <f>IFERROR(__xludf.DUMMYFUNCTION("GOOGLETRANSLATE(B28604,""en"",""de"")"),"Er legt ein Stück Brot übereinander.")</f>
        <v>Er legt ein Stück Brot übereinander.</v>
      </c>
    </row>
    <row r="28605">
      <c r="A28605" s="4" t="s">
        <v>36019</v>
      </c>
      <c r="B28605" s="4" t="s">
        <v>36026</v>
      </c>
      <c r="C28605" s="5" t="str">
        <f>IFERROR(__xludf.DUMMYFUNCTION("GOOGLETRANSLATE(B28605,""en"",""de"")"),"Er legt Mayonnaise auf das obere Stück Brot.")</f>
        <v>Er legt Mayonnaise auf das obere Stück Brot.</v>
      </c>
    </row>
    <row r="28606">
      <c r="A28606" s="4" t="s">
        <v>36019</v>
      </c>
      <c r="B28606" s="4" t="s">
        <v>36027</v>
      </c>
      <c r="C28606" s="5" t="str">
        <f>IFERROR(__xludf.DUMMYFUNCTION("GOOGLETRANSLATE(B28606,""en"",""de"")"),"Er stapelt das Essen wieder auf dem Brot.")</f>
        <v>Er stapelt das Essen wieder auf dem Brot.</v>
      </c>
    </row>
    <row r="28607">
      <c r="A28607" s="4" t="s">
        <v>36019</v>
      </c>
      <c r="B28607" s="4" t="s">
        <v>36028</v>
      </c>
      <c r="C28607" s="5" t="str">
        <f>IFERROR(__xludf.DUMMYFUNCTION("GOOGLETRANSLATE(B28607,""en"",""de"")"),"Er überragt es mit einem letzten Stück Brot.")</f>
        <v>Er überragt es mit einem letzten Stück Brot.</v>
      </c>
    </row>
    <row r="28608">
      <c r="A28608" s="4" t="s">
        <v>36019</v>
      </c>
      <c r="B28608" s="4" t="s">
        <v>36029</v>
      </c>
      <c r="C28608" s="5" t="str">
        <f>IFERROR(__xludf.DUMMYFUNCTION("GOOGLETRANSLATE(B28608,""en"",""de"")"),"Er schneidet das Sandwich in vier Scheiben auf einem Brett.")</f>
        <v>Er schneidet das Sandwich in vier Scheiben auf einem Brett.</v>
      </c>
    </row>
    <row r="28609">
      <c r="A28609" s="4" t="s">
        <v>36019</v>
      </c>
      <c r="B28609" s="4" t="s">
        <v>36030</v>
      </c>
      <c r="C28609" s="5" t="str">
        <f>IFERROR(__xludf.DUMMYFUNCTION("GOOGLETRANSLATE(B28609,""en"",""de"")"),"Er stellt einen Zahnstocher in jeden Abschnitt des Sandwichs.")</f>
        <v>Er stellt einen Zahnstocher in jeden Abschnitt des Sandwichs.</v>
      </c>
    </row>
    <row r="28610">
      <c r="A28610" s="4" t="s">
        <v>36019</v>
      </c>
      <c r="B28610" s="4" t="s">
        <v>36031</v>
      </c>
      <c r="C28610" s="5" t="str">
        <f>IFERROR(__xludf.DUMMYFUNCTION("GOOGLETRANSLATE(B28610,""en"",""de"")"),"Er bewegt das Sandwich vom Brett auf einen Teller.")</f>
        <v>Er bewegt das Sandwich vom Brett auf einen Teller.</v>
      </c>
    </row>
    <row r="28611">
      <c r="A28611" s="4" t="s">
        <v>36019</v>
      </c>
      <c r="B28611" s="4" t="s">
        <v>36032</v>
      </c>
      <c r="C28611" s="5" t="str">
        <f>IFERROR(__xludf.DUMMYFUNCTION("GOOGLETRANSLATE(B28611,""en"",""de"")"),"Er fügt Pommes mit dem Sandwich auf dem Teller hinzu.")</f>
        <v>Er fügt Pommes mit dem Sandwich auf dem Teller hinzu.</v>
      </c>
    </row>
    <row r="28612">
      <c r="A28612" s="4" t="s">
        <v>36033</v>
      </c>
      <c r="B28612" s="4" t="s">
        <v>36034</v>
      </c>
      <c r="C28612" s="5" t="str">
        <f>IFERROR(__xludf.DUMMYFUNCTION("GOOGLETRANSLATE(B28612,""en"",""de"")"),"Es gibt einen NBC News Reporter, der einen roten Pullover und ein weißes Hemd trägt, das von einer Scherenzauberer, einer Pflegefirma, über Hundepflege spricht.")</f>
        <v>Es gibt einen NBC News Reporter, der einen roten Pullover und ein weißes Hemd trägt, das von einer Scherenzauberer, einer Pflegefirma, über Hundepflege spricht.</v>
      </c>
    </row>
    <row r="28613">
      <c r="A28613" s="4" t="s">
        <v>36033</v>
      </c>
      <c r="B28613" s="4" t="s">
        <v>36035</v>
      </c>
      <c r="C28613" s="5" t="str">
        <f>IFERROR(__xludf.DUMMYFUNCTION("GOOGLETRANSLATE(B28613,""en"",""de"")"),"Der Vertreter des Unternehmens spricht über die Dienstleistungen, die sie anbieten und wie diese Hunde an Hundeausstellungen teilnehmen.")</f>
        <v>Der Vertreter des Unternehmens spricht über die Dienstleistungen, die sie anbieten und wie diese Hunde an Hundeausstellungen teilnehmen.</v>
      </c>
    </row>
    <row r="28614">
      <c r="A28614" s="4" t="s">
        <v>36033</v>
      </c>
      <c r="B28614" s="4" t="s">
        <v>36036</v>
      </c>
      <c r="C28614" s="5" t="str">
        <f>IFERROR(__xludf.DUMMYFUNCTION("GOOGLETRANSLATE(B28614,""en"",""de"")"),"Ein Groomer wird mit Scheren gesehen, um das Haar des Hundes kreativ zu schneiden und sogar in farbenfrohen Schatten aus rot, grün, gelb und blau zu färben.")</f>
        <v>Ein Groomer wird mit Scheren gesehen, um das Haar des Hundes kreativ zu schneiden und sogar in farbenfrohen Schatten aus rot, grün, gelb und blau zu färben.</v>
      </c>
    </row>
    <row r="28615">
      <c r="A28615" s="4" t="s">
        <v>36037</v>
      </c>
      <c r="B28615" s="4" t="s">
        <v>36038</v>
      </c>
      <c r="C28615" s="5" t="str">
        <f>IFERROR(__xludf.DUMMYFUNCTION("GOOGLETRANSLATE(B28615,""en"",""de"")"),"Mehrere Personen befinden sich in einem Übungskurs in einem Raum mit vielen Spiegeln in einem Fitnessstudio, und sie tanzen und drehen sich herum und treten auf eine Plattform.")</f>
        <v>Mehrere Personen befinden sich in einem Übungskurs in einem Raum mit vielen Spiegeln in einem Fitnessstudio, und sie tanzen und drehen sich herum und treten auf eine Plattform.</v>
      </c>
    </row>
    <row r="28616">
      <c r="A28616" s="4" t="s">
        <v>36037</v>
      </c>
      <c r="B28616" s="4" t="s">
        <v>36039</v>
      </c>
      <c r="C28616" s="5" t="str">
        <f>IFERROR(__xludf.DUMMYFUNCTION("GOOGLETRANSLATE(B28616,""en"",""de"")"),"Eine Frau geht am Trainingsraum vorbei und hält Gewichte.")</f>
        <v>Eine Frau geht am Trainingsraum vorbei und hält Gewichte.</v>
      </c>
    </row>
    <row r="28617">
      <c r="A28617" s="4" t="s">
        <v>36037</v>
      </c>
      <c r="B28617" s="4" t="s">
        <v>36040</v>
      </c>
      <c r="C28617" s="5" t="str">
        <f>IFERROR(__xludf.DUMMYFUNCTION("GOOGLETRANSLATE(B28617,""en"",""de"")"),"Eine Frau legt die Gewichte auf das Gestell.")</f>
        <v>Eine Frau legt die Gewichte auf das Gestell.</v>
      </c>
    </row>
    <row r="28618">
      <c r="A28618" s="4" t="s">
        <v>36037</v>
      </c>
      <c r="B28618" s="4" t="s">
        <v>36041</v>
      </c>
      <c r="C28618" s="5" t="str">
        <f>IFERROR(__xludf.DUMMYFUNCTION("GOOGLETRANSLATE(B28618,""en"",""de"")"),"Eine Frau geht vorbei, ohne irgendwelche Gewichte zu halten.")</f>
        <v>Eine Frau geht vorbei, ohne irgendwelche Gewichte zu halten.</v>
      </c>
    </row>
    <row r="28619">
      <c r="A28619" s="4" t="s">
        <v>36042</v>
      </c>
      <c r="B28619" s="4" t="s">
        <v>36043</v>
      </c>
      <c r="C28619" s="5" t="str">
        <f>IFERROR(__xludf.DUMMYFUNCTION("GOOGLETRANSLATE(B28619,""en"",""de"")"),"Ein roter Mustang wird abgewickelt.")</f>
        <v>Ein roter Mustang wird abgewickelt.</v>
      </c>
    </row>
    <row r="28620">
      <c r="A28620" s="4" t="s">
        <v>36042</v>
      </c>
      <c r="B28620" s="4" t="s">
        <v>36044</v>
      </c>
      <c r="C28620" s="5" t="str">
        <f>IFERROR(__xludf.DUMMYFUNCTION("GOOGLETRANSLATE(B28620,""en"",""de"")"),"Als nächstes reiben die Arbeiter Seife über das Auto.")</f>
        <v>Als nächstes reiben die Arbeiter Seife über das Auto.</v>
      </c>
    </row>
    <row r="28621">
      <c r="A28621" s="4" t="s">
        <v>36042</v>
      </c>
      <c r="B28621" s="4" t="s">
        <v>36045</v>
      </c>
      <c r="C28621" s="5" t="str">
        <f>IFERROR(__xludf.DUMMYFUNCTION("GOOGLETRANSLATE(B28621,""en"",""de"")"),"Danach arbeiten beide daran, die Seife abzuwaschen, bevor sie eine weitere Seife über das Fahrzeug auftragen.")</f>
        <v>Danach arbeiten beide daran, die Seife abzuwaschen, bevor sie eine weitere Seife über das Fahrzeug auftragen.</v>
      </c>
    </row>
    <row r="28622">
      <c r="A28622" s="4" t="s">
        <v>36042</v>
      </c>
      <c r="B28622" s="4" t="s">
        <v>36046</v>
      </c>
      <c r="C28622" s="5" t="str">
        <f>IFERROR(__xludf.DUMMYFUNCTION("GOOGLETRANSLATE(B28622,""en"",""de"")"),"Sie verwenden dann Schläuche, um das Auto sauber zu waschen.")</f>
        <v>Sie verwenden dann Schläuche, um das Auto sauber zu waschen.</v>
      </c>
    </row>
    <row r="28623">
      <c r="A28623" s="4" t="s">
        <v>36047</v>
      </c>
      <c r="B28623" s="4" t="s">
        <v>36048</v>
      </c>
      <c r="C28623" s="5" t="str">
        <f>IFERROR(__xludf.DUMMYFUNCTION("GOOGLETRANSLATE(B28623,""en"",""de"")"),"Eine kleine Gruppe von Männern wird gesehen, wie ein Basketballplatz ein Basketballspiel spielt.")</f>
        <v>Eine kleine Gruppe von Männern wird gesehen, wie ein Basketballplatz ein Basketballspiel spielt.</v>
      </c>
    </row>
    <row r="28624">
      <c r="A28624" s="4" t="s">
        <v>36047</v>
      </c>
      <c r="B28624" s="4" t="s">
        <v>36049</v>
      </c>
      <c r="C28624" s="5" t="str">
        <f>IFERROR(__xludf.DUMMYFUNCTION("GOOGLETRANSLATE(B28624,""en"",""de"")"),"Ein Spieler bewegt sich rund um das Netz und zeigt den Ball und zeigt, wie man einen Reifen richtig schießt.")</f>
        <v>Ein Spieler bewegt sich rund um das Netz und zeigt den Ball und zeigt, wie man einen Reifen richtig schießt.</v>
      </c>
    </row>
    <row r="28625">
      <c r="A28625" s="4" t="s">
        <v>36047</v>
      </c>
      <c r="B28625" s="4" t="s">
        <v>36050</v>
      </c>
      <c r="C28625" s="5" t="str">
        <f>IFERROR(__xludf.DUMMYFUNCTION("GOOGLETRANSLATE(B28625,""en"",""de"")"),"Er springt den Ball um ein bisschen herum und es werden mehr Schüsse der Leute gezeigt.")</f>
        <v>Er springt den Ball um ein bisschen herum und es werden mehr Schüsse der Leute gezeigt.</v>
      </c>
    </row>
    <row r="28626">
      <c r="A28626" s="4" t="s">
        <v>36051</v>
      </c>
      <c r="B28626" s="4" t="s">
        <v>36052</v>
      </c>
      <c r="C28626" s="5" t="str">
        <f>IFERROR(__xludf.DUMMYFUNCTION("GOOGLETRANSLATE(B28626,""en"",""de"")"),"Ein Mann spricht mit der Kamera, während er einen Teller mit Lebensmitteln zeigt und Zutaten auf einen Teller ausgieß.")</f>
        <v>Ein Mann spricht mit der Kamera, während er einen Teller mit Lebensmitteln zeigt und Zutaten auf einen Teller ausgieß.</v>
      </c>
    </row>
    <row r="28627">
      <c r="A28627" s="4" t="s">
        <v>36051</v>
      </c>
      <c r="B28627" s="4" t="s">
        <v>36053</v>
      </c>
      <c r="C28627" s="5" t="str">
        <f>IFERROR(__xludf.DUMMYFUNCTION("GOOGLETRANSLATE(B28627,""en"",""de"")"),"Er mischt weiterhin Zutaten auf einen Teller und endet mit einer Nahaufnahme des Gerichts und er spricht mehr.")</f>
        <v>Er mischt weiterhin Zutaten auf einen Teller und endet mit einer Nahaufnahme des Gerichts und er spricht mehr.</v>
      </c>
    </row>
    <row r="28628">
      <c r="A28628" s="4" t="s">
        <v>36054</v>
      </c>
      <c r="B28628" s="4" t="s">
        <v>36055</v>
      </c>
      <c r="C28628" s="5" t="str">
        <f>IFERROR(__xludf.DUMMYFUNCTION("GOOGLETRANSLATE(B28628,""en"",""de"")"),"Zwei Personen werden gezeigt, wie sie Zaunstangen halten und aufeinander zuweisen.")</f>
        <v>Zwei Personen werden gezeigt, wie sie Zaunstangen halten und aufeinander zuweisen.</v>
      </c>
    </row>
    <row r="28629">
      <c r="A28629" s="4" t="s">
        <v>36054</v>
      </c>
      <c r="B28629" s="4" t="s">
        <v>36056</v>
      </c>
      <c r="C28629" s="5" t="str">
        <f>IFERROR(__xludf.DUMMYFUNCTION("GOOGLETRANSLATE(B28629,""en"",""de"")"),"Sie bewegen sich zurück und vierten und stimmen miteinander überein.")</f>
        <v>Sie bewegen sich zurück und vierten und stimmen miteinander überein.</v>
      </c>
    </row>
    <row r="28630">
      <c r="A28630" s="4" t="s">
        <v>36057</v>
      </c>
      <c r="B28630" s="4" t="s">
        <v>36058</v>
      </c>
      <c r="C28630" s="5" t="str">
        <f>IFERROR(__xludf.DUMMYFUNCTION("GOOGLETRANSLATE(B28630,""en"",""de"")"),"Ein Mann fährt auf einem Surfbrett im Meer.")</f>
        <v>Ein Mann fährt auf einem Surfbrett im Meer.</v>
      </c>
    </row>
    <row r="28631">
      <c r="A28631" s="4" t="s">
        <v>36057</v>
      </c>
      <c r="B28631" s="4" t="s">
        <v>36059</v>
      </c>
      <c r="C28631" s="5" t="str">
        <f>IFERROR(__xludf.DUMMYFUNCTION("GOOGLETRANSLATE(B28631,""en"",""de"")"),"Er macht einen großen Flip und landet wieder in der Welle.")</f>
        <v>Er macht einen großen Flip und landet wieder in der Welle.</v>
      </c>
    </row>
    <row r="28632">
      <c r="A28632" s="4" t="s">
        <v>36057</v>
      </c>
      <c r="B28632" s="4" t="s">
        <v>36060</v>
      </c>
      <c r="C28632" s="5" t="str">
        <f>IFERROR(__xludf.DUMMYFUNCTION("GOOGLETRANSLATE(B28632,""en"",""de"")"),"Der Flip wird in Zeitlupe wiederholt.")</f>
        <v>Der Flip wird in Zeitlupe wiederholt.</v>
      </c>
    </row>
    <row r="28633">
      <c r="A28633" s="4" t="s">
        <v>36061</v>
      </c>
      <c r="B28633" s="4" t="s">
        <v>36062</v>
      </c>
      <c r="C28633" s="5" t="str">
        <f>IFERROR(__xludf.DUMMYFUNCTION("GOOGLETRANSLATE(B28633,""en"",""de"")"),"Frau steht mitten in der Bühne und spricht mit der Kamera und zeigt sich in Zeitlupen -Tanzbewegungen.")</f>
        <v>Frau steht mitten in der Bühne und spricht mit der Kamera und zeigt sich in Zeitlupen -Tanzbewegungen.</v>
      </c>
    </row>
    <row r="28634">
      <c r="A28634" s="4" t="s">
        <v>36061</v>
      </c>
      <c r="B28634" s="4" t="s">
        <v>36063</v>
      </c>
      <c r="C28634" s="5" t="str">
        <f>IFERROR(__xludf.DUMMYFUNCTION("GOOGLETRANSLATE(B28634,""en"",""de"")"),"Frau macht die Bewegungen schnell und zeigt die Position der Hände.")</f>
        <v>Frau macht die Bewegungen schnell und zeigt die Position der Hände.</v>
      </c>
    </row>
    <row r="28635">
      <c r="A28635" s="4" t="s">
        <v>36061</v>
      </c>
      <c r="B28635" s="4" t="s">
        <v>36064</v>
      </c>
      <c r="C28635" s="5" t="str">
        <f>IFERROR(__xludf.DUMMYFUNCTION("GOOGLETRANSLATE(B28635,""en"",""de"")"),"Frau zeigt Salsa -Bewegungen in einem Raum.")</f>
        <v>Frau zeigt Salsa -Bewegungen in einem Raum.</v>
      </c>
    </row>
    <row r="28636">
      <c r="A28636" s="4" t="s">
        <v>36065</v>
      </c>
      <c r="B28636" s="4" t="s">
        <v>36066</v>
      </c>
      <c r="C28636" s="5" t="str">
        <f>IFERROR(__xludf.DUMMYFUNCTION("GOOGLETRANSLATE(B28636,""en"",""de"")"),"Ein Mann steht auf einem dunklen Feld.")</f>
        <v>Ein Mann steht auf einem dunklen Feld.</v>
      </c>
    </row>
    <row r="28637">
      <c r="A28637" s="4" t="s">
        <v>36065</v>
      </c>
      <c r="B28637" s="4" t="s">
        <v>36067</v>
      </c>
      <c r="C28637" s="5" t="str">
        <f>IFERROR(__xludf.DUMMYFUNCTION("GOOGLETRANSLATE(B28637,""en"",""de"")"),"Er wirft eine Frisbee durch die Luft und ein Hund fängt ihn auf.")</f>
        <v>Er wirft eine Frisbee durch die Luft und ein Hund fängt ihn auf.</v>
      </c>
    </row>
    <row r="28638">
      <c r="A28638" s="4" t="s">
        <v>36065</v>
      </c>
      <c r="B28638" s="4" t="s">
        <v>36068</v>
      </c>
      <c r="C28638" s="5" t="str">
        <f>IFERROR(__xludf.DUMMYFUNCTION("GOOGLETRANSLATE(B28638,""en"",""de"")"),"Der Hund verfolgt und macht Tricks, um die Frisbee zu bekommen.")</f>
        <v>Der Hund verfolgt und macht Tricks, um die Frisbee zu bekommen.</v>
      </c>
    </row>
    <row r="28639">
      <c r="A28639" s="4" t="s">
        <v>36069</v>
      </c>
      <c r="B28639" s="4" t="s">
        <v>36070</v>
      </c>
      <c r="C28639" s="5" t="str">
        <f>IFERROR(__xludf.DUMMYFUNCTION("GOOGLETRANSLATE(B28639,""en"",""de"")"),"Eine Gruppe von Jungen ist auf dem Fahrrad hinter einem Sand, der sich darauf vorbereitet, den Kurs abzuheben und zu rennen.")</f>
        <v>Eine Gruppe von Jungen ist auf dem Fahrrad hinter einem Sand, der sich darauf vorbereitet, den Kurs abzuheben und zu rennen.</v>
      </c>
    </row>
    <row r="28640">
      <c r="A28640" s="4" t="s">
        <v>36069</v>
      </c>
      <c r="B28640" s="4" t="s">
        <v>36071</v>
      </c>
      <c r="C28640" s="5" t="str">
        <f>IFERROR(__xludf.DUMMYFUNCTION("GOOGLETRANSLATE(B28640,""en"",""de"")"),"Der Riegel ist enttäuscht und alle starten in den Dreck und beginnen im Dreck zu fahren.")</f>
        <v>Der Riegel ist enttäuscht und alle starten in den Dreck und beginnen im Dreck zu fahren.</v>
      </c>
    </row>
    <row r="28641">
      <c r="A28641" s="4" t="s">
        <v>36069</v>
      </c>
      <c r="B28641" s="4" t="s">
        <v>36072</v>
      </c>
      <c r="C28641" s="5" t="str">
        <f>IFERROR(__xludf.DUMMYFUNCTION("GOOGLETRANSLATE(B28641,""en"",""de"")"),"Viele der Jungen gehen weiter um die Strecke und die Leute sind während des gesamten Stöckens verteilt.")</f>
        <v>Viele der Jungen gehen weiter um die Strecke und die Leute sind während des gesamten Stöckens verteilt.</v>
      </c>
    </row>
    <row r="28642">
      <c r="A28642" s="4" t="s">
        <v>36073</v>
      </c>
      <c r="B28642" s="4" t="s">
        <v>36074</v>
      </c>
      <c r="C28642" s="5" t="str">
        <f>IFERROR(__xludf.DUMMYFUNCTION("GOOGLETRANSLATE(B28642,""en"",""de"")"),"Ein Mann, der einen Zaungrau mit einer starken Sprühpistole sprüht.")</f>
        <v>Ein Mann, der einen Zaungrau mit einer starken Sprühpistole sprüht.</v>
      </c>
    </row>
    <row r="28643">
      <c r="A28643" s="4" t="s">
        <v>36073</v>
      </c>
      <c r="B28643" s="4" t="s">
        <v>36075</v>
      </c>
      <c r="C28643" s="5" t="str">
        <f>IFERROR(__xludf.DUMMYFUNCTION("GOOGLETRANSLATE(B28643,""en"",""de"")"),"Ein Mann, der beiläufig hinter ihm steht und mit gekreuzten Händen beobachtet und gähnte.")</f>
        <v>Ein Mann, der beiläufig hinter ihm steht und mit gekreuzten Händen beobachtet und gähnte.</v>
      </c>
    </row>
    <row r="28644">
      <c r="A28644" s="4" t="s">
        <v>36073</v>
      </c>
      <c r="B28644" s="4" t="s">
        <v>36076</v>
      </c>
      <c r="C28644" s="5" t="str">
        <f>IFERROR(__xludf.DUMMYFUNCTION("GOOGLETRANSLATE(B28644,""en"",""de"")"),"Der Mann sprüht sprüht auf und ab und macht eine gute Zeit.")</f>
        <v>Der Mann sprüht sprüht auf und ab und macht eine gute Zeit.</v>
      </c>
    </row>
    <row r="28645">
      <c r="A28645" s="4" t="s">
        <v>36073</v>
      </c>
      <c r="B28645" s="4" t="s">
        <v>36077</v>
      </c>
      <c r="C28645" s="5" t="str">
        <f>IFERROR(__xludf.DUMMYFUNCTION("GOOGLETRANSLATE(B28645,""en"",""de"")"),"Er stellt sicher, dass er alle Stellen durchgeht, damit er keine vermisst.")</f>
        <v>Er stellt sicher, dass er alle Stellen durchgeht, damit er keine vermisst.</v>
      </c>
    </row>
    <row r="28646">
      <c r="A28646" s="4" t="s">
        <v>36078</v>
      </c>
      <c r="B28646" s="4" t="s">
        <v>36079</v>
      </c>
      <c r="C28646" s="5" t="str">
        <f>IFERROR(__xludf.DUMMYFUNCTION("GOOGLETRANSLATE(B28646,""en"",""de"")"),"Der Mann tritt die Fliese des Daches, bis es sich bewegte.")</f>
        <v>Der Mann tritt die Fliese des Daches, bis es sich bewegte.</v>
      </c>
    </row>
    <row r="28647">
      <c r="A28647" s="4" t="s">
        <v>36078</v>
      </c>
      <c r="B28647" s="4" t="s">
        <v>36080</v>
      </c>
      <c r="C28647" s="5" t="str">
        <f>IFERROR(__xludf.DUMMYFUNCTION("GOOGLETRANSLATE(B28647,""en"",""de"")"),"Der Mann zog einen Reifen des Daches heraus und zeigte auf die Seiten der Fliesen.")</f>
        <v>Der Mann zog einen Reifen des Daches heraus und zeigte auf die Seiten der Fliesen.</v>
      </c>
    </row>
    <row r="28648">
      <c r="A28648" s="4" t="s">
        <v>36078</v>
      </c>
      <c r="B28648" s="4" t="s">
        <v>36081</v>
      </c>
      <c r="C28648" s="5" t="str">
        <f>IFERROR(__xludf.DUMMYFUNCTION("GOOGLETRANSLATE(B28648,""en"",""de"")"),"Er legte die Fliese zurück und bewegte sie an ihren ursprünglichen Ort.")</f>
        <v>Er legte die Fliese zurück und bewegte sie an ihren ursprünglichen Ort.</v>
      </c>
    </row>
    <row r="28649">
      <c r="A28649" s="4" t="s">
        <v>36082</v>
      </c>
      <c r="B28649" s="4" t="s">
        <v>36083</v>
      </c>
      <c r="C28649" s="5" t="str">
        <f>IFERROR(__xludf.DUMMYFUNCTION("GOOGLETRANSLATE(B28649,""en"",""de"")"),"Ein Mann in einem schwarzen Tanktop beschreibt das Cardio -Training auf einem Spinbike.")</f>
        <v>Ein Mann in einem schwarzen Tanktop beschreibt das Cardio -Training auf einem Spinbike.</v>
      </c>
    </row>
    <row r="28650">
      <c r="A28650" s="4" t="s">
        <v>36082</v>
      </c>
      <c r="B28650" s="4" t="s">
        <v>36084</v>
      </c>
      <c r="C28650" s="5" t="str">
        <f>IFERROR(__xludf.DUMMYFUNCTION("GOOGLETRANSLATE(B28650,""en"",""de"")"),"Der Mann im schwarzen Tanktop -Top montiert das Spinnrad in Intervallen von 45 Sekunden -Kreuzfahrtspannungen, die 15 Sekunden schwer mit Spannung.")</f>
        <v>Der Mann im schwarzen Tanktop -Top montiert das Spinnrad in Intervallen von 45 Sekunden -Kreuzfahrtspannungen, die 15 Sekunden schwer mit Spannung.</v>
      </c>
    </row>
    <row r="28651">
      <c r="A28651" s="4" t="s">
        <v>36082</v>
      </c>
      <c r="B28651" s="4" t="s">
        <v>36085</v>
      </c>
      <c r="C28651" s="5" t="str">
        <f>IFERROR(__xludf.DUMMYFUNCTION("GOOGLETRANSLATE(B28651,""en"",""de"")"),"Dann mit Kreuzfahrtspannung abkühlen lassen.")</f>
        <v>Dann mit Kreuzfahrtspannung abkühlen lassen.</v>
      </c>
    </row>
    <row r="28652">
      <c r="A28652" s="4" t="s">
        <v>36086</v>
      </c>
      <c r="B28652" s="4" t="s">
        <v>36087</v>
      </c>
      <c r="C28652" s="5" t="str">
        <f>IFERROR(__xludf.DUMMYFUNCTION("GOOGLETRANSLATE(B28652,""en"",""de"")"),"Eine Nahaufnahme einer Maschine wird gezeigt, gefolgt von einem Mann, der Schmutz um einen Boden schaufelt.")</f>
        <v>Eine Nahaufnahme einer Maschine wird gezeigt, gefolgt von einem Mann, der Schmutz um einen Boden schaufelt.</v>
      </c>
    </row>
    <row r="28653">
      <c r="A28653" s="4" t="s">
        <v>36086</v>
      </c>
      <c r="B28653" s="4" t="s">
        <v>36088</v>
      </c>
      <c r="C28653" s="5" t="str">
        <f>IFERROR(__xludf.DUMMYFUNCTION("GOOGLETRANSLATE(B28653,""en"",""de"")"),"Der Mann benutzt dann die Maschine um den Schmutz und verwässert danach den Bereich hinunter.")</f>
        <v>Der Mann benutzt dann die Maschine um den Schmutz und verwässert danach den Bereich hinunter.</v>
      </c>
    </row>
    <row r="28654">
      <c r="A28654" s="4" t="s">
        <v>36086</v>
      </c>
      <c r="B28654" s="4" t="s">
        <v>36089</v>
      </c>
      <c r="C28654" s="5" t="str">
        <f>IFERROR(__xludf.DUMMYFUNCTION("GOOGLETRANSLATE(B28654,""en"",""de"")"),"Ein anderer Mann wird gesehen, wie er Wasser auf den Boden gießt und weißes Papier abfindet.")</f>
        <v>Ein anderer Mann wird gesehen, wie er Wasser auf den Boden gießt und weißes Papier abfindet.</v>
      </c>
    </row>
    <row r="28655">
      <c r="A28655" s="4" t="s">
        <v>36090</v>
      </c>
      <c r="B28655" s="4" t="s">
        <v>36091</v>
      </c>
      <c r="C28655" s="5" t="str">
        <f>IFERROR(__xludf.DUMMYFUNCTION("GOOGLETRANSLATE(B28655,""en"",""de"")"),"Ein Mann ist im trüben Wasser und benutzt ein Paddel.")</f>
        <v>Ein Mann ist im trüben Wasser und benutzt ein Paddel.</v>
      </c>
    </row>
    <row r="28656">
      <c r="A28656" s="4" t="s">
        <v>36090</v>
      </c>
      <c r="B28656" s="4" t="s">
        <v>36092</v>
      </c>
      <c r="C28656" s="5" t="str">
        <f>IFERROR(__xludf.DUMMYFUNCTION("GOOGLETRANSLATE(B28656,""en"",""de"")"),"Er ist Kajakfahren in Richtung Kamera und an anderen Kajakfahrern vorbei.")</f>
        <v>Er ist Kajakfahren in Richtung Kamera und an anderen Kajakfahrern vorbei.</v>
      </c>
    </row>
    <row r="28657">
      <c r="A28657" s="4" t="s">
        <v>36090</v>
      </c>
      <c r="B28657" s="4" t="s">
        <v>36093</v>
      </c>
      <c r="C28657" s="5" t="str">
        <f>IFERROR(__xludf.DUMMYFUNCTION("GOOGLETRANSLATE(B28657,""en"",""de"")"),"Er geht schneller durch das Wasser und versucht, mit der Strömung Schritt zu halten.")</f>
        <v>Er geht schneller durch das Wasser und versucht, mit der Strömung Schritt zu halten.</v>
      </c>
    </row>
    <row r="28658">
      <c r="A28658" s="4" t="s">
        <v>36094</v>
      </c>
      <c r="B28658" s="4" t="s">
        <v>36095</v>
      </c>
      <c r="C28658" s="5" t="str">
        <f>IFERROR(__xludf.DUMMYFUNCTION("GOOGLETRANSLATE(B28658,""en"",""de"")"),"Ein Mann ist zu sehen, der auf ein Paar Stelzen auf und ab springt, während sich einige andere mit Hilfe auf Stelzen bewegen.")</f>
        <v>Ein Mann ist zu sehen, der auf ein Paar Stelzen auf und ab springt, während sich einige andere mit Hilfe auf Stelzen bewegen.</v>
      </c>
    </row>
    <row r="28659">
      <c r="A28659" s="4" t="s">
        <v>36094</v>
      </c>
      <c r="B28659" s="4" t="s">
        <v>36096</v>
      </c>
      <c r="C28659" s="5" t="str">
        <f>IFERROR(__xludf.DUMMYFUNCTION("GOOGLETRANSLATE(B28659,""en"",""de"")"),"Es werden mehr Aufnahmen von Menschen gezeigt, die auf den Stelzen herumspringen, und andere brauchen noch Hilfe von anderen.")</f>
        <v>Es werden mehr Aufnahmen von Menschen gezeigt, die auf den Stelzen herumspringen, und andere brauchen noch Hilfe von anderen.</v>
      </c>
    </row>
    <row r="28660">
      <c r="A28660" s="4" t="s">
        <v>36097</v>
      </c>
      <c r="B28660" s="4" t="s">
        <v>36098</v>
      </c>
      <c r="C28660" s="5" t="str">
        <f>IFERROR(__xludf.DUMMYFUNCTION("GOOGLETRANSLATE(B28660,""en"",""de"")"),"Die Kamera schwenkt um einen Pool und ein Publikum und führt zu einer Gruppe von Schwimmern, die nebenbei bereit stehen.")</f>
        <v>Die Kamera schwenkt um einen Pool und ein Publikum und führt zu einer Gruppe von Schwimmern, die nebenbei bereit stehen.</v>
      </c>
    </row>
    <row r="28661">
      <c r="A28661" s="4" t="s">
        <v>36097</v>
      </c>
      <c r="B28661" s="4" t="s">
        <v>36099</v>
      </c>
      <c r="C28661" s="5" t="str">
        <f>IFERROR(__xludf.DUMMYFUNCTION("GOOGLETRANSLATE(B28661,""en"",""de"")"),"Danach werden mehrere Männer beeindruckende Tauchgänge in einen Pool durchführen, der Flips und Tricks und die Taucher, die am Ende Medaillen erhalten, gehören.")</f>
        <v>Danach werden mehrere Männer beeindruckende Tauchgänge in einen Pool durchführen, der Flips und Tricks und die Taucher, die am Ende Medaillen erhalten, gehören.</v>
      </c>
    </row>
    <row r="28662">
      <c r="A28662" s="4" t="s">
        <v>36100</v>
      </c>
      <c r="B28662" s="4" t="s">
        <v>36101</v>
      </c>
      <c r="C28662" s="5" t="str">
        <f>IFERROR(__xludf.DUMMYFUNCTION("GOOGLETRANSLATE(B28662,""en"",""de"")"),"Die Menschen befinden sich in einer Rodeo -Arena, während ein Mann auf einem Pferd ein Seil mit einer Schleife vorbereitet.")</f>
        <v>Die Menschen befinden sich in einer Rodeo -Arena, während ein Mann auf einem Pferd ein Seil mit einer Schleife vorbereitet.</v>
      </c>
    </row>
    <row r="28663">
      <c r="A28663" s="4" t="s">
        <v>36100</v>
      </c>
      <c r="B28663" s="4" t="s">
        <v>36102</v>
      </c>
      <c r="C28663" s="5" t="str">
        <f>IFERROR(__xludf.DUMMYFUNCTION("GOOGLETRANSLATE(B28663,""en"",""de"")"),"Dann dreht der Mann die Schleife und wirft ein Kalb, renne dann und binde das Kalb.")</f>
        <v>Dann dreht der Mann die Schleife und wirft ein Kalb, renne dann und binde das Kalb.</v>
      </c>
    </row>
    <row r="28664">
      <c r="A28664" s="4" t="s">
        <v>36100</v>
      </c>
      <c r="B28664" s="4" t="s">
        <v>36103</v>
      </c>
      <c r="C28664" s="5" t="str">
        <f>IFERROR(__xludf.DUMMYFUNCTION("GOOGLETRANSLATE(B28664,""en"",""de"")"),"Ein junger Mann betritt die Arena und löst das Kalb.")</f>
        <v>Ein junger Mann betritt die Arena und löst das Kalb.</v>
      </c>
    </row>
    <row r="28665">
      <c r="A28665" s="4" t="s">
        <v>36104</v>
      </c>
      <c r="B28665" s="4" t="s">
        <v>36105</v>
      </c>
      <c r="C28665" s="5" t="str">
        <f>IFERROR(__xludf.DUMMYFUNCTION("GOOGLETRANSLATE(B28665,""en"",""de"")"),"Verschiedene Schüsse werden von einem Boot aus mehreren Winkeln entlang rauer Wasserbedingungen angezeigt.")</f>
        <v>Verschiedene Schüsse werden von einem Boot aus mehreren Winkeln entlang rauer Wasserbedingungen angezeigt.</v>
      </c>
    </row>
    <row r="28666">
      <c r="A28666" s="4" t="s">
        <v>36104</v>
      </c>
      <c r="B28666" s="4" t="s">
        <v>36106</v>
      </c>
      <c r="C28666" s="5" t="str">
        <f>IFERROR(__xludf.DUMMYFUNCTION("GOOGLETRANSLATE(B28666,""en"",""de"")"),"Die Kamera zeigt ein Brett und führt zum Wasser zurück und wechselt in Menschen, die im Boot sitzen sehen.")</f>
        <v>Die Kamera zeigt ein Brett und führt zum Wasser zurück und wechselt in Menschen, die im Boot sitzen sehen.</v>
      </c>
    </row>
    <row r="28667">
      <c r="A28667" s="4" t="s">
        <v>36104</v>
      </c>
      <c r="B28667" s="4" t="s">
        <v>36107</v>
      </c>
      <c r="C28667" s="5" t="str">
        <f>IFERROR(__xludf.DUMMYFUNCTION("GOOGLETRANSLATE(B28667,""en"",""de"")"),"Die Kamera geht mehr herum und erfasst die Aussicht auf das Innere sowie das Wasser.")</f>
        <v>Die Kamera geht mehr herum und erfasst die Aussicht auf das Innere sowie das Wasser.</v>
      </c>
    </row>
    <row r="28668">
      <c r="A28668" s="4" t="s">
        <v>36108</v>
      </c>
      <c r="B28668" s="4" t="s">
        <v>36109</v>
      </c>
      <c r="C28668" s="5" t="str">
        <f>IFERROR(__xludf.DUMMYFUNCTION("GOOGLETRANSLATE(B28668,""en"",""de"")"),"Ein kahlköpfiger Mann in einem Haus hält eine Kamera und findet eine Frau auf Stelzen auf.")</f>
        <v>Ein kahlköpfiger Mann in einem Haus hält eine Kamera und findet eine Frau auf Stelzen auf.</v>
      </c>
    </row>
    <row r="28669">
      <c r="A28669" s="4" t="s">
        <v>36108</v>
      </c>
      <c r="B28669" s="4" t="s">
        <v>36110</v>
      </c>
      <c r="C28669" s="5" t="str">
        <f>IFERROR(__xludf.DUMMYFUNCTION("GOOGLETRANSLATE(B28669,""en"",""de"")"),"Die Kamera schwenkt an die Frau, die in den Stelzen durch das Wohnzimmer geht.")</f>
        <v>Die Kamera schwenkt an die Frau, die in den Stelzen durch das Wohnzimmer geht.</v>
      </c>
    </row>
    <row r="28670">
      <c r="A28670" s="4" t="s">
        <v>36108</v>
      </c>
      <c r="B28670" s="4" t="s">
        <v>36111</v>
      </c>
      <c r="C28670" s="5" t="str">
        <f>IFERROR(__xludf.DUMMYFUNCTION("GOOGLETRANSLATE(B28670,""en"",""de"")"),"Der Mann bittet die Frau, sich wie ein Filmcharakter zu verhalten, und sie stimmt zu.")</f>
        <v>Der Mann bittet die Frau, sich wie ein Filmcharakter zu verhalten, und sie stimmt zu.</v>
      </c>
    </row>
    <row r="28671">
      <c r="A28671" s="4" t="s">
        <v>36108</v>
      </c>
      <c r="B28671" s="4" t="s">
        <v>36112</v>
      </c>
      <c r="C28671" s="5" t="str">
        <f>IFERROR(__xludf.DUMMYFUNCTION("GOOGLETRANSLATE(B28671,""en"",""de"")"),"Die Frau greift dann nach der Kamera und die Aussicht wird von ihrer Hand verdeckt.")</f>
        <v>Die Frau greift dann nach der Kamera und die Aussicht wird von ihrer Hand verdeckt.</v>
      </c>
    </row>
    <row r="28672">
      <c r="A28672" s="4" t="s">
        <v>36113</v>
      </c>
      <c r="B28672" s="4" t="s">
        <v>36114</v>
      </c>
      <c r="C28672" s="5" t="str">
        <f>IFERROR(__xludf.DUMMYFUNCTION("GOOGLETRANSLATE(B28672,""en"",""de"")"),"Eine Frau steht draußen und spricht mit der Kamera.")</f>
        <v>Eine Frau steht draußen und spricht mit der Kamera.</v>
      </c>
    </row>
    <row r="28673">
      <c r="A28673" s="4" t="s">
        <v>36113</v>
      </c>
      <c r="B28673" s="4" t="s">
        <v>36115</v>
      </c>
      <c r="C28673" s="5" t="str">
        <f>IFERROR(__xludf.DUMMYFUNCTION("GOOGLETRANSLATE(B28673,""en"",""de"")"),"Sie spricht ausgiebig in ihrem Standort in New York City.")</f>
        <v>Sie spricht ausgiebig in ihrem Standort in New York City.</v>
      </c>
    </row>
    <row r="28674">
      <c r="A28674" s="4" t="s">
        <v>36113</v>
      </c>
      <c r="B28674" s="4" t="s">
        <v>36116</v>
      </c>
      <c r="C28674" s="5" t="str">
        <f>IFERROR(__xludf.DUMMYFUNCTION("GOOGLETRANSLATE(B28674,""en"",""de"")"),"Am Ende wird ein Bildschirm mit Kontaktinformationen angezeigt.")</f>
        <v>Am Ende wird ein Bildschirm mit Kontaktinformationen angezeigt.</v>
      </c>
    </row>
    <row r="28675">
      <c r="A28675" s="4" t="s">
        <v>36117</v>
      </c>
      <c r="B28675" s="4" t="s">
        <v>36118</v>
      </c>
      <c r="C28675" s="5" t="str">
        <f>IFERROR(__xludf.DUMMYFUNCTION("GOOGLETRANSLATE(B28675,""en"",""de"")"),"Zuerst geht der Mann am Anfang auf die Bühne und schüttelt ungefähr den Kopf.")</f>
        <v>Zuerst geht der Mann am Anfang auf die Bühne und schüttelt ungefähr den Kopf.</v>
      </c>
    </row>
    <row r="28676">
      <c r="A28676" s="4" t="s">
        <v>36117</v>
      </c>
      <c r="B28676" s="4" t="s">
        <v>36119</v>
      </c>
      <c r="C28676" s="5" t="str">
        <f>IFERROR(__xludf.DUMMYFUNCTION("GOOGLETRANSLATE(B28676,""en"",""de"")"),"Dann ringt er einen kahlen Mann in einem Wrestling -Match.")</f>
        <v>Dann ringt er einen kahlen Mann in einem Wrestling -Match.</v>
      </c>
    </row>
    <row r="28677">
      <c r="A28677" s="4" t="s">
        <v>36117</v>
      </c>
      <c r="B28677" s="4" t="s">
        <v>36120</v>
      </c>
      <c r="C28677" s="5" t="str">
        <f>IFERROR(__xludf.DUMMYFUNCTION("GOOGLETRANSLATE(B28677,""en"",""de"")"),"Als nächstes ringt er einen Mann, der lange, kurze blonde Haare hat, und er ringt einen Mann, der einen niedrigen Haarschnitt hat und er gewinnt.")</f>
        <v>Als nächstes ringt er einen Mann, der lange, kurze blonde Haare hat, und er ringt einen Mann, der einen niedrigen Haarschnitt hat und er gewinnt.</v>
      </c>
    </row>
    <row r="28678">
      <c r="A28678" s="4" t="s">
        <v>36117</v>
      </c>
      <c r="B28678" s="4" t="s">
        <v>36121</v>
      </c>
      <c r="C28678" s="5" t="str">
        <f>IFERROR(__xludf.DUMMYFUNCTION("GOOGLETRANSLATE(B28678,""en"",""de"")"),"Die Menge beginnt zu jubeln und zu brüllen, weil er gewonnen hatte.")</f>
        <v>Die Menge beginnt zu jubeln und zu brüllen, weil er gewonnen hatte.</v>
      </c>
    </row>
    <row r="28679">
      <c r="A28679" s="4" t="s">
        <v>36122</v>
      </c>
      <c r="B28679" s="4" t="s">
        <v>36123</v>
      </c>
      <c r="C28679" s="5" t="str">
        <f>IFERROR(__xludf.DUMMYFUNCTION("GOOGLETRANSLATE(B28679,""en"",""de"")"),"Ein junger Mann sitzt auf einem Bett.")</f>
        <v>Ein junger Mann sitzt auf einem Bett.</v>
      </c>
    </row>
    <row r="28680">
      <c r="A28680" s="4" t="s">
        <v>36122</v>
      </c>
      <c r="B28680" s="4" t="s">
        <v>36124</v>
      </c>
      <c r="C28680" s="5" t="str">
        <f>IFERROR(__xludf.DUMMYFUNCTION("GOOGLETRANSLATE(B28680,""en"",""de"")"),"Der Mann spielt eine akustische Gitarre.")</f>
        <v>Der Mann spielt eine akustische Gitarre.</v>
      </c>
    </row>
    <row r="28681">
      <c r="A28681" s="4" t="s">
        <v>36122</v>
      </c>
      <c r="B28681" s="4" t="s">
        <v>36125</v>
      </c>
      <c r="C28681" s="5" t="str">
        <f>IFERROR(__xludf.DUMMYFUNCTION("GOOGLETRANSLATE(B28681,""en"",""de"")"),"Der Mann beginnt beim Spielen zu singen.")</f>
        <v>Der Mann beginnt beim Spielen zu singen.</v>
      </c>
    </row>
    <row r="28682">
      <c r="A28682" s="4" t="s">
        <v>36122</v>
      </c>
      <c r="B28682" s="4" t="s">
        <v>36126</v>
      </c>
      <c r="C28682" s="5" t="str">
        <f>IFERROR(__xludf.DUMMYFUNCTION("GOOGLETRANSLATE(B28682,""en"",""de"")"),"Der Mann pausiert und rollt.")</f>
        <v>Der Mann pausiert und rollt.</v>
      </c>
    </row>
    <row r="28683">
      <c r="A28683" s="4" t="s">
        <v>36122</v>
      </c>
      <c r="B28683" s="4" t="s">
        <v>36127</v>
      </c>
      <c r="C28683" s="5" t="str">
        <f>IFERROR(__xludf.DUMMYFUNCTION("GOOGLETRANSLATE(B28683,""en"",""de"")"),"Der Mann endet und schaut auf, dann am Boden.")</f>
        <v>Der Mann endet und schaut auf, dann am Boden.</v>
      </c>
    </row>
    <row r="28684">
      <c r="A28684" s="4" t="s">
        <v>36128</v>
      </c>
      <c r="B28684" s="4" t="s">
        <v>36129</v>
      </c>
      <c r="C28684" s="5" t="str">
        <f>IFERROR(__xludf.DUMMYFUNCTION("GOOGLETRANSLATE(B28684,""en"",""de"")"),"Ein Mann sitzt hinter einem Drum -Set, der anfängt zu spielen, während andere ihn nebenbei beobachten.")</f>
        <v>Ein Mann sitzt hinter einem Drum -Set, der anfängt zu spielen, während andere ihn nebenbei beobachten.</v>
      </c>
    </row>
    <row r="28685">
      <c r="A28685" s="4" t="s">
        <v>36128</v>
      </c>
      <c r="B28685" s="4" t="s">
        <v>36130</v>
      </c>
      <c r="C28685" s="5" t="str">
        <f>IFERROR(__xludf.DUMMYFUNCTION("GOOGLETRANSLATE(B28685,""en"",""de"")"),"Der Mann spielt weiterhin die Drum -Set schneller und schneller und endet, indem sie anhält, um mit der Kamera zu sprechen.")</f>
        <v>Der Mann spielt weiterhin die Drum -Set schneller und schneller und endet, indem sie anhält, um mit der Kamera zu sprechen.</v>
      </c>
    </row>
    <row r="28686">
      <c r="A28686" s="4" t="s">
        <v>36131</v>
      </c>
      <c r="B28686" s="4" t="s">
        <v>36132</v>
      </c>
      <c r="C28686" s="5" t="str">
        <f>IFERROR(__xludf.DUMMYFUNCTION("GOOGLETRANSLATE(B28686,""en"",""de"")"),"Die Frau passt den Matt an, während der Mann den Stangen erhebt.")</f>
        <v>Die Frau passt den Matt an, während der Mann den Stangen erhebt.</v>
      </c>
    </row>
    <row r="28687">
      <c r="A28687" s="4" t="s">
        <v>36131</v>
      </c>
      <c r="B28687" s="4" t="s">
        <v>36133</v>
      </c>
      <c r="C28687" s="5" t="str">
        <f>IFERROR(__xludf.DUMMYFUNCTION("GOOGLETRANSLATE(B28687,""en"",""de"")"),"Die Frau rennt mit einer Stange, dann sprang sie über das gelbe Seil.")</f>
        <v>Die Frau rennt mit einer Stange, dann sprang sie über das gelbe Seil.</v>
      </c>
    </row>
    <row r="28688">
      <c r="A28688" s="4" t="s">
        <v>36131</v>
      </c>
      <c r="B28688" s="4" t="s">
        <v>36134</v>
      </c>
      <c r="C28688" s="5" t="str">
        <f>IFERROR(__xludf.DUMMYFUNCTION("GOOGLETRANSLATE(B28688,""en"",""de"")"),"Die Frau sprang über das Seil, während ihr Trainer auf der Seite des Gebiets ist und sie unterstützte, als sie über die Stange sprang.")</f>
        <v>Die Frau sprang über das Seil, während ihr Trainer auf der Seite des Gebiets ist und sie unterstützte, als sie über die Stange sprang.</v>
      </c>
    </row>
    <row r="28689">
      <c r="A28689" s="4" t="s">
        <v>36135</v>
      </c>
      <c r="B28689" s="4" t="s">
        <v>36136</v>
      </c>
      <c r="C28689" s="5" t="str">
        <f>IFERROR(__xludf.DUMMYFUNCTION("GOOGLETRANSLATE(B28689,""en"",""de"")"),"Ein Friseur wird mit Clippers auf dem Kopf seines Kunden in einem Friseursalon gezeigt.")</f>
        <v>Ein Friseur wird mit Clippers auf dem Kopf seines Kunden in einem Friseursalon gezeigt.</v>
      </c>
    </row>
    <row r="28690">
      <c r="A28690" s="4" t="s">
        <v>36135</v>
      </c>
      <c r="B28690" s="4" t="s">
        <v>36137</v>
      </c>
      <c r="C28690" s="5" t="str">
        <f>IFERROR(__xludf.DUMMYFUNCTION("GOOGLETRANSLATE(B28690,""en"",""de"")"),"Er rasiert den Kopf eines Mannes mit Rasiercreme und einem Rasiermesser.")</f>
        <v>Er rasiert den Kopf eines Mannes mit Rasiercreme und einem Rasiermesser.</v>
      </c>
    </row>
    <row r="28691">
      <c r="A28691" s="4" t="s">
        <v>36135</v>
      </c>
      <c r="B28691" s="4" t="s">
        <v>36138</v>
      </c>
      <c r="C28691" s="5" t="str">
        <f>IFERROR(__xludf.DUMMYFUNCTION("GOOGLETRANSLATE(B28691,""en"",""de"")"),"Er stylt auch die Haare eines Jungen mit Gel und Kamm.")</f>
        <v>Er stylt auch die Haare eines Jungen mit Gel und Kamm.</v>
      </c>
    </row>
    <row r="28692">
      <c r="A28692" s="4" t="s">
        <v>36135</v>
      </c>
      <c r="B28692" s="4" t="s">
        <v>36139</v>
      </c>
      <c r="C28692" s="5" t="str">
        <f>IFERROR(__xludf.DUMMYFUNCTION("GOOGLETRANSLATE(B28692,""en"",""de"")"),"Er rasiert den Bart eines Mannes mit Rasiergel und einem Rasiermesser.")</f>
        <v>Er rasiert den Bart eines Mannes mit Rasiergel und einem Rasiermesser.</v>
      </c>
    </row>
    <row r="28693">
      <c r="A28693" s="4" t="s">
        <v>36135</v>
      </c>
      <c r="B28693" s="4" t="s">
        <v>36140</v>
      </c>
      <c r="C28693" s="5" t="str">
        <f>IFERROR(__xludf.DUMMYFUNCTION("GOOGLETRANSLATE(B28693,""en"",""de"")"),"Er schneidet auch die Haare eines Mannes mit einer Schere, um ihm einen Mohawk zu geben.")</f>
        <v>Er schneidet auch die Haare eines Mannes mit einer Schere, um ihm einen Mohawk zu geben.</v>
      </c>
    </row>
    <row r="28694">
      <c r="A28694" s="4" t="s">
        <v>36135</v>
      </c>
      <c r="B28694" s="4" t="s">
        <v>36141</v>
      </c>
      <c r="C28694" s="5" t="str">
        <f>IFERROR(__xludf.DUMMYFUNCTION("GOOGLETRANSLATE(B28694,""en"",""de"")"),"Er verwendet Clippers für einen jungen Mann.")</f>
        <v>Er verwendet Clippers für einen jungen Mann.</v>
      </c>
    </row>
    <row r="28695">
      <c r="A28695" s="4" t="s">
        <v>36135</v>
      </c>
      <c r="B28695" s="4" t="s">
        <v>36142</v>
      </c>
      <c r="C28695" s="5" t="str">
        <f>IFERROR(__xludf.DUMMYFUNCTION("GOOGLETRANSLATE(B28695,""en"",""de"")"),"Die Website wird auf dem Bildschirm mit Bildern der Website beworben.")</f>
        <v>Die Website wird auf dem Bildschirm mit Bildern der Website beworben.</v>
      </c>
    </row>
    <row r="28696">
      <c r="A28696" s="4" t="s">
        <v>36143</v>
      </c>
      <c r="B28696" s="4" t="s">
        <v>36144</v>
      </c>
      <c r="C28696" s="5" t="str">
        <f>IFERROR(__xludf.DUMMYFUNCTION("GOOGLETRANSLATE(B28696,""en"",""de"")"),"Ein Mann ist draußen in einem Grasfeld, das einen Rasenmäher hin und her drückt.")</f>
        <v>Ein Mann ist draußen in einem Grasfeld, das einen Rasenmäher hin und her drückt.</v>
      </c>
    </row>
    <row r="28697">
      <c r="A28697" s="4" t="s">
        <v>36143</v>
      </c>
      <c r="B28697" s="4" t="s">
        <v>36145</v>
      </c>
      <c r="C28697" s="5" t="str">
        <f>IFERROR(__xludf.DUMMYFUNCTION("GOOGLETRANSLATE(B28697,""en"",""de"")"),"Sobald er es auf die andere Seite des Streifens schafft, kommt die Person mit der Kamera näher an ihn und beginnt mit ihnen zu sprechen.")</f>
        <v>Sobald er es auf die andere Seite des Streifens schafft, kommt die Person mit der Kamera näher an ihn und beginnt mit ihnen zu sprechen.</v>
      </c>
    </row>
    <row r="28698">
      <c r="A28698" s="4" t="s">
        <v>36143</v>
      </c>
      <c r="B28698" s="4" t="s">
        <v>36146</v>
      </c>
      <c r="C28698" s="5" t="str">
        <f>IFERROR(__xludf.DUMMYFUNCTION("GOOGLETRANSLATE(B28698,""en"",""de"")"),"Danach beginnt der Typ mit dem Rasenmäher zu lachen und schneidet den Hof weiter.")</f>
        <v>Danach beginnt der Typ mit dem Rasenmäher zu lachen und schneidet den Hof weiter.</v>
      </c>
    </row>
    <row r="28699">
      <c r="A28699" s="4" t="s">
        <v>36147</v>
      </c>
      <c r="B28699" s="4" t="s">
        <v>36148</v>
      </c>
      <c r="C28699" s="5" t="str">
        <f>IFERROR(__xludf.DUMMYFUNCTION("GOOGLETRANSLATE(B28699,""en"",""de"")"),"Es ist eine Grafik eines Jungen, der mit 3 Verteidiger einen Fußballball tritt.")</f>
        <v>Es ist eine Grafik eines Jungen, der mit 3 Verteidiger einen Fußballball tritt.</v>
      </c>
    </row>
    <row r="28700">
      <c r="A28700" s="4" t="s">
        <v>36147</v>
      </c>
      <c r="B28700" s="4" t="s">
        <v>36149</v>
      </c>
      <c r="C28700" s="5" t="str">
        <f>IFERROR(__xludf.DUMMYFUNCTION("GOOGLETRANSLATE(B28700,""en"",""de"")"),"Der Ball wird von den Verteidigern in der Grafik abgelenkt.")</f>
        <v>Der Ball wird von den Verteidigern in der Grafik abgelenkt.</v>
      </c>
    </row>
    <row r="28701">
      <c r="A28701" s="4" t="s">
        <v>36147</v>
      </c>
      <c r="B28701" s="4" t="s">
        <v>36150</v>
      </c>
      <c r="C28701" s="5" t="str">
        <f>IFERROR(__xludf.DUMMYFUNCTION("GOOGLETRANSLATE(B28701,""en"",""de"")"),"Ein Fußballspieler tritt einen Ball, der von einer Reihe von Verteidigern und einem Torwart und in Indoor -Feld blockiert wird.")</f>
        <v>Ein Fußballspieler tritt einen Ball, der von einer Reihe von Verteidigern und einem Torwart und in Indoor -Feld blockiert wird.</v>
      </c>
    </row>
    <row r="28702">
      <c r="A28702" s="4" t="s">
        <v>36151</v>
      </c>
      <c r="B28702" s="4" t="s">
        <v>36152</v>
      </c>
      <c r="C28702" s="5" t="str">
        <f>IFERROR(__xludf.DUMMYFUNCTION("GOOGLETRANSLATE(B28702,""en"",""de"")"),"Ein kleiner Spielplatz ist zu sehen, gefolgt von einem Mann und seinem Hund, der in den Rahmen geht.")</f>
        <v>Ein kleiner Spielplatz ist zu sehen, gefolgt von einem Mann und seinem Hund, der in den Rahmen geht.</v>
      </c>
    </row>
    <row r="28703">
      <c r="A28703" s="4" t="s">
        <v>36151</v>
      </c>
      <c r="B28703" s="4" t="s">
        <v>36153</v>
      </c>
      <c r="C28703" s="5" t="str">
        <f>IFERROR(__xludf.DUMMYFUNCTION("GOOGLETRANSLATE(B28703,""en"",""de"")"),"Der Mann schiebt ihn auf und der Hund reitet den Rutschen hinunter.")</f>
        <v>Der Mann schiebt ihn auf und der Hund reitet den Rutschen hinunter.</v>
      </c>
    </row>
    <row r="28704">
      <c r="A28704" s="4" t="s">
        <v>36151</v>
      </c>
      <c r="B28704" s="4" t="s">
        <v>36154</v>
      </c>
      <c r="C28704" s="5" t="str">
        <f>IFERROR(__xludf.DUMMYFUNCTION("GOOGLETRANSLATE(B28704,""en"",""de"")"),"Der Mann macht das wieder mit dem Hund auf einem anderen Spielplatz.")</f>
        <v>Der Mann macht das wieder mit dem Hund auf einem anderen Spielplatz.</v>
      </c>
    </row>
    <row r="28705">
      <c r="A28705" s="4" t="s">
        <v>36155</v>
      </c>
      <c r="B28705" s="4" t="s">
        <v>36156</v>
      </c>
      <c r="C28705" s="5" t="str">
        <f>IFERROR(__xludf.DUMMYFUNCTION("GOOGLETRANSLATE(B28705,""en"",""de"")"),"Ein Mann ist in einem Boot im Wasser.")</f>
        <v>Ein Mann ist in einem Boot im Wasser.</v>
      </c>
    </row>
    <row r="28706">
      <c r="A28706" s="4" t="s">
        <v>36155</v>
      </c>
      <c r="B28706" s="4" t="s">
        <v>36157</v>
      </c>
      <c r="C28706" s="5" t="str">
        <f>IFERROR(__xludf.DUMMYFUNCTION("GOOGLETRANSLATE(B28706,""en"",""de"")"),"Ein Brotbrot wird zu Fischen geworfen und ihre kämpfen darum, es zu essen.")</f>
        <v>Ein Brotbrot wird zu Fischen geworfen und ihre kämpfen darum, es zu essen.</v>
      </c>
    </row>
    <row r="28707">
      <c r="A28707" s="4" t="s">
        <v>36155</v>
      </c>
      <c r="B28707" s="4" t="s">
        <v>36158</v>
      </c>
      <c r="C28707" s="5" t="str">
        <f>IFERROR(__xludf.DUMMYFUNCTION("GOOGLETRANSLATE(B28707,""en"",""de"")"),"Der Mensch taucht Ni Deep Sea durch die Schwärme und Korallen.")</f>
        <v>Der Mensch taucht Ni Deep Sea durch die Schwärme und Korallen.</v>
      </c>
    </row>
    <row r="28708">
      <c r="A28708" s="4" t="s">
        <v>36159</v>
      </c>
      <c r="B28708" s="4" t="s">
        <v>36160</v>
      </c>
      <c r="C28708" s="5" t="str">
        <f>IFERROR(__xludf.DUMMYFUNCTION("GOOGLETRANSLATE(B28708,""en"",""de"")"),"Vier Männer spielen Dodge Ball in einem Innenplatz.")</f>
        <v>Vier Männer spielen Dodge Ball in einem Innenplatz.</v>
      </c>
    </row>
    <row r="28709">
      <c r="A28709" s="4" t="s">
        <v>36159</v>
      </c>
      <c r="B28709" s="4" t="s">
        <v>36161</v>
      </c>
      <c r="C28709" s="5" t="str">
        <f>IFERROR(__xludf.DUMMYFUNCTION("GOOGLETRANSLATE(B28709,""en"",""de"")"),"Sie rennen auf die roten Bälle zu, nachdem der Trainer die Pfeife gebläst.")</f>
        <v>Sie rennen auf die roten Bälle zu, nachdem der Trainer die Pfeife gebläst.</v>
      </c>
    </row>
    <row r="28710">
      <c r="A28710" s="4" t="s">
        <v>36159</v>
      </c>
      <c r="B28710" s="4" t="s">
        <v>36162</v>
      </c>
      <c r="C28710" s="5" t="str">
        <f>IFERROR(__xludf.DUMMYFUNCTION("GOOGLETRANSLATE(B28710,""en"",""de"")"),"Einer der Spieler schlägt den Ball auf seinen Gegner.")</f>
        <v>Einer der Spieler schlägt den Ball auf seinen Gegner.</v>
      </c>
    </row>
    <row r="28711">
      <c r="A28711" s="4" t="s">
        <v>36159</v>
      </c>
      <c r="B28711" s="4" t="s">
        <v>36163</v>
      </c>
      <c r="C28711" s="5" t="str">
        <f>IFERROR(__xludf.DUMMYFUNCTION("GOOGLETRANSLATE(B28711,""en"",""de"")"),"Der Gegner schlägt den anderen Spieler zurück, aber er schafft es, dem Ball auszuweichen.")</f>
        <v>Der Gegner schlägt den anderen Spieler zurück, aber er schafft es, dem Ball auszuweichen.</v>
      </c>
    </row>
    <row r="28712">
      <c r="A28712" s="4" t="s">
        <v>36159</v>
      </c>
      <c r="B28712" s="4" t="s">
        <v>36164</v>
      </c>
      <c r="C28712" s="5" t="str">
        <f>IFERROR(__xludf.DUMMYFUNCTION("GOOGLETRANSLATE(B28712,""en"",""de"")"),"Als nächstes trifft der Spieler einen weiteren Ball direkt auf seinen Gegner, der ihm gegenüber steht.")</f>
        <v>Als nächstes trifft der Spieler einen weiteren Ball direkt auf seinen Gegner, der ihm gegenüber steht.</v>
      </c>
    </row>
    <row r="28713">
      <c r="A28713" s="4" t="s">
        <v>36159</v>
      </c>
      <c r="B28713" s="4" t="s">
        <v>36165</v>
      </c>
      <c r="C28713" s="5" t="str">
        <f>IFERROR(__xludf.DUMMYFUNCTION("GOOGLETRANSLATE(B28713,""en"",""de"")"),"Der Spieler schlägt den Ball hart auf das Bein seines Gegners.")</f>
        <v>Der Spieler schlägt den Ball hart auf das Bein seines Gegners.</v>
      </c>
    </row>
    <row r="28714">
      <c r="A28714" s="4" t="s">
        <v>36159</v>
      </c>
      <c r="B28714" s="4" t="s">
        <v>36166</v>
      </c>
      <c r="C28714" s="5" t="str">
        <f>IFERROR(__xludf.DUMMYFUNCTION("GOOGLETRANSLATE(B28714,""en"",""de"")"),"Sie spielen weiterhin mehrere Runden Dodge Ball.")</f>
        <v>Sie spielen weiterhin mehrere Runden Dodge Ball.</v>
      </c>
    </row>
    <row r="28715">
      <c r="A28715" s="4" t="s">
        <v>36159</v>
      </c>
      <c r="B28715" s="4" t="s">
        <v>36167</v>
      </c>
      <c r="C28715" s="5" t="str">
        <f>IFERROR(__xludf.DUMMYFUNCTION("GOOGLETRANSLATE(B28715,""en"",""de"")"),"Der Spieler zielt direkt auf einen seiner Gegner und schlägt ihn auf sein Bein.")</f>
        <v>Der Spieler zielt direkt auf einen seiner Gegner und schlägt ihn auf sein Bein.</v>
      </c>
    </row>
    <row r="28716">
      <c r="A28716" s="4" t="s">
        <v>36159</v>
      </c>
      <c r="B28716" s="4" t="s">
        <v>36168</v>
      </c>
      <c r="C28716" s="5" t="str">
        <f>IFERROR(__xludf.DUMMYFUNCTION("GOOGLETRANSLATE(B28716,""en"",""de"")"),"Das Spiel endet, nachdem der Trainer die Pfeife geblasen kann.")</f>
        <v>Das Spiel endet, nachdem der Trainer die Pfeife geblasen kann.</v>
      </c>
    </row>
    <row r="28717">
      <c r="A28717" s="4" t="s">
        <v>36169</v>
      </c>
      <c r="B28717" s="4" t="s">
        <v>36170</v>
      </c>
      <c r="C28717" s="5" t="str">
        <f>IFERROR(__xludf.DUMMYFUNCTION("GOOGLETRANSLATE(B28717,""en"",""de"")"),"Menschen segeln in Kanus in einem Fluss Ruder.")</f>
        <v>Menschen segeln in Kanus in einem Fluss Ruder.</v>
      </c>
    </row>
    <row r="28718">
      <c r="A28718" s="4" t="s">
        <v>36169</v>
      </c>
      <c r="B28718" s="4" t="s">
        <v>36171</v>
      </c>
      <c r="C28718" s="5" t="str">
        <f>IFERROR(__xludf.DUMMYFUNCTION("GOOGLETRANSLATE(B28718,""en"",""de"")"),"Ein junger Mann spielt die Gitarre in einem Boot, während eine Jugend eine Zigarette raucht.")</f>
        <v>Ein junger Mann spielt die Gitarre in einem Boot, während eine Jugend eine Zigarette raucht.</v>
      </c>
    </row>
    <row r="28719">
      <c r="A28719" s="4" t="s">
        <v>36169</v>
      </c>
      <c r="B28719" s="4" t="s">
        <v>36172</v>
      </c>
      <c r="C28719" s="5" t="str">
        <f>IFERROR(__xludf.DUMMYFUNCTION("GOOGLETRANSLATE(B28719,""en"",""de"")"),"Zwei junge Damen segeln ein Boot hinter den Männern.")</f>
        <v>Zwei junge Damen segeln ein Boot hinter den Männern.</v>
      </c>
    </row>
    <row r="28720">
      <c r="A28720" s="4" t="s">
        <v>36173</v>
      </c>
      <c r="B28720" s="4" t="s">
        <v>36174</v>
      </c>
      <c r="C28720" s="5" t="str">
        <f>IFERROR(__xludf.DUMMYFUNCTION("GOOGLETRANSLATE(B28720,""en"",""de"")"),"Eine Frau veranstaltet ein Nachrichtensegment und führt zu Schüssen von Menschen, die Fußball und Zuschauer spielen.")</f>
        <v>Eine Frau veranstaltet ein Nachrichtensegment und führt zu Schüssen von Menschen, die Fußball und Zuschauer spielen.</v>
      </c>
    </row>
    <row r="28721">
      <c r="A28721" s="4" t="s">
        <v>36173</v>
      </c>
      <c r="B28721" s="4" t="s">
        <v>36175</v>
      </c>
      <c r="C28721" s="5" t="str">
        <f>IFERROR(__xludf.DUMMYFUNCTION("GOOGLETRANSLATE(B28721,""en"",""de"")"),"Weitere Highlights des Spiels werden ebenso gezeigt und Teamkollegen, die sich gegenseitig feiern und umarmen.")</f>
        <v>Weitere Highlights des Spiels werden ebenso gezeigt und Teamkollegen, die sich gegenseitig feiern und umarmen.</v>
      </c>
    </row>
    <row r="28722">
      <c r="A28722" s="4" t="s">
        <v>36176</v>
      </c>
      <c r="B28722" s="4" t="s">
        <v>36177</v>
      </c>
      <c r="C28722" s="5" t="str">
        <f>IFERROR(__xludf.DUMMYFUNCTION("GOOGLETRANSLATE(B28722,""en"",""de"")"),"Auf dem Bildschirm erscheint ein Fox News -Symbol.")</f>
        <v>Auf dem Bildschirm erscheint ein Fox News -Symbol.</v>
      </c>
    </row>
    <row r="28723">
      <c r="A28723" s="4" t="s">
        <v>36176</v>
      </c>
      <c r="B28723" s="4" t="s">
        <v>36178</v>
      </c>
      <c r="C28723" s="5" t="str">
        <f>IFERROR(__xludf.DUMMYFUNCTION("GOOGLETRANSLATE(B28723,""en"",""de"")"),"Eine Gruppe von Menschen befindet sich in einem Gebäude und spielt ein Spiel namens Beer Pong.")</f>
        <v>Eine Gruppe von Menschen befindet sich in einem Gebäude und spielt ein Spiel namens Beer Pong.</v>
      </c>
    </row>
    <row r="28724">
      <c r="A28724" s="4" t="s">
        <v>36176</v>
      </c>
      <c r="B28724" s="4" t="s">
        <v>36179</v>
      </c>
      <c r="C28724" s="5" t="str">
        <f>IFERROR(__xludf.DUMMYFUNCTION("GOOGLETRANSLATE(B28724,""en"",""de"")"),"Die Nachrichtenreporter versammeln sich in ihrem Studio, um Bierpong zu spielen.")</f>
        <v>Die Nachrichtenreporter versammeln sich in ihrem Studio, um Bierpong zu spielen.</v>
      </c>
    </row>
    <row r="28725">
      <c r="A28725" s="4" t="s">
        <v>36176</v>
      </c>
      <c r="B28725" s="4" t="s">
        <v>36180</v>
      </c>
      <c r="C28725" s="5" t="str">
        <f>IFERROR(__xludf.DUMMYFUNCTION("GOOGLETRANSLATE(B28725,""en"",""de"")"),"Ein männlicher und weiblicher Reporter versucht, die Bälle auf die Tassen zu werfen.")</f>
        <v>Ein männlicher und weiblicher Reporter versucht, die Bälle auf die Tassen zu werfen.</v>
      </c>
    </row>
    <row r="28726">
      <c r="A28726" s="4" t="s">
        <v>36176</v>
      </c>
      <c r="B28726" s="4" t="s">
        <v>36181</v>
      </c>
      <c r="C28726" s="5" t="str">
        <f>IFERROR(__xludf.DUMMYFUNCTION("GOOGLETRANSLATE(B28726,""en"",""de"")"),"Die Frau geht weg und lacht, als die anderen Reporter weiter reden.")</f>
        <v>Die Frau geht weg und lacht, als die anderen Reporter weiter reden.</v>
      </c>
    </row>
    <row r="28727">
      <c r="A28727" s="4" t="s">
        <v>36176</v>
      </c>
      <c r="B28727" s="4" t="s">
        <v>36182</v>
      </c>
      <c r="C28727" s="5" t="str">
        <f>IFERROR(__xludf.DUMMYFUNCTION("GOOGLETRANSLATE(B28727,""en"",""de"")"),"Sie nehmen wieder das Spielen, bevor das Ikone der Fox News Icon erneut auf dem Bildschirm erscheint.")</f>
        <v>Sie nehmen wieder das Spielen, bevor das Ikone der Fox News Icon erneut auf dem Bildschirm erscheint.</v>
      </c>
    </row>
    <row r="28728">
      <c r="A28728" s="4" t="s">
        <v>36183</v>
      </c>
      <c r="B28728" s="4" t="s">
        <v>36184</v>
      </c>
      <c r="C28728" s="5" t="str">
        <f>IFERROR(__xludf.DUMMYFUNCTION("GOOGLETRANSLATE(B28728,""en"",""de"")"),"Zwei Menschen sind auf Stelzen mitten in einer Straße und einem Bürgersteig herumlaufen.")</f>
        <v>Zwei Menschen sind auf Stelzen mitten in einer Straße und einem Bürgersteig herumlaufen.</v>
      </c>
    </row>
    <row r="28729">
      <c r="A28729" s="4" t="s">
        <v>36183</v>
      </c>
      <c r="B28729" s="4" t="s">
        <v>36185</v>
      </c>
      <c r="C28729" s="5" t="str">
        <f>IFERROR(__xludf.DUMMYFUNCTION("GOOGLETRANSLATE(B28729,""en"",""de"")"),"Der Spaziergang geht weiter auf und runter, wenn Stelzen an Menschen vorbeikamen und sprechen.")</f>
        <v>Der Spaziergang geht weiter auf und runter, wenn Stelzen an Menschen vorbeikamen und sprechen.</v>
      </c>
    </row>
    <row r="28730">
      <c r="A28730" s="4" t="s">
        <v>36186</v>
      </c>
      <c r="B28730" s="4" t="s">
        <v>36187</v>
      </c>
      <c r="C28730" s="5" t="str">
        <f>IFERROR(__xludf.DUMMYFUNCTION("GOOGLETRANSLATE(B28730,""en"",""de"")"),"Frau steht auf einem Feld und spielt Dudelsack.")</f>
        <v>Frau steht auf einem Feld und spielt Dudelsack.</v>
      </c>
    </row>
    <row r="28731">
      <c r="A28731" s="4" t="s">
        <v>36186</v>
      </c>
      <c r="B28731" s="4" t="s">
        <v>36188</v>
      </c>
      <c r="C28731" s="5" t="str">
        <f>IFERROR(__xludf.DUMMYFUNCTION("GOOGLETRANSLATE(B28731,""en"",""de"")"),"Frau steht mitten auf einem Parkplatz, der Bag -Rohre spielt.")</f>
        <v>Frau steht mitten auf einem Parkplatz, der Bag -Rohre spielt.</v>
      </c>
    </row>
    <row r="28732">
      <c r="A28732" s="4" t="s">
        <v>36186</v>
      </c>
      <c r="B28732" s="4" t="s">
        <v>36189</v>
      </c>
      <c r="C28732" s="5" t="str">
        <f>IFERROR(__xludf.DUMMYFUNCTION("GOOGLETRANSLATE(B28732,""en"",""de"")"),"Ein blaues Haus ist hinter der Frau, die Dudelsack spielt.")</f>
        <v>Ein blaues Haus ist hinter der Frau, die Dudelsack spielt.</v>
      </c>
    </row>
    <row r="28733">
      <c r="A28733" s="4" t="s">
        <v>36190</v>
      </c>
      <c r="B28733" s="4" t="s">
        <v>36191</v>
      </c>
      <c r="C28733" s="5" t="str">
        <f>IFERROR(__xludf.DUMMYFUNCTION("GOOGLETRANSLATE(B28733,""en"",""de"")"),"Ein Skateboarder kommt vorbei und rollt in einem Stück Schmutz am Seitenweg.")</f>
        <v>Ein Skateboarder kommt vorbei und rollt in einem Stück Schmutz am Seitenweg.</v>
      </c>
    </row>
    <row r="28734">
      <c r="A28734" s="4" t="s">
        <v>36190</v>
      </c>
      <c r="B28734" s="4" t="s">
        <v>36192</v>
      </c>
      <c r="C28734" s="5" t="str">
        <f>IFERROR(__xludf.DUMMYFUNCTION("GOOGLETRANSLATE(B28734,""en"",""de"")"),"Ein Mann fängt dann an, mit seinem Skateboard von der Oberseite des Daches eine geneigte Straße hinunter zu fahren.")</f>
        <v>Ein Mann fängt dann an, mit seinem Skateboard von der Oberseite des Daches eine geneigte Straße hinunter zu fahren.</v>
      </c>
    </row>
    <row r="28735">
      <c r="A28735" s="4" t="s">
        <v>36190</v>
      </c>
      <c r="B28735" s="4" t="s">
        <v>36193</v>
      </c>
      <c r="C28735" s="5" t="str">
        <f>IFERROR(__xludf.DUMMYFUNCTION("GOOGLETRANSLATE(B28735,""en"",""de"")"),"Der Mann beginnt sich dann zu bewegen und zu skateboarden, und interagiert mit den Menschen.")</f>
        <v>Der Mann beginnt sich dann zu bewegen und zu skateboarden, und interagiert mit den Menschen.</v>
      </c>
    </row>
    <row r="28736">
      <c r="A28736" s="4" t="s">
        <v>36190</v>
      </c>
      <c r="B28736" s="4" t="s">
        <v>36194</v>
      </c>
      <c r="C28736" s="5" t="str">
        <f>IFERROR(__xludf.DUMMYFUNCTION("GOOGLETRANSLATE(B28736,""en"",""de"")"),"Plötzlich geht der Mann durch die U -Bahn und steigt aus seinem Skateboard, bis er an sein Ziel kommt.")</f>
        <v>Plötzlich geht der Mann durch die U -Bahn und steigt aus seinem Skateboard, bis er an sein Ziel kommt.</v>
      </c>
    </row>
    <row r="28737">
      <c r="A28737" s="4" t="s">
        <v>36190</v>
      </c>
      <c r="B28737" s="4" t="s">
        <v>36195</v>
      </c>
      <c r="C28737" s="5" t="str">
        <f>IFERROR(__xludf.DUMMYFUNCTION("GOOGLETRANSLATE(B28737,""en"",""de"")"),"Dann fährt er durch die Stadt, springt über die Stangen und die Credits beginnen zu rollen.")</f>
        <v>Dann fährt er durch die Stadt, springt über die Stangen und die Credits beginnen zu rollen.</v>
      </c>
    </row>
    <row r="28738">
      <c r="A28738" s="4" t="s">
        <v>36196</v>
      </c>
      <c r="B28738" s="4" t="s">
        <v>36197</v>
      </c>
      <c r="C28738" s="5" t="str">
        <f>IFERROR(__xludf.DUMMYFUNCTION("GOOGLETRANSLATE(B28738,""en"",""de"")"),"Der Mensch steht vor einer Küche und zeigt die Zutaten einem Koch.")</f>
        <v>Der Mensch steht vor einer Küche und zeigt die Zutaten einem Koch.</v>
      </c>
    </row>
    <row r="28739">
      <c r="A28739" s="4" t="s">
        <v>36196</v>
      </c>
      <c r="B28739" s="4" t="s">
        <v>36198</v>
      </c>
      <c r="C28739" s="5" t="str">
        <f>IFERROR(__xludf.DUMMYFUNCTION("GOOGLETRANSLATE(B28739,""en"",""de"")"),"Der Mann steckt die Zutaten in eine Pfanne und kochen Sie das Huhn mit dem Salat und servieren Sie es in einem Teller.")</f>
        <v>Der Mann steckt die Zutaten in eine Pfanne und kochen Sie das Huhn mit dem Salat und servieren Sie es in einem Teller.</v>
      </c>
    </row>
    <row r="28740">
      <c r="A28740" s="4" t="s">
        <v>36199</v>
      </c>
      <c r="B28740" s="4" t="s">
        <v>36200</v>
      </c>
      <c r="C28740" s="5" t="str">
        <f>IFERROR(__xludf.DUMMYFUNCTION("GOOGLETRANSLATE(B28740,""en"",""de"")"),"Eine Einführung kommt auf den Bildschirm für ein Video über das Casino -Handel.")</f>
        <v>Eine Einführung kommt auf den Bildschirm für ein Video über das Casino -Handel.</v>
      </c>
    </row>
    <row r="28741">
      <c r="A28741" s="4" t="s">
        <v>36199</v>
      </c>
      <c r="B28741" s="4" t="s">
        <v>36201</v>
      </c>
      <c r="C28741" s="5" t="str">
        <f>IFERROR(__xludf.DUMMYFUNCTION("GOOGLETRANSLATE(B28741,""en"",""de"")"),"Ein Mann erklärt, dass sie in einer Schule in Casino befinden, in der sie den Menschen beibringen werden, wie sie umgehen können.")</f>
        <v>Ein Mann erklärt, dass sie in einer Schule in Casino befinden, in der sie den Menschen beibringen werden, wie sie umgehen können.</v>
      </c>
    </row>
    <row r="28742">
      <c r="A28742" s="4" t="s">
        <v>36199</v>
      </c>
      <c r="B28742" s="4" t="s">
        <v>36202</v>
      </c>
      <c r="C28742" s="5" t="str">
        <f>IFERROR(__xludf.DUMMYFUNCTION("GOOGLETRANSLATE(B28742,""en"",""de"")"),"Ein anderer Mann beginnt zu erzählen und über die Grundlagen für das Casino -Umgang.")</f>
        <v>Ein anderer Mann beginnt zu erzählen und über die Grundlagen für das Casino -Umgang.</v>
      </c>
    </row>
    <row r="28743">
      <c r="A28743" s="4" t="s">
        <v>36199</v>
      </c>
      <c r="B28743" s="4" t="s">
        <v>4761</v>
      </c>
      <c r="C28743" s="5" t="str">
        <f>IFERROR(__xludf.DUMMYFUNCTION("GOOGLETRANSLATE(B28743,""en"",""de"")"),"Das Video endet mit den auf dem Bildschirm angezeigten Schließkrediten.")</f>
        <v>Das Video endet mit den auf dem Bildschirm angezeigten Schließkrediten.</v>
      </c>
    </row>
    <row r="28744">
      <c r="A28744" s="4" t="s">
        <v>36203</v>
      </c>
      <c r="B28744" s="4" t="s">
        <v>36204</v>
      </c>
      <c r="C28744" s="5" t="str">
        <f>IFERROR(__xludf.DUMMYFUNCTION("GOOGLETRANSLATE(B28744,""en"",""de"")"),"Draußen benutzt ein Mann ein Blattgebläse, um einen Blätterhaufen zu blasen.")</f>
        <v>Draußen benutzt ein Mann ein Blattgebläse, um einen Blätterhaufen zu blasen.</v>
      </c>
    </row>
    <row r="28745">
      <c r="A28745" s="4" t="s">
        <v>36203</v>
      </c>
      <c r="B28745" s="4" t="s">
        <v>36205</v>
      </c>
      <c r="C28745" s="5" t="str">
        <f>IFERROR(__xludf.DUMMYFUNCTION("GOOGLETRANSLATE(B28745,""en"",""de"")"),"Er scheint in einem Park oder etwas auf dem Parkplatz zu sein.")</f>
        <v>Er scheint in einem Park oder etwas auf dem Parkplatz zu sein.</v>
      </c>
    </row>
    <row r="28746">
      <c r="A28746" s="4" t="s">
        <v>36203</v>
      </c>
      <c r="B28746" s="4" t="s">
        <v>36206</v>
      </c>
      <c r="C28746" s="5" t="str">
        <f>IFERROR(__xludf.DUMMYFUNCTION("GOOGLETRANSLATE(B28746,""en"",""de"")"),"Er trägt einen Hut und eine Jeans und nur alleine da draußen.")</f>
        <v>Er trägt einen Hut und eine Jeans und nur alleine da draußen.</v>
      </c>
    </row>
    <row r="28747">
      <c r="A28747" s="4" t="s">
        <v>36203</v>
      </c>
      <c r="B28747" s="4" t="s">
        <v>36207</v>
      </c>
      <c r="C28747" s="5" t="str">
        <f>IFERROR(__xludf.DUMMYFUNCTION("GOOGLETRANSLATE(B28747,""en"",""de"")"),"Er bläst weiterhin den Blätterhaufen, wenn ein Hund aus dem Nichts vorbeifließt.")</f>
        <v>Er bläst weiterhin den Blätterhaufen, wenn ein Hund aus dem Nichts vorbeifließt.</v>
      </c>
    </row>
    <row r="28748">
      <c r="A28748" s="4" t="s">
        <v>36208</v>
      </c>
      <c r="B28748" s="4" t="s">
        <v>36209</v>
      </c>
      <c r="C28748" s="5" t="str">
        <f>IFERROR(__xludf.DUMMYFUNCTION("GOOGLETRANSLATE(B28748,""en"",""de"")"),"Ein Taucher-Mann interagiert unter Wasser mit einem großen Fisch.")</f>
        <v>Ein Taucher-Mann interagiert unter Wasser mit einem großen Fisch.</v>
      </c>
    </row>
    <row r="28749">
      <c r="A28749" s="4" t="s">
        <v>36208</v>
      </c>
      <c r="B28749" s="4" t="s">
        <v>36210</v>
      </c>
      <c r="C28749" s="5" t="str">
        <f>IFERROR(__xludf.DUMMYFUNCTION("GOOGLETRANSLATE(B28749,""en"",""de"")"),"Der Mann macht eine Push -Geste zur Kamera.")</f>
        <v>Der Mann macht eine Push -Geste zur Kamera.</v>
      </c>
    </row>
    <row r="28750">
      <c r="A28750" s="4" t="s">
        <v>36208</v>
      </c>
      <c r="B28750" s="4" t="s">
        <v>36211</v>
      </c>
      <c r="C28750" s="5" t="str">
        <f>IFERROR(__xludf.DUMMYFUNCTION("GOOGLETRANSLATE(B28750,""en"",""de"")"),"Der Mann macht mehrere Gesten zur Kamera.")</f>
        <v>Der Mann macht mehrere Gesten zur Kamera.</v>
      </c>
    </row>
    <row r="28751">
      <c r="A28751" s="4" t="s">
        <v>36208</v>
      </c>
      <c r="B28751" s="4" t="s">
        <v>36212</v>
      </c>
      <c r="C28751" s="5" t="str">
        <f>IFERROR(__xludf.DUMMYFUNCTION("GOOGLETRANSLATE(B28751,""en"",""de"")"),"Der Fisch ragt in den Mann und schwimmt weg.")</f>
        <v>Der Fisch ragt in den Mann und schwimmt weg.</v>
      </c>
    </row>
    <row r="28752">
      <c r="A28752" s="4" t="s">
        <v>36213</v>
      </c>
      <c r="B28752" s="4" t="s">
        <v>36214</v>
      </c>
      <c r="C28752" s="5" t="str">
        <f>IFERROR(__xludf.DUMMYFUNCTION("GOOGLETRANSLATE(B28752,""en"",""de"")"),"Ein Mann hält zwei Schwerter aus und gibt vor, ein anderes Volk zu schlagen, die Schwerter halten.")</f>
        <v>Ein Mann hält zwei Schwerter aus und gibt vor, ein anderes Volk zu schlagen, die Schwerter halten.</v>
      </c>
    </row>
    <row r="28753">
      <c r="A28753" s="4" t="s">
        <v>36213</v>
      </c>
      <c r="B28753" s="4" t="s">
        <v>36215</v>
      </c>
      <c r="C28753" s="5" t="str">
        <f>IFERROR(__xludf.DUMMYFUNCTION("GOOGLETRANSLATE(B28753,""en"",""de"")"),"Er demonstriert wieder und gibt die Schwerter einem anderen Mann.")</f>
        <v>Er demonstriert wieder und gibt die Schwerter einem anderen Mann.</v>
      </c>
    </row>
    <row r="28754">
      <c r="A28754" s="4" t="s">
        <v>36213</v>
      </c>
      <c r="B28754" s="4" t="s">
        <v>36216</v>
      </c>
      <c r="C28754" s="5" t="str">
        <f>IFERROR(__xludf.DUMMYFUNCTION("GOOGLETRANSLATE(B28754,""en"",""de"")"),"Er kommentiert seine Fähigkeiten und zeigt weiterhin mehrere Schwertbewegungen.")</f>
        <v>Er kommentiert seine Fähigkeiten und zeigt weiterhin mehrere Schwertbewegungen.</v>
      </c>
    </row>
    <row r="28755">
      <c r="A28755" s="4" t="s">
        <v>36213</v>
      </c>
      <c r="B28755" s="4" t="s">
        <v>36217</v>
      </c>
      <c r="C28755" s="5" t="str">
        <f>IFERROR(__xludf.DUMMYFUNCTION("GOOGLETRANSLATE(B28755,""en"",""de"")"),"Andere Männer beginnen mit den Schwertern zu kämpfen.")</f>
        <v>Andere Männer beginnen mit den Schwertern zu kämpfen.</v>
      </c>
    </row>
    <row r="28756">
      <c r="A28756" s="4" t="s">
        <v>36213</v>
      </c>
      <c r="B28756" s="4" t="s">
        <v>36218</v>
      </c>
      <c r="C28756" s="5" t="str">
        <f>IFERROR(__xludf.DUMMYFUNCTION("GOOGLETRANSLATE(B28756,""en"",""de"")"),"Ein Mann fällt hin und agiert weh, um eine Rolle im The Play Hamlet darzustellen.")</f>
        <v>Ein Mann fällt hin und agiert weh, um eine Rolle im The Play Hamlet darzustellen.</v>
      </c>
    </row>
    <row r="28757">
      <c r="A28757" s="4" t="s">
        <v>36219</v>
      </c>
      <c r="B28757" s="4" t="s">
        <v>36220</v>
      </c>
      <c r="C28757" s="5" t="str">
        <f>IFERROR(__xludf.DUMMYFUNCTION("GOOGLETRANSLATE(B28757,""en"",""de"")"),"Eine Kamera schwenkt um eine Frau, die vor einem Hund auf einem Zaun ausbalanciert.")</f>
        <v>Eine Kamera schwenkt um eine Frau, die vor einem Hund auf einem Zaun ausbalanciert.</v>
      </c>
    </row>
    <row r="28758">
      <c r="A28758" s="4" t="s">
        <v>36219</v>
      </c>
      <c r="B28758" s="4" t="s">
        <v>36221</v>
      </c>
      <c r="C28758" s="5" t="str">
        <f>IFERROR(__xludf.DUMMYFUNCTION("GOOGLETRANSLATE(B28758,""en"",""de"")"),"Der Hund balanciert weiterhin auf dem Zaun, während die Kamera ums Leben kommt.")</f>
        <v>Der Hund balanciert weiterhin auf dem Zaun, während die Kamera ums Leben kommt.</v>
      </c>
    </row>
    <row r="28759">
      <c r="A28759" s="4" t="s">
        <v>36219</v>
      </c>
      <c r="B28759" s="4" t="s">
        <v>36222</v>
      </c>
      <c r="C28759" s="5" t="str">
        <f>IFERROR(__xludf.DUMMYFUNCTION("GOOGLETRANSLATE(B28759,""en"",""de"")"),"Der Hund springt dann am Ende vom Zaun.")</f>
        <v>Der Hund springt dann am Ende vom Zaun.</v>
      </c>
    </row>
    <row r="28760">
      <c r="A28760" s="4" t="s">
        <v>36223</v>
      </c>
      <c r="B28760" s="4" t="s">
        <v>36224</v>
      </c>
      <c r="C28760" s="5" t="str">
        <f>IFERROR(__xludf.DUMMYFUNCTION("GOOGLETRANSLATE(B28760,""en"",""de"")"),"Ein Mann hält einen weißen Schuh und legt ihn auf den Boden.")</f>
        <v>Ein Mann hält einen weißen Schuh und legt ihn auf den Boden.</v>
      </c>
    </row>
    <row r="28761">
      <c r="A28761" s="4" t="s">
        <v>36223</v>
      </c>
      <c r="B28761" s="4" t="s">
        <v>36225</v>
      </c>
      <c r="C28761" s="5" t="str">
        <f>IFERROR(__xludf.DUMMYFUNCTION("GOOGLETRANSLATE(B28761,""en"",""de"")"),"Der Mann hat bereits einen Schuh am rechten Fuß und er strafft sich, wenn er ihn berührt.")</f>
        <v>Der Mann hat bereits einen Schuh am rechten Fuß und er strafft sich, wenn er ihn berührt.</v>
      </c>
    </row>
    <row r="28762">
      <c r="A28762" s="4" t="s">
        <v>36223</v>
      </c>
      <c r="B28762" s="4" t="s">
        <v>36226</v>
      </c>
      <c r="C28762" s="5" t="str">
        <f>IFERROR(__xludf.DUMMYFUNCTION("GOOGLETRANSLATE(B28762,""en"",""de"")"),"Das Gesicht des Mannes wird gezeigt und er schaut in die Schuhe hinunter und dann zeigt es den linken Schuh am Fuß und er zieht sich selbst fest.")</f>
        <v>Das Gesicht des Mannes wird gezeigt und er schaut in die Schuhe hinunter und dann zeigt es den linken Schuh am Fuß und er zieht sich selbst fest.</v>
      </c>
    </row>
    <row r="28763">
      <c r="A28763" s="4" t="s">
        <v>36223</v>
      </c>
      <c r="B28763" s="4" t="s">
        <v>36227</v>
      </c>
      <c r="C28763" s="5" t="str">
        <f>IFERROR(__xludf.DUMMYFUNCTION("GOOGLETRANSLATE(B28763,""en"",""de"")"),"Der Mann steht aus dem Auto und die Szene zeigt, dass es Michael J Fox im Film zurück in die Zukunft ist.")</f>
        <v>Der Mann steht aus dem Auto und die Szene zeigt, dass es Michael J Fox im Film zurück in die Zukunft ist.</v>
      </c>
    </row>
    <row r="28764">
      <c r="A28764" s="4" t="s">
        <v>36228</v>
      </c>
      <c r="B28764" s="4" t="s">
        <v>36229</v>
      </c>
      <c r="C28764" s="5" t="str">
        <f>IFERROR(__xludf.DUMMYFUNCTION("GOOGLETRANSLATE(B28764,""en"",""de"")"),"Ein Mädchen befindet sich draußen auf einem Bootsdock mit drei Hula -Reifen in ihren Händen.")</f>
        <v>Ein Mädchen befindet sich draußen auf einem Bootsdock mit drei Hula -Reifen in ihren Händen.</v>
      </c>
    </row>
    <row r="28765">
      <c r="A28765" s="4" t="s">
        <v>36228</v>
      </c>
      <c r="B28765" s="4" t="s">
        <v>36230</v>
      </c>
      <c r="C28765" s="5" t="str">
        <f>IFERROR(__xludf.DUMMYFUNCTION("GOOGLETRANSLATE(B28765,""en"",""de"")"),"Sie fängt an, sie in ihre Hand zu schwingen, um ihre Beine, ihr Handgelenk und ihren Hals und stehen kurz auf, um die Kamera anzupassen.")</f>
        <v>Sie fängt an, sie in ihre Hand zu schwingen, um ihre Beine, ihr Handgelenk und ihren Hals und stehen kurz auf, um die Kamera anzupassen.</v>
      </c>
    </row>
    <row r="28766">
      <c r="A28766" s="4" t="s">
        <v>36228</v>
      </c>
      <c r="B28766" s="4" t="s">
        <v>36231</v>
      </c>
      <c r="C28766" s="5" t="str">
        <f>IFERROR(__xludf.DUMMYFUNCTION("GOOGLETRANSLATE(B28766,""en"",""de"")"),"Die junge Dame erscheint dann wieder mit zwanzig bis dreißig Hula -Hoops um ihren Körper und schwingt sie hin und her, bevor Sie Ihnen raten, einen Kanal zu abonnieren.")</f>
        <v>Die junge Dame erscheint dann wieder mit zwanzig bis dreißig Hula -Hoops um ihren Körper und schwingt sie hin und her, bevor Sie Ihnen raten, einen Kanal zu abonnieren.</v>
      </c>
    </row>
    <row r="28767">
      <c r="A28767" s="4" t="s">
        <v>36232</v>
      </c>
      <c r="B28767" s="4" t="s">
        <v>36233</v>
      </c>
      <c r="C28767" s="5" t="str">
        <f>IFERROR(__xludf.DUMMYFUNCTION("GOOGLETRANSLATE(B28767,""en"",""de"")"),"Zwei Männer stehen in einem geschlossenen Raum mit Tennisschlägern und schlagen den Ball von der Wand zueinander.")</f>
        <v>Zwei Männer stehen in einem geschlossenen Raum mit Tennisschlägern und schlagen den Ball von der Wand zueinander.</v>
      </c>
    </row>
    <row r="28768">
      <c r="A28768" s="4" t="s">
        <v>36232</v>
      </c>
      <c r="B28768" s="4" t="s">
        <v>36234</v>
      </c>
      <c r="C28768" s="5" t="str">
        <f>IFERROR(__xludf.DUMMYFUNCTION("GOOGLETRANSLATE(B28768,""en"",""de"")"),"Die Männer gehen weiterhin mit dem Ball zurück und viertens und schlugen ihn von der Wand und stoßen gegen die Wand.")</f>
        <v>Die Männer gehen weiterhin mit dem Ball zurück und viertens und schlugen ihn von der Wand und stoßen gegen die Wand.</v>
      </c>
    </row>
    <row r="28769">
      <c r="A28769" s="4" t="s">
        <v>36235</v>
      </c>
      <c r="B28769" s="4" t="s">
        <v>36236</v>
      </c>
      <c r="C28769" s="5" t="str">
        <f>IFERROR(__xludf.DUMMYFUNCTION("GOOGLETRANSLATE(B28769,""en"",""de"")"),"Zwei Männer werden gesehen, wie ein Ball aneinander vorbeikommt und führt zu einer Gruppe von Menschen, die Fußball spielen.")</f>
        <v>Zwei Männer werden gesehen, wie ein Ball aneinander vorbeikommt und führt zu einer Gruppe von Menschen, die Fußball spielen.</v>
      </c>
    </row>
    <row r="28770">
      <c r="A28770" s="4" t="s">
        <v>36235</v>
      </c>
      <c r="B28770" s="4" t="s">
        <v>36237</v>
      </c>
      <c r="C28770" s="5" t="str">
        <f>IFERROR(__xludf.DUMMYFUNCTION("GOOGLETRANSLATE(B28770,""en"",""de"")"),"Die Leute bewegen sich auf und ab, während die Kamera ihren Bewegungen folgt.")</f>
        <v>Die Leute bewegen sich auf und ab, während die Kamera ihren Bewegungen folgt.</v>
      </c>
    </row>
    <row r="28771">
      <c r="A28771" s="4" t="s">
        <v>36235</v>
      </c>
      <c r="B28771" s="4" t="s">
        <v>36238</v>
      </c>
      <c r="C28771" s="5" t="str">
        <f>IFERROR(__xludf.DUMMYFUNCTION("GOOGLETRANSLATE(B28771,""en"",""de"")"),"Viele Leute sehen an den Seiten zu, wie die Gruppe weiter spielt.")</f>
        <v>Viele Leute sehen an den Seiten zu, wie die Gruppe weiter spielt.</v>
      </c>
    </row>
    <row r="28772">
      <c r="A28772" s="4" t="s">
        <v>36239</v>
      </c>
      <c r="B28772" s="4" t="s">
        <v>36240</v>
      </c>
      <c r="C28772" s="5" t="str">
        <f>IFERROR(__xludf.DUMMYFUNCTION("GOOGLETRANSLATE(B28772,""en"",""de"")"),"Menschen in einer Innenpool -Uhr, als sich mehrere Taucher abwechselt und am höchsten Tauchpunkt mit dem Wort Indiana darauf stehen, da sie mehrere Flips machen, bevor sie in den Pool landen.")</f>
        <v>Menschen in einer Innenpool -Uhr, als sich mehrere Taucher abwechselt und am höchsten Tauchpunkt mit dem Wort Indiana darauf stehen, da sie mehrere Flips machen, bevor sie in den Pool landen.</v>
      </c>
    </row>
    <row r="28773">
      <c r="A28773" s="4" t="s">
        <v>36239</v>
      </c>
      <c r="B28773" s="4" t="s">
        <v>36241</v>
      </c>
      <c r="C28773" s="5" t="str">
        <f>IFERROR(__xludf.DUMMYFUNCTION("GOOGLETRANSLATE(B28773,""en"",""de"")"),"Ein paar Frau ziehen sich an, wenn sie vom höchsten Tauchpunkt springen, wenn sie auf unterschiedliche Weise beginnen, mehrere Flips machen und dann in den Pool eintauchen und kleine Spritzer machen, wenn sie auf das Wasser schlugen.")</f>
        <v>Ein paar Frau ziehen sich an, wenn sie vom höchsten Tauchpunkt springen, wenn sie auf unterschiedliche Weise beginnen, mehrere Flips machen und dann in den Pool eintauchen und kleine Spritzer machen, wenn sie auf das Wasser schlugen.</v>
      </c>
    </row>
    <row r="28774">
      <c r="A28774" s="4" t="s">
        <v>36239</v>
      </c>
      <c r="B28774" s="4" t="s">
        <v>36242</v>
      </c>
      <c r="C28774" s="5" t="str">
        <f>IFERROR(__xludf.DUMMYFUNCTION("GOOGLETRANSLATE(B28774,""en"",""de"")"),"Eine blonde Frau macht einen sehr langsamen Handstand in Richtung Pool, schiebt sich dann ab und macht mehrere Flips, bevor sie in den Pool taucht und einen kleinen Spritzer entsteht.")</f>
        <v>Eine blonde Frau macht einen sehr langsamen Handstand in Richtung Pool, schiebt sich dann ab und macht mehrere Flips, bevor sie in den Pool taucht und einen kleinen Spritzer entsteht.</v>
      </c>
    </row>
    <row r="28775">
      <c r="A28775" s="4" t="s">
        <v>36239</v>
      </c>
      <c r="B28775" s="4" t="s">
        <v>36243</v>
      </c>
      <c r="C28775" s="5" t="str">
        <f>IFERROR(__xludf.DUMMYFUNCTION("GOOGLETRANSLATE(B28775,""en"",""de"")"),"Wenn die Frauen mit dem Tauchen fertig sind, nehmen Männer auch vom höchsten Punkt ab und machen auch mehrere Flips, bevor sie auf das Wasser treten, um einen kleinen Spritzer zu erzielen.")</f>
        <v>Wenn die Frauen mit dem Tauchen fertig sind, nehmen Männer auch vom höchsten Punkt ab und machen auch mehrere Flips, bevor sie auf das Wasser treten, um einen kleinen Spritzer zu erzielen.</v>
      </c>
    </row>
    <row r="28776">
      <c r="A28776" s="4" t="s">
        <v>36244</v>
      </c>
      <c r="B28776" s="4" t="s">
        <v>36245</v>
      </c>
      <c r="C28776" s="5" t="str">
        <f>IFERROR(__xludf.DUMMYFUNCTION("GOOGLETRANSLATE(B28776,""en"",""de"")"),"Eine Person im dunklen Winterausrüstung nutzt eine Schaufel, um den Weg eines Parkhauses zu schaufeln.")</f>
        <v>Eine Person im dunklen Winterausrüstung nutzt eine Schaufel, um den Weg eines Parkhauses zu schaufeln.</v>
      </c>
    </row>
    <row r="28777">
      <c r="A28777" s="4" t="s">
        <v>36244</v>
      </c>
      <c r="B28777" s="4" t="s">
        <v>36246</v>
      </c>
      <c r="C28777" s="5" t="str">
        <f>IFERROR(__xludf.DUMMYFUNCTION("GOOGLETRANSLATE(B28777,""en"",""de"")"),"Es ist Nacht und die Straße ist schwach mit den Straßenlaternen beleuchtet.")</f>
        <v>Es ist Nacht und die Straße ist schwach mit den Straßenlaternen beleuchtet.</v>
      </c>
    </row>
    <row r="28778">
      <c r="A28778" s="4" t="s">
        <v>36244</v>
      </c>
      <c r="B28778" s="4" t="s">
        <v>36247</v>
      </c>
      <c r="C28778" s="5" t="str">
        <f>IFERROR(__xludf.DUMMYFUNCTION("GOOGLETRANSLATE(B28778,""en"",""de"")"),"Er schaufelt weiter den gesamten Weg, während mehrere Autos auf der Hauptstraße in der Nähe vorbeifahren.")</f>
        <v>Er schaufelt weiter den gesamten Weg, während mehrere Autos auf der Hauptstraße in der Nähe vorbeifahren.</v>
      </c>
    </row>
    <row r="28779">
      <c r="A28779" s="4" t="s">
        <v>36244</v>
      </c>
      <c r="B28779" s="4" t="s">
        <v>36248</v>
      </c>
      <c r="C28779" s="5" t="str">
        <f>IFERROR(__xludf.DUMMYFUNCTION("GOOGLETRANSLATE(B28779,""en"",""de"")"),"Er nimmt den Aufwärtsschnee auf und stapelt ihn an der Ecke.")</f>
        <v>Er nimmt den Aufwärtsschnee auf und stapelt ihn an der Ecke.</v>
      </c>
    </row>
    <row r="28780">
      <c r="A28780" s="4" t="s">
        <v>36244</v>
      </c>
      <c r="B28780" s="4" t="s">
        <v>36249</v>
      </c>
      <c r="C28780" s="5" t="str">
        <f>IFERROR(__xludf.DUMMYFUNCTION("GOOGLETRANSLATE(B28780,""en"",""de"")"),"Nachdem er fertig ist, geht er weg.")</f>
        <v>Nachdem er fertig ist, geht er weg.</v>
      </c>
    </row>
    <row r="28781">
      <c r="A28781" s="4" t="s">
        <v>36250</v>
      </c>
      <c r="B28781" s="4" t="s">
        <v>36251</v>
      </c>
      <c r="C28781" s="5" t="str">
        <f>IFERROR(__xludf.DUMMYFUNCTION("GOOGLETRANSLATE(B28781,""en"",""de"")"),"Eine Person sitzt auf einer Matte in einem Fitnessstudio und sitzt ups und hält ihre Beine hoch.")</f>
        <v>Eine Person sitzt auf einer Matte in einem Fitnessstudio und sitzt ups und hält ihre Beine hoch.</v>
      </c>
    </row>
    <row r="28782">
      <c r="A28782" s="4" t="s">
        <v>36250</v>
      </c>
      <c r="B28782" s="4" t="s">
        <v>36252</v>
      </c>
      <c r="C28782" s="5" t="str">
        <f>IFERROR(__xludf.DUMMYFUNCTION("GOOGLETRANSLATE(B28782,""en"",""de"")"),"Die Person beendet die Übungsroutine und macht eine Pause.")</f>
        <v>Die Person beendet die Übungsroutine und macht eine Pause.</v>
      </c>
    </row>
    <row r="28783">
      <c r="A28783" s="4" t="s">
        <v>36250</v>
      </c>
      <c r="B28783" s="4" t="s">
        <v>36253</v>
      </c>
      <c r="C28783" s="5" t="str">
        <f>IFERROR(__xludf.DUMMYFUNCTION("GOOGLETRANSLATE(B28783,""en"",""de"")"),"Eine Grafik ist zu sehen, dass eine Feder fällt.")</f>
        <v>Eine Grafik ist zu sehen, dass eine Feder fällt.</v>
      </c>
    </row>
    <row r="28784">
      <c r="A28784" s="4" t="s">
        <v>36254</v>
      </c>
      <c r="B28784" s="4" t="s">
        <v>36255</v>
      </c>
      <c r="C28784" s="5" t="str">
        <f>IFERROR(__xludf.DUMMYFUNCTION("GOOGLETRANSLATE(B28784,""en"",""de"")"),"Es werden verschiedene Clips von Menschen gezeigt, die am Strand spielen sowie Sonnenschutzmittel an und tragen Objekte.")</f>
        <v>Es werden verschiedene Clips von Menschen gezeigt, die am Strand spielen sowie Sonnenschutzmittel an und tragen Objekte.</v>
      </c>
    </row>
    <row r="28785">
      <c r="A28785" s="4" t="s">
        <v>36254</v>
      </c>
      <c r="B28785" s="4" t="s">
        <v>36256</v>
      </c>
      <c r="C28785" s="5" t="str">
        <f>IFERROR(__xludf.DUMMYFUNCTION("GOOGLETRANSLATE(B28785,""en"",""de"")"),"Eine große Explosion wird gezeigt, gefolgt von Kindern, die mit einem Mann fischen, und mehr Clips von Menschen, die am Strand spielen.")</f>
        <v>Eine große Explosion wird gezeigt, gefolgt von Kindern, die mit einem Mann fischen, und mehr Clips von Menschen, die am Strand spielen.</v>
      </c>
    </row>
    <row r="28786">
      <c r="A28786" s="4" t="s">
        <v>36257</v>
      </c>
      <c r="B28786" s="4" t="s">
        <v>36258</v>
      </c>
      <c r="C28786" s="5" t="str">
        <f>IFERROR(__xludf.DUMMYFUNCTION("GOOGLETRANSLATE(B28786,""en"",""de"")"),"Drei Männer gehen in ein Gebäude.")</f>
        <v>Drei Männer gehen in ein Gebäude.</v>
      </c>
    </row>
    <row r="28787">
      <c r="A28787" s="4" t="s">
        <v>36257</v>
      </c>
      <c r="B28787" s="4" t="s">
        <v>36259</v>
      </c>
      <c r="C28787" s="5" t="str">
        <f>IFERROR(__xludf.DUMMYFUNCTION("GOOGLETRANSLATE(B28787,""en"",""de"")"),"Sie beginnen ein Lockenspiel zu spielen.")</f>
        <v>Sie beginnen ein Lockenspiel zu spielen.</v>
      </c>
    </row>
    <row r="28788">
      <c r="A28788" s="4" t="s">
        <v>36257</v>
      </c>
      <c r="B28788" s="4" t="s">
        <v>36260</v>
      </c>
      <c r="C28788" s="5" t="str">
        <f>IFERROR(__xludf.DUMMYFUNCTION("GOOGLETRANSLATE(B28788,""en"",""de"")"),"Die Menschen werden in der Curling Hall gezeigt, und die Trophäen werden gezeigt, die gewonnen wurden.")</f>
        <v>Die Menschen werden in der Curling Hall gezeigt, und die Trophäen werden gezeigt, die gewonnen wurden.</v>
      </c>
    </row>
    <row r="28789">
      <c r="A28789" s="4" t="s">
        <v>36257</v>
      </c>
      <c r="B28789" s="4" t="s">
        <v>36261</v>
      </c>
      <c r="C28789" s="5" t="str">
        <f>IFERROR(__xludf.DUMMYFUNCTION("GOOGLETRANSLATE(B28789,""en"",""de"")"),"Die Männer werden in der Schließfach gezeigt, die sich auf die Locken vorbereitet.")</f>
        <v>Die Männer werden in der Schließfach gezeigt, die sich auf die Locken vorbereitet.</v>
      </c>
    </row>
    <row r="28790">
      <c r="A28790" s="4" t="s">
        <v>36257</v>
      </c>
      <c r="B28790" s="4" t="s">
        <v>36262</v>
      </c>
      <c r="C28790" s="5" t="str">
        <f>IFERROR(__xludf.DUMMYFUNCTION("GOOGLETRANSLATE(B28790,""en"",""de"")"),"Die Männer posieren alle zusammen auf dem Eis.")</f>
        <v>Die Männer posieren alle zusammen auf dem Eis.</v>
      </c>
    </row>
    <row r="28791">
      <c r="A28791" s="4" t="s">
        <v>36263</v>
      </c>
      <c r="B28791" s="4" t="s">
        <v>36264</v>
      </c>
      <c r="C28791" s="5" t="str">
        <f>IFERROR(__xludf.DUMMYFUNCTION("GOOGLETRANSLATE(B28791,""en"",""de"")"),"Viele Richter sitzen auf einem Feld und warten auf die Leistung eines Athleten.")</f>
        <v>Viele Richter sitzen auf einem Feld und warten auf die Leistung eines Athleten.</v>
      </c>
    </row>
    <row r="28792">
      <c r="A28792" s="4" t="s">
        <v>36263</v>
      </c>
      <c r="B28792" s="4" t="s">
        <v>36265</v>
      </c>
      <c r="C28792" s="5" t="str">
        <f>IFERROR(__xludf.DUMMYFUNCTION("GOOGLETRANSLATE(B28792,""en"",""de"")"),"Ein Athlet nähert sich dem Feldbereich.")</f>
        <v>Ein Athlet nähert sich dem Feldbereich.</v>
      </c>
    </row>
    <row r="28793">
      <c r="A28793" s="4" t="s">
        <v>36263</v>
      </c>
      <c r="B28793" s="4" t="s">
        <v>36266</v>
      </c>
      <c r="C28793" s="5" t="str">
        <f>IFERROR(__xludf.DUMMYFUNCTION("GOOGLETRANSLATE(B28793,""en"",""de"")"),"Der Athlet dreht seinen Körper herum und wirft eine Scheibe mit maximaler Kraft.")</f>
        <v>Der Athlet dreht seinen Körper herum und wirft eine Scheibe mit maximaler Kraft.</v>
      </c>
    </row>
    <row r="28794">
      <c r="A28794" s="4" t="s">
        <v>36267</v>
      </c>
      <c r="B28794" s="4" t="s">
        <v>36268</v>
      </c>
      <c r="C28794" s="5" t="str">
        <f>IFERROR(__xludf.DUMMYFUNCTION("GOOGLETRANSLATE(B28794,""en"",""de"")"),"Eine Person legt sich auf ein Bett zurück.")</f>
        <v>Eine Person legt sich auf ein Bett zurück.</v>
      </c>
    </row>
    <row r="28795">
      <c r="A28795" s="4" t="s">
        <v>36267</v>
      </c>
      <c r="B28795" s="4" t="s">
        <v>36269</v>
      </c>
      <c r="C28795" s="5" t="str">
        <f>IFERROR(__xludf.DUMMYFUNCTION("GOOGLETRANSLATE(B28795,""en"",""de"")"),"Eine Person legt Wachs auf ihr Bein.")</f>
        <v>Eine Person legt Wachs auf ihr Bein.</v>
      </c>
    </row>
    <row r="28796">
      <c r="A28796" s="4" t="s">
        <v>36267</v>
      </c>
      <c r="B28796" s="4" t="s">
        <v>36270</v>
      </c>
      <c r="C28796" s="5" t="str">
        <f>IFERROR(__xludf.DUMMYFUNCTION("GOOGLETRANSLATE(B28796,""en"",""de"")"),"Sie legen Papier darauf und zerreißen die Haare.")</f>
        <v>Sie legen Papier darauf und zerreißen die Haare.</v>
      </c>
    </row>
    <row r="28797">
      <c r="A28797" s="4" t="s">
        <v>36271</v>
      </c>
      <c r="B28797" s="4" t="s">
        <v>36272</v>
      </c>
      <c r="C28797" s="5" t="str">
        <f>IFERROR(__xludf.DUMMYFUNCTION("GOOGLETRANSLATE(B28797,""en"",""de"")"),"Wir sehen einen Mann, der sich vorbereitet und schießt.")</f>
        <v>Wir sehen einen Mann, der sich vorbereitet und schießt.</v>
      </c>
    </row>
    <row r="28798">
      <c r="A28798" s="4" t="s">
        <v>36271</v>
      </c>
      <c r="B28798" s="4" t="s">
        <v>36273</v>
      </c>
      <c r="C28798" s="5" t="str">
        <f>IFERROR(__xludf.DUMMYFUNCTION("GOOGLETRANSLATE(B28798,""en"",""de"")"),"Wir sehen einen Mann rennen, um die Entfernung zu messen.")</f>
        <v>Wir sehen einen Mann rennen, um die Entfernung zu messen.</v>
      </c>
    </row>
    <row r="28799">
      <c r="A28799" s="4" t="s">
        <v>36271</v>
      </c>
      <c r="B28799" s="4" t="s">
        <v>36274</v>
      </c>
      <c r="C28799" s="5" t="str">
        <f>IFERROR(__xludf.DUMMYFUNCTION("GOOGLETRANSLATE(B28799,""en"",""de"")"),"Wir sehen einen Mann stehen und messen.")</f>
        <v>Wir sehen einen Mann stehen und messen.</v>
      </c>
    </row>
    <row r="28800">
      <c r="A28800" s="4" t="s">
        <v>36271</v>
      </c>
      <c r="B28800" s="4" t="s">
        <v>36275</v>
      </c>
      <c r="C28800" s="5" t="str">
        <f>IFERROR(__xludf.DUMMYFUNCTION("GOOGLETRANSLATE(B28800,""en"",""de"")"),"Wir sehen, wie Menschen in der Menge jubeln.")</f>
        <v>Wir sehen, wie Menschen in der Menge jubeln.</v>
      </c>
    </row>
    <row r="28801">
      <c r="A28801" s="4" t="s">
        <v>36271</v>
      </c>
      <c r="B28801" s="4" t="s">
        <v>36276</v>
      </c>
      <c r="C28801" s="5" t="str">
        <f>IFERROR(__xludf.DUMMYFUNCTION("GOOGLETRANSLATE(B28801,""en"",""de"")"),"Wir sehen die Menschen in den Tribünen wieder.")</f>
        <v>Wir sehen die Menschen in den Tribünen wieder.</v>
      </c>
    </row>
    <row r="28802">
      <c r="A28802" s="4" t="s">
        <v>36271</v>
      </c>
      <c r="B28802" s="4" t="s">
        <v>36277</v>
      </c>
      <c r="C28802" s="5" t="str">
        <f>IFERROR(__xludf.DUMMYFUNCTION("GOOGLETRANSLATE(B28802,""en"",""de"")"),"Wir zoomen da, während der Spieler weggeht.")</f>
        <v>Wir zoomen da, während der Spieler weggeht.</v>
      </c>
    </row>
    <row r="28803">
      <c r="A28803" s="4" t="s">
        <v>36278</v>
      </c>
      <c r="B28803" s="4" t="s">
        <v>36279</v>
      </c>
      <c r="C28803" s="5" t="str">
        <f>IFERROR(__xludf.DUMMYFUNCTION("GOOGLETRANSLATE(B28803,""en"",""de"")"),"Zwei Frauen und ein Mann tanzen Popmusik, während sie verschiedene Schritte ausführen.")</f>
        <v>Zwei Frauen und ein Mann tanzen Popmusik, während sie verschiedene Schritte ausführen.</v>
      </c>
    </row>
    <row r="28804">
      <c r="A28804" s="4" t="s">
        <v>36278</v>
      </c>
      <c r="B28804" s="4" t="s">
        <v>36280</v>
      </c>
      <c r="C28804" s="5" t="str">
        <f>IFERROR(__xludf.DUMMYFUNCTION("GOOGLETRANSLATE(B28804,""en"",""de"")"),"Die Frauen und der Mann erheben sich während des Tanzens die Arme, dann tanzen und drehen sie sich weiter.")</f>
        <v>Die Frauen und der Mann erheben sich während des Tanzens die Arme, dann tanzen und drehen sie sich weiter.</v>
      </c>
    </row>
    <row r="28805">
      <c r="A28805" s="4" t="s">
        <v>36281</v>
      </c>
      <c r="B28805" s="4" t="s">
        <v>20672</v>
      </c>
      <c r="C28805" s="5" t="str">
        <f>IFERROR(__xludf.DUMMYFUNCTION("GOOGLETRANSLATE(B28805,""en"",""de"")"),"Ein Mädchen springt auf einen Balancestrahl.")</f>
        <v>Ein Mädchen springt auf einen Balancestrahl.</v>
      </c>
    </row>
    <row r="28806">
      <c r="A28806" s="4" t="s">
        <v>36281</v>
      </c>
      <c r="B28806" s="4" t="s">
        <v>36282</v>
      </c>
      <c r="C28806" s="5" t="str">
        <f>IFERROR(__xludf.DUMMYFUNCTION("GOOGLETRANSLATE(B28806,""en"",""de"")"),"Sie macht eine Gymnastikroutine auf dem Balancestrahl.")</f>
        <v>Sie macht eine Gymnastikroutine auf dem Balancestrahl.</v>
      </c>
    </row>
    <row r="28807">
      <c r="A28807" s="4" t="s">
        <v>36281</v>
      </c>
      <c r="B28807" s="4" t="s">
        <v>36283</v>
      </c>
      <c r="C28807" s="5" t="str">
        <f>IFERROR(__xludf.DUMMYFUNCTION("GOOGLETRANSLATE(B28807,""en"",""de"")"),"Sie springt vom Balken und landet mit hoch auf der Matte.")</f>
        <v>Sie springt vom Balken und landet mit hoch auf der Matte.</v>
      </c>
    </row>
    <row r="28808">
      <c r="A28808" s="4" t="s">
        <v>36281</v>
      </c>
      <c r="B28808" s="4" t="s">
        <v>36284</v>
      </c>
      <c r="C28808" s="5" t="str">
        <f>IFERROR(__xludf.DUMMYFUNCTION("GOOGLETRANSLATE(B28808,""en"",""de"")"),"Eine Frau in einem blauen Hemd kommt herüber und umarmt sie.")</f>
        <v>Eine Frau in einem blauen Hemd kommt herüber und umarmt sie.</v>
      </c>
    </row>
    <row r="28809">
      <c r="A28809" s="4" t="s">
        <v>36285</v>
      </c>
      <c r="B28809" s="4" t="s">
        <v>36286</v>
      </c>
      <c r="C28809" s="5" t="str">
        <f>IFERROR(__xludf.DUMMYFUNCTION("GOOGLETRANSLATE(B28809,""en"",""de"")"),"Eine Frau betritt eine Garage mit einem aufgerollten Papier in der Hand.")</f>
        <v>Eine Frau betritt eine Garage mit einem aufgerollten Papier in der Hand.</v>
      </c>
    </row>
    <row r="28810">
      <c r="A28810" s="4" t="s">
        <v>36285</v>
      </c>
      <c r="B28810" s="4" t="s">
        <v>36287</v>
      </c>
      <c r="C28810" s="5" t="str">
        <f>IFERROR(__xludf.DUMMYFUNCTION("GOOGLETRANSLATE(B28810,""en"",""de"")"),"Sobald sie geht, wird eine schwarze Katze gezeigt und sie beginnt über alles zu kriechen, und dann kommt die Dame und streichelt sie.")</f>
        <v>Sobald sie geht, wird eine schwarze Katze gezeigt und sie beginnt über alles zu kriechen, und dann kommt die Dame und streichelt sie.</v>
      </c>
    </row>
    <row r="28811">
      <c r="A28811" s="4" t="s">
        <v>36285</v>
      </c>
      <c r="B28811" s="4" t="s">
        <v>36288</v>
      </c>
      <c r="C28811" s="5" t="str">
        <f>IFERROR(__xludf.DUMMYFUNCTION("GOOGLETRANSLATE(B28811,""en"",""de"")"),"Die weiblichen Blätter und betreten einen Raum und bedecken den Raum mit Tapepapier.")</f>
        <v>Die weiblichen Blätter und betreten einen Raum und bedecken den Raum mit Tapepapier.</v>
      </c>
    </row>
    <row r="28812">
      <c r="A28812" s="4" t="s">
        <v>36285</v>
      </c>
      <c r="B28812" s="4" t="s">
        <v>36289</v>
      </c>
      <c r="C28812" s="5" t="str">
        <f>IFERROR(__xludf.DUMMYFUNCTION("GOOGLETRANSLATE(B28812,""en"",""de"")"),"Sie vergisst die Schere und geht raus, um sie zu greifen, und kommt zurück, um mehr Papier an der Wand aufzutragen.")</f>
        <v>Sie vergisst die Schere und geht raus, um sie zu greifen, und kommt zurück, um mehr Papier an der Wand aufzutragen.</v>
      </c>
    </row>
    <row r="28813">
      <c r="A28813" s="4" t="s">
        <v>36285</v>
      </c>
      <c r="B28813" s="4" t="s">
        <v>36290</v>
      </c>
      <c r="C28813" s="5" t="str">
        <f>IFERROR(__xludf.DUMMYFUNCTION("GOOGLETRANSLATE(B28813,""en"",""de"")"),"Eine Pause ist erforderlich und die Frau bekommt ein Drink aus der Küche.")</f>
        <v>Eine Pause ist erforderlich und die Frau bekommt ein Drink aus der Küche.</v>
      </c>
    </row>
    <row r="28814">
      <c r="A28814" s="4" t="s">
        <v>36285</v>
      </c>
      <c r="B28814" s="4" t="s">
        <v>36291</v>
      </c>
      <c r="C28814" s="5" t="str">
        <f>IFERROR(__xludf.DUMMYFUNCTION("GOOGLETRANSLATE(B28814,""en"",""de"")"),"Kurz darauf setzt die Dame ihre Aufgaben fort und geht dann nach draußen, um ihre Katze herauszunehmen.")</f>
        <v>Kurz darauf setzt die Dame ihre Aufgaben fort und geht dann nach draußen, um ihre Katze herauszunehmen.</v>
      </c>
    </row>
    <row r="28815">
      <c r="A28815" s="4" t="s">
        <v>36285</v>
      </c>
      <c r="B28815" s="4" t="s">
        <v>36292</v>
      </c>
      <c r="C28815" s="5" t="str">
        <f>IFERROR(__xludf.DUMMYFUNCTION("GOOGLETRANSLATE(B28815,""en"",""de"")"),"Die Wand ist noch nicht fertig und sie kehrt zurück in den Raum, um das Außenbereich zu beenden, um seine Glätte zu gewährleisten.")</f>
        <v>Die Wand ist noch nicht fertig und sie kehrt zurück in den Raum, um das Außenbereich zu beenden, um seine Glätte zu gewährleisten.</v>
      </c>
    </row>
    <row r="28816">
      <c r="A28816" s="4" t="s">
        <v>36285</v>
      </c>
      <c r="B28816" s="4" t="s">
        <v>36293</v>
      </c>
      <c r="C28816" s="5" t="str">
        <f>IFERROR(__xludf.DUMMYFUNCTION("GOOGLETRANSLATE(B28816,""en"",""de"")"),"Als sie fertig ist, kommt die Katze in den Raum und beginnt mit einem Ball zu spielen, bevor sie nach draußen zurückkehrt.")</f>
        <v>Als sie fertig ist, kommt die Katze in den Raum und beginnt mit einem Ball zu spielen, bevor sie nach draußen zurückkehrt.</v>
      </c>
    </row>
    <row r="28817">
      <c r="A28817" s="4" t="s">
        <v>36285</v>
      </c>
      <c r="B28817" s="4" t="s">
        <v>36294</v>
      </c>
      <c r="C28817" s="5" t="str">
        <f>IFERROR(__xludf.DUMMYFUNCTION("GOOGLETRANSLATE(B28817,""en"",""de"")"),"Die Frauen tauchen in einem weiteren Kleidungsstück wieder auf, um die Wand zu beenden, sie beendet schließlich und beginnt ihre Hände hochzuwerfen und bricht auf das Bett zusammen.")</f>
        <v>Die Frauen tauchen in einem weiteren Kleidungsstück wieder auf, um die Wand zu beenden, sie beendet schließlich und beginnt ihre Hände hochzuwerfen und bricht auf das Bett zusammen.</v>
      </c>
    </row>
    <row r="28818">
      <c r="A28818" s="4" t="s">
        <v>36295</v>
      </c>
      <c r="B28818" s="4" t="s">
        <v>36296</v>
      </c>
      <c r="C28818" s="5" t="str">
        <f>IFERROR(__xludf.DUMMYFUNCTION("GOOGLETRANSLATE(B28818,""en"",""de"")"),"Die Leute spielen Golf im Gras.")</f>
        <v>Die Leute spielen Golf im Gras.</v>
      </c>
    </row>
    <row r="28819">
      <c r="A28819" s="4" t="s">
        <v>36295</v>
      </c>
      <c r="B28819" s="4" t="s">
        <v>36297</v>
      </c>
      <c r="C28819" s="5" t="str">
        <f>IFERROR(__xludf.DUMMYFUNCTION("GOOGLETRANSLATE(B28819,""en"",""de"")"),"Ein Mann schlägt den Ball mit einem Club.")</f>
        <v>Ein Mann schlägt den Ball mit einem Club.</v>
      </c>
    </row>
    <row r="28820">
      <c r="A28820" s="4" t="s">
        <v>36295</v>
      </c>
      <c r="B28820" s="4" t="s">
        <v>36298</v>
      </c>
      <c r="C28820" s="5" t="str">
        <f>IFERROR(__xludf.DUMMYFUNCTION("GOOGLETRANSLATE(B28820,""en"",""de"")"),"Ein Mann in einem weißen Hut geht hinter ihm.")</f>
        <v>Ein Mann in einem weißen Hut geht hinter ihm.</v>
      </c>
    </row>
    <row r="28821">
      <c r="A28821" s="4" t="s">
        <v>36299</v>
      </c>
      <c r="B28821" s="4" t="s">
        <v>36300</v>
      </c>
      <c r="C28821" s="5" t="str">
        <f>IFERROR(__xludf.DUMMYFUNCTION("GOOGLETRANSLATE(B28821,""en"",""de"")"),"Das Endprodukt und die Credits werden angezeigt.")</f>
        <v>Das Endprodukt und die Credits werden angezeigt.</v>
      </c>
    </row>
    <row r="28822">
      <c r="A28822" s="4" t="s">
        <v>36299</v>
      </c>
      <c r="B28822" s="4" t="s">
        <v>36301</v>
      </c>
      <c r="C28822" s="5" t="str">
        <f>IFERROR(__xludf.DUMMYFUNCTION("GOOGLETRANSLATE(B28822,""en"",""de"")"),"Zutaten werden gemischt und sautiert.")</f>
        <v>Zutaten werden gemischt und sautiert.</v>
      </c>
    </row>
    <row r="28823">
      <c r="A28823" s="4" t="s">
        <v>36299</v>
      </c>
      <c r="B28823" s="4" t="s">
        <v>36302</v>
      </c>
      <c r="C28823" s="5" t="str">
        <f>IFERROR(__xludf.DUMMYFUNCTION("GOOGLETRANSLATE(B28823,""en"",""de"")"),"Pasta wird in die Fry Pan hinzugefügt.")</f>
        <v>Pasta wird in die Fry Pan hinzugefügt.</v>
      </c>
    </row>
    <row r="28824">
      <c r="A28824" s="4" t="s">
        <v>36299</v>
      </c>
      <c r="B28824" s="4" t="s">
        <v>36303</v>
      </c>
      <c r="C28824" s="5" t="str">
        <f>IFERROR(__xludf.DUMMYFUNCTION("GOOGLETRANSLATE(B28824,""en"",""de"")"),"Tomatenpaste und trockene Zutaten werden der Pfanne hinzugefügt.")</f>
        <v>Tomatenpaste und trockene Zutaten werden der Pfanne hinzugefügt.</v>
      </c>
    </row>
    <row r="28825">
      <c r="A28825" s="4" t="s">
        <v>36299</v>
      </c>
      <c r="B28825" s="4" t="s">
        <v>36304</v>
      </c>
      <c r="C28825" s="5" t="str">
        <f>IFERROR(__xludf.DUMMYFUNCTION("GOOGLETRANSLATE(B28825,""en"",""de"")"),"Das Endprodukt wird aus der braten Pfanne genommen und auf eine weiße Platte gelegt.")</f>
        <v>Das Endprodukt wird aus der braten Pfanne genommen und auf eine weiße Platte gelegt.</v>
      </c>
    </row>
    <row r="28826">
      <c r="A28826" s="4" t="s">
        <v>36299</v>
      </c>
      <c r="B28826" s="4" t="s">
        <v>36305</v>
      </c>
      <c r="C28826" s="5" t="str">
        <f>IFERROR(__xludf.DUMMYFUNCTION("GOOGLETRANSLATE(B28826,""en"",""de"")"),"Das Endprodukt und die Credits des Clips werden angezeigt.")</f>
        <v>Das Endprodukt und die Credits des Clips werden angezeigt.</v>
      </c>
    </row>
    <row r="28827">
      <c r="A28827" s="4" t="s">
        <v>36306</v>
      </c>
      <c r="B28827" s="4" t="s">
        <v>36307</v>
      </c>
      <c r="C28827" s="5" t="str">
        <f>IFERROR(__xludf.DUMMYFUNCTION("GOOGLETRANSLATE(B28827,""en"",""de"")"),"Die Leute schnallen sich auf diese Qloja -Maschinen auf die Füße.")</f>
        <v>Die Leute schnallen sich auf diese Qloja -Maschinen auf die Füße.</v>
      </c>
    </row>
    <row r="28828">
      <c r="A28828" s="4" t="s">
        <v>36306</v>
      </c>
      <c r="B28828" s="4" t="s">
        <v>36308</v>
      </c>
      <c r="C28828" s="5" t="str">
        <f>IFERROR(__xludf.DUMMYFUNCTION("GOOGLETRANSLATE(B28828,""en"",""de"")"),"Es dauert ziemlich lange, um sie anzuziehen, und dann beginnen sie zu laufen.")</f>
        <v>Es dauert ziemlich lange, um sie anzuziehen, und dann beginnen sie zu laufen.</v>
      </c>
    </row>
    <row r="28829">
      <c r="A28829" s="4" t="s">
        <v>36306</v>
      </c>
      <c r="B28829" s="4" t="s">
        <v>36309</v>
      </c>
      <c r="C28829" s="5" t="str">
        <f>IFERROR(__xludf.DUMMYFUNCTION("GOOGLETRANSLATE(B28829,""en"",""de"")"),"Sie bauen ein wenig Geschwindigkeit auf und beginnen in einer Linie zu laufen.")</f>
        <v>Sie bauen ein wenig Geschwindigkeit auf und beginnen in einer Linie zu laufen.</v>
      </c>
    </row>
    <row r="28830">
      <c r="A28830" s="4" t="s">
        <v>36306</v>
      </c>
      <c r="B28830" s="4" t="s">
        <v>36310</v>
      </c>
      <c r="C28830" s="5" t="str">
        <f>IFERROR(__xludf.DUMMYFUNCTION("GOOGLETRANSLATE(B28830,""en"",""de"")"),"Eine Reihe von etwa 15 Personen, die diese Verhärmer tragen, läuft auf ihnen, dann hüpft eine kleinere Gruppe von drei Menschen rundum auf und ab.")</f>
        <v>Eine Reihe von etwa 15 Personen, die diese Verhärmer tragen, läuft auf ihnen, dann hüpft eine kleinere Gruppe von drei Menschen rundum auf und ab.</v>
      </c>
    </row>
    <row r="28831">
      <c r="A28831" s="4" t="s">
        <v>36311</v>
      </c>
      <c r="B28831" s="4" t="s">
        <v>13870</v>
      </c>
      <c r="C28831" s="5" t="str">
        <f>IFERROR(__xludf.DUMMYFUNCTION("GOOGLETRANSLATE(B28831,""en"",""de"")"),"Ein Mann in einem weißen Hemd spricht mit der Kamera.")</f>
        <v>Ein Mann in einem weißen Hemd spricht mit der Kamera.</v>
      </c>
    </row>
    <row r="28832">
      <c r="A28832" s="4" t="s">
        <v>36311</v>
      </c>
      <c r="B28832" s="4" t="s">
        <v>36312</v>
      </c>
      <c r="C28832" s="5" t="str">
        <f>IFERROR(__xludf.DUMMYFUNCTION("GOOGLETRANSLATE(B28832,""en"",""de"")"),"Die Leute spielen ein Volleyballspiel gegeneinander.")</f>
        <v>Die Leute spielen ein Volleyballspiel gegeneinander.</v>
      </c>
    </row>
    <row r="28833">
      <c r="A28833" s="4" t="s">
        <v>36313</v>
      </c>
      <c r="B28833" s="4" t="s">
        <v>36314</v>
      </c>
      <c r="C28833" s="5" t="str">
        <f>IFERROR(__xludf.DUMMYFUNCTION("GOOGLETRANSLATE(B28833,""en"",""de"")"),"Zwei Personen choreografieren eine Routine mit Nunchucks.")</f>
        <v>Zwei Personen choreografieren eine Routine mit Nunchucks.</v>
      </c>
    </row>
    <row r="28834">
      <c r="A28834" s="4" t="s">
        <v>36313</v>
      </c>
      <c r="B28834" s="4" t="s">
        <v>36315</v>
      </c>
      <c r="C28834" s="5" t="str">
        <f>IFERROR(__xludf.DUMMYFUNCTION("GOOGLETRANSLATE(B28834,""en"",""de"")"),"Die Mädchen fallen die Nunchucks fallen und tanzen dann herum.")</f>
        <v>Die Mädchen fallen die Nunchucks fallen und tanzen dann herum.</v>
      </c>
    </row>
    <row r="28835">
      <c r="A28835" s="4" t="s">
        <v>36313</v>
      </c>
      <c r="B28835" s="4" t="s">
        <v>36316</v>
      </c>
      <c r="C28835" s="5" t="str">
        <f>IFERROR(__xludf.DUMMYFUNCTION("GOOGLETRANSLATE(B28835,""en"",""de"")"),"Eine dritte Person schließt sich und geht dann.")</f>
        <v>Eine dritte Person schließt sich und geht dann.</v>
      </c>
    </row>
    <row r="28836">
      <c r="A28836" s="4" t="s">
        <v>36317</v>
      </c>
      <c r="B28836" s="4" t="s">
        <v>36318</v>
      </c>
      <c r="C28836" s="5" t="str">
        <f>IFERROR(__xludf.DUMMYFUNCTION("GOOGLETRANSLATE(B28836,""en"",""de"")"),"Eine Handsäge liegt auf einem Dach.")</f>
        <v>Eine Handsäge liegt auf einem Dach.</v>
      </c>
    </row>
    <row r="28837">
      <c r="A28837" s="4" t="s">
        <v>36317</v>
      </c>
      <c r="B28837" s="4" t="s">
        <v>36319</v>
      </c>
      <c r="C28837" s="5" t="str">
        <f>IFERROR(__xludf.DUMMYFUNCTION("GOOGLETRANSLATE(B28837,""en"",""de"")"),"Eine Leiter stützt sich darauf.")</f>
        <v>Eine Leiter stützt sich darauf.</v>
      </c>
    </row>
    <row r="28838">
      <c r="A28838" s="4" t="s">
        <v>36317</v>
      </c>
      <c r="B28838" s="4" t="s">
        <v>36320</v>
      </c>
      <c r="C28838" s="5" t="str">
        <f>IFERROR(__xludf.DUMMYFUNCTION("GOOGLETRANSLATE(B28838,""en"",""de"")"),"Das Dach ist alt und baufällig.")</f>
        <v>Das Dach ist alt und baufällig.</v>
      </c>
    </row>
    <row r="28839">
      <c r="A28839" s="4" t="s">
        <v>36317</v>
      </c>
      <c r="B28839" s="4" t="s">
        <v>36321</v>
      </c>
      <c r="C28839" s="5" t="str">
        <f>IFERROR(__xludf.DUMMYFUNCTION("GOOGLETRANSLATE(B28839,""en"",""de"")"),"Die Kamera schwenkt dann nach unten.")</f>
        <v>Die Kamera schwenkt dann nach unten.</v>
      </c>
    </row>
    <row r="28840">
      <c r="A28840" s="4" t="s">
        <v>36322</v>
      </c>
      <c r="B28840" s="4" t="s">
        <v>36323</v>
      </c>
      <c r="C28840" s="5" t="str">
        <f>IFERROR(__xludf.DUMMYFUNCTION("GOOGLETRANSLATE(B28840,""en"",""de"")"),"Ein Gewichtheber öffnet seinen Mund weit.")</f>
        <v>Ein Gewichtheber öffnet seinen Mund weit.</v>
      </c>
    </row>
    <row r="28841">
      <c r="A28841" s="4" t="s">
        <v>36322</v>
      </c>
      <c r="B28841" s="4" t="s">
        <v>36324</v>
      </c>
      <c r="C28841" s="5" t="str">
        <f>IFERROR(__xludf.DUMMYFUNCTION("GOOGLETRANSLATE(B28841,""en"",""de"")"),"Er hebt eine riesige Langhantel mit aller Kraft.")</f>
        <v>Er hebt eine riesige Langhantel mit aller Kraft.</v>
      </c>
    </row>
    <row r="28842">
      <c r="A28842" s="4" t="s">
        <v>36322</v>
      </c>
      <c r="B28842" s="4" t="s">
        <v>36325</v>
      </c>
      <c r="C28842" s="5" t="str">
        <f>IFERROR(__xludf.DUMMYFUNCTION("GOOGLETRANSLATE(B28842,""en"",""de"")"),"Er hebt es an seine Brust und dann über den Kopf.")</f>
        <v>Er hebt es an seine Brust und dann über den Kopf.</v>
      </c>
    </row>
    <row r="28843">
      <c r="A28843" s="4" t="s">
        <v>36326</v>
      </c>
      <c r="B28843" s="4" t="s">
        <v>36327</v>
      </c>
      <c r="C28843" s="5" t="str">
        <f>IFERROR(__xludf.DUMMYFUNCTION("GOOGLETRANSLATE(B28843,""en"",""de"")"),"Eine Frau steht in einem Hof ​​mit einem Rasenmäher vor sich.")</f>
        <v>Eine Frau steht in einem Hof ​​mit einem Rasenmäher vor sich.</v>
      </c>
    </row>
    <row r="28844">
      <c r="A28844" s="4" t="s">
        <v>36326</v>
      </c>
      <c r="B28844" s="4" t="s">
        <v>36328</v>
      </c>
      <c r="C28844" s="5" t="str">
        <f>IFERROR(__xludf.DUMMYFUNCTION("GOOGLETRANSLATE(B28844,""en"",""de"")"),"Das Mädchen schiebt dann den Rasenmäher entlang des Hofes.")</f>
        <v>Das Mädchen schiebt dann den Rasenmäher entlang des Hofes.</v>
      </c>
    </row>
    <row r="28845">
      <c r="A28845" s="4" t="s">
        <v>36326</v>
      </c>
      <c r="B28845" s="4" t="s">
        <v>36329</v>
      </c>
      <c r="C28845" s="5" t="str">
        <f>IFERROR(__xludf.DUMMYFUNCTION("GOOGLETRANSLATE(B28845,""en"",""de"")"),"Die Kamera rückt näher der Frau heran, die den Mäher immer noch drückt und mit der Kamera spricht.")</f>
        <v>Die Kamera rückt näher der Frau heran, die den Mäher immer noch drückt und mit der Kamera spricht.</v>
      </c>
    </row>
    <row r="28846">
      <c r="A28846" s="4" t="s">
        <v>36330</v>
      </c>
      <c r="B28846" s="4" t="s">
        <v>36331</v>
      </c>
      <c r="C28846" s="5" t="str">
        <f>IFERROR(__xludf.DUMMYFUNCTION("GOOGLETRANSLATE(B28846,""en"",""de"")"),"Ein Mann steht draußen unter einem Zelt, das mit einem Stock auf eine Pinata trifft.")</f>
        <v>Ein Mann steht draußen unter einem Zelt, das mit einem Stock auf eine Pinata trifft.</v>
      </c>
    </row>
    <row r="28847">
      <c r="A28847" s="4" t="s">
        <v>36330</v>
      </c>
      <c r="B28847" s="4" t="s">
        <v>36332</v>
      </c>
      <c r="C28847" s="5" t="str">
        <f>IFERROR(__xludf.DUMMYFUNCTION("GOOGLETRANSLATE(B28847,""en"",""de"")"),"Nach ungefähr drei Saiten bewegt er sich und gibt einem jungen Mädchen mit einem grauen und schwarzen Kleid den Stock.")</f>
        <v>Nach ungefähr drei Saiten bewegt er sich und gibt einem jungen Mädchen mit einem grauen und schwarzen Kleid den Stock.</v>
      </c>
    </row>
    <row r="28848">
      <c r="A28848" s="4" t="s">
        <v>36330</v>
      </c>
      <c r="B28848" s="4" t="s">
        <v>36333</v>
      </c>
      <c r="C28848" s="5" t="str">
        <f>IFERROR(__xludf.DUMMYFUNCTION("GOOGLETRANSLATE(B28848,""en"",""de"")"),"Sobald sie den Stock hat, schlägt sie in die falsche Richtung und wird dann in Richtung der Pinata umgeleitet und fehlt sie immer noch.")</f>
        <v>Sobald sie den Stock hat, schlägt sie in die falsche Richtung und wird dann in Richtung der Pinata umgeleitet und fehlt sie immer noch.</v>
      </c>
    </row>
    <row r="28849">
      <c r="A28849" s="4" t="s">
        <v>36334</v>
      </c>
      <c r="B28849" s="4" t="s">
        <v>36335</v>
      </c>
      <c r="C28849" s="5" t="str">
        <f>IFERROR(__xludf.DUMMYFUNCTION("GOOGLETRANSLATE(B28849,""en"",""de"")"),"Ein Mann und eine Frau tanzen mitten auf der Bühne eine Zumba -Choreogaphie.")</f>
        <v>Ein Mann und eine Frau tanzen mitten auf der Bühne eine Zumba -Choreogaphie.</v>
      </c>
    </row>
    <row r="28850">
      <c r="A28850" s="4" t="s">
        <v>36334</v>
      </c>
      <c r="B28850" s="4" t="s">
        <v>36336</v>
      </c>
      <c r="C28850" s="5" t="str">
        <f>IFERROR(__xludf.DUMMYFUNCTION("GOOGLETRANSLATE(B28850,""en"",""de"")"),"Mann, der eine graue Hemden nähert, und tanzt weiter.")</f>
        <v>Mann, der eine graue Hemden nähert, und tanzt weiter.</v>
      </c>
    </row>
    <row r="28851">
      <c r="A28851" s="4" t="s">
        <v>36334</v>
      </c>
      <c r="B28851" s="4" t="s">
        <v>36337</v>
      </c>
      <c r="C28851" s="5" t="str">
        <f>IFERROR(__xludf.DUMMYFUNCTION("GOOGLETRANSLATE(B28851,""en"",""de"")"),"Frau, die ein rosa Hemd trägt, befindet sich im Hintergrund, das ein weißes Handy hält und Fotos macht.")</f>
        <v>Frau, die ein rosa Hemd trägt, befindet sich im Hintergrund, das ein weißes Handy hält und Fotos macht.</v>
      </c>
    </row>
    <row r="28852">
      <c r="A28852" s="4" t="s">
        <v>36338</v>
      </c>
      <c r="B28852" s="4" t="s">
        <v>36339</v>
      </c>
      <c r="C28852" s="5" t="str">
        <f>IFERROR(__xludf.DUMMYFUNCTION("GOOGLETRANSLATE(B28852,""en"",""de"")"),"Ein paar Räder ein kleiner Wagen und Kühler in einem Parkbereich.")</f>
        <v>Ein paar Räder ein kleiner Wagen und Kühler in einem Parkbereich.</v>
      </c>
    </row>
    <row r="28853">
      <c r="A28853" s="4" t="s">
        <v>36338</v>
      </c>
      <c r="B28853" s="4" t="s">
        <v>36340</v>
      </c>
      <c r="C28853" s="5" t="str">
        <f>IFERROR(__xludf.DUMMYFUNCTION("GOOGLETRANSLATE(B28853,""en"",""de"")"),"Stöcke werden gesammelt, dann wird ein Steinering mit den Stöcken konstruiert, die zusammen mit Zweigen im Inneren gestapelt sind.")</f>
        <v>Stöcke werden gesammelt, dann wird ein Steinering mit den Stöcken konstruiert, die zusammen mit Zweigen im Inneren gestapelt sind.</v>
      </c>
    </row>
    <row r="28854">
      <c r="A28854" s="4" t="s">
        <v>36338</v>
      </c>
      <c r="B28854" s="4" t="s">
        <v>36341</v>
      </c>
      <c r="C28854" s="5" t="str">
        <f>IFERROR(__xludf.DUMMYFUNCTION("GOOGLETRANSLATE(B28854,""en"",""de"")"),"Das Holzbündel wird in Brand angezündet und mehr Stöcke werden hinzugefügt, um es am Laufen zu halten.")</f>
        <v>Das Holzbündel wird in Brand angezündet und mehr Stöcke werden hinzugefügt, um es am Laufen zu halten.</v>
      </c>
    </row>
    <row r="28855">
      <c r="A28855" s="4" t="s">
        <v>36338</v>
      </c>
      <c r="B28855" s="4" t="s">
        <v>36342</v>
      </c>
      <c r="C28855" s="5" t="str">
        <f>IFERROR(__xludf.DUMMYFUNCTION("GOOGLETRANSLATE(B28855,""en"",""de"")"),"Der Mann setzt sich auf einem Reichstuhl und genießt den Tag.")</f>
        <v>Der Mann setzt sich auf einem Reichstuhl und genießt den Tag.</v>
      </c>
    </row>
    <row r="28856">
      <c r="A28856" s="4" t="s">
        <v>36338</v>
      </c>
      <c r="B28856" s="4" t="s">
        <v>36343</v>
      </c>
      <c r="C28856" s="5" t="str">
        <f>IFERROR(__xludf.DUMMYFUNCTION("GOOGLETRANSLATE(B28856,""en"",""de"")"),"Der Mann schraubt eine Düse auf einen Propantank und treibt das Feuer damit an.")</f>
        <v>Der Mann schraubt eine Düse auf einen Propantank und treibt das Feuer damit an.</v>
      </c>
    </row>
    <row r="28857">
      <c r="A28857" s="4" t="s">
        <v>36338</v>
      </c>
      <c r="B28857" s="4" t="s">
        <v>36344</v>
      </c>
      <c r="C28857" s="5" t="str">
        <f>IFERROR(__xludf.DUMMYFUNCTION("GOOGLETRANSLATE(B28857,""en"",""de"")"),"Das Feuer wird mit einem Eimer Wasser ausgegeben und mit der Erde bedeckt.")</f>
        <v>Das Feuer wird mit einem Eimer Wasser ausgegeben und mit der Erde bedeckt.</v>
      </c>
    </row>
    <row r="28858">
      <c r="A28858" s="4" t="s">
        <v>36345</v>
      </c>
      <c r="B28858" s="4" t="s">
        <v>36346</v>
      </c>
      <c r="C28858" s="5" t="str">
        <f>IFERROR(__xludf.DUMMYFUNCTION("GOOGLETRANSLATE(B28858,""en"",""de"")"),"Ein Mann nimmt einen Reifen von einem Hub mit einem Werkzeug.")</f>
        <v>Ein Mann nimmt einen Reifen von einem Hub mit einem Werkzeug.</v>
      </c>
    </row>
    <row r="28859">
      <c r="A28859" s="4" t="s">
        <v>36345</v>
      </c>
      <c r="B28859" s="4" t="s">
        <v>36347</v>
      </c>
      <c r="C28859" s="5" t="str">
        <f>IFERROR(__xludf.DUMMYFUNCTION("GOOGLETRANSLATE(B28859,""en"",""de"")"),"Dann legt er den Reifen auf das Werkzeug, um es abzunehmen.")</f>
        <v>Dann legt er den Reifen auf das Werkzeug, um es abzunehmen.</v>
      </c>
    </row>
    <row r="28860">
      <c r="A28860" s="4" t="s">
        <v>36348</v>
      </c>
      <c r="B28860" s="4" t="s">
        <v>36349</v>
      </c>
      <c r="C28860" s="5" t="str">
        <f>IFERROR(__xludf.DUMMYFUNCTION("GOOGLETRANSLATE(B28860,""en"",""de"")"),"Ein Team von Spielern läuft auf einem Feld.")</f>
        <v>Ein Team von Spielern läuft auf einem Feld.</v>
      </c>
    </row>
    <row r="28861">
      <c r="A28861" s="4" t="s">
        <v>36348</v>
      </c>
      <c r="B28861" s="4" t="s">
        <v>36350</v>
      </c>
      <c r="C28861" s="5" t="str">
        <f>IFERROR(__xludf.DUMMYFUNCTION("GOOGLETRANSLATE(B28861,""en"",""de"")"),"Sie halten irgendeine Art von Schlägern.")</f>
        <v>Sie halten irgendeine Art von Schlägern.</v>
      </c>
    </row>
    <row r="28862">
      <c r="A28862" s="4" t="s">
        <v>36348</v>
      </c>
      <c r="B28862" s="4" t="s">
        <v>36351</v>
      </c>
      <c r="C28862" s="5" t="str">
        <f>IFERROR(__xludf.DUMMYFUNCTION("GOOGLETRANSLATE(B28862,""en"",""de"")"),"Die schwingen sie aneinander.")</f>
        <v>Die schwingen sie aneinander.</v>
      </c>
    </row>
    <row r="28863">
      <c r="A28863" s="4" t="s">
        <v>36348</v>
      </c>
      <c r="B28863" s="4" t="s">
        <v>36352</v>
      </c>
      <c r="C28863" s="5" t="str">
        <f>IFERROR(__xludf.DUMMYFUNCTION("GOOGLETRANSLATE(B28863,""en"",""de"")"),"Einige Spieler rennen an einer gelben Linie vorbei.")</f>
        <v>Einige Spieler rennen an einer gelben Linie vorbei.</v>
      </c>
    </row>
    <row r="28864">
      <c r="A28864" s="4" t="s">
        <v>36353</v>
      </c>
      <c r="B28864" s="4" t="s">
        <v>36354</v>
      </c>
      <c r="C28864" s="5" t="str">
        <f>IFERROR(__xludf.DUMMYFUNCTION("GOOGLETRANSLATE(B28864,""en"",""de"")"),"Eröffnung von Credits zeigen die bevorstehenden Aktivitäten.")</f>
        <v>Eröffnung von Credits zeigen die bevorstehenden Aktivitäten.</v>
      </c>
    </row>
    <row r="28865">
      <c r="A28865" s="4" t="s">
        <v>36353</v>
      </c>
      <c r="B28865" s="4" t="s">
        <v>36355</v>
      </c>
      <c r="C28865" s="5" t="str">
        <f>IFERROR(__xludf.DUMMYFUNCTION("GOOGLETRANSLATE(B28865,""en"",""de"")"),"Ein Mann in Plaid steht in einem Mikrofon, das die Menge anerkennt.")</f>
        <v>Ein Mann in Plaid steht in einem Mikrofon, das die Menge anerkennt.</v>
      </c>
    </row>
    <row r="28866">
      <c r="A28866" s="4" t="s">
        <v>36353</v>
      </c>
      <c r="B28866" s="4" t="s">
        <v>36356</v>
      </c>
      <c r="C28866" s="5" t="str">
        <f>IFERROR(__xludf.DUMMYFUNCTION("GOOGLETRANSLATE(B28866,""en"",""de"")"),"Er beginnt die Mundharmonika zu spielen.")</f>
        <v>Er beginnt die Mundharmonika zu spielen.</v>
      </c>
    </row>
    <row r="28867">
      <c r="A28867" s="4" t="s">
        <v>36353</v>
      </c>
      <c r="B28867" s="4" t="s">
        <v>36357</v>
      </c>
      <c r="C28867" s="5" t="str">
        <f>IFERROR(__xludf.DUMMYFUNCTION("GOOGLETRANSLATE(B28867,""en"",""de"")"),"Der Mann hört auf zu spielen und tanzt an Ort und Stelle.")</f>
        <v>Der Mann hört auf zu spielen und tanzt an Ort und Stelle.</v>
      </c>
    </row>
    <row r="28868">
      <c r="A28868" s="4" t="s">
        <v>36353</v>
      </c>
      <c r="B28868" s="4" t="s">
        <v>36358</v>
      </c>
      <c r="C28868" s="5" t="str">
        <f>IFERROR(__xludf.DUMMYFUNCTION("GOOGLETRANSLATE(B28868,""en"",""de"")"),"Der Mann spielt weiterhin seine Mundharmonika.")</f>
        <v>Der Mann spielt weiterhin seine Mundharmonika.</v>
      </c>
    </row>
    <row r="28869">
      <c r="A28869" s="4" t="s">
        <v>36353</v>
      </c>
      <c r="B28869" s="4" t="s">
        <v>36359</v>
      </c>
      <c r="C28869" s="5" t="str">
        <f>IFERROR(__xludf.DUMMYFUNCTION("GOOGLETRANSLATE(B28869,""en"",""de"")"),"Der Mann hört auf, sich zu spreizen, und dankt der Menge, wie die Schlussguthaben erscheinen.")</f>
        <v>Der Mann hört auf, sich zu spreizen, und dankt der Menge, wie die Schlussguthaben erscheinen.</v>
      </c>
    </row>
    <row r="28870">
      <c r="A28870" s="4" t="s">
        <v>36360</v>
      </c>
      <c r="B28870" s="4" t="s">
        <v>36361</v>
      </c>
      <c r="C28870" s="5" t="str">
        <f>IFERROR(__xludf.DUMMYFUNCTION("GOOGLETRANSLATE(B28870,""en"",""de"")"),"Es gibt einen kleinen Jungen in einem roten Hemd und blauen Jeans, die auf einem schwarzen Lederliese sitzen.")</f>
        <v>Es gibt einen kleinen Jungen in einem roten Hemd und blauen Jeans, die auf einem schwarzen Lederliese sitzen.</v>
      </c>
    </row>
    <row r="28871">
      <c r="A28871" s="4" t="s">
        <v>36360</v>
      </c>
      <c r="B28871" s="4" t="s">
        <v>36362</v>
      </c>
      <c r="C28871" s="5" t="str">
        <f>IFERROR(__xludf.DUMMYFUNCTION("GOOGLETRANSLATE(B28871,""en"",""de"")"),"Er sitzt mit ausgestreckten Händen.")</f>
        <v>Er sitzt mit ausgestreckten Händen.</v>
      </c>
    </row>
    <row r="28872">
      <c r="A28872" s="4" t="s">
        <v>36360</v>
      </c>
      <c r="B28872" s="4" t="s">
        <v>36363</v>
      </c>
      <c r="C28872" s="5" t="str">
        <f>IFERROR(__xludf.DUMMYFUNCTION("GOOGLETRANSLATE(B28872,""en"",""de"")"),"Ein Mann, der mit einem kleinen Stock neben ihm steht, kitzelt die Hand des Jungen mit dem Stock.")</f>
        <v>Ein Mann, der mit einem kleinen Stock neben ihm steht, kitzelt die Hand des Jungen mit dem Stock.</v>
      </c>
    </row>
    <row r="28873">
      <c r="A28873" s="4" t="s">
        <v>36360</v>
      </c>
      <c r="B28873" s="4" t="s">
        <v>36364</v>
      </c>
      <c r="C28873" s="5" t="str">
        <f>IFERROR(__xludf.DUMMYFUNCTION("GOOGLETRANSLATE(B28873,""en"",""de"")"),"Der Junge scheint es zu mögen und bittet ihn, es auch mit seiner anderen Hand zu tun.")</f>
        <v>Der Junge scheint es zu mögen und bittet ihn, es auch mit seiner anderen Hand zu tun.</v>
      </c>
    </row>
    <row r="28874">
      <c r="A28874" s="4" t="s">
        <v>36360</v>
      </c>
      <c r="B28874" s="4" t="s">
        <v>36365</v>
      </c>
      <c r="C28874" s="5" t="str">
        <f>IFERROR(__xludf.DUMMYFUNCTION("GOOGLETRANSLATE(B28874,""en"",""de"")"),"Der Mann kitzelt auch die andere Hand des kleinen Jungen.")</f>
        <v>Der Mann kitzelt auch die andere Hand des kleinen Jungen.</v>
      </c>
    </row>
    <row r="28875">
      <c r="A28875" s="4" t="s">
        <v>36360</v>
      </c>
      <c r="B28875" s="4" t="s">
        <v>36366</v>
      </c>
      <c r="C28875" s="5" t="str">
        <f>IFERROR(__xludf.DUMMYFUNCTION("GOOGLETRANSLATE(B28875,""en"",""de"")"),"Der Junge lächelt und fragt nach mehr.")</f>
        <v>Der Junge lächelt und fragt nach mehr.</v>
      </c>
    </row>
    <row r="28876">
      <c r="A28876" s="4" t="s">
        <v>36367</v>
      </c>
      <c r="B28876" s="4" t="s">
        <v>36368</v>
      </c>
      <c r="C28876" s="5" t="str">
        <f>IFERROR(__xludf.DUMMYFUNCTION("GOOGLETRANSLATE(B28876,""en"",""de"")"),"Eine Kamera schwenkt um Gras und führt zu einem Zaun.")</f>
        <v>Eine Kamera schwenkt um Gras und führt zu einem Zaun.</v>
      </c>
    </row>
    <row r="28877">
      <c r="A28877" s="4" t="s">
        <v>36367</v>
      </c>
      <c r="B28877" s="4" t="s">
        <v>36369</v>
      </c>
      <c r="C28877" s="5" t="str">
        <f>IFERROR(__xludf.DUMMYFUNCTION("GOOGLETRANSLATE(B28877,""en"",""de"")"),"Die Kamera schwenkt rund um den Zaun mit Blumen an der Seite.")</f>
        <v>Die Kamera schwenkt rund um den Zaun mit Blumen an der Seite.</v>
      </c>
    </row>
    <row r="28878">
      <c r="A28878" s="4" t="s">
        <v>36367</v>
      </c>
      <c r="B28878" s="4" t="s">
        <v>36370</v>
      </c>
      <c r="C28878" s="5" t="str">
        <f>IFERROR(__xludf.DUMMYFUNCTION("GOOGLETRANSLATE(B28878,""en"",""de"")"),"Die Kamera schwenkt weiter um den Zaun und die verschiedenen Farben.")</f>
        <v>Die Kamera schwenkt weiter um den Zaun und die verschiedenen Farben.</v>
      </c>
    </row>
    <row r="28879">
      <c r="A28879" s="4" t="s">
        <v>36371</v>
      </c>
      <c r="B28879" s="4" t="s">
        <v>36372</v>
      </c>
      <c r="C28879" s="5" t="str">
        <f>IFERROR(__xludf.DUMMYFUNCTION("GOOGLETRANSLATE(B28879,""en"",""de"")"),"Ein Mann nimmt eine Shisha und atmet Rauchringen aus.")</f>
        <v>Ein Mann nimmt eine Shisha und atmet Rauchringen aus.</v>
      </c>
    </row>
    <row r="28880">
      <c r="A28880" s="4" t="s">
        <v>36371</v>
      </c>
      <c r="B28880" s="4" t="s">
        <v>36373</v>
      </c>
      <c r="C28880" s="5" t="str">
        <f>IFERROR(__xludf.DUMMYFUNCTION("GOOGLETRANSLATE(B28880,""en"",""de"")"),"Er atmet und macht es wieder.")</f>
        <v>Er atmet und macht es wieder.</v>
      </c>
    </row>
    <row r="28881">
      <c r="A28881" s="4" t="s">
        <v>36374</v>
      </c>
      <c r="B28881" s="4" t="s">
        <v>36375</v>
      </c>
      <c r="C28881" s="5" t="str">
        <f>IFERROR(__xludf.DUMMYFUNCTION("GOOGLETRANSLATE(B28881,""en"",""de"")"),"Acht weiße Männer mittleren Alters sind auf einem Seil, das versucht, ein Tauge-War-Spiel draußen auf einem Feld auf einem Turnier zu gewinnen.")</f>
        <v>Acht weiße Männer mittleren Alters sind auf einem Seil, das versucht, ein Tauge-War-Spiel draußen auf einem Feld auf einem Turnier zu gewinnen.</v>
      </c>
    </row>
    <row r="28882">
      <c r="A28882" s="4" t="s">
        <v>36374</v>
      </c>
      <c r="B28882" s="4" t="s">
        <v>36376</v>
      </c>
      <c r="C28882" s="5" t="str">
        <f>IFERROR(__xludf.DUMMYFUNCTION("GOOGLETRANSLATE(B28882,""en"",""de"")"),"Zu Beginn des Spiels fallen die Männer alle in eine schräge Position, als sie Schwierigkeiten haben, das Seil zu ziehen.")</f>
        <v>Zu Beginn des Spiels fallen die Männer alle in eine schräge Position, als sie Schwierigkeiten haben, das Seil zu ziehen.</v>
      </c>
    </row>
    <row r="28883">
      <c r="A28883" s="4" t="s">
        <v>36374</v>
      </c>
      <c r="B28883" s="4" t="s">
        <v>36377</v>
      </c>
      <c r="C28883" s="5" t="str">
        <f>IFERROR(__xludf.DUMMYFUNCTION("GOOGLETRANSLATE(B28883,""en"",""de"")"),"Plötzlich beginnt ein Mann von den Seiten mit dem Mann vorne zu sprechen und kommt ihm ins Gesicht, als würde er ihm ein müses Gespräch geben, um stark zu bleiben, zu gewinnen und das andere Team nicht das Beste aus ihm holen zu lassen.")</f>
        <v>Plötzlich beginnt ein Mann von den Seiten mit dem Mann vorne zu sprechen und kommt ihm ins Gesicht, als würde er ihm ein müses Gespräch geben, um stark zu bleiben, zu gewinnen und das andere Team nicht das Beste aus ihm holen zu lassen.</v>
      </c>
    </row>
    <row r="28884">
      <c r="A28884" s="4" t="s">
        <v>36374</v>
      </c>
      <c r="B28884" s="4" t="s">
        <v>36378</v>
      </c>
      <c r="C28884" s="5" t="str">
        <f>IFERROR(__xludf.DUMMYFUNCTION("GOOGLETRANSLATE(B28884,""en"",""de"")"),"Das Spiel geht weiter und Sie können sehen, dass das Team Drogen ist, aber sie gewinnen plötzlich an Kraft und ziehen das Seil zurück zu ihrer Seite, dann stehen sie alle auf, wenn das Spiel fertig ist.")</f>
        <v>Das Spiel geht weiter und Sie können sehen, dass das Team Drogen ist, aber sie gewinnen plötzlich an Kraft und ziehen das Seil zurück zu ihrer Seite, dann stehen sie alle auf, wenn das Spiel fertig ist.</v>
      </c>
    </row>
    <row r="28885">
      <c r="A28885" s="4" t="s">
        <v>36379</v>
      </c>
      <c r="B28885" s="4" t="s">
        <v>36380</v>
      </c>
      <c r="C28885" s="5" t="str">
        <f>IFERROR(__xludf.DUMMYFUNCTION("GOOGLETRANSLATE(B28885,""en"",""de"")"),"Zwei Leute steigen in einen LKW.")</f>
        <v>Zwei Leute steigen in einen LKW.</v>
      </c>
    </row>
    <row r="28886">
      <c r="A28886" s="4" t="s">
        <v>36379</v>
      </c>
      <c r="B28886" s="4" t="s">
        <v>36381</v>
      </c>
      <c r="C28886" s="5" t="str">
        <f>IFERROR(__xludf.DUMMYFUNCTION("GOOGLETRANSLATE(B28886,""en"",""de"")"),"Sie fahren auf die Straße.")</f>
        <v>Sie fahren auf die Straße.</v>
      </c>
    </row>
    <row r="28887">
      <c r="A28887" s="4" t="s">
        <v>36379</v>
      </c>
      <c r="B28887" s="4" t="s">
        <v>36382</v>
      </c>
      <c r="C28887" s="5" t="str">
        <f>IFERROR(__xludf.DUMMYFUNCTION("GOOGLETRANSLATE(B28887,""en"",""de"")"),"Ein Mann mit einer Leiter setzt sie gegen ein Haus.")</f>
        <v>Ein Mann mit einer Leiter setzt sie gegen ein Haus.</v>
      </c>
    </row>
    <row r="28888">
      <c r="A28888" s="4" t="s">
        <v>36379</v>
      </c>
      <c r="B28888" s="4" t="s">
        <v>36383</v>
      </c>
      <c r="C28888" s="5" t="str">
        <f>IFERROR(__xludf.DUMMYFUNCTION("GOOGLETRANSLATE(B28888,""en"",""de"")"),"Die Frau beobachtet den Mann.")</f>
        <v>Die Frau beobachtet den Mann.</v>
      </c>
    </row>
    <row r="28889">
      <c r="A28889" s="4" t="s">
        <v>36379</v>
      </c>
      <c r="B28889" s="4" t="s">
        <v>36384</v>
      </c>
      <c r="C28889" s="5" t="str">
        <f>IFERROR(__xludf.DUMMYFUNCTION("GOOGLETRANSLATE(B28889,""en"",""de"")"),"Der Mann schaut auf das Dach des Hauses auf der Leiter.")</f>
        <v>Der Mann schaut auf das Dach des Hauses auf der Leiter.</v>
      </c>
    </row>
    <row r="28890">
      <c r="A28890" s="4" t="s">
        <v>36379</v>
      </c>
      <c r="B28890" s="4" t="s">
        <v>36385</v>
      </c>
      <c r="C28890" s="5" t="str">
        <f>IFERROR(__xludf.DUMMYFUNCTION("GOOGLETRANSLATE(B28890,""en"",""de"")"),"Er zeigt ihr etwas und sie hält es in der Hand.")</f>
        <v>Er zeigt ihr etwas und sie hält es in der Hand.</v>
      </c>
    </row>
    <row r="28891">
      <c r="A28891" s="4" t="s">
        <v>36379</v>
      </c>
      <c r="B28891" s="4" t="s">
        <v>36386</v>
      </c>
      <c r="C28891" s="5" t="str">
        <f>IFERROR(__xludf.DUMMYFUNCTION("GOOGLETRANSLATE(B28891,""en"",""de"")"),"Ein Mann spricht vor einem Haus.")</f>
        <v>Ein Mann spricht vor einem Haus.</v>
      </c>
    </row>
    <row r="28892">
      <c r="A28892" s="4" t="s">
        <v>36379</v>
      </c>
      <c r="B28892" s="4" t="s">
        <v>36387</v>
      </c>
      <c r="C28892" s="5" t="str">
        <f>IFERROR(__xludf.DUMMYFUNCTION("GOOGLETRANSLATE(B28892,""en"",""de"")"),"Ein Mann steigt eine Leiter und schaut auf ein Dach.")</f>
        <v>Ein Mann steigt eine Leiter und schaut auf ein Dach.</v>
      </c>
    </row>
    <row r="28893">
      <c r="A28893" s="4" t="s">
        <v>36379</v>
      </c>
      <c r="B28893" s="4" t="s">
        <v>36388</v>
      </c>
      <c r="C28893" s="5" t="str">
        <f>IFERROR(__xludf.DUMMYFUNCTION("GOOGLETRANSLATE(B28893,""en"",""de"")"),"Ein Mann durchläuft einen Stapel Papiere.")</f>
        <v>Ein Mann durchläuft einen Stapel Papiere.</v>
      </c>
    </row>
    <row r="28894">
      <c r="A28894" s="4" t="s">
        <v>36379</v>
      </c>
      <c r="B28894" s="4" t="s">
        <v>36389</v>
      </c>
      <c r="C28894" s="5" t="str">
        <f>IFERROR(__xludf.DUMMYFUNCTION("GOOGLETRANSLATE(B28894,""en"",""de"")"),"Es zeigt die Papiere auf dem Bildschirm.")</f>
        <v>Es zeigt die Papiere auf dem Bildschirm.</v>
      </c>
    </row>
    <row r="28895">
      <c r="A28895" s="4" t="s">
        <v>36390</v>
      </c>
      <c r="B28895" s="4" t="s">
        <v>36391</v>
      </c>
      <c r="C28895" s="5" t="str">
        <f>IFERROR(__xludf.DUMMYFUNCTION("GOOGLETRANSLATE(B28895,""en"",""de"")"),"Ein Turner steht vor, bevor ein Strahl ihre Arme hochzieht und andere nebenbei beobachten.")</f>
        <v>Ein Turner steht vor, bevor ein Strahl ihre Arme hochzieht und andere nebenbei beobachten.</v>
      </c>
    </row>
    <row r="28896">
      <c r="A28896" s="4" t="s">
        <v>36390</v>
      </c>
      <c r="B28896" s="4" t="s">
        <v>36392</v>
      </c>
      <c r="C28896" s="5" t="str">
        <f>IFERROR(__xludf.DUMMYFUNCTION("GOOGLETRANSLATE(B28896,""en"",""de"")"),"Die Frau führt dann eine Turner -Routine vor einer großen Gruppe von Menschen durch.")</f>
        <v>Die Frau führt dann eine Turner -Routine vor einer großen Gruppe von Menschen durch.</v>
      </c>
    </row>
    <row r="28897">
      <c r="A28897" s="4" t="s">
        <v>36390</v>
      </c>
      <c r="B28897" s="4" t="s">
        <v>36393</v>
      </c>
      <c r="C28897" s="5" t="str">
        <f>IFERROR(__xludf.DUMMYFUNCTION("GOOGLETRANSLATE(B28897,""en"",""de"")"),"Sie fällt an einem Punkt ab und springt zurück, um ihre Routine zu beenden und endet, indem sie von der Seite springt.")</f>
        <v>Sie fällt an einem Punkt ab und springt zurück, um ihre Routine zu beenden und endet, indem sie von der Seite springt.</v>
      </c>
    </row>
    <row r="28898">
      <c r="A28898" s="4" t="s">
        <v>36394</v>
      </c>
      <c r="B28898" s="4" t="s">
        <v>36395</v>
      </c>
      <c r="C28898" s="5" t="str">
        <f>IFERROR(__xludf.DUMMYFUNCTION("GOOGLETRANSLATE(B28898,""en"",""de"")"),"Ein Mann erklärt, wie man auf Bongos Schlagzeug spielt.")</f>
        <v>Ein Mann erklärt, wie man auf Bongos Schlagzeug spielt.</v>
      </c>
    </row>
    <row r="28899">
      <c r="A28899" s="4" t="s">
        <v>36394</v>
      </c>
      <c r="B28899" s="4" t="s">
        <v>36396</v>
      </c>
      <c r="C28899" s="5" t="str">
        <f>IFERROR(__xludf.DUMMYFUNCTION("GOOGLETRANSLATE(B28899,""en"",""de"")"),"Er zeigt, wie er zwischen drei Bongos wechselt.")</f>
        <v>Er zeigt, wie er zwischen drei Bongos wechselt.</v>
      </c>
    </row>
    <row r="28900">
      <c r="A28900" s="4" t="s">
        <v>36394</v>
      </c>
      <c r="B28900" s="4" t="s">
        <v>36397</v>
      </c>
      <c r="C28900" s="5" t="str">
        <f>IFERROR(__xludf.DUMMYFUNCTION("GOOGLETRANSLATE(B28900,""en"",""de"")"),"Später wechselt er zu einem viel langsameren Beat und Rhythmus, indem er auf den Bongos trommelt.")</f>
        <v>Später wechselt er zu einem viel langsameren Beat und Rhythmus, indem er auf den Bongos trommelt.</v>
      </c>
    </row>
    <row r="28901">
      <c r="A28901" s="4" t="s">
        <v>36394</v>
      </c>
      <c r="B28901" s="4" t="s">
        <v>36398</v>
      </c>
      <c r="C28901" s="5" t="str">
        <f>IFERROR(__xludf.DUMMYFUNCTION("GOOGLETRANSLATE(B28901,""en"",""de"")"),"Er erklärt, wie sich die Schläge der Drum ändert, wenn sich der Rhythmus ändert.")</f>
        <v>Er erklärt, wie sich die Schläge der Drum ändert, wenn sich der Rhythmus ändert.</v>
      </c>
    </row>
    <row r="28902">
      <c r="A28902" s="4" t="s">
        <v>36394</v>
      </c>
      <c r="B28902" s="4" t="s">
        <v>36399</v>
      </c>
      <c r="C28902" s="5" t="str">
        <f>IFERROR(__xludf.DUMMYFUNCTION("GOOGLETRANSLATE(B28902,""en"",""de"")"),"Dann wechselt er zu einem schnelleren Beat und Rhythmus am Schlagzeug, indem er zwischen zwei Trommeln abwechselte.")</f>
        <v>Dann wechselt er zu einem schnelleren Beat und Rhythmus am Schlagzeug, indem er zwischen zwei Trommeln abwechselte.</v>
      </c>
    </row>
    <row r="28903">
      <c r="A28903" s="4" t="s">
        <v>36400</v>
      </c>
      <c r="B28903" s="4" t="s">
        <v>36401</v>
      </c>
      <c r="C28903" s="5" t="str">
        <f>IFERROR(__xludf.DUMMYFUNCTION("GOOGLETRANSLATE(B28903,""en"",""de"")"),"Eine Frau steht am Ende eines Tauchbretts.")</f>
        <v>Eine Frau steht am Ende eines Tauchbretts.</v>
      </c>
    </row>
    <row r="28904">
      <c r="A28904" s="4" t="s">
        <v>36400</v>
      </c>
      <c r="B28904" s="4" t="s">
        <v>36402</v>
      </c>
      <c r="C28904" s="5" t="str">
        <f>IFERROR(__xludf.DUMMYFUNCTION("GOOGLETRANSLATE(B28904,""en"",""de"")"),"Sie springt leicht auf und ab.")</f>
        <v>Sie springt leicht auf und ab.</v>
      </c>
    </row>
    <row r="28905">
      <c r="A28905" s="4" t="s">
        <v>36400</v>
      </c>
      <c r="B28905" s="4" t="s">
        <v>36403</v>
      </c>
      <c r="C28905" s="5" t="str">
        <f>IFERROR(__xludf.DUMMYFUNCTION("GOOGLETRANSLATE(B28905,""en"",""de"")"),"Sie macht dann einen Rückfluss ins Wasser.")</f>
        <v>Sie macht dann einen Rückfluss ins Wasser.</v>
      </c>
    </row>
    <row r="28906">
      <c r="A28906" s="4" t="s">
        <v>36404</v>
      </c>
      <c r="B28906" s="4" t="s">
        <v>36405</v>
      </c>
      <c r="C28906" s="5" t="str">
        <f>IFERROR(__xludf.DUMMYFUNCTION("GOOGLETRANSLATE(B28906,""en"",""de"")"),"Eine Gruppe von Frauen wird in einem Raum versammelt und dann an den Strand geht.")</f>
        <v>Eine Gruppe von Frauen wird in einem Raum versammelt und dann an den Strand geht.</v>
      </c>
    </row>
    <row r="28907">
      <c r="A28907" s="4" t="s">
        <v>36404</v>
      </c>
      <c r="B28907" s="4" t="s">
        <v>36406</v>
      </c>
      <c r="C28907" s="5" t="str">
        <f>IFERROR(__xludf.DUMMYFUNCTION("GOOGLETRANSLATE(B28907,""en"",""de"")"),"Eine Frau fotografiert die anderen unter dem Pier.")</f>
        <v>Eine Frau fotografiert die anderen unter dem Pier.</v>
      </c>
    </row>
    <row r="28908">
      <c r="A28908" s="4" t="s">
        <v>36404</v>
      </c>
      <c r="B28908" s="4" t="s">
        <v>36407</v>
      </c>
      <c r="C28908" s="5" t="str">
        <f>IFERROR(__xludf.DUMMYFUNCTION("GOOGLETRANSLATE(B28908,""en"",""de"")"),"Sie sprechen mit der Kamera zwischen Shootings.")</f>
        <v>Sie sprechen mit der Kamera zwischen Shootings.</v>
      </c>
    </row>
    <row r="28909">
      <c r="A28909" s="4" t="s">
        <v>36408</v>
      </c>
      <c r="B28909" s="4" t="s">
        <v>36409</v>
      </c>
      <c r="C28909" s="5" t="str">
        <f>IFERROR(__xludf.DUMMYFUNCTION("GOOGLETRANSLATE(B28909,""en"",""de"")"),"Ein Mann nimmt sich einen Moment Zeit, bevor er anfängt, Gitarre zu spielen.")</f>
        <v>Ein Mann nimmt sich einen Moment Zeit, bevor er anfängt, Gitarre zu spielen.</v>
      </c>
    </row>
    <row r="28910">
      <c r="A28910" s="4" t="s">
        <v>36408</v>
      </c>
      <c r="B28910" s="4" t="s">
        <v>36410</v>
      </c>
      <c r="C28910" s="5" t="str">
        <f>IFERROR(__xludf.DUMMYFUNCTION("GOOGLETRANSLATE(B28910,""en"",""de"")"),"Der Mann spielt Gitarre.")</f>
        <v>Der Mann spielt Gitarre.</v>
      </c>
    </row>
    <row r="28911">
      <c r="A28911" s="4" t="s">
        <v>36408</v>
      </c>
      <c r="B28911" s="4" t="s">
        <v>36411</v>
      </c>
      <c r="C28911" s="5" t="str">
        <f>IFERROR(__xludf.DUMMYFUNCTION("GOOGLETRANSLATE(B28911,""en"",""de"")"),"Der Mann beendet Gitarre.")</f>
        <v>Der Mann beendet Gitarre.</v>
      </c>
    </row>
    <row r="28912">
      <c r="A28912" s="4" t="s">
        <v>36412</v>
      </c>
      <c r="B28912" s="4" t="s">
        <v>36413</v>
      </c>
      <c r="C28912" s="5" t="str">
        <f>IFERROR(__xludf.DUMMYFUNCTION("GOOGLETRANSLATE(B28912,""en"",""de"")"),"Zwei Leute spielen ein Tischtenstück.")</f>
        <v>Zwei Leute spielen ein Tischtenstück.</v>
      </c>
    </row>
    <row r="28913">
      <c r="A28913" s="4" t="s">
        <v>36412</v>
      </c>
      <c r="B28913" s="4" t="s">
        <v>36414</v>
      </c>
      <c r="C28913" s="5" t="str">
        <f>IFERROR(__xludf.DUMMYFUNCTION("GOOGLETRANSLATE(B28913,""en"",""de"")"),"Die Leute spielen hinter ihnen Basketball.")</f>
        <v>Die Leute spielen hinter ihnen Basketball.</v>
      </c>
    </row>
    <row r="28914">
      <c r="A28914" s="4" t="s">
        <v>36412</v>
      </c>
      <c r="B28914" s="4" t="s">
        <v>36415</v>
      </c>
      <c r="C28914" s="5" t="str">
        <f>IFERROR(__xludf.DUMMYFUNCTION("GOOGLETRANSLATE(B28914,""en"",""de"")"),"Der Mann packt den Ball wieder und serviert ihn über den Tisch.")</f>
        <v>Der Mann packt den Ball wieder und serviert ihn über den Tisch.</v>
      </c>
    </row>
    <row r="28915">
      <c r="A28915" s="4" t="s">
        <v>36412</v>
      </c>
      <c r="B28915" s="4" t="s">
        <v>36416</v>
      </c>
      <c r="C28915" s="5" t="str">
        <f>IFERROR(__xludf.DUMMYFUNCTION("GOOGLETRANSLATE(B28915,""en"",""de"")"),"Der Mann hält ein Telefon und macht ein Foto mit dem Mädchen.")</f>
        <v>Der Mann hält ein Telefon und macht ein Foto mit dem Mädchen.</v>
      </c>
    </row>
    <row r="28916">
      <c r="A28916" s="4" t="s">
        <v>36417</v>
      </c>
      <c r="B28916" s="4" t="s">
        <v>36418</v>
      </c>
      <c r="C28916" s="5" t="str">
        <f>IFERROR(__xludf.DUMMYFUNCTION("GOOGLETRANSLATE(B28916,""en"",""de"")"),"Eine ältere Frau in einer Nackenstütze schreit in der Kamera in einem Lebensmittelgeschäft.")</f>
        <v>Eine ältere Frau in einer Nackenstütze schreit in der Kamera in einem Lebensmittelgeschäft.</v>
      </c>
    </row>
    <row r="28917">
      <c r="A28917" s="4" t="s">
        <v>36417</v>
      </c>
      <c r="B28917" s="4" t="s">
        <v>36419</v>
      </c>
      <c r="C28917" s="5" t="str">
        <f>IFERROR(__xludf.DUMMYFUNCTION("GOOGLETRANSLATE(B28917,""en"",""de"")"),"Die Dame sehnt den Boden im Laden.")</f>
        <v>Die Dame sehnt den Boden im Laden.</v>
      </c>
    </row>
    <row r="28918">
      <c r="A28918" s="4" t="s">
        <v>36417</v>
      </c>
      <c r="B28918" s="4" t="s">
        <v>36420</v>
      </c>
      <c r="C28918" s="5" t="str">
        <f>IFERROR(__xludf.DUMMYFUNCTION("GOOGLETRANSLATE(B28918,""en"",""de"")"),"Die Lady tanzt zur Musik und gibt vor, eine Gitarre zu spielen.")</f>
        <v>Die Lady tanzt zur Musik und gibt vor, eine Gitarre zu spielen.</v>
      </c>
    </row>
    <row r="28919">
      <c r="A28919" s="4" t="s">
        <v>36417</v>
      </c>
      <c r="B28919" s="4" t="s">
        <v>36421</v>
      </c>
      <c r="C28919" s="5" t="str">
        <f>IFERROR(__xludf.DUMMYFUNCTION("GOOGLETRANSLATE(B28919,""en"",""de"")"),"Die Dame nimmt ihre Sonnenbrille ab und spricht mit der Kamera.")</f>
        <v>Die Dame nimmt ihre Sonnenbrille ab und spricht mit der Kamera.</v>
      </c>
    </row>
    <row r="28920">
      <c r="A28920" s="4" t="s">
        <v>36417</v>
      </c>
      <c r="B28920" s="4" t="s">
        <v>36422</v>
      </c>
      <c r="C28920" s="5" t="str">
        <f>IFERROR(__xludf.DUMMYFUNCTION("GOOGLETRANSLATE(B28920,""en"",""de"")"),"Wir sehen sie am Gang stehen sehen.")</f>
        <v>Wir sehen sie am Gang stehen sehen.</v>
      </c>
    </row>
    <row r="28921">
      <c r="A28921" s="4" t="s">
        <v>36423</v>
      </c>
      <c r="B28921" s="4" t="s">
        <v>36424</v>
      </c>
      <c r="C28921" s="5" t="str">
        <f>IFERROR(__xludf.DUMMYFUNCTION("GOOGLETRANSLATE(B28921,""en"",""de"")"),"Es gibt eine Gruppe koreanischer Popsänger, die auf einer Bühne auftreten.")</f>
        <v>Es gibt eine Gruppe koreanischer Popsänger, die auf einer Bühne auftreten.</v>
      </c>
    </row>
    <row r="28922">
      <c r="A28922" s="4" t="s">
        <v>36423</v>
      </c>
      <c r="B28922" s="4" t="s">
        <v>36425</v>
      </c>
      <c r="C28922" s="5" t="str">
        <f>IFERROR(__xludf.DUMMYFUNCTION("GOOGLETRANSLATE(B28922,""en"",""de"")"),"Einer der Sänger spielt die Geige, während das Publikum für ihn jubelt und klatscht.")</f>
        <v>Einer der Sänger spielt die Geige, während das Publikum für ihn jubelt und klatscht.</v>
      </c>
    </row>
    <row r="28923">
      <c r="A28923" s="4" t="s">
        <v>36423</v>
      </c>
      <c r="B28923" s="4" t="s">
        <v>36426</v>
      </c>
      <c r="C28923" s="5" t="str">
        <f>IFERROR(__xludf.DUMMYFUNCTION("GOOGLETRANSLATE(B28923,""en"",""de"")"),"Dann packt ein anderer Sänger das Mikrofon und spricht mit dem Publikum.")</f>
        <v>Dann packt ein anderer Sänger das Mikrofon und spricht mit dem Publikum.</v>
      </c>
    </row>
    <row r="28924">
      <c r="A28924" s="4" t="s">
        <v>36423</v>
      </c>
      <c r="B28924" s="4" t="s">
        <v>36427</v>
      </c>
      <c r="C28924" s="5" t="str">
        <f>IFERROR(__xludf.DUMMYFUNCTION("GOOGLETRANSLATE(B28924,""en"",""de"")"),"Das Publikum applaudiert und lächelt, wie sie zuschauen.")</f>
        <v>Das Publikum applaudiert und lächelt, wie sie zuschauen.</v>
      </c>
    </row>
    <row r="28925">
      <c r="A28925" s="4" t="s">
        <v>36423</v>
      </c>
      <c r="B28925" s="4" t="s">
        <v>36428</v>
      </c>
      <c r="C28925" s="5" t="str">
        <f>IFERROR(__xludf.DUMMYFUNCTION("GOOGLETRANSLATE(B28925,""en"",""de"")"),"Der Darsteller singt, als er die Geige spielt und sich dann vor dem Publikum niederschlägt.")</f>
        <v>Der Darsteller singt, als er die Geige spielt und sich dann vor dem Publikum niederschlägt.</v>
      </c>
    </row>
    <row r="28926">
      <c r="A28926" s="4" t="s">
        <v>36423</v>
      </c>
      <c r="B28926" s="4" t="s">
        <v>36429</v>
      </c>
      <c r="C28926" s="5" t="str">
        <f>IFERROR(__xludf.DUMMYFUNCTION("GOOGLETRANSLATE(B28926,""en"",""de"")"),"Die Menge jubelt und klatscht für ihn.")</f>
        <v>Die Menge jubelt und klatscht für ihn.</v>
      </c>
    </row>
    <row r="28927">
      <c r="A28927" s="4" t="s">
        <v>36430</v>
      </c>
      <c r="B28927" s="4" t="s">
        <v>36431</v>
      </c>
      <c r="C28927" s="5" t="str">
        <f>IFERROR(__xludf.DUMMYFUNCTION("GOOGLETRANSLATE(B28927,""en"",""de"")"),"Ein Mann steht in einem Fitnessstudio, das sich darauf vorbereitet, eine Reihe von Gewichten auf eine Stange zu heben.")</f>
        <v>Ein Mann steht in einem Fitnessstudio, das sich darauf vorbereitet, eine Reihe von Gewichten auf eine Stange zu heben.</v>
      </c>
    </row>
    <row r="28928">
      <c r="A28928" s="4" t="s">
        <v>36430</v>
      </c>
      <c r="B28928" s="4" t="s">
        <v>36432</v>
      </c>
      <c r="C28928" s="5" t="str">
        <f>IFERROR(__xludf.DUMMYFUNCTION("GOOGLETRANSLATE(B28928,""en"",""de"")"),"Als nächstes blitzt der Bildschirm zu einem jüngeren männlichen Ruck und lässt dann die Stange auf den Boden fallen.")</f>
        <v>Als nächstes blitzt der Bildschirm zu einem jüngeren männlichen Ruck und lässt dann die Stange auf den Boden fallen.</v>
      </c>
    </row>
    <row r="28929">
      <c r="A28929" s="4" t="s">
        <v>36430</v>
      </c>
      <c r="B28929" s="4" t="s">
        <v>36433</v>
      </c>
      <c r="C28929" s="5" t="str">
        <f>IFERROR(__xludf.DUMMYFUNCTION("GOOGLETRANSLATE(B28929,""en"",""de"")"),"Einige weitere Menschen werden gezeigt, wie sie Gewichte heben und sie auf den Boden fallen lassen.")</f>
        <v>Einige weitere Menschen werden gezeigt, wie sie Gewichte heben und sie auf den Boden fallen lassen.</v>
      </c>
    </row>
    <row r="28930">
      <c r="A28930" s="4" t="s">
        <v>36430</v>
      </c>
      <c r="B28930" s="4" t="s">
        <v>36434</v>
      </c>
      <c r="C28930" s="5" t="str">
        <f>IFERROR(__xludf.DUMMYFUNCTION("GOOGLETRANSLATE(B28930,""en"",""de"")"),"Der Mann beginnt zu tanzen, während er die Stange hebt und fallen lässt und die Fortsetzung des Gewichthebens wiederholt.")</f>
        <v>Der Mann beginnt zu tanzen, während er die Stange hebt und fallen lässt und die Fortsetzung des Gewichthebens wiederholt.</v>
      </c>
    </row>
    <row r="28931">
      <c r="A28931" s="4" t="s">
        <v>36430</v>
      </c>
      <c r="B28931" s="4" t="s">
        <v>36435</v>
      </c>
      <c r="C28931" s="5" t="str">
        <f>IFERROR(__xludf.DUMMYFUNCTION("GOOGLETRANSLATE(B28931,""en"",""de"")"),"Danach gehen die Männer weiter im Fitnessstudio herum und essen eine Proteinbar.")</f>
        <v>Danach gehen die Männer weiter im Fitnessstudio herum und essen eine Proteinbar.</v>
      </c>
    </row>
    <row r="28932">
      <c r="A28932" s="4" t="s">
        <v>36436</v>
      </c>
      <c r="B28932" s="4" t="s">
        <v>36437</v>
      </c>
      <c r="C28932" s="5" t="str">
        <f>IFERROR(__xludf.DUMMYFUNCTION("GOOGLETRANSLATE(B28932,""en"",""de"")"),"Eine Person zielt in der Ferne in einem großen Feld eine Paintballpistole aus.")</f>
        <v>Eine Person zielt in der Ferne in einem großen Feld eine Paintballpistole aus.</v>
      </c>
    </row>
    <row r="28933">
      <c r="A28933" s="4" t="s">
        <v>36436</v>
      </c>
      <c r="B28933" s="4" t="s">
        <v>36438</v>
      </c>
      <c r="C28933" s="5" t="str">
        <f>IFERROR(__xludf.DUMMYFUNCTION("GOOGLETRANSLATE(B28933,""en"",""de"")"),"Viele Leute beobachten nebenbei, wie der Mann zielt.")</f>
        <v>Viele Leute beobachten nebenbei, wie der Mann zielt.</v>
      </c>
    </row>
    <row r="28934">
      <c r="A28934" s="4" t="s">
        <v>36436</v>
      </c>
      <c r="B28934" s="4" t="s">
        <v>36439</v>
      </c>
      <c r="C28934" s="5" t="str">
        <f>IFERROR(__xludf.DUMMYFUNCTION("GOOGLETRANSLATE(B28934,""en"",""de"")"),"Plötzlich kommt eine andere Person in einen Rahmen und spielt mit dem Mann.")</f>
        <v>Plötzlich kommt eine andere Person in einen Rahmen und spielt mit dem Mann.</v>
      </c>
    </row>
    <row r="28935">
      <c r="A28935" s="4" t="s">
        <v>36440</v>
      </c>
      <c r="B28935" s="4" t="s">
        <v>36441</v>
      </c>
      <c r="C28935" s="5" t="str">
        <f>IFERROR(__xludf.DUMMYFUNCTION("GOOGLETRANSLATE(B28935,""en"",""de"")"),"Ein Junge nimmt einen Rechen vom Boden und trägt ihn.")</f>
        <v>Ein Junge nimmt einen Rechen vom Boden und trägt ihn.</v>
      </c>
    </row>
    <row r="28936">
      <c r="A28936" s="4" t="s">
        <v>36440</v>
      </c>
      <c r="B28936" s="4" t="s">
        <v>36442</v>
      </c>
      <c r="C28936" s="5" t="str">
        <f>IFERROR(__xludf.DUMMYFUNCTION("GOOGLETRANSLATE(B28936,""en"",""de"")"),"Ein Mann fährt mit einem blauen Helm eine Rutsche hinunter.")</f>
        <v>Ein Mann fährt mit einem blauen Helm eine Rutsche hinunter.</v>
      </c>
    </row>
    <row r="28937">
      <c r="A28937" s="4" t="s">
        <v>36440</v>
      </c>
      <c r="B28937" s="4" t="s">
        <v>36443</v>
      </c>
      <c r="C28937" s="5" t="str">
        <f>IFERROR(__xludf.DUMMYFUNCTION("GOOGLETRANSLATE(B28937,""en"",""de"")"),"Er fällt auf den Boden, nachdem er die Rutsche hinuntergegangen ist.")</f>
        <v>Er fällt auf den Boden, nachdem er die Rutsche hinuntergegangen ist.</v>
      </c>
    </row>
    <row r="28938">
      <c r="A28938" s="4" t="s">
        <v>36444</v>
      </c>
      <c r="B28938" s="4" t="s">
        <v>36445</v>
      </c>
      <c r="C28938" s="5" t="str">
        <f>IFERROR(__xludf.DUMMYFUNCTION("GOOGLETRANSLATE(B28938,""en"",""de"")"),"Eine kleine Gruppe von Mädchen steht im Stehen bereit und führt in sie eine Routine.")</f>
        <v>Eine kleine Gruppe von Mädchen steht im Stehen bereit und führt in sie eine Routine.</v>
      </c>
    </row>
    <row r="28939">
      <c r="A28939" s="4" t="s">
        <v>36444</v>
      </c>
      <c r="B28939" s="4" t="s">
        <v>36446</v>
      </c>
      <c r="C28939" s="5" t="str">
        <f>IFERROR(__xludf.DUMMYFUNCTION("GOOGLETRANSLATE(B28939,""en"",""de"")"),"Ein Mann sitzt vor ihnen und spielt ein Instrument, während sie sich weiter drehen und viele an den Seiten zuschauen.")</f>
        <v>Ein Mann sitzt vor ihnen und spielt ein Instrument, während sie sich weiter drehen und viele an den Seiten zuschauen.</v>
      </c>
    </row>
    <row r="28940">
      <c r="A28940" s="4" t="s">
        <v>36447</v>
      </c>
      <c r="B28940" s="4" t="s">
        <v>36448</v>
      </c>
      <c r="C28940" s="5" t="str">
        <f>IFERROR(__xludf.DUMMYFUNCTION("GOOGLETRANSLATE(B28940,""en"",""de"")"),"Ein Spieler im Orange -Team schlägt mit dem Puck, bis er stolpert und fällt.")</f>
        <v>Ein Spieler im Orange -Team schlägt mit dem Puck, bis er stolpert und fällt.</v>
      </c>
    </row>
    <row r="28941">
      <c r="A28941" s="4" t="s">
        <v>36447</v>
      </c>
      <c r="B28941" s="4" t="s">
        <v>36449</v>
      </c>
      <c r="C28941" s="5" t="str">
        <f>IFERROR(__xludf.DUMMYFUNCTION("GOOGLETRANSLATE(B28941,""en"",""de"")"),"Spieler 18 im Grey -Team holt den Puck ab und lässt das Eis durch die Verteidiger durchlaufen.")</f>
        <v>Spieler 18 im Grey -Team holt den Puck ab und lässt das Eis durch die Verteidiger durchlaufen.</v>
      </c>
    </row>
    <row r="28942">
      <c r="A28942" s="4" t="s">
        <v>36447</v>
      </c>
      <c r="B28942" s="4" t="s">
        <v>36450</v>
      </c>
      <c r="C28942" s="5" t="str">
        <f>IFERROR(__xludf.DUMMYFUNCTION("GOOGLETRANSLATE(B28942,""en"",""de"")"),"Spieler 18 macht einen Schuss auf das Tor.")</f>
        <v>Spieler 18 macht einen Schuss auf das Tor.</v>
      </c>
    </row>
    <row r="28943">
      <c r="A28943" s="4" t="s">
        <v>36447</v>
      </c>
      <c r="B28943" s="4" t="s">
        <v>36451</v>
      </c>
      <c r="C28943" s="5" t="str">
        <f>IFERROR(__xludf.DUMMYFUNCTION("GOOGLETRANSLATE(B28943,""en"",""de"")"),"Der Torwart im Orange -Team blockiert den Schuss und bringt den Puck wieder ins Spiel.")</f>
        <v>Der Torwart im Orange -Team blockiert den Schuss und bringt den Puck wieder ins Spiel.</v>
      </c>
    </row>
    <row r="28944">
      <c r="A28944" s="4" t="s">
        <v>36447</v>
      </c>
      <c r="B28944" s="4" t="s">
        <v>36452</v>
      </c>
      <c r="C28944" s="5" t="str">
        <f>IFERROR(__xludf.DUMMYFUNCTION("GOOGLETRANSLATE(B28944,""en"",""de"")"),"Spieler 4 im Orange -Team nimmt den Puck das Eis, das einmal an sich selbst passt, die Verteidiger.")</f>
        <v>Spieler 4 im Orange -Team nimmt den Puck das Eis, das einmal an sich selbst passt, die Verteidiger.</v>
      </c>
    </row>
    <row r="28945">
      <c r="A28945" s="4" t="s">
        <v>36447</v>
      </c>
      <c r="B28945" s="4" t="s">
        <v>36453</v>
      </c>
      <c r="C28945" s="5" t="str">
        <f>IFERROR(__xludf.DUMMYFUNCTION("GOOGLETRANSLATE(B28945,""en"",""de"")"),"Spieler 4 macht einen Schuss auf das Tor und zeichnet.")</f>
        <v>Spieler 4 macht einen Schuss auf das Tor und zeichnet.</v>
      </c>
    </row>
    <row r="28946">
      <c r="A28946" s="4" t="s">
        <v>36447</v>
      </c>
      <c r="B28946" s="4" t="s">
        <v>36454</v>
      </c>
      <c r="C28946" s="5" t="str">
        <f>IFERROR(__xludf.DUMMYFUNCTION("GOOGLETRANSLATE(B28946,""en"",""de"")"),"Spieler 4 und Teamkollegen feiern und den Sieg und skaten vom Eis.")</f>
        <v>Spieler 4 und Teamkollegen feiern und den Sieg und skaten vom Eis.</v>
      </c>
    </row>
    <row r="28947">
      <c r="A28947" s="4" t="s">
        <v>36455</v>
      </c>
      <c r="B28947" s="4" t="s">
        <v>36456</v>
      </c>
      <c r="C28947" s="5" t="str">
        <f>IFERROR(__xludf.DUMMYFUNCTION("GOOGLETRANSLATE(B28947,""en"",""de"")"),"Ein sitzender Mann reinigt einen Schuh in einem Klassenzimmer mit anderen Personen.")</f>
        <v>Ein sitzender Mann reinigt einen Schuh in einem Klassenzimmer mit anderen Personen.</v>
      </c>
    </row>
    <row r="28948">
      <c r="A28948" s="4" t="s">
        <v>36455</v>
      </c>
      <c r="B28948" s="4" t="s">
        <v>36457</v>
      </c>
      <c r="C28948" s="5" t="str">
        <f>IFERROR(__xludf.DUMMYFUNCTION("GOOGLETRANSLATE(B28948,""en"",""de"")"),"Der Mann dreht sich in die Kamera und lächelt.")</f>
        <v>Der Mann dreht sich in die Kamera und lächelt.</v>
      </c>
    </row>
    <row r="28949">
      <c r="A28949" s="4" t="s">
        <v>36455</v>
      </c>
      <c r="B28949" s="4" t="s">
        <v>36458</v>
      </c>
      <c r="C28949" s="5" t="str">
        <f>IFERROR(__xludf.DUMMYFUNCTION("GOOGLETRANSLATE(B28949,""en"",""de"")"),"Der Mann lacht, als er den Schuh nach unten hält.")</f>
        <v>Der Mann lacht, als er den Schuh nach unten hält.</v>
      </c>
    </row>
    <row r="28950">
      <c r="A28950" s="4" t="s">
        <v>36459</v>
      </c>
      <c r="B28950" s="4" t="s">
        <v>36460</v>
      </c>
      <c r="C28950" s="5" t="str">
        <f>IFERROR(__xludf.DUMMYFUNCTION("GOOGLETRANSLATE(B28950,""en"",""de"")"),"Wir sehen Flöße und Menschen in einem Gebäude.")</f>
        <v>Wir sehen Flöße und Menschen in einem Gebäude.</v>
      </c>
    </row>
    <row r="28951">
      <c r="A28951" s="4" t="s">
        <v>36459</v>
      </c>
      <c r="B28951" s="4" t="s">
        <v>36461</v>
      </c>
      <c r="C28951" s="5" t="str">
        <f>IFERROR(__xludf.DUMMYFUNCTION("GOOGLETRANSLATE(B28951,""en"",""de"")"),"People steigen in einen Bus und Ausfahrt in einem Wasserpark.")</f>
        <v>People steigen in einen Bus und Ausfahrt in einem Wasserpark.</v>
      </c>
    </row>
    <row r="28952">
      <c r="A28952" s="4" t="s">
        <v>36459</v>
      </c>
      <c r="B28952" s="4" t="s">
        <v>36462</v>
      </c>
      <c r="C28952" s="5" t="str">
        <f>IFERROR(__xludf.DUMMYFUNCTION("GOOGLETRANSLATE(B28952,""en"",""de"")"),"Die Leute greifen nach Flößen, und die Leute auf Flößen füllen einen Fluss.")</f>
        <v>Die Leute greifen nach Flößen, und die Leute auf Flößen füllen einen Fluss.</v>
      </c>
    </row>
    <row r="28953">
      <c r="A28953" s="4" t="s">
        <v>36459</v>
      </c>
      <c r="B28953" s="4" t="s">
        <v>36463</v>
      </c>
      <c r="C28953" s="5" t="str">
        <f>IFERROR(__xludf.DUMMYFUNCTION("GOOGLETRANSLATE(B28953,""en"",""de"")"),"Wir sehen einen künstlichen Wasserfall und Menschen, die durch ihn rutschen.")</f>
        <v>Wir sehen einen künstlichen Wasserfall und Menschen, die durch ihn rutschen.</v>
      </c>
    </row>
    <row r="28954">
      <c r="A28954" s="4" t="s">
        <v>36459</v>
      </c>
      <c r="B28954" s="4" t="s">
        <v>36464</v>
      </c>
      <c r="C28954" s="5" t="str">
        <f>IFERROR(__xludf.DUMMYFUNCTION("GOOGLETRANSLATE(B28954,""en"",""de"")"),"Eine Person fällt aus ihrem Floß.")</f>
        <v>Eine Person fällt aus ihrem Floß.</v>
      </c>
    </row>
    <row r="28955">
      <c r="A28955" s="4" t="s">
        <v>36459</v>
      </c>
      <c r="B28955" s="4" t="s">
        <v>36465</v>
      </c>
      <c r="C28955" s="5" t="str">
        <f>IFERROR(__xludf.DUMMYFUNCTION("GOOGLETRANSLATE(B28955,""en"",""de"")"),"Ein Mann, der einen Selfie -Stock hält, fährt ein Floß.")</f>
        <v>Ein Mann, der einen Selfie -Stock hält, fährt ein Floß.</v>
      </c>
    </row>
    <row r="28956">
      <c r="A28956" s="4" t="s">
        <v>36459</v>
      </c>
      <c r="B28956" s="4" t="s">
        <v>36466</v>
      </c>
      <c r="C28956" s="5" t="str">
        <f>IFERROR(__xludf.DUMMYFUNCTION("GOOGLETRANSLATE(B28956,""en"",""de"")"),"Ein anderer Mann hält einen Selfie -Stock.")</f>
        <v>Ein anderer Mann hält einen Selfie -Stock.</v>
      </c>
    </row>
    <row r="28957">
      <c r="A28957" s="4" t="s">
        <v>36459</v>
      </c>
      <c r="B28957" s="4" t="s">
        <v>36467</v>
      </c>
      <c r="C28957" s="5" t="str">
        <f>IFERROR(__xludf.DUMMYFUNCTION("GOOGLETRANSLATE(B28957,""en"",""de"")"),"Wir sehen die Telefonnummer und Credits für das Video.")</f>
        <v>Wir sehen die Telefonnummer und Credits für das Video.</v>
      </c>
    </row>
    <row r="28958">
      <c r="A28958" s="4" t="s">
        <v>36468</v>
      </c>
      <c r="B28958" s="4" t="s">
        <v>36469</v>
      </c>
      <c r="C28958" s="5" t="str">
        <f>IFERROR(__xludf.DUMMYFUNCTION("GOOGLETRANSLATE(B28958,""en"",""de"")"),"Eine kleine Gruppe von Menschen steht draußen, wobei einer die Augen verbunden ist und eine Fledermaus hält.")</f>
        <v>Eine kleine Gruppe von Menschen steht draußen, wobei einer die Augen verbunden ist und eine Fledermaus hält.</v>
      </c>
    </row>
    <row r="28959">
      <c r="A28959" s="4" t="s">
        <v>36468</v>
      </c>
      <c r="B28959" s="4" t="s">
        <v>36470</v>
      </c>
      <c r="C28959" s="5" t="str">
        <f>IFERROR(__xludf.DUMMYFUNCTION("GOOGLETRANSLATE(B28959,""en"",""de"")"),"Eine Person zieht dann eine Pinata hoch und beginnt am Objekt am Objekt zu schwingen.")</f>
        <v>Eine Person zieht dann eine Pinata hoch und beginnt am Objekt am Objekt zu schwingen.</v>
      </c>
    </row>
    <row r="28960">
      <c r="A28960" s="4" t="s">
        <v>36468</v>
      </c>
      <c r="B28960" s="4" t="s">
        <v>36471</v>
      </c>
      <c r="C28960" s="5" t="str">
        <f>IFERROR(__xludf.DUMMYFUNCTION("GOOGLETRANSLATE(B28960,""en"",""de"")"),"Der Junge bewegt seine Hände herum und schwingt weiter auf das Objekt.")</f>
        <v>Der Junge bewegt seine Hände herum und schwingt weiter auf das Objekt.</v>
      </c>
    </row>
    <row r="28961">
      <c r="A28961" s="4" t="s">
        <v>36472</v>
      </c>
      <c r="B28961" s="4" t="s">
        <v>36473</v>
      </c>
      <c r="C28961" s="5" t="str">
        <f>IFERROR(__xludf.DUMMYFUNCTION("GOOGLETRANSLATE(B28961,""en"",""de"")"),"Die Menschen versammeln sich in einer Reiseanlage im Dessert.")</f>
        <v>Die Menschen versammeln sich in einer Reiseanlage im Dessert.</v>
      </c>
    </row>
    <row r="28962">
      <c r="A28962" s="4" t="s">
        <v>36472</v>
      </c>
      <c r="B28962" s="4" t="s">
        <v>36474</v>
      </c>
      <c r="C28962" s="5" t="str">
        <f>IFERROR(__xludf.DUMMYFUNCTION("GOOGLETRANSLATE(B28962,""en"",""de"")"),"Dann reiten Leute Kamele, die von Männern gezogen wurden.")</f>
        <v>Dann reiten Leute Kamele, die von Männern gezogen wurden.</v>
      </c>
    </row>
    <row r="28963">
      <c r="A28963" s="4" t="s">
        <v>36472</v>
      </c>
      <c r="B28963" s="4" t="s">
        <v>36475</v>
      </c>
      <c r="C28963" s="5" t="str">
        <f>IFERROR(__xludf.DUMMYFUNCTION("GOOGLETRANSLATE(B28963,""en"",""de"")"),"Der Karawane in der Wüste voran, während die Kamele in der Schlange gehen.")</f>
        <v>Der Karawane in der Wüste voran, während die Kamele in der Schlange gehen.</v>
      </c>
    </row>
    <row r="28964">
      <c r="A28964" s="4" t="s">
        <v>36472</v>
      </c>
      <c r="B28964" s="4" t="s">
        <v>36476</v>
      </c>
      <c r="C28964" s="5" t="str">
        <f>IFERROR(__xludf.DUMMYFUNCTION("GOOGLETRANSLATE(B28964,""en"",""de"")"),"Ein weißes Parkplatz hinter den Kamele.")</f>
        <v>Ein weißes Parkplatz hinter den Kamele.</v>
      </c>
    </row>
    <row r="28965">
      <c r="A28965" s="4" t="s">
        <v>36472</v>
      </c>
      <c r="B28965" s="4" t="s">
        <v>36477</v>
      </c>
      <c r="C28965" s="5" t="str">
        <f>IFERROR(__xludf.DUMMYFUNCTION("GOOGLETRANSLATE(B28965,""en"",""de"")"),"Dann kniete der Mann die Kamele und die Leute kommen die Kamele runter.")</f>
        <v>Dann kniete der Mann die Kamele und die Leute kommen die Kamele runter.</v>
      </c>
    </row>
    <row r="28966">
      <c r="A28966" s="4" t="s">
        <v>36472</v>
      </c>
      <c r="B28966" s="4" t="s">
        <v>36478</v>
      </c>
      <c r="C28966" s="5" t="str">
        <f>IFERROR(__xludf.DUMMYFUNCTION("GOOGLETRANSLATE(B28966,""en"",""de"")"),"Danach fährt eine Gruppe von Touristen Kamele und passierte vor der Tour -Einrichtung.")</f>
        <v>Danach fährt eine Gruppe von Touristen Kamele und passierte vor der Tour -Einrichtung.</v>
      </c>
    </row>
    <row r="28967">
      <c r="A28967" s="4" t="s">
        <v>36479</v>
      </c>
      <c r="B28967" s="4" t="s">
        <v>36480</v>
      </c>
      <c r="C28967" s="5" t="str">
        <f>IFERROR(__xludf.DUMMYFUNCTION("GOOGLETRANSLATE(B28967,""en"",""de"")"),"Ein Intro führt zu mehreren Schüssen von Tauchern, die sich um den Ozean bewegen und verschiedene Fische und Gegenstände unter Wasser übergeben.")</f>
        <v>Ein Intro führt zu mehreren Schüssen von Tauchern, die sich um den Ozean bewegen und verschiedene Fische und Gegenstände unter Wasser übergeben.</v>
      </c>
    </row>
    <row r="28968">
      <c r="A28968" s="4" t="s">
        <v>36479</v>
      </c>
      <c r="B28968" s="4" t="s">
        <v>36481</v>
      </c>
      <c r="C28968" s="5" t="str">
        <f>IFERROR(__xludf.DUMMYFUNCTION("GOOGLETRANSLATE(B28968,""en"",""de"")"),"Der Taucher kommt über das Wasser und hält einen Tank und dreht sich herum, während die Kamera folgt.")</f>
        <v>Der Taucher kommt über das Wasser und hält einen Tank und dreht sich herum, während die Kamera folgt.</v>
      </c>
    </row>
    <row r="28969">
      <c r="A28969" s="4" t="s">
        <v>36482</v>
      </c>
      <c r="B28969" s="4" t="s">
        <v>36483</v>
      </c>
      <c r="C28969" s="5" t="str">
        <f>IFERROR(__xludf.DUMMYFUNCTION("GOOGLETRANSLATE(B28969,""en"",""de"")"),"Ein Mann und eine Frau tanzen vor einer Menschenmenge auf einer Tanzfläche.")</f>
        <v>Ein Mann und eine Frau tanzen vor einer Menschenmenge auf einer Tanzfläche.</v>
      </c>
    </row>
    <row r="28970">
      <c r="A28970" s="4" t="s">
        <v>36482</v>
      </c>
      <c r="B28970" s="4" t="s">
        <v>36484</v>
      </c>
      <c r="C28970" s="5" t="str">
        <f>IFERROR(__xludf.DUMMYFUNCTION("GOOGLETRANSLATE(B28970,""en"",""de"")"),"Die Menge applaudiert für sie.")</f>
        <v>Die Menge applaudiert für sie.</v>
      </c>
    </row>
    <row r="28971">
      <c r="A28971" s="4" t="s">
        <v>36482</v>
      </c>
      <c r="B28971" s="4" t="s">
        <v>36485</v>
      </c>
      <c r="C28971" s="5" t="str">
        <f>IFERROR(__xludf.DUMMYFUNCTION("GOOGLETRANSLATE(B28971,""en"",""de"")"),"Das Paar umarmt und bogt sich für die Menge.")</f>
        <v>Das Paar umarmt und bogt sich für die Menge.</v>
      </c>
    </row>
    <row r="28972">
      <c r="A28972" s="4" t="s">
        <v>36486</v>
      </c>
      <c r="B28972" s="4" t="s">
        <v>36487</v>
      </c>
      <c r="C28972" s="5" t="str">
        <f>IFERROR(__xludf.DUMMYFUNCTION("GOOGLETRANSLATE(B28972,""en"",""de"")"),"Eine Person sitzt auf einer Bank, die einen Rubix -Würfel hält.")</f>
        <v>Eine Person sitzt auf einer Bank, die einen Rubix -Würfel hält.</v>
      </c>
    </row>
    <row r="28973">
      <c r="A28973" s="4" t="s">
        <v>36486</v>
      </c>
      <c r="B28973" s="4" t="s">
        <v>36488</v>
      </c>
      <c r="C28973" s="5" t="str">
        <f>IFERROR(__xludf.DUMMYFUNCTION("GOOGLETRANSLATE(B28973,""en"",""de"")"),"Die Person bewegt dann ihre Hände um den Würfel um den Lösen.")</f>
        <v>Die Person bewegt dann ihre Hände um den Würfel um den Lösen.</v>
      </c>
    </row>
    <row r="28974">
      <c r="A28974" s="4" t="s">
        <v>36486</v>
      </c>
      <c r="B28974" s="4" t="s">
        <v>36489</v>
      </c>
      <c r="C28974" s="5" t="str">
        <f>IFERROR(__xludf.DUMMYFUNCTION("GOOGLETRANSLATE(B28974,""en"",""de"")"),"Die Person löst den Würfel und schaltet die Kamera aus.")</f>
        <v>Die Person löst den Würfel und schaltet die Kamera aus.</v>
      </c>
    </row>
    <row r="28975">
      <c r="A28975" s="4" t="s">
        <v>36490</v>
      </c>
      <c r="B28975" s="4" t="s">
        <v>36491</v>
      </c>
      <c r="C28975" s="5" t="str">
        <f>IFERROR(__xludf.DUMMYFUNCTION("GOOGLETRANSLATE(B28975,""en"",""de"")"),"Zwei Männer schwingen ihre Arme und Beine umeinander, während eine Gruppe von Menschen herumkommt und sie beobachtet.")</f>
        <v>Zwei Männer schwingen ihre Arme und Beine umeinander, während eine Gruppe von Menschen herumkommt und sie beobachtet.</v>
      </c>
    </row>
    <row r="28976">
      <c r="A28976" s="4" t="s">
        <v>36490</v>
      </c>
      <c r="B28976" s="4" t="s">
        <v>36492</v>
      </c>
      <c r="C28976" s="5" t="str">
        <f>IFERROR(__xludf.DUMMYFUNCTION("GOOGLETRANSLATE(B28976,""en"",""de"")"),"Die Männer drehen sich weiter um mit den Menschen, die mit ihnen die Hände des anderen schütteln.")</f>
        <v>Die Männer drehen sich weiter um mit den Menschen, die mit ihnen die Hände des anderen schütteln.</v>
      </c>
    </row>
    <row r="28977">
      <c r="A28977" s="4" t="s">
        <v>36493</v>
      </c>
      <c r="B28977" s="4" t="s">
        <v>36494</v>
      </c>
      <c r="C28977" s="5" t="str">
        <f>IFERROR(__xludf.DUMMYFUNCTION("GOOGLETRANSLATE(B28977,""en"",""de"")"),"Eine Person setzt etwas auf eine Kette eines Fahrrads.")</f>
        <v>Eine Person setzt etwas auf eine Kette eines Fahrrads.</v>
      </c>
    </row>
    <row r="28978">
      <c r="A28978" s="4" t="s">
        <v>36493</v>
      </c>
      <c r="B28978" s="4" t="s">
        <v>36495</v>
      </c>
      <c r="C28978" s="5" t="str">
        <f>IFERROR(__xludf.DUMMYFUNCTION("GOOGLETRANSLATE(B28978,""en"",""de"")"),"Sie verwenden ein blaues Werkzeug, um die Kette auseinander zu nehmen.")</f>
        <v>Sie verwenden ein blaues Werkzeug, um die Kette auseinander zu nehmen.</v>
      </c>
    </row>
    <row r="28979">
      <c r="A28979" s="4" t="s">
        <v>36493</v>
      </c>
      <c r="B28979" s="4" t="s">
        <v>36496</v>
      </c>
      <c r="C28979" s="5" t="str">
        <f>IFERROR(__xludf.DUMMYFUNCTION("GOOGLETRANSLATE(B28979,""en"",""de"")"),"Sie setzen es mit einem Werkzeug wieder zusammen.")</f>
        <v>Sie setzen es mit einem Werkzeug wieder zusammen.</v>
      </c>
    </row>
    <row r="28980">
      <c r="A28980" s="4" t="s">
        <v>36497</v>
      </c>
      <c r="B28980" s="4" t="s">
        <v>36498</v>
      </c>
      <c r="C28980" s="5" t="str">
        <f>IFERROR(__xludf.DUMMYFUNCTION("GOOGLETRANSLATE(B28980,""en"",""de"")"),"Ein Mann macht eine Gymnastikroutine auf einem Balancestrahl.")</f>
        <v>Ein Mann macht eine Gymnastikroutine auf einem Balancestrahl.</v>
      </c>
    </row>
    <row r="28981">
      <c r="A28981" s="4" t="s">
        <v>36497</v>
      </c>
      <c r="B28981" s="4" t="s">
        <v>36499</v>
      </c>
      <c r="C28981" s="5" t="str">
        <f>IFERROR(__xludf.DUMMYFUNCTION("GOOGLETRANSLATE(B28981,""en"",""de"")"),"Er springt vom Strahl auf eine Matte.")</f>
        <v>Er springt vom Strahl auf eine Matte.</v>
      </c>
    </row>
    <row r="28982">
      <c r="A28982" s="4" t="s">
        <v>36497</v>
      </c>
      <c r="B28982" s="4" t="s">
        <v>36500</v>
      </c>
      <c r="C28982" s="5" t="str">
        <f>IFERROR(__xludf.DUMMYFUNCTION("GOOGLETRANSLATE(B28982,""en"",""de"")"),"Ein anderer Mann springt auf einen Balancestrahl und macht eine Routine.")</f>
        <v>Ein anderer Mann springt auf einen Balancestrahl und macht eine Routine.</v>
      </c>
    </row>
    <row r="28983">
      <c r="A28983" s="4" t="s">
        <v>36501</v>
      </c>
      <c r="B28983" s="4" t="s">
        <v>36502</v>
      </c>
      <c r="C28983" s="5" t="str">
        <f>IFERROR(__xludf.DUMMYFUNCTION("GOOGLETRANSLATE(B28983,""en"",""de"")"),"Mehrere Männer, die für die Kälte gekleidet sind, warten in einem Raum außerhalb des Schnees.")</f>
        <v>Mehrere Männer, die für die Kälte gekleidet sind, warten in einem Raum außerhalb des Schnees.</v>
      </c>
    </row>
    <row r="28984">
      <c r="A28984" s="4" t="s">
        <v>36501</v>
      </c>
      <c r="B28984" s="4" t="s">
        <v>36503</v>
      </c>
      <c r="C28984" s="5" t="str">
        <f>IFERROR(__xludf.DUMMYFUNCTION("GOOGLETRANSLATE(B28984,""en"",""de"")"),"Sie gehen nach draußen, bereit zu Ski.")</f>
        <v>Sie gehen nach draußen, bereit zu Ski.</v>
      </c>
    </row>
    <row r="28985">
      <c r="A28985" s="4" t="s">
        <v>36501</v>
      </c>
      <c r="B28985" s="4" t="s">
        <v>36504</v>
      </c>
      <c r="C28985" s="5" t="str">
        <f>IFERROR(__xludf.DUMMYFUNCTION("GOOGLETRANSLATE(B28985,""en"",""de"")"),"Sie beginnen mit dem Skifahren, gehen einen steilen Hügel hinunter, bewegten sich von Seite zur anderen und rücken durch die schneebedeckten Bäume.")</f>
        <v>Sie beginnen mit dem Skifahren, gehen einen steilen Hügel hinunter, bewegten sich von Seite zur anderen und rücken durch die schneebedeckten Bäume.</v>
      </c>
    </row>
    <row r="28986">
      <c r="A28986" s="4" t="s">
        <v>36505</v>
      </c>
      <c r="B28986" s="4" t="s">
        <v>36506</v>
      </c>
      <c r="C28986" s="5" t="str">
        <f>IFERROR(__xludf.DUMMYFUNCTION("GOOGLETRANSLATE(B28986,""en"",""de"")"),"Eine Gruppe von Menschen befindet sich auf einem Platz im Freien am Strand.")</f>
        <v>Eine Gruppe von Menschen befindet sich auf einem Platz im Freien am Strand.</v>
      </c>
    </row>
    <row r="28987">
      <c r="A28987" s="4" t="s">
        <v>36505</v>
      </c>
      <c r="B28987" s="4" t="s">
        <v>36507</v>
      </c>
      <c r="C28987" s="5" t="str">
        <f>IFERROR(__xludf.DUMMYFUNCTION("GOOGLETRANSLATE(B28987,""en"",""de"")"),"Sie spielen ein Volleyballspiel.")</f>
        <v>Sie spielen ein Volleyballspiel.</v>
      </c>
    </row>
    <row r="28988">
      <c r="A28988" s="4" t="s">
        <v>36505</v>
      </c>
      <c r="B28988" s="4" t="s">
        <v>36508</v>
      </c>
      <c r="C28988" s="5" t="str">
        <f>IFERROR(__xludf.DUMMYFUNCTION("GOOGLETRANSLATE(B28988,""en"",""de"")"),"Sie treten und schlugen den Ball hin und her und feiern, wenn sie gewinnen, wenn die Menge klatscht und jubelt.")</f>
        <v>Sie treten und schlugen den Ball hin und her und feiern, wenn sie gewinnen, wenn die Menge klatscht und jubelt.</v>
      </c>
    </row>
    <row r="28989">
      <c r="A28989" s="4" t="s">
        <v>36509</v>
      </c>
      <c r="B28989" s="4" t="s">
        <v>36510</v>
      </c>
      <c r="C28989" s="5" t="str">
        <f>IFERROR(__xludf.DUMMYFUNCTION("GOOGLETRANSLATE(B28989,""en"",""de"")"),"Ein kleines Mädchen ist auf einer Schaukel neben ihrem kleinen Bruder.")</f>
        <v>Ein kleines Mädchen ist auf einer Schaukel neben ihrem kleinen Bruder.</v>
      </c>
    </row>
    <row r="28990">
      <c r="A28990" s="4" t="s">
        <v>36509</v>
      </c>
      <c r="B28990" s="4" t="s">
        <v>36511</v>
      </c>
      <c r="C28990" s="5" t="str">
        <f>IFERROR(__xludf.DUMMYFUNCTION("GOOGLETRANSLATE(B28990,""en"",""de"")"),"Sie werden gedrückt, wenn sie hin und her schwingen.")</f>
        <v>Sie werden gedrückt, wenn sie hin und her schwingen.</v>
      </c>
    </row>
    <row r="28991">
      <c r="A28991" s="4" t="s">
        <v>36512</v>
      </c>
      <c r="B28991" s="4" t="s">
        <v>36513</v>
      </c>
      <c r="C28991" s="5" t="str">
        <f>IFERROR(__xludf.DUMMYFUNCTION("GOOGLETRANSLATE(B28991,""en"",""de"")"),"Die Leute laufen durch Autos und Zelte und sitzen im Hintergrund in Stühlen und machen unterschiedliche Dinge.")</f>
        <v>Die Leute laufen durch Autos und Zelte und sitzen im Hintergrund in Stühlen und machen unterschiedliche Dinge.</v>
      </c>
    </row>
    <row r="28992">
      <c r="A28992" s="4" t="s">
        <v>36512</v>
      </c>
      <c r="B28992" s="4" t="s">
        <v>36514</v>
      </c>
      <c r="C28992" s="5" t="str">
        <f>IFERROR(__xludf.DUMMYFUNCTION("GOOGLETRANSLATE(B28992,""en"",""de"")"),"Ein Mann und ein Hund befinden sich mitten in einem Feld, das sich darauf vorbereitet, Frisbee zu spielen.")</f>
        <v>Ein Mann und ein Hund befinden sich mitten in einem Feld, das sich darauf vorbereitet, Frisbee zu spielen.</v>
      </c>
    </row>
    <row r="28993">
      <c r="A28993" s="4" t="s">
        <v>36512</v>
      </c>
      <c r="B28993" s="4" t="s">
        <v>36515</v>
      </c>
      <c r="C28993" s="5" t="str">
        <f>IFERROR(__xludf.DUMMYFUNCTION("GOOGLETRANSLATE(B28993,""en"",""de"")"),"Der Mann wirft eine Frisbee und der Hund rennt, fängt ihn und bringt ihn zurück.")</f>
        <v>Der Mann wirft eine Frisbee und der Hund rennt, fängt ihn und bringt ihn zurück.</v>
      </c>
    </row>
    <row r="28994">
      <c r="A28994" s="4" t="s">
        <v>36512</v>
      </c>
      <c r="B28994" s="4" t="s">
        <v>36516</v>
      </c>
      <c r="C28994" s="5" t="str">
        <f>IFERROR(__xludf.DUMMYFUNCTION("GOOGLETRANSLATE(B28994,""en"",""de"")"),"Der Hund ist sehr aufgeregt, sich auf seinen nächsten Trick vorzubereiten.")</f>
        <v>Der Hund ist sehr aufgeregt, sich auf seinen nächsten Trick vorzubereiten.</v>
      </c>
    </row>
    <row r="28995">
      <c r="A28995" s="4" t="s">
        <v>36512</v>
      </c>
      <c r="B28995" s="4" t="s">
        <v>36517</v>
      </c>
      <c r="C28995" s="5" t="str">
        <f>IFERROR(__xludf.DUMMYFUNCTION("GOOGLETRANSLATE(B28995,""en"",""de"")"),"Der Mann kniet sich nieder und wirft Frisbees für den Hund, während er rollt, umdreht und herumgeht.")</f>
        <v>Der Mann kniet sich nieder und wirft Frisbees für den Hund, während er rollt, umdreht und herumgeht.</v>
      </c>
    </row>
    <row r="28996">
      <c r="A28996" s="4" t="s">
        <v>36512</v>
      </c>
      <c r="B28996" s="4" t="s">
        <v>36518</v>
      </c>
      <c r="C28996" s="5" t="str">
        <f>IFERROR(__xludf.DUMMYFUNCTION("GOOGLETRANSLATE(B28996,""en"",""de"")"),"Ein zweiter Mann schließt sich dem ersten Mann auf dem Feld an und beide heben einen Arm und wenden sich dann um, um zusammen wegzugehen.")</f>
        <v>Ein zweiter Mann schließt sich dem ersten Mann auf dem Feld an und beide heben einen Arm und wenden sich dann um, um zusammen wegzugehen.</v>
      </c>
    </row>
    <row r="28997">
      <c r="A28997" s="4" t="s">
        <v>36519</v>
      </c>
      <c r="B28997" s="4" t="s">
        <v>36520</v>
      </c>
      <c r="C28997" s="5" t="str">
        <f>IFERROR(__xludf.DUMMYFUNCTION("GOOGLETRANSLATE(B28997,""en"",""de"")"),"Eine Frau wird auf einer kleinen Strecke auf einer kleinen Strecke zurückgelaufen und führt in sie einen Helm auf.")</f>
        <v>Eine Frau wird auf einer kleinen Strecke auf einer kleinen Strecke zurückgelaufen und führt in sie einen Helm auf.</v>
      </c>
    </row>
    <row r="28998">
      <c r="A28998" s="4" t="s">
        <v>36519</v>
      </c>
      <c r="B28998" s="4" t="s">
        <v>36521</v>
      </c>
      <c r="C28998" s="5" t="str">
        <f>IFERROR(__xludf.DUMMYFUNCTION("GOOGLETRANSLATE(B28998,""en"",""de"")"),"Sie schnappt sich eine Stange und rennt die Strecke hinunter und springt über eine Bar auf eine Matte.")</f>
        <v>Sie schnappt sich eine Stange und rennt die Strecke hinunter und springt über eine Bar auf eine Matte.</v>
      </c>
    </row>
    <row r="28999">
      <c r="A28999" s="4" t="s">
        <v>36519</v>
      </c>
      <c r="B28999" s="4" t="s">
        <v>36522</v>
      </c>
      <c r="C28999" s="5" t="str">
        <f>IFERROR(__xludf.DUMMYFUNCTION("GOOGLETRANSLATE(B28999,""en"",""de"")"),"Sie springt auf und geht zu einer Gruppe von Menschen, die ihre Punktzahl behalten.")</f>
        <v>Sie springt auf und geht zu einer Gruppe von Menschen, die ihre Punktzahl behalten.</v>
      </c>
    </row>
    <row r="29000">
      <c r="A29000" s="4" t="s">
        <v>36523</v>
      </c>
      <c r="B29000" s="4" t="s">
        <v>36524</v>
      </c>
      <c r="C29000" s="5" t="str">
        <f>IFERROR(__xludf.DUMMYFUNCTION("GOOGLETRANSLATE(B29000,""en"",""de"")"),"Kinder fahren in einem Vergnügungspark Stoßstangenautos.")</f>
        <v>Kinder fahren in einem Vergnügungspark Stoßstangenautos.</v>
      </c>
    </row>
    <row r="29001">
      <c r="A29001" s="4" t="s">
        <v>36523</v>
      </c>
      <c r="B29001" s="4" t="s">
        <v>36525</v>
      </c>
      <c r="C29001" s="5" t="str">
        <f>IFERROR(__xludf.DUMMYFUNCTION("GOOGLETRANSLATE(B29001,""en"",""de"")"),"Die Eltern sitzen mit seinen Kindern auf Stoßstangenautos.")</f>
        <v>Die Eltern sitzen mit seinen Kindern auf Stoßstangenautos.</v>
      </c>
    </row>
    <row r="29002">
      <c r="A29002" s="4" t="s">
        <v>36523</v>
      </c>
      <c r="B29002" s="4" t="s">
        <v>36526</v>
      </c>
      <c r="C29002" s="5" t="str">
        <f>IFERROR(__xludf.DUMMYFUNCTION("GOOGLETRANSLATE(B29002,""en"",""de"")"),"Der Mann, der eine gelbe Weste trägt, sitzt auf dem Hintergrund.")</f>
        <v>Der Mann, der eine gelbe Weste trägt, sitzt auf dem Hintergrund.</v>
      </c>
    </row>
    <row r="29003">
      <c r="A29003" s="4" t="s">
        <v>36527</v>
      </c>
      <c r="B29003" s="4" t="s">
        <v>36528</v>
      </c>
      <c r="C29003" s="5" t="str">
        <f>IFERROR(__xludf.DUMMYFUNCTION("GOOGLETRANSLATE(B29003,""en"",""de"")"),"Eine große Gruppe von Menschen trägt eine Schutzhörung und wandert in einem Gebiet herum, der miteinander spricht.")</f>
        <v>Eine große Gruppe von Menschen trägt eine Schutzhörung und wandert in einem Gebiet herum, der miteinander spricht.</v>
      </c>
    </row>
    <row r="29004">
      <c r="A29004" s="4" t="s">
        <v>36527</v>
      </c>
      <c r="B29004" s="4" t="s">
        <v>36529</v>
      </c>
      <c r="C29004" s="5" t="str">
        <f>IFERROR(__xludf.DUMMYFUNCTION("GOOGLETRANSLATE(B29004,""en"",""de"")"),"Eine andere Person rennt herein und spricht mit den anderen, während er eine Waffe und andere hält, die über die Seiten zielen.")</f>
        <v>Eine andere Person rennt herein und spricht mit den anderen, während er eine Waffe und andere hält, die über die Seiten zielen.</v>
      </c>
    </row>
    <row r="29005">
      <c r="A29005" s="4" t="s">
        <v>36527</v>
      </c>
      <c r="B29005" s="4" t="s">
        <v>36530</v>
      </c>
      <c r="C29005" s="5" t="str">
        <f>IFERROR(__xludf.DUMMYFUNCTION("GOOGLETRANSLATE(B29005,""en"",""de"")"),"Eine Frau greift nach einer Spielzeuggiraffe, während andere reagieren und andere in der Ferne beobachten.")</f>
        <v>Eine Frau greift nach einer Spielzeuggiraffe, während andere reagieren und andere in der Ferne beobachten.</v>
      </c>
    </row>
    <row r="29006">
      <c r="A29006" s="4" t="s">
        <v>36531</v>
      </c>
      <c r="B29006" s="4" t="s">
        <v>36532</v>
      </c>
      <c r="C29006" s="5" t="str">
        <f>IFERROR(__xludf.DUMMYFUNCTION("GOOGLETRANSLATE(B29006,""en"",""de"")"),"Ein Mann spricht darüber, wie die Dinge funktionieren, während eine Frau auf einem Pferd arbeitet.")</f>
        <v>Ein Mann spricht darüber, wie die Dinge funktionieren, während eine Frau auf einem Pferd arbeitet.</v>
      </c>
    </row>
    <row r="29007">
      <c r="A29007" s="4" t="s">
        <v>36531</v>
      </c>
      <c r="B29007" s="4" t="s">
        <v>36533</v>
      </c>
      <c r="C29007" s="5" t="str">
        <f>IFERROR(__xludf.DUMMYFUNCTION("GOOGLETRANSLATE(B29007,""en"",""de"")"),"Während er spricht, wäscht er seine Hände mit einem Händedesinfektionsmittel.")</f>
        <v>Während er spricht, wäscht er seine Hände mit einem Händedesinfektionsmittel.</v>
      </c>
    </row>
    <row r="29008">
      <c r="A29008" s="4" t="s">
        <v>36531</v>
      </c>
      <c r="B29008" s="4" t="s">
        <v>36534</v>
      </c>
      <c r="C29008" s="5" t="str">
        <f>IFERROR(__xludf.DUMMYFUNCTION("GOOGLETRANSLATE(B29008,""en"",""de"")"),"Dann bekommt er Seife und beginnt seine Hände sehr durch.")</f>
        <v>Dann bekommt er Seife und beginnt seine Hände sehr durch.</v>
      </c>
    </row>
    <row r="29009">
      <c r="A29009" s="4" t="s">
        <v>36531</v>
      </c>
      <c r="B29009" s="4" t="s">
        <v>36535</v>
      </c>
      <c r="C29009" s="5" t="str">
        <f>IFERROR(__xludf.DUMMYFUNCTION("GOOGLETRANSLATE(B29009,""en"",""de"")"),"Er greift nach einer Serviette und trocknet seine Hände weiter.")</f>
        <v>Er greift nach einer Serviette und trocknet seine Hände weiter.</v>
      </c>
    </row>
    <row r="29010">
      <c r="A29010" s="4" t="s">
        <v>36536</v>
      </c>
      <c r="B29010" s="4" t="s">
        <v>36537</v>
      </c>
      <c r="C29010" s="5" t="str">
        <f>IFERROR(__xludf.DUMMYFUNCTION("GOOGLETRANSLATE(B29010,""en"",""de"")"),"Eine Person hält das lange Haar einer Frau sowie einen Pinsel in seinen Händen.")</f>
        <v>Eine Person hält das lange Haar einer Frau sowie einen Pinsel in seinen Händen.</v>
      </c>
    </row>
    <row r="29011">
      <c r="A29011" s="4" t="s">
        <v>36536</v>
      </c>
      <c r="B29011" s="4" t="s">
        <v>36538</v>
      </c>
      <c r="C29011" s="5" t="str">
        <f>IFERROR(__xludf.DUMMYFUNCTION("GOOGLETRANSLATE(B29011,""en"",""de"")"),"Der Mann spielt weiter mit den Haaren und führt in ihn, um die Haare zu bürsten und es zu flechten.")</f>
        <v>Der Mann spielt weiter mit den Haaren und führt in ihn, um die Haare zu bürsten und es zu flechten.</v>
      </c>
    </row>
    <row r="29012">
      <c r="A29012" s="4" t="s">
        <v>36539</v>
      </c>
      <c r="B29012" s="4" t="s">
        <v>36540</v>
      </c>
      <c r="C29012" s="5" t="str">
        <f>IFERROR(__xludf.DUMMYFUNCTION("GOOGLETRANSLATE(B29012,""en"",""de"")"),"Zwei Personen sitzen an einem Tisch mit Tassen Kaffees auf dem Tisch vor sich.")</f>
        <v>Zwei Personen sitzen an einem Tisch mit Tassen Kaffees auf dem Tisch vor sich.</v>
      </c>
    </row>
    <row r="29013">
      <c r="A29013" s="4" t="s">
        <v>36539</v>
      </c>
      <c r="B29013" s="4" t="s">
        <v>36541</v>
      </c>
      <c r="C29013" s="5" t="str">
        <f>IFERROR(__xludf.DUMMYFUNCTION("GOOGLETRANSLATE(B29013,""en"",""de"")"),"Der Mann wird dann allein an verschiedenen Orten sitzen und dann beginnt an einer Wand zu tanzen.")</f>
        <v>Der Mann wird dann allein an verschiedenen Orten sitzen und dann beginnt an einer Wand zu tanzen.</v>
      </c>
    </row>
    <row r="29014">
      <c r="A29014" s="4" t="s">
        <v>36539</v>
      </c>
      <c r="B29014" s="4" t="s">
        <v>36542</v>
      </c>
      <c r="C29014" s="5" t="str">
        <f>IFERROR(__xludf.DUMMYFUNCTION("GOOGLETRANSLATE(B29014,""en"",""de"")"),"Dann wird er in seinem Bett aufwachen, vorausgesetzt, es war alles ein Traum.")</f>
        <v>Dann wird er in seinem Bett aufwachen, vorausgesetzt, es war alles ein Traum.</v>
      </c>
    </row>
    <row r="29015">
      <c r="A29015" s="4" t="s">
        <v>36543</v>
      </c>
      <c r="B29015" s="4" t="s">
        <v>36544</v>
      </c>
      <c r="C29015" s="5" t="str">
        <f>IFERROR(__xludf.DUMMYFUNCTION("GOOGLETRANSLATE(B29015,""en"",""de"")"),"Ein Junge, der auf einem Etagenbett sitzt.")</f>
        <v>Ein Junge, der auf einem Etagenbett sitzt.</v>
      </c>
    </row>
    <row r="29016">
      <c r="A29016" s="4" t="s">
        <v>36543</v>
      </c>
      <c r="B29016" s="4" t="s">
        <v>36545</v>
      </c>
      <c r="C29016" s="5" t="str">
        <f>IFERROR(__xludf.DUMMYFUNCTION("GOOGLETRANSLATE(B29016,""en"",""de"")"),"Ein anderer Junge nähert sich, als er seine Beine um seinen Hals schließt.")</f>
        <v>Ein anderer Junge nähert sich, als er seine Beine um seinen Hals schließt.</v>
      </c>
    </row>
    <row r="29017">
      <c r="A29017" s="4" t="s">
        <v>36543</v>
      </c>
      <c r="B29017" s="4" t="s">
        <v>36546</v>
      </c>
      <c r="C29017" s="5" t="str">
        <f>IFERROR(__xludf.DUMMYFUNCTION("GOOGLETRANSLATE(B29017,""en"",""de"")"),"Der zweite Junge dreht ihn herum und schlägt ihn zu Boden.")</f>
        <v>Der zweite Junge dreht ihn herum und schlägt ihn zu Boden.</v>
      </c>
    </row>
    <row r="29018">
      <c r="A29018" s="4" t="s">
        <v>36547</v>
      </c>
      <c r="B29018" s="4" t="s">
        <v>36548</v>
      </c>
      <c r="C29018" s="5" t="str">
        <f>IFERROR(__xludf.DUMMYFUNCTION("GOOGLETRANSLATE(B29018,""en"",""de"")"),"Es gibt 4 Leute, die alle Badminton spielen, und der Junge im weißen Hemd ist der erste, der dem Mann im schwarzen Hemd serviert.")</f>
        <v>Es gibt 4 Leute, die alle Badminton spielen, und der Junge im weißen Hemd ist der erste, der dem Mann im schwarzen Hemd serviert.</v>
      </c>
    </row>
    <row r="29019">
      <c r="A29019" s="4" t="s">
        <v>36547</v>
      </c>
      <c r="B29019" s="4" t="s">
        <v>36549</v>
      </c>
      <c r="C29019" s="5" t="str">
        <f>IFERROR(__xludf.DUMMYFUNCTION("GOOGLETRANSLATE(B29019,""en"",""de"")"),"Dann dient der Mann, der das schwarze Hemd trägt, dem Jungen, der das goldene Hemd trägt.")</f>
        <v>Dann dient der Mann, der das schwarze Hemd trägt, dem Jungen, der das goldene Hemd trägt.</v>
      </c>
    </row>
    <row r="29020">
      <c r="A29020" s="4" t="s">
        <v>36547</v>
      </c>
      <c r="B29020" s="4" t="s">
        <v>36550</v>
      </c>
      <c r="C29020" s="5" t="str">
        <f>IFERROR(__xludf.DUMMYFUNCTION("GOOGLETRANSLATE(B29020,""en"",""de"")"),"Dann schlägt der Junge, der das weiße Hemd trägt, den Shuttlecock und dient dem Mädchen, das das rosa Hemd trägt, und das Spiel geht weiter und jeder dient immer wieder und alle verwenden verschiedene Shuttlecocks.")</f>
        <v>Dann schlägt der Junge, der das weiße Hemd trägt, den Shuttlecock und dient dem Mädchen, das das rosa Hemd trägt, und das Spiel geht weiter und jeder dient immer wieder und alle verwenden verschiedene Shuttlecocks.</v>
      </c>
    </row>
    <row r="29021">
      <c r="A29021" s="4" t="s">
        <v>36551</v>
      </c>
      <c r="B29021" s="4" t="s">
        <v>36552</v>
      </c>
      <c r="C29021" s="5" t="str">
        <f>IFERROR(__xludf.DUMMYFUNCTION("GOOGLETRANSLATE(B29021,""en"",""de"")"),"Ein Junge sitzt an einem Tisch, der mit einem Rubik -Würfel fummelte und legt ihn dann auf den Tisch.")</f>
        <v>Ein Junge sitzt an einem Tisch, der mit einem Rubik -Würfel fummelte und legt ihn dann auf den Tisch.</v>
      </c>
    </row>
    <row r="29022">
      <c r="A29022" s="4" t="s">
        <v>36551</v>
      </c>
      <c r="B29022" s="4" t="s">
        <v>36553</v>
      </c>
      <c r="C29022" s="5" t="str">
        <f>IFERROR(__xludf.DUMMYFUNCTION("GOOGLETRANSLATE(B29022,""en"",""de"")"),"Der Junge nimmt es dann auf und beginnt mit vier anderen Männern zu konkurrieren, um es zu lösen.")</f>
        <v>Der Junge nimmt es dann auf und beginnt mit vier anderen Männern zu konkurrieren, um es zu lösen.</v>
      </c>
    </row>
    <row r="29023">
      <c r="A29023" s="4" t="s">
        <v>36551</v>
      </c>
      <c r="B29023" s="4" t="s">
        <v>36554</v>
      </c>
      <c r="C29023" s="5" t="str">
        <f>IFERROR(__xludf.DUMMYFUNCTION("GOOGLETRANSLATE(B29023,""en"",""de"")"),"Sobald der Junge gelöst wurde, schlägt er die Arme gegen eine schwarze Bar, die den Timer stoppt, und die Richterin zahlen ihn mit 20 Sekunden.")</f>
        <v>Sobald der Junge gelöst wurde, schlägt er die Arme gegen eine schwarze Bar, die den Timer stoppt, und die Richterin zahlen ihn mit 20 Sekunden.</v>
      </c>
    </row>
    <row r="29024">
      <c r="A29024" s="4" t="s">
        <v>36555</v>
      </c>
      <c r="B29024" s="4" t="s">
        <v>36556</v>
      </c>
      <c r="C29024" s="5" t="str">
        <f>IFERROR(__xludf.DUMMYFUNCTION("GOOGLETRANSLATE(B29024,""en"",""de"")"),"Eine Gruppe von Strandbesuchern spielt ein Volleyballspiel an einem geschäftigen Strand, der Badeanzüge trägt.")</f>
        <v>Eine Gruppe von Strandbesuchern spielt ein Volleyballspiel an einem geschäftigen Strand, der Badeanzüge trägt.</v>
      </c>
    </row>
    <row r="29025">
      <c r="A29025" s="4" t="s">
        <v>36555</v>
      </c>
      <c r="B29025" s="4" t="s">
        <v>36557</v>
      </c>
      <c r="C29025" s="5" t="str">
        <f>IFERROR(__xludf.DUMMYFUNCTION("GOOGLETRANSLATE(B29025,""en"",""de"")"),"Eine Frau tanzt, nachdem sie einen Aufschlag gemacht hat und umarmt ihre Freundin.")</f>
        <v>Eine Frau tanzt, nachdem sie einen Aufschlag gemacht hat und umarmt ihre Freundin.</v>
      </c>
    </row>
    <row r="29026">
      <c r="A29026" s="4" t="s">
        <v>36555</v>
      </c>
      <c r="B29026" s="4" t="s">
        <v>36558</v>
      </c>
      <c r="C29026" s="5" t="str">
        <f>IFERROR(__xludf.DUMMYFUNCTION("GOOGLETRANSLATE(B29026,""en"",""de"")"),"Ein Spieler bewertet einen Punkt und gibt Teamkollege eine High Five.")</f>
        <v>Ein Spieler bewertet einen Punkt und gibt Teamkollege eine High Five.</v>
      </c>
    </row>
    <row r="29027">
      <c r="A29027" s="4" t="s">
        <v>36555</v>
      </c>
      <c r="B29027" s="4" t="s">
        <v>36559</v>
      </c>
      <c r="C29027" s="5" t="str">
        <f>IFERROR(__xludf.DUMMYFUNCTION("GOOGLETRANSLATE(B29027,""en"",""de"")"),"Strandbesucher spielen im Wasser.")</f>
        <v>Strandbesucher spielen im Wasser.</v>
      </c>
    </row>
    <row r="29028">
      <c r="A29028" s="4" t="s">
        <v>36560</v>
      </c>
      <c r="B29028" s="4" t="s">
        <v>36561</v>
      </c>
      <c r="C29028" s="5" t="str">
        <f>IFERROR(__xludf.DUMMYFUNCTION("GOOGLETRANSLATE(B29028,""en"",""de"")"),"Eine Nahaufnahme eines hohen Tauchgangs wird gezeigt, gefolgt von Menschen, die die Stufen hinaufgehen.")</f>
        <v>Eine Nahaufnahme eines hohen Tauchgangs wird gezeigt, gefolgt von Menschen, die die Stufen hinaufgehen.</v>
      </c>
    </row>
    <row r="29029">
      <c r="A29029" s="4" t="s">
        <v>36560</v>
      </c>
      <c r="B29029" s="4" t="s">
        <v>36562</v>
      </c>
      <c r="C29029" s="5" t="str">
        <f>IFERROR(__xludf.DUMMYFUNCTION("GOOGLETRANSLATE(B29029,""en"",""de"")"),"Plötzlich wird eine Person vom hohen Tauchgang in den Pool springen.")</f>
        <v>Plötzlich wird eine Person vom hohen Tauchgang in den Pool springen.</v>
      </c>
    </row>
    <row r="29030">
      <c r="A29030" s="4" t="s">
        <v>36563</v>
      </c>
      <c r="B29030" s="4" t="s">
        <v>36564</v>
      </c>
      <c r="C29030" s="5" t="str">
        <f>IFERROR(__xludf.DUMMYFUNCTION("GOOGLETRANSLATE(B29030,""en"",""de"")"),"Eine Nahaufnahme der Zutaten wird gezeigt, gefolgt von einem Mann, der den Löffel leckt und Zutaten in einen Topf mischt.")</f>
        <v>Eine Nahaufnahme der Zutaten wird gezeigt, gefolgt von einem Mann, der den Löffel leckt und Zutaten in einen Topf mischt.</v>
      </c>
    </row>
    <row r="29031">
      <c r="A29031" s="4" t="s">
        <v>36563</v>
      </c>
      <c r="B29031" s="4" t="s">
        <v>36565</v>
      </c>
      <c r="C29031" s="5" t="str">
        <f>IFERROR(__xludf.DUMMYFUNCTION("GOOGLETRANSLATE(B29031,""en"",""de"")"),"Er mischt mehr Zutaten in einem Mixer und quetscht sie alle in Kugeln, um in den Ofen zu stecken.")</f>
        <v>Er mischt mehr Zutaten in einem Mixer und quetscht sie alle in Kugeln, um in den Ofen zu stecken.</v>
      </c>
    </row>
    <row r="29032">
      <c r="A29032" s="4" t="s">
        <v>36563</v>
      </c>
      <c r="B29032" s="4" t="s">
        <v>36566</v>
      </c>
      <c r="C29032" s="5" t="str">
        <f>IFERROR(__xludf.DUMMYFUNCTION("GOOGLETRANSLATE(B29032,""en"",""de"")"),"Er nimmt sie raus und endet mit dem Dekorieren.")</f>
        <v>Er nimmt sie raus und endet mit dem Dekorieren.</v>
      </c>
    </row>
    <row r="29033">
      <c r="A29033" s="4" t="s">
        <v>36567</v>
      </c>
      <c r="B29033" s="4" t="s">
        <v>36568</v>
      </c>
      <c r="C29033" s="5" t="str">
        <f>IFERROR(__xludf.DUMMYFUNCTION("GOOGLETRANSLATE(B29033,""en"",""de"")"),"Ein Intro führt zu einer Nahaufnahme eines Gemäldes und einem Pinsel herum und herum.")</f>
        <v>Ein Intro führt zu einer Nahaufnahme eines Gemäldes und einem Pinsel herum und herum.</v>
      </c>
    </row>
    <row r="29034">
      <c r="A29034" s="4" t="s">
        <v>36567</v>
      </c>
      <c r="B29034" s="4" t="s">
        <v>36569</v>
      </c>
      <c r="C29034" s="5" t="str">
        <f>IFERROR(__xludf.DUMMYFUNCTION("GOOGLETRANSLATE(B29034,""en"",""de"")"),"Die Hand, die den Pinsel hält, beginnt das Bild langsam Gras in das Gemälde zu malen.")</f>
        <v>Die Hand, die den Pinsel hält, beginnt das Bild langsam Gras in das Gemälde zu malen.</v>
      </c>
    </row>
    <row r="29035">
      <c r="A29035" s="4" t="s">
        <v>36570</v>
      </c>
      <c r="B29035" s="4" t="s">
        <v>36571</v>
      </c>
      <c r="C29035" s="5" t="str">
        <f>IFERROR(__xludf.DUMMYFUNCTION("GOOGLETRANSLATE(B29035,""en"",""de"")"),"Zwei Männer stehen in einem Raum, der ein Tennisspiel spielt.")</f>
        <v>Zwei Männer stehen in einem Raum, der ein Tennisspiel spielt.</v>
      </c>
    </row>
    <row r="29036">
      <c r="A29036" s="4" t="s">
        <v>36570</v>
      </c>
      <c r="B29036" s="4" t="s">
        <v>36572</v>
      </c>
      <c r="C29036" s="5" t="str">
        <f>IFERROR(__xludf.DUMMYFUNCTION("GOOGLETRANSLATE(B29036,""en"",""de"")"),"Hinter dem Mann sitzen eine Reihe von Kindern an der Wand, wo eine Reihe von Kindern sie spielen.")</f>
        <v>Hinter dem Mann sitzen eine Reihe von Kindern an der Wand, wo eine Reihe von Kindern sie spielen.</v>
      </c>
    </row>
    <row r="29037">
      <c r="A29037" s="4" t="s">
        <v>36570</v>
      </c>
      <c r="B29037" s="4" t="s">
        <v>36573</v>
      </c>
      <c r="C29037" s="5" t="str">
        <f>IFERROR(__xludf.DUMMYFUNCTION("GOOGLETRANSLATE(B29037,""en"",""de"")"),"Das Spiel geht weiter, das Kind hält sich an, bis der Erwachsene es schlägt und das Kind den Ball nicht zurückgeben kann.")</f>
        <v>Das Spiel geht weiter, das Kind hält sich an, bis der Erwachsene es schlägt und das Kind den Ball nicht zurückgeben kann.</v>
      </c>
    </row>
    <row r="29038">
      <c r="A29038" s="4" t="s">
        <v>36574</v>
      </c>
      <c r="B29038" s="4" t="s">
        <v>36575</v>
      </c>
      <c r="C29038" s="5" t="str">
        <f>IFERROR(__xludf.DUMMYFUNCTION("GOOGLETRANSLATE(B29038,""en"",""de"")"),"Es gibt zwei Nachrichtenanker, eine Dame und ein Gentleman, die beide in Schwarz gekleidet sind, die einen Nachrichtenbereich präsentieren.")</f>
        <v>Es gibt zwei Nachrichtenanker, eine Dame und ein Gentleman, die beide in Schwarz gekleidet sind, die einen Nachrichtenbereich präsentieren.</v>
      </c>
    </row>
    <row r="29039">
      <c r="A29039" s="4" t="s">
        <v>36574</v>
      </c>
      <c r="B29039" s="4" t="s">
        <v>36576</v>
      </c>
      <c r="C29039" s="5" t="str">
        <f>IFERROR(__xludf.DUMMYFUNCTION("GOOGLETRANSLATE(B29039,""en"",""de"")"),"Die Dame hält zwei kleine Karten in ihren Händen, als sie über das Produkt mit den Zuschauern spricht.")</f>
        <v>Die Dame hält zwei kleine Karten in ihren Händen, als sie über das Produkt mit den Zuschauern spricht.</v>
      </c>
    </row>
    <row r="29040">
      <c r="A29040" s="4" t="s">
        <v>36574</v>
      </c>
      <c r="B29040" s="4" t="s">
        <v>36577</v>
      </c>
      <c r="C29040" s="5" t="str">
        <f>IFERROR(__xludf.DUMMYFUNCTION("GOOGLETRANSLATE(B29040,""en"",""de"")"),"Auf einem Tisch sitzt eine andere Frau zusammen mit zwei anderen Frauen, die demonstriert, wie man farbige Objektive in Augen trägt.")</f>
        <v>Auf einem Tisch sitzt eine andere Frau zusammen mit zwei anderen Frauen, die demonstriert, wie man farbige Objektive in Augen trägt.</v>
      </c>
    </row>
    <row r="29041">
      <c r="A29041" s="4" t="s">
        <v>36574</v>
      </c>
      <c r="B29041" s="4" t="s">
        <v>36578</v>
      </c>
      <c r="C29041" s="5" t="str">
        <f>IFERROR(__xludf.DUMMYFUNCTION("GOOGLETRANSLATE(B29041,""en"",""de"")"),"Sie sprechen und diskutieren über die Objektive und darüber, wie sie funktioniert.")</f>
        <v>Sie sprechen und diskutieren über die Objektive und darüber, wie sie funktioniert.</v>
      </c>
    </row>
    <row r="29042">
      <c r="A29042" s="4" t="s">
        <v>36574</v>
      </c>
      <c r="B29042" s="4" t="s">
        <v>36579</v>
      </c>
      <c r="C29042" s="5" t="str">
        <f>IFERROR(__xludf.DUMMYFUNCTION("GOOGLETRANSLATE(B29042,""en"",""de"")"),"Es gibt einen Werbespot, bei dem die gleichen Objektive von mehreren Personen getragen werden, um zu zeigen, wie sie verwendet werden können.")</f>
        <v>Es gibt einen Werbespot, bei dem die gleichen Objektive von mehreren Personen getragen werden, um zu zeigen, wie sie verwendet werden können.</v>
      </c>
    </row>
    <row r="29043">
      <c r="A29043" s="4" t="s">
        <v>36574</v>
      </c>
      <c r="B29043" s="4" t="s">
        <v>36580</v>
      </c>
      <c r="C29043" s="5" t="str">
        <f>IFERROR(__xludf.DUMMYFUNCTION("GOOGLETRANSLATE(B29043,""en"",""de"")"),"Ein Arzt in einem Labormantel spricht auch über die Objektive, während die Leute zeigen, wie sie sie benutzen können.")</f>
        <v>Ein Arzt in einem Labormantel spricht auch über die Objektive, während die Leute zeigen, wie sie sie benutzen können.</v>
      </c>
    </row>
    <row r="29044">
      <c r="A29044" s="4" t="s">
        <v>36574</v>
      </c>
      <c r="B29044" s="4" t="s">
        <v>36581</v>
      </c>
      <c r="C29044" s="5" t="str">
        <f>IFERROR(__xludf.DUMMYFUNCTION("GOOGLETRANSLATE(B29044,""en"",""de"")"),"Ein weiterer Nachrichtenanker spricht auch über die gleichen Objektive und darüber, wie er bei Teenagern zu einem gefährlichen Trend geworden ist.")</f>
        <v>Ein weiterer Nachrichtenanker spricht auch über die gleichen Objektive und darüber, wie er bei Teenagern zu einem gefährlichen Trend geworden ist.</v>
      </c>
    </row>
    <row r="29045">
      <c r="A29045" s="4" t="s">
        <v>36574</v>
      </c>
      <c r="B29045" s="4" t="s">
        <v>36582</v>
      </c>
      <c r="C29045" s="5" t="str">
        <f>IFERROR(__xludf.DUMMYFUNCTION("GOOGLETRANSLATE(B29045,""en"",""de"")"),"Die Lady News Anker kommt mit dem männlichen Nachrichtenanker zurück, um das Programm fortzusetzen.")</f>
        <v>Die Lady News Anker kommt mit dem männlichen Nachrichtenanker zurück, um das Programm fortzusetzen.</v>
      </c>
    </row>
    <row r="29046">
      <c r="A29046" s="4" t="s">
        <v>36583</v>
      </c>
      <c r="B29046" s="4" t="s">
        <v>36584</v>
      </c>
      <c r="C29046" s="5" t="str">
        <f>IFERROR(__xludf.DUMMYFUNCTION("GOOGLETRANSLATE(B29046,""en"",""de"")"),"Mehrere Spieler werden auf einer Eisbahn gezeigt.")</f>
        <v>Mehrere Spieler werden auf einer Eisbahn gezeigt.</v>
      </c>
    </row>
    <row r="29047">
      <c r="A29047" s="4" t="s">
        <v>36583</v>
      </c>
      <c r="B29047" s="4" t="s">
        <v>36585</v>
      </c>
      <c r="C29047" s="5" t="str">
        <f>IFERROR(__xludf.DUMMYFUNCTION("GOOGLETRANSLATE(B29047,""en"",""de"")"),"Sie engagieren sich mit verschiedenen Lockenspielen.")</f>
        <v>Sie engagieren sich mit verschiedenen Lockenspielen.</v>
      </c>
    </row>
    <row r="29048">
      <c r="A29048" s="4" t="s">
        <v>36583</v>
      </c>
      <c r="B29048" s="4" t="s">
        <v>36586</v>
      </c>
      <c r="C29048" s="5" t="str">
        <f>IFERROR(__xludf.DUMMYFUNCTION("GOOGLETRANSLATE(B29048,""en"",""de"")"),"Sie benutzen ihre Fledermäuse, um den Puck zu bewegen, wenn sie fertig sind.")</f>
        <v>Sie benutzen ihre Fledermäuse, um den Puck zu bewegen, wenn sie fertig sind.</v>
      </c>
    </row>
    <row r="29049">
      <c r="A29049" s="4" t="s">
        <v>36587</v>
      </c>
      <c r="B29049" s="4" t="s">
        <v>36588</v>
      </c>
      <c r="C29049" s="5" t="str">
        <f>IFERROR(__xludf.DUMMYFUNCTION("GOOGLETRANSLATE(B29049,""en"",""de"")"),"Eine Cartoon -Netzwerkshow wird gespielt.")</f>
        <v>Eine Cartoon -Netzwerkshow wird gespielt.</v>
      </c>
    </row>
    <row r="29050">
      <c r="A29050" s="4" t="s">
        <v>36587</v>
      </c>
      <c r="B29050" s="4" t="s">
        <v>36589</v>
      </c>
      <c r="C29050" s="5" t="str">
        <f>IFERROR(__xludf.DUMMYFUNCTION("GOOGLETRANSLATE(B29050,""en"",""de"")"),"Ein blauer Charakter schottet einen Block, scheitert aber mehrmals.")</f>
        <v>Ein blauer Charakter schottet einen Block, scheitert aber mehrmals.</v>
      </c>
    </row>
    <row r="29051">
      <c r="A29051" s="4" t="s">
        <v>36590</v>
      </c>
      <c r="B29051" s="4" t="s">
        <v>36591</v>
      </c>
      <c r="C29051" s="5" t="str">
        <f>IFERROR(__xludf.DUMMYFUNCTION("GOOGLETRANSLATE(B29051,""en"",""de"")"),"Das Team von bolivianischen Bowlern macht sich bereit, mit dem Bowling zu beginnen, indem sie eine von Jason Belmont unterrichtete Technik üben, indem sie zwei Finger in die Löcher steckte und zwei Hände zum Drehen des Balls benutzt.")</f>
        <v>Das Team von bolivianischen Bowlern macht sich bereit, mit dem Bowling zu beginnen, indem sie eine von Jason Belmont unterrichtete Technik üben, indem sie zwei Finger in die Löcher steckte und zwei Hände zum Drehen des Balls benutzt.</v>
      </c>
    </row>
    <row r="29052">
      <c r="A29052" s="4" t="s">
        <v>36590</v>
      </c>
      <c r="B29052" s="4" t="s">
        <v>36592</v>
      </c>
      <c r="C29052" s="5" t="str">
        <f>IFERROR(__xludf.DUMMYFUNCTION("GOOGLETRANSLATE(B29052,""en"",""de"")"),"Die jungen Amateurspieler beginnen mit der zwei Handtechnik zu brüllen.")</f>
        <v>Die jungen Amateurspieler beginnen mit der zwei Handtechnik zu brüllen.</v>
      </c>
    </row>
    <row r="29053">
      <c r="A29053" s="4" t="s">
        <v>36590</v>
      </c>
      <c r="B29053" s="4" t="s">
        <v>36593</v>
      </c>
      <c r="C29053" s="5" t="str">
        <f>IFERROR(__xludf.DUMMYFUNCTION("GOOGLETRANSLATE(B29053,""en"",""de"")"),"Der Präsident der Bowling -Föderation Marcelo Garafulic wird eingeführt.")</f>
        <v>Der Präsident der Bowling -Föderation Marcelo Garafulic wird eingeführt.</v>
      </c>
    </row>
    <row r="29054">
      <c r="A29054" s="4" t="s">
        <v>36590</v>
      </c>
      <c r="B29054" s="4" t="s">
        <v>36594</v>
      </c>
      <c r="C29054" s="5" t="str">
        <f>IFERROR(__xludf.DUMMYFUNCTION("GOOGLETRANSLATE(B29054,""en"",""de"")"),"Der Ansager erklärt, wie das Team der bolivianischen Bowler trainiert und mehr Übung gezeigt wird.")</f>
        <v>Der Ansager erklärt, wie das Team der bolivianischen Bowler trainiert und mehr Übung gezeigt wird.</v>
      </c>
    </row>
    <row r="29055">
      <c r="A29055" s="4" t="s">
        <v>36590</v>
      </c>
      <c r="B29055" s="4" t="s">
        <v>36595</v>
      </c>
      <c r="C29055" s="5" t="str">
        <f>IFERROR(__xludf.DUMMYFUNCTION("GOOGLETRANSLATE(B29055,""en"",""de"")"),"Garafulic erklärt, Kliniken und die Medaillen zu erklären, die sie gewonnen haben, perfekte Spiele.")</f>
        <v>Garafulic erklärt, Kliniken und die Medaillen zu erklären, die sie gewonnen haben, perfekte Spiele.</v>
      </c>
    </row>
    <row r="29056">
      <c r="A29056" s="4" t="s">
        <v>36590</v>
      </c>
      <c r="B29056" s="4" t="s">
        <v>36596</v>
      </c>
      <c r="C29056" s="5" t="str">
        <f>IFERROR(__xludf.DUMMYFUNCTION("GOOGLETRANSLATE(B29056,""en"",""de"")"),"Die Bowler praktizieren erneut.")</f>
        <v>Die Bowler praktizieren erneut.</v>
      </c>
    </row>
    <row r="29057">
      <c r="A29057" s="4" t="s">
        <v>36597</v>
      </c>
      <c r="B29057" s="4" t="s">
        <v>36598</v>
      </c>
      <c r="C29057" s="5" t="str">
        <f>IFERROR(__xludf.DUMMYFUNCTION("GOOGLETRANSLATE(B29057,""en"",""de"")"),"Ein Junge ist barfuß und schiebt einen Rasenmäher in seinen Garten.")</f>
        <v>Ein Junge ist barfuß und schiebt einen Rasenmäher in seinen Garten.</v>
      </c>
    </row>
    <row r="29058">
      <c r="A29058" s="4" t="s">
        <v>36597</v>
      </c>
      <c r="B29058" s="4" t="s">
        <v>36599</v>
      </c>
      <c r="C29058" s="5" t="str">
        <f>IFERROR(__xludf.DUMMYFUNCTION("GOOGLETRANSLATE(B29058,""en"",""de"")"),"Ein kleines Mädchen läuft vorbei, während er mäht.")</f>
        <v>Ein kleines Mädchen läuft vorbei, während er mäht.</v>
      </c>
    </row>
    <row r="29059">
      <c r="A29059" s="4" t="s">
        <v>36600</v>
      </c>
      <c r="B29059" s="4" t="s">
        <v>36601</v>
      </c>
      <c r="C29059" s="5" t="str">
        <f>IFERROR(__xludf.DUMMYFUNCTION("GOOGLETRANSLATE(B29059,""en"",""de"")"),"Ein Mann ist in einem Raum mit einer Menge von Menschen, die ihn beobachten, während er sich auf die Aufführung vorbereitet.")</f>
        <v>Ein Mann ist in einem Raum mit einer Menge von Menschen, die ihn beobachten, während er sich auf die Aufführung vorbereitet.</v>
      </c>
    </row>
    <row r="29060">
      <c r="A29060" s="4" t="s">
        <v>36600</v>
      </c>
      <c r="B29060" s="4" t="s">
        <v>36602</v>
      </c>
      <c r="C29060" s="5" t="str">
        <f>IFERROR(__xludf.DUMMYFUNCTION("GOOGLETRANSLATE(B29060,""en"",""de"")"),"Der Mann steht rechts auf und legt einen blauen Plastikstuhl zwischen seine Beine und beginnt sich um den Kopf zu drehen.")</f>
        <v>Der Mann steht rechts auf und legt einen blauen Plastikstuhl zwischen seine Beine und beginnt sich um den Kopf zu drehen.</v>
      </c>
    </row>
    <row r="29061">
      <c r="A29061" s="4" t="s">
        <v>36600</v>
      </c>
      <c r="B29061" s="4" t="s">
        <v>36603</v>
      </c>
      <c r="C29061" s="5" t="str">
        <f>IFERROR(__xludf.DUMMYFUNCTION("GOOGLETRANSLATE(B29061,""en"",""de"")"),"Sobald er fertig ist, kommt eine andere Person auf und er beginnt sich auf seinem Kopf herumzudrehen, als ein bunter Hula -Reifen beginnt, sich um seine Taille zu drehen.")</f>
        <v>Sobald er fertig ist, kommt eine andere Person auf und er beginnt sich auf seinem Kopf herumzudrehen, als ein bunter Hula -Reifen beginnt, sich um seine Taille zu drehen.</v>
      </c>
    </row>
    <row r="29062">
      <c r="A29062" s="4" t="s">
        <v>36600</v>
      </c>
      <c r="B29062" s="4" t="s">
        <v>36604</v>
      </c>
      <c r="C29062" s="5" t="str">
        <f>IFERROR(__xludf.DUMMYFUNCTION("GOOGLETRANSLATE(B29062,""en"",""de"")"),"Er vervollständigt seine Leistung und die Menge springt auf und gratuliert dem Mann.")</f>
        <v>Er vervollständigt seine Leistung und die Menge springt auf und gratuliert dem Mann.</v>
      </c>
    </row>
    <row r="29063">
      <c r="A29063" s="4" t="s">
        <v>36605</v>
      </c>
      <c r="B29063" s="4" t="s">
        <v>36606</v>
      </c>
      <c r="C29063" s="5" t="str">
        <f>IFERROR(__xludf.DUMMYFUNCTION("GOOGLETRANSLATE(B29063,""en"",""de"")"),"Eine elektrische Maschine ist am Ende eines Ping -Pong -Tisches befestigt und bewegt sich mit den Bewegungsempfängern der Hand einer Person.")</f>
        <v>Eine elektrische Maschine ist am Ende eines Ping -Pong -Tisches befestigt und bewegt sich mit den Bewegungsempfängern der Hand einer Person.</v>
      </c>
    </row>
    <row r="29064">
      <c r="A29064" s="4" t="s">
        <v>36605</v>
      </c>
      <c r="B29064" s="4" t="s">
        <v>36607</v>
      </c>
      <c r="C29064" s="5" t="str">
        <f>IFERROR(__xludf.DUMMYFUNCTION("GOOGLETRANSLATE(B29064,""en"",""de"")"),"Danach werden dann mehrere Kugeln in das Paddel geworfen und von der Maschine zurückgegeben.")</f>
        <v>Danach werden dann mehrere Kugeln in das Paddel geworfen und von der Maschine zurückgegeben.</v>
      </c>
    </row>
    <row r="29065">
      <c r="A29065" s="4" t="s">
        <v>36605</v>
      </c>
      <c r="B29065" s="4" t="s">
        <v>36608</v>
      </c>
      <c r="C29065" s="5" t="str">
        <f>IFERROR(__xludf.DUMMYFUNCTION("GOOGLETRANSLATE(B29065,""en"",""de"")"),"Die Person geht dann über den Tisch und schlägt schneller auf die Kugeln und die Maschine beschleunigt sich, um den Ball zu treffen.")</f>
        <v>Die Person geht dann über den Tisch und schlägt schneller auf die Kugeln und die Maschine beschleunigt sich, um den Ball zu treffen.</v>
      </c>
    </row>
    <row r="29066">
      <c r="A29066" s="4" t="s">
        <v>36609</v>
      </c>
      <c r="B29066" s="4" t="s">
        <v>36610</v>
      </c>
      <c r="C29066" s="5" t="str">
        <f>IFERROR(__xludf.DUMMYFUNCTION("GOOGLETRANSLATE(B29066,""en"",""de"")"),"Erwachsene spielen ein Volleyballspiel auf einem Platz.")</f>
        <v>Erwachsene spielen ein Volleyballspiel auf einem Platz.</v>
      </c>
    </row>
    <row r="29067">
      <c r="A29067" s="4" t="s">
        <v>36609</v>
      </c>
      <c r="B29067" s="4" t="s">
        <v>5896</v>
      </c>
      <c r="C29067" s="5" t="str">
        <f>IFERROR(__xludf.DUMMYFUNCTION("GOOGLETRANSLATE(B29067,""en"",""de"")"),"Eine Menge beobachtet sie spielen.")</f>
        <v>Eine Menge beobachtet sie spielen.</v>
      </c>
    </row>
    <row r="29068">
      <c r="A29068" s="4" t="s">
        <v>36611</v>
      </c>
      <c r="B29068" s="4" t="s">
        <v>29742</v>
      </c>
      <c r="C29068" s="5" t="str">
        <f>IFERROR(__xludf.DUMMYFUNCTION("GOOGLETRANSLATE(B29068,""en"",""de"")"),"Die Leute trainieren in einem Fitnessstudio.")</f>
        <v>Die Leute trainieren in einem Fitnessstudio.</v>
      </c>
    </row>
    <row r="29069">
      <c r="A29069" s="4" t="s">
        <v>36611</v>
      </c>
      <c r="B29069" s="4" t="s">
        <v>36612</v>
      </c>
      <c r="C29069" s="5" t="str">
        <f>IFERROR(__xludf.DUMMYFUNCTION("GOOGLETRANSLATE(B29069,""en"",""de"")"),"Die Leute arbeiten an Spinbikes.")</f>
        <v>Die Leute arbeiten an Spinbikes.</v>
      </c>
    </row>
    <row r="29070">
      <c r="A29070" s="4" t="s">
        <v>36611</v>
      </c>
      <c r="B29070" s="4" t="s">
        <v>36613</v>
      </c>
      <c r="C29070" s="5" t="str">
        <f>IFERROR(__xludf.DUMMYFUNCTION("GOOGLETRANSLATE(B29070,""en"",""de"")"),"Eine Frau in einem gelben Tanktop spricht mit der Kamera.")</f>
        <v>Eine Frau in einem gelben Tanktop spricht mit der Kamera.</v>
      </c>
    </row>
    <row r="29071">
      <c r="A29071" s="4" t="s">
        <v>36611</v>
      </c>
      <c r="B29071" s="4" t="s">
        <v>36614</v>
      </c>
      <c r="C29071" s="5" t="str">
        <f>IFERROR(__xludf.DUMMYFUNCTION("GOOGLETRANSLATE(B29071,""en"",""de"")"),"Eine Frau in einem grünen Tanktop spricht mit der Kamera.")</f>
        <v>Eine Frau in einem grünen Tanktop spricht mit der Kamera.</v>
      </c>
    </row>
    <row r="29072">
      <c r="A29072" s="4" t="s">
        <v>36615</v>
      </c>
      <c r="B29072" s="4" t="s">
        <v>36616</v>
      </c>
      <c r="C29072" s="5" t="str">
        <f>IFERROR(__xludf.DUMMYFUNCTION("GOOGLETRANSLATE(B29072,""en"",""de"")"),"Eine Frau geht in den Rahmen und spricht mit der Kamera, während sie verschiedene Objekte in ihren Händen hält.")</f>
        <v>Eine Frau geht in den Rahmen und spricht mit der Kamera, während sie verschiedene Objekte in ihren Händen hält.</v>
      </c>
    </row>
    <row r="29073">
      <c r="A29073" s="4" t="s">
        <v>36615</v>
      </c>
      <c r="B29073" s="4" t="s">
        <v>36617</v>
      </c>
      <c r="C29073" s="5" t="str">
        <f>IFERROR(__xludf.DUMMYFUNCTION("GOOGLETRANSLATE(B29073,""en"",""de"")"),"Sie zieht weiterhin mehr Objekte heraus, während sie immer noch mit der Kamera spricht.")</f>
        <v>Sie zieht weiterhin mehr Objekte heraus, während sie immer noch mit der Kamera spricht.</v>
      </c>
    </row>
    <row r="29074">
      <c r="A29074" s="4" t="s">
        <v>36618</v>
      </c>
      <c r="B29074" s="4" t="s">
        <v>36619</v>
      </c>
      <c r="C29074" s="5" t="str">
        <f>IFERROR(__xludf.DUMMYFUNCTION("GOOGLETRANSLATE(B29074,""en"",""de"")"),"Zwei Jungen gehen einen Bürgersteig in der Nähe eines Pools hinunter.")</f>
        <v>Zwei Jungen gehen einen Bürgersteig in der Nähe eines Pools hinunter.</v>
      </c>
    </row>
    <row r="29075">
      <c r="A29075" s="4" t="s">
        <v>36618</v>
      </c>
      <c r="B29075" s="4" t="s">
        <v>36620</v>
      </c>
      <c r="C29075" s="5" t="str">
        <f>IFERROR(__xludf.DUMMYFUNCTION("GOOGLETRANSLATE(B29075,""en"",""de"")"),"Es gibt viele Leute, die verschiedene Dinge im und um den Pool machen.")</f>
        <v>Es gibt viele Leute, die verschiedene Dinge im und um den Pool machen.</v>
      </c>
    </row>
    <row r="29076">
      <c r="A29076" s="4" t="s">
        <v>36618</v>
      </c>
      <c r="B29076" s="4" t="s">
        <v>36621</v>
      </c>
      <c r="C29076" s="5" t="str">
        <f>IFERROR(__xludf.DUMMYFUNCTION("GOOGLETRANSLATE(B29076,""en"",""de"")"),"Einige Jungen springen von den Tauchbrettern und machen Flips und andere Tricks.")</f>
        <v>Einige Jungen springen von den Tauchbrettern und machen Flips und andere Tricks.</v>
      </c>
    </row>
    <row r="29077">
      <c r="A29077" s="4" t="s">
        <v>36622</v>
      </c>
      <c r="B29077" s="4" t="s">
        <v>1251</v>
      </c>
      <c r="C29077" s="5" t="str">
        <f>IFERROR(__xludf.DUMMYFUNCTION("GOOGLETRANSLATE(B29077,""en"",""de"")"),"Die Credits des Clips werden angezeigt.")</f>
        <v>Die Credits des Clips werden angezeigt.</v>
      </c>
    </row>
    <row r="29078">
      <c r="A29078" s="4" t="s">
        <v>36622</v>
      </c>
      <c r="B29078" s="4" t="s">
        <v>36623</v>
      </c>
      <c r="C29078" s="5" t="str">
        <f>IFERROR(__xludf.DUMMYFUNCTION("GOOGLETRANSLATE(B29078,""en"",""de"")"),"Die Leute haben ihre Hände auf einem Casino -Tisch.")</f>
        <v>Die Leute haben ihre Hände auf einem Casino -Tisch.</v>
      </c>
    </row>
    <row r="29079">
      <c r="A29079" s="4" t="s">
        <v>36622</v>
      </c>
      <c r="B29079" s="4" t="s">
        <v>573</v>
      </c>
      <c r="C29079" s="5" t="str">
        <f>IFERROR(__xludf.DUMMYFUNCTION("GOOGLETRANSLATE(B29079,""en"",""de"")"),"Die Credits des Videos werden angezeigt.")</f>
        <v>Die Credits des Videos werden angezeigt.</v>
      </c>
    </row>
    <row r="29080">
      <c r="A29080" s="4" t="s">
        <v>36624</v>
      </c>
      <c r="B29080" s="4" t="s">
        <v>36625</v>
      </c>
      <c r="C29080" s="5" t="str">
        <f>IFERROR(__xludf.DUMMYFUNCTION("GOOGLETRANSLATE(B29080,""en"",""de"")"),"Eine Frau sitzt hinter einem Klavier.")</f>
        <v>Eine Frau sitzt hinter einem Klavier.</v>
      </c>
    </row>
    <row r="29081">
      <c r="A29081" s="4" t="s">
        <v>36624</v>
      </c>
      <c r="B29081" s="4" t="s">
        <v>36626</v>
      </c>
      <c r="C29081" s="5" t="str">
        <f>IFERROR(__xludf.DUMMYFUNCTION("GOOGLETRANSLATE(B29081,""en"",""de"")"),"Ein Kind sitzt hinter einer Tastatur und spielt es.")</f>
        <v>Ein Kind sitzt hinter einer Tastatur und spielt es.</v>
      </c>
    </row>
    <row r="29082">
      <c r="A29082" s="4" t="s">
        <v>36624</v>
      </c>
      <c r="B29082" s="4" t="s">
        <v>36627</v>
      </c>
      <c r="C29082" s="5" t="str">
        <f>IFERROR(__xludf.DUMMYFUNCTION("GOOGLETRANSLATE(B29082,""en"",""de"")"),"Bilder von Klavieren werden am Ende gezeigt.")</f>
        <v>Bilder von Klavieren werden am Ende gezeigt.</v>
      </c>
    </row>
    <row r="29083">
      <c r="A29083" s="4" t="s">
        <v>36628</v>
      </c>
      <c r="B29083" s="4" t="s">
        <v>36629</v>
      </c>
      <c r="C29083" s="5" t="str">
        <f>IFERROR(__xludf.DUMMYFUNCTION("GOOGLETRANSLATE(B29083,""en"",""de"")"),"Ein Mädchen wird mehrmals auf einer Spur gezeigt.")</f>
        <v>Ein Mädchen wird mehrmals auf einer Spur gezeigt.</v>
      </c>
    </row>
    <row r="29084">
      <c r="A29084" s="4" t="s">
        <v>36628</v>
      </c>
      <c r="B29084" s="4" t="s">
        <v>36630</v>
      </c>
      <c r="C29084" s="5" t="str">
        <f>IFERROR(__xludf.DUMMYFUNCTION("GOOGLETRANSLATE(B29084,""en"",""de"")"),"Sie benutzt eine Pole, um über eine Balken zu treten.")</f>
        <v>Sie benutzt eine Pole, um über eine Balken zu treten.</v>
      </c>
    </row>
    <row r="29085">
      <c r="A29085" s="4" t="s">
        <v>36628</v>
      </c>
      <c r="B29085" s="4" t="s">
        <v>36631</v>
      </c>
      <c r="C29085" s="5" t="str">
        <f>IFERROR(__xludf.DUMMYFUNCTION("GOOGLETRANSLATE(B29085,""en"",""de"")"),"Sie landet auf einer Matte auf der anderen Seite.")</f>
        <v>Sie landet auf einer Matte auf der anderen Seite.</v>
      </c>
    </row>
    <row r="29086">
      <c r="A29086" s="4" t="s">
        <v>36632</v>
      </c>
      <c r="B29086" s="4" t="s">
        <v>36633</v>
      </c>
      <c r="C29086" s="5" t="str">
        <f>IFERROR(__xludf.DUMMYFUNCTION("GOOGLETRANSLATE(B29086,""en"",""de"")"),"Ein Boot, das ein blaues Segel mit zwei Personen hat, segelt in einem Gewässer.")</f>
        <v>Ein Boot, das ein blaues Segel mit zwei Personen hat, segelt in einem Gewässer.</v>
      </c>
    </row>
    <row r="29087">
      <c r="A29087" s="4" t="s">
        <v>36632</v>
      </c>
      <c r="B29087" s="4" t="s">
        <v>36634</v>
      </c>
      <c r="C29087" s="5" t="str">
        <f>IFERROR(__xludf.DUMMYFUNCTION("GOOGLETRANSLATE(B29087,""en"",""de"")"),"Die Person vor dem Boot lehnt sich zur Seite und schlägt anscheinend auf das Wasser.")</f>
        <v>Die Person vor dem Boot lehnt sich zur Seite und schlägt anscheinend auf das Wasser.</v>
      </c>
    </row>
    <row r="29088">
      <c r="A29088" s="4" t="s">
        <v>36632</v>
      </c>
      <c r="B29088" s="4" t="s">
        <v>36635</v>
      </c>
      <c r="C29088" s="5" t="str">
        <f>IFERROR(__xludf.DUMMYFUNCTION("GOOGLETRANSLATE(B29088,""en"",""de"")"),"Das Wasser wird immer abgehackter.")</f>
        <v>Das Wasser wird immer abgehackter.</v>
      </c>
    </row>
    <row r="29089">
      <c r="A29089" s="4" t="s">
        <v>36632</v>
      </c>
      <c r="B29089" s="4" t="s">
        <v>36636</v>
      </c>
      <c r="C29089" s="5" t="str">
        <f>IFERROR(__xludf.DUMMYFUNCTION("GOOGLETRANSLATE(B29089,""en"",""de"")"),"Das Boot dreht nach rechts.")</f>
        <v>Das Boot dreht nach rechts.</v>
      </c>
    </row>
    <row r="29090">
      <c r="A29090" s="4" t="s">
        <v>36632</v>
      </c>
      <c r="B29090" s="4" t="s">
        <v>36637</v>
      </c>
      <c r="C29090" s="5" t="str">
        <f>IFERROR(__xludf.DUMMYFUNCTION("GOOGLETRANSLATE(B29090,""en"",""de"")"),"Das Boot beginnt zum Ufer zu gehen.")</f>
        <v>Das Boot beginnt zum Ufer zu gehen.</v>
      </c>
    </row>
    <row r="29091">
      <c r="A29091" s="4" t="s">
        <v>36638</v>
      </c>
      <c r="B29091" s="4" t="s">
        <v>36639</v>
      </c>
      <c r="C29091" s="5" t="str">
        <f>IFERROR(__xludf.DUMMYFUNCTION("GOOGLETRANSLATE(B29091,""en"",""de"")"),"Wir sehen zwei Personen unter Wasser in einem Pool.")</f>
        <v>Wir sehen zwei Personen unter Wasser in einem Pool.</v>
      </c>
    </row>
    <row r="29092">
      <c r="A29092" s="4" t="s">
        <v>36638</v>
      </c>
      <c r="B29092" s="4" t="s">
        <v>36640</v>
      </c>
      <c r="C29092" s="5" t="str">
        <f>IFERROR(__xludf.DUMMYFUNCTION("GOOGLETRANSLATE(B29092,""en"",""de"")"),"Die Leute tauschen einen Flipper aus.")</f>
        <v>Die Leute tauschen einen Flipper aus.</v>
      </c>
    </row>
    <row r="29093">
      <c r="A29093" s="4" t="s">
        <v>36638</v>
      </c>
      <c r="B29093" s="4" t="s">
        <v>36641</v>
      </c>
      <c r="C29093" s="5" t="str">
        <f>IFERROR(__xludf.DUMMYFUNCTION("GOOGLETRANSLATE(B29093,""en"",""de"")"),"Die Männer beginnen eine Verschnaufpause.")</f>
        <v>Die Männer beginnen eine Verschnaufpause.</v>
      </c>
    </row>
    <row r="29094">
      <c r="A29094" s="4" t="s">
        <v>36638</v>
      </c>
      <c r="B29094" s="4" t="s">
        <v>36642</v>
      </c>
      <c r="C29094" s="5" t="str">
        <f>IFERROR(__xludf.DUMMYFUNCTION("GOOGLETRANSLATE(B29094,""en"",""de"")"),"Der Austausch ihrer anderen Flipper.")</f>
        <v>Der Austausch ihrer anderen Flipper.</v>
      </c>
    </row>
    <row r="29095">
      <c r="A29095" s="4" t="s">
        <v>36638</v>
      </c>
      <c r="B29095" s="4" t="s">
        <v>36643</v>
      </c>
      <c r="C29095" s="5" t="str">
        <f>IFERROR(__xludf.DUMMYFUNCTION("GOOGLETRANSLATE(B29095,""en"",""de"")"),"Die Männer wechseln ihre Luftausrüstung.")</f>
        <v>Die Männer wechseln ihre Luftausrüstung.</v>
      </c>
    </row>
    <row r="29096">
      <c r="A29096" s="4" t="s">
        <v>36638</v>
      </c>
      <c r="B29096" s="4" t="s">
        <v>36644</v>
      </c>
      <c r="C29096" s="5" t="str">
        <f>IFERROR(__xludf.DUMMYFUNCTION("GOOGLETRANSLATE(B29096,""en"",""de"")"),"Der richtige Mann kann das Armloch nicht finden.")</f>
        <v>Der richtige Mann kann das Armloch nicht finden.</v>
      </c>
    </row>
    <row r="29097">
      <c r="A29097" s="4" t="s">
        <v>36645</v>
      </c>
      <c r="B29097" s="4" t="s">
        <v>36646</v>
      </c>
      <c r="C29097" s="5" t="str">
        <f>IFERROR(__xludf.DUMMYFUNCTION("GOOGLETRANSLATE(B29097,""en"",""de"")"),"Zuerst werden die Menschen nach hinten schwimmen.")</f>
        <v>Zuerst werden die Menschen nach hinten schwimmen.</v>
      </c>
    </row>
    <row r="29098">
      <c r="A29098" s="4" t="s">
        <v>36645</v>
      </c>
      <c r="B29098" s="4" t="s">
        <v>36647</v>
      </c>
      <c r="C29098" s="5" t="str">
        <f>IFERROR(__xludf.DUMMYFUNCTION("GOOGLETRANSLATE(B29098,""en"",""de"")"),"Dann spielen sie Volleyball im Wasser.")</f>
        <v>Dann spielen sie Volleyball im Wasser.</v>
      </c>
    </row>
    <row r="29099">
      <c r="A29099" s="4" t="s">
        <v>36648</v>
      </c>
      <c r="B29099" s="4" t="s">
        <v>36649</v>
      </c>
      <c r="C29099" s="5" t="str">
        <f>IFERROR(__xludf.DUMMYFUNCTION("GOOGLETRANSLATE(B29099,""en"",""de"")"),"Eine Frau spricht vor einem Bild von zwei Hirschen auf einer Ebene.")</f>
        <v>Eine Frau spricht vor einem Bild von zwei Hirschen auf einer Ebene.</v>
      </c>
    </row>
    <row r="29100">
      <c r="A29100" s="4" t="s">
        <v>36648</v>
      </c>
      <c r="B29100" s="4" t="s">
        <v>36650</v>
      </c>
      <c r="C29100" s="5" t="str">
        <f>IFERROR(__xludf.DUMMYFUNCTION("GOOGLETRANSLATE(B29100,""en"",""de"")"),"Wir sehen dann einen Mann, der redet, während sie Löcher in das Eis bohren.")</f>
        <v>Wir sehen dann einen Mann, der redet, während sie Löcher in das Eis bohren.</v>
      </c>
    </row>
    <row r="29101">
      <c r="A29101" s="4" t="s">
        <v>36648</v>
      </c>
      <c r="B29101" s="4" t="s">
        <v>36651</v>
      </c>
      <c r="C29101" s="5" t="str">
        <f>IFERROR(__xludf.DUMMYFUNCTION("GOOGLETRANSLATE(B29101,""en"",""de"")"),"Einige Stande servieren den Menschen Hot Dogs, während sie Eisfische haben.")</f>
        <v>Einige Stande servieren den Menschen Hot Dogs, während sie Eisfische haben.</v>
      </c>
    </row>
    <row r="29102">
      <c r="A29102" s="4" t="s">
        <v>36648</v>
      </c>
      <c r="B29102" s="4" t="s">
        <v>36652</v>
      </c>
      <c r="C29102" s="5" t="str">
        <f>IFERROR(__xludf.DUMMYFUNCTION("GOOGLETRANSLATE(B29102,""en"",""de"")"),"Ein kleiner Junge und ein Mädchen versuchen, einen Fisch zu fangen.")</f>
        <v>Ein kleiner Junge und ein Mädchen versuchen, einen Fisch zu fangen.</v>
      </c>
    </row>
    <row r="29103">
      <c r="A29103" s="4" t="s">
        <v>36648</v>
      </c>
      <c r="B29103" s="4" t="s">
        <v>36653</v>
      </c>
      <c r="C29103" s="5" t="str">
        <f>IFERROR(__xludf.DUMMYFUNCTION("GOOGLETRANSLATE(B29103,""en"",""de"")"),"Sie werden beim Fischen interviewt.")</f>
        <v>Sie werden beim Fischen interviewt.</v>
      </c>
    </row>
    <row r="29104">
      <c r="A29104" s="4" t="s">
        <v>36654</v>
      </c>
      <c r="B29104" s="4" t="s">
        <v>36655</v>
      </c>
      <c r="C29104" s="5" t="str">
        <f>IFERROR(__xludf.DUMMYFUNCTION("GOOGLETRANSLATE(B29104,""en"",""de"")"),"Die Finger drücken die schwarzen Schlüssel.")</f>
        <v>Die Finger drücken die schwarzen Schlüssel.</v>
      </c>
    </row>
    <row r="29105">
      <c r="A29105" s="4" t="s">
        <v>36654</v>
      </c>
      <c r="B29105" s="4" t="s">
        <v>36656</v>
      </c>
      <c r="C29105" s="5" t="str">
        <f>IFERROR(__xludf.DUMMYFUNCTION("GOOGLETRANSLATE(B29105,""en"",""de"")"),"Ein Finger drückt eine Taste.")</f>
        <v>Ein Finger drückt eine Taste.</v>
      </c>
    </row>
    <row r="29106">
      <c r="A29106" s="4" t="s">
        <v>36654</v>
      </c>
      <c r="B29106" s="4" t="s">
        <v>36657</v>
      </c>
      <c r="C29106" s="5" t="str">
        <f>IFERROR(__xludf.DUMMYFUNCTION("GOOGLETRANSLATE(B29106,""en"",""de"")"),"Die Finger bewegen sich zu verschiedenen Schlüssel und drücken sie.")</f>
        <v>Die Finger bewegen sich zu verschiedenen Schlüssel und drücken sie.</v>
      </c>
    </row>
    <row r="29107">
      <c r="A29107" s="4" t="s">
        <v>36658</v>
      </c>
      <c r="B29107" s="4" t="s">
        <v>36659</v>
      </c>
      <c r="C29107" s="5" t="str">
        <f>IFERROR(__xludf.DUMMYFUNCTION("GOOGLETRANSLATE(B29107,""en"",""de"")"),"Eine Frau wird gesehen, wie sie mit ihren Händen mit der Kamera spricht und führt zu ihrem Knien, wenn sie einen Eimer entleert.")</f>
        <v>Eine Frau wird gesehen, wie sie mit ihren Händen mit der Kamera spricht und führt zu ihrem Knien, wenn sie einen Eimer entleert.</v>
      </c>
    </row>
    <row r="29108">
      <c r="A29108" s="4" t="s">
        <v>36658</v>
      </c>
      <c r="B29108" s="4" t="s">
        <v>36660</v>
      </c>
      <c r="C29108" s="5" t="str">
        <f>IFERROR(__xludf.DUMMYFUNCTION("GOOGLETRANSLATE(B29108,""en"",""de"")"),"Sie benutzt dann einen Rechen, um den ganzen Schmutz um den Baum zu reiben, während sie noch anhält, um mit der Kamera zu sprechen.")</f>
        <v>Sie benutzt dann einen Rechen, um den ganzen Schmutz um den Baum zu reiben, während sie noch anhält, um mit der Kamera zu sprechen.</v>
      </c>
    </row>
    <row r="29109">
      <c r="A29109" s="4" t="s">
        <v>36661</v>
      </c>
      <c r="B29109" s="4" t="s">
        <v>36662</v>
      </c>
      <c r="C29109" s="5" t="str">
        <f>IFERROR(__xludf.DUMMYFUNCTION("GOOGLETRANSLATE(B29109,""en"",""de"")"),"Eine Frau wird gezeigt, die einen Schuss hält und mit der Kamera spricht, während er in einem großen Fitnessstudio steht.")</f>
        <v>Eine Frau wird gezeigt, die einen Schuss hält und mit der Kamera spricht, während er in einem großen Fitnessstudio steht.</v>
      </c>
    </row>
    <row r="29110">
      <c r="A29110" s="4" t="s">
        <v>36661</v>
      </c>
      <c r="B29110" s="4" t="s">
        <v>36663</v>
      </c>
      <c r="C29110" s="5" t="str">
        <f>IFERROR(__xludf.DUMMYFUNCTION("GOOGLETRANSLATE(B29110,""en"",""de"")"),"Sie zeigt, wie man das Werkzeug richtig wirft, und führt mehrere Würfe durch, um zu zeigen, wie es korrekt ist.")</f>
        <v>Sie zeigt, wie man das Werkzeug richtig wirft, und führt mehrere Würfe durch, um zu zeigen, wie es korrekt ist.</v>
      </c>
    </row>
    <row r="29111">
      <c r="A29111" s="4" t="s">
        <v>36664</v>
      </c>
      <c r="B29111" s="4" t="s">
        <v>36665</v>
      </c>
      <c r="C29111" s="5" t="str">
        <f>IFERROR(__xludf.DUMMYFUNCTION("GOOGLETRANSLATE(B29111,""en"",""de"")"),"Das Äußere ist ein Geschäft vom Parkplatz aus zu sehen.")</f>
        <v>Das Äußere ist ein Geschäft vom Parkplatz aus zu sehen.</v>
      </c>
    </row>
    <row r="29112">
      <c r="A29112" s="4" t="s">
        <v>36664</v>
      </c>
      <c r="B29112" s="4" t="s">
        <v>36666</v>
      </c>
      <c r="C29112" s="5" t="str">
        <f>IFERROR(__xludf.DUMMYFUNCTION("GOOGLETRANSLATE(B29112,""en"",""de"")"),"Ein Mann sitzt mit Trophäen auf einer Holzbank gegen ein Fenster.")</f>
        <v>Ein Mann sitzt mit Trophäen auf einer Holzbank gegen ein Fenster.</v>
      </c>
    </row>
    <row r="29113">
      <c r="A29113" s="4" t="s">
        <v>36664</v>
      </c>
      <c r="B29113" s="4" t="s">
        <v>36667</v>
      </c>
      <c r="C29113" s="5" t="str">
        <f>IFERROR(__xludf.DUMMYFUNCTION("GOOGLETRANSLATE(B29113,""en"",""de"")"),"Der Mann spricht, während er mit einem Tätowierer sitzt, der auf seiner Schulter arbeitet.")</f>
        <v>Der Mann spricht, während er mit einem Tätowierer sitzt, der auf seiner Schulter arbeitet.</v>
      </c>
    </row>
    <row r="29114">
      <c r="A29114" s="4" t="s">
        <v>36664</v>
      </c>
      <c r="B29114" s="4" t="s">
        <v>36668</v>
      </c>
      <c r="C29114" s="5" t="str">
        <f>IFERROR(__xludf.DUMMYFUNCTION("GOOGLETRANSLATE(B29114,""en"",""de"")"),"Der Tätowierer wischt sich den Bereich wischt, an dem er arbeitet, und zeichnet weiter.")</f>
        <v>Der Tätowierer wischt sich den Bereich wischt, an dem er arbeitet, und zeichnet weiter.</v>
      </c>
    </row>
    <row r="29115">
      <c r="A29115" s="4" t="s">
        <v>36664</v>
      </c>
      <c r="B29115" s="4" t="s">
        <v>36669</v>
      </c>
      <c r="C29115" s="5" t="str">
        <f>IFERROR(__xludf.DUMMYFUNCTION("GOOGLETRANSLATE(B29115,""en"",""de"")"),"Der Tätowierer schaltet das Licht aus und stoppt seine Arbeit.")</f>
        <v>Der Tätowierer schaltet das Licht aus und stoppt seine Arbeit.</v>
      </c>
    </row>
    <row r="29116">
      <c r="A29116" s="4" t="s">
        <v>36664</v>
      </c>
      <c r="B29116" s="4" t="s">
        <v>36670</v>
      </c>
      <c r="C29116" s="5" t="str">
        <f>IFERROR(__xludf.DUMMYFUNCTION("GOOGLETRANSLATE(B29116,""en"",""de"")"),"Der Mann steht auf und zeigt sein Tattoo.")</f>
        <v>Der Mann steht auf und zeigt sein Tattoo.</v>
      </c>
    </row>
    <row r="29117">
      <c r="A29117" s="4" t="s">
        <v>36671</v>
      </c>
      <c r="B29117" s="4" t="s">
        <v>36672</v>
      </c>
      <c r="C29117" s="5" t="str">
        <f>IFERROR(__xludf.DUMMYFUNCTION("GOOGLETRANSLATE(B29117,""en"",""de"")"),"Männer sind auf den Seiten eines Autos, das ein blaues Auto in einer Handwagenwäsche poliert.")</f>
        <v>Männer sind auf den Seiten eines Autos, das ein blaues Auto in einer Handwagenwäsche poliert.</v>
      </c>
    </row>
    <row r="29118">
      <c r="A29118" s="4" t="s">
        <v>36671</v>
      </c>
      <c r="B29118" s="4" t="s">
        <v>36673</v>
      </c>
      <c r="C29118" s="5" t="str">
        <f>IFERROR(__xludf.DUMMYFUNCTION("GOOGLETRANSLATE(B29118,""en"",""de"")"),"Das blaue Auto befindet sich in einer blauen Autowäsche und Männer polieren es.")</f>
        <v>Das blaue Auto befindet sich in einer blauen Autowäsche und Männer polieren es.</v>
      </c>
    </row>
    <row r="29119">
      <c r="A29119" s="4" t="s">
        <v>36671</v>
      </c>
      <c r="B29119" s="4" t="s">
        <v>36674</v>
      </c>
      <c r="C29119" s="5" t="str">
        <f>IFERROR(__xludf.DUMMYFUNCTION("GOOGLETRANSLATE(B29119,""en"",""de"")"),"Männer halten Kleidung an den Händen, die das Auto putzen.")</f>
        <v>Männer halten Kleidung an den Händen, die das Auto putzen.</v>
      </c>
    </row>
    <row r="29120">
      <c r="A29120" s="4" t="s">
        <v>36675</v>
      </c>
      <c r="B29120" s="4" t="s">
        <v>36676</v>
      </c>
      <c r="C29120" s="5" t="str">
        <f>IFERROR(__xludf.DUMMYFUNCTION("GOOGLETRANSLATE(B29120,""en"",""de"")"),"Eine Person steckt in einem Flur.")</f>
        <v>Eine Person steckt in einem Flur.</v>
      </c>
    </row>
    <row r="29121">
      <c r="A29121" s="4" t="s">
        <v>36675</v>
      </c>
      <c r="B29121" s="4" t="s">
        <v>36677</v>
      </c>
      <c r="C29121" s="5" t="str">
        <f>IFERROR(__xludf.DUMMYFUNCTION("GOOGLETRANSLATE(B29121,""en"",""de"")"),"Ein Kleinkind im Pyjama läuft verzweifelt an, rennt in andere Räume und springt aufgeregt, weil er abgeholt werden will.")</f>
        <v>Ein Kleinkind im Pyjama läuft verzweifelt an, rennt in andere Räume und springt aufgeregt, weil er abgeholt werden will.</v>
      </c>
    </row>
    <row r="29122">
      <c r="A29122" s="4" t="s">
        <v>36675</v>
      </c>
      <c r="B29122" s="4" t="s">
        <v>36678</v>
      </c>
      <c r="C29122" s="5" t="str">
        <f>IFERROR(__xludf.DUMMYFUNCTION("GOOGLETRANSLATE(B29122,""en"",""de"")"),"Er ist wütend, wenn seine Mutter mit dem Vakuum ins Badezimmer geht.")</f>
        <v>Er ist wütend, wenn seine Mutter mit dem Vakuum ins Badezimmer geht.</v>
      </c>
    </row>
    <row r="29123">
      <c r="A29123" s="4" t="s">
        <v>36675</v>
      </c>
      <c r="B29123" s="4" t="s">
        <v>36679</v>
      </c>
      <c r="C29123" s="5" t="str">
        <f>IFERROR(__xludf.DUMMYFUNCTION("GOOGLETRANSLATE(B29123,""en"",""de"")"),"Die Frau gibt dem Jungen das Vakuum und er stackt die Böden.")</f>
        <v>Die Frau gibt dem Jungen das Vakuum und er stackt die Böden.</v>
      </c>
    </row>
    <row r="29124">
      <c r="A29124" s="4" t="s">
        <v>36680</v>
      </c>
      <c r="B29124" s="4" t="s">
        <v>36681</v>
      </c>
      <c r="C29124" s="5" t="str">
        <f>IFERROR(__xludf.DUMMYFUNCTION("GOOGLETRANSLATE(B29124,""en"",""de"")"),"Die Leute sitzen in Stühlen im Pool.")</f>
        <v>Die Leute sitzen in Stühlen im Pool.</v>
      </c>
    </row>
    <row r="29125">
      <c r="A29125" s="4" t="s">
        <v>36680</v>
      </c>
      <c r="B29125" s="4" t="s">
        <v>36682</v>
      </c>
      <c r="C29125" s="5" t="str">
        <f>IFERROR(__xludf.DUMMYFUNCTION("GOOGLETRANSLATE(B29125,""en"",""de"")"),"Mann und Frau reden und präsentieren den Mann, der am Pool am Pool geht.")</f>
        <v>Mann und Frau reden und präsentieren den Mann, der am Pool am Pool geht.</v>
      </c>
    </row>
    <row r="29126">
      <c r="A29126" s="4" t="s">
        <v>36680</v>
      </c>
      <c r="B29126" s="4" t="s">
        <v>36683</v>
      </c>
      <c r="C29126" s="5" t="str">
        <f>IFERROR(__xludf.DUMMYFUNCTION("GOOGLETRANSLATE(B29126,""en"",""de"")"),"Der Mensch ist Gewichtheber und macht einen großen Sprung aus einem Trampolin und spricht mit der Kamera.")</f>
        <v>Der Mensch ist Gewichtheber und macht einen großen Sprung aus einem Trampolin und spricht mit der Kamera.</v>
      </c>
    </row>
    <row r="29127">
      <c r="A29127" s="4" t="s">
        <v>36680</v>
      </c>
      <c r="B29127" s="4" t="s">
        <v>36684</v>
      </c>
      <c r="C29127" s="5" t="str">
        <f>IFERROR(__xludf.DUMMYFUNCTION("GOOGLETRANSLATE(B29127,""en"",""de"")"),"Es wird ein großer Plattfom gezeigt und ein Mann wird von einer Frau in Trampolin interviewt.")</f>
        <v>Es wird ein großer Plattfom gezeigt und ein Mann wird von einer Frau in Trampolin interviewt.</v>
      </c>
    </row>
    <row r="29128">
      <c r="A29128" s="4" t="s">
        <v>36680</v>
      </c>
      <c r="B29128" s="4" t="s">
        <v>36685</v>
      </c>
      <c r="C29128" s="5" t="str">
        <f>IFERROR(__xludf.DUMMYFUNCTION("GOOGLETRANSLATE(B29128,""en"",""de"")"),"Die Frau im Publikum schreit und wirft Küsse.")</f>
        <v>Die Frau im Publikum schreit und wirft Küsse.</v>
      </c>
    </row>
    <row r="29129">
      <c r="A29129" s="4" t="s">
        <v>36680</v>
      </c>
      <c r="B29129" s="4" t="s">
        <v>36686</v>
      </c>
      <c r="C29129" s="5" t="str">
        <f>IFERROR(__xludf.DUMMYFUNCTION("GOOGLETRANSLATE(B29129,""en"",""de"")"),"Der Mensch ist auf dem 10 -m -Trampolin und lässt einen Hand stehen, um den Sprung zum Pool zu machen.")</f>
        <v>Der Mensch ist auf dem 10 -m -Trampolin und lässt einen Hand stehen, um den Sprung zum Pool zu machen.</v>
      </c>
    </row>
    <row r="29130">
      <c r="A29130" s="4" t="s">
        <v>36680</v>
      </c>
      <c r="B29130" s="4" t="s">
        <v>36687</v>
      </c>
      <c r="C29130" s="5" t="str">
        <f>IFERROR(__xludf.DUMMYFUNCTION("GOOGLETRANSLATE(B29130,""en"",""de"")"),"Die Frau ist beeindruckt am Pool und hat ihre Hände auf ihrem Gesicht.")</f>
        <v>Die Frau ist beeindruckt am Pool und hat ihre Hände auf ihrem Gesicht.</v>
      </c>
    </row>
    <row r="29131">
      <c r="A29131" s="4" t="s">
        <v>36680</v>
      </c>
      <c r="B29131" s="4" t="s">
        <v>36688</v>
      </c>
      <c r="C29131" s="5" t="str">
        <f>IFERROR(__xludf.DUMMYFUNCTION("GOOGLETRANSLATE(B29131,""en"",""de"")"),"Präsentator interviewt den Mann.")</f>
        <v>Präsentator interviewt den Mann.</v>
      </c>
    </row>
    <row r="29132">
      <c r="A29132" s="4" t="s">
        <v>36689</v>
      </c>
      <c r="B29132" s="4" t="s">
        <v>36690</v>
      </c>
      <c r="C29132" s="5" t="str">
        <f>IFERROR(__xludf.DUMMYFUNCTION("GOOGLETRANSLATE(B29132,""en"",""de"")"),"Eine Gruppe von Menschen reitet auf einem Feld auf Pferden.")</f>
        <v>Eine Gruppe von Menschen reitet auf einem Feld auf Pferden.</v>
      </c>
    </row>
    <row r="29133">
      <c r="A29133" s="4" t="s">
        <v>36689</v>
      </c>
      <c r="B29133" s="4" t="s">
        <v>36691</v>
      </c>
      <c r="C29133" s="5" t="str">
        <f>IFERROR(__xludf.DUMMYFUNCTION("GOOGLETRANSLATE(B29133,""en"",""de"")"),"Sie beginnen ein Polospiel.")</f>
        <v>Sie beginnen ein Polospiel.</v>
      </c>
    </row>
    <row r="29134">
      <c r="A29134" s="4" t="s">
        <v>36689</v>
      </c>
      <c r="B29134" s="4" t="s">
        <v>36692</v>
      </c>
      <c r="C29134" s="5" t="str">
        <f>IFERROR(__xludf.DUMMYFUNCTION("GOOGLETRANSLATE(B29134,""en"",""de"")"),"Sie fahren mit ihren Pferden und versuchen, den Ball zu bekommen.")</f>
        <v>Sie fahren mit ihren Pferden und versuchen, den Ball zu bekommen.</v>
      </c>
    </row>
    <row r="29135">
      <c r="A29135" s="4" t="s">
        <v>36693</v>
      </c>
      <c r="B29135" s="4" t="s">
        <v>36694</v>
      </c>
      <c r="C29135" s="5" t="str">
        <f>IFERROR(__xludf.DUMMYFUNCTION("GOOGLETRANSLATE(B29135,""en"",""de"")"),"Frauen stehen im Sand und beobachten, während einige andere Frauen surfen.")</f>
        <v>Frauen stehen im Sand und beobachten, während einige andere Frauen surfen.</v>
      </c>
    </row>
    <row r="29136">
      <c r="A29136" s="4" t="s">
        <v>36693</v>
      </c>
      <c r="B29136" s="4" t="s">
        <v>36695</v>
      </c>
      <c r="C29136" s="5" t="str">
        <f>IFERROR(__xludf.DUMMYFUNCTION("GOOGLETRANSLATE(B29136,""en"",""de"")"),"Einige von ihnen sind da draußen im Ozean, die auf den Wellen reiten und die Fahrt genießen.")</f>
        <v>Einige von ihnen sind da draußen im Ozean, die auf den Wellen reiten und die Fahrt genießen.</v>
      </c>
    </row>
    <row r="29137">
      <c r="A29137" s="4" t="s">
        <v>36693</v>
      </c>
      <c r="B29137" s="4" t="s">
        <v>36696</v>
      </c>
      <c r="C29137" s="5" t="str">
        <f>IFERROR(__xludf.DUMMYFUNCTION("GOOGLETRANSLATE(B29137,""en"",""de"")"),"Einer von ihnen hat nur einen Arm und sie surft so gut, es ist erstaunlich.")</f>
        <v>Einer von ihnen hat nur einen Arm und sie surft so gut, es ist erstaunlich.</v>
      </c>
    </row>
    <row r="29138">
      <c r="A29138" s="4" t="s">
        <v>36693</v>
      </c>
      <c r="B29138" s="4" t="s">
        <v>36697</v>
      </c>
      <c r="C29138" s="5" t="str">
        <f>IFERROR(__xludf.DUMMYFUNCTION("GOOGLETRANSLATE(B29138,""en"",""de"")"),"Sie tragen sie über und dann stehen 4 Mädchen, während sie Geschenke für ihre Leistung bekommen und das einhande Mädchen darüber sprechen kann.")</f>
        <v>Sie tragen sie über und dann stehen 4 Mädchen, während sie Geschenke für ihre Leistung bekommen und das einhande Mädchen darüber sprechen kann.</v>
      </c>
    </row>
    <row r="29139">
      <c r="A29139" s="4" t="s">
        <v>36698</v>
      </c>
      <c r="B29139" s="4" t="s">
        <v>1487</v>
      </c>
      <c r="C29139" s="5" t="str">
        <f>IFERROR(__xludf.DUMMYFUNCTION("GOOGLETRANSLATE(B29139,""en"",""de"")"),"Wir sehen einen Öffnungsbildschirm.")</f>
        <v>Wir sehen einen Öffnungsbildschirm.</v>
      </c>
    </row>
    <row r="29140">
      <c r="A29140" s="4" t="s">
        <v>36698</v>
      </c>
      <c r="B29140" s="4" t="s">
        <v>36699</v>
      </c>
      <c r="C29140" s="5" t="str">
        <f>IFERROR(__xludf.DUMMYFUNCTION("GOOGLETRANSLATE(B29140,""en"",""de"")"),"Eine Frau in einem dunklen Raum spielt mit seiner Hand Schlagzeug.")</f>
        <v>Eine Frau in einem dunklen Raum spielt mit seiner Hand Schlagzeug.</v>
      </c>
    </row>
    <row r="29141">
      <c r="A29141" s="4" t="s">
        <v>36698</v>
      </c>
      <c r="B29141" s="4" t="s">
        <v>36700</v>
      </c>
      <c r="C29141" s="5" t="str">
        <f>IFERROR(__xludf.DUMMYFUNCTION("GOOGLETRANSLATE(B29141,""en"",""de"")"),"Die Kamera neigt sich auf der Seite und geht dann wieder aufrecht.")</f>
        <v>Die Kamera neigt sich auf der Seite und geht dann wieder aufrecht.</v>
      </c>
    </row>
    <row r="29142">
      <c r="A29142" s="4" t="s">
        <v>36698</v>
      </c>
      <c r="B29142" s="4" t="s">
        <v>36701</v>
      </c>
      <c r="C29142" s="5" t="str">
        <f>IFERROR(__xludf.DUMMYFUNCTION("GOOGLETRANSLATE(B29142,""en"",""de"")"),"Wir sehen den Raum um die Dame.")</f>
        <v>Wir sehen den Raum um die Dame.</v>
      </c>
    </row>
    <row r="29143">
      <c r="A29143" s="4" t="s">
        <v>36698</v>
      </c>
      <c r="B29143" s="4" t="s">
        <v>777</v>
      </c>
      <c r="C29143" s="5" t="str">
        <f>IFERROR(__xludf.DUMMYFUNCTION("GOOGLETRANSLATE(B29143,""en"",""de"")"),"Wir sehen den End -Titelbildschirm.")</f>
        <v>Wir sehen den End -Titelbildschirm.</v>
      </c>
    </row>
    <row r="29144">
      <c r="A29144" s="4" t="s">
        <v>36702</v>
      </c>
      <c r="B29144" s="4" t="s">
        <v>36703</v>
      </c>
      <c r="C29144" s="5" t="str">
        <f>IFERROR(__xludf.DUMMYFUNCTION("GOOGLETRANSLATE(B29144,""en"",""de"")"),"Eine Frau sitzt auf einem Trainingsgerät, das sich nach vorne schaut.")</f>
        <v>Eine Frau sitzt auf einem Trainingsgerät, das sich nach vorne schaut.</v>
      </c>
    </row>
    <row r="29145">
      <c r="A29145" s="4" t="s">
        <v>36702</v>
      </c>
      <c r="B29145" s="4" t="s">
        <v>36704</v>
      </c>
      <c r="C29145" s="5" t="str">
        <f>IFERROR(__xludf.DUMMYFUNCTION("GOOGLETRANSLATE(B29145,""en"",""de"")"),"Sie greift dann nach dem Hebel vorne und zieht sich selbst.")</f>
        <v>Sie greift dann nach dem Hebel vorne und zieht sich selbst.</v>
      </c>
    </row>
    <row r="29146">
      <c r="A29146" s="4" t="s">
        <v>36702</v>
      </c>
      <c r="B29146" s="4" t="s">
        <v>36705</v>
      </c>
      <c r="C29146" s="5" t="str">
        <f>IFERROR(__xludf.DUMMYFUNCTION("GOOGLETRANSLATE(B29146,""en"",""de"")"),"Das Mädchen zieht sich dann zurück und den vierten Platz auf der Maschine, während die Kamera ihre Bewegungen einfängt.")</f>
        <v>Das Mädchen zieht sich dann zurück und den vierten Platz auf der Maschine, während die Kamera ihre Bewegungen einfängt.</v>
      </c>
    </row>
    <row r="29147">
      <c r="A29147" s="4" t="s">
        <v>36706</v>
      </c>
      <c r="B29147" s="4" t="s">
        <v>36707</v>
      </c>
      <c r="C29147" s="5" t="str">
        <f>IFERROR(__xludf.DUMMYFUNCTION("GOOGLETRANSLATE(B29147,""en"",""de"")"),"Ein Mann mit Dreads redet und bringt seine Instrumente zusammen, um Musik zu machen.")</f>
        <v>Ein Mann mit Dreads redet und bringt seine Instrumente zusammen, um Musik zu machen.</v>
      </c>
    </row>
    <row r="29148">
      <c r="A29148" s="4" t="s">
        <v>36706</v>
      </c>
      <c r="B29148" s="4" t="s">
        <v>36708</v>
      </c>
      <c r="C29148" s="5" t="str">
        <f>IFERROR(__xludf.DUMMYFUNCTION("GOOGLETRANSLATE(B29148,""en"",""de"")"),"Er sperrt sehr glücklich im Auto.")</f>
        <v>Er sperrt sehr glücklich im Auto.</v>
      </c>
    </row>
    <row r="29149">
      <c r="A29149" s="4" t="s">
        <v>36706</v>
      </c>
      <c r="B29149" s="4" t="s">
        <v>36709</v>
      </c>
      <c r="C29149" s="5" t="str">
        <f>IFERROR(__xludf.DUMMYFUNCTION("GOOGLETRANSLATE(B29149,""en"",""de"")"),"Es fährt auch viel Verkehr und Ambulenz.")</f>
        <v>Es fährt auch viel Verkehr und Ambulenz.</v>
      </c>
    </row>
    <row r="29150">
      <c r="A29150" s="4" t="s">
        <v>36706</v>
      </c>
      <c r="B29150" s="4" t="s">
        <v>36710</v>
      </c>
      <c r="C29150" s="5" t="str">
        <f>IFERROR(__xludf.DUMMYFUNCTION("GOOGLETRANSLATE(B29150,""en"",""de"")"),"Er nimmt die gesamte Musik auf einem Laptop auf.")</f>
        <v>Er nimmt die gesamte Musik auf einem Laptop auf.</v>
      </c>
    </row>
    <row r="29151">
      <c r="A29151" s="4" t="s">
        <v>36711</v>
      </c>
      <c r="B29151" s="4" t="s">
        <v>36712</v>
      </c>
      <c r="C29151" s="5" t="str">
        <f>IFERROR(__xludf.DUMMYFUNCTION("GOOGLETRANSLATE(B29151,""en"",""de"")"),"Der Junge steht am Boden einer kleinen Treppe und dann geht er nach oben, um die blaue Rutsche hinunterzurutschen.")</f>
        <v>Der Junge steht am Boden einer kleinen Treppe und dann geht er nach oben, um die blaue Rutsche hinunterzurutschen.</v>
      </c>
    </row>
    <row r="29152">
      <c r="A29152" s="4" t="s">
        <v>36711</v>
      </c>
      <c r="B29152" s="4" t="s">
        <v>36713</v>
      </c>
      <c r="C29152" s="5" t="str">
        <f>IFERROR(__xludf.DUMMYFUNCTION("GOOGLETRANSLATE(B29152,""en"",""de"")"),"Als er fertig ist, rennt er weg und versucht aus dem Tor zu gehen.")</f>
        <v>Als er fertig ist, rennt er weg und versucht aus dem Tor zu gehen.</v>
      </c>
    </row>
    <row r="29153">
      <c r="A29153" s="4" t="s">
        <v>36714</v>
      </c>
      <c r="B29153" s="4" t="s">
        <v>36715</v>
      </c>
      <c r="C29153" s="5" t="str">
        <f>IFERROR(__xludf.DUMMYFUNCTION("GOOGLETRANSLATE(B29153,""en"",""de"")"),"Der Mann spricht mit der Kamera und reinigt einen Holzschuppen und fängt an, ihn zu malen.")</f>
        <v>Der Mann spricht mit der Kamera und reinigt einen Holzschuppen und fängt an, ihn zu malen.</v>
      </c>
    </row>
    <row r="29154">
      <c r="A29154" s="4" t="s">
        <v>36714</v>
      </c>
      <c r="B29154" s="4" t="s">
        <v>36716</v>
      </c>
      <c r="C29154" s="5" t="str">
        <f>IFERROR(__xludf.DUMMYFUNCTION("GOOGLETRANSLATE(B29154,""en"",""de"")"),"Der Mann mischt die Farbe und mit einem Pinsellack den ganzen Schuppen.")</f>
        <v>Der Mann mischt die Farbe und mit einem Pinsellack den ganzen Schuppen.</v>
      </c>
    </row>
    <row r="29155">
      <c r="A29155" s="4" t="s">
        <v>36714</v>
      </c>
      <c r="B29155" s="4" t="s">
        <v>36717</v>
      </c>
      <c r="C29155" s="5" t="str">
        <f>IFERROR(__xludf.DUMMYFUNCTION("GOOGLETRANSLATE(B29155,""en"",""de"")"),"Am Ende spricht der Mann mit der Kamera und zeigt die Materialliste.")</f>
        <v>Am Ende spricht der Mann mit der Kamera und zeigt die Materialliste.</v>
      </c>
    </row>
    <row r="29156">
      <c r="A29156" s="4" t="s">
        <v>36718</v>
      </c>
      <c r="B29156" s="4" t="s">
        <v>1487</v>
      </c>
      <c r="C29156" s="5" t="str">
        <f>IFERROR(__xludf.DUMMYFUNCTION("GOOGLETRANSLATE(B29156,""en"",""de"")"),"Wir sehen einen Öffnungsbildschirm.")</f>
        <v>Wir sehen einen Öffnungsbildschirm.</v>
      </c>
    </row>
    <row r="29157">
      <c r="A29157" s="4" t="s">
        <v>36718</v>
      </c>
      <c r="B29157" s="4" t="s">
        <v>36719</v>
      </c>
      <c r="C29157" s="5" t="str">
        <f>IFERROR(__xludf.DUMMYFUNCTION("GOOGLETRANSLATE(B29157,""en"",""de"")"),"Wir sehen nachts eine Stadtszene.")</f>
        <v>Wir sehen nachts eine Stadtszene.</v>
      </c>
    </row>
    <row r="29158">
      <c r="A29158" s="4" t="s">
        <v>36718</v>
      </c>
      <c r="B29158" s="4" t="s">
        <v>36720</v>
      </c>
      <c r="C29158" s="5" t="str">
        <f>IFERROR(__xludf.DUMMYFUNCTION("GOOGLETRANSLATE(B29158,""en"",""de"")"),"Wir sehen Leute, die nachts im Freien im Freien spielen.")</f>
        <v>Wir sehen Leute, die nachts im Freien im Freien spielen.</v>
      </c>
    </row>
    <row r="29159">
      <c r="A29159" s="4" t="s">
        <v>36718</v>
      </c>
      <c r="B29159" s="4" t="s">
        <v>36721</v>
      </c>
      <c r="C29159" s="5" t="str">
        <f>IFERROR(__xludf.DUMMYFUNCTION("GOOGLETRANSLATE(B29159,""en"",""de"")"),"Ein Mann fällt auf den Boden.")</f>
        <v>Ein Mann fällt auf den Boden.</v>
      </c>
    </row>
    <row r="29160">
      <c r="A29160" s="4" t="s">
        <v>36718</v>
      </c>
      <c r="B29160" s="4" t="s">
        <v>36722</v>
      </c>
      <c r="C29160" s="5" t="str">
        <f>IFERROR(__xludf.DUMMYFUNCTION("GOOGLETRANSLATE(B29160,""en"",""de"")"),"Wir sehen einen Mann, der den Ball mit seinen Füßen verlagert.")</f>
        <v>Wir sehen einen Mann, der den Ball mit seinen Füßen verlagert.</v>
      </c>
    </row>
    <row r="29161">
      <c r="A29161" s="4" t="s">
        <v>36718</v>
      </c>
      <c r="B29161" s="4" t="s">
        <v>36723</v>
      </c>
      <c r="C29161" s="5" t="str">
        <f>IFERROR(__xludf.DUMMYFUNCTION("GOOGLETRANSLATE(B29161,""en"",""de"")"),"Wir sehen zwei Männer hoch fünf gegenseitig.")</f>
        <v>Wir sehen zwei Männer hoch fünf gegenseitig.</v>
      </c>
    </row>
    <row r="29162">
      <c r="A29162" s="4" t="s">
        <v>36718</v>
      </c>
      <c r="B29162" s="4" t="s">
        <v>36724</v>
      </c>
      <c r="C29162" s="5" t="str">
        <f>IFERROR(__xludf.DUMMYFUNCTION("GOOGLETRANSLATE(B29162,""en"",""de"")"),"Wir sehen den schließenden Fliesenbildschirm.")</f>
        <v>Wir sehen den schließenden Fliesenbildschirm.</v>
      </c>
    </row>
    <row r="29163">
      <c r="A29163" s="4" t="s">
        <v>36725</v>
      </c>
      <c r="B29163" s="4" t="s">
        <v>36726</v>
      </c>
      <c r="C29163" s="5" t="str">
        <f>IFERROR(__xludf.DUMMYFUNCTION("GOOGLETRANSLATE(B29163,""en"",""de"")"),"Zwei Mädchen sind draußen in einem Hof.")</f>
        <v>Zwei Mädchen sind draußen in einem Hof.</v>
      </c>
    </row>
    <row r="29164">
      <c r="A29164" s="4" t="s">
        <v>36725</v>
      </c>
      <c r="B29164" s="4" t="s">
        <v>36727</v>
      </c>
      <c r="C29164" s="5" t="str">
        <f>IFERROR(__xludf.DUMMYFUNCTION("GOOGLETRANSLATE(B29164,""en"",""de"")"),"Sie springen und werfen einen Ball zueinander.")</f>
        <v>Sie springen und werfen einen Ball zueinander.</v>
      </c>
    </row>
    <row r="29165">
      <c r="A29165" s="4" t="s">
        <v>36725</v>
      </c>
      <c r="B29165" s="4" t="s">
        <v>36728</v>
      </c>
      <c r="C29165" s="5" t="str">
        <f>IFERROR(__xludf.DUMMYFUNCTION("GOOGLETRANSLATE(B29165,""en"",""de"")"),"Sie jagen sich mit dem Ball spielerisch.")</f>
        <v>Sie jagen sich mit dem Ball spielerisch.</v>
      </c>
    </row>
    <row r="29166">
      <c r="A29166" s="4" t="s">
        <v>36725</v>
      </c>
      <c r="B29166" s="4" t="s">
        <v>36729</v>
      </c>
      <c r="C29166" s="5" t="str">
        <f>IFERROR(__xludf.DUMMYFUNCTION("GOOGLETRANSLATE(B29166,""en"",""de"")"),"Sie rennen zur Kamera und reden eine Weile.")</f>
        <v>Sie rennen zur Kamera und reden eine Weile.</v>
      </c>
    </row>
    <row r="29167">
      <c r="A29167" s="4" t="s">
        <v>36730</v>
      </c>
      <c r="B29167" s="4" t="s">
        <v>36731</v>
      </c>
      <c r="C29167" s="5" t="str">
        <f>IFERROR(__xludf.DUMMYFUNCTION("GOOGLETRANSLATE(B29167,""en"",""de"")"),"Wir sehen draußen einen Gelato -Laden.")</f>
        <v>Wir sehen draußen einen Gelato -Laden.</v>
      </c>
    </row>
    <row r="29168">
      <c r="A29168" s="4" t="s">
        <v>36730</v>
      </c>
      <c r="B29168" s="4" t="s">
        <v>36732</v>
      </c>
      <c r="C29168" s="5" t="str">
        <f>IFERROR(__xludf.DUMMYFUNCTION("GOOGLETRANSLATE(B29168,""en"",""de"")"),"Wir sehen einen Titelbildschirm für einen Kuchen.")</f>
        <v>Wir sehen einen Titelbildschirm für einen Kuchen.</v>
      </c>
    </row>
    <row r="29169">
      <c r="A29169" s="4" t="s">
        <v>36730</v>
      </c>
      <c r="B29169" s="4" t="s">
        <v>36733</v>
      </c>
      <c r="C29169" s="5" t="str">
        <f>IFERROR(__xludf.DUMMYFUNCTION("GOOGLETRANSLATE(B29169,""en"",""de"")"),"Wir sehen dann eine Dame kochen.")</f>
        <v>Wir sehen dann eine Dame kochen.</v>
      </c>
    </row>
    <row r="29170">
      <c r="A29170" s="4" t="s">
        <v>36730</v>
      </c>
      <c r="B29170" s="4" t="s">
        <v>36734</v>
      </c>
      <c r="C29170" s="5" t="str">
        <f>IFERROR(__xludf.DUMMYFUNCTION("GOOGLETRANSLATE(B29170,""en"",""de"")"),"Die Dame steckt Gelato in eine Schüssel.")</f>
        <v>Die Dame steckt Gelato in eine Schüssel.</v>
      </c>
    </row>
    <row r="29171">
      <c r="A29171" s="4" t="s">
        <v>36730</v>
      </c>
      <c r="B29171" s="4" t="s">
        <v>36735</v>
      </c>
      <c r="C29171" s="5" t="str">
        <f>IFERROR(__xludf.DUMMYFUNCTION("GOOGLETRANSLATE(B29171,""en"",""de"")"),"Die Dame legt Reis knusprig darauf.")</f>
        <v>Die Dame legt Reis knusprig darauf.</v>
      </c>
    </row>
    <row r="29172">
      <c r="A29172" s="4" t="s">
        <v>36730</v>
      </c>
      <c r="B29172" s="4" t="s">
        <v>36736</v>
      </c>
      <c r="C29172" s="5" t="str">
        <f>IFERROR(__xludf.DUMMYFUNCTION("GOOGLETRANSLATE(B29172,""en"",""de"")"),"Die Dame steckt eine Kuppel in eine Schokoladenkuppel und legt einen knusprigen Kreis darauf.")</f>
        <v>Die Dame steckt eine Kuppel in eine Schokoladenkuppel und legt einen knusprigen Kreis darauf.</v>
      </c>
    </row>
    <row r="29173">
      <c r="A29173" s="4" t="s">
        <v>36730</v>
      </c>
      <c r="B29173" s="4" t="s">
        <v>36737</v>
      </c>
      <c r="C29173" s="5" t="str">
        <f>IFERROR(__xludf.DUMMYFUNCTION("GOOGLETRANSLATE(B29173,""en"",""de"")"),"Die Dame steckt Löcher in eine Schokoladenkuppel.")</f>
        <v>Die Dame steckt Löcher in eine Schokoladenkuppel.</v>
      </c>
    </row>
    <row r="29174">
      <c r="A29174" s="4" t="s">
        <v>36730</v>
      </c>
      <c r="B29174" s="4" t="s">
        <v>36738</v>
      </c>
      <c r="C29174" s="5" t="str">
        <f>IFERROR(__xludf.DUMMYFUNCTION("GOOGLETRANSLATE(B29174,""en"",""de"")"),"Die Dame sprüht die Kuppeln.")</f>
        <v>Die Dame sprüht die Kuppeln.</v>
      </c>
    </row>
    <row r="29175">
      <c r="A29175" s="4" t="s">
        <v>36730</v>
      </c>
      <c r="B29175" s="4" t="s">
        <v>36739</v>
      </c>
      <c r="C29175" s="5" t="str">
        <f>IFERROR(__xludf.DUMMYFUNCTION("GOOGLETRANSLATE(B29175,""en"",""de"")"),"Die Dame legt die rote Kuppel auf einen schwarzen und steckt die Kuppel mit Löchern darauf.")</f>
        <v>Die Dame legt die rote Kuppel auf einen schwarzen und steckt die Kuppel mit Löchern darauf.</v>
      </c>
    </row>
    <row r="29176">
      <c r="A29176" s="4" t="s">
        <v>36730</v>
      </c>
      <c r="B29176" s="4" t="s">
        <v>36740</v>
      </c>
      <c r="C29176" s="5" t="str">
        <f>IFERROR(__xludf.DUMMYFUNCTION("GOOGLETRANSLATE(B29176,""en"",""de"")"),"Die Dame steckt den Kuchen in eine Vitrine.")</f>
        <v>Die Dame steckt den Kuchen in eine Vitrine.</v>
      </c>
    </row>
    <row r="29177">
      <c r="A29177" s="4" t="s">
        <v>36730</v>
      </c>
      <c r="B29177" s="4" t="s">
        <v>2486</v>
      </c>
      <c r="C29177" s="5" t="str">
        <f>IFERROR(__xludf.DUMMYFUNCTION("GOOGLETRANSLATE(B29177,""en"",""de"")"),"Wir sehen den Schlussbildschirm.")</f>
        <v>Wir sehen den Schlussbildschirm.</v>
      </c>
    </row>
    <row r="29178">
      <c r="A29178" s="4" t="s">
        <v>36741</v>
      </c>
      <c r="B29178" s="4" t="s">
        <v>36742</v>
      </c>
      <c r="C29178" s="5" t="str">
        <f>IFERROR(__xludf.DUMMYFUNCTION("GOOGLETRANSLATE(B29178,""en"",""de"")"),"Eine Person steht in der Ferne mit einem weiteren um ein Loch ab.")</f>
        <v>Eine Person steht in der Ferne mit einem weiteren um ein Loch ab.</v>
      </c>
    </row>
    <row r="29179">
      <c r="A29179" s="4" t="s">
        <v>36741</v>
      </c>
      <c r="B29179" s="4" t="s">
        <v>36743</v>
      </c>
      <c r="C29179" s="5" t="str">
        <f>IFERROR(__xludf.DUMMYFUNCTION("GOOGLETRANSLATE(B29179,""en"",""de"")"),"Die Person benutzt eine Angelstange am Loch und versucht, einen Fisch herauszuziehen.")</f>
        <v>Die Person benutzt eine Angelstange am Loch und versucht, einen Fisch herauszuziehen.</v>
      </c>
    </row>
    <row r="29180">
      <c r="A29180" s="4" t="s">
        <v>36741</v>
      </c>
      <c r="B29180" s="4" t="s">
        <v>36744</v>
      </c>
      <c r="C29180" s="5" t="str">
        <f>IFERROR(__xludf.DUMMYFUNCTION("GOOGLETRANSLATE(B29180,""en"",""de"")"),"Die Person zieht weiter, während die andere auf der Seite schaut.")</f>
        <v>Die Person zieht weiter, während die andere auf der Seite schaut.</v>
      </c>
    </row>
    <row r="29181">
      <c r="A29181" s="4" t="s">
        <v>36745</v>
      </c>
      <c r="B29181" s="4" t="s">
        <v>36746</v>
      </c>
      <c r="C29181" s="5" t="str">
        <f>IFERROR(__xludf.DUMMYFUNCTION("GOOGLETRANSLATE(B29181,""en"",""de"")"),"Eine Frau ist gesehen, wie sie nasses Haar streift und Lotion überall in ihren Haaren rieb.")</f>
        <v>Eine Frau ist gesehen, wie sie nasses Haar streift und Lotion überall in ihren Haaren rieb.</v>
      </c>
    </row>
    <row r="29182">
      <c r="A29182" s="4" t="s">
        <v>36745</v>
      </c>
      <c r="B29182" s="4" t="s">
        <v>36747</v>
      </c>
      <c r="C29182" s="5" t="str">
        <f>IFERROR(__xludf.DUMMYFUNCTION("GOOGLETRANSLATE(B29182,""en"",""de"")"),"Sie trocknet dann ihre Haare und wird wieder mit ihren Haaren gesehen, die an der Oberseite festgehalten werden.")</f>
        <v>Sie trocknet dann ihre Haare und wird wieder mit ihren Haaren gesehen, die an der Oberseite festgehalten werden.</v>
      </c>
    </row>
    <row r="29183">
      <c r="A29183" s="4" t="s">
        <v>36745</v>
      </c>
      <c r="B29183" s="4" t="s">
        <v>36748</v>
      </c>
      <c r="C29183" s="5" t="str">
        <f>IFERROR(__xludf.DUMMYFUNCTION("GOOGLETRANSLATE(B29183,""en"",""de"")"),"Sie trocknet den Boden ihres Haares und wird dann wieder mit all ihren Haaren gesehen.")</f>
        <v>Sie trocknet den Boden ihres Haares und wird dann wieder mit all ihren Haaren gesehen.</v>
      </c>
    </row>
    <row r="29184">
      <c r="A29184" s="4" t="s">
        <v>36745</v>
      </c>
      <c r="B29184" s="4" t="s">
        <v>36749</v>
      </c>
      <c r="C29184" s="5" t="str">
        <f>IFERROR(__xludf.DUMMYFUNCTION("GOOGLETRANSLATE(B29184,""en"",""de"")"),"Sie macht die Stifte rückgängig, um ihre neuen Haare zu zeigen.")</f>
        <v>Sie macht die Stifte rückgängig, um ihre neuen Haare zu zeigen.</v>
      </c>
    </row>
    <row r="29185">
      <c r="A29185" s="4" t="s">
        <v>36750</v>
      </c>
      <c r="B29185" s="4" t="s">
        <v>36751</v>
      </c>
      <c r="C29185" s="5" t="str">
        <f>IFERROR(__xludf.DUMMYFUNCTION("GOOGLETRANSLATE(B29185,""en"",""de"")"),"Ein kleiner Junge spielt Klavier in einem Zuhause, dann biegt er sich nach links und spricht.")</f>
        <v>Ein kleiner Junge spielt Klavier in einem Zuhause, dann biegt er sich nach links und spricht.</v>
      </c>
    </row>
    <row r="29186">
      <c r="A29186" s="4" t="s">
        <v>36750</v>
      </c>
      <c r="B29186" s="4" t="s">
        <v>36752</v>
      </c>
      <c r="C29186" s="5" t="str">
        <f>IFERROR(__xludf.DUMMYFUNCTION("GOOGLETRANSLATE(B29186,""en"",""de"")"),"Danach spielt der Junge weiter Klavier, dann geht er sich aus.")</f>
        <v>Danach spielt der Junge weiter Klavier, dann geht er sich aus.</v>
      </c>
    </row>
    <row r="29187">
      <c r="A29187" s="4" t="s">
        <v>36750</v>
      </c>
      <c r="B29187" s="4" t="s">
        <v>36753</v>
      </c>
      <c r="C29187" s="5" t="str">
        <f>IFERROR(__xludf.DUMMYFUNCTION("GOOGLETRANSLATE(B29187,""en"",""de"")"),"Der Junge wechselt die Kleidung und spielt weiter Klavier.")</f>
        <v>Der Junge wechselt die Kleidung und spielt weiter Klavier.</v>
      </c>
    </row>
    <row r="29188">
      <c r="A29188" s="4" t="s">
        <v>36754</v>
      </c>
      <c r="B29188" s="4" t="s">
        <v>36755</v>
      </c>
      <c r="C29188" s="5" t="str">
        <f>IFERROR(__xludf.DUMMYFUNCTION("GOOGLETRANSLATE(B29188,""en"",""de"")"),"Ein zotteliger Hund bekommt von einem Tierarzt ein Bad.")</f>
        <v>Ein zotteliger Hund bekommt von einem Tierarzt ein Bad.</v>
      </c>
    </row>
    <row r="29189">
      <c r="A29189" s="4" t="s">
        <v>36754</v>
      </c>
      <c r="B29189" s="4" t="s">
        <v>36756</v>
      </c>
      <c r="C29189" s="5" t="str">
        <f>IFERROR(__xludf.DUMMYFUNCTION("GOOGLETRANSLATE(B29189,""en"",""de"")"),"Der Tierarzt trocknet den Hund nach dem Waschen zu trocknen.")</f>
        <v>Der Tierarzt trocknet den Hund nach dem Waschen zu trocknen.</v>
      </c>
    </row>
    <row r="29190">
      <c r="A29190" s="4" t="s">
        <v>36754</v>
      </c>
      <c r="B29190" s="4" t="s">
        <v>36757</v>
      </c>
      <c r="C29190" s="5" t="str">
        <f>IFERROR(__xludf.DUMMYFUNCTION("GOOGLETRANSLATE(B29190,""en"",""de"")"),"Ein anderer Tierarzt streichelt und bürstet den Hund.")</f>
        <v>Ein anderer Tierarzt streichelt und bürstet den Hund.</v>
      </c>
    </row>
    <row r="29191">
      <c r="A29191" s="4" t="s">
        <v>36754</v>
      </c>
      <c r="B29191" s="4" t="s">
        <v>36758</v>
      </c>
      <c r="C29191" s="5" t="str">
        <f>IFERROR(__xludf.DUMMYFUNCTION("GOOGLETRANSLATE(B29191,""en"",""de"")"),"Eine Videomontage des Hundes spielt und dann Roll.")</f>
        <v>Eine Videomontage des Hundes spielt und dann Roll.</v>
      </c>
    </row>
    <row r="29192">
      <c r="A29192" s="4" t="s">
        <v>36759</v>
      </c>
      <c r="B29192" s="4" t="s">
        <v>36760</v>
      </c>
      <c r="C29192" s="5" t="str">
        <f>IFERROR(__xludf.DUMMYFUNCTION("GOOGLETRANSLATE(B29192,""en"",""de"")"),"Ein kleines Mädchen steht vor einem Spülbecken.")</f>
        <v>Ein kleines Mädchen steht vor einem Spülbecken.</v>
      </c>
    </row>
    <row r="29193">
      <c r="A29193" s="4" t="s">
        <v>36759</v>
      </c>
      <c r="B29193" s="4" t="s">
        <v>36761</v>
      </c>
      <c r="C29193" s="5" t="str">
        <f>IFERROR(__xludf.DUMMYFUNCTION("GOOGLETRANSLATE(B29193,""en"",""de"")"),"Sie hat eine Schüssel und ein Messer in der Hand.")</f>
        <v>Sie hat eine Schüssel und ein Messer in der Hand.</v>
      </c>
    </row>
    <row r="29194">
      <c r="A29194" s="4" t="s">
        <v>36759</v>
      </c>
      <c r="B29194" s="4" t="s">
        <v>36762</v>
      </c>
      <c r="C29194" s="5" t="str">
        <f>IFERROR(__xludf.DUMMYFUNCTION("GOOGLETRANSLATE(B29194,""en"",""de"")"),"Sie schält Kartoffeln mit dem Messer.")</f>
        <v>Sie schält Kartoffeln mit dem Messer.</v>
      </c>
    </row>
    <row r="29195">
      <c r="A29195" s="4" t="s">
        <v>36763</v>
      </c>
      <c r="B29195" s="4" t="s">
        <v>36764</v>
      </c>
      <c r="C29195" s="5" t="str">
        <f>IFERROR(__xludf.DUMMYFUNCTION("GOOGLETRANSLATE(B29195,""en"",""de"")"),"Zwei Jungen in passenden Hemden sitzen auf einem Sofa und sprechen mit einem Süßigkeitenspielzeug in den Händen, während sie die Süßigkeiten bis zur Kamera halten, mit den Süßigkeitenspielzeugknöpfen spielen und reden.")</f>
        <v>Zwei Jungen in passenden Hemden sitzen auf einem Sofa und sprechen mit einem Süßigkeitenspielzeug in den Händen, während sie die Süßigkeiten bis zur Kamera halten, mit den Süßigkeitenspielzeugknöpfen spielen und reden.</v>
      </c>
    </row>
    <row r="29196">
      <c r="A29196" s="4" t="s">
        <v>36763</v>
      </c>
      <c r="B29196" s="4" t="s">
        <v>36765</v>
      </c>
      <c r="C29196" s="5" t="str">
        <f>IFERROR(__xludf.DUMMYFUNCTION("GOOGLETRANSLATE(B29196,""en"",""de"")"),"Die beiden Jungen schicken sich mit der Spielzeugbonbon, die wie eine Hand mit einziehbaren Fingern geformt ist, und die Kamera beschleunigt, wenn sie dies tun.")</f>
        <v>Die beiden Jungen schicken sich mit der Spielzeugbonbon, die wie eine Hand mit einziehbaren Fingern geformt ist, und die Kamera beschleunigt, wenn sie dies tun.</v>
      </c>
    </row>
    <row r="29197">
      <c r="A29197" s="4" t="s">
        <v>36763</v>
      </c>
      <c r="B29197" s="4" t="s">
        <v>36766</v>
      </c>
      <c r="C29197" s="5" t="str">
        <f>IFERROR(__xludf.DUMMYFUNCTION("GOOGLETRANSLATE(B29197,""en"",""de"")"),"Die Jungen wechseln dann Spielzeug und öffnen die Spielzeugbonbon, an welchem ​​Punkt sie anfangen, die Süßigkeiten zu essen und beim Kauen zu reden.")</f>
        <v>Die Jungen wechseln dann Spielzeug und öffnen die Spielzeugbonbon, an welchem ​​Punkt sie anfangen, die Süßigkeiten zu essen und beim Kauen zu reden.</v>
      </c>
    </row>
    <row r="29198">
      <c r="A29198" s="4" t="s">
        <v>36763</v>
      </c>
      <c r="B29198" s="4" t="s">
        <v>36767</v>
      </c>
      <c r="C29198" s="5" t="str">
        <f>IFERROR(__xludf.DUMMYFUNCTION("GOOGLETRANSLATE(B29198,""en"",""de"")"),"Dann wird eine Nahaufnahme der Spielzeugbonbons gezeigt, wobei die Süßigkeiten auf einem kastanienbraunen Hintergrund liegen und posieren.")</f>
        <v>Dann wird eine Nahaufnahme der Spielzeugbonbons gezeigt, wobei die Süßigkeiten auf einem kastanienbraunen Hintergrund liegen und posieren.</v>
      </c>
    </row>
    <row r="29199">
      <c r="A29199" s="4" t="s">
        <v>36768</v>
      </c>
      <c r="B29199" s="4" t="s">
        <v>36769</v>
      </c>
      <c r="C29199" s="5" t="str">
        <f>IFERROR(__xludf.DUMMYFUNCTION("GOOGLETRANSLATE(B29199,""en"",""de"")"),"Eine Person befindet sich in einem Lagerfeuer im Holz herum.")</f>
        <v>Eine Person befindet sich in einem Lagerfeuer im Holz herum.</v>
      </c>
    </row>
    <row r="29200">
      <c r="A29200" s="4" t="s">
        <v>36768</v>
      </c>
      <c r="B29200" s="4" t="s">
        <v>36770</v>
      </c>
      <c r="C29200" s="5" t="str">
        <f>IFERROR(__xludf.DUMMYFUNCTION("GOOGLETRANSLATE(B29200,""en"",""de"")"),"Die Kamera bewegt sich zu einem kleinen Jungen, während er mit der Kamera -Person spricht.")</f>
        <v>Die Kamera bewegt sich zu einem kleinen Jungen, während er mit der Kamera -Person spricht.</v>
      </c>
    </row>
    <row r="29201">
      <c r="A29201" s="4" t="s">
        <v>36768</v>
      </c>
      <c r="B29201" s="4" t="s">
        <v>36771</v>
      </c>
      <c r="C29201" s="5" t="str">
        <f>IFERROR(__xludf.DUMMYFUNCTION("GOOGLETRANSLATE(B29201,""en"",""de"")"),"Die Kamera -Person erzählt weiterhin die Situation, während sie das Feuer aufzeichnet.")</f>
        <v>Die Kamera -Person erzählt weiterhin die Situation, während sie das Feuer aufzeichnet.</v>
      </c>
    </row>
    <row r="29202">
      <c r="A29202" s="4" t="s">
        <v>36772</v>
      </c>
      <c r="B29202" s="4" t="s">
        <v>36773</v>
      </c>
      <c r="C29202" s="5" t="str">
        <f>IFERROR(__xludf.DUMMYFUNCTION("GOOGLETRANSLATE(B29202,""en"",""de"")"),"Verschiedene Menschen werden aus der Vogelperspektive gesehen, die im Freien unter rauen Bedingungen arbeitet.")</f>
        <v>Verschiedene Menschen werden aus der Vogelperspektive gesehen, die im Freien unter rauen Bedingungen arbeitet.</v>
      </c>
    </row>
    <row r="29203">
      <c r="A29203" s="4" t="s">
        <v>36772</v>
      </c>
      <c r="B29203" s="4" t="s">
        <v>36774</v>
      </c>
      <c r="C29203" s="5" t="str">
        <f>IFERROR(__xludf.DUMMYFUNCTION("GOOGLETRANSLATE(B29203,""en"",""de"")"),"Sie schrubben die Kleidung und hängen sie auf, während die Kamera herum schwenkt und zuschaut.")</f>
        <v>Sie schrubben die Kleidung und hängen sie auf, während die Kamera herum schwenkt und zuschaut.</v>
      </c>
    </row>
    <row r="29204">
      <c r="A29204" s="4" t="s">
        <v>36775</v>
      </c>
      <c r="B29204" s="4" t="s">
        <v>36776</v>
      </c>
      <c r="C29204" s="5" t="str">
        <f>IFERROR(__xludf.DUMMYFUNCTION("GOOGLETRANSLATE(B29204,""en"",""de"")"),"Die Leute gehen neben einem Stier.")</f>
        <v>Die Leute gehen neben einem Stier.</v>
      </c>
    </row>
    <row r="29205">
      <c r="A29205" s="4" t="s">
        <v>36775</v>
      </c>
      <c r="B29205" s="4" t="s">
        <v>36777</v>
      </c>
      <c r="C29205" s="5" t="str">
        <f>IFERROR(__xludf.DUMMYFUNCTION("GOOGLETRANSLATE(B29205,""en"",""de"")"),"Es gibt eine große Gruppe, die hinter dem Stier läuft.")</f>
        <v>Es gibt eine große Gruppe, die hinter dem Stier läuft.</v>
      </c>
    </row>
    <row r="29206">
      <c r="A29206" s="4" t="s">
        <v>36775</v>
      </c>
      <c r="B29206" s="4" t="s">
        <v>36778</v>
      </c>
      <c r="C29206" s="5" t="str">
        <f>IFERROR(__xludf.DUMMYFUNCTION("GOOGLETRANSLATE(B29206,""en"",""de"")"),"Es gibt noch einen Bullen und sie fangen an zu kämpfen.")</f>
        <v>Es gibt noch einen Bullen und sie fangen an zu kämpfen.</v>
      </c>
    </row>
    <row r="29207">
      <c r="A29207" s="4" t="s">
        <v>36775</v>
      </c>
      <c r="B29207" s="4" t="s">
        <v>36779</v>
      </c>
      <c r="C29207" s="5" t="str">
        <f>IFERROR(__xludf.DUMMYFUNCTION("GOOGLETRANSLATE(B29207,""en"",""de"")"),"Die Menge versammelt sich um die Bullen.")</f>
        <v>Die Menge versammelt sich um die Bullen.</v>
      </c>
    </row>
    <row r="29208">
      <c r="A29208" s="4" t="s">
        <v>36775</v>
      </c>
      <c r="B29208" s="4" t="s">
        <v>36780</v>
      </c>
      <c r="C29208" s="5" t="str">
        <f>IFERROR(__xludf.DUMMYFUNCTION("GOOGLETRANSLATE(B29208,""en"",""de"")"),"Ein Mann in einem roten Hemd spricht in ein Mikrofon.")</f>
        <v>Ein Mann in einem roten Hemd spricht in ein Mikrofon.</v>
      </c>
    </row>
    <row r="29209">
      <c r="A29209" s="4" t="s">
        <v>36775</v>
      </c>
      <c r="B29209" s="4" t="s">
        <v>36781</v>
      </c>
      <c r="C29209" s="5" t="str">
        <f>IFERROR(__xludf.DUMMYFUNCTION("GOOGLETRANSLATE(B29209,""en"",""de"")"),"Ein Mann zieht ein schwarzes Hemd an.")</f>
        <v>Ein Mann zieht ein schwarzes Hemd an.</v>
      </c>
    </row>
    <row r="29210">
      <c r="A29210" s="4" t="s">
        <v>36782</v>
      </c>
      <c r="B29210" s="4" t="s">
        <v>36783</v>
      </c>
      <c r="C29210" s="5" t="str">
        <f>IFERROR(__xludf.DUMMYFUNCTION("GOOGLETRANSLATE(B29210,""en"",""de"")"),"Ein Mann aus dem mittleren Alter steht auf dem Feld und bereitet sich darauf vor, einen Ball zu schlagen.")</f>
        <v>Ein Mann aus dem mittleren Alter steht auf dem Feld und bereitet sich darauf vor, einen Ball zu schlagen.</v>
      </c>
    </row>
    <row r="29211">
      <c r="A29211" s="4" t="s">
        <v>36782</v>
      </c>
      <c r="B29211" s="4" t="s">
        <v>36784</v>
      </c>
      <c r="C29211" s="5" t="str">
        <f>IFERROR(__xludf.DUMMYFUNCTION("GOOGLETRANSLATE(B29211,""en"",""de"")"),"Sobald der Mann den Ball schlägt, wird er gefangen und die anderen Teams springen und jubeln vor Aufregung und es gibt Wiederholungen.")</f>
        <v>Sobald der Mann den Ball schlägt, wird er gefangen und die anderen Teams springen und jubeln vor Aufregung und es gibt Wiederholungen.</v>
      </c>
    </row>
    <row r="29212">
      <c r="A29212" s="4" t="s">
        <v>36785</v>
      </c>
      <c r="B29212" s="4" t="s">
        <v>36786</v>
      </c>
      <c r="C29212" s="5" t="str">
        <f>IFERROR(__xludf.DUMMYFUNCTION("GOOGLETRANSLATE(B29212,""en"",""de"")"),"Ein Mann zeigt, wie man ein Messer mit einer Maschine schärft.")</f>
        <v>Ein Mann zeigt, wie man ein Messer mit einer Maschine schärft.</v>
      </c>
    </row>
    <row r="29213">
      <c r="A29213" s="4" t="s">
        <v>36785</v>
      </c>
      <c r="B29213" s="4" t="s">
        <v>36787</v>
      </c>
      <c r="C29213" s="5" t="str">
        <f>IFERROR(__xludf.DUMMYFUNCTION("GOOGLETRANSLATE(B29213,""en"",""de"")"),"Dann schärft er Messer gegeneinander.")</f>
        <v>Dann schärft er Messer gegeneinander.</v>
      </c>
    </row>
    <row r="29214">
      <c r="A29214" s="4" t="s">
        <v>36788</v>
      </c>
      <c r="B29214" s="4" t="s">
        <v>36789</v>
      </c>
      <c r="C29214" s="5" t="str">
        <f>IFERROR(__xludf.DUMMYFUNCTION("GOOGLETRANSLATE(B29214,""en"",""de"")"),"Eine Nahaufnahme der Haare eines Mädchens wird gezeigt, gefolgt von einer Person, die ihre Haare flechtet.")</f>
        <v>Eine Nahaufnahme der Haare eines Mädchens wird gezeigt, gefolgt von einer Person, die ihre Haare flechtet.</v>
      </c>
    </row>
    <row r="29215">
      <c r="A29215" s="4" t="s">
        <v>36788</v>
      </c>
      <c r="B29215" s="4" t="s">
        <v>36790</v>
      </c>
      <c r="C29215" s="5" t="str">
        <f>IFERROR(__xludf.DUMMYFUNCTION("GOOGLETRANSLATE(B29215,""en"",""de"")"),"Die Person flechtet weiterhin die Haare und die Kamera schwenkt von ihrem Gesicht weg.")</f>
        <v>Die Person flechtet weiterhin die Haare und die Kamera schwenkt von ihrem Gesicht weg.</v>
      </c>
    </row>
    <row r="29216">
      <c r="A29216" s="4" t="s">
        <v>36791</v>
      </c>
      <c r="B29216" s="4" t="s">
        <v>36792</v>
      </c>
      <c r="C29216" s="5" t="str">
        <f>IFERROR(__xludf.DUMMYFUNCTION("GOOGLETRANSLATE(B29216,""en"",""de"")"),"Mehrere Menschen beobachten draußen einen Stierkampf von ungefähr vier Männern mit einem Umhang.")</f>
        <v>Mehrere Menschen beobachten draußen einen Stierkampf von ungefähr vier Männern mit einem Umhang.</v>
      </c>
    </row>
    <row r="29217">
      <c r="A29217" s="4" t="s">
        <v>36791</v>
      </c>
      <c r="B29217" s="4" t="s">
        <v>36793</v>
      </c>
      <c r="C29217" s="5" t="str">
        <f>IFERROR(__xludf.DUMMYFUNCTION("GOOGLETRANSLATE(B29217,""en"",""de"")"),"Sobald der Stier gefangen ist, bewegen sie es und haben Schwierigkeiten, weil die Menge auf dem Rücken liegt.")</f>
        <v>Sobald der Stier gefangen ist, bewegen sie es und haben Schwierigkeiten, weil die Menge auf dem Rücken liegt.</v>
      </c>
    </row>
    <row r="29218">
      <c r="A29218" s="4" t="s">
        <v>36791</v>
      </c>
      <c r="B29218" s="4" t="s">
        <v>36794</v>
      </c>
      <c r="C29218" s="5" t="str">
        <f>IFERROR(__xludf.DUMMYFUNCTION("GOOGLETRANSLATE(B29218,""en"",""de"")"),"Als nächstes legt sich ein hemdloser Mann auf den Dreck, wird vom Stier mit Füßen getreten und springt glücklich darüber, was gerade passiert ist.")</f>
        <v>Als nächstes legt sich ein hemdloser Mann auf den Dreck, wird vom Stier mit Füßen getreten und springt glücklich darüber, was gerade passiert ist.</v>
      </c>
    </row>
    <row r="29219">
      <c r="A29219" s="4" t="s">
        <v>36791</v>
      </c>
      <c r="B29219" s="4" t="s">
        <v>36795</v>
      </c>
      <c r="C29219" s="5" t="str">
        <f>IFERROR(__xludf.DUMMYFUNCTION("GOOGLETRANSLATE(B29219,""en"",""de"")"),"Ein anderer Stier kommt vorbei, rennt über eine Person und die Person bleibt am Boden und eine Menge von Menschen kommt zu ihm, die eine Decke über seinen Körper legen.")</f>
        <v>Ein anderer Stier kommt vorbei, rennt über eine Person und die Person bleibt am Boden und eine Menge von Menschen kommt zu ihm, die eine Decke über seinen Körper legen.</v>
      </c>
    </row>
    <row r="29220">
      <c r="A29220" s="4" t="s">
        <v>36796</v>
      </c>
      <c r="B29220" s="4" t="s">
        <v>36797</v>
      </c>
      <c r="C29220" s="5" t="str">
        <f>IFERROR(__xludf.DUMMYFUNCTION("GOOGLETRANSLATE(B29220,""en"",""de"")"),"Ein kleiner Junge wird gesehen, wie er mit anderen spricht, während er Ballettschuhe um ihn wickelte und an anderen vorbeikommt.")</f>
        <v>Ein kleiner Junge wird gesehen, wie er mit anderen spricht, während er Ballettschuhe um ihn wickelte und an anderen vorbeikommt.</v>
      </c>
    </row>
    <row r="29221">
      <c r="A29221" s="4" t="s">
        <v>36796</v>
      </c>
      <c r="B29221" s="4" t="s">
        <v>36798</v>
      </c>
      <c r="C29221" s="5" t="str">
        <f>IFERROR(__xludf.DUMMYFUNCTION("GOOGLETRANSLATE(B29221,""en"",""de"")"),"Der Mann tritt dann in die Ballettklasse und interagiert mit den Tänzern und endet, indem er ein Bier trinkt.")</f>
        <v>Der Mann tritt dann in die Ballettklasse und interagiert mit den Tänzern und endet, indem er ein Bier trinkt.</v>
      </c>
    </row>
    <row r="29222">
      <c r="A29222" s="4" t="s">
        <v>36799</v>
      </c>
      <c r="B29222" s="4" t="s">
        <v>36800</v>
      </c>
      <c r="C29222" s="5" t="str">
        <f>IFERROR(__xludf.DUMMYFUNCTION("GOOGLETRANSLATE(B29222,""en"",""de"")"),"Eine Frau und ein junges Mädchen sind im Zimmer mit einem Weihnachtsbaum.")</f>
        <v>Eine Frau und ein junges Mädchen sind im Zimmer mit einem Weihnachtsbaum.</v>
      </c>
    </row>
    <row r="29223">
      <c r="A29223" s="4" t="s">
        <v>36799</v>
      </c>
      <c r="B29223" s="4" t="s">
        <v>36801</v>
      </c>
      <c r="C29223" s="5" t="str">
        <f>IFERROR(__xludf.DUMMYFUNCTION("GOOGLETRANSLATE(B29223,""en"",""de"")"),"Die Lichter werden auf den Baum eingeschaltet und das kleine Mädchen tanzt davor.")</f>
        <v>Die Lichter werden auf den Baum eingeschaltet und das kleine Mädchen tanzt davor.</v>
      </c>
    </row>
    <row r="29224">
      <c r="A29224" s="4" t="s">
        <v>36799</v>
      </c>
      <c r="B29224" s="4" t="s">
        <v>36802</v>
      </c>
      <c r="C29224" s="5" t="str">
        <f>IFERROR(__xludf.DUMMYFUNCTION("GOOGLETRANSLATE(B29224,""en"",""de"")"),"Ein kleiner Junge spielt mit und nimmt Ornamente vom Baum und zeigt sie der Kamera.")</f>
        <v>Ein kleiner Junge spielt mit und nimmt Ornamente vom Baum und zeigt sie der Kamera.</v>
      </c>
    </row>
    <row r="29225">
      <c r="A29225" s="4" t="s">
        <v>36799</v>
      </c>
      <c r="B29225" s="4" t="s">
        <v>36803</v>
      </c>
      <c r="C29225" s="5" t="str">
        <f>IFERROR(__xludf.DUMMYFUNCTION("GOOGLETRANSLATE(B29225,""en"",""de"")"),"Der Mann nimmt es und zeigt es der Kamera dann zurück.")</f>
        <v>Der Mann nimmt es und zeigt es der Kamera dann zurück.</v>
      </c>
    </row>
    <row r="29226">
      <c r="A29226" s="4" t="s">
        <v>36804</v>
      </c>
      <c r="B29226" s="4" t="s">
        <v>36805</v>
      </c>
      <c r="C29226" s="5" t="str">
        <f>IFERROR(__xludf.DUMMYFUNCTION("GOOGLETRANSLATE(B29226,""en"",""de"")"),"Ein Mädchen spricht mit der Kamera auf dem Boden.")</f>
        <v>Ein Mädchen spricht mit der Kamera auf dem Boden.</v>
      </c>
    </row>
    <row r="29227">
      <c r="A29227" s="4" t="s">
        <v>36804</v>
      </c>
      <c r="B29227" s="4" t="s">
        <v>36806</v>
      </c>
      <c r="C29227" s="5" t="str">
        <f>IFERROR(__xludf.DUMMYFUNCTION("GOOGLETRANSLATE(B29227,""en"",""de"")"),"Eine andere Frau sitzt auf einem Swingset, der zur Kamera schaut.")</f>
        <v>Eine andere Frau sitzt auf einem Swingset, der zur Kamera schaut.</v>
      </c>
    </row>
    <row r="29228">
      <c r="A29228" s="4" t="s">
        <v>36804</v>
      </c>
      <c r="B29228" s="4" t="s">
        <v>36807</v>
      </c>
      <c r="C29228" s="5" t="str">
        <f>IFERROR(__xludf.DUMMYFUNCTION("GOOGLETRANSLATE(B29228,""en"",""de"")"),"Die Frau schwingt zurück und viertes, während sie auf ihre Hand hinunter schaut.")</f>
        <v>Die Frau schwingt zurück und viertes, während sie auf ihre Hand hinunter schaut.</v>
      </c>
    </row>
    <row r="29229">
      <c r="A29229" s="4" t="s">
        <v>36808</v>
      </c>
      <c r="B29229" s="4" t="s">
        <v>36809</v>
      </c>
      <c r="C29229" s="5" t="str">
        <f>IFERROR(__xludf.DUMMYFUNCTION("GOOGLETRANSLATE(B29229,""en"",""de"")"),"Ein Mann in einem Anzug spielt ein Klavier.")</f>
        <v>Ein Mann in einem Anzug spielt ein Klavier.</v>
      </c>
    </row>
    <row r="29230">
      <c r="A29230" s="4" t="s">
        <v>36808</v>
      </c>
      <c r="B29230" s="4" t="s">
        <v>36810</v>
      </c>
      <c r="C29230" s="5" t="str">
        <f>IFERROR(__xludf.DUMMYFUNCTION("GOOGLETRANSLATE(B29230,""en"",""de"")"),"Das Publikum steht auf und klatscht für ihn.")</f>
        <v>Das Publikum steht auf und klatscht für ihn.</v>
      </c>
    </row>
    <row r="29231">
      <c r="A29231" s="4" t="s">
        <v>36808</v>
      </c>
      <c r="B29231" s="4" t="s">
        <v>36811</v>
      </c>
      <c r="C29231" s="5" t="str">
        <f>IFERROR(__xludf.DUMMYFUNCTION("GOOGLETRANSLATE(B29231,""en"",""de"")"),"Die Leute umarmen sich und mischen sich auf einer Bühne.")</f>
        <v>Die Leute umarmen sich und mischen sich auf einer Bühne.</v>
      </c>
    </row>
    <row r="29232">
      <c r="A29232" s="4" t="s">
        <v>36812</v>
      </c>
      <c r="B29232" s="4" t="s">
        <v>36813</v>
      </c>
      <c r="C29232" s="5" t="str">
        <f>IFERROR(__xludf.DUMMYFUNCTION("GOOGLETRANSLATE(B29232,""en"",""de"")"),"Eine kleine Gruppe von Menschen wird gesehen, wie sie auf Stoßstangenautos herumfährt, während sie gegenseitig stößt.")</f>
        <v>Eine kleine Gruppe von Menschen wird gesehen, wie sie auf Stoßstangenautos herumfährt, während sie gegenseitig stößt.</v>
      </c>
    </row>
    <row r="29233">
      <c r="A29233" s="4" t="s">
        <v>36812</v>
      </c>
      <c r="B29233" s="4" t="s">
        <v>36814</v>
      </c>
      <c r="C29233" s="5" t="str">
        <f>IFERROR(__xludf.DUMMYFUNCTION("GOOGLETRANSLATE(B29233,""en"",""de"")"),"Die Kinder fahren weiterhin die Autos herum, als ein Mann aus dem Rahmen ein- und ausgeht, um sicherzustellen, dass die Kinder und Eltern in Sicherheit sind.")</f>
        <v>Die Kinder fahren weiterhin die Autos herum, als ein Mann aus dem Rahmen ein- und ausgeht, um sicherzustellen, dass die Kinder und Eltern in Sicherheit sind.</v>
      </c>
    </row>
    <row r="29234">
      <c r="A29234" s="4" t="s">
        <v>36815</v>
      </c>
      <c r="B29234" s="4" t="s">
        <v>36816</v>
      </c>
      <c r="C29234" s="5" t="str">
        <f>IFERROR(__xludf.DUMMYFUNCTION("GOOGLETRANSLATE(B29234,""en"",""de"")"),"Ein Garten im Freien ist zu sehen und ein Mann im T -Shirt steht ein Paar Bier.")</f>
        <v>Ein Garten im Freien ist zu sehen und ein Mann im T -Shirt steht ein Paar Bier.</v>
      </c>
    </row>
    <row r="29235">
      <c r="A29235" s="4" t="s">
        <v>36815</v>
      </c>
      <c r="B29235" s="4" t="s">
        <v>36817</v>
      </c>
      <c r="C29235" s="5" t="str">
        <f>IFERROR(__xludf.DUMMYFUNCTION("GOOGLETRANSLATE(B29235,""en"",""de"")"),"Mellons sind im gesamten Garten zu sehen.")</f>
        <v>Mellons sind im gesamten Garten zu sehen.</v>
      </c>
    </row>
    <row r="29236">
      <c r="A29236" s="4" t="s">
        <v>36815</v>
      </c>
      <c r="B29236" s="4" t="s">
        <v>36818</v>
      </c>
      <c r="C29236" s="5" t="str">
        <f>IFERROR(__xludf.DUMMYFUNCTION("GOOGLETRANSLATE(B29236,""en"",""de"")"),"Der Mann zeigt auf die Melonen gegen die Wand und beginnt sie zu schneiden, wobei seine Bier sie zur Seite werfen.")</f>
        <v>Der Mann zeigt auf die Melonen gegen die Wand und beginnt sie zu schneiden, wobei seine Bier sie zur Seite werfen.</v>
      </c>
    </row>
    <row r="29237">
      <c r="A29237" s="4" t="s">
        <v>36815</v>
      </c>
      <c r="B29237" s="4" t="s">
        <v>36819</v>
      </c>
      <c r="C29237" s="5" t="str">
        <f>IFERROR(__xludf.DUMMYFUNCTION("GOOGLETRANSLATE(B29237,""en"",""de"")"),"Der Mann geht zur Außenkante der Melonenpflanzen und nimmt eine große Rebe in einer Hand auf, dann schneidet er mit der anderen Hand von Blatt ab.")</f>
        <v>Der Mann geht zur Außenkante der Melonenpflanzen und nimmt eine große Rebe in einer Hand auf, dann schneidet er mit der anderen Hand von Blatt ab.</v>
      </c>
    </row>
    <row r="29238">
      <c r="A29238" s="4" t="s">
        <v>36815</v>
      </c>
      <c r="B29238" s="4" t="s">
        <v>36820</v>
      </c>
      <c r="C29238" s="5" t="str">
        <f>IFERROR(__xludf.DUMMYFUNCTION("GOOGLETRANSLATE(B29238,""en"",""de"")"),"Der Mann macht kreisförmige Bewegungen mit seinen Händen um seinen Abfall, um die Größe zu demonstrieren.")</f>
        <v>Der Mann macht kreisförmige Bewegungen mit seinen Händen um seinen Abfall, um die Größe zu demonstrieren.</v>
      </c>
    </row>
    <row r="29239">
      <c r="A29239" s="4" t="s">
        <v>36815</v>
      </c>
      <c r="B29239" s="4" t="s">
        <v>36821</v>
      </c>
      <c r="C29239" s="5" t="str">
        <f>IFERROR(__xludf.DUMMYFUNCTION("GOOGLETRANSLATE(B29239,""en"",""de"")"),"Eine Gartenwebsite ist zu sehen.")</f>
        <v>Eine Gartenwebsite ist zu sehen.</v>
      </c>
    </row>
    <row r="29240">
      <c r="A29240" s="4" t="s">
        <v>36822</v>
      </c>
      <c r="B29240" s="4" t="s">
        <v>36823</v>
      </c>
      <c r="C29240" s="5" t="str">
        <f>IFERROR(__xludf.DUMMYFUNCTION("GOOGLETRANSLATE(B29240,""en"",""de"")"),"Auf einem Tisch sitzt ein bemaltes Baupapier zusammen mit einem Koffer von Vorräten.")</f>
        <v>Auf einem Tisch sitzt ein bemaltes Baupapier zusammen mit einem Koffer von Vorräten.</v>
      </c>
    </row>
    <row r="29241">
      <c r="A29241" s="4" t="s">
        <v>36822</v>
      </c>
      <c r="B29241" s="4" t="s">
        <v>36824</v>
      </c>
      <c r="C29241" s="5" t="str">
        <f>IFERROR(__xludf.DUMMYFUNCTION("GOOGLETRANSLATE(B29241,""en"",""de"")"),"Ich Person schneidet ein Stück Konstruktionspapier aus.")</f>
        <v>Ich Person schneidet ein Stück Konstruktionspapier aus.</v>
      </c>
    </row>
    <row r="29242">
      <c r="A29242" s="4" t="s">
        <v>36822</v>
      </c>
      <c r="B29242" s="4" t="s">
        <v>36825</v>
      </c>
      <c r="C29242" s="5" t="str">
        <f>IFERROR(__xludf.DUMMYFUNCTION("GOOGLETRANSLATE(B29242,""en"",""de"")"),"Designs werden mit Markern auf dem Papier gezeichnet.")</f>
        <v>Designs werden mit Markern auf dem Papier gezeichnet.</v>
      </c>
    </row>
    <row r="29243">
      <c r="A29243" s="4" t="s">
        <v>36822</v>
      </c>
      <c r="B29243" s="4" t="s">
        <v>36826</v>
      </c>
      <c r="C29243" s="5" t="str">
        <f>IFERROR(__xludf.DUMMYFUNCTION("GOOGLETRANSLATE(B29243,""en"",""de"")"),"Das Konstruktionspapier wird über ein Gegenstand gefaltet und ein Stück Klebeband sichert das Baupapier in der Mitte.")</f>
        <v>Das Konstruktionspapier wird über ein Gegenstand gefaltet und ein Stück Klebeband sichert das Baupapier in der Mitte.</v>
      </c>
    </row>
    <row r="29244">
      <c r="A29244" s="4" t="s">
        <v>36822</v>
      </c>
      <c r="B29244" s="4" t="s">
        <v>36827</v>
      </c>
      <c r="C29244" s="5" t="str">
        <f>IFERROR(__xludf.DUMMYFUNCTION("GOOGLETRANSLATE(B29244,""en"",""de"")"),"Die Ecken werden wie ein Gegenwart gefaltet und Klebebandköpfe werden verwendet, um die gefalteten Enden des Pakets zu sichern.")</f>
        <v>Die Ecken werden wie ein Gegenwart gefaltet und Klebebandköpfe werden verwendet, um die gefalteten Enden des Pakets zu sichern.</v>
      </c>
    </row>
    <row r="29245">
      <c r="A29245" s="4" t="s">
        <v>36822</v>
      </c>
      <c r="B29245" s="4" t="s">
        <v>36828</v>
      </c>
      <c r="C29245" s="5" t="str">
        <f>IFERROR(__xludf.DUMMYFUNCTION("GOOGLETRANSLATE(B29245,""en"",""de"")"),"Ein Band wird unter das Paket geschoben und in einen Bogen gebunden.")</f>
        <v>Ein Band wird unter das Paket geschoben und in einen Bogen gebunden.</v>
      </c>
    </row>
    <row r="29246">
      <c r="A29246" s="4" t="s">
        <v>36829</v>
      </c>
      <c r="B29246" s="4" t="s">
        <v>36830</v>
      </c>
      <c r="C29246" s="5" t="str">
        <f>IFERROR(__xludf.DUMMYFUNCTION("GOOGLETRANSLATE(B29246,""en"",""de"")"),"Eine Gruppe von Menschen ist in einem Fitnessstudio und spielt Dodgeball.")</f>
        <v>Eine Gruppe von Menschen ist in einem Fitnessstudio und spielt Dodgeball.</v>
      </c>
    </row>
    <row r="29247">
      <c r="A29247" s="4" t="s">
        <v>36829</v>
      </c>
      <c r="B29247" s="4" t="s">
        <v>36831</v>
      </c>
      <c r="C29247" s="5" t="str">
        <f>IFERROR(__xludf.DUMMYFUNCTION("GOOGLETRANSLATE(B29247,""en"",""de"")"),"Ein Logo wird auf dem Bildschirm angezeigt.")</f>
        <v>Ein Logo wird auf dem Bildschirm angezeigt.</v>
      </c>
    </row>
    <row r="29248">
      <c r="A29248" s="4" t="s">
        <v>36829</v>
      </c>
      <c r="B29248" s="4" t="s">
        <v>36832</v>
      </c>
      <c r="C29248" s="5" t="str">
        <f>IFERROR(__xludf.DUMMYFUNCTION("GOOGLETRANSLATE(B29248,""en"",""de"")"),"Ein Mann spricht mit der Kamera, während die Leute hinter ihm Völkerball spielen.")</f>
        <v>Ein Mann spricht mit der Kamera, während die Leute hinter ihm Völkerball spielen.</v>
      </c>
    </row>
    <row r="29249">
      <c r="A29249" s="4" t="s">
        <v>36829</v>
      </c>
      <c r="B29249" s="4" t="s">
        <v>36833</v>
      </c>
      <c r="C29249" s="5" t="str">
        <f>IFERROR(__xludf.DUMMYFUNCTION("GOOGLETRANSLATE(B29249,""en"",""de"")"),"Der Mann und die Spieler demonstrieren Völkerballtechniken.")</f>
        <v>Der Mann und die Spieler demonstrieren Völkerballtechniken.</v>
      </c>
    </row>
    <row r="29250">
      <c r="A29250" s="4" t="s">
        <v>36829</v>
      </c>
      <c r="B29250" s="4" t="s">
        <v>36834</v>
      </c>
      <c r="C29250" s="5" t="str">
        <f>IFERROR(__xludf.DUMMYFUNCTION("GOOGLETRANSLATE(B29250,""en"",""de"")"),"Bildunterschriften erscheinen regelmäßig auf dem Bildschirm, die den Dodgeball erklären.")</f>
        <v>Bildunterschriften erscheinen regelmäßig auf dem Bildschirm, die den Dodgeball erklären.</v>
      </c>
    </row>
    <row r="29251">
      <c r="A29251" s="4" t="s">
        <v>36835</v>
      </c>
      <c r="B29251" s="4" t="s">
        <v>36836</v>
      </c>
      <c r="C29251" s="5" t="str">
        <f>IFERROR(__xludf.DUMMYFUNCTION("GOOGLETRANSLATE(B29251,""en"",""de"")"),"Es gibt einen Mann in einem grünen Hemd, der von einem anderen Mann in einer schwarzen Jacke und einer grauen Hose interviewt wird.")</f>
        <v>Es gibt einen Mann in einem grünen Hemd, der von einem anderen Mann in einer schwarzen Jacke und einer grauen Hose interviewt wird.</v>
      </c>
    </row>
    <row r="29252">
      <c r="A29252" s="4" t="s">
        <v>36835</v>
      </c>
      <c r="B29252" s="4" t="s">
        <v>36837</v>
      </c>
      <c r="C29252" s="5" t="str">
        <f>IFERROR(__xludf.DUMMYFUNCTION("GOOGLETRANSLATE(B29252,""en"",""de"")"),"Sie sitzen auf Stühlen in einem großen Raum mit Holzböden.")</f>
        <v>Sie sitzen auf Stühlen in einem großen Raum mit Holzböden.</v>
      </c>
    </row>
    <row r="29253">
      <c r="A29253" s="4" t="s">
        <v>36835</v>
      </c>
      <c r="B29253" s="4" t="s">
        <v>36838</v>
      </c>
      <c r="C29253" s="5" t="str">
        <f>IFERROR(__xludf.DUMMYFUNCTION("GOOGLETRANSLATE(B29253,""en"",""de"")"),"Der Eingang des Valquire Tennis Clubs wird gezeigt.")</f>
        <v>Der Eingang des Valquire Tennis Clubs wird gezeigt.</v>
      </c>
    </row>
    <row r="29254">
      <c r="A29254" s="4" t="s">
        <v>36835</v>
      </c>
      <c r="B29254" s="4" t="s">
        <v>36839</v>
      </c>
      <c r="C29254" s="5" t="str">
        <f>IFERROR(__xludf.DUMMYFUNCTION("GOOGLETRANSLATE(B29254,""en"",""de"")"),"Die ID -Karte der befragten Person wird ebenfalls gezeigt.")</f>
        <v>Die ID -Karte der befragten Person wird ebenfalls gezeigt.</v>
      </c>
    </row>
    <row r="29255">
      <c r="A29255" s="4" t="s">
        <v>36835</v>
      </c>
      <c r="B29255" s="4" t="s">
        <v>36840</v>
      </c>
      <c r="C29255" s="5" t="str">
        <f>IFERROR(__xludf.DUMMYFUNCTION("GOOGLETRANSLATE(B29255,""en"",""de"")"),"Der Mann in Green spricht weiterhin über Fußball mit dem Interviewer.")</f>
        <v>Der Mann in Green spricht weiterhin über Fußball mit dem Interviewer.</v>
      </c>
    </row>
    <row r="29256">
      <c r="A29256" s="4" t="s">
        <v>36835</v>
      </c>
      <c r="B29256" s="4" t="s">
        <v>36841</v>
      </c>
      <c r="C29256" s="5" t="str">
        <f>IFERROR(__xludf.DUMMYFUNCTION("GOOGLETRANSLATE(B29256,""en"",""de"")"),"Brasilien gegen Venezuela -Fußballspiel wird gezeigt.")</f>
        <v>Brasilien gegen Venezuela -Fußballspiel wird gezeigt.</v>
      </c>
    </row>
    <row r="29257">
      <c r="A29257" s="4" t="s">
        <v>36835</v>
      </c>
      <c r="B29257" s="4" t="s">
        <v>36842</v>
      </c>
      <c r="C29257" s="5" t="str">
        <f>IFERROR(__xludf.DUMMYFUNCTION("GOOGLETRANSLATE(B29257,""en"",""de"")"),"Der Mann in Green spricht über einen Zeitungsartikel, der sich mit dem Fußball als Clips aus dem Fußballspiel bezieht.")</f>
        <v>Der Mann in Green spricht über einen Zeitungsartikel, der sich mit dem Fußball als Clips aus dem Fußballspiel bezieht.</v>
      </c>
    </row>
    <row r="29258">
      <c r="A29258" s="4" t="s">
        <v>36843</v>
      </c>
      <c r="B29258" s="4" t="s">
        <v>36844</v>
      </c>
      <c r="C29258" s="5" t="str">
        <f>IFERROR(__xludf.DUMMYFUNCTION("GOOGLETRANSLATE(B29258,""en"",""de"")"),"Zwei Personen stehen nebeneinander und sprechen mit der Kamera und führt in die beiden, die eine Tanzroutine miteinander spielen.")</f>
        <v>Zwei Personen stehen nebeneinander und sprechen mit der Kamera und führt in die beiden, die eine Tanzroutine miteinander spielen.</v>
      </c>
    </row>
    <row r="29259">
      <c r="A29259" s="4" t="s">
        <v>36843</v>
      </c>
      <c r="B29259" s="4" t="s">
        <v>36845</v>
      </c>
      <c r="C29259" s="5" t="str">
        <f>IFERROR(__xludf.DUMMYFUNCTION("GOOGLETRANSLATE(B29259,""en"",""de"")"),"Die Leute tanzen weiterhin am Straßenrand herum und endet damit, dass sie posieren und lachen.")</f>
        <v>Die Leute tanzen weiterhin am Straßenrand herum und endet damit, dass sie posieren und lachen.</v>
      </c>
    </row>
    <row r="29260">
      <c r="A29260" s="4" t="s">
        <v>36846</v>
      </c>
      <c r="B29260" s="4" t="s">
        <v>36847</v>
      </c>
      <c r="C29260" s="5" t="str">
        <f>IFERROR(__xludf.DUMMYFUNCTION("GOOGLETRANSLATE(B29260,""en"",""de"")"),"Ein Mann in einem weißen Hemd redet.")</f>
        <v>Ein Mann in einem weißen Hemd redet.</v>
      </c>
    </row>
    <row r="29261">
      <c r="A29261" s="4" t="s">
        <v>36846</v>
      </c>
      <c r="B29261" s="4" t="s">
        <v>36848</v>
      </c>
      <c r="C29261" s="5" t="str">
        <f>IFERROR(__xludf.DUMMYFUNCTION("GOOGLETRANSLATE(B29261,""en"",""de"")"),"Ein Bogen und ein Pfeil sind im Gras eingerichtet.")</f>
        <v>Ein Bogen und ein Pfeil sind im Gras eingerichtet.</v>
      </c>
    </row>
    <row r="29262">
      <c r="A29262" s="4" t="s">
        <v>36846</v>
      </c>
      <c r="B29262" s="4" t="s">
        <v>36849</v>
      </c>
      <c r="C29262" s="5" t="str">
        <f>IFERROR(__xludf.DUMMYFUNCTION("GOOGLETRANSLATE(B29262,""en"",""de"")"),"Ein Mann schießt im Wasser einen Bogen und einen Pfeil.")</f>
        <v>Ein Mann schießt im Wasser einen Bogen und einen Pfeil.</v>
      </c>
    </row>
    <row r="29263">
      <c r="A29263" s="4" t="s">
        <v>36850</v>
      </c>
      <c r="B29263" s="4" t="s">
        <v>36851</v>
      </c>
      <c r="C29263" s="5" t="str">
        <f>IFERROR(__xludf.DUMMYFUNCTION("GOOGLETRANSLATE(B29263,""en"",""de"")"),"Eine Hand wird in einen Pinsel gesteckt und bewegt das Haar, um mit der anderen Hand aufgestopft und impft zu werden.")</f>
        <v>Eine Hand wird in einen Pinsel gesteckt und bewegt das Haar, um mit der anderen Hand aufgestopft und impft zu werden.</v>
      </c>
    </row>
    <row r="29264">
      <c r="A29264" s="4" t="s">
        <v>36850</v>
      </c>
      <c r="B29264" s="4" t="s">
        <v>36852</v>
      </c>
      <c r="C29264" s="5" t="str">
        <f>IFERROR(__xludf.DUMMYFUNCTION("GOOGLETRANSLATE(B29264,""en"",""de"")"),"Der mittlere Abschnitt ist fertig und das Pferd steht still, während er gekürzt wird.")</f>
        <v>Der mittlere Abschnitt ist fertig und das Pferd steht still, während er gekürzt wird.</v>
      </c>
    </row>
    <row r="29265">
      <c r="A29265" s="4" t="s">
        <v>36850</v>
      </c>
      <c r="B29265" s="4" t="s">
        <v>36853</v>
      </c>
      <c r="C29265" s="5" t="str">
        <f>IFERROR(__xludf.DUMMYFUNCTION("GOOGLETRANSLATE(B29265,""en"",""de"")"),"Jetzt ist die Mitte fertig und die Person bewegt sich auf die Rückseite des Pferdes, bis der gesamte Körper des Pferdes gefallen ist.")</f>
        <v>Jetzt ist die Mitte fertig und die Person bewegt sich auf die Rückseite des Pferdes, bis der gesamte Körper des Pferdes gefallen ist.</v>
      </c>
    </row>
    <row r="29266">
      <c r="A29266" s="4" t="s">
        <v>36854</v>
      </c>
      <c r="B29266" s="4" t="s">
        <v>36855</v>
      </c>
      <c r="C29266" s="5" t="str">
        <f>IFERROR(__xludf.DUMMYFUNCTION("GOOGLETRANSLATE(B29266,""en"",""de"")"),"Eine Person spielt eine akustische Gitarre, während sie auf einem beige Sofa in Jeans und einem T-Shirt sitzt.")</f>
        <v>Eine Person spielt eine akustische Gitarre, während sie auf einem beige Sofa in Jeans und einem T-Shirt sitzt.</v>
      </c>
    </row>
    <row r="29267">
      <c r="A29267" s="4" t="s">
        <v>36854</v>
      </c>
      <c r="B29267" s="4" t="s">
        <v>36856</v>
      </c>
      <c r="C29267" s="5" t="str">
        <f>IFERROR(__xludf.DUMMYFUNCTION("GOOGLETRANSLATE(B29267,""en"",""de"")"),"Ein Zimmer wird mit einer akustischen Gitarre gezeigt, die auf einem beige Sofa und einem Steinkunststück vor dem Sofa mit Steinen liegt.")</f>
        <v>Ein Zimmer wird mit einer akustischen Gitarre gezeigt, die auf einem beige Sofa und einem Steinkunststück vor dem Sofa mit Steinen liegt.</v>
      </c>
    </row>
    <row r="29268">
      <c r="A29268" s="4" t="s">
        <v>36854</v>
      </c>
      <c r="B29268" s="4" t="s">
        <v>36857</v>
      </c>
      <c r="C29268" s="5" t="str">
        <f>IFERROR(__xludf.DUMMYFUNCTION("GOOGLETRANSLATE(B29268,""en"",""de"")"),"Eine Person, die unsichtbar ist, nähert sich dem Sofa und nimmt die Gitarre auf.")</f>
        <v>Eine Person, die unsichtbar ist, nähert sich dem Sofa und nimmt die Gitarre auf.</v>
      </c>
    </row>
    <row r="29269">
      <c r="A29269" s="4" t="s">
        <v>36854</v>
      </c>
      <c r="B29269" s="4" t="s">
        <v>36858</v>
      </c>
      <c r="C29269" s="5" t="str">
        <f>IFERROR(__xludf.DUMMYFUNCTION("GOOGLETRANSLATE(B29269,""en"",""de"")"),"Die Person setzt sich dann hin und spielt die Akustikgitarre, die einen Capo am Hals hat, und spielt, bis die Szene zu einem spanischen Untertitel verblasst.")</f>
        <v>Die Person setzt sich dann hin und spielt die Akustikgitarre, die einen Capo am Hals hat, und spielt, bis die Szene zu einem spanischen Untertitel verblasst.</v>
      </c>
    </row>
    <row r="29270">
      <c r="A29270" s="4" t="s">
        <v>36859</v>
      </c>
      <c r="B29270" s="4" t="s">
        <v>36860</v>
      </c>
      <c r="C29270" s="5" t="str">
        <f>IFERROR(__xludf.DUMMYFUNCTION("GOOGLETRANSLATE(B29270,""en"",""de"")"),"Es gibt einen Mann, der in seiner Küche ein wissenschaftliches Experiment mit einer Liter -Pepsi -Flasche durchführt, die mit Schaum gefüllt ist.")</f>
        <v>Es gibt einen Mann, der in seiner Küche ein wissenschaftliches Experiment mit einer Liter -Pepsi -Flasche durchführt, die mit Schaum gefüllt ist.</v>
      </c>
    </row>
    <row r="29271">
      <c r="A29271" s="4" t="s">
        <v>36859</v>
      </c>
      <c r="B29271" s="4" t="s">
        <v>36861</v>
      </c>
      <c r="C29271" s="5" t="str">
        <f>IFERROR(__xludf.DUMMYFUNCTION("GOOGLETRANSLATE(B29271,""en"",""de"")"),"Es gibt einen Jungen, der sich mit gestreckten Beinen gegen den Schrank auf den Boden legt.")</f>
        <v>Es gibt einen Jungen, der sich mit gestreckten Beinen gegen den Schrank auf den Boden legt.</v>
      </c>
    </row>
    <row r="29272">
      <c r="A29272" s="4" t="s">
        <v>36859</v>
      </c>
      <c r="B29272" s="4" t="s">
        <v>36862</v>
      </c>
      <c r="C29272" s="5" t="str">
        <f>IFERROR(__xludf.DUMMYFUNCTION("GOOGLETRANSLATE(B29272,""en"",""de"")"),"Der Mann hält einen Schlauch in einer Hand und bläst gleichzeitig Luft in die Flasche.")</f>
        <v>Der Mann hält einen Schlauch in einer Hand und bläst gleichzeitig Luft in die Flasche.</v>
      </c>
    </row>
    <row r="29273">
      <c r="A29273" s="4" t="s">
        <v>36859</v>
      </c>
      <c r="B29273" s="4" t="s">
        <v>36863</v>
      </c>
      <c r="C29273" s="5" t="str">
        <f>IFERROR(__xludf.DUMMYFUNCTION("GOOGLETRANSLATE(B29273,""en"",""de"")"),"Dann lässt er die riesige Blase aus der Flasche auf das Gesicht des Jungen fallen.")</f>
        <v>Dann lässt er die riesige Blase aus der Flasche auf das Gesicht des Jungen fallen.</v>
      </c>
    </row>
    <row r="29274">
      <c r="A29274" s="4" t="s">
        <v>36864</v>
      </c>
      <c r="B29274" s="4" t="s">
        <v>36865</v>
      </c>
      <c r="C29274" s="5" t="str">
        <f>IFERROR(__xludf.DUMMYFUNCTION("GOOGLETRANSLATE(B29274,""en"",""de"")"),"Eine Webadresse wird auf der Folie angezeigt.")</f>
        <v>Eine Webadresse wird auf der Folie angezeigt.</v>
      </c>
    </row>
    <row r="29275">
      <c r="A29275" s="4" t="s">
        <v>36864</v>
      </c>
      <c r="B29275" s="4" t="s">
        <v>36866</v>
      </c>
      <c r="C29275" s="5" t="str">
        <f>IFERROR(__xludf.DUMMYFUNCTION("GOOGLETRANSLATE(B29275,""en"",""de"")"),"Der Name eines Sonnenschutzmittels wird angezeigt.")</f>
        <v>Der Name eines Sonnenschutzmittels wird angezeigt.</v>
      </c>
    </row>
    <row r="29276">
      <c r="A29276" s="4" t="s">
        <v>36864</v>
      </c>
      <c r="B29276" s="4" t="s">
        <v>36867</v>
      </c>
      <c r="C29276" s="5" t="str">
        <f>IFERROR(__xludf.DUMMYFUNCTION("GOOGLETRANSLATE(B29276,""en"",""de"")"),"Die Sonnenschutzflasche wird gezeigt.")</f>
        <v>Die Sonnenschutzflasche wird gezeigt.</v>
      </c>
    </row>
    <row r="29277">
      <c r="A29277" s="4" t="s">
        <v>36864</v>
      </c>
      <c r="B29277" s="4" t="s">
        <v>36868</v>
      </c>
      <c r="C29277" s="5" t="str">
        <f>IFERROR(__xludf.DUMMYFUNCTION("GOOGLETRANSLATE(B29277,""en"",""de"")"),"Der Preis des Sonnenschutzmittels wird angezeigt.")</f>
        <v>Der Preis des Sonnenschutzmittels wird angezeigt.</v>
      </c>
    </row>
    <row r="29278">
      <c r="A29278" s="4" t="s">
        <v>36864</v>
      </c>
      <c r="B29278" s="4" t="s">
        <v>36869</v>
      </c>
      <c r="C29278" s="5" t="str">
        <f>IFERROR(__xludf.DUMMYFUNCTION("GOOGLETRANSLATE(B29278,""en"",""de"")"),"Die Sonnenschutzflasche wird präsentiert.")</f>
        <v>Die Sonnenschutzflasche wird präsentiert.</v>
      </c>
    </row>
    <row r="29279">
      <c r="A29279" s="4" t="s">
        <v>36864</v>
      </c>
      <c r="B29279" s="4" t="s">
        <v>36870</v>
      </c>
      <c r="C29279" s="5" t="str">
        <f>IFERROR(__xludf.DUMMYFUNCTION("GOOGLETRANSLATE(B29279,""en"",""de"")"),"Eine Informationsrichtlinie wird angezeigt.")</f>
        <v>Eine Informationsrichtlinie wird angezeigt.</v>
      </c>
    </row>
    <row r="29280">
      <c r="A29280" s="4" t="s">
        <v>36871</v>
      </c>
      <c r="B29280" s="4" t="s">
        <v>36872</v>
      </c>
      <c r="C29280" s="5" t="str">
        <f>IFERROR(__xludf.DUMMYFUNCTION("GOOGLETRANSLATE(B29280,""en"",""de"")"),"Der Titel ist auf dem Bildschirm.")</f>
        <v>Der Titel ist auf dem Bildschirm.</v>
      </c>
    </row>
    <row r="29281">
      <c r="A29281" s="4" t="s">
        <v>36871</v>
      </c>
      <c r="B29281" s="4" t="s">
        <v>36873</v>
      </c>
      <c r="C29281" s="5" t="str">
        <f>IFERROR(__xludf.DUMMYFUNCTION("GOOGLETRANSLATE(B29281,""en"",""de"")"),"Der Bildschirm wechselt zu dem Mann, der seine Kunst erklärt.")</f>
        <v>Der Bildschirm wechselt zu dem Mann, der seine Kunst erklärt.</v>
      </c>
    </row>
    <row r="29282">
      <c r="A29282" s="4" t="s">
        <v>36871</v>
      </c>
      <c r="B29282" s="4" t="s">
        <v>36874</v>
      </c>
      <c r="C29282" s="5" t="str">
        <f>IFERROR(__xludf.DUMMYFUNCTION("GOOGLETRANSLATE(B29282,""en"",""de"")"),"Wir sehen das Kunstwerk des Mannes.")</f>
        <v>Wir sehen das Kunstwerk des Mannes.</v>
      </c>
    </row>
    <row r="29283">
      <c r="A29283" s="4" t="s">
        <v>36871</v>
      </c>
      <c r="B29283" s="4" t="s">
        <v>36875</v>
      </c>
      <c r="C29283" s="5" t="str">
        <f>IFERROR(__xludf.DUMMYFUNCTION("GOOGLETRANSLATE(B29283,""en"",""de"")"),"Wir sehen den Mann wieder reden.")</f>
        <v>Wir sehen den Mann wieder reden.</v>
      </c>
    </row>
    <row r="29284">
      <c r="A29284" s="4" t="s">
        <v>36871</v>
      </c>
      <c r="B29284" s="4" t="s">
        <v>36876</v>
      </c>
      <c r="C29284" s="5" t="str">
        <f>IFERROR(__xludf.DUMMYFUNCTION("GOOGLETRANSLATE(B29284,""en"",""de"")"),"Er greift Farbe auf seinem Pinsel.")</f>
        <v>Er greift Farbe auf seinem Pinsel.</v>
      </c>
    </row>
    <row r="29285">
      <c r="A29285" s="4" t="s">
        <v>36871</v>
      </c>
      <c r="B29285" s="4" t="s">
        <v>36877</v>
      </c>
      <c r="C29285" s="5" t="str">
        <f>IFERROR(__xludf.DUMMYFUNCTION("GOOGLETRANSLATE(B29285,""en"",""de"")"),"Er diskutiert seine Maltechnik.")</f>
        <v>Er diskutiert seine Maltechnik.</v>
      </c>
    </row>
    <row r="29286">
      <c r="A29286" s="4" t="s">
        <v>36871</v>
      </c>
      <c r="B29286" s="4" t="s">
        <v>36878</v>
      </c>
      <c r="C29286" s="5" t="str">
        <f>IFERROR(__xludf.DUMMYFUNCTION("GOOGLETRANSLATE(B29286,""en"",""de"")"),"Er malt auf der Kunst.")</f>
        <v>Er malt auf der Kunst.</v>
      </c>
    </row>
    <row r="29287">
      <c r="A29287" s="4" t="s">
        <v>36871</v>
      </c>
      <c r="B29287" s="4" t="s">
        <v>36879</v>
      </c>
      <c r="C29287" s="5" t="str">
        <f>IFERROR(__xludf.DUMMYFUNCTION("GOOGLETRANSLATE(B29287,""en"",""de"")"),"Er reinigt seinen Pinsel auf Papier.")</f>
        <v>Er reinigt seinen Pinsel auf Papier.</v>
      </c>
    </row>
    <row r="29288">
      <c r="A29288" s="4" t="s">
        <v>36871</v>
      </c>
      <c r="B29288" s="4" t="s">
        <v>36880</v>
      </c>
      <c r="C29288" s="5" t="str">
        <f>IFERROR(__xludf.DUMMYFUNCTION("GOOGLETRANSLATE(B29288,""en"",""de"")"),"Er fügt dem Pinsel mehr Farbe hinzu.")</f>
        <v>Er fügt dem Pinsel mehr Farbe hinzu.</v>
      </c>
    </row>
    <row r="29289">
      <c r="A29289" s="4" t="s">
        <v>36871</v>
      </c>
      <c r="B29289" s="4" t="s">
        <v>36881</v>
      </c>
      <c r="C29289" s="5" t="str">
        <f>IFERROR(__xludf.DUMMYFUNCTION("GOOGLETRANSLATE(B29289,""en"",""de"")"),"Er malt wieder über die Kunst.")</f>
        <v>Er malt wieder über die Kunst.</v>
      </c>
    </row>
    <row r="29290">
      <c r="A29290" s="4" t="s">
        <v>36871</v>
      </c>
      <c r="B29290" s="4" t="s">
        <v>36882</v>
      </c>
      <c r="C29290" s="5" t="str">
        <f>IFERROR(__xludf.DUMMYFUNCTION("GOOGLETRANSLATE(B29290,""en"",""de"")"),"Er reinigt seinen Pinsel wieder auf dem Papier.")</f>
        <v>Er reinigt seinen Pinsel wieder auf dem Papier.</v>
      </c>
    </row>
    <row r="29291">
      <c r="A29291" s="4" t="s">
        <v>36871</v>
      </c>
      <c r="B29291" s="4" t="s">
        <v>36883</v>
      </c>
      <c r="C29291" s="5" t="str">
        <f>IFERROR(__xludf.DUMMYFUNCTION("GOOGLETRANSLATE(B29291,""en"",""de"")"),"Er fügt dem Pinsel weiße Farbe hinzu.")</f>
        <v>Er fügt dem Pinsel weiße Farbe hinzu.</v>
      </c>
    </row>
    <row r="29292">
      <c r="A29292" s="4" t="s">
        <v>36871</v>
      </c>
      <c r="B29292" s="4" t="s">
        <v>36884</v>
      </c>
      <c r="C29292" s="5" t="str">
        <f>IFERROR(__xludf.DUMMYFUNCTION("GOOGLETRANSLATE(B29292,""en"",""de"")"),"Er malt das Kunstwerk weiß.")</f>
        <v>Er malt das Kunstwerk weiß.</v>
      </c>
    </row>
    <row r="29293">
      <c r="A29293" s="4" t="s">
        <v>36871</v>
      </c>
      <c r="B29293" s="4" t="s">
        <v>36885</v>
      </c>
      <c r="C29293" s="5" t="str">
        <f>IFERROR(__xludf.DUMMYFUNCTION("GOOGLETRANSLATE(B29293,""en"",""de"")"),"Er überquert seine Arme und spricht.")</f>
        <v>Er überquert seine Arme und spricht.</v>
      </c>
    </row>
    <row r="29294">
      <c r="A29294" s="4" t="s">
        <v>36871</v>
      </c>
      <c r="B29294" s="4" t="s">
        <v>36886</v>
      </c>
      <c r="C29294" s="5" t="str">
        <f>IFERROR(__xludf.DUMMYFUNCTION("GOOGLETRANSLATE(B29294,""en"",""de"")"),"Wir sehen die Titelkarte.")</f>
        <v>Wir sehen die Titelkarte.</v>
      </c>
    </row>
    <row r="29295">
      <c r="A29295" s="4" t="s">
        <v>36887</v>
      </c>
      <c r="B29295" s="4" t="s">
        <v>36888</v>
      </c>
      <c r="C29295" s="5" t="str">
        <f>IFERROR(__xludf.DUMMYFUNCTION("GOOGLETRANSLATE(B29295,""en"",""de"")"),"Die Leute tauchen in den Pool ein und fangen an zu schwimmen.")</f>
        <v>Die Leute tauchen in den Pool ein und fangen an zu schwimmen.</v>
      </c>
    </row>
    <row r="29296">
      <c r="A29296" s="4" t="s">
        <v>36887</v>
      </c>
      <c r="B29296" s="4" t="s">
        <v>36889</v>
      </c>
      <c r="C29296" s="5" t="str">
        <f>IFERROR(__xludf.DUMMYFUNCTION("GOOGLETRANSLATE(B29296,""en"",""de"")"),"Eine Person erreicht das Ende und nimmt ihre Schutzbrille aus.")</f>
        <v>Eine Person erreicht das Ende und nimmt ihre Schutzbrille aus.</v>
      </c>
    </row>
    <row r="29297">
      <c r="A29297" s="4" t="s">
        <v>36887</v>
      </c>
      <c r="B29297" s="4" t="s">
        <v>36890</v>
      </c>
      <c r="C29297" s="5" t="str">
        <f>IFERROR(__xludf.DUMMYFUNCTION("GOOGLETRANSLATE(B29297,""en"",""de"")"),"Sie winken in die Kamera und lächeln.")</f>
        <v>Sie winken in die Kamera und lächeln.</v>
      </c>
    </row>
    <row r="29298">
      <c r="A29298" s="4" t="s">
        <v>36887</v>
      </c>
      <c r="B29298" s="4" t="s">
        <v>36891</v>
      </c>
      <c r="C29298" s="5" t="str">
        <f>IFERROR(__xludf.DUMMYFUNCTION("GOOGLETRANSLATE(B29298,""en"",""de"")"),"Die anderen Schwimmer gelangen in die Ziellinie.")</f>
        <v>Die anderen Schwimmer gelangen in die Ziellinie.</v>
      </c>
    </row>
    <row r="29299">
      <c r="A29299" s="4" t="s">
        <v>36892</v>
      </c>
      <c r="B29299" s="4" t="s">
        <v>36893</v>
      </c>
      <c r="C29299" s="5" t="str">
        <f>IFERROR(__xludf.DUMMYFUNCTION("GOOGLETRANSLATE(B29299,""en"",""de"")"),"Ein Mann, der einen Helm trägt und ein Skateboard trägt, liegt auf einem Skateboard und fährt eine Bowlingspur hinunter, um die Stifte zu klopfen.")</f>
        <v>Ein Mann, der einen Helm trägt und ein Skateboard trägt, liegt auf einem Skateboard und fährt eine Bowlingspur hinunter, um die Stifte zu klopfen.</v>
      </c>
    </row>
    <row r="29300">
      <c r="A29300" s="4" t="s">
        <v>36892</v>
      </c>
      <c r="B29300" s="4" t="s">
        <v>36894</v>
      </c>
      <c r="C29300" s="5" t="str">
        <f>IFERROR(__xludf.DUMMYFUNCTION("GOOGLETRANSLATE(B29300,""en"",""de"")"),"Die Leute versuchen, ihn auf die Gasse zu beobachten.")</f>
        <v>Die Leute versuchen, ihn auf die Gasse zu beobachten.</v>
      </c>
    </row>
    <row r="29301">
      <c r="A29301" s="4" t="s">
        <v>36892</v>
      </c>
      <c r="B29301" s="4" t="s">
        <v>36895</v>
      </c>
      <c r="C29301" s="5" t="str">
        <f>IFERROR(__xludf.DUMMYFUNCTION("GOOGLETRANSLATE(B29301,""en"",""de"")"),"Jemand drückt jemanden, der auf einem Skateboard auf einer Bowlingspur liegt.")</f>
        <v>Jemand drückt jemanden, der auf einem Skateboard auf einer Bowlingspur liegt.</v>
      </c>
    </row>
    <row r="29302">
      <c r="A29302" s="4" t="s">
        <v>36892</v>
      </c>
      <c r="B29302" s="4" t="s">
        <v>36896</v>
      </c>
      <c r="C29302" s="5" t="str">
        <f>IFERROR(__xludf.DUMMYFUNCTION("GOOGLETRANSLATE(B29302,""en"",""de"")"),"Leute werfen Bowlingbälle nach der Person.")</f>
        <v>Leute werfen Bowlingbälle nach der Person.</v>
      </c>
    </row>
    <row r="29303">
      <c r="A29303" s="4" t="s">
        <v>36892</v>
      </c>
      <c r="B29303" s="4" t="s">
        <v>36897</v>
      </c>
      <c r="C29303" s="5" t="str">
        <f>IFERROR(__xludf.DUMMYFUNCTION("GOOGLETRANSLATE(B29303,""en"",""de"")"),"Zwei Männer lachen den Mann.")</f>
        <v>Zwei Männer lachen den Mann.</v>
      </c>
    </row>
    <row r="29304">
      <c r="A29304" s="4" t="s">
        <v>36892</v>
      </c>
      <c r="B29304" s="4" t="s">
        <v>36898</v>
      </c>
      <c r="C29304" s="5" t="str">
        <f>IFERROR(__xludf.DUMMYFUNCTION("GOOGLETRANSLATE(B29304,""en"",""de"")"),"Jemand drückt eine andere Person, die auf einem Skateboard auf einer Bowlingspur liegt.")</f>
        <v>Jemand drückt eine andere Person, die auf einem Skateboard auf einer Bowlingspur liegt.</v>
      </c>
    </row>
    <row r="29305">
      <c r="A29305" s="4" t="s">
        <v>36899</v>
      </c>
      <c r="B29305" s="4" t="s">
        <v>36900</v>
      </c>
      <c r="C29305" s="5" t="str">
        <f>IFERROR(__xludf.DUMMYFUNCTION("GOOGLETRANSLATE(B29305,""en"",""de"")"),"Eine Person gießt verschiedene Farben an einer Oberfläche.")</f>
        <v>Eine Person gießt verschiedene Farben an einer Oberfläche.</v>
      </c>
    </row>
    <row r="29306">
      <c r="A29306" s="4" t="s">
        <v>36899</v>
      </c>
      <c r="B29306" s="4" t="s">
        <v>36901</v>
      </c>
      <c r="C29306" s="5" t="str">
        <f>IFERROR(__xludf.DUMMYFUNCTION("GOOGLETRANSLATE(B29306,""en"",""de"")"),"Dann malt die Frau Blumen auf dem Kopfteil eines Bettes.")</f>
        <v>Dann malt die Frau Blumen auf dem Kopfteil eines Bettes.</v>
      </c>
    </row>
    <row r="29307">
      <c r="A29307" s="4" t="s">
        <v>36902</v>
      </c>
      <c r="B29307" s="4" t="s">
        <v>36903</v>
      </c>
      <c r="C29307" s="5" t="str">
        <f>IFERROR(__xludf.DUMMYFUNCTION("GOOGLETRANSLATE(B29307,""en"",""de"")"),"Ein kleines Mädchen sitzt auf einer Tasse Eis auf der Vorderseite, dann nimmt sie ein Stück Essen aus der Tasse und isst es.")</f>
        <v>Ein kleines Mädchen sitzt auf einer Tasse Eis auf der Vorderseite, dann nimmt sie ein Stück Essen aus der Tasse und isst es.</v>
      </c>
    </row>
    <row r="29308">
      <c r="A29308" s="4" t="s">
        <v>36902</v>
      </c>
      <c r="B29308" s="4" t="s">
        <v>36904</v>
      </c>
      <c r="C29308" s="5" t="str">
        <f>IFERROR(__xludf.DUMMYFUNCTION("GOOGLETRANSLATE(B29308,""en"",""de"")"),"Dann schnappt sich das Mädchen den Löffel und isst das Eis.")</f>
        <v>Dann schnappt sich das Mädchen den Löffel und isst das Eis.</v>
      </c>
    </row>
    <row r="29309">
      <c r="A29309" s="4" t="s">
        <v>36902</v>
      </c>
      <c r="B29309" s="4" t="s">
        <v>36905</v>
      </c>
      <c r="C29309" s="5" t="str">
        <f>IFERROR(__xludf.DUMMYFUNCTION("GOOGLETRANSLATE(B29309,""en"",""de"")"),"Eine Hand nimmt Nüsse aus dem Eiscram.")</f>
        <v>Eine Hand nimmt Nüsse aus dem Eiscram.</v>
      </c>
    </row>
    <row r="29310">
      <c r="A29310" s="4" t="s">
        <v>36906</v>
      </c>
      <c r="B29310" s="4" t="s">
        <v>36907</v>
      </c>
      <c r="C29310" s="5" t="str">
        <f>IFERROR(__xludf.DUMMYFUNCTION("GOOGLETRANSLATE(B29310,""en"",""de"")"),"Ein Mann und eine Frau tanzen in einem Wohnzimmer, das eine Tango -Routine durchführt.")</f>
        <v>Ein Mann und eine Frau tanzen in einem Wohnzimmer, das eine Tango -Routine durchführt.</v>
      </c>
    </row>
    <row r="29311">
      <c r="A29311" s="4" t="s">
        <v>36906</v>
      </c>
      <c r="B29311" s="4" t="s">
        <v>36908</v>
      </c>
      <c r="C29311" s="5" t="str">
        <f>IFERROR(__xludf.DUMMYFUNCTION("GOOGLETRANSLATE(B29311,""en"",""de"")"),"Sie drehen sich gegenseitig und rund und endet mit dem Rollen von Credits.")</f>
        <v>Sie drehen sich gegenseitig und rund und endet mit dem Rollen von Credits.</v>
      </c>
    </row>
    <row r="29312">
      <c r="A29312" s="4" t="s">
        <v>36909</v>
      </c>
      <c r="B29312" s="4" t="s">
        <v>36910</v>
      </c>
      <c r="C29312" s="5" t="str">
        <f>IFERROR(__xludf.DUMMYFUNCTION("GOOGLETRANSLATE(B29312,""en"",""de"")"),"Eine Person bewegt ihre Finger um die Mitte des Rades eines Fahrrads.")</f>
        <v>Eine Person bewegt ihre Finger um die Mitte des Rades eines Fahrrads.</v>
      </c>
    </row>
    <row r="29313">
      <c r="A29313" s="4" t="s">
        <v>36909</v>
      </c>
      <c r="B29313" s="4" t="s">
        <v>36911</v>
      </c>
      <c r="C29313" s="5" t="str">
        <f>IFERROR(__xludf.DUMMYFUNCTION("GOOGLETRANSLATE(B29313,""en"",""de"")"),"Die Person nimmt einen schwarzen Teil und fügt ihn hinzu.")</f>
        <v>Die Person nimmt einen schwarzen Teil und fügt ihn hinzu.</v>
      </c>
    </row>
    <row r="29314">
      <c r="A29314" s="4" t="s">
        <v>36909</v>
      </c>
      <c r="B29314" s="4" t="s">
        <v>36912</v>
      </c>
      <c r="C29314" s="5" t="str">
        <f>IFERROR(__xludf.DUMMYFUNCTION("GOOGLETRANSLATE(B29314,""en"",""de"")"),"Die Person fügt einen kleineren schwarzen Teil hinzu und befestigt ihn.")</f>
        <v>Die Person fügt einen kleineren schwarzen Teil hinzu und befestigt ihn.</v>
      </c>
    </row>
    <row r="29315">
      <c r="A29315" s="4" t="s">
        <v>36909</v>
      </c>
      <c r="B29315" s="4" t="s">
        <v>36913</v>
      </c>
      <c r="C29315" s="5" t="str">
        <f>IFERROR(__xludf.DUMMYFUNCTION("GOOGLETRANSLATE(B29315,""en"",""de"")"),"Die Person entfernt ihre Hände aus der Mitte des Fahrradrads.")</f>
        <v>Die Person entfernt ihre Hände aus der Mitte des Fahrradrads.</v>
      </c>
    </row>
    <row r="29316">
      <c r="A29316" s="4" t="s">
        <v>36914</v>
      </c>
      <c r="B29316" s="4" t="s">
        <v>36915</v>
      </c>
      <c r="C29316" s="5" t="str">
        <f>IFERROR(__xludf.DUMMYFUNCTION("GOOGLETRANSLATE(B29316,""en"",""de"")"),"Es gibt viele Leute in einem Park und einige spielen, während andere nur zuschauen.")</f>
        <v>Es gibt viele Leute in einem Park und einige spielen, während andere nur zuschauen.</v>
      </c>
    </row>
    <row r="29317">
      <c r="A29317" s="4" t="s">
        <v>36914</v>
      </c>
      <c r="B29317" s="4" t="s">
        <v>36916</v>
      </c>
      <c r="C29317" s="5" t="str">
        <f>IFERROR(__xludf.DUMMYFUNCTION("GOOGLETRANSLATE(B29317,""en"",""de"")"),"Ein Mann und eine Frau stehen am Eingang des Spielfelds und machen sich bereit zu spielen.")</f>
        <v>Ein Mann und eine Frau stehen am Eingang des Spielfelds und machen sich bereit zu spielen.</v>
      </c>
    </row>
    <row r="29318">
      <c r="A29318" s="4" t="s">
        <v>36914</v>
      </c>
      <c r="B29318" s="4" t="s">
        <v>36917</v>
      </c>
      <c r="C29318" s="5" t="str">
        <f>IFERROR(__xludf.DUMMYFUNCTION("GOOGLETRANSLATE(B29318,""en"",""de"")"),"Wenn der Ball zu ihnen rollt, tritt der Mann ihn und rennt, während andere Spieler versuchen, für das Spiel in Bewegung zu kommen.")</f>
        <v>Wenn der Ball zu ihnen rollt, tritt der Mann ihn und rennt, während andere Spieler versuchen, für das Spiel in Bewegung zu kommen.</v>
      </c>
    </row>
    <row r="29319">
      <c r="A29319" s="4" t="s">
        <v>36914</v>
      </c>
      <c r="B29319" s="4" t="s">
        <v>36918</v>
      </c>
      <c r="C29319" s="5" t="str">
        <f>IFERROR(__xludf.DUMMYFUNCTION("GOOGLETRANSLATE(B29319,""en"",""de"")"),"Ein anderer Mann rennt in Richtung der Heimatbasis und taucht auf den Schmutz, um die Basis zu berühren, die sie schützen, und ein anderer Mann versucht, den Ball zu fangen, um den Mann herauszuholen.")</f>
        <v>Ein anderer Mann rennt in Richtung der Heimatbasis und taucht auf den Schmutz, um die Basis zu berühren, die sie schützen, und ein anderer Mann versucht, den Ball zu fangen, um den Mann herauszuholen.</v>
      </c>
    </row>
    <row r="29320">
      <c r="A29320" s="4" t="s">
        <v>36914</v>
      </c>
      <c r="B29320" s="4" t="s">
        <v>36919</v>
      </c>
      <c r="C29320" s="5" t="str">
        <f>IFERROR(__xludf.DUMMYFUNCTION("GOOGLETRANSLATE(B29320,""en"",""de"")"),"Der Mann versucht, den Ball zu fangen, vermisst ihn, fällt auf den Boden, um ihn zu fangen, wirft ihn an die Spitze des Mannes, der bereits auf der Basis ist, und sie alle lachen und das Team, das gerade ein Tor erzielt hat, geben sich gegenseitig High Fi"&amp;"ves.")</f>
        <v>Der Mann versucht, den Ball zu fangen, vermisst ihn, fällt auf den Boden, um ihn zu fangen, wirft ihn an die Spitze des Mannes, der bereits auf der Basis ist, und sie alle lachen und das Team, das gerade ein Tor erzielt hat, geben sich gegenseitig High Fives.</v>
      </c>
    </row>
    <row r="29321">
      <c r="A29321" s="4" t="s">
        <v>36920</v>
      </c>
      <c r="B29321" s="4" t="s">
        <v>36921</v>
      </c>
      <c r="C29321" s="5" t="str">
        <f>IFERROR(__xludf.DUMMYFUNCTION("GOOGLETRANSLATE(B29321,""en"",""de"")"),"Zwei Kinder spielen draußen auf einem Spielplatz zusammen.")</f>
        <v>Zwei Kinder spielen draußen auf einem Spielplatz zusammen.</v>
      </c>
    </row>
    <row r="29322">
      <c r="A29322" s="4" t="s">
        <v>36920</v>
      </c>
      <c r="B29322" s="4" t="s">
        <v>36922</v>
      </c>
      <c r="C29322" s="5" t="str">
        <f>IFERROR(__xludf.DUMMYFUNCTION("GOOGLETRANSLATE(B29322,""en"",""de"")"),"Ein Junge springt weg und geht auf die andere Seite, während der andere beginnt, die Affenbars zu machen.")</f>
        <v>Ein Junge springt weg und geht auf die andere Seite, während der andere beginnt, die Affenbars zu machen.</v>
      </c>
    </row>
    <row r="29323">
      <c r="A29323" s="4" t="s">
        <v>36920</v>
      </c>
      <c r="B29323" s="4" t="s">
        <v>36923</v>
      </c>
      <c r="C29323" s="5" t="str">
        <f>IFERROR(__xludf.DUMMYFUNCTION("GOOGLETRANSLATE(B29323,""en"",""de"")"),"Nachdem er es auf die andere Seite geschafft hat, steigt er ab und rennt zu einem anderen Satz von Affenstangen und folgt diese auch durch diese.")</f>
        <v>Nachdem er es auf die andere Seite geschafft hat, steigt er ab und rennt zu einem anderen Satz von Affenstangen und folgt diese auch durch diese.</v>
      </c>
    </row>
    <row r="29324">
      <c r="A29324" s="4" t="s">
        <v>36924</v>
      </c>
      <c r="B29324" s="4" t="s">
        <v>36925</v>
      </c>
      <c r="C29324" s="5" t="str">
        <f>IFERROR(__xludf.DUMMYFUNCTION("GOOGLETRANSLATE(B29324,""en"",""de"")"),"Ein Lockenstein gleitet das Eis hinunter.")</f>
        <v>Ein Lockenstein gleitet das Eis hinunter.</v>
      </c>
    </row>
    <row r="29325">
      <c r="A29325" s="4" t="s">
        <v>36924</v>
      </c>
      <c r="B29325" s="4" t="s">
        <v>36926</v>
      </c>
      <c r="C29325" s="5" t="str">
        <f>IFERROR(__xludf.DUMMYFUNCTION("GOOGLETRANSLATE(B29325,""en"",""de"")"),"Das Blue -Team diskutiert ihre Strategie.")</f>
        <v>Das Blue -Team diskutiert ihre Strategie.</v>
      </c>
    </row>
    <row r="29326">
      <c r="A29326" s="4" t="s">
        <v>36924</v>
      </c>
      <c r="B29326" s="4" t="s">
        <v>36927</v>
      </c>
      <c r="C29326" s="5" t="str">
        <f>IFERROR(__xludf.DUMMYFUNCTION("GOOGLETRANSLATE(B29326,""en"",""de"")"),"Das weiße Team hoch fünf gegenseitig.")</f>
        <v>Das weiße Team hoch fünf gegenseitig.</v>
      </c>
    </row>
    <row r="29327">
      <c r="A29327" s="4" t="s">
        <v>36924</v>
      </c>
      <c r="B29327" s="4" t="s">
        <v>36928</v>
      </c>
      <c r="C29327" s="5" t="str">
        <f>IFERROR(__xludf.DUMMYFUNCTION("GOOGLETRANSLATE(B29327,""en"",""de"")"),"Das Blue -Team diskutiert, während ein Mitglied zeigt.")</f>
        <v>Das Blue -Team diskutiert, während ein Mitglied zeigt.</v>
      </c>
    </row>
    <row r="29328">
      <c r="A29328" s="4" t="s">
        <v>36924</v>
      </c>
      <c r="B29328" s="4" t="s">
        <v>36929</v>
      </c>
      <c r="C29328" s="5" t="str">
        <f>IFERROR(__xludf.DUMMYFUNCTION("GOOGLETRANSLATE(B29328,""en"",""de"")"),"Ein Blue Team Player nimmt an der Reihe und rollt seinen Stein in die Mitte.")</f>
        <v>Ein Blue Team Player nimmt an der Reihe und rollt seinen Stein in die Mitte.</v>
      </c>
    </row>
    <row r="29329">
      <c r="A29329" s="4" t="s">
        <v>36924</v>
      </c>
      <c r="B29329" s="4" t="s">
        <v>36930</v>
      </c>
      <c r="C29329" s="5" t="str">
        <f>IFERROR(__xludf.DUMMYFUNCTION("GOOGLETRANSLATE(B29329,""en"",""de"")"),"Das blaue Team kommt und umarmt den Spieler, während er feiert.")</f>
        <v>Das blaue Team kommt und umarmt den Spieler, während er feiert.</v>
      </c>
    </row>
    <row r="29330">
      <c r="A29330" s="4" t="s">
        <v>36924</v>
      </c>
      <c r="B29330" s="4" t="s">
        <v>573</v>
      </c>
      <c r="C29330" s="5" t="str">
        <f>IFERROR(__xludf.DUMMYFUNCTION("GOOGLETRANSLATE(B29330,""en"",""de"")"),"Die Credits des Videos werden angezeigt.")</f>
        <v>Die Credits des Videos werden angezeigt.</v>
      </c>
    </row>
    <row r="29331">
      <c r="A29331" s="4" t="s">
        <v>36931</v>
      </c>
      <c r="B29331" s="4" t="s">
        <v>36932</v>
      </c>
      <c r="C29331" s="5" t="str">
        <f>IFERROR(__xludf.DUMMYFUNCTION("GOOGLETRANSLATE(B29331,""en"",""de"")"),"Eine Person sitzt auf einem Pferd vor einer großen Menge.")</f>
        <v>Eine Person sitzt auf einem Pferd vor einer großen Menge.</v>
      </c>
    </row>
    <row r="29332">
      <c r="A29332" s="4" t="s">
        <v>36931</v>
      </c>
      <c r="B29332" s="4" t="s">
        <v>36933</v>
      </c>
      <c r="C29332" s="5" t="str">
        <f>IFERROR(__xludf.DUMMYFUNCTION("GOOGLETRANSLATE(B29332,""en"",""de"")"),"Der Mann fährt dann auf das Pferd und seilt ein Kalb.")</f>
        <v>Der Mann fährt dann auf das Pferd und seilt ein Kalb.</v>
      </c>
    </row>
    <row r="29333">
      <c r="A29333" s="4" t="s">
        <v>36931</v>
      </c>
      <c r="B29333" s="4" t="s">
        <v>36934</v>
      </c>
      <c r="C29333" s="5" t="str">
        <f>IFERROR(__xludf.DUMMYFUNCTION("GOOGLETRANSLATE(B29333,""en"",""de"")"),"Er fesselt das Kalb, während andere Pferde reiten, um zu helfen.")</f>
        <v>Er fesselt das Kalb, während andere Pferde reiten, um zu helfen.</v>
      </c>
    </row>
    <row r="29334">
      <c r="A29334" s="4" t="s">
        <v>36935</v>
      </c>
      <c r="B29334" s="4" t="s">
        <v>36936</v>
      </c>
      <c r="C29334" s="5" t="str">
        <f>IFERROR(__xludf.DUMMYFUNCTION("GOOGLETRANSLATE(B29334,""en"",""de"")"),"Eine Gruppe von Cheerleadern steht in einer Reihe in einem großen Auditorium in Vorbereitung.")</f>
        <v>Eine Gruppe von Cheerleadern steht in einer Reihe in einem großen Auditorium in Vorbereitung.</v>
      </c>
    </row>
    <row r="29335">
      <c r="A29335" s="4" t="s">
        <v>36935</v>
      </c>
      <c r="B29335" s="4" t="s">
        <v>36937</v>
      </c>
      <c r="C29335" s="5" t="str">
        <f>IFERROR(__xludf.DUMMYFUNCTION("GOOGLETRANSLATE(B29335,""en"",""de"")"),"Die Gruppe der Cheerleader macht eine Tanzroutine in allen Tanzen im Einklang.")</f>
        <v>Die Gruppe der Cheerleader macht eine Tanzroutine in allen Tanzen im Einklang.</v>
      </c>
    </row>
    <row r="29336">
      <c r="A29336" s="4" t="s">
        <v>36935</v>
      </c>
      <c r="B29336" s="4" t="s">
        <v>36938</v>
      </c>
      <c r="C29336" s="5" t="str">
        <f>IFERROR(__xludf.DUMMYFUNCTION("GOOGLETRANSLATE(B29336,""en"",""de"")"),"Die Hälfte der Gruppe kniet auf dem Boden und die andere stehende Gruppe geht an die Seiten.")</f>
        <v>Die Hälfte der Gruppe kniet auf dem Boden und die andere stehende Gruppe geht an die Seiten.</v>
      </c>
    </row>
    <row r="29337">
      <c r="A29337" s="4" t="s">
        <v>36935</v>
      </c>
      <c r="B29337" s="4" t="s">
        <v>36939</v>
      </c>
      <c r="C29337" s="5" t="str">
        <f>IFERROR(__xludf.DUMMYFUNCTION("GOOGLETRANSLATE(B29337,""en"",""de"")"),"Die verbleibende Gruppe steht wieder auf und macht zusammen eine zweite Tanzroutine.")</f>
        <v>Die verbleibende Gruppe steht wieder auf und macht zusammen eine zweite Tanzroutine.</v>
      </c>
    </row>
    <row r="29338">
      <c r="A29338" s="4" t="s">
        <v>36935</v>
      </c>
      <c r="B29338" s="4" t="s">
        <v>36940</v>
      </c>
      <c r="C29338" s="5" t="str">
        <f>IFERROR(__xludf.DUMMYFUNCTION("GOOGLETRANSLATE(B29338,""en"",""de"")"),"Die Gruppe der Cheerleader beendet ihre Routine und springt auf und ab, bevor sie sich vor der Menge verbeugen.")</f>
        <v>Die Gruppe der Cheerleader beendet ihre Routine und springt auf und ab, bevor sie sich vor der Menge verbeugen.</v>
      </c>
    </row>
    <row r="29339">
      <c r="A29339" s="4" t="s">
        <v>36941</v>
      </c>
      <c r="B29339" s="4" t="s">
        <v>36942</v>
      </c>
      <c r="C29339" s="5" t="str">
        <f>IFERROR(__xludf.DUMMYFUNCTION("GOOGLETRANSLATE(B29339,""en"",""de"")"),"Verschiedene Athleten stehen bereit, während man an Ort und Stelle springt und sich selbst vorbereitet.")</f>
        <v>Verschiedene Athleten stehen bereit, während man an Ort und Stelle springt und sich selbst vorbereitet.</v>
      </c>
    </row>
    <row r="29340">
      <c r="A29340" s="4" t="s">
        <v>36941</v>
      </c>
      <c r="B29340" s="4" t="s">
        <v>36943</v>
      </c>
      <c r="C29340" s="5" t="str">
        <f>IFERROR(__xludf.DUMMYFUNCTION("GOOGLETRANSLATE(B29340,""en"",""de"")"),"Dann rennt er eine lange Spur in eine Sandgrube hinunter und steckt seine Hände in die Luft.")</f>
        <v>Dann rennt er eine lange Spur in eine Sandgrube hinunter und steckt seine Hände in die Luft.</v>
      </c>
    </row>
    <row r="29341">
      <c r="A29341" s="4" t="s">
        <v>36941</v>
      </c>
      <c r="B29341" s="4" t="s">
        <v>36944</v>
      </c>
      <c r="C29341" s="5" t="str">
        <f>IFERROR(__xludf.DUMMYFUNCTION("GOOGLETRANSLATE(B29341,""en"",""de"")"),"Ein Mann hält eine weiße Schwuchtel, während der Athlet feiert und sein Sprung und die Reaktionen der Menschen im Publikum wieder gezeigt werden.")</f>
        <v>Ein Mann hält eine weiße Schwuchtel, während der Athlet feiert und sein Sprung und die Reaktionen der Menschen im Publikum wieder gezeigt werden.</v>
      </c>
    </row>
    <row r="29342">
      <c r="A29342" s="4" t="s">
        <v>36945</v>
      </c>
      <c r="B29342" s="4" t="s">
        <v>36946</v>
      </c>
      <c r="C29342" s="5" t="str">
        <f>IFERROR(__xludf.DUMMYFUNCTION("GOOGLETRANSLATE(B29342,""en"",""de"")"),"Eine junge Dame, die einen farbenfrohen Badeanzug trägt, schwimmt unter Wasser in einem Pool.")</f>
        <v>Eine junge Dame, die einen farbenfrohen Badeanzug trägt, schwimmt unter Wasser in einem Pool.</v>
      </c>
    </row>
    <row r="29343">
      <c r="A29343" s="4" t="s">
        <v>36945</v>
      </c>
      <c r="B29343" s="4" t="s">
        <v>36947</v>
      </c>
      <c r="C29343" s="5" t="str">
        <f>IFERROR(__xludf.DUMMYFUNCTION("GOOGLETRANSLATE(B29343,""en"",""de"")"),"Ein Bildschirm blinkt und zeigt Schritt zwei, wenn das Mädchen mit naheeinander schwimmen mit den Füßen demonstriert.")</f>
        <v>Ein Bildschirm blinkt und zeigt Schritt zwei, wenn das Mädchen mit naheeinander schwimmen mit den Füßen demonstriert.</v>
      </c>
    </row>
    <row r="29344">
      <c r="A29344" s="4" t="s">
        <v>36945</v>
      </c>
      <c r="B29344" s="4" t="s">
        <v>36948</v>
      </c>
      <c r="C29344" s="5" t="str">
        <f>IFERROR(__xludf.DUMMYFUNCTION("GOOGLETRANSLATE(B29344,""en"",""de"")"),"Als nächstes scheint ein Warnbildschirm zu sagen, dass er nicht ohne Schutzbrille schwimmen soll, wie das Mädchen genau das Gegenteil tut.")</f>
        <v>Als nächstes scheint ein Warnbildschirm zu sagen, dass er nicht ohne Schutzbrille schwimmen soll, wie das Mädchen genau das Gegenteil tut.</v>
      </c>
    </row>
    <row r="29345">
      <c r="A29345" s="4" t="s">
        <v>36945</v>
      </c>
      <c r="B29345" s="4" t="s">
        <v>36949</v>
      </c>
      <c r="C29345" s="5" t="str">
        <f>IFERROR(__xludf.DUMMYFUNCTION("GOOGLETRANSLATE(B29345,""en"",""de"")"),"Danach wird das Mädchen mit einem orangefarbenen Meerjungfrau -Schwanz beim Schwimmen unter Wasser gezeigt, während sie sich einer anderen ""Meerjungfrau"" anschließt.")</f>
        <v>Danach wird das Mädchen mit einem orangefarbenen Meerjungfrau -Schwanz beim Schwimmen unter Wasser gezeigt, während sie sich einer anderen "Meerjungfrau" anschließt.</v>
      </c>
    </row>
    <row r="29346">
      <c r="A29346" s="4" t="s">
        <v>36950</v>
      </c>
      <c r="B29346" s="4" t="s">
        <v>36951</v>
      </c>
      <c r="C29346" s="5" t="str">
        <f>IFERROR(__xludf.DUMMYFUNCTION("GOOGLETRANSLATE(B29346,""en"",""de"")"),"Ein Mann in einem kleinen Kajakboot paddelt das Boot.")</f>
        <v>Ein Mann in einem kleinen Kajakboot paddelt das Boot.</v>
      </c>
    </row>
    <row r="29347">
      <c r="A29347" s="4" t="s">
        <v>36950</v>
      </c>
      <c r="B29347" s="4" t="s">
        <v>36952</v>
      </c>
      <c r="C29347" s="5" t="str">
        <f>IFERROR(__xludf.DUMMYFUNCTION("GOOGLETRANSLATE(B29347,""en"",""de"")"),"Er sitzt alleine darin, weil es so klein ist, dass es nur zu einer Person passt.")</f>
        <v>Er sitzt alleine darin, weil es so klein ist, dass es nur zu einer Person passt.</v>
      </c>
    </row>
    <row r="29348">
      <c r="A29348" s="4" t="s">
        <v>36950</v>
      </c>
      <c r="B29348" s="4" t="s">
        <v>36953</v>
      </c>
      <c r="C29348" s="5" t="str">
        <f>IFERROR(__xludf.DUMMYFUNCTION("GOOGLETRANSLATE(B29348,""en"",""de"")"),"Er nutzt viel Energie in das Paddeln und geht sehr schnell.")</f>
        <v>Er nutzt viel Energie in das Paddeln und geht sehr schnell.</v>
      </c>
    </row>
    <row r="29349">
      <c r="A29349" s="4" t="s">
        <v>36950</v>
      </c>
      <c r="B29349" s="4" t="s">
        <v>36954</v>
      </c>
      <c r="C29349" s="5" t="str">
        <f>IFERROR(__xludf.DUMMYFUNCTION("GOOGLETRANSLATE(B29349,""en"",""de"")"),"Ich glaube, er übt wahrscheinlich für eine Veranstaltung spät in der Zukunft.")</f>
        <v>Ich glaube, er übt wahrscheinlich für eine Veranstaltung spät in der Zukunft.</v>
      </c>
    </row>
    <row r="29350">
      <c r="A29350" s="4" t="s">
        <v>36955</v>
      </c>
      <c r="B29350" s="4" t="s">
        <v>36956</v>
      </c>
      <c r="C29350" s="5" t="str">
        <f>IFERROR(__xludf.DUMMYFUNCTION("GOOGLETRANSLATE(B29350,""en"",""de"")"),"Eine Frau steht draußen vor einem Gebäude.")</f>
        <v>Eine Frau steht draußen vor einem Gebäude.</v>
      </c>
    </row>
    <row r="29351">
      <c r="A29351" s="4" t="s">
        <v>36955</v>
      </c>
      <c r="B29351" s="4" t="s">
        <v>36957</v>
      </c>
      <c r="C29351" s="5" t="str">
        <f>IFERROR(__xludf.DUMMYFUNCTION("GOOGLETRANSLATE(B29351,""en"",""de"")"),"Sie beginnt mit Hula Hoops zu tanzen.")</f>
        <v>Sie beginnt mit Hula Hoops zu tanzen.</v>
      </c>
    </row>
    <row r="29352">
      <c r="A29352" s="4" t="s">
        <v>36955</v>
      </c>
      <c r="B29352" s="4" t="s">
        <v>36958</v>
      </c>
      <c r="C29352" s="5" t="str">
        <f>IFERROR(__xludf.DUMMYFUNCTION("GOOGLETRANSLATE(B29352,""en"",""de"")"),"Sie endet und Worte kommen auf den Bildschirm.")</f>
        <v>Sie endet und Worte kommen auf den Bildschirm.</v>
      </c>
    </row>
    <row r="29353">
      <c r="A29353" s="4" t="s">
        <v>36959</v>
      </c>
      <c r="B29353" s="4" t="s">
        <v>36960</v>
      </c>
      <c r="C29353" s="5" t="str">
        <f>IFERROR(__xludf.DUMMYFUNCTION("GOOGLETRANSLATE(B29353,""en"",""de"")"),"Eine große Gruppe von Menschen wird in der Stadt drehen und wirbeln.")</f>
        <v>Eine große Gruppe von Menschen wird in der Stadt drehen und wirbeln.</v>
      </c>
    </row>
    <row r="29354">
      <c r="A29354" s="4" t="s">
        <v>36959</v>
      </c>
      <c r="B29354" s="4" t="s">
        <v>36961</v>
      </c>
      <c r="C29354" s="5" t="str">
        <f>IFERROR(__xludf.DUMMYFUNCTION("GOOGLETRANSLATE(B29354,""en"",""de"")"),"Eine große Gruppe von Menschen sitzt in der Gruppe und beobachtet.")</f>
        <v>Eine große Gruppe von Menschen sitzt in der Gruppe und beobachtet.</v>
      </c>
    </row>
    <row r="29355">
      <c r="A29355" s="4" t="s">
        <v>36959</v>
      </c>
      <c r="B29355" s="4" t="s">
        <v>36962</v>
      </c>
      <c r="C29355" s="5" t="str">
        <f>IFERROR(__xludf.DUMMYFUNCTION("GOOGLETRANSLATE(B29355,""en"",""de"")"),"Die Gruppe tanzt weiter durch den Stadtblock, während die Kamera herum schwenkt und sieht sie weg.")</f>
        <v>Die Gruppe tanzt weiter durch den Stadtblock, während die Kamera herum schwenkt und sieht sie weg.</v>
      </c>
    </row>
    <row r="29356">
      <c r="A29356" s="4" t="s">
        <v>36963</v>
      </c>
      <c r="B29356" s="4" t="s">
        <v>36964</v>
      </c>
      <c r="C29356" s="5" t="str">
        <f>IFERROR(__xludf.DUMMYFUNCTION("GOOGLETRANSLATE(B29356,""en"",""de"")"),"Ein Mann sitzt auf einem stationären Fahrrad auf einer Bühne und beginnt zu trainieren.")</f>
        <v>Ein Mann sitzt auf einem stationären Fahrrad auf einer Bühne und beginnt zu trainieren.</v>
      </c>
    </row>
    <row r="29357">
      <c r="A29357" s="4" t="s">
        <v>36963</v>
      </c>
      <c r="B29357" s="4" t="s">
        <v>36965</v>
      </c>
      <c r="C29357" s="5" t="str">
        <f>IFERROR(__xludf.DUMMYFUNCTION("GOOGLETRANSLATE(B29357,""en"",""de"")"),"Er steckt ein Bein an die Seite.")</f>
        <v>Er steckt ein Bein an die Seite.</v>
      </c>
    </row>
    <row r="29358">
      <c r="A29358" s="4" t="s">
        <v>36963</v>
      </c>
      <c r="B29358" s="4" t="s">
        <v>36966</v>
      </c>
      <c r="C29358" s="5" t="str">
        <f>IFERROR(__xludf.DUMMYFUNCTION("GOOGLETRANSLATE(B29358,""en"",""de"")"),"Er steigt aus und steht mit Hand.")</f>
        <v>Er steigt aus und steht mit Hand.</v>
      </c>
    </row>
    <row r="29359">
      <c r="A29359" s="4" t="s">
        <v>36967</v>
      </c>
      <c r="B29359" s="4" t="s">
        <v>36968</v>
      </c>
      <c r="C29359" s="5" t="str">
        <f>IFERROR(__xludf.DUMMYFUNCTION("GOOGLETRANSLATE(B29359,""en"",""de"")"),"Auf dem Bürgersteig befindet sich ein Hopscotch -Board mit Kreide.")</f>
        <v>Auf dem Bürgersteig befindet sich ein Hopscotch -Board mit Kreide.</v>
      </c>
    </row>
    <row r="29360">
      <c r="A29360" s="4" t="s">
        <v>36967</v>
      </c>
      <c r="B29360" s="4" t="s">
        <v>36969</v>
      </c>
      <c r="C29360" s="5" t="str">
        <f>IFERROR(__xludf.DUMMYFUNCTION("GOOGLETRANSLATE(B29360,""en"",""de"")"),"Ein kleines Mädchen in Grün nimmt sie an der Reihe und dann folgen mehr von ihren Freunden.")</f>
        <v>Ein kleines Mädchen in Grün nimmt sie an der Reihe und dann folgen mehr von ihren Freunden.</v>
      </c>
    </row>
    <row r="29361">
      <c r="A29361" s="4" t="s">
        <v>36967</v>
      </c>
      <c r="B29361" s="4" t="s">
        <v>36970</v>
      </c>
      <c r="C29361" s="5" t="str">
        <f>IFERROR(__xludf.DUMMYFUNCTION("GOOGLETRANSLATE(B29361,""en"",""de"")"),"Alle drei Mädchen stehen und lassen dann eine Flaschenkappe fallen, um mit ihren Sprüngen voranzukommen.")</f>
        <v>Alle drei Mädchen stehen und lassen dann eine Flaschenkappe fallen, um mit ihren Sprüngen voranzukommen.</v>
      </c>
    </row>
    <row r="29362">
      <c r="A29362" s="4" t="s">
        <v>36967</v>
      </c>
      <c r="B29362" s="4" t="s">
        <v>36971</v>
      </c>
      <c r="C29362" s="5" t="str">
        <f>IFERROR(__xludf.DUMMYFUNCTION("GOOGLETRANSLATE(B29362,""en"",""de"")"),"Sie spielen unterschiedliche Variationen des Spiels, die nur Spaß daran haben, und wenn es über eines der Mädchen übergeht, wirft es ihre Hände in die Luft.")</f>
        <v>Sie spielen unterschiedliche Variationen des Spiels, die nur Spaß daran haben, und wenn es über eines der Mädchen übergeht, wirft es ihre Hände in die Luft.</v>
      </c>
    </row>
    <row r="29363">
      <c r="A29363" s="4" t="s">
        <v>36972</v>
      </c>
      <c r="B29363" s="4" t="s">
        <v>36973</v>
      </c>
      <c r="C29363" s="5" t="str">
        <f>IFERROR(__xludf.DUMMYFUNCTION("GOOGLETRANSLATE(B29363,""en"",""de"")"),"Eine große Gruppe von Menschen steht auf einer Bühne mit Menschen am Rande.")</f>
        <v>Eine große Gruppe von Menschen steht auf einer Bühne mit Menschen am Rande.</v>
      </c>
    </row>
    <row r="29364">
      <c r="A29364" s="4" t="s">
        <v>36972</v>
      </c>
      <c r="B29364" s="4" t="s">
        <v>36974</v>
      </c>
      <c r="C29364" s="5" t="str">
        <f>IFERROR(__xludf.DUMMYFUNCTION("GOOGLETRANSLATE(B29364,""en"",""de"")"),"Die Leute springen abwechselnd auf eine große Matte über einen Strahl und jubeln mit Teamkollegen.")</f>
        <v>Die Leute springen abwechselnd auf eine große Matte über einen Strahl und jubeln mit Teamkollegen.</v>
      </c>
    </row>
    <row r="29365">
      <c r="A29365" s="4" t="s">
        <v>36972</v>
      </c>
      <c r="B29365" s="4" t="s">
        <v>36975</v>
      </c>
      <c r="C29365" s="5" t="str">
        <f>IFERROR(__xludf.DUMMYFUNCTION("GOOGLETRANSLATE(B29365,""en"",""de"")"),"Weitere Aufnahmen von Kindern, die sich herumtäuschen, während sie in die Kamera schauen und lachen.")</f>
        <v>Weitere Aufnahmen von Kindern, die sich herumtäuschen, während sie in die Kamera schauen und lachen.</v>
      </c>
    </row>
    <row r="29366">
      <c r="A29366" s="4" t="s">
        <v>36976</v>
      </c>
      <c r="B29366" s="4" t="s">
        <v>36977</v>
      </c>
      <c r="C29366" s="5" t="str">
        <f>IFERROR(__xludf.DUMMYFUNCTION("GOOGLETRANSLATE(B29366,""en"",""de"")"),"Ein Kleinkind steigt die Stufen eines Spielplatzes.")</f>
        <v>Ein Kleinkind steigt die Stufen eines Spielplatzes.</v>
      </c>
    </row>
    <row r="29367">
      <c r="A29367" s="4" t="s">
        <v>36976</v>
      </c>
      <c r="B29367" s="4" t="s">
        <v>36978</v>
      </c>
      <c r="C29367" s="5" t="str">
        <f>IFERROR(__xludf.DUMMYFUNCTION("GOOGLETRANSLATE(B29367,""en"",""de"")"),"Dann rutscht der Junge nach unten, um den Boden zu erreichen.")</f>
        <v>Dann rutscht der Junge nach unten, um den Boden zu erreichen.</v>
      </c>
    </row>
    <row r="29368">
      <c r="A29368" s="4" t="s">
        <v>36979</v>
      </c>
      <c r="B29368" s="4" t="s">
        <v>36980</v>
      </c>
      <c r="C29368" s="5" t="str">
        <f>IFERROR(__xludf.DUMMYFUNCTION("GOOGLETRANSLATE(B29368,""en"",""de"")"),"Eine Gruppe von Menschen steht auf einem Fußballfeld und führt zu einem Fall und wird unterstützt.")</f>
        <v>Eine Gruppe von Menschen steht auf einem Fußballfeld und führt zu einem Fall und wird unterstützt.</v>
      </c>
    </row>
    <row r="29369">
      <c r="A29369" s="4" t="s">
        <v>36979</v>
      </c>
      <c r="B29369" s="4" t="s">
        <v>36981</v>
      </c>
      <c r="C29369" s="5" t="str">
        <f>IFERROR(__xludf.DUMMYFUNCTION("GOOGLETRANSLATE(B29369,""en"",""de"")"),"Der gleiche Schuss wird in Zeitlupe erneut gezeigt und führt zu einem Tor, in dem andere nicht aufgepasst werden.")</f>
        <v>Der gleiche Schuss wird in Zeitlupe erneut gezeigt und führt zu einem Tor, in dem andere nicht aufgepasst werden.</v>
      </c>
    </row>
    <row r="29370">
      <c r="A29370" s="4" t="s">
        <v>36979</v>
      </c>
      <c r="B29370" s="4" t="s">
        <v>36982</v>
      </c>
      <c r="C29370" s="5" t="str">
        <f>IFERROR(__xludf.DUMMYFUNCTION("GOOGLETRANSLATE(B29370,""en"",""de"")"),"Die gleiche Aufnahme wird mehrmals wieder in Zeitlupe angezeigt und schwang zurück zu allen Spielern.")</f>
        <v>Die gleiche Aufnahme wird mehrmals wieder in Zeitlupe angezeigt und schwang zurück zu allen Spielern.</v>
      </c>
    </row>
    <row r="29371">
      <c r="A29371" s="4" t="s">
        <v>36983</v>
      </c>
      <c r="B29371" s="4" t="s">
        <v>36984</v>
      </c>
      <c r="C29371" s="5" t="str">
        <f>IFERROR(__xludf.DUMMYFUNCTION("GOOGLETRANSLATE(B29371,""en"",""de"")"),"Eine Dame filmt ein Mädchen und einen Jungen, der im Freien auf einem Parkspielplatz liegt.")</f>
        <v>Eine Dame filmt ein Mädchen und einen Jungen, der im Freien auf einem Parkspielplatz liegt.</v>
      </c>
    </row>
    <row r="29372">
      <c r="A29372" s="4" t="s">
        <v>36983</v>
      </c>
      <c r="B29372" s="4" t="s">
        <v>36985</v>
      </c>
      <c r="C29372" s="5" t="str">
        <f>IFERROR(__xludf.DUMMYFUNCTION("GOOGLETRANSLATE(B29372,""en"",""de"")"),"Das junge Mädchen hängt mit ihren Armen über die Affenbars, während der Junge hinter Schienen und Uhren steht.")</f>
        <v>Das junge Mädchen hängt mit ihren Armen über die Affenbars, während der Junge hinter Schienen und Uhren steht.</v>
      </c>
    </row>
    <row r="29373">
      <c r="A29373" s="4" t="s">
        <v>36983</v>
      </c>
      <c r="B29373" s="4" t="s">
        <v>36986</v>
      </c>
      <c r="C29373" s="5" t="str">
        <f>IFERROR(__xludf.DUMMYFUNCTION("GOOGLETRANSLATE(B29373,""en"",""de"")"),"Der springt am Ende der Affenbars und springt dann auf und ab und gibt der aufgeregten Frau, die sie filmt, eine hohe fünf.")</f>
        <v>Der springt am Ende der Affenbars und springt dann auf und ab und gibt der aufgeregten Frau, die sie filmt, eine hohe fünf.</v>
      </c>
    </row>
    <row r="29374">
      <c r="A29374" s="4" t="s">
        <v>36983</v>
      </c>
      <c r="B29374" s="4" t="s">
        <v>36987</v>
      </c>
      <c r="C29374" s="5" t="str">
        <f>IFERROR(__xludf.DUMMYFUNCTION("GOOGLETRANSLATE(B29374,""en"",""de"")"),"Die Dame hinter der Kamera geht dann hinüber und schwenkt zu dem kleinen Jungen, der jetzt in den Affenbars ist und ein Gespräch mit ihm führt.")</f>
        <v>Die Dame hinter der Kamera geht dann hinüber und schwenkt zu dem kleinen Jungen, der jetzt in den Affenbars ist und ein Gespräch mit ihm führt.</v>
      </c>
    </row>
    <row r="29375">
      <c r="A29375" s="4" t="s">
        <v>36988</v>
      </c>
      <c r="B29375" s="4" t="s">
        <v>36989</v>
      </c>
      <c r="C29375" s="5" t="str">
        <f>IFERROR(__xludf.DUMMYFUNCTION("GOOGLETRANSLATE(B29375,""en"",""de"")"),"Ein Fahrrad wird in einem Geschäft verkehrt herum zu sehen.")</f>
        <v>Ein Fahrrad wird in einem Geschäft verkehrt herum zu sehen.</v>
      </c>
    </row>
    <row r="29376">
      <c r="A29376" s="4" t="s">
        <v>36988</v>
      </c>
      <c r="B29376" s="4" t="s">
        <v>36990</v>
      </c>
      <c r="C29376" s="5" t="str">
        <f>IFERROR(__xludf.DUMMYFUNCTION("GOOGLETRANSLATE(B29376,""en"",""de"")"),"Ein Mann zeigt, wie man einen Reifen entzieht.")</f>
        <v>Ein Mann zeigt, wie man einen Reifen entzieht.</v>
      </c>
    </row>
    <row r="29377">
      <c r="A29377" s="4" t="s">
        <v>36988</v>
      </c>
      <c r="B29377" s="4" t="s">
        <v>36991</v>
      </c>
      <c r="C29377" s="5" t="str">
        <f>IFERROR(__xludf.DUMMYFUNCTION("GOOGLETRANSLATE(B29377,""en"",""de"")"),"Dann ersetzt er es und zieht es wieder ein.")</f>
        <v>Dann ersetzt er es und zieht es wieder ein.</v>
      </c>
    </row>
    <row r="29378">
      <c r="A29378" s="4" t="s">
        <v>36992</v>
      </c>
      <c r="B29378" s="4" t="s">
        <v>36993</v>
      </c>
      <c r="C29378" s="5" t="str">
        <f>IFERROR(__xludf.DUMMYFUNCTION("GOOGLETRANSLATE(B29378,""en"",""de"")"),"Ein Mann spricht mit der Kamera und führt in Clips von ihnen Skifahren.")</f>
        <v>Ein Mann spricht mit der Kamera und führt in Clips von ihnen Skifahren.</v>
      </c>
    </row>
    <row r="29379">
      <c r="A29379" s="4" t="s">
        <v>36992</v>
      </c>
      <c r="B29379" s="4" t="s">
        <v>36994</v>
      </c>
      <c r="C29379" s="5" t="str">
        <f>IFERROR(__xludf.DUMMYFUNCTION("GOOGLETRANSLATE(B29379,""en"",""de"")"),"Die Männer bewegen sich den ganzen Berg entlang, während andere neben ihnen Ski fahren.")</f>
        <v>Die Männer bewegen sich den ganzen Berg entlang, während andere neben ihnen Ski fahren.</v>
      </c>
    </row>
    <row r="29380">
      <c r="A29380" s="4" t="s">
        <v>36992</v>
      </c>
      <c r="B29380" s="4" t="s">
        <v>36995</v>
      </c>
      <c r="C29380" s="5" t="str">
        <f>IFERROR(__xludf.DUMMYFUNCTION("GOOGLETRANSLATE(B29380,""en"",""de"")"),"Die Menschen reiten weiter den Hügel hinunter und enden, indem sie am Boden anhalten.")</f>
        <v>Die Menschen reiten weiter den Hügel hinunter und enden, indem sie am Boden anhalten.</v>
      </c>
    </row>
    <row r="29381">
      <c r="A29381" s="4" t="s">
        <v>36996</v>
      </c>
      <c r="B29381" s="4" t="s">
        <v>36997</v>
      </c>
      <c r="C29381" s="5" t="str">
        <f>IFERROR(__xludf.DUMMYFUNCTION("GOOGLETRANSLATE(B29381,""en"",""de"")"),"Eine Gruppe von Mädchen auf einem Seilsprungteam macht eine Routine in einer großen Musikhalle.")</f>
        <v>Eine Gruppe von Mädchen auf einem Seilsprungteam macht eine Routine in einer großen Musikhalle.</v>
      </c>
    </row>
    <row r="29382">
      <c r="A29382" s="4" t="s">
        <v>36996</v>
      </c>
      <c r="B29382" s="4" t="s">
        <v>36998</v>
      </c>
      <c r="C29382" s="5" t="str">
        <f>IFERROR(__xludf.DUMMYFUNCTION("GOOGLETRANSLATE(B29382,""en"",""de"")"),"Eine Gruppe von Mädchen springt ein einzelnes Seil.")</f>
        <v>Eine Gruppe von Mädchen springt ein einzelnes Seil.</v>
      </c>
    </row>
    <row r="29383">
      <c r="A29383" s="4" t="s">
        <v>36996</v>
      </c>
      <c r="B29383" s="4" t="s">
        <v>36999</v>
      </c>
      <c r="C29383" s="5" t="str">
        <f>IFERROR(__xludf.DUMMYFUNCTION("GOOGLETRANSLATE(B29383,""en"",""de"")"),"Drei Mädchen springen Seil mit zwei mit einem einzigen Seil an jedem Ende.")</f>
        <v>Drei Mädchen springen Seil mit zwei mit einem einzigen Seil an jedem Ende.</v>
      </c>
    </row>
    <row r="29384">
      <c r="A29384" s="4" t="s">
        <v>36996</v>
      </c>
      <c r="B29384" s="4" t="s">
        <v>37000</v>
      </c>
      <c r="C29384" s="5" t="str">
        <f>IFERROR(__xludf.DUMMYFUNCTION("GOOGLETRANSLATE(B29384,""en"",""de"")"),"Drei Mädchen springen in einem einzigen Seil zusammen.")</f>
        <v>Drei Mädchen springen in einem einzigen Seil zusammen.</v>
      </c>
    </row>
    <row r="29385">
      <c r="A29385" s="4" t="s">
        <v>36996</v>
      </c>
      <c r="B29385" s="4" t="s">
        <v>37001</v>
      </c>
      <c r="C29385" s="5" t="str">
        <f>IFERROR(__xludf.DUMMYFUNCTION("GOOGLETRANSLATE(B29385,""en"",""de"")"),"Eine Gruppe von Mädchen hält zwei Seile und wechselt abwechselnd Doppel Niederländisch, während Mitglieder durchlaufen und das Seil springen.")</f>
        <v>Eine Gruppe von Mädchen hält zwei Seile und wechselt abwechselnd Doppel Niederländisch, während Mitglieder durchlaufen und das Seil springen.</v>
      </c>
    </row>
    <row r="29386">
      <c r="A29386" s="4" t="s">
        <v>37002</v>
      </c>
      <c r="B29386" s="4" t="s">
        <v>37003</v>
      </c>
      <c r="C29386" s="5" t="str">
        <f>IFERROR(__xludf.DUMMYFUNCTION("GOOGLETRANSLATE(B29386,""en"",""de"")"),"Ein Mann bewegt sich in Zeitlupe, der einen Tennisschläger hält und einen Ball in die Luft wirft.")</f>
        <v>Ein Mann bewegt sich in Zeitlupe, der einen Tennisschläger hält und einen Ball in die Luft wirft.</v>
      </c>
    </row>
    <row r="29387">
      <c r="A29387" s="4" t="s">
        <v>37002</v>
      </c>
      <c r="B29387" s="4" t="s">
        <v>37004</v>
      </c>
      <c r="C29387" s="5" t="str">
        <f>IFERROR(__xludf.DUMMYFUNCTION("GOOGLETRANSLATE(B29387,""en"",""de"")"),"Pfeile zeigen um seinen Körper und zeigen, dass er den Ball schlägt, während er hielt, um seine Körperbewegungen zu zeigen.")</f>
        <v>Pfeile zeigen um seinen Körper und zeigen, dass er den Ball schlägt, während er hielt, um seine Körperbewegungen zu zeigen.</v>
      </c>
    </row>
    <row r="29388">
      <c r="A29388" s="4" t="s">
        <v>37005</v>
      </c>
      <c r="B29388" s="4" t="s">
        <v>37006</v>
      </c>
      <c r="C29388" s="5" t="str">
        <f>IFERROR(__xludf.DUMMYFUNCTION("GOOGLETRANSLATE(B29388,""en"",""de"")"),"Eine elliptische Fahrradmaschine sitzt im Wohnzimmer mit einer Couch.")</f>
        <v>Eine elliptische Fahrradmaschine sitzt im Wohnzimmer mit einer Couch.</v>
      </c>
    </row>
    <row r="29389">
      <c r="A29389" s="4" t="s">
        <v>37005</v>
      </c>
      <c r="B29389" s="4" t="s">
        <v>37007</v>
      </c>
      <c r="C29389" s="5" t="str">
        <f>IFERROR(__xludf.DUMMYFUNCTION("GOOGLETRANSLATE(B29389,""en"",""de"")"),"Ein Hund erscheint auf der Couch und plötzlich sitzt eine Person auf der Maschine und schaltet sie ein.")</f>
        <v>Ein Hund erscheint auf der Couch und plötzlich sitzt eine Person auf der Maschine und schaltet sie ein.</v>
      </c>
    </row>
    <row r="29390">
      <c r="A29390" s="4" t="s">
        <v>37005</v>
      </c>
      <c r="B29390" s="4" t="s">
        <v>37008</v>
      </c>
      <c r="C29390" s="5" t="str">
        <f>IFERROR(__xludf.DUMMYFUNCTION("GOOGLETRANSLATE(B29390,""en"",""de"")"),"Sobald die Maschine eingeschaltet ist, beginnt sie mehrmals 30 Minuten zu blinken, und die Person beginnt auf der Maschine zu trainieren und die Stangen hin und her zu drücken.")</f>
        <v>Sobald die Maschine eingeschaltet ist, beginnt sie mehrmals 30 Minuten zu blinken, und die Person beginnt auf der Maschine zu trainieren und die Stangen hin und her zu drücken.</v>
      </c>
    </row>
    <row r="29391">
      <c r="A29391" s="4" t="s">
        <v>37009</v>
      </c>
      <c r="B29391" s="4" t="s">
        <v>37010</v>
      </c>
      <c r="C29391" s="5" t="str">
        <f>IFERROR(__xludf.DUMMYFUNCTION("GOOGLETRANSLATE(B29391,""en"",""de"")"),"Ein Mann im schwarzen Hemd hob die Barbel und fing an, sie einige Male auf und ab zu tragen, während hinter ihm zwei Männer die Metallplatten auf einer anderen Barbel entfernen.")</f>
        <v>Ein Mann im schwarzen Hemd hob die Barbel und fing an, sie einige Male auf und ab zu tragen, während hinter ihm zwei Männer die Metallplatten auf einer anderen Barbel entfernen.</v>
      </c>
    </row>
    <row r="29392">
      <c r="A29392" s="4" t="s">
        <v>37009</v>
      </c>
      <c r="B29392" s="4" t="s">
        <v>37011</v>
      </c>
      <c r="C29392" s="5" t="str">
        <f>IFERROR(__xludf.DUMMYFUNCTION("GOOGLETRANSLATE(B29392,""en"",""de"")"),"Der Mann im schwarzen Hemd fügte der Barbe mehr Gewicht hinzu, indem er gelbe Platten auf beiden Seiten hinzugefügt und dann das Gewicht heben.")</f>
        <v>Der Mann im schwarzen Hemd fügte der Barbe mehr Gewicht hinzu, indem er gelbe Platten auf beiden Seiten hinzugefügt und dann das Gewicht heben.</v>
      </c>
    </row>
    <row r="29393">
      <c r="A29393" s="4" t="s">
        <v>37012</v>
      </c>
      <c r="B29393" s="4" t="s">
        <v>37013</v>
      </c>
      <c r="C29393" s="5" t="str">
        <f>IFERROR(__xludf.DUMMYFUNCTION("GOOGLETRANSLATE(B29393,""en"",""de"")"),"Ein Mann und ein Kind sitzen auf einer Couch, während der Erwachsene Shisha -Tabak raucht.")</f>
        <v>Ein Mann und ein Kind sitzen auf einer Couch, während der Erwachsene Shisha -Tabak raucht.</v>
      </c>
    </row>
    <row r="29394">
      <c r="A29394" s="4" t="s">
        <v>37012</v>
      </c>
      <c r="B29394" s="4" t="s">
        <v>37014</v>
      </c>
      <c r="C29394" s="5" t="str">
        <f>IFERROR(__xludf.DUMMYFUNCTION("GOOGLETRANSLATE(B29394,""en"",""de"")"),"Das Kind greift es so, als würde man rauchen, nur um es wegzüpfen.")</f>
        <v>Das Kind greift es so, als würde man rauchen, nur um es wegzüpfen.</v>
      </c>
    </row>
    <row r="29395">
      <c r="A29395" s="4" t="s">
        <v>37012</v>
      </c>
      <c r="B29395" s="4" t="s">
        <v>37015</v>
      </c>
      <c r="C29395" s="5" t="str">
        <f>IFERROR(__xludf.DUMMYFUNCTION("GOOGLETRANSLATE(B29395,""en"",""de"")"),"Das Kind ist dann in der Lage, es in seinen eigenen Mund zu stecken, weiß aber nicht, was zu tun ist.")</f>
        <v>Das Kind ist dann in der Lage, es in seinen eigenen Mund zu stecken, weiß aber nicht, was zu tun ist.</v>
      </c>
    </row>
    <row r="29396">
      <c r="A29396" s="4" t="s">
        <v>37012</v>
      </c>
      <c r="B29396" s="4" t="s">
        <v>37016</v>
      </c>
      <c r="C29396" s="5" t="str">
        <f>IFERROR(__xludf.DUMMYFUNCTION("GOOGLETRANSLATE(B29396,""en"",""de"")"),"Am Ende steckt er es wieder in den Mund des Erwachsenen und der Erwachsene raucht weiter aus der Shisha -Pfeife.")</f>
        <v>Am Ende steckt er es wieder in den Mund des Erwachsenen und der Erwachsene raucht weiter aus der Shisha -Pfeife.</v>
      </c>
    </row>
    <row r="29397">
      <c r="A29397" s="4" t="s">
        <v>37017</v>
      </c>
      <c r="B29397" s="4" t="s">
        <v>37018</v>
      </c>
      <c r="C29397" s="5" t="str">
        <f>IFERROR(__xludf.DUMMYFUNCTION("GOOGLETRANSLATE(B29397,""en"",""de"")"),"Geschäftsdetails werden in weißem Text auf schwarzem Hintergrund geschrieben.")</f>
        <v>Geschäftsdetails werden in weißem Text auf schwarzem Hintergrund geschrieben.</v>
      </c>
    </row>
    <row r="29398">
      <c r="A29398" s="4" t="s">
        <v>37017</v>
      </c>
      <c r="B29398" s="4" t="s">
        <v>37019</v>
      </c>
      <c r="C29398" s="5" t="str">
        <f>IFERROR(__xludf.DUMMYFUNCTION("GOOGLETRANSLATE(B29398,""en"",""de"")"),"Männer, die Jacken tragen, waschen ein weißes Auto auf einem Parkplatz.")</f>
        <v>Männer, die Jacken tragen, waschen ein weißes Auto auf einem Parkplatz.</v>
      </c>
    </row>
    <row r="29399">
      <c r="A29399" s="4" t="s">
        <v>37017</v>
      </c>
      <c r="B29399" s="4" t="s">
        <v>37020</v>
      </c>
      <c r="C29399" s="5" t="str">
        <f>IFERROR(__xludf.DUMMYFUNCTION("GOOGLETRANSLATE(B29399,""en"",""de"")"),"Zwei Männer waschen einen schwarzen SUV mit einem Druckwaschschlauch.")</f>
        <v>Zwei Männer waschen einen schwarzen SUV mit einem Druckwaschschlauch.</v>
      </c>
    </row>
    <row r="29400">
      <c r="A29400" s="4" t="s">
        <v>37017</v>
      </c>
      <c r="B29400" s="4" t="s">
        <v>37021</v>
      </c>
      <c r="C29400" s="5" t="str">
        <f>IFERROR(__xludf.DUMMYFUNCTION("GOOGLETRANSLATE(B29400,""en"",""de"")"),"Männer waschen ein weißes Auto mit Handtüchern.")</f>
        <v>Männer waschen ein weißes Auto mit Handtüchern.</v>
      </c>
    </row>
    <row r="29401">
      <c r="A29401" s="4" t="s">
        <v>37017</v>
      </c>
      <c r="B29401" s="4" t="s">
        <v>37022</v>
      </c>
      <c r="C29401" s="5" t="str">
        <f>IFERROR(__xludf.DUMMYFUNCTION("GOOGLETRANSLATE(B29401,""en"",""de"")"),"Die Geschäftsdetails werden vor dem Ende des Videos angezeigt.")</f>
        <v>Die Geschäftsdetails werden vor dem Ende des Videos angezeigt.</v>
      </c>
    </row>
    <row r="29402">
      <c r="A29402" s="4" t="s">
        <v>37023</v>
      </c>
      <c r="B29402" s="4" t="s">
        <v>37024</v>
      </c>
      <c r="C29402" s="5" t="str">
        <f>IFERROR(__xludf.DUMMYFUNCTION("GOOGLETRANSLATE(B29402,""en"",""de"")"),"Das Video findet in einem Gymnasium verschiedener Turnhalle statt.")</f>
        <v>Das Video findet in einem Gymnasium verschiedener Turnhalle statt.</v>
      </c>
    </row>
    <row r="29403">
      <c r="A29403" s="4" t="s">
        <v>37023</v>
      </c>
      <c r="B29403" s="4" t="s">
        <v>37025</v>
      </c>
      <c r="C29403" s="5" t="str">
        <f>IFERROR(__xludf.DUMMYFUNCTION("GOOGLETRANSLATE(B29403,""en"",""de"")"),"Ein junges Mädchen steht auf dem Trampolin, um zu springen.")</f>
        <v>Ein junges Mädchen steht auf dem Trampolin, um zu springen.</v>
      </c>
    </row>
    <row r="29404">
      <c r="A29404" s="4" t="s">
        <v>37023</v>
      </c>
      <c r="B29404" s="4" t="s">
        <v>37026</v>
      </c>
      <c r="C29404" s="5" t="str">
        <f>IFERROR(__xludf.DUMMYFUNCTION("GOOGLETRANSLATE(B29404,""en"",""de"")"),"Sie springt auf die Bar und beginnt mehrere Flips zwischen zwei Balken zu machen.")</f>
        <v>Sie springt auf die Bar und beginnt mehrere Flips zwischen zwei Balken zu machen.</v>
      </c>
    </row>
    <row r="29405">
      <c r="A29405" s="4" t="s">
        <v>37023</v>
      </c>
      <c r="B29405" s="4" t="s">
        <v>37027</v>
      </c>
      <c r="C29405" s="5" t="str">
        <f>IFERROR(__xludf.DUMMYFUNCTION("GOOGLETRANSLATE(B29405,""en"",""de"")"),"Dann springt sie in den gepolsterten Bereich und wirft ihre Hände hoch, und ein Mann umarmt sie.")</f>
        <v>Dann springt sie in den gepolsterten Bereich und wirft ihre Hände hoch, und ein Mann umarmt sie.</v>
      </c>
    </row>
    <row r="29406">
      <c r="A29406" s="4" t="s">
        <v>37028</v>
      </c>
      <c r="B29406" s="4" t="s">
        <v>37029</v>
      </c>
      <c r="C29406" s="5" t="str">
        <f>IFERROR(__xludf.DUMMYFUNCTION("GOOGLETRANSLATE(B29406,""en"",""de"")"),"Ein großes Boot mit einem Windsegeln ist mit Menschen an Bord entlang eines großen Sturms.")</f>
        <v>Ein großes Boot mit einem Windsegeln ist mit Menschen an Bord entlang eines großen Sturms.</v>
      </c>
    </row>
    <row r="29407">
      <c r="A29407" s="4" t="s">
        <v>37028</v>
      </c>
      <c r="B29407" s="4" t="s">
        <v>37030</v>
      </c>
      <c r="C29407" s="5" t="str">
        <f>IFERROR(__xludf.DUMMYFUNCTION("GOOGLETRANSLATE(B29407,""en"",""de"")"),"Das Boot tippt an einem Punkt um, wenn ein anderes Boot vorbeikommt und ebenfalls umfällt.")</f>
        <v>Das Boot tippt an einem Punkt um, wenn ein anderes Boot vorbeikommt und ebenfalls umfällt.</v>
      </c>
    </row>
    <row r="29408">
      <c r="A29408" s="4" t="s">
        <v>37031</v>
      </c>
      <c r="B29408" s="4" t="s">
        <v>37032</v>
      </c>
      <c r="C29408" s="5" t="str">
        <f>IFERROR(__xludf.DUMMYFUNCTION("GOOGLETRANSLATE(B29408,""en"",""de"")"),"Frau sitzt mit einer Katze auf ihren Beinen auf einer Couch. Er schnappt sich eine Skisooren vom Tisch neben sich und schneidet die vorderen Katzennägel.")</f>
        <v>Frau sitzt mit einer Katze auf ihren Beinen auf einer Couch. Er schnappt sich eine Skisooren vom Tisch neben sich und schneidet die vorderen Katzennägel.</v>
      </c>
    </row>
    <row r="29409">
      <c r="A29409" s="4" t="s">
        <v>37031</v>
      </c>
      <c r="B29409" s="4" t="s">
        <v>37033</v>
      </c>
      <c r="C29409" s="5" t="str">
        <f>IFERROR(__xludf.DUMMYFUNCTION("GOOGLETRANSLATE(B29409,""en"",""de"")"),"Sie schaut mit den Rückenpfoten und gab ihrer Katze etwas Katzenfutter.")</f>
        <v>Sie schaut mit den Rückenpfoten und gab ihrer Katze etwas Katzenfutter.</v>
      </c>
    </row>
    <row r="29410">
      <c r="A29410" s="4" t="s">
        <v>37031</v>
      </c>
      <c r="B29410" s="4" t="s">
        <v>37034</v>
      </c>
      <c r="C29410" s="5" t="str">
        <f>IFERROR(__xludf.DUMMYFUNCTION("GOOGLETRANSLATE(B29410,""en"",""de"")"),"Das Mädchen gratulieren der Katze und legte ihn auf den Boden.")</f>
        <v>Das Mädchen gratulieren der Katze und legte ihn auf den Boden.</v>
      </c>
    </row>
    <row r="29411">
      <c r="A29411" s="4" t="s">
        <v>37035</v>
      </c>
      <c r="B29411" s="4" t="s">
        <v>37036</v>
      </c>
      <c r="C29411" s="5" t="str">
        <f>IFERROR(__xludf.DUMMYFUNCTION("GOOGLETRANSLATE(B29411,""en"",""de"")"),"Ein Mann ohne Hemd sitzt draußen an den Bäumen und trinkt aus einer Kaffeetasse.")</f>
        <v>Ein Mann ohne Hemd sitzt draußen an den Bäumen und trinkt aus einer Kaffeetasse.</v>
      </c>
    </row>
    <row r="29412">
      <c r="A29412" s="4" t="s">
        <v>37035</v>
      </c>
      <c r="B29412" s="4" t="s">
        <v>37037</v>
      </c>
      <c r="C29412" s="5" t="str">
        <f>IFERROR(__xludf.DUMMYFUNCTION("GOOGLETRANSLATE(B29412,""en"",""de"")"),"Eine Person wird gesehen, wie sie eine Katze streichelt.")</f>
        <v>Eine Person wird gesehen, wie sie eine Katze streichelt.</v>
      </c>
    </row>
    <row r="29413">
      <c r="A29413" s="4" t="s">
        <v>37038</v>
      </c>
      <c r="B29413" s="4" t="s">
        <v>37039</v>
      </c>
      <c r="C29413" s="5" t="str">
        <f>IFERROR(__xludf.DUMMYFUNCTION("GOOGLETRANSLATE(B29413,""en"",""de"")"),"Ein Junge baut eine Sandburg in der Nähe des Ozeans.")</f>
        <v>Ein Junge baut eine Sandburg in der Nähe des Ozeans.</v>
      </c>
    </row>
    <row r="29414">
      <c r="A29414" s="4" t="s">
        <v>37038</v>
      </c>
      <c r="B29414" s="4" t="s">
        <v>37040</v>
      </c>
      <c r="C29414" s="5" t="str">
        <f>IFERROR(__xludf.DUMMYFUNCTION("GOOGLETRANSLATE(B29414,""en"",""de"")"),"Er bildet riesige Kreise und steht auf.")</f>
        <v>Er bildet riesige Kreise und steht auf.</v>
      </c>
    </row>
    <row r="29415">
      <c r="A29415" s="4" t="s">
        <v>37041</v>
      </c>
      <c r="B29415" s="4" t="s">
        <v>37042</v>
      </c>
      <c r="C29415" s="5" t="str">
        <f>IFERROR(__xludf.DUMMYFUNCTION("GOOGLETRANSLATE(B29415,""en"",""de"")"),"Ein Mann küsst ein Mädchen am Strand.")</f>
        <v>Ein Mann küsst ein Mädchen am Strand.</v>
      </c>
    </row>
    <row r="29416">
      <c r="A29416" s="4" t="s">
        <v>37041</v>
      </c>
      <c r="B29416" s="4" t="s">
        <v>37043</v>
      </c>
      <c r="C29416" s="5" t="str">
        <f>IFERROR(__xludf.DUMMYFUNCTION("GOOGLETRANSLATE(B29416,""en"",""de"")"),"Die Leute spielen am Strand Rockpapierschere.")</f>
        <v>Die Leute spielen am Strand Rockpapierschere.</v>
      </c>
    </row>
    <row r="29417">
      <c r="A29417" s="4" t="s">
        <v>37041</v>
      </c>
      <c r="B29417" s="4" t="s">
        <v>37044</v>
      </c>
      <c r="C29417" s="5" t="str">
        <f>IFERROR(__xludf.DUMMYFUNCTION("GOOGLETRANSLATE(B29417,""en"",""de"")"),"Ein Mann in einem schwarzen Hemd steht am Strand.")</f>
        <v>Ein Mann in einem schwarzen Hemd steht am Strand.</v>
      </c>
    </row>
    <row r="29418">
      <c r="A29418" s="4" t="s">
        <v>37045</v>
      </c>
      <c r="B29418" s="4" t="s">
        <v>37046</v>
      </c>
      <c r="C29418" s="5" t="str">
        <f>IFERROR(__xludf.DUMMYFUNCTION("GOOGLETRANSLATE(B29418,""en"",""de"")"),"Ein Mann steckt ein Kabel in seine Gitarre.")</f>
        <v>Ein Mann steckt ein Kabel in seine Gitarre.</v>
      </c>
    </row>
    <row r="29419">
      <c r="A29419" s="4" t="s">
        <v>37045</v>
      </c>
      <c r="B29419" s="4" t="s">
        <v>37047</v>
      </c>
      <c r="C29419" s="5" t="str">
        <f>IFERROR(__xludf.DUMMYFUNCTION("GOOGLETRANSLATE(B29419,""en"",""de"")"),"Er beginnt Gitarre zu spielen.")</f>
        <v>Er beginnt Gitarre zu spielen.</v>
      </c>
    </row>
    <row r="29420">
      <c r="A29420" s="4" t="s">
        <v>37045</v>
      </c>
      <c r="B29420" s="4" t="s">
        <v>37048</v>
      </c>
      <c r="C29420" s="5" t="str">
        <f>IFERROR(__xludf.DUMMYFUNCTION("GOOGLETRANSLATE(B29420,""en"",""de"")"),"Er schaut auf und spricht.")</f>
        <v>Er schaut auf und spricht.</v>
      </c>
    </row>
    <row r="29421">
      <c r="A29421" s="4" t="s">
        <v>37045</v>
      </c>
      <c r="B29421" s="4" t="s">
        <v>37049</v>
      </c>
      <c r="C29421" s="5" t="str">
        <f>IFERROR(__xludf.DUMMYFUNCTION("GOOGLETRANSLATE(B29421,""en"",""de"")"),"Er kehrt zurück, um seine Gitarre zu spielen.")</f>
        <v>Er kehrt zurück, um seine Gitarre zu spielen.</v>
      </c>
    </row>
    <row r="29422">
      <c r="A29422" s="4" t="s">
        <v>37045</v>
      </c>
      <c r="B29422" s="4" t="s">
        <v>37050</v>
      </c>
      <c r="C29422" s="5" t="str">
        <f>IFERROR(__xludf.DUMMYFUNCTION("GOOGLETRANSLATE(B29422,""en"",""de"")"),"Er schaut wieder auf und spricht, als er Handgesten macht.")</f>
        <v>Er schaut wieder auf und spricht, als er Handgesten macht.</v>
      </c>
    </row>
    <row r="29423">
      <c r="A29423" s="4" t="s">
        <v>37045</v>
      </c>
      <c r="B29423" s="4" t="s">
        <v>37051</v>
      </c>
      <c r="C29423" s="5" t="str">
        <f>IFERROR(__xludf.DUMMYFUNCTION("GOOGLETRANSLATE(B29423,""en"",""de"")"),"Er beginnt wieder Gitarre zu spielen.")</f>
        <v>Er beginnt wieder Gitarre zu spielen.</v>
      </c>
    </row>
    <row r="29424">
      <c r="A29424" s="4" t="s">
        <v>37045</v>
      </c>
      <c r="B29424" s="4" t="s">
        <v>37052</v>
      </c>
      <c r="C29424" s="5" t="str">
        <f>IFERROR(__xludf.DUMMYFUNCTION("GOOGLETRANSLATE(B29424,""en"",""de"")"),"Er gleitet den Finger über seine Gitarre.")</f>
        <v>Er gleitet den Finger über seine Gitarre.</v>
      </c>
    </row>
    <row r="29425">
      <c r="A29425" s="4" t="s">
        <v>37053</v>
      </c>
      <c r="B29425" s="4" t="s">
        <v>37054</v>
      </c>
      <c r="C29425" s="5" t="str">
        <f>IFERROR(__xludf.DUMMYFUNCTION("GOOGLETRANSLATE(B29425,""en"",""de"")"),"Eine Frau ist in einer Küche und rührt das Essen in einem Topf.")</f>
        <v>Eine Frau ist in einer Küche und rührt das Essen in einem Topf.</v>
      </c>
    </row>
    <row r="29426">
      <c r="A29426" s="4" t="s">
        <v>37053</v>
      </c>
      <c r="B29426" s="4" t="s">
        <v>37055</v>
      </c>
      <c r="C29426" s="5" t="str">
        <f>IFERROR(__xludf.DUMMYFUNCTION("GOOGLETRANSLATE(B29426,""en"",""de"")"),"Sie fügt ihre versammelten Zutaten eins zur Zeit hinzu, während sie spricht und die Nudeln zeigt, die sie benutzt.")</f>
        <v>Sie fügt ihre versammelten Zutaten eins zur Zeit hinzu, während sie spricht und die Nudeln zeigt, die sie benutzt.</v>
      </c>
    </row>
    <row r="29427">
      <c r="A29427" s="4" t="s">
        <v>37053</v>
      </c>
      <c r="B29427" s="4" t="s">
        <v>37056</v>
      </c>
      <c r="C29427" s="5" t="str">
        <f>IFERROR(__xludf.DUMMYFUNCTION("GOOGLETRANSLATE(B29427,""en"",""de"")"),"Sie fügt dann eine Schüssel Gemüse hinzu, die sie gemischt hat.")</f>
        <v>Sie fügt dann eine Schüssel Gemüse hinzu, die sie gemischt hat.</v>
      </c>
    </row>
    <row r="29428">
      <c r="A29428" s="4" t="s">
        <v>37057</v>
      </c>
      <c r="B29428" s="4" t="s">
        <v>37058</v>
      </c>
      <c r="C29428" s="5" t="str">
        <f>IFERROR(__xludf.DUMMYFUNCTION("GOOGLETRANSLATE(B29428,""en"",""de"")"),"Eine Person sitzt vor der Kamera und hält ein Instrument.")</f>
        <v>Eine Person sitzt vor der Kamera und hält ein Instrument.</v>
      </c>
    </row>
    <row r="29429">
      <c r="A29429" s="4" t="s">
        <v>37057</v>
      </c>
      <c r="B29429" s="4" t="s">
        <v>37059</v>
      </c>
      <c r="C29429" s="5" t="str">
        <f>IFERROR(__xludf.DUMMYFUNCTION("GOOGLETRANSLATE(B29429,""en"",""de"")"),"Der Mann beginnt dann, das Instrument zu spielen, während die Kamera Bewegungen erfasst.")</f>
        <v>Der Mann beginnt dann, das Instrument zu spielen, während die Kamera Bewegungen erfasst.</v>
      </c>
    </row>
    <row r="29430">
      <c r="A29430" s="4" t="s">
        <v>37057</v>
      </c>
      <c r="B29430" s="4" t="s">
        <v>37060</v>
      </c>
      <c r="C29430" s="5" t="str">
        <f>IFERROR(__xludf.DUMMYFUNCTION("GOOGLETRANSLATE(B29430,""en"",""de"")"),"Der Mann spielt weiterhin seine Hände entlang des Instruments und schaltet schließlich die Kamera aus.")</f>
        <v>Der Mann spielt weiterhin seine Hände entlang des Instruments und schaltet schließlich die Kamera aus.</v>
      </c>
    </row>
    <row r="29431">
      <c r="A29431" s="4" t="s">
        <v>37061</v>
      </c>
      <c r="B29431" s="4" t="s">
        <v>37062</v>
      </c>
      <c r="C29431" s="5" t="str">
        <f>IFERROR(__xludf.DUMMYFUNCTION("GOOGLETRANSLATE(B29431,""en"",""de"")"),"Ein Mann schaut überall nach seinem Hund.")</f>
        <v>Ein Mann schaut überall nach seinem Hund.</v>
      </c>
    </row>
    <row r="29432">
      <c r="A29432" s="4" t="s">
        <v>37061</v>
      </c>
      <c r="B29432" s="4" t="s">
        <v>37063</v>
      </c>
      <c r="C29432" s="5" t="str">
        <f>IFERROR(__xludf.DUMMYFUNCTION("GOOGLETRANSLATE(B29432,""en"",""de"")"),"Er sagte, er habe seinem Hund 10 Dollar bezahlt, um das Gras zu schneiden, und jetzt ist er weg.")</f>
        <v>Er sagte, er habe seinem Hund 10 Dollar bezahlt, um das Gras zu schneiden, und jetzt ist er weg.</v>
      </c>
    </row>
    <row r="29433">
      <c r="A29433" s="4" t="s">
        <v>37061</v>
      </c>
      <c r="B29433" s="4" t="s">
        <v>37064</v>
      </c>
      <c r="C29433" s="5" t="str">
        <f>IFERROR(__xludf.DUMMYFUNCTION("GOOGLETRANSLATE(B29433,""en"",""de"")"),"Er findet schließlich den Hund, der den Rasenmäher fährt.")</f>
        <v>Er findet schließlich den Hund, der den Rasenmäher fährt.</v>
      </c>
    </row>
    <row r="29434">
      <c r="A29434" s="4" t="s">
        <v>37061</v>
      </c>
      <c r="B29434" s="4" t="s">
        <v>37065</v>
      </c>
      <c r="C29434" s="5" t="str">
        <f>IFERROR(__xludf.DUMMYFUNCTION("GOOGLETRANSLATE(B29434,""en"",""de"")"),"Laut dem Besitzer bittet der Hund um eine Erhöhung.")</f>
        <v>Laut dem Besitzer bittet der Hund um eine Erhöhung.</v>
      </c>
    </row>
    <row r="29435">
      <c r="A29435" s="4" t="s">
        <v>37061</v>
      </c>
      <c r="B29435" s="4" t="s">
        <v>37066</v>
      </c>
      <c r="C29435" s="5" t="str">
        <f>IFERROR(__xludf.DUMMYFUNCTION("GOOGLETRANSLATE(B29435,""en"",""de"")"),"Er mäht weiter in nicht sehr geraden Linien, wie die anderen Hunde zuschauen.")</f>
        <v>Er mäht weiter in nicht sehr geraden Linien, wie die anderen Hunde zuschauen.</v>
      </c>
    </row>
    <row r="29436">
      <c r="A29436" s="4" t="s">
        <v>37067</v>
      </c>
      <c r="B29436" s="4" t="s">
        <v>37068</v>
      </c>
      <c r="C29436" s="5" t="str">
        <f>IFERROR(__xludf.DUMMYFUNCTION("GOOGLETRANSLATE(B29436,""en"",""de"")"),"Zwei Kinder haben gesehen, wie sie Stangen mit einem anderen Mann halten und ein Spiel mit Shuffle Board auf einer Matte spielen.")</f>
        <v>Zwei Kinder haben gesehen, wie sie Stangen mit einem anderen Mann halten und ein Spiel mit Shuffle Board auf einer Matte spielen.</v>
      </c>
    </row>
    <row r="29437">
      <c r="A29437" s="4" t="s">
        <v>37067</v>
      </c>
      <c r="B29437" s="4" t="s">
        <v>37069</v>
      </c>
      <c r="C29437" s="5" t="str">
        <f>IFERROR(__xludf.DUMMYFUNCTION("GOOGLETRANSLATE(B29437,""en"",""de"")"),"Die Kinder schieben den Puck zurück und viertens, während sie sich gegenseitig herumlaufen und endet damit, dass eine Frau in den Rahmen und eine Nahaufnahme des Jungen tritt.")</f>
        <v>Die Kinder schieben den Puck zurück und viertens, während sie sich gegenseitig herumlaufen und endet damit, dass eine Frau in den Rahmen und eine Nahaufnahme des Jungen tritt.</v>
      </c>
    </row>
    <row r="29438">
      <c r="A29438" s="4" t="s">
        <v>37070</v>
      </c>
      <c r="B29438" s="4" t="s">
        <v>37071</v>
      </c>
      <c r="C29438" s="5" t="str">
        <f>IFERROR(__xludf.DUMMYFUNCTION("GOOGLETRANSLATE(B29438,""en"",""de"")"),"Eine Kamera schwenkt sowohl um ein Gebäude als auch Menschen im Inneren, die für Bilder posieren und Zaunausrüstung einsetzt.")</f>
        <v>Eine Kamera schwenkt sowohl um ein Gebäude als auch Menschen im Inneren, die für Bilder posieren und Zaunausrüstung einsetzt.</v>
      </c>
    </row>
    <row r="29439">
      <c r="A29439" s="4" t="s">
        <v>37070</v>
      </c>
      <c r="B29439" s="4" t="s">
        <v>37072</v>
      </c>
      <c r="C29439" s="5" t="str">
        <f>IFERROR(__xludf.DUMMYFUNCTION("GOOGLETRANSLATE(B29439,""en"",""de"")"),"Weitere Clips werden aus Zaunobjekten, Menschen angezeigt, die an den Seiten beobachten, und andere, die sich auf den Zaun vorbereiten.")</f>
        <v>Weitere Clips werden aus Zaunobjekten, Menschen angezeigt, die an den Seiten beobachten, und andere, die sich auf den Zaun vorbereiten.</v>
      </c>
    </row>
    <row r="29440">
      <c r="A29440" s="4" t="s">
        <v>37070</v>
      </c>
      <c r="B29440" s="4" t="s">
        <v>37073</v>
      </c>
      <c r="C29440" s="5" t="str">
        <f>IFERROR(__xludf.DUMMYFUNCTION("GOOGLETRANSLATE(B29440,""en"",""de"")"),"Anschließend werden zwei Personen gezeigt, die sich gegenseitig mit einer Frau, die sich an den Seiten und Menschen an den Seiten beobachten.")</f>
        <v>Anschließend werden zwei Personen gezeigt, die sich gegenseitig mit einer Frau, die sich an den Seiten und Menschen an den Seiten beobachten.</v>
      </c>
    </row>
    <row r="29441">
      <c r="A29441" s="4" t="s">
        <v>37074</v>
      </c>
      <c r="B29441" s="4" t="s">
        <v>37075</v>
      </c>
      <c r="C29441" s="5" t="str">
        <f>IFERROR(__xludf.DUMMYFUNCTION("GOOGLETRANSLATE(B29441,""en"",""de"")"),"Ein Mann übt vor einem Spiegel in einem Studio, während ein anderer zusucht.")</f>
        <v>Ein Mann übt vor einem Spiegel in einem Studio, während ein anderer zusucht.</v>
      </c>
    </row>
    <row r="29442">
      <c r="A29442" s="4" t="s">
        <v>37074</v>
      </c>
      <c r="B29442" s="4" t="s">
        <v>37076</v>
      </c>
      <c r="C29442" s="5" t="str">
        <f>IFERROR(__xludf.DUMMYFUNCTION("GOOGLETRANSLATE(B29442,""en"",""de"")"),"Sie beginnen sich ab dem Spiegel abzuwenden, um ihre Bewegungen zu perfektionieren.")</f>
        <v>Sie beginnen sich ab dem Spiegel abzuwenden, um ihre Bewegungen zu perfektionieren.</v>
      </c>
    </row>
    <row r="29443">
      <c r="A29443" s="4" t="s">
        <v>37074</v>
      </c>
      <c r="B29443" s="4" t="s">
        <v>37077</v>
      </c>
      <c r="C29443" s="5" t="str">
        <f>IFERROR(__xludf.DUMMYFUNCTION("GOOGLETRANSLATE(B29443,""en"",""de"")"),"Sie machen alle möglichen verrückten akrobatischen Flips und anderen Bewegungen.")</f>
        <v>Sie machen alle möglichen verrückten akrobatischen Flips und anderen Bewegungen.</v>
      </c>
    </row>
    <row r="29444">
      <c r="A29444" s="4" t="s">
        <v>37074</v>
      </c>
      <c r="B29444" s="4" t="s">
        <v>37078</v>
      </c>
      <c r="C29444" s="5" t="str">
        <f>IFERROR(__xludf.DUMMYFUNCTION("GOOGLETRANSLATE(B29444,""en"",""de"")"),"Es sind ungefähr sechs oder sieben Männer, die sich gegen die Wand sitzen und die anderen in der Luft herumfliegen.")</f>
        <v>Es sind ungefähr sechs oder sieben Männer, die sich gegen die Wand sitzen und die anderen in der Luft herumfliegen.</v>
      </c>
    </row>
    <row r="29445">
      <c r="A29445" s="4" t="s">
        <v>37079</v>
      </c>
      <c r="B29445" s="4" t="s">
        <v>37080</v>
      </c>
      <c r="C29445" s="5" t="str">
        <f>IFERROR(__xludf.DUMMYFUNCTION("GOOGLETRANSLATE(B29445,""en"",""de"")"),"Eine Person ist zu sehen, wie die Länge eines Tauchbretts entlang geht, während die Kamera eingreift.")</f>
        <v>Eine Person ist zu sehen, wie die Länge eines Tauchbretts entlang geht, während die Kamera eingreift.</v>
      </c>
    </row>
    <row r="29446">
      <c r="A29446" s="4" t="s">
        <v>37079</v>
      </c>
      <c r="B29446" s="4" t="s">
        <v>37081</v>
      </c>
      <c r="C29446" s="5" t="str">
        <f>IFERROR(__xludf.DUMMYFUNCTION("GOOGLETRANSLATE(B29446,""en"",""de"")"),"Der Mann dreht sich um und führt einen Rückenflip vom Brett ins Wasser durch.")</f>
        <v>Der Mann dreht sich um und führt einen Rückenflip vom Brett ins Wasser durch.</v>
      </c>
    </row>
    <row r="29447">
      <c r="A29447" s="4" t="s">
        <v>37082</v>
      </c>
      <c r="B29447" s="4" t="s">
        <v>37083</v>
      </c>
      <c r="C29447" s="5" t="str">
        <f>IFERROR(__xludf.DUMMYFUNCTION("GOOGLETRANSLATE(B29447,""en"",""de"")"),"Eine Dame tanzt auf einer aeroben Treppe in einem Fitness -Fitnessstudio herum.")</f>
        <v>Eine Dame tanzt auf einer aeroben Treppe in einem Fitness -Fitnessstudio herum.</v>
      </c>
    </row>
    <row r="29448">
      <c r="A29448" s="4" t="s">
        <v>37082</v>
      </c>
      <c r="B29448" s="4" t="s">
        <v>37084</v>
      </c>
      <c r="C29448" s="5" t="str">
        <f>IFERROR(__xludf.DUMMYFUNCTION("GOOGLETRANSLATE(B29448,""en"",""de"")"),"Die Dame abruft den Schritt ab.")</f>
        <v>Die Dame abruft den Schritt ab.</v>
      </c>
    </row>
    <row r="29449">
      <c r="A29449" s="4" t="s">
        <v>37082</v>
      </c>
      <c r="B29449" s="4" t="s">
        <v>37085</v>
      </c>
      <c r="C29449" s="5" t="str">
        <f>IFERROR(__xludf.DUMMYFUNCTION("GOOGLETRANSLATE(B29449,""en"",""de"")"),"Die Dame berührt ihre Zehen zum Schritt.")</f>
        <v>Die Dame berührt ihre Zehen zum Schritt.</v>
      </c>
    </row>
    <row r="29450">
      <c r="A29450" s="4" t="s">
        <v>37082</v>
      </c>
      <c r="B29450" s="4" t="s">
        <v>37086</v>
      </c>
      <c r="C29450" s="5" t="str">
        <f>IFERROR(__xludf.DUMMYFUNCTION("GOOGLETRANSLATE(B29450,""en"",""de"")"),"Die Dame wiederholt die Routine wiederholt.")</f>
        <v>Die Dame wiederholt die Routine wiederholt.</v>
      </c>
    </row>
    <row r="29451">
      <c r="A29451" s="4" t="s">
        <v>37082</v>
      </c>
      <c r="B29451" s="4" t="s">
        <v>37087</v>
      </c>
      <c r="C29451" s="5" t="str">
        <f>IFERROR(__xludf.DUMMYFUNCTION("GOOGLETRANSLATE(B29451,""en"",""de"")"),"Die Dame steigt von ihrem Schritt vor sich und schaut in die Kamera.")</f>
        <v>Die Dame steigt von ihrem Schritt vor sich und schaut in die Kamera.</v>
      </c>
    </row>
    <row r="29452">
      <c r="A29452" s="4" t="s">
        <v>37088</v>
      </c>
      <c r="B29452" s="4" t="s">
        <v>37089</v>
      </c>
      <c r="C29452" s="5" t="str">
        <f>IFERROR(__xludf.DUMMYFUNCTION("GOOGLETRANSLATE(B29452,""en"",""de"")"),"Eine ältere Frau wirft einen weißen Ball zu einer grünen Tasse.")</f>
        <v>Eine ältere Frau wirft einen weißen Ball zu einer grünen Tasse.</v>
      </c>
    </row>
    <row r="29453">
      <c r="A29453" s="4" t="s">
        <v>37088</v>
      </c>
      <c r="B29453" s="4" t="s">
        <v>37090</v>
      </c>
      <c r="C29453" s="5" t="str">
        <f>IFERROR(__xludf.DUMMYFUNCTION("GOOGLETRANSLATE(B29453,""en"",""de"")"),"Ein kleiner Junge gibt ihr den Ball zurück.")</f>
        <v>Ein kleiner Junge gibt ihr den Ball zurück.</v>
      </c>
    </row>
    <row r="29454">
      <c r="A29454" s="4" t="s">
        <v>37088</v>
      </c>
      <c r="B29454" s="4" t="s">
        <v>37091</v>
      </c>
      <c r="C29454" s="5" t="str">
        <f>IFERROR(__xludf.DUMMYFUNCTION("GOOGLETRANSLATE(B29454,""en"",""de"")"),"Die Frau wirft den Ball erneut.")</f>
        <v>Die Frau wirft den Ball erneut.</v>
      </c>
    </row>
    <row r="29455">
      <c r="A29455" s="4" t="s">
        <v>37088</v>
      </c>
      <c r="B29455" s="4" t="s">
        <v>37092</v>
      </c>
      <c r="C29455" s="5" t="str">
        <f>IFERROR(__xludf.DUMMYFUNCTION("GOOGLETRANSLATE(B29455,""en"",""de"")"),"Sie tanzt und wirft ihn wieder.")</f>
        <v>Sie tanzt und wirft ihn wieder.</v>
      </c>
    </row>
    <row r="29456">
      <c r="A29456" s="4" t="s">
        <v>37088</v>
      </c>
      <c r="B29456" s="4" t="s">
        <v>37093</v>
      </c>
      <c r="C29456" s="5" t="str">
        <f>IFERROR(__xludf.DUMMYFUNCTION("GOOGLETRANSLATE(B29456,""en"",""de"")"),"Sie wirft wieder den weißen Ball.")</f>
        <v>Sie wirft wieder den weißen Ball.</v>
      </c>
    </row>
    <row r="29457">
      <c r="A29457" s="4" t="s">
        <v>37088</v>
      </c>
      <c r="B29457" s="4" t="s">
        <v>37094</v>
      </c>
      <c r="C29457" s="5" t="str">
        <f>IFERROR(__xludf.DUMMYFUNCTION("GOOGLETRANSLATE(B29457,""en"",""de"")"),"Der Junge gibt der Frau den Ball und sie wirft ihn erneut.")</f>
        <v>Der Junge gibt der Frau den Ball und sie wirft ihn erneut.</v>
      </c>
    </row>
    <row r="29458">
      <c r="A29458" s="4" t="s">
        <v>37088</v>
      </c>
      <c r="B29458" s="4" t="s">
        <v>37095</v>
      </c>
      <c r="C29458" s="5" t="str">
        <f>IFERROR(__xludf.DUMMYFUNCTION("GOOGLETRANSLATE(B29458,""en"",""de"")"),"Die ältere Frau beginnt zu lachen.")</f>
        <v>Die ältere Frau beginnt zu lachen.</v>
      </c>
    </row>
    <row r="29459">
      <c r="A29459" s="4" t="s">
        <v>37096</v>
      </c>
      <c r="B29459" s="4" t="s">
        <v>37097</v>
      </c>
      <c r="C29459" s="5" t="str">
        <f>IFERROR(__xludf.DUMMYFUNCTION("GOOGLETRANSLATE(B29459,""en"",""de"")"),"Eine Gruppe von Sparren paddeln dort einen Fluss mit Stromschnellen und Hindernissen.")</f>
        <v>Eine Gruppe von Sparren paddeln dort einen Fluss mit Stromschnellen und Hindernissen.</v>
      </c>
    </row>
    <row r="29460">
      <c r="A29460" s="4" t="s">
        <v>37096</v>
      </c>
      <c r="B29460" s="4" t="s">
        <v>37098</v>
      </c>
      <c r="C29460" s="5" t="str">
        <f>IFERROR(__xludf.DUMMYFUNCTION("GOOGLETRANSLATE(B29460,""en"",""de"")"),"Eine Gruppe von Sparren schiebt sich von einem Felsen ab und dreht dort das Boot um, um sich der Strömung zu stellen.")</f>
        <v>Eine Gruppe von Sparren schiebt sich von einem Felsen ab und dreht dort das Boot um, um sich der Strömung zu stellen.</v>
      </c>
    </row>
    <row r="29461">
      <c r="A29461" s="4" t="s">
        <v>37096</v>
      </c>
      <c r="B29461" s="4" t="s">
        <v>37099</v>
      </c>
      <c r="C29461" s="5" t="str">
        <f>IFERROR(__xludf.DUMMYFUNCTION("GOOGLETRANSLATE(B29461,""en"",""de"")"),"Die Sparren manövrieren durch eine konkrete Struktur.")</f>
        <v>Die Sparren manövrieren durch eine konkrete Struktur.</v>
      </c>
    </row>
    <row r="29462">
      <c r="A29462" s="4" t="s">
        <v>37096</v>
      </c>
      <c r="B29462" s="4" t="s">
        <v>37100</v>
      </c>
      <c r="C29462" s="5" t="str">
        <f>IFERROR(__xludf.DUMMYFUNCTION("GOOGLETRANSLATE(B29462,""en"",""de"")"),"Die Gruppe paddelt um einen großen Felsbrocken, der hoch in der Mitte des Flusses steckt.")</f>
        <v>Die Gruppe paddelt um einen großen Felsbrocken, der hoch in der Mitte des Flusses steckt.</v>
      </c>
    </row>
    <row r="29463">
      <c r="A29463" s="4" t="s">
        <v>37096</v>
      </c>
      <c r="B29463" s="4" t="s">
        <v>37101</v>
      </c>
      <c r="C29463" s="5" t="str">
        <f>IFERROR(__xludf.DUMMYFUNCTION("GOOGLETRANSLATE(B29463,""en"",""de"")"),"Die Gruppe springt von einem Felsen in den Fluss.")</f>
        <v>Die Gruppe springt von einem Felsen in den Fluss.</v>
      </c>
    </row>
    <row r="29464">
      <c r="A29464" s="4" t="s">
        <v>37102</v>
      </c>
      <c r="B29464" s="4" t="s">
        <v>37103</v>
      </c>
      <c r="C29464" s="5" t="str">
        <f>IFERROR(__xludf.DUMMYFUNCTION("GOOGLETRANSLATE(B29464,""en"",""de"")"),"Ein hellblauer Bildschirm erscheint und hat mehrere blaue Wörter, die nicht in Englisch sind und von unten nach oben scrollen.")</f>
        <v>Ein hellblauer Bildschirm erscheint und hat mehrere blaue Wörter, die nicht in Englisch sind und von unten nach oben scrollen.</v>
      </c>
    </row>
    <row r="29465">
      <c r="A29465" s="4" t="s">
        <v>37102</v>
      </c>
      <c r="B29465" s="4" t="s">
        <v>37104</v>
      </c>
      <c r="C29465" s="5" t="str">
        <f>IFERROR(__xludf.DUMMYFUNCTION("GOOGLETRANSLATE(B29465,""en"",""de"")"),"Die Richtung der Scroll -Buchstaben wechseln von unten nach oben und jetzt sind sie in der Mitte.")</f>
        <v>Die Richtung der Scroll -Buchstaben wechseln von unten nach oben und jetzt sind sie in der Mitte.</v>
      </c>
    </row>
    <row r="29466">
      <c r="A29466" s="4" t="s">
        <v>37102</v>
      </c>
      <c r="B29466" s="4" t="s">
        <v>37105</v>
      </c>
      <c r="C29466" s="5" t="str">
        <f>IFERROR(__xludf.DUMMYFUNCTION("GOOGLETRANSLATE(B29466,""en"",""de"")"),"Ein Mann, der einen weißen Knopf mit kurzem Ärmel und schwarze Hosen trägt, steht auf grünem Gras, das in der Nähe von Wasser liegt, mit einem großen Busch hinter sich und er macht sehr langsam koordinierte Bewegungen.")</f>
        <v>Ein Mann, der einen weißen Knopf mit kurzem Ärmel und schwarze Hosen trägt, steht auf grünem Gras, das in der Nähe von Wasser liegt, mit einem großen Busch hinter sich und er macht sehr langsam koordinierte Bewegungen.</v>
      </c>
    </row>
    <row r="29467">
      <c r="A29467" s="4" t="s">
        <v>37106</v>
      </c>
      <c r="B29467" s="4" t="s">
        <v>37107</v>
      </c>
      <c r="C29467" s="5" t="str">
        <f>IFERROR(__xludf.DUMMYFUNCTION("GOOGLETRANSLATE(B29467,""en"",""de"")"),"Ein Trainer trainiert einen Jungen und ein Mädchen, um Kickboxen zu machen.")</f>
        <v>Ein Trainer trainiert einen Jungen und ein Mädchen, um Kickboxen zu machen.</v>
      </c>
    </row>
    <row r="29468">
      <c r="A29468" s="4" t="s">
        <v>37106</v>
      </c>
      <c r="B29468" s="4" t="s">
        <v>37108</v>
      </c>
      <c r="C29468" s="5" t="str">
        <f>IFERROR(__xludf.DUMMYFUNCTION("GOOGLETRANSLATE(B29468,""en"",""de"")"),"In einem lila Hemd steht eine Frau, die den Trainer die Kinder filmt.")</f>
        <v>In einem lila Hemd steht eine Frau, die den Trainer die Kinder filmt.</v>
      </c>
    </row>
    <row r="29469">
      <c r="A29469" s="4" t="s">
        <v>37106</v>
      </c>
      <c r="B29469" s="4" t="s">
        <v>37109</v>
      </c>
      <c r="C29469" s="5" t="str">
        <f>IFERROR(__xludf.DUMMYFUNCTION("GOOGLETRANSLATE(B29469,""en"",""de"")"),"Sowohl das Mädchen als auch der Junge wechseln sich ab, um die Schläge und Tritte dem Trainer zurückzubringen.")</f>
        <v>Sowohl das Mädchen als auch der Junge wechseln sich ab, um die Schläge und Tritte dem Trainer zurückzubringen.</v>
      </c>
    </row>
    <row r="29470">
      <c r="A29470" s="4" t="s">
        <v>37106</v>
      </c>
      <c r="B29470" s="4" t="s">
        <v>37110</v>
      </c>
      <c r="C29470" s="5" t="str">
        <f>IFERROR(__xludf.DUMMYFUNCTION("GOOGLETRANSLATE(B29470,""en"",""de"")"),"Der Trainer ermutigt die Schüler, die Tritte ständig zu schlagen und zurückzugeben.")</f>
        <v>Der Trainer ermutigt die Schüler, die Tritte ständig zu schlagen und zurückzugeben.</v>
      </c>
    </row>
    <row r="29471">
      <c r="A29471" s="4" t="s">
        <v>37111</v>
      </c>
      <c r="B29471" s="4" t="s">
        <v>37112</v>
      </c>
      <c r="C29471" s="5" t="str">
        <f>IFERROR(__xludf.DUMMYFUNCTION("GOOGLETRANSLATE(B29471,""en"",""de"")"),"Eine kleine Gruppe von Kindern sitzt in einem Pool, während die Kamera um den Pool schwenkt.")</f>
        <v>Eine kleine Gruppe von Kindern sitzt in einem Pool, während die Kamera um den Pool schwenkt.</v>
      </c>
    </row>
    <row r="29472">
      <c r="A29472" s="4" t="s">
        <v>37111</v>
      </c>
      <c r="B29472" s="4" t="s">
        <v>37113</v>
      </c>
      <c r="C29472" s="5" t="str">
        <f>IFERROR(__xludf.DUMMYFUNCTION("GOOGLETRANSLATE(B29472,""en"",""de"")"),"Die Kinder treten die Füße herum und zeigen einen Ausbilder, der einem Kind hilft.")</f>
        <v>Die Kinder treten die Füße herum und zeigen einen Ausbilder, der einem Kind hilft.</v>
      </c>
    </row>
    <row r="29473">
      <c r="A29473" s="4" t="s">
        <v>37111</v>
      </c>
      <c r="B29473" s="4" t="s">
        <v>37114</v>
      </c>
      <c r="C29473" s="5" t="str">
        <f>IFERROR(__xludf.DUMMYFUNCTION("GOOGLETRANSLATE(B29473,""en"",""de"")"),"Der Mann schwimmt weiterhin mit Kindern und Nahaufnahmen von Kindern durch den Pool.")</f>
        <v>Der Mann schwimmt weiterhin mit Kindern und Nahaufnahmen von Kindern durch den Pool.</v>
      </c>
    </row>
    <row r="29474">
      <c r="A29474" s="4" t="s">
        <v>37115</v>
      </c>
      <c r="B29474" s="4" t="s">
        <v>37116</v>
      </c>
      <c r="C29474" s="5" t="str">
        <f>IFERROR(__xludf.DUMMYFUNCTION("GOOGLETRANSLATE(B29474,""en"",""de"")"),"Ein kleiner Junge schiebt einen Mopp.")</f>
        <v>Ein kleiner Junge schiebt einen Mopp.</v>
      </c>
    </row>
    <row r="29475">
      <c r="A29475" s="4" t="s">
        <v>37115</v>
      </c>
      <c r="B29475" s="4" t="s">
        <v>37117</v>
      </c>
      <c r="C29475" s="5" t="str">
        <f>IFERROR(__xludf.DUMMYFUNCTION("GOOGLETRANSLATE(B29475,""en"",""de"")"),"Er schließt eine offene Ofentür.")</f>
        <v>Er schließt eine offene Ofentür.</v>
      </c>
    </row>
    <row r="29476">
      <c r="A29476" s="4" t="s">
        <v>37115</v>
      </c>
      <c r="B29476" s="4" t="s">
        <v>37118</v>
      </c>
      <c r="C29476" s="5" t="str">
        <f>IFERROR(__xludf.DUMMYFUNCTION("GOOGLETRANSLATE(B29476,""en"",""de"")"),"Er wischt weiter auf dem Boden.")</f>
        <v>Er wischt weiter auf dem Boden.</v>
      </c>
    </row>
    <row r="29477">
      <c r="A29477" s="4" t="s">
        <v>37115</v>
      </c>
      <c r="B29477" s="4" t="s">
        <v>37119</v>
      </c>
      <c r="C29477" s="5" t="str">
        <f>IFERROR(__xludf.DUMMYFUNCTION("GOOGLETRANSLATE(B29477,""en"",""de"")"),"Er nimmt den Mop auf und legt ihn in die Luft.")</f>
        <v>Er nimmt den Mop auf und legt ihn in die Luft.</v>
      </c>
    </row>
    <row r="29478">
      <c r="A29478" s="4" t="s">
        <v>37115</v>
      </c>
      <c r="B29478" s="4" t="s">
        <v>37120</v>
      </c>
      <c r="C29478" s="5" t="str">
        <f>IFERROR(__xludf.DUMMYFUNCTION("GOOGLETRANSLATE(B29478,""en"",""de"")"),"Er stellt es nieder und wischt weiter.")</f>
        <v>Er stellt es nieder und wischt weiter.</v>
      </c>
    </row>
    <row r="29479">
      <c r="A29479" s="4" t="s">
        <v>37121</v>
      </c>
      <c r="B29479" s="4" t="s">
        <v>37122</v>
      </c>
      <c r="C29479" s="5" t="str">
        <f>IFERROR(__xludf.DUMMYFUNCTION("GOOGLETRANSLATE(B29479,""en"",""de"")"),"Jemand wird gezeigt, der eine schneebedeckte Straße in der Ukraine hinunterfährt.")</f>
        <v>Jemand wird gezeigt, der eine schneebedeckte Straße in der Ukraine hinunterfährt.</v>
      </c>
    </row>
    <row r="29480">
      <c r="A29480" s="4" t="s">
        <v>37121</v>
      </c>
      <c r="B29480" s="4" t="s">
        <v>37123</v>
      </c>
      <c r="C29480" s="5" t="str">
        <f>IFERROR(__xludf.DUMMYFUNCTION("GOOGLETRANSLATE(B29480,""en"",""de"")"),"Mehrere Skifahrer fahren die Hänge an der Seite eines Berges hinunter.")</f>
        <v>Mehrere Skifahrer fahren die Hänge an der Seite eines Berges hinunter.</v>
      </c>
    </row>
    <row r="29481">
      <c r="A29481" s="4" t="s">
        <v>37121</v>
      </c>
      <c r="B29481" s="4" t="s">
        <v>37124</v>
      </c>
      <c r="C29481" s="5" t="str">
        <f>IFERROR(__xludf.DUMMYFUNCTION("GOOGLETRANSLATE(B29481,""en"",""de"")"),"Eine Nahaufnahme ist von einigen der Skifahrer zu sehen, wie sie gehen.")</f>
        <v>Eine Nahaufnahme ist von einigen der Skifahrer zu sehen, wie sie gehen.</v>
      </c>
    </row>
    <row r="29482">
      <c r="A29482" s="4" t="s">
        <v>37125</v>
      </c>
      <c r="B29482" s="4" t="s">
        <v>37126</v>
      </c>
      <c r="C29482" s="5" t="str">
        <f>IFERROR(__xludf.DUMMYFUNCTION("GOOGLETRANSLATE(B29482,""en"",""de"")"),"Eine Person fährt auf einem Dirt -Fahrrad herum, das in ihn führt, wenn er mit der Kamera spricht.")</f>
        <v>Eine Person fährt auf einem Dirt -Fahrrad herum, das in ihn führt, wenn er mit der Kamera spricht.</v>
      </c>
    </row>
    <row r="29483">
      <c r="A29483" s="4" t="s">
        <v>37125</v>
      </c>
      <c r="B29483" s="4" t="s">
        <v>37127</v>
      </c>
      <c r="C29483" s="5" t="str">
        <f>IFERROR(__xludf.DUMMYFUNCTION("GOOGLETRANSLATE(B29483,""en"",""de"")"),"Er zeigt sowohl sein Fahrrad als auch sein Kamera und führt in mehrere Clips von ihm herum.")</f>
        <v>Er zeigt sowohl sein Fahrrad als auch sein Kamera und führt in mehrere Clips von ihm herum.</v>
      </c>
    </row>
    <row r="29484">
      <c r="A29484" s="4" t="s">
        <v>37125</v>
      </c>
      <c r="B29484" s="4" t="s">
        <v>37128</v>
      </c>
      <c r="C29484" s="5" t="str">
        <f>IFERROR(__xludf.DUMMYFUNCTION("GOOGLETRANSLATE(B29484,""en"",""de"")"),"Er fährt weiter auf der Strecke herum und zeigt gleichzeitig Nahaufnahmen von sich selbst und der Kamera.")</f>
        <v>Er fährt weiter auf der Strecke herum und zeigt gleichzeitig Nahaufnahmen von sich selbst und der Kamera.</v>
      </c>
    </row>
    <row r="29485">
      <c r="A29485" s="4" t="s">
        <v>37129</v>
      </c>
      <c r="B29485" s="4" t="s">
        <v>37130</v>
      </c>
      <c r="C29485" s="5" t="str">
        <f>IFERROR(__xludf.DUMMYFUNCTION("GOOGLETRANSLATE(B29485,""en"",""de"")"),"Ein junger Mann spielt eine einzige Trommel, die neben einer Gruppe von Menschen steht und auch trommelt.")</f>
        <v>Ein junger Mann spielt eine einzige Trommel, die neben einer Gruppe von Menschen steht und auch trommelt.</v>
      </c>
    </row>
    <row r="29486">
      <c r="A29486" s="4" t="s">
        <v>37129</v>
      </c>
      <c r="B29486" s="4" t="s">
        <v>37131</v>
      </c>
      <c r="C29486" s="5" t="str">
        <f>IFERROR(__xludf.DUMMYFUNCTION("GOOGLETRANSLATE(B29486,""en"",""de"")"),"Der Junge trommelt weiter mit der Gruppe und der Kamera schwenkt zu Leuten, die an den Seiten beobachten.")</f>
        <v>Der Junge trommelt weiter mit der Gruppe und der Kamera schwenkt zu Leuten, die an den Seiten beobachten.</v>
      </c>
    </row>
    <row r="29487">
      <c r="A29487" s="4" t="s">
        <v>37132</v>
      </c>
      <c r="B29487" s="4" t="s">
        <v>37133</v>
      </c>
      <c r="C29487" s="5" t="str">
        <f>IFERROR(__xludf.DUMMYFUNCTION("GOOGLETRANSLATE(B29487,""en"",""de"")"),"Ein Mann wird in mehreren Schüssen gezeigt, die auf einem Skateboard herumfähren.")</f>
        <v>Ein Mann wird in mehreren Schüssen gezeigt, die auf einem Skateboard herumfähren.</v>
      </c>
    </row>
    <row r="29488">
      <c r="A29488" s="4" t="s">
        <v>37132</v>
      </c>
      <c r="B29488" s="4" t="s">
        <v>37134</v>
      </c>
      <c r="C29488" s="5" t="str">
        <f>IFERROR(__xludf.DUMMYFUNCTION("GOOGLETRANSLATE(B29488,""en"",""de"")"),"Nahaufnahmen werden aus Objekten sowie Skateboard und Orten angezeigt, die Sie sie kaufen können.")</f>
        <v>Nahaufnahmen werden aus Objekten sowie Skateboard und Orten angezeigt, die Sie sie kaufen können.</v>
      </c>
    </row>
    <row r="29489">
      <c r="A29489" s="4" t="s">
        <v>37132</v>
      </c>
      <c r="B29489" s="4" t="s">
        <v>37135</v>
      </c>
      <c r="C29489" s="5" t="str">
        <f>IFERROR(__xludf.DUMMYFUNCTION("GOOGLETRANSLATE(B29489,""en"",""de"")"),"Weitere Nahaufnahmen werden aus Produkten angezeigt.")</f>
        <v>Weitere Nahaufnahmen werden aus Produkten angezeigt.</v>
      </c>
    </row>
    <row r="29490">
      <c r="A29490" s="4" t="s">
        <v>37136</v>
      </c>
      <c r="B29490" s="4" t="s">
        <v>37137</v>
      </c>
      <c r="C29490" s="5" t="str">
        <f>IFERROR(__xludf.DUMMYFUNCTION("GOOGLETRANSLATE(B29490,""en"",""de"")"),"Wir sehen eine Person Jet Ski.")</f>
        <v>Wir sehen eine Person Jet Ski.</v>
      </c>
    </row>
    <row r="29491">
      <c r="A29491" s="4" t="s">
        <v>37136</v>
      </c>
      <c r="B29491" s="4" t="s">
        <v>37138</v>
      </c>
      <c r="C29491" s="5" t="str">
        <f>IFERROR(__xludf.DUMMYFUNCTION("GOOGLETRANSLATE(B29491,""en"",""de"")"),"Wir sehen ein rot -schwarzes Segel auf einem Surfbrett.")</f>
        <v>Wir sehen ein rot -schwarzes Segel auf einem Surfbrett.</v>
      </c>
    </row>
    <row r="29492">
      <c r="A29492" s="4" t="s">
        <v>37136</v>
      </c>
      <c r="B29492" s="4" t="s">
        <v>37139</v>
      </c>
      <c r="C29492" s="5" t="str">
        <f>IFERROR(__xludf.DUMMYFUNCTION("GOOGLETRANSLATE(B29492,""en"",""de"")"),"Wir sehen dann ein gelbes und blaues Segel.")</f>
        <v>Wir sehen dann ein gelbes und blaues Segel.</v>
      </c>
    </row>
    <row r="29493">
      <c r="A29493" s="4" t="s">
        <v>37136</v>
      </c>
      <c r="B29493" s="4" t="s">
        <v>37140</v>
      </c>
      <c r="C29493" s="5" t="str">
        <f>IFERROR(__xludf.DUMMYFUNCTION("GOOGLETRANSLATE(B29493,""en"",""de"")"),"Ein gelber passt eine schwarze und geht weiter und dann dreht sich der gelbe um.")</f>
        <v>Ein gelber passt eine schwarze und geht weiter und dann dreht sich der gelbe um.</v>
      </c>
    </row>
    <row r="29494">
      <c r="A29494" s="4" t="s">
        <v>37136</v>
      </c>
      <c r="B29494" s="4" t="s">
        <v>37141</v>
      </c>
      <c r="C29494" s="5" t="str">
        <f>IFERROR(__xludf.DUMMYFUNCTION("GOOGLETRANSLATE(B29494,""en"",""de"")"),"Auf dem Bildschirm erscheint ein gelblichgrünes.")</f>
        <v>Auf dem Bildschirm erscheint ein gelblichgrünes.</v>
      </c>
    </row>
    <row r="29495">
      <c r="A29495" s="4" t="s">
        <v>37136</v>
      </c>
      <c r="B29495" s="4" t="s">
        <v>37142</v>
      </c>
      <c r="C29495" s="5" t="str">
        <f>IFERROR(__xludf.DUMMYFUNCTION("GOOGLETRANSLATE(B29495,""en"",""de"")"),"Drei passt an rot und blau in entgegengesetzte Richtungen.")</f>
        <v>Drei passt an rot und blau in entgegengesetzte Richtungen.</v>
      </c>
    </row>
    <row r="29496">
      <c r="A29496" s="4" t="s">
        <v>37136</v>
      </c>
      <c r="B29496" s="4" t="s">
        <v>37143</v>
      </c>
      <c r="C29496" s="5" t="str">
        <f>IFERROR(__xludf.DUMMYFUNCTION("GOOGLETRANSLATE(B29496,""en"",""de"")"),"Der Fahrer des roten und blauen One fällt von seinem Brett.")</f>
        <v>Der Fahrer des roten und blauen One fällt von seinem Brett.</v>
      </c>
    </row>
    <row r="29497">
      <c r="A29497" s="4" t="s">
        <v>37144</v>
      </c>
      <c r="B29497" s="4" t="s">
        <v>37145</v>
      </c>
      <c r="C29497" s="5" t="str">
        <f>IFERROR(__xludf.DUMMYFUNCTION("GOOGLETRANSLATE(B29497,""en"",""de"")"),"Ein Mann steht auf einem elliptischen Training.")</f>
        <v>Ein Mann steht auf einem elliptischen Training.</v>
      </c>
    </row>
    <row r="29498">
      <c r="A29498" s="4" t="s">
        <v>37144</v>
      </c>
      <c r="B29498" s="4" t="s">
        <v>37146</v>
      </c>
      <c r="C29498" s="5" t="str">
        <f>IFERROR(__xludf.DUMMYFUNCTION("GOOGLETRANSLATE(B29498,""en"",""de"")"),"Er bewegt seine Arme hin und her.")</f>
        <v>Er bewegt seine Arme hin und her.</v>
      </c>
    </row>
    <row r="29499">
      <c r="A29499" s="4" t="s">
        <v>37144</v>
      </c>
      <c r="B29499" s="4" t="s">
        <v>37147</v>
      </c>
      <c r="C29499" s="5" t="str">
        <f>IFERROR(__xludf.DUMMYFUNCTION("GOOGLETRANSLATE(B29499,""en"",""de"")"),"Es gibt einen See hinter ihm.")</f>
        <v>Es gibt einen See hinter ihm.</v>
      </c>
    </row>
    <row r="29500">
      <c r="A29500" s="4" t="s">
        <v>37148</v>
      </c>
      <c r="B29500" s="4" t="s">
        <v>37149</v>
      </c>
      <c r="C29500" s="5" t="str">
        <f>IFERROR(__xludf.DUMMYFUNCTION("GOOGLETRANSLATE(B29500,""en"",""de"")"),"Drei Kinder sind vor einem Haus zu sehen, als man Hop Scotch zu einer Person spielt, die im Rahmen kommt.")</f>
        <v>Drei Kinder sind vor einem Haus zu sehen, als man Hop Scotch zu einer Person spielt, die im Rahmen kommt.</v>
      </c>
    </row>
    <row r="29501">
      <c r="A29501" s="4" t="s">
        <v>37148</v>
      </c>
      <c r="B29501" s="4" t="s">
        <v>37150</v>
      </c>
      <c r="C29501" s="5" t="str">
        <f>IFERROR(__xludf.DUMMYFUNCTION("GOOGLETRANSLATE(B29501,""en"",""de"")"),"Die Kamera folgt dem gleichen Mädchen, das einen langen Weg hinuntergeht und ihren Weg zurück zu dem, wo sie angefangen hat, fortgesetzt wird.")</f>
        <v>Die Kamera folgt dem gleichen Mädchen, das einen langen Weg hinuntergeht und ihren Weg zurück zu dem, wo sie angefangen hat, fortgesetzt wird.</v>
      </c>
    </row>
    <row r="29502">
      <c r="A29502" s="4" t="s">
        <v>37151</v>
      </c>
      <c r="B29502" s="4" t="s">
        <v>37152</v>
      </c>
      <c r="C29502" s="5" t="str">
        <f>IFERROR(__xludf.DUMMYFUNCTION("GOOGLETRANSLATE(B29502,""en"",""de"")"),"Ein junger Mann sitzt in seinem Zimmer.")</f>
        <v>Ein junger Mann sitzt in seinem Zimmer.</v>
      </c>
    </row>
    <row r="29503">
      <c r="A29503" s="4" t="s">
        <v>37151</v>
      </c>
      <c r="B29503" s="4" t="s">
        <v>37153</v>
      </c>
      <c r="C29503" s="5" t="str">
        <f>IFERROR(__xludf.DUMMYFUNCTION("GOOGLETRANSLATE(B29503,""en"",""de"")"),"Der junge Mann begann seine Gitarre zu spielen.")</f>
        <v>Der junge Mann begann seine Gitarre zu spielen.</v>
      </c>
    </row>
    <row r="29504">
      <c r="A29504" s="4" t="s">
        <v>37151</v>
      </c>
      <c r="B29504" s="4" t="s">
        <v>37154</v>
      </c>
      <c r="C29504" s="5" t="str">
        <f>IFERROR(__xludf.DUMMYFUNCTION("GOOGLETRANSLATE(B29504,""en"",""de"")"),"Der junge Mann bewegt seine Finger, als er die Fäden auf die Gitarre drückt.")</f>
        <v>Der junge Mann bewegt seine Finger, als er die Fäden auf die Gitarre drückt.</v>
      </c>
    </row>
    <row r="29505">
      <c r="A29505" s="4" t="s">
        <v>37155</v>
      </c>
      <c r="B29505" s="4" t="s">
        <v>37156</v>
      </c>
      <c r="C29505" s="5" t="str">
        <f>IFERROR(__xludf.DUMMYFUNCTION("GOOGLETRANSLATE(B29505,""en"",""de"")"),"Ein Mann mit verbundenen Augen steht draußen mit Fahrzeugen, die hinter ihm geparkt sind, und er spielt einen kleinen Satz Bongos sowie einen großen Satz Bongos direkt daneben.")</f>
        <v>Ein Mann mit verbundenen Augen steht draußen mit Fahrzeugen, die hinter ihm geparkt sind, und er spielt einen kleinen Satz Bongos sowie einen großen Satz Bongos direkt daneben.</v>
      </c>
    </row>
    <row r="29506">
      <c r="A29506" s="4" t="s">
        <v>37155</v>
      </c>
      <c r="B29506" s="4" t="s">
        <v>37157</v>
      </c>
      <c r="C29506" s="5" t="str">
        <f>IFERROR(__xludf.DUMMYFUNCTION("GOOGLETRANSLATE(B29506,""en"",""de"")"),"Der Mann trifft schnell nur die kleinen Bongos und bewegt sich dann auf den großen Bongos, der von seinem rechts nach links geht.")</f>
        <v>Der Mann trifft schnell nur die kleinen Bongos und bewegt sich dann auf den großen Bongos, der von seinem rechts nach links geht.</v>
      </c>
    </row>
    <row r="29507">
      <c r="A29507" s="4" t="s">
        <v>37155</v>
      </c>
      <c r="B29507" s="4" t="s">
        <v>37158</v>
      </c>
      <c r="C29507" s="5" t="str">
        <f>IFERROR(__xludf.DUMMYFUNCTION("GOOGLETRANSLATE(B29507,""en"",""de"")"),"Bei der Rückkehr von seiner linken nach rechts trifft er zuerst nur die großen Bongos und trifft dann auf die kleineren Bongos.")</f>
        <v>Bei der Rückkehr von seiner linken nach rechts trifft er zuerst nur die großen Bongos und trifft dann auf die kleineren Bongos.</v>
      </c>
    </row>
    <row r="29508">
      <c r="A29508" s="4" t="s">
        <v>37159</v>
      </c>
      <c r="B29508" s="4" t="s">
        <v>37160</v>
      </c>
      <c r="C29508" s="5" t="str">
        <f>IFERROR(__xludf.DUMMYFUNCTION("GOOGLETRANSLATE(B29508,""en"",""de"")"),"Eine Nahaufnahme zeigt eine Frau, die eine Brille trägt.")</f>
        <v>Eine Nahaufnahme zeigt eine Frau, die eine Brille trägt.</v>
      </c>
    </row>
    <row r="29509">
      <c r="A29509" s="4" t="s">
        <v>37159</v>
      </c>
      <c r="B29509" s="4" t="s">
        <v>37161</v>
      </c>
      <c r="C29509" s="5" t="str">
        <f>IFERROR(__xludf.DUMMYFUNCTION("GOOGLETRANSLATE(B29509,""en"",""de"")"),"Sie fängt an, eine Zigarette zu rauchen, und beugt sich dann vor.")</f>
        <v>Sie fängt an, eine Zigarette zu rauchen, und beugt sich dann vor.</v>
      </c>
    </row>
    <row r="29510">
      <c r="A29510" s="4" t="s">
        <v>37159</v>
      </c>
      <c r="B29510" s="4" t="s">
        <v>37162</v>
      </c>
      <c r="C29510" s="5" t="str">
        <f>IFERROR(__xludf.DUMMYFUNCTION("GOOGLETRANSLATE(B29510,""en"",""de"")"),"Eine Frau im Bett lacht, als sie auf ihr eigenes Bett fällt und immer noch raucht.")</f>
        <v>Eine Frau im Bett lacht, als sie auf ihr eigenes Bett fällt und immer noch raucht.</v>
      </c>
    </row>
    <row r="29511">
      <c r="A29511" s="4" t="s">
        <v>37163</v>
      </c>
      <c r="B29511" s="4" t="s">
        <v>37164</v>
      </c>
      <c r="C29511" s="5" t="str">
        <f>IFERROR(__xludf.DUMMYFUNCTION("GOOGLETRANSLATE(B29511,""en"",""de"")"),"Der Mann steht vor einem Tisch, das Gemüse hackt und ein Sandwich zubereitet.")</f>
        <v>Der Mann steht vor einem Tisch, das Gemüse hackt und ein Sandwich zubereitet.</v>
      </c>
    </row>
    <row r="29512">
      <c r="A29512" s="4" t="s">
        <v>37163</v>
      </c>
      <c r="B29512" s="4" t="s">
        <v>37165</v>
      </c>
      <c r="C29512" s="5" t="str">
        <f>IFERROR(__xludf.DUMMYFUNCTION("GOOGLETRANSLATE(B29512,""en"",""de"")"),"Der Mann spricht mit der Kamera und vertreibt Butter in Brotscheiben mit einem Messer, den Cheddar -Käse, Schinken und Ketchup in vier Scheiben schneiden und in einem Teller servieren.")</f>
        <v>Der Mann spricht mit der Kamera und vertreibt Butter in Brotscheiben mit einem Messer, den Cheddar -Käse, Schinken und Ketchup in vier Scheiben schneiden und in einem Teller servieren.</v>
      </c>
    </row>
    <row r="29513">
      <c r="A29513" s="4" t="s">
        <v>37166</v>
      </c>
      <c r="B29513" s="4" t="s">
        <v>37167</v>
      </c>
      <c r="C29513" s="5" t="str">
        <f>IFERROR(__xludf.DUMMYFUNCTION("GOOGLETRANSLATE(B29513,""en"",""de"")"),"Ein Mann in einem blauen Mantel spricht draußen an einem Felsen.")</f>
        <v>Ein Mann in einem blauen Mantel spricht draußen an einem Felsen.</v>
      </c>
    </row>
    <row r="29514">
      <c r="A29514" s="4" t="s">
        <v>37166</v>
      </c>
      <c r="B29514" s="4" t="s">
        <v>37168</v>
      </c>
      <c r="C29514" s="5" t="str">
        <f>IFERROR(__xludf.DUMMYFUNCTION("GOOGLETRANSLATE(B29514,""en"",""de"")"),"Er trägt einen Klettergurt.")</f>
        <v>Er trägt einen Klettergurt.</v>
      </c>
    </row>
    <row r="29515">
      <c r="A29515" s="4" t="s">
        <v>37166</v>
      </c>
      <c r="B29515" s="4" t="s">
        <v>37169</v>
      </c>
      <c r="C29515" s="5" t="str">
        <f>IFERROR(__xludf.DUMMYFUNCTION("GOOGLETRANSLATE(B29515,""en"",""de"")"),"Er beginnt den Felsen hinauf zu klettern.")</f>
        <v>Er beginnt den Felsen hinauf zu klettern.</v>
      </c>
    </row>
    <row r="29516">
      <c r="A29516" s="4" t="s">
        <v>37166</v>
      </c>
      <c r="B29516" s="4" t="s">
        <v>37170</v>
      </c>
      <c r="C29516" s="5" t="str">
        <f>IFERROR(__xludf.DUMMYFUNCTION("GOOGLETRANSLATE(B29516,""en"",""de"")"),"Er hat ein Seil um den Hals mit verschiedenen Kletterwerkzeugen.")</f>
        <v>Er hat ein Seil um den Hals mit verschiedenen Kletterwerkzeugen.</v>
      </c>
    </row>
    <row r="29517">
      <c r="A29517" s="4" t="s">
        <v>37166</v>
      </c>
      <c r="B29517" s="4" t="s">
        <v>37171</v>
      </c>
      <c r="C29517" s="5" t="str">
        <f>IFERROR(__xludf.DUMMYFUNCTION("GOOGLETRANSLATE(B29517,""en"",""de"")"),"Er gibt einer anderen Person eine hohe fünf.")</f>
        <v>Er gibt einer anderen Person eine hohe fünf.</v>
      </c>
    </row>
    <row r="29518">
      <c r="A29518" s="4" t="s">
        <v>37172</v>
      </c>
      <c r="B29518" s="4" t="s">
        <v>37173</v>
      </c>
      <c r="C29518" s="5" t="str">
        <f>IFERROR(__xludf.DUMMYFUNCTION("GOOGLETRANSLATE(B29518,""en"",""de"")"),"Zwei Menschen werden mit einem Hügel mit einem auf Skier und dem anderen auf einem Schlitten einen Hügel hinunterfahren.")</f>
        <v>Zwei Menschen werden mit einem Hügel mit einem auf Skier und dem anderen auf einem Schlitten einen Hügel hinunterfahren.</v>
      </c>
    </row>
    <row r="29519">
      <c r="A29519" s="4" t="s">
        <v>37172</v>
      </c>
      <c r="B29519" s="4" t="s">
        <v>37174</v>
      </c>
      <c r="C29519" s="5" t="str">
        <f>IFERROR(__xludf.DUMMYFUNCTION("GOOGLETRANSLATE(B29519,""en"",""de"")"),"Die Person geht dann über einen Sprung und stürzt in eine Schneebank und zeigt in Zeitlupe wieder den gleichen Schuss.")</f>
        <v>Die Person geht dann über einen Sprung und stürzt in eine Schneebank und zeigt in Zeitlupe wieder den gleichen Schuss.</v>
      </c>
    </row>
    <row r="29520">
      <c r="A29520" s="4" t="s">
        <v>37175</v>
      </c>
      <c r="B29520" s="4" t="s">
        <v>37176</v>
      </c>
      <c r="C29520" s="5" t="str">
        <f>IFERROR(__xludf.DUMMYFUNCTION("GOOGLETRANSLATE(B29520,""en"",""de"")"),"Ein Mann und eine Frau in einem schwarzen Abendkleid und einem schwarzen Anzug tanzen in einem Ballzimmer -Tanzstil in einem großen Raum mit Steinböden und geriebenen Fenstern.")</f>
        <v>Ein Mann und eine Frau in einem schwarzen Abendkleid und einem schwarzen Anzug tanzen in einem Ballzimmer -Tanzstil in einem großen Raum mit Steinböden und geriebenen Fenstern.</v>
      </c>
    </row>
    <row r="29521">
      <c r="A29521" s="4" t="s">
        <v>37175</v>
      </c>
      <c r="B29521" s="4" t="s">
        <v>37177</v>
      </c>
      <c r="C29521" s="5" t="str">
        <f>IFERROR(__xludf.DUMMYFUNCTION("GOOGLETRANSLATE(B29521,""en"",""de"")"),"Der Mann und die Frau beginnen mit einem schnellen Tanz mit viel Fußarbeit, die über den Boden drehen.")</f>
        <v>Der Mann und die Frau beginnen mit einem schnellen Tanz mit viel Fußarbeit, die über den Boden drehen.</v>
      </c>
    </row>
    <row r="29522">
      <c r="A29522" s="4" t="s">
        <v>37175</v>
      </c>
      <c r="B29522" s="4" t="s">
        <v>37178</v>
      </c>
      <c r="C29522" s="5" t="str">
        <f>IFERROR(__xludf.DUMMYFUNCTION("GOOGLETRANSLATE(B29522,""en"",""de"")"),"Der Mann und die Frau beginnen dann einen langsamen Tanz, in dem sie gleiten, streicheln, drehen und sich gegenseitig über den Boden drehen, manchmal in schwelenden Haltungen, die Romantik implizieren.")</f>
        <v>Der Mann und die Frau beginnen dann einen langsamen Tanz, in dem sie gleiten, streicheln, drehen und sich gegenseitig über den Boden drehen, manchmal in schwelenden Haltungen, die Romantik implizieren.</v>
      </c>
    </row>
    <row r="29523">
      <c r="A29523" s="4" t="s">
        <v>37175</v>
      </c>
      <c r="B29523" s="4" t="s">
        <v>37179</v>
      </c>
      <c r="C29523" s="5" t="str">
        <f>IFERROR(__xludf.DUMMYFUNCTION("GOOGLETRANSLATE(B29523,""en"",""de"")"),"Der Mann und die Frau fangen dann an, schnell zu tanzen, indem er schnelle Wirbel und Fußarbeit benutzt und der Mann die Frau aufnimmt und sie bis zu einem letzten Bad in der Luft dreht.")</f>
        <v>Der Mann und die Frau fangen dann an, schnell zu tanzen, indem er schnelle Wirbel und Fußarbeit benutzt und der Mann die Frau aufnimmt und sie bis zu einem letzten Bad in der Luft dreht.</v>
      </c>
    </row>
    <row r="29524">
      <c r="A29524" s="4" t="s">
        <v>37180</v>
      </c>
      <c r="B29524" s="4" t="s">
        <v>37181</v>
      </c>
      <c r="C29524" s="5" t="str">
        <f>IFERROR(__xludf.DUMMYFUNCTION("GOOGLETRANSLATE(B29524,""en"",""de"")"),"Ein kleiner Junge schwimmt mit einer anderen Person herum, die im Wasser steht.")</f>
        <v>Ein kleiner Junge schwimmt mit einer anderen Person herum, die im Wasser steht.</v>
      </c>
    </row>
    <row r="29525">
      <c r="A29525" s="4" t="s">
        <v>37180</v>
      </c>
      <c r="B29525" s="4" t="s">
        <v>37182</v>
      </c>
      <c r="C29525" s="5" t="str">
        <f>IFERROR(__xludf.DUMMYFUNCTION("GOOGLETRANSLATE(B29525,""en"",""de"")"),"Der Junge schwimmt weiterhin mit den anderen Menschen herum und flieht unter dem Wasser.")</f>
        <v>Der Junge schwimmt weiterhin mit den anderen Menschen herum und flieht unter dem Wasser.</v>
      </c>
    </row>
    <row r="29526">
      <c r="A29526" s="4" t="s">
        <v>37180</v>
      </c>
      <c r="B29526" s="4" t="s">
        <v>37183</v>
      </c>
      <c r="C29526" s="5" t="str">
        <f>IFERROR(__xludf.DUMMYFUNCTION("GOOGLETRANSLATE(B29526,""en"",""de"")"),"Die Kinder bewegen sich unter und über das Wasser, während die Kamera ihnen weiter folgt.")</f>
        <v>Die Kinder bewegen sich unter und über das Wasser, während die Kamera ihnen weiter folgt.</v>
      </c>
    </row>
    <row r="29527">
      <c r="A29527" s="4" t="s">
        <v>37184</v>
      </c>
      <c r="B29527" s="4" t="s">
        <v>37185</v>
      </c>
      <c r="C29527" s="5" t="str">
        <f>IFERROR(__xludf.DUMMYFUNCTION("GOOGLETRANSLATE(B29527,""en"",""de"")"),"Ein Mann singt ein Lied mit jemandem, der in einem Restaurant ein Akkordeon spielt.")</f>
        <v>Ein Mann singt ein Lied mit jemandem, der in einem Restaurant ein Akkordeon spielt.</v>
      </c>
    </row>
    <row r="29528">
      <c r="A29528" s="4" t="s">
        <v>37184</v>
      </c>
      <c r="B29528" s="4" t="s">
        <v>37186</v>
      </c>
      <c r="C29528" s="5" t="str">
        <f>IFERROR(__xludf.DUMMYFUNCTION("GOOGLETRANSLATE(B29528,""en"",""de"")"),"Der Mann, der Akkordeon spielt, bricht sein Instrument in zwei Hälften.")</f>
        <v>Der Mann, der Akkordeon spielt, bricht sein Instrument in zwei Hälften.</v>
      </c>
    </row>
    <row r="29529">
      <c r="A29529" s="4" t="s">
        <v>37184</v>
      </c>
      <c r="B29529" s="4" t="s">
        <v>37187</v>
      </c>
      <c r="C29529" s="5" t="str">
        <f>IFERROR(__xludf.DUMMYFUNCTION("GOOGLETRANSLATE(B29529,""en"",""de"")"),"Die Leute sind erschrocken, aber weiterhin das Lied singen.")</f>
        <v>Die Leute sind erschrocken, aber weiterhin das Lied singen.</v>
      </c>
    </row>
    <row r="29530">
      <c r="A29530" s="4" t="s">
        <v>37188</v>
      </c>
      <c r="B29530" s="4" t="s">
        <v>37189</v>
      </c>
      <c r="C29530" s="5" t="str">
        <f>IFERROR(__xludf.DUMMYFUNCTION("GOOGLETRANSLATE(B29530,""en"",""de"")"),"Ein kleiner Junge steht auf dem Parkplatz, er trägt kein Hemd, er hat mit der Kamera gesprochen.")</f>
        <v>Ein kleiner Junge steht auf dem Parkplatz, er trägt kein Hemd, er hat mit der Kamera gesprochen.</v>
      </c>
    </row>
    <row r="29531">
      <c r="A29531" s="4" t="s">
        <v>37188</v>
      </c>
      <c r="B29531" s="4" t="s">
        <v>37190</v>
      </c>
      <c r="C29531" s="5" t="str">
        <f>IFERROR(__xludf.DUMMYFUNCTION("GOOGLETRANSLATE(B29531,""en"",""de"")"),"Dann ging er mit seinen beiden Ellbogen zur Straße.")</f>
        <v>Dann ging er mit seinen beiden Ellbogen zur Straße.</v>
      </c>
    </row>
    <row r="29532">
      <c r="A29532" s="4" t="s">
        <v>37188</v>
      </c>
      <c r="B29532" s="4" t="s">
        <v>37191</v>
      </c>
      <c r="C29532" s="5" t="str">
        <f>IFERROR(__xludf.DUMMYFUNCTION("GOOGLETRANSLATE(B29532,""en"",""de"")"),"Der Junge ist auf der Bühne und spielt eine braune Gitarre, er trägt kein Hemd, da steht ein Mikrofon vor sich, hinter ihm ist ein Mann, der auch eine Gitarre spielt.")</f>
        <v>Der Junge ist auf der Bühne und spielt eine braune Gitarre, er trägt kein Hemd, da steht ein Mikrofon vor sich, hinter ihm ist ein Mann, der auch eine Gitarre spielt.</v>
      </c>
    </row>
    <row r="29533">
      <c r="A29533" s="4" t="s">
        <v>37192</v>
      </c>
      <c r="B29533" s="4" t="s">
        <v>37193</v>
      </c>
      <c r="C29533" s="5" t="str">
        <f>IFERROR(__xludf.DUMMYFUNCTION("GOOGLETRANSLATE(B29533,""en"",""de"")"),"Ein Junge rennt eine Strecke hinunter.")</f>
        <v>Ein Junge rennt eine Strecke hinunter.</v>
      </c>
    </row>
    <row r="29534">
      <c r="A29534" s="4" t="s">
        <v>37192</v>
      </c>
      <c r="B29534" s="4" t="s">
        <v>37194</v>
      </c>
      <c r="C29534" s="5" t="str">
        <f>IFERROR(__xludf.DUMMYFUNCTION("GOOGLETRANSLATE(B29534,""en"",""de"")"),"Der Junge hebt seinen Körper über die Höhe eines Pols.")</f>
        <v>Der Junge hebt seinen Körper über die Höhe eines Pols.</v>
      </c>
    </row>
    <row r="29535">
      <c r="A29535" s="4" t="s">
        <v>37192</v>
      </c>
      <c r="B29535" s="4" t="s">
        <v>37195</v>
      </c>
      <c r="C29535" s="5" t="str">
        <f>IFERROR(__xludf.DUMMYFUNCTION("GOOGLETRANSLATE(B29535,""en"",""de"")"),"Der Junge landet auf dem Rücken zu einer roten Matte.")</f>
        <v>Der Junge landet auf dem Rücken zu einer roten Matte.</v>
      </c>
    </row>
    <row r="29536">
      <c r="A29536" s="4" t="s">
        <v>37192</v>
      </c>
      <c r="B29536" s="4" t="s">
        <v>37196</v>
      </c>
      <c r="C29536" s="5" t="str">
        <f>IFERROR(__xludf.DUMMYFUNCTION("GOOGLETRANSLATE(B29536,""en"",""de"")"),"Der Junge steht von der Matte auf.")</f>
        <v>Der Junge steht von der Matte auf.</v>
      </c>
    </row>
    <row r="29537">
      <c r="A29537" s="4" t="s">
        <v>37192</v>
      </c>
      <c r="B29537" s="4" t="s">
        <v>37197</v>
      </c>
      <c r="C29537" s="5" t="str">
        <f>IFERROR(__xludf.DUMMYFUNCTION("GOOGLETRANSLATE(B29537,""en"",""de"")"),"Der Junge feiert, indem er beide Arme klatscht und beugt.")</f>
        <v>Der Junge feiert, indem er beide Arme klatscht und beugt.</v>
      </c>
    </row>
    <row r="29538">
      <c r="A29538" s="4" t="s">
        <v>37192</v>
      </c>
      <c r="B29538" s="4" t="s">
        <v>37198</v>
      </c>
      <c r="C29538" s="5" t="str">
        <f>IFERROR(__xludf.DUMMYFUNCTION("GOOGLETRANSLATE(B29538,""en"",""de"")"),"Ein Mann steht und beobachtet.")</f>
        <v>Ein Mann steht und beobachtet.</v>
      </c>
    </row>
    <row r="29539">
      <c r="A29539" s="4" t="s">
        <v>37199</v>
      </c>
      <c r="B29539" s="4" t="s">
        <v>17268</v>
      </c>
      <c r="C29539" s="5" t="str">
        <f>IFERROR(__xludf.DUMMYFUNCTION("GOOGLETRANSLATE(B29539,""en"",""de"")"),"Ein Mann spricht mit der Kamera.")</f>
        <v>Ein Mann spricht mit der Kamera.</v>
      </c>
    </row>
    <row r="29540">
      <c r="A29540" s="4" t="s">
        <v>37199</v>
      </c>
      <c r="B29540" s="4" t="s">
        <v>37200</v>
      </c>
      <c r="C29540" s="5" t="str">
        <f>IFERROR(__xludf.DUMMYFUNCTION("GOOGLETRANSLATE(B29540,""en"",""de"")"),"Der Mann geht auf einen Kinderspielplatz zu.")</f>
        <v>Der Mann geht auf einen Kinderspielplatz zu.</v>
      </c>
    </row>
    <row r="29541">
      <c r="A29541" s="4" t="s">
        <v>37199</v>
      </c>
      <c r="B29541" s="4" t="s">
        <v>37201</v>
      </c>
      <c r="C29541" s="5" t="str">
        <f>IFERROR(__xludf.DUMMYFUNCTION("GOOGLETRANSLATE(B29541,""en"",""de"")"),"Der Mann hängt von Geräten vom Typ mit montierten Bar auf dem Spielplatz.")</f>
        <v>Der Mann hängt von Geräten vom Typ mit montierten Bar auf dem Spielplatz.</v>
      </c>
    </row>
    <row r="29542">
      <c r="A29542" s="4" t="s">
        <v>37199</v>
      </c>
      <c r="B29542" s="4" t="s">
        <v>37202</v>
      </c>
      <c r="C29542" s="5" t="str">
        <f>IFERROR(__xludf.DUMMYFUNCTION("GOOGLETRANSLATE(B29542,""en"",""de"")"),"Der Mann steigt ab und geht zurück zur Kamera.")</f>
        <v>Der Mann steigt ab und geht zurück zur Kamera.</v>
      </c>
    </row>
    <row r="29543">
      <c r="A29543" s="4" t="s">
        <v>37203</v>
      </c>
      <c r="B29543" s="4" t="s">
        <v>37204</v>
      </c>
      <c r="C29543" s="5" t="str">
        <f>IFERROR(__xludf.DUMMYFUNCTION("GOOGLETRANSLATE(B29543,""en"",""de"")"),"Ein Mann spricht mit einer Kamera.")</f>
        <v>Ein Mann spricht mit einer Kamera.</v>
      </c>
    </row>
    <row r="29544">
      <c r="A29544" s="4" t="s">
        <v>37203</v>
      </c>
      <c r="B29544" s="4" t="s">
        <v>37205</v>
      </c>
      <c r="C29544" s="5" t="str">
        <f>IFERROR(__xludf.DUMMYFUNCTION("GOOGLETRANSLATE(B29544,""en"",""de"")"),"Ein anderer Mann rasiert sein Gesicht, das mit Rasiercreme bedeckt ist.")</f>
        <v>Ein anderer Mann rasiert sein Gesicht, das mit Rasiercreme bedeckt ist.</v>
      </c>
    </row>
    <row r="29545">
      <c r="A29545" s="4" t="s">
        <v>37203</v>
      </c>
      <c r="B29545" s="4" t="s">
        <v>37206</v>
      </c>
      <c r="C29545" s="5" t="str">
        <f>IFERROR(__xludf.DUMMYFUNCTION("GOOGLETRANSLATE(B29545,""en"",""de"")"),"Der Mann rasiert einen Teil seines Hals.")</f>
        <v>Der Mann rasiert einen Teil seines Hals.</v>
      </c>
    </row>
    <row r="29546">
      <c r="A29546" s="4" t="s">
        <v>37203</v>
      </c>
      <c r="B29546" s="4" t="s">
        <v>37207</v>
      </c>
      <c r="C29546" s="5" t="str">
        <f>IFERROR(__xludf.DUMMYFUNCTION("GOOGLETRANSLATE(B29546,""en"",""de"")"),"Der Rasiermesser des Mannes ist mit Rasiercreme bedeckt, so dass er den Rasierer mit Wasser spült.")</f>
        <v>Der Rasiermesser des Mannes ist mit Rasiercreme bedeckt, so dass er den Rasierer mit Wasser spült.</v>
      </c>
    </row>
    <row r="29547">
      <c r="A29547" s="4" t="s">
        <v>37203</v>
      </c>
      <c r="B29547" s="4" t="s">
        <v>37208</v>
      </c>
      <c r="C29547" s="5" t="str">
        <f>IFERROR(__xludf.DUMMYFUNCTION("GOOGLETRANSLATE(B29547,""en"",""de"")"),"Der Mann spricht wieder mit der Kamera.")</f>
        <v>Der Mann spricht wieder mit der Kamera.</v>
      </c>
    </row>
    <row r="29548">
      <c r="A29548" s="4" t="s">
        <v>37203</v>
      </c>
      <c r="B29548" s="4" t="s">
        <v>37209</v>
      </c>
      <c r="C29548" s="5" t="str">
        <f>IFERROR(__xludf.DUMMYFUNCTION("GOOGLETRANSLATE(B29548,""en"",""de"")"),"Der Rasiermann rasiert erneut einen Teil seines Wangenbereichs.")</f>
        <v>Der Rasiermann rasiert erneut einen Teil seines Wangenbereichs.</v>
      </c>
    </row>
    <row r="29549">
      <c r="A29549" s="4" t="s">
        <v>37203</v>
      </c>
      <c r="B29549" s="4" t="s">
        <v>2807</v>
      </c>
      <c r="C29549" s="5" t="str">
        <f>IFERROR(__xludf.DUMMYFUNCTION("GOOGLETRANSLATE(B29549,""en"",""de"")"),"Der Mann kehrt zurück, um mit der Kamera zu sprechen.")</f>
        <v>Der Mann kehrt zurück, um mit der Kamera zu sprechen.</v>
      </c>
    </row>
    <row r="29550">
      <c r="A29550" s="4" t="s">
        <v>37203</v>
      </c>
      <c r="B29550" s="4" t="s">
        <v>37210</v>
      </c>
      <c r="C29550" s="5" t="str">
        <f>IFERROR(__xludf.DUMMYFUNCTION("GOOGLETRANSLATE(B29550,""en"",""de"")"),"Eine Animation der Rasierung wird gezeigt.")</f>
        <v>Eine Animation der Rasierung wird gezeigt.</v>
      </c>
    </row>
    <row r="29551">
      <c r="A29551" s="4" t="s">
        <v>37203</v>
      </c>
      <c r="B29551" s="4" t="s">
        <v>37211</v>
      </c>
      <c r="C29551" s="5" t="str">
        <f>IFERROR(__xludf.DUMMYFUNCTION("GOOGLETRANSLATE(B29551,""en"",""de"")"),"Der Mann spricht weiterhin mit der Kamera.")</f>
        <v>Der Mann spricht weiterhin mit der Kamera.</v>
      </c>
    </row>
    <row r="29552">
      <c r="A29552" s="4" t="s">
        <v>37203</v>
      </c>
      <c r="B29552" s="4" t="s">
        <v>37212</v>
      </c>
      <c r="C29552" s="5" t="str">
        <f>IFERROR(__xludf.DUMMYFUNCTION("GOOGLETRANSLATE(B29552,""en"",""de"")"),"Der Rasiermann rasiert mehr auf sein Kinn, einschließlich seiner oberen Wange.")</f>
        <v>Der Rasiermann rasiert mehr auf sein Kinn, einschließlich seiner oberen Wange.</v>
      </c>
    </row>
    <row r="29553">
      <c r="A29553" s="4" t="s">
        <v>37203</v>
      </c>
      <c r="B29553" s="4" t="s">
        <v>37213</v>
      </c>
      <c r="C29553" s="5" t="str">
        <f>IFERROR(__xludf.DUMMYFUNCTION("GOOGLETRANSLATE(B29553,""en"",""de"")"),"Der Mann spricht mehr mit der Kamera.")</f>
        <v>Der Mann spricht mehr mit der Kamera.</v>
      </c>
    </row>
    <row r="29554">
      <c r="A29554" s="4" t="s">
        <v>37214</v>
      </c>
      <c r="B29554" s="4" t="s">
        <v>37215</v>
      </c>
      <c r="C29554" s="5" t="str">
        <f>IFERROR(__xludf.DUMMYFUNCTION("GOOGLETRANSLATE(B29554,""en"",""de"")"),"Ein Mann sitzt hinter zwei Congas mit einer Schulter aufgerollt.")</f>
        <v>Ein Mann sitzt hinter zwei Congas mit einer Schulter aufgerollt.</v>
      </c>
    </row>
    <row r="29555">
      <c r="A29555" s="4" t="s">
        <v>37214</v>
      </c>
      <c r="B29555" s="4" t="s">
        <v>37216</v>
      </c>
      <c r="C29555" s="5" t="str">
        <f>IFERROR(__xludf.DUMMYFUNCTION("GOOGLETRANSLATE(B29555,""en"",""de"")"),"Nachdem er das Gespräch beendet hat, beginnt er auf die Conga.")</f>
        <v>Nachdem er das Gespräch beendet hat, beginnt er auf die Conga.</v>
      </c>
    </row>
    <row r="29556">
      <c r="A29556" s="4" t="s">
        <v>37214</v>
      </c>
      <c r="B29556" s="4" t="s">
        <v>37217</v>
      </c>
      <c r="C29556" s="5" t="str">
        <f>IFERROR(__xludf.DUMMYFUNCTION("GOOGLETRANSLATE(B29556,""en"",""de"")"),"Nach mehreren Treffern fügt er in den anderen Conga hinzu und beginnt, den anderen Conga zu treffen.")</f>
        <v>Nach mehreren Treffern fügt er in den anderen Conga hinzu und beginnt, den anderen Conga zu treffen.</v>
      </c>
    </row>
    <row r="29557">
      <c r="A29557" s="4" t="s">
        <v>37218</v>
      </c>
      <c r="B29557" s="4" t="s">
        <v>37219</v>
      </c>
      <c r="C29557" s="5" t="str">
        <f>IFERROR(__xludf.DUMMYFUNCTION("GOOGLETRANSLATE(B29557,""en"",""de"")"),"Ein Mann mischt ein Kartenspiel und umgibt sie.")</f>
        <v>Ein Mann mischt ein Kartenspiel und umgibt sie.</v>
      </c>
    </row>
    <row r="29558">
      <c r="A29558" s="4" t="s">
        <v>37218</v>
      </c>
      <c r="B29558" s="4" t="s">
        <v>37220</v>
      </c>
      <c r="C29558" s="5" t="str">
        <f>IFERROR(__xludf.DUMMYFUNCTION("GOOGLETRANSLATE(B29558,""en"",""de"")"),"Vier Asse werden auf dem Tisch Gesicht angezeigt.")</f>
        <v>Vier Asse werden auf dem Tisch Gesicht angezeigt.</v>
      </c>
    </row>
    <row r="29559">
      <c r="A29559" s="4" t="s">
        <v>37218</v>
      </c>
      <c r="B29559" s="4" t="s">
        <v>37221</v>
      </c>
      <c r="C29559" s="5" t="str">
        <f>IFERROR(__xludf.DUMMYFUNCTION("GOOGLETRANSLATE(B29559,""en"",""de"")"),"Ein Mann sitzt an einem Tisch und spielt Blackjack.")</f>
        <v>Ein Mann sitzt an einem Tisch und spielt Blackjack.</v>
      </c>
    </row>
    <row r="29560">
      <c r="A29560" s="4" t="s">
        <v>37222</v>
      </c>
      <c r="B29560" s="4" t="s">
        <v>37223</v>
      </c>
      <c r="C29560" s="5" t="str">
        <f>IFERROR(__xludf.DUMMYFUNCTION("GOOGLETRANSLATE(B29560,""en"",""de"")"),"Ein Team fährt zusammen in einem Bus.")</f>
        <v>Ein Team fährt zusammen in einem Bus.</v>
      </c>
    </row>
    <row r="29561">
      <c r="A29561" s="4" t="s">
        <v>37222</v>
      </c>
      <c r="B29561" s="4" t="s">
        <v>37224</v>
      </c>
      <c r="C29561" s="5" t="str">
        <f>IFERROR(__xludf.DUMMYFUNCTION("GOOGLETRANSLATE(B29561,""en"",""de"")"),"Teams spielen Spiele von Beach Soccer.")</f>
        <v>Teams spielen Spiele von Beach Soccer.</v>
      </c>
    </row>
    <row r="29562">
      <c r="A29562" s="4" t="s">
        <v>37222</v>
      </c>
      <c r="B29562" s="4" t="s">
        <v>37225</v>
      </c>
      <c r="C29562" s="5" t="str">
        <f>IFERROR(__xludf.DUMMYFUNCTION("GOOGLETRANSLATE(B29562,""en"",""de"")"),"Ein Mann macht einen Fahrradkick in den Sand.")</f>
        <v>Ein Mann macht einen Fahrradkick in den Sand.</v>
      </c>
    </row>
    <row r="29563">
      <c r="A29563" s="4" t="s">
        <v>37222</v>
      </c>
      <c r="B29563" s="4" t="s">
        <v>37226</v>
      </c>
      <c r="C29563" s="5" t="str">
        <f>IFERROR(__xludf.DUMMYFUNCTION("GOOGLETRANSLATE(B29563,""en"",""de"")"),"Das Gewinnerteam hält zusammen eine Trophäe und feiert.")</f>
        <v>Das Gewinnerteam hält zusammen eine Trophäe und feiert.</v>
      </c>
    </row>
    <row r="29564">
      <c r="A29564" s="4" t="s">
        <v>37222</v>
      </c>
      <c r="B29564" s="4" t="s">
        <v>37227</v>
      </c>
      <c r="C29564" s="5" t="str">
        <f>IFERROR(__xludf.DUMMYFUNCTION("GOOGLETRANSLATE(B29564,""en"",""de"")"),"Teamkollegen rufen von der Bank und Jubel an.")</f>
        <v>Teamkollegen rufen von der Bank und Jubel an.</v>
      </c>
    </row>
    <row r="29565">
      <c r="A29565" s="4" t="s">
        <v>37228</v>
      </c>
      <c r="B29565" s="4" t="s">
        <v>37229</v>
      </c>
      <c r="C29565" s="5" t="str">
        <f>IFERROR(__xludf.DUMMYFUNCTION("GOOGLETRANSLATE(B29565,""en"",""de"")"),"Zwei Armee -Männer in ihren Uniformen sind im Rahmen ihres Trainings zusammengebunden und ziehen sich gegenseitig in entgegengesetzte Richtung.")</f>
        <v>Zwei Armee -Männer in ihren Uniformen sind im Rahmen ihres Trainings zusammengebunden und ziehen sich gegenseitig in entgegengesetzte Richtung.</v>
      </c>
    </row>
    <row r="29566">
      <c r="A29566" s="4" t="s">
        <v>37228</v>
      </c>
      <c r="B29566" s="4" t="s">
        <v>37230</v>
      </c>
      <c r="C29566" s="5" t="str">
        <f>IFERROR(__xludf.DUMMYFUNCTION("GOOGLETRANSLATE(B29566,""en"",""de"")"),"Es gibt eine Menge von Armeeoffizieren, die sie ihnen anfeuern, während sie die Krafttrainingstraining durchführen.")</f>
        <v>Es gibt eine Menge von Armeeoffizieren, die sie ihnen anfeuern, während sie die Krafttrainingstraining durchführen.</v>
      </c>
    </row>
    <row r="29567">
      <c r="A29567" s="4" t="s">
        <v>37228</v>
      </c>
      <c r="B29567" s="4" t="s">
        <v>37231</v>
      </c>
      <c r="C29567" s="5" t="str">
        <f>IFERROR(__xludf.DUMMYFUNCTION("GOOGLETRANSLATE(B29567,""en"",""de"")"),"Das Spiel ist vorbei, nachdem einer der Armeeoffizier den anderen Offizier vor Ort schleppt und das Spiel gewinnt.")</f>
        <v>Das Spiel ist vorbei, nachdem einer der Armeeoffizier den anderen Offizier vor Ort schleppt und das Spiel gewinnt.</v>
      </c>
    </row>
    <row r="29568">
      <c r="A29568" s="4" t="s">
        <v>37232</v>
      </c>
      <c r="B29568" s="4" t="s">
        <v>37233</v>
      </c>
      <c r="C29568" s="5" t="str">
        <f>IFERROR(__xludf.DUMMYFUNCTION("GOOGLETRANSLATE(B29568,""en"",""de"")"),"Der Mann in blauem Hemd schlägt die Trommel vor ihm.")</f>
        <v>Der Mann in blauem Hemd schlägt die Trommel vor ihm.</v>
      </c>
    </row>
    <row r="29569">
      <c r="A29569" s="4" t="s">
        <v>37232</v>
      </c>
      <c r="B29569" s="4" t="s">
        <v>37234</v>
      </c>
      <c r="C29569" s="5" t="str">
        <f>IFERROR(__xludf.DUMMYFUNCTION("GOOGLETRANSLATE(B29569,""en"",""de"")"),"Der junge Mann trommelte die Trommel vor sich und dann die nächste Trommel.")</f>
        <v>Der junge Mann trommelte die Trommel vor sich und dann die nächste Trommel.</v>
      </c>
    </row>
    <row r="29570">
      <c r="A29570" s="4" t="s">
        <v>37232</v>
      </c>
      <c r="B29570" s="4" t="s">
        <v>37235</v>
      </c>
      <c r="C29570" s="5" t="str">
        <f>IFERROR(__xludf.DUMMYFUNCTION("GOOGLETRANSLATE(B29570,""en"",""de"")"),"Der junge Mann trommelte die Trommeln vor sich.")</f>
        <v>Der junge Mann trommelte die Trommeln vor sich.</v>
      </c>
    </row>
    <row r="29571">
      <c r="A29571" s="4" t="s">
        <v>37236</v>
      </c>
      <c r="B29571" s="4" t="s">
        <v>37237</v>
      </c>
      <c r="C29571" s="5" t="str">
        <f>IFERROR(__xludf.DUMMYFUNCTION("GOOGLETRANSLATE(B29571,""en"",""de"")"),"Eine Frau öffnet den Kofferraum eines Autos.")</f>
        <v>Eine Frau öffnet den Kofferraum eines Autos.</v>
      </c>
    </row>
    <row r="29572">
      <c r="A29572" s="4" t="s">
        <v>37236</v>
      </c>
      <c r="B29572" s="4" t="s">
        <v>37238</v>
      </c>
      <c r="C29572" s="5" t="str">
        <f>IFERROR(__xludf.DUMMYFUNCTION("GOOGLETRANSLATE(B29572,""en"",""de"")"),"Sie bekommt einen Ersatzreifen aus und setzt es auf den Boden.")</f>
        <v>Sie bekommt einen Ersatzreifen aus und setzt es auf den Boden.</v>
      </c>
    </row>
    <row r="29573">
      <c r="A29573" s="4" t="s">
        <v>37236</v>
      </c>
      <c r="B29573" s="4" t="s">
        <v>37239</v>
      </c>
      <c r="C29573" s="5" t="str">
        <f>IFERROR(__xludf.DUMMYFUNCTION("GOOGLETRANSLATE(B29573,""en"",""de"")"),"Sie nimmt den alten Reifen aus.")</f>
        <v>Sie nimmt den alten Reifen aus.</v>
      </c>
    </row>
    <row r="29574">
      <c r="A29574" s="4" t="s">
        <v>37236</v>
      </c>
      <c r="B29574" s="4" t="s">
        <v>37240</v>
      </c>
      <c r="C29574" s="5" t="str">
        <f>IFERROR(__xludf.DUMMYFUNCTION("GOOGLETRANSLATE(B29574,""en"",""de"")"),"Sie zieht den neuen Reifen an.")</f>
        <v>Sie zieht den neuen Reifen an.</v>
      </c>
    </row>
    <row r="29575">
      <c r="A29575" s="4" t="s">
        <v>37236</v>
      </c>
      <c r="B29575" s="4" t="s">
        <v>37241</v>
      </c>
      <c r="C29575" s="5" t="str">
        <f>IFERROR(__xludf.DUMMYFUNCTION("GOOGLETRANSLATE(B29575,""en"",""de"")"),"Sie legt den Zentrum des Reifens auf.")</f>
        <v>Sie legt den Zentrum des Reifens auf.</v>
      </c>
    </row>
    <row r="29576">
      <c r="A29576" s="4" t="s">
        <v>37242</v>
      </c>
      <c r="B29576" s="4" t="s">
        <v>37243</v>
      </c>
      <c r="C29576" s="5" t="str">
        <f>IFERROR(__xludf.DUMMYFUNCTION("GOOGLETRANSLATE(B29576,""en"",""de"")"),"Ein Mann in einem roten Hemd hält an einer Scheibe und schlägt das Eis hinunter.")</f>
        <v>Ein Mann in einem roten Hemd hält an einer Scheibe und schlägt das Eis hinunter.</v>
      </c>
    </row>
    <row r="29577">
      <c r="A29577" s="4" t="s">
        <v>37242</v>
      </c>
      <c r="B29577" s="4" t="s">
        <v>37244</v>
      </c>
      <c r="C29577" s="5" t="str">
        <f>IFERROR(__xludf.DUMMYFUNCTION("GOOGLETRANSLATE(B29577,""en"",""de"")"),"Er lässt die Scheibe los und geht zurück.")</f>
        <v>Er lässt die Scheibe los und geht zurück.</v>
      </c>
    </row>
    <row r="29578">
      <c r="A29578" s="4" t="s">
        <v>37245</v>
      </c>
      <c r="B29578" s="4" t="s">
        <v>37246</v>
      </c>
      <c r="C29578" s="5" t="str">
        <f>IFERROR(__xludf.DUMMYFUNCTION("GOOGLETRANSLATE(B29578,""en"",""de"")"),"Ein kleines Mädchen spielt die Ringe fest.")</f>
        <v>Ein kleines Mädchen spielt die Ringe fest.</v>
      </c>
    </row>
    <row r="29579">
      <c r="A29579" s="4" t="s">
        <v>37245</v>
      </c>
      <c r="B29579" s="4" t="s">
        <v>37247</v>
      </c>
      <c r="C29579" s="5" t="str">
        <f>IFERROR(__xludf.DUMMYFUNCTION("GOOGLETRANSLATE(B29579,""en"",""de"")"),"Ein Junge steht als nächstes ein Mann, dann hebt er eine Hand und geht, um auf den parallelen Barden aufzutreten.")</f>
        <v>Ein Junge steht als nächstes ein Mann, dann hebt er eine Hand und geht, um auf den parallelen Barden aufzutreten.</v>
      </c>
    </row>
    <row r="29580">
      <c r="A29580" s="4" t="s">
        <v>37245</v>
      </c>
      <c r="B29580" s="4" t="s">
        <v>37248</v>
      </c>
      <c r="C29580" s="5" t="str">
        <f>IFERROR(__xludf.DUMMYFUNCTION("GOOGLETRANSLATE(B29580,""en"",""de"")"),"Der Junge schwingt auf die Bars und springt dann auf die Matte.")</f>
        <v>Der Junge schwingt auf die Bars und springt dann auf die Matte.</v>
      </c>
    </row>
    <row r="29581">
      <c r="A29581" s="4" t="s">
        <v>37249</v>
      </c>
      <c r="B29581" s="4" t="s">
        <v>37250</v>
      </c>
      <c r="C29581" s="5" t="str">
        <f>IFERROR(__xludf.DUMMYFUNCTION("GOOGLETRANSLATE(B29581,""en"",""de"")"),"Es gibt eine Frau in einem kastanienbraunen Hemd, das ihr Gesicht im Waschbecken wäscht.")</f>
        <v>Es gibt eine Frau in einem kastanienbraunen Hemd, das ihr Gesicht im Waschbecken wäscht.</v>
      </c>
    </row>
    <row r="29582">
      <c r="A29582" s="4" t="s">
        <v>37249</v>
      </c>
      <c r="B29582" s="4" t="s">
        <v>37251</v>
      </c>
      <c r="C29582" s="5" t="str">
        <f>IFERROR(__xludf.DUMMYFUNCTION("GOOGLETRANSLATE(B29582,""en"",""de"")"),"Ein Kosmetiker spricht über Hautpflegeroutinen und gibt Tipps, wie die Gesichtshaut sauber hält.")</f>
        <v>Ein Kosmetiker spricht über Hautpflegeroutinen und gibt Tipps, wie die Gesichtshaut sauber hält.</v>
      </c>
    </row>
    <row r="29583">
      <c r="A29583" s="4" t="s">
        <v>37249</v>
      </c>
      <c r="B29583" s="4" t="s">
        <v>37252</v>
      </c>
      <c r="C29583" s="5" t="str">
        <f>IFERROR(__xludf.DUMMYFUNCTION("GOOGLETRANSLATE(B29583,""en"",""de"")"),"Das Model wäscht ihr Gesicht und tupft es dann vorsichtig mit einem Handtuch.")</f>
        <v>Das Model wäscht ihr Gesicht und tupft es dann vorsichtig mit einem Handtuch.</v>
      </c>
    </row>
    <row r="29584">
      <c r="A29584" s="4" t="s">
        <v>37253</v>
      </c>
      <c r="B29584" s="4" t="s">
        <v>37254</v>
      </c>
      <c r="C29584" s="5" t="str">
        <f>IFERROR(__xludf.DUMMYFUNCTION("GOOGLETRANSLATE(B29584,""en"",""de"")"),"Drei Mädchen trainieren in einem Haus.")</f>
        <v>Drei Mädchen trainieren in einem Haus.</v>
      </c>
    </row>
    <row r="29585">
      <c r="A29585" s="4" t="s">
        <v>37253</v>
      </c>
      <c r="B29585" s="4" t="s">
        <v>37255</v>
      </c>
      <c r="C29585" s="5" t="str">
        <f>IFERROR(__xludf.DUMMYFUNCTION("GOOGLETRANSLATE(B29585,""en"",""de"")"),"Die Mädchen tanzen, während sie springen, drehen und die Hüften bewegten.")</f>
        <v>Die Mädchen tanzen, während sie springen, drehen und die Hüften bewegten.</v>
      </c>
    </row>
    <row r="29586">
      <c r="A29586" s="4" t="s">
        <v>37253</v>
      </c>
      <c r="B29586" s="4" t="s">
        <v>37256</v>
      </c>
      <c r="C29586" s="5" t="str">
        <f>IFERROR(__xludf.DUMMYFUNCTION("GOOGLETRANSLATE(B29586,""en"",""de"")"),"Dann, die Mädchen, die eins nach einem zu Boden geworfen werden, stehen dann auf und tanzen weiter.")</f>
        <v>Dann, die Mädchen, die eins nach einem zu Boden geworfen werden, stehen dann auf und tanzen weiter.</v>
      </c>
    </row>
    <row r="29587">
      <c r="A29587" s="4" t="s">
        <v>37253</v>
      </c>
      <c r="B29587" s="4" t="s">
        <v>37257</v>
      </c>
      <c r="C29587" s="5" t="str">
        <f>IFERROR(__xludf.DUMMYFUNCTION("GOOGLETRANSLATE(B29587,""en"",""de"")"),"Danach knien zwei Mädchen und ein Kind steht auf den Beinen und hebt ihre Arme, nachdem die Mädchen ihre Leistung beendet haben.")</f>
        <v>Danach knien zwei Mädchen und ein Kind steht auf den Beinen und hebt ihre Arme, nachdem die Mädchen ihre Leistung beendet haben.</v>
      </c>
    </row>
    <row r="29588">
      <c r="A29588" s="4" t="s">
        <v>37258</v>
      </c>
      <c r="B29588" s="4" t="s">
        <v>37259</v>
      </c>
      <c r="C29588" s="5" t="str">
        <f>IFERROR(__xludf.DUMMYFUNCTION("GOOGLETRANSLATE(B29588,""en"",""de"")"),"Zwei Hunde gehen auf dem Bürgersteig, der von einem Seil befestigt ist.")</f>
        <v>Zwei Hunde gehen auf dem Bürgersteig, der von einem Seil befestigt ist.</v>
      </c>
    </row>
    <row r="29589">
      <c r="A29589" s="4" t="s">
        <v>37258</v>
      </c>
      <c r="B29589" s="4" t="s">
        <v>37260</v>
      </c>
      <c r="C29589" s="5" t="str">
        <f>IFERROR(__xludf.DUMMYFUNCTION("GOOGLETRANSLATE(B29589,""en"",""de"")"),"Zwei Leute gehen auf dem Bürgersteig neben ihnen.")</f>
        <v>Zwei Leute gehen auf dem Bürgersteig neben ihnen.</v>
      </c>
    </row>
    <row r="29590">
      <c r="A29590" s="4" t="s">
        <v>37258</v>
      </c>
      <c r="B29590" s="4" t="s">
        <v>37261</v>
      </c>
      <c r="C29590" s="5" t="str">
        <f>IFERROR(__xludf.DUMMYFUNCTION("GOOGLETRANSLATE(B29590,""en"",""de"")"),"Einer der Menschen trägt eine Wasserflasche.")</f>
        <v>Einer der Menschen trägt eine Wasserflasche.</v>
      </c>
    </row>
    <row r="29591">
      <c r="A29591" s="4" t="s">
        <v>37262</v>
      </c>
      <c r="B29591" s="4" t="s">
        <v>37263</v>
      </c>
      <c r="C29591" s="5" t="str">
        <f>IFERROR(__xludf.DUMMYFUNCTION("GOOGLETRANSLATE(B29591,""en"",""de"")"),"Ein Schatten ist auf dem Boden, der durch einen entworfenen Strauch verursacht wird.")</f>
        <v>Ein Schatten ist auf dem Boden, der durch einen entworfenen Strauch verursacht wird.</v>
      </c>
    </row>
    <row r="29592">
      <c r="A29592" s="4" t="s">
        <v>37262</v>
      </c>
      <c r="B29592" s="4" t="s">
        <v>37264</v>
      </c>
      <c r="C29592" s="5" t="str">
        <f>IFERROR(__xludf.DUMMYFUNCTION("GOOGLETRANSLATE(B29592,""en"",""de"")"),"Ein Mann wird im Freien gezeigt und zeigt seine Vielzahl von dekorativen Büschen in seinem Garten.")</f>
        <v>Ein Mann wird im Freien gezeigt und zeigt seine Vielzahl von dekorativen Büschen in seinem Garten.</v>
      </c>
    </row>
    <row r="29593">
      <c r="A29593" s="4" t="s">
        <v>37262</v>
      </c>
      <c r="B29593" s="4" t="s">
        <v>37265</v>
      </c>
      <c r="C29593" s="5" t="str">
        <f>IFERROR(__xludf.DUMMYFUNCTION("GOOGLETRANSLATE(B29593,""en"",""de"")"),"Er klammert sich und misst sie, um sicherzustellen, dass sie am besten aussehen.")</f>
        <v>Er klammert sich und misst sie, um sicherzustellen, dass sie am besten aussehen.</v>
      </c>
    </row>
    <row r="29594">
      <c r="A29594" s="4" t="s">
        <v>37262</v>
      </c>
      <c r="B29594" s="4" t="s">
        <v>37266</v>
      </c>
      <c r="C29594" s="5" t="str">
        <f>IFERROR(__xludf.DUMMYFUNCTION("GOOGLETRANSLATE(B29594,""en"",""de"")"),"Er findet zwei, die wie Boxer aussehen und vorgeben, sie zu kämpfen.")</f>
        <v>Er findet zwei, die wie Boxer aussehen und vorgeben, sie zu kämpfen.</v>
      </c>
    </row>
    <row r="29595">
      <c r="A29595" s="4" t="s">
        <v>37267</v>
      </c>
      <c r="B29595" s="4" t="s">
        <v>37268</v>
      </c>
      <c r="C29595" s="5" t="str">
        <f>IFERROR(__xludf.DUMMYFUNCTION("GOOGLETRANSLATE(B29595,""en"",""de"")"),"Eine Frau wird gesehen, wie sie mit Menschen in der Öffentlichkeit spricht, gefolgt von einem Mann, der sich den Mund auswäscht und ein anderes Mädchen küsst.")</f>
        <v>Eine Frau wird gesehen, wie sie mit Menschen in der Öffentlichkeit spricht, gefolgt von einem Mann, der sich den Mund auswäscht und ein anderes Mädchen küsst.</v>
      </c>
    </row>
    <row r="29596">
      <c r="A29596" s="4" t="s">
        <v>37267</v>
      </c>
      <c r="B29596" s="4" t="s">
        <v>37269</v>
      </c>
      <c r="C29596" s="5" t="str">
        <f>IFERROR(__xludf.DUMMYFUNCTION("GOOGLETRANSLATE(B29596,""en"",""de"")"),"Dann präsentiert er den Mund verschiedenen Menschen, die sich in Tagen ausbreiten und die Menschen über ihre Erfahrungen mit der Kamera sprechen.")</f>
        <v>Dann präsentiert er den Mund verschiedenen Menschen, die sich in Tagen ausbreiten und die Menschen über ihre Erfahrungen mit der Kamera sprechen.</v>
      </c>
    </row>
    <row r="29597">
      <c r="A29597" s="4" t="s">
        <v>37270</v>
      </c>
      <c r="B29597" s="4" t="s">
        <v>37271</v>
      </c>
      <c r="C29597" s="5" t="str">
        <f>IFERROR(__xludf.DUMMYFUNCTION("GOOGLETRANSLATE(B29597,""en"",""de"")"),"Wir sehen Ellen Tischtennis spielen.")</f>
        <v>Wir sehen Ellen Tischtennis spielen.</v>
      </c>
    </row>
    <row r="29598">
      <c r="A29598" s="4" t="s">
        <v>37270</v>
      </c>
      <c r="B29598" s="4" t="s">
        <v>37272</v>
      </c>
      <c r="C29598" s="5" t="str">
        <f>IFERROR(__xludf.DUMMYFUNCTION("GOOGLETRANSLATE(B29598,""en"",""de"")"),"Ein Tischtennisspieler kommt heraus.")</f>
        <v>Ein Tischtennisspieler kommt heraus.</v>
      </c>
    </row>
    <row r="29599">
      <c r="A29599" s="4" t="s">
        <v>37270</v>
      </c>
      <c r="B29599" s="4" t="s">
        <v>37273</v>
      </c>
      <c r="C29599" s="5" t="str">
        <f>IFERROR(__xludf.DUMMYFUNCTION("GOOGLETRANSLATE(B29599,""en"",""de"")"),"Das neue Match wird gespielt.")</f>
        <v>Das neue Match wird gespielt.</v>
      </c>
    </row>
    <row r="29600">
      <c r="A29600" s="4" t="s">
        <v>37270</v>
      </c>
      <c r="B29600" s="4" t="s">
        <v>37274</v>
      </c>
      <c r="C29600" s="5" t="str">
        <f>IFERROR(__xludf.DUMMYFUNCTION("GOOGLETRANSLATE(B29600,""en"",""de"")"),"Der Mann hält seine Arme aus.")</f>
        <v>Der Mann hält seine Arme aus.</v>
      </c>
    </row>
    <row r="29601">
      <c r="A29601" s="4" t="s">
        <v>37270</v>
      </c>
      <c r="B29601" s="4" t="s">
        <v>37275</v>
      </c>
      <c r="C29601" s="5" t="str">
        <f>IFERROR(__xludf.DUMMYFUNCTION("GOOGLETRANSLATE(B29601,""en"",""de"")"),"Ellen duckt sich in der Nähe des Tisches.")</f>
        <v>Ellen duckt sich in der Nähe des Tisches.</v>
      </c>
    </row>
    <row r="29602">
      <c r="A29602" s="4" t="s">
        <v>37270</v>
      </c>
      <c r="B29602" s="4" t="s">
        <v>37276</v>
      </c>
      <c r="C29602" s="5" t="str">
        <f>IFERROR(__xludf.DUMMYFUNCTION("GOOGLETRANSLATE(B29602,""en"",""de"")"),"Die Spieler geben die Hand, die Dame umarmt Ellen und lacht.")</f>
        <v>Die Spieler geben die Hand, die Dame umarmt Ellen und lacht.</v>
      </c>
    </row>
    <row r="29603">
      <c r="A29603" s="4" t="s">
        <v>37270</v>
      </c>
      <c r="B29603" s="4" t="s">
        <v>37277</v>
      </c>
      <c r="C29603" s="5" t="str">
        <f>IFERROR(__xludf.DUMMYFUNCTION("GOOGLETRANSLATE(B29603,""en"",""de"")"),"Wir sehen den Endbildschirm mit Ellen darauf.")</f>
        <v>Wir sehen den Endbildschirm mit Ellen darauf.</v>
      </c>
    </row>
    <row r="29604">
      <c r="A29604" s="4" t="s">
        <v>37278</v>
      </c>
      <c r="B29604" s="4" t="s">
        <v>37279</v>
      </c>
      <c r="C29604" s="5" t="str">
        <f>IFERROR(__xludf.DUMMYFUNCTION("GOOGLETRANSLATE(B29604,""en"",""de"")"),"Ein Mann fährt schnell am Hang.")</f>
        <v>Ein Mann fährt schnell am Hang.</v>
      </c>
    </row>
    <row r="29605">
      <c r="A29605" s="4" t="s">
        <v>37278</v>
      </c>
      <c r="B29605" s="4" t="s">
        <v>37280</v>
      </c>
      <c r="C29605" s="5" t="str">
        <f>IFERROR(__xludf.DUMMYFUNCTION("GOOGLETRANSLATE(B29605,""en"",""de"")"),"Er dreht sich, als er unterwegs zwischen anderen Skifahrern geht.")</f>
        <v>Er dreht sich, als er unterwegs zwischen anderen Skifahrern geht.</v>
      </c>
    </row>
    <row r="29606">
      <c r="A29606" s="4" t="s">
        <v>37278</v>
      </c>
      <c r="B29606" s="4" t="s">
        <v>37281</v>
      </c>
      <c r="C29606" s="5" t="str">
        <f>IFERROR(__xludf.DUMMYFUNCTION("GOOGLETRANSLATE(B29606,""en"",""de"")"),"Der Mann fährt fort, bis er fertig ist, sich dann an das Brett entfernt und sich anderen Skifahrern am Ruhestätte anschließt.")</f>
        <v>Der Mann fährt fort, bis er fertig ist, sich dann an das Brett entfernt und sich anderen Skifahrern am Ruhestätte anschließt.</v>
      </c>
    </row>
    <row r="29607">
      <c r="A29607" s="4" t="s">
        <v>37282</v>
      </c>
      <c r="B29607" s="4" t="s">
        <v>37283</v>
      </c>
      <c r="C29607" s="5" t="str">
        <f>IFERROR(__xludf.DUMMYFUNCTION("GOOGLETRANSLATE(B29607,""en"",""de"")"),"Eine Nahaufnahme zeigt, dass Blätter geblasen werden.")</f>
        <v>Eine Nahaufnahme zeigt, dass Blätter geblasen werden.</v>
      </c>
    </row>
    <row r="29608">
      <c r="A29608" s="4" t="s">
        <v>37282</v>
      </c>
      <c r="B29608" s="4" t="s">
        <v>37284</v>
      </c>
      <c r="C29608" s="5" t="str">
        <f>IFERROR(__xludf.DUMMYFUNCTION("GOOGLETRANSLATE(B29608,""en"",""de"")"),"Eine Person bläst Blätter mit einem Blattgebläse.")</f>
        <v>Eine Person bläst Blätter mit einem Blattgebläse.</v>
      </c>
    </row>
    <row r="29609">
      <c r="A29609" s="4" t="s">
        <v>37282</v>
      </c>
      <c r="B29609" s="4" t="s">
        <v>37285</v>
      </c>
      <c r="C29609" s="5" t="str">
        <f>IFERROR(__xludf.DUMMYFUNCTION("GOOGLETRANSLATE(B29609,""en"",""de"")"),"Sie blasen die Blätter weiter über den Hof.")</f>
        <v>Sie blasen die Blätter weiter über den Hof.</v>
      </c>
    </row>
    <row r="29610">
      <c r="A29610" s="4" t="s">
        <v>37286</v>
      </c>
      <c r="B29610" s="4" t="s">
        <v>37287</v>
      </c>
      <c r="C29610" s="5" t="str">
        <f>IFERROR(__xludf.DUMMYFUNCTION("GOOGLETRANSLATE(B29610,""en"",""de"")"),"Eine Frau fährt draußen einen Bürgersteig hinunter.")</f>
        <v>Eine Frau fährt draußen einen Bürgersteig hinunter.</v>
      </c>
    </row>
    <row r="29611">
      <c r="A29611" s="4" t="s">
        <v>37286</v>
      </c>
      <c r="B29611" s="4" t="s">
        <v>37288</v>
      </c>
      <c r="C29611" s="5" t="str">
        <f>IFERROR(__xludf.DUMMYFUNCTION("GOOGLETRANSLATE(B29611,""en"",""de"")"),"Sie rollt langsam an der Kamera vorbei.")</f>
        <v>Sie rollt langsam an der Kamera vorbei.</v>
      </c>
    </row>
    <row r="29612">
      <c r="A29612" s="4" t="s">
        <v>37286</v>
      </c>
      <c r="B29612" s="4" t="s">
        <v>37289</v>
      </c>
      <c r="C29612" s="5" t="str">
        <f>IFERROR(__xludf.DUMMYFUNCTION("GOOGLETRANSLATE(B29612,""en"",""de"")"),"Sie skaniert den Bürgersteig an der Ozeanrand.")</f>
        <v>Sie skaniert den Bürgersteig an der Ozeanrand.</v>
      </c>
    </row>
    <row r="29613">
      <c r="A29613" s="4" t="s">
        <v>37290</v>
      </c>
      <c r="B29613" s="4" t="s">
        <v>37291</v>
      </c>
      <c r="C29613" s="5" t="str">
        <f>IFERROR(__xludf.DUMMYFUNCTION("GOOGLETRANSLATE(B29613,""en"",""de"")"),"Eine Kamera schwenkt rund um ein Vakuum und zeigt die Füße einer Person.")</f>
        <v>Eine Kamera schwenkt rund um ein Vakuum und zeigt die Füße einer Person.</v>
      </c>
    </row>
    <row r="29614">
      <c r="A29614" s="4" t="s">
        <v>37290</v>
      </c>
      <c r="B29614" s="4" t="s">
        <v>37292</v>
      </c>
      <c r="C29614" s="5" t="str">
        <f>IFERROR(__xludf.DUMMYFUNCTION("GOOGLETRANSLATE(B29614,""en"",""de"")"),"Die Person geht mit dem Vakuum herum und schiebt es entlang eines Teppichs.")</f>
        <v>Die Person geht mit dem Vakuum herum und schiebt es entlang eines Teppichs.</v>
      </c>
    </row>
    <row r="29615">
      <c r="A29615" s="4" t="s">
        <v>37290</v>
      </c>
      <c r="B29615" s="4" t="s">
        <v>37293</v>
      </c>
      <c r="C29615" s="5" t="str">
        <f>IFERROR(__xludf.DUMMYFUNCTION("GOOGLETRANSLATE(B29615,""en"",""de"")"),"Weitere Aufnahmen werden von der Person angezeigt, die die Anhänge auf der Kamera verwendet und wie sie hergestellt wird.")</f>
        <v>Weitere Aufnahmen werden von der Person angezeigt, die die Anhänge auf der Kamera verwendet und wie sie hergestellt wird.</v>
      </c>
    </row>
    <row r="29616">
      <c r="A29616" s="4" t="s">
        <v>37294</v>
      </c>
      <c r="B29616" s="4" t="s">
        <v>37295</v>
      </c>
      <c r="C29616" s="5" t="str">
        <f>IFERROR(__xludf.DUMMYFUNCTION("GOOGLETRANSLATE(B29616,""en"",""de"")"),"Zwei junge Mädchen werden vor einer Wanne knien, während sie mit der Kamera sprechen.")</f>
        <v>Zwei junge Mädchen werden vor einer Wanne knien, während sie mit der Kamera sprechen.</v>
      </c>
    </row>
    <row r="29617">
      <c r="A29617" s="4" t="s">
        <v>37294</v>
      </c>
      <c r="B29617" s="4" t="s">
        <v>37296</v>
      </c>
      <c r="C29617" s="5" t="str">
        <f>IFERROR(__xludf.DUMMYFUNCTION("GOOGLETRANSLATE(B29617,""en"",""de"")"),"Die Mädchen halten ein Produkt hoch und messen es, gefolgt davon, indem sie es in den Mund stecken und es herumschwärmen.")</f>
        <v>Die Mädchen halten ein Produkt hoch und messen es, gefolgt davon, indem sie es in den Mund stecken und es herumschwärmen.</v>
      </c>
    </row>
    <row r="29618">
      <c r="A29618" s="4" t="s">
        <v>37294</v>
      </c>
      <c r="B29618" s="4" t="s">
        <v>37297</v>
      </c>
      <c r="C29618" s="5" t="str">
        <f>IFERROR(__xludf.DUMMYFUNCTION("GOOGLETRANSLATE(B29618,""en"",""de"")"),"Die Mädchen spucken dann die Flüssigkeit aus und sprechen weiter mit der Kamera.")</f>
        <v>Die Mädchen spucken dann die Flüssigkeit aus und sprechen weiter mit der Kamera.</v>
      </c>
    </row>
    <row r="29619">
      <c r="A29619" s="4" t="s">
        <v>37298</v>
      </c>
      <c r="B29619" s="4" t="s">
        <v>37299</v>
      </c>
      <c r="C29619" s="5" t="str">
        <f>IFERROR(__xludf.DUMMYFUNCTION("GOOGLETRANSLATE(B29619,""en"",""de"")"),"Ein junger Mann löst ein Würfelrätsel, während ein Mann auf ihm steht.")</f>
        <v>Ein junger Mann löst ein Würfelrätsel, während ein Mann auf ihm steht.</v>
      </c>
    </row>
    <row r="29620">
      <c r="A29620" s="4" t="s">
        <v>37298</v>
      </c>
      <c r="B29620" s="4" t="s">
        <v>37300</v>
      </c>
      <c r="C29620" s="5" t="str">
        <f>IFERROR(__xludf.DUMMYFUNCTION("GOOGLETRANSLATE(B29620,""en"",""de"")"),"Dann schreibt ein Mann auf eine Zeitung und zeigt den jungen Mann.")</f>
        <v>Dann schreibt ein Mann auf eine Zeitung und zeigt den jungen Mann.</v>
      </c>
    </row>
    <row r="29621">
      <c r="A29621" s="4" t="s">
        <v>37298</v>
      </c>
      <c r="B29621" s="4" t="s">
        <v>37301</v>
      </c>
      <c r="C29621" s="5" t="str">
        <f>IFERROR(__xludf.DUMMYFUNCTION("GOOGLETRANSLATE(B29621,""en"",""de"")"),"Der junge Mann löst wieder, das Puzzle ist weniger Zeit und der Mann nimmt es zur Kenntnis.")</f>
        <v>Der junge Mann löst wieder, das Puzzle ist weniger Zeit und der Mann nimmt es zur Kenntnis.</v>
      </c>
    </row>
    <row r="29622">
      <c r="A29622" s="4" t="s">
        <v>37298</v>
      </c>
      <c r="B29622" s="4" t="s">
        <v>37302</v>
      </c>
      <c r="C29622" s="5" t="str">
        <f>IFERROR(__xludf.DUMMYFUNCTION("GOOGLETRANSLATE(B29622,""en"",""de"")"),"Nachdem der junge Mann in kürzerer Zeit wieder zweimal das Rätsel löst.")</f>
        <v>Nachdem der junge Mann in kürzerer Zeit wieder zweimal das Rätsel löst.</v>
      </c>
    </row>
    <row r="29623">
      <c r="A29623" s="4" t="s">
        <v>37298</v>
      </c>
      <c r="B29623" s="4" t="s">
        <v>37303</v>
      </c>
      <c r="C29623" s="5" t="str">
        <f>IFERROR(__xludf.DUMMYFUNCTION("GOOGLETRANSLATE(B29623,""en"",""de"")"),"Am Ende löst der junge Mann das Rätsel in weniger Zeit als in den früheren Zeiten, er hebt glücklich von seinem Stuhl.")</f>
        <v>Am Ende löst der junge Mann das Rätsel in weniger Zeit als in den früheren Zeiten, er hebt glücklich von seinem Stuhl.</v>
      </c>
    </row>
    <row r="29624">
      <c r="A29624" s="4" t="s">
        <v>37304</v>
      </c>
      <c r="B29624" s="4" t="s">
        <v>37305</v>
      </c>
      <c r="C29624" s="5" t="str">
        <f>IFERROR(__xludf.DUMMYFUNCTION("GOOGLETRANSLATE(B29624,""en"",""de"")"),"Ein junges Mädchen sitzt auf einem Stuhl und wartet nervös.")</f>
        <v>Ein junges Mädchen sitzt auf einem Stuhl und wartet nervös.</v>
      </c>
    </row>
    <row r="29625">
      <c r="A29625" s="4" t="s">
        <v>37304</v>
      </c>
      <c r="B29625" s="4" t="s">
        <v>37306</v>
      </c>
      <c r="C29625" s="5" t="str">
        <f>IFERROR(__xludf.DUMMYFUNCTION("GOOGLETRANSLATE(B29625,""en"",""de"")"),"Die durchdringende Künstlerin malt einen Punkt über ihrer Lippe.")</f>
        <v>Die durchdringende Künstlerin malt einen Punkt über ihrer Lippe.</v>
      </c>
    </row>
    <row r="29626">
      <c r="A29626" s="4" t="s">
        <v>37304</v>
      </c>
      <c r="B29626" s="4" t="s">
        <v>37307</v>
      </c>
      <c r="C29626" s="5" t="str">
        <f>IFERROR(__xludf.DUMMYFUNCTION("GOOGLETRANSLATE(B29626,""en"",""de"")"),"Er saniert seine Werkzeuge und durchbohrt die Lippe des jungen Mädchens.")</f>
        <v>Er saniert seine Werkzeuge und durchbohrt die Lippe des jungen Mädchens.</v>
      </c>
    </row>
    <row r="29627">
      <c r="A29627" s="4" t="s">
        <v>37304</v>
      </c>
      <c r="B29627" s="4" t="s">
        <v>37308</v>
      </c>
      <c r="C29627" s="5" t="str">
        <f>IFERROR(__xludf.DUMMYFUNCTION("GOOGLETRANSLATE(B29627,""en"",""de"")"),"Er fügt einen Ring in das Piercing ein.")</f>
        <v>Er fügt einen Ring in das Piercing ein.</v>
      </c>
    </row>
    <row r="29628">
      <c r="A29628" s="4" t="s">
        <v>37304</v>
      </c>
      <c r="B29628" s="4" t="s">
        <v>37309</v>
      </c>
      <c r="C29628" s="5" t="str">
        <f>IFERROR(__xludf.DUMMYFUNCTION("GOOGLETRANSLATE(B29628,""en"",""de"")"),"Er zieht das Piercing fest und reinigt um das Piercing.")</f>
        <v>Er zieht das Piercing fest und reinigt um das Piercing.</v>
      </c>
    </row>
    <row r="29629">
      <c r="A29629" s="4" t="s">
        <v>37304</v>
      </c>
      <c r="B29629" s="4" t="s">
        <v>37310</v>
      </c>
      <c r="C29629" s="5" t="str">
        <f>IFERROR(__xludf.DUMMYFUNCTION("GOOGLETRANSLATE(B29629,""en"",""de"")"),"Das Mädchen schaut in einen Spiegel, der ihr von der durchdringenden Künstlerin übergeben wird und erfreut aussieht.")</f>
        <v>Das Mädchen schaut in einen Spiegel, der ihr von der durchdringenden Künstlerin übergeben wird und erfreut aussieht.</v>
      </c>
    </row>
    <row r="29630">
      <c r="A29630" s="4" t="s">
        <v>37311</v>
      </c>
      <c r="B29630" s="4" t="s">
        <v>37312</v>
      </c>
      <c r="C29630" s="5" t="str">
        <f>IFERROR(__xludf.DUMMYFUNCTION("GOOGLETRANSLATE(B29630,""en"",""de"")"),"Ein Kind schaltet sich auf einen Wasserhahn ein und beginnt mit dem Waschen von Geschirr in einer Spüle.")</f>
        <v>Ein Kind schaltet sich auf einen Wasserhahn ein und beginnt mit dem Waschen von Geschirr in einer Spüle.</v>
      </c>
    </row>
    <row r="29631">
      <c r="A29631" s="4" t="s">
        <v>37311</v>
      </c>
      <c r="B29631" s="4" t="s">
        <v>37313</v>
      </c>
      <c r="C29631" s="5" t="str">
        <f>IFERROR(__xludf.DUMMYFUNCTION("GOOGLETRANSLATE(B29631,""en"",""de"")"),"Das Kind schaltet das Wasser erneut aus und schrubbt das Geschirr und eine andere Person, die hereinkommt, um zu helfen.")</f>
        <v>Das Kind schaltet das Wasser erneut aus und schrubbt das Geschirr und eine andere Person, die hereinkommt, um zu helfen.</v>
      </c>
    </row>
    <row r="29632">
      <c r="A29632" s="4" t="s">
        <v>37314</v>
      </c>
      <c r="B29632" s="4" t="s">
        <v>37315</v>
      </c>
      <c r="C29632" s="5" t="str">
        <f>IFERROR(__xludf.DUMMYFUNCTION("GOOGLETRANSLATE(B29632,""en"",""de"")"),"Das Cherleader -Team, das lila Uniformen trägt, machen eine Choreografie in der Mitte eines Holzplatzes.")</f>
        <v>Das Cherleader -Team, das lila Uniformen trägt, machen eine Choreografie in der Mitte eines Holzplatzes.</v>
      </c>
    </row>
    <row r="29633">
      <c r="A29633" s="4" t="s">
        <v>37314</v>
      </c>
      <c r="B29633" s="4" t="s">
        <v>37316</v>
      </c>
      <c r="C29633" s="5" t="str">
        <f>IFERROR(__xludf.DUMMYFUNCTION("GOOGLETRANSLATE(B29633,""en"",""de"")"),"Viele Menschen sitzen auf dem Platz um den Platz.")</f>
        <v>Viele Menschen sitzen auf dem Platz um den Platz.</v>
      </c>
    </row>
    <row r="29634">
      <c r="A29634" s="4" t="s">
        <v>37314</v>
      </c>
      <c r="B29634" s="4" t="s">
        <v>37317</v>
      </c>
      <c r="C29634" s="5" t="str">
        <f>IFERROR(__xludf.DUMMYFUNCTION("GOOGLETRANSLATE(B29634,""en"",""de"")"),"Die Menschen gehen auf den Seiten des Holzplatzes in einem überdachten Fitnessstudio.")</f>
        <v>Die Menschen gehen auf den Seiten des Holzplatzes in einem überdachten Fitnessstudio.</v>
      </c>
    </row>
    <row r="29635">
      <c r="A29635" s="4" t="s">
        <v>37318</v>
      </c>
      <c r="B29635" s="4" t="s">
        <v>37319</v>
      </c>
      <c r="C29635" s="5" t="str">
        <f>IFERROR(__xludf.DUMMYFUNCTION("GOOGLETRANSLATE(B29635,""en"",""de"")"),"Wir sehen ein Mädchen, das sich darauf vorbereitet, in einem Innenpool zu tauchen.")</f>
        <v>Wir sehen ein Mädchen, das sich darauf vorbereitet, in einem Innenpool zu tauchen.</v>
      </c>
    </row>
    <row r="29636">
      <c r="A29636" s="4" t="s">
        <v>37318</v>
      </c>
      <c r="B29636" s="4" t="s">
        <v>37320</v>
      </c>
      <c r="C29636" s="5" t="str">
        <f>IFERROR(__xludf.DUMMYFUNCTION("GOOGLETRANSLATE(B29636,""en"",""de"")"),"Das Mädchen springt und steht vor der Größe.")</f>
        <v>Das Mädchen springt und steht vor der Größe.</v>
      </c>
    </row>
    <row r="29637">
      <c r="A29637" s="4" t="s">
        <v>37318</v>
      </c>
      <c r="B29637" s="4" t="s">
        <v>37321</v>
      </c>
      <c r="C29637" s="5" t="str">
        <f>IFERROR(__xludf.DUMMYFUNCTION("GOOGLETRANSLATE(B29637,""en"",""de"")"),"Das Mädchen dreht sich um und taucht ins Wasser ein.")</f>
        <v>Das Mädchen dreht sich um und taucht ins Wasser ein.</v>
      </c>
    </row>
    <row r="29638">
      <c r="A29638" s="4" t="s">
        <v>37318</v>
      </c>
      <c r="B29638" s="4" t="s">
        <v>37322</v>
      </c>
      <c r="C29638" s="5" t="str">
        <f>IFERROR(__xludf.DUMMYFUNCTION("GOOGLETRANSLATE(B29638,""en"",""de"")"),"Das Mädchen taucht auf und schwimmt bis zum Rand des Pools.")</f>
        <v>Das Mädchen taucht auf und schwimmt bis zum Rand des Pools.</v>
      </c>
    </row>
    <row r="29639">
      <c r="A29639" s="4" t="s">
        <v>37323</v>
      </c>
      <c r="B29639" s="4" t="s">
        <v>37324</v>
      </c>
      <c r="C29639" s="5" t="str">
        <f>IFERROR(__xludf.DUMMYFUNCTION("GOOGLETRANSLATE(B29639,""en"",""de"")"),"Das Video beginnt mit einem Logo der Lichtkathedralen.")</f>
        <v>Das Video beginnt mit einem Logo der Lichtkathedralen.</v>
      </c>
    </row>
    <row r="29640">
      <c r="A29640" s="4" t="s">
        <v>37323</v>
      </c>
      <c r="B29640" s="4" t="s">
        <v>37325</v>
      </c>
      <c r="C29640" s="5" t="str">
        <f>IFERROR(__xludf.DUMMYFUNCTION("GOOGLETRANSLATE(B29640,""en"",""de"")"),"Als nächstes wird eine Gruppe von Menschen gezeigt.")</f>
        <v>Als nächstes wird eine Gruppe von Menschen gezeigt.</v>
      </c>
    </row>
    <row r="29641">
      <c r="A29641" s="4" t="s">
        <v>37323</v>
      </c>
      <c r="B29641" s="4" t="s">
        <v>37326</v>
      </c>
      <c r="C29641" s="5" t="str">
        <f>IFERROR(__xludf.DUMMYFUNCTION("GOOGLETRANSLATE(B29641,""en"",""de"")"),"Dann werden die Menschen in einer Unterwasserwelt schwimmen.")</f>
        <v>Dann werden die Menschen in einer Unterwasserwelt schwimmen.</v>
      </c>
    </row>
    <row r="29642">
      <c r="A29642" s="4" t="s">
        <v>37323</v>
      </c>
      <c r="B29642" s="4" t="s">
        <v>37327</v>
      </c>
      <c r="C29642" s="5" t="str">
        <f>IFERROR(__xludf.DUMMYFUNCTION("GOOGLETRANSLATE(B29642,""en"",""de"")"),"Riffe und Gesteine ​​werden unter Wasser gezeigt.")</f>
        <v>Riffe und Gesteine ​​werden unter Wasser gezeigt.</v>
      </c>
    </row>
    <row r="29643">
      <c r="A29643" s="4" t="s">
        <v>37323</v>
      </c>
      <c r="B29643" s="4" t="s">
        <v>37328</v>
      </c>
      <c r="C29643" s="5" t="str">
        <f>IFERROR(__xludf.DUMMYFUNCTION("GOOGLETRANSLATE(B29643,""en"",""de"")"),"Taucher werden gezeigt, wie tief in das Wasser schwimmen und untersucht, was sich befindet.")</f>
        <v>Taucher werden gezeigt, wie tief in das Wasser schwimmen und untersucht, was sich befindet.</v>
      </c>
    </row>
    <row r="29644">
      <c r="A29644" s="4" t="s">
        <v>37329</v>
      </c>
      <c r="B29644" s="4" t="s">
        <v>37330</v>
      </c>
      <c r="C29644" s="5" t="str">
        <f>IFERROR(__xludf.DUMMYFUNCTION("GOOGLETRANSLATE(B29644,""en"",""de"")"),"Zwei Männer befinden sich neben dem Tisch mit blauen Hemden und Schweißhelmen.")</f>
        <v>Zwei Männer befinden sich neben dem Tisch mit blauen Hemden und Schweißhelmen.</v>
      </c>
    </row>
    <row r="29645">
      <c r="A29645" s="4" t="s">
        <v>37329</v>
      </c>
      <c r="B29645" s="4" t="s">
        <v>37331</v>
      </c>
      <c r="C29645" s="5" t="str">
        <f>IFERROR(__xludf.DUMMYFUNCTION("GOOGLETRANSLATE(B29645,""en"",""de"")"),"Der Mann hält eine Schweißmaschine und arbeitet an einem Metall, das Funken verursacht. Neben ihm befindet sich ein anderer Mann, der genau auf dem Metall schaut.")</f>
        <v>Der Mann hält eine Schweißmaschine und arbeitet an einem Metall, das Funken verursacht. Neben ihm befindet sich ein anderer Mann, der genau auf dem Metall schaut.</v>
      </c>
    </row>
    <row r="29646">
      <c r="A29646" s="4" t="s">
        <v>37329</v>
      </c>
      <c r="B29646" s="4" t="s">
        <v>37332</v>
      </c>
      <c r="C29646" s="5" t="str">
        <f>IFERROR(__xludf.DUMMYFUNCTION("GOOGLETRANSLATE(B29646,""en"",""de"")"),"Die Lichter leuchteten auf, der Mann steckt das Metall.")</f>
        <v>Die Lichter leuchteten auf, der Mann steckt das Metall.</v>
      </c>
    </row>
    <row r="29647">
      <c r="A29647" s="4" t="s">
        <v>37333</v>
      </c>
      <c r="B29647" s="4" t="s">
        <v>37334</v>
      </c>
      <c r="C29647" s="5" t="str">
        <f>IFERROR(__xludf.DUMMYFUNCTION("GOOGLETRANSLATE(B29647,""en"",""de"")"),"Ein Turner steht nervös auf ihren Start.")</f>
        <v>Ein Turner steht nervös auf ihren Start.</v>
      </c>
    </row>
    <row r="29648">
      <c r="A29648" s="4" t="s">
        <v>37333</v>
      </c>
      <c r="B29648" s="4" t="s">
        <v>37335</v>
      </c>
      <c r="C29648" s="5" t="str">
        <f>IFERROR(__xludf.DUMMYFUNCTION("GOOGLETRANSLATE(B29648,""en"",""de"")"),"Die Menge in der Arena beobachtet sie.")</f>
        <v>Die Menge in der Arena beobachtet sie.</v>
      </c>
    </row>
    <row r="29649">
      <c r="A29649" s="4" t="s">
        <v>37333</v>
      </c>
      <c r="B29649" s="4" t="s">
        <v>37336</v>
      </c>
      <c r="C29649" s="5" t="str">
        <f>IFERROR(__xludf.DUMMYFUNCTION("GOOGLETRANSLATE(B29649,""en"",""de"")"),"Sie steigt zu einer Bar und führt verschiedene Flips, Wagenräder aus und macht die Spaltungen mittel.")</f>
        <v>Sie steigt zu einer Bar und führt verschiedene Flips, Wagenräder aus und macht die Spaltungen mittel.</v>
      </c>
    </row>
    <row r="29650">
      <c r="A29650" s="4" t="s">
        <v>37333</v>
      </c>
      <c r="B29650" s="4" t="s">
        <v>37337</v>
      </c>
      <c r="C29650" s="5" t="str">
        <f>IFERROR(__xludf.DUMMYFUNCTION("GOOGLETRANSLATE(B29650,""en"",""de"")"),"Sie springt von der Bar und landet auf einer blauen Matte.")</f>
        <v>Sie springt von der Bar und landet auf einer blauen Matte.</v>
      </c>
    </row>
    <row r="29651">
      <c r="A29651" s="4" t="s">
        <v>37338</v>
      </c>
      <c r="B29651" s="4" t="s">
        <v>37339</v>
      </c>
      <c r="C29651" s="5" t="str">
        <f>IFERROR(__xludf.DUMMYFUNCTION("GOOGLETRANSLATE(B29651,""en"",""de"")"),"Das Auto einer Person wird aus mehreren Blickwinkeln mit einer Person im Inneren gezeigt und führt in das Auto, das mit Menschen im Inneren fährt.")</f>
        <v>Das Auto einer Person wird aus mehreren Blickwinkeln mit einer Person im Inneren gezeigt und führt in das Auto, das mit Menschen im Inneren fährt.</v>
      </c>
    </row>
    <row r="29652">
      <c r="A29652" s="4" t="s">
        <v>37338</v>
      </c>
      <c r="B29652" s="4" t="s">
        <v>37340</v>
      </c>
      <c r="C29652" s="5" t="str">
        <f>IFERROR(__xludf.DUMMYFUNCTION("GOOGLETRANSLATE(B29652,""en"",""de"")"),"Die Menschen werden dann in verschiedenen Winkeln gezeigt, die einen schneebedeckten Berg hinauffahren und einen Hügel hinuntergehen.")</f>
        <v>Die Menschen werden dann in verschiedenen Winkeln gezeigt, die einen schneebedeckten Berg hinauffahren und einen Hügel hinuntergehen.</v>
      </c>
    </row>
    <row r="29653">
      <c r="A29653" s="4" t="s">
        <v>37338</v>
      </c>
      <c r="B29653" s="4" t="s">
        <v>37341</v>
      </c>
      <c r="C29653" s="5" t="str">
        <f>IFERROR(__xludf.DUMMYFUNCTION("GOOGLETRANSLATE(B29653,""en"",""de"")"),"Nahaufnahmen der Gesichter der Menschen werden gezeigt, wenn sie mehrmals den Hügel hinauf und runter gehen und am Fuße eines Hügels landen.")</f>
        <v>Nahaufnahmen der Gesichter der Menschen werden gezeigt, wenn sie mehrmals den Hügel hinauf und runter gehen und am Fuße eines Hügels landen.</v>
      </c>
    </row>
    <row r="29654">
      <c r="A29654" s="4" t="s">
        <v>37342</v>
      </c>
      <c r="B29654" s="4" t="s">
        <v>37343</v>
      </c>
      <c r="C29654" s="5" t="str">
        <f>IFERROR(__xludf.DUMMYFUNCTION("GOOGLETRANSLATE(B29654,""en"",""de"")"),"Ein Mann ist auf einem Hügel und dreht sich in Kreisen um eine Scheibe.")</f>
        <v>Ein Mann ist auf einem Hügel und dreht sich in Kreisen um eine Scheibe.</v>
      </c>
    </row>
    <row r="29655">
      <c r="A29655" s="4" t="s">
        <v>37342</v>
      </c>
      <c r="B29655" s="4" t="s">
        <v>37344</v>
      </c>
      <c r="C29655" s="5" t="str">
        <f>IFERROR(__xludf.DUMMYFUNCTION("GOOGLETRANSLATE(B29655,""en"",""de"")"),"Er lässt die Scheibe los und beobachtet, wie sie fliegt.")</f>
        <v>Er lässt die Scheibe los und beobachtet, wie sie fliegt.</v>
      </c>
    </row>
    <row r="29656">
      <c r="A29656" s="4" t="s">
        <v>37342</v>
      </c>
      <c r="B29656" s="4" t="s">
        <v>37345</v>
      </c>
      <c r="C29656" s="5" t="str">
        <f>IFERROR(__xludf.DUMMYFUNCTION("GOOGLETRANSLATE(B29656,""en"",""de"")"),"Vor einer Gruppe von Menschen auf dem Feld wird eine Reihe von Discs gezeigt, die ihre eigene Disc auswählen.")</f>
        <v>Vor einer Gruppe von Menschen auf dem Feld wird eine Reihe von Discs gezeigt, die ihre eigene Disc auswählen.</v>
      </c>
    </row>
    <row r="29657">
      <c r="A29657" s="4" t="s">
        <v>37342</v>
      </c>
      <c r="B29657" s="4" t="s">
        <v>37346</v>
      </c>
      <c r="C29657" s="5" t="str">
        <f>IFERROR(__xludf.DUMMYFUNCTION("GOOGLETRANSLATE(B29657,""en"",""de"")"),"Die Leute werden nacheinander gezeigt, die die Discs werfen.")</f>
        <v>Die Leute werden nacheinander gezeigt, die die Discs werfen.</v>
      </c>
    </row>
    <row r="29658">
      <c r="A29658" s="4" t="s">
        <v>37342</v>
      </c>
      <c r="B29658" s="4" t="s">
        <v>37347</v>
      </c>
      <c r="C29658" s="5" t="str">
        <f>IFERROR(__xludf.DUMMYFUNCTION("GOOGLETRANSLATE(B29658,""en"",""de"")"),"Der Gewinner steht mit seiner Trophäe und schüttelt Menschen, die auf ihn zugehen.")</f>
        <v>Der Gewinner steht mit seiner Trophäe und schüttelt Menschen, die auf ihn zugehen.</v>
      </c>
    </row>
    <row r="29659">
      <c r="A29659" s="4" t="s">
        <v>37348</v>
      </c>
      <c r="B29659" s="4" t="s">
        <v>37349</v>
      </c>
      <c r="C29659" s="5" t="str">
        <f>IFERROR(__xludf.DUMMYFUNCTION("GOOGLETRANSLATE(B29659,""en"",""de"")"),"Verschiedene Clips werden von Lacrosse gezeigt, gefolgt von einem Mann, der den Stock hält und mit der Kamera spricht.")</f>
        <v>Verschiedene Clips werden von Lacrosse gezeigt, gefolgt von einem Mann, der den Stock hält und mit der Kamera spricht.</v>
      </c>
    </row>
    <row r="29660">
      <c r="A29660" s="4" t="s">
        <v>37348</v>
      </c>
      <c r="B29660" s="4" t="s">
        <v>37350</v>
      </c>
      <c r="C29660" s="5" t="str">
        <f>IFERROR(__xludf.DUMMYFUNCTION("GOOGLETRANSLATE(B29660,""en"",""de"")"),"Er bewegt den Stock rundum und zeigt, wie man richtig spielt.")</f>
        <v>Er bewegt den Stock rundum und zeigt, wie man richtig spielt.</v>
      </c>
    </row>
    <row r="29661">
      <c r="A29661" s="4" t="s">
        <v>37351</v>
      </c>
      <c r="B29661" s="4" t="s">
        <v>37352</v>
      </c>
      <c r="C29661" s="5" t="str">
        <f>IFERROR(__xludf.DUMMYFUNCTION("GOOGLETRANSLATE(B29661,""en"",""de"")"),"Ein kleines Mädchen tritt ihrer Mutter einen großen rosa Ball, der es fängt und ihn zurück tritt.")</f>
        <v>Ein kleines Mädchen tritt ihrer Mutter einen großen rosa Ball, der es fängt und ihn zurück tritt.</v>
      </c>
    </row>
    <row r="29662">
      <c r="A29662" s="4" t="s">
        <v>37351</v>
      </c>
      <c r="B29662" s="4" t="s">
        <v>37353</v>
      </c>
      <c r="C29662" s="5" t="str">
        <f>IFERROR(__xludf.DUMMYFUNCTION("GOOGLETRANSLATE(B29662,""en"",""de"")"),"Sie treten weiter und werfen den Ball gegenseitig, und ein Mann tritt ein.")</f>
        <v>Sie treten weiter und werfen den Ball gegenseitig, und ein Mann tritt ein.</v>
      </c>
    </row>
    <row r="29663">
      <c r="A29663" s="4" t="s">
        <v>37351</v>
      </c>
      <c r="B29663" s="4" t="s">
        <v>37354</v>
      </c>
      <c r="C29663" s="5" t="str">
        <f>IFERROR(__xludf.DUMMYFUNCTION("GOOGLETRANSLATE(B29663,""en"",""de"")"),"Das kleine Mädchen jagt den Ball hinunter und bringt ihn zurück.")</f>
        <v>Das kleine Mädchen jagt den Ball hinunter und bringt ihn zurück.</v>
      </c>
    </row>
    <row r="29664">
      <c r="A29664" s="4" t="s">
        <v>37355</v>
      </c>
      <c r="B29664" s="4" t="s">
        <v>37356</v>
      </c>
      <c r="C29664" s="5" t="str">
        <f>IFERROR(__xludf.DUMMYFUNCTION("GOOGLETRANSLATE(B29664,""en"",""de"")"),"Ein weiblicher Turner springt auf einen Balancestrahl und macht viele Tricks und flieht und landet wieder auf den Füßen.")</f>
        <v>Ein weiblicher Turner springt auf einen Balancestrahl und macht viele Tricks und flieht und landet wieder auf den Füßen.</v>
      </c>
    </row>
    <row r="29665">
      <c r="A29665" s="4" t="s">
        <v>37355</v>
      </c>
      <c r="B29665" s="4" t="s">
        <v>37357</v>
      </c>
      <c r="C29665" s="5" t="str">
        <f>IFERROR(__xludf.DUMMYFUNCTION("GOOGLETRANSLATE(B29665,""en"",""de"")"),"Der Turner macht zwei schöne Rücken nach hinten, während sie ihr Gleichgewicht halten und Präfekten an ihren Füßen landen.")</f>
        <v>Der Turner macht zwei schöne Rücken nach hinten, während sie ihr Gleichgewicht halten und Präfekten an ihren Füßen landen.</v>
      </c>
    </row>
    <row r="29666">
      <c r="A29666" s="4" t="s">
        <v>37355</v>
      </c>
      <c r="B29666" s="4" t="s">
        <v>37358</v>
      </c>
      <c r="C29666" s="5" t="str">
        <f>IFERROR(__xludf.DUMMYFUNCTION("GOOGLETRANSLATE(B29666,""en"",""de"")"),"Schließlich endet der weibliche Turner mit einem hohen zweimal den Balancestrahl in der Luft und landet auf dem Mattenpräfekt.")</f>
        <v>Schließlich endet der weibliche Turner mit einem hohen zweimal den Balancestrahl in der Luft und landet auf dem Mattenpräfekt.</v>
      </c>
    </row>
    <row r="29667">
      <c r="A29667" s="4" t="s">
        <v>37359</v>
      </c>
      <c r="B29667" s="4" t="s">
        <v>37360</v>
      </c>
      <c r="C29667" s="5" t="str">
        <f>IFERROR(__xludf.DUMMYFUNCTION("GOOGLETRANSLATE(B29667,""en"",""de"")"),"Ein Intro erscheint von einer Person, die vor Objekten auf einer Theke steht, und dann erscheint ein weißer Bildschirm mit einem Bild einer Eule und den Wörtern auf dem Bildschirm, die eine Website und die grauen Wörter ""Samurai Pro Messerschärfer"" enth"&amp;"alten.")</f>
        <v>Ein Intro erscheint von einer Person, die vor Objekten auf einer Theke steht, und dann erscheint ein weißer Bildschirm mit einem Bild einer Eule und den Wörtern auf dem Bildschirm, die eine Website und die grauen Wörter "Samurai Pro Messerschärfer" enthalten.</v>
      </c>
    </row>
    <row r="29668">
      <c r="A29668" s="4" t="s">
        <v>37359</v>
      </c>
      <c r="B29668" s="4" t="s">
        <v>37361</v>
      </c>
      <c r="C29668" s="5" t="str">
        <f>IFERROR(__xludf.DUMMYFUNCTION("GOOGLETRANSLATE(B29668,""en"",""de"")"),"Der Mann nimmt dann die beiden Messer in der Nähe seines Schneidebretts auf und zeigt, wie sie jeweils ein Stück grüne Zwiebel auf dem Schneidebrett schneiden, dann befestigt er den Scharfschalter an der Theke, leitet sein Messer ein paar Mal durch den Sp"&amp;"itzer, und geht dann zurück zum Zeigen zurück Wie es die grüne Zwiebel schneidet und wie die Klingen aussehen.")</f>
        <v>Der Mann nimmt dann die beiden Messer in der Nähe seines Schneidebretts auf und zeigt, wie sie jeweils ein Stück grüne Zwiebel auf dem Schneidebrett schneiden, dann befestigt er den Scharfschalter an der Theke, leitet sein Messer ein paar Mal durch den Spitzer, und geht dann zurück zum Zeigen zurück Wie es die grüne Zwiebel schneidet und wie die Klingen aussehen.</v>
      </c>
    </row>
    <row r="29669">
      <c r="A29669" s="4" t="s">
        <v>37359</v>
      </c>
      <c r="B29669" s="4" t="s">
        <v>37362</v>
      </c>
      <c r="C29669" s="5" t="str">
        <f>IFERROR(__xludf.DUMMYFUNCTION("GOOGLETRANSLATE(B29669,""en"",""de"")"),"Der Mann berührt, hält und zeigt der Kamera einen genaueren Blick auf den Spitzer.")</f>
        <v>Der Mann berührt, hält und zeigt der Kamera einen genaueren Blick auf den Spitzer.</v>
      </c>
    </row>
    <row r="29670">
      <c r="A29670" s="4" t="s">
        <v>37359</v>
      </c>
      <c r="B29670" s="4" t="s">
        <v>37363</v>
      </c>
      <c r="C29670" s="5" t="str">
        <f>IFERROR(__xludf.DUMMYFUNCTION("GOOGLETRANSLATE(B29670,""en"",""de"")"),"Das Outro ist eine Person, die die Eule und die Website mit Markierungen auf ein großes Stück Papier zeichnet, gibt einen Daumen hoch, wenn sie fertig sind darunter.")</f>
        <v>Das Outro ist eine Person, die die Eule und die Website mit Markierungen auf ein großes Stück Papier zeichnet, gibt einen Daumen hoch, wenn sie fertig sind darunter.</v>
      </c>
    </row>
    <row r="29671">
      <c r="A29671" s="4" t="s">
        <v>37364</v>
      </c>
      <c r="B29671" s="4" t="s">
        <v>37365</v>
      </c>
      <c r="C29671" s="5" t="str">
        <f>IFERROR(__xludf.DUMMYFUNCTION("GOOGLETRANSLATE(B29671,""en"",""de"")"),"Frauen halten einen Ball und drehen sich herum, bevor sie ihn auf das Feld werfen.")</f>
        <v>Frauen halten einen Ball und drehen sich herum, bevor sie ihn auf das Feld werfen.</v>
      </c>
    </row>
    <row r="29672">
      <c r="A29672" s="4" t="s">
        <v>37364</v>
      </c>
      <c r="B29672" s="4" t="s">
        <v>37366</v>
      </c>
      <c r="C29672" s="5" t="str">
        <f>IFERROR(__xludf.DUMMYFUNCTION("GOOGLETRANSLATE(B29672,""en"",""de"")"),"Ein Mann in einem roten Hemd hält einen Besen.")</f>
        <v>Ein Mann in einem roten Hemd hält einen Besen.</v>
      </c>
    </row>
    <row r="29673">
      <c r="A29673" s="4" t="s">
        <v>37364</v>
      </c>
      <c r="B29673" s="4" t="s">
        <v>37367</v>
      </c>
      <c r="C29673" s="5" t="str">
        <f>IFERROR(__xludf.DUMMYFUNCTION("GOOGLETRANSLATE(B29673,""en"",""de"")"),"Die Leute beobachten, wie sie die Eier werfen.")</f>
        <v>Die Leute beobachten, wie sie die Eier werfen.</v>
      </c>
    </row>
    <row r="29674">
      <c r="A29674" s="4" t="s">
        <v>37368</v>
      </c>
      <c r="B29674" s="4" t="s">
        <v>37369</v>
      </c>
      <c r="C29674" s="5" t="str">
        <f>IFERROR(__xludf.DUMMYFUNCTION("GOOGLETRANSLATE(B29674,""en"",""de"")"),"Es werden mehrere Bilder eines kahlen Mannes angezeigt, und dann erscheint er und wirft eine Kurvenball.")</f>
        <v>Es werden mehrere Bilder eines kahlen Mannes angezeigt, und dann erscheint er und wirft eine Kurvenball.</v>
      </c>
    </row>
    <row r="29675">
      <c r="A29675" s="4" t="s">
        <v>37368</v>
      </c>
      <c r="B29675" s="4" t="s">
        <v>37370</v>
      </c>
      <c r="C29675" s="5" t="str">
        <f>IFERROR(__xludf.DUMMYFUNCTION("GOOGLETRANSLATE(B29675,""en"",""de"")"),"Es werden mehrere Videos von verschiedenen Orten aus dem Kurvenball gezeigt, und der Ball geht fast in die Rinne, krümmt sich jedoch etwa zwei bis drei Fuß von den Bowlingstiften entfernt.")</f>
        <v>Es werden mehrere Videos von verschiedenen Orten aus dem Kurvenball gezeigt, und der Ball geht fast in die Rinne, krümmt sich jedoch etwa zwei bis drei Fuß von den Bowlingstiften entfernt.</v>
      </c>
    </row>
    <row r="29676">
      <c r="A29676" s="4" t="s">
        <v>37371</v>
      </c>
      <c r="B29676" s="4" t="s">
        <v>37372</v>
      </c>
      <c r="C29676" s="5" t="str">
        <f>IFERROR(__xludf.DUMMYFUNCTION("GOOGLETRANSLATE(B29676,""en"",""de"")"),"Ein Mann schießt mehrmals auf einer Fahrspur.")</f>
        <v>Ein Mann schießt mehrmals auf einer Fahrspur.</v>
      </c>
    </row>
    <row r="29677">
      <c r="A29677" s="4" t="s">
        <v>37371</v>
      </c>
      <c r="B29677" s="4" t="s">
        <v>37373</v>
      </c>
      <c r="C29677" s="5" t="str">
        <f>IFERROR(__xludf.DUMMYFUNCTION("GOOGLETRANSLATE(B29677,""en"",""de"")"),"Der Bildschirm des Score -Boards wird angezeigt.")</f>
        <v>Der Bildschirm des Score -Boards wird angezeigt.</v>
      </c>
    </row>
    <row r="29678">
      <c r="A29678" s="4" t="s">
        <v>37374</v>
      </c>
      <c r="B29678" s="4" t="s">
        <v>37375</v>
      </c>
      <c r="C29678" s="5" t="str">
        <f>IFERROR(__xludf.DUMMYFUNCTION("GOOGLETRANSLATE(B29678,""en"",""de"")"),"Eine Nahaufnahme eines Hundes ist zu sehen, der auf einen anderen Hund rennt.")</f>
        <v>Eine Nahaufnahme eines Hundes ist zu sehen, der auf einen anderen Hund rennt.</v>
      </c>
    </row>
    <row r="29679">
      <c r="A29679" s="4" t="s">
        <v>37374</v>
      </c>
      <c r="B29679" s="4" t="s">
        <v>37376</v>
      </c>
      <c r="C29679" s="5" t="str">
        <f>IFERROR(__xludf.DUMMYFUNCTION("GOOGLETRANSLATE(B29679,""en"",""de"")"),"Der große Hund führt dann den kleinen Hund an der Leine herum.")</f>
        <v>Der große Hund führt dann den kleinen Hund an der Leine herum.</v>
      </c>
    </row>
    <row r="29680">
      <c r="A29680" s="4" t="s">
        <v>37377</v>
      </c>
      <c r="B29680" s="4" t="s">
        <v>37378</v>
      </c>
      <c r="C29680" s="5" t="str">
        <f>IFERROR(__xludf.DUMMYFUNCTION("GOOGLETRANSLATE(B29680,""en"",""de"")"),"Dies ist ein Video -Tutorial zum Get -Box -Zöpfen.")</f>
        <v>Dies ist ein Video -Tutorial zum Get -Box -Zöpfen.</v>
      </c>
    </row>
    <row r="29681">
      <c r="A29681" s="4" t="s">
        <v>37377</v>
      </c>
      <c r="B29681" s="4" t="s">
        <v>37379</v>
      </c>
      <c r="C29681" s="5" t="str">
        <f>IFERROR(__xludf.DUMMYFUNCTION("GOOGLETRANSLATE(B29681,""en"",""de"")"),"Ein Bildschirm erscheint mit mehreren Websites und Social -Media -Adressen.")</f>
        <v>Ein Bildschirm erscheint mit mehreren Websites und Social -Media -Adressen.</v>
      </c>
    </row>
    <row r="29682">
      <c r="A29682" s="4" t="s">
        <v>37377</v>
      </c>
      <c r="B29682" s="4" t="s">
        <v>37380</v>
      </c>
      <c r="C29682" s="5" t="str">
        <f>IFERROR(__xludf.DUMMYFUNCTION("GOOGLETRANSLATE(B29682,""en"",""de"")"),"Es gibt Stills der Prozesse, um die Zöpfe auf einem Mädchen in einer rosa Jacke zu machen.")</f>
        <v>Es gibt Stills der Prozesse, um die Zöpfe auf einem Mädchen in einer rosa Jacke zu machen.</v>
      </c>
    </row>
    <row r="29683">
      <c r="A29683" s="4" t="s">
        <v>37377</v>
      </c>
      <c r="B29683" s="4" t="s">
        <v>37381</v>
      </c>
      <c r="C29683" s="5" t="str">
        <f>IFERROR(__xludf.DUMMYFUNCTION("GOOGLETRANSLATE(B29683,""en"",""de"")"),"Anschließend zeigt ein Video, wie der Prozess in der tatsächlichen Zeit mit einem Kamm aussieht, und wie die Tendenz der Zöpfe als Frau das Haar von Hand flechten.")</f>
        <v>Anschließend zeigt ein Video, wie der Prozess in der tatsächlichen Zeit mit einem Kamm aussieht, und wie die Tendenz der Zöpfe als Frau das Haar von Hand flechten.</v>
      </c>
    </row>
    <row r="29684">
      <c r="A29684" s="4" t="s">
        <v>37377</v>
      </c>
      <c r="B29684" s="4" t="s">
        <v>37382</v>
      </c>
      <c r="C29684" s="5" t="str">
        <f>IFERROR(__xludf.DUMMYFUNCTION("GOOGLETRANSLATE(B29684,""en"",""de"")"),"Dann gibt es einen Vorderblick auf das kleine Mädchen in Pink, als die Frau hinter ihr den Flechtenprozess an der Vorderseite ihres Kopfes endet.")</f>
        <v>Dann gibt es einen Vorderblick auf das kleine Mädchen in Pink, als die Frau hinter ihr den Flechtenprozess an der Vorderseite ihres Kopfes endet.</v>
      </c>
    </row>
    <row r="29685">
      <c r="A29685" s="4" t="s">
        <v>37377</v>
      </c>
      <c r="B29685" s="4" t="s">
        <v>37383</v>
      </c>
      <c r="C29685" s="5" t="str">
        <f>IFERROR(__xludf.DUMMYFUNCTION("GOOGLETRANSLATE(B29685,""en"",""de"")"),"Es gibt Bildschirmtext, die erwähnt, wie das Haar sechs Stunden später aussieht.")</f>
        <v>Es gibt Bildschirmtext, die erwähnt, wie das Haar sechs Stunden später aussieht.</v>
      </c>
    </row>
    <row r="29686">
      <c r="A29686" s="4" t="s">
        <v>37377</v>
      </c>
      <c r="B29686" s="4" t="s">
        <v>37384</v>
      </c>
      <c r="C29686" s="5" t="str">
        <f>IFERROR(__xludf.DUMMYFUNCTION("GOOGLETRANSLATE(B29686,""en"",""de"")"),"Dann gibt es immer noch Aufnahmen von den Ergebnissen ihrer Haare, die geflochten werden.")</f>
        <v>Dann gibt es immer noch Aufnahmen von den Ergebnissen ihrer Haare, die geflochten werden.</v>
      </c>
    </row>
    <row r="29687">
      <c r="A29687" s="4" t="s">
        <v>37385</v>
      </c>
      <c r="B29687" s="4" t="s">
        <v>37386</v>
      </c>
      <c r="C29687" s="5" t="str">
        <f>IFERROR(__xludf.DUMMYFUNCTION("GOOGLETRANSLATE(B29687,""en"",""de"")"),"Ein Wasserfall erscheint auf dem Bildschirm neben einem Fluss mit dem Titel ""H20 Adventures Savegre River"" überlagert.")</f>
        <v>Ein Wasserfall erscheint auf dem Bildschirm neben einem Fluss mit dem Titel "H20 Adventures Savegre River" überlagert.</v>
      </c>
    </row>
    <row r="29688">
      <c r="A29688" s="4" t="s">
        <v>37385</v>
      </c>
      <c r="B29688" s="4" t="s">
        <v>37387</v>
      </c>
      <c r="C29688" s="5" t="str">
        <f>IFERROR(__xludf.DUMMYFUNCTION("GOOGLETRANSLATE(B29688,""en"",""de"")"),"Eine Gruppe von Menschen geht über eine rote Sperre über dem Fluss.")</f>
        <v>Eine Gruppe von Menschen geht über eine rote Sperre über dem Fluss.</v>
      </c>
    </row>
    <row r="29689">
      <c r="A29689" s="4" t="s">
        <v>37385</v>
      </c>
      <c r="B29689" s="4" t="s">
        <v>37388</v>
      </c>
      <c r="C29689" s="5" t="str">
        <f>IFERROR(__xludf.DUMMYFUNCTION("GOOGLETRANSLATE(B29689,""en"",""de"")"),"Eine Gruppe von Menschen, die Lebenswesten tragen und Ruder halten, hören sich Anweisungen an.")</f>
        <v>Eine Gruppe von Menschen, die Lebenswesten tragen und Ruder halten, hören sich Anweisungen an.</v>
      </c>
    </row>
    <row r="29690">
      <c r="A29690" s="4" t="s">
        <v>37385</v>
      </c>
      <c r="B29690" s="4" t="s">
        <v>37389</v>
      </c>
      <c r="C29690" s="5" t="str">
        <f>IFERROR(__xludf.DUMMYFUNCTION("GOOGLETRANSLATE(B29690,""en"",""de"")"),"Gruppen von Menschen reihen aufblasbare Flöcke den schnellen Strom.")</f>
        <v>Gruppen von Menschen reihen aufblasbare Flöcke den schnellen Strom.</v>
      </c>
    </row>
    <row r="29691">
      <c r="A29691" s="4" t="s">
        <v>37385</v>
      </c>
      <c r="B29691" s="4" t="s">
        <v>37390</v>
      </c>
      <c r="C29691" s="5" t="str">
        <f>IFERROR(__xludf.DUMMYFUNCTION("GOOGLETRANSLATE(B29691,""en"",""de"")"),"Die Leute stehen an Land und trinken Getränke.")</f>
        <v>Die Leute stehen an Land und trinken Getränke.</v>
      </c>
    </row>
    <row r="29692">
      <c r="A29692" s="4" t="s">
        <v>37385</v>
      </c>
      <c r="B29692" s="4" t="s">
        <v>37391</v>
      </c>
      <c r="C29692" s="5" t="str">
        <f>IFERROR(__xludf.DUMMYFUNCTION("GOOGLETRANSLATE(B29692,""en"",""de"")"),"Video -Credits erscheinen auf dem Bildschirm über Video einer Eidechse auf einem Felsen.")</f>
        <v>Video -Credits erscheinen auf dem Bildschirm über Video einer Eidechse auf einem Felsen.</v>
      </c>
    </row>
    <row r="29693">
      <c r="A29693" s="4" t="s">
        <v>37385</v>
      </c>
      <c r="B29693" s="4" t="s">
        <v>37392</v>
      </c>
      <c r="C29693" s="5" t="str">
        <f>IFERROR(__xludf.DUMMYFUNCTION("GOOGLETRANSLATE(B29693,""en"",""de"")"),"Der Bildschirm wird nach dem Ende des Credits völlig schwarz.")</f>
        <v>Der Bildschirm wird nach dem Ende des Credits völlig schwarz.</v>
      </c>
    </row>
    <row r="29694">
      <c r="A29694" s="4" t="s">
        <v>37393</v>
      </c>
      <c r="B29694" s="4" t="s">
        <v>37394</v>
      </c>
      <c r="C29694" s="5" t="str">
        <f>IFERROR(__xludf.DUMMYFUNCTION("GOOGLETRANSLATE(B29694,""en"",""de"")"),"Ein paar Männer befinden sich auf einem Tennisplatz in Indoor.")</f>
        <v>Ein paar Männer befinden sich auf einem Tennisplatz in Indoor.</v>
      </c>
    </row>
    <row r="29695">
      <c r="A29695" s="4" t="s">
        <v>37393</v>
      </c>
      <c r="B29695" s="4" t="s">
        <v>37395</v>
      </c>
      <c r="C29695" s="5" t="str">
        <f>IFERROR(__xludf.DUMMYFUNCTION("GOOGLETRANSLATE(B29695,""en"",""de"")"),"Sie lohen den Ball über das Netz hin und her.")</f>
        <v>Sie lohen den Ball über das Netz hin und her.</v>
      </c>
    </row>
    <row r="29696">
      <c r="A29696" s="4" t="s">
        <v>37393</v>
      </c>
      <c r="B29696" s="4" t="s">
        <v>37396</v>
      </c>
      <c r="C29696" s="5" t="str">
        <f>IFERROR(__xludf.DUMMYFUNCTION("GOOGLETRANSLATE(B29696,""en"",""de"")"),"Sie schlugen den Ball zurück zueinander.")</f>
        <v>Sie schlugen den Ball zurück zueinander.</v>
      </c>
    </row>
    <row r="29697">
      <c r="A29697" s="4" t="s">
        <v>37397</v>
      </c>
      <c r="B29697" s="4" t="s">
        <v>37398</v>
      </c>
      <c r="C29697" s="5" t="str">
        <f>IFERROR(__xludf.DUMMYFUNCTION("GOOGLETRANSLATE(B29697,""en"",""de"")"),"Zwei Männer tanzen alternativ auf der Straße, während der Fußgänger- und Straßenverkehr vorbeikommt.")</f>
        <v>Zwei Männer tanzen alternativ auf der Straße, während der Fußgänger- und Straßenverkehr vorbeikommt.</v>
      </c>
    </row>
    <row r="29698">
      <c r="A29698" s="4" t="s">
        <v>37397</v>
      </c>
      <c r="B29698" s="4" t="s">
        <v>37399</v>
      </c>
      <c r="C29698" s="5" t="str">
        <f>IFERROR(__xludf.DUMMYFUNCTION("GOOGLETRANSLATE(B29698,""en"",""de"")"),"Zwei Frauen halten an, um die Tänzer zu beobachten.")</f>
        <v>Zwei Frauen halten an, um die Tänzer zu beobachten.</v>
      </c>
    </row>
    <row r="29699">
      <c r="A29699" s="4" t="s">
        <v>37397</v>
      </c>
      <c r="B29699" s="4" t="s">
        <v>37400</v>
      </c>
      <c r="C29699" s="5" t="str">
        <f>IFERROR(__xludf.DUMMYFUNCTION("GOOGLETRANSLATE(B29699,""en"",""de"")"),"Ein Mann und eine Frau hören auf, die Tänzer zu beobachten.")</f>
        <v>Ein Mann und eine Frau hören auf, die Tänzer zu beobachten.</v>
      </c>
    </row>
    <row r="29700">
      <c r="A29700" s="4" t="s">
        <v>37401</v>
      </c>
      <c r="B29700" s="4" t="s">
        <v>37402</v>
      </c>
      <c r="C29700" s="5" t="str">
        <f>IFERROR(__xludf.DUMMYFUNCTION("GOOGLETRANSLATE(B29700,""en"",""de"")"),"Ein Junge befindet sich in einem Outdoor -Netz.")</f>
        <v>Ein Junge befindet sich in einem Outdoor -Netz.</v>
      </c>
    </row>
    <row r="29701">
      <c r="A29701" s="4" t="s">
        <v>37401</v>
      </c>
      <c r="B29701" s="4" t="s">
        <v>37403</v>
      </c>
      <c r="C29701" s="5" t="str">
        <f>IFERROR(__xludf.DUMMYFUNCTION("GOOGLETRANSLATE(B29701,""en"",""de"")"),"Er schwingt sehr schnell mit einem Ball auf ein Seil.")</f>
        <v>Er schwingt sehr schnell mit einem Ball auf ein Seil.</v>
      </c>
    </row>
    <row r="29702">
      <c r="A29702" s="4" t="s">
        <v>37401</v>
      </c>
      <c r="B29702" s="4" t="s">
        <v>37404</v>
      </c>
      <c r="C29702" s="5" t="str">
        <f>IFERROR(__xludf.DUMMYFUNCTION("GOOGLETRANSLATE(B29702,""en"",""de"")"),"Er lässt es gehen und beobachtet, wie es über das Feld fliegt.")</f>
        <v>Er lässt es gehen und beobachtet, wie es über das Feld fliegt.</v>
      </c>
    </row>
    <row r="29703">
      <c r="A29703" s="4" t="s">
        <v>37405</v>
      </c>
      <c r="B29703" s="4" t="s">
        <v>37406</v>
      </c>
      <c r="C29703" s="5" t="str">
        <f>IFERROR(__xludf.DUMMYFUNCTION("GOOGLETRANSLATE(B29703,""en"",""de"")"),"Ein Junge, der auf der Vorderseite eines Buches tanzt und Credits beschreibt.")</f>
        <v>Ein Junge, der auf der Vorderseite eines Buches tanzt und Credits beschreibt.</v>
      </c>
    </row>
    <row r="29704">
      <c r="A29704" s="4" t="s">
        <v>37405</v>
      </c>
      <c r="B29704" s="4" t="s">
        <v>37407</v>
      </c>
      <c r="C29704" s="5" t="str">
        <f>IFERROR(__xludf.DUMMYFUNCTION("GOOGLETRANSLATE(B29704,""en"",""de"")"),"Der Junge sitzt in einem leeren Raum, der über seine Tanzbewegungen spricht.")</f>
        <v>Der Junge sitzt in einem leeren Raum, der über seine Tanzbewegungen spricht.</v>
      </c>
    </row>
    <row r="29705">
      <c r="A29705" s="4" t="s">
        <v>37405</v>
      </c>
      <c r="B29705" s="4" t="s">
        <v>37408</v>
      </c>
      <c r="C29705" s="5" t="str">
        <f>IFERROR(__xludf.DUMMYFUNCTION("GOOGLETRANSLATE(B29705,""en"",""de"")"),"Der Junge steht im Raum und zeigt eine Bewegung, die damit beginnt, seinen linken Fuß auszuschalten, während er sich langsam umdreht und den Rest der aktuellen Tanzbewegung zeigt.")</f>
        <v>Der Junge steht im Raum und zeigt eine Bewegung, die damit beginnt, seinen linken Fuß auszuschalten, während er sich langsam umdreht und den Rest der aktuellen Tanzbewegung zeigt.</v>
      </c>
    </row>
    <row r="29706">
      <c r="A29706" s="4" t="s">
        <v>37405</v>
      </c>
      <c r="B29706" s="4" t="s">
        <v>37409</v>
      </c>
      <c r="C29706" s="5" t="str">
        <f>IFERROR(__xludf.DUMMYFUNCTION("GOOGLETRANSLATE(B29706,""en"",""de"")"),"Als nächstes beginnt der Junge mit gleicher Bewegung, bewegt sich aber schneller.")</f>
        <v>Als nächstes beginnt der Junge mit gleicher Bewegung, bewegt sich aber schneller.</v>
      </c>
    </row>
    <row r="29707">
      <c r="A29707" s="4" t="s">
        <v>37405</v>
      </c>
      <c r="B29707" s="4" t="s">
        <v>37410</v>
      </c>
      <c r="C29707" s="5" t="str">
        <f>IFERROR(__xludf.DUMMYFUNCTION("GOOGLETRANSLATE(B29707,""en"",""de"")"),"Die Anweisungen zum Üben werden gezeigt, wenn der Junge im fast leeren Raum tanzt.")</f>
        <v>Die Anweisungen zum Üben werden gezeigt, wenn der Junge im fast leeren Raum tanzt.</v>
      </c>
    </row>
    <row r="29708">
      <c r="A29708" s="4" t="s">
        <v>37411</v>
      </c>
      <c r="B29708" s="4" t="s">
        <v>17353</v>
      </c>
      <c r="C29708" s="5" t="str">
        <f>IFERROR(__xludf.DUMMYFUNCTION("GOOGLETRANSLATE(B29708,""en"",""de"")"),"Die Menschen schweben in Röhren einen Fluss hinunter.")</f>
        <v>Die Menschen schweben in Röhren einen Fluss hinunter.</v>
      </c>
    </row>
    <row r="29709">
      <c r="A29709" s="4" t="s">
        <v>37411</v>
      </c>
      <c r="B29709" s="4" t="s">
        <v>37412</v>
      </c>
      <c r="C29709" s="5" t="str">
        <f>IFERROR(__xludf.DUMMYFUNCTION("GOOGLETRANSLATE(B29709,""en"",""de"")"),"Die Bäume sind über dem Wasser gezeigt.")</f>
        <v>Die Bäume sind über dem Wasser gezeigt.</v>
      </c>
    </row>
    <row r="29710">
      <c r="A29710" s="4" t="s">
        <v>37411</v>
      </c>
      <c r="B29710" s="4" t="s">
        <v>37413</v>
      </c>
      <c r="C29710" s="5" t="str">
        <f>IFERROR(__xludf.DUMMYFUNCTION("GOOGLETRANSLATE(B29710,""en"",""de"")"),"Ein Mann legt seine Hände hinter seinen Kopf.")</f>
        <v>Ein Mann legt seine Hände hinter seinen Kopf.</v>
      </c>
    </row>
    <row r="29711">
      <c r="A29711" s="4" t="s">
        <v>37414</v>
      </c>
      <c r="B29711" s="4" t="s">
        <v>37415</v>
      </c>
      <c r="C29711" s="5" t="str">
        <f>IFERROR(__xludf.DUMMYFUNCTION("GOOGLETRANSLATE(B29711,""en"",""de"")"),"Kinder fahren Stoßstangenautos in einem Karneval.")</f>
        <v>Kinder fahren Stoßstangenautos in einem Karneval.</v>
      </c>
    </row>
    <row r="29712">
      <c r="A29712" s="4" t="s">
        <v>37414</v>
      </c>
      <c r="B29712" s="4" t="s">
        <v>37416</v>
      </c>
      <c r="C29712" s="5" t="str">
        <f>IFERROR(__xludf.DUMMYFUNCTION("GOOGLETRANSLATE(B29712,""en"",""de"")"),"Die Kinder stecken in der Mitte fest, aber sie kostenlos und fahren.")</f>
        <v>Die Kinder stecken in der Mitte fest, aber sie kostenlos und fahren.</v>
      </c>
    </row>
    <row r="29713">
      <c r="A29713" s="4" t="s">
        <v>37414</v>
      </c>
      <c r="B29713" s="4" t="s">
        <v>37417</v>
      </c>
      <c r="C29713" s="5" t="str">
        <f>IFERROR(__xludf.DUMMYFUNCTION("GOOGLETRANSLATE(B29713,""en"",""de"")"),"Eine Frau schiebt einen Kinderwagen auf die Straße.")</f>
        <v>Eine Frau schiebt einen Kinderwagen auf die Straße.</v>
      </c>
    </row>
    <row r="29714">
      <c r="A29714" s="4" t="s">
        <v>37414</v>
      </c>
      <c r="B29714" s="4" t="s">
        <v>37418</v>
      </c>
      <c r="C29714" s="5" t="str">
        <f>IFERROR(__xludf.DUMMYFUNCTION("GOOGLETRANSLATE(B29714,""en"",""de"")"),"Kinder stoßen Autos und fahren herum.")</f>
        <v>Kinder stoßen Autos und fahren herum.</v>
      </c>
    </row>
    <row r="29715">
      <c r="A29715" s="4" t="s">
        <v>37414</v>
      </c>
      <c r="B29715" s="4" t="s">
        <v>37419</v>
      </c>
      <c r="C29715" s="5" t="str">
        <f>IFERROR(__xludf.DUMMYFUNCTION("GOOGLETRANSLATE(B29715,""en"",""de"")"),"Die Kinder steigen aus den Stoßstangenautos und gehen zum Ausgang.")</f>
        <v>Die Kinder steigen aus den Stoßstangenautos und gehen zum Ausgang.</v>
      </c>
    </row>
    <row r="29716">
      <c r="A29716" s="4" t="s">
        <v>37420</v>
      </c>
      <c r="B29716" s="4" t="s">
        <v>37421</v>
      </c>
      <c r="C29716" s="5" t="str">
        <f>IFERROR(__xludf.DUMMYFUNCTION("GOOGLETRANSLATE(B29716,""en"",""de"")"),"Eine Person schiebt einen schweren Ball auf den Boden, während sie eine Bürste an seiner linken Hand hält.")</f>
        <v>Eine Person schiebt einen schweren Ball auf den Boden, während sie eine Bürste an seiner linken Hand hält.</v>
      </c>
    </row>
    <row r="29717">
      <c r="A29717" s="4" t="s">
        <v>37420</v>
      </c>
      <c r="B29717" s="4" t="s">
        <v>37422</v>
      </c>
      <c r="C29717" s="5" t="str">
        <f>IFERROR(__xludf.DUMMYFUNCTION("GOOGLETRANSLATE(B29717,""en"",""de"")"),"Dann bürsten zwei Männer den Boden auf dem schweren Ball auf der Vorderseite, ohne ihn zu berühren.")</f>
        <v>Dann bürsten zwei Männer den Boden auf dem schweren Ball auf der Vorderseite, ohne ihn zu berühren.</v>
      </c>
    </row>
    <row r="29718">
      <c r="A29718" s="4" t="s">
        <v>37420</v>
      </c>
      <c r="B29718" s="4" t="s">
        <v>37423</v>
      </c>
      <c r="C29718" s="5" t="str">
        <f>IFERROR(__xludf.DUMMYFUNCTION("GOOGLETRANSLATE(B29718,""en"",""de"")"),"Die Leute spielen hinter der Person.")</f>
        <v>Die Leute spielen hinter der Person.</v>
      </c>
    </row>
    <row r="29719">
      <c r="A29719" s="4" t="s">
        <v>37420</v>
      </c>
      <c r="B29719" s="4" t="s">
        <v>37424</v>
      </c>
      <c r="C29719" s="5" t="str">
        <f>IFERROR(__xludf.DUMMYFUNCTION("GOOGLETRANSLATE(B29719,""en"",""de"")"),"Die gelbe Kugel erreicht die Mitte des roten Kreises.")</f>
        <v>Die gelbe Kugel erreicht die Mitte des roten Kreises.</v>
      </c>
    </row>
    <row r="29720">
      <c r="A29720" s="4" t="s">
        <v>37425</v>
      </c>
      <c r="B29720" s="4" t="s">
        <v>37426</v>
      </c>
      <c r="C29720" s="5" t="str">
        <f>IFERROR(__xludf.DUMMYFUNCTION("GOOGLETRANSLATE(B29720,""en"",""de"")"),"Ein Mann trägt einen roten Hut und eine Sonnenbrille.")</f>
        <v>Ein Mann trägt einen roten Hut und eine Sonnenbrille.</v>
      </c>
    </row>
    <row r="29721">
      <c r="A29721" s="4" t="s">
        <v>37425</v>
      </c>
      <c r="B29721" s="4" t="s">
        <v>37427</v>
      </c>
      <c r="C29721" s="5" t="str">
        <f>IFERROR(__xludf.DUMMYFUNCTION("GOOGLETRANSLATE(B29721,""en"",""de"")"),"Er wirft einen Pfeil vor sich.")</f>
        <v>Er wirft einen Pfeil vor sich.</v>
      </c>
    </row>
    <row r="29722">
      <c r="A29722" s="4" t="s">
        <v>37425</v>
      </c>
      <c r="B29722" s="4" t="s">
        <v>37428</v>
      </c>
      <c r="C29722" s="5" t="str">
        <f>IFERROR(__xludf.DUMMYFUNCTION("GOOGLETRANSLATE(B29722,""en"",""de"")"),"Er macht ein Bullen im Dart -Brett im Auge.")</f>
        <v>Er macht ein Bullen im Dart -Brett im Auge.</v>
      </c>
    </row>
    <row r="29723">
      <c r="A29723" s="4" t="s">
        <v>37429</v>
      </c>
      <c r="B29723" s="4" t="s">
        <v>37430</v>
      </c>
      <c r="C29723" s="5" t="str">
        <f>IFERROR(__xludf.DUMMYFUNCTION("GOOGLETRANSLATE(B29723,""en"",""de"")"),"Eine Kamera schwenkt um Gläser Limonade, gefolgt von einer Person, die Saft aus Zitronen drückt.")</f>
        <v>Eine Kamera schwenkt um Gläser Limonade, gefolgt von einer Person, die Saft aus Zitronen drückt.</v>
      </c>
    </row>
    <row r="29724">
      <c r="A29724" s="4" t="s">
        <v>37429</v>
      </c>
      <c r="B29724" s="4" t="s">
        <v>37431</v>
      </c>
      <c r="C29724" s="5" t="str">
        <f>IFERROR(__xludf.DUMMYFUNCTION("GOOGLETRANSLATE(B29724,""en"",""de"")"),"Die Person mischt verschiedene Zutaten in eine Schüssel und gießt sie in ein Glas.")</f>
        <v>Die Person mischt verschiedene Zutaten in eine Schüssel und gießt sie in ein Glas.</v>
      </c>
    </row>
    <row r="29725">
      <c r="A29725" s="4" t="s">
        <v>37429</v>
      </c>
      <c r="B29725" s="4" t="s">
        <v>37432</v>
      </c>
      <c r="C29725" s="5" t="str">
        <f>IFERROR(__xludf.DUMMYFUNCTION("GOOGLETRANSLATE(B29725,""en"",""de"")"),"Es werden mehrere Schüsse gezeigt, in denen die Brille gegossen und der Kamera präsentiert wird.")</f>
        <v>Es werden mehrere Schüsse gezeigt, in denen die Brille gegossen und der Kamera präsentiert wird.</v>
      </c>
    </row>
    <row r="29726">
      <c r="A29726" s="4" t="s">
        <v>37433</v>
      </c>
      <c r="B29726" s="4" t="s">
        <v>37434</v>
      </c>
      <c r="C29726" s="5" t="str">
        <f>IFERROR(__xludf.DUMMYFUNCTION("GOOGLETRANSLATE(B29726,""en"",""de"")"),"Ein Mann sitzt an einem Tisch und eine Frau bewegt eine Schachtel von ihm.")</f>
        <v>Ein Mann sitzt an einem Tisch und eine Frau bewegt eine Schachtel von ihm.</v>
      </c>
    </row>
    <row r="29727">
      <c r="A29727" s="4" t="s">
        <v>37433</v>
      </c>
      <c r="B29727" s="4" t="s">
        <v>37435</v>
      </c>
      <c r="C29727" s="5" t="str">
        <f>IFERROR(__xludf.DUMMYFUNCTION("GOOGLETRANSLATE(B29727,""en"",""de"")"),"Er legt seine Hände auf den Tisch und löst dann einen Rubix -Würfel.")</f>
        <v>Er legt seine Hände auf den Tisch und löst dann einen Rubix -Würfel.</v>
      </c>
    </row>
    <row r="29728">
      <c r="A29728" s="4" t="s">
        <v>37433</v>
      </c>
      <c r="B29728" s="4" t="s">
        <v>37436</v>
      </c>
      <c r="C29728" s="5" t="str">
        <f>IFERROR(__xludf.DUMMYFUNCTION("GOOGLETRANSLATE(B29728,""en"",""de"")"),"Der Timer fährt fort, als er den Würfel löst.")</f>
        <v>Der Timer fährt fort, als er den Würfel löst.</v>
      </c>
    </row>
    <row r="29729">
      <c r="A29729" s="4" t="s">
        <v>37437</v>
      </c>
      <c r="B29729" s="4" t="s">
        <v>37438</v>
      </c>
      <c r="C29729" s="5" t="str">
        <f>IFERROR(__xludf.DUMMYFUNCTION("GOOGLETRANSLATE(B29729,""en"",""de"")"),"Zwei Männer stehen in einem Segelboot auf dem Meer.")</f>
        <v>Zwei Männer stehen in einem Segelboot auf dem Meer.</v>
      </c>
    </row>
    <row r="29730">
      <c r="A29730" s="4" t="s">
        <v>37437</v>
      </c>
      <c r="B29730" s="4" t="s">
        <v>37439</v>
      </c>
      <c r="C29730" s="5" t="str">
        <f>IFERROR(__xludf.DUMMYFUNCTION("GOOGLETRANSLATE(B29730,""en"",""de"")"),"Der Mann steht in einem Dock mit einem Red Bull -Hemd und dann im Saillboat.")</f>
        <v>Der Mann steht in einem Dock mit einem Red Bull -Hemd und dann im Saillboat.</v>
      </c>
    </row>
    <row r="29731">
      <c r="A29731" s="4" t="s">
        <v>37437</v>
      </c>
      <c r="B29731" s="4" t="s">
        <v>37440</v>
      </c>
      <c r="C29731" s="5" t="str">
        <f>IFERROR(__xludf.DUMMYFUNCTION("GOOGLETRANSLATE(B29731,""en"",""de"")"),"Delfine schwimmen neben dem Boot.")</f>
        <v>Delfine schwimmen neben dem Boot.</v>
      </c>
    </row>
    <row r="29732">
      <c r="A29732" s="4" t="s">
        <v>37437</v>
      </c>
      <c r="B29732" s="4" t="s">
        <v>37441</v>
      </c>
      <c r="C29732" s="5" t="str">
        <f>IFERROR(__xludf.DUMMYFUNCTION("GOOGLETRANSLATE(B29732,""en"",""de"")"),"Die Menschen stehen an einem sonnigen Tag in einem Dock.")</f>
        <v>Die Menschen stehen an einem sonnigen Tag in einem Dock.</v>
      </c>
    </row>
    <row r="29733">
      <c r="A29733" s="4" t="s">
        <v>37442</v>
      </c>
      <c r="B29733" s="4" t="s">
        <v>37443</v>
      </c>
      <c r="C29733" s="5" t="str">
        <f>IFERROR(__xludf.DUMMYFUNCTION("GOOGLETRANSLATE(B29733,""en"",""de"")"),"Ein Mann kniet auf dem Eis mit einem anderen neben der Versteck, die aus einem Loch zieht.")</f>
        <v>Ein Mann kniet auf dem Eis mit einem anderen neben der Versteck, die aus einem Loch zieht.</v>
      </c>
    </row>
    <row r="29734">
      <c r="A29734" s="4" t="s">
        <v>37442</v>
      </c>
      <c r="B29734" s="4" t="s">
        <v>37444</v>
      </c>
      <c r="C29734" s="5" t="str">
        <f>IFERROR(__xludf.DUMMYFUNCTION("GOOGLETRANSLATE(B29734,""en"",""de"")"),"Sie ziehen weiterhin die Schnur, während der Mann neben ihm einen Haken schnappt.")</f>
        <v>Sie ziehen weiterhin die Schnur, während der Mann neben ihm einen Haken schnappt.</v>
      </c>
    </row>
    <row r="29735">
      <c r="A29735" s="4" t="s">
        <v>37442</v>
      </c>
      <c r="B29735" s="4" t="s">
        <v>37445</v>
      </c>
      <c r="C29735" s="5" t="str">
        <f>IFERROR(__xludf.DUMMYFUNCTION("GOOGLETRANSLATE(B29735,""en"",""de"")"),"Er legt den Haken in die Nähe des Lochs, aber der Mann schnappt sich einen Fisch an einer Schnur.")</f>
        <v>Er legt den Haken in die Nähe des Lochs, aber der Mann schnappt sich einen Fisch an einer Schnur.</v>
      </c>
    </row>
    <row r="29736">
      <c r="A29736" s="4" t="s">
        <v>37442</v>
      </c>
      <c r="B29736" s="4" t="s">
        <v>37446</v>
      </c>
      <c r="C29736" s="5" t="str">
        <f>IFERROR(__xludf.DUMMYFUNCTION("GOOGLETRANSLATE(B29736,""en"",""de"")"),"Der Fisch fällt herum und der Mann greift nach dem Fisch und hält ihn hoch.")</f>
        <v>Der Fisch fällt herum und der Mann greift nach dem Fisch und hält ihn hoch.</v>
      </c>
    </row>
    <row r="29737">
      <c r="A29737" s="4" t="s">
        <v>37447</v>
      </c>
      <c r="B29737" s="4" t="s">
        <v>37448</v>
      </c>
      <c r="C29737" s="5" t="str">
        <f>IFERROR(__xludf.DUMMYFUNCTION("GOOGLETRANSLATE(B29737,""en"",""de"")"),"Die Leute fahren in einem Karneval Stoßfängerautos.")</f>
        <v>Die Leute fahren in einem Karneval Stoßfängerautos.</v>
      </c>
    </row>
    <row r="29738">
      <c r="A29738" s="4" t="s">
        <v>37447</v>
      </c>
      <c r="B29738" s="4" t="s">
        <v>37449</v>
      </c>
      <c r="C29738" s="5" t="str">
        <f>IFERROR(__xludf.DUMMYFUNCTION("GOOGLETRANSLATE(B29738,""en"",""de"")"),"Ein kleines Mädchen folgt einem Jungen in einem gelben Stoßstangenauto.")</f>
        <v>Ein kleines Mädchen folgt einem Jungen in einem gelben Stoßstangenauto.</v>
      </c>
    </row>
    <row r="29739">
      <c r="A29739" s="4" t="s">
        <v>37447</v>
      </c>
      <c r="B29739" s="4" t="s">
        <v>37450</v>
      </c>
      <c r="C29739" s="5" t="str">
        <f>IFERROR(__xludf.DUMMYFUNCTION("GOOGLETRANSLATE(B29739,""en"",""de"")"),"Dann schlugen der Junge und das Mädchen andere Stoßfängerautos.")</f>
        <v>Dann schlugen der Junge und das Mädchen andere Stoßfängerautos.</v>
      </c>
    </row>
    <row r="29740">
      <c r="A29740" s="4" t="s">
        <v>37451</v>
      </c>
      <c r="B29740" s="4" t="s">
        <v>37452</v>
      </c>
      <c r="C29740" s="5" t="str">
        <f>IFERROR(__xludf.DUMMYFUNCTION("GOOGLETRANSLATE(B29740,""en"",""de"")"),"Eine Gruppe von Menschen ist auf Flößen, Weißwasser -Rafting durch felsige Gewässer.")</f>
        <v>Eine Gruppe von Menschen ist auf Flößen, Weißwasser -Rafting durch felsige Gewässer.</v>
      </c>
    </row>
    <row r="29741">
      <c r="A29741" s="4" t="s">
        <v>37451</v>
      </c>
      <c r="B29741" s="4" t="s">
        <v>37453</v>
      </c>
      <c r="C29741" s="5" t="str">
        <f>IFERROR(__xludf.DUMMYFUNCTION("GOOGLETRANSLATE(B29741,""en"",""de"")"),"Schließlich reisen sie durch das Wasser und schlagen am Ende einen riesigen Felsen und verlieren ihre Paddel.")</f>
        <v>Schließlich reisen sie durch das Wasser und schlagen am Ende einen riesigen Felsen und verlieren ihre Paddel.</v>
      </c>
    </row>
    <row r="29742">
      <c r="A29742" s="4" t="s">
        <v>37451</v>
      </c>
      <c r="B29742" s="4" t="s">
        <v>37454</v>
      </c>
      <c r="C29742" s="5" t="str">
        <f>IFERROR(__xludf.DUMMYFUNCTION("GOOGLETRANSLATE(B29742,""en"",""de"")"),"Danach gehen sie weiter durch felsige Teile des Wassers und rutschen kleine Hügel hinunter.")</f>
        <v>Danach gehen sie weiter durch felsige Teile des Wassers und rutschen kleine Hügel hinunter.</v>
      </c>
    </row>
    <row r="29743">
      <c r="A29743" s="4" t="s">
        <v>37455</v>
      </c>
      <c r="B29743" s="4" t="s">
        <v>37456</v>
      </c>
      <c r="C29743" s="5" t="str">
        <f>IFERROR(__xludf.DUMMYFUNCTION("GOOGLETRANSLATE(B29743,""en"",""de"")"),"Ein Reporter berichtet über eine Geschichte über Amputierte und Nicht -Amputes, die Ersatzlimeme mit fortschrittlicher Technologie oder als Beinleiter und Leistungsverstärker für Nicht -Amputes unter Verwendung von Beinleiter und Leistungsverstärkern beri"&amp;"chtet.")</f>
        <v>Ein Reporter berichtet über eine Geschichte über Amputierte und Nicht -Amputes, die Ersatzlimeme mit fortschrittlicher Technologie oder als Beinleiter und Leistungsverstärker für Nicht -Amputes unter Verwendung von Beinleiter und Leistungsverstärkern berichtet.</v>
      </c>
    </row>
    <row r="29744">
      <c r="A29744" s="4" t="s">
        <v>37455</v>
      </c>
      <c r="B29744" s="4" t="s">
        <v>37457</v>
      </c>
      <c r="C29744" s="5" t="str">
        <f>IFERROR(__xludf.DUMMYFUNCTION("GOOGLETRANSLATE(B29744,""en"",""de"")"),"Ein Reporter sitzt während einer Nachrichtensendung an einem Reportertisch, bevor die Clips an Personen, die die Extremitätstechnologie tragen, schneidet.")</f>
        <v>Ein Reporter sitzt während einer Nachrichtensendung an einem Reportertisch, bevor die Clips an Personen, die die Extremitätstechnologie tragen, schneidet.</v>
      </c>
    </row>
    <row r="29745">
      <c r="A29745" s="4" t="s">
        <v>37455</v>
      </c>
      <c r="B29745" s="4" t="s">
        <v>37458</v>
      </c>
      <c r="C29745" s="5" t="str">
        <f>IFERROR(__xludf.DUMMYFUNCTION("GOOGLETRANSLATE(B29745,""en"",""de"")"),"Mehrere Clips von Männern, die keine Amputierten -Amputierten -Extender -Beine tragen, werden mit den Läufen und der auf der Straße abprallende Themen angezeigt.")</f>
        <v>Mehrere Clips von Männern, die keine Amputierten -Amputierten -Extender -Beine tragen, werden mit den Läufen und der auf der Straße abprallende Themen angezeigt.</v>
      </c>
    </row>
    <row r="29746">
      <c r="A29746" s="4" t="s">
        <v>37459</v>
      </c>
      <c r="B29746" s="4" t="s">
        <v>37460</v>
      </c>
      <c r="C29746" s="5" t="str">
        <f>IFERROR(__xludf.DUMMYFUNCTION("GOOGLETRANSLATE(B29746,""en"",""de"")"),"Hulk Hogan spricht mit der Kamera, während er seine Arme hochhält und ein anderer Mann steht im Hintergrund.")</f>
        <v>Hulk Hogan spricht mit der Kamera, während er seine Arme hochhält und ein anderer Mann steht im Hintergrund.</v>
      </c>
    </row>
    <row r="29747">
      <c r="A29747" s="4" t="s">
        <v>37459</v>
      </c>
      <c r="B29747" s="4" t="s">
        <v>37461</v>
      </c>
      <c r="C29747" s="5" t="str">
        <f>IFERROR(__xludf.DUMMYFUNCTION("GOOGLETRANSLATE(B29747,""en"",""de"")"),"Der Mann spricht weiter mit der Kamera und führt in Klammern eines Jungenarms und einem anderen Mann, der seinen Arm hochhält.")</f>
        <v>Der Mann spricht weiter mit der Kamera und führt in Klammern eines Jungenarms und einem anderen Mann, der seinen Arm hochhält.</v>
      </c>
    </row>
    <row r="29748">
      <c r="A29748" s="4" t="s">
        <v>37462</v>
      </c>
      <c r="B29748" s="4" t="s">
        <v>37463</v>
      </c>
      <c r="C29748" s="5" t="str">
        <f>IFERROR(__xludf.DUMMYFUNCTION("GOOGLETRANSLATE(B29748,""en"",""de"")"),"Ein asiatischer Mann steht auf einem harten Holzboden und beginnt zu reden und beginnt einen Dreh auf seinem Kopf zu machen.")</f>
        <v>Ein asiatischer Mann steht auf einem harten Holzboden und beginnt zu reden und beginnt einen Dreh auf seinem Kopf zu machen.</v>
      </c>
    </row>
    <row r="29749">
      <c r="A29749" s="4" t="s">
        <v>37462</v>
      </c>
      <c r="B29749" s="4" t="s">
        <v>37464</v>
      </c>
      <c r="C29749" s="5" t="str">
        <f>IFERROR(__xludf.DUMMYFUNCTION("GOOGLETRANSLATE(B29749,""en"",""de"")"),"Nach dem Clip kommt er zurück und zeigt, wie Sie Ihre Hände richtig auf den Boden legen können.")</f>
        <v>Nach dem Clip kommt er zurück und zeigt, wie Sie Ihre Hände richtig auf den Boden legen können.</v>
      </c>
    </row>
    <row r="29750">
      <c r="A29750" s="4" t="s">
        <v>37462</v>
      </c>
      <c r="B29750" s="4" t="s">
        <v>37465</v>
      </c>
      <c r="C29750" s="5" t="str">
        <f>IFERROR(__xludf.DUMMYFUNCTION("GOOGLETRANSLATE(B29750,""en"",""de"")"),"Während er weitergeht, greift er eine Mütze und legt sie auf seine Hand, damit er leichter wird.")</f>
        <v>Während er weitergeht, greift er eine Mütze und legt sie auf seine Hand, damit er leichter wird.</v>
      </c>
    </row>
    <row r="29751">
      <c r="A29751" s="4" t="s">
        <v>37462</v>
      </c>
      <c r="B29751" s="4" t="s">
        <v>37466</v>
      </c>
      <c r="C29751" s="5" t="str">
        <f>IFERROR(__xludf.DUMMYFUNCTION("GOOGLETRANSLATE(B29751,""en"",""de"")"),"Der Mann macht dann die Wendung kontinuierlich und zeigt die Cricketposition, bevor er zurückkommt, um erneut zu sprechen.")</f>
        <v>Der Mann macht dann die Wendung kontinuierlich und zeigt die Cricketposition, bevor er zurückkommt, um erneut zu sprechen.</v>
      </c>
    </row>
    <row r="29752">
      <c r="A29752" s="4" t="s">
        <v>37467</v>
      </c>
      <c r="B29752" s="4" t="s">
        <v>37468</v>
      </c>
      <c r="C29752" s="5" t="str">
        <f>IFERROR(__xludf.DUMMYFUNCTION("GOOGLETRANSLATE(B29752,""en"",""de"")"),"Der Mann schweißt eine Metallmaschine in einem Raum.")</f>
        <v>Der Mann schweißt eine Metallmaschine in einem Raum.</v>
      </c>
    </row>
    <row r="29753">
      <c r="A29753" s="4" t="s">
        <v>37467</v>
      </c>
      <c r="B29753" s="4" t="s">
        <v>37469</v>
      </c>
      <c r="C29753" s="5" t="str">
        <f>IFERROR(__xludf.DUMMYFUNCTION("GOOGLETRANSLATE(B29753,""en"",""de"")"),"Der Mensch spricht mit der Kamera und hält eine Emery in einem Maschinenraum.")</f>
        <v>Der Mensch spricht mit der Kamera und hält eine Emery in einem Maschinenraum.</v>
      </c>
    </row>
    <row r="29754">
      <c r="A29754" s="4" t="s">
        <v>37470</v>
      </c>
      <c r="B29754" s="4" t="s">
        <v>37471</v>
      </c>
      <c r="C29754" s="5" t="str">
        <f>IFERROR(__xludf.DUMMYFUNCTION("GOOGLETRANSLATE(B29754,""en"",""de"")"),"Eine Gruppe von Männern ist um einen Tisch zu sehen, an dem mehr Männer sitzen und sprechen.")</f>
        <v>Eine Gruppe von Männern ist um einen Tisch zu sehen, an dem mehr Männer sitzen und sprechen.</v>
      </c>
    </row>
    <row r="29755">
      <c r="A29755" s="4" t="s">
        <v>37470</v>
      </c>
      <c r="B29755" s="4" t="s">
        <v>37472</v>
      </c>
      <c r="C29755" s="5" t="str">
        <f>IFERROR(__xludf.DUMMYFUNCTION("GOOGLETRANSLATE(B29755,""en"",""de"")"),"Schließlich tuckern zwei Männer ein Bier nach einer Reihe von mehr Männern, die ihr Bier trinken.")</f>
        <v>Schließlich tuckern zwei Männer ein Bier nach einer Reihe von mehr Männern, die ihr Bier trinken.</v>
      </c>
    </row>
    <row r="29756">
      <c r="A29756" s="4" t="s">
        <v>37470</v>
      </c>
      <c r="B29756" s="4" t="s">
        <v>37473</v>
      </c>
      <c r="C29756" s="5" t="str">
        <f>IFERROR(__xludf.DUMMYFUNCTION("GOOGLETRANSLATE(B29756,""en"",""de"")"),"Die Männer beenden ihre Biere und lachen und begrüßen sich gegenseitig, während viele an den Seiten zuschauen.")</f>
        <v>Die Männer beenden ihre Biere und lachen und begrüßen sich gegenseitig, während viele an den Seiten zuschauen.</v>
      </c>
    </row>
    <row r="29757">
      <c r="A29757" s="4" t="s">
        <v>37474</v>
      </c>
      <c r="B29757" s="4" t="s">
        <v>37475</v>
      </c>
      <c r="C29757" s="5" t="str">
        <f>IFERROR(__xludf.DUMMYFUNCTION("GOOGLETRANSLATE(B29757,""en"",""de"")"),"Mehrere Personen spielen im Wasser ein Spiel und der Mann wirft einen orangefarbenen Ball zu einer Person.")</f>
        <v>Mehrere Personen spielen im Wasser ein Spiel und der Mann wirft einen orangefarbenen Ball zu einer Person.</v>
      </c>
    </row>
    <row r="29758">
      <c r="A29758" s="4" t="s">
        <v>37474</v>
      </c>
      <c r="B29758" s="4" t="s">
        <v>37476</v>
      </c>
      <c r="C29758" s="5" t="str">
        <f>IFERROR(__xludf.DUMMYFUNCTION("GOOGLETRANSLATE(B29758,""en"",""de"")"),"Die Person nimmt dann den Ball und wirft ihn dem Mann, der neben dem Tor sitzt.")</f>
        <v>Die Person nimmt dann den Ball und wirft ihn dem Mann, der neben dem Tor sitzt.</v>
      </c>
    </row>
    <row r="29759">
      <c r="A29759" s="4" t="s">
        <v>37474</v>
      </c>
      <c r="B29759" s="4" t="s">
        <v>37477</v>
      </c>
      <c r="C29759" s="5" t="str">
        <f>IFERROR(__xludf.DUMMYFUNCTION("GOOGLETRANSLATE(B29759,""en"",""de"")"),"Dann bewegt er sich auf die andere Seite des Pools und greift nach dem Ziel.")</f>
        <v>Dann bewegt er sich auf die andere Seite des Pools und greift nach dem Ziel.</v>
      </c>
    </row>
    <row r="29760">
      <c r="A29760" s="4" t="s">
        <v>37478</v>
      </c>
      <c r="B29760" s="4" t="s">
        <v>37479</v>
      </c>
      <c r="C29760" s="5" t="str">
        <f>IFERROR(__xludf.DUMMYFUNCTION("GOOGLETRANSLATE(B29760,""en"",""de"")"),"Ein Mann sitzt neben einem Schreibtisch, an dem ein Fitnessausrüstungsstück platziert ist.")</f>
        <v>Ein Mann sitzt neben einem Schreibtisch, an dem ein Fitnessausrüstungsstück platziert ist.</v>
      </c>
    </row>
    <row r="29761">
      <c r="A29761" s="4" t="s">
        <v>37478</v>
      </c>
      <c r="B29761" s="4" t="s">
        <v>37480</v>
      </c>
      <c r="C29761" s="5" t="str">
        <f>IFERROR(__xludf.DUMMYFUNCTION("GOOGLETRANSLATE(B29761,""en"",""de"")"),"Der Mann zeigt die Pedale der Ausrüstung sowie einen Timer auf der Ausrüstung.")</f>
        <v>Der Mann zeigt die Pedale der Ausrüstung sowie einen Timer auf der Ausrüstung.</v>
      </c>
    </row>
    <row r="29762">
      <c r="A29762" s="4" t="s">
        <v>37478</v>
      </c>
      <c r="B29762" s="4" t="s">
        <v>37481</v>
      </c>
      <c r="C29762" s="5" t="str">
        <f>IFERROR(__xludf.DUMMYFUNCTION("GOOGLETRANSLATE(B29762,""en"",""de"")"),"Eine Frau wird auf der Ausrüstung laufen.")</f>
        <v>Eine Frau wird auf der Ausrüstung laufen.</v>
      </c>
    </row>
    <row r="29763">
      <c r="A29763" s="4" t="s">
        <v>37478</v>
      </c>
      <c r="B29763" s="4" t="s">
        <v>37482</v>
      </c>
      <c r="C29763" s="5" t="str">
        <f>IFERROR(__xludf.DUMMYFUNCTION("GOOGLETRANSLATE(B29763,""en"",""de"")"),"Ein Mann zieht die Fitnessausrüstung unter einem Schreibtisch.")</f>
        <v>Ein Mann zieht die Fitnessausrüstung unter einem Schreibtisch.</v>
      </c>
    </row>
    <row r="29764">
      <c r="A29764" s="4" t="s">
        <v>37478</v>
      </c>
      <c r="B29764" s="4" t="s">
        <v>37483</v>
      </c>
      <c r="C29764" s="5" t="str">
        <f>IFERROR(__xludf.DUMMYFUNCTION("GOOGLETRANSLATE(B29764,""en"",""de"")"),"Der Mann wird wieder vom Schreibtisch gesehen und spricht über die Fitnessausrüstung.")</f>
        <v>Der Mann wird wieder vom Schreibtisch gesehen und spricht über die Fitnessausrüstung.</v>
      </c>
    </row>
    <row r="29765">
      <c r="A29765" s="4" t="s">
        <v>37484</v>
      </c>
      <c r="B29765" s="4" t="s">
        <v>37485</v>
      </c>
      <c r="C29765" s="5" t="str">
        <f>IFERROR(__xludf.DUMMYFUNCTION("GOOGLETRANSLATE(B29765,""en"",""de"")"),"Ein Screenshot einer Frau, die einen blauen Overall trägt, steht in einer Pose mit zwei Schlagstöcken und weißen Worten auf der Mitte des Bildschirms.")</f>
        <v>Ein Screenshot einer Frau, die einen blauen Overall trägt, steht in einer Pose mit zwei Schlagstöcken und weißen Worten auf der Mitte des Bildschirms.</v>
      </c>
    </row>
    <row r="29766">
      <c r="A29766" s="4" t="s">
        <v>37484</v>
      </c>
      <c r="B29766" s="4" t="s">
        <v>37486</v>
      </c>
      <c r="C29766" s="5" t="str">
        <f>IFERROR(__xludf.DUMMYFUNCTION("GOOGLETRANSLATE(B29766,""en"",""de"")"),"Die Frau steht jetzt auf einem Boden mit vielen farbenfrohen Linien und Schlägen und beginnt ihre 2 Staffelroutine, die viel Wirbeln, Spinnen und Werfen und Fangen der Schlagstöcke umfasst.")</f>
        <v>Die Frau steht jetzt auf einem Boden mit vielen farbenfrohen Linien und Schlägen und beginnt ihre 2 Staffelroutine, die viel Wirbeln, Spinnen und Werfen und Fangen der Schlagstöcke umfasst.</v>
      </c>
    </row>
    <row r="29767">
      <c r="A29767" s="4" t="s">
        <v>37484</v>
      </c>
      <c r="B29767" s="4" t="s">
        <v>37487</v>
      </c>
      <c r="C29767" s="5" t="str">
        <f>IFERROR(__xludf.DUMMYFUNCTION("GOOGLETRANSLATE(B29767,""en"",""de"")"),"Fast am Ende ihrer Routine lässt die Frau den Staffelstab zweimal fallen, nimmt sie auf und macht ihre Routine bis zum Ende weiter.")</f>
        <v>Fast am Ende ihrer Routine lässt die Frau den Staffelstab zweimal fallen, nimmt sie auf und macht ihre Routine bis zum Ende weiter.</v>
      </c>
    </row>
    <row r="29768">
      <c r="A29768" s="4" t="s">
        <v>37488</v>
      </c>
      <c r="B29768" s="4" t="s">
        <v>37489</v>
      </c>
      <c r="C29768" s="5" t="str">
        <f>IFERROR(__xludf.DUMMYFUNCTION("GOOGLETRANSLATE(B29768,""en"",""de"")"),"Eine Dame spricht mit zwei Kürbissen auf einem Tisch.")</f>
        <v>Eine Dame spricht mit zwei Kürbissen auf einem Tisch.</v>
      </c>
    </row>
    <row r="29769">
      <c r="A29769" s="4" t="s">
        <v>37488</v>
      </c>
      <c r="B29769" s="4" t="s">
        <v>37490</v>
      </c>
      <c r="C29769" s="5" t="str">
        <f>IFERROR(__xludf.DUMMYFUNCTION("GOOGLETRANSLATE(B29769,""en"",""de"")"),"Eine Frau zeigt ihre Handfläche.")</f>
        <v>Eine Frau zeigt ihre Handfläche.</v>
      </c>
    </row>
    <row r="29770">
      <c r="A29770" s="4" t="s">
        <v>37488</v>
      </c>
      <c r="B29770" s="4" t="s">
        <v>37491</v>
      </c>
      <c r="C29770" s="5" t="str">
        <f>IFERROR(__xludf.DUMMYFUNCTION("GOOGLETRANSLATE(B29770,""en"",""de"")"),"Eine Person schnitzt einen Kürbis.")</f>
        <v>Eine Person schnitzt einen Kürbis.</v>
      </c>
    </row>
    <row r="29771">
      <c r="A29771" s="4" t="s">
        <v>37488</v>
      </c>
      <c r="B29771" s="4" t="s">
        <v>37492</v>
      </c>
      <c r="C29771" s="5" t="str">
        <f>IFERROR(__xludf.DUMMYFUNCTION("GOOGLETRANSLATE(B29771,""en"",""de"")"),"Ein Frauen gibt ein Interview über Carving Kit.")</f>
        <v>Ein Frauen gibt ein Interview über Carving Kit.</v>
      </c>
    </row>
    <row r="29772">
      <c r="A29772" s="4" t="s">
        <v>37488</v>
      </c>
      <c r="B29772" s="4" t="s">
        <v>37493</v>
      </c>
      <c r="C29772" s="5" t="str">
        <f>IFERROR(__xludf.DUMMYFUNCTION("GOOGLETRANSLATE(B29772,""en"",""de"")"),"Kinder halten Kürbisse mit Lächeln im Gesicht.")</f>
        <v>Kinder halten Kürbisse mit Lächeln im Gesicht.</v>
      </c>
    </row>
    <row r="29773">
      <c r="A29773" s="4" t="s">
        <v>37488</v>
      </c>
      <c r="B29773" s="4" t="s">
        <v>37494</v>
      </c>
      <c r="C29773" s="5" t="str">
        <f>IFERROR(__xludf.DUMMYFUNCTION("GOOGLETRANSLATE(B29773,""en"",""de"")"),"Ein Mann zieht die Oberseite eines Kürbis aus.")</f>
        <v>Ein Mann zieht die Oberseite eines Kürbis aus.</v>
      </c>
    </row>
    <row r="29774">
      <c r="A29774" s="4" t="s">
        <v>37488</v>
      </c>
      <c r="B29774" s="4" t="s">
        <v>37495</v>
      </c>
      <c r="C29774" s="5" t="str">
        <f>IFERROR(__xludf.DUMMYFUNCTION("GOOGLETRANSLATE(B29774,""en"",""de"")"),"Die Dame präsentiert ein Messer und ein kleineres Messer.")</f>
        <v>Die Dame präsentiert ein Messer und ein kleineres Messer.</v>
      </c>
    </row>
    <row r="29775">
      <c r="A29775" s="4" t="s">
        <v>37488</v>
      </c>
      <c r="B29775" s="4" t="s">
        <v>37496</v>
      </c>
      <c r="C29775" s="5" t="str">
        <f>IFERROR(__xludf.DUMMYFUNCTION("GOOGLETRANSLATE(B29775,""en"",""de"")"),"Zwei Menschen sitzen mit Papieren vor sich.")</f>
        <v>Zwei Menschen sitzen mit Papieren vor sich.</v>
      </c>
    </row>
    <row r="29776">
      <c r="A29776" s="4" t="s">
        <v>37497</v>
      </c>
      <c r="B29776" s="4" t="s">
        <v>37498</v>
      </c>
      <c r="C29776" s="5" t="str">
        <f>IFERROR(__xludf.DUMMYFUNCTION("GOOGLETRANSLATE(B29776,""en"",""de"")"),"Ein Mann im Schweißhemd wäscht Teller und Tassen in einem Waschbecken mit Seifenwasser.")</f>
        <v>Ein Mann im Schweißhemd wäscht Teller und Tassen in einem Waschbecken mit Seifenwasser.</v>
      </c>
    </row>
    <row r="29777">
      <c r="A29777" s="4" t="s">
        <v>37497</v>
      </c>
      <c r="B29777" s="4" t="s">
        <v>37499</v>
      </c>
      <c r="C29777" s="5" t="str">
        <f>IFERROR(__xludf.DUMMYFUNCTION("GOOGLETRANSLATE(B29777,""en"",""de"")"),"Der Mann nimmt Silber in das Waschbecken ein und wäscht sie ab.")</f>
        <v>Der Mann nimmt Silber in das Waschbecken ein und wäscht sie ab.</v>
      </c>
    </row>
    <row r="29778">
      <c r="A29778" s="4" t="s">
        <v>37497</v>
      </c>
      <c r="B29778" s="4" t="s">
        <v>37500</v>
      </c>
      <c r="C29778" s="5" t="str">
        <f>IFERROR(__xludf.DUMMYFUNCTION("GOOGLETRANSLATE(B29778,""en"",""de"")"),"Der Mann wäscht Töpfe und ein Schneidebrett.")</f>
        <v>Der Mann wäscht Töpfe und ein Schneidebrett.</v>
      </c>
    </row>
    <row r="29779">
      <c r="A29779" s="4" t="s">
        <v>37497</v>
      </c>
      <c r="B29779" s="4" t="s">
        <v>37501</v>
      </c>
      <c r="C29779" s="5" t="str">
        <f>IFERROR(__xludf.DUMMYFUNCTION("GOOGLETRANSLATE(B29779,""en"",""de"")"),"Der Mann wäscht ein Gadget der Kaffeepresse.")</f>
        <v>Der Mann wäscht ein Gadget der Kaffeepresse.</v>
      </c>
    </row>
    <row r="29780">
      <c r="A29780" s="4" t="s">
        <v>37497</v>
      </c>
      <c r="B29780" s="4" t="s">
        <v>37502</v>
      </c>
      <c r="C29780" s="5" t="str">
        <f>IFERROR(__xludf.DUMMYFUNCTION("GOOGLETRANSLATE(B29780,""en"",""de"")"),"Der Mann schaltet das Wasser aus und lässt die Spüle ab.")</f>
        <v>Der Mann schaltet das Wasser aus und lässt die Spüle ab.</v>
      </c>
    </row>
    <row r="29781">
      <c r="A29781" s="4" t="s">
        <v>37503</v>
      </c>
      <c r="B29781" s="4" t="s">
        <v>37504</v>
      </c>
      <c r="C29781" s="5" t="str">
        <f>IFERROR(__xludf.DUMMYFUNCTION("GOOGLETRANSLATE(B29781,""en"",""de"")"),"Die Menschen sitzen am Rande des Wassers.")</f>
        <v>Die Menschen sitzen am Rande des Wassers.</v>
      </c>
    </row>
    <row r="29782">
      <c r="A29782" s="4" t="s">
        <v>37503</v>
      </c>
      <c r="B29782" s="4" t="s">
        <v>37505</v>
      </c>
      <c r="C29782" s="5" t="str">
        <f>IFERROR(__xludf.DUMMYFUNCTION("GOOGLETRANSLATE(B29782,""en"",""de"")"),"Ein Typ hackt etwas auf den Boden.")</f>
        <v>Ein Typ hackt etwas auf den Boden.</v>
      </c>
    </row>
    <row r="29783">
      <c r="A29783" s="4" t="s">
        <v>37503</v>
      </c>
      <c r="B29783" s="4" t="s">
        <v>37506</v>
      </c>
      <c r="C29783" s="5" t="str">
        <f>IFERROR(__xludf.DUMMYFUNCTION("GOOGLETRANSLATE(B29783,""en"",""de"")"),"Eine Frau steht auf und geht weg.")</f>
        <v>Eine Frau steht auf und geht weg.</v>
      </c>
    </row>
    <row r="29784">
      <c r="A29784" s="4" t="s">
        <v>37507</v>
      </c>
      <c r="B29784" s="4" t="s">
        <v>37508</v>
      </c>
      <c r="C29784" s="5" t="str">
        <f>IFERROR(__xludf.DUMMYFUNCTION("GOOGLETRANSLATE(B29784,""en"",""de"")"),"Es wird ein Pflegeraum gezeigt und drei Menschen waschen verschiedene Hunde.")</f>
        <v>Es wird ein Pflegeraum gezeigt und drei Menschen waschen verschiedene Hunde.</v>
      </c>
    </row>
    <row r="29785">
      <c r="A29785" s="4" t="s">
        <v>37507</v>
      </c>
      <c r="B29785" s="4" t="s">
        <v>37509</v>
      </c>
      <c r="C29785" s="5" t="str">
        <f>IFERROR(__xludf.DUMMYFUNCTION("GOOGLETRANSLATE(B29785,""en"",""de"")"),"Andere Räume werden gezeigt, und die Hunde werden weiterhin gepflegt und legen sich auf den Boden und warten auf ihre Reihe.")</f>
        <v>Andere Räume werden gezeigt, und die Hunde werden weiterhin gepflegt und legen sich auf den Boden und warten auf ihre Reihe.</v>
      </c>
    </row>
    <row r="29786">
      <c r="A29786" s="4" t="s">
        <v>37507</v>
      </c>
      <c r="B29786" s="4" t="s">
        <v>37510</v>
      </c>
      <c r="C29786" s="5" t="str">
        <f>IFERROR(__xludf.DUMMYFUNCTION("GOOGLETRANSLATE(B29786,""en"",""de"")"),"Danach verlässt die Kamera die Rückseite des Büros und der Empfangsbereich wird angezeigt.")</f>
        <v>Danach verlässt die Kamera die Rückseite des Büros und der Empfangsbereich wird angezeigt.</v>
      </c>
    </row>
    <row r="29787">
      <c r="A29787" s="4" t="s">
        <v>37511</v>
      </c>
      <c r="B29787" s="4" t="s">
        <v>37512</v>
      </c>
      <c r="C29787" s="5" t="str">
        <f>IFERROR(__xludf.DUMMYFUNCTION("GOOGLETRANSLATE(B29787,""en"",""de"")"),"Die Leute paddeln Ruder in einem blauen Floß.")</f>
        <v>Die Leute paddeln Ruder in einem blauen Floß.</v>
      </c>
    </row>
    <row r="29788">
      <c r="A29788" s="4" t="s">
        <v>37511</v>
      </c>
      <c r="B29788" s="4" t="s">
        <v>37513</v>
      </c>
      <c r="C29788" s="5" t="str">
        <f>IFERROR(__xludf.DUMMYFUNCTION("GOOGLETRANSLATE(B29788,""en"",""de"")"),"Sie gehen über eine Welle im Wasser.")</f>
        <v>Sie gehen über eine Welle im Wasser.</v>
      </c>
    </row>
    <row r="29789">
      <c r="A29789" s="4" t="s">
        <v>37511</v>
      </c>
      <c r="B29789" s="4" t="s">
        <v>37514</v>
      </c>
      <c r="C29789" s="5" t="str">
        <f>IFERROR(__xludf.DUMMYFUNCTION("GOOGLETRANSLATE(B29789,""en"",""de"")"),"Sie gehen weiter den Fluss hinunter.")</f>
        <v>Sie gehen weiter den Fluss hinunter.</v>
      </c>
    </row>
    <row r="29790">
      <c r="A29790" s="4" t="s">
        <v>37515</v>
      </c>
      <c r="B29790" s="4" t="s">
        <v>37516</v>
      </c>
      <c r="C29790" s="5" t="str">
        <f>IFERROR(__xludf.DUMMYFUNCTION("GOOGLETRANSLATE(B29790,""en"",""de"")"),"Ein Mann sitzt auf einem Stuhl in einem Friseursalon.")</f>
        <v>Ein Mann sitzt auf einem Stuhl in einem Friseursalon.</v>
      </c>
    </row>
    <row r="29791">
      <c r="A29791" s="4" t="s">
        <v>37515</v>
      </c>
      <c r="B29791" s="4" t="s">
        <v>37517</v>
      </c>
      <c r="C29791" s="5" t="str">
        <f>IFERROR(__xludf.DUMMYFUNCTION("GOOGLETRANSLATE(B29791,""en"",""de"")"),"Er bekommt einen Haarschnitt von einem Friseur, der ein blaues Kleid trägt.")</f>
        <v>Er bekommt einen Haarschnitt von einem Friseur, der ein blaues Kleid trägt.</v>
      </c>
    </row>
    <row r="29792">
      <c r="A29792" s="4" t="s">
        <v>37515</v>
      </c>
      <c r="B29792" s="4" t="s">
        <v>37518</v>
      </c>
      <c r="C29792" s="5" t="str">
        <f>IFERROR(__xludf.DUMMYFUNCTION("GOOGLETRANSLATE(B29792,""en"",""de"")"),"Der Mann sitzt mit einer Kamera in der Hand.")</f>
        <v>Der Mann sitzt mit einer Kamera in der Hand.</v>
      </c>
    </row>
    <row r="29793">
      <c r="A29793" s="4" t="s">
        <v>37515</v>
      </c>
      <c r="B29793" s="4" t="s">
        <v>37519</v>
      </c>
      <c r="C29793" s="5" t="str">
        <f>IFERROR(__xludf.DUMMYFUNCTION("GOOGLETRANSLATE(B29793,""en"",""de"")"),"Der Friseur beendet sich das Schneiden der Haare und tritt dann zurück.")</f>
        <v>Der Friseur beendet sich das Schneiden der Haare und tritt dann zurück.</v>
      </c>
    </row>
    <row r="29794">
      <c r="A29794" s="4" t="s">
        <v>37520</v>
      </c>
      <c r="B29794" s="4" t="s">
        <v>37521</v>
      </c>
      <c r="C29794" s="5" t="str">
        <f>IFERROR(__xludf.DUMMYFUNCTION("GOOGLETRANSLATE(B29794,""en"",""de"")"),"Ein kniender Mann versucht ein Feuer zu beginnen, während mehrere andere weiterschauen.")</f>
        <v>Ein kniender Mann versucht ein Feuer zu beginnen, während mehrere andere weiterschauen.</v>
      </c>
    </row>
    <row r="29795">
      <c r="A29795" s="4" t="s">
        <v>37520</v>
      </c>
      <c r="B29795" s="4" t="s">
        <v>37522</v>
      </c>
      <c r="C29795" s="5" t="str">
        <f>IFERROR(__xludf.DUMMYFUNCTION("GOOGLETRANSLATE(B29795,""en"",""de"")"),"Einer der Zuschauer geht kurz weg.")</f>
        <v>Einer der Zuschauer geht kurz weg.</v>
      </c>
    </row>
    <row r="29796">
      <c r="A29796" s="4" t="s">
        <v>37520</v>
      </c>
      <c r="B29796" s="4" t="s">
        <v>37523</v>
      </c>
      <c r="C29796" s="5" t="str">
        <f>IFERROR(__xludf.DUMMYFUNCTION("GOOGLETRANSLATE(B29796,""en"",""de"")"),"Der kniende Mann beginnt ein Feuer.")</f>
        <v>Der kniende Mann beginnt ein Feuer.</v>
      </c>
    </row>
    <row r="29797">
      <c r="A29797" s="4" t="s">
        <v>37520</v>
      </c>
      <c r="B29797" s="4" t="s">
        <v>37524</v>
      </c>
      <c r="C29797" s="5" t="str">
        <f>IFERROR(__xludf.DUMMYFUNCTION("GOOGLETRANSLATE(B29797,""en"",""de"")"),"Einer der Zuschauer küsst den knieenden Mann.")</f>
        <v>Einer der Zuschauer küsst den knieenden Mann.</v>
      </c>
    </row>
    <row r="29798">
      <c r="A29798" s="4" t="s">
        <v>37525</v>
      </c>
      <c r="B29798" s="4" t="s">
        <v>37526</v>
      </c>
      <c r="C29798" s="5" t="str">
        <f>IFERROR(__xludf.DUMMYFUNCTION("GOOGLETRANSLATE(B29798,""en"",""de"")"),"Eine Gruppe von Männern sitzt in einer Bar, die mit einem Barkeeper hinter der Bar flirtet.")</f>
        <v>Eine Gruppe von Männern sitzt in einer Bar, die mit einem Barkeeper hinter der Bar flirtet.</v>
      </c>
    </row>
    <row r="29799">
      <c r="A29799" s="4" t="s">
        <v>37525</v>
      </c>
      <c r="B29799" s="4" t="s">
        <v>37527</v>
      </c>
      <c r="C29799" s="5" t="str">
        <f>IFERROR(__xludf.DUMMYFUNCTION("GOOGLETRANSLATE(B29799,""en"",""de"")"),"Die Frau spricht weiterhin mit den Männern, während die Kamera um verschiedene Gruppen von Menschen in der Nähe der Bar schwenkt.")</f>
        <v>Die Frau spricht weiterhin mit den Männern, während die Kamera um verschiedene Gruppen von Menschen in der Nähe der Bar schwenkt.</v>
      </c>
    </row>
    <row r="29800">
      <c r="A29800" s="4" t="s">
        <v>37525</v>
      </c>
      <c r="B29800" s="4" t="s">
        <v>37528</v>
      </c>
      <c r="C29800" s="5" t="str">
        <f>IFERROR(__xludf.DUMMYFUNCTION("GOOGLETRANSLATE(B29800,""en"",""de"")"),"Die Frau löst mit ihren Händen aus und handelt gleichzeitig mit Karten für Leute an der Bar.")</f>
        <v>Die Frau löst mit ihren Händen aus und handelt gleichzeitig mit Karten für Leute an der Bar.</v>
      </c>
    </row>
    <row r="29801">
      <c r="A29801" s="4" t="s">
        <v>37529</v>
      </c>
      <c r="B29801" s="4" t="s">
        <v>37530</v>
      </c>
      <c r="C29801" s="5" t="str">
        <f>IFERROR(__xludf.DUMMYFUNCTION("GOOGLETRANSLATE(B29801,""en"",""de"")"),"Ein Mann spricht mit einem Paar Schuhen vor ihm mit der Kamera.")</f>
        <v>Ein Mann spricht mit einem Paar Schuhen vor ihm mit der Kamera.</v>
      </c>
    </row>
    <row r="29802">
      <c r="A29802" s="4" t="s">
        <v>37529</v>
      </c>
      <c r="B29802" s="4" t="s">
        <v>37531</v>
      </c>
      <c r="C29802" s="5" t="str">
        <f>IFERROR(__xludf.DUMMYFUNCTION("GOOGLETRANSLATE(B29802,""en"",""de"")"),"Er hält die Schuhe und die Reinigung von Produkten und beginnt sie auf den Schuhen zu verwenden.")</f>
        <v>Er hält die Schuhe und die Reinigung von Produkten und beginnt sie auf den Schuhen zu verwenden.</v>
      </c>
    </row>
    <row r="29803">
      <c r="A29803" s="4" t="s">
        <v>37529</v>
      </c>
      <c r="B29803" s="4" t="s">
        <v>37532</v>
      </c>
      <c r="C29803" s="5" t="str">
        <f>IFERROR(__xludf.DUMMYFUNCTION("GOOGLETRANSLATE(B29803,""en"",""de"")"),"Er wischt die Schuhe ab, während er die Reinigungsprodukte zeigt und mit der Kamera spricht.")</f>
        <v>Er wischt die Schuhe ab, während er die Reinigungsprodukte zeigt und mit der Kamera spricht.</v>
      </c>
    </row>
    <row r="29804">
      <c r="A29804" s="4" t="s">
        <v>37533</v>
      </c>
      <c r="B29804" s="4" t="s">
        <v>37534</v>
      </c>
      <c r="C29804" s="5" t="str">
        <f>IFERROR(__xludf.DUMMYFUNCTION("GOOGLETRANSLATE(B29804,""en"",""de"")"),"Der Mensch sitzt in der Schriftart eines Tisches und spricht darüber, wie man einen weißen Sneaker reinigt.")</f>
        <v>Der Mensch sitzt in der Schriftart eines Tisches und spricht darüber, wie man einen weißen Sneaker reinigt.</v>
      </c>
    </row>
    <row r="29805">
      <c r="A29805" s="4" t="s">
        <v>37533</v>
      </c>
      <c r="B29805" s="4" t="s">
        <v>37535</v>
      </c>
      <c r="C29805" s="5" t="str">
        <f>IFERROR(__xludf.DUMMYFUNCTION("GOOGLETRANSLATE(B29805,""en"",""de"")"),"Der Mann gießen eine Flüssigkeit auf Wasser und reinigt den Schuh mit einer Bürste und mit einem Wischwischen.")</f>
        <v>Der Mann gießen eine Flüssigkeit auf Wasser und reinigt den Schuh mit einer Bürste und mit einem Wischwischen.</v>
      </c>
    </row>
    <row r="29806">
      <c r="A29806" s="4" t="s">
        <v>37536</v>
      </c>
      <c r="B29806" s="4" t="s">
        <v>37537</v>
      </c>
      <c r="C29806" s="5" t="str">
        <f>IFERROR(__xludf.DUMMYFUNCTION("GOOGLETRANSLATE(B29806,""en"",""de"")"),"Mädchen werden nacheinander angezeigt, wobei PVC -Rohre in einem Indoor -Fitnessstudio auf eine Matte gewonnen werden.")</f>
        <v>Mädchen werden nacheinander angezeigt, wobei PVC -Rohre in einem Indoor -Fitnessstudio auf eine Matte gewonnen werden.</v>
      </c>
    </row>
    <row r="29807">
      <c r="A29807" s="4" t="s">
        <v>37536</v>
      </c>
      <c r="B29807" s="4" t="s">
        <v>37538</v>
      </c>
      <c r="C29807" s="5" t="str">
        <f>IFERROR(__xludf.DUMMYFUNCTION("GOOGLETRANSLATE(B29807,""en"",""de"")"),"Schließlich wird auch ein Jungen gezeigt.")</f>
        <v>Schließlich wird auch ein Jungen gezeigt.</v>
      </c>
    </row>
    <row r="29808">
      <c r="A29808" s="4" t="s">
        <v>37539</v>
      </c>
      <c r="B29808" s="4" t="s">
        <v>37540</v>
      </c>
      <c r="C29808" s="5" t="str">
        <f>IFERROR(__xludf.DUMMYFUNCTION("GOOGLETRANSLATE(B29808,""en"",""de"")"),"Eine Nahaufnahme einer Cartoonerde wird gezeigt, gefolgt von einem Cartoon -Mann mit einem Speer.")</f>
        <v>Eine Nahaufnahme einer Cartoonerde wird gezeigt, gefolgt von einem Cartoon -Mann mit einem Speer.</v>
      </c>
    </row>
    <row r="29809">
      <c r="A29809" s="4" t="s">
        <v>37539</v>
      </c>
      <c r="B29809" s="4" t="s">
        <v>37541</v>
      </c>
      <c r="C29809" s="5" t="str">
        <f>IFERROR(__xludf.DUMMYFUNCTION("GOOGLETRANSLATE(B29809,""en"",""de"")"),"Dem Mann wird dann gezeigt, dass er drei verschiedene Speer in den Wettbewerb wirft, durchsetzt mit Wörtern auf dem Bildschirm.")</f>
        <v>Dem Mann wird dann gezeigt, dass er drei verschiedene Speer in den Wettbewerb wirft, durchsetzt mit Wörtern auf dem Bildschirm.</v>
      </c>
    </row>
    <row r="29810">
      <c r="A29810" s="4" t="s">
        <v>37542</v>
      </c>
      <c r="B29810" s="4" t="s">
        <v>37543</v>
      </c>
      <c r="C29810" s="5" t="str">
        <f>IFERROR(__xludf.DUMMYFUNCTION("GOOGLETRANSLATE(B29810,""en"",""de"")"),"Eine Frau steht neben einem gefrorenen Auto und schaut von der Kamera weg.")</f>
        <v>Eine Frau steht neben einem gefrorenen Auto und schaut von der Kamera weg.</v>
      </c>
    </row>
    <row r="29811">
      <c r="A29811" s="4" t="s">
        <v>37542</v>
      </c>
      <c r="B29811" s="4" t="s">
        <v>37544</v>
      </c>
      <c r="C29811" s="5" t="str">
        <f>IFERROR(__xludf.DUMMYFUNCTION("GOOGLETRANSLATE(B29811,""en"",""de"")"),"Die Frau beginnt dann mit einem Schaber, um die Seiten abzukratzen.")</f>
        <v>Die Frau beginnt dann mit einem Schaber, um die Seiten abzukratzen.</v>
      </c>
    </row>
    <row r="29812">
      <c r="A29812" s="4" t="s">
        <v>37542</v>
      </c>
      <c r="B29812" s="4" t="s">
        <v>37545</v>
      </c>
      <c r="C29812" s="5" t="str">
        <f>IFERROR(__xludf.DUMMYFUNCTION("GOOGLETRANSLATE(B29812,""en"",""de"")"),"Die Frau kratzt das Auto weiter und schaut in die Ferne.")</f>
        <v>Die Frau kratzt das Auto weiter und schaut in die Ferne.</v>
      </c>
    </row>
    <row r="29813">
      <c r="A29813" s="4" t="s">
        <v>37546</v>
      </c>
      <c r="B29813" s="4" t="s">
        <v>37547</v>
      </c>
      <c r="C29813" s="5" t="str">
        <f>IFERROR(__xludf.DUMMYFUNCTION("GOOGLETRANSLATE(B29813,""en"",""de"")"),"Athleten geben Interviews und einige zeigen ihre Teilnahmemedaillen.")</f>
        <v>Athleten geben Interviews und einige zeigen ihre Teilnahmemedaillen.</v>
      </c>
    </row>
    <row r="29814">
      <c r="A29814" s="4" t="s">
        <v>37546</v>
      </c>
      <c r="B29814" s="4" t="s">
        <v>37548</v>
      </c>
      <c r="C29814" s="5" t="str">
        <f>IFERROR(__xludf.DUMMYFUNCTION("GOOGLETRANSLATE(B29814,""en"",""de"")"),"Athleten steigen in weiße Busse.")</f>
        <v>Athleten steigen in weiße Busse.</v>
      </c>
    </row>
    <row r="29815">
      <c r="A29815" s="4" t="s">
        <v>37546</v>
      </c>
      <c r="B29815" s="4" t="s">
        <v>37549</v>
      </c>
      <c r="C29815" s="5" t="str">
        <f>IFERROR(__xludf.DUMMYFUNCTION("GOOGLETRANSLATE(B29815,""en"",""de"")"),"Die Busse ziehen die Straße hinunter.")</f>
        <v>Die Busse ziehen die Straße hinunter.</v>
      </c>
    </row>
    <row r="29816">
      <c r="A29816" s="4" t="s">
        <v>37546</v>
      </c>
      <c r="B29816" s="4" t="s">
        <v>37550</v>
      </c>
      <c r="C29816" s="5" t="str">
        <f>IFERROR(__xludf.DUMMYFUNCTION("GOOGLETRANSLATE(B29816,""en"",""de"")"),"Eine Person stapelt T -Shirts.")</f>
        <v>Eine Person stapelt T -Shirts.</v>
      </c>
    </row>
    <row r="29817">
      <c r="A29817" s="4" t="s">
        <v>37546</v>
      </c>
      <c r="B29817" s="4" t="s">
        <v>37551</v>
      </c>
      <c r="C29817" s="5" t="str">
        <f>IFERROR(__xludf.DUMMYFUNCTION("GOOGLETRANSLATE(B29817,""en"",""de"")"),"Athleten warten an der Startlinie.")</f>
        <v>Athleten warten an der Startlinie.</v>
      </c>
    </row>
    <row r="29818">
      <c r="A29818" s="4" t="s">
        <v>37546</v>
      </c>
      <c r="B29818" s="4" t="s">
        <v>37552</v>
      </c>
      <c r="C29818" s="5" t="str">
        <f>IFERROR(__xludf.DUMMYFUNCTION("GOOGLETRANSLATE(B29818,""en"",""de"")"),"Athleten rennen die Straße entlang.")</f>
        <v>Athleten rennen die Straße entlang.</v>
      </c>
    </row>
    <row r="29819">
      <c r="A29819" s="4" t="s">
        <v>37546</v>
      </c>
      <c r="B29819" s="4" t="s">
        <v>37553</v>
      </c>
      <c r="C29819" s="5" t="str">
        <f>IFERROR(__xludf.DUMMYFUNCTION("GOOGLETRANSLATE(B29819,""en"",""de"")"),"Athleten überqueren die Ziellinie.")</f>
        <v>Athleten überqueren die Ziellinie.</v>
      </c>
    </row>
    <row r="29820">
      <c r="A29820" s="4" t="s">
        <v>37546</v>
      </c>
      <c r="B29820" s="4" t="s">
        <v>1251</v>
      </c>
      <c r="C29820" s="5" t="str">
        <f>IFERROR(__xludf.DUMMYFUNCTION("GOOGLETRANSLATE(B29820,""en"",""de"")"),"Die Credits des Clips werden angezeigt.")</f>
        <v>Die Credits des Clips werden angezeigt.</v>
      </c>
    </row>
    <row r="29821">
      <c r="A29821" s="4" t="s">
        <v>37554</v>
      </c>
      <c r="B29821" s="4" t="s">
        <v>37555</v>
      </c>
      <c r="C29821" s="5" t="str">
        <f>IFERROR(__xludf.DUMMYFUNCTION("GOOGLETRANSLATE(B29821,""en"",""de"")"),"Ein Athlet sitzt auf dem Boden, als ein Mann hinübergeht und ihm Schuhe gibt.")</f>
        <v>Ein Athlet sitzt auf dem Boden, als ein Mann hinübergeht und ihm Schuhe gibt.</v>
      </c>
    </row>
    <row r="29822">
      <c r="A29822" s="4" t="s">
        <v>37554</v>
      </c>
      <c r="B29822" s="4" t="s">
        <v>37556</v>
      </c>
      <c r="C29822" s="5" t="str">
        <f>IFERROR(__xludf.DUMMYFUNCTION("GOOGLETRANSLATE(B29822,""en"",""de"")"),"Der Mann zieht dann die Schuhe an und bewegt sich auf dem Feld.")</f>
        <v>Der Mann zieht dann die Schuhe an und bewegt sich auf dem Feld.</v>
      </c>
    </row>
    <row r="29823">
      <c r="A29823" s="4" t="s">
        <v>37554</v>
      </c>
      <c r="B29823" s="4" t="s">
        <v>37557</v>
      </c>
      <c r="C29823" s="5" t="str">
        <f>IFERROR(__xludf.DUMMYFUNCTION("GOOGLETRANSLATE(B29823,""en"",""de"")"),"Der Mann tritt einen Ball herum, während die Kamera ihm von hinten folgt.")</f>
        <v>Der Mann tritt einen Ball herum, während die Kamera ihm von hinten folgt.</v>
      </c>
    </row>
    <row r="29824">
      <c r="A29824" s="4" t="s">
        <v>37558</v>
      </c>
      <c r="B29824" s="4" t="s">
        <v>37559</v>
      </c>
      <c r="C29824" s="5" t="str">
        <f>IFERROR(__xludf.DUMMYFUNCTION("GOOGLETRANSLATE(B29824,""en"",""de"")"),"Leute, die ein Baseballspiel spielen, werden auf einem großen Feld mit Dutzenden von Leuten gezeigt, die nebenbei beobachten.")</f>
        <v>Leute, die ein Baseballspiel spielen, werden auf einem großen Feld mit Dutzenden von Leuten gezeigt, die nebenbei beobachten.</v>
      </c>
    </row>
    <row r="29825">
      <c r="A29825" s="4" t="s">
        <v>37558</v>
      </c>
      <c r="B29825" s="4" t="s">
        <v>37560</v>
      </c>
      <c r="C29825" s="5" t="str">
        <f>IFERROR(__xludf.DUMMYFUNCTION("GOOGLETRANSLATE(B29825,""en"",""de"")"),"Die Leute spielen das Spiel weiter und endet mit mehreren Spielern, die am Ende des Feldes laufen.")</f>
        <v>Die Leute spielen das Spiel weiter und endet mit mehreren Spielern, die am Ende des Feldes laufen.</v>
      </c>
    </row>
    <row r="29826">
      <c r="A29826" s="4" t="s">
        <v>37561</v>
      </c>
      <c r="B29826" s="4" t="s">
        <v>37562</v>
      </c>
      <c r="C29826" s="5" t="str">
        <f>IFERROR(__xludf.DUMMYFUNCTION("GOOGLETRANSLATE(B29826,""en"",""de"")"),"Eine Person hilft einem jungen Mann, hinter den Schienen einer Brücke zu springen und die Gürtel zu überprüfen.")</f>
        <v>Eine Person hilft einem jungen Mann, hinter den Schienen einer Brücke zu springen und die Gürtel zu überprüfen.</v>
      </c>
    </row>
    <row r="29827">
      <c r="A29827" s="4" t="s">
        <v>37561</v>
      </c>
      <c r="B29827" s="4" t="s">
        <v>37563</v>
      </c>
      <c r="C29827" s="5" t="str">
        <f>IFERROR(__xludf.DUMMYFUNCTION("GOOGLETRANSLATE(B29827,""en"",""de"")"),"Dann springt der Mann die Brücke hinunter.")</f>
        <v>Dann springt der Mann die Brücke hinunter.</v>
      </c>
    </row>
    <row r="29828">
      <c r="A29828" s="4" t="s">
        <v>37564</v>
      </c>
      <c r="B29828" s="4" t="s">
        <v>37565</v>
      </c>
      <c r="C29828" s="5" t="str">
        <f>IFERROR(__xludf.DUMMYFUNCTION("GOOGLETRANSLATE(B29828,""en"",""de"")"),"Ein Spiel der Krokette ist im Gange.")</f>
        <v>Ein Spiel der Krokette ist im Gange.</v>
      </c>
    </row>
    <row r="29829">
      <c r="A29829" s="4" t="s">
        <v>37564</v>
      </c>
      <c r="B29829" s="4" t="s">
        <v>37566</v>
      </c>
      <c r="C29829" s="5" t="str">
        <f>IFERROR(__xludf.DUMMYFUNCTION("GOOGLETRANSLATE(B29829,""en"",""de"")"),"Ein Mann hat zahlreiche farbige Bälle aufgestellt.")</f>
        <v>Ein Mann hat zahlreiche farbige Bälle aufgestellt.</v>
      </c>
    </row>
    <row r="29830">
      <c r="A29830" s="4" t="s">
        <v>37564</v>
      </c>
      <c r="B29830" s="4" t="s">
        <v>37567</v>
      </c>
      <c r="C29830" s="5" t="str">
        <f>IFERROR(__xludf.DUMMYFUNCTION("GOOGLETRANSLATE(B29830,""en"",""de"")"),"Er bewegt sich die Linie hinunter und schlägt jeden Ball durch das Tor.")</f>
        <v>Er bewegt sich die Linie hinunter und schlägt jeden Ball durch das Tor.</v>
      </c>
    </row>
    <row r="29831">
      <c r="A29831" s="4" t="s">
        <v>37568</v>
      </c>
      <c r="B29831" s="4" t="s">
        <v>37569</v>
      </c>
      <c r="C29831" s="5" t="str">
        <f>IFERROR(__xludf.DUMMYFUNCTION("GOOGLETRANSLATE(B29831,""en"",""de"")"),"Dieses Video ist ein Tutorial, das den Leuten zeigt, wie sie richtig Ski fahren.")</f>
        <v>Dieses Video ist ein Tutorial, das den Leuten zeigt, wie sie richtig Ski fahren.</v>
      </c>
    </row>
    <row r="29832">
      <c r="A29832" s="4" t="s">
        <v>37568</v>
      </c>
      <c r="B29832" s="4" t="s">
        <v>37570</v>
      </c>
      <c r="C29832" s="5" t="str">
        <f>IFERROR(__xludf.DUMMYFUNCTION("GOOGLETRANSLATE(B29832,""en"",""de"")"),"Zuerst sagt es Ihnen, in welcher Umgebung Sie Ski fahren sollten.")</f>
        <v>Zuerst sagt es Ihnen, in welcher Umgebung Sie Ski fahren sollten.</v>
      </c>
    </row>
    <row r="29833">
      <c r="A29833" s="4" t="s">
        <v>37568</v>
      </c>
      <c r="B29833" s="4" t="s">
        <v>37571</v>
      </c>
      <c r="C29833" s="5" t="str">
        <f>IFERROR(__xludf.DUMMYFUNCTION("GOOGLETRANSLATE(B29833,""en"",""de"")"),"Es zeigt auch, dass jemand im Schnee Ski fahren, um die angegebenen Schritte zu begleiten.")</f>
        <v>Es zeigt auch, dass jemand im Schnee Ski fahren, um die angegebenen Schritte zu begleiten.</v>
      </c>
    </row>
    <row r="29834">
      <c r="A29834" s="4" t="s">
        <v>37572</v>
      </c>
      <c r="B29834" s="4" t="s">
        <v>37573</v>
      </c>
      <c r="C29834" s="5" t="str">
        <f>IFERROR(__xludf.DUMMYFUNCTION("GOOGLETRANSLATE(B29834,""en"",""de"")"),"Ein Mann arbeitet an einer elliptischen Maschine.")</f>
        <v>Ein Mann arbeitet an einer elliptischen Maschine.</v>
      </c>
    </row>
    <row r="29835">
      <c r="A29835" s="4" t="s">
        <v>37572</v>
      </c>
      <c r="B29835" s="4" t="s">
        <v>37574</v>
      </c>
      <c r="C29835" s="5" t="str">
        <f>IFERROR(__xludf.DUMMYFUNCTION("GOOGLETRANSLATE(B29835,""en"",""de"")"),"Es zeigt den Bildschirm auf der Maschine an.")</f>
        <v>Es zeigt den Bildschirm auf der Maschine an.</v>
      </c>
    </row>
    <row r="29836">
      <c r="A29836" s="4" t="s">
        <v>37575</v>
      </c>
      <c r="B29836" s="4" t="s">
        <v>37576</v>
      </c>
      <c r="C29836" s="5" t="str">
        <f>IFERROR(__xludf.DUMMYFUNCTION("GOOGLETRANSLATE(B29836,""en"",""de"")"),"Ein Intro führt in ein Boot voller Menschen, die auf dem Wasser fliegen.")</f>
        <v>Ein Intro führt in ein Boot voller Menschen, die auf dem Wasser fliegen.</v>
      </c>
    </row>
    <row r="29837">
      <c r="A29837" s="4" t="s">
        <v>37575</v>
      </c>
      <c r="B29837" s="4" t="s">
        <v>37577</v>
      </c>
      <c r="C29837" s="5" t="str">
        <f>IFERROR(__xludf.DUMMYFUNCTION("GOOGLETRANSLATE(B29837,""en"",""de"")"),"Die Kamera zeigt verschiedene Winkel des Bootes, die sich entlang des Wassers bewegt, sowie Nahaufnahmen der Menschen an Bord.")</f>
        <v>Die Kamera zeigt verschiedene Winkel des Bootes, die sich entlang des Wassers bewegt, sowie Nahaufnahmen der Menschen an Bord.</v>
      </c>
    </row>
    <row r="29838">
      <c r="A29838" s="4" t="s">
        <v>37578</v>
      </c>
      <c r="B29838" s="4" t="s">
        <v>37579</v>
      </c>
      <c r="C29838" s="5" t="str">
        <f>IFERROR(__xludf.DUMMYFUNCTION("GOOGLETRANSLATE(B29838,""en"",""de"")"),"Wir sehen Männer, die ein Fußballspiel spielen und wiederholt drinnen erzielen.")</f>
        <v>Wir sehen Männer, die ein Fußballspiel spielen und wiederholt drinnen erzielen.</v>
      </c>
    </row>
    <row r="29839">
      <c r="A29839" s="4" t="s">
        <v>37578</v>
      </c>
      <c r="B29839" s="4" t="s">
        <v>37580</v>
      </c>
      <c r="C29839" s="5" t="str">
        <f>IFERROR(__xludf.DUMMYFUNCTION("GOOGLETRANSLATE(B29839,""en"",""de"")"),"Wir sehen einen Torwart, der herumspringt und ein Mann schießt und punktet.")</f>
        <v>Wir sehen einen Torwart, der herumspringt und ein Mann schießt und punktet.</v>
      </c>
    </row>
    <row r="29840">
      <c r="A29840" s="4" t="s">
        <v>37578</v>
      </c>
      <c r="B29840" s="4" t="s">
        <v>37581</v>
      </c>
      <c r="C29840" s="5" t="str">
        <f>IFERROR(__xludf.DUMMYFUNCTION("GOOGLETRANSLATE(B29840,""en"",""de"")"),"Wir sehen einen glücklichen jungen Mann, der sein Hemd fächelt.")</f>
        <v>Wir sehen einen glücklichen jungen Mann, der sein Hemd fächelt.</v>
      </c>
    </row>
    <row r="29841">
      <c r="A29841" s="4" t="s">
        <v>37582</v>
      </c>
      <c r="B29841" s="4" t="s">
        <v>37583</v>
      </c>
      <c r="C29841" s="5" t="str">
        <f>IFERROR(__xludf.DUMMYFUNCTION("GOOGLETRANSLATE(B29841,""en"",""de"")"),"Tragen Sie die Kacheln genau in die gleiche Richtung an.")</f>
        <v>Tragen Sie die Kacheln genau in die gleiche Richtung an.</v>
      </c>
    </row>
    <row r="29842">
      <c r="A29842" s="4" t="s">
        <v>37582</v>
      </c>
      <c r="B29842" s="4" t="s">
        <v>37584</v>
      </c>
      <c r="C29842" s="5" t="str">
        <f>IFERROR(__xludf.DUMMYFUNCTION("GOOGLETRANSLATE(B29842,""en"",""de"")"),"Die Fliese muss über dem Klebstoff installiert werden.")</f>
        <v>Die Fliese muss über dem Klebstoff installiert werden.</v>
      </c>
    </row>
    <row r="29843">
      <c r="A29843" s="4" t="s">
        <v>37582</v>
      </c>
      <c r="B29843" s="4" t="s">
        <v>37585</v>
      </c>
      <c r="C29843" s="5" t="str">
        <f>IFERROR(__xludf.DUMMYFUNCTION("GOOGLETRANSLATE(B29843,""en"",""de"")"),"Dann sofort mit einer Hundertpunktrolle rollen.")</f>
        <v>Dann sofort mit einer Hundertpunktrolle rollen.</v>
      </c>
    </row>
    <row r="29844">
      <c r="A29844" s="4" t="s">
        <v>37582</v>
      </c>
      <c r="B29844" s="4" t="s">
        <v>37586</v>
      </c>
      <c r="C29844" s="5" t="str">
        <f>IFERROR(__xludf.DUMMYFUNCTION("GOOGLETRANSLATE(B29844,""en"",""de"")"),"Schneiden Sie Fliesen in der Nähe des Umfangs, um eine reibungslose Installation zu gewährleisten.")</f>
        <v>Schneiden Sie Fliesen in der Nähe des Umfangs, um eine reibungslose Installation zu gewährleisten.</v>
      </c>
    </row>
    <row r="29845">
      <c r="A29845" s="4" t="s">
        <v>37587</v>
      </c>
      <c r="B29845" s="4" t="s">
        <v>37588</v>
      </c>
      <c r="C29845" s="5" t="str">
        <f>IFERROR(__xludf.DUMMYFUNCTION("GOOGLETRANSLATE(B29845,""en"",""de"")"),"Eine Person zeigt Speck auf einem Gericht und setzt Mayonnaise auf zwei Brotstücke.")</f>
        <v>Eine Person zeigt Speck auf einem Gericht und setzt Mayonnaise auf zwei Brotstücke.</v>
      </c>
    </row>
    <row r="29846">
      <c r="A29846" s="4" t="s">
        <v>37587</v>
      </c>
      <c r="B29846" s="4" t="s">
        <v>37589</v>
      </c>
      <c r="C29846" s="5" t="str">
        <f>IFERROR(__xludf.DUMMYFUNCTION("GOOGLETRANSLATE(B29846,""en"",""de"")"),"Dann legt die Person Speck auf ein Brot und Salat und Tomate auf das andere Brot, vertreibt dann Peeper und bildet das Sandwich.")</f>
        <v>Dann legt die Person Speck auf ein Brot und Salat und Tomate auf das andere Brot, vertreibt dann Peeper und bildet das Sandwich.</v>
      </c>
    </row>
    <row r="29847">
      <c r="A29847" s="4" t="s">
        <v>37587</v>
      </c>
      <c r="B29847" s="4" t="s">
        <v>37590</v>
      </c>
      <c r="C29847" s="5" t="str">
        <f>IFERROR(__xludf.DUMMYFUNCTION("GOOGLETRANSLATE(B29847,""en"",""de"")"),"Als nächstes schneidet die Person das Sandwich in zwei Hälften, dauert dann eine Hälfte und bissen.")</f>
        <v>Als nächstes schneidet die Person das Sandwich in zwei Hälften, dauert dann eine Hälfte und bissen.</v>
      </c>
    </row>
    <row r="29848">
      <c r="A29848" s="4" t="s">
        <v>37591</v>
      </c>
      <c r="B29848" s="4" t="s">
        <v>37592</v>
      </c>
      <c r="C29848" s="5" t="str">
        <f>IFERROR(__xludf.DUMMYFUNCTION("GOOGLETRANSLATE(B29848,""en"",""de"")"),"Ein Mann benutzt ein Werkzeug, um an einer Wand gleichmäßig zu greifen.")</f>
        <v>Ein Mann benutzt ein Werkzeug, um an einer Wand gleichmäßig zu greifen.</v>
      </c>
    </row>
    <row r="29849">
      <c r="A29849" s="4" t="s">
        <v>37591</v>
      </c>
      <c r="B29849" s="4" t="s">
        <v>37593</v>
      </c>
      <c r="C29849" s="5" t="str">
        <f>IFERROR(__xludf.DUMMYFUNCTION("GOOGLETRANSLATE(B29849,""en"",""de"")"),"Der Mann arbeitet an der Wand unter dem sichtbaren Rahmen der Kamera.")</f>
        <v>Der Mann arbeitet an der Wand unter dem sichtbaren Rahmen der Kamera.</v>
      </c>
    </row>
    <row r="29850">
      <c r="A29850" s="4" t="s">
        <v>37591</v>
      </c>
      <c r="B29850" s="4" t="s">
        <v>37594</v>
      </c>
      <c r="C29850" s="5" t="str">
        <f>IFERROR(__xludf.DUMMYFUNCTION("GOOGLETRANSLATE(B29850,""en"",""de"")"),"Der Mann steigt vor der Kamera auf und geht daran vorbei.")</f>
        <v>Der Mann steigt vor der Kamera auf und geht daran vorbei.</v>
      </c>
    </row>
    <row r="29851">
      <c r="A29851" s="4" t="s">
        <v>37595</v>
      </c>
      <c r="B29851" s="4" t="s">
        <v>37596</v>
      </c>
      <c r="C29851" s="5" t="str">
        <f>IFERROR(__xludf.DUMMYFUNCTION("GOOGLETRANSLATE(B29851,""en"",""de"")"),"Die Menschen reiten in einem Boot im Wasser.")</f>
        <v>Die Menschen reiten in einem Boot im Wasser.</v>
      </c>
    </row>
    <row r="29852">
      <c r="A29852" s="4" t="s">
        <v>37595</v>
      </c>
      <c r="B29852" s="4" t="s">
        <v>37597</v>
      </c>
      <c r="C29852" s="5" t="str">
        <f>IFERROR(__xludf.DUMMYFUNCTION("GOOGLETRANSLATE(B29852,""en"",""de"")"),"Das Boot zieht mit einem Mann dahinter eine Röhre.")</f>
        <v>Das Boot zieht mit einem Mann dahinter eine Röhre.</v>
      </c>
    </row>
    <row r="29853">
      <c r="A29853" s="4" t="s">
        <v>37595</v>
      </c>
      <c r="B29853" s="4" t="s">
        <v>37598</v>
      </c>
      <c r="C29853" s="5" t="str">
        <f>IFERROR(__xludf.DUMMYFUNCTION("GOOGLETRANSLATE(B29853,""en"",""de"")"),"Die Person fliegt von der Röhre ab.")</f>
        <v>Die Person fliegt von der Röhre ab.</v>
      </c>
    </row>
    <row r="29854">
      <c r="A29854" s="4" t="s">
        <v>37595</v>
      </c>
      <c r="B29854" s="4" t="s">
        <v>37599</v>
      </c>
      <c r="C29854" s="5" t="str">
        <f>IFERROR(__xludf.DUMMYFUNCTION("GOOGLETRANSLATE(B29854,""en"",""de"")"),"Das Boot zieht mit mehreren jungen Menschen das gleiche Röhrchen.")</f>
        <v>Das Boot zieht mit mehreren jungen Menschen das gleiche Röhrchen.</v>
      </c>
    </row>
    <row r="29855">
      <c r="A29855" s="4" t="s">
        <v>37595</v>
      </c>
      <c r="B29855" s="4" t="s">
        <v>37600</v>
      </c>
      <c r="C29855" s="5" t="str">
        <f>IFERROR(__xludf.DUMMYFUNCTION("GOOGLETRANSLATE(B29855,""en"",""de"")"),"Eine Person Wasserskier hinter dem Boot.")</f>
        <v>Eine Person Wasserskier hinter dem Boot.</v>
      </c>
    </row>
    <row r="29856">
      <c r="A29856" s="4" t="s">
        <v>37595</v>
      </c>
      <c r="B29856" s="4" t="s">
        <v>37601</v>
      </c>
      <c r="C29856" s="5" t="str">
        <f>IFERROR(__xludf.DUMMYFUNCTION("GOOGLETRANSLATE(B29856,""en"",""de"")"),"Ein Jet -Ski vorbei am Boot, dann sehen wir die Passagiere.")</f>
        <v>Ein Jet -Ski vorbei am Boot, dann sehen wir die Passagiere.</v>
      </c>
    </row>
    <row r="29857">
      <c r="A29857" s="4" t="s">
        <v>37602</v>
      </c>
      <c r="B29857" s="4" t="s">
        <v>37603</v>
      </c>
      <c r="C29857" s="5" t="str">
        <f>IFERROR(__xludf.DUMMYFUNCTION("GOOGLETRANSLATE(B29857,""en"",""de"")"),"Ein Mann, der ein rotes Umhang hält, steht vor einem Stier.")</f>
        <v>Ein Mann, der ein rotes Umhang hält, steht vor einem Stier.</v>
      </c>
    </row>
    <row r="29858">
      <c r="A29858" s="4" t="s">
        <v>37602</v>
      </c>
      <c r="B29858" s="4" t="s">
        <v>37604</v>
      </c>
      <c r="C29858" s="5" t="str">
        <f>IFERROR(__xludf.DUMMYFUNCTION("GOOGLETRANSLATE(B29858,""en"",""de"")"),"Der Stier schlägt ihn und schlägt ihn zu Boden.")</f>
        <v>Der Stier schlägt ihn und schlägt ihn zu Boden.</v>
      </c>
    </row>
    <row r="29859">
      <c r="A29859" s="4" t="s">
        <v>37602</v>
      </c>
      <c r="B29859" s="4" t="s">
        <v>37605</v>
      </c>
      <c r="C29859" s="5" t="str">
        <f>IFERROR(__xludf.DUMMYFUNCTION("GOOGLETRANSLATE(B29859,""en"",""de"")"),"Die Leute tragen den Mann von der Arena.")</f>
        <v>Die Leute tragen den Mann von der Arena.</v>
      </c>
    </row>
    <row r="29860">
      <c r="A29860" s="4" t="s">
        <v>37606</v>
      </c>
      <c r="B29860" s="4" t="s">
        <v>37607</v>
      </c>
      <c r="C29860" s="5" t="str">
        <f>IFERROR(__xludf.DUMMYFUNCTION("GOOGLETRANSLATE(B29860,""en"",""de"")"),"Ein Friseur astet Rasiercreme am kahnen Kopf eines Mannes.")</f>
        <v>Ein Friseur astet Rasiercreme am kahnen Kopf eines Mannes.</v>
      </c>
    </row>
    <row r="29861">
      <c r="A29861" s="4" t="s">
        <v>37606</v>
      </c>
      <c r="B29861" s="4" t="s">
        <v>37608</v>
      </c>
      <c r="C29861" s="5" t="str">
        <f>IFERROR(__xludf.DUMMYFUNCTION("GOOGLETRANSLATE(B29861,""en"",""de"")"),"Der Friseur hält an, um seine Hände mit einem Handtuch zu reinigen.")</f>
        <v>Der Friseur hält an, um seine Hände mit einem Handtuch zu reinigen.</v>
      </c>
    </row>
    <row r="29862">
      <c r="A29862" s="4" t="s">
        <v>37606</v>
      </c>
      <c r="B29862" s="4" t="s">
        <v>37609</v>
      </c>
      <c r="C29862" s="5" t="str">
        <f>IFERROR(__xludf.DUMMYFUNCTION("GOOGLETRANSLATE(B29862,""en"",""de"")"),"Der Friseur schnappt sich einen Rasierer und rasiert langsam den Kopf des Mannes.")</f>
        <v>Der Friseur schnappt sich einen Rasierer und rasiert langsam den Kopf des Mannes.</v>
      </c>
    </row>
    <row r="29863">
      <c r="A29863" s="4" t="s">
        <v>37610</v>
      </c>
      <c r="B29863" s="4" t="s">
        <v>37611</v>
      </c>
      <c r="C29863" s="5" t="str">
        <f>IFERROR(__xludf.DUMMYFUNCTION("GOOGLETRANSLATE(B29863,""en"",""de"")"),"Ein junger Mann, um ein Gewicht auf seine Schultern zu heben, hebt er das Gewicht über seinem Kopf.")</f>
        <v>Ein junger Mann, um ein Gewicht auf seine Schultern zu heben, hebt er das Gewicht über seinem Kopf.</v>
      </c>
    </row>
    <row r="29864">
      <c r="A29864" s="4" t="s">
        <v>37610</v>
      </c>
      <c r="B29864" s="4" t="s">
        <v>37612</v>
      </c>
      <c r="C29864" s="5" t="str">
        <f>IFERROR(__xludf.DUMMYFUNCTION("GOOGLETRANSLATE(B29864,""en"",""de"")"),"Der junge Mann lässt das Gewicht auf den Boden fallen.")</f>
        <v>Der junge Mann lässt das Gewicht auf den Boden fallen.</v>
      </c>
    </row>
    <row r="29865">
      <c r="A29865" s="4" t="s">
        <v>37610</v>
      </c>
      <c r="B29865" s="4" t="s">
        <v>37613</v>
      </c>
      <c r="C29865" s="5" t="str">
        <f>IFERROR(__xludf.DUMMYFUNCTION("GOOGLETRANSLATE(B29865,""en"",""de"")"),"Danach flieht der Mann und dann kommt ein Mann und umarmt den jungen Mann.")</f>
        <v>Danach flieht der Mann und dann kommt ein Mann und umarmt den jungen Mann.</v>
      </c>
    </row>
    <row r="29866">
      <c r="A29866" s="4" t="s">
        <v>37614</v>
      </c>
      <c r="B29866" s="4" t="s">
        <v>37615</v>
      </c>
      <c r="C29866" s="5" t="str">
        <f>IFERROR(__xludf.DUMMYFUNCTION("GOOGLETRANSLATE(B29866,""en"",""de"")"),"Ein Intro kommt auf den Bildschirm, das Informationen für ein Percussion -Unternehmen gibt.")</f>
        <v>Ein Intro kommt auf den Bildschirm, das Informationen für ein Percussion -Unternehmen gibt.</v>
      </c>
    </row>
    <row r="29867">
      <c r="A29867" s="4" t="s">
        <v>37614</v>
      </c>
      <c r="B29867" s="4" t="s">
        <v>37616</v>
      </c>
      <c r="C29867" s="5" t="str">
        <f>IFERROR(__xludf.DUMMYFUNCTION("GOOGLETRANSLATE(B29867,""en"",""de"")"),"Ein Mann spielt eine Reihe von Trommeln, wobei die Kamera ihn aus verschiedenen Blickwinkeln zeigt.")</f>
        <v>Ein Mann spielt eine Reihe von Trommeln, wobei die Kamera ihn aus verschiedenen Blickwinkeln zeigt.</v>
      </c>
    </row>
    <row r="29868">
      <c r="A29868" s="4" t="s">
        <v>37614</v>
      </c>
      <c r="B29868" s="4" t="s">
        <v>37617</v>
      </c>
      <c r="C29868" s="5" t="str">
        <f>IFERROR(__xludf.DUMMYFUNCTION("GOOGLETRANSLATE(B29868,""en"",""de"")"),"Die Kamera zeigt seinen Fuß mit einem Pedal, um Schlagzeug zu spielen.")</f>
        <v>Die Kamera zeigt seinen Fuß mit einem Pedal, um Schlagzeug zu spielen.</v>
      </c>
    </row>
    <row r="29869">
      <c r="A29869" s="4" t="s">
        <v>37614</v>
      </c>
      <c r="B29869" s="4" t="s">
        <v>37618</v>
      </c>
      <c r="C29869" s="5" t="str">
        <f>IFERROR(__xludf.DUMMYFUNCTION("GOOGLETRANSLATE(B29869,""en"",""de"")"),"Wenn das Video endet, werden die Schlusskredite angezeigt.")</f>
        <v>Wenn das Video endet, werden die Schlusskredite angezeigt.</v>
      </c>
    </row>
    <row r="29870">
      <c r="A29870" s="4" t="s">
        <v>37619</v>
      </c>
      <c r="B29870" s="4" t="s">
        <v>37620</v>
      </c>
      <c r="C29870" s="5" t="str">
        <f>IFERROR(__xludf.DUMMYFUNCTION("GOOGLETRANSLATE(B29870,""en"",""de"")"),"Eine Frau spricht und lächelt, während sie ein Kleidungsstück aus einem Waschraum bügelt.")</f>
        <v>Eine Frau spricht und lächelt, während sie ein Kleidungsstück aus einem Waschraum bügelt.</v>
      </c>
    </row>
    <row r="29871">
      <c r="A29871" s="4" t="s">
        <v>37619</v>
      </c>
      <c r="B29871" s="4" t="s">
        <v>37621</v>
      </c>
      <c r="C29871" s="5" t="str">
        <f>IFERROR(__xludf.DUMMYFUNCTION("GOOGLETRANSLATE(B29871,""en"",""de"")"),"Eine Frau, die ein rosa Hemd und eine Schürze trägt, steht in einem Waschraum vor einer Waschmaschine und einem Trockner und spricht vor der Kamera.")</f>
        <v>Eine Frau, die ein rosa Hemd und eine Schürze trägt, steht in einem Waschraum vor einer Waschmaschine und einem Trockner und spricht vor der Kamera.</v>
      </c>
    </row>
    <row r="29872">
      <c r="A29872" s="4" t="s">
        <v>37619</v>
      </c>
      <c r="B29872" s="4" t="s">
        <v>37622</v>
      </c>
      <c r="C29872" s="5" t="str">
        <f>IFERROR(__xludf.DUMMYFUNCTION("GOOGLETRANSLATE(B29872,""en"",""de"")"),"Die Frau beugt sich zusammen, um ein Kleidungsstück aufzunehmen, und verbreitet es dann über einen Bügeltisch.")</f>
        <v>Die Frau beugt sich zusammen, um ein Kleidungsstück aufzunehmen, und verbreitet es dann über einen Bügeltisch.</v>
      </c>
    </row>
    <row r="29873">
      <c r="A29873" s="4" t="s">
        <v>37619</v>
      </c>
      <c r="B29873" s="4" t="s">
        <v>37623</v>
      </c>
      <c r="C29873" s="5" t="str">
        <f>IFERROR(__xludf.DUMMYFUNCTION("GOOGLETRANSLATE(B29873,""en"",""de"")"),"Die Frau fährt fort, das Kleidungsstück zu bügeln, momentan anzuhalten, das Kleidungsstück mit einer Flüssigkeit aus einer weißen Sprühflasche zu sprühen, das Kleidungsstück zu bügeln und es an Gesicht und Wangen zu halten und zu lächeln.")</f>
        <v>Die Frau fährt fort, das Kleidungsstück zu bügeln, momentan anzuhalten, das Kleidungsstück mit einer Flüssigkeit aus einer weißen Sprühflasche zu sprühen, das Kleidungsstück zu bügeln und es an Gesicht und Wangen zu halten und zu lächeln.</v>
      </c>
    </row>
    <row r="29874">
      <c r="A29874" s="4" t="s">
        <v>37624</v>
      </c>
      <c r="B29874" s="4" t="s">
        <v>37625</v>
      </c>
      <c r="C29874" s="5" t="str">
        <f>IFERROR(__xludf.DUMMYFUNCTION("GOOGLETRANSLATE(B29874,""en"",""de"")"),"Es gibt einen Mann in einem rosa Hemd und eine Dame in einem weißen Tanktop, das Dudelsack in der Hand hält.")</f>
        <v>Es gibt einen Mann in einem rosa Hemd und eine Dame in einem weißen Tanktop, das Dudelsack in der Hand hält.</v>
      </c>
    </row>
    <row r="29875">
      <c r="A29875" s="4" t="s">
        <v>37624</v>
      </c>
      <c r="B29875" s="4" t="s">
        <v>37626</v>
      </c>
      <c r="C29875" s="5" t="str">
        <f>IFERROR(__xludf.DUMMYFUNCTION("GOOGLETRANSLATE(B29875,""en"",""de"")"),"Sie stehen auf einem Parkplatz in der Nähe eines silbernen Autos.")</f>
        <v>Sie stehen auf einem Parkplatz in der Nähe eines silbernen Autos.</v>
      </c>
    </row>
    <row r="29876">
      <c r="A29876" s="4" t="s">
        <v>37624</v>
      </c>
      <c r="B29876" s="4" t="s">
        <v>37627</v>
      </c>
      <c r="C29876" s="5" t="str">
        <f>IFERROR(__xludf.DUMMYFUNCTION("GOOGLETRANSLATE(B29876,""en"",""de"")"),"Die Dame spielt ihren Dudelsack, als der Mann ihr Spiel beobachtet.")</f>
        <v>Die Dame spielt ihren Dudelsack, als der Mann ihr Spiel beobachtet.</v>
      </c>
    </row>
    <row r="29877">
      <c r="A29877" s="4" t="s">
        <v>37624</v>
      </c>
      <c r="B29877" s="4" t="s">
        <v>37628</v>
      </c>
      <c r="C29877" s="5" t="str">
        <f>IFERROR(__xludf.DUMMYFUNCTION("GOOGLETRANSLATE(B29877,""en"",""de"")"),"Sie spielt weiter und nachdem sie fertig ist, klatscht der Mann für sie und umarmt sie.")</f>
        <v>Sie spielt weiter und nachdem sie fertig ist, klatscht der Mann für sie und umarmt sie.</v>
      </c>
    </row>
    <row r="29878">
      <c r="A29878" s="4" t="s">
        <v>37629</v>
      </c>
      <c r="B29878" s="4" t="s">
        <v>37630</v>
      </c>
      <c r="C29878" s="5" t="str">
        <f>IFERROR(__xludf.DUMMYFUNCTION("GOOGLETRANSLATE(B29878,""en"",""de"")"),"Das Kind steht vor Gericht.")</f>
        <v>Das Kind steht vor Gericht.</v>
      </c>
    </row>
    <row r="29879">
      <c r="A29879" s="4" t="s">
        <v>37629</v>
      </c>
      <c r="B29879" s="4" t="s">
        <v>37631</v>
      </c>
      <c r="C29879" s="5" t="str">
        <f>IFERROR(__xludf.DUMMYFUNCTION("GOOGLETRANSLATE(B29879,""en"",""de"")"),"Das kleine Mädchen sitzt am anderen Ende einer Matte.")</f>
        <v>Das kleine Mädchen sitzt am anderen Ende einer Matte.</v>
      </c>
    </row>
    <row r="29880">
      <c r="A29880" s="4" t="s">
        <v>37629</v>
      </c>
      <c r="B29880" s="4" t="s">
        <v>37632</v>
      </c>
      <c r="C29880" s="5" t="str">
        <f>IFERROR(__xludf.DUMMYFUNCTION("GOOGLETRANSLATE(B29880,""en"",""de"")"),"Der junge Junge rennt zur Matte und springt über die Stange.")</f>
        <v>Der junge Junge rennt zur Matte und springt über die Stange.</v>
      </c>
    </row>
    <row r="29881">
      <c r="A29881" s="4" t="s">
        <v>37633</v>
      </c>
      <c r="B29881" s="4" t="s">
        <v>37634</v>
      </c>
      <c r="C29881" s="5" t="str">
        <f>IFERROR(__xludf.DUMMYFUNCTION("GOOGLETRANSLATE(B29881,""en"",""de"")"),"Eine Frau Barkeeper steht hinter einer Bar.")</f>
        <v>Eine Frau Barkeeper steht hinter einer Bar.</v>
      </c>
    </row>
    <row r="29882">
      <c r="A29882" s="4" t="s">
        <v>37633</v>
      </c>
      <c r="B29882" s="4" t="s">
        <v>37635</v>
      </c>
      <c r="C29882" s="5" t="str">
        <f>IFERROR(__xludf.DUMMYFUNCTION("GOOGLETRANSLATE(B29882,""en"",""de"")"),"Ein leeres Glas steht vor ihr, während sie spricht.")</f>
        <v>Ein leeres Glas steht vor ihr, während sie spricht.</v>
      </c>
    </row>
    <row r="29883">
      <c r="A29883" s="4" t="s">
        <v>37633</v>
      </c>
      <c r="B29883" s="4" t="s">
        <v>37636</v>
      </c>
      <c r="C29883" s="5" t="str">
        <f>IFERROR(__xludf.DUMMYFUNCTION("GOOGLETRANSLATE(B29883,""en"",""de"")"),"Sie fügt dem Glas mit einer Kugel Eis hinzu.")</f>
        <v>Sie fügt dem Glas mit einer Kugel Eis hinzu.</v>
      </c>
    </row>
    <row r="29884">
      <c r="A29884" s="4" t="s">
        <v>37633</v>
      </c>
      <c r="B29884" s="4" t="s">
        <v>37637</v>
      </c>
      <c r="C29884" s="5" t="str">
        <f>IFERROR(__xludf.DUMMYFUNCTION("GOOGLETRANSLATE(B29884,""en"",""de"")"),"Sie fügt drei verschiedene Flüssigkeiten von drei Flaschen zum Glas hinzu.")</f>
        <v>Sie fügt drei verschiedene Flüssigkeiten von drei Flaschen zum Glas hinzu.</v>
      </c>
    </row>
    <row r="29885">
      <c r="A29885" s="4" t="s">
        <v>37633</v>
      </c>
      <c r="B29885" s="4" t="s">
        <v>37638</v>
      </c>
      <c r="C29885" s="5" t="str">
        <f>IFERROR(__xludf.DUMMYFUNCTION("GOOGLETRANSLATE(B29885,""en"",""de"")"),"Sie rührt sich und spricht weiter über das Getränk.")</f>
        <v>Sie rührt sich und spricht weiter über das Getränk.</v>
      </c>
    </row>
    <row r="29886">
      <c r="A29886" s="4" t="s">
        <v>37639</v>
      </c>
      <c r="B29886" s="4" t="s">
        <v>37640</v>
      </c>
      <c r="C29886" s="5" t="str">
        <f>IFERROR(__xludf.DUMMYFUNCTION("GOOGLETRANSLATE(B29886,""en"",""de"")"),"Wir sehen Leute auf einem Boot und sehen dann schnelle Aufnahmen von Menschen auf einem Boot in Tauchausrüstung.")</f>
        <v>Wir sehen Leute auf einem Boot und sehen dann schnelle Aufnahmen von Menschen auf einem Boot in Tauchausrüstung.</v>
      </c>
    </row>
    <row r="29887">
      <c r="A29887" s="4" t="s">
        <v>37639</v>
      </c>
      <c r="B29887" s="4" t="s">
        <v>37641</v>
      </c>
      <c r="C29887" s="5" t="str">
        <f>IFERROR(__xludf.DUMMYFUNCTION("GOOGLETRANSLATE(B29887,""en"",""de"")"),"Wir sehen Menschen unter Wassertauchen.")</f>
        <v>Wir sehen Menschen unter Wassertauchen.</v>
      </c>
    </row>
    <row r="29888">
      <c r="A29888" s="4" t="s">
        <v>37639</v>
      </c>
      <c r="B29888" s="4" t="s">
        <v>37642</v>
      </c>
      <c r="C29888" s="5" t="str">
        <f>IFERROR(__xludf.DUMMYFUNCTION("GOOGLETRANSLATE(B29888,""en"",""de"")"),"Ein Mann hält ein weißes Ding und berührt es immer und immer wieder.")</f>
        <v>Ein Mann hält ein weißes Ding und berührt es immer und immer wieder.</v>
      </c>
    </row>
    <row r="29889">
      <c r="A29889" s="4" t="s">
        <v>37639</v>
      </c>
      <c r="B29889" s="4" t="s">
        <v>37643</v>
      </c>
      <c r="C29889" s="5" t="str">
        <f>IFERROR(__xludf.DUMMYFUNCTION("GOOGLETRANSLATE(B29889,""en"",""de"")"),"Über Wasser befinden sich die Menschen auf dem Boot und eine Person fällt ins Wasser. Wir sehen Menschen unter Wasser tauchen und nachts auf Sealife schauen.")</f>
        <v>Über Wasser befinden sich die Menschen auf dem Boot und eine Person fällt ins Wasser. Wir sehen Menschen unter Wasser tauchen und nachts auf Sealife schauen.</v>
      </c>
    </row>
    <row r="29890">
      <c r="A29890" s="4" t="s">
        <v>37639</v>
      </c>
      <c r="B29890" s="4" t="s">
        <v>37644</v>
      </c>
      <c r="C29890" s="5" t="str">
        <f>IFERROR(__xludf.DUMMYFUNCTION("GOOGLETRANSLATE(B29890,""en"",""de"")"),"Eine Person fällt zurück ins Wasser und wir sind am Tag unter Wasser in der Nähe eines Schiffswracks.")</f>
        <v>Eine Person fällt zurück ins Wasser und wir sind am Tag unter Wasser in der Nähe eines Schiffswracks.</v>
      </c>
    </row>
    <row r="29891">
      <c r="A29891" s="4" t="s">
        <v>37639</v>
      </c>
      <c r="B29891" s="4" t="s">
        <v>37645</v>
      </c>
      <c r="C29891" s="5" t="str">
        <f>IFERROR(__xludf.DUMMYFUNCTION("GOOGLETRANSLATE(B29891,""en"",""de"")"),"Die Männer steigen auf das Boot, nachdem sie fertig sind.")</f>
        <v>Die Männer steigen auf das Boot, nachdem sie fertig sind.</v>
      </c>
    </row>
    <row r="29892">
      <c r="A29892" s="4" t="s">
        <v>37646</v>
      </c>
      <c r="B29892" s="4" t="s">
        <v>37647</v>
      </c>
      <c r="C29892" s="5" t="str">
        <f>IFERROR(__xludf.DUMMYFUNCTION("GOOGLETRANSLATE(B29892,""en"",""de"")"),"Ein Mann spricht mit der Kamera, während er verschiedene Objekte hochhält und einen Stock schärft.")</f>
        <v>Ein Mann spricht mit der Kamera, während er verschiedene Objekte hochhält und einen Stock schärft.</v>
      </c>
    </row>
    <row r="29893">
      <c r="A29893" s="4" t="s">
        <v>37646</v>
      </c>
      <c r="B29893" s="4" t="s">
        <v>37648</v>
      </c>
      <c r="C29893" s="5" t="str">
        <f>IFERROR(__xludf.DUMMYFUNCTION("GOOGLETRANSLATE(B29893,""en"",""de"")"),"Der Mann legt dann einen Helm an und befestigte den Stock an einen Halter, der in den Mann führt, der einen Funken erzeugt und ein Objekt schneidet.")</f>
        <v>Der Mann legt dann einen Helm an und befestigte den Stock an einen Halter, der in den Mann führt, der einen Funken erzeugt und ein Objekt schneidet.</v>
      </c>
    </row>
    <row r="29894">
      <c r="A29894" s="4" t="s">
        <v>37646</v>
      </c>
      <c r="B29894" s="4" t="s">
        <v>37649</v>
      </c>
      <c r="C29894" s="5" t="str">
        <f>IFERROR(__xludf.DUMMYFUNCTION("GOOGLETRANSLATE(B29894,""en"",""de"")"),"Er macht eine Pause, um mehr mit der Kamera zu sprechen und auf das Objekt herabzusehen, um zu sehen, wie es sich herausstellte.")</f>
        <v>Er macht eine Pause, um mehr mit der Kamera zu sprechen und auf das Objekt herabzusehen, um zu sehen, wie es sich herausstellte.</v>
      </c>
    </row>
    <row r="29895">
      <c r="A29895" s="4" t="s">
        <v>37650</v>
      </c>
      <c r="B29895" s="4" t="s">
        <v>37651</v>
      </c>
      <c r="C29895" s="5" t="str">
        <f>IFERROR(__xludf.DUMMYFUNCTION("GOOGLETRANSLATE(B29895,""en"",""de"")"),"Ein Mann mäht seinen Rasen, er hat Hühner in seinem Stall.")</f>
        <v>Ein Mann mäht seinen Rasen, er hat Hühner in seinem Stall.</v>
      </c>
    </row>
    <row r="29896">
      <c r="A29896" s="4" t="s">
        <v>37650</v>
      </c>
      <c r="B29896" s="4" t="s">
        <v>37652</v>
      </c>
      <c r="C29896" s="5" t="str">
        <f>IFERROR(__xludf.DUMMYFUNCTION("GOOGLETRANSLATE(B29896,""en"",""de"")"),"Die Zeit wird so schnell beschleunigt, so dass es so aussieht, als ob es in der doppelten Zeit ist.")</f>
        <v>Die Zeit wird so schnell beschleunigt, so dass es so aussieht, als ob es in der doppelten Zeit ist.</v>
      </c>
    </row>
    <row r="29897">
      <c r="A29897" s="4" t="s">
        <v>37650</v>
      </c>
      <c r="B29897" s="4" t="s">
        <v>37653</v>
      </c>
      <c r="C29897" s="5" t="str">
        <f>IFERROR(__xludf.DUMMYFUNCTION("GOOGLETRANSLATE(B29897,""en"",""de"")"),"Er geht um den Hof herum und sieht sich um.")</f>
        <v>Er geht um den Hof herum und sieht sich um.</v>
      </c>
    </row>
    <row r="29898">
      <c r="A29898" s="4" t="s">
        <v>37650</v>
      </c>
      <c r="B29898" s="4" t="s">
        <v>37654</v>
      </c>
      <c r="C29898" s="5" t="str">
        <f>IFERROR(__xludf.DUMMYFUNCTION("GOOGLETRANSLATE(B29898,""en"",""de"")"),"Der Hof sieht sehr grün und sehr schön gehalten aus.")</f>
        <v>Der Hof sieht sehr grün und sehr schön gehalten aus.</v>
      </c>
    </row>
    <row r="29899">
      <c r="A29899" s="4" t="s">
        <v>37655</v>
      </c>
      <c r="B29899" s="4" t="s">
        <v>37656</v>
      </c>
      <c r="C29899" s="5" t="str">
        <f>IFERROR(__xludf.DUMMYFUNCTION("GOOGLETRANSLATE(B29899,""en"",""de"")"),"Ein Cowboy auf einem Pferd läuft nach einer Kuh.")</f>
        <v>Ein Cowboy auf einem Pferd läuft nach einer Kuh.</v>
      </c>
    </row>
    <row r="29900">
      <c r="A29900" s="4" t="s">
        <v>37655</v>
      </c>
      <c r="B29900" s="4" t="s">
        <v>37657</v>
      </c>
      <c r="C29900" s="5" t="str">
        <f>IFERROR(__xludf.DUMMYFUNCTION("GOOGLETRANSLATE(B29900,""en"",""de"")"),"Der Cowboy springt vom Pferd und läuft nach der Kuh.")</f>
        <v>Der Cowboy springt vom Pferd und läuft nach der Kuh.</v>
      </c>
    </row>
    <row r="29901">
      <c r="A29901" s="4" t="s">
        <v>37655</v>
      </c>
      <c r="B29901" s="4" t="s">
        <v>37658</v>
      </c>
      <c r="C29901" s="5" t="str">
        <f>IFERROR(__xludf.DUMMYFUNCTION("GOOGLETRANSLATE(B29901,""en"",""de"")"),"Der Cowboy bindet die Kuh.")</f>
        <v>Der Cowboy bindet die Kuh.</v>
      </c>
    </row>
    <row r="29902">
      <c r="A29902" s="4" t="s">
        <v>37659</v>
      </c>
      <c r="B29902" s="4" t="s">
        <v>37660</v>
      </c>
      <c r="C29902" s="5" t="str">
        <f>IFERROR(__xludf.DUMMYFUNCTION("GOOGLETRANSLATE(B29902,""en"",""de"")"),"Eine Person sitzt in einem Floß, der einen Bach entlang geht.")</f>
        <v>Eine Person sitzt in einem Floß, der einen Bach entlang geht.</v>
      </c>
    </row>
    <row r="29903">
      <c r="A29903" s="4" t="s">
        <v>37659</v>
      </c>
      <c r="B29903" s="4" t="s">
        <v>37661</v>
      </c>
      <c r="C29903" s="5" t="str">
        <f>IFERROR(__xludf.DUMMYFUNCTION("GOOGLETRANSLATE(B29903,""en"",""de"")"),"Es gibt mehrere Leute in einem Floß im Fluss.")</f>
        <v>Es gibt mehrere Leute in einem Floß im Fluss.</v>
      </c>
    </row>
    <row r="29904">
      <c r="A29904" s="4" t="s">
        <v>37659</v>
      </c>
      <c r="B29904" s="4" t="s">
        <v>37662</v>
      </c>
      <c r="C29904" s="5" t="str">
        <f>IFERROR(__xludf.DUMMYFUNCTION("GOOGLETRANSLATE(B29904,""en"",""de"")"),"Jemand fällt ins Wasser und wird zurückgeholfen.")</f>
        <v>Jemand fällt ins Wasser und wird zurückgeholfen.</v>
      </c>
    </row>
    <row r="29905">
      <c r="A29905" s="4" t="s">
        <v>37663</v>
      </c>
      <c r="B29905" s="4" t="s">
        <v>2837</v>
      </c>
      <c r="C29905" s="5" t="str">
        <f>IFERROR(__xludf.DUMMYFUNCTION("GOOGLETRANSLATE(B29905,""en"",""de"")"),"Die Leute trainieren in einem Raum.")</f>
        <v>Die Leute trainieren in einem Raum.</v>
      </c>
    </row>
    <row r="29906">
      <c r="A29906" s="4" t="s">
        <v>37663</v>
      </c>
      <c r="B29906" s="4" t="s">
        <v>37664</v>
      </c>
      <c r="C29906" s="5" t="str">
        <f>IFERROR(__xludf.DUMMYFUNCTION("GOOGLETRANSLATE(B29906,""en"",""de"")"),"Sie treten auf Tritthocker.")</f>
        <v>Sie treten auf Tritthocker.</v>
      </c>
    </row>
    <row r="29907">
      <c r="A29907" s="4" t="s">
        <v>37663</v>
      </c>
      <c r="B29907" s="4" t="s">
        <v>37665</v>
      </c>
      <c r="C29907" s="5" t="str">
        <f>IFERROR(__xludf.DUMMYFUNCTION("GOOGLETRANSLATE(B29907,""en"",""de"")"),"Sie tanzen zusammen, während sie trainieren.")</f>
        <v>Sie tanzen zusammen, während sie trainieren.</v>
      </c>
    </row>
    <row r="29908">
      <c r="A29908" s="4" t="s">
        <v>37666</v>
      </c>
      <c r="B29908" s="4" t="s">
        <v>37667</v>
      </c>
      <c r="C29908" s="5" t="str">
        <f>IFERROR(__xludf.DUMMYFUNCTION("GOOGLETRANSLATE(B29908,""en"",""de"")"),"Wir sehen ein Damen Auge und Noes aus der Nähe.")</f>
        <v>Wir sehen ein Damen Auge und Noes aus der Nähe.</v>
      </c>
    </row>
    <row r="29909">
      <c r="A29909" s="4" t="s">
        <v>37666</v>
      </c>
      <c r="B29909" s="4" t="s">
        <v>37668</v>
      </c>
      <c r="C29909" s="5" t="str">
        <f>IFERROR(__xludf.DUMMYFUNCTION("GOOGLETRANSLATE(B29909,""en"",""de"")"),"Wir sehen die Dame in der Wüste, die sich Hula Hoops dreht und Tricks aufführt.")</f>
        <v>Wir sehen die Dame in der Wüste, die sich Hula Hoops dreht und Tricks aufführt.</v>
      </c>
    </row>
    <row r="29910">
      <c r="A29910" s="4" t="s">
        <v>37666</v>
      </c>
      <c r="B29910" s="4" t="s">
        <v>37669</v>
      </c>
      <c r="C29910" s="5" t="str">
        <f>IFERROR(__xludf.DUMMYFUNCTION("GOOGLETRANSLATE(B29910,""en"",""de"")"),"Die Lady Hula Hoops mit ungefähr 10 goldenen Hula -Reifen.")</f>
        <v>Die Lady Hula Hoops mit ungefähr 10 goldenen Hula -Reifen.</v>
      </c>
    </row>
    <row r="29911">
      <c r="A29911" s="4" t="s">
        <v>37666</v>
      </c>
      <c r="B29911" s="4" t="s">
        <v>37670</v>
      </c>
      <c r="C29911" s="5" t="str">
        <f>IFERROR(__xludf.DUMMYFUNCTION("GOOGLETRANSLATE(B29911,""en"",""de"")"),"Die Dame dreht den Reifen auf ihre Hand und überträgt ihn dann nach oben und wir sehen sie wieder in den goldenen Reifen.")</f>
        <v>Die Dame dreht den Reifen auf ihre Hand und überträgt ihn dann nach oben und wir sehen sie wieder in den goldenen Reifen.</v>
      </c>
    </row>
    <row r="29912">
      <c r="A29912" s="4" t="s">
        <v>37666</v>
      </c>
      <c r="B29912" s="4" t="s">
        <v>37671</v>
      </c>
      <c r="C29912" s="5" t="str">
        <f>IFERROR(__xludf.DUMMYFUNCTION("GOOGLETRANSLATE(B29912,""en"",""de"")"),"Die Dame dreht ihren Körper in und aus den Reifen und wir sehen sie in einem Handstand mit dem Hula -Reifen an den Füßen.")</f>
        <v>Die Dame dreht ihren Körper in und aus den Reifen und wir sehen sie in einem Handstand mit dem Hula -Reifen an den Füßen.</v>
      </c>
    </row>
    <row r="29913">
      <c r="A29913" s="4" t="s">
        <v>37666</v>
      </c>
      <c r="B29913" s="4" t="s">
        <v>37672</v>
      </c>
      <c r="C29913" s="5" t="str">
        <f>IFERROR(__xludf.DUMMYFUNCTION("GOOGLETRANSLATE(B29913,""en"",""de"")"),"Sie ist in den goldenen Reifen, als sie zu Boden fallen, sie dreht dann viele rosa Reifen aus ihren Händen und als Rock.")</f>
        <v>Sie ist in den goldenen Reifen, als sie zu Boden fallen, sie dreht dann viele rosa Reifen aus ihren Händen und als Rock.</v>
      </c>
    </row>
    <row r="29914">
      <c r="A29914" s="4" t="s">
        <v>37666</v>
      </c>
      <c r="B29914" s="4" t="s">
        <v>4513</v>
      </c>
      <c r="C29914" s="5" t="str">
        <f>IFERROR(__xludf.DUMMYFUNCTION("GOOGLETRANSLATE(B29914,""en"",""de"")"),"Wir sehen die Endgutschrift.")</f>
        <v>Wir sehen die Endgutschrift.</v>
      </c>
    </row>
    <row r="29915">
      <c r="A29915" s="4" t="s">
        <v>37673</v>
      </c>
      <c r="B29915" s="4" t="s">
        <v>37674</v>
      </c>
      <c r="C29915" s="5" t="str">
        <f>IFERROR(__xludf.DUMMYFUNCTION("GOOGLETRANSLATE(B29915,""en"",""de"")"),"Ein Mann in einem weißen Hemd steht neben einem Schwimmbad.")</f>
        <v>Ein Mann in einem weißen Hemd steht neben einem Schwimmbad.</v>
      </c>
    </row>
    <row r="29916">
      <c r="A29916" s="4" t="s">
        <v>37673</v>
      </c>
      <c r="B29916" s="4" t="s">
        <v>37675</v>
      </c>
      <c r="C29916" s="5" t="str">
        <f>IFERROR(__xludf.DUMMYFUNCTION("GOOGLETRANSLATE(B29916,""en"",""de"")"),"Ein Mann hält eine Kamera und filmt ihn die Treppe hinauf.")</f>
        <v>Ein Mann hält eine Kamera und filmt ihn die Treppe hinauf.</v>
      </c>
    </row>
    <row r="29917">
      <c r="A29917" s="4" t="s">
        <v>37673</v>
      </c>
      <c r="B29917" s="4" t="s">
        <v>37676</v>
      </c>
      <c r="C29917" s="5" t="str">
        <f>IFERROR(__xludf.DUMMYFUNCTION("GOOGLETRANSLATE(B29917,""en"",""de"")"),"Er steht auf einem Tauchbrett und springt in den Pool unter ihm.")</f>
        <v>Er steht auf einem Tauchbrett und springt in den Pool unter ihm.</v>
      </c>
    </row>
    <row r="29918">
      <c r="A29918" s="4" t="s">
        <v>37673</v>
      </c>
      <c r="B29918" s="4" t="s">
        <v>37677</v>
      </c>
      <c r="C29918" s="5" t="str">
        <f>IFERROR(__xludf.DUMMYFUNCTION("GOOGLETRANSLATE(B29918,""en"",""de"")"),"Er steigt aus dem Wasser und spaziert, um Menschen umarmt zu haben.")</f>
        <v>Er steigt aus dem Wasser und spaziert, um Menschen umarmt zu haben.</v>
      </c>
    </row>
    <row r="29919">
      <c r="A29919" s="4" t="s">
        <v>37678</v>
      </c>
      <c r="B29919" s="4" t="s">
        <v>37679</v>
      </c>
      <c r="C29919" s="5" t="str">
        <f>IFERROR(__xludf.DUMMYFUNCTION("GOOGLETRANSLATE(B29919,""en"",""de"")"),"Eine Frau sitzt auf einer Wanne mit einem Handtuch um sie und rasiert ihre Beine.")</f>
        <v>Eine Frau sitzt auf einer Wanne mit einem Handtuch um sie und rasiert ihre Beine.</v>
      </c>
    </row>
    <row r="29920">
      <c r="A29920" s="4" t="s">
        <v>37678</v>
      </c>
      <c r="B29920" s="4" t="s">
        <v>37680</v>
      </c>
      <c r="C29920" s="5" t="str">
        <f>IFERROR(__xludf.DUMMYFUNCTION("GOOGLETRANSLATE(B29920,""en"",""de"")"),"Sie lacht dann mit der Kamera und rennt mit einem Jungen aus, der sie zu Boden drückt.")</f>
        <v>Sie lacht dann mit der Kamera und rennt mit einem Jungen aus, der sie zu Boden drückt.</v>
      </c>
    </row>
    <row r="29921">
      <c r="A29921" s="4" t="s">
        <v>37681</v>
      </c>
      <c r="B29921" s="4" t="s">
        <v>37682</v>
      </c>
      <c r="C29921" s="5" t="str">
        <f>IFERROR(__xludf.DUMMYFUNCTION("GOOGLETRANSLATE(B29921,""en"",""de"")"),"Zwei Männer sitzen an einem Picknicktisch und machen sich bereit, das Wrestle zu bewaffnen.")</f>
        <v>Zwei Männer sitzen an einem Picknicktisch und machen sich bereit, das Wrestle zu bewaffnen.</v>
      </c>
    </row>
    <row r="29922">
      <c r="A29922" s="4" t="s">
        <v>37681</v>
      </c>
      <c r="B29922" s="4" t="s">
        <v>37683</v>
      </c>
      <c r="C29922" s="5" t="str">
        <f>IFERROR(__xludf.DUMMYFUNCTION("GOOGLETRANSLATE(B29922,""en"",""de"")"),"Verschiedene Menschen beobachten von den Seiten und die Männer fangen an zu ringen.")</f>
        <v>Verschiedene Menschen beobachten von den Seiten und die Männer fangen an zu ringen.</v>
      </c>
    </row>
    <row r="29923">
      <c r="A29923" s="4" t="s">
        <v>37681</v>
      </c>
      <c r="B29923" s="4" t="s">
        <v>37684</v>
      </c>
      <c r="C29923" s="5" t="str">
        <f>IFERROR(__xludf.DUMMYFUNCTION("GOOGLETRANSLATE(B29923,""en"",""de"")"),"Ein Mann wird vom Kameramann interviewt und zeigt seinen Bizeps der Kamera.")</f>
        <v>Ein Mann wird vom Kameramann interviewt und zeigt seinen Bizeps der Kamera.</v>
      </c>
    </row>
    <row r="29924">
      <c r="A29924" s="4" t="s">
        <v>37681</v>
      </c>
      <c r="B29924" s="4" t="s">
        <v>37685</v>
      </c>
      <c r="C29924" s="5" t="str">
        <f>IFERROR(__xludf.DUMMYFUNCTION("GOOGLETRANSLATE(B29924,""en"",""de"")"),"Zwei Männer sprechen weiter mit der Kamera und beginnen schließlich wieder mit Arm zu ringen.")</f>
        <v>Zwei Männer sprechen weiter mit der Kamera und beginnen schließlich wieder mit Arm zu ringen.</v>
      </c>
    </row>
    <row r="29925">
      <c r="A29925" s="4" t="s">
        <v>37681</v>
      </c>
      <c r="B29925" s="4" t="s">
        <v>37686</v>
      </c>
      <c r="C29925" s="5" t="str">
        <f>IFERROR(__xludf.DUMMYFUNCTION("GOOGLETRANSLATE(B29925,""en"",""de"")"),"Sie spielen verschiedene Spiele von Arm Wrestling und interviewen eine Zuschauerin, die auch Wrestle arm.")</f>
        <v>Sie spielen verschiedene Spiele von Arm Wrestling und interviewen eine Zuschauerin, die auch Wrestle arm.</v>
      </c>
    </row>
    <row r="29926">
      <c r="A29926" s="4" t="s">
        <v>37681</v>
      </c>
      <c r="B29926" s="4" t="s">
        <v>37687</v>
      </c>
      <c r="C29926" s="5" t="str">
        <f>IFERROR(__xludf.DUMMYFUNCTION("GOOGLETRANSLATE(B29926,""en"",""de"")"),"Der Mann lässt sie ihr Arm -Wrestling -Match gewinnen und das Mädchen scheint schwindlig.")</f>
        <v>Der Mann lässt sie ihr Arm -Wrestling -Match gewinnen und das Mädchen scheint schwindlig.</v>
      </c>
    </row>
    <row r="29927">
      <c r="A29927" s="4" t="s">
        <v>37688</v>
      </c>
      <c r="B29927" s="4" t="s">
        <v>37689</v>
      </c>
      <c r="C29927" s="5" t="str">
        <f>IFERROR(__xludf.DUMMYFUNCTION("GOOGLETRANSLATE(B29927,""en"",""de"")"),"Ein Typ tätowiert den Oberarm einer Dame.")</f>
        <v>Ein Typ tätowiert den Oberarm einer Dame.</v>
      </c>
    </row>
    <row r="29928">
      <c r="A29928" s="4" t="s">
        <v>37688</v>
      </c>
      <c r="B29928" s="4" t="s">
        <v>37690</v>
      </c>
      <c r="C29928" s="5" t="str">
        <f>IFERROR(__xludf.DUMMYFUNCTION("GOOGLETRANSLATE(B29928,""en"",""de"")"),"Die Dame hat Schmerzen.")</f>
        <v>Die Dame hat Schmerzen.</v>
      </c>
    </row>
    <row r="29929">
      <c r="A29929" s="4" t="s">
        <v>37688</v>
      </c>
      <c r="B29929" s="4" t="s">
        <v>37691</v>
      </c>
      <c r="C29929" s="5" t="str">
        <f>IFERROR(__xludf.DUMMYFUNCTION("GOOGLETRANSLATE(B29929,""en"",""de"")"),"Der Typ peitscht mit einem weißen Papiertuch.")</f>
        <v>Der Typ peitscht mit einem weißen Papiertuch.</v>
      </c>
    </row>
    <row r="29930">
      <c r="A29930" s="4" t="s">
        <v>37692</v>
      </c>
      <c r="B29930" s="4" t="s">
        <v>37693</v>
      </c>
      <c r="C29930" s="5" t="str">
        <f>IFERROR(__xludf.DUMMYFUNCTION("GOOGLETRANSLATE(B29930,""en"",""de"")"),"Ein Turner ist zu sehen, der sich über einen langen Strahl lehnt und beginnt eine Gymnastikroutine durchzuführen.")</f>
        <v>Ein Turner ist zu sehen, der sich über einen langen Strahl lehnt und beginnt eine Gymnastikroutine durchzuführen.</v>
      </c>
    </row>
    <row r="29931">
      <c r="A29931" s="4" t="s">
        <v>37692</v>
      </c>
      <c r="B29931" s="4" t="s">
        <v>37694</v>
      </c>
      <c r="C29931" s="5" t="str">
        <f>IFERROR(__xludf.DUMMYFUNCTION("GOOGLETRANSLATE(B29931,""en"",""de"")"),"Das Mädchen dreht und tricks am Strahl entlang, während andere nebenbei zuschauen.")</f>
        <v>Das Mädchen dreht und tricks am Strahl entlang, während andere nebenbei zuschauen.</v>
      </c>
    </row>
    <row r="29932">
      <c r="A29932" s="4" t="s">
        <v>37692</v>
      </c>
      <c r="B29932" s="4" t="s">
        <v>37695</v>
      </c>
      <c r="C29932" s="5" t="str">
        <f>IFERROR(__xludf.DUMMYFUNCTION("GOOGLETRANSLATE(B29932,""en"",""de"")"),"Die Frau bewegt sich weiter entlang des Balkens und endet, indem sie von der Seite springt und von der Bühne geht.")</f>
        <v>Die Frau bewegt sich weiter entlang des Balkens und endet, indem sie von der Seite springt und von der Bühne geht.</v>
      </c>
    </row>
    <row r="29933">
      <c r="A29933" s="4" t="s">
        <v>37696</v>
      </c>
      <c r="B29933" s="4" t="s">
        <v>37697</v>
      </c>
      <c r="C29933" s="5" t="str">
        <f>IFERROR(__xludf.DUMMYFUNCTION("GOOGLETRANSLATE(B29933,""en"",""de"")"),"Der Wasserhahn ist dann eine Hand, die den Schlauch befestigt und den Schlauch festzieht.")</f>
        <v>Der Wasserhahn ist dann eine Hand, die den Schlauch befestigt und den Schlauch festzieht.</v>
      </c>
    </row>
    <row r="29934">
      <c r="A29934" s="4" t="s">
        <v>37696</v>
      </c>
      <c r="B29934" s="4" t="s">
        <v>37698</v>
      </c>
      <c r="C29934" s="5" t="str">
        <f>IFERROR(__xludf.DUMMYFUNCTION("GOOGLETRANSLATE(B29934,""en"",""de"")"),"Ein Strohhalm ist an einem Tank befestigt.")</f>
        <v>Ein Strohhalm ist an einem Tank befestigt.</v>
      </c>
    </row>
    <row r="29935">
      <c r="A29935" s="4" t="s">
        <v>37696</v>
      </c>
      <c r="B29935" s="4" t="s">
        <v>37699</v>
      </c>
      <c r="C29935" s="5" t="str">
        <f>IFERROR(__xludf.DUMMYFUNCTION("GOOGLETRANSLATE(B29935,""en"",""de"")"),"Die Frau wäscht den Hund mit dem Schlauch in der Badewanne.")</f>
        <v>Die Frau wäscht den Hund mit dem Schlauch in der Badewanne.</v>
      </c>
    </row>
    <row r="29936">
      <c r="A29936" s="4" t="s">
        <v>37700</v>
      </c>
      <c r="B29936" s="4" t="s">
        <v>37701</v>
      </c>
      <c r="C29936" s="5" t="str">
        <f>IFERROR(__xludf.DUMMYFUNCTION("GOOGLETRANSLATE(B29936,""en"",""de"")"),"Auf einer Tabelle befindet sich ein Tablett mit Chips.")</f>
        <v>Auf einer Tabelle befindet sich ein Tablett mit Chips.</v>
      </c>
    </row>
    <row r="29937">
      <c r="A29937" s="4" t="s">
        <v>37700</v>
      </c>
      <c r="B29937" s="4" t="s">
        <v>37702</v>
      </c>
      <c r="C29937" s="5" t="str">
        <f>IFERROR(__xludf.DUMMYFUNCTION("GOOGLETRANSLATE(B29937,""en"",""de"")"),"Eine Person handelt Karten auf den Tisch.")</f>
        <v>Eine Person handelt Karten auf den Tisch.</v>
      </c>
    </row>
    <row r="29938">
      <c r="A29938" s="4" t="s">
        <v>37700</v>
      </c>
      <c r="B29938" s="4" t="s">
        <v>37703</v>
      </c>
      <c r="C29938" s="5" t="str">
        <f>IFERROR(__xludf.DUMMYFUNCTION("GOOGLETRANSLATE(B29938,""en"",""de"")"),"Menschen, die am Tisch sitzen, geben sich gegenseitig hohe Fünfer.")</f>
        <v>Menschen, die am Tisch sitzen, geben sich gegenseitig hohe Fünfer.</v>
      </c>
    </row>
    <row r="29939">
      <c r="A29939" s="4" t="s">
        <v>37704</v>
      </c>
      <c r="B29939" s="4" t="s">
        <v>37705</v>
      </c>
      <c r="C29939" s="5" t="str">
        <f>IFERROR(__xludf.DUMMYFUNCTION("GOOGLETRANSLATE(B29939,""en"",""de"")"),"Eine drehende Scheibe mit Farbkreisen wird gezeigt, die eine Filmrolle und die Wörter Filme Indiens verblüfft.")</f>
        <v>Eine drehende Scheibe mit Farbkreisen wird gezeigt, die eine Filmrolle und die Wörter Filme Indiens verblüfft.</v>
      </c>
    </row>
    <row r="29940">
      <c r="A29940" s="4" t="s">
        <v>37704</v>
      </c>
      <c r="B29940" s="4" t="s">
        <v>37706</v>
      </c>
      <c r="C29940" s="5" t="str">
        <f>IFERROR(__xludf.DUMMYFUNCTION("GOOGLETRANSLATE(B29940,""en"",""de"")"),"Ein Mann wird gezeigt, bevor es sich vor einer Menge an einem Tennisspiel eingeht.")</f>
        <v>Ein Mann wird gezeigt, bevor es sich vor einer Menge an einem Tennisspiel eingeht.</v>
      </c>
    </row>
    <row r="29941">
      <c r="A29941" s="4" t="s">
        <v>37704</v>
      </c>
      <c r="B29941" s="4" t="s">
        <v>37707</v>
      </c>
      <c r="C29941" s="5" t="str">
        <f>IFERROR(__xludf.DUMMYFUNCTION("GOOGLETRANSLATE(B29941,""en"",""de"")"),"Dann spricht er mit der Menge unter blinkenden Kameras durch ein Mikrofon.")</f>
        <v>Dann spricht er mit der Menge unter blinkenden Kameras durch ein Mikrofon.</v>
      </c>
    </row>
    <row r="29942">
      <c r="A29942" s="4" t="s">
        <v>37704</v>
      </c>
      <c r="B29942" s="4" t="s">
        <v>37708</v>
      </c>
      <c r="C29942" s="5" t="str">
        <f>IFERROR(__xludf.DUMMYFUNCTION("GOOGLETRANSLATE(B29942,""en"",""de"")"),"Der Mann spielt gelegentlich Tennis und spricht dann mit der Gruppe zurück.")</f>
        <v>Der Mann spielt gelegentlich Tennis und spricht dann mit der Gruppe zurück.</v>
      </c>
    </row>
    <row r="29943">
      <c r="A29943" s="4" t="s">
        <v>37709</v>
      </c>
      <c r="B29943" s="4" t="s">
        <v>37710</v>
      </c>
      <c r="C29943" s="5" t="str">
        <f>IFERROR(__xludf.DUMMYFUNCTION("GOOGLETRANSLATE(B29943,""en"",""de"")"),"Ein Mann steht am Fuß einer großen Wand.")</f>
        <v>Ein Mann steht am Fuß einer großen Wand.</v>
      </c>
    </row>
    <row r="29944">
      <c r="A29944" s="4" t="s">
        <v>37709</v>
      </c>
      <c r="B29944" s="4" t="s">
        <v>37711</v>
      </c>
      <c r="C29944" s="5" t="str">
        <f>IFERROR(__xludf.DUMMYFUNCTION("GOOGLETRANSLATE(B29944,""en"",""de"")"),"Er streckt sich und starrt es aus, als könnte er es besteigen.")</f>
        <v>Er streckt sich und starrt es aus, als könnte er es besteigen.</v>
      </c>
    </row>
    <row r="29945">
      <c r="A29945" s="4" t="s">
        <v>37709</v>
      </c>
      <c r="B29945" s="4" t="s">
        <v>37712</v>
      </c>
      <c r="C29945" s="5" t="str">
        <f>IFERROR(__xludf.DUMMYFUNCTION("GOOGLETRANSLATE(B29945,""en"",""de"")"),"Er schaut auf und ab, bevor er einen Fuß auf die Mauerbasis legt.")</f>
        <v>Er schaut auf und ab, bevor er einen Fuß auf die Mauerbasis legt.</v>
      </c>
    </row>
    <row r="29946">
      <c r="A29946" s="4" t="s">
        <v>37709</v>
      </c>
      <c r="B29946" s="4" t="s">
        <v>37713</v>
      </c>
      <c r="C29946" s="5" t="str">
        <f>IFERROR(__xludf.DUMMYFUNCTION("GOOGLETRANSLATE(B29946,""en"",""de"")"),"Dann beginnt er immer höher zu klettern.")</f>
        <v>Dann beginnt er immer höher zu klettern.</v>
      </c>
    </row>
    <row r="29947">
      <c r="A29947" s="4" t="s">
        <v>37709</v>
      </c>
      <c r="B29947" s="4" t="s">
        <v>37714</v>
      </c>
      <c r="C29947" s="5" t="str">
        <f>IFERROR(__xludf.DUMMYFUNCTION("GOOGLETRANSLATE(B29947,""en"",""de"")"),"Er skaliert die Wand sehr methodisch.")</f>
        <v>Er skaliert die Wand sehr methodisch.</v>
      </c>
    </row>
    <row r="29948">
      <c r="A29948" s="4" t="s">
        <v>37709</v>
      </c>
      <c r="B29948" s="4" t="s">
        <v>37715</v>
      </c>
      <c r="C29948" s="5" t="str">
        <f>IFERROR(__xludf.DUMMYFUNCTION("GOOGLETRANSLATE(B29948,""en"",""de"")"),"Er kommt schließlich relativ leicht nach oben.")</f>
        <v>Er kommt schließlich relativ leicht nach oben.</v>
      </c>
    </row>
    <row r="29949">
      <c r="A29949" s="4" t="s">
        <v>37716</v>
      </c>
      <c r="B29949" s="4" t="s">
        <v>37717</v>
      </c>
      <c r="C29949" s="5" t="str">
        <f>IFERROR(__xludf.DUMMYFUNCTION("GOOGLETRANSLATE(B29949,""en"",""de"")"),"Ein Teenager steht in einer Küche, hält einen Krug und redet.")</f>
        <v>Ein Teenager steht in einer Küche, hält einen Krug und redet.</v>
      </c>
    </row>
    <row r="29950">
      <c r="A29950" s="4" t="s">
        <v>37716</v>
      </c>
      <c r="B29950" s="4" t="s">
        <v>37718</v>
      </c>
      <c r="C29950" s="5" t="str">
        <f>IFERROR(__xludf.DUMMYFUNCTION("GOOGLETRANSLATE(B29950,""en"",""de"")"),"Er füllt den Krug mit Wasser am Waschbecken.")</f>
        <v>Er füllt den Krug mit Wasser am Waschbecken.</v>
      </c>
    </row>
    <row r="29951">
      <c r="A29951" s="4" t="s">
        <v>37716</v>
      </c>
      <c r="B29951" s="4" t="s">
        <v>37719</v>
      </c>
      <c r="C29951" s="5" t="str">
        <f>IFERROR(__xludf.DUMMYFUNCTION("GOOGLETRANSLATE(B29951,""en"",""de"")"),"Dann mischt er ein Pulver ins Wasser und erzeugt eine Getränkemischung.")</f>
        <v>Dann mischt er ein Pulver ins Wasser und erzeugt eine Getränkemischung.</v>
      </c>
    </row>
    <row r="29952">
      <c r="A29952" s="4" t="s">
        <v>37716</v>
      </c>
      <c r="B29952" s="4" t="s">
        <v>37720</v>
      </c>
      <c r="C29952" s="5" t="str">
        <f>IFERROR(__xludf.DUMMYFUNCTION("GOOGLETRANSLATE(B29952,""en"",""de"")"),"Er kostet Alkohol und trinkt dann vom Krug, um den Geschmack zu testen.")</f>
        <v>Er kostet Alkohol und trinkt dann vom Krug, um den Geschmack zu testen.</v>
      </c>
    </row>
    <row r="29953">
      <c r="A29953" s="4" t="s">
        <v>37721</v>
      </c>
      <c r="B29953" s="4" t="s">
        <v>37722</v>
      </c>
      <c r="C29953" s="5" t="str">
        <f>IFERROR(__xludf.DUMMYFUNCTION("GOOGLETRANSLATE(B29953,""en"",""de"")"),"Eine Gruppe von Menschen befindet sich in einem Gebäude.")</f>
        <v>Eine Gruppe von Menschen befindet sich in einem Gebäude.</v>
      </c>
    </row>
    <row r="29954">
      <c r="A29954" s="4" t="s">
        <v>37721</v>
      </c>
      <c r="B29954" s="4" t="s">
        <v>37723</v>
      </c>
      <c r="C29954" s="5" t="str">
        <f>IFERROR(__xludf.DUMMYFUNCTION("GOOGLETRANSLATE(B29954,""en"",""de"")"),"Sie spielen zusammen ein Spiel Foosball.")</f>
        <v>Sie spielen zusammen ein Spiel Foosball.</v>
      </c>
    </row>
    <row r="29955">
      <c r="A29955" s="4" t="s">
        <v>37721</v>
      </c>
      <c r="B29955" s="4" t="s">
        <v>37724</v>
      </c>
      <c r="C29955" s="5" t="str">
        <f>IFERROR(__xludf.DUMMYFUNCTION("GOOGLETRANSLATE(B29955,""en"",""de"")"),"Sie treten die Figuren hin und her und versuchen, das Spiel zu gewinnen.")</f>
        <v>Sie treten die Figuren hin und her und versuchen, das Spiel zu gewinnen.</v>
      </c>
    </row>
    <row r="29956">
      <c r="A29956" s="4" t="s">
        <v>37725</v>
      </c>
      <c r="B29956" s="4" t="s">
        <v>37726</v>
      </c>
      <c r="C29956" s="5" t="str">
        <f>IFERROR(__xludf.DUMMYFUNCTION("GOOGLETRANSLATE(B29956,""en"",""de"")"),"Ein Mann übt Eishockey, das eine Scheibe mit einem Stock wirft.")</f>
        <v>Ein Mann übt Eishockey, das eine Scheibe mit einem Stock wirft.</v>
      </c>
    </row>
    <row r="29957">
      <c r="A29957" s="4" t="s">
        <v>37725</v>
      </c>
      <c r="B29957" s="4" t="s">
        <v>37727</v>
      </c>
      <c r="C29957" s="5" t="str">
        <f>IFERROR(__xludf.DUMMYFUNCTION("GOOGLETRANSLATE(B29957,""en"",""de"")"),"Dann trifft der Spieler in einem Spiel und er gratuliert von Teamkollegen.")</f>
        <v>Dann trifft der Spieler in einem Spiel und er gratuliert von Teamkollegen.</v>
      </c>
    </row>
    <row r="29958">
      <c r="A29958" s="4" t="s">
        <v>37725</v>
      </c>
      <c r="B29958" s="4" t="s">
        <v>37728</v>
      </c>
      <c r="C29958" s="5" t="str">
        <f>IFERROR(__xludf.DUMMYFUNCTION("GOOGLETRANSLATE(B29958,""en"",""de"")"),"Andere Spieler spricht und spricht, wenn Männer Eishockey spielen.")</f>
        <v>Andere Spieler spricht und spricht, wenn Männer Eishockey spielen.</v>
      </c>
    </row>
    <row r="29959">
      <c r="A29959" s="4" t="s">
        <v>37725</v>
      </c>
      <c r="B29959" s="4" t="s">
        <v>37729</v>
      </c>
      <c r="C29959" s="5" t="str">
        <f>IFERROR(__xludf.DUMMYFUNCTION("GOOGLETRANSLATE(B29959,""en"",""de"")"),"Ein Spieler spricht und Teams spielen auf dem Eisplatz und die Spieler erzielen.")</f>
        <v>Ein Spieler spricht und Teams spielen auf dem Eisplatz und die Spieler erzielen.</v>
      </c>
    </row>
    <row r="29960">
      <c r="A29960" s="4" t="s">
        <v>37730</v>
      </c>
      <c r="B29960" s="4" t="s">
        <v>37731</v>
      </c>
      <c r="C29960" s="5" t="str">
        <f>IFERROR(__xludf.DUMMYFUNCTION("GOOGLETRANSLATE(B29960,""en"",""de"")"),"Ein Mann im T -Shirt lehnt sich auf eine Küchentheke neben Zutatensäcken.")</f>
        <v>Ein Mann im T -Shirt lehnt sich auf eine Küchentheke neben Zutatensäcken.</v>
      </c>
    </row>
    <row r="29961">
      <c r="A29961" s="4" t="s">
        <v>37730</v>
      </c>
      <c r="B29961" s="4" t="s">
        <v>37732</v>
      </c>
      <c r="C29961" s="5" t="str">
        <f>IFERROR(__xludf.DUMMYFUNCTION("GOOGLETRANSLATE(B29961,""en"",""de"")"),"Der Mann präsentiert jede getrennte Zutat und hält sie auf, die jede einzelne zeigt.")</f>
        <v>Der Mann präsentiert jede getrennte Zutat und hält sie auf, die jede einzelne zeigt.</v>
      </c>
    </row>
    <row r="29962">
      <c r="A29962" s="4" t="s">
        <v>37730</v>
      </c>
      <c r="B29962" s="4" t="s">
        <v>37733</v>
      </c>
      <c r="C29962" s="5" t="str">
        <f>IFERROR(__xludf.DUMMYFUNCTION("GOOGLETRANSLATE(B29962,""en"",""de"")"),"Eine Pfanne mit geschnittenem Wurst und Paprika kocht auf einem Herd.")</f>
        <v>Eine Pfanne mit geschnittenem Wurst und Paprika kocht auf einem Herd.</v>
      </c>
    </row>
    <row r="29963">
      <c r="A29963" s="4" t="s">
        <v>37730</v>
      </c>
      <c r="B29963" s="4" t="s">
        <v>37734</v>
      </c>
      <c r="C29963" s="5" t="str">
        <f>IFERROR(__xludf.DUMMYFUNCTION("GOOGLETRANSLATE(B29963,""en"",""de"")"),"Ein Topf Suppe kocht.")</f>
        <v>Ein Topf Suppe kocht.</v>
      </c>
    </row>
    <row r="29964">
      <c r="A29964" s="4" t="s">
        <v>37730</v>
      </c>
      <c r="B29964" s="4" t="s">
        <v>37735</v>
      </c>
      <c r="C29964" s="5" t="str">
        <f>IFERROR(__xludf.DUMMYFUNCTION("GOOGLETRANSLATE(B29964,""en"",""de"")"),"Zutaten sitzen neben dem Herd und werden verwendet, um das Essen zuzubereiten.")</f>
        <v>Zutaten sitzen neben dem Herd und werden verwendet, um das Essen zuzubereiten.</v>
      </c>
    </row>
    <row r="29965">
      <c r="A29965" s="4" t="s">
        <v>37730</v>
      </c>
      <c r="B29965" s="4" t="s">
        <v>37736</v>
      </c>
      <c r="C29965" s="5" t="str">
        <f>IFERROR(__xludf.DUMMYFUNCTION("GOOGLETRANSLATE(B29965,""en"",""de"")"),"In einer Schüssel mit geschnittenem Gemüse werden die Pfannenzutaten hinzugefügt.")</f>
        <v>In einer Schüssel mit geschnittenem Gemüse werden die Pfannenzutaten hinzugefügt.</v>
      </c>
    </row>
    <row r="29966">
      <c r="A29966" s="4" t="s">
        <v>37730</v>
      </c>
      <c r="B29966" s="4" t="s">
        <v>37737</v>
      </c>
      <c r="C29966" s="5" t="str">
        <f>IFERROR(__xludf.DUMMYFUNCTION("GOOGLETRANSLATE(B29966,""en"",""de"")"),"Eine Schüssel mit Pasta wird in die Schüssel und erschüttert hinzugefügt.")</f>
        <v>Eine Schüssel mit Pasta wird in die Schüssel und erschüttert hinzugefügt.</v>
      </c>
    </row>
    <row r="29967">
      <c r="A29967" s="4" t="s">
        <v>37730</v>
      </c>
      <c r="B29967" s="4" t="s">
        <v>37738</v>
      </c>
      <c r="C29967" s="5" t="str">
        <f>IFERROR(__xludf.DUMMYFUNCTION("GOOGLETRANSLATE(B29967,""en"",""de"")"),"Eine Tüte Käse wird aufgehalten.")</f>
        <v>Eine Tüte Käse wird aufgehalten.</v>
      </c>
    </row>
    <row r="29968">
      <c r="A29968" s="4" t="s">
        <v>37730</v>
      </c>
      <c r="B29968" s="4" t="s">
        <v>37739</v>
      </c>
      <c r="C29968" s="5" t="str">
        <f>IFERROR(__xludf.DUMMYFUNCTION("GOOGLETRANSLATE(B29968,""en"",""de"")"),"Der Mann spricht in der Nähe der Kamera.")</f>
        <v>Der Mann spricht in der Nähe der Kamera.</v>
      </c>
    </row>
    <row r="29969">
      <c r="A29969" s="4" t="s">
        <v>37740</v>
      </c>
      <c r="B29969" s="4" t="s">
        <v>37741</v>
      </c>
      <c r="C29969" s="5" t="str">
        <f>IFERROR(__xludf.DUMMYFUNCTION("GOOGLETRANSLATE(B29969,""en"",""de"")"),"Eine Frau spricht in einem Büro.")</f>
        <v>Eine Frau spricht in einem Büro.</v>
      </c>
    </row>
    <row r="29970">
      <c r="A29970" s="4" t="s">
        <v>37740</v>
      </c>
      <c r="B29970" s="4" t="s">
        <v>37742</v>
      </c>
      <c r="C29970" s="5" t="str">
        <f>IFERROR(__xludf.DUMMYFUNCTION("GOOGLETRANSLATE(B29970,""en"",""de"")"),"Die Frau erklärt, wie sie ihre Haare kräuselt.")</f>
        <v>Die Frau erklärt, wie sie ihre Haare kräuselt.</v>
      </c>
    </row>
    <row r="29971">
      <c r="A29971" s="4" t="s">
        <v>37743</v>
      </c>
      <c r="B29971" s="4" t="s">
        <v>37744</v>
      </c>
      <c r="C29971" s="5" t="str">
        <f>IFERROR(__xludf.DUMMYFUNCTION("GOOGLETRANSLATE(B29971,""en"",""de"")"),"Eine große Gruppe von Menschen steht und sitzt in einer Sandgrube, während ein Läufer hineinspringt.")</f>
        <v>Eine große Gruppe von Menschen steht und sitzt in einer Sandgrube, während ein Läufer hineinspringt.</v>
      </c>
    </row>
    <row r="29972">
      <c r="A29972" s="4" t="s">
        <v>37743</v>
      </c>
      <c r="B29972" s="4" t="s">
        <v>37745</v>
      </c>
      <c r="C29972" s="5" t="str">
        <f>IFERROR(__xludf.DUMMYFUNCTION("GOOGLETRANSLATE(B29972,""en"",""de"")"),"Der Mann wird mehrmals mit Menschen gesprungen, die seinen Sprung danach messen und den Sand durchragen.")</f>
        <v>Der Mann wird mehrmals mit Menschen gesprungen, die seinen Sprung danach messen und den Sand durchragen.</v>
      </c>
    </row>
    <row r="29973">
      <c r="A29973" s="4" t="s">
        <v>37746</v>
      </c>
      <c r="B29973" s="4" t="s">
        <v>37747</v>
      </c>
      <c r="C29973" s="5" t="str">
        <f>IFERROR(__xludf.DUMMYFUNCTION("GOOGLETRANSLATE(B29973,""en"",""de"")"),"Zwei Cheerleader trainieren in einem Fitnessstudio, während er sich unterhielt.")</f>
        <v>Zwei Cheerleader trainieren in einem Fitnessstudio, während er sich unterhielt.</v>
      </c>
    </row>
    <row r="29974">
      <c r="A29974" s="4" t="s">
        <v>37746</v>
      </c>
      <c r="B29974" s="4" t="s">
        <v>37748</v>
      </c>
      <c r="C29974" s="5" t="str">
        <f>IFERROR(__xludf.DUMMYFUNCTION("GOOGLETRANSLATE(B29974,""en"",""de"")"),"Eine Cheerleaderin befindet sich in einem Raum und hebt dann an, während der andere auf seinem Handy spricht.")</f>
        <v>Eine Cheerleaderin befindet sich in einem Raum und hebt dann an, während der andere auf seinem Handy spricht.</v>
      </c>
    </row>
    <row r="29975">
      <c r="A29975" s="4" t="s">
        <v>37746</v>
      </c>
      <c r="B29975" s="4" t="s">
        <v>37749</v>
      </c>
      <c r="C29975" s="5" t="str">
        <f>IFERROR(__xludf.DUMMYFUNCTION("GOOGLETRANSLATE(B29975,""en"",""de"")"),"Danach reden und trainieren die Cheerleader.")</f>
        <v>Danach reden und trainieren die Cheerleader.</v>
      </c>
    </row>
    <row r="29976">
      <c r="A29976" s="4" t="s">
        <v>37746</v>
      </c>
      <c r="B29976" s="4" t="s">
        <v>37750</v>
      </c>
      <c r="C29976" s="5" t="str">
        <f>IFERROR(__xludf.DUMMYFUNCTION("GOOGLETRANSLATE(B29976,""en"",""de"")"),"Danach trainieren die Cheerleader und reden.")</f>
        <v>Danach trainieren die Cheerleader und reden.</v>
      </c>
    </row>
    <row r="29977">
      <c r="A29977" s="4" t="s">
        <v>37751</v>
      </c>
      <c r="B29977" s="4" t="s">
        <v>37752</v>
      </c>
      <c r="C29977" s="5" t="str">
        <f>IFERROR(__xludf.DUMMYFUNCTION("GOOGLETRANSLATE(B29977,""en"",""de"")"),"Eine Frau ist auf einem konkreten Gericht draußen.")</f>
        <v>Eine Frau ist auf einem konkreten Gericht draußen.</v>
      </c>
    </row>
    <row r="29978">
      <c r="A29978" s="4" t="s">
        <v>37751</v>
      </c>
      <c r="B29978" s="4" t="s">
        <v>37753</v>
      </c>
      <c r="C29978" s="5" t="str">
        <f>IFERROR(__xludf.DUMMYFUNCTION("GOOGLETRANSLATE(B29978,""en"",""de"")"),"Sie springt über ein Kreide gezeichnetes Hopscotch -Spiel.")</f>
        <v>Sie springt über ein Kreide gezeichnetes Hopscotch -Spiel.</v>
      </c>
    </row>
    <row r="29979">
      <c r="A29979" s="4" t="s">
        <v>37751</v>
      </c>
      <c r="B29979" s="4" t="s">
        <v>37754</v>
      </c>
      <c r="C29979" s="5" t="str">
        <f>IFERROR(__xludf.DUMMYFUNCTION("GOOGLETRANSLATE(B29979,""en"",""de"")"),"Sie geht zweimal über das Puzzle.")</f>
        <v>Sie geht zweimal über das Puzzle.</v>
      </c>
    </row>
    <row r="29980">
      <c r="A29980" s="4" t="s">
        <v>37755</v>
      </c>
      <c r="B29980" s="4" t="s">
        <v>37756</v>
      </c>
      <c r="C29980" s="5" t="str">
        <f>IFERROR(__xludf.DUMMYFUNCTION("GOOGLETRANSLATE(B29980,""en"",""de"")"),"Zwei Hunde, die Kleidung tragen, rennen zusammen die Treppe hinauf.")</f>
        <v>Zwei Hunde, die Kleidung tragen, rennen zusammen die Treppe hinauf.</v>
      </c>
    </row>
    <row r="29981">
      <c r="A29981" s="4" t="s">
        <v>37755</v>
      </c>
      <c r="B29981" s="4" t="s">
        <v>37757</v>
      </c>
      <c r="C29981" s="5" t="str">
        <f>IFERROR(__xludf.DUMMYFUNCTION("GOOGLETRANSLATE(B29981,""en"",""de"")"),"Die beiden Hunde werden inmitten von Menschenmengen an mehreren verschiedenen Orten zusammenlaufen, während sie einem Mann folgen.")</f>
        <v>Die beiden Hunde werden inmitten von Menschenmengen an mehreren verschiedenen Orten zusammenlaufen, während sie einem Mann folgen.</v>
      </c>
    </row>
    <row r="29982">
      <c r="A29982" s="4" t="s">
        <v>37755</v>
      </c>
      <c r="B29982" s="4" t="s">
        <v>37758</v>
      </c>
      <c r="C29982" s="5" t="str">
        <f>IFERROR(__xludf.DUMMYFUNCTION("GOOGLETRANSLATE(B29982,""en"",""de"")"),"Der Mann lehrt einen Hund, einen anderen an der Leine zu ziehen.")</f>
        <v>Der Mann lehrt einen Hund, einen anderen an der Leine zu ziehen.</v>
      </c>
    </row>
    <row r="29983">
      <c r="A29983" s="4" t="s">
        <v>37759</v>
      </c>
      <c r="B29983" s="4" t="s">
        <v>37760</v>
      </c>
      <c r="C29983" s="5" t="str">
        <f>IFERROR(__xludf.DUMMYFUNCTION("GOOGLETRANSLATE(B29983,""en"",""de"")"),"Eine Dame in einem Anzug spricht in einem weißen Raum.")</f>
        <v>Eine Dame in einem Anzug spricht in einem weißen Raum.</v>
      </c>
    </row>
    <row r="29984">
      <c r="A29984" s="4" t="s">
        <v>37759</v>
      </c>
      <c r="B29984" s="4" t="s">
        <v>37761</v>
      </c>
      <c r="C29984" s="5" t="str">
        <f>IFERROR(__xludf.DUMMYFUNCTION("GOOGLETRANSLATE(B29984,""en"",""de"")"),"Wir sehen einen Mann mit einem Handtuch ein Auto waschen.")</f>
        <v>Wir sehen einen Mann mit einem Handtuch ein Auto waschen.</v>
      </c>
    </row>
    <row r="29985">
      <c r="A29985" s="4" t="s">
        <v>37759</v>
      </c>
      <c r="B29985" s="4" t="s">
        <v>37762</v>
      </c>
      <c r="C29985" s="5" t="str">
        <f>IFERROR(__xludf.DUMMYFUNCTION("GOOGLETRANSLATE(B29985,""en"",""de"")"),"Wir sehen, dass das Auto mit einer Druckreiniger gespült wird und das Rad abgewischt wird.")</f>
        <v>Wir sehen, dass das Auto mit einer Druckreiniger gespült wird und das Rad abgewischt wird.</v>
      </c>
    </row>
    <row r="29986">
      <c r="A29986" s="4" t="s">
        <v>37759</v>
      </c>
      <c r="B29986" s="4" t="s">
        <v>37763</v>
      </c>
      <c r="C29986" s="5" t="str">
        <f>IFERROR(__xludf.DUMMYFUNCTION("GOOGLETRANSLATE(B29986,""en"",""de"")"),"Das Emblem wird auf dem Bildschirm angezeigt, als SUSDS ein Auto abrutscht.")</f>
        <v>Das Emblem wird auf dem Bildschirm angezeigt, als SUSDS ein Auto abrutscht.</v>
      </c>
    </row>
    <row r="29987">
      <c r="A29987" s="4" t="s">
        <v>37764</v>
      </c>
      <c r="B29987" s="4" t="s">
        <v>37765</v>
      </c>
      <c r="C29987" s="5" t="str">
        <f>IFERROR(__xludf.DUMMYFUNCTION("GOOGLETRANSLATE(B29987,""en"",""de"")"),"Ein Mann steht in einem Raum mit drei Wänden und einer Glaswand hinter sich, die einen Ball mit einem Schläger schlägt.")</f>
        <v>Ein Mann steht in einem Raum mit drei Wänden und einer Glaswand hinter sich, die einen Ball mit einem Schläger schlägt.</v>
      </c>
    </row>
    <row r="29988">
      <c r="A29988" s="4" t="s">
        <v>37764</v>
      </c>
      <c r="B29988" s="4" t="s">
        <v>37766</v>
      </c>
      <c r="C29988" s="5" t="str">
        <f>IFERROR(__xludf.DUMMYFUNCTION("GOOGLETRANSLATE(B29988,""en"",""de"")"),"Eine Reihe von Wörtern wird dann ebenso wie ein YouTube -Video angezeigt.")</f>
        <v>Eine Reihe von Wörtern wird dann ebenso wie ein YouTube -Video angezeigt.</v>
      </c>
    </row>
    <row r="29989">
      <c r="A29989" s="4" t="s">
        <v>37764</v>
      </c>
      <c r="B29989" s="4" t="s">
        <v>37767</v>
      </c>
      <c r="C29989" s="5" t="str">
        <f>IFERROR(__xludf.DUMMYFUNCTION("GOOGLETRANSLATE(B29989,""en"",""de"")"),"Der nächste Bildschirm kommt mit einem großen Heißluftballon und animierten Autos.")</f>
        <v>Der nächste Bildschirm kommt mit einem großen Heißluftballon und animierten Autos.</v>
      </c>
    </row>
    <row r="29990">
      <c r="A29990" s="4" t="s">
        <v>37768</v>
      </c>
      <c r="B29990" s="4" t="s">
        <v>37769</v>
      </c>
      <c r="C29990" s="5" t="str">
        <f>IFERROR(__xludf.DUMMYFUNCTION("GOOGLETRANSLATE(B29990,""en"",""de"")"),"Ein verschwommenes Objekt wird angezeigt und weißer Text zeigt sich mit ""Fun Shoe Shine"".")</f>
        <v>Ein verschwommenes Objekt wird angezeigt und weißer Text zeigt sich mit "Fun Shoe Shine".</v>
      </c>
    </row>
    <row r="29991">
      <c r="A29991" s="4" t="s">
        <v>37768</v>
      </c>
      <c r="B29991" s="4" t="s">
        <v>37770</v>
      </c>
      <c r="C29991" s="5" t="str">
        <f>IFERROR(__xludf.DUMMYFUNCTION("GOOGLETRANSLATE(B29991,""en"",""de"")"),"Wenn das Bild deutlicher wird, gibt es eine kleine Silberdose mit einer Schraube am Deckel und das Schreiben über die ""Dr. Martens Airwire"" von Can Say.")</f>
        <v>Wenn das Bild deutlicher wird, gibt es eine kleine Silberdose mit einer Schraube am Deckel und das Schreiben über die "Dr. Martens Airwire" von Can Say.</v>
      </c>
    </row>
    <row r="29992">
      <c r="A29992" s="4" t="s">
        <v>37768</v>
      </c>
      <c r="B29992" s="4" t="s">
        <v>37771</v>
      </c>
      <c r="C29992" s="5" t="str">
        <f>IFERROR(__xludf.DUMMYFUNCTION("GOOGLETRANSLATE(B29992,""en"",""de"")"),"Ein Paar glänzende schwarze Stiefel stehen stehen und ihre schwarzen Schnürsenkeln sind gebunden und der Text ""After"" erscheint auf der vorderen linken Fläche des Stiefels.")</f>
        <v>Ein Paar glänzende schwarze Stiefel stehen stehen und ihre schwarzen Schnürsenkeln sind gebunden und der Text "After" erscheint auf der vorderen linken Fläche des Stiefels.</v>
      </c>
    </row>
    <row r="29993">
      <c r="A29993" s="4" t="s">
        <v>37768</v>
      </c>
      <c r="B29993" s="4" t="s">
        <v>37772</v>
      </c>
      <c r="C29993" s="5" t="str">
        <f>IFERROR(__xludf.DUMMYFUNCTION("GOOGLETRANSLATE(B29993,""en"",""de"")"),"Ein paar Winkel der Stiefel werden gezeigt und verschiedene Wörter vor ihnen auftauchen.")</f>
        <v>Ein paar Winkel der Stiefel werden gezeigt und verschiedene Wörter vor ihnen auftauchen.</v>
      </c>
    </row>
    <row r="29994">
      <c r="A29994" s="4" t="s">
        <v>37768</v>
      </c>
      <c r="B29994" s="4" t="s">
        <v>37773</v>
      </c>
      <c r="C29994" s="5" t="str">
        <f>IFERROR(__xludf.DUMMYFUNCTION("GOOGLETRANSLATE(B29994,""en"",""de"")"),"Eine Person wird dann gesehen, wie sie den Stiefel mit einem Tuch abweist und mehr Texte angezeigt werden.")</f>
        <v>Eine Person wird dann gesehen, wie sie den Stiefel mit einem Tuch abweist und mehr Texte angezeigt werden.</v>
      </c>
    </row>
    <row r="29995">
      <c r="A29995" s="4" t="s">
        <v>37768</v>
      </c>
      <c r="B29995" s="4" t="s">
        <v>37774</v>
      </c>
      <c r="C29995" s="5" t="str">
        <f>IFERROR(__xludf.DUMMYFUNCTION("GOOGLETRANSLATE(B29995,""en"",""de"")"),"Eine Nahaufnahme des Silbers kann von einer Hand geöffnet werden, zeigt den darin enthaltenen Inhalt und die Verwendung des Inhalts auf einem Stiefel.")</f>
        <v>Eine Nahaufnahme des Silbers kann von einer Hand geöffnet werden, zeigt den darin enthaltenen Inhalt und die Verwendung des Inhalts auf einem Stiefel.</v>
      </c>
    </row>
    <row r="29996">
      <c r="A29996" s="4" t="s">
        <v>37768</v>
      </c>
      <c r="B29996" s="4" t="s">
        <v>37775</v>
      </c>
      <c r="C29996" s="5" t="str">
        <f>IFERROR(__xludf.DUMMYFUNCTION("GOOGLETRANSLATE(B29996,""en"",""de"")"),"Die Dose wird dann wieder fest geschraubt und die Texte ""Wir sehen uns das nächste Mal"" beendet das Video.")</f>
        <v>Die Dose wird dann wieder fest geschraubt und die Texte "Wir sehen uns das nächste Mal" beendet das Video.</v>
      </c>
    </row>
    <row r="29997">
      <c r="A29997" s="4" t="s">
        <v>37768</v>
      </c>
      <c r="B29997" s="4" t="s">
        <v>37776</v>
      </c>
      <c r="C29997" s="5" t="str">
        <f>IFERROR(__xludf.DUMMYFUNCTION("GOOGLETRANSLATE(B29997,""en"",""de"")"),"Pop -up -Texte treten während der gesamten Zeit auf.")</f>
        <v>Pop -up -Texte treten während der gesamten Zeit auf.</v>
      </c>
    </row>
    <row r="29998">
      <c r="A29998" s="4" t="s">
        <v>37777</v>
      </c>
      <c r="B29998" s="4" t="s">
        <v>37778</v>
      </c>
      <c r="C29998" s="5" t="str">
        <f>IFERROR(__xludf.DUMMYFUNCTION("GOOGLETRANSLATE(B29998,""en"",""de"")"),"Eine Person fährt ein Fahrrad hinunter eine Dirt -Strecke.")</f>
        <v>Eine Person fährt ein Fahrrad hinunter eine Dirt -Strecke.</v>
      </c>
    </row>
    <row r="29999">
      <c r="A29999" s="4" t="s">
        <v>37777</v>
      </c>
      <c r="B29999" s="4" t="s">
        <v>37779</v>
      </c>
      <c r="C29999" s="5" t="str">
        <f>IFERROR(__xludf.DUMMYFUNCTION("GOOGLETRANSLATE(B29999,""en"",""de"")"),"Ein kleiner Junge, der Rot trägt, fährt ein kleines Fahrrad die Strecke hinunter.")</f>
        <v>Ein kleiner Junge, der Rot trägt, fährt ein kleines Fahrrad die Strecke hinunter.</v>
      </c>
    </row>
    <row r="30000">
      <c r="A30000" s="4" t="s">
        <v>37777</v>
      </c>
      <c r="B30000" s="4" t="s">
        <v>37780</v>
      </c>
      <c r="C30000" s="5" t="str">
        <f>IFERROR(__xludf.DUMMYFUNCTION("GOOGLETRANSLATE(B30000,""en"",""de"")"),"Eine Person fällt am Ende hin.")</f>
        <v>Eine Person fällt am Ende hin.</v>
      </c>
    </row>
    <row r="30001">
      <c r="A30001" s="4" t="s">
        <v>37781</v>
      </c>
      <c r="B30001" s="4" t="s">
        <v>37782</v>
      </c>
      <c r="C30001" s="5" t="str">
        <f>IFERROR(__xludf.DUMMYFUNCTION("GOOGLETRANSLATE(B30001,""en"",""de"")"),"In einer schwarzen Pfanne auf dem Herd brutzelt das Essen ein langer Stammlöffel in der Pfanne.")</f>
        <v>In einer schwarzen Pfanne auf dem Herd brutzelt das Essen ein langer Stammlöffel in der Pfanne.</v>
      </c>
    </row>
    <row r="30002">
      <c r="A30002" s="4" t="s">
        <v>37781</v>
      </c>
      <c r="B30002" s="4" t="s">
        <v>37783</v>
      </c>
      <c r="C30002" s="5" t="str">
        <f>IFERROR(__xludf.DUMMYFUNCTION("GOOGLETRANSLATE(B30002,""en"",""de"")"),"Zwiebeln werden der Pfanne hinzugefügt.")</f>
        <v>Zwiebeln werden der Pfanne hinzugefügt.</v>
      </c>
    </row>
    <row r="30003">
      <c r="A30003" s="4" t="s">
        <v>37781</v>
      </c>
      <c r="B30003" s="4" t="s">
        <v>37784</v>
      </c>
      <c r="C30003" s="5" t="str">
        <f>IFERROR(__xludf.DUMMYFUNCTION("GOOGLETRANSLATE(B30003,""en"",""de"")"),"Die Pfanne wird gerührt und der Löffel entfernt.")</f>
        <v>Die Pfanne wird gerührt und der Löffel entfernt.</v>
      </c>
    </row>
    <row r="30004">
      <c r="A30004" s="4" t="s">
        <v>37781</v>
      </c>
      <c r="B30004" s="4" t="s">
        <v>37785</v>
      </c>
      <c r="C30004" s="5" t="str">
        <f>IFERROR(__xludf.DUMMYFUNCTION("GOOGLETRANSLATE(B30004,""en"",""de"")"),"Salz wird hinzugefügt und hineingerührt.")</f>
        <v>Salz wird hinzugefügt und hineingerührt.</v>
      </c>
    </row>
    <row r="30005">
      <c r="A30005" s="4" t="s">
        <v>37781</v>
      </c>
      <c r="B30005" s="4" t="s">
        <v>37786</v>
      </c>
      <c r="C30005" s="5" t="str">
        <f>IFERROR(__xludf.DUMMYFUNCTION("GOOGLETRANSLATE(B30005,""en"",""de"")"),"Die Pfanne schließt sanft, als die Mischung kocht.")</f>
        <v>Die Pfanne schließt sanft, als die Mischung kocht.</v>
      </c>
    </row>
    <row r="30006">
      <c r="A30006" s="4" t="s">
        <v>37781</v>
      </c>
      <c r="B30006" s="4" t="s">
        <v>37787</v>
      </c>
      <c r="C30006" s="5" t="str">
        <f>IFERROR(__xludf.DUMMYFUNCTION("GOOGLETRANSLATE(B30006,""en"",""de"")"),"Gewürze werden der Pfanne hinzugefügt.")</f>
        <v>Gewürze werden der Pfanne hinzugefügt.</v>
      </c>
    </row>
    <row r="30007">
      <c r="A30007" s="4" t="s">
        <v>37781</v>
      </c>
      <c r="B30007" s="4" t="s">
        <v>37788</v>
      </c>
      <c r="C30007" s="5" t="str">
        <f>IFERROR(__xludf.DUMMYFUNCTION("GOOGLETRANSLATE(B30007,""en"",""de"")"),"Die Flamme ist sichtbar, da die Pfanne heftiger brutzelt, die Pfanne gerührt wird und das Essen bräunen.")</f>
        <v>Die Flamme ist sichtbar, da die Pfanne heftiger brutzelt, die Pfanne gerührt wird und das Essen bräunen.</v>
      </c>
    </row>
    <row r="30008">
      <c r="A30008" s="4" t="s">
        <v>37781</v>
      </c>
      <c r="B30008" s="4" t="s">
        <v>37789</v>
      </c>
      <c r="C30008" s="5" t="str">
        <f>IFERROR(__xludf.DUMMYFUNCTION("GOOGLETRANSLATE(B30008,""en"",""de"")"),"4 Eier werden in die Pfanne eingebrochen.")</f>
        <v>4 Eier werden in die Pfanne eingebrochen.</v>
      </c>
    </row>
    <row r="30009">
      <c r="A30009" s="4" t="s">
        <v>37781</v>
      </c>
      <c r="B30009" s="4" t="s">
        <v>37790</v>
      </c>
      <c r="C30009" s="5" t="str">
        <f>IFERROR(__xludf.DUMMYFUNCTION("GOOGLETRANSLATE(B30009,""en"",""de"")"),"Die Mischung wird gerührt und zum Kochen gelassen.")</f>
        <v>Die Mischung wird gerührt und zum Kochen gelassen.</v>
      </c>
    </row>
    <row r="30010">
      <c r="A30010" s="4" t="s">
        <v>37781</v>
      </c>
      <c r="B30010" s="4" t="s">
        <v>37791</v>
      </c>
      <c r="C30010" s="5" t="str">
        <f>IFERROR(__xludf.DUMMYFUNCTION("GOOGLETRANSLATE(B30010,""en"",""de"")"),"Pasta wird gegossen und in die Mischung aus einem Sieb gerührt.")</f>
        <v>Pasta wird gegossen und in die Mischung aus einem Sieb gerührt.</v>
      </c>
    </row>
    <row r="30011">
      <c r="A30011" s="4" t="s">
        <v>37781</v>
      </c>
      <c r="B30011" s="4" t="s">
        <v>37792</v>
      </c>
      <c r="C30011" s="5" t="str">
        <f>IFERROR(__xludf.DUMMYFUNCTION("GOOGLETRANSLATE(B30011,""en"",""de"")"),"Es bleibt mehr zu kochen.")</f>
        <v>Es bleibt mehr zu kochen.</v>
      </c>
    </row>
    <row r="30012">
      <c r="A30012" s="4" t="s">
        <v>37781</v>
      </c>
      <c r="B30012" s="4" t="s">
        <v>37793</v>
      </c>
      <c r="C30012" s="5" t="str">
        <f>IFERROR(__xludf.DUMMYFUNCTION("GOOGLETRANSLATE(B30012,""en"",""de"")"),"Es ist jetzt plattiert und frische Kräuter werden darüber bestreut.")</f>
        <v>Es ist jetzt plattiert und frische Kräuter werden darüber bestreut.</v>
      </c>
    </row>
    <row r="30013">
      <c r="A30013" s="4" t="s">
        <v>37794</v>
      </c>
      <c r="B30013" s="4" t="s">
        <v>37795</v>
      </c>
      <c r="C30013" s="5" t="str">
        <f>IFERROR(__xludf.DUMMYFUNCTION("GOOGLETRANSLATE(B30013,""en"",""de"")"),"Ein Mann ist gesehen, der in einem Gebiet herumläuft, der auf sich selbst zeigt und mit der Kamera spricht.")</f>
        <v>Ein Mann ist gesehen, der in einem Gebiet herumläuft, der auf sich selbst zeigt und mit der Kamera spricht.</v>
      </c>
    </row>
    <row r="30014">
      <c r="A30014" s="4" t="s">
        <v>37794</v>
      </c>
      <c r="B30014" s="4" t="s">
        <v>37796</v>
      </c>
      <c r="C30014" s="5" t="str">
        <f>IFERROR(__xludf.DUMMYFUNCTION("GOOGLETRANSLATE(B30014,""en"",""de"")"),"Der Mann beginnt dann verschiedene Kampfkünste und tritt in Richtung Kamera.")</f>
        <v>Der Mann beginnt dann verschiedene Kampfkünste und tritt in Richtung Kamera.</v>
      </c>
    </row>
    <row r="30015">
      <c r="A30015" s="4" t="s">
        <v>37794</v>
      </c>
      <c r="B30015" s="4" t="s">
        <v>37797</v>
      </c>
      <c r="C30015" s="5" t="str">
        <f>IFERROR(__xludf.DUMMYFUNCTION("GOOGLETRANSLATE(B30015,""en"",""de"")"),"Der Mann bewegt sich weiter, während die Kamera seine Bewegungen erfasst.")</f>
        <v>Der Mann bewegt sich weiter, während die Kamera seine Bewegungen erfasst.</v>
      </c>
    </row>
    <row r="30016">
      <c r="A30016" s="4" t="s">
        <v>37798</v>
      </c>
      <c r="B30016" s="4" t="s">
        <v>37799</v>
      </c>
      <c r="C30016" s="5" t="str">
        <f>IFERROR(__xludf.DUMMYFUNCTION("GOOGLETRANSLATE(B30016,""en"",""de"")"),"Ein Turner bogt sich, bevor er zum Strahl geht.")</f>
        <v>Ein Turner bogt sich, bevor er zum Strahl geht.</v>
      </c>
    </row>
    <row r="30017">
      <c r="A30017" s="4" t="s">
        <v>37798</v>
      </c>
      <c r="B30017" s="4" t="s">
        <v>37800</v>
      </c>
      <c r="C30017" s="5" t="str">
        <f>IFERROR(__xludf.DUMMYFUNCTION("GOOGLETRANSLATE(B30017,""en"",""de"")"),"Er montiert den Balken und beginnt zu spielen.")</f>
        <v>Er montiert den Balken und beginnt zu spielen.</v>
      </c>
    </row>
    <row r="30018">
      <c r="A30018" s="4" t="s">
        <v>37798</v>
      </c>
      <c r="B30018" s="4" t="s">
        <v>37801</v>
      </c>
      <c r="C30018" s="5" t="str">
        <f>IFERROR(__xludf.DUMMYFUNCTION("GOOGLETRANSLATE(B30018,""en"",""de"")"),"Er dreht sich mehrmals um den Strahl.")</f>
        <v>Er dreht sich mehrmals um den Strahl.</v>
      </c>
    </row>
    <row r="30019">
      <c r="A30019" s="4" t="s">
        <v>37798</v>
      </c>
      <c r="B30019" s="4" t="s">
        <v>37802</v>
      </c>
      <c r="C30019" s="5" t="str">
        <f>IFERROR(__xludf.DUMMYFUNCTION("GOOGLETRANSLATE(B30019,""en"",""de"")"),"Er springt in einem Finale vom Strahl.")</f>
        <v>Er springt in einem Finale vom Strahl.</v>
      </c>
    </row>
    <row r="30020">
      <c r="A30020" s="4" t="s">
        <v>37803</v>
      </c>
      <c r="B30020" s="4" t="s">
        <v>37804</v>
      </c>
      <c r="C30020" s="5" t="str">
        <f>IFERROR(__xludf.DUMMYFUNCTION("GOOGLETRANSLATE(B30020,""en"",""de"")"),"Eine Gruppe von Männern, die als Redcoats verkleidet sind, marschieren auf eine Bühne.")</f>
        <v>Eine Gruppe von Männern, die als Redcoats verkleidet sind, marschieren auf eine Bühne.</v>
      </c>
    </row>
    <row r="30021">
      <c r="A30021" s="4" t="s">
        <v>37803</v>
      </c>
      <c r="B30021" s="4" t="s">
        <v>37805</v>
      </c>
      <c r="C30021" s="5" t="str">
        <f>IFERROR(__xludf.DUMMYFUNCTION("GOOGLETRANSLATE(B30021,""en"",""de"")"),"Wir sehen dann eine Frau, die eine Flagge in der Mitte und viele Frauen neben sich hält, während sie auf ein massives Jumprope springen.")</f>
        <v>Wir sehen dann eine Frau, die eine Flagge in der Mitte und viele Frauen neben sich hält, während sie auf ein massives Jumprope springen.</v>
      </c>
    </row>
    <row r="30022">
      <c r="A30022" s="4" t="s">
        <v>37803</v>
      </c>
      <c r="B30022" s="4" t="s">
        <v>37806</v>
      </c>
      <c r="C30022" s="5" t="str">
        <f>IFERROR(__xludf.DUMMYFUNCTION("GOOGLETRANSLATE(B30022,""en"",""de"")"),"Sie führen viele Sprung- und Tricks mit den Seilen durch und bringen alle paar Minuten mehr Seile ein.")</f>
        <v>Sie führen viele Sprung- und Tricks mit den Seilen durch und bringen alle paar Minuten mehr Seile ein.</v>
      </c>
    </row>
    <row r="30023">
      <c r="A30023" s="4" t="s">
        <v>37803</v>
      </c>
      <c r="B30023" s="4" t="s">
        <v>37807</v>
      </c>
      <c r="C30023" s="5" t="str">
        <f>IFERROR(__xludf.DUMMYFUNCTION("GOOGLETRANSLATE(B30023,""en"",""de"")"),"Wenn sie fertig sind, frieren sie in einer Pose ein und der Bildschirm wird schwarz.")</f>
        <v>Wenn sie fertig sind, frieren sie in einer Pose ein und der Bildschirm wird schwarz.</v>
      </c>
    </row>
    <row r="30024">
      <c r="A30024" s="4" t="s">
        <v>37808</v>
      </c>
      <c r="B30024" s="4" t="s">
        <v>37809</v>
      </c>
      <c r="C30024" s="5" t="str">
        <f>IFERROR(__xludf.DUMMYFUNCTION("GOOGLETRANSLATE(B30024,""en"",""de"")"),"Eine Frau putzt ihre Zähne.")</f>
        <v>Eine Frau putzt ihre Zähne.</v>
      </c>
    </row>
    <row r="30025">
      <c r="A30025" s="4" t="s">
        <v>37808</v>
      </c>
      <c r="B30025" s="4" t="s">
        <v>37810</v>
      </c>
      <c r="C30025" s="5" t="str">
        <f>IFERROR(__xludf.DUMMYFUNCTION("GOOGLETRANSLATE(B30025,""en"",""de"")"),"Eine Frau nähert sich hinter ihr.")</f>
        <v>Eine Frau nähert sich hinter ihr.</v>
      </c>
    </row>
    <row r="30026">
      <c r="A30026" s="4" t="s">
        <v>37808</v>
      </c>
      <c r="B30026" s="4" t="s">
        <v>37811</v>
      </c>
      <c r="C30026" s="5" t="str">
        <f>IFERROR(__xludf.DUMMYFUNCTION("GOOGLETRANSLATE(B30026,""en"",""de"")"),"Die Frau hört auf, ihre Zähne zu putzen.")</f>
        <v>Die Frau hört auf, ihre Zähne zu putzen.</v>
      </c>
    </row>
    <row r="30027">
      <c r="A30027" s="4" t="s">
        <v>37808</v>
      </c>
      <c r="B30027" s="4" t="s">
        <v>37812</v>
      </c>
      <c r="C30027" s="5" t="str">
        <f>IFERROR(__xludf.DUMMYFUNCTION("GOOGLETRANSLATE(B30027,""en"",""de"")"),"Eine Frau lächelt wirklich groß.")</f>
        <v>Eine Frau lächelt wirklich groß.</v>
      </c>
    </row>
    <row r="30028">
      <c r="A30028" s="4" t="s">
        <v>37813</v>
      </c>
      <c r="B30028" s="4" t="s">
        <v>37814</v>
      </c>
      <c r="C30028" s="5" t="str">
        <f>IFERROR(__xludf.DUMMYFUNCTION("GOOGLETRANSLATE(B30028,""en"",""de"")"),"Ein kleines Mädchen, das eine braune Bug trägt, steht vor dem Waschbecken und putzt ihre Zähne.")</f>
        <v>Ein kleines Mädchen, das eine braune Bug trägt, steht vor dem Waschbecken und putzt ihre Zähne.</v>
      </c>
    </row>
    <row r="30029">
      <c r="A30029" s="4" t="s">
        <v>37813</v>
      </c>
      <c r="B30029" s="4" t="s">
        <v>37815</v>
      </c>
      <c r="C30029" s="5" t="str">
        <f>IFERROR(__xludf.DUMMYFUNCTION("GOOGLETRANSLATE(B30029,""en"",""de"")"),"Das kleine Mädchen schaltet dann das Wasser ein und spuckt mehrmals in die Spüle.")</f>
        <v>Das kleine Mädchen schaltet dann das Wasser ein und spuckt mehrmals in die Spüle.</v>
      </c>
    </row>
    <row r="30030">
      <c r="A30030" s="4" t="s">
        <v>37813</v>
      </c>
      <c r="B30030" s="4" t="s">
        <v>37816</v>
      </c>
      <c r="C30030" s="5" t="str">
        <f>IFERROR(__xludf.DUMMYFUNCTION("GOOGLETRANSLATE(B30030,""en"",""de"")"),"Schließlich legt sie die Bürste nieder, spült ihren Mund und trocknet sie mit einem braunen Handtuch.")</f>
        <v>Schließlich legt sie die Bürste nieder, spült ihren Mund und trocknet sie mit einem braunen Handtuch.</v>
      </c>
    </row>
    <row r="30031">
      <c r="A30031" s="4" t="s">
        <v>37817</v>
      </c>
      <c r="B30031" s="4" t="s">
        <v>37818</v>
      </c>
      <c r="C30031" s="5" t="str">
        <f>IFERROR(__xludf.DUMMYFUNCTION("GOOGLETRANSLATE(B30031,""en"",""de"")"),"Ein kleines Kind sitzt auf einer Rutsche und schaut zurück zur Kamera.")</f>
        <v>Ein kleines Kind sitzt auf einer Rutsche und schaut zurück zur Kamera.</v>
      </c>
    </row>
    <row r="30032">
      <c r="A30032" s="4" t="s">
        <v>37817</v>
      </c>
      <c r="B30032" s="4" t="s">
        <v>37819</v>
      </c>
      <c r="C30032" s="5" t="str">
        <f>IFERROR(__xludf.DUMMYFUNCTION("GOOGLETRANSLATE(B30032,""en"",""de"")"),"Der Junge schiebt sich dann nach hinten die Rutsche hinunter, während er am Ende umdreht und abspringt.")</f>
        <v>Der Junge schiebt sich dann nach hinten die Rutsche hinunter, während er am Ende umdreht und abspringt.</v>
      </c>
    </row>
    <row r="30033">
      <c r="A30033" s="4" t="s">
        <v>37820</v>
      </c>
      <c r="B30033" s="4" t="s">
        <v>37821</v>
      </c>
      <c r="C30033" s="5" t="str">
        <f>IFERROR(__xludf.DUMMYFUNCTION("GOOGLETRANSLATE(B30033,""en"",""de"")"),"Ein junges Mädchen spricht mit der Kamera und beginnt mit ihren Haaren zu spielen.")</f>
        <v>Ein junges Mädchen spricht mit der Kamera und beginnt mit ihren Haaren zu spielen.</v>
      </c>
    </row>
    <row r="30034">
      <c r="A30034" s="4" t="s">
        <v>37820</v>
      </c>
      <c r="B30034" s="4" t="s">
        <v>37822</v>
      </c>
      <c r="C30034" s="5" t="str">
        <f>IFERROR(__xludf.DUMMYFUNCTION("GOOGLETRANSLATE(B30034,""en"",""de"")"),"Sie steckt sie an und steckt ein Stirnband in ihre Haare.")</f>
        <v>Sie steckt sie an und steckt ein Stirnband in ihre Haare.</v>
      </c>
    </row>
    <row r="30035">
      <c r="A30035" s="4" t="s">
        <v>37820</v>
      </c>
      <c r="B30035" s="4" t="s">
        <v>37823</v>
      </c>
      <c r="C30035" s="5" t="str">
        <f>IFERROR(__xludf.DUMMYFUNCTION("GOOGLETRANSLATE(B30035,""en"",""de"")"),"Sie legt dann mehr falsche Haare ein und macht ihr Make -up.")</f>
        <v>Sie legt dann mehr falsche Haare ein und macht ihr Make -up.</v>
      </c>
    </row>
    <row r="30036">
      <c r="A30036" s="4" t="s">
        <v>37820</v>
      </c>
      <c r="B30036" s="4" t="s">
        <v>37824</v>
      </c>
      <c r="C30036" s="5" t="str">
        <f>IFERROR(__xludf.DUMMYFUNCTION("GOOGLETRANSLATE(B30036,""en"",""de"")"),"Sie zeigt am Ende auf die Kamera und lächelt.")</f>
        <v>Sie zeigt am Ende auf die Kamera und lächelt.</v>
      </c>
    </row>
    <row r="30037">
      <c r="A30037" s="4" t="s">
        <v>37825</v>
      </c>
      <c r="B30037" s="4" t="s">
        <v>37826</v>
      </c>
      <c r="C30037" s="5" t="str">
        <f>IFERROR(__xludf.DUMMYFUNCTION("GOOGLETRANSLATE(B30037,""en"",""de"")"),"Ein Mädchen sitzt in einer Röhre, die von einer großen Gruppe von Menschen umgeben ist, die ebenfalls auf Röhren sitzen.")</f>
        <v>Ein Mädchen sitzt in einer Röhre, die von einer großen Gruppe von Menschen umgeben ist, die ebenfalls auf Röhren sitzen.</v>
      </c>
    </row>
    <row r="30038">
      <c r="A30038" s="4" t="s">
        <v>37825</v>
      </c>
      <c r="B30038" s="4" t="s">
        <v>37827</v>
      </c>
      <c r="C30038" s="5" t="str">
        <f>IFERROR(__xludf.DUMMYFUNCTION("GOOGLETRANSLATE(B30038,""en"",""de"")"),"Die Kamera schwenkt zu den verschiedenen Personen, die in den Röhren sitzen.")</f>
        <v>Die Kamera schwenkt zu den verschiedenen Personen, die in den Röhren sitzen.</v>
      </c>
    </row>
    <row r="30039">
      <c r="A30039" s="4" t="s">
        <v>37825</v>
      </c>
      <c r="B30039" s="4" t="s">
        <v>37828</v>
      </c>
      <c r="C30039" s="5" t="str">
        <f>IFERROR(__xludf.DUMMYFUNCTION("GOOGLETRANSLATE(B30039,""en"",""de"")"),"Das Mädchen springt aus ihrer Röhre und schwimmt im Wasser.")</f>
        <v>Das Mädchen springt aus ihrer Röhre und schwimmt im Wasser.</v>
      </c>
    </row>
    <row r="30040">
      <c r="A30040" s="4" t="s">
        <v>37829</v>
      </c>
      <c r="B30040" s="4" t="s">
        <v>37830</v>
      </c>
      <c r="C30040" s="5" t="str">
        <f>IFERROR(__xludf.DUMMYFUNCTION("GOOGLETRANSLATE(B30040,""en"",""de"")"),"Eine Frau in einem roten Trainingshemd spricht über die Vorteile eines elliptischen Cross -Trainers.")</f>
        <v>Eine Frau in einem roten Trainingshemd spricht über die Vorteile eines elliptischen Cross -Trainers.</v>
      </c>
    </row>
    <row r="30041">
      <c r="A30041" s="4" t="s">
        <v>37829</v>
      </c>
      <c r="B30041" s="4" t="s">
        <v>37831</v>
      </c>
      <c r="C30041" s="5" t="str">
        <f>IFERROR(__xludf.DUMMYFUNCTION("GOOGLETRANSLATE(B30041,""en"",""de"")"),"Eine andere Frau in einem rosa Tank -Top demonstriert die Verwendung der Elliptik.")</f>
        <v>Eine andere Frau in einem rosa Tank -Top demonstriert die Verwendung der Elliptik.</v>
      </c>
    </row>
    <row r="30042">
      <c r="A30042" s="4" t="s">
        <v>37829</v>
      </c>
      <c r="B30042" s="4" t="s">
        <v>37832</v>
      </c>
      <c r="C30042" s="5" t="str">
        <f>IFERROR(__xludf.DUMMYFUNCTION("GOOGLETRANSLATE(B30042,""en"",""de"")"),"Die Frau in Rot erklärt die Verwendung der Elliptik weiter.")</f>
        <v>Die Frau in Rot erklärt die Verwendung der Elliptik weiter.</v>
      </c>
    </row>
    <row r="30043">
      <c r="A30043" s="4" t="s">
        <v>37829</v>
      </c>
      <c r="B30043" s="4" t="s">
        <v>37833</v>
      </c>
      <c r="C30043" s="5" t="str">
        <f>IFERROR(__xludf.DUMMYFUNCTION("GOOGLETRANSLATE(B30043,""en"",""de"")"),"Dann wird eine Demonstration gezeigt, wie sich die Beine auf der Elliptik bewegen müssen.")</f>
        <v>Dann wird eine Demonstration gezeigt, wie sich die Beine auf der Elliptik bewegen müssen.</v>
      </c>
    </row>
    <row r="30044">
      <c r="A30044" s="4" t="s">
        <v>37829</v>
      </c>
      <c r="B30044" s="4" t="s">
        <v>37834</v>
      </c>
      <c r="C30044" s="5" t="str">
        <f>IFERROR(__xludf.DUMMYFUNCTION("GOOGLETRANSLATE(B30044,""en"",""de"")"),"Die Frau in Red erklärt die Vorteile des Trainings mit einem Ellipse weiter.")</f>
        <v>Die Frau in Red erklärt die Vorteile des Trainings mit einem Ellipse weiter.</v>
      </c>
    </row>
    <row r="30045">
      <c r="A30045" s="4" t="s">
        <v>37829</v>
      </c>
      <c r="B30045" s="4" t="s">
        <v>37835</v>
      </c>
      <c r="C30045" s="5" t="str">
        <f>IFERROR(__xludf.DUMMYFUNCTION("GOOGLETRANSLATE(B30045,""en"",""de"")"),"Die Frau auf der Maschine zeigt den Zuschauern weiterhin die richtige Art und Weise, auf der Elliptik zu trainieren.")</f>
        <v>Die Frau auf der Maschine zeigt den Zuschauern weiterhin die richtige Art und Weise, auf der Elliptik zu trainieren.</v>
      </c>
    </row>
    <row r="30046">
      <c r="A30046" s="4" t="s">
        <v>37829</v>
      </c>
      <c r="B30046" s="4" t="s">
        <v>37836</v>
      </c>
      <c r="C30046" s="5" t="str">
        <f>IFERROR(__xludf.DUMMYFUNCTION("GOOGLETRANSLATE(B30046,""en"",""de"")"),"Der Gastgeber schließt dann das Tutorial.")</f>
        <v>Der Gastgeber schließt dann das Tutorial.</v>
      </c>
    </row>
    <row r="30047">
      <c r="A30047" s="4" t="s">
        <v>37837</v>
      </c>
      <c r="B30047" s="4" t="s">
        <v>37838</v>
      </c>
      <c r="C30047" s="5" t="str">
        <f>IFERROR(__xludf.DUMMYFUNCTION("GOOGLETRANSLATE(B30047,""en"",""de"")"),"Mehrere Bilder von verschiedenen Individuen werden als Intro für ein Video aus Weißwasser -Rafting gezeigt.")</f>
        <v>Mehrere Bilder von verschiedenen Individuen werden als Intro für ein Video aus Weißwasser -Rafting gezeigt.</v>
      </c>
    </row>
    <row r="30048">
      <c r="A30048" s="4" t="s">
        <v>37837</v>
      </c>
      <c r="B30048" s="4" t="s">
        <v>37839</v>
      </c>
      <c r="C30048" s="5" t="str">
        <f>IFERROR(__xludf.DUMMYFUNCTION("GOOGLETRANSLATE(B30048,""en"",""de"")"),"Männer kommen dann auf einem Feld an und nehmen die Flöße heraus, bevor weitere Bilder angezeigt werden.")</f>
        <v>Männer kommen dann auf einem Feld an und nehmen die Flöße heraus, bevor weitere Bilder angezeigt werden.</v>
      </c>
    </row>
    <row r="30049">
      <c r="A30049" s="4" t="s">
        <v>37837</v>
      </c>
      <c r="B30049" s="4" t="s">
        <v>37840</v>
      </c>
      <c r="C30049" s="5" t="str">
        <f>IFERROR(__xludf.DUMMYFUNCTION("GOOGLETRANSLATE(B30049,""en"",""de"")"),"Die Männer stehen dann mit ihren Paddeln auf dem Feld und steigen tatsächlich in das Floß, um den richtigen Weg zur Reihen zu zeigen.")</f>
        <v>Die Männer stehen dann mit ihren Paddeln auf dem Feld und steigen tatsächlich in das Floß, um den richtigen Weg zur Reihen zu zeigen.</v>
      </c>
    </row>
    <row r="30050">
      <c r="A30050" s="4" t="s">
        <v>37837</v>
      </c>
      <c r="B30050" s="4" t="s">
        <v>37841</v>
      </c>
      <c r="C30050" s="5" t="str">
        <f>IFERROR(__xludf.DUMMYFUNCTION("GOOGLETRANSLATE(B30050,""en"",""de"")"),"Schließlich sind sie im Wasser und alle beginnen, über das Wasser zu paddeln.")</f>
        <v>Schließlich sind sie im Wasser und alle beginnen, über das Wasser zu paddeln.</v>
      </c>
    </row>
    <row r="30051">
      <c r="A30051" s="4" t="s">
        <v>37837</v>
      </c>
      <c r="B30051" s="4" t="s">
        <v>37842</v>
      </c>
      <c r="C30051" s="5" t="str">
        <f>IFERROR(__xludf.DUMMYFUNCTION("GOOGLETRANSLATE(B30051,""en"",""de"")"),"Weitere Leute schließen sich ihnen an und sie kommen schließlich aus dem Wasser und gehen zurück ins Land.")</f>
        <v>Weitere Leute schließen sich ihnen an und sie kommen schließlich aus dem Wasser und gehen zurück ins Land.</v>
      </c>
    </row>
    <row r="30052">
      <c r="A30052" s="4" t="s">
        <v>37843</v>
      </c>
      <c r="B30052" s="4" t="s">
        <v>37844</v>
      </c>
      <c r="C30052" s="5" t="str">
        <f>IFERROR(__xludf.DUMMYFUNCTION("GOOGLETRANSLATE(B30052,""en"",""de"")"),"Ein Video -Tutorial wird von einer Familie gezeigt, die auf einem Campingplatz Geschirr macht.")</f>
        <v>Ein Video -Tutorial wird von einer Familie gezeigt, die auf einem Campingplatz Geschirr macht.</v>
      </c>
    </row>
    <row r="30053">
      <c r="A30053" s="4" t="s">
        <v>37843</v>
      </c>
      <c r="B30053" s="4" t="s">
        <v>37845</v>
      </c>
      <c r="C30053" s="5" t="str">
        <f>IFERROR(__xludf.DUMMYFUNCTION("GOOGLETRANSLATE(B30053,""en"",""de"")"),"Alles wird in zwei Eimer geworfen.")</f>
        <v>Alles wird in zwei Eimer geworfen.</v>
      </c>
    </row>
    <row r="30054">
      <c r="A30054" s="4" t="s">
        <v>37843</v>
      </c>
      <c r="B30054" s="4" t="s">
        <v>37846</v>
      </c>
      <c r="C30054" s="5" t="str">
        <f>IFERROR(__xludf.DUMMYFUNCTION("GOOGLETRANSLATE(B30054,""en"",""de"")"),"Einer mit Seife und der andere zum Spülen.")</f>
        <v>Einer mit Seife und der andere zum Spülen.</v>
      </c>
    </row>
    <row r="30055">
      <c r="A30055" s="4" t="s">
        <v>37847</v>
      </c>
      <c r="B30055" s="4" t="s">
        <v>37848</v>
      </c>
      <c r="C30055" s="5" t="str">
        <f>IFERROR(__xludf.DUMMYFUNCTION("GOOGLETRANSLATE(B30055,""en"",""de"")"),"Frau wirft ein Wurfmesser auf Brett.")</f>
        <v>Frau wirft ein Wurfmesser auf Brett.</v>
      </c>
    </row>
    <row r="30056">
      <c r="A30056" s="4" t="s">
        <v>37847</v>
      </c>
      <c r="B30056" s="4" t="s">
        <v>37849</v>
      </c>
      <c r="C30056" s="5" t="str">
        <f>IFERROR(__xludf.DUMMYFUNCTION("GOOGLETRANSLATE(B30056,""en"",""de"")"),"Drei Männer werfen Messer.")</f>
        <v>Drei Männer werfen Messer.</v>
      </c>
    </row>
    <row r="30057">
      <c r="A30057" s="4" t="s">
        <v>37847</v>
      </c>
      <c r="B30057" s="4" t="s">
        <v>37850</v>
      </c>
      <c r="C30057" s="5" t="str">
        <f>IFERROR(__xludf.DUMMYFUNCTION("GOOGLETRANSLATE(B30057,""en"",""de"")"),"Messer trafen ein Brett.")</f>
        <v>Messer trafen ein Brett.</v>
      </c>
    </row>
    <row r="30058">
      <c r="A30058" s="4" t="s">
        <v>37847</v>
      </c>
      <c r="B30058" s="4" t="s">
        <v>37851</v>
      </c>
      <c r="C30058" s="5" t="str">
        <f>IFERROR(__xludf.DUMMYFUNCTION("GOOGLETRANSLATE(B30058,""en"",""de"")"),"Zwei Männer werfen Messer nach hinten.")</f>
        <v>Zwei Männer werfen Messer nach hinten.</v>
      </c>
    </row>
    <row r="30059">
      <c r="A30059" s="4" t="s">
        <v>37847</v>
      </c>
      <c r="B30059" s="4" t="s">
        <v>37852</v>
      </c>
      <c r="C30059" s="5" t="str">
        <f>IFERROR(__xludf.DUMMYFUNCTION("GOOGLETRANSLATE(B30059,""en"",""de"")"),"Mann wirft Messer.")</f>
        <v>Mann wirft Messer.</v>
      </c>
    </row>
    <row r="30060">
      <c r="A30060" s="4" t="s">
        <v>37847</v>
      </c>
      <c r="B30060" s="4" t="s">
        <v>37853</v>
      </c>
      <c r="C30060" s="5" t="str">
        <f>IFERROR(__xludf.DUMMYFUNCTION("GOOGLETRANSLATE(B30060,""en"",""de"")"),"Frau wirft Messer.")</f>
        <v>Frau wirft Messer.</v>
      </c>
    </row>
    <row r="30061">
      <c r="A30061" s="4" t="s">
        <v>37847</v>
      </c>
      <c r="B30061" s="4" t="s">
        <v>37854</v>
      </c>
      <c r="C30061" s="5" t="str">
        <f>IFERROR(__xludf.DUMMYFUNCTION("GOOGLETRANSLATE(B30061,""en"",""de"")"),"Ein Mann und eine Frau werfen Messer.")</f>
        <v>Ein Mann und eine Frau werfen Messer.</v>
      </c>
    </row>
    <row r="30062">
      <c r="A30062" s="4" t="s">
        <v>37847</v>
      </c>
      <c r="B30062" s="4" t="s">
        <v>37855</v>
      </c>
      <c r="C30062" s="5" t="str">
        <f>IFERROR(__xludf.DUMMYFUNCTION("GOOGLETRANSLATE(B30062,""en"",""de"")"),"Der Mann wirft Messer, während er sich hinlegt.")</f>
        <v>Der Mann wirft Messer, während er sich hinlegt.</v>
      </c>
    </row>
    <row r="30063">
      <c r="A30063" s="4" t="s">
        <v>37847</v>
      </c>
      <c r="B30063" s="4" t="s">
        <v>37856</v>
      </c>
      <c r="C30063" s="5" t="str">
        <f>IFERROR(__xludf.DUMMYFUNCTION("GOOGLETRANSLATE(B30063,""en"",""de"")"),"Der Mensch demonstriert den Schülern Techniken.")</f>
        <v>Der Mensch demonstriert den Schülern Techniken.</v>
      </c>
    </row>
    <row r="30064">
      <c r="A30064" s="4" t="s">
        <v>37847</v>
      </c>
      <c r="B30064" s="4" t="s">
        <v>37857</v>
      </c>
      <c r="C30064" s="5" t="str">
        <f>IFERROR(__xludf.DUMMYFUNCTION("GOOGLETRANSLATE(B30064,""en"",""de"")"),"Dojo -Mitglieder üben Techniken.")</f>
        <v>Dojo -Mitglieder üben Techniken.</v>
      </c>
    </row>
    <row r="30065">
      <c r="A30065" s="4" t="s">
        <v>37847</v>
      </c>
      <c r="B30065" s="4" t="s">
        <v>37858</v>
      </c>
      <c r="C30065" s="5" t="str">
        <f>IFERROR(__xludf.DUMMYFUNCTION("GOOGLETRANSLATE(B30065,""en"",""de"")"),"Dojo -Mitglieder verneigen sich vor dem Mann.")</f>
        <v>Dojo -Mitglieder verneigen sich vor dem Mann.</v>
      </c>
    </row>
    <row r="30066">
      <c r="A30066" s="4" t="s">
        <v>37859</v>
      </c>
      <c r="B30066" s="4" t="s">
        <v>37860</v>
      </c>
      <c r="C30066" s="5" t="str">
        <f>IFERROR(__xludf.DUMMYFUNCTION("GOOGLETRANSLATE(B30066,""en"",""de"")"),"Ein Kind geht an einem Hopscotch -Muster vorbei.")</f>
        <v>Ein Kind geht an einem Hopscotch -Muster vorbei.</v>
      </c>
    </row>
    <row r="30067">
      <c r="A30067" s="4" t="s">
        <v>37859</v>
      </c>
      <c r="B30067" s="4" t="s">
        <v>37861</v>
      </c>
      <c r="C30067" s="5" t="str">
        <f>IFERROR(__xludf.DUMMYFUNCTION("GOOGLETRANSLATE(B30067,""en"",""de"")"),"Das Kind setzt ihre Handflächen auf das Hopscotch -Muster.")</f>
        <v>Das Kind setzt ihre Handflächen auf das Hopscotch -Muster.</v>
      </c>
    </row>
    <row r="30068">
      <c r="A30068" s="4" t="s">
        <v>37859</v>
      </c>
      <c r="B30068" s="4" t="s">
        <v>37862</v>
      </c>
      <c r="C30068" s="5" t="str">
        <f>IFERROR(__xludf.DUMMYFUNCTION("GOOGLETRANSLATE(B30068,""en"",""de"")"),"Das Kind hüpft auf das Hopscotch -Muster.")</f>
        <v>Das Kind hüpft auf das Hopscotch -Muster.</v>
      </c>
    </row>
    <row r="30069">
      <c r="A30069" s="4" t="s">
        <v>37863</v>
      </c>
      <c r="B30069" s="4" t="s">
        <v>37864</v>
      </c>
      <c r="C30069" s="5" t="str">
        <f>IFERROR(__xludf.DUMMYFUNCTION("GOOGLETRANSLATE(B30069,""en"",""de"")"),"Eine junge Frau steht hinter einer Theke mit einer schwarzen Pfanne.")</f>
        <v>Eine junge Frau steht hinter einer Theke mit einer schwarzen Pfanne.</v>
      </c>
    </row>
    <row r="30070">
      <c r="A30070" s="4" t="s">
        <v>37863</v>
      </c>
      <c r="B30070" s="4" t="s">
        <v>37865</v>
      </c>
      <c r="C30070" s="5" t="str">
        <f>IFERROR(__xludf.DUMMYFUNCTION("GOOGLETRANSLATE(B30070,""en"",""de"")"),"In ihren Händen hält sie zwei Zwiebeln, dann zeigt das Video sie schnell mit einer Tomate, Rutabaga und einer Tüte mit reifen Cheddar in Kathedrale.")</f>
        <v>In ihren Händen hält sie zwei Zwiebeln, dann zeigt das Video sie schnell mit einer Tomate, Rutabaga und einer Tüte mit reifen Cheddar in Kathedrale.</v>
      </c>
    </row>
    <row r="30071">
      <c r="A30071" s="4" t="s">
        <v>37863</v>
      </c>
      <c r="B30071" s="4" t="s">
        <v>37866</v>
      </c>
      <c r="C30071" s="5" t="str">
        <f>IFERROR(__xludf.DUMMYFUNCTION("GOOGLETRANSLATE(B30071,""en"",""de"")"),"Als nächstes fängt sie an, jede Zutaten zu schneiden und fügt einer Pfanne Butter hinzu.")</f>
        <v>Als nächstes fängt sie an, jede Zutaten zu schneiden und fügt einer Pfanne Butter hinzu.</v>
      </c>
    </row>
    <row r="30072">
      <c r="A30072" s="4" t="s">
        <v>37863</v>
      </c>
      <c r="B30072" s="4" t="s">
        <v>37867</v>
      </c>
      <c r="C30072" s="5" t="str">
        <f>IFERROR(__xludf.DUMMYFUNCTION("GOOGLETRANSLATE(B30072,""en"",""de"")"),"Nachdem es fünf Minuten gebraten ist, gehen die Pilze in den Topf und drei Eier sind geknackt.")</f>
        <v>Nachdem es fünf Minuten gebraten ist, gehen die Pilze in den Topf und drei Eier sind geknackt.</v>
      </c>
    </row>
    <row r="30073">
      <c r="A30073" s="4" t="s">
        <v>37863</v>
      </c>
      <c r="B30073" s="4" t="s">
        <v>37868</v>
      </c>
      <c r="C30073" s="5" t="str">
        <f>IFERROR(__xludf.DUMMYFUNCTION("GOOGLETRANSLATE(B30073,""en"",""de"")"),"Der Rest des Inhalts wird in einen Messbecher hinzugefügt, dann werden schließlich alle Inhalte in eine Pfanne gegossen.")</f>
        <v>Der Rest des Inhalts wird in einen Messbecher hinzugefügt, dann werden schließlich alle Inhalte in eine Pfanne gegossen.</v>
      </c>
    </row>
    <row r="30074">
      <c r="A30074" s="4" t="s">
        <v>37863</v>
      </c>
      <c r="B30074" s="4" t="s">
        <v>37869</v>
      </c>
      <c r="C30074" s="5" t="str">
        <f>IFERROR(__xludf.DUMMYFUNCTION("GOOGLETRANSLATE(B30074,""en"",""de"")"),"Nach einiger Zeit wird ein Omelett erzeugt und auf einen Teller zusammen mit zwei Toastscheiben aufgetragen.")</f>
        <v>Nach einiger Zeit wird ein Omelett erzeugt und auf einen Teller zusammen mit zwei Toastscheiben aufgetragen.</v>
      </c>
    </row>
    <row r="30075">
      <c r="A30075" s="4" t="s">
        <v>37870</v>
      </c>
      <c r="B30075" s="4" t="s">
        <v>37871</v>
      </c>
      <c r="C30075" s="5" t="str">
        <f>IFERROR(__xludf.DUMMYFUNCTION("GOOGLETRANSLATE(B30075,""en"",""de"")"),"Eine Kamera schwenkt von einem Schild weg und führt zu Menschen, die Material um einen Boden drücken.")</f>
        <v>Eine Kamera schwenkt von einem Schild weg und führt zu Menschen, die Material um einen Boden drücken.</v>
      </c>
    </row>
    <row r="30076">
      <c r="A30076" s="4" t="s">
        <v>37870</v>
      </c>
      <c r="B30076" s="4" t="s">
        <v>37872</v>
      </c>
      <c r="C30076" s="5" t="str">
        <f>IFERROR(__xludf.DUMMYFUNCTION("GOOGLETRANSLATE(B30076,""en"",""de"")"),"Eine Biegung biegt sich um einen Boden und drückt das Material um den Raum.")</f>
        <v>Eine Biegung biegt sich um einen Boden und drückt das Material um den Raum.</v>
      </c>
    </row>
    <row r="30077">
      <c r="A30077" s="4" t="s">
        <v>37870</v>
      </c>
      <c r="B30077" s="4" t="s">
        <v>37873</v>
      </c>
      <c r="C30077" s="5" t="str">
        <f>IFERROR(__xludf.DUMMYFUNCTION("GOOGLETRANSLATE(B30077,""en"",""de"")"),"Am Ende schwenkt die Kamera um den fertigen Boden.")</f>
        <v>Am Ende schwenkt die Kamera um den fertigen Boden.</v>
      </c>
    </row>
    <row r="30078">
      <c r="A30078" s="4" t="s">
        <v>37874</v>
      </c>
      <c r="B30078" s="4" t="s">
        <v>37875</v>
      </c>
      <c r="C30078" s="5" t="str">
        <f>IFERROR(__xludf.DUMMYFUNCTION("GOOGLETRANSLATE(B30078,""en"",""de"")"),"Team USA -Frauen sind bei den Olympischen Spielen.")</f>
        <v>Team USA -Frauen sind bei den Olympischen Spielen.</v>
      </c>
    </row>
    <row r="30079">
      <c r="A30079" s="4" t="s">
        <v>37874</v>
      </c>
      <c r="B30079" s="4" t="s">
        <v>37876</v>
      </c>
      <c r="C30079" s="5" t="str">
        <f>IFERROR(__xludf.DUMMYFUNCTION("GOOGLETRANSLATE(B30079,""en"",""de"")"),"Tracy, Natalie, Nicole, Allison und Debbie sind in mehreren Szenen Gruppen fotografiert.")</f>
        <v>Tracy, Natalie, Nicole, Allison und Debbie sind in mehreren Szenen Gruppen fotografiert.</v>
      </c>
    </row>
    <row r="30080">
      <c r="A30080" s="4" t="s">
        <v>37874</v>
      </c>
      <c r="B30080" s="4" t="s">
        <v>37877</v>
      </c>
      <c r="C30080" s="5" t="str">
        <f>IFERROR(__xludf.DUMMYFUNCTION("GOOGLETRANSLATE(B30080,""en"",""de"")"),"Als Team USA umarmt die Teamkollegen.")</f>
        <v>Als Team USA umarmt die Teamkollegen.</v>
      </c>
    </row>
    <row r="30081">
      <c r="A30081" s="4" t="s">
        <v>37878</v>
      </c>
      <c r="B30081" s="4" t="s">
        <v>37879</v>
      </c>
      <c r="C30081" s="5" t="str">
        <f>IFERROR(__xludf.DUMMYFUNCTION("GOOGLETRANSLATE(B30081,""en"",""de"")"),"Die Menschen fahren in der Wüste Kamele.")</f>
        <v>Die Menschen fahren in der Wüste Kamele.</v>
      </c>
    </row>
    <row r="30082">
      <c r="A30082" s="4" t="s">
        <v>37878</v>
      </c>
      <c r="B30082" s="4" t="s">
        <v>37880</v>
      </c>
      <c r="C30082" s="5" t="str">
        <f>IFERROR(__xludf.DUMMYFUNCTION("GOOGLETRANSLATE(B30082,""en"",""de"")"),"Die Leute gehen neben Kamele.")</f>
        <v>Die Leute gehen neben Kamele.</v>
      </c>
    </row>
    <row r="30083">
      <c r="A30083" s="4" t="s">
        <v>37878</v>
      </c>
      <c r="B30083" s="4" t="s">
        <v>37881</v>
      </c>
      <c r="C30083" s="5" t="str">
        <f>IFERROR(__xludf.DUMMYFUNCTION("GOOGLETRANSLATE(B30083,""en"",""de"")"),"Eine Dame schaut nach unten und zur Seite ihres Kamels.")</f>
        <v>Eine Dame schaut nach unten und zur Seite ihres Kamels.</v>
      </c>
    </row>
    <row r="30084">
      <c r="A30084" s="4" t="s">
        <v>37882</v>
      </c>
      <c r="B30084" s="4" t="s">
        <v>37883</v>
      </c>
      <c r="C30084" s="5" t="str">
        <f>IFERROR(__xludf.DUMMYFUNCTION("GOOGLETRANSLATE(B30084,""en"",""de"")"),"Eine große Menge sitzt in einem Theater, das klatscht und beobachtet.")</f>
        <v>Eine große Menge sitzt in einem Theater, das klatscht und beobachtet.</v>
      </c>
    </row>
    <row r="30085">
      <c r="A30085" s="4" t="s">
        <v>37882</v>
      </c>
      <c r="B30085" s="4" t="s">
        <v>37884</v>
      </c>
      <c r="C30085" s="5" t="str">
        <f>IFERROR(__xludf.DUMMYFUNCTION("GOOGLETRANSLATE(B30085,""en"",""de"")"),"Zwei Frauen sind auf dem Bühnentanzen zu sehen.")</f>
        <v>Zwei Frauen sind auf dem Bühnentanzen zu sehen.</v>
      </c>
    </row>
    <row r="30086">
      <c r="A30086" s="4" t="s">
        <v>37882</v>
      </c>
      <c r="B30086" s="4" t="s">
        <v>37885</v>
      </c>
      <c r="C30086" s="5" t="str">
        <f>IFERROR(__xludf.DUMMYFUNCTION("GOOGLETRANSLATE(B30086,""en"",""de"")"),"Eine der Frauen zeigt ihr Talent, das Schwerter in ihren verschiedenen Körperteilen ausgleichen.")</f>
        <v>Eine der Frauen zeigt ihr Talent, das Schwerter in ihren verschiedenen Körperteilen ausgleichen.</v>
      </c>
    </row>
    <row r="30087">
      <c r="A30087" s="4" t="s">
        <v>37886</v>
      </c>
      <c r="B30087" s="4" t="s">
        <v>37887</v>
      </c>
      <c r="C30087" s="5" t="str">
        <f>IFERROR(__xludf.DUMMYFUNCTION("GOOGLETRANSLATE(B30087,""en"",""de"")"),"Es werden mehrere Schüsse von Stränden gezeigt und führt zu Frauen in Bikinis, die ein Volleyballspiel spielen.")</f>
        <v>Es werden mehrere Schüsse von Stränden gezeigt und führt zu Frauen in Bikinis, die ein Volleyballspiel spielen.</v>
      </c>
    </row>
    <row r="30088">
      <c r="A30088" s="4" t="s">
        <v>37886</v>
      </c>
      <c r="B30088" s="4" t="s">
        <v>37888</v>
      </c>
      <c r="C30088" s="5" t="str">
        <f>IFERROR(__xludf.DUMMYFUNCTION("GOOGLETRANSLATE(B30088,""en"",""de"")"),"Die Mädchen spielen weiter, sitzen dann an den Seiten und berühren die Beine des anderen.")</f>
        <v>Die Mädchen spielen weiter, sitzen dann an den Seiten und berühren die Beine des anderen.</v>
      </c>
    </row>
    <row r="30089">
      <c r="A30089" s="4" t="s">
        <v>37886</v>
      </c>
      <c r="B30089" s="4" t="s">
        <v>37889</v>
      </c>
      <c r="C30089" s="5" t="str">
        <f>IFERROR(__xludf.DUMMYFUNCTION("GOOGLETRANSLATE(B30089,""en"",""de"")"),"Dann legten sie Lotion über ihre Beine und rasieren ihre Beine und halten den Ball am Ende zum Lachen.")</f>
        <v>Dann legten sie Lotion über ihre Beine und rasieren ihre Beine und halten den Ball am Ende zum Lachen.</v>
      </c>
    </row>
    <row r="30090">
      <c r="A30090" s="4" t="s">
        <v>37890</v>
      </c>
      <c r="B30090" s="4" t="s">
        <v>37891</v>
      </c>
      <c r="C30090" s="5" t="str">
        <f>IFERROR(__xludf.DUMMYFUNCTION("GOOGLETRANSLATE(B30090,""en"",""de"")"),"Ein Mann geht auf Stelzen in einen Park.")</f>
        <v>Ein Mann geht auf Stelzen in einen Park.</v>
      </c>
    </row>
    <row r="30091">
      <c r="A30091" s="4" t="s">
        <v>37890</v>
      </c>
      <c r="B30091" s="4" t="s">
        <v>37892</v>
      </c>
      <c r="C30091" s="5" t="str">
        <f>IFERROR(__xludf.DUMMYFUNCTION("GOOGLETRANSLATE(B30091,""en"",""de"")"),"Dreht sich nach rechts und geht eine Reihe von Bänken.")</f>
        <v>Dreht sich nach rechts und geht eine Reihe von Bänken.</v>
      </c>
    </row>
    <row r="30092">
      <c r="A30092" s="4" t="s">
        <v>37890</v>
      </c>
      <c r="B30092" s="4" t="s">
        <v>37893</v>
      </c>
      <c r="C30092" s="5" t="str">
        <f>IFERROR(__xludf.DUMMYFUNCTION("GOOGLETRANSLATE(B30092,""en"",""de"")"),"Der Mann beschleunigt sich dann zurück zu seiner anfänglichen Geschwindigkeit.")</f>
        <v>Der Mann beschleunigt sich dann zurück zu seiner anfänglichen Geschwindigkeit.</v>
      </c>
    </row>
    <row r="30093">
      <c r="A30093" s="4" t="s">
        <v>37890</v>
      </c>
      <c r="B30093" s="4" t="s">
        <v>37894</v>
      </c>
      <c r="C30093" s="5" t="str">
        <f>IFERROR(__xludf.DUMMYFUNCTION("GOOGLETRANSLATE(B30093,""en"",""de"")"),"Der Mann erreicht das Schild des Parks und kommt zum Stillstand.")</f>
        <v>Der Mann erreicht das Schild des Parks und kommt zum Stillstand.</v>
      </c>
    </row>
    <row r="30094">
      <c r="A30094" s="4" t="s">
        <v>37895</v>
      </c>
      <c r="B30094" s="4" t="s">
        <v>37896</v>
      </c>
      <c r="C30094" s="5" t="str">
        <f>IFERROR(__xludf.DUMMYFUNCTION("GOOGLETRANSLATE(B30094,""en"",""de"")"),"Ein Mann mit einem dicken Schnurrbart in Winterkleidung sitzt auf einem weißen Eimer, der auf einem gefrorenen Gewässer auf den Kopf gestellt wird, während er ein Bier aus einer blauen Dose trinkt und spricht.")</f>
        <v>Ein Mann mit einem dicken Schnurrbart in Winterkleidung sitzt auf einem weißen Eimer, der auf einem gefrorenen Gewässer auf den Kopf gestellt wird, während er ein Bier aus einer blauen Dose trinkt und spricht.</v>
      </c>
    </row>
    <row r="30095">
      <c r="A30095" s="4" t="s">
        <v>37895</v>
      </c>
      <c r="B30095" s="4" t="s">
        <v>37897</v>
      </c>
      <c r="C30095" s="5" t="str">
        <f>IFERROR(__xludf.DUMMYFUNCTION("GOOGLETRANSLATE(B30095,""en"",""de"")"),"Der Mann nimmt dann seine Angelstange auf und zieht den Fischerdraht, der sich im Fischereiloch vor ihm befindet, den Draht hoch hält und dann wieder in das Loch steckt, während er noch spricht.")</f>
        <v>Der Mann nimmt dann seine Angelstange auf und zieht den Fischerdraht, der sich im Fischereiloch vor ihm befindet, den Draht hoch hält und dann wieder in das Loch steckt, während er noch spricht.</v>
      </c>
    </row>
    <row r="30096">
      <c r="A30096" s="4" t="s">
        <v>37895</v>
      </c>
      <c r="B30096" s="4" t="s">
        <v>37898</v>
      </c>
      <c r="C30096" s="5" t="str">
        <f>IFERROR(__xludf.DUMMYFUNCTION("GOOGLETRANSLATE(B30096,""en"",""de"")"),"Der Mann steigt dann von seinem Eimer und während er auf seinen beiden Knien seine Finger in und aus dem Fischereiloch steckt und weiter spricht.")</f>
        <v>Der Mann steigt dann von seinem Eimer und während er auf seinen beiden Knien seine Finger in und aus dem Fischereiloch steckt und weiter spricht.</v>
      </c>
    </row>
    <row r="30097">
      <c r="A30097" s="4" t="s">
        <v>37899</v>
      </c>
      <c r="B30097" s="4" t="s">
        <v>37900</v>
      </c>
      <c r="C30097" s="5" t="str">
        <f>IFERROR(__xludf.DUMMYFUNCTION("GOOGLETRANSLATE(B30097,""en"",""de"")"),"Ein Mann sitzt auf einem geschäftigen Stadtplatz, der ein Akkordeon spielt, während andere zuschauen.")</f>
        <v>Ein Mann sitzt auf einem geschäftigen Stadtplatz, der ein Akkordeon spielt, während andere zuschauen.</v>
      </c>
    </row>
    <row r="30098">
      <c r="A30098" s="4" t="s">
        <v>37899</v>
      </c>
      <c r="B30098" s="4" t="s">
        <v>37901</v>
      </c>
      <c r="C30098" s="5" t="str">
        <f>IFERROR(__xludf.DUMMYFUNCTION("GOOGLETRANSLATE(B30098,""en"",""de"")"),"Der Mann spielt weiter, als die Leute herumlaufen und bemerken.")</f>
        <v>Der Mann spielt weiter, als die Leute herumlaufen und bemerken.</v>
      </c>
    </row>
    <row r="30099">
      <c r="A30099" s="4" t="s">
        <v>37902</v>
      </c>
      <c r="B30099" s="4" t="s">
        <v>37903</v>
      </c>
      <c r="C30099" s="5" t="str">
        <f>IFERROR(__xludf.DUMMYFUNCTION("GOOGLETRANSLATE(B30099,""en"",""de"")"),"Ein Mann ist vor einem Spiegel.")</f>
        <v>Ein Mann ist vor einem Spiegel.</v>
      </c>
    </row>
    <row r="30100">
      <c r="A30100" s="4" t="s">
        <v>37902</v>
      </c>
      <c r="B30100" s="4" t="s">
        <v>37904</v>
      </c>
      <c r="C30100" s="5" t="str">
        <f>IFERROR(__xludf.DUMMYFUNCTION("GOOGLETRANSLATE(B30100,""en"",""de"")"),"Er bedeckt sein Gesicht in einer weißen flüssigen Substanz.")</f>
        <v>Er bedeckt sein Gesicht in einer weißen flüssigen Substanz.</v>
      </c>
    </row>
    <row r="30101">
      <c r="A30101" s="4" t="s">
        <v>37902</v>
      </c>
      <c r="B30101" s="4" t="s">
        <v>37905</v>
      </c>
      <c r="C30101" s="5" t="str">
        <f>IFERROR(__xludf.DUMMYFUNCTION("GOOGLETRANSLATE(B30101,""en"",""de"")"),"Dann verschwindet er eine Weile und kehrt mit einem nassen, aber sauberen Gesicht zurück.")</f>
        <v>Dann verschwindet er eine Weile und kehrt mit einem nassen, aber sauberen Gesicht zurück.</v>
      </c>
    </row>
    <row r="30102">
      <c r="A30102" s="4" t="s">
        <v>37906</v>
      </c>
      <c r="B30102" s="4" t="s">
        <v>16436</v>
      </c>
      <c r="C30102" s="5" t="str">
        <f>IFERROR(__xludf.DUMMYFUNCTION("GOOGLETRANSLATE(B30102,""en"",""de"")"),"Eine Frau kniet auf einer blauen Matte.")</f>
        <v>Eine Frau kniet auf einer blauen Matte.</v>
      </c>
    </row>
    <row r="30103">
      <c r="A30103" s="4" t="s">
        <v>37906</v>
      </c>
      <c r="B30103" s="4" t="s">
        <v>37907</v>
      </c>
      <c r="C30103" s="5" t="str">
        <f>IFERROR(__xludf.DUMMYFUNCTION("GOOGLETRANSLATE(B30103,""en"",""de"")"),"Sie schnappt sich eine Weile und hält sie neben sich.")</f>
        <v>Sie schnappt sich eine Weile und hält sie neben sich.</v>
      </c>
    </row>
    <row r="30104">
      <c r="A30104" s="4" t="s">
        <v>37906</v>
      </c>
      <c r="B30104" s="4" t="s">
        <v>37908</v>
      </c>
      <c r="C30104" s="5" t="str">
        <f>IFERROR(__xludf.DUMMYFUNCTION("GOOGLETRANSLATE(B30104,""en"",""de"")"),"Sie legt die Bar ab und nimmt eine Kesselglocke auf.")</f>
        <v>Sie legt die Bar ab und nimmt eine Kesselglocke auf.</v>
      </c>
    </row>
    <row r="30105">
      <c r="A30105" s="4" t="s">
        <v>37906</v>
      </c>
      <c r="B30105" s="4" t="s">
        <v>37909</v>
      </c>
      <c r="C30105" s="5" t="str">
        <f>IFERROR(__xludf.DUMMYFUNCTION("GOOGLETRANSLATE(B30105,""en"",""de"")"),"Sie hebt die Kesselglocke und legt sie wieder ab.")</f>
        <v>Sie hebt die Kesselglocke und legt sie wieder ab.</v>
      </c>
    </row>
    <row r="30106">
      <c r="A30106" s="4" t="s">
        <v>37906</v>
      </c>
      <c r="B30106" s="4" t="s">
        <v>37910</v>
      </c>
      <c r="C30106" s="5" t="str">
        <f>IFERROR(__xludf.DUMMYFUNCTION("GOOGLETRANSLATE(B30106,""en"",""de"")"),"Sie nimmt es dann wieder hoch und hebt es mehrmals vor ihr auf und ab.")</f>
        <v>Sie nimmt es dann wieder hoch und hebt es mehrmals vor ihr auf und ab.</v>
      </c>
    </row>
    <row r="30107">
      <c r="A30107" s="4" t="s">
        <v>37911</v>
      </c>
      <c r="B30107" s="4" t="s">
        <v>37912</v>
      </c>
      <c r="C30107" s="5" t="str">
        <f>IFERROR(__xludf.DUMMYFUNCTION("GOOGLETRANSLATE(B30107,""en"",""de"")"),"Eine Frau stellt sich der Kamera vor und beginnt über das Thema des Videos, Pasta.")</f>
        <v>Eine Frau stellt sich der Kamera vor und beginnt über das Thema des Videos, Pasta.</v>
      </c>
    </row>
    <row r="30108">
      <c r="A30108" s="4" t="s">
        <v>37911</v>
      </c>
      <c r="B30108" s="4" t="s">
        <v>37913</v>
      </c>
      <c r="C30108" s="5" t="str">
        <f>IFERROR(__xludf.DUMMYFUNCTION("GOOGLETRANSLATE(B30108,""en"",""de"")"),"Die Kamera zeigt die Zutaten, die in Kochnudeln eingehen.")</f>
        <v>Die Kamera zeigt die Zutaten, die in Kochnudeln eingehen.</v>
      </c>
    </row>
    <row r="30109">
      <c r="A30109" s="4" t="s">
        <v>37911</v>
      </c>
      <c r="B30109" s="4" t="s">
        <v>37914</v>
      </c>
      <c r="C30109" s="5" t="str">
        <f>IFERROR(__xludf.DUMMYFUNCTION("GOOGLETRANSLATE(B30109,""en"",""de"")"),"Die Frau lässt Salz in einen Topf Wasser fallen und schaltet die Brenner an.")</f>
        <v>Die Frau lässt Salz in einen Topf Wasser fallen und schaltet die Brenner an.</v>
      </c>
    </row>
    <row r="30110">
      <c r="A30110" s="4" t="s">
        <v>37911</v>
      </c>
      <c r="B30110" s="4" t="s">
        <v>37915</v>
      </c>
      <c r="C30110" s="5" t="str">
        <f>IFERROR(__xludf.DUMMYFUNCTION("GOOGLETRANSLATE(B30110,""en"",""de"")"),"Einmal kocht sie, fügt sie die Nudeln im Topf hinzu.")</f>
        <v>Einmal kocht sie, fügt sie die Nudeln im Topf hinzu.</v>
      </c>
    </row>
    <row r="30111">
      <c r="A30111" s="4" t="s">
        <v>37911</v>
      </c>
      <c r="B30111" s="4" t="s">
        <v>37916</v>
      </c>
      <c r="C30111" s="5" t="str">
        <f>IFERROR(__xludf.DUMMYFUNCTION("GOOGLETRANSLATE(B30111,""en"",""de"")"),"Sie rührt die Pasta und leert dann den Topf in einem Säulen, sobald die Nudeln Al Dente sind.")</f>
        <v>Sie rührt die Pasta und leert dann den Topf in einem Säulen, sobald die Nudeln Al Dente sind.</v>
      </c>
    </row>
    <row r="30112">
      <c r="A30112" s="4" t="s">
        <v>37911</v>
      </c>
      <c r="B30112" s="4" t="s">
        <v>37917</v>
      </c>
      <c r="C30112" s="5" t="str">
        <f>IFERROR(__xludf.DUMMYFUNCTION("GOOGLETRANSLATE(B30112,""en"",""de"")"),"Sie kehrt die Nudeln in den Topf zurück und fügt Olivenöl hinzu.")</f>
        <v>Sie kehrt die Nudeln in den Topf zurück und fügt Olivenöl hinzu.</v>
      </c>
    </row>
    <row r="30113">
      <c r="A30113" s="4" t="s">
        <v>37918</v>
      </c>
      <c r="B30113" s="4" t="s">
        <v>37919</v>
      </c>
      <c r="C30113" s="5" t="str">
        <f>IFERROR(__xludf.DUMMYFUNCTION("GOOGLETRANSLATE(B30113,""en"",""de"")"),"Eine Frau und ein männlicher Sportnachrichtenreporter, berichten Sie während einer Live -Nachrichtensendung hinter einem Nachrichtensender -Tisch über eine Geschichte über die Gefahren des Völkerballs in Schulen und ob ein Dodge -Ball mehr weh tut als ein"&amp;" Fußball, wenn er mit einem oder dem getroffen wird oder nicht Sonstiges.")</f>
        <v>Eine Frau und ein männlicher Sportnachrichtenreporter, berichten Sie während einer Live -Nachrichtensendung hinter einem Nachrichtensender -Tisch über eine Geschichte über die Gefahren des Völkerballs in Schulen und ob ein Dodge -Ball mehr weh tut als ein Fußball, wenn er mit einem oder dem getroffen wird oder nicht Sonstiges.</v>
      </c>
    </row>
    <row r="30114">
      <c r="A30114" s="4" t="s">
        <v>37918</v>
      </c>
      <c r="B30114" s="4" t="s">
        <v>37920</v>
      </c>
      <c r="C30114" s="5" t="str">
        <f>IFERROR(__xludf.DUMMYFUNCTION("GOOGLETRANSLATE(B30114,""en"",""de"")"),"Zwei Nachrichtensender sprechen hinter einem Nachrichtensendungstisch miteinander.")</f>
        <v>Zwei Nachrichtensender sprechen hinter einem Nachrichtensendungstisch miteinander.</v>
      </c>
    </row>
    <row r="30115">
      <c r="A30115" s="4" t="s">
        <v>37918</v>
      </c>
      <c r="B30115" s="4" t="s">
        <v>37921</v>
      </c>
      <c r="C30115" s="5" t="str">
        <f>IFERROR(__xludf.DUMMYFUNCTION("GOOGLETRANSLATE(B30115,""en"",""de"")"),"Der Clip wechselt, um eine Reihe von Videoclips verschiedener Kinder anzuzeigen, die in Turnhallen Dodgeball spielen und vom Dodgeball getroffen werden.")</f>
        <v>Der Clip wechselt, um eine Reihe von Videoclips verschiedener Kinder anzuzeigen, die in Turnhallen Dodgeball spielen und vom Dodgeball getroffen werden.</v>
      </c>
    </row>
    <row r="30116">
      <c r="A30116" s="4" t="s">
        <v>37918</v>
      </c>
      <c r="B30116" s="4" t="s">
        <v>37922</v>
      </c>
      <c r="C30116" s="5" t="str">
        <f>IFERROR(__xludf.DUMMYFUNCTION("GOOGLETRANSLATE(B30116,""en"",""de"")"),"Die Reporterin der Frau bringt dann eine Gruppe von Männern in einen geschlossenen, gepflasterten Bereich im Freien und wirft sowohl einen Dodgeball als auch einen Fußballball auf sie. An diesem Punkt zeigen einige der Männer, dass sie von beiden Bällen g"&amp;"etroffen und verletzt wurden .")</f>
        <v>Die Reporterin der Frau bringt dann eine Gruppe von Männern in einen geschlossenen, gepflasterten Bereich im Freien und wirft sowohl einen Dodgeball als auch einen Fußballball auf sie. An diesem Punkt zeigen einige der Männer, dass sie von beiden Bällen getroffen und verletzt wurden .</v>
      </c>
    </row>
    <row r="30117">
      <c r="A30117" s="4" t="s">
        <v>37923</v>
      </c>
      <c r="B30117" s="4" t="s">
        <v>37924</v>
      </c>
      <c r="C30117" s="5" t="str">
        <f>IFERROR(__xludf.DUMMYFUNCTION("GOOGLETRANSLATE(B30117,""en"",""de"")"),"Eine große Gruppe von Frauen steht auf einer Bühne, die Schlagzeug schlägt, während eine andere Gruppe von Männern hinter ihnen spielt.")</f>
        <v>Eine große Gruppe von Frauen steht auf einer Bühne, die Schlagzeug schlägt, während eine andere Gruppe von Männern hinter ihnen spielt.</v>
      </c>
    </row>
    <row r="30118">
      <c r="A30118" s="4" t="s">
        <v>37923</v>
      </c>
      <c r="B30118" s="4" t="s">
        <v>37925</v>
      </c>
      <c r="C30118" s="5" t="str">
        <f>IFERROR(__xludf.DUMMYFUNCTION("GOOGLETRANSLATE(B30118,""en"",""de"")"),"Die Gruppe spielt kontinuierlich vor einer großen Menge und endet mit Credits entlang des Bildschirms.")</f>
        <v>Die Gruppe spielt kontinuierlich vor einer großen Menge und endet mit Credits entlang des Bildschirms.</v>
      </c>
    </row>
    <row r="30119">
      <c r="A30119" s="4" t="s">
        <v>37926</v>
      </c>
      <c r="B30119" s="4" t="s">
        <v>37927</v>
      </c>
      <c r="C30119" s="5" t="str">
        <f>IFERROR(__xludf.DUMMYFUNCTION("GOOGLETRANSLATE(B30119,""en"",""de"")"),"Eine junge Frau trainiert auf einer schwarzen Elliptik.")</f>
        <v>Eine junge Frau trainiert auf einer schwarzen Elliptik.</v>
      </c>
    </row>
    <row r="30120">
      <c r="A30120" s="4" t="s">
        <v>37926</v>
      </c>
      <c r="B30120" s="4" t="s">
        <v>37928</v>
      </c>
      <c r="C30120" s="5" t="str">
        <f>IFERROR(__xludf.DUMMYFUNCTION("GOOGLETRANSLATE(B30120,""en"",""de"")"),"Sie trainiert weiter und es wird eine Nahaufnahme der Maschine gezeigt.")</f>
        <v>Sie trainiert weiter und es wird eine Nahaufnahme der Maschine gezeigt.</v>
      </c>
    </row>
    <row r="30121">
      <c r="A30121" s="4" t="s">
        <v>37926</v>
      </c>
      <c r="B30121" s="4" t="s">
        <v>37929</v>
      </c>
      <c r="C30121" s="5" t="str">
        <f>IFERROR(__xludf.DUMMYFUNCTION("GOOGLETRANSLATE(B30121,""en"",""de"")"),"Schließlich nimmt sie einen Schluck ihres Wassers, als sie ihr flottes Training beendet und dann in der Mitte des Bildschirms das Golds -Gymnastik erscheint.")</f>
        <v>Schließlich nimmt sie einen Schluck ihres Wassers, als sie ihr flottes Training beendet und dann in der Mitte des Bildschirms das Golds -Gymnastik erscheint.</v>
      </c>
    </row>
    <row r="30122">
      <c r="A30122" s="4" t="s">
        <v>37930</v>
      </c>
      <c r="B30122" s="4" t="s">
        <v>37931</v>
      </c>
      <c r="C30122" s="5" t="str">
        <f>IFERROR(__xludf.DUMMYFUNCTION("GOOGLETRANSLATE(B30122,""en"",""de"")"),"Ein Mann spricht mit der Kamera und führt mit Rasierschaum in ihn.")</f>
        <v>Ein Mann spricht mit der Kamera und führt mit Rasierschaum in ihn.</v>
      </c>
    </row>
    <row r="30123">
      <c r="A30123" s="4" t="s">
        <v>37930</v>
      </c>
      <c r="B30123" s="4" t="s">
        <v>37932</v>
      </c>
      <c r="C30123" s="5" t="str">
        <f>IFERROR(__xludf.DUMMYFUNCTION("GOOGLETRANSLATE(B30123,""en"",""de"")"),"Dann hält er einen Rasierer hoch und rasiert sein Gesicht, während alte Filme gezeigt werden.")</f>
        <v>Dann hält er einen Rasierer hoch und rasiert sein Gesicht, während alte Filme gezeigt werden.</v>
      </c>
    </row>
    <row r="30124">
      <c r="A30124" s="4" t="s">
        <v>37930</v>
      </c>
      <c r="B30124" s="4" t="s">
        <v>37933</v>
      </c>
      <c r="C30124" s="5" t="str">
        <f>IFERROR(__xludf.DUMMYFUNCTION("GOOGLETRANSLATE(B30124,""en"",""de"")"),"Die Männer rasieren weiter und endet mit Text über dem Bildschirm.")</f>
        <v>Die Männer rasieren weiter und endet mit Text über dem Bildschirm.</v>
      </c>
    </row>
    <row r="30125">
      <c r="A30125" s="4" t="s">
        <v>37934</v>
      </c>
      <c r="B30125" s="4" t="s">
        <v>37935</v>
      </c>
      <c r="C30125" s="5" t="str">
        <f>IFERROR(__xludf.DUMMYFUNCTION("GOOGLETRANSLATE(B30125,""en"",""de"")"),"Eine Patientin, die in einem Krankenhausstuhl in einem Krankenhauszimmer sitzt, bringt ihre Nägel von einem Maniküristen, der eine grüne Bluse trägt, erledigt.")</f>
        <v>Eine Patientin, die in einem Krankenhausstuhl in einem Krankenhauszimmer sitzt, bringt ihre Nägel von einem Maniküristen, der eine grüne Bluse trägt, erledigt.</v>
      </c>
    </row>
    <row r="30126">
      <c r="A30126" s="4" t="s">
        <v>37934</v>
      </c>
      <c r="B30126" s="4" t="s">
        <v>37936</v>
      </c>
      <c r="C30126" s="5" t="str">
        <f>IFERROR(__xludf.DUMMYFUNCTION("GOOGLETRANSLATE(B30126,""en"",""de"")"),"Die Patientin hört Musik, als sie ihre Füße in den Rhythmus einer Musik bewegt.")</f>
        <v>Die Patientin hört Musik, als sie ihre Füße in den Rhythmus einer Musik bewegt.</v>
      </c>
    </row>
    <row r="30127">
      <c r="A30127" s="4" t="s">
        <v>37937</v>
      </c>
      <c r="B30127" s="4" t="s">
        <v>37938</v>
      </c>
      <c r="C30127" s="5" t="str">
        <f>IFERROR(__xludf.DUMMYFUNCTION("GOOGLETRANSLATE(B30127,""en"",""de"")"),"Wir sehen, dass ein Foosballspiel gespielt wird.")</f>
        <v>Wir sehen, dass ein Foosballspiel gespielt wird.</v>
      </c>
    </row>
    <row r="30128">
      <c r="A30128" s="4" t="s">
        <v>37937</v>
      </c>
      <c r="B30128" s="4" t="s">
        <v>37939</v>
      </c>
      <c r="C30128" s="5" t="str">
        <f>IFERROR(__xludf.DUMMYFUNCTION("GOOGLETRANSLATE(B30128,""en"",""de"")"),"Wir schwenken und sehen die Spieler.")</f>
        <v>Wir schwenken und sehen die Spieler.</v>
      </c>
    </row>
    <row r="30129">
      <c r="A30129" s="4" t="s">
        <v>37937</v>
      </c>
      <c r="B30129" s="4" t="s">
        <v>37940</v>
      </c>
      <c r="C30129" s="5" t="str">
        <f>IFERROR(__xludf.DUMMYFUNCTION("GOOGLETRANSLATE(B30129,""en"",""de"")"),"Wir sehen die Spieler links.")</f>
        <v>Wir sehen die Spieler links.</v>
      </c>
    </row>
    <row r="30130">
      <c r="A30130" s="4" t="s">
        <v>37937</v>
      </c>
      <c r="B30130" s="4" t="s">
        <v>37941</v>
      </c>
      <c r="C30130" s="5" t="str">
        <f>IFERROR(__xludf.DUMMYFUNCTION("GOOGLETRANSLATE(B30130,""en"",""de"")"),"Eine Person dreht die zweite aus der rechten Bar.")</f>
        <v>Eine Person dreht die zweite aus der rechten Bar.</v>
      </c>
    </row>
    <row r="30131">
      <c r="A30131" s="4" t="s">
        <v>37942</v>
      </c>
      <c r="B30131" s="4" t="s">
        <v>37943</v>
      </c>
      <c r="C30131" s="5" t="str">
        <f>IFERROR(__xludf.DUMMYFUNCTION("GOOGLETRANSLATE(B30131,""en"",""de"")"),"Ein schnelles Motion -Video zeigt einen Jungen, der anfängt, über eine Reihe von Affenbars zu klettern.")</f>
        <v>Ein schnelles Motion -Video zeigt einen Jungen, der anfängt, über eine Reihe von Affenbars zu klettern.</v>
      </c>
    </row>
    <row r="30132">
      <c r="A30132" s="4" t="s">
        <v>37942</v>
      </c>
      <c r="B30132" s="4" t="s">
        <v>37944</v>
      </c>
      <c r="C30132" s="5" t="str">
        <f>IFERROR(__xludf.DUMMYFUNCTION("GOOGLETRANSLATE(B30132,""en"",""de"")"),"Der Junge schafft es hinüber und springt runter, während eine andere Person direkt hinter ihm versucht.")</f>
        <v>Der Junge schafft es hinüber und springt runter, während eine andere Person direkt hinter ihm versucht.</v>
      </c>
    </row>
    <row r="30133">
      <c r="A30133" s="4" t="s">
        <v>37945</v>
      </c>
      <c r="B30133" s="4" t="s">
        <v>37946</v>
      </c>
      <c r="C30133" s="5" t="str">
        <f>IFERROR(__xludf.DUMMYFUNCTION("GOOGLETRANSLATE(B30133,""en"",""de"")"),"Ein Mann mittleren Alters schaufelt Schnee auf einem Bürgersteig, während ein mittelgroßer brauner Hund die Schaufel jagt.")</f>
        <v>Ein Mann mittleren Alters schaufelt Schnee auf einem Bürgersteig, während ein mittelgroßer brauner Hund die Schaufel jagt.</v>
      </c>
    </row>
    <row r="30134">
      <c r="A30134" s="4" t="s">
        <v>37945</v>
      </c>
      <c r="B30134" s="4" t="s">
        <v>37947</v>
      </c>
      <c r="C30134" s="5" t="str">
        <f>IFERROR(__xludf.DUMMYFUNCTION("GOOGLETRANSLATE(B30134,""en"",""de"")"),"Der Mann wirft den Schnee und dreht sich um, um die Schaufel zu wiederholen, während der Hund die Schaufel weiter jagt.")</f>
        <v>Der Mann wirft den Schnee und dreht sich um, um die Schaufel zu wiederholen, während der Hund die Schaufel weiter jagt.</v>
      </c>
    </row>
    <row r="30135">
      <c r="A30135" s="4" t="s">
        <v>37945</v>
      </c>
      <c r="B30135" s="4" t="s">
        <v>37948</v>
      </c>
      <c r="C30135" s="5" t="str">
        <f>IFERROR(__xludf.DUMMYFUNCTION("GOOGLETRANSLATE(B30135,""en"",""de"")"),"Am Ende des Bürgersteigs in der Nähe einer Auffahrt sieht eine junge Frau in einem schwarzen Schneeanzug auf dem Bauch, wie der Hund die Schaufel jagt und lacht.")</f>
        <v>Am Ende des Bürgersteigs in der Nähe einer Auffahrt sieht eine junge Frau in einem schwarzen Schneeanzug auf dem Bauch, wie der Hund die Schaufel jagt und lacht.</v>
      </c>
    </row>
    <row r="30136">
      <c r="A30136" s="4" t="s">
        <v>37945</v>
      </c>
      <c r="B30136" s="4" t="s">
        <v>37949</v>
      </c>
      <c r="C30136" s="5" t="str">
        <f>IFERROR(__xludf.DUMMYFUNCTION("GOOGLETRANSLATE(B30136,""en"",""de"")"),"Der Mann dreht sich jetzt um und rennt den Bürgersteig hinunter und schaufelt den Schnee wieder und der Hund läuft mit ihm zusammen.")</f>
        <v>Der Mann dreht sich jetzt um und rennt den Bürgersteig hinunter und schaufelt den Schnee wieder und der Hund läuft mit ihm zusammen.</v>
      </c>
    </row>
    <row r="30137">
      <c r="A30137" s="4" t="s">
        <v>37945</v>
      </c>
      <c r="B30137" s="4" t="s">
        <v>37950</v>
      </c>
      <c r="C30137" s="5" t="str">
        <f>IFERROR(__xludf.DUMMYFUNCTION("GOOGLETRANSLATE(B30137,""en"",""de"")"),"Der Mann dreht sich nicht um und schaufelt den Bürgersteig wieder, trägt den Schnee in der Schaufel und geht vom Hund weg.")</f>
        <v>Der Mann dreht sich nicht um und schaufelt den Bürgersteig wieder, trägt den Schnee in der Schaufel und geht vom Hund weg.</v>
      </c>
    </row>
    <row r="30138">
      <c r="A30138" s="4" t="s">
        <v>37945</v>
      </c>
      <c r="B30138" s="4" t="s">
        <v>37951</v>
      </c>
      <c r="C30138" s="5" t="str">
        <f>IFERROR(__xludf.DUMMYFUNCTION("GOOGLETRANSLATE(B30138,""en"",""de"")"),"Der Hund wandt sich wie müde zurück.")</f>
        <v>Der Hund wandt sich wie müde zurück.</v>
      </c>
    </row>
    <row r="30139">
      <c r="A30139" s="4" t="s">
        <v>37952</v>
      </c>
      <c r="B30139" s="4" t="s">
        <v>37953</v>
      </c>
      <c r="C30139" s="5" t="str">
        <f>IFERROR(__xludf.DUMMYFUNCTION("GOOGLETRANSLATE(B30139,""en"",""de"")"),"Die Leute stehen auf einer Bühne.")</f>
        <v>Die Leute stehen auf einer Bühne.</v>
      </c>
    </row>
    <row r="30140">
      <c r="A30140" s="4" t="s">
        <v>37952</v>
      </c>
      <c r="B30140" s="4" t="s">
        <v>37954</v>
      </c>
      <c r="C30140" s="5" t="str">
        <f>IFERROR(__xludf.DUMMYFUNCTION("GOOGLETRANSLATE(B30140,""en"",""de"")"),"Sie spielen ein Spiel mit Rockpapierschere.")</f>
        <v>Sie spielen ein Spiel mit Rockpapierschere.</v>
      </c>
    </row>
    <row r="30141">
      <c r="A30141" s="4" t="s">
        <v>37952</v>
      </c>
      <c r="B30141" s="4" t="s">
        <v>37955</v>
      </c>
      <c r="C30141" s="5" t="str">
        <f>IFERROR(__xludf.DUMMYFUNCTION("GOOGLETRANSLATE(B30141,""en"",""de"")"),"Männer, die in Schiedsrichterhemden stehen, stehen hinter ihnen.")</f>
        <v>Männer, die in Schiedsrichterhemden stehen, stehen hinter ihnen.</v>
      </c>
    </row>
    <row r="30142">
      <c r="A30142" s="4" t="s">
        <v>37956</v>
      </c>
      <c r="B30142" s="4" t="s">
        <v>37957</v>
      </c>
      <c r="C30142" s="5" t="str">
        <f>IFERROR(__xludf.DUMMYFUNCTION("GOOGLETRANSLATE(B30142,""en"",""de"")"),"Frau, die ein rotes Hemd trägt, ist Holdgina -Ball und versucht, den Ball jemandem zu werfen, wenn jemand ihr einen Ball wirft, und jetzt bekommt sie zwei und wirft sie.")</f>
        <v>Frau, die ein rotes Hemd trägt, ist Holdgina -Ball und versucht, den Ball jemandem zu werfen, wenn jemand ihr einen Ball wirft, und jetzt bekommt sie zwei und wirft sie.</v>
      </c>
    </row>
    <row r="30143">
      <c r="A30143" s="4" t="s">
        <v>37956</v>
      </c>
      <c r="B30143" s="4" t="s">
        <v>37958</v>
      </c>
      <c r="C30143" s="5" t="str">
        <f>IFERROR(__xludf.DUMMYFUNCTION("GOOGLETRANSLATE(B30143,""en"",""de"")"),"Der Mensch hält einen roten Ball und geht in einem Holzplatz und wirft den Ball.")</f>
        <v>Der Mensch hält einen roten Ball und geht in einem Holzplatz und wirft den Ball.</v>
      </c>
    </row>
    <row r="30144">
      <c r="A30144" s="4" t="s">
        <v>37956</v>
      </c>
      <c r="B30144" s="4" t="s">
        <v>37959</v>
      </c>
      <c r="C30144" s="5" t="str">
        <f>IFERROR(__xludf.DUMMYFUNCTION("GOOGLETRANSLATE(B30144,""en"",""de"")"),"Die Leute spielen Dodgeball in einem Fitnessstudio aus Roobeedwooden.")</f>
        <v>Die Leute spielen Dodgeball in einem Fitnessstudio aus Roobeedwooden.</v>
      </c>
    </row>
    <row r="30145">
      <c r="A30145" s="4" t="s">
        <v>37960</v>
      </c>
      <c r="B30145" s="4" t="s">
        <v>37961</v>
      </c>
      <c r="C30145" s="5" t="str">
        <f>IFERROR(__xludf.DUMMYFUNCTION("GOOGLETRANSLATE(B30145,""en"",""de"")"),"Ein Mädchen steht draußen mitten auf der Straße und macht Tricks mit einem Hula -Reifen und bewegt es um ihre Hüften und ihre Arme.")</f>
        <v>Ein Mädchen steht draußen mitten auf der Straße und macht Tricks mit einem Hula -Reifen und bewegt es um ihre Hüften und ihre Arme.</v>
      </c>
    </row>
    <row r="30146">
      <c r="A30146" s="4" t="s">
        <v>37960</v>
      </c>
      <c r="B30146" s="4" t="s">
        <v>37962</v>
      </c>
      <c r="C30146" s="5" t="str">
        <f>IFERROR(__xludf.DUMMYFUNCTION("GOOGLETRANSLATE(B30146,""en"",""de"")"),"Während sie auftritt, sitzt eine Frau mit ihren Taschen am Boden hinter ihr.")</f>
        <v>Während sie auftritt, sitzt eine Frau mit ihren Taschen am Boden hinter ihr.</v>
      </c>
    </row>
    <row r="30147">
      <c r="A30147" s="4" t="s">
        <v>37960</v>
      </c>
      <c r="B30147" s="4" t="s">
        <v>37963</v>
      </c>
      <c r="C30147" s="5" t="str">
        <f>IFERROR(__xludf.DUMMYFUNCTION("GOOGLETRANSLATE(B30147,""en"",""de"")"),"Als das Mädchen fertig ist, schnappt sie sich eine Mütze, hält sie auf und bittet dann von der Menge der Menschen, die sie beobachteten, um Geld.")</f>
        <v>Als das Mädchen fertig ist, schnappt sie sich eine Mütze, hält sie auf und bittet dann von der Menge der Menschen, die sie beobachteten, um Geld.</v>
      </c>
    </row>
    <row r="30148">
      <c r="A30148" s="4" t="s">
        <v>37964</v>
      </c>
      <c r="B30148" s="4" t="s">
        <v>37965</v>
      </c>
      <c r="C30148" s="5" t="str">
        <f>IFERROR(__xludf.DUMMYFUNCTION("GOOGLETRANSLATE(B30148,""en"",""de"")"),"Zwei Sumo -Wrestler werden in einem Ring als Zuschauer und als Schiedsrichter -Uhr gezeigt.")</f>
        <v>Zwei Sumo -Wrestler werden in einem Ring als Zuschauer und als Schiedsrichter -Uhr gezeigt.</v>
      </c>
    </row>
    <row r="30149">
      <c r="A30149" s="4" t="s">
        <v>37964</v>
      </c>
      <c r="B30149" s="4" t="s">
        <v>37966</v>
      </c>
      <c r="C30149" s="5" t="str">
        <f>IFERROR(__xludf.DUMMYFUNCTION("GOOGLETRANSLATE(B30149,""en"",""de"")"),"Die Wrestler kauert sich hin und rennen ineinander.")</f>
        <v>Die Wrestler kauert sich hin und rennen ineinander.</v>
      </c>
    </row>
    <row r="30150">
      <c r="A30150" s="4" t="s">
        <v>37964</v>
      </c>
      <c r="B30150" s="4" t="s">
        <v>37967</v>
      </c>
      <c r="C30150" s="5" t="str">
        <f>IFERROR(__xludf.DUMMYFUNCTION("GOOGLETRANSLATE(B30150,""en"",""de"")"),"Sie ringen kurz, während ein Mann aus dem Ring geworfen wird.")</f>
        <v>Sie ringen kurz, während ein Mann aus dem Ring geworfen wird.</v>
      </c>
    </row>
    <row r="30151">
      <c r="A30151" s="4" t="s">
        <v>37964</v>
      </c>
      <c r="B30151" s="4" t="s">
        <v>37968</v>
      </c>
      <c r="C30151" s="5" t="str">
        <f>IFERROR(__xludf.DUMMYFUNCTION("GOOGLETRANSLATE(B30151,""en"",""de"")"),"Der Gewinner führt ein Handsignal mit dem Schiedsrichter durch.")</f>
        <v>Der Gewinner führt ein Handsignal mit dem Schiedsrichter durch.</v>
      </c>
    </row>
    <row r="30152">
      <c r="A30152" s="4" t="s">
        <v>37964</v>
      </c>
      <c r="B30152" s="4" t="s">
        <v>37969</v>
      </c>
      <c r="C30152" s="5" t="str">
        <f>IFERROR(__xludf.DUMMYFUNCTION("GOOGLETRANSLATE(B30152,""en"",""de"")"),"Der Verlierer geht nach hinten, als sie eine Wiederholung des Siegs zeigen.")</f>
        <v>Der Verlierer geht nach hinten, als sie eine Wiederholung des Siegs zeigen.</v>
      </c>
    </row>
    <row r="30153">
      <c r="A30153" s="4" t="s">
        <v>37964</v>
      </c>
      <c r="B30153" s="4" t="s">
        <v>37970</v>
      </c>
      <c r="C30153" s="5" t="str">
        <f>IFERROR(__xludf.DUMMYFUNCTION("GOOGLETRANSLATE(B30153,""en"",""de"")"),"Das Video endet mit dem Host, der den Verlierer interviewt und den Sumo -Ring zeigt.")</f>
        <v>Das Video endet mit dem Host, der den Verlierer interviewt und den Sumo -Ring zeigt.</v>
      </c>
    </row>
    <row r="30154">
      <c r="A30154" s="4" t="s">
        <v>37971</v>
      </c>
      <c r="B30154" s="4" t="s">
        <v>1251</v>
      </c>
      <c r="C30154" s="5" t="str">
        <f>IFERROR(__xludf.DUMMYFUNCTION("GOOGLETRANSLATE(B30154,""en"",""de"")"),"Die Credits des Clips werden angezeigt.")</f>
        <v>Die Credits des Clips werden angezeigt.</v>
      </c>
    </row>
    <row r="30155">
      <c r="A30155" s="4" t="s">
        <v>37971</v>
      </c>
      <c r="B30155" s="4" t="s">
        <v>37972</v>
      </c>
      <c r="C30155" s="5" t="str">
        <f>IFERROR(__xludf.DUMMYFUNCTION("GOOGLETRANSLATE(B30155,""en"",""de"")"),"Männer arbeiten auf einem Dach.")</f>
        <v>Männer arbeiten auf einem Dach.</v>
      </c>
    </row>
    <row r="30156">
      <c r="A30156" s="4" t="s">
        <v>37971</v>
      </c>
      <c r="B30156" s="4" t="s">
        <v>37973</v>
      </c>
      <c r="C30156" s="5" t="str">
        <f>IFERROR(__xludf.DUMMYFUNCTION("GOOGLETRANSLATE(B30156,""en"",""de"")"),"Ein Mann sprüht die Paste auf das Dach, ein Mann gibt die Teile ab, und ein Mann fügt die Teile auf dem Dach in den geklebten Bereich hinzu.")</f>
        <v>Ein Mann sprüht die Paste auf das Dach, ein Mann gibt die Teile ab, und ein Mann fügt die Teile auf dem Dach in den geklebten Bereich hinzu.</v>
      </c>
    </row>
    <row r="30157">
      <c r="A30157" s="4" t="s">
        <v>37971</v>
      </c>
      <c r="B30157" s="4" t="s">
        <v>37974</v>
      </c>
      <c r="C30157" s="5" t="str">
        <f>IFERROR(__xludf.DUMMYFUNCTION("GOOGLETRANSLATE(B30157,""en"",""de"")"),"Eine Person sprüht die Paste auf die Dachstücke.")</f>
        <v>Eine Person sprüht die Paste auf die Dachstücke.</v>
      </c>
    </row>
    <row r="30158">
      <c r="A30158" s="4" t="s">
        <v>37971</v>
      </c>
      <c r="B30158" s="4" t="s">
        <v>573</v>
      </c>
      <c r="C30158" s="5" t="str">
        <f>IFERROR(__xludf.DUMMYFUNCTION("GOOGLETRANSLATE(B30158,""en"",""de"")"),"Die Credits des Videos werden angezeigt.")</f>
        <v>Die Credits des Videos werden angezeigt.</v>
      </c>
    </row>
    <row r="30159">
      <c r="A30159" s="4" t="s">
        <v>37975</v>
      </c>
      <c r="B30159" s="4" t="s">
        <v>37976</v>
      </c>
      <c r="C30159" s="5" t="str">
        <f>IFERROR(__xludf.DUMMYFUNCTION("GOOGLETRANSLATE(B30159,""en"",""de"")"),"Ein junger asiatischer Junge steht in einem Wohnzimmer mit einem Mopp in der Hand.")</f>
        <v>Ein junger asiatischer Junge steht in einem Wohnzimmer mit einem Mopp in der Hand.</v>
      </c>
    </row>
    <row r="30160">
      <c r="A30160" s="4" t="s">
        <v>37975</v>
      </c>
      <c r="B30160" s="4" t="s">
        <v>37977</v>
      </c>
      <c r="C30160" s="5" t="str">
        <f>IFERROR(__xludf.DUMMYFUNCTION("GOOGLETRANSLATE(B30160,""en"",""de"")"),"Der Junge biegt sich nieder, nimmt eine Sprühflasche auf und spritzt sie auf den Boden.")</f>
        <v>Der Junge biegt sich nieder, nimmt eine Sprühflasche auf und spritzt sie auf den Boden.</v>
      </c>
    </row>
    <row r="30161">
      <c r="A30161" s="4" t="s">
        <v>37975</v>
      </c>
      <c r="B30161" s="4" t="s">
        <v>37978</v>
      </c>
      <c r="C30161" s="5" t="str">
        <f>IFERROR(__xludf.DUMMYFUNCTION("GOOGLETRANSLATE(B30161,""en"",""de"")"),"Dann bewegt er den Besen hin und her und reinigt den Boden.")</f>
        <v>Dann bewegt er den Besen hin und her und reinigt den Boden.</v>
      </c>
    </row>
    <row r="30162">
      <c r="A30162" s="4" t="s">
        <v>37979</v>
      </c>
      <c r="B30162" s="4" t="s">
        <v>37980</v>
      </c>
      <c r="C30162" s="5" t="str">
        <f>IFERROR(__xludf.DUMMYFUNCTION("GOOGLETRANSLATE(B30162,""en"",""de"")"),"Eine Frau sitzt vor einer großen Menge, während sie Rasiercreme und Rasiermesser hält.")</f>
        <v>Eine Frau sitzt vor einer großen Menge, während sie Rasiercreme und Rasiermesser hält.</v>
      </c>
    </row>
    <row r="30163">
      <c r="A30163" s="4" t="s">
        <v>37979</v>
      </c>
      <c r="B30163" s="4" t="s">
        <v>37981</v>
      </c>
      <c r="C30163" s="5" t="str">
        <f>IFERROR(__xludf.DUMMYFUNCTION("GOOGLETRANSLATE(B30163,""en"",""de"")"),"Ein anderer Mann ist auf der Bühne zu sehen, wie er sich ins Gesicht rasiert und die Frau beginnt ihre Beine zu rasieren.")</f>
        <v>Ein anderer Mann ist auf der Bühne zu sehen, wie er sich ins Gesicht rasiert und die Frau beginnt ihre Beine zu rasieren.</v>
      </c>
    </row>
    <row r="30164">
      <c r="A30164" s="4" t="s">
        <v>37979</v>
      </c>
      <c r="B30164" s="4" t="s">
        <v>37982</v>
      </c>
      <c r="C30164" s="5" t="str">
        <f>IFERROR(__xludf.DUMMYFUNCTION("GOOGLETRANSLATE(B30164,""en"",""de"")"),"Die Menge jubelt sie für den Rasierwettbewerb an.")</f>
        <v>Die Menge jubelt sie für den Rasierwettbewerb an.</v>
      </c>
    </row>
    <row r="30165">
      <c r="A30165" s="4" t="s">
        <v>37983</v>
      </c>
      <c r="B30165" s="4" t="s">
        <v>37984</v>
      </c>
      <c r="C30165" s="5" t="str">
        <f>IFERROR(__xludf.DUMMYFUNCTION("GOOGLETRANSLATE(B30165,""en"",""de"")"),"Eine kleine Gruppe von Menschen steht nebeneinander und schlägt nacheinander eine Tasche.")</f>
        <v>Eine kleine Gruppe von Menschen steht nebeneinander und schlägt nacheinander eine Tasche.</v>
      </c>
    </row>
    <row r="30166">
      <c r="A30166" s="4" t="s">
        <v>37983</v>
      </c>
      <c r="B30166" s="4" t="s">
        <v>37985</v>
      </c>
      <c r="C30166" s="5" t="str">
        <f>IFERROR(__xludf.DUMMYFUNCTION("GOOGLETRANSLATE(B30166,""en"",""de"")"),"Viele Leute werden dann gezeigt, dass sie die Taschen nebeneinander treten.")</f>
        <v>Viele Leute werden dann gezeigt, dass sie die Taschen nebeneinander treten.</v>
      </c>
    </row>
    <row r="30167">
      <c r="A30167" s="4" t="s">
        <v>37986</v>
      </c>
      <c r="B30167" s="4" t="s">
        <v>37987</v>
      </c>
      <c r="C30167" s="5" t="str">
        <f>IFERROR(__xludf.DUMMYFUNCTION("GOOGLETRANSLATE(B30167,""en"",""de"")"),"Ein Mann beleuchtet einen Stock mit Campern im Hintergrund und ein Feuer.")</f>
        <v>Ein Mann beleuchtet einen Stock mit Campern im Hintergrund und ein Feuer.</v>
      </c>
    </row>
    <row r="30168">
      <c r="A30168" s="4" t="s">
        <v>37986</v>
      </c>
      <c r="B30168" s="4" t="s">
        <v>37988</v>
      </c>
      <c r="C30168" s="5" t="str">
        <f>IFERROR(__xludf.DUMMYFUNCTION("GOOGLETRANSLATE(B30168,""en"",""de"")"),"Er steckt den Kegel in das Feuer und das Ende des Stocks beginnt Feuer zu fangen.")</f>
        <v>Er steckt den Kegel in das Feuer und das Ende des Stocks beginnt Feuer zu fangen.</v>
      </c>
    </row>
    <row r="30169">
      <c r="A30169" s="4" t="s">
        <v>37989</v>
      </c>
      <c r="B30169" s="4" t="s">
        <v>37990</v>
      </c>
      <c r="C30169" s="5" t="str">
        <f>IFERROR(__xludf.DUMMYFUNCTION("GOOGLETRANSLATE(B30169,""en"",""de"")"),"Eine Nahaufnahme eines Fooseball -Tisches wird ebenso angezeigt und Leute, die auf dem Tisch spielen.")</f>
        <v>Eine Nahaufnahme eines Fooseball -Tisches wird ebenso angezeigt und Leute, die auf dem Tisch spielen.</v>
      </c>
    </row>
    <row r="30170">
      <c r="A30170" s="4" t="s">
        <v>37989</v>
      </c>
      <c r="B30170" s="4" t="s">
        <v>37991</v>
      </c>
      <c r="C30170" s="5" t="str">
        <f>IFERROR(__xludf.DUMMYFUNCTION("GOOGLETRANSLATE(B30170,""en"",""de"")"),"Das Spiel geht weiter, während die Leute die Bars nutzen, um das Spiel zu bewegen, wenn sich der Ball zurück und um den vierten Platz bewegt.")</f>
        <v>Das Spiel geht weiter, während die Leute die Bars nutzen, um das Spiel zu bewegen, wenn sich der Ball zurück und um den vierten Platz bewegt.</v>
      </c>
    </row>
    <row r="30171">
      <c r="A30171" s="4" t="s">
        <v>37992</v>
      </c>
      <c r="B30171" s="4" t="s">
        <v>37993</v>
      </c>
      <c r="C30171" s="5" t="str">
        <f>IFERROR(__xludf.DUMMYFUNCTION("GOOGLETRANSLATE(B30171,""en"",""de"")"),"Eine Gruppe von Menschen trägt schnorchelnde Ausrüstung am Rand des Meerwassers.")</f>
        <v>Eine Gruppe von Menschen trägt schnorchelnde Ausrüstung am Rand des Meerwassers.</v>
      </c>
    </row>
    <row r="30172">
      <c r="A30172" s="4" t="s">
        <v>37992</v>
      </c>
      <c r="B30172" s="4" t="s">
        <v>37994</v>
      </c>
      <c r="C30172" s="5" t="str">
        <f>IFERROR(__xludf.DUMMYFUNCTION("GOOGLETRANSLATE(B30172,""en"",""de"")"),"Sie werden dann unter dem Wasser gesehen und Fische erkunden und betrachten.")</f>
        <v>Sie werden dann unter dem Wasser gesehen und Fische erkunden und betrachten.</v>
      </c>
    </row>
    <row r="30173">
      <c r="A30173" s="4" t="s">
        <v>37992</v>
      </c>
      <c r="B30173" s="4" t="s">
        <v>37995</v>
      </c>
      <c r="C30173" s="5" t="str">
        <f>IFERROR(__xludf.DUMMYFUNCTION("GOOGLETRANSLATE(B30173,""en"",""de"")"),"Sie erreichen den Fisch, während sie vorbeischwimmen.")</f>
        <v>Sie erreichen den Fisch, während sie vorbeischwimmen.</v>
      </c>
    </row>
    <row r="30174">
      <c r="A30174" s="4" t="s">
        <v>37996</v>
      </c>
      <c r="B30174" s="4" t="s">
        <v>37997</v>
      </c>
      <c r="C30174" s="5" t="str">
        <f>IFERROR(__xludf.DUMMYFUNCTION("GOOGLETRANSLATE(B30174,""en"",""de"")"),"Ein Mädchen spielt auf einem Spielplatz.")</f>
        <v>Ein Mädchen spielt auf einem Spielplatz.</v>
      </c>
    </row>
    <row r="30175">
      <c r="A30175" s="4" t="s">
        <v>37996</v>
      </c>
      <c r="B30175" s="4" t="s">
        <v>37998</v>
      </c>
      <c r="C30175" s="5" t="str">
        <f>IFERROR(__xludf.DUMMYFUNCTION("GOOGLETRANSLATE(B30175,""en"",""de"")"),"Sie geht rückwärts auf die Affenbars.")</f>
        <v>Sie geht rückwärts auf die Affenbars.</v>
      </c>
    </row>
    <row r="30176">
      <c r="A30176" s="4" t="s">
        <v>37996</v>
      </c>
      <c r="B30176" s="4" t="s">
        <v>37999</v>
      </c>
      <c r="C30176" s="5" t="str">
        <f>IFERROR(__xludf.DUMMYFUNCTION("GOOGLETRANSLATE(B30176,""en"",""de"")"),"Sie zeigt ihre Hände der Kamera und redet weiter.")</f>
        <v>Sie zeigt ihre Hände der Kamera und redet weiter.</v>
      </c>
    </row>
    <row r="30177">
      <c r="A30177" s="4" t="s">
        <v>38000</v>
      </c>
      <c r="B30177" s="4" t="s">
        <v>38001</v>
      </c>
      <c r="C30177" s="5" t="str">
        <f>IFERROR(__xludf.DUMMYFUNCTION("GOOGLETRANSLATE(B30177,""en"",""de"")"),"Eine Frau spielt ein klassisches Lied am Klavier in einem Schwarz -Weiß -Film.")</f>
        <v>Eine Frau spielt ein klassisches Lied am Klavier in einem Schwarz -Weiß -Film.</v>
      </c>
    </row>
    <row r="30178">
      <c r="A30178" s="4" t="s">
        <v>38000</v>
      </c>
      <c r="B30178" s="4" t="s">
        <v>38002</v>
      </c>
      <c r="C30178" s="5" t="str">
        <f>IFERROR(__xludf.DUMMYFUNCTION("GOOGLETRANSLATE(B30178,""en"",""de"")"),"Sie beginnt, das Tempo der Musik zu beschleunigen, die sie spielt.")</f>
        <v>Sie beginnt, das Tempo der Musik zu beschleunigen, die sie spielt.</v>
      </c>
    </row>
    <row r="30179">
      <c r="A30179" s="4" t="s">
        <v>38000</v>
      </c>
      <c r="B30179" s="4" t="s">
        <v>38003</v>
      </c>
      <c r="C30179" s="5" t="str">
        <f>IFERROR(__xludf.DUMMYFUNCTION("GOOGLETRANSLATE(B30179,""en"",""de"")"),"Die Kamera zeigt, wie sie das Klavier vom Overhead spielt.")</f>
        <v>Die Kamera zeigt, wie sie das Klavier vom Overhead spielt.</v>
      </c>
    </row>
    <row r="30180">
      <c r="A30180" s="4" t="s">
        <v>38000</v>
      </c>
      <c r="B30180" s="4" t="s">
        <v>38004</v>
      </c>
      <c r="C30180" s="5" t="str">
        <f>IFERROR(__xludf.DUMMYFUNCTION("GOOGLETRANSLATE(B30180,""en"",""de"")"),"Das Publikum applaudiert für die Frau und das Video endet.")</f>
        <v>Das Publikum applaudiert für die Frau und das Video endet.</v>
      </c>
    </row>
    <row r="30181">
      <c r="A30181" s="4" t="s">
        <v>38005</v>
      </c>
      <c r="B30181" s="4" t="s">
        <v>38006</v>
      </c>
      <c r="C30181" s="5" t="str">
        <f>IFERROR(__xludf.DUMMYFUNCTION("GOOGLETRANSLATE(B30181,""en"",""de"")"),"Eine Gruppe Pose lächelt für die Kamera.")</f>
        <v>Eine Gruppe Pose lächelt für die Kamera.</v>
      </c>
    </row>
    <row r="30182">
      <c r="A30182" s="4" t="s">
        <v>38005</v>
      </c>
      <c r="B30182" s="4" t="s">
        <v>38007</v>
      </c>
      <c r="C30182" s="5" t="str">
        <f>IFERROR(__xludf.DUMMYFUNCTION("GOOGLETRANSLATE(B30182,""en"",""de"")"),"Eine Gruppe wandert zur Kamera, während mehr Menschen im Hintergrund durch das Wasser gehen.")</f>
        <v>Eine Gruppe wandert zur Kamera, während mehr Menschen im Hintergrund durch das Wasser gehen.</v>
      </c>
    </row>
    <row r="30183">
      <c r="A30183" s="4" t="s">
        <v>38005</v>
      </c>
      <c r="B30183" s="4" t="s">
        <v>38008</v>
      </c>
      <c r="C30183" s="5" t="str">
        <f>IFERROR(__xludf.DUMMYFUNCTION("GOOGLETRANSLATE(B30183,""en"",""de"")"),"Die Gruppe geht auf dem Wasser.")</f>
        <v>Die Gruppe geht auf dem Wasser.</v>
      </c>
    </row>
    <row r="30184">
      <c r="A30184" s="4" t="s">
        <v>38005</v>
      </c>
      <c r="B30184" s="4" t="s">
        <v>38009</v>
      </c>
      <c r="C30184" s="5" t="str">
        <f>IFERROR(__xludf.DUMMYFUNCTION("GOOGLETRANSLATE(B30184,""en"",""de"")"),"Sie winken erneut zur Kamera.")</f>
        <v>Sie winken erneut zur Kamera.</v>
      </c>
    </row>
    <row r="30185">
      <c r="A30185" s="4" t="s">
        <v>38005</v>
      </c>
      <c r="B30185" s="4" t="s">
        <v>38010</v>
      </c>
      <c r="C30185" s="5" t="str">
        <f>IFERROR(__xludf.DUMMYFUNCTION("GOOGLETRANSLATE(B30185,""en"",""de"")"),"Die Gruppe wird in ihrem Floß gezeigt, wenn sie den Fluss entlang segeln.")</f>
        <v>Die Gruppe wird in ihrem Floß gezeigt, wenn sie den Fluss entlang segeln.</v>
      </c>
    </row>
    <row r="30186">
      <c r="A30186" s="4" t="s">
        <v>38005</v>
      </c>
      <c r="B30186" s="4" t="s">
        <v>38011</v>
      </c>
      <c r="C30186" s="5" t="str">
        <f>IFERROR(__xludf.DUMMYFUNCTION("GOOGLETRANSLATE(B30186,""en"",""de"")"),"Sie werden gezeigt, dass sie eine Pause im Fluss machen.")</f>
        <v>Sie werden gezeigt, dass sie eine Pause im Fluss machen.</v>
      </c>
    </row>
    <row r="30187">
      <c r="A30187" s="4" t="s">
        <v>38005</v>
      </c>
      <c r="B30187" s="4" t="s">
        <v>38012</v>
      </c>
      <c r="C30187" s="5" t="str">
        <f>IFERROR(__xludf.DUMMYFUNCTION("GOOGLETRANSLATE(B30187,""en"",""de"")"),"POV -Filmmaterial von einem der Sparren.")</f>
        <v>POV -Filmmaterial von einem der Sparren.</v>
      </c>
    </row>
    <row r="30188">
      <c r="A30188" s="4" t="s">
        <v>38005</v>
      </c>
      <c r="B30188" s="4" t="s">
        <v>38013</v>
      </c>
      <c r="C30188" s="5" t="str">
        <f>IFERROR(__xludf.DUMMYFUNCTION("GOOGLETRANSLATE(B30188,""en"",""de"")"),"Die Gruppe ist aus dem Fluss und Wandern.")</f>
        <v>Die Gruppe ist aus dem Fluss und Wandern.</v>
      </c>
    </row>
    <row r="30189">
      <c r="A30189" s="4" t="s">
        <v>38014</v>
      </c>
      <c r="B30189" s="4" t="s">
        <v>38015</v>
      </c>
      <c r="C30189" s="5" t="str">
        <f>IFERROR(__xludf.DUMMYFUNCTION("GOOGLETRANSLATE(B30189,""en"",""de"")"),"Männer stehen vor einem Spiegel in einem Raum.")</f>
        <v>Männer stehen vor einem Spiegel in einem Raum.</v>
      </c>
    </row>
    <row r="30190">
      <c r="A30190" s="4" t="s">
        <v>38014</v>
      </c>
      <c r="B30190" s="4" t="s">
        <v>38016</v>
      </c>
      <c r="C30190" s="5" t="str">
        <f>IFERROR(__xludf.DUMMYFUNCTION("GOOGLETRANSLATE(B30190,""en"",""de"")"),"Der Mensch übt allein Tritte und Schläge.")</f>
        <v>Der Mensch übt allein Tritte und Schläge.</v>
      </c>
    </row>
    <row r="30191">
      <c r="A30191" s="4" t="s">
        <v>38014</v>
      </c>
      <c r="B30191" s="4" t="s">
        <v>38017</v>
      </c>
      <c r="C30191" s="5" t="str">
        <f>IFERROR(__xludf.DUMMYFUNCTION("GOOGLETRANSLATE(B30191,""en"",""de"")"),"Der Mann, der weißes Hemd trägt, streckt ihre Beine den anderen Mann.")</f>
        <v>Der Mann, der weißes Hemd trägt, streckt ihre Beine den anderen Mann.</v>
      </c>
    </row>
    <row r="30192">
      <c r="A30192" s="4" t="s">
        <v>38018</v>
      </c>
      <c r="B30192" s="4" t="s">
        <v>38019</v>
      </c>
      <c r="C30192" s="5" t="str">
        <f>IFERROR(__xludf.DUMMYFUNCTION("GOOGLETRANSLATE(B30192,""en"",""de"")"),"Eine große Gruppe von Menschen wandert mit einem kleinen Kind in der Mitte um einen Stadtplatz herum, der ein Instrument spielt.")</f>
        <v>Eine große Gruppe von Menschen wandert mit einem kleinen Kind in der Mitte um einen Stadtplatz herum, der ein Instrument spielt.</v>
      </c>
    </row>
    <row r="30193">
      <c r="A30193" s="4" t="s">
        <v>38018</v>
      </c>
      <c r="B30193" s="4" t="s">
        <v>38020</v>
      </c>
      <c r="C30193" s="5" t="str">
        <f>IFERROR(__xludf.DUMMYFUNCTION("GOOGLETRANSLATE(B30193,""en"",""de"")"),"Der Junge spielt ein Saxophon, während die Leute an ihm vorbeigehen und Geld niederlegen.")</f>
        <v>Der Junge spielt ein Saxophon, während die Leute an ihm vorbeigehen und Geld niederlegen.</v>
      </c>
    </row>
    <row r="30194">
      <c r="A30194" s="4" t="s">
        <v>38018</v>
      </c>
      <c r="B30194" s="4" t="s">
        <v>38021</v>
      </c>
      <c r="C30194" s="5" t="str">
        <f>IFERROR(__xludf.DUMMYFUNCTION("GOOGLETRANSLATE(B30194,""en"",""de"")"),"Der Junge spielt weiter, während die Kamera seine Bewegungen einfängt und andere hören auf zu sehen.")</f>
        <v>Der Junge spielt weiter, während die Kamera seine Bewegungen einfängt und andere hören auf zu sehen.</v>
      </c>
    </row>
    <row r="30195">
      <c r="A30195" s="4" t="s">
        <v>38022</v>
      </c>
      <c r="B30195" s="4" t="s">
        <v>38023</v>
      </c>
      <c r="C30195" s="5" t="str">
        <f>IFERROR(__xludf.DUMMYFUNCTION("GOOGLETRANSLATE(B30195,""en"",""de"")"),"Die Leute springen von Tauchbrettern in den Pool unter ihnen.")</f>
        <v>Die Leute springen von Tauchbrettern in den Pool unter ihnen.</v>
      </c>
    </row>
    <row r="30196">
      <c r="A30196" s="4" t="s">
        <v>38022</v>
      </c>
      <c r="B30196" s="4" t="s">
        <v>38024</v>
      </c>
      <c r="C30196" s="5" t="str">
        <f>IFERROR(__xludf.DUMMYFUNCTION("GOOGLETRANSLATE(B30196,""en"",""de"")"),"Sie gehen eine Treppe hinauf, um zum Tauchbrett zu gelangen.")</f>
        <v>Sie gehen eine Treppe hinauf, um zum Tauchbrett zu gelangen.</v>
      </c>
    </row>
    <row r="30197">
      <c r="A30197" s="4" t="s">
        <v>38022</v>
      </c>
      <c r="B30197" s="4" t="s">
        <v>38025</v>
      </c>
      <c r="C30197" s="5" t="str">
        <f>IFERROR(__xludf.DUMMYFUNCTION("GOOGLETRANSLATE(B30197,""en"",""de"")"),"Eine Person macht einen Rücken ins Wasser.")</f>
        <v>Eine Person macht einen Rücken ins Wasser.</v>
      </c>
    </row>
    <row r="30198">
      <c r="A30198" s="4" t="s">
        <v>38026</v>
      </c>
      <c r="B30198" s="4" t="s">
        <v>38027</v>
      </c>
      <c r="C30198" s="5" t="str">
        <f>IFERROR(__xludf.DUMMYFUNCTION("GOOGLETRANSLATE(B30198,""en"",""de"")"),"Das kleine Mädchen gleitet den gelben Rutschen hinunter und fiel auf den Bälle.")</f>
        <v>Das kleine Mädchen gleitet den gelben Rutschen hinunter und fiel auf den Bälle.</v>
      </c>
    </row>
    <row r="30199">
      <c r="A30199" s="4" t="s">
        <v>38026</v>
      </c>
      <c r="B30199" s="4" t="s">
        <v>38028</v>
      </c>
      <c r="C30199" s="5" t="str">
        <f>IFERROR(__xludf.DUMMYFUNCTION("GOOGLETRANSLATE(B30199,""en"",""de"")"),"Das Mädchen greift die Hand aus, als sie auf die Oberseite der Rutsche steigt.")</f>
        <v>Das Mädchen greift die Hand aus, als sie auf die Oberseite der Rutsche steigt.</v>
      </c>
    </row>
    <row r="30200">
      <c r="A30200" s="4" t="s">
        <v>38026</v>
      </c>
      <c r="B30200" s="4" t="s">
        <v>38029</v>
      </c>
      <c r="C30200" s="5" t="str">
        <f>IFERROR(__xludf.DUMMYFUNCTION("GOOGLETRANSLATE(B30200,""en"",""de"")"),"Das Mädchen rutschte wieder nach unten und fiel auf den Ball des Balls, aber auf ihren Bauch.")</f>
        <v>Das Mädchen rutschte wieder nach unten und fiel auf den Ball des Balls, aber auf ihren Bauch.</v>
      </c>
    </row>
    <row r="30201">
      <c r="A30201" s="4" t="s">
        <v>38030</v>
      </c>
      <c r="B30201" s="4" t="s">
        <v>38031</v>
      </c>
      <c r="C30201" s="5" t="str">
        <f>IFERROR(__xludf.DUMMYFUNCTION("GOOGLETRANSLATE(B30201,""en"",""de"")"),"Mädchen gehen eine kleine rote Rutsche hinunter.")</f>
        <v>Mädchen gehen eine kleine rote Rutsche hinunter.</v>
      </c>
    </row>
    <row r="30202">
      <c r="A30202" s="4" t="s">
        <v>38030</v>
      </c>
      <c r="B30202" s="4" t="s">
        <v>38032</v>
      </c>
      <c r="C30202" s="5" t="str">
        <f>IFERROR(__xludf.DUMMYFUNCTION("GOOGLETRANSLATE(B30202,""en"",""de"")"),"Ein Mann in einem roten Hemd steht hinter ihnen.")</f>
        <v>Ein Mann in einem roten Hemd steht hinter ihnen.</v>
      </c>
    </row>
    <row r="30203">
      <c r="A30203" s="4" t="s">
        <v>38030</v>
      </c>
      <c r="B30203" s="4" t="s">
        <v>38033</v>
      </c>
      <c r="C30203" s="5" t="str">
        <f>IFERROR(__xludf.DUMMYFUNCTION("GOOGLETRANSLATE(B30203,""en"",""de"")"),"Er geht zum Haus weg.")</f>
        <v>Er geht zum Haus weg.</v>
      </c>
    </row>
    <row r="30204">
      <c r="A30204" s="4" t="s">
        <v>38034</v>
      </c>
      <c r="B30204" s="4" t="s">
        <v>38035</v>
      </c>
      <c r="C30204" s="5" t="str">
        <f>IFERROR(__xludf.DUMMYFUNCTION("GOOGLETRANSLATE(B30204,""en"",""de"")"),"Ein junges Mädchen läuft draußen die Straße zwischen einem Wald und landet dann am Flughafen.")</f>
        <v>Ein junges Mädchen läuft draußen die Straße zwischen einem Wald und landet dann am Flughafen.</v>
      </c>
    </row>
    <row r="30205">
      <c r="A30205" s="4" t="s">
        <v>38034</v>
      </c>
      <c r="B30205" s="4" t="s">
        <v>38036</v>
      </c>
      <c r="C30205" s="5" t="str">
        <f>IFERROR(__xludf.DUMMYFUNCTION("GOOGLETRANSLATE(B30205,""en"",""de"")"),"Sie setzt sich auf ihrem iPad hin und beginnt dann, in ein Flugzeug zu gehen.")</f>
        <v>Sie setzt sich auf ihrem iPad hin und beginnt dann, in ein Flugzeug zu gehen.</v>
      </c>
    </row>
    <row r="30206">
      <c r="A30206" s="4" t="s">
        <v>38034</v>
      </c>
      <c r="B30206" s="4" t="s">
        <v>38037</v>
      </c>
      <c r="C30206" s="5" t="str">
        <f>IFERROR(__xludf.DUMMYFUNCTION("GOOGLETRANSLATE(B30206,""en"",""de"")"),"Das Flugzeug landet und sie ist in einer Hütte und beginnt in einem Resort zu Skifahren.")</f>
        <v>Das Flugzeug landet und sie ist in einer Hütte und beginnt in einem Resort zu Skifahren.</v>
      </c>
    </row>
    <row r="30207">
      <c r="A30207" s="4" t="s">
        <v>38034</v>
      </c>
      <c r="B30207" s="4" t="s">
        <v>38038</v>
      </c>
      <c r="C30207" s="5" t="str">
        <f>IFERROR(__xludf.DUMMYFUNCTION("GOOGLETRANSLATE(B30207,""en"",""de"")"),"Während sie skaten, ändert sie ihre Skier und der Bildschirm ist mit einem grauen statischen Film bedeckt, und die Person setzt ihre Schneeaktivitäten fort.")</f>
        <v>Während sie skaten, ändert sie ihre Skier und der Bildschirm ist mit einem grauen statischen Film bedeckt, und die Person setzt ihre Schneeaktivitäten fort.</v>
      </c>
    </row>
    <row r="30208">
      <c r="A30208" s="4" t="s">
        <v>38039</v>
      </c>
      <c r="B30208" s="4" t="s">
        <v>38040</v>
      </c>
      <c r="C30208" s="5" t="str">
        <f>IFERROR(__xludf.DUMMYFUNCTION("GOOGLETRANSLATE(B30208,""en"",""de"")"),"Ein Mann schwebt im Meereswasser und redet.")</f>
        <v>Ein Mann schwebt im Meereswasser und redet.</v>
      </c>
    </row>
    <row r="30209">
      <c r="A30209" s="4" t="s">
        <v>38039</v>
      </c>
      <c r="B30209" s="4" t="s">
        <v>38041</v>
      </c>
      <c r="C30209" s="5" t="str">
        <f>IFERROR(__xludf.DUMMYFUNCTION("GOOGLETRANSLATE(B30209,""en"",""de"")"),"Dann spricht er mit einer Gruppe von Menschen, während er ein Energy Drink trinkt.")</f>
        <v>Dann spricht er mit einer Gruppe von Menschen, während er ein Energy Drink trinkt.</v>
      </c>
    </row>
    <row r="30210">
      <c r="A30210" s="4" t="s">
        <v>38039</v>
      </c>
      <c r="B30210" s="4" t="s">
        <v>38042</v>
      </c>
      <c r="C30210" s="5" t="str">
        <f>IFERROR(__xludf.DUMMYFUNCTION("GOOGLETRANSLATE(B30210,""en"",""de"")"),"Er spügt sich von der Seite einer Brücke.")</f>
        <v>Er spügt sich von der Seite einer Brücke.</v>
      </c>
    </row>
    <row r="30211">
      <c r="A30211" s="4" t="s">
        <v>38039</v>
      </c>
      <c r="B30211" s="4" t="s">
        <v>38043</v>
      </c>
      <c r="C30211" s="5" t="str">
        <f>IFERROR(__xludf.DUMMYFUNCTION("GOOGLETRANSLATE(B30211,""en"",""de"")"),"Er spricht mit der Kamera, als er über das Wasser schwingt.")</f>
        <v>Er spricht mit der Kamera, als er über das Wasser schwingt.</v>
      </c>
    </row>
    <row r="30212">
      <c r="A30212" s="4" t="s">
        <v>38044</v>
      </c>
      <c r="B30212" s="4" t="s">
        <v>38045</v>
      </c>
      <c r="C30212" s="5" t="str">
        <f>IFERROR(__xludf.DUMMYFUNCTION("GOOGLETRANSLATE(B30212,""en"",""de"")"),"Wir sehen einen Umkleideraum und den Titelbildschirm.")</f>
        <v>Wir sehen einen Umkleideraum und den Titelbildschirm.</v>
      </c>
    </row>
    <row r="30213">
      <c r="A30213" s="4" t="s">
        <v>38044</v>
      </c>
      <c r="B30213" s="4" t="s">
        <v>38046</v>
      </c>
      <c r="C30213" s="5" t="str">
        <f>IFERROR(__xludf.DUMMYFUNCTION("GOOGLETRANSLATE(B30213,""en"",""de"")"),"Wir sehen einen Mann, der sich bei seinem dritten Versuch in Leichtathletik in Leichtathletik schlägt.")</f>
        <v>Wir sehen einen Mann, der sich bei seinem dritten Versuch in Leichtathletik in Leichtathletik schlägt.</v>
      </c>
    </row>
    <row r="30214">
      <c r="A30214" s="4" t="s">
        <v>38044</v>
      </c>
      <c r="B30214" s="4" t="s">
        <v>38047</v>
      </c>
      <c r="C30214" s="5" t="str">
        <f>IFERROR(__xludf.DUMMYFUNCTION("GOOGLETRANSLATE(B30214,""en"",""de"")"),"Nachdem es geworfen wurde, sehen wir Männer, die die Entfernung messen.")</f>
        <v>Nachdem es geworfen wurde, sehen wir Männer, die die Entfernung messen.</v>
      </c>
    </row>
    <row r="30215">
      <c r="A30215" s="4" t="s">
        <v>38044</v>
      </c>
      <c r="B30215" s="4" t="s">
        <v>38048</v>
      </c>
      <c r="C30215" s="5" t="str">
        <f>IFERROR(__xludf.DUMMYFUNCTION("GOOGLETRANSLATE(B30215,""en"",""de"")"),"Wir sehen dann seinen fünften Versuch und die Messung.")</f>
        <v>Wir sehen dann seinen fünften Versuch und die Messung.</v>
      </c>
    </row>
    <row r="30216">
      <c r="A30216" s="4" t="s">
        <v>38044</v>
      </c>
      <c r="B30216" s="4" t="s">
        <v>38049</v>
      </c>
      <c r="C30216" s="5" t="str">
        <f>IFERROR(__xludf.DUMMYFUNCTION("GOOGLETRANSLATE(B30216,""en"",""de"")"),"Wir sehen dann seinen sechsten Versuch und Messen.")</f>
        <v>Wir sehen dann seinen sechsten Versuch und Messen.</v>
      </c>
    </row>
    <row r="30217">
      <c r="A30217" s="4" t="s">
        <v>38044</v>
      </c>
      <c r="B30217" s="4" t="s">
        <v>38050</v>
      </c>
      <c r="C30217" s="5" t="str">
        <f>IFERROR(__xludf.DUMMYFUNCTION("GOOGLETRANSLATE(B30217,""en"",""de"")"),"Die Kamera zoomt in den Mann, als er ein anderes Mann Hand schüttelt.")</f>
        <v>Die Kamera zoomt in den Mann, als er ein anderes Mann Hand schüttelt.</v>
      </c>
    </row>
    <row r="30218">
      <c r="A30218" s="4" t="s">
        <v>38044</v>
      </c>
      <c r="B30218" s="4" t="s">
        <v>38051</v>
      </c>
      <c r="C30218" s="5" t="str">
        <f>IFERROR(__xludf.DUMMYFUNCTION("GOOGLETRANSLATE(B30218,""en"",""de"")"),"Wir sehen dann 8 Männer auf Plattformen stehen, die Plaques halten.")</f>
        <v>Wir sehen dann 8 Männer auf Plattformen stehen, die Plaques halten.</v>
      </c>
    </row>
    <row r="30219">
      <c r="A30219" s="4" t="s">
        <v>38052</v>
      </c>
      <c r="B30219" s="4" t="s">
        <v>38053</v>
      </c>
      <c r="C30219" s="5" t="str">
        <f>IFERROR(__xludf.DUMMYFUNCTION("GOOGLETRANSLATE(B30219,""en"",""de"")"),"Ein junges Mädchen spielt die Klarinette.")</f>
        <v>Ein junges Mädchen spielt die Klarinette.</v>
      </c>
    </row>
    <row r="30220">
      <c r="A30220" s="4" t="s">
        <v>38052</v>
      </c>
      <c r="B30220" s="4" t="s">
        <v>38054</v>
      </c>
      <c r="C30220" s="5" t="str">
        <f>IFERROR(__xludf.DUMMYFUNCTION("GOOGLETRANSLATE(B30220,""en"",""de"")"),"Das Mädchen pausiert eine Sekunde lang, um ihr Musikblatt vor sich zu drehen.")</f>
        <v>Das Mädchen pausiert eine Sekunde lang, um ihr Musikblatt vor sich zu drehen.</v>
      </c>
    </row>
    <row r="30221">
      <c r="A30221" s="4" t="s">
        <v>38052</v>
      </c>
      <c r="B30221" s="4" t="s">
        <v>38055</v>
      </c>
      <c r="C30221" s="5" t="str">
        <f>IFERROR(__xludf.DUMMYFUNCTION("GOOGLETRANSLATE(B30221,""en"",""de"")"),"Das junge Mädchen spielt ihre Klarinette wieder.")</f>
        <v>Das junge Mädchen spielt ihre Klarinette wieder.</v>
      </c>
    </row>
    <row r="30222">
      <c r="A30222" s="4" t="s">
        <v>38052</v>
      </c>
      <c r="B30222" s="4" t="s">
        <v>38056</v>
      </c>
      <c r="C30222" s="5" t="str">
        <f>IFERROR(__xludf.DUMMYFUNCTION("GOOGLETRANSLATE(B30222,""en"",""de"")"),"Das Mädchen stehen an und sieht zufrieden mit ihrer Leistung aus.")</f>
        <v>Das Mädchen stehen an und sieht zufrieden mit ihrer Leistung aus.</v>
      </c>
    </row>
    <row r="30223">
      <c r="A30223" s="4" t="s">
        <v>38057</v>
      </c>
      <c r="B30223" s="4" t="s">
        <v>38058</v>
      </c>
      <c r="C30223" s="5" t="str">
        <f>IFERROR(__xludf.DUMMYFUNCTION("GOOGLETRANSLATE(B30223,""en"",""de"")"),"Mehrere Intros führen zu einem Fahrradrennen zwischen 3 Männern auf Fahrrädern.")</f>
        <v>Mehrere Intros führen zu einem Fahrradrennen zwischen 3 Männern auf Fahrrädern.</v>
      </c>
    </row>
    <row r="30224">
      <c r="A30224" s="4" t="s">
        <v>38057</v>
      </c>
      <c r="B30224" s="4" t="s">
        <v>38059</v>
      </c>
      <c r="C30224" s="5" t="str">
        <f>IFERROR(__xludf.DUMMYFUNCTION("GOOGLETRANSLATE(B30224,""en"",""de"")"),"Einer stürzt hart ab, während die anderen vorbeikommen und das Rennen fortsetzen.")</f>
        <v>Einer stürzt hart ab, während die anderen vorbeikommen und das Rennen fortsetzen.</v>
      </c>
    </row>
    <row r="30225">
      <c r="A30225" s="4" t="s">
        <v>38057</v>
      </c>
      <c r="B30225" s="4" t="s">
        <v>38060</v>
      </c>
      <c r="C30225" s="5" t="str">
        <f>IFERROR(__xludf.DUMMYFUNCTION("GOOGLETRANSLATE(B30225,""en"",""de"")"),"Alle Männer fahren weiter durch die Strecke, bis man schließlich gewinnt, während man ihn verfolgt.")</f>
        <v>Alle Männer fahren weiter durch die Strecke, bis man schließlich gewinnt, während man ihn verfolgt.</v>
      </c>
    </row>
    <row r="30226">
      <c r="A30226" s="4" t="s">
        <v>38061</v>
      </c>
      <c r="B30226" s="4" t="s">
        <v>38062</v>
      </c>
      <c r="C30226" s="5" t="str">
        <f>IFERROR(__xludf.DUMMYFUNCTION("GOOGLETRANSLATE(B30226,""en"",""de"")"),"Ein junges Mädchen reinigt das Waschbecken.")</f>
        <v>Ein junges Mädchen reinigt das Waschbecken.</v>
      </c>
    </row>
    <row r="30227">
      <c r="A30227" s="4" t="s">
        <v>38061</v>
      </c>
      <c r="B30227" s="4" t="s">
        <v>38063</v>
      </c>
      <c r="C30227" s="5" t="str">
        <f>IFERROR(__xludf.DUMMYFUNCTION("GOOGLETRANSLATE(B30227,""en"",""de"")"),"Das Mädchen bekommt ihr Hemd nass.")</f>
        <v>Das Mädchen bekommt ihr Hemd nass.</v>
      </c>
    </row>
    <row r="30228">
      <c r="A30228" s="4" t="s">
        <v>38061</v>
      </c>
      <c r="B30228" s="4" t="s">
        <v>38064</v>
      </c>
      <c r="C30228" s="5" t="str">
        <f>IFERROR(__xludf.DUMMYFUNCTION("GOOGLETRANSLATE(B30228,""en"",""de"")"),"Das Mädchen zeigt auf den Abfluss der Spüle.")</f>
        <v>Das Mädchen zeigt auf den Abfluss der Spüle.</v>
      </c>
    </row>
    <row r="30229">
      <c r="A30229" s="4" t="s">
        <v>38065</v>
      </c>
      <c r="B30229" s="4" t="s">
        <v>38066</v>
      </c>
      <c r="C30229" s="5" t="str">
        <f>IFERROR(__xludf.DUMMYFUNCTION("GOOGLETRANSLATE(B30229,""en"",""de"")"),"Ein kleines Kind wird gezeigt, wie ein Glitzer über seine Lippen glitzert und zu einem Spiegel geht.")</f>
        <v>Ein kleines Kind wird gezeigt, wie ein Glitzer über seine Lippen glitzert und zu einem Spiegel geht.</v>
      </c>
    </row>
    <row r="30230">
      <c r="A30230" s="4" t="s">
        <v>38065</v>
      </c>
      <c r="B30230" s="4" t="s">
        <v>38067</v>
      </c>
      <c r="C30230" s="5" t="str">
        <f>IFERROR(__xludf.DUMMYFUNCTION("GOOGLETRANSLATE(B30230,""en"",""de"")"),"Er legt weiterhin den Glanz auf die Lippen und schlägt die Lippen und dreht sich schließlich in Richtung Kamera, um zu sprechen.")</f>
        <v>Er legt weiterhin den Glanz auf die Lippen und schlägt die Lippen und dreht sich schließlich in Richtung Kamera, um zu sprechen.</v>
      </c>
    </row>
    <row r="30231">
      <c r="A30231" s="4" t="s">
        <v>38068</v>
      </c>
      <c r="B30231" s="4" t="s">
        <v>38069</v>
      </c>
      <c r="C30231" s="5" t="str">
        <f>IFERROR(__xludf.DUMMYFUNCTION("GOOGLETRANSLATE(B30231,""en"",""de"")"),"Ein Mann und eine Frau trainieren eine Cardio -Maschine.")</f>
        <v>Ein Mann und eine Frau trainieren eine Cardio -Maschine.</v>
      </c>
    </row>
    <row r="30232">
      <c r="A30232" s="4" t="s">
        <v>38068</v>
      </c>
      <c r="B30232" s="4" t="s">
        <v>38070</v>
      </c>
      <c r="C30232" s="5" t="str">
        <f>IFERROR(__xludf.DUMMYFUNCTION("GOOGLETRANSLATE(B30232,""en"",""de"")"),"Die Schrittlänge des Pedals wird im Bildschirm angezeigt.")</f>
        <v>Die Schrittlänge des Pedals wird im Bildschirm angezeigt.</v>
      </c>
    </row>
    <row r="30233">
      <c r="A30233" s="4" t="s">
        <v>38068</v>
      </c>
      <c r="B30233" s="4" t="s">
        <v>38071</v>
      </c>
      <c r="C30233" s="5" t="str">
        <f>IFERROR(__xludf.DUMMYFUNCTION("GOOGLETRANSLATE(B30233,""en"",""de"")"),"Dann kommt der Mann, um die Frau zu treffen, die sich ausübt.")</f>
        <v>Dann kommt der Mann, um die Frau zu treffen, die sich ausübt.</v>
      </c>
    </row>
    <row r="30234">
      <c r="A30234" s="4" t="s">
        <v>38068</v>
      </c>
      <c r="B30234" s="4" t="s">
        <v>38072</v>
      </c>
      <c r="C30234" s="5" t="str">
        <f>IFERROR(__xludf.DUMMYFUNCTION("GOOGLETRANSLATE(B30234,""en"",""de"")"),"Dann werden die Mannübung und die Muskeln des Bauches gezeigt.")</f>
        <v>Dann werden die Mannübung und die Muskeln des Bauches gezeigt.</v>
      </c>
    </row>
    <row r="30235">
      <c r="A30235" s="4" t="s">
        <v>38068</v>
      </c>
      <c r="B30235" s="4" t="s">
        <v>38073</v>
      </c>
      <c r="C30235" s="5" t="str">
        <f>IFERROR(__xludf.DUMMYFUNCTION("GOOGLETRANSLATE(B30235,""en"",""de"")"),"Die Schritte der Maschine und das Bildschirmfeld werden angezeigt.")</f>
        <v>Die Schritte der Maschine und das Bildschirmfeld werden angezeigt.</v>
      </c>
    </row>
    <row r="30236">
      <c r="A30236" s="4" t="s">
        <v>38074</v>
      </c>
      <c r="B30236" s="4" t="s">
        <v>38075</v>
      </c>
      <c r="C30236" s="5" t="str">
        <f>IFERROR(__xludf.DUMMYFUNCTION("GOOGLETRANSLATE(B30236,""en"",""de"")"),"Ein Mädchen und ein Jungen spielen in einem Kellerraum mit einem Tischtenpong -Tisch und floreszierenden Leuchten zum Leuchten.")</f>
        <v>Ein Mädchen und ein Jungen spielen in einem Kellerraum mit einem Tischtenpong -Tisch und floreszierenden Leuchten zum Leuchten.</v>
      </c>
    </row>
    <row r="30237">
      <c r="A30237" s="4" t="s">
        <v>38074</v>
      </c>
      <c r="B30237" s="4" t="s">
        <v>38076</v>
      </c>
      <c r="C30237" s="5" t="str">
        <f>IFERROR(__xludf.DUMMYFUNCTION("GOOGLETRANSLATE(B30237,""en"",""de"")"),"Der Junge geht zur Kamera, um eine Nahaufnahme zu erreichen.")</f>
        <v>Der Junge geht zur Kamera, um eine Nahaufnahme zu erreichen.</v>
      </c>
    </row>
    <row r="30238">
      <c r="A30238" s="4" t="s">
        <v>38074</v>
      </c>
      <c r="B30238" s="4" t="s">
        <v>38077</v>
      </c>
      <c r="C30238" s="5" t="str">
        <f>IFERROR(__xludf.DUMMYFUNCTION("GOOGLETRANSLATE(B30238,""en"",""de"")"),"Der Junge und das Mädchen beginnen wieder, Ping Pong zu spielen.")</f>
        <v>Der Junge und das Mädchen beginnen wieder, Ping Pong zu spielen.</v>
      </c>
    </row>
    <row r="30239">
      <c r="A30239" s="4" t="s">
        <v>38078</v>
      </c>
      <c r="B30239" s="4" t="s">
        <v>38079</v>
      </c>
      <c r="C30239" s="5" t="str">
        <f>IFERROR(__xludf.DUMMYFUNCTION("GOOGLETRANSLATE(B30239,""en"",""de"")"),"Das junge Mädchen im grauen Hemd putzt den Tanga, während das weibliche in blaues T-Shirt die Pfannen wäscht und das andere Mädchen einen Schwamm hält.")</f>
        <v>Das junge Mädchen im grauen Hemd putzt den Tanga, während das weibliche in blaues T-Shirt die Pfannen wäscht und das andere Mädchen einen Schwamm hält.</v>
      </c>
    </row>
    <row r="30240">
      <c r="A30240" s="4" t="s">
        <v>38078</v>
      </c>
      <c r="B30240" s="4" t="s">
        <v>38080</v>
      </c>
      <c r="C30240" s="5" t="str">
        <f>IFERROR(__xludf.DUMMYFUNCTION("GOOGLETRANSLATE(B30240,""en"",""de"")"),"Das ältere Mädchen in Blau wäscht das Messer, während das andere die Schüssel wischt.")</f>
        <v>Das ältere Mädchen in Blau wäscht das Messer, während das andere die Schüssel wischt.</v>
      </c>
    </row>
    <row r="30241">
      <c r="A30241" s="4" t="s">
        <v>38078</v>
      </c>
      <c r="B30241" s="4" t="s">
        <v>38081</v>
      </c>
      <c r="C30241" s="5" t="str">
        <f>IFERROR(__xludf.DUMMYFUNCTION("GOOGLETRANSLATE(B30241,""en"",""de"")"),"Die Mädchen legten das saubere Gerichte auf den Rack, um es zu trocknen.")</f>
        <v>Die Mädchen legten das saubere Gerichte auf den Rack, um es zu trocknen.</v>
      </c>
    </row>
    <row r="30242">
      <c r="A30242" s="4" t="s">
        <v>38082</v>
      </c>
      <c r="B30242" s="4" t="s">
        <v>38083</v>
      </c>
      <c r="C30242" s="5" t="str">
        <f>IFERROR(__xludf.DUMMYFUNCTION("GOOGLETRANSLATE(B30242,""en"",""de"")"),"Eine Frau lächelt in die Kamera.")</f>
        <v>Eine Frau lächelt in die Kamera.</v>
      </c>
    </row>
    <row r="30243">
      <c r="A30243" s="4" t="s">
        <v>38082</v>
      </c>
      <c r="B30243" s="4" t="s">
        <v>38084</v>
      </c>
      <c r="C30243" s="5" t="str">
        <f>IFERROR(__xludf.DUMMYFUNCTION("GOOGLETRANSLATE(B30243,""en"",""de"")"),"Die Frau spült eine Zahnbürste unter Wasser.")</f>
        <v>Die Frau spült eine Zahnbürste unter Wasser.</v>
      </c>
    </row>
    <row r="30244">
      <c r="A30244" s="4" t="s">
        <v>38082</v>
      </c>
      <c r="B30244" s="4" t="s">
        <v>38085</v>
      </c>
      <c r="C30244" s="5" t="str">
        <f>IFERROR(__xludf.DUMMYFUNCTION("GOOGLETRANSLATE(B30244,""en"",""de"")"),"Die Frau wendet Zahnpasta auf die Zahnbürste.")</f>
        <v>Die Frau wendet Zahnpasta auf die Zahnbürste.</v>
      </c>
    </row>
    <row r="30245">
      <c r="A30245" s="4" t="s">
        <v>38082</v>
      </c>
      <c r="B30245" s="4" t="s">
        <v>38086</v>
      </c>
      <c r="C30245" s="5" t="str">
        <f>IFERROR(__xludf.DUMMYFUNCTION("GOOGLETRANSLATE(B30245,""en"",""de"")"),"Die Frau demonstriert, wie sie ihre Zähne putzen.")</f>
        <v>Die Frau demonstriert, wie sie ihre Zähne putzen.</v>
      </c>
    </row>
    <row r="30246">
      <c r="A30246" s="4" t="s">
        <v>38082</v>
      </c>
      <c r="B30246" s="4" t="s">
        <v>38087</v>
      </c>
      <c r="C30246" s="5" t="str">
        <f>IFERROR(__xludf.DUMMYFUNCTION("GOOGLETRANSLATE(B30246,""en"",""de"")"),"Die Frau spügt die Zahnbürste erneut unter Wasser.")</f>
        <v>Die Frau spügt die Zahnbürste erneut unter Wasser.</v>
      </c>
    </row>
    <row r="30247">
      <c r="A30247" s="4" t="s">
        <v>38082</v>
      </c>
      <c r="B30247" s="4" t="s">
        <v>38088</v>
      </c>
      <c r="C30247" s="5" t="str">
        <f>IFERROR(__xludf.DUMMYFUNCTION("GOOGLETRANSLATE(B30247,""en"",""de"")"),"Die Frau spügt ihren Mund mit einem Glas Wasser.")</f>
        <v>Die Frau spügt ihren Mund mit einem Glas Wasser.</v>
      </c>
    </row>
    <row r="30248">
      <c r="A30248" s="4" t="s">
        <v>38082</v>
      </c>
      <c r="B30248" s="4" t="s">
        <v>38089</v>
      </c>
      <c r="C30248" s="5" t="str">
        <f>IFERROR(__xludf.DUMMYFUNCTION("GOOGLETRANSLATE(B30248,""en"",""de"")"),"Die Frau handelt sich den Mund und zeigt ihre Zähne.")</f>
        <v>Die Frau handelt sich den Mund und zeigt ihre Zähne.</v>
      </c>
    </row>
    <row r="30249">
      <c r="A30249" s="4" t="s">
        <v>38090</v>
      </c>
      <c r="B30249" s="4" t="s">
        <v>38091</v>
      </c>
      <c r="C30249" s="5" t="str">
        <f>IFERROR(__xludf.DUMMYFUNCTION("GOOGLETRANSLATE(B30249,""en"",""de"")"),"Eine Gruppe von Athleten steht auf einem Hügel, während man einen Ball zu einem anderen Spieler wirft.")</f>
        <v>Eine Gruppe von Athleten steht auf einem Hügel, während man einen Ball zu einem anderen Spieler wirft.</v>
      </c>
    </row>
    <row r="30250">
      <c r="A30250" s="4" t="s">
        <v>38090</v>
      </c>
      <c r="B30250" s="4" t="s">
        <v>38092</v>
      </c>
      <c r="C30250" s="5" t="str">
        <f>IFERROR(__xludf.DUMMYFUNCTION("GOOGLETRANSLATE(B30250,""en"",""de"")"),"Der Teig trifft den Ball in die Tribüne und der Moment wird in 3-D wiedererobert.")</f>
        <v>Der Teig trifft den Ball in die Tribüne und der Moment wird in 3-D wiedererobert.</v>
      </c>
    </row>
    <row r="30251">
      <c r="A30251" s="4" t="s">
        <v>38090</v>
      </c>
      <c r="B30251" s="4" t="s">
        <v>38093</v>
      </c>
      <c r="C30251" s="5" t="str">
        <f>IFERROR(__xludf.DUMMYFUNCTION("GOOGLETRANSLATE(B30251,""en"",""de"")"),"Ein Reporter kommentiert, wie fantastisch der Hit war und erholt ihn aus verschiedenen Blickwinkeln.")</f>
        <v>Ein Reporter kommentiert, wie fantastisch der Hit war und erholt ihn aus verschiedenen Blickwinkeln.</v>
      </c>
    </row>
    <row r="30252">
      <c r="A30252" s="4" t="s">
        <v>38090</v>
      </c>
      <c r="B30252" s="4" t="s">
        <v>38094</v>
      </c>
      <c r="C30252" s="5" t="str">
        <f>IFERROR(__xludf.DUMMYFUNCTION("GOOGLETRANSLATE(B30252,""en"",""de"")"),"Der Spieler wird von einem Reporter interviewt und hat erneut seinen Moment im Fernsehen gezeigt.")</f>
        <v>Der Spieler wird von einem Reporter interviewt und hat erneut seinen Moment im Fernsehen gezeigt.</v>
      </c>
    </row>
    <row r="30253">
      <c r="A30253" s="4" t="s">
        <v>38095</v>
      </c>
      <c r="B30253" s="4" t="s">
        <v>38096</v>
      </c>
      <c r="C30253" s="5" t="str">
        <f>IFERROR(__xludf.DUMMYFUNCTION("GOOGLETRANSLATE(B30253,""en"",""de"")"),"In einem Klettergeschäft sind Männer um einen Sprung auf einem Seil versammelt.")</f>
        <v>In einem Klettergeschäft sind Männer um einen Sprung auf einem Seil versammelt.</v>
      </c>
    </row>
    <row r="30254">
      <c r="A30254" s="4" t="s">
        <v>38095</v>
      </c>
      <c r="B30254" s="4" t="s">
        <v>38097</v>
      </c>
      <c r="C30254" s="5" t="str">
        <f>IFERROR(__xludf.DUMMYFUNCTION("GOOGLETRANSLATE(B30254,""en"",""de"")"),"Der Mann im Grün macht einige Tricks und dann springt ein Mann in einem Hoodie darauf und geht darauf.")</f>
        <v>Der Mann im Grün macht einige Tricks und dann springt ein Mann in einem Hoodie darauf und geht darauf.</v>
      </c>
    </row>
    <row r="30255">
      <c r="A30255" s="4" t="s">
        <v>38095</v>
      </c>
      <c r="B30255" s="4" t="s">
        <v>38098</v>
      </c>
      <c r="C30255" s="5" t="str">
        <f>IFERROR(__xludf.DUMMYFUNCTION("GOOGLETRANSLATE(B30255,""en"",""de"")"),"Jemand hat eine Kamera und jeder ist verstreut, um sein eigenes Ding zu machen.")</f>
        <v>Jemand hat eine Kamera und jeder ist verstreut, um sein eigenes Ding zu machen.</v>
      </c>
    </row>
    <row r="30256">
      <c r="A30256" s="4" t="s">
        <v>38095</v>
      </c>
      <c r="B30256" s="4" t="s">
        <v>38099</v>
      </c>
      <c r="C30256" s="5" t="str">
        <f>IFERROR(__xludf.DUMMYFUNCTION("GOOGLETRANSLATE(B30256,""en"",""de"")"),"Der Mann im Grün springt weiter auf das Seil, bis er es runter nimmt.")</f>
        <v>Der Mann im Grün springt weiter auf das Seil, bis er es runter nimmt.</v>
      </c>
    </row>
    <row r="30257">
      <c r="A30257" s="4" t="s">
        <v>38100</v>
      </c>
      <c r="B30257" s="4" t="s">
        <v>38101</v>
      </c>
      <c r="C30257" s="5" t="str">
        <f>IFERROR(__xludf.DUMMYFUNCTION("GOOGLETRANSLATE(B30257,""en"",""de"")"),"Ein Leichtathletik -Long -Jumper aus den Florida Gators in Blau und Orange bereitet sich darauf vor, seinen Lauf zu machen, während andere Teilnehmer, Trainer und Beamte sich auf dem Leichtathletik -Kurs versammeln.")</f>
        <v>Ein Leichtathletik -Long -Jumper aus den Florida Gators in Blau und Orange bereitet sich darauf vor, seinen Lauf zu machen, während andere Teilnehmer, Trainer und Beamte sich auf dem Leichtathletik -Kurs versammeln.</v>
      </c>
    </row>
    <row r="30258">
      <c r="A30258" s="4" t="s">
        <v>38100</v>
      </c>
      <c r="B30258" s="4" t="s">
        <v>38102</v>
      </c>
      <c r="C30258" s="5" t="str">
        <f>IFERROR(__xludf.DUMMYFUNCTION("GOOGLETRANSLATE(B30258,""en"",""de"")"),"Der Florida Gator Long Pullover beginnt seinen Lauf mit einem allmählichen Stürmerspaziergang und einem schnellen Sprint zum Sandgrube -Springmarker.")</f>
        <v>Der Florida Gator Long Pullover beginnt seinen Lauf mit einem allmählichen Stürmerspaziergang und einem schnellen Sprint zum Sandgrube -Springmarker.</v>
      </c>
    </row>
    <row r="30259">
      <c r="A30259" s="4" t="s">
        <v>38100</v>
      </c>
      <c r="B30259" s="4" t="s">
        <v>38103</v>
      </c>
      <c r="C30259" s="5" t="str">
        <f>IFERROR(__xludf.DUMMYFUNCTION("GOOGLETRANSLATE(B30259,""en"",""de"")"),"Der Florida Gator Long Jumper springt und fliegt durch die Luft und landet im Sand.")</f>
        <v>Der Florida Gator Long Jumper springt und fliegt durch die Luft und landet im Sand.</v>
      </c>
    </row>
    <row r="30260">
      <c r="A30260" s="4" t="s">
        <v>38100</v>
      </c>
      <c r="B30260" s="4" t="s">
        <v>38104</v>
      </c>
      <c r="C30260" s="5" t="str">
        <f>IFERROR(__xludf.DUMMYFUNCTION("GOOGLETRANSLATE(B30260,""en"",""de"")"),"Die Kamera schwenkt zum Score -Board, das die Ergebnisse der Langwinkelstoffe zeigt.")</f>
        <v>Die Kamera schwenkt zum Score -Board, das die Ergebnisse der Langwinkelstoffe zeigt.</v>
      </c>
    </row>
    <row r="30261">
      <c r="A30261" s="4" t="s">
        <v>38105</v>
      </c>
      <c r="B30261" s="4" t="s">
        <v>38106</v>
      </c>
      <c r="C30261" s="5" t="str">
        <f>IFERROR(__xludf.DUMMYFUNCTION("GOOGLETRANSLATE(B30261,""en"",""de"")"),"Ein Intro beginnt und führt zu einer Frau, die neben einem deutschen Sheppard auf einem Tisch steht.")</f>
        <v>Ein Intro beginnt und führt zu einer Frau, die neben einem deutschen Sheppard auf einem Tisch steht.</v>
      </c>
    </row>
    <row r="30262">
      <c r="A30262" s="4" t="s">
        <v>38105</v>
      </c>
      <c r="B30262" s="4" t="s">
        <v>38107</v>
      </c>
      <c r="C30262" s="5" t="str">
        <f>IFERROR(__xludf.DUMMYFUNCTION("GOOGLETRANSLATE(B30262,""en"",""de"")"),"Eine schnelle Bewegungswache des Geschäfts tritt auf und zeigt die Frau, die den Hund mit mehreren Instrumenten bürstet.")</f>
        <v>Eine schnelle Bewegungswache des Geschäfts tritt auf und zeigt die Frau, die den Hund mit mehreren Instrumenten bürstet.</v>
      </c>
    </row>
    <row r="30263">
      <c r="A30263" s="4" t="s">
        <v>38105</v>
      </c>
      <c r="B30263" s="4" t="s">
        <v>38108</v>
      </c>
      <c r="C30263" s="5" t="str">
        <f>IFERROR(__xludf.DUMMYFUNCTION("GOOGLETRANSLATE(B30263,""en"",""de"")"),"Sie streichelt den Hund ein wenig, während sie ihn weiterhin bürstet und mit der Kamera spricht.")</f>
        <v>Sie streichelt den Hund ein wenig, während sie ihn weiterhin bürstet und mit der Kamera spricht.</v>
      </c>
    </row>
    <row r="30264">
      <c r="A30264" s="4" t="s">
        <v>38109</v>
      </c>
      <c r="B30264" s="4" t="s">
        <v>38110</v>
      </c>
      <c r="C30264" s="5" t="str">
        <f>IFERROR(__xludf.DUMMYFUNCTION("GOOGLETRANSLATE(B30264,""en"",""de"")"),"Little Girls spielt die Stöcke, die sich um ein Spinn der Stöcke drehen.")</f>
        <v>Little Girls spielt die Stöcke, die sich um ein Spinn der Stöcke drehen.</v>
      </c>
    </row>
    <row r="30265">
      <c r="A30265" s="4" t="s">
        <v>38109</v>
      </c>
      <c r="B30265" s="4" t="s">
        <v>38111</v>
      </c>
      <c r="C30265" s="5" t="str">
        <f>IFERROR(__xludf.DUMMYFUNCTION("GOOGLETRANSLATE(B30265,""en"",""de"")"),"Die kleinen Mädchen halten die Stöcke hoch und springen um.")</f>
        <v>Die kleinen Mädchen halten die Stöcke hoch und springen um.</v>
      </c>
    </row>
    <row r="30266">
      <c r="A30266" s="4" t="s">
        <v>38109</v>
      </c>
      <c r="B30266" s="4" t="s">
        <v>38112</v>
      </c>
      <c r="C30266" s="5" t="str">
        <f>IFERROR(__xludf.DUMMYFUNCTION("GOOGLETRANSLATE(B30266,""en"",""de"")"),"Zwei Frauen gehen zur Tür.")</f>
        <v>Zwei Frauen gehen zur Tür.</v>
      </c>
    </row>
    <row r="30267">
      <c r="A30267" s="4" t="s">
        <v>38109</v>
      </c>
      <c r="B30267" s="4" t="s">
        <v>38113</v>
      </c>
      <c r="C30267" s="5" t="str">
        <f>IFERROR(__xludf.DUMMYFUNCTION("GOOGLETRANSLATE(B30267,""en"",""de"")"),"Danach dreht sich die kleinen Mädchen auf den Boden, springen dann weiter und drehen sich herum.")</f>
        <v>Danach dreht sich die kleinen Mädchen auf den Boden, springen dann weiter und drehen sich herum.</v>
      </c>
    </row>
    <row r="30268">
      <c r="A30268" s="4" t="s">
        <v>38109</v>
      </c>
      <c r="B30268" s="4" t="s">
        <v>38114</v>
      </c>
      <c r="C30268" s="5" t="str">
        <f>IFERROR(__xludf.DUMMYFUNCTION("GOOGLETRANSLATE(B30268,""en"",""de"")"),"Als nächstes kommen die Mädchen zusammen, um zu begrüßen.")</f>
        <v>Als nächstes kommen die Mädchen zusammen, um zu begrüßen.</v>
      </c>
    </row>
    <row r="30269">
      <c r="A30269" s="4" t="s">
        <v>38115</v>
      </c>
      <c r="B30269" s="4" t="s">
        <v>38116</v>
      </c>
      <c r="C30269" s="5" t="str">
        <f>IFERROR(__xludf.DUMMYFUNCTION("GOOGLETRANSLATE(B30269,""en"",""de"")"),"Ein Mann spielt Tam-Tam, und dann spricht er mit gekreuzten Händen auf einem Tan-Tam.")</f>
        <v>Ein Mann spielt Tam-Tam, und dann spricht er mit gekreuzten Händen auf einem Tan-Tam.</v>
      </c>
    </row>
    <row r="30270">
      <c r="A30270" s="4" t="s">
        <v>38115</v>
      </c>
      <c r="B30270" s="4" t="s">
        <v>38117</v>
      </c>
      <c r="C30270" s="5" t="str">
        <f>IFERROR(__xludf.DUMMYFUNCTION("GOOGLETRANSLATE(B30270,""en"",""de"")"),"Dann spielt der Mann Tam-Tam mit seiner rechten Hand und spielt mit Stöcken mit der linken Hand.")</f>
        <v>Dann spielt der Mann Tam-Tam mit seiner rechten Hand und spielt mit Stöcken mit der linken Hand.</v>
      </c>
    </row>
    <row r="30271">
      <c r="A30271" s="4" t="s">
        <v>38118</v>
      </c>
      <c r="B30271" s="4" t="s">
        <v>38119</v>
      </c>
      <c r="C30271" s="5" t="str">
        <f>IFERROR(__xludf.DUMMYFUNCTION("GOOGLETRANSLATE(B30271,""en"",""de"")"),"Ein Mann geht mit einem großen Dalmatianer auf ein Spielfeld.")</f>
        <v>Ein Mann geht mit einem großen Dalmatianer auf ein Spielfeld.</v>
      </c>
    </row>
    <row r="30272">
      <c r="A30272" s="4" t="s">
        <v>38118</v>
      </c>
      <c r="B30272" s="4" t="s">
        <v>38120</v>
      </c>
      <c r="C30272" s="5" t="str">
        <f>IFERROR(__xludf.DUMMYFUNCTION("GOOGLETRANSLATE(B30272,""en"",""de"")"),"Der Mann hält stehen und wirft den Frisbee und gibt ihn dem Mann zurück.")</f>
        <v>Der Mann hält stehen und wirft den Frisbee und gibt ihn dem Mann zurück.</v>
      </c>
    </row>
    <row r="30273">
      <c r="A30273" s="4" t="s">
        <v>38118</v>
      </c>
      <c r="B30273" s="4" t="s">
        <v>38121</v>
      </c>
      <c r="C30273" s="5" t="str">
        <f>IFERROR(__xludf.DUMMYFUNCTION("GOOGLETRANSLATE(B30273,""en"",""de"")"),"Der Hund läuft mit der Frisbee im Kreis auf dem Feld herum.")</f>
        <v>Der Hund läuft mit der Frisbee im Kreis auf dem Feld herum.</v>
      </c>
    </row>
    <row r="30274">
      <c r="A30274" s="4" t="s">
        <v>38122</v>
      </c>
      <c r="B30274" s="4" t="s">
        <v>38123</v>
      </c>
      <c r="C30274" s="5" t="str">
        <f>IFERROR(__xludf.DUMMYFUNCTION("GOOGLETRANSLATE(B30274,""en"",""de"")"),"Eine Person schneidet Cordwood mit einem Protokollsplitter.")</f>
        <v>Eine Person schneidet Cordwood mit einem Protokollsplitter.</v>
      </c>
    </row>
    <row r="30275">
      <c r="A30275" s="4" t="s">
        <v>38122</v>
      </c>
      <c r="B30275" s="4" t="s">
        <v>38124</v>
      </c>
      <c r="C30275" s="5" t="str">
        <f>IFERROR(__xludf.DUMMYFUNCTION("GOOGLETRANSLATE(B30275,""en"",""de"")"),"Das verbleibende Holz wird gezeigt und Stümpfe werden geschnitten.")</f>
        <v>Das verbleibende Holz wird gezeigt und Stümpfe werden geschnitten.</v>
      </c>
    </row>
    <row r="30276">
      <c r="A30276" s="4" t="s">
        <v>38125</v>
      </c>
      <c r="B30276" s="4" t="s">
        <v>38126</v>
      </c>
      <c r="C30276" s="5" t="str">
        <f>IFERROR(__xludf.DUMMYFUNCTION("GOOGLETRANSLATE(B30276,""en"",""de"")"),"Eine Kamera schwenkt rund um einen See und zeigt eine Person, die auf einem Kanu herumfährt.")</f>
        <v>Eine Kamera schwenkt rund um einen See und zeigt eine Person, die auf einem Kanu herumfährt.</v>
      </c>
    </row>
    <row r="30277">
      <c r="A30277" s="4" t="s">
        <v>38125</v>
      </c>
      <c r="B30277" s="4" t="s">
        <v>38127</v>
      </c>
      <c r="C30277" s="5" t="str">
        <f>IFERROR(__xludf.DUMMYFUNCTION("GOOGLETRANSLATE(B30277,""en"",""de"")"),"Die Person steckt vor einem Felsen fest und paddelt sich schließlich vorbei.")</f>
        <v>Die Person steckt vor einem Felsen fest und paddelt sich schließlich vorbei.</v>
      </c>
    </row>
    <row r="30278">
      <c r="A30278" s="4" t="s">
        <v>38125</v>
      </c>
      <c r="B30278" s="4" t="s">
        <v>38128</v>
      </c>
      <c r="C30278" s="5" t="str">
        <f>IFERROR(__xludf.DUMMYFUNCTION("GOOGLETRANSLATE(B30278,""en"",""de"")"),"Die Person bleibt weiterhin in der Gegend stecken, bewegt sich aber erfolgreich nach unten.")</f>
        <v>Die Person bleibt weiterhin in der Gegend stecken, bewegt sich aber erfolgreich nach unten.</v>
      </c>
    </row>
    <row r="30279">
      <c r="A30279" s="4" t="s">
        <v>38129</v>
      </c>
      <c r="B30279" s="4" t="s">
        <v>38130</v>
      </c>
      <c r="C30279" s="5" t="str">
        <f>IFERROR(__xludf.DUMMYFUNCTION("GOOGLETRANSLATE(B30279,""en"",""de"")"),"Der Mann im Anzug spricht mit der Kamera, da die Leute hinter ihm stehen.")</f>
        <v>Der Mann im Anzug spricht mit der Kamera, da die Leute hinter ihm stehen.</v>
      </c>
    </row>
    <row r="30280">
      <c r="A30280" s="4" t="s">
        <v>38129</v>
      </c>
      <c r="B30280" s="4" t="s">
        <v>38131</v>
      </c>
      <c r="C30280" s="5" t="str">
        <f>IFERROR(__xludf.DUMMYFUNCTION("GOOGLETRANSLATE(B30280,""en"",""de"")"),"Der ältere Mann wirft seine Pfeile auf das Dartbrett und drei Pfeile landeten an einem Ort.")</f>
        <v>Der ältere Mann wirft seine Pfeile auf das Dartbrett und drei Pfeile landeten an einem Ort.</v>
      </c>
    </row>
    <row r="30281">
      <c r="A30281" s="4" t="s">
        <v>38129</v>
      </c>
      <c r="B30281" s="4" t="s">
        <v>38132</v>
      </c>
      <c r="C30281" s="5" t="str">
        <f>IFERROR(__xludf.DUMMYFUNCTION("GOOGLETRANSLATE(B30281,""en"",""de"")"),"Der Mann stellte sich und warf die Pfeile in das Brett und die Pfeile sind voneinander weg.")</f>
        <v>Der Mann stellte sich und warf die Pfeile in das Brett und die Pfeile sind voneinander weg.</v>
      </c>
    </row>
    <row r="30282">
      <c r="A30282" s="4" t="s">
        <v>38129</v>
      </c>
      <c r="B30282" s="4" t="s">
        <v>38133</v>
      </c>
      <c r="C30282" s="5" t="str">
        <f>IFERROR(__xludf.DUMMYFUNCTION("GOOGLETRANSLATE(B30282,""en"",""de"")"),"Der Mann schlägt weiterhin mit Darts auf das Brett.")</f>
        <v>Der Mann schlägt weiterhin mit Darts auf das Brett.</v>
      </c>
    </row>
    <row r="30283">
      <c r="A30283" s="4" t="s">
        <v>38134</v>
      </c>
      <c r="B30283" s="4" t="s">
        <v>38135</v>
      </c>
      <c r="C30283" s="5" t="str">
        <f>IFERROR(__xludf.DUMMYFUNCTION("GOOGLETRANSLATE(B30283,""en"",""de"")"),"Die Kamera schwenkt um eine große Gruppe von Frauen, die auf dem Stuhl sitzen und miteinander sprechen.")</f>
        <v>Die Kamera schwenkt um eine große Gruppe von Frauen, die auf dem Stuhl sitzen und miteinander sprechen.</v>
      </c>
    </row>
    <row r="30284">
      <c r="A30284" s="4" t="s">
        <v>38134</v>
      </c>
      <c r="B30284" s="4" t="s">
        <v>38136</v>
      </c>
      <c r="C30284" s="5" t="str">
        <f>IFERROR(__xludf.DUMMYFUNCTION("GOOGLETRANSLATE(B30284,""en"",""de"")"),"Es werden mehrere Schüsse gezeigt, in denen Frauen stricken und in die Menschen zurückkehren, die sich gegenseitig helfen und mehr Bilder gezeigt werden.")</f>
        <v>Es werden mehrere Schüsse gezeigt, in denen Frauen stricken und in die Menschen zurückkehren, die sich gegenseitig helfen und mehr Bilder gezeigt werden.</v>
      </c>
    </row>
    <row r="30285">
      <c r="A30285" s="4" t="s">
        <v>38137</v>
      </c>
      <c r="B30285" s="4" t="s">
        <v>38138</v>
      </c>
      <c r="C30285" s="5" t="str">
        <f>IFERROR(__xludf.DUMMYFUNCTION("GOOGLETRANSLATE(B30285,""en"",""de"")"),"Eine Reihe von Teamkollegen reiten Pferde auf dem Feld.")</f>
        <v>Eine Reihe von Teamkollegen reiten Pferde auf dem Feld.</v>
      </c>
    </row>
    <row r="30286">
      <c r="A30286" s="4" t="s">
        <v>38137</v>
      </c>
      <c r="B30286" s="4" t="s">
        <v>38139</v>
      </c>
      <c r="C30286" s="5" t="str">
        <f>IFERROR(__xludf.DUMMYFUNCTION("GOOGLETRANSLATE(B30286,""en"",""de"")"),"Sie spielen ein Polospiel.")</f>
        <v>Sie spielen ein Polospiel.</v>
      </c>
    </row>
    <row r="30287">
      <c r="A30287" s="4" t="s">
        <v>38137</v>
      </c>
      <c r="B30287" s="4" t="s">
        <v>38140</v>
      </c>
      <c r="C30287" s="5" t="str">
        <f>IFERROR(__xludf.DUMMYFUNCTION("GOOGLETRANSLATE(B30287,""en"",""de"")"),"Die Leute rennen auf ihren Pferden und versuchen, den Ball zu schlagen.")</f>
        <v>Die Leute rennen auf ihren Pferden und versuchen, den Ball zu schlagen.</v>
      </c>
    </row>
    <row r="30288">
      <c r="A30288" s="4" t="s">
        <v>38141</v>
      </c>
      <c r="B30288" s="4" t="s">
        <v>38142</v>
      </c>
      <c r="C30288" s="5" t="str">
        <f>IFERROR(__xludf.DUMMYFUNCTION("GOOGLETRANSLATE(B30288,""en"",""de"")"),"Ein Mann spricht vor einer Kletterwand.")</f>
        <v>Ein Mann spricht vor einer Kletterwand.</v>
      </c>
    </row>
    <row r="30289">
      <c r="A30289" s="4" t="s">
        <v>38141</v>
      </c>
      <c r="B30289" s="4" t="s">
        <v>38143</v>
      </c>
      <c r="C30289" s="5" t="str">
        <f>IFERROR(__xludf.DUMMYFUNCTION("GOOGLETRANSLATE(B30289,""en"",""de"")"),"Er fängt an, die Klettermauer zu besteigen.")</f>
        <v>Er fängt an, die Klettermauer zu besteigen.</v>
      </c>
    </row>
    <row r="30290">
      <c r="A30290" s="4" t="s">
        <v>38141</v>
      </c>
      <c r="B30290" s="4" t="s">
        <v>38144</v>
      </c>
      <c r="C30290" s="5" t="str">
        <f>IFERROR(__xludf.DUMMYFUNCTION("GOOGLETRANSLATE(B30290,""en"",""de"")"),"Ein Mann in einem gelben Hut spricht.")</f>
        <v>Ein Mann in einem gelben Hut spricht.</v>
      </c>
    </row>
    <row r="30291">
      <c r="A30291" s="4" t="s">
        <v>38141</v>
      </c>
      <c r="B30291" s="4" t="s">
        <v>38145</v>
      </c>
      <c r="C30291" s="5" t="str">
        <f>IFERROR(__xludf.DUMMYFUNCTION("GOOGLETRANSLATE(B30291,""en"",""de"")"),"Er klettert an der Wand hinauf.")</f>
        <v>Er klettert an der Wand hinauf.</v>
      </c>
    </row>
    <row r="30292">
      <c r="A30292" s="4" t="s">
        <v>38141</v>
      </c>
      <c r="B30292" s="4" t="s">
        <v>38146</v>
      </c>
      <c r="C30292" s="5" t="str">
        <f>IFERROR(__xludf.DUMMYFUNCTION("GOOGLETRANSLATE(B30292,""en"",""de"")"),"Mehrere Menschen klettern die Kletterwand hinauf.")</f>
        <v>Mehrere Menschen klettern die Kletterwand hinauf.</v>
      </c>
    </row>
    <row r="30293">
      <c r="A30293" s="4" t="s">
        <v>38147</v>
      </c>
      <c r="B30293" s="4" t="s">
        <v>38148</v>
      </c>
      <c r="C30293" s="5" t="str">
        <f>IFERROR(__xludf.DUMMYFUNCTION("GOOGLETRANSLATE(B30293,""en"",""de"")"),"Ein Mann, der schwarze Badekämme trägt, sitzt auf einem Innenröhrchen, während er einen Schlauchrutschen hinunter gleitet.")</f>
        <v>Ein Mann, der schwarze Badekämme trägt, sitzt auf einem Innenröhrchen, während er einen Schlauchrutschen hinunter gleitet.</v>
      </c>
    </row>
    <row r="30294">
      <c r="A30294" s="4" t="s">
        <v>38147</v>
      </c>
      <c r="B30294" s="4" t="s">
        <v>38149</v>
      </c>
      <c r="C30294" s="5" t="str">
        <f>IFERROR(__xludf.DUMMYFUNCTION("GOOGLETRANSLATE(B30294,""en"",""de"")"),"Ein Mann, der dunkle Stämme trägt, steht auf einer geschlossenen Wasserrutsche in einem Wasserpark.")</f>
        <v>Ein Mann, der dunkle Stämme trägt, steht auf einer geschlossenen Wasserrutsche in einem Wasserpark.</v>
      </c>
    </row>
    <row r="30295">
      <c r="A30295" s="4" t="s">
        <v>38147</v>
      </c>
      <c r="B30295" s="4" t="s">
        <v>38150</v>
      </c>
      <c r="C30295" s="5" t="str">
        <f>IFERROR(__xludf.DUMMYFUNCTION("GOOGLETRANSLATE(B30295,""en"",""de"")"),"Zwei Männer rutschen in einem Wasserpark eine blaue Wasserrutsche und landen in einem riesigen Schwimmbad.")</f>
        <v>Zwei Männer rutschen in einem Wasserpark eine blaue Wasserrutsche und landen in einem riesigen Schwimmbad.</v>
      </c>
    </row>
    <row r="30296">
      <c r="A30296" s="4" t="s">
        <v>38147</v>
      </c>
      <c r="B30296" s="4" t="s">
        <v>38151</v>
      </c>
      <c r="C30296" s="5" t="str">
        <f>IFERROR(__xludf.DUMMYFUNCTION("GOOGLETRANSLATE(B30296,""en"",""de"")"),"Verschiedene Szenen einer Gruppe von Menschen, die in verschiedenen Teilen eines Wasserparks schwimmen.")</f>
        <v>Verschiedene Szenen einer Gruppe von Menschen, die in verschiedenen Teilen eines Wasserparks schwimmen.</v>
      </c>
    </row>
    <row r="30297">
      <c r="A30297" s="4" t="s">
        <v>38152</v>
      </c>
      <c r="B30297" s="4" t="s">
        <v>38153</v>
      </c>
      <c r="C30297" s="5" t="str">
        <f>IFERROR(__xludf.DUMMYFUNCTION("GOOGLETRANSLATE(B30297,""en"",""de"")"),"Ein Mann, der in weißer Curling -Ausrüstung gekleidet ist, nimmt am Sport teil.")</f>
        <v>Ein Mann, der in weißer Curling -Ausrüstung gekleidet ist, nimmt am Sport teil.</v>
      </c>
    </row>
    <row r="30298">
      <c r="A30298" s="4" t="s">
        <v>38152</v>
      </c>
      <c r="B30298" s="4" t="s">
        <v>38154</v>
      </c>
      <c r="C30298" s="5" t="str">
        <f>IFERROR(__xludf.DUMMYFUNCTION("GOOGLETRANSLATE(B30298,""en"",""de"")"),"Er geht mit seinem Stock und seinem Stein auf die Eisbahn.")</f>
        <v>Er geht mit seinem Stock und seinem Stein auf die Eisbahn.</v>
      </c>
    </row>
    <row r="30299">
      <c r="A30299" s="4" t="s">
        <v>38152</v>
      </c>
      <c r="B30299" s="4" t="s">
        <v>38155</v>
      </c>
      <c r="C30299" s="5" t="str">
        <f>IFERROR(__xludf.DUMMYFUNCTION("GOOGLETRANSLATE(B30299,""en"",""de"")"),"Er spielt den Sport, während an einem anderen Ort zwei Musiker auftreten.")</f>
        <v>Er spielt den Sport, während an einem anderen Ort zwei Musiker auftreten.</v>
      </c>
    </row>
    <row r="30300">
      <c r="A30300" s="4" t="s">
        <v>38152</v>
      </c>
      <c r="B30300" s="4" t="s">
        <v>38156</v>
      </c>
      <c r="C30300" s="5" t="str">
        <f>IFERROR(__xludf.DUMMYFUNCTION("GOOGLETRANSLATE(B30300,""en"",""de"")"),"Sie singen beide als ein Musiker spielt eine Gitarre und der andere trommelt ein Tamburin.")</f>
        <v>Sie singen beide als ein Musiker spielt eine Gitarre und der andere trommelt ein Tamburin.</v>
      </c>
    </row>
    <row r="30301">
      <c r="A30301" s="4" t="s">
        <v>38152</v>
      </c>
      <c r="B30301" s="4" t="s">
        <v>38157</v>
      </c>
      <c r="C30301" s="5" t="str">
        <f>IFERROR(__xludf.DUMMYFUNCTION("GOOGLETRANSLATE(B30301,""en"",""de"")"),"Der Mann spielt weiterhin Curling auf der Eisbahn, als er den Felsen mit seinem Lockenstab schiebt.")</f>
        <v>Der Mann spielt weiterhin Curling auf der Eisbahn, als er den Felsen mit seinem Lockenstab schiebt.</v>
      </c>
    </row>
    <row r="30302">
      <c r="A30302" s="4" t="s">
        <v>38152</v>
      </c>
      <c r="B30302" s="4" t="s">
        <v>38158</v>
      </c>
      <c r="C30302" s="5" t="str">
        <f>IFERROR(__xludf.DUMMYFUNCTION("GOOGLETRANSLATE(B30302,""en"",""de"")"),"Er wird mit einem anderen jungen Mann dargestellt.")</f>
        <v>Er wird mit einem anderen jungen Mann dargestellt.</v>
      </c>
    </row>
    <row r="30303">
      <c r="A30303" s="4" t="s">
        <v>38152</v>
      </c>
      <c r="B30303" s="4" t="s">
        <v>38159</v>
      </c>
      <c r="C30303" s="5" t="str">
        <f>IFERROR(__xludf.DUMMYFUNCTION("GOOGLETRANSLATE(B30303,""en"",""de"")"),"Er posiert für Bilder mit verschiedenen Menschen, während er einen Besen in der Hand hält.")</f>
        <v>Er posiert für Bilder mit verschiedenen Menschen, während er einen Besen in der Hand hält.</v>
      </c>
    </row>
    <row r="30304">
      <c r="A30304" s="4" t="s">
        <v>38152</v>
      </c>
      <c r="B30304" s="4" t="s">
        <v>38160</v>
      </c>
      <c r="C30304" s="5" t="str">
        <f>IFERROR(__xludf.DUMMYFUNCTION("GOOGLETRANSLATE(B30304,""en"",""de"")"),"Er ist wieder in der Lockenbahn, singt und wirbelte den Lockenstab in seinen Händen.")</f>
        <v>Er ist wieder in der Lockenbahn, singt und wirbelte den Lockenstab in seinen Händen.</v>
      </c>
    </row>
    <row r="30305">
      <c r="A30305" s="4" t="s">
        <v>38161</v>
      </c>
      <c r="B30305" s="4" t="s">
        <v>38162</v>
      </c>
      <c r="C30305" s="5" t="str">
        <f>IFERROR(__xludf.DUMMYFUNCTION("GOOGLETRANSLATE(B30305,""en"",""de"")"),"Ein Mann steht an einem Tisch und hält einen Bogen in der Hand und redet.")</f>
        <v>Ein Mann steht an einem Tisch und hält einen Bogen in der Hand und redet.</v>
      </c>
    </row>
    <row r="30306">
      <c r="A30306" s="4" t="s">
        <v>38161</v>
      </c>
      <c r="B30306" s="4" t="s">
        <v>38163</v>
      </c>
      <c r="C30306" s="5" t="str">
        <f>IFERROR(__xludf.DUMMYFUNCTION("GOOGLETRANSLATE(B30306,""en"",""de"")"),"Dann geht er nach draußen und schießt einen Pfeil auf ein Ziel.")</f>
        <v>Dann geht er nach draußen und schießt einen Pfeil auf ein Ziel.</v>
      </c>
    </row>
    <row r="30307">
      <c r="A30307" s="4" t="s">
        <v>38161</v>
      </c>
      <c r="B30307" s="4" t="s">
        <v>38164</v>
      </c>
      <c r="C30307" s="5" t="str">
        <f>IFERROR(__xludf.DUMMYFUNCTION("GOOGLETRANSLATE(B30307,""en"",""de"")"),"Eine Nahaufnahme des Bogens wird gezeigt.")</f>
        <v>Eine Nahaufnahme des Bogens wird gezeigt.</v>
      </c>
    </row>
    <row r="30308">
      <c r="A30308" s="4" t="s">
        <v>38165</v>
      </c>
      <c r="B30308" s="4" t="s">
        <v>7411</v>
      </c>
      <c r="C30308" s="5" t="str">
        <f>IFERROR(__xludf.DUMMYFUNCTION("GOOGLETRANSLATE(B30308,""en"",""de"")"),"Wir sehen einen blauen Öffnungsbildschirm.")</f>
        <v>Wir sehen einen blauen Öffnungsbildschirm.</v>
      </c>
    </row>
    <row r="30309">
      <c r="A30309" s="4" t="s">
        <v>38165</v>
      </c>
      <c r="B30309" s="4" t="s">
        <v>38166</v>
      </c>
      <c r="C30309" s="5" t="str">
        <f>IFERROR(__xludf.DUMMYFUNCTION("GOOGLETRANSLATE(B30309,""en"",""de"")"),"Wir sehen dann Leute, die Rubiks -Würfel in einem Wettbewerb lösen.")</f>
        <v>Wir sehen dann Leute, die Rubiks -Würfel in einem Wettbewerb lösen.</v>
      </c>
    </row>
    <row r="30310">
      <c r="A30310" s="4" t="s">
        <v>38165</v>
      </c>
      <c r="B30310" s="4" t="s">
        <v>38167</v>
      </c>
      <c r="C30310" s="5" t="str">
        <f>IFERROR(__xludf.DUMMYFUNCTION("GOOGLETRANSLATE(B30310,""en"",""de"")"),"Ein Junge endet, wirft die Arme hoch und dreht sich in seinen Stuhl.")</f>
        <v>Ein Junge endet, wirft die Arme hoch und dreht sich in seinen Stuhl.</v>
      </c>
    </row>
    <row r="30311">
      <c r="A30311" s="4" t="s">
        <v>38165</v>
      </c>
      <c r="B30311" s="4" t="s">
        <v>38168</v>
      </c>
      <c r="C30311" s="5" t="str">
        <f>IFERROR(__xludf.DUMMYFUNCTION("GOOGLETRANSLATE(B30311,""en"",""de"")"),"Wir sehen, wie ein Junge seine Arme wirft und schreit.")</f>
        <v>Wir sehen, wie ein Junge seine Arme wirft und schreit.</v>
      </c>
    </row>
    <row r="30312">
      <c r="A30312" s="4" t="s">
        <v>38169</v>
      </c>
      <c r="B30312" s="4" t="s">
        <v>38170</v>
      </c>
      <c r="C30312" s="5" t="str">
        <f>IFERROR(__xludf.DUMMYFUNCTION("GOOGLETRANSLATE(B30312,""en"",""de"")"),"Ein Team bereitet sich darauf vor, ein Spiel namens Hurling zu spielen.")</f>
        <v>Ein Team bereitet sich darauf vor, ein Spiel namens Hurling zu spielen.</v>
      </c>
    </row>
    <row r="30313">
      <c r="A30313" s="4" t="s">
        <v>38169</v>
      </c>
      <c r="B30313" s="4" t="s">
        <v>38171</v>
      </c>
      <c r="C30313" s="5" t="str">
        <f>IFERROR(__xludf.DUMMYFUNCTION("GOOGLETRANSLATE(B30313,""en"",""de"")"),"Highlights eines Spiels werden gezeigt und die Spieler werden interviewt.")</f>
        <v>Highlights eines Spiels werden gezeigt und die Spieler werden interviewt.</v>
      </c>
    </row>
    <row r="30314">
      <c r="A30314" s="4" t="s">
        <v>38169</v>
      </c>
      <c r="B30314" s="4" t="s">
        <v>38172</v>
      </c>
      <c r="C30314" s="5" t="str">
        <f>IFERROR(__xludf.DUMMYFUNCTION("GOOGLETRANSLATE(B30314,""en"",""de"")"),"Teamkollegen jubeln an der Seitenlinie.")</f>
        <v>Teamkollegen jubeln an der Seitenlinie.</v>
      </c>
    </row>
    <row r="30315">
      <c r="A30315" s="4" t="s">
        <v>38173</v>
      </c>
      <c r="B30315" s="4" t="s">
        <v>38174</v>
      </c>
      <c r="C30315" s="5" t="str">
        <f>IFERROR(__xludf.DUMMYFUNCTION("GOOGLETRANSLATE(B30315,""en"",""de"")"),"Ein Mann in einem blauen Mantel steht im Schnee und redet.")</f>
        <v>Ein Mann in einem blauen Mantel steht im Schnee und redet.</v>
      </c>
    </row>
    <row r="30316">
      <c r="A30316" s="4" t="s">
        <v>38173</v>
      </c>
      <c r="B30316" s="4" t="s">
        <v>38175</v>
      </c>
      <c r="C30316" s="5" t="str">
        <f>IFERROR(__xludf.DUMMYFUNCTION("GOOGLETRANSLATE(B30316,""en"",""de"")"),"Er beginnt einen Schneeschnee hinunter zu fahren.")</f>
        <v>Er beginnt einen Schneeschnee hinunter zu fahren.</v>
      </c>
    </row>
    <row r="30317">
      <c r="A30317" s="4" t="s">
        <v>38173</v>
      </c>
      <c r="B30317" s="4" t="s">
        <v>6460</v>
      </c>
      <c r="C30317" s="5" t="str">
        <f>IFERROR(__xludf.DUMMYFUNCTION("GOOGLETRANSLATE(B30317,""en"",""de"")"),"Er spricht weiter mit der Kamera.")</f>
        <v>Er spricht weiter mit der Kamera.</v>
      </c>
    </row>
    <row r="30318">
      <c r="A30318" s="4" t="s">
        <v>38176</v>
      </c>
      <c r="B30318" s="4" t="s">
        <v>38177</v>
      </c>
      <c r="C30318" s="5" t="str">
        <f>IFERROR(__xludf.DUMMYFUNCTION("GOOGLETRANSLATE(B30318,""en"",""de"")"),"Ein Mann ist gesehen, wie er in einen Kreis geht und in die Ferne schaut.")</f>
        <v>Ein Mann ist gesehen, wie er in einen Kreis geht und in die Ferne schaut.</v>
      </c>
    </row>
    <row r="30319">
      <c r="A30319" s="4" t="s">
        <v>38176</v>
      </c>
      <c r="B30319" s="4" t="s">
        <v>38178</v>
      </c>
      <c r="C30319" s="5" t="str">
        <f>IFERROR(__xludf.DUMMYFUNCTION("GOOGLETRANSLATE(B30319,""en"",""de"")"),"Der Mann streckt sich ein wenig und beginnt sich zu drehen.")</f>
        <v>Der Mann streckt sich ein wenig und beginnt sich zu drehen.</v>
      </c>
    </row>
    <row r="30320">
      <c r="A30320" s="4" t="s">
        <v>38176</v>
      </c>
      <c r="B30320" s="4" t="s">
        <v>38179</v>
      </c>
      <c r="C30320" s="5" t="str">
        <f>IFERROR(__xludf.DUMMYFUNCTION("GOOGLETRANSLATE(B30320,""en"",""de"")"),"Er dreht sich weiter und endet, indem er weggeht.")</f>
        <v>Er dreht sich weiter und endet, indem er weggeht.</v>
      </c>
    </row>
    <row r="30321">
      <c r="A30321" s="4" t="s">
        <v>38180</v>
      </c>
      <c r="B30321" s="4" t="s">
        <v>38181</v>
      </c>
      <c r="C30321" s="5" t="str">
        <f>IFERROR(__xludf.DUMMYFUNCTION("GOOGLETRANSLATE(B30321,""en"",""de"")"),"Der Mann in blauem Hemd hält eine weiße Sprühflasche mit grünem und schwarzem Deckel darauf.")</f>
        <v>Der Mann in blauem Hemd hält eine weiße Sprühflasche mit grünem und schwarzem Deckel darauf.</v>
      </c>
    </row>
    <row r="30322">
      <c r="A30322" s="4" t="s">
        <v>38180</v>
      </c>
      <c r="B30322" s="4" t="s">
        <v>38182</v>
      </c>
      <c r="C30322" s="5" t="str">
        <f>IFERROR(__xludf.DUMMYFUNCTION("GOOGLETRANSLATE(B30322,""en"",""de"")"),"Er begann den Inhalt der Flasche auf die Kapuze des weißen Autos zu sprühen.")</f>
        <v>Er begann den Inhalt der Flasche auf die Kapuze des weißen Autos zu sprühen.</v>
      </c>
    </row>
    <row r="30323">
      <c r="A30323" s="4" t="s">
        <v>38180</v>
      </c>
      <c r="B30323" s="4" t="s">
        <v>38183</v>
      </c>
      <c r="C30323" s="5" t="str">
        <f>IFERROR(__xludf.DUMMYFUNCTION("GOOGLETRANSLATE(B30323,""en"",""de"")"),"Er wischte die Motorhaube und die Rückseite des weißen Autos mit einem gelben Tuch ab.")</f>
        <v>Er wischte die Motorhaube und die Rückseite des weißen Autos mit einem gelben Tuch ab.</v>
      </c>
    </row>
    <row r="30324">
      <c r="A30324" s="4" t="s">
        <v>38180</v>
      </c>
      <c r="B30324" s="4" t="s">
        <v>38184</v>
      </c>
      <c r="C30324" s="5" t="str">
        <f>IFERROR(__xludf.DUMMYFUNCTION("GOOGLETRANSLATE(B30324,""en"",""de"")"),"Er vakuumieren den Boden des Autos auf der Fahrerseite und wischte den Schmutz mit dem gelben Tuch vom Lenkrad ab.")</f>
        <v>Er vakuumieren den Boden des Autos auf der Fahrerseite und wischte den Schmutz mit dem gelben Tuch vom Lenkrad ab.</v>
      </c>
    </row>
    <row r="30325">
      <c r="A30325" s="4" t="s">
        <v>38180</v>
      </c>
      <c r="B30325" s="4" t="s">
        <v>38185</v>
      </c>
      <c r="C30325" s="5" t="str">
        <f>IFERROR(__xludf.DUMMYFUNCTION("GOOGLETRANSLATE(B30325,""en"",""de"")"),"Er wischte die Messgeräte, das Seitenfenster und das Glas und das Rad.")</f>
        <v>Er wischte die Messgeräte, das Seitenfenster und das Glas und das Rad.</v>
      </c>
    </row>
    <row r="30326">
      <c r="A30326" s="4" t="s">
        <v>38180</v>
      </c>
      <c r="B30326" s="4" t="s">
        <v>38186</v>
      </c>
      <c r="C30326" s="5" t="str">
        <f>IFERROR(__xludf.DUMMYFUNCTION("GOOGLETRANSLATE(B30326,""en"",""de"")"),"Er zeigt eine weiße Sprühflasche mit schwarzem Deckel, während er ein gelbes Tuch hält.")</f>
        <v>Er zeigt eine weiße Sprühflasche mit schwarzem Deckel, während er ein gelbes Tuch hält.</v>
      </c>
    </row>
    <row r="30327">
      <c r="A30327" s="4" t="s">
        <v>38180</v>
      </c>
      <c r="B30327" s="4" t="s">
        <v>38187</v>
      </c>
      <c r="C30327" s="5" t="str">
        <f>IFERROR(__xludf.DUMMYFUNCTION("GOOGLETRANSLATE(B30327,""en"",""de"")"),"Er wischt sich über die Kante des Autos und zeigte dann die weiße Sprühflasche.")</f>
        <v>Er wischt sich über die Kante des Autos und zeigte dann die weiße Sprühflasche.</v>
      </c>
    </row>
    <row r="30328">
      <c r="A30328" s="4" t="s">
        <v>38180</v>
      </c>
      <c r="B30328" s="4" t="s">
        <v>38188</v>
      </c>
      <c r="C30328" s="5" t="str">
        <f>IFERROR(__xludf.DUMMYFUNCTION("GOOGLETRANSLATE(B30328,""en"",""de"")"),"Ein weißes Auto ist schmutzig und dann, wo es sauber und glänzend ist.")</f>
        <v>Ein weißes Auto ist schmutzig und dann, wo es sauber und glänzend ist.</v>
      </c>
    </row>
    <row r="30329">
      <c r="A30329" s="4" t="s">
        <v>38189</v>
      </c>
      <c r="B30329" s="4" t="s">
        <v>38190</v>
      </c>
      <c r="C30329" s="5" t="str">
        <f>IFERROR(__xludf.DUMMYFUNCTION("GOOGLETRANSLATE(B30329,""en"",""de"")"),"Eine Waffe bewegt sich um mehrere Ecken und schlägt Menschen an verschiedenen Orten.")</f>
        <v>Eine Waffe bewegt sich um mehrere Ecken und schlägt Menschen an verschiedenen Orten.</v>
      </c>
    </row>
    <row r="30330">
      <c r="A30330" s="4" t="s">
        <v>38189</v>
      </c>
      <c r="B30330" s="4" t="s">
        <v>38191</v>
      </c>
      <c r="C30330" s="5" t="str">
        <f>IFERROR(__xludf.DUMMYFUNCTION("GOOGLETRANSLATE(B30330,""en"",""de"")"),"Weitere Aufnahmen einer Person, die wie gezeigt um ein Paintballfeld herumläuft und auf andere zeigt, andere schießt und sich hinter Objekten versteckt.")</f>
        <v>Weitere Aufnahmen einer Person, die wie gezeigt um ein Paintballfeld herumläuft und auf andere zeigt, andere schießt und sich hinter Objekten versteckt.</v>
      </c>
    </row>
    <row r="30331">
      <c r="A30331" s="4" t="s">
        <v>38189</v>
      </c>
      <c r="B30331" s="4" t="s">
        <v>38192</v>
      </c>
      <c r="C30331" s="5" t="str">
        <f>IFERROR(__xludf.DUMMYFUNCTION("GOOGLETRANSLATE(B30331,""en"",""de"")"),"Die Männer gruppieren am Ende zusammen, geben einen Daumen hoch und zeigen mehr Schüsse von Menschen, die schießen.")</f>
        <v>Die Männer gruppieren am Ende zusammen, geben einen Daumen hoch und zeigen mehr Schüsse von Menschen, die schießen.</v>
      </c>
    </row>
    <row r="30332">
      <c r="A30332" s="4" t="s">
        <v>38193</v>
      </c>
      <c r="B30332" s="4" t="s">
        <v>38194</v>
      </c>
      <c r="C30332" s="5" t="str">
        <f>IFERROR(__xludf.DUMMYFUNCTION("GOOGLETRANSLATE(B30332,""en"",""de"")"),"Ein Comic eines Mannes, der erzählt, wie man mit einem Reinigungsmittel wäscht.")</f>
        <v>Ein Comic eines Mannes, der erzählt, wie man mit einem Reinigungsmittel wäscht.</v>
      </c>
    </row>
    <row r="30333">
      <c r="A30333" s="4" t="s">
        <v>38193</v>
      </c>
      <c r="B30333" s="4" t="s">
        <v>38195</v>
      </c>
      <c r="C30333" s="5" t="str">
        <f>IFERROR(__xludf.DUMMYFUNCTION("GOOGLETRANSLATE(B30333,""en"",""de"")"),"Ein Haus wird mit einem Satz über das Waschen des Daches gezeigt.")</f>
        <v>Ein Haus wird mit einem Satz über das Waschen des Daches gezeigt.</v>
      </c>
    </row>
    <row r="30334">
      <c r="A30334" s="4" t="s">
        <v>38193</v>
      </c>
      <c r="B30334" s="4" t="s">
        <v>38196</v>
      </c>
      <c r="C30334" s="5" t="str">
        <f>IFERROR(__xludf.DUMMYFUNCTION("GOOGLETRANSLATE(B30334,""en"",""de"")"),"Die Zahlen und die Adresse sind in der Werbung angezeigt.")</f>
        <v>Die Zahlen und die Adresse sind in der Werbung angezeigt.</v>
      </c>
    </row>
    <row r="30335">
      <c r="A30335" s="4" t="s">
        <v>38197</v>
      </c>
      <c r="B30335" s="4" t="s">
        <v>38198</v>
      </c>
      <c r="C30335" s="5" t="str">
        <f>IFERROR(__xludf.DUMMYFUNCTION("GOOGLETRANSLATE(B30335,""en"",""de"")"),"Es werden mehrere Schüsse aus Schildern und Gebäuden sowie Bildern von Tauchern angezeigt.")</f>
        <v>Es werden mehrere Schüsse aus Schildern und Gebäuden sowie Bildern von Tauchern angezeigt.</v>
      </c>
    </row>
    <row r="30336">
      <c r="A30336" s="4" t="s">
        <v>38197</v>
      </c>
      <c r="B30336" s="4" t="s">
        <v>38199</v>
      </c>
      <c r="C30336" s="5" t="str">
        <f>IFERROR(__xludf.DUMMYFUNCTION("GOOGLETRANSLATE(B30336,""en"",""de"")"),"Viele Menschen sprechen mit der Kamera, während sie abwechselnd von einem Brett tauchen.")</f>
        <v>Viele Menschen sprechen mit der Kamera, während sie abwechselnd von einem Brett tauchen.</v>
      </c>
    </row>
    <row r="30337">
      <c r="A30337" s="4" t="s">
        <v>38197</v>
      </c>
      <c r="B30337" s="4" t="s">
        <v>38200</v>
      </c>
      <c r="C30337" s="5" t="str">
        <f>IFERROR(__xludf.DUMMYFUNCTION("GOOGLETRANSLATE(B30337,""en"",""de"")"),"Weitere Clips werden gezeigt, dass Menschen tauchen und in die Kamera winken und miteinander sprechen und eine Punktzahl halten.")</f>
        <v>Weitere Clips werden gezeigt, dass Menschen tauchen und in die Kamera winken und miteinander sprechen und eine Punktzahl halten.</v>
      </c>
    </row>
    <row r="30338">
      <c r="A30338" s="4" t="s">
        <v>38201</v>
      </c>
      <c r="B30338" s="4" t="s">
        <v>38202</v>
      </c>
      <c r="C30338" s="5" t="str">
        <f>IFERROR(__xludf.DUMMYFUNCTION("GOOGLETRANSLATE(B30338,""en"",""de"")"),"Eine Gruppe von Menschen befindet sich in einem Fitnessstudio.")</f>
        <v>Eine Gruppe von Menschen befindet sich in einem Fitnessstudio.</v>
      </c>
    </row>
    <row r="30339">
      <c r="A30339" s="4" t="s">
        <v>38201</v>
      </c>
      <c r="B30339" s="4" t="s">
        <v>38203</v>
      </c>
      <c r="C30339" s="5" t="str">
        <f>IFERROR(__xludf.DUMMYFUNCTION("GOOGLETRANSLATE(B30339,""en"",""de"")"),"Sie heben Gewichte und tanzen.")</f>
        <v>Sie heben Gewichte und tanzen.</v>
      </c>
    </row>
    <row r="30340">
      <c r="A30340" s="4" t="s">
        <v>38201</v>
      </c>
      <c r="B30340" s="4" t="s">
        <v>38204</v>
      </c>
      <c r="C30340" s="5" t="str">
        <f>IFERROR(__xludf.DUMMYFUNCTION("GOOGLETRANSLATE(B30340,""en"",""de"")"),"Andere verwenden liegende Fahrräder und treten schnell.")</f>
        <v>Andere verwenden liegende Fahrräder und treten schnell.</v>
      </c>
    </row>
    <row r="30341">
      <c r="A30341" s="4" t="s">
        <v>38205</v>
      </c>
      <c r="B30341" s="4" t="s">
        <v>38206</v>
      </c>
      <c r="C30341" s="5" t="str">
        <f>IFERROR(__xludf.DUMMYFUNCTION("GOOGLETRANSLATE(B30341,""en"",""de"")"),"Ein Mann tritt in einen Fußball, dann spielt er mit anderen jungen Männern auf der Straße, der Mann erzielt.")</f>
        <v>Ein Mann tritt in einen Fußball, dann spielt er mit anderen jungen Männern auf der Straße, der Mann erzielt.</v>
      </c>
    </row>
    <row r="30342">
      <c r="A30342" s="4" t="s">
        <v>38205</v>
      </c>
      <c r="B30342" s="4" t="s">
        <v>38207</v>
      </c>
      <c r="C30342" s="5" t="str">
        <f>IFERROR(__xludf.DUMMYFUNCTION("GOOGLETRANSLATE(B30342,""en"",""de"")"),"Dann spielen sie weiter und der junge Mann erzielt auch, dass der Mann punktet.")</f>
        <v>Dann spielen sie weiter und der junge Mann erzielt auch, dass der Mann punktet.</v>
      </c>
    </row>
    <row r="30343">
      <c r="A30343" s="4" t="s">
        <v>38205</v>
      </c>
      <c r="B30343" s="4" t="s">
        <v>38208</v>
      </c>
      <c r="C30343" s="5" t="str">
        <f>IFERROR(__xludf.DUMMYFUNCTION("GOOGLETRANSLATE(B30343,""en"",""de"")"),"Die Teams spielen in den Innenfußball und der Mann, der mit einem gelben T-Shirt-Wert mit mehreren Teams spielt.")</f>
        <v>Die Teams spielen in den Innenfußball und der Mann, der mit einem gelben T-Shirt-Wert mit mehreren Teams spielt.</v>
      </c>
    </row>
    <row r="30344">
      <c r="A30344" s="4" t="s">
        <v>38205</v>
      </c>
      <c r="B30344" s="4" t="s">
        <v>38209</v>
      </c>
      <c r="C30344" s="5" t="str">
        <f>IFERROR(__xludf.DUMMYFUNCTION("GOOGLETRANSLATE(B30344,""en"",""de"")"),"Der Mann bestreitet den Ball mit einem anderen Spieler und tritt ihn zu einem Spielkameraden, der Mann spielt weiterhin ein Tor für sein Team.")</f>
        <v>Der Mann bestreitet den Ball mit einem anderen Spieler und tritt ihn zu einem Spielkameraden, der Mann spielt weiterhin ein Tor für sein Team.</v>
      </c>
    </row>
    <row r="30345">
      <c r="A30345" s="4" t="s">
        <v>38210</v>
      </c>
      <c r="B30345" s="4" t="s">
        <v>38211</v>
      </c>
      <c r="C30345" s="5" t="str">
        <f>IFERROR(__xludf.DUMMYFUNCTION("GOOGLETRANSLATE(B30345,""en"",""de"")"),"Es gibt einen Mann in einem schwarzen Hemd, das Pevs Paintball repräsentiert, das über das Freizeitspiel spricht.")</f>
        <v>Es gibt einen Mann in einem schwarzen Hemd, das Pevs Paintball repräsentiert, das über das Freizeitspiel spricht.</v>
      </c>
    </row>
    <row r="30346">
      <c r="A30346" s="4" t="s">
        <v>38210</v>
      </c>
      <c r="B30346" s="4" t="s">
        <v>38212</v>
      </c>
      <c r="C30346" s="5" t="str">
        <f>IFERROR(__xludf.DUMMYFUNCTION("GOOGLETRANSLATE(B30346,""en"",""de"")"),"Er hält eine Paintball -Waffe in der Hand, als er darüber spricht, wie der Sport gespielt wird.")</f>
        <v>Er hält eine Paintball -Waffe in der Hand, als er darüber spricht, wie der Sport gespielt wird.</v>
      </c>
    </row>
    <row r="30347">
      <c r="A30347" s="4" t="s">
        <v>38210</v>
      </c>
      <c r="B30347" s="4" t="s">
        <v>38213</v>
      </c>
      <c r="C30347" s="5" t="str">
        <f>IFERROR(__xludf.DUMMYFUNCTION("GOOGLETRANSLATE(B30347,""en"",""de"")"),"Ein Mann, der in einem Tarngedruckte -Outfit gekleidet ist, versteckt und rennt mit einer Paintball -Pistole.")</f>
        <v>Ein Mann, der in einem Tarngedruckte -Outfit gekleidet ist, versteckt und rennt mit einer Paintball -Pistole.</v>
      </c>
    </row>
    <row r="30348">
      <c r="A30348" s="4" t="s">
        <v>38210</v>
      </c>
      <c r="B30348" s="4" t="s">
        <v>38214</v>
      </c>
      <c r="C30348" s="5" t="str">
        <f>IFERROR(__xludf.DUMMYFUNCTION("GOOGLETRANSLATE(B30348,""en"",""de"")"),"Der PEV -Vertreter erklärt die Merkmale der Paintball -Waffe und wie man effektiv verwendet wird.")</f>
        <v>Der PEV -Vertreter erklärt die Merkmale der Paintball -Waffe und wie man effektiv verwendet wird.</v>
      </c>
    </row>
    <row r="30349">
      <c r="A30349" s="4" t="s">
        <v>38215</v>
      </c>
      <c r="B30349" s="4" t="s">
        <v>38216</v>
      </c>
      <c r="C30349" s="5" t="str">
        <f>IFERROR(__xludf.DUMMYFUNCTION("GOOGLETRANSLATE(B30349,""en"",""de"")"),"Wir sehen einen Mann, der sich darauf vorbereitet, die Diskussion zu werfen.")</f>
        <v>Wir sehen einen Mann, der sich darauf vorbereitet, die Diskussion zu werfen.</v>
      </c>
    </row>
    <row r="30350">
      <c r="A30350" s="4" t="s">
        <v>38215</v>
      </c>
      <c r="B30350" s="4" t="s">
        <v>38217</v>
      </c>
      <c r="C30350" s="5" t="str">
        <f>IFERROR(__xludf.DUMMYFUNCTION("GOOGLETRANSLATE(B30350,""en"",""de"")"),"Er wirft und geht weg und wir sehen es in Zeitlupe.")</f>
        <v>Er wirft und geht weg und wir sehen es in Zeitlupe.</v>
      </c>
    </row>
    <row r="30351">
      <c r="A30351" s="4" t="s">
        <v>38215</v>
      </c>
      <c r="B30351" s="4" t="s">
        <v>38218</v>
      </c>
      <c r="C30351" s="5" t="str">
        <f>IFERROR(__xludf.DUMMYFUNCTION("GOOGLETRANSLATE(B30351,""en"",""de"")"),"Wir sehen, wie der nächste Mann aufgeht und wirft und es wieder sehen.")</f>
        <v>Wir sehen, wie der nächste Mann aufgeht und wirft und es wieder sehen.</v>
      </c>
    </row>
    <row r="30352">
      <c r="A30352" s="4" t="s">
        <v>38215</v>
      </c>
      <c r="B30352" s="4" t="s">
        <v>38219</v>
      </c>
      <c r="C30352" s="5" t="str">
        <f>IFERROR(__xludf.DUMMYFUNCTION("GOOGLETRANSLATE(B30352,""en"",""de"")"),"Ein Typ in gelben Shorts wirft und wir sehen es wieder.")</f>
        <v>Ein Typ in gelben Shorts wirft und wir sehen es wieder.</v>
      </c>
    </row>
    <row r="30353">
      <c r="A30353" s="4" t="s">
        <v>38220</v>
      </c>
      <c r="B30353" s="4" t="s">
        <v>38221</v>
      </c>
      <c r="C30353" s="5" t="str">
        <f>IFERROR(__xludf.DUMMYFUNCTION("GOOGLETRANSLATE(B30353,""en"",""de"")"),"Eine junge Frau spielt mehrere Kampfkunstbewegungen mitten in einer großen Matte.")</f>
        <v>Eine junge Frau spielt mehrere Kampfkunstbewegungen mitten in einer großen Matte.</v>
      </c>
    </row>
    <row r="30354">
      <c r="A30354" s="4" t="s">
        <v>38220</v>
      </c>
      <c r="B30354" s="4" t="s">
        <v>38222</v>
      </c>
      <c r="C30354" s="5" t="str">
        <f>IFERROR(__xludf.DUMMYFUNCTION("GOOGLETRANSLATE(B30354,""en"",""de"")"),"Das Mädchen bewegt sich weiter und führt dann in sie und kämpft gegen einen Jungen.")</f>
        <v>Das Mädchen bewegt sich weiter und führt dann in sie und kämpft gegen einen Jungen.</v>
      </c>
    </row>
    <row r="30355">
      <c r="A30355" s="4" t="s">
        <v>38220</v>
      </c>
      <c r="B30355" s="4" t="s">
        <v>38223</v>
      </c>
      <c r="C30355" s="5" t="str">
        <f>IFERROR(__xludf.DUMMYFUNCTION("GOOGLETRANSLATE(B30355,""en"",""de"")"),"Weitere Bilder von ihr werden ebenso gezeigt wie ihre Kämpfe.")</f>
        <v>Weitere Bilder von ihr werden ebenso gezeigt wie ihre Kämpfe.</v>
      </c>
    </row>
    <row r="30356">
      <c r="A30356" s="4" t="s">
        <v>38224</v>
      </c>
      <c r="B30356" s="4" t="s">
        <v>38225</v>
      </c>
      <c r="C30356" s="5" t="str">
        <f>IFERROR(__xludf.DUMMYFUNCTION("GOOGLETRANSLATE(B30356,""en"",""de"")"),"Ein Mann steht in einem Floß auf.")</f>
        <v>Ein Mann steht in einem Floß auf.</v>
      </c>
    </row>
    <row r="30357">
      <c r="A30357" s="4" t="s">
        <v>38224</v>
      </c>
      <c r="B30357" s="4" t="s">
        <v>38226</v>
      </c>
      <c r="C30357" s="5" t="str">
        <f>IFERROR(__xludf.DUMMYFUNCTION("GOOGLETRANSLATE(B30357,""en"",""de"")"),"Mehrere Flöße sind auf dem Boden, gefüllt mit Menschen.")</f>
        <v>Mehrere Flöße sind auf dem Boden, gefüllt mit Menschen.</v>
      </c>
    </row>
    <row r="30358">
      <c r="A30358" s="4" t="s">
        <v>38224</v>
      </c>
      <c r="B30358" s="4" t="s">
        <v>38227</v>
      </c>
      <c r="C30358" s="5" t="str">
        <f>IFERROR(__xludf.DUMMYFUNCTION("GOOGLETRANSLATE(B30358,""en"",""de"")"),"Sie hören einem Ausbilder zu, was sie tun müssen.")</f>
        <v>Sie hören einem Ausbilder zu, was sie tun müssen.</v>
      </c>
    </row>
    <row r="30359">
      <c r="A30359" s="4" t="s">
        <v>38224</v>
      </c>
      <c r="B30359" s="4" t="s">
        <v>38228</v>
      </c>
      <c r="C30359" s="5" t="str">
        <f>IFERROR(__xludf.DUMMYFUNCTION("GOOGLETRANSLATE(B30359,""en"",""de"")"),"Sie rufen durch die Stromschnellen eines schwer fließenden Flusses.")</f>
        <v>Sie rufen durch die Stromschnellen eines schwer fließenden Flusses.</v>
      </c>
    </row>
    <row r="30360">
      <c r="A30360" s="4" t="s">
        <v>38224</v>
      </c>
      <c r="B30360" s="4" t="s">
        <v>38229</v>
      </c>
      <c r="C30360" s="5" t="str">
        <f>IFERROR(__xludf.DUMMYFUNCTION("GOOGLETRANSLATE(B30360,""en"",""de"")"),"Eines der Röcke kentnet am Ende.")</f>
        <v>Eines der Röcke kentnet am Ende.</v>
      </c>
    </row>
    <row r="30361">
      <c r="A30361" s="4" t="s">
        <v>38230</v>
      </c>
      <c r="B30361" s="4" t="s">
        <v>38231</v>
      </c>
      <c r="C30361" s="5" t="str">
        <f>IFERROR(__xludf.DUMMYFUNCTION("GOOGLETRANSLATE(B30361,""en"",""de"")"),"Ein Mann schwimmt in ruhigem Wasser und hält an einem Seil fest, während das Boot fährt.")</f>
        <v>Ein Mann schwimmt in ruhigem Wasser und hält an einem Seil fest, während das Boot fährt.</v>
      </c>
    </row>
    <row r="30362">
      <c r="A30362" s="4" t="s">
        <v>38230</v>
      </c>
      <c r="B30362" s="4" t="s">
        <v>38232</v>
      </c>
      <c r="C30362" s="5" t="str">
        <f>IFERROR(__xludf.DUMMYFUNCTION("GOOGLETRANSLATE(B30362,""en"",""de"")"),"Der Mann mit nacktem Fuß auf einem Seil von der Seite eines Bootes, der versucht, aufzustehen.")</f>
        <v>Der Mann mit nacktem Fuß auf einem Seil von der Seite eines Bootes, der versucht, aufzustehen.</v>
      </c>
    </row>
    <row r="30363">
      <c r="A30363" s="4" t="s">
        <v>38230</v>
      </c>
      <c r="B30363" s="4" t="s">
        <v>38233</v>
      </c>
      <c r="C30363" s="5" t="str">
        <f>IFERROR(__xludf.DUMMYFUNCTION("GOOGLETRANSLATE(B30363,""en"",""de"")"),"Der Mann steht auf und fällt sofort mit hoher Geschwindigkeit ins Wasser.")</f>
        <v>Der Mann steht auf und fällt sofort mit hoher Geschwindigkeit ins Wasser.</v>
      </c>
    </row>
    <row r="30364">
      <c r="A30364" s="4" t="s">
        <v>38234</v>
      </c>
      <c r="B30364" s="4" t="s">
        <v>38235</v>
      </c>
      <c r="C30364" s="5" t="str">
        <f>IFERROR(__xludf.DUMMYFUNCTION("GOOGLETRANSLATE(B30364,""en"",""de"")"),"Die Leute spielen Futsal in einem überdachten Fitnessstudio.")</f>
        <v>Die Leute spielen Futsal in einem überdachten Fitnessstudio.</v>
      </c>
    </row>
    <row r="30365">
      <c r="A30365" s="4" t="s">
        <v>38234</v>
      </c>
      <c r="B30365" s="4" t="s">
        <v>38236</v>
      </c>
      <c r="C30365" s="5" t="str">
        <f>IFERROR(__xludf.DUMMYFUNCTION("GOOGLETRANSLATE(B30365,""en"",""de"")"),"Schiedsrichter beobachtet, wie das Spiel von Seite zur Seite rennt.")</f>
        <v>Schiedsrichter beobachtet, wie das Spiel von Seite zur Seite rennt.</v>
      </c>
    </row>
    <row r="30366">
      <c r="A30366" s="4" t="s">
        <v>38237</v>
      </c>
      <c r="B30366" s="4" t="s">
        <v>38238</v>
      </c>
      <c r="C30366" s="5" t="str">
        <f>IFERROR(__xludf.DUMMYFUNCTION("GOOGLETRANSLATE(B30366,""en"",""de"")"),"Zwei Männer dekorieren einen Weihnachtsbaum.")</f>
        <v>Zwei Männer dekorieren einen Weihnachtsbaum.</v>
      </c>
    </row>
    <row r="30367">
      <c r="A30367" s="4" t="s">
        <v>38237</v>
      </c>
      <c r="B30367" s="4" t="s">
        <v>38239</v>
      </c>
      <c r="C30367" s="5" t="str">
        <f>IFERROR(__xludf.DUMMYFUNCTION("GOOGLETRANSLATE(B30367,""en"",""de"")"),"Sie legen das rote Band um den Baum.")</f>
        <v>Sie legen das rote Band um den Baum.</v>
      </c>
    </row>
    <row r="30368">
      <c r="A30368" s="4" t="s">
        <v>38237</v>
      </c>
      <c r="B30368" s="4" t="s">
        <v>38240</v>
      </c>
      <c r="C30368" s="5" t="str">
        <f>IFERROR(__xludf.DUMMYFUNCTION("GOOGLETRANSLATE(B30368,""en"",""de"")"),"Am Ende wird eine Kommode gezeigt.")</f>
        <v>Am Ende wird eine Kommode gezeigt.</v>
      </c>
    </row>
    <row r="30369">
      <c r="A30369" s="4" t="s">
        <v>38241</v>
      </c>
      <c r="B30369" s="4" t="s">
        <v>38242</v>
      </c>
      <c r="C30369" s="5" t="str">
        <f>IFERROR(__xludf.DUMMYFUNCTION("GOOGLETRANSLATE(B30369,""en"",""de"")"),"Zwei Menschen sitzen draußen auf Schaukeln.")</f>
        <v>Zwei Menschen sitzen draußen auf Schaukeln.</v>
      </c>
    </row>
    <row r="30370">
      <c r="A30370" s="4" t="s">
        <v>38241</v>
      </c>
      <c r="B30370" s="4" t="s">
        <v>38243</v>
      </c>
      <c r="C30370" s="5" t="str">
        <f>IFERROR(__xludf.DUMMYFUNCTION("GOOGLETRANSLATE(B30370,""en"",""de"")"),"Die Leute bewegen sich dann zurück und den vierten Platz.")</f>
        <v>Die Leute bewegen sich dann zurück und den vierten Platz.</v>
      </c>
    </row>
    <row r="30371">
      <c r="A30371" s="4" t="s">
        <v>38241</v>
      </c>
      <c r="B30371" s="4" t="s">
        <v>38244</v>
      </c>
      <c r="C30371" s="5" t="str">
        <f>IFERROR(__xludf.DUMMYFUNCTION("GOOGLETRANSLATE(B30371,""en"",""de"")"),"Die Menschen schwingen ständig zurück und viertes auf dem Swingset.")</f>
        <v>Die Menschen schwingen ständig zurück und viertes auf dem Swingset.</v>
      </c>
    </row>
    <row r="30372">
      <c r="A30372" s="4" t="s">
        <v>38245</v>
      </c>
      <c r="B30372" s="4" t="s">
        <v>38246</v>
      </c>
      <c r="C30372" s="5" t="str">
        <f>IFERROR(__xludf.DUMMYFUNCTION("GOOGLETRANSLATE(B30372,""en"",""de"")"),"Es gibt einen Mann in einem blauen Hemd mit der Lat Pull -Maschine in einem Fitnessstudio.")</f>
        <v>Es gibt einen Mann in einem blauen Hemd mit der Lat Pull -Maschine in einem Fitnessstudio.</v>
      </c>
    </row>
    <row r="30373">
      <c r="A30373" s="4" t="s">
        <v>38245</v>
      </c>
      <c r="B30373" s="4" t="s">
        <v>38247</v>
      </c>
      <c r="C30373" s="5" t="str">
        <f>IFERROR(__xludf.DUMMYFUNCTION("GOOGLETRANSLATE(B30373,""en"",""de"")"),"Es gibt ein paar andere Leute auf dem Laufband hinter dem Mann.")</f>
        <v>Es gibt ein paar andere Leute auf dem Laufband hinter dem Mann.</v>
      </c>
    </row>
    <row r="30374">
      <c r="A30374" s="4" t="s">
        <v>38245</v>
      </c>
      <c r="B30374" s="4" t="s">
        <v>38248</v>
      </c>
      <c r="C30374" s="5" t="str">
        <f>IFERROR(__xludf.DUMMYFUNCTION("GOOGLETRANSLATE(B30374,""en"",""de"")"),"Er beginnt damit, die Griffe der Maschine zu ziehen, und geht dann hin und her, um zu trainieren.")</f>
        <v>Er beginnt damit, die Griffe der Maschine zu ziehen, und geht dann hin und her, um zu trainieren.</v>
      </c>
    </row>
    <row r="30375">
      <c r="A30375" s="4" t="s">
        <v>38249</v>
      </c>
      <c r="B30375" s="4" t="s">
        <v>38250</v>
      </c>
      <c r="C30375" s="5" t="str">
        <f>IFERROR(__xludf.DUMMYFUNCTION("GOOGLETRANSLATE(B30375,""en"",""de"")"),"Es wird gezeigt, dass ein Junge eine Rutsche hinuntergeht.")</f>
        <v>Es wird gezeigt, dass ein Junge eine Rutsche hinuntergeht.</v>
      </c>
    </row>
    <row r="30376">
      <c r="A30376" s="4" t="s">
        <v>38249</v>
      </c>
      <c r="B30376" s="4" t="s">
        <v>38251</v>
      </c>
      <c r="C30376" s="5" t="str">
        <f>IFERROR(__xludf.DUMMYFUNCTION("GOOGLETRANSLATE(B30376,""en"",""de"")"),"Eine Frau spricht mit der Kamera im Park.")</f>
        <v>Eine Frau spricht mit der Kamera im Park.</v>
      </c>
    </row>
    <row r="30377">
      <c r="A30377" s="4" t="s">
        <v>38249</v>
      </c>
      <c r="B30377" s="4" t="s">
        <v>38252</v>
      </c>
      <c r="C30377" s="5" t="str">
        <f>IFERROR(__xludf.DUMMYFUNCTION("GOOGLETRANSLATE(B30377,""en"",""de"")"),"Kinder spielen auf verschiedenen Geräten.")</f>
        <v>Kinder spielen auf verschiedenen Geräten.</v>
      </c>
    </row>
    <row r="30378">
      <c r="A30378" s="4" t="s">
        <v>38253</v>
      </c>
      <c r="B30378" s="4" t="s">
        <v>38254</v>
      </c>
      <c r="C30378" s="5" t="str">
        <f>IFERROR(__xludf.DUMMYFUNCTION("GOOGLETRANSLATE(B30378,""en"",""de"")"),"Das Video zeigt eine Zeitlupe von drei Personen, die Foosball spielen.")</f>
        <v>Das Video zeigt eine Zeitlupe von drei Personen, die Foosball spielen.</v>
      </c>
    </row>
    <row r="30379">
      <c r="A30379" s="4" t="s">
        <v>38253</v>
      </c>
      <c r="B30379" s="4" t="s">
        <v>38255</v>
      </c>
      <c r="C30379" s="5" t="str">
        <f>IFERROR(__xludf.DUMMYFUNCTION("GOOGLETRANSLATE(B30379,""en"",""de"")"),"Auf der einen Seite stehen zwei Personen und auf der anderen Seite einen einzelnen Spieler.")</f>
        <v>Auf der einen Seite stehen zwei Personen und auf der anderen Seite einen einzelnen Spieler.</v>
      </c>
    </row>
    <row r="30380">
      <c r="A30380" s="4" t="s">
        <v>38253</v>
      </c>
      <c r="B30380" s="4" t="s">
        <v>38256</v>
      </c>
      <c r="C30380" s="5" t="str">
        <f>IFERROR(__xludf.DUMMYFUNCTION("GOOGLETRANSLATE(B30380,""en"",""de"")"),"Sie spielen weiterhin Foosball miteinander.")</f>
        <v>Sie spielen weiterhin Foosball miteinander.</v>
      </c>
    </row>
    <row r="30381">
      <c r="A30381" s="4" t="s">
        <v>38257</v>
      </c>
      <c r="B30381" s="4" t="s">
        <v>38258</v>
      </c>
      <c r="C30381" s="5" t="str">
        <f>IFERROR(__xludf.DUMMYFUNCTION("GOOGLETRANSLATE(B30381,""en"",""de"")"),"Eine kleine Gruppe von Mädchen, die Kostüme tragen, ist gesehen, wie sie auf einen Fitnessboden gehen und eine Pose vor einem großen Publikum hält.")</f>
        <v>Eine kleine Gruppe von Mädchen, die Kostüme tragen, ist gesehen, wie sie auf einen Fitnessboden gehen und eine Pose vor einem großen Publikum hält.</v>
      </c>
    </row>
    <row r="30382">
      <c r="A30382" s="4" t="s">
        <v>38257</v>
      </c>
      <c r="B30382" s="4" t="s">
        <v>38259</v>
      </c>
      <c r="C30382" s="5" t="str">
        <f>IFERROR(__xludf.DUMMYFUNCTION("GOOGLETRANSLATE(B30382,""en"",""de"")"),"Die Mädchen spielen eine Tanzroutine mit Schlagstöcken in der Hand und enden, indem sie sich anstellen und weggehen.")</f>
        <v>Die Mädchen spielen eine Tanzroutine mit Schlagstöcken in der Hand und enden, indem sie sich anstellen und weggehen.</v>
      </c>
    </row>
    <row r="30383">
      <c r="A30383" s="4" t="s">
        <v>38260</v>
      </c>
      <c r="B30383" s="4" t="s">
        <v>38261</v>
      </c>
      <c r="C30383" s="5" t="str">
        <f>IFERROR(__xludf.DUMMYFUNCTION("GOOGLETRANSLATE(B30383,""en"",""de"")"),"Eine Frau namens Sapna erscheint auf einem Foto.")</f>
        <v>Eine Frau namens Sapna erscheint auf einem Foto.</v>
      </c>
    </row>
    <row r="30384">
      <c r="A30384" s="4" t="s">
        <v>38260</v>
      </c>
      <c r="B30384" s="4" t="s">
        <v>38262</v>
      </c>
      <c r="C30384" s="5" t="str">
        <f>IFERROR(__xludf.DUMMYFUNCTION("GOOGLETRANSLATE(B30384,""en"",""de"")"),"Sie ist dann zu sehen, wie sie eine Vielzahl von Sprungseilbewegungen demonstriert.")</f>
        <v>Sie ist dann zu sehen, wie sie eine Vielzahl von Sprungseilbewegungen demonstriert.</v>
      </c>
    </row>
    <row r="30385">
      <c r="A30385" s="4" t="s">
        <v>38260</v>
      </c>
      <c r="B30385" s="4" t="s">
        <v>38263</v>
      </c>
      <c r="C30385" s="5" t="str">
        <f>IFERROR(__xludf.DUMMYFUNCTION("GOOGLETRANSLATE(B30385,""en"",""de"")"),"Sie springt nach vorne und zurück und von Seite zur Seite.")</f>
        <v>Sie springt nach vorne und zurück und von Seite zur Seite.</v>
      </c>
    </row>
    <row r="30386">
      <c r="A30386" s="4" t="s">
        <v>38264</v>
      </c>
      <c r="B30386" s="4" t="s">
        <v>38265</v>
      </c>
      <c r="C30386" s="5" t="str">
        <f>IFERROR(__xludf.DUMMYFUNCTION("GOOGLETRANSLATE(B30386,""en"",""de"")"),"Ein Mann, der einen Hardhelm trägt, wendet sich mit einer handgehaltenen Flachkante auf eine Wand.")</f>
        <v>Ein Mann, der einen Hardhelm trägt, wendet sich mit einer handgehaltenen Flachkante auf eine Wand.</v>
      </c>
    </row>
    <row r="30387">
      <c r="A30387" s="4" t="s">
        <v>38264</v>
      </c>
      <c r="B30387" s="4" t="s">
        <v>38266</v>
      </c>
      <c r="C30387" s="5" t="str">
        <f>IFERROR(__xludf.DUMMYFUNCTION("GOOGLETRANSLATE(B30387,""en"",""de"")"),"Der Mann macht eine Pause, um sein Verfahren zu erklären.")</f>
        <v>Der Mann macht eine Pause, um sein Verfahren zu erklären.</v>
      </c>
    </row>
    <row r="30388">
      <c r="A30388" s="4" t="s">
        <v>38264</v>
      </c>
      <c r="B30388" s="4" t="s">
        <v>38267</v>
      </c>
      <c r="C30388" s="5" t="str">
        <f>IFERROR(__xludf.DUMMYFUNCTION("GOOGLETRANSLATE(B30388,""en"",""de"")"),"Ein Firmenname und ein Slogan sind in weißem Text zu sehen.")</f>
        <v>Ein Firmenname und ein Slogan sind in weißem Text zu sehen.</v>
      </c>
    </row>
    <row r="30389">
      <c r="A30389" s="4" t="s">
        <v>38268</v>
      </c>
      <c r="B30389" s="4" t="s">
        <v>38269</v>
      </c>
      <c r="C30389" s="5" t="str">
        <f>IFERROR(__xludf.DUMMYFUNCTION("GOOGLETRANSLATE(B30389,""en"",""de"")"),"Eine Rockband spielt einen Rocksong in einer schwarzen und weißen Umgebung.")</f>
        <v>Eine Rockband spielt einen Rocksong in einer schwarzen und weißen Umgebung.</v>
      </c>
    </row>
    <row r="30390">
      <c r="A30390" s="4" t="s">
        <v>38268</v>
      </c>
      <c r="B30390" s="4" t="s">
        <v>38270</v>
      </c>
      <c r="C30390" s="5" t="str">
        <f>IFERROR(__xludf.DUMMYFUNCTION("GOOGLETRANSLATE(B30390,""en"",""de"")"),"Mehrere Curlers bereiten sich auf ein Curling -Match vor, während die Band spielt.")</f>
        <v>Mehrere Curlers bereiten sich auf ein Curling -Match vor, während die Band spielt.</v>
      </c>
    </row>
    <row r="30391">
      <c r="A30391" s="4" t="s">
        <v>38268</v>
      </c>
      <c r="B30391" s="4" t="s">
        <v>38271</v>
      </c>
      <c r="C30391" s="5" t="str">
        <f>IFERROR(__xludf.DUMMYFUNCTION("GOOGLETRANSLATE(B30391,""en"",""de"")"),"Die Bande und die Lockener sind beide auf dem Eis, die miteinander interagieren.")</f>
        <v>Die Bande und die Lockener sind beide auf dem Eis, die miteinander interagieren.</v>
      </c>
    </row>
    <row r="30392">
      <c r="A30392" s="4" t="s">
        <v>38268</v>
      </c>
      <c r="B30392" s="4" t="s">
        <v>38272</v>
      </c>
      <c r="C30392" s="5" t="str">
        <f>IFERROR(__xludf.DUMMYFUNCTION("GOOGLETRANSLATE(B30392,""en"",""de"")"),"Das Video kehrt in die schwarze und weiße Umgebung zurück, in der die Lockensträger und die Bandmitglieder beide singen.")</f>
        <v>Das Video kehrt in die schwarze und weiße Umgebung zurück, in der die Lockensträger und die Bandmitglieder beide singen.</v>
      </c>
    </row>
    <row r="30393">
      <c r="A30393" s="4" t="s">
        <v>38268</v>
      </c>
      <c r="B30393" s="4" t="s">
        <v>38273</v>
      </c>
      <c r="C30393" s="5" t="str">
        <f>IFERROR(__xludf.DUMMYFUNCTION("GOOGLETRANSLATE(B30393,""en"",""de"")"),"Das Video konzentriert sich auf eine Frau, die sich darauf vorbereitet, sich zu kräuseln, während die anderen zuschauen.")</f>
        <v>Das Video konzentriert sich auf eine Frau, die sich darauf vorbereitet, sich zu kräuseln, während die anderen zuschauen.</v>
      </c>
    </row>
    <row r="30394">
      <c r="A30394" s="4" t="s">
        <v>38268</v>
      </c>
      <c r="B30394" s="4" t="s">
        <v>4761</v>
      </c>
      <c r="C30394" s="5" t="str">
        <f>IFERROR(__xludf.DUMMYFUNCTION("GOOGLETRANSLATE(B30394,""en"",""de"")"),"Das Video endet mit den auf dem Bildschirm angezeigten Schließkrediten.")</f>
        <v>Das Video endet mit den auf dem Bildschirm angezeigten Schließkrediten.</v>
      </c>
    </row>
    <row r="30395">
      <c r="A30395" s="4" t="s">
        <v>38274</v>
      </c>
      <c r="B30395" s="4" t="s">
        <v>38275</v>
      </c>
      <c r="C30395" s="5" t="str">
        <f>IFERROR(__xludf.DUMMYFUNCTION("GOOGLETRANSLATE(B30395,""en"",""de"")"),"Eine junge Frau hat gesehen, wie sie ihren Zahn bürstet, gefolgt von Nahaufnahmen einer Zahnbürste.")</f>
        <v>Eine junge Frau hat gesehen, wie sie ihren Zahn bürstet, gefolgt von Nahaufnahmen einer Zahnbürste.</v>
      </c>
    </row>
    <row r="30396">
      <c r="A30396" s="4" t="s">
        <v>38274</v>
      </c>
      <c r="B30396" s="4" t="s">
        <v>38276</v>
      </c>
      <c r="C30396" s="5" t="str">
        <f>IFERROR(__xludf.DUMMYFUNCTION("GOOGLETRANSLATE(B30396,""en"",""de"")"),"Schüsse werden von ihren Zähnen in der Nähe angezeigt und sie putzen immer noch.")</f>
        <v>Schüsse werden von ihren Zähnen in der Nähe angezeigt und sie putzen immer noch.</v>
      </c>
    </row>
    <row r="30397">
      <c r="A30397" s="4" t="s">
        <v>38274</v>
      </c>
      <c r="B30397" s="4" t="s">
        <v>38277</v>
      </c>
      <c r="C30397" s="5" t="str">
        <f>IFERROR(__xludf.DUMMYFUNCTION("GOOGLETRANSLATE(B30397,""en"",""de"")"),"Sie putzt weiter über ihre Zähne, um zu demonstrieren, wie es gemacht wird.")</f>
        <v>Sie putzt weiter über ihre Zähne, um zu demonstrieren, wie es gemacht wird.</v>
      </c>
    </row>
    <row r="30398">
      <c r="A30398" s="4" t="s">
        <v>38278</v>
      </c>
      <c r="B30398" s="4" t="s">
        <v>38279</v>
      </c>
      <c r="C30398" s="5" t="str">
        <f>IFERROR(__xludf.DUMMYFUNCTION("GOOGLETRANSLATE(B30398,""en"",""de"")"),"Eine GoPro -Anzeige wird auf dem Bildschirm angezeigt.")</f>
        <v>Eine GoPro -Anzeige wird auf dem Bildschirm angezeigt.</v>
      </c>
    </row>
    <row r="30399">
      <c r="A30399" s="4" t="s">
        <v>38278</v>
      </c>
      <c r="B30399" s="4" t="s">
        <v>38280</v>
      </c>
      <c r="C30399" s="5" t="str">
        <f>IFERROR(__xludf.DUMMYFUNCTION("GOOGLETRANSLATE(B30399,""en"",""de"")"),"Jemand trägt das Gerät, während er einen Mäher benutzt, um seinen Rasen zu mähen.")</f>
        <v>Jemand trägt das Gerät, während er einen Mäher benutzt, um seinen Rasen zu mähen.</v>
      </c>
    </row>
    <row r="30400">
      <c r="A30400" s="4" t="s">
        <v>38278</v>
      </c>
      <c r="B30400" s="4" t="s">
        <v>38281</v>
      </c>
      <c r="C30400" s="5" t="str">
        <f>IFERROR(__xludf.DUMMYFUNCTION("GOOGLETRANSLATE(B30400,""en"",""de"")"),"Es wird beschleunigt, da es jeden Blickwinkel zeigt, wenn er den Rasen vervollständigt, hin und her und über die gleichen Stellen geht, bis er perfekt ist.")</f>
        <v>Es wird beschleunigt, da es jeden Blickwinkel zeigt, wenn er den Rasen vervollständigt, hin und her und über die gleichen Stellen geht, bis er perfekt ist.</v>
      </c>
    </row>
    <row r="30401">
      <c r="A30401" s="4" t="s">
        <v>38282</v>
      </c>
      <c r="B30401" s="4" t="s">
        <v>38283</v>
      </c>
      <c r="C30401" s="5" t="str">
        <f>IFERROR(__xludf.DUMMYFUNCTION("GOOGLETRANSLATE(B30401,""en"",""de"")"),"Es werden mehrere Clips angezeigt, die Flips und Tricks in der Mitte eines Bodens durchführen, während ein Licht in der Mitte herunterscheint.")</f>
        <v>Es werden mehrere Clips angezeigt, die Flips und Tricks in der Mitte eines Bodens durchführen, während ein Licht in der Mitte herunterscheint.</v>
      </c>
    </row>
    <row r="30402">
      <c r="A30402" s="4" t="s">
        <v>38282</v>
      </c>
      <c r="B30402" s="4" t="s">
        <v>38284</v>
      </c>
      <c r="C30402" s="5" t="str">
        <f>IFERROR(__xludf.DUMMYFUNCTION("GOOGLETRANSLATE(B30402,""en"",""de"")"),"Die Kinder drehen sich weiter umeinander und enden, indem sie zusammen aufstehen und fallen.")</f>
        <v>Die Kinder drehen sich weiter umeinander und enden, indem sie zusammen aufstehen und fallen.</v>
      </c>
    </row>
    <row r="30403">
      <c r="A30403" s="4" t="s">
        <v>38285</v>
      </c>
      <c r="B30403" s="4" t="s">
        <v>38286</v>
      </c>
      <c r="C30403" s="5" t="str">
        <f>IFERROR(__xludf.DUMMYFUNCTION("GOOGLETRANSLATE(B30403,""en"",""de"")"),"Zwei Frauen sind in einem Raum und reden.")</f>
        <v>Zwei Frauen sind in einem Raum und reden.</v>
      </c>
    </row>
    <row r="30404">
      <c r="A30404" s="4" t="s">
        <v>38285</v>
      </c>
      <c r="B30404" s="4" t="s">
        <v>38287</v>
      </c>
      <c r="C30404" s="5" t="str">
        <f>IFERROR(__xludf.DUMMYFUNCTION("GOOGLETRANSLATE(B30404,""en"",""de"")"),"Eine Frau beginnt, der anderen Frau Make -up zu setzen.")</f>
        <v>Eine Frau beginnt, der anderen Frau Make -up zu setzen.</v>
      </c>
    </row>
    <row r="30405">
      <c r="A30405" s="4" t="s">
        <v>38285</v>
      </c>
      <c r="B30405" s="4" t="s">
        <v>38288</v>
      </c>
      <c r="C30405" s="5" t="str">
        <f>IFERROR(__xludf.DUMMYFUNCTION("GOOGLETRANSLATE(B30405,""en"",""de"")"),"Sie tupft mit einem Schwamm das Gesicht der Frau.")</f>
        <v>Sie tupft mit einem Schwamm das Gesicht der Frau.</v>
      </c>
    </row>
    <row r="30406">
      <c r="A30406" s="4" t="s">
        <v>38289</v>
      </c>
      <c r="B30406" s="4" t="s">
        <v>38290</v>
      </c>
      <c r="C30406" s="5" t="str">
        <f>IFERROR(__xludf.DUMMYFUNCTION("GOOGLETRANSLATE(B30406,""en"",""de"")"),"Eine Frau mit ihren Haaren in einem Handtuch stellt ihr Video vor, das zeigt, wie sie ihr Gesicht wäscht.")</f>
        <v>Eine Frau mit ihren Haaren in einem Handtuch stellt ihr Video vor, das zeigt, wie sie ihr Gesicht wäscht.</v>
      </c>
    </row>
    <row r="30407">
      <c r="A30407" s="4" t="s">
        <v>38289</v>
      </c>
      <c r="B30407" s="4" t="s">
        <v>38291</v>
      </c>
      <c r="C30407" s="5" t="str">
        <f>IFERROR(__xludf.DUMMYFUNCTION("GOOGLETRANSLATE(B30407,""en"",""de"")"),"Sie wendet eine Feuchtigkeitscreme auf ihr Gesicht, während sie herumtanzt.")</f>
        <v>Sie wendet eine Feuchtigkeitscreme auf ihr Gesicht, während sie herumtanzt.</v>
      </c>
    </row>
    <row r="30408">
      <c r="A30408" s="4" t="s">
        <v>38289</v>
      </c>
      <c r="B30408" s="4" t="s">
        <v>38292</v>
      </c>
      <c r="C30408" s="5" t="str">
        <f>IFERROR(__xludf.DUMMYFUNCTION("GOOGLETRANSLATE(B30408,""en"",""de"")"),"Sie tanzt dann mit der Feuchtigkeitscreme im Wohnzimmer.")</f>
        <v>Sie tanzt dann mit der Feuchtigkeitscreme im Wohnzimmer.</v>
      </c>
    </row>
    <row r="30409">
      <c r="A30409" s="4" t="s">
        <v>38289</v>
      </c>
      <c r="B30409" s="4" t="s">
        <v>38293</v>
      </c>
      <c r="C30409" s="5" t="str">
        <f>IFERROR(__xludf.DUMMYFUNCTION("GOOGLETRANSLATE(B30409,""en"",""de"")"),"Schließlich kehrt sie ins Badezimmer zurück und wäscht ihr Gesicht.")</f>
        <v>Schließlich kehrt sie ins Badezimmer zurück und wäscht ihr Gesicht.</v>
      </c>
    </row>
    <row r="30410">
      <c r="A30410" s="4" t="s">
        <v>38294</v>
      </c>
      <c r="B30410" s="4" t="s">
        <v>38295</v>
      </c>
      <c r="C30410" s="5" t="str">
        <f>IFERROR(__xludf.DUMMYFUNCTION("GOOGLETRANSLATE(B30410,""en"",""de"")"),"Der Mensch steht auf der Seite des Autos im Verkehr.")</f>
        <v>Der Mensch steht auf der Seite des Autos im Verkehr.</v>
      </c>
    </row>
    <row r="30411">
      <c r="A30411" s="4" t="s">
        <v>38294</v>
      </c>
      <c r="B30411" s="4" t="s">
        <v>38296</v>
      </c>
      <c r="C30411" s="5" t="str">
        <f>IFERROR(__xludf.DUMMYFUNCTION("GOOGLETRANSLATE(B30411,""en"",""de"")"),"Mann, der Dudelsack in der Straße hält, geht zwischen Autos auf der Straße.")</f>
        <v>Mann, der Dudelsack in der Straße hält, geht zwischen Autos auf der Straße.</v>
      </c>
    </row>
    <row r="30412">
      <c r="A30412" s="4" t="s">
        <v>38297</v>
      </c>
      <c r="B30412" s="4" t="s">
        <v>38298</v>
      </c>
      <c r="C30412" s="5" t="str">
        <f>IFERROR(__xludf.DUMMYFUNCTION("GOOGLETRANSLATE(B30412,""en"",""de"")"),"Ein TV -Reporter spricht, während ein Bildschirm einer Person zeigt, die Hockey auf Eis spielt.")</f>
        <v>Ein TV -Reporter spricht, während ein Bildschirm einer Person zeigt, die Hockey auf Eis spielt.</v>
      </c>
    </row>
    <row r="30413">
      <c r="A30413" s="4" t="s">
        <v>38297</v>
      </c>
      <c r="B30413" s="4" t="s">
        <v>38299</v>
      </c>
      <c r="C30413" s="5" t="str">
        <f>IFERROR(__xludf.DUMMYFUNCTION("GOOGLETRANSLATE(B30413,""en"",""de"")"),"Dann reden die Reporter und kommentieren sich gegenseitig, während einer der Mann vor einem Laptop vorne ist.")</f>
        <v>Dann reden die Reporter und kommentieren sich gegenseitig, während einer der Mann vor einem Laptop vorne ist.</v>
      </c>
    </row>
    <row r="30414">
      <c r="A30414" s="4" t="s">
        <v>38300</v>
      </c>
      <c r="B30414" s="4" t="s">
        <v>38301</v>
      </c>
      <c r="C30414" s="5" t="str">
        <f>IFERROR(__xludf.DUMMYFUNCTION("GOOGLETRANSLATE(B30414,""en"",""de"")"),"Ein Turner ist zu sehen, wie es zu einer Reihe von ungleichmäßigen Bars liegt und eine Routine an den Stangen durchführt.")</f>
        <v>Ein Turner ist zu sehen, wie es zu einer Reihe von ungleichmäßigen Bars liegt und eine Routine an den Stangen durchführt.</v>
      </c>
    </row>
    <row r="30415">
      <c r="A30415" s="4" t="s">
        <v>38300</v>
      </c>
      <c r="B30415" s="4" t="s">
        <v>38302</v>
      </c>
      <c r="C30415" s="5" t="str">
        <f>IFERROR(__xludf.DUMMYFUNCTION("GOOGLETRANSLATE(B30415,""en"",""de"")"),"Sie schwingt überall herum und springt auf die Matte, um ihre Routine zu beenden.")</f>
        <v>Sie schwingt überall herum und springt auf die Matte, um ihre Routine zu beenden.</v>
      </c>
    </row>
    <row r="30416">
      <c r="A30416" s="4" t="s">
        <v>38303</v>
      </c>
      <c r="B30416" s="4" t="s">
        <v>38304</v>
      </c>
      <c r="C30416" s="5" t="str">
        <f>IFERROR(__xludf.DUMMYFUNCTION("GOOGLETRANSLATE(B30416,""en"",""de"")"),"Die Leute spielen Fußball in einer Innenfußballarena.")</f>
        <v>Die Leute spielen Fußball in einer Innenfußballarena.</v>
      </c>
    </row>
    <row r="30417">
      <c r="A30417" s="4" t="s">
        <v>38303</v>
      </c>
      <c r="B30417" s="4" t="s">
        <v>38305</v>
      </c>
      <c r="C30417" s="5" t="str">
        <f>IFERROR(__xludf.DUMMYFUNCTION("GOOGLETRANSLATE(B30417,""en"",""de"")"),"Zwei der Männer umarmen sich auf dem Platz.")</f>
        <v>Zwei der Männer umarmen sich auf dem Platz.</v>
      </c>
    </row>
    <row r="30418">
      <c r="A30418" s="4" t="s">
        <v>38303</v>
      </c>
      <c r="B30418" s="4" t="s">
        <v>38306</v>
      </c>
      <c r="C30418" s="5" t="str">
        <f>IFERROR(__xludf.DUMMYFUNCTION("GOOGLETRANSLATE(B30418,""en"",""de"")"),"Eine Person tritt einen Ball in das Tor.")</f>
        <v>Eine Person tritt einen Ball in das Tor.</v>
      </c>
    </row>
    <row r="30419">
      <c r="A30419" s="4" t="s">
        <v>38307</v>
      </c>
      <c r="B30419" s="4" t="s">
        <v>38308</v>
      </c>
      <c r="C30419" s="5" t="str">
        <f>IFERROR(__xludf.DUMMYFUNCTION("GOOGLETRANSLATE(B30419,""en"",""de"")"),"Eine Frau sprüht Lotion und streift ihr Haar.")</f>
        <v>Eine Frau sprüht Lotion und streift ihr Haar.</v>
      </c>
    </row>
    <row r="30420">
      <c r="A30420" s="4" t="s">
        <v>38307</v>
      </c>
      <c r="B30420" s="4" t="s">
        <v>38309</v>
      </c>
      <c r="C30420" s="5" t="str">
        <f>IFERROR(__xludf.DUMMYFUNCTION("GOOGLETRANSLATE(B30420,""en"",""de"")"),"Dann macht die Frau ein Geflecht mit den vorderen Haaren und befestigt es mit einer Stecknadel.")</f>
        <v>Dann macht die Frau ein Geflecht mit den vorderen Haaren und befestigt es mit einer Stecknadel.</v>
      </c>
    </row>
    <row r="30421">
      <c r="A30421" s="4" t="s">
        <v>38307</v>
      </c>
      <c r="B30421" s="4" t="s">
        <v>38310</v>
      </c>
      <c r="C30421" s="5" t="str">
        <f>IFERROR(__xludf.DUMMYFUNCTION("GOOGLETRANSLATE(B30421,""en"",""de"")"),"Danach macht die Frau einen Ponyschwanz und eine Sprühlotion an ihren Haaren.")</f>
        <v>Danach macht die Frau einen Ponyschwanz und eine Sprühlotion an ihren Haaren.</v>
      </c>
    </row>
    <row r="30422">
      <c r="A30422" s="4" t="s">
        <v>38311</v>
      </c>
      <c r="B30422" s="4" t="s">
        <v>38312</v>
      </c>
      <c r="C30422" s="5" t="str">
        <f>IFERROR(__xludf.DUMMYFUNCTION("GOOGLETRANSLATE(B30422,""en"",""de"")"),"Das erste Logo wird angezeigt und eine Webseite.")</f>
        <v>Das erste Logo wird angezeigt und eine Webseite.</v>
      </c>
    </row>
    <row r="30423">
      <c r="A30423" s="4" t="s">
        <v>38311</v>
      </c>
      <c r="B30423" s="4" t="s">
        <v>38313</v>
      </c>
      <c r="C30423" s="5" t="str">
        <f>IFERROR(__xludf.DUMMYFUNCTION("GOOGLETRANSLATE(B30423,""en"",""de"")"),"Der Mensch ist in einem Skatepark in weißen Schlittschuhen.")</f>
        <v>Der Mensch ist in einem Skatepark in weißen Schlittschuhen.</v>
      </c>
    </row>
    <row r="30424">
      <c r="A30424" s="4" t="s">
        <v>38311</v>
      </c>
      <c r="B30424" s="4" t="s">
        <v>38314</v>
      </c>
      <c r="C30424" s="5" t="str">
        <f>IFERROR(__xludf.DUMMYFUNCTION("GOOGLETRANSLATE(B30424,""en"",""de"")"),"Der Mensch sitzt in einer Röhre und macht Tricks in einem Skatepark, anderer Mann sitzt ihn und beobachtet ihn.")</f>
        <v>Der Mensch sitzt in einer Röhre und macht Tricks in einem Skatepark, anderer Mann sitzt ihn und beobachtet ihn.</v>
      </c>
    </row>
    <row r="30425">
      <c r="A30425" s="4" t="s">
        <v>38311</v>
      </c>
      <c r="B30425" s="4" t="s">
        <v>38315</v>
      </c>
      <c r="C30425" s="5" t="str">
        <f>IFERROR(__xludf.DUMMYFUNCTION("GOOGLETRANSLATE(B30425,""en"",""de"")"),"Little Kid spricht mit jemandem und beobachtet den Mann in Schlittschuhen im Skate Park.")</f>
        <v>Little Kid spricht mit jemandem und beobachtet den Mann in Schlittschuhen im Skate Park.</v>
      </c>
    </row>
    <row r="30426">
      <c r="A30426" s="4" t="s">
        <v>38316</v>
      </c>
      <c r="B30426" s="4" t="s">
        <v>38317</v>
      </c>
      <c r="C30426" s="5" t="str">
        <f>IFERROR(__xludf.DUMMYFUNCTION("GOOGLETRANSLATE(B30426,""en"",""de"")"),"Eine ältere Frau benutzt ein Stichwort, um Pool zu spielen.")</f>
        <v>Eine ältere Frau benutzt ein Stichwort, um Pool zu spielen.</v>
      </c>
    </row>
    <row r="30427">
      <c r="A30427" s="4" t="s">
        <v>38316</v>
      </c>
      <c r="B30427" s="4" t="s">
        <v>38318</v>
      </c>
      <c r="C30427" s="5" t="str">
        <f>IFERROR(__xludf.DUMMYFUNCTION("GOOGLETRANSLATE(B30427,""en"",""de"")"),"Sie schießt den Ball und geht weg.")</f>
        <v>Sie schießt den Ball und geht weg.</v>
      </c>
    </row>
    <row r="30428">
      <c r="A30428" s="4" t="s">
        <v>38316</v>
      </c>
      <c r="B30428" s="4" t="s">
        <v>38319</v>
      </c>
      <c r="C30428" s="5" t="str">
        <f>IFERROR(__xludf.DUMMYFUNCTION("GOOGLETRANSLATE(B30428,""en"",""de"")"),"Dann schlägt sie mit einer anderen Person.")</f>
        <v>Dann schlägt sie mit einer anderen Person.</v>
      </c>
    </row>
    <row r="30429">
      <c r="A30429" s="4" t="s">
        <v>38320</v>
      </c>
      <c r="B30429" s="4" t="s">
        <v>9420</v>
      </c>
      <c r="C30429" s="5" t="str">
        <f>IFERROR(__xludf.DUMMYFUNCTION("GOOGLETRANSLATE(B30429,""en"",""de"")"),"Die Leute tanzen auf einer Bühne.")</f>
        <v>Die Leute tanzen auf einer Bühne.</v>
      </c>
    </row>
    <row r="30430">
      <c r="A30430" s="4" t="s">
        <v>38320</v>
      </c>
      <c r="B30430" s="4" t="s">
        <v>38321</v>
      </c>
      <c r="C30430" s="5" t="str">
        <f>IFERROR(__xludf.DUMMYFUNCTION("GOOGLETRANSLATE(B30430,""en"",""de"")"),"Zwei Leute sprechen mit einer Kamera draußen.")</f>
        <v>Zwei Leute sprechen mit einer Kamera draußen.</v>
      </c>
    </row>
    <row r="30431">
      <c r="A30431" s="4" t="s">
        <v>38320</v>
      </c>
      <c r="B30431" s="4" t="s">
        <v>38322</v>
      </c>
      <c r="C30431" s="5" t="str">
        <f>IFERROR(__xludf.DUMMYFUNCTION("GOOGLETRANSLATE(B30431,""en"",""de"")"),"Eine Ballerina macht mehrere Wirbel auf der Bühne.")</f>
        <v>Eine Ballerina macht mehrere Wirbel auf der Bühne.</v>
      </c>
    </row>
    <row r="30432">
      <c r="A30432" s="4" t="s">
        <v>38323</v>
      </c>
      <c r="B30432" s="4" t="s">
        <v>38324</v>
      </c>
      <c r="C30432" s="5" t="str">
        <f>IFERROR(__xludf.DUMMYFUNCTION("GOOGLETRANSLATE(B30432,""en"",""de"")"),"Der Mann raucht eine Zigarrette in einer dunklen Straße.")</f>
        <v>Der Mann raucht eine Zigarrette in einer dunklen Straße.</v>
      </c>
    </row>
    <row r="30433">
      <c r="A30433" s="4" t="s">
        <v>38323</v>
      </c>
      <c r="B30433" s="4" t="s">
        <v>38325</v>
      </c>
      <c r="C30433" s="5" t="str">
        <f>IFERROR(__xludf.DUMMYFUNCTION("GOOGLETRANSLATE(B30433,""en"",""de"")"),"Man trägt ein weißes T -Shirt, das eine Zigarrette raucht und zur Kamera schaut.")</f>
        <v>Man trägt ein weißes T -Shirt, das eine Zigarrette raucht und zur Kamera schaut.</v>
      </c>
    </row>
    <row r="30434">
      <c r="A30434" s="4" t="s">
        <v>38323</v>
      </c>
      <c r="B30434" s="4" t="s">
        <v>38326</v>
      </c>
      <c r="C30434" s="5" t="str">
        <f>IFERROR(__xludf.DUMMYFUNCTION("GOOGLETRANSLATE(B30434,""en"",""de"")"),"Der Mensch ist in der Nacht in einem dunklen Feld raucht.")</f>
        <v>Der Mensch ist in der Nacht in einem dunklen Feld raucht.</v>
      </c>
    </row>
    <row r="30435">
      <c r="A30435" s="4" t="s">
        <v>38327</v>
      </c>
      <c r="B30435" s="4" t="s">
        <v>38328</v>
      </c>
      <c r="C30435" s="5" t="str">
        <f>IFERROR(__xludf.DUMMYFUNCTION("GOOGLETRANSLATE(B30435,""en"",""de"")"),"Ein Mann ist Wasser in einem Gewässer.")</f>
        <v>Ein Mann ist Wasser in einem Gewässer.</v>
      </c>
    </row>
    <row r="30436">
      <c r="A30436" s="4" t="s">
        <v>38327</v>
      </c>
      <c r="B30436" s="4" t="s">
        <v>38329</v>
      </c>
      <c r="C30436" s="5" t="str">
        <f>IFERROR(__xludf.DUMMYFUNCTION("GOOGLETRANSLATE(B30436,""en"",""de"")"),"Der Typ macht mit seinen Haaren.")</f>
        <v>Der Typ macht mit seinen Haaren.</v>
      </c>
    </row>
    <row r="30437">
      <c r="A30437" s="4" t="s">
        <v>38327</v>
      </c>
      <c r="B30437" s="4" t="s">
        <v>38330</v>
      </c>
      <c r="C30437" s="5" t="str">
        <f>IFERROR(__xludf.DUMMYFUNCTION("GOOGLETRANSLATE(B30437,""en"",""de"")"),"Der Kerl gibt Händen Geste.")</f>
        <v>Der Kerl gibt Händen Geste.</v>
      </c>
    </row>
    <row r="30438">
      <c r="A30438" s="4" t="s">
        <v>38331</v>
      </c>
      <c r="B30438" s="4" t="s">
        <v>38332</v>
      </c>
      <c r="C30438" s="5" t="str">
        <f>IFERROR(__xludf.DUMMYFUNCTION("GOOGLETRANSLATE(B30438,""en"",""de"")"),"Eine sportliche Frau läuft eine Strecke mit einer großen Gruppe von Leuten, die sie am Rande beobachten.")</f>
        <v>Eine sportliche Frau läuft eine Strecke mit einer großen Gruppe von Leuten, die sie am Rande beobachten.</v>
      </c>
    </row>
    <row r="30439">
      <c r="A30439" s="4" t="s">
        <v>38331</v>
      </c>
      <c r="B30439" s="4" t="s">
        <v>38333</v>
      </c>
      <c r="C30439" s="5" t="str">
        <f>IFERROR(__xludf.DUMMYFUNCTION("GOOGLETRANSLATE(B30439,""en"",""de"")"),"Sie rennt weiter und beendet das Rennen, während sie am Ende auf dem Boden zusammenbricht und beim Weinen stark atmet.")</f>
        <v>Sie rennt weiter und beendet das Rennen, während sie am Ende auf dem Boden zusammenbricht und beim Weinen stark atmet.</v>
      </c>
    </row>
    <row r="30440">
      <c r="A30440" s="4" t="s">
        <v>38331</v>
      </c>
      <c r="B30440" s="4" t="s">
        <v>38334</v>
      </c>
      <c r="C30440" s="5" t="str">
        <f>IFERROR(__xludf.DUMMYFUNCTION("GOOGLETRANSLATE(B30440,""en"",""de"")"),"Sie setzt sich wieder weinend und eine andere Frau hilft ihr und endet mit einem kurzen Clip eines Mädchens.")</f>
        <v>Sie setzt sich wieder weinend und eine andere Frau hilft ihr und endet mit einem kurzen Clip eines Mädchens.</v>
      </c>
    </row>
    <row r="30441">
      <c r="A30441" s="4" t="s">
        <v>38335</v>
      </c>
      <c r="B30441" s="4" t="s">
        <v>38336</v>
      </c>
      <c r="C30441" s="5" t="str">
        <f>IFERROR(__xludf.DUMMYFUNCTION("GOOGLETRANSLATE(B30441,""en"",""de"")"),"Ein Mann läuft bei einem Leichtathletikwettbewerb die Strecke hinunter.")</f>
        <v>Ein Mann läuft bei einem Leichtathletikwettbewerb die Strecke hinunter.</v>
      </c>
    </row>
    <row r="30442">
      <c r="A30442" s="4" t="s">
        <v>38335</v>
      </c>
      <c r="B30442" s="4" t="s">
        <v>38337</v>
      </c>
      <c r="C30442" s="5" t="str">
        <f>IFERROR(__xludf.DUMMYFUNCTION("GOOGLETRANSLATE(B30442,""en"",""de"")"),"Er beginnt einige schnelle Schritte zu unternehmen, um sich so zu nutzen, um einen Sprung zu haben, den er zu machen versucht.")</f>
        <v>Er beginnt einige schnelle Schritte zu unternehmen, um sich so zu nutzen, um einen Sprung zu haben, den er zu machen versucht.</v>
      </c>
    </row>
    <row r="30443">
      <c r="A30443" s="4" t="s">
        <v>38335</v>
      </c>
      <c r="B30443" s="4" t="s">
        <v>38338</v>
      </c>
      <c r="C30443" s="5" t="str">
        <f>IFERROR(__xludf.DUMMYFUNCTION("GOOGLETRANSLATE(B30443,""en"",""de"")"),"Er zieht in die Luft, als er den Sprung beginnt.")</f>
        <v>Er zieht in die Luft, als er den Sprung beginnt.</v>
      </c>
    </row>
    <row r="30444">
      <c r="A30444" s="4" t="s">
        <v>38335</v>
      </c>
      <c r="B30444" s="4" t="s">
        <v>38339</v>
      </c>
      <c r="C30444" s="5" t="str">
        <f>IFERROR(__xludf.DUMMYFUNCTION("GOOGLETRANSLATE(B30444,""en"",""de"")"),"Er landet auf dem Boden, als er den Sprung vervollständigt.")</f>
        <v>Er landet auf dem Boden, als er den Sprung vervollständigt.</v>
      </c>
    </row>
    <row r="30445">
      <c r="A30445" s="4" t="s">
        <v>38340</v>
      </c>
      <c r="B30445" s="4" t="s">
        <v>38341</v>
      </c>
      <c r="C30445" s="5" t="str">
        <f>IFERROR(__xludf.DUMMYFUNCTION("GOOGLETRANSLATE(B30445,""en"",""de"")"),"Ein Mann mit langem Bart spricht in der Kamera, während eine Hand die Seite seines Bartes streift, dann spricht er weiter, während er in seinem Rücken läuft, dann schloss er seinen Bart, zeigte einen Mann in Grün und das Kind, das sitzt neben ihm.")</f>
        <v>Ein Mann mit langem Bart spricht in der Kamera, während eine Hand die Seite seines Bartes streift, dann spricht er weiter, während er in seinem Rücken läuft, dann schloss er seinen Bart, zeigte einen Mann in Grün und das Kind, das sitzt neben ihm.</v>
      </c>
    </row>
    <row r="30446">
      <c r="A30446" s="4" t="s">
        <v>38340</v>
      </c>
      <c r="B30446" s="4" t="s">
        <v>38342</v>
      </c>
      <c r="C30446" s="5" t="str">
        <f>IFERROR(__xludf.DUMMYFUNCTION("GOOGLETRANSLATE(B30446,""en"",""de"")"),"Der Mann in Grün rasiert den Bart des Mannes an der Seite und rasiert dann weiter den langen Bart und ließ die Stoppeln.")</f>
        <v>Der Mann in Grün rasiert den Bart des Mannes an der Seite und rasiert dann weiter den langen Bart und ließ die Stoppeln.</v>
      </c>
    </row>
    <row r="30447">
      <c r="A30447" s="4" t="s">
        <v>38343</v>
      </c>
      <c r="B30447" s="4" t="s">
        <v>38344</v>
      </c>
      <c r="C30447" s="5" t="str">
        <f>IFERROR(__xludf.DUMMYFUNCTION("GOOGLETRANSLATE(B30447,""en"",""de"")"),"Eine Nahaufnahme eines Billardtisches wird angezeigt, gefolgt von einem Mann, der den Ball schlägt.")</f>
        <v>Eine Nahaufnahme eines Billardtisches wird angezeigt, gefolgt von einem Mann, der den Ball schlägt.</v>
      </c>
    </row>
    <row r="30448">
      <c r="A30448" s="4" t="s">
        <v>38343</v>
      </c>
      <c r="B30448" s="4" t="s">
        <v>38345</v>
      </c>
      <c r="C30448" s="5" t="str">
        <f>IFERROR(__xludf.DUMMYFUNCTION("GOOGLETRANSLATE(B30448,""en"",""de"")"),"Der Mann, der der der Gegner feiert und schüttelt.")</f>
        <v>Der Mann, der der der Gegner feiert und schüttelt.</v>
      </c>
    </row>
    <row r="30449">
      <c r="A30449" s="4" t="s">
        <v>38343</v>
      </c>
      <c r="B30449" s="4" t="s">
        <v>38346</v>
      </c>
      <c r="C30449" s="5" t="str">
        <f>IFERROR(__xludf.DUMMYFUNCTION("GOOGLETRANSLATE(B30449,""en"",""de"")"),"Er geht um das Publikum und feiert mit ihnen und geht zurück zu seiner Tasche.")</f>
        <v>Er geht um das Publikum und feiert mit ihnen und geht zurück zu seiner Tasche.</v>
      </c>
    </row>
    <row r="30450">
      <c r="A30450" s="4" t="s">
        <v>38347</v>
      </c>
      <c r="B30450" s="4" t="s">
        <v>38348</v>
      </c>
      <c r="C30450" s="5" t="str">
        <f>IFERROR(__xludf.DUMMYFUNCTION("GOOGLETRANSLATE(B30450,""en"",""de"")"),"Ein Mann spricht mit der Kamera, als er sich bereit macht, mit den Stoßstangenautos zu fahren.")</f>
        <v>Ein Mann spricht mit der Kamera, als er sich bereit macht, mit den Stoßstangenautos zu fahren.</v>
      </c>
    </row>
    <row r="30451">
      <c r="A30451" s="4" t="s">
        <v>38347</v>
      </c>
      <c r="B30451" s="4" t="s">
        <v>38349</v>
      </c>
      <c r="C30451" s="5" t="str">
        <f>IFERROR(__xludf.DUMMYFUNCTION("GOOGLETRANSLATE(B30451,""en"",""de"")"),"Der Mann fährt im Stoßfänger herum und stößt auf die anderen Leute, während die Kamera zuschaut.")</f>
        <v>Der Mann fährt im Stoßfänger herum und stößt auf die anderen Leute, während die Kamera zuschaut.</v>
      </c>
    </row>
    <row r="30452">
      <c r="A30452" s="4" t="s">
        <v>38347</v>
      </c>
      <c r="B30452" s="4" t="s">
        <v>38350</v>
      </c>
      <c r="C30452" s="5" t="str">
        <f>IFERROR(__xludf.DUMMYFUNCTION("GOOGLETRANSLATE(B30452,""en"",""de"")"),"Die Kamera vergrößert die Menschen, um genauer zu schauen.")</f>
        <v>Die Kamera vergrößert die Menschen, um genauer zu schauen.</v>
      </c>
    </row>
    <row r="30453">
      <c r="A30453" s="4" t="s">
        <v>38347</v>
      </c>
      <c r="B30453" s="4" t="s">
        <v>38351</v>
      </c>
      <c r="C30453" s="5" t="str">
        <f>IFERROR(__xludf.DUMMYFUNCTION("GOOGLETRANSLATE(B30453,""en"",""de"")"),"Die Fahrt endet und die Leute kommen aus den Stoßfängerautos.")</f>
        <v>Die Fahrt endet und die Leute kommen aus den Stoßfängerautos.</v>
      </c>
    </row>
    <row r="30454">
      <c r="A30454" s="4" t="s">
        <v>38352</v>
      </c>
      <c r="B30454" s="4" t="s">
        <v>38353</v>
      </c>
      <c r="C30454" s="5" t="str">
        <f>IFERROR(__xludf.DUMMYFUNCTION("GOOGLETRANSLATE(B30454,""en"",""de"")"),"Ein Mann wirft ein Objekt in ein Leichtathletik -Ereignis bei den Olympischen Spielen.")</f>
        <v>Ein Mann wirft ein Objekt in ein Leichtathletik -Ereignis bei den Olympischen Spielen.</v>
      </c>
    </row>
    <row r="30455">
      <c r="A30455" s="4" t="s">
        <v>38352</v>
      </c>
      <c r="B30455" s="4" t="s">
        <v>38354</v>
      </c>
      <c r="C30455" s="5" t="str">
        <f>IFERROR(__xludf.DUMMYFUNCTION("GOOGLETRANSLATE(B30455,""en"",""de"")"),"Dies wird dann in Zeitlupe angezeigt und dann beschleunigt.")</f>
        <v>Dies wird dann in Zeitlupe angezeigt und dann beschleunigt.</v>
      </c>
    </row>
    <row r="30456">
      <c r="A30456" s="4" t="s">
        <v>38352</v>
      </c>
      <c r="B30456" s="4" t="s">
        <v>38355</v>
      </c>
      <c r="C30456" s="5" t="str">
        <f>IFERROR(__xludf.DUMMYFUNCTION("GOOGLETRANSLATE(B30456,""en"",""de"")"),"Der Trainer reagiert und jubelt.")</f>
        <v>Der Trainer reagiert und jubelt.</v>
      </c>
    </row>
    <row r="30457">
      <c r="A30457" s="4" t="s">
        <v>38352</v>
      </c>
      <c r="B30457" s="4" t="s">
        <v>38356</v>
      </c>
      <c r="C30457" s="5" t="str">
        <f>IFERROR(__xludf.DUMMYFUNCTION("GOOGLETRANSLATE(B30457,""en"",""de"")"),"Der Athlet erhält eine Medaille und Wellen in die Menge.")</f>
        <v>Der Athlet erhält eine Medaille und Wellen in die Menge.</v>
      </c>
    </row>
    <row r="30458">
      <c r="A30458" s="4" t="s">
        <v>38357</v>
      </c>
      <c r="B30458" s="4" t="s">
        <v>38358</v>
      </c>
      <c r="C30458" s="5" t="str">
        <f>IFERROR(__xludf.DUMMYFUNCTION("GOOGLETRANSLATE(B30458,""en"",""de"")"),"Ein Mann ist draußen und schneidet Drähte von einem Stapel Sheetrock.")</f>
        <v>Ein Mann ist draußen und schneidet Drähte von einem Stapel Sheetrock.</v>
      </c>
    </row>
    <row r="30459">
      <c r="A30459" s="4" t="s">
        <v>38357</v>
      </c>
      <c r="B30459" s="4" t="s">
        <v>38359</v>
      </c>
      <c r="C30459" s="5" t="str">
        <f>IFERROR(__xludf.DUMMYFUNCTION("GOOGLETRANSLATE(B30459,""en"",""de"")"),"Er bewegt die Laken und schlägt dann die Böden, bevor er sie niederlegt.")</f>
        <v>Er bewegt die Laken und schlägt dann die Böden, bevor er sie niederlegt.</v>
      </c>
    </row>
    <row r="30460">
      <c r="A30460" s="4" t="s">
        <v>38357</v>
      </c>
      <c r="B30460" s="4" t="s">
        <v>38360</v>
      </c>
      <c r="C30460" s="5" t="str">
        <f>IFERROR(__xludf.DUMMYFUNCTION("GOOGLETRANSLATE(B30460,""en"",""de"")"),"Der Mann drückt die großen Blätter auf den Boden.")</f>
        <v>Der Mann drückt die großen Blätter auf den Boden.</v>
      </c>
    </row>
    <row r="30461">
      <c r="A30461" s="4" t="s">
        <v>38361</v>
      </c>
      <c r="B30461" s="4" t="s">
        <v>38362</v>
      </c>
      <c r="C30461" s="5" t="str">
        <f>IFERROR(__xludf.DUMMYFUNCTION("GOOGLETRANSLATE(B30461,""en"",""de"")"),"Ein Mann hält eine Frisbee neben einem Hund, dann springt der Hund über die Rückseite des Mannes und greift nach einem Frisbee.")</f>
        <v>Ein Mann hält eine Frisbee neben einem Hund, dann springt der Hund über die Rückseite des Mannes und greift nach einem Frisbee.</v>
      </c>
    </row>
    <row r="30462">
      <c r="A30462" s="4" t="s">
        <v>38361</v>
      </c>
      <c r="B30462" s="4" t="s">
        <v>38363</v>
      </c>
      <c r="C30462" s="5" t="str">
        <f>IFERROR(__xludf.DUMMYFUNCTION("GOOGLETRANSLATE(B30462,""en"",""de"")"),"Der Mann wirft eine Frisbee und der Hund rennt, um ihn zu bekommen, nachdem der Mann Tricks mit dem Hund macht.")</f>
        <v>Der Mann wirft eine Frisbee und der Hund rennt, um ihn zu bekommen, nachdem der Mann Tricks mit dem Hund macht.</v>
      </c>
    </row>
    <row r="30463">
      <c r="A30463" s="4" t="s">
        <v>38361</v>
      </c>
      <c r="B30463" s="4" t="s">
        <v>38364</v>
      </c>
      <c r="C30463" s="5" t="str">
        <f>IFERROR(__xludf.DUMMYFUNCTION("GOOGLETRANSLATE(B30463,""en"",""de"")"),"Eine Person legt sich mit den Füßen hin, dann steht der Hund auf seinen Füßen und spielt mit der Frisbee.")</f>
        <v>Eine Person legt sich mit den Füßen hin, dann steht der Hund auf seinen Füßen und spielt mit der Frisbee.</v>
      </c>
    </row>
    <row r="30464">
      <c r="A30464" s="4" t="s">
        <v>38361</v>
      </c>
      <c r="B30464" s="4" t="s">
        <v>38365</v>
      </c>
      <c r="C30464" s="5" t="str">
        <f>IFERROR(__xludf.DUMMYFUNCTION("GOOGLETRANSLATE(B30464,""en"",""de"")"),"Der Mann spielt mit dem Hund Frisbee, der Tricks macht und die Frisbee wirft.")</f>
        <v>Der Mann spielt mit dem Hund Frisbee, der Tricks macht und die Frisbee wirft.</v>
      </c>
    </row>
    <row r="30465">
      <c r="A30465" s="4" t="s">
        <v>38366</v>
      </c>
      <c r="B30465" s="4" t="s">
        <v>38367</v>
      </c>
      <c r="C30465" s="5" t="str">
        <f>IFERROR(__xludf.DUMMYFUNCTION("GOOGLETRANSLATE(B30465,""en"",""de"")"),"Die Außenseite eines Kisten mit einer Waffe wird gezeigt.")</f>
        <v>Die Außenseite eines Kisten mit einer Waffe wird gezeigt.</v>
      </c>
    </row>
    <row r="30466">
      <c r="A30466" s="4" t="s">
        <v>38366</v>
      </c>
      <c r="B30466" s="4" t="s">
        <v>38368</v>
      </c>
      <c r="C30466" s="5" t="str">
        <f>IFERROR(__xludf.DUMMYFUNCTION("GOOGLETRANSLATE(B30466,""en"",""de"")"),"Ein Mann wird von zwei anderen vor einer Waffenausstellung begleitet.")</f>
        <v>Ein Mann wird von zwei anderen vor einer Waffenausstellung begleitet.</v>
      </c>
    </row>
    <row r="30467">
      <c r="A30467" s="4" t="s">
        <v>38366</v>
      </c>
      <c r="B30467" s="4" t="s">
        <v>38369</v>
      </c>
      <c r="C30467" s="5" t="str">
        <f>IFERROR(__xludf.DUMMYFUNCTION("GOOGLETRANSLATE(B30467,""en"",""de"")"),"Sie sprechen über die Waffen und schließen sich dann im Freien an Paintball an, die sich hinter Hindernissen verstecken, während sie aufeinander schießen.")</f>
        <v>Sie sprechen über die Waffen und schließen sich dann im Freien an Paintball an, die sich hinter Hindernissen verstecken, während sie aufeinander schießen.</v>
      </c>
    </row>
    <row r="30468">
      <c r="A30468" s="4" t="s">
        <v>38370</v>
      </c>
      <c r="B30468" s="4" t="s">
        <v>38371</v>
      </c>
      <c r="C30468" s="5" t="str">
        <f>IFERROR(__xludf.DUMMYFUNCTION("GOOGLETRANSLATE(B30468,""en"",""de"")"),"Eine Dame, die neben der Rutsche steht, hält ein kleines Kind auf der Rutsche.")</f>
        <v>Eine Dame, die neben der Rutsche steht, hält ein kleines Kind auf der Rutsche.</v>
      </c>
    </row>
    <row r="30469">
      <c r="A30469" s="4" t="s">
        <v>38370</v>
      </c>
      <c r="B30469" s="4" t="s">
        <v>38372</v>
      </c>
      <c r="C30469" s="5" t="str">
        <f>IFERROR(__xludf.DUMMYFUNCTION("GOOGLETRANSLATE(B30469,""en"",""de"")"),"Sie schaute in den Tunnel und bewegte das kleine Kind, um es zu zeigen und die Person zu winken.")</f>
        <v>Sie schaute in den Tunnel und bewegte das kleine Kind, um es zu zeigen und die Person zu winken.</v>
      </c>
    </row>
    <row r="30470">
      <c r="A30470" s="4" t="s">
        <v>38370</v>
      </c>
      <c r="B30470" s="4" t="s">
        <v>38373</v>
      </c>
      <c r="C30470" s="5" t="str">
        <f>IFERROR(__xludf.DUMMYFUNCTION("GOOGLETRANSLATE(B30470,""en"",""de"")"),"Die Dame hält das Kind fest, während sie ihn die Rutsche hinunterschiebt.")</f>
        <v>Die Dame hält das Kind fest, während sie ihn die Rutsche hinunterschiebt.</v>
      </c>
    </row>
    <row r="30471">
      <c r="A30471" s="4" t="s">
        <v>38370</v>
      </c>
      <c r="B30471" s="4" t="s">
        <v>38374</v>
      </c>
      <c r="C30471" s="5" t="str">
        <f>IFERROR(__xludf.DUMMYFUNCTION("GOOGLETRANSLATE(B30471,""en"",""de"")"),"Die Dame schob das Kind zurück nach oben.")</f>
        <v>Die Dame schob das Kind zurück nach oben.</v>
      </c>
    </row>
    <row r="30472">
      <c r="A30472" s="4" t="s">
        <v>38370</v>
      </c>
      <c r="B30472" s="4" t="s">
        <v>38375</v>
      </c>
      <c r="C30472" s="5" t="str">
        <f>IFERROR(__xludf.DUMMYFUNCTION("GOOGLETRANSLATE(B30472,""en"",""de"")"),"Die Dame hielt das Kind und schob ihn die Rutsche hinunter.")</f>
        <v>Die Dame hielt das Kind und schob ihn die Rutsche hinunter.</v>
      </c>
    </row>
    <row r="30473">
      <c r="A30473" s="4" t="s">
        <v>38370</v>
      </c>
      <c r="B30473" s="4" t="s">
        <v>38376</v>
      </c>
      <c r="C30473" s="5" t="str">
        <f>IFERROR(__xludf.DUMMYFUNCTION("GOOGLETRANSLATE(B30473,""en"",""de"")"),"Das Kind saß auf der Unterseite der Folie, während sie weg schaute.")</f>
        <v>Das Kind saß auf der Unterseite der Folie, während sie weg schaute.</v>
      </c>
    </row>
    <row r="30474">
      <c r="A30474" s="4" t="s">
        <v>38377</v>
      </c>
      <c r="B30474" s="4" t="s">
        <v>38378</v>
      </c>
      <c r="C30474" s="5" t="str">
        <f>IFERROR(__xludf.DUMMYFUNCTION("GOOGLETRANSLATE(B30474,""en"",""de"")"),"Zwei Personen springen draußen auf einer Terrasse.")</f>
        <v>Zwei Personen springen draußen auf einer Terrasse.</v>
      </c>
    </row>
    <row r="30475">
      <c r="A30475" s="4" t="s">
        <v>38377</v>
      </c>
      <c r="B30475" s="4" t="s">
        <v>38379</v>
      </c>
      <c r="C30475" s="5" t="str">
        <f>IFERROR(__xludf.DUMMYFUNCTION("GOOGLETRANSLATE(B30475,""en"",""de"")"),"Der Junge geht und die Mädchen beginnen alleine zu springen.")</f>
        <v>Der Junge geht und die Mädchen beginnen alleine zu springen.</v>
      </c>
    </row>
    <row r="30476">
      <c r="A30476" s="4" t="s">
        <v>38377</v>
      </c>
      <c r="B30476" s="4" t="s">
        <v>38380</v>
      </c>
      <c r="C30476" s="5" t="str">
        <f>IFERROR(__xludf.DUMMYFUNCTION("GOOGLETRANSLATE(B30476,""en"",""de"")"),"Das Mädchen steht.")</f>
        <v>Das Mädchen steht.</v>
      </c>
    </row>
    <row r="30477">
      <c r="A30477" s="4" t="s">
        <v>38377</v>
      </c>
      <c r="B30477" s="4" t="s">
        <v>38381</v>
      </c>
      <c r="C30477" s="5" t="str">
        <f>IFERROR(__xludf.DUMMYFUNCTION("GOOGLETRANSLATE(B30477,""en"",""de"")"),"Der Junge beginnt alleine zu springen.")</f>
        <v>Der Junge beginnt alleine zu springen.</v>
      </c>
    </row>
    <row r="30478">
      <c r="A30478" s="4" t="s">
        <v>38377</v>
      </c>
      <c r="B30478" s="4" t="s">
        <v>38382</v>
      </c>
      <c r="C30478" s="5" t="str">
        <f>IFERROR(__xludf.DUMMYFUNCTION("GOOGLETRANSLATE(B30478,""en"",""de"")"),"Das Mädchen macht einen Flip in der Luft.")</f>
        <v>Das Mädchen macht einen Flip in der Luft.</v>
      </c>
    </row>
    <row r="30479">
      <c r="A30479" s="4" t="s">
        <v>38377</v>
      </c>
      <c r="B30479" s="4" t="s">
        <v>38383</v>
      </c>
      <c r="C30479" s="5" t="str">
        <f>IFERROR(__xludf.DUMMYFUNCTION("GOOGLETRANSLATE(B30479,""en"",""de"")"),"Der Junge macht einen Flip in der Luft.")</f>
        <v>Der Junge macht einen Flip in der Luft.</v>
      </c>
    </row>
    <row r="30480">
      <c r="A30480" s="4" t="s">
        <v>38384</v>
      </c>
      <c r="B30480" s="4" t="s">
        <v>38385</v>
      </c>
      <c r="C30480" s="5" t="str">
        <f>IFERROR(__xludf.DUMMYFUNCTION("GOOGLETRANSLATE(B30480,""en"",""de"")"),"Mehrere Personen werden in einem Hintergrund von Lasern als Mitglieder eines Teams dargestellt.")</f>
        <v>Mehrere Personen werden in einem Hintergrund von Lasern als Mitglieder eines Teams dargestellt.</v>
      </c>
    </row>
    <row r="30481">
      <c r="A30481" s="4" t="s">
        <v>38384</v>
      </c>
      <c r="B30481" s="4" t="s">
        <v>38386</v>
      </c>
      <c r="C30481" s="5" t="str">
        <f>IFERROR(__xludf.DUMMYFUNCTION("GOOGLETRANSLATE(B30481,""en"",""de"")"),"Ein Mann aus dem Team kommt dann mit und beginnt, in einer Gemeinschaftsumgebung die Straße hinunter zu skateboard.")</f>
        <v>Ein Mann aus dem Team kommt dann mit und beginnt, in einer Gemeinschaftsumgebung die Straße hinunter zu skateboard.</v>
      </c>
    </row>
    <row r="30482">
      <c r="A30482" s="4" t="s">
        <v>38384</v>
      </c>
      <c r="B30482" s="4" t="s">
        <v>38387</v>
      </c>
      <c r="C30482" s="5" t="str">
        <f>IFERROR(__xludf.DUMMYFUNCTION("GOOGLETRANSLATE(B30482,""en"",""de"")"),"Während er weiter skatet, zieht er in ein ländlicheres Gebiet mit großen Bergen und einem Feld im Freien, und die Punkte beginnen sich in der Ecke des Bildschirms zu befreien.")</f>
        <v>Während er weiter skatet, zieht er in ein ländlicheres Gebiet mit großen Bergen und einem Feld im Freien, und die Punkte beginnen sich in der Ecke des Bildschirms zu befreien.</v>
      </c>
    </row>
    <row r="30483">
      <c r="A30483" s="4" t="s">
        <v>38388</v>
      </c>
      <c r="B30483" s="4" t="s">
        <v>38389</v>
      </c>
      <c r="C30483" s="5" t="str">
        <f>IFERROR(__xludf.DUMMYFUNCTION("GOOGLETRANSLATE(B30483,""en"",""de"")"),"Eine Frau setzt sich hin und nimmt etwas zu trinken.")</f>
        <v>Eine Frau setzt sich hin und nimmt etwas zu trinken.</v>
      </c>
    </row>
    <row r="30484">
      <c r="A30484" s="4" t="s">
        <v>38388</v>
      </c>
      <c r="B30484" s="4" t="s">
        <v>38390</v>
      </c>
      <c r="C30484" s="5" t="str">
        <f>IFERROR(__xludf.DUMMYFUNCTION("GOOGLETRANSLATE(B30484,""en"",""de"")"),"Sie setzt das Getränk fest und beginnt zu reden.")</f>
        <v>Sie setzt das Getränk fest und beginnt zu reden.</v>
      </c>
    </row>
    <row r="30485">
      <c r="A30485" s="4" t="s">
        <v>38391</v>
      </c>
      <c r="B30485" s="4" t="s">
        <v>38392</v>
      </c>
      <c r="C30485" s="5" t="str">
        <f>IFERROR(__xludf.DUMMYFUNCTION("GOOGLETRANSLATE(B30485,""en"",""de"")"),"Ein kleines Kleinkind geht die Straße entlang und hält ihre Hundeleine.")</f>
        <v>Ein kleines Kleinkind geht die Straße entlang und hält ihre Hundeleine.</v>
      </c>
    </row>
    <row r="30486">
      <c r="A30486" s="4" t="s">
        <v>38391</v>
      </c>
      <c r="B30486" s="4" t="s">
        <v>38393</v>
      </c>
      <c r="C30486" s="5" t="str">
        <f>IFERROR(__xludf.DUMMYFUNCTION("GOOGLETRANSLATE(B30486,""en"",""de"")"),"Der Hund geht vor ihr und zieht sie nicht, er ist sehr sanft.")</f>
        <v>Der Hund geht vor ihr und zieht sie nicht, er ist sehr sanft.</v>
      </c>
    </row>
    <row r="30487">
      <c r="A30487" s="4" t="s">
        <v>38391</v>
      </c>
      <c r="B30487" s="4" t="s">
        <v>38394</v>
      </c>
      <c r="C30487" s="5" t="str">
        <f>IFERROR(__xludf.DUMMYFUNCTION("GOOGLETRANSLATE(B30487,""en"",""de"")"),"Der Hund hält an, um herumzuschnüffeln und beginnt dann wieder zu laufen.")</f>
        <v>Der Hund hält an, um herumzuschnüffeln und beginnt dann wieder zu laufen.</v>
      </c>
    </row>
    <row r="30488">
      <c r="A30488" s="4" t="s">
        <v>38391</v>
      </c>
      <c r="B30488" s="4" t="s">
        <v>38395</v>
      </c>
      <c r="C30488" s="5" t="str">
        <f>IFERROR(__xludf.DUMMYFUNCTION("GOOGLETRANSLATE(B30488,""en"",""de"")"),"Das kleine Mädchen, das versucht, eng hinter ihm zu folgen.")</f>
        <v>Das kleine Mädchen, das versucht, eng hinter ihm zu folgen.</v>
      </c>
    </row>
    <row r="30489">
      <c r="A30489" s="4" t="s">
        <v>38396</v>
      </c>
      <c r="B30489" s="4" t="s">
        <v>38397</v>
      </c>
      <c r="C30489" s="5" t="str">
        <f>IFERROR(__xludf.DUMMYFUNCTION("GOOGLETRANSLATE(B30489,""en"",""de"")"),"Ein Mann erstreckt sich vor der Kamera.")</f>
        <v>Ein Mann erstreckt sich vor der Kamera.</v>
      </c>
    </row>
    <row r="30490">
      <c r="A30490" s="4" t="s">
        <v>38396</v>
      </c>
      <c r="B30490" s="4" t="s">
        <v>38398</v>
      </c>
      <c r="C30490" s="5" t="str">
        <f>IFERROR(__xludf.DUMMYFUNCTION("GOOGLETRANSLATE(B30490,""en"",""de"")"),"Die Kamera schneidet auf Szenen des Mannes auf einem kleinen Bootspaddeln.")</f>
        <v>Die Kamera schneidet auf Szenen des Mannes auf einem kleinen Bootspaddeln.</v>
      </c>
    </row>
    <row r="30491">
      <c r="A30491" s="4" t="s">
        <v>38396</v>
      </c>
      <c r="B30491" s="4" t="s">
        <v>38399</v>
      </c>
      <c r="C30491" s="5" t="str">
        <f>IFERROR(__xludf.DUMMYFUNCTION("GOOGLETRANSLATE(B30491,""en"",""de"")"),"Die Kamera schneidet zu Szenen verschiedener Männer, die Boote aus verschiedenen Winkeln mit unterschiedlichem Hintergrund paddeln.")</f>
        <v>Die Kamera schneidet zu Szenen verschiedener Männer, die Boote aus verschiedenen Winkeln mit unterschiedlichem Hintergrund paddeln.</v>
      </c>
    </row>
    <row r="30492">
      <c r="A30492" s="4" t="s">
        <v>38396</v>
      </c>
      <c r="B30492" s="4" t="s">
        <v>38400</v>
      </c>
      <c r="C30492" s="5" t="str">
        <f>IFERROR(__xludf.DUMMYFUNCTION("GOOGLETRANSLATE(B30492,""en"",""de"")"),"Die Kamera zeigt Männer, die Boote weglegen.")</f>
        <v>Die Kamera zeigt Männer, die Boote weglegen.</v>
      </c>
    </row>
    <row r="30493">
      <c r="A30493" s="4" t="s">
        <v>38396</v>
      </c>
      <c r="B30493" s="4" t="s">
        <v>38401</v>
      </c>
      <c r="C30493" s="5" t="str">
        <f>IFERROR(__xludf.DUMMYFUNCTION("GOOGLETRANSLATE(B30493,""en"",""de"")"),"Die Kamera zeigt mehrere Männer in einem Auto.")</f>
        <v>Die Kamera zeigt mehrere Männer in einem Auto.</v>
      </c>
    </row>
    <row r="30494">
      <c r="A30494" s="4" t="s">
        <v>38396</v>
      </c>
      <c r="B30494" s="4" t="s">
        <v>38402</v>
      </c>
      <c r="C30494" s="5" t="str">
        <f>IFERROR(__xludf.DUMMYFUNCTION("GOOGLETRANSLATE(B30494,""en"",""de"")"),"Die Kamera zeigt schnelle Clips von Männern, die in einem Fitnessstudio trainieren.")</f>
        <v>Die Kamera zeigt schnelle Clips von Männern, die in einem Fitnessstudio trainieren.</v>
      </c>
    </row>
    <row r="30495">
      <c r="A30495" s="4" t="s">
        <v>38396</v>
      </c>
      <c r="B30495" s="4" t="s">
        <v>38403</v>
      </c>
      <c r="C30495" s="5" t="str">
        <f>IFERROR(__xludf.DUMMYFUNCTION("GOOGLETRANSLATE(B30495,""en"",""de"")"),"Die Kamera kehrt zu Szenen von Männern zurück.")</f>
        <v>Die Kamera kehrt zu Szenen von Männern zurück.</v>
      </c>
    </row>
    <row r="30496">
      <c r="A30496" s="4" t="s">
        <v>38396</v>
      </c>
      <c r="B30496" s="4" t="s">
        <v>38404</v>
      </c>
      <c r="C30496" s="5" t="str">
        <f>IFERROR(__xludf.DUMMYFUNCTION("GOOGLETRANSLATE(B30496,""en"",""de"")"),"Die Kamera schneidet das Beschleunigungsaufnahmen eines Autofahrens.")</f>
        <v>Die Kamera schneidet das Beschleunigungsaufnahmen eines Autofahrens.</v>
      </c>
    </row>
    <row r="30497">
      <c r="A30497" s="4" t="s">
        <v>38396</v>
      </c>
      <c r="B30497" s="4" t="s">
        <v>38405</v>
      </c>
      <c r="C30497" s="5" t="str">
        <f>IFERROR(__xludf.DUMMYFUNCTION("GOOGLETRANSLATE(B30497,""en"",""de"")"),"Die Kamera schneidet zu Szenen von Männern, die sich entspannen und einen Ball herumwerfen.")</f>
        <v>Die Kamera schneidet zu Szenen von Männern, die sich entspannen und einen Ball herumwerfen.</v>
      </c>
    </row>
    <row r="30498">
      <c r="A30498" s="4" t="s">
        <v>38396</v>
      </c>
      <c r="B30498" s="4" t="s">
        <v>38406</v>
      </c>
      <c r="C30498" s="5" t="str">
        <f>IFERROR(__xludf.DUMMYFUNCTION("GOOGLETRANSLATE(B30498,""en"",""de"")"),"Die Kamera schneidet zu einer Szene, in der ein Mann entspannt sitzt.")</f>
        <v>Die Kamera schneidet zu einer Szene, in der ein Mann entspannt sitzt.</v>
      </c>
    </row>
    <row r="30499">
      <c r="A30499" s="4" t="s">
        <v>38407</v>
      </c>
      <c r="B30499" s="4" t="s">
        <v>38408</v>
      </c>
      <c r="C30499" s="5" t="str">
        <f>IFERROR(__xludf.DUMMYFUNCTION("GOOGLETRANSLATE(B30499,""en"",""de"")"),"Eine Person sitzt hinter einem Tisch und macht einen Rubiks Cube Blind gefaltet.")</f>
        <v>Eine Person sitzt hinter einem Tisch und macht einen Rubiks Cube Blind gefaltet.</v>
      </c>
    </row>
    <row r="30500">
      <c r="A30500" s="4" t="s">
        <v>38407</v>
      </c>
      <c r="B30500" s="4" t="s">
        <v>38409</v>
      </c>
      <c r="C30500" s="5" t="str">
        <f>IFERROR(__xludf.DUMMYFUNCTION("GOOGLETRANSLATE(B30500,""en"",""de"")"),"Ein Timer befindet sich vor ihnen auf dem Schreibtisch.")</f>
        <v>Ein Timer befindet sich vor ihnen auf dem Schreibtisch.</v>
      </c>
    </row>
    <row r="30501">
      <c r="A30501" s="4" t="s">
        <v>38407</v>
      </c>
      <c r="B30501" s="4" t="s">
        <v>38410</v>
      </c>
      <c r="C30501" s="5" t="str">
        <f>IFERROR(__xludf.DUMMYFUNCTION("GOOGLETRANSLATE(B30501,""en"",""de"")"),"Die Person vervollständigt den Rubiks -Würfel und stellt ihn auf den Tisch.")</f>
        <v>Die Person vervollständigt den Rubiks -Würfel und stellt ihn auf den Tisch.</v>
      </c>
    </row>
    <row r="30502">
      <c r="A30502" s="4" t="s">
        <v>38411</v>
      </c>
      <c r="B30502" s="4" t="s">
        <v>38412</v>
      </c>
      <c r="C30502" s="5" t="str">
        <f>IFERROR(__xludf.DUMMYFUNCTION("GOOGLETRANSLATE(B30502,""en"",""de"")"),"Wir sehen eine Dame, die auf einer Couch sitzt.")</f>
        <v>Wir sehen eine Dame, die auf einer Couch sitzt.</v>
      </c>
    </row>
    <row r="30503">
      <c r="A30503" s="4" t="s">
        <v>38411</v>
      </c>
      <c r="B30503" s="4" t="s">
        <v>38413</v>
      </c>
      <c r="C30503" s="5" t="str">
        <f>IFERROR(__xludf.DUMMYFUNCTION("GOOGLETRANSLATE(B30503,""en"",""de"")"),"Die Dame macht Gesichter und klatscht in die Hände.")</f>
        <v>Die Dame macht Gesichter und klatscht in die Hände.</v>
      </c>
    </row>
    <row r="30504">
      <c r="A30504" s="4" t="s">
        <v>38411</v>
      </c>
      <c r="B30504" s="4" t="s">
        <v>38414</v>
      </c>
      <c r="C30504" s="5" t="str">
        <f>IFERROR(__xludf.DUMMYFUNCTION("GOOGLETRANSLATE(B30504,""en"",""de"")"),"Wir beobachten, wie die Dame Rollers unsere Zöpfen herausholt.")</f>
        <v>Wir beobachten, wie die Dame Rollers unsere Zöpfen herausholt.</v>
      </c>
    </row>
    <row r="30505">
      <c r="A30505" s="4" t="s">
        <v>38411</v>
      </c>
      <c r="B30505" s="4" t="s">
        <v>38415</v>
      </c>
      <c r="C30505" s="5" t="str">
        <f>IFERROR(__xludf.DUMMYFUNCTION("GOOGLETRANSLATE(B30505,""en"",""de"")"),"Wir sehen ihre Haare aus der Nähe.")</f>
        <v>Wir sehen ihre Haare aus der Nähe.</v>
      </c>
    </row>
    <row r="30506">
      <c r="A30506" s="4" t="s">
        <v>38411</v>
      </c>
      <c r="B30506" s="4" t="s">
        <v>38416</v>
      </c>
      <c r="C30506" s="5" t="str">
        <f>IFERROR(__xludf.DUMMYFUNCTION("GOOGLETRANSLATE(B30506,""en"",""de"")"),"Die Dame macht mit ihren Fingern ein Zitatschild.")</f>
        <v>Die Dame macht mit ihren Fingern ein Zitatschild.</v>
      </c>
    </row>
    <row r="30507">
      <c r="A30507" s="4" t="s">
        <v>38417</v>
      </c>
      <c r="B30507" s="4" t="s">
        <v>38418</v>
      </c>
      <c r="C30507" s="5" t="str">
        <f>IFERROR(__xludf.DUMMYFUNCTION("GOOGLETRANSLATE(B30507,""en"",""de"")"),"Der Turner sammelt seinen Fokus und montiert das Pommel -Pferd, um seine Veranstaltung zu beginnen.")</f>
        <v>Der Turner sammelt seinen Fokus und montiert das Pommel -Pferd, um seine Veranstaltung zu beginnen.</v>
      </c>
    </row>
    <row r="30508">
      <c r="A30508" s="4" t="s">
        <v>38417</v>
      </c>
      <c r="B30508" s="4" t="s">
        <v>38419</v>
      </c>
      <c r="C30508" s="5" t="str">
        <f>IFERROR(__xludf.DUMMYFUNCTION("GOOGLETRANSLATE(B30508,""en"",""de"")"),"Das Publikum beobachtet und jubelt, wie die Ansager ihren Kommentar abgeben.")</f>
        <v>Das Publikum beobachtet und jubelt, wie die Ansager ihren Kommentar abgeben.</v>
      </c>
    </row>
    <row r="30509">
      <c r="A30509" s="4" t="s">
        <v>38417</v>
      </c>
      <c r="B30509" s="4" t="s">
        <v>38420</v>
      </c>
      <c r="C30509" s="5" t="str">
        <f>IFERROR(__xludf.DUMMYFUNCTION("GOOGLETRANSLATE(B30509,""en"",""de"")"),"Er geht auf einen Handstand.")</f>
        <v>Er geht auf einen Handstand.</v>
      </c>
    </row>
    <row r="30510">
      <c r="A30510" s="4" t="s">
        <v>38417</v>
      </c>
      <c r="B30510" s="4" t="s">
        <v>38421</v>
      </c>
      <c r="C30510" s="5" t="str">
        <f>IFERROR(__xludf.DUMMYFUNCTION("GOOGLETRANSLATE(B30510,""en"",""de"")"),"Er nimmt seine Geschwindigkeit auf, sobald er von der Handständer zurückkommt.")</f>
        <v>Er nimmt seine Geschwindigkeit auf, sobald er von der Handständer zurückkommt.</v>
      </c>
    </row>
    <row r="30511">
      <c r="A30511" s="4" t="s">
        <v>38417</v>
      </c>
      <c r="B30511" s="4" t="s">
        <v>38422</v>
      </c>
      <c r="C30511" s="5" t="str">
        <f>IFERROR(__xludf.DUMMYFUNCTION("GOOGLETRANSLATE(B30511,""en"",""de"")"),"Der Turner hat eine schöne Ablastung.")</f>
        <v>Der Turner hat eine schöne Ablastung.</v>
      </c>
    </row>
    <row r="30512">
      <c r="A30512" s="4" t="s">
        <v>38417</v>
      </c>
      <c r="B30512" s="4" t="s">
        <v>38423</v>
      </c>
      <c r="C30512" s="5" t="str">
        <f>IFERROR(__xludf.DUMMYFUNCTION("GOOGLETRANSLATE(B30512,""en"",""de"")"),"Wir beobachten die Aufführung in Zeitlupe wieder und sehen sein Lächeln, während er nach dem Nachwort sitzt.")</f>
        <v>Wir beobachten die Aufführung in Zeitlupe wieder und sehen sein Lächeln, während er nach dem Nachwort sitzt.</v>
      </c>
    </row>
    <row r="30513">
      <c r="A30513" s="4" t="s">
        <v>38424</v>
      </c>
      <c r="B30513" s="4" t="s">
        <v>38425</v>
      </c>
      <c r="C30513" s="5" t="str">
        <f>IFERROR(__xludf.DUMMYFUNCTION("GOOGLETRANSLATE(B30513,""en"",""de"")"),"Frau spricht mit der Kamera und hält Make -up -Bürsten.")</f>
        <v>Frau spricht mit der Kamera und hält Make -up -Bürsten.</v>
      </c>
    </row>
    <row r="30514">
      <c r="A30514" s="4" t="s">
        <v>38424</v>
      </c>
      <c r="B30514" s="4" t="s">
        <v>38426</v>
      </c>
      <c r="C30514" s="5" t="str">
        <f>IFERROR(__xludf.DUMMYFUNCTION("GOOGLETRANSLATE(B30514,""en"",""de"")"),"Frau schuht ein Geflecht auf ihre Haare und es ist gezeigt, wie man das Geflecht macht.")</f>
        <v>Frau schuht ein Geflecht auf ihre Haare und es ist gezeigt, wie man das Geflecht macht.</v>
      </c>
    </row>
    <row r="30515">
      <c r="A30515" s="4" t="s">
        <v>38427</v>
      </c>
      <c r="B30515" s="4" t="s">
        <v>38428</v>
      </c>
      <c r="C30515" s="5" t="str">
        <f>IFERROR(__xludf.DUMMYFUNCTION("GOOGLETRANSLATE(B30515,""en"",""de"")"),"Ein Mädchen fährt während des Redens in ein Auto.")</f>
        <v>Ein Mädchen fährt während des Redens in ein Auto.</v>
      </c>
    </row>
    <row r="30516">
      <c r="A30516" s="4" t="s">
        <v>38427</v>
      </c>
      <c r="B30516" s="4" t="s">
        <v>38429</v>
      </c>
      <c r="C30516" s="5" t="str">
        <f>IFERROR(__xludf.DUMMYFUNCTION("GOOGLETRANSLATE(B30516,""en"",""de"")"),"Das Mädchen befindet sich in einem durchdringenden Laden, dann reibt ein Mann mit einem Gewebe die Nase und setzt eine Marke.")</f>
        <v>Das Mädchen befindet sich in einem durchdringenden Laden, dann reibt ein Mann mit einem Gewebe die Nase und setzt eine Marke.</v>
      </c>
    </row>
    <row r="30517">
      <c r="A30517" s="4" t="s">
        <v>38427</v>
      </c>
      <c r="B30517" s="4" t="s">
        <v>38430</v>
      </c>
      <c r="C30517" s="5" t="str">
        <f>IFERROR(__xludf.DUMMYFUNCTION("GOOGLETRANSLATE(B30517,""en"",""de"")"),"Danach steckt der Mann die Nase des Mädchens und setzt eine Spitze.")</f>
        <v>Danach steckt der Mann die Nase des Mädchens und setzt eine Spitze.</v>
      </c>
    </row>
    <row r="30518">
      <c r="A30518" s="4" t="s">
        <v>38427</v>
      </c>
      <c r="B30518" s="4" t="s">
        <v>38431</v>
      </c>
      <c r="C30518" s="5" t="str">
        <f>IFERROR(__xludf.DUMMYFUNCTION("GOOGLETRANSLATE(B30518,""en"",""de"")"),"Danach reinigt der Mann die Gegend und das Mädchen trocknet ein paar Tränen auf ihrem Gesicht.")</f>
        <v>Danach reinigt der Mann die Gegend und das Mädchen trocknet ein paar Tränen auf ihrem Gesicht.</v>
      </c>
    </row>
    <row r="30519">
      <c r="A30519" s="4" t="s">
        <v>38427</v>
      </c>
      <c r="B30519" s="4" t="s">
        <v>38432</v>
      </c>
      <c r="C30519" s="5" t="str">
        <f>IFERROR(__xludf.DUMMYFUNCTION("GOOGLETRANSLATE(B30519,""en"",""de"")"),"Danach hält das Mädchen eine Kamera auf dem Gesicht und auf dem Vordergrund und spricht auch durch ihr Piercing.")</f>
        <v>Danach hält das Mädchen eine Kamera auf dem Gesicht und auf dem Vordergrund und spricht auch durch ihr Piercing.</v>
      </c>
    </row>
    <row r="30520">
      <c r="A30520" s="4" t="s">
        <v>38433</v>
      </c>
      <c r="B30520" s="4" t="s">
        <v>38434</v>
      </c>
      <c r="C30520" s="5" t="str">
        <f>IFERROR(__xludf.DUMMYFUNCTION("GOOGLETRANSLATE(B30520,""en"",""de"")"),"Ein Übungsgerät dreht sich auf einem Panel herum, als plötzlich eine Frau erscheint.")</f>
        <v>Ein Übungsgerät dreht sich auf einem Panel herum, als plötzlich eine Frau erscheint.</v>
      </c>
    </row>
    <row r="30521">
      <c r="A30521" s="4" t="s">
        <v>38433</v>
      </c>
      <c r="B30521" s="4" t="s">
        <v>38435</v>
      </c>
      <c r="C30521" s="5" t="str">
        <f>IFERROR(__xludf.DUMMYFUNCTION("GOOGLETRANSLATE(B30521,""en"",""de"")"),"Sie klettert auf die Maschine und beginnt zu trainieren, während die Kamera um ihre Bewegungen schwenkt.")</f>
        <v>Sie klettert auf die Maschine und beginnt zu trainieren, während die Kamera um ihre Bewegungen schwenkt.</v>
      </c>
    </row>
    <row r="30522">
      <c r="A30522" s="4" t="s">
        <v>38433</v>
      </c>
      <c r="B30522" s="4" t="s">
        <v>38436</v>
      </c>
      <c r="C30522" s="5" t="str">
        <f>IFERROR(__xludf.DUMMYFUNCTION("GOOGLETRANSLATE(B30522,""en"",""de"")"),"Sie benutzt weiterhin die Ausrüstung und zeigt schließlich ein Bild der Ausrüstung.")</f>
        <v>Sie benutzt weiterhin die Ausrüstung und zeigt schließlich ein Bild der Ausrüstung.</v>
      </c>
    </row>
    <row r="30523">
      <c r="A30523" s="4" t="s">
        <v>38437</v>
      </c>
      <c r="B30523" s="4" t="s">
        <v>38438</v>
      </c>
      <c r="C30523" s="5" t="str">
        <f>IFERROR(__xludf.DUMMYFUNCTION("GOOGLETRANSLATE(B30523,""en"",""de"")"),"Boy setzt einen Helm und repariert sein Skateboard.")</f>
        <v>Boy setzt einen Helm und repariert sein Skateboard.</v>
      </c>
    </row>
    <row r="30524">
      <c r="A30524" s="4" t="s">
        <v>38437</v>
      </c>
      <c r="B30524" s="4" t="s">
        <v>38439</v>
      </c>
      <c r="C30524" s="5" t="str">
        <f>IFERROR(__xludf.DUMMYFUNCTION("GOOGLETRANSLATE(B30524,""en"",""de"")"),"Junge geht einen Hang hinunter, der an den Häusern vorbeikommt, bis dunkel ist.")</f>
        <v>Junge geht einen Hang hinunter, der an den Häusern vorbeikommt, bis dunkel ist.</v>
      </c>
    </row>
    <row r="30525">
      <c r="A30525" s="4" t="s">
        <v>38440</v>
      </c>
      <c r="B30525" s="4" t="s">
        <v>38441</v>
      </c>
      <c r="C30525" s="5" t="str">
        <f>IFERROR(__xludf.DUMMYFUNCTION("GOOGLETRANSLATE(B30525,""en"",""de"")"),"Ein Mann hackt draußen Holz.")</f>
        <v>Ein Mann hackt draußen Holz.</v>
      </c>
    </row>
    <row r="30526">
      <c r="A30526" s="4" t="s">
        <v>38440</v>
      </c>
      <c r="B30526" s="4" t="s">
        <v>38442</v>
      </c>
      <c r="C30526" s="5" t="str">
        <f>IFERROR(__xludf.DUMMYFUNCTION("GOOGLETRANSLATE(B30526,""en"",""de"")"),"Die Axt bleibt bei seinem ersten Versuch auf dem Holz.")</f>
        <v>Die Axt bleibt bei seinem ersten Versuch auf dem Holz.</v>
      </c>
    </row>
    <row r="30527">
      <c r="A30527" s="4" t="s">
        <v>38440</v>
      </c>
      <c r="B30527" s="4" t="s">
        <v>38443</v>
      </c>
      <c r="C30527" s="5" t="str">
        <f>IFERROR(__xludf.DUMMYFUNCTION("GOOGLETRANSLATE(B30527,""en"",""de"")"),"Der Typ zieht die Axt aus.")</f>
        <v>Der Typ zieht die Axt aus.</v>
      </c>
    </row>
    <row r="30528">
      <c r="A30528" s="4" t="s">
        <v>38440</v>
      </c>
      <c r="B30528" s="4" t="s">
        <v>38444</v>
      </c>
      <c r="C30528" s="5" t="str">
        <f>IFERROR(__xludf.DUMMYFUNCTION("GOOGLETRANSLATE(B30528,""en"",""de"")"),"Der Typ schneidet das Holz immer kleiner und kleiner.")</f>
        <v>Der Typ schneidet das Holz immer kleiner und kleiner.</v>
      </c>
    </row>
    <row r="30529">
      <c r="A30529" s="4" t="s">
        <v>38445</v>
      </c>
      <c r="B30529" s="4" t="s">
        <v>38446</v>
      </c>
      <c r="C30529" s="5" t="str">
        <f>IFERROR(__xludf.DUMMYFUNCTION("GOOGLETRANSLATE(B30529,""en"",""de"")"),"Ein Mann und eine Frau sprechen in einem Stall.")</f>
        <v>Ein Mann und eine Frau sprechen in einem Stall.</v>
      </c>
    </row>
    <row r="30530">
      <c r="A30530" s="4" t="s">
        <v>38445</v>
      </c>
      <c r="B30530" s="4" t="s">
        <v>38447</v>
      </c>
      <c r="C30530" s="5" t="str">
        <f>IFERROR(__xludf.DUMMYFUNCTION("GOOGLETRANSLATE(B30530,""en"",""de"")"),"Der Mann hilft der Frau auf dem Pferd und sie leitet es in der Arena.")</f>
        <v>Der Mann hilft der Frau auf dem Pferd und sie leitet es in der Arena.</v>
      </c>
    </row>
    <row r="30531">
      <c r="A30531" s="4" t="s">
        <v>38445</v>
      </c>
      <c r="B30531" s="4" t="s">
        <v>38448</v>
      </c>
      <c r="C30531" s="5" t="str">
        <f>IFERROR(__xludf.DUMMYFUNCTION("GOOGLETRANSLATE(B30531,""en"",""de"")"),"Die Frau steigt vom Pferd aus und spricht mit der Kamera.")</f>
        <v>Die Frau steigt vom Pferd aus und spricht mit der Kamera.</v>
      </c>
    </row>
    <row r="30532">
      <c r="A30532" s="4" t="s">
        <v>38449</v>
      </c>
      <c r="B30532" s="4" t="s">
        <v>38450</v>
      </c>
      <c r="C30532" s="5" t="str">
        <f>IFERROR(__xludf.DUMMYFUNCTION("GOOGLETRANSLATE(B30532,""en"",""de"")"),"Zwei Männer sitzen auf einer Couch und sehen fern und sprechen zurück und vierten zueinander.")</f>
        <v>Zwei Männer sitzen auf einer Couch und sehen fern und sprechen zurück und vierten zueinander.</v>
      </c>
    </row>
    <row r="30533">
      <c r="A30533" s="4" t="s">
        <v>38449</v>
      </c>
      <c r="B30533" s="4" t="s">
        <v>38451</v>
      </c>
      <c r="C30533" s="5" t="str">
        <f>IFERROR(__xludf.DUMMYFUNCTION("GOOGLETRANSLATE(B30533,""en"",""de"")"),"Ein anderer geht in den Rahmen ein und hält ein Getränk und die beiden Männer sprechen weiter miteinander.")</f>
        <v>Ein anderer geht in den Rahmen ein und hält ein Getränk und die beiden Männer sprechen weiter miteinander.</v>
      </c>
    </row>
    <row r="30534">
      <c r="A30534" s="4" t="s">
        <v>38452</v>
      </c>
      <c r="B30534" s="4" t="s">
        <v>38453</v>
      </c>
      <c r="C30534" s="5" t="str">
        <f>IFERROR(__xludf.DUMMYFUNCTION("GOOGLETRANSLATE(B30534,""en"",""de"")"),"Eine Hand hält eine feuchte Mop -Anmeldung an der Kamera.")</f>
        <v>Eine Hand hält eine feuchte Mop -Anmeldung an der Kamera.</v>
      </c>
    </row>
    <row r="30535">
      <c r="A30535" s="4" t="s">
        <v>38452</v>
      </c>
      <c r="B30535" s="4" t="s">
        <v>38454</v>
      </c>
      <c r="C30535" s="5" t="str">
        <f>IFERROR(__xludf.DUMMYFUNCTION("GOOGLETRANSLATE(B30535,""en"",""de"")"),"Eine Person macht einen Boden, wobei die Kamera nur einen Teil der Person und des Mopps abholt.")</f>
        <v>Eine Person macht einen Boden, wobei die Kamera nur einen Teil der Person und des Mopps abholt.</v>
      </c>
    </row>
    <row r="30536">
      <c r="A30536" s="4" t="s">
        <v>38452</v>
      </c>
      <c r="B30536" s="4" t="s">
        <v>38455</v>
      </c>
      <c r="C30536" s="5" t="str">
        <f>IFERROR(__xludf.DUMMYFUNCTION("GOOGLETRANSLATE(B30536,""en"",""de"")"),"Die Kamera zeigt eine Nahaufnahme des Moppkopfes.")</f>
        <v>Die Kamera zeigt eine Nahaufnahme des Moppkopfes.</v>
      </c>
    </row>
    <row r="30537">
      <c r="A30537" s="4" t="s">
        <v>38456</v>
      </c>
      <c r="B30537" s="4" t="s">
        <v>38457</v>
      </c>
      <c r="C30537" s="5" t="str">
        <f>IFERROR(__xludf.DUMMYFUNCTION("GOOGLETRANSLATE(B30537,""en"",""de"")"),"Ein Mann wird im Kreis gedreht, während er einen Schuss in die Ferne bringt.")</f>
        <v>Ein Mann wird im Kreis gedreht, während er einen Schuss in die Ferne bringt.</v>
      </c>
    </row>
    <row r="30538">
      <c r="A30538" s="4" t="s">
        <v>38456</v>
      </c>
      <c r="B30538" s="4" t="s">
        <v>38458</v>
      </c>
      <c r="C30538" s="5" t="str">
        <f>IFERROR(__xludf.DUMMYFUNCTION("GOOGLETRANSLATE(B30538,""en"",""de"")"),"Mehrere Männer werden dann immer wieder das Objekt an verschiedenen Stellen in die Ferne abwerfen.")</f>
        <v>Mehrere Männer werden dann immer wieder das Objekt an verschiedenen Stellen in die Ferne abwerfen.</v>
      </c>
    </row>
    <row r="30539">
      <c r="A30539" s="4" t="s">
        <v>38459</v>
      </c>
      <c r="B30539" s="4" t="s">
        <v>38460</v>
      </c>
      <c r="C30539" s="5" t="str">
        <f>IFERROR(__xludf.DUMMYFUNCTION("GOOGLETRANSLATE(B30539,""en"",""de"")"),"Ein Intro mit dem Text ""How to Change a Tire"" spielt.")</f>
        <v>Ein Intro mit dem Text "How to Change a Tire" spielt.</v>
      </c>
    </row>
    <row r="30540">
      <c r="A30540" s="4" t="s">
        <v>38459</v>
      </c>
      <c r="B30540" s="4" t="s">
        <v>38461</v>
      </c>
      <c r="C30540" s="5" t="str">
        <f>IFERROR(__xludf.DUMMYFUNCTION("GOOGLETRANSLATE(B30540,""en"",""de"")"),"Eine Frau hat ein Werkzeug, mit dem Sie den Reifen auf einen Felgen legen, während ein Mann das Werkzeug hält.")</f>
        <v>Eine Frau hat ein Werkzeug, mit dem Sie den Reifen auf einen Felgen legen, während ein Mann das Werkzeug hält.</v>
      </c>
    </row>
    <row r="30541">
      <c r="A30541" s="4" t="s">
        <v>38459</v>
      </c>
      <c r="B30541" s="4" t="s">
        <v>38462</v>
      </c>
      <c r="C30541" s="5" t="str">
        <f>IFERROR(__xludf.DUMMYFUNCTION("GOOGLETRANSLATE(B30541,""en"",""de"")"),"Die Frau verwendet dann dasselbe Werkzeug, um den Reifen vom Rand zu entfernen.")</f>
        <v>Die Frau verwendet dann dasselbe Werkzeug, um den Reifen vom Rand zu entfernen.</v>
      </c>
    </row>
    <row r="30542">
      <c r="A30542" s="4" t="s">
        <v>38459</v>
      </c>
      <c r="B30542" s="4" t="s">
        <v>38463</v>
      </c>
      <c r="C30542" s="5" t="str">
        <f>IFERROR(__xludf.DUMMYFUNCTION("GOOGLETRANSLATE(B30542,""en"",""de"")"),"Die Person, die dreht, zeigt den Timer eines iPhone an verschiedenen Stellen, um zu zeigen, wie lange ein Schritt dauern sollte.")</f>
        <v>Die Person, die dreht, zeigt den Timer eines iPhone an verschiedenen Stellen, um zu zeigen, wie lange ein Schritt dauern sollte.</v>
      </c>
    </row>
    <row r="30543">
      <c r="A30543" s="4" t="s">
        <v>38459</v>
      </c>
      <c r="B30543" s="4" t="s">
        <v>38464</v>
      </c>
      <c r="C30543" s="5" t="str">
        <f>IFERROR(__xludf.DUMMYFUNCTION("GOOGLETRANSLATE(B30543,""en"",""de"")"),"Das Werkzeug, das die Stufe aus dem Rand entfernt, wird gezeigt und wie es funktioniert.")</f>
        <v>Das Werkzeug, das die Stufe aus dem Rand entfernt, wird gezeigt und wie es funktioniert.</v>
      </c>
    </row>
    <row r="30544">
      <c r="A30544" s="4" t="s">
        <v>38459</v>
      </c>
      <c r="B30544" s="4" t="s">
        <v>38465</v>
      </c>
      <c r="C30544" s="5" t="str">
        <f>IFERROR(__xludf.DUMMYFUNCTION("GOOGLETRANSLATE(B30544,""en"",""de"")"),"Ein Mann öffnet ein Bridgestone -Schließfach oder eine Maschine, um das Innere zu zeigen.")</f>
        <v>Ein Mann öffnet ein Bridgestone -Schließfach oder eine Maschine, um das Innere zu zeigen.</v>
      </c>
    </row>
    <row r="30545">
      <c r="A30545" s="4" t="s">
        <v>38459</v>
      </c>
      <c r="B30545" s="4" t="s">
        <v>38466</v>
      </c>
      <c r="C30545" s="5" t="str">
        <f>IFERROR(__xludf.DUMMYFUNCTION("GOOGLETRANSLATE(B30545,""en"",""de"")"),"Das Video endet mit einem Bild eines solarbetriebenen Fahrzeugs.")</f>
        <v>Das Video endet mit einem Bild eines solarbetriebenen Fahrzeugs.</v>
      </c>
    </row>
    <row r="30546">
      <c r="A30546" s="4" t="s">
        <v>38467</v>
      </c>
      <c r="B30546" s="4" t="s">
        <v>38468</v>
      </c>
      <c r="C30546" s="5" t="str">
        <f>IFERROR(__xludf.DUMMYFUNCTION("GOOGLETRANSLATE(B30546,""en"",""de"")"),"Menschen Skateboard die Straße einer Stadt entlang.")</f>
        <v>Menschen Skateboard die Straße einer Stadt entlang.</v>
      </c>
    </row>
    <row r="30547">
      <c r="A30547" s="4" t="s">
        <v>38467</v>
      </c>
      <c r="B30547" s="4" t="s">
        <v>38469</v>
      </c>
      <c r="C30547" s="5" t="str">
        <f>IFERROR(__xludf.DUMMYFUNCTION("GOOGLETRANSLATE(B30547,""en"",""de"")"),"Eine Gruppe von Teenagern trifft sich auf der Straße und beobachtet ein Teenager -Skateboard.")</f>
        <v>Eine Gruppe von Teenagern trifft sich auf der Straße und beobachtet ein Teenager -Skateboard.</v>
      </c>
    </row>
    <row r="30548">
      <c r="A30548" s="4" t="s">
        <v>38467</v>
      </c>
      <c r="B30548" s="4" t="s">
        <v>38470</v>
      </c>
      <c r="C30548" s="5" t="str">
        <f>IFERROR(__xludf.DUMMYFUNCTION("GOOGLETRANSLATE(B30548,""en"",""de"")"),"Ein Teenager betritt eine Skateboardrampe und einen Skateboard.")</f>
        <v>Ein Teenager betritt eine Skateboardrampe und einen Skateboard.</v>
      </c>
    </row>
    <row r="30549">
      <c r="A30549" s="4" t="s">
        <v>38467</v>
      </c>
      <c r="B30549" s="4" t="s">
        <v>38471</v>
      </c>
      <c r="C30549" s="5" t="str">
        <f>IFERROR(__xludf.DUMMYFUNCTION("GOOGLETRANSLATE(B30549,""en"",""de"")"),"Ein Junge Skateboards auf einer Straße, die an einer Stadt und einem Feld vorbeikommt.")</f>
        <v>Ein Junge Skateboards auf einer Straße, die an einer Stadt und einem Feld vorbeikommt.</v>
      </c>
    </row>
    <row r="30550">
      <c r="A30550" s="4" t="s">
        <v>38467</v>
      </c>
      <c r="B30550" s="4" t="s">
        <v>38472</v>
      </c>
      <c r="C30550" s="5" t="str">
        <f>IFERROR(__xludf.DUMMYFUNCTION("GOOGLETRANSLATE(B30550,""en"",""de"")"),"Zwei Teenager -Skateboard auf einer Straße.")</f>
        <v>Zwei Teenager -Skateboard auf einer Straße.</v>
      </c>
    </row>
    <row r="30551">
      <c r="A30551" s="4" t="s">
        <v>38473</v>
      </c>
      <c r="B30551" s="4" t="s">
        <v>38474</v>
      </c>
      <c r="C30551" s="5" t="str">
        <f>IFERROR(__xludf.DUMMYFUNCTION("GOOGLETRANSLATE(B30551,""en"",""de"")"),"Acht Menschen stehen im Studio, eine Frau ging im hinteren Teil der Gruppe.")</f>
        <v>Acht Menschen stehen im Studio, eine Frau ging im hinteren Teil der Gruppe.</v>
      </c>
    </row>
    <row r="30552">
      <c r="A30552" s="4" t="s">
        <v>38473</v>
      </c>
      <c r="B30552" s="4" t="s">
        <v>38475</v>
      </c>
      <c r="C30552" s="5" t="str">
        <f>IFERROR(__xludf.DUMMYFUNCTION("GOOGLETRANSLATE(B30552,""en"",""de"")"),"Die Gruppe begann zu tanzen, wirbelte, schüttelte ihre Hüften, drehte sich, ihre Arme und Hände bewegen sich von Seite zu Seite vorne.")</f>
        <v>Die Gruppe begann zu tanzen, wirbelte, schüttelte ihre Hüften, drehte sich, ihre Arme und Hände bewegen sich von Seite zu Seite vorne.</v>
      </c>
    </row>
    <row r="30553">
      <c r="A30553" s="4" t="s">
        <v>38476</v>
      </c>
      <c r="B30553" s="4" t="s">
        <v>38477</v>
      </c>
      <c r="C30553" s="5" t="str">
        <f>IFERROR(__xludf.DUMMYFUNCTION("GOOGLETRANSLATE(B30553,""en"",""de"")"),"Eine Frau steht lächelnd vor einem Spiegel und beginnt ihre Haare zu putzen.")</f>
        <v>Eine Frau steht lächelnd vor einem Spiegel und beginnt ihre Haare zu putzen.</v>
      </c>
    </row>
    <row r="30554">
      <c r="A30554" s="4" t="s">
        <v>38476</v>
      </c>
      <c r="B30554" s="4" t="s">
        <v>38478</v>
      </c>
      <c r="C30554" s="5" t="str">
        <f>IFERROR(__xludf.DUMMYFUNCTION("GOOGLETRANSLATE(B30554,""en"",""de"")"),"Sie streift weiterhin die Haare und sieht sich im Spiegel an.")</f>
        <v>Sie streift weiterhin die Haare und sieht sich im Spiegel an.</v>
      </c>
    </row>
    <row r="30555">
      <c r="A30555" s="4" t="s">
        <v>38479</v>
      </c>
      <c r="B30555" s="4" t="s">
        <v>38480</v>
      </c>
      <c r="C30555" s="5" t="str">
        <f>IFERROR(__xludf.DUMMYFUNCTION("GOOGLETRANSLATE(B30555,""en"",""de"")"),"Ein Mann steht draußen auf einem Bürgersteig mit einer silbernen Kamera in der Hand und dreht etwas.")</f>
        <v>Ein Mann steht draußen auf einem Bürgersteig mit einer silbernen Kamera in der Hand und dreht etwas.</v>
      </c>
    </row>
    <row r="30556">
      <c r="A30556" s="4" t="s">
        <v>38479</v>
      </c>
      <c r="B30556" s="4" t="s">
        <v>38481</v>
      </c>
      <c r="C30556" s="5" t="str">
        <f>IFERROR(__xludf.DUMMYFUNCTION("GOOGLETRANSLATE(B30556,""en"",""de"")"),"Während sich die Kamera dreht, filmt der Mann jemanden auf einem einsitzenden Paddel, während er eine Tüte Pfeifen spielt.")</f>
        <v>Während sich die Kamera dreht, filmt der Mann jemanden auf einem einsitzenden Paddel, während er eine Tüte Pfeifen spielt.</v>
      </c>
    </row>
    <row r="30557">
      <c r="A30557" s="4" t="s">
        <v>38479</v>
      </c>
      <c r="B30557" s="4" t="s">
        <v>38482</v>
      </c>
      <c r="C30557" s="5" t="str">
        <f>IFERROR(__xludf.DUMMYFUNCTION("GOOGLETRANSLATE(B30557,""en"",""de"")"),"Der Mann fährt fort und ein Gruop von Menschen dreht sich um ihn herum und beobachtet ihn, bis er vom Steuer fällt.")</f>
        <v>Der Mann fährt fort und ein Gruop von Menschen dreht sich um ihn herum und beobachtet ihn, bis er vom Steuer fällt.</v>
      </c>
    </row>
    <row r="30558">
      <c r="A30558" s="4" t="s">
        <v>38483</v>
      </c>
      <c r="B30558" s="4" t="s">
        <v>38484</v>
      </c>
      <c r="C30558" s="5" t="str">
        <f>IFERROR(__xludf.DUMMYFUNCTION("GOOGLETRANSLATE(B30558,""en"",""de"")"),"Der Mensch nähert sich den Gewichten vor ihm.")</f>
        <v>Der Mensch nähert sich den Gewichten vor ihm.</v>
      </c>
    </row>
    <row r="30559">
      <c r="A30559" s="4" t="s">
        <v>38483</v>
      </c>
      <c r="B30559" s="4" t="s">
        <v>38485</v>
      </c>
      <c r="C30559" s="5" t="str">
        <f>IFERROR(__xludf.DUMMYFUNCTION("GOOGLETRANSLATE(B30559,""en"",""de"")"),"Der Mann hebt Gewichte und lässt sie auf den Boden fallen.")</f>
        <v>Der Mann hebt Gewichte und lässt sie auf den Boden fallen.</v>
      </c>
    </row>
    <row r="30560">
      <c r="A30560" s="4" t="s">
        <v>38483</v>
      </c>
      <c r="B30560" s="4" t="s">
        <v>38486</v>
      </c>
      <c r="C30560" s="5" t="str">
        <f>IFERROR(__xludf.DUMMYFUNCTION("GOOGLETRANSLATE(B30560,""en"",""de"")"),"Der Mann hebt Gewichte und hält sie für eine Weile.")</f>
        <v>Der Mann hebt Gewichte und hält sie für eine Weile.</v>
      </c>
    </row>
    <row r="30561">
      <c r="A30561" s="4" t="s">
        <v>38483</v>
      </c>
      <c r="B30561" s="4" t="s">
        <v>38487</v>
      </c>
      <c r="C30561" s="5" t="str">
        <f>IFERROR(__xludf.DUMMYFUNCTION("GOOGLETRANSLATE(B30561,""en"",""de"")"),"Der Mann schüttelt die Hände zum Feiern.")</f>
        <v>Der Mann schüttelt die Hände zum Feiern.</v>
      </c>
    </row>
    <row r="30562">
      <c r="A30562" s="4" t="s">
        <v>38483</v>
      </c>
      <c r="B30562" s="4" t="s">
        <v>38488</v>
      </c>
      <c r="C30562" s="5" t="str">
        <f>IFERROR(__xludf.DUMMYFUNCTION("GOOGLETRANSLATE(B30562,""en"",""de"")"),"Der Mensch feiert feiern.")</f>
        <v>Der Mensch feiert feiern.</v>
      </c>
    </row>
    <row r="30563">
      <c r="A30563" s="4" t="s">
        <v>38489</v>
      </c>
      <c r="B30563" s="4" t="s">
        <v>38490</v>
      </c>
      <c r="C30563" s="5" t="str">
        <f>IFERROR(__xludf.DUMMYFUNCTION("GOOGLETRANSLATE(B30563,""en"",""de"")"),"Ein Boot segelt im abgehackten Wasser eines Ozeans.")</f>
        <v>Ein Boot segelt im abgehackten Wasser eines Ozeans.</v>
      </c>
    </row>
    <row r="30564">
      <c r="A30564" s="4" t="s">
        <v>38489</v>
      </c>
      <c r="B30564" s="4" t="s">
        <v>38491</v>
      </c>
      <c r="C30564" s="5" t="str">
        <f>IFERROR(__xludf.DUMMYFUNCTION("GOOGLETRANSLATE(B30564,""en"",""de"")"),"Die großen Wellen bewegt das Boot auf und ab.")</f>
        <v>Die großen Wellen bewegt das Boot auf und ab.</v>
      </c>
    </row>
    <row r="30565">
      <c r="A30565" s="4" t="s">
        <v>38489</v>
      </c>
      <c r="B30565" s="4" t="s">
        <v>38492</v>
      </c>
      <c r="C30565" s="5" t="str">
        <f>IFERROR(__xludf.DUMMYFUNCTION("GOOGLETRANSLATE(B30565,""en"",""de"")"),"Eine Person steht auf dem Boot mit dunklen Kleidern.")</f>
        <v>Eine Person steht auf dem Boot mit dunklen Kleidern.</v>
      </c>
    </row>
    <row r="30566">
      <c r="A30566" s="4" t="s">
        <v>38493</v>
      </c>
      <c r="B30566" s="4" t="s">
        <v>38494</v>
      </c>
      <c r="C30566" s="5" t="str">
        <f>IFERROR(__xludf.DUMMYFUNCTION("GOOGLETRANSLATE(B30566,""en"",""de"")"),"Eine große Gruppe von Menschen wandert um eine Arena herum, als ein Mann zu einem Gewicht tritt.")</f>
        <v>Eine große Gruppe von Menschen wandert um eine Arena herum, als ein Mann zu einem Gewicht tritt.</v>
      </c>
    </row>
    <row r="30567">
      <c r="A30567" s="4" t="s">
        <v>38493</v>
      </c>
      <c r="B30567" s="4" t="s">
        <v>38495</v>
      </c>
      <c r="C30567" s="5" t="str">
        <f>IFERROR(__xludf.DUMMYFUNCTION("GOOGLETRANSLATE(B30567,""en"",""de"")"),"Der Mann hebt das Gewicht über seinen Kopf und wirft es auf den Boden.")</f>
        <v>Der Mann hebt das Gewicht über seinen Kopf und wirft es auf den Boden.</v>
      </c>
    </row>
    <row r="30568">
      <c r="A30568" s="4" t="s">
        <v>38493</v>
      </c>
      <c r="B30568" s="4" t="s">
        <v>38496</v>
      </c>
      <c r="C30568" s="5" t="str">
        <f>IFERROR(__xludf.DUMMYFUNCTION("GOOGLETRANSLATE(B30568,""en"",""de"")"),"Mehrere weitere Männer versuchen, das Gewicht zu heben, wobei andere erfolgreich sind und jubeln und andere das Gewicht fallen lassen.")</f>
        <v>Mehrere weitere Männer versuchen, das Gewicht zu heben, wobei andere erfolgreich sind und jubeln und andere das Gewicht fallen lassen.</v>
      </c>
    </row>
    <row r="30569">
      <c r="A30569" s="4" t="s">
        <v>38497</v>
      </c>
      <c r="B30569" s="4" t="s">
        <v>38498</v>
      </c>
      <c r="C30569" s="5" t="str">
        <f>IFERROR(__xludf.DUMMYFUNCTION("GOOGLETRANSLATE(B30569,""en"",""de"")"),"Grafiken mit ""FCC Presents"", gefolgt von ""The Great Innen im Innenräumen mit Tracy Briggs"", erscheinen auf dem Bildschirm.")</f>
        <v>Grafiken mit "FCC Presents", gefolgt von "The Great Innen im Innenräumen mit Tracy Briggs", erscheinen auf dem Bildschirm.</v>
      </c>
    </row>
    <row r="30570">
      <c r="A30570" s="4" t="s">
        <v>38497</v>
      </c>
      <c r="B30570" s="4" t="s">
        <v>38499</v>
      </c>
      <c r="C30570" s="5" t="str">
        <f>IFERROR(__xludf.DUMMYFUNCTION("GOOGLETRANSLATE(B30570,""en"",""de"")"),"Briggs spricht aus einer Küche mit der Kamera.")</f>
        <v>Briggs spricht aus einer Küche mit der Kamera.</v>
      </c>
    </row>
    <row r="30571">
      <c r="A30571" s="4" t="s">
        <v>38497</v>
      </c>
      <c r="B30571" s="4" t="s">
        <v>38500</v>
      </c>
      <c r="C30571" s="5" t="str">
        <f>IFERROR(__xludf.DUMMYFUNCTION("GOOGLETRANSLATE(B30571,""en"",""de"")"),"Sie beginnt eine Kartoffel und Tomtatos zum Essen zuzubereiten.")</f>
        <v>Sie beginnt eine Kartoffel und Tomtatos zum Essen zuzubereiten.</v>
      </c>
    </row>
    <row r="30572">
      <c r="A30572" s="4" t="s">
        <v>38501</v>
      </c>
      <c r="B30572" s="4" t="s">
        <v>38502</v>
      </c>
      <c r="C30572" s="5" t="str">
        <f>IFERROR(__xludf.DUMMYFUNCTION("GOOGLETRANSLATE(B30572,""en"",""de"")"),"Eine Frau sitzt im Rollstuhl, der in die Kamera schaut und sich auf eine Seite rägt.")</f>
        <v>Eine Frau sitzt im Rollstuhl, der in die Kamera schaut und sich auf eine Seite rägt.</v>
      </c>
    </row>
    <row r="30573">
      <c r="A30573" s="4" t="s">
        <v>38501</v>
      </c>
      <c r="B30573" s="4" t="s">
        <v>38503</v>
      </c>
      <c r="C30573" s="5" t="str">
        <f>IFERROR(__xludf.DUMMYFUNCTION("GOOGLETRANSLATE(B30573,""en"",""de"")"),"Sie legt dann ihre Schuhe mit Hilfe eines anderen Mannes an, während sie dennoch zur Kamera lächelt.")</f>
        <v>Sie legt dann ihre Schuhe mit Hilfe eines anderen Mannes an, während sie dennoch zur Kamera lächelt.</v>
      </c>
    </row>
    <row r="30574">
      <c r="A30574" s="4" t="s">
        <v>38501</v>
      </c>
      <c r="B30574" s="4" t="s">
        <v>38504</v>
      </c>
      <c r="C30574" s="5" t="str">
        <f>IFERROR(__xludf.DUMMYFUNCTION("GOOGLETRANSLATE(B30574,""en"",""de"")"),"Sie rädert sich weg und klatscht am Ende.")</f>
        <v>Sie rädert sich weg und klatscht am Ende.</v>
      </c>
    </row>
    <row r="30575">
      <c r="A30575" s="4" t="s">
        <v>38505</v>
      </c>
      <c r="B30575" s="4" t="s">
        <v>38506</v>
      </c>
      <c r="C30575" s="5" t="str">
        <f>IFERROR(__xludf.DUMMYFUNCTION("GOOGLETRANSLATE(B30575,""en"",""de"")"),"Der Küchenchef beginnt mit dem Entfernen und Schnitt des Endivals.")</f>
        <v>Der Küchenchef beginnt mit dem Entfernen und Schnitt des Endivals.</v>
      </c>
    </row>
    <row r="30576">
      <c r="A30576" s="4" t="s">
        <v>38505</v>
      </c>
      <c r="B30576" s="4" t="s">
        <v>38507</v>
      </c>
      <c r="C30576" s="5" t="str">
        <f>IFERROR(__xludf.DUMMYFUNCTION("GOOGLETRANSLATE(B30576,""en"",""de"")"),"Der Küchenchef legt sie dann in einen Mülleimer, danach schneidet und schält er mehr.")</f>
        <v>Der Küchenchef legt sie dann in einen Mülleimer, danach schneidet und schält er mehr.</v>
      </c>
    </row>
    <row r="30577">
      <c r="A30577" s="4" t="s">
        <v>38505</v>
      </c>
      <c r="B30577" s="4" t="s">
        <v>38508</v>
      </c>
      <c r="C30577" s="5" t="str">
        <f>IFERROR(__xludf.DUMMYFUNCTION("GOOGLETRANSLATE(B30577,""en"",""de"")"),"Der Küchenchef schlägt dann Romaine und legt sie in einen silbernen Behälter und mischt Endiv mit der Romaine.")</f>
        <v>Der Küchenchef schlägt dann Romaine und legt sie in einen silbernen Behälter und mischt Endiv mit der Romaine.</v>
      </c>
    </row>
    <row r="30578">
      <c r="A30578" s="4" t="s">
        <v>38505</v>
      </c>
      <c r="B30578" s="4" t="s">
        <v>38509</v>
      </c>
      <c r="C30578" s="5" t="str">
        <f>IFERROR(__xludf.DUMMYFUNCTION("GOOGLETRANSLATE(B30578,""en"",""de"")"),"Schließlich entfernt er die Salatmischung mit einem Dressing aus einer runden silbernen Schüssel und legt den Salat auf einen weißen Teller.")</f>
        <v>Schließlich entfernt er die Salatmischung mit einem Dressing aus einer runden silbernen Schüssel und legt den Salat auf einen weißen Teller.</v>
      </c>
    </row>
    <row r="30579">
      <c r="A30579" s="4" t="s">
        <v>38510</v>
      </c>
      <c r="B30579" s="4" t="s">
        <v>38511</v>
      </c>
      <c r="C30579" s="5" t="str">
        <f>IFERROR(__xludf.DUMMYFUNCTION("GOOGLETRANSLATE(B30579,""en"",""de"")"),"Mehrere Menschen surfen auf einer großen Welle im Wasser.")</f>
        <v>Mehrere Menschen surfen auf einer großen Welle im Wasser.</v>
      </c>
    </row>
    <row r="30580">
      <c r="A30580" s="4" t="s">
        <v>38510</v>
      </c>
      <c r="B30580" s="4" t="s">
        <v>38512</v>
      </c>
      <c r="C30580" s="5" t="str">
        <f>IFERROR(__xludf.DUMMYFUNCTION("GOOGLETRANSLATE(B30580,""en"",""de"")"),"Ein Mann und ein kleines Mädchen schwimmen im Wasser.")</f>
        <v>Ein Mann und ein kleines Mädchen schwimmen im Wasser.</v>
      </c>
    </row>
    <row r="30581">
      <c r="A30581" s="4" t="s">
        <v>38513</v>
      </c>
      <c r="B30581" s="4" t="s">
        <v>38514</v>
      </c>
      <c r="C30581" s="5" t="str">
        <f>IFERROR(__xludf.DUMMYFUNCTION("GOOGLETRANSLATE(B30581,""en"",""de"")"),"Ein kleines Kind tritt mitten in einem Raum herum.")</f>
        <v>Ein kleines Kind tritt mitten in einem Raum herum.</v>
      </c>
    </row>
    <row r="30582">
      <c r="A30582" s="4" t="s">
        <v>38513</v>
      </c>
      <c r="B30582" s="4" t="s">
        <v>38515</v>
      </c>
      <c r="C30582" s="5" t="str">
        <f>IFERROR(__xludf.DUMMYFUNCTION("GOOGLETRANSLATE(B30582,""en"",""de"")"),"Das Kind tritt beide Beine herum, während die Kamera herumnimmt.")</f>
        <v>Das Kind tritt beide Beine herum, während die Kamera herumnimmt.</v>
      </c>
    </row>
    <row r="30583">
      <c r="A30583" s="4" t="s">
        <v>38513</v>
      </c>
      <c r="B30583" s="4" t="s">
        <v>38516</v>
      </c>
      <c r="C30583" s="5" t="str">
        <f>IFERROR(__xludf.DUMMYFUNCTION("GOOGLETRANSLATE(B30583,""en"",""de"")"),"Ein anderes Kind tritt auf die Seite, während ein Hund in und aus dem Rahmen geht.")</f>
        <v>Ein anderes Kind tritt auf die Seite, während ein Hund in und aus dem Rahmen geht.</v>
      </c>
    </row>
    <row r="30584">
      <c r="A30584" s="4" t="s">
        <v>38517</v>
      </c>
      <c r="B30584" s="4" t="s">
        <v>38518</v>
      </c>
      <c r="C30584" s="5" t="str">
        <f>IFERROR(__xludf.DUMMYFUNCTION("GOOGLETRANSLATE(B30584,""en"",""de"")"),"Ein kleines Kind, das eine Perücke trägt, hält eine Geige und spricht mit der Kamera.")</f>
        <v>Ein kleines Kind, das eine Perücke trägt, hält eine Geige und spricht mit der Kamera.</v>
      </c>
    </row>
    <row r="30585">
      <c r="A30585" s="4" t="s">
        <v>38517</v>
      </c>
      <c r="B30585" s="4" t="s">
        <v>38519</v>
      </c>
      <c r="C30585" s="5" t="str">
        <f>IFERROR(__xludf.DUMMYFUNCTION("GOOGLETRANSLATE(B30585,""en"",""de"")"),"Sie spielt dann ein Lied auf der Geige, die seine Arme und Hände zurück und vierten bewegt und endet, indem er in die Ferne spricht.")</f>
        <v>Sie spielt dann ein Lied auf der Geige, die seine Arme und Hände zurück und vierten bewegt und endet, indem er in die Ferne spricht.</v>
      </c>
    </row>
    <row r="30586">
      <c r="A30586" s="4" t="s">
        <v>38520</v>
      </c>
      <c r="B30586" s="4" t="s">
        <v>38521</v>
      </c>
      <c r="C30586" s="5" t="str">
        <f>IFERROR(__xludf.DUMMYFUNCTION("GOOGLETRANSLATE(B30586,""en"",""de"")"),"Ein Mann spricht mit der Kamera und präsentiert sein Messer und sein Spitzer.")</f>
        <v>Ein Mann spricht mit der Kamera und präsentiert sein Messer und sein Spitzer.</v>
      </c>
    </row>
    <row r="30587">
      <c r="A30587" s="4" t="s">
        <v>38520</v>
      </c>
      <c r="B30587" s="4" t="s">
        <v>38522</v>
      </c>
      <c r="C30587" s="5" t="str">
        <f>IFERROR(__xludf.DUMMYFUNCTION("GOOGLETRANSLATE(B30587,""en"",""de"")"),"Dann gleitet er das Messer über den Spitzer und zeigt, wie andere Messer mit verschiedenen Spitzer arbeiten.")</f>
        <v>Dann gleitet er das Messer über den Spitzer und zeigt, wie andere Messer mit verschiedenen Spitzer arbeiten.</v>
      </c>
    </row>
    <row r="30588">
      <c r="A30588" s="4" t="s">
        <v>38520</v>
      </c>
      <c r="B30588" s="4" t="s">
        <v>38523</v>
      </c>
      <c r="C30588" s="5" t="str">
        <f>IFERROR(__xludf.DUMMYFUNCTION("GOOGLETRANSLATE(B30588,""en"",""de"")"),"Er präsentiert das Messer ein letztes Mal, während er immer noch mit der Kamera spricht.")</f>
        <v>Er präsentiert das Messer ein letztes Mal, während er immer noch mit der Kamera spricht.</v>
      </c>
    </row>
    <row r="30589">
      <c r="A30589" s="4" t="s">
        <v>38524</v>
      </c>
      <c r="B30589" s="4" t="s">
        <v>38525</v>
      </c>
      <c r="C30589" s="5" t="str">
        <f>IFERROR(__xludf.DUMMYFUNCTION("GOOGLETRANSLATE(B30589,""en"",""de"")"),"Ein Mann wischt einen Boden.")</f>
        <v>Ein Mann wischt einen Boden.</v>
      </c>
    </row>
    <row r="30590">
      <c r="A30590" s="4" t="s">
        <v>38524</v>
      </c>
      <c r="B30590" s="4" t="s">
        <v>38526</v>
      </c>
      <c r="C30590" s="5" t="str">
        <f>IFERROR(__xludf.DUMMYFUNCTION("GOOGLETRANSLATE(B30590,""en"",""de"")"),"Eine Frau isst.")</f>
        <v>Eine Frau isst.</v>
      </c>
    </row>
    <row r="30591">
      <c r="A30591" s="4" t="s">
        <v>38527</v>
      </c>
      <c r="B30591" s="4" t="s">
        <v>38528</v>
      </c>
      <c r="C30591" s="5" t="str">
        <f>IFERROR(__xludf.DUMMYFUNCTION("GOOGLETRANSLATE(B30591,""en"",""de"")"),"Eine Person wäscht dort Hände und schließt einen Waschbeckenabfluss.")</f>
        <v>Eine Person wäscht dort Hände und schließt einen Waschbeckenabfluss.</v>
      </c>
    </row>
    <row r="30592">
      <c r="A30592" s="4" t="s">
        <v>38527</v>
      </c>
      <c r="B30592" s="4" t="s">
        <v>38529</v>
      </c>
      <c r="C30592" s="5" t="str">
        <f>IFERROR(__xludf.DUMMYFUNCTION("GOOGLETRANSLATE(B30592,""en"",""de"")"),"Die Person entfernt einen Kontakt aus dem Behälter und stellt sich auf die Fingerspitze.")</f>
        <v>Die Person entfernt einen Kontakt aus dem Behälter und stellt sich auf die Fingerspitze.</v>
      </c>
    </row>
    <row r="30593">
      <c r="A30593" s="4" t="s">
        <v>38527</v>
      </c>
      <c r="B30593" s="4" t="s">
        <v>38530</v>
      </c>
      <c r="C30593" s="5" t="str">
        <f>IFERROR(__xludf.DUMMYFUNCTION("GOOGLETRANSLATE(B30593,""en"",""de"")"),"Die Person hält jeweils ein Augenlid und fügt den Kontakt in ihr Auge ein.")</f>
        <v>Die Person hält jeweils ein Augenlid und fügt den Kontakt in ihr Auge ein.</v>
      </c>
    </row>
    <row r="30594">
      <c r="A30594" s="4" t="s">
        <v>38527</v>
      </c>
      <c r="B30594" s="4" t="s">
        <v>38531</v>
      </c>
      <c r="C30594" s="5" t="str">
        <f>IFERROR(__xludf.DUMMYFUNCTION("GOOGLETRANSLATE(B30594,""en"",""de"")"),"Eine sauberere Lösung wird in den Behälter gesprüht, um ihn auszuräumen.")</f>
        <v>Eine sauberere Lösung wird in den Behälter gesprüht, um ihn auszuräumen.</v>
      </c>
    </row>
    <row r="30595">
      <c r="A30595" s="4" t="s">
        <v>38527</v>
      </c>
      <c r="B30595" s="4" t="s">
        <v>38532</v>
      </c>
      <c r="C30595" s="5" t="str">
        <f>IFERROR(__xludf.DUMMYFUNCTION("GOOGLETRANSLATE(B30595,""en"",""de"")"),"Die Kontaktlinse wird aus dem Auge entfernt.")</f>
        <v>Die Kontaktlinse wird aus dem Auge entfernt.</v>
      </c>
    </row>
    <row r="30596">
      <c r="A30596" s="4" t="s">
        <v>38527</v>
      </c>
      <c r="B30596" s="4" t="s">
        <v>38533</v>
      </c>
      <c r="C30596" s="5" t="str">
        <f>IFERROR(__xludf.DUMMYFUNCTION("GOOGLETRANSLATE(B30596,""en"",""de"")"),"Die Lösung wird auf die Kontaktlinse besprüht, die in der Handfläche einer Hand ruht, bevor sie wieder auf die Theke gelegt wird.")</f>
        <v>Die Lösung wird auf die Kontaktlinse besprüht, die in der Handfläche einer Hand ruht, bevor sie wieder auf die Theke gelegt wird.</v>
      </c>
    </row>
    <row r="30597">
      <c r="A30597" s="4" t="s">
        <v>38534</v>
      </c>
      <c r="B30597" s="4" t="s">
        <v>38535</v>
      </c>
      <c r="C30597" s="5" t="str">
        <f>IFERROR(__xludf.DUMMYFUNCTION("GOOGLETRANSLATE(B30597,""en"",""de"")"),"Eine Reihe von Masken befindet sich auf einer Tabelle.")</f>
        <v>Eine Reihe von Masken befindet sich auf einer Tabelle.</v>
      </c>
    </row>
    <row r="30598">
      <c r="A30598" s="4" t="s">
        <v>38534</v>
      </c>
      <c r="B30598" s="4" t="s">
        <v>38536</v>
      </c>
      <c r="C30598" s="5" t="str">
        <f>IFERROR(__xludf.DUMMYFUNCTION("GOOGLETRANSLATE(B30598,""en"",""de"")"),"Ein Yorkie -Hund wird aus mehreren Blickwinkeln gezeigt.")</f>
        <v>Ein Yorkie -Hund wird aus mehreren Blickwinkeln gezeigt.</v>
      </c>
    </row>
    <row r="30599">
      <c r="A30599" s="4" t="s">
        <v>38534</v>
      </c>
      <c r="B30599" s="4" t="s">
        <v>38537</v>
      </c>
      <c r="C30599" s="5" t="str">
        <f>IFERROR(__xludf.DUMMYFUNCTION("GOOGLETRANSLATE(B30599,""en"",""de"")"),"Wir sehen dann den Hund, der Wettbewerbe gewinnt und gepflegt wird.")</f>
        <v>Wir sehen dann den Hund, der Wettbewerbe gewinnt und gepflegt wird.</v>
      </c>
    </row>
    <row r="30600">
      <c r="A30600" s="4" t="s">
        <v>38538</v>
      </c>
      <c r="B30600" s="4" t="s">
        <v>1487</v>
      </c>
      <c r="C30600" s="5" t="str">
        <f>IFERROR(__xludf.DUMMYFUNCTION("GOOGLETRANSLATE(B30600,""en"",""de"")"),"Wir sehen einen Öffnungsbildschirm.")</f>
        <v>Wir sehen einen Öffnungsbildschirm.</v>
      </c>
    </row>
    <row r="30601">
      <c r="A30601" s="4" t="s">
        <v>38538</v>
      </c>
      <c r="B30601" s="4" t="s">
        <v>38539</v>
      </c>
      <c r="C30601" s="5" t="str">
        <f>IFERROR(__xludf.DUMMYFUNCTION("GOOGLETRANSLATE(B30601,""en"",""de"")"),"Wir sehen einen elektrischen Rasierer aus verschiedenen Winkeln.")</f>
        <v>Wir sehen einen elektrischen Rasierer aus verschiedenen Winkeln.</v>
      </c>
    </row>
    <row r="30602">
      <c r="A30602" s="4" t="s">
        <v>38538</v>
      </c>
      <c r="B30602" s="4" t="s">
        <v>38540</v>
      </c>
      <c r="C30602" s="5" t="str">
        <f>IFERROR(__xludf.DUMMYFUNCTION("GOOGLETRANSLATE(B30602,""en"",""de"")"),"Der Mann packt das Produkt aus und nimmt es aus der Tasche.")</f>
        <v>Der Mann packt das Produkt aus und nimmt es aus der Tasche.</v>
      </c>
    </row>
    <row r="30603">
      <c r="A30603" s="4" t="s">
        <v>38538</v>
      </c>
      <c r="B30603" s="4" t="s">
        <v>38541</v>
      </c>
      <c r="C30603" s="5" t="str">
        <f>IFERROR(__xludf.DUMMYFUNCTION("GOOGLETRANSLATE(B30603,""en"",""de"")"),"Das Produkt wird aus seiner Verpackung herausgenommen.")</f>
        <v>Das Produkt wird aus seiner Verpackung herausgenommen.</v>
      </c>
    </row>
    <row r="30604">
      <c r="A30604" s="4" t="s">
        <v>38538</v>
      </c>
      <c r="B30604" s="4" t="s">
        <v>38542</v>
      </c>
      <c r="C30604" s="5" t="str">
        <f>IFERROR(__xludf.DUMMYFUNCTION("GOOGLETRANSLATE(B30604,""en"",""de"")"),"Der Mann rasiert seine Hand, fügt dann eine Wache hinzu und rasiert seinen Bart und den Haaransatz hinten.")</f>
        <v>Der Mann rasiert seine Hand, fügt dann eine Wache hinzu und rasiert seinen Bart und den Haaransatz hinten.</v>
      </c>
    </row>
    <row r="30605">
      <c r="A30605" s="4" t="s">
        <v>38538</v>
      </c>
      <c r="B30605" s="4" t="s">
        <v>38543</v>
      </c>
      <c r="C30605" s="5" t="str">
        <f>IFERROR(__xludf.DUMMYFUNCTION("GOOGLETRANSLATE(B30605,""en"",""de"")"),"Der Mann spügt den Rasierer und arbeitet an seinem Hals.")</f>
        <v>Der Mann spügt den Rasierer und arbeitet an seinem Hals.</v>
      </c>
    </row>
    <row r="30606">
      <c r="A30606" s="4" t="s">
        <v>38538</v>
      </c>
      <c r="B30606" s="4" t="s">
        <v>4452</v>
      </c>
      <c r="C30606" s="5" t="str">
        <f>IFERROR(__xludf.DUMMYFUNCTION("GOOGLETRANSLATE(B30606,""en"",""de"")"),"Wir sehen dann den Endbildschirm.")</f>
        <v>Wir sehen dann den Endbildschirm.</v>
      </c>
    </row>
    <row r="30607">
      <c r="A30607" s="4" t="s">
        <v>38544</v>
      </c>
      <c r="B30607" s="4" t="s">
        <v>38545</v>
      </c>
      <c r="C30607" s="5" t="str">
        <f>IFERROR(__xludf.DUMMYFUNCTION("GOOGLETRANSLATE(B30607,""en"",""de"")"),"Ein Mann und eine Frau, die in Schneekleidung gekleidet ist, gehen im Schnee und sie beginnen mit der handgehaltenen, langen Drills der rot gehaltenen Kurbel in den Eisgelände zu bohren.")</f>
        <v>Ein Mann und eine Frau, die in Schneekleidung gekleidet ist, gehen im Schnee und sie beginnen mit der handgehaltenen, langen Drills der rot gehaltenen Kurbel in den Eisgelände zu bohren.</v>
      </c>
    </row>
    <row r="30608">
      <c r="A30608" s="4" t="s">
        <v>38544</v>
      </c>
      <c r="B30608" s="4" t="s">
        <v>38546</v>
      </c>
      <c r="C30608" s="5" t="str">
        <f>IFERROR(__xludf.DUMMYFUNCTION("GOOGLETRANSLATE(B30608,""en"",""de"")"),"Wenn sie ein Loch im Eis machen, legten sie ihren Fischerdraht mit Köder in das Loch und beginnen das Eisfischen, bis die Frau einen Fisch fängt.")</f>
        <v>Wenn sie ein Loch im Eis machen, legten sie ihren Fischerdraht mit Köder in das Loch und beginnen das Eisfischen, bis die Frau einen Fisch fängt.</v>
      </c>
    </row>
    <row r="30609">
      <c r="A30609" s="4" t="s">
        <v>38544</v>
      </c>
      <c r="B30609" s="4" t="s">
        <v>38547</v>
      </c>
      <c r="C30609" s="5" t="str">
        <f>IFERROR(__xludf.DUMMYFUNCTION("GOOGLETRANSLATE(B30609,""en"",""de"")"),"Nach dem Fischen sind sie jetzt bei einem Holzfeuer und der Fisch kocht auf dem Holz.")</f>
        <v>Nach dem Fischen sind sie jetzt bei einem Holzfeuer und der Fisch kocht auf dem Holz.</v>
      </c>
    </row>
    <row r="30610">
      <c r="A30610" s="4" t="s">
        <v>38548</v>
      </c>
      <c r="B30610" s="4" t="s">
        <v>38549</v>
      </c>
      <c r="C30610" s="5" t="str">
        <f>IFERROR(__xludf.DUMMYFUNCTION("GOOGLETRANSLATE(B30610,""en"",""de"")"),"Eine Frau, die in einer eingereichten Hand an der Hand trainiert.")</f>
        <v>Eine Frau, die in einer eingereichten Hand an der Hand trainiert.</v>
      </c>
    </row>
    <row r="30611">
      <c r="A30611" s="4" t="s">
        <v>38548</v>
      </c>
      <c r="B30611" s="4" t="s">
        <v>38550</v>
      </c>
      <c r="C30611" s="5" t="str">
        <f>IFERROR(__xludf.DUMMYFUNCTION("GOOGLETRANSLATE(B30611,""en"",""de"")"),"Die Frau trainiert auf dem Ozean den Stock an ihrem Hals.")</f>
        <v>Die Frau trainiert auf dem Ozean den Stock an ihrem Hals.</v>
      </c>
    </row>
    <row r="30612">
      <c r="A30612" s="4" t="s">
        <v>38548</v>
      </c>
      <c r="B30612" s="4" t="s">
        <v>38551</v>
      </c>
      <c r="C30612" s="5" t="str">
        <f>IFERROR(__xludf.DUMMYFUNCTION("GOOGLETRANSLATE(B30612,""en"",""de"")"),"Dann wirft die Frau den Stock in die Luft.")</f>
        <v>Dann wirft die Frau den Stock in die Luft.</v>
      </c>
    </row>
    <row r="30613">
      <c r="A30613" s="4" t="s">
        <v>38548</v>
      </c>
      <c r="B30613" s="4" t="s">
        <v>38552</v>
      </c>
      <c r="C30613" s="5" t="str">
        <f>IFERROR(__xludf.DUMMYFUNCTION("GOOGLETRANSLATE(B30613,""en"",""de"")"),"Danach passt die Frau den Stock von Hand zu einem anderen an ihrem gefalteten Arm.")</f>
        <v>Danach passt die Frau den Stock von Hand zu einem anderen an ihrem gefalteten Arm.</v>
      </c>
    </row>
    <row r="30614">
      <c r="A30614" s="4" t="s">
        <v>38553</v>
      </c>
      <c r="B30614" s="4" t="s">
        <v>38554</v>
      </c>
      <c r="C30614" s="5" t="str">
        <f>IFERROR(__xludf.DUMMYFUNCTION("GOOGLETRANSLATE(B30614,""en"",""de"")"),"Zwei Männer in gepolsterten Sumo -Kostümen werden an einem Schleppseil an einem Skigisten gezogen.")</f>
        <v>Zwei Männer in gepolsterten Sumo -Kostümen werden an einem Schleppseil an einem Skigisten gezogen.</v>
      </c>
    </row>
    <row r="30615">
      <c r="A30615" s="4" t="s">
        <v>38553</v>
      </c>
      <c r="B30615" s="4" t="s">
        <v>38555</v>
      </c>
      <c r="C30615" s="5" t="str">
        <f>IFERROR(__xludf.DUMMYFUNCTION("GOOGLETRANSLATE(B30615,""en"",""de"")"),"Zwei Männer in gelb gepolsterten Sumo -Kostümen springen auf einem Abfahrtskurs auf ihr Snowboard.")</f>
        <v>Zwei Männer in gelb gepolsterten Sumo -Kostümen springen auf einem Abfahrtskurs auf ihr Snowboard.</v>
      </c>
    </row>
    <row r="30616">
      <c r="A30616" s="4" t="s">
        <v>38553</v>
      </c>
      <c r="B30616" s="4" t="s">
        <v>38556</v>
      </c>
      <c r="C30616" s="5" t="str">
        <f>IFERROR(__xludf.DUMMYFUNCTION("GOOGLETRANSLATE(B30616,""en"",""de"")"),"Ein Flescher verzichtet auf die Kamera.")</f>
        <v>Ein Flescher verzichtet auf die Kamera.</v>
      </c>
    </row>
    <row r="30617">
      <c r="A30617" s="4" t="s">
        <v>38553</v>
      </c>
      <c r="B30617" s="4" t="s">
        <v>38557</v>
      </c>
      <c r="C30617" s="5" t="str">
        <f>IFERROR(__xludf.DUMMYFUNCTION("GOOGLETRANSLATE(B30617,""en"",""de"")"),"Der Mann dreht sich, während er über eine Plattform im Sumo -Anzug rutscht.")</f>
        <v>Der Mann dreht sich, während er über eine Plattform im Sumo -Anzug rutscht.</v>
      </c>
    </row>
    <row r="30618">
      <c r="A30618" s="4" t="s">
        <v>38553</v>
      </c>
      <c r="B30618" s="4" t="s">
        <v>38558</v>
      </c>
      <c r="C30618" s="5" t="str">
        <f>IFERROR(__xludf.DUMMYFUNCTION("GOOGLETRANSLATE(B30618,""en"",""de"")"),"Die beiden Männer geben sich gegenseitig eine hohe fünf.")</f>
        <v>Die beiden Männer geben sich gegenseitig eine hohe fünf.</v>
      </c>
    </row>
    <row r="30619">
      <c r="A30619" s="4" t="s">
        <v>38553</v>
      </c>
      <c r="B30619" s="4" t="s">
        <v>38559</v>
      </c>
      <c r="C30619" s="5" t="str">
        <f>IFERROR(__xludf.DUMMYFUNCTION("GOOGLETRANSLATE(B30619,""en"",""de"")"),"Der Mann im Sumo -Anzug übergeht ein kleines dreieckiges Hindernis.")</f>
        <v>Der Mann im Sumo -Anzug übergeht ein kleines dreieckiges Hindernis.</v>
      </c>
    </row>
    <row r="30620">
      <c r="A30620" s="4" t="s">
        <v>38553</v>
      </c>
      <c r="B30620" s="4" t="s">
        <v>38560</v>
      </c>
      <c r="C30620" s="5" t="str">
        <f>IFERROR(__xludf.DUMMYFUNCTION("GOOGLETRANSLATE(B30620,""en"",""de"")"),"Ein Mann auf kleinen Skier stürzt beim Springen ab.")</f>
        <v>Ein Mann auf kleinen Skier stürzt beim Springen ab.</v>
      </c>
    </row>
    <row r="30621">
      <c r="A30621" s="4" t="s">
        <v>38553</v>
      </c>
      <c r="B30621" s="4" t="s">
        <v>38561</v>
      </c>
      <c r="C30621" s="5" t="str">
        <f>IFERROR(__xludf.DUMMYFUNCTION("GOOGLETRANSLATE(B30621,""en"",""de"")"),"Der Mann springt auf eine Plattform und rutscht über eine Plattform, während er einen Sumo -Anzug trägt.")</f>
        <v>Der Mann springt auf eine Plattform und rutscht über eine Plattform, während er einen Sumo -Anzug trägt.</v>
      </c>
    </row>
    <row r="30622">
      <c r="A30622" s="4" t="s">
        <v>38553</v>
      </c>
      <c r="B30622" s="4" t="s">
        <v>38562</v>
      </c>
      <c r="C30622" s="5" t="str">
        <f>IFERROR(__xludf.DUMMYFUNCTION("GOOGLETRANSLATE(B30622,""en"",""de"")"),"Der Mann springt über ein niedriges Geländer.")</f>
        <v>Der Mann springt über ein niedriges Geländer.</v>
      </c>
    </row>
    <row r="30623">
      <c r="A30623" s="4" t="s">
        <v>38563</v>
      </c>
      <c r="B30623" s="4" t="s">
        <v>38564</v>
      </c>
      <c r="C30623" s="5" t="str">
        <f>IFERROR(__xludf.DUMMYFUNCTION("GOOGLETRANSLATE(B30623,""en"",""de"")"),"Ein Junge sitzt auf einem Stuhl hinter einer Theke.")</f>
        <v>Ein Junge sitzt auf einem Stuhl hinter einer Theke.</v>
      </c>
    </row>
    <row r="30624">
      <c r="A30624" s="4" t="s">
        <v>38563</v>
      </c>
      <c r="B30624" s="4" t="s">
        <v>38565</v>
      </c>
      <c r="C30624" s="5" t="str">
        <f>IFERROR(__xludf.DUMMYFUNCTION("GOOGLETRANSLATE(B30624,""en"",""de"")"),"Ein Mädchen kommt neben ihn und versucht ihm Müsli zu füttern.")</f>
        <v>Ein Mädchen kommt neben ihn und versucht ihm Müsli zu füttern.</v>
      </c>
    </row>
    <row r="30625">
      <c r="A30625" s="4" t="s">
        <v>38563</v>
      </c>
      <c r="B30625" s="4" t="s">
        <v>38566</v>
      </c>
      <c r="C30625" s="5" t="str">
        <f>IFERROR(__xludf.DUMMYFUNCTION("GOOGLETRANSLATE(B30625,""en"",""de"")"),"Er fängt an, Pfeile auf ein Dartbrett zu werfen.")</f>
        <v>Er fängt an, Pfeile auf ein Dartbrett zu werfen.</v>
      </c>
    </row>
    <row r="30626">
      <c r="A30626" s="4" t="s">
        <v>38567</v>
      </c>
      <c r="B30626" s="4" t="s">
        <v>38568</v>
      </c>
      <c r="C30626" s="5" t="str">
        <f>IFERROR(__xludf.DUMMYFUNCTION("GOOGLETRANSLATE(B30626,""en"",""de"")"),"Eine Nahaufnahme zeigt einen sehr schmutzigen Boden, der mit einem großen Vakuum gereinigt wird.")</f>
        <v>Eine Nahaufnahme zeigt einen sehr schmutzigen Boden, der mit einem großen Vakuum gereinigt wird.</v>
      </c>
    </row>
    <row r="30627">
      <c r="A30627" s="4" t="s">
        <v>38567</v>
      </c>
      <c r="B30627" s="4" t="s">
        <v>38569</v>
      </c>
      <c r="C30627" s="5" t="str">
        <f>IFERROR(__xludf.DUMMYFUNCTION("GOOGLETRANSLATE(B30627,""en"",""de"")"),"Wörter auf dem Bildschirm erklären die Stärke des Vakuums, während die Person fortgesetzt wird.")</f>
        <v>Wörter auf dem Bildschirm erklären die Stärke des Vakuums, während die Person fortgesetzt wird.</v>
      </c>
    </row>
    <row r="30628">
      <c r="A30628" s="4" t="s">
        <v>38567</v>
      </c>
      <c r="B30628" s="4" t="s">
        <v>38570</v>
      </c>
      <c r="C30628" s="5" t="str">
        <f>IFERROR(__xludf.DUMMYFUNCTION("GOOGLETRANSLATE(B30628,""en"",""de"")"),"Der Boden wird mit Gehensgeschwindigkeit gereinigt.")</f>
        <v>Der Boden wird mit Gehensgeschwindigkeit gereinigt.</v>
      </c>
    </row>
    <row r="30629">
      <c r="A30629" s="4" t="s">
        <v>38567</v>
      </c>
      <c r="B30629" s="4" t="s">
        <v>38571</v>
      </c>
      <c r="C30629" s="5" t="str">
        <f>IFERROR(__xludf.DUMMYFUNCTION("GOOGLETRANSLATE(B30629,""en"",""de"")"),"Der Mann demonstriert weiterhin die Verwendung, bis eine Anzeige für das Unternehmen am Ende erscheint.")</f>
        <v>Der Mann demonstriert weiterhin die Verwendung, bis eine Anzeige für das Unternehmen am Ende erscheint.</v>
      </c>
    </row>
    <row r="30630">
      <c r="A30630" s="4" t="s">
        <v>38572</v>
      </c>
      <c r="B30630" s="4" t="s">
        <v>38573</v>
      </c>
      <c r="C30630" s="5" t="str">
        <f>IFERROR(__xludf.DUMMYFUNCTION("GOOGLETRANSLATE(B30630,""en"",""de"")"),"Es ist eine Aussicht auf die Außenseite eines Flughafens, dann der Flügel des Flugflugzeugs.")</f>
        <v>Es ist eine Aussicht auf die Außenseite eines Flughafens, dann der Flügel des Flugflugzeugs.</v>
      </c>
    </row>
    <row r="30631">
      <c r="A30631" s="4" t="s">
        <v>38572</v>
      </c>
      <c r="B30631" s="4" t="s">
        <v>38574</v>
      </c>
      <c r="C30631" s="5" t="str">
        <f>IFERROR(__xludf.DUMMYFUNCTION("GOOGLETRANSLATE(B30631,""en"",""de"")"),"Ein Mann ist im Flugzeug eine Maske.")</f>
        <v>Ein Mann ist im Flugzeug eine Maske.</v>
      </c>
    </row>
    <row r="30632">
      <c r="A30632" s="4" t="s">
        <v>38572</v>
      </c>
      <c r="B30632" s="4" t="s">
        <v>38575</v>
      </c>
      <c r="C30632" s="5" t="str">
        <f>IFERROR(__xludf.DUMMYFUNCTION("GOOGLETRANSLATE(B30632,""en"",""de"")"),"Mehrere Menschen schlafen im dunklen Viertel.")</f>
        <v>Mehrere Menschen schlafen im dunklen Viertel.</v>
      </c>
    </row>
    <row r="30633">
      <c r="A30633" s="4" t="s">
        <v>38572</v>
      </c>
      <c r="B30633" s="4" t="s">
        <v>38576</v>
      </c>
      <c r="C30633" s="5" t="str">
        <f>IFERROR(__xludf.DUMMYFUNCTION("GOOGLETRANSLATE(B30633,""en"",""de"")"),"Sie kommen zu einem Skigebiet und fahren mit den Liften, bevor sie Skier anziehen und tückische Hügel hinunterfahren.")</f>
        <v>Sie kommen zu einem Skigebiet und fahren mit den Liften, bevor sie Skier anziehen und tückische Hügel hinunterfahren.</v>
      </c>
    </row>
    <row r="30634">
      <c r="A30634" s="4" t="s">
        <v>38577</v>
      </c>
      <c r="B30634" s="4" t="s">
        <v>38578</v>
      </c>
      <c r="C30634" s="5" t="str">
        <f>IFERROR(__xludf.DUMMYFUNCTION("GOOGLETRANSLATE(B30634,""en"",""de"")"),"Ein Mann hält den Arm eines Kanisters Vakuum in einem Vakuumausstellungsraum.")</f>
        <v>Ein Mann hält den Arm eines Kanisters Vakuum in einem Vakuumausstellungsraum.</v>
      </c>
    </row>
    <row r="30635">
      <c r="A30635" s="4" t="s">
        <v>38577</v>
      </c>
      <c r="B30635" s="4" t="s">
        <v>38579</v>
      </c>
      <c r="C30635" s="5" t="str">
        <f>IFERROR(__xludf.DUMMYFUNCTION("GOOGLETRANSLATE(B30635,""en"",""de"")"),"Der Mann hebt den Arm und zeigt ihn der Kamera.")</f>
        <v>Der Mann hebt den Arm und zeigt ihn der Kamera.</v>
      </c>
    </row>
    <row r="30636">
      <c r="A30636" s="4" t="s">
        <v>38577</v>
      </c>
      <c r="B30636" s="4" t="s">
        <v>38580</v>
      </c>
      <c r="C30636" s="5" t="str">
        <f>IFERROR(__xludf.DUMMYFUNCTION("GOOGLETRANSLATE(B30636,""en"",""de"")"),"Der Mann gibt dann vor, dann tatsächlich den Linoleumboden mit dem Vakuum zu saugen.")</f>
        <v>Der Mann gibt dann vor, dann tatsächlich den Linoleumboden mit dem Vakuum zu saugen.</v>
      </c>
    </row>
    <row r="30637">
      <c r="A30637" s="4" t="s">
        <v>38581</v>
      </c>
      <c r="B30637" s="4" t="s">
        <v>38582</v>
      </c>
      <c r="C30637" s="5" t="str">
        <f>IFERROR(__xludf.DUMMYFUNCTION("GOOGLETRANSLATE(B30637,""en"",""de"")"),"Auf einem Bildschirm vor dem Poolwasser werden Punktzahlen angezeigt.")</f>
        <v>Auf einem Bildschirm vor dem Poolwasser werden Punktzahlen angezeigt.</v>
      </c>
    </row>
    <row r="30638">
      <c r="A30638" s="4" t="s">
        <v>38581</v>
      </c>
      <c r="B30638" s="4" t="s">
        <v>38583</v>
      </c>
      <c r="C30638" s="5" t="str">
        <f>IFERROR(__xludf.DUMMYFUNCTION("GOOGLETRANSLATE(B30638,""en"",""de"")"),"Ein Mann handelt sich in einem Raum ab.")</f>
        <v>Ein Mann handelt sich in einem Raum ab.</v>
      </c>
    </row>
    <row r="30639">
      <c r="A30639" s="4" t="s">
        <v>38581</v>
      </c>
      <c r="B30639" s="4" t="s">
        <v>38584</v>
      </c>
      <c r="C30639" s="5" t="str">
        <f>IFERROR(__xludf.DUMMYFUNCTION("GOOGLETRANSLATE(B30639,""en"",""de"")"),"Er betritt den Wettbewerb und schüttelt nach seinem Tauchgang die Hand.")</f>
        <v>Er betritt den Wettbewerb und schüttelt nach seinem Tauchgang die Hand.</v>
      </c>
    </row>
    <row r="30640">
      <c r="A30640" s="4" t="s">
        <v>38581</v>
      </c>
      <c r="B30640" s="4" t="s">
        <v>38585</v>
      </c>
      <c r="C30640" s="5" t="str">
        <f>IFERROR(__xludf.DUMMYFUNCTION("GOOGLETRANSLATE(B30640,""en"",""de"")"),"Zwischen Tauchgängen wird die Anzeigetafel erneut angezeigt.")</f>
        <v>Zwischen Tauchgängen wird die Anzeigetafel erneut angezeigt.</v>
      </c>
    </row>
    <row r="30641">
      <c r="A30641" s="4" t="s">
        <v>38581</v>
      </c>
      <c r="B30641" s="4" t="s">
        <v>38586</v>
      </c>
      <c r="C30641" s="5" t="str">
        <f>IFERROR(__xludf.DUMMYFUNCTION("GOOGLETRANSLATE(B30641,""en"",""de"")"),"Die letzte Szene ist von dem Mann, der sich vom Tauchbrett abhebt.")</f>
        <v>Die letzte Szene ist von dem Mann, der sich vom Tauchbrett abhebt.</v>
      </c>
    </row>
    <row r="30642">
      <c r="A30642" s="4" t="s">
        <v>38587</v>
      </c>
      <c r="B30642" s="4" t="s">
        <v>38588</v>
      </c>
      <c r="C30642" s="5" t="str">
        <f>IFERROR(__xludf.DUMMYFUNCTION("GOOGLETRANSLATE(B30642,""en"",""de"")"),"Eine Frau lächelt zur Kamera und hält einen Föhn und verschiedene Ansätze hoch.")</f>
        <v>Eine Frau lächelt zur Kamera und hält einen Föhn und verschiedene Ansätze hoch.</v>
      </c>
    </row>
    <row r="30643">
      <c r="A30643" s="4" t="s">
        <v>38587</v>
      </c>
      <c r="B30643" s="4" t="s">
        <v>38589</v>
      </c>
      <c r="C30643" s="5" t="str">
        <f>IFERROR(__xludf.DUMMYFUNCTION("GOOGLETRANSLATE(B30643,""en"",""de"")"),"Sie wird dann wieder mit nasser Haare gesehen und sprüht dann Flüssigkeit in ihr Haar und trocknet dann ihr Haar mehr.")</f>
        <v>Sie wird dann wieder mit nasser Haare gesehen und sprüht dann Flüssigkeit in ihr Haar und trocknet dann ihr Haar mehr.</v>
      </c>
    </row>
    <row r="30644">
      <c r="A30644" s="4" t="s">
        <v>38587</v>
      </c>
      <c r="B30644" s="4" t="s">
        <v>38590</v>
      </c>
      <c r="C30644" s="5" t="str">
        <f>IFERROR(__xludf.DUMMYFUNCTION("GOOGLETRANSLATE(B30644,""en"",""de"")"),"Dann steckt sie sich das Haar hoch, findet und findet sich an den Föhnen und trocknet ihr Haar rundum und dreht sich am Ende an die Kamera.")</f>
        <v>Dann steckt sie sich das Haar hoch, findet und findet sich an den Föhnen und trocknet ihr Haar rundum und dreht sich am Ende an die Kamera.</v>
      </c>
    </row>
    <row r="30645">
      <c r="A30645" s="4" t="s">
        <v>38591</v>
      </c>
      <c r="B30645" s="4" t="s">
        <v>38592</v>
      </c>
      <c r="C30645" s="5" t="str">
        <f>IFERROR(__xludf.DUMMYFUNCTION("GOOGLETRANSLATE(B30645,""en"",""de"")"),"Ein Mann verwendet einen großen plastischen blauen Fledermaus.")</f>
        <v>Ein Mann verwendet einen großen plastischen blauen Fledermaus.</v>
      </c>
    </row>
    <row r="30646">
      <c r="A30646" s="4" t="s">
        <v>38591</v>
      </c>
      <c r="B30646" s="4" t="s">
        <v>38593</v>
      </c>
      <c r="C30646" s="5" t="str">
        <f>IFERROR(__xludf.DUMMYFUNCTION("GOOGLETRANSLATE(B30646,""en"",""de"")"),"Er schwingt es mit einer Pinata -Form wie SpongeBob -Quadräumen.")</f>
        <v>Er schwingt es mit einer Pinata -Form wie SpongeBob -Quadräumen.</v>
      </c>
    </row>
    <row r="30647">
      <c r="A30647" s="4" t="s">
        <v>38591</v>
      </c>
      <c r="B30647" s="4" t="s">
        <v>38594</v>
      </c>
      <c r="C30647" s="5" t="str">
        <f>IFERROR(__xludf.DUMMYFUNCTION("GOOGLETRANSLATE(B30647,""en"",""de"")"),"Er vermisst mehrmals und schwingt weiter.")</f>
        <v>Er vermisst mehrmals und schwingt weiter.</v>
      </c>
    </row>
    <row r="30648">
      <c r="A30648" s="4" t="s">
        <v>38595</v>
      </c>
      <c r="B30648" s="4" t="s">
        <v>38596</v>
      </c>
      <c r="C30648" s="5" t="str">
        <f>IFERROR(__xludf.DUMMYFUNCTION("GOOGLETRANSLATE(B30648,""en"",""de"")"),"Wir sehen einen Finger auf der Linse und eine Schulter.")</f>
        <v>Wir sehen einen Finger auf der Linse und eine Schulter.</v>
      </c>
    </row>
    <row r="30649">
      <c r="A30649" s="4" t="s">
        <v>38595</v>
      </c>
      <c r="B30649" s="4" t="s">
        <v>38597</v>
      </c>
      <c r="C30649" s="5" t="str">
        <f>IFERROR(__xludf.DUMMYFUNCTION("GOOGLETRANSLATE(B30649,""en"",""de"")"),"Eine Frau schiebt einen Rasenmäher durch das Gras.")</f>
        <v>Eine Frau schiebt einen Rasenmäher durch das Gras.</v>
      </c>
    </row>
    <row r="30650">
      <c r="A30650" s="4" t="s">
        <v>38595</v>
      </c>
      <c r="B30650" s="4" t="s">
        <v>38598</v>
      </c>
      <c r="C30650" s="5" t="str">
        <f>IFERROR(__xludf.DUMMYFUNCTION("GOOGLETRANSLATE(B30650,""en"",""de"")"),"Die Dame hebt den Mäher und den Rücken.")</f>
        <v>Die Dame hebt den Mäher und den Rücken.</v>
      </c>
    </row>
    <row r="30651">
      <c r="A30651" s="4" t="s">
        <v>38595</v>
      </c>
      <c r="B30651" s="4" t="s">
        <v>38599</v>
      </c>
      <c r="C30651" s="5" t="str">
        <f>IFERROR(__xludf.DUMMYFUNCTION("GOOGLETRANSLATE(B30651,""en"",""de"")"),"Die Dame dreht den Mäher.")</f>
        <v>Die Dame dreht den Mäher.</v>
      </c>
    </row>
    <row r="30652">
      <c r="A30652" s="4" t="s">
        <v>38600</v>
      </c>
      <c r="B30652" s="4" t="s">
        <v>38601</v>
      </c>
      <c r="C30652" s="5" t="str">
        <f>IFERROR(__xludf.DUMMYFUNCTION("GOOGLETRANSLATE(B30652,""en"",""de"")"),"Frau steht in einer Schriftart einer Theke und spricht mit der Kamera.")</f>
        <v>Frau steht in einer Schriftart einer Theke und spricht mit der Kamera.</v>
      </c>
    </row>
    <row r="30653">
      <c r="A30653" s="4" t="s">
        <v>38600</v>
      </c>
      <c r="B30653" s="4" t="s">
        <v>38602</v>
      </c>
      <c r="C30653" s="5" t="str">
        <f>IFERROR(__xludf.DUMMYFUNCTION("GOOGLETRANSLATE(B30653,""en"",""de"")"),"Es wird eine saubere Spüle gezeigt und eine Frau, die die Oberfläche von Wasser und Wein mit einem Tuch und dann mit einem Schwamm schlägt.")</f>
        <v>Es wird eine saubere Spüle gezeigt und eine Frau, die die Oberfläche von Wasser und Wein mit einem Tuch und dann mit einem Schwamm schlägt.</v>
      </c>
    </row>
    <row r="30654">
      <c r="A30654" s="4" t="s">
        <v>38600</v>
      </c>
      <c r="B30654" s="4" t="s">
        <v>38603</v>
      </c>
      <c r="C30654" s="5" t="str">
        <f>IFERROR(__xludf.DUMMYFUNCTION("GOOGLETRANSLATE(B30654,""en"",""de"")"),"Die Frau legte einen Reiniger in ein Tuch und reinigt das Waschbecken, dann spricht die Frau und ein weißer Tisch bedeckt das Waschbecken.")</f>
        <v>Die Frau legte einen Reiniger in ein Tuch und reinigt das Waschbecken, dann spricht die Frau und ein weißer Tisch bedeckt das Waschbecken.</v>
      </c>
    </row>
    <row r="30655">
      <c r="A30655" s="4" t="s">
        <v>38604</v>
      </c>
      <c r="B30655" s="4" t="s">
        <v>38605</v>
      </c>
      <c r="C30655" s="5" t="str">
        <f>IFERROR(__xludf.DUMMYFUNCTION("GOOGLETRANSLATE(B30655,""en"",""de"")"),"Eine große Gruppe von Menschen sitzt in einem Auditorium mit einem Mann in der Mitte herum.")</f>
        <v>Eine große Gruppe von Menschen sitzt in einem Auditorium mit einem Mann in der Mitte herum.</v>
      </c>
    </row>
    <row r="30656">
      <c r="A30656" s="4" t="s">
        <v>38604</v>
      </c>
      <c r="B30656" s="4" t="s">
        <v>38606</v>
      </c>
      <c r="C30656" s="5" t="str">
        <f>IFERROR(__xludf.DUMMYFUNCTION("GOOGLETRANSLATE(B30656,""en"",""de"")"),"Die Person bewegt sich weiter mit den Drachen und geht am Ende mit einer Frau weg, die mit der Menge spricht.")</f>
        <v>Die Person bewegt sich weiter mit den Drachen und geht am Ende mit einer Frau weg, die mit der Menge spricht.</v>
      </c>
    </row>
    <row r="30657">
      <c r="A30657" s="4" t="s">
        <v>38607</v>
      </c>
      <c r="B30657" s="4" t="s">
        <v>38608</v>
      </c>
      <c r="C30657" s="5" t="str">
        <f>IFERROR(__xludf.DUMMYFUNCTION("GOOGLETRANSLATE(B30657,""en"",""de"")"),"Wir sehen Leute in einem Feld, das Flaggen hält.")</f>
        <v>Wir sehen Leute in einem Feld, das Flaggen hält.</v>
      </c>
    </row>
    <row r="30658">
      <c r="A30658" s="4" t="s">
        <v>38607</v>
      </c>
      <c r="B30658" s="4" t="s">
        <v>38609</v>
      </c>
      <c r="C30658" s="5" t="str">
        <f>IFERROR(__xludf.DUMMYFUNCTION("GOOGLETRANSLATE(B30658,""en"",""de"")"),"Wir sehen Leute, die im Wald Paintball spielen.")</f>
        <v>Wir sehen Leute, die im Wald Paintball spielen.</v>
      </c>
    </row>
    <row r="30659">
      <c r="A30659" s="4" t="s">
        <v>38607</v>
      </c>
      <c r="B30659" s="4" t="s">
        <v>38610</v>
      </c>
      <c r="C30659" s="5" t="str">
        <f>IFERROR(__xludf.DUMMYFUNCTION("GOOGLETRANSLATE(B30659,""en"",""de"")"),"Wir sehen Menschen in Zeilen wie Soldaten.")</f>
        <v>Wir sehen Menschen in Zeilen wie Soldaten.</v>
      </c>
    </row>
    <row r="30660">
      <c r="A30660" s="4" t="s">
        <v>38607</v>
      </c>
      <c r="B30660" s="4" t="s">
        <v>38611</v>
      </c>
      <c r="C30660" s="5" t="str">
        <f>IFERROR(__xludf.DUMMYFUNCTION("GOOGLETRANSLATE(B30660,""en"",""de"")"),"Wir sehen die Leute im Wald in Lackierausrüstung.")</f>
        <v>Wir sehen die Leute im Wald in Lackierausrüstung.</v>
      </c>
    </row>
    <row r="30661">
      <c r="A30661" s="4" t="s">
        <v>38607</v>
      </c>
      <c r="B30661" s="4" t="s">
        <v>38612</v>
      </c>
      <c r="C30661" s="5" t="str">
        <f>IFERROR(__xludf.DUMMYFUNCTION("GOOGLETRANSLATE(B30661,""en"",""de"")"),"Wir sehen einen leeren Metalltank.")</f>
        <v>Wir sehen einen leeren Metalltank.</v>
      </c>
    </row>
    <row r="30662">
      <c r="A30662" s="4" t="s">
        <v>38607</v>
      </c>
      <c r="B30662" s="4" t="s">
        <v>38613</v>
      </c>
      <c r="C30662" s="5" t="str">
        <f>IFERROR(__xludf.DUMMYFUNCTION("GOOGLETRANSLATE(B30662,""en"",""de"")"),"Wir sehen die Menschen im Wald wieder.")</f>
        <v>Wir sehen die Menschen im Wald wieder.</v>
      </c>
    </row>
    <row r="30663">
      <c r="A30663" s="4" t="s">
        <v>38607</v>
      </c>
      <c r="B30663" s="4" t="s">
        <v>38614</v>
      </c>
      <c r="C30663" s="5" t="str">
        <f>IFERROR(__xludf.DUMMYFUNCTION("GOOGLETRANSLATE(B30663,""en"",""de"")"),"Wir sehen im Tank.")</f>
        <v>Wir sehen im Tank.</v>
      </c>
    </row>
    <row r="30664">
      <c r="A30664" s="4" t="s">
        <v>38607</v>
      </c>
      <c r="B30664" s="4" t="s">
        <v>38615</v>
      </c>
      <c r="C30664" s="5" t="str">
        <f>IFERROR(__xludf.DUMMYFUNCTION("GOOGLETRANSLATE(B30664,""en"",""de"")"),"Wir sehen die Leute, die durch das Feld gehen.")</f>
        <v>Wir sehen die Leute, die durch das Feld gehen.</v>
      </c>
    </row>
    <row r="30665">
      <c r="A30665" s="4" t="s">
        <v>38607</v>
      </c>
      <c r="B30665" s="4" t="s">
        <v>38616</v>
      </c>
      <c r="C30665" s="5" t="str">
        <f>IFERROR(__xludf.DUMMYFUNCTION("GOOGLETRANSLATE(B30665,""en"",""de"")"),"Wir sehen Leute mit Rauch.")</f>
        <v>Wir sehen Leute mit Rauch.</v>
      </c>
    </row>
    <row r="30666">
      <c r="A30666" s="4" t="s">
        <v>38607</v>
      </c>
      <c r="B30666" s="4" t="s">
        <v>38617</v>
      </c>
      <c r="C30666" s="5" t="str">
        <f>IFERROR(__xludf.DUMMYFUNCTION("GOOGLETRANSLATE(B30666,""en"",""de"")"),"Wir sehen einen End -Titelbildschirm.")</f>
        <v>Wir sehen einen End -Titelbildschirm.</v>
      </c>
    </row>
    <row r="30667">
      <c r="A30667" s="4" t="s">
        <v>38618</v>
      </c>
      <c r="B30667" s="4" t="s">
        <v>38619</v>
      </c>
      <c r="C30667" s="5" t="str">
        <f>IFERROR(__xludf.DUMMYFUNCTION("GOOGLETRANSLATE(B30667,""en"",""de"")"),"Ein Mann kniet an einem Baum in einem Hof ​​herab.")</f>
        <v>Ein Mann kniet an einem Baum in einem Hof ​​herab.</v>
      </c>
    </row>
    <row r="30668">
      <c r="A30668" s="4" t="s">
        <v>38618</v>
      </c>
      <c r="B30668" s="4" t="s">
        <v>38620</v>
      </c>
      <c r="C30668" s="5" t="str">
        <f>IFERROR(__xludf.DUMMYFUNCTION("GOOGLETRANSLATE(B30668,""en"",""de"")"),"Er spricht, als er mit seinen Händen gräbt.")</f>
        <v>Er spricht, als er mit seinen Händen gräbt.</v>
      </c>
    </row>
    <row r="30669">
      <c r="A30669" s="4" t="s">
        <v>38618</v>
      </c>
      <c r="B30669" s="4" t="s">
        <v>38621</v>
      </c>
      <c r="C30669" s="5" t="str">
        <f>IFERROR(__xludf.DUMMYFUNCTION("GOOGLETRANSLATE(B30669,""en"",""de"")"),"Er zeigt und weist an, wie man sich um die Basis des Baumes einmischt und einpackt.")</f>
        <v>Er zeigt und weist an, wie man sich um die Basis des Baumes einmischt und einpackt.</v>
      </c>
    </row>
    <row r="30670">
      <c r="A30670" s="4" t="s">
        <v>38622</v>
      </c>
      <c r="B30670" s="4" t="s">
        <v>38623</v>
      </c>
      <c r="C30670" s="5" t="str">
        <f>IFERROR(__xludf.DUMMYFUNCTION("GOOGLETRANSLATE(B30670,""en"",""de"")"),"Eine Person rennt und springt mit Sprungschuhen, und ein Mann macht ein überraschtes Gesicht.")</f>
        <v>Eine Person rennt und springt mit Sprungschuhen, und ein Mann macht ein überraschtes Gesicht.</v>
      </c>
    </row>
    <row r="30671">
      <c r="A30671" s="4" t="s">
        <v>38622</v>
      </c>
      <c r="B30671" s="4" t="s">
        <v>38624</v>
      </c>
      <c r="C30671" s="5" t="str">
        <f>IFERROR(__xludf.DUMMYFUNCTION("GOOGLETRANSLATE(B30671,""en"",""de"")"),"Menschen, die springende Schuhe tragen und in ein Fitnessstudio springen, spricht ein Moderator und versucht auch die springenden Schuhe.")</f>
        <v>Menschen, die springende Schuhe tragen und in ein Fitnessstudio springen, spricht ein Moderator und versucht auch die springenden Schuhe.</v>
      </c>
    </row>
    <row r="30672">
      <c r="A30672" s="4" t="s">
        <v>38622</v>
      </c>
      <c r="B30672" s="4" t="s">
        <v>38625</v>
      </c>
      <c r="C30672" s="5" t="str">
        <f>IFERROR(__xludf.DUMMYFUNCTION("GOOGLETRANSLATE(B30672,""en"",""de"")"),"Ein Mann springt und springt hoch in den Strand auf der Straße.")</f>
        <v>Ein Mann springt und springt hoch in den Strand auf der Straße.</v>
      </c>
    </row>
    <row r="30673">
      <c r="A30673" s="4" t="s">
        <v>38622</v>
      </c>
      <c r="B30673" s="4" t="s">
        <v>38626</v>
      </c>
      <c r="C30673" s="5" t="str">
        <f>IFERROR(__xludf.DUMMYFUNCTION("GOOGLETRANSLATE(B30673,""en"",""de"")"),"Dann drehen sich Männer um, um hüpfende Schuhe zu tragen, nachdem ein Mann Basketball spielt, die in einem Fitnessstudio springende Schuhe tragen.")</f>
        <v>Dann drehen sich Männer um, um hüpfende Schuhe zu tragen, nachdem ein Mann Basketball spielt, die in einem Fitnessstudio springende Schuhe tragen.</v>
      </c>
    </row>
    <row r="30674">
      <c r="A30674" s="4" t="s">
        <v>38622</v>
      </c>
      <c r="B30674" s="4" t="s">
        <v>38627</v>
      </c>
      <c r="C30674" s="5" t="str">
        <f>IFERROR(__xludf.DUMMYFUNCTION("GOOGLETRANSLATE(B30674,""en"",""de"")"),"Eine Person fährt ein Fahrrad im Fitnessstudio.")</f>
        <v>Eine Person fährt ein Fahrrad im Fitnessstudio.</v>
      </c>
    </row>
    <row r="30675">
      <c r="A30675" s="4" t="s">
        <v>38622</v>
      </c>
      <c r="B30675" s="4" t="s">
        <v>38628</v>
      </c>
      <c r="C30675" s="5" t="str">
        <f>IFERROR(__xludf.DUMMYFUNCTION("GOOGLETRANSLATE(B30675,""en"",""de"")"),"Zwei Männer, die hüpfende Schuhe tragen, stehen in einem Fernsehset von vorne nach vorne.")</f>
        <v>Zwei Männer, die hüpfende Schuhe tragen, stehen in einem Fernsehset von vorne nach vorne.</v>
      </c>
    </row>
    <row r="30676">
      <c r="A30676" s="4" t="s">
        <v>38629</v>
      </c>
      <c r="B30676" s="4" t="s">
        <v>38630</v>
      </c>
      <c r="C30676" s="5" t="str">
        <f>IFERROR(__xludf.DUMMYFUNCTION("GOOGLETRANSLATE(B30676,""en"",""de"")"),"Eine Frau spricht mit der Kamera und führt in ihr Eis in ein Glas, gefolgt von verschiedenen Flüssigkeiten.")</f>
        <v>Eine Frau spricht mit der Kamera und führt in ihr Eis in ein Glas, gefolgt von verschiedenen Flüssigkeiten.</v>
      </c>
    </row>
    <row r="30677">
      <c r="A30677" s="4" t="s">
        <v>38629</v>
      </c>
      <c r="B30677" s="4" t="s">
        <v>38631</v>
      </c>
      <c r="C30677" s="5" t="str">
        <f>IFERROR(__xludf.DUMMYFUNCTION("GOOGLETRANSLATE(B30677,""en"",""de"")"),"Sie mischt die Flüssigkeiten zurück und den vierten und endet, indem sie das Getränk präsentiert und eine Zitrone mit Stroh einbringt.")</f>
        <v>Sie mischt die Flüssigkeiten zurück und den vierten und endet, indem sie das Getränk präsentiert und eine Zitrone mit Stroh einbringt.</v>
      </c>
    </row>
    <row r="30678">
      <c r="A30678" s="4" t="s">
        <v>38632</v>
      </c>
      <c r="B30678" s="4" t="s">
        <v>38633</v>
      </c>
      <c r="C30678" s="5" t="str">
        <f>IFERROR(__xludf.DUMMYFUNCTION("GOOGLETRANSLATE(B30678,""en"",""de"")"),"Eine Frau geht auf das Gras.")</f>
        <v>Eine Frau geht auf das Gras.</v>
      </c>
    </row>
    <row r="30679">
      <c r="A30679" s="4" t="s">
        <v>38632</v>
      </c>
      <c r="B30679" s="4" t="s">
        <v>38634</v>
      </c>
      <c r="C30679" s="5" t="str">
        <f>IFERROR(__xludf.DUMMYFUNCTION("GOOGLETRANSLATE(B30679,""en"",""de"")"),"Zwei kleine Hunde folgen ihr am Leinen.")</f>
        <v>Zwei kleine Hunde folgen ihr am Leinen.</v>
      </c>
    </row>
    <row r="30680">
      <c r="A30680" s="4" t="s">
        <v>38632</v>
      </c>
      <c r="B30680" s="4" t="s">
        <v>38635</v>
      </c>
      <c r="C30680" s="5" t="str">
        <f>IFERROR(__xludf.DUMMYFUNCTION("GOOGLETRANSLATE(B30680,""en"",""de"")"),"Sie beugt sich und die Hunde kommen auf sie zu.")</f>
        <v>Sie beugt sich und die Hunde kommen auf sie zu.</v>
      </c>
    </row>
    <row r="30681">
      <c r="A30681" s="4" t="s">
        <v>38636</v>
      </c>
      <c r="B30681" s="4" t="s">
        <v>38637</v>
      </c>
      <c r="C30681" s="5" t="str">
        <f>IFERROR(__xludf.DUMMYFUNCTION("GOOGLETRANSLATE(B30681,""en"",""de"")"),"Ein kleines Kind steht vor einem Hop Scotch -Spiel bereit.")</f>
        <v>Ein kleines Kind steht vor einem Hop Scotch -Spiel bereit.</v>
      </c>
    </row>
    <row r="30682">
      <c r="A30682" s="4" t="s">
        <v>38636</v>
      </c>
      <c r="B30682" s="4" t="s">
        <v>38638</v>
      </c>
      <c r="C30682" s="5" t="str">
        <f>IFERROR(__xludf.DUMMYFUNCTION("GOOGLETRANSLATE(B30682,""en"",""de"")"),"Das Mädchen beginnt dann auf die Kreide.")</f>
        <v>Das Mädchen beginnt dann auf die Kreide.</v>
      </c>
    </row>
    <row r="30683">
      <c r="A30683" s="4" t="s">
        <v>38636</v>
      </c>
      <c r="B30683" s="4" t="s">
        <v>38639</v>
      </c>
      <c r="C30683" s="5" t="str">
        <f>IFERROR(__xludf.DUMMYFUNCTION("GOOGLETRANSLATE(B30683,""en"",""de"")"),"Das Mädchen hüpft bis zum Ende und geht zurück zum Bildschirm.")</f>
        <v>Das Mädchen hüpft bis zum Ende und geht zurück zum Bildschirm.</v>
      </c>
    </row>
    <row r="30684">
      <c r="A30684" s="4" t="s">
        <v>38640</v>
      </c>
      <c r="B30684" s="4" t="s">
        <v>38641</v>
      </c>
      <c r="C30684" s="5" t="str">
        <f>IFERROR(__xludf.DUMMYFUNCTION("GOOGLETRANSLATE(B30684,""en"",""de"")"),"Eine Gruppe von Männern befindet sich in einem Kajak am Flussufer.")</f>
        <v>Eine Gruppe von Männern befindet sich in einem Kajak am Flussufer.</v>
      </c>
    </row>
    <row r="30685">
      <c r="A30685" s="4" t="s">
        <v>38640</v>
      </c>
      <c r="B30685" s="4" t="s">
        <v>38642</v>
      </c>
      <c r="C30685" s="5" t="str">
        <f>IFERROR(__xludf.DUMMYFUNCTION("GOOGLETRANSLATE(B30685,""en"",""de"")"),"Die paddeln und schauen auf die Bäume in der Ferne und genießen ihren Tag.")</f>
        <v>Die paddeln und schauen auf die Bäume in der Ferne und genießen ihren Tag.</v>
      </c>
    </row>
    <row r="30686">
      <c r="A30686" s="4" t="s">
        <v>38640</v>
      </c>
      <c r="B30686" s="4" t="s">
        <v>38643</v>
      </c>
      <c r="C30686" s="5" t="str">
        <f>IFERROR(__xludf.DUMMYFUNCTION("GOOGLETRANSLATE(B30686,""en"",""de"")"),"Einer der Männer steigt aus dem Boot, um im Wasser zu schwimmen.")</f>
        <v>Einer der Männer steigt aus dem Boot, um im Wasser zu schwimmen.</v>
      </c>
    </row>
    <row r="30687">
      <c r="A30687" s="4" t="s">
        <v>38640</v>
      </c>
      <c r="B30687" s="4" t="s">
        <v>38644</v>
      </c>
      <c r="C30687" s="5" t="str">
        <f>IFERROR(__xludf.DUMMYFUNCTION("GOOGLETRANSLATE(B30687,""en"",""de"")"),"Sobald sie anfangen, zurück zu Land zu gehen und sich darauf vorzubereiten, auf das Dock zu steigen.")</f>
        <v>Sobald sie anfangen, zurück zu Land zu gehen und sich darauf vorzubereiten, auf das Dock zu steigen.</v>
      </c>
    </row>
    <row r="30688">
      <c r="A30688" s="4" t="s">
        <v>38645</v>
      </c>
      <c r="B30688" s="4" t="s">
        <v>38646</v>
      </c>
      <c r="C30688" s="5" t="str">
        <f>IFERROR(__xludf.DUMMYFUNCTION("GOOGLETRANSLATE(B30688,""en"",""de"")"),"Die Leute rafting in Flößen einen abgehackten Fluss hinunter.")</f>
        <v>Die Leute rafting in Flößen einen abgehackten Fluss hinunter.</v>
      </c>
    </row>
    <row r="30689">
      <c r="A30689" s="4" t="s">
        <v>38645</v>
      </c>
      <c r="B30689" s="4" t="s">
        <v>38647</v>
      </c>
      <c r="C30689" s="5" t="str">
        <f>IFERROR(__xludf.DUMMYFUNCTION("GOOGLETRANSLATE(B30689,""en"",""de"")"),"Die Leute springen vom Felsen ins Wasser.")</f>
        <v>Die Leute springen vom Felsen ins Wasser.</v>
      </c>
    </row>
    <row r="30690">
      <c r="A30690" s="4" t="s">
        <v>38645</v>
      </c>
      <c r="B30690" s="4" t="s">
        <v>38648</v>
      </c>
      <c r="C30690" s="5" t="str">
        <f>IFERROR(__xludf.DUMMYFUNCTION("GOOGLETRANSLATE(B30690,""en"",""de"")"),"Die Leute machen die Vorderseite des Floßes.")</f>
        <v>Die Leute machen die Vorderseite des Floßes.</v>
      </c>
    </row>
    <row r="30691">
      <c r="A30691" s="4" t="s">
        <v>38645</v>
      </c>
      <c r="B30691" s="4" t="s">
        <v>38649</v>
      </c>
      <c r="C30691" s="5" t="str">
        <f>IFERROR(__xludf.DUMMYFUNCTION("GOOGLETRANSLATE(B30691,""en"",""de"")"),"Die Leute sitzen auf einem Boot und ziehen die Flöße.")</f>
        <v>Die Leute sitzen auf einem Boot und ziehen die Flöße.</v>
      </c>
    </row>
    <row r="30692">
      <c r="A30692" s="4" t="s">
        <v>38650</v>
      </c>
      <c r="B30692" s="4" t="s">
        <v>38651</v>
      </c>
      <c r="C30692" s="5" t="str">
        <f>IFERROR(__xludf.DUMMYFUNCTION("GOOGLETRANSLATE(B30692,""en"",""de"")"),"Ein Athlet geht vor einer Menge, die sich in Pulver die Hände reiet und sich ein Gewichtssatz schnappt.")</f>
        <v>Ein Athlet geht vor einer Menge, die sich in Pulver die Hände reiet und sich ein Gewichtssatz schnappt.</v>
      </c>
    </row>
    <row r="30693">
      <c r="A30693" s="4" t="s">
        <v>38650</v>
      </c>
      <c r="B30693" s="4" t="s">
        <v>38652</v>
      </c>
      <c r="C30693" s="5" t="str">
        <f>IFERROR(__xludf.DUMMYFUNCTION("GOOGLETRANSLATE(B30693,""en"",""de"")"),"Er hebt die Gewichte über seinen Kopf und wirft sie danach nieder, wobei er seine Hände mit seinem Trainer hochzieht.")</f>
        <v>Er hebt die Gewichte über seinen Kopf und wirft sie danach nieder, wobei er seine Hände mit seinem Trainer hochzieht.</v>
      </c>
    </row>
    <row r="30694">
      <c r="A30694" s="4" t="s">
        <v>38653</v>
      </c>
      <c r="B30694" s="4" t="s">
        <v>38654</v>
      </c>
      <c r="C30694" s="5" t="str">
        <f>IFERROR(__xludf.DUMMYFUNCTION("GOOGLETRANSLATE(B30694,""en"",""de"")"),"Ein Einhorn -Pinata schwankt von einer Linie in den Wind.")</f>
        <v>Ein Einhorn -Pinata schwankt von einer Linie in den Wind.</v>
      </c>
    </row>
    <row r="30695">
      <c r="A30695" s="4" t="s">
        <v>38653</v>
      </c>
      <c r="B30695" s="4" t="s">
        <v>38655</v>
      </c>
      <c r="C30695" s="5" t="str">
        <f>IFERROR(__xludf.DUMMYFUNCTION("GOOGLETRANSLATE(B30695,""en"",""de"")"),"Eine Frau schwingt wild mit einer Fledermaus an, da sie mit verbundenen Augen verbunden ist.")</f>
        <v>Eine Frau schwingt wild mit einer Fledermaus an, da sie mit verbundenen Augen verbunden ist.</v>
      </c>
    </row>
    <row r="30696">
      <c r="A30696" s="4" t="s">
        <v>38656</v>
      </c>
      <c r="B30696" s="4" t="s">
        <v>38657</v>
      </c>
      <c r="C30696" s="5" t="str">
        <f>IFERROR(__xludf.DUMMYFUNCTION("GOOGLETRANSLATE(B30696,""en"",""de"")"),"Ein Mann veranstaltet ein Nachrichtensegment und spricht mit der Kamera.")</f>
        <v>Ein Mann veranstaltet ein Nachrichtensegment und spricht mit der Kamera.</v>
      </c>
    </row>
    <row r="30697">
      <c r="A30697" s="4" t="s">
        <v>38656</v>
      </c>
      <c r="B30697" s="4" t="s">
        <v>38658</v>
      </c>
      <c r="C30697" s="5" t="str">
        <f>IFERROR(__xludf.DUMMYFUNCTION("GOOGLETRANSLATE(B30697,""en"",""de"")"),"Der Mann hilft dann, einem anderen zu helfen, den Gips zu legen.")</f>
        <v>Der Mann hilft dann, einem anderen zu helfen, den Gips zu legen.</v>
      </c>
    </row>
    <row r="30698">
      <c r="A30698" s="4" t="s">
        <v>38656</v>
      </c>
      <c r="B30698" s="4" t="s">
        <v>38659</v>
      </c>
      <c r="C30698" s="5" t="str">
        <f>IFERROR(__xludf.DUMMYFUNCTION("GOOGLETRANSLATE(B30698,""en"",""de"")"),"Der Gastgeber hilft den Männern weiterhin, den Boden aufzureißen und ihn zu legen und mit der Kamera zu sprechen.")</f>
        <v>Der Gastgeber hilft den Männern weiterhin, den Boden aufzureißen und ihn zu legen und mit der Kamera zu sprechen.</v>
      </c>
    </row>
    <row r="30699">
      <c r="A30699" s="4" t="s">
        <v>38660</v>
      </c>
      <c r="B30699" s="4" t="s">
        <v>38661</v>
      </c>
      <c r="C30699" s="5" t="str">
        <f>IFERROR(__xludf.DUMMYFUNCTION("GOOGLETRANSLATE(B30699,""en"",""de"")"),"Wir sehen einen Jungen, der Sprungstilts in einer Wohnstraße benutzt.")</f>
        <v>Wir sehen einen Jungen, der Sprungstilts in einer Wohnstraße benutzt.</v>
      </c>
    </row>
    <row r="30700">
      <c r="A30700" s="4" t="s">
        <v>38660</v>
      </c>
      <c r="B30700" s="4" t="s">
        <v>38662</v>
      </c>
      <c r="C30700" s="5" t="str">
        <f>IFERROR(__xludf.DUMMYFUNCTION("GOOGLETRANSLATE(B30700,""en"",""de"")"),"Der Mann hört das erste Mal auf zu springen.")</f>
        <v>Der Mann hört das erste Mal auf zu springen.</v>
      </c>
    </row>
    <row r="30701">
      <c r="A30701" s="4" t="s">
        <v>38660</v>
      </c>
      <c r="B30701" s="4" t="s">
        <v>38663</v>
      </c>
      <c r="C30701" s="5" t="str">
        <f>IFERROR(__xludf.DUMMYFUNCTION("GOOGLETRANSLATE(B30701,""en"",""de"")"),"Wir sehen, wie eine Person nach draußen kommt und dann hineingeht.")</f>
        <v>Wir sehen, wie eine Person nach draußen kommt und dann hineingeht.</v>
      </c>
    </row>
    <row r="30702">
      <c r="A30702" s="4" t="s">
        <v>38660</v>
      </c>
      <c r="B30702" s="4" t="s">
        <v>38664</v>
      </c>
      <c r="C30702" s="5" t="str">
        <f>IFERROR(__xludf.DUMMYFUNCTION("GOOGLETRANSLATE(B30702,""en"",""de"")"),"Der springende Mann tritt gegenüber und geht zur Kamera.")</f>
        <v>Der springende Mann tritt gegenüber und geht zur Kamera.</v>
      </c>
    </row>
    <row r="30703">
      <c r="A30703" s="4" t="s">
        <v>38665</v>
      </c>
      <c r="B30703" s="4" t="s">
        <v>38666</v>
      </c>
      <c r="C30703" s="5" t="str">
        <f>IFERROR(__xludf.DUMMYFUNCTION("GOOGLETRANSLATE(B30703,""en"",""de"")"),"Wir sehen den Titelbildschirm auf Weiß, die eine Dame auf einem Stuhl sitzt und redet.")</f>
        <v>Wir sehen den Titelbildschirm auf Weiß, die eine Dame auf einem Stuhl sitzt und redet.</v>
      </c>
    </row>
    <row r="30704">
      <c r="A30704" s="4" t="s">
        <v>38665</v>
      </c>
      <c r="B30704" s="4" t="s">
        <v>38667</v>
      </c>
      <c r="C30704" s="5" t="str">
        <f>IFERROR(__xludf.DUMMYFUNCTION("GOOGLETRANSLATE(B30704,""en"",""de"")"),"Die Dame beginnt auf ihrer Hand zu malen.")</f>
        <v>Die Dame beginnt auf ihrer Hand zu malen.</v>
      </c>
    </row>
    <row r="30705">
      <c r="A30705" s="4" t="s">
        <v>38665</v>
      </c>
      <c r="B30705" s="4" t="s">
        <v>38668</v>
      </c>
      <c r="C30705" s="5" t="str">
        <f>IFERROR(__xludf.DUMMYFUNCTION("GOOGLETRANSLATE(B30705,""en"",""de"")"),"Wir sehen die Schlusskredite auf einem weißen Bildschirm.")</f>
        <v>Wir sehen die Schlusskredite auf einem weißen Bildschirm.</v>
      </c>
    </row>
    <row r="30706">
      <c r="A30706" s="4" t="s">
        <v>38669</v>
      </c>
      <c r="B30706" s="4" t="s">
        <v>38670</v>
      </c>
      <c r="C30706" s="5" t="str">
        <f>IFERROR(__xludf.DUMMYFUNCTION("GOOGLETRANSLATE(B30706,""en"",""de"")"),"Ein junger Mann schiebt einen Puck einen Tisch zu einem anderen Mann, der auf der anderen Seite steht.")</f>
        <v>Ein junger Mann schiebt einen Puck einen Tisch zu einem anderen Mann, der auf der anderen Seite steht.</v>
      </c>
    </row>
    <row r="30707">
      <c r="A30707" s="4" t="s">
        <v>38669</v>
      </c>
      <c r="B30707" s="4" t="s">
        <v>38671</v>
      </c>
      <c r="C30707" s="5" t="str">
        <f>IFERROR(__xludf.DUMMYFUNCTION("GOOGLETRANSLATE(B30707,""en"",""de"")"),"Der andere Mann schiebt dann einen Puck und die Jungs spielen das Spiel weiter zurück und den vierten Platz.")</f>
        <v>Der andere Mann schiebt dann einen Puck und die Jungs spielen das Spiel weiter zurück und den vierten Platz.</v>
      </c>
    </row>
    <row r="30708">
      <c r="A30708" s="4" t="s">
        <v>38669</v>
      </c>
      <c r="B30708" s="4" t="s">
        <v>38672</v>
      </c>
      <c r="C30708" s="5" t="str">
        <f>IFERROR(__xludf.DUMMYFUNCTION("GOOGLETRANSLATE(B30708,""en"",""de"")"),"Die Kamera vergrößert die Männer am Ende sowie andere Menschen im Raum.")</f>
        <v>Die Kamera vergrößert die Männer am Ende sowie andere Menschen im Raum.</v>
      </c>
    </row>
    <row r="30709">
      <c r="A30709" s="4" t="s">
        <v>38673</v>
      </c>
      <c r="B30709" s="4" t="s">
        <v>38674</v>
      </c>
      <c r="C30709" s="5" t="str">
        <f>IFERROR(__xludf.DUMMYFUNCTION("GOOGLETRANSLATE(B30709,""en"",""de"")"),"Die Leute spielen ein Lacrosse -Spiel auf einem Feld.")</f>
        <v>Die Leute spielen ein Lacrosse -Spiel auf einem Feld.</v>
      </c>
    </row>
    <row r="30710">
      <c r="A30710" s="4" t="s">
        <v>38673</v>
      </c>
      <c r="B30710" s="4" t="s">
        <v>38675</v>
      </c>
      <c r="C30710" s="5" t="str">
        <f>IFERROR(__xludf.DUMMYFUNCTION("GOOGLETRANSLATE(B30710,""en"",""de"")"),"Die Teams richten sich an und schütteln die Hand.")</f>
        <v>Die Teams richten sich an und schütteln die Hand.</v>
      </c>
    </row>
    <row r="30711">
      <c r="A30711" s="4" t="s">
        <v>38673</v>
      </c>
      <c r="B30711" s="4" t="s">
        <v>38676</v>
      </c>
      <c r="C30711" s="5" t="str">
        <f>IFERROR(__xludf.DUMMYFUNCTION("GOOGLETRANSLATE(B30711,""en"",""de"")"),"Eine Frau in einem blauen Mantel spricht mit der Kamera.")</f>
        <v>Eine Frau in einem blauen Mantel spricht mit der Kamera.</v>
      </c>
    </row>
    <row r="30712">
      <c r="A30712" s="4" t="s">
        <v>38673</v>
      </c>
      <c r="B30712" s="4" t="s">
        <v>38677</v>
      </c>
      <c r="C30712" s="5" t="str">
        <f>IFERROR(__xludf.DUMMYFUNCTION("GOOGLETRANSLATE(B30712,""en"",""de"")"),"Ein Mann in einem braunen Anzug spricht in ein Mikrofon.")</f>
        <v>Ein Mann in einem braunen Anzug spricht in ein Mikrofon.</v>
      </c>
    </row>
    <row r="30713">
      <c r="A30713" s="4" t="s">
        <v>38678</v>
      </c>
      <c r="B30713" s="4" t="s">
        <v>38679</v>
      </c>
      <c r="C30713" s="5" t="str">
        <f>IFERROR(__xludf.DUMMYFUNCTION("GOOGLETRANSLATE(B30713,""en"",""de"")"),"Eine Blaskapelle spielt in einer Parade, während die Leute auf dem Bürgersteig stehen.")</f>
        <v>Eine Blaskapelle spielt in einer Parade, während die Leute auf dem Bürgersteig stehen.</v>
      </c>
    </row>
    <row r="30714">
      <c r="A30714" s="4" t="s">
        <v>38678</v>
      </c>
      <c r="B30714" s="4" t="s">
        <v>38680</v>
      </c>
      <c r="C30714" s="5" t="str">
        <f>IFERROR(__xludf.DUMMYFUNCTION("GOOGLETRANSLATE(B30714,""en"",""de"")"),"Der Marschband passieren vor einem Karneval und einem grünen Feld.")</f>
        <v>Der Marschband passieren vor einem Karneval und einem grünen Feld.</v>
      </c>
    </row>
    <row r="30715">
      <c r="A30715" s="4" t="s">
        <v>38678</v>
      </c>
      <c r="B30715" s="4" t="s">
        <v>38681</v>
      </c>
      <c r="C30715" s="5" t="str">
        <f>IFERROR(__xludf.DUMMYFUNCTION("GOOGLETRANSLATE(B30715,""en"",""de"")"),"Dann kommt die Blaskapelle in eine Stadt.")</f>
        <v>Dann kommt die Blaskapelle in eine Stadt.</v>
      </c>
    </row>
    <row r="30716">
      <c r="A30716" s="4" t="s">
        <v>38678</v>
      </c>
      <c r="B30716" s="4" t="s">
        <v>38682</v>
      </c>
      <c r="C30716" s="5" t="str">
        <f>IFERROR(__xludf.DUMMYFUNCTION("GOOGLETRANSLATE(B30716,""en"",""de"")"),"Ein alter Mann, der eine Trophäe innehat, geht auf dem Marschband auf dem Vordergrund.")</f>
        <v>Ein alter Mann, der eine Trophäe innehat, geht auf dem Marschband auf dem Vordergrund.</v>
      </c>
    </row>
    <row r="30717">
      <c r="A30717" s="4" t="s">
        <v>38678</v>
      </c>
      <c r="B30717" s="4" t="s">
        <v>38683</v>
      </c>
      <c r="C30717" s="5" t="str">
        <f>IFERROR(__xludf.DUMMYFUNCTION("GOOGLETRANSLATE(B30717,""en"",""de"")"),"Danach kommt die Blaskapelle zu einer Bushaltestelle.")</f>
        <v>Danach kommt die Blaskapelle zu einer Bushaltestelle.</v>
      </c>
    </row>
    <row r="30718">
      <c r="A30718" s="4" t="s">
        <v>38678</v>
      </c>
      <c r="B30718" s="4" t="s">
        <v>38684</v>
      </c>
      <c r="C30718" s="5" t="str">
        <f>IFERROR(__xludf.DUMMYFUNCTION("GOOGLETRANSLATE(B30718,""en"",""de"")"),"Eine Bond -Dame applaudiert, umarmt Menschen und Gespräche.")</f>
        <v>Eine Bond -Dame applaudiert, umarmt Menschen und Gespräche.</v>
      </c>
    </row>
    <row r="30719">
      <c r="A30719" s="4" t="s">
        <v>38685</v>
      </c>
      <c r="B30719" s="4" t="s">
        <v>38686</v>
      </c>
      <c r="C30719" s="5" t="str">
        <f>IFERROR(__xludf.DUMMYFUNCTION("GOOGLETRANSLATE(B30719,""en"",""de"")"),"Ein Intro wird gezeigt, wobei ein Getränk in ein Glas gegossen wird, und eine Beschriftung über das Mischen von Getränken.")</f>
        <v>Ein Intro wird gezeigt, wobei ein Getränk in ein Glas gegossen wird, und eine Beschriftung über das Mischen von Getränken.</v>
      </c>
    </row>
    <row r="30720">
      <c r="A30720" s="4" t="s">
        <v>38685</v>
      </c>
      <c r="B30720" s="4" t="s">
        <v>38687</v>
      </c>
      <c r="C30720" s="5" t="str">
        <f>IFERROR(__xludf.DUMMYFUNCTION("GOOGLETRANSLATE(B30720,""en"",""de"")"),"Ein Mädchen beginnt, einen Getränk namens Mai Tai zu machen.")</f>
        <v>Ein Mädchen beginnt, einen Getränk namens Mai Tai zu machen.</v>
      </c>
    </row>
    <row r="30721">
      <c r="A30721" s="4" t="s">
        <v>38685</v>
      </c>
      <c r="B30721" s="4" t="s">
        <v>38688</v>
      </c>
      <c r="C30721" s="5" t="str">
        <f>IFERROR(__xludf.DUMMYFUNCTION("GOOGLETRANSLATE(B30721,""en"",""de"")"),"Sie nimmt alle Dinge heraus, die sie braucht, um das Getränk zu machen.")</f>
        <v>Sie nimmt alle Dinge heraus, die sie braucht, um das Getränk zu machen.</v>
      </c>
    </row>
    <row r="30722">
      <c r="A30722" s="4" t="s">
        <v>38685</v>
      </c>
      <c r="B30722" s="4" t="s">
        <v>38689</v>
      </c>
      <c r="C30722" s="5" t="str">
        <f>IFERROR(__xludf.DUMMYFUNCTION("GOOGLETRANSLATE(B30722,""en"",""de"")"),"Sie bekommt etwas Eis in ein Glas und in den Shaker.")</f>
        <v>Sie bekommt etwas Eis in ein Glas und in den Shaker.</v>
      </c>
    </row>
    <row r="30723">
      <c r="A30723" s="4" t="s">
        <v>38685</v>
      </c>
      <c r="B30723" s="4" t="s">
        <v>38690</v>
      </c>
      <c r="C30723" s="5" t="str">
        <f>IFERROR(__xludf.DUMMYFUNCTION("GOOGLETRANSLATE(B30723,""en"",""de"")"),"Sie fügt den Rum, den dreifachen Sec, den Sirup, die saure Mischung hinzu und legt den Deckel auf den Shaker.")</f>
        <v>Sie fügt den Rum, den dreifachen Sec, den Sirup, die saure Mischung hinzu und legt den Deckel auf den Shaker.</v>
      </c>
    </row>
    <row r="30724">
      <c r="A30724" s="4" t="s">
        <v>38685</v>
      </c>
      <c r="B30724" s="4" t="s">
        <v>38691</v>
      </c>
      <c r="C30724" s="5" t="str">
        <f>IFERROR(__xludf.DUMMYFUNCTION("GOOGLETRANSLATE(B30724,""en"",""de"")"),"Sie schüttelt den Shaker ein wenig, bis es kalt wird und das Getränk ins Glas über das Eis gießt.")</f>
        <v>Sie schüttelt den Shaker ein wenig, bis es kalt wird und das Getränk ins Glas über das Eis gießt.</v>
      </c>
    </row>
    <row r="30725">
      <c r="A30725" s="4" t="s">
        <v>38685</v>
      </c>
      <c r="B30725" s="4" t="s">
        <v>38692</v>
      </c>
      <c r="C30725" s="5" t="str">
        <f>IFERROR(__xludf.DUMMYFUNCTION("GOOGLETRANSLATE(B30725,""en"",""de"")"),"Sie führt es mit ein wenig saurer Mischung und Kirschen sowie einem Strohhalm ab.")</f>
        <v>Sie führt es mit ein wenig saurer Mischung und Kirschen sowie einem Strohhalm ab.</v>
      </c>
    </row>
    <row r="30726">
      <c r="A30726" s="4" t="s">
        <v>38685</v>
      </c>
      <c r="B30726" s="4" t="s">
        <v>38693</v>
      </c>
      <c r="C30726" s="5" t="str">
        <f>IFERROR(__xludf.DUMMYFUNCTION("GOOGLETRANSLATE(B30726,""en"",""de"")"),"Das Video endet mit der Schließung.")</f>
        <v>Das Video endet mit der Schließung.</v>
      </c>
    </row>
    <row r="30727">
      <c r="A30727" s="4" t="s">
        <v>38694</v>
      </c>
      <c r="B30727" s="4" t="s">
        <v>38695</v>
      </c>
      <c r="C30727" s="5" t="str">
        <f>IFERROR(__xludf.DUMMYFUNCTION("GOOGLETRANSLATE(B30727,""en"",""de"")"),"Eine große Gruppe von Menschen befindet sich in einem Gebiet, das spaziert, redet und rumhängt.")</f>
        <v>Eine große Gruppe von Menschen befindet sich in einem Gebiet, das spaziert, redet und rumhängt.</v>
      </c>
    </row>
    <row r="30728">
      <c r="A30728" s="4" t="s">
        <v>38694</v>
      </c>
      <c r="B30728" s="4" t="s">
        <v>38696</v>
      </c>
      <c r="C30728" s="5" t="str">
        <f>IFERROR(__xludf.DUMMYFUNCTION("GOOGLETRANSLATE(B30728,""en"",""de"")"),"Zwei Männer mit einem Schiedsrichter in der Mitte erscheinen auf einer Bühne und befinden sich in einem intensiven Arm -Wrestling -Match.")</f>
        <v>Zwei Männer mit einem Schiedsrichter in der Mitte erscheinen auf einer Bühne und befinden sich in einem intensiven Arm -Wrestling -Match.</v>
      </c>
    </row>
    <row r="30729">
      <c r="A30729" s="4" t="s">
        <v>38694</v>
      </c>
      <c r="B30729" s="4" t="s">
        <v>38697</v>
      </c>
      <c r="C30729" s="5" t="str">
        <f>IFERROR(__xludf.DUMMYFUNCTION("GOOGLETRANSLATE(B30729,""en"",""de"")"),"Der Mann ohne Hut gewinnt das Match und wird kurz interviewt, wo er lächelt und redet.")</f>
        <v>Der Mann ohne Hut gewinnt das Match und wird kurz interviewt, wo er lächelt und redet.</v>
      </c>
    </row>
    <row r="30730">
      <c r="A30730" s="4" t="s">
        <v>38694</v>
      </c>
      <c r="B30730" s="4" t="s">
        <v>38698</v>
      </c>
      <c r="C30730" s="5" t="str">
        <f>IFERROR(__xludf.DUMMYFUNCTION("GOOGLETRANSLATE(B30730,""en"",""de"")"),"Ein weiteres Match zwischen zwei Männern beginnt und die gleichen Mann, der das erste Spiel gewonnen hat, gewinnt erneut.")</f>
        <v>Ein weiteres Match zwischen zwei Männern beginnt und die gleichen Mann, der das erste Spiel gewonnen hat, gewinnt erneut.</v>
      </c>
    </row>
    <row r="30731">
      <c r="A30731" s="4" t="s">
        <v>38694</v>
      </c>
      <c r="B30731" s="4" t="s">
        <v>38699</v>
      </c>
      <c r="C30731" s="5" t="str">
        <f>IFERROR(__xludf.DUMMYFUNCTION("GOOGLETRANSLATE(B30731,""en"",""de"")"),"Er hält seinen rechten Arm hoch und biegt ihn beim Lächeln und sein Name Allen Fisher taucht auf dem Bildschirm auf und ein schwarzer Bildschirm mit den Worten 25 Time World Champion beendet das Video.")</f>
        <v>Er hält seinen rechten Arm hoch und biegt ihn beim Lächeln und sein Name Allen Fisher taucht auf dem Bildschirm auf und ein schwarzer Bildschirm mit den Worten 25 Time World Champion beendet das Video.</v>
      </c>
    </row>
    <row r="30732">
      <c r="A30732" s="4" t="s">
        <v>38700</v>
      </c>
      <c r="B30732" s="4" t="s">
        <v>38701</v>
      </c>
      <c r="C30732" s="5" t="str">
        <f>IFERROR(__xludf.DUMMYFUNCTION("GOOGLETRANSLATE(B30732,""en"",""de"")"),"Männer stehen in einem großen grünen Feld und spielen Lacrosse.")</f>
        <v>Männer stehen in einem großen grünen Feld und spielen Lacrosse.</v>
      </c>
    </row>
    <row r="30733">
      <c r="A30733" s="4" t="s">
        <v>38700</v>
      </c>
      <c r="B30733" s="4" t="s">
        <v>38702</v>
      </c>
      <c r="C30733" s="5" t="str">
        <f>IFERROR(__xludf.DUMMYFUNCTION("GOOGLETRANSLATE(B30733,""en"",""de"")"),"Die Leute sind auf dem Spielfeld und beobachten das Spiel.")</f>
        <v>Die Leute sind auf dem Spielfeld und beobachten das Spiel.</v>
      </c>
    </row>
    <row r="30734">
      <c r="A30734" s="4" t="s">
        <v>38700</v>
      </c>
      <c r="B30734" s="4" t="s">
        <v>38703</v>
      </c>
      <c r="C30734" s="5" t="str">
        <f>IFERROR(__xludf.DUMMYFUNCTION("GOOGLETRANSLATE(B30734,""en"",""de"")"),"Männer rennen Seite an die Seite des IELD, der Lacrosse spielt, um zu punkten.")</f>
        <v>Männer rennen Seite an die Seite des IELD, der Lacrosse spielt, um zu punkten.</v>
      </c>
    </row>
    <row r="30735">
      <c r="A30735" s="4" t="s">
        <v>38704</v>
      </c>
      <c r="B30735" s="4" t="s">
        <v>38705</v>
      </c>
      <c r="C30735" s="5" t="str">
        <f>IFERROR(__xludf.DUMMYFUNCTION("GOOGLETRANSLATE(B30735,""en"",""de"")"),"Eine Hand hält einen Duschkopf in der Nähe eines Hundes.")</f>
        <v>Eine Hand hält einen Duschkopf in der Nähe eines Hundes.</v>
      </c>
    </row>
    <row r="30736">
      <c r="A30736" s="4" t="s">
        <v>38704</v>
      </c>
      <c r="B30736" s="4" t="s">
        <v>38706</v>
      </c>
      <c r="C30736" s="5" t="str">
        <f>IFERROR(__xludf.DUMMYFUNCTION("GOOGLETRANSLATE(B30736,""en"",""de"")"),"Der Hund bewegt sich um die Badewanne, als er versucht, das Wasser auf ihn zu beißen.")</f>
        <v>Der Hund bewegt sich um die Badewanne, als er versucht, das Wasser auf ihn zu beißen.</v>
      </c>
    </row>
    <row r="30737">
      <c r="A30737" s="4" t="s">
        <v>38707</v>
      </c>
      <c r="B30737" s="4" t="s">
        <v>38708</v>
      </c>
      <c r="C30737" s="5" t="str">
        <f>IFERROR(__xludf.DUMMYFUNCTION("GOOGLETRANSLATE(B30737,""en"",""de"")"),"Eine Kamera schwenkt um eine Reihe von Treppen und führt zu Menschen, die in einer Klasse arbeiten.")</f>
        <v>Eine Kamera schwenkt um eine Reihe von Treppen und führt zu Menschen, die in einer Klasse arbeiten.</v>
      </c>
    </row>
    <row r="30738">
      <c r="A30738" s="4" t="s">
        <v>38707</v>
      </c>
      <c r="B30738" s="4" t="s">
        <v>38709</v>
      </c>
      <c r="C30738" s="5" t="str">
        <f>IFERROR(__xludf.DUMMYFUNCTION("GOOGLETRANSLATE(B30738,""en"",""de"")"),"Es werden mehrere Aufnahmen von Menschen gezeigt, die zusammen trainieren, während ein Mann mit der Kamera spricht.")</f>
        <v>Es werden mehrere Aufnahmen von Menschen gezeigt, die zusammen trainieren, während ein Mann mit der Kamera spricht.</v>
      </c>
    </row>
    <row r="30739">
      <c r="A30739" s="4" t="s">
        <v>38707</v>
      </c>
      <c r="B30739" s="4" t="s">
        <v>38710</v>
      </c>
      <c r="C30739" s="5" t="str">
        <f>IFERROR(__xludf.DUMMYFUNCTION("GOOGLETRANSLATE(B30739,""en"",""de"")"),"Der Mann spricht weiter, während mehr Menschen gezeigt werden, die zusammen trainieren.")</f>
        <v>Der Mann spricht weiter, während mehr Menschen gezeigt werden, die zusammen trainieren.</v>
      </c>
    </row>
    <row r="30740">
      <c r="A30740" s="4" t="s">
        <v>38711</v>
      </c>
      <c r="B30740" s="4" t="s">
        <v>38712</v>
      </c>
      <c r="C30740" s="5" t="str">
        <f>IFERROR(__xludf.DUMMYFUNCTION("GOOGLETRANSLATE(B30740,""en"",""de"")"),"Eine Frau hebt Tapete, als sie versucht, sie ohne Blasen mit einem Werkzeug zu glätten.")</f>
        <v>Eine Frau hebt Tapete, als sie versucht, sie ohne Blasen mit einem Werkzeug zu glätten.</v>
      </c>
    </row>
    <row r="30741">
      <c r="A30741" s="4" t="s">
        <v>38711</v>
      </c>
      <c r="B30741" s="4" t="s">
        <v>38713</v>
      </c>
      <c r="C30741" s="5" t="str">
        <f>IFERROR(__xludf.DUMMYFUNCTION("GOOGLETRANSLATE(B30741,""en"",""de"")"),"Sie wendet das Werkzeug reibungslos an, stellt sicher, dass sie repeelieren und alle Fehler im Laufe dessen korrigieren.")</f>
        <v>Sie wendet das Werkzeug reibungslos an, stellt sicher, dass sie repeelieren und alle Fehler im Laufe dessen korrigieren.</v>
      </c>
    </row>
    <row r="30742">
      <c r="A30742" s="4" t="s">
        <v>38714</v>
      </c>
      <c r="B30742" s="4" t="s">
        <v>38715</v>
      </c>
      <c r="C30742" s="5" t="str">
        <f>IFERROR(__xludf.DUMMYFUNCTION("GOOGLETRANSLATE(B30742,""en"",""de"")"),"Eine kleine Gruppe von Menschen steht auf einem Feld, das zu einem Kickballspiel führt.")</f>
        <v>Eine kleine Gruppe von Menschen steht auf einem Feld, das zu einem Kickballspiel führt.</v>
      </c>
    </row>
    <row r="30743">
      <c r="A30743" s="4" t="s">
        <v>38714</v>
      </c>
      <c r="B30743" s="4" t="s">
        <v>38716</v>
      </c>
      <c r="C30743" s="5" t="str">
        <f>IFERROR(__xludf.DUMMYFUNCTION("GOOGLETRANSLATE(B30743,""en"",""de"")"),"Die Leute treten um den Ball herum und jubeln miteinander an, als sie auf ihrer Seite Punkte erzielen.")</f>
        <v>Die Leute treten um den Ball herum und jubeln miteinander an, als sie auf ihrer Seite Punkte erzielen.</v>
      </c>
    </row>
    <row r="30744">
      <c r="A30744" s="4" t="s">
        <v>38714</v>
      </c>
      <c r="B30744" s="4" t="s">
        <v>38717</v>
      </c>
      <c r="C30744" s="5" t="str">
        <f>IFERROR(__xludf.DUMMYFUNCTION("GOOGLETRANSLATE(B30744,""en"",""de"")"),"Ein anderes Teammitglied erzielt ein Ziel und ihre Teamkollegen rennen mit den Armen.")</f>
        <v>Ein anderes Teammitglied erzielt ein Ziel und ihre Teamkollegen rennen mit den Armen.</v>
      </c>
    </row>
    <row r="30745">
      <c r="A30745" s="4" t="s">
        <v>38718</v>
      </c>
      <c r="B30745" s="4" t="s">
        <v>38719</v>
      </c>
      <c r="C30745" s="5" t="str">
        <f>IFERROR(__xludf.DUMMYFUNCTION("GOOGLETRANSLATE(B30745,""en"",""de"")"),"Ein sportlicher Mann, der einen Track -Anzug und eine Bib -Nummer 171 trägt, geht auf einer Strecke und erwärmt sich auf.")</f>
        <v>Ein sportlicher Mann, der einen Track -Anzug und eine Bib -Nummer 171 trägt, geht auf einer Strecke und erwärmt sich auf.</v>
      </c>
    </row>
    <row r="30746">
      <c r="A30746" s="4" t="s">
        <v>38718</v>
      </c>
      <c r="B30746" s="4" t="s">
        <v>38720</v>
      </c>
      <c r="C30746" s="5" t="str">
        <f>IFERROR(__xludf.DUMMYFUNCTION("GOOGLETRANSLATE(B30746,""en"",""de"")"),"Der Mann greift dann nach seiner Halskette, steckt sie in den Mund und beginnt über seinen Kopf zu klatschen und ein Name unten erscheint und es sagt Irving Saladino.")</f>
        <v>Der Mann greift dann nach seiner Halskette, steckt sie in den Mund und beginnt über seinen Kopf zu klatschen und ein Name unten erscheint und es sagt Irving Saladino.</v>
      </c>
    </row>
    <row r="30747">
      <c r="A30747" s="4" t="s">
        <v>38718</v>
      </c>
      <c r="B30747" s="4" t="s">
        <v>38721</v>
      </c>
      <c r="C30747" s="5" t="str">
        <f>IFERROR(__xludf.DUMMYFUNCTION("GOOGLETRANSLATE(B30747,""en"",""de"")"),"Der Mann lässt die Halskette aus seinem Mund fallen und beginnt sofort zu rennen und hüpft, springt und springt.")</f>
        <v>Der Mann lässt die Halskette aus seinem Mund fallen und beginnt sofort zu rennen und hüpft, springt und springt.</v>
      </c>
    </row>
    <row r="30748">
      <c r="A30748" s="4" t="s">
        <v>38718</v>
      </c>
      <c r="B30748" s="4" t="s">
        <v>38722</v>
      </c>
      <c r="C30748" s="5" t="str">
        <f>IFERROR(__xludf.DUMMYFUNCTION("GOOGLETRANSLATE(B30748,""en"",""de"")"),"Wiederholungen des Lauf- und Sprungspiels des Mannes und der Mann feiert sich selbst und mit anderen auf dem Feld.")</f>
        <v>Wiederholungen des Lauf- und Sprungspiels des Mannes und der Mann feiert sich selbst und mit anderen auf dem Feld.</v>
      </c>
    </row>
    <row r="30749">
      <c r="A30749" s="4" t="s">
        <v>38723</v>
      </c>
      <c r="B30749" s="4" t="s">
        <v>38724</v>
      </c>
      <c r="C30749" s="5" t="str">
        <f>IFERROR(__xludf.DUMMYFUNCTION("GOOGLETRANSLATE(B30749,""en"",""de"")"),"Ein Mann hält Wasserski hinter einem Boot, während er ein Seil hält.")</f>
        <v>Ein Mann hält Wasserski hinter einem Boot, während er ein Seil hält.</v>
      </c>
    </row>
    <row r="30750">
      <c r="A30750" s="4" t="s">
        <v>38723</v>
      </c>
      <c r="B30750" s="4" t="s">
        <v>38725</v>
      </c>
      <c r="C30750" s="5" t="str">
        <f>IFERROR(__xludf.DUMMYFUNCTION("GOOGLETRANSLATE(B30750,""en"",""de"")"),"Er versucht sich festzuhalten, während er zur Seite riss.")</f>
        <v>Er versucht sich festzuhalten, während er zur Seite riss.</v>
      </c>
    </row>
    <row r="30751">
      <c r="A30751" s="4" t="s">
        <v>38723</v>
      </c>
      <c r="B30751" s="4" t="s">
        <v>38726</v>
      </c>
      <c r="C30751" s="5" t="str">
        <f>IFERROR(__xludf.DUMMYFUNCTION("GOOGLETRANSLATE(B30751,""en"",""de"")"),"Er rutscht, spaltet sich und fällt ins Wasser.")</f>
        <v>Er rutscht, spaltet sich und fällt ins Wasser.</v>
      </c>
    </row>
    <row r="30752">
      <c r="A30752" s="4" t="s">
        <v>38727</v>
      </c>
      <c r="B30752" s="4" t="s">
        <v>38728</v>
      </c>
      <c r="C30752" s="5" t="str">
        <f>IFERROR(__xludf.DUMMYFUNCTION("GOOGLETRANSLATE(B30752,""en"",""de"")"),"Eine kleine Gruppe von Menschen steht auf einer Bühne zusammen und führt in sie in die Instrumente und zwei Männer, die vorne knien.")</f>
        <v>Eine kleine Gruppe von Menschen steht auf einer Bühne zusammen und führt in sie in die Instrumente und zwei Männer, die vorne knien.</v>
      </c>
    </row>
    <row r="30753">
      <c r="A30753" s="4" t="s">
        <v>38727</v>
      </c>
      <c r="B30753" s="4" t="s">
        <v>38729</v>
      </c>
      <c r="C30753" s="5" t="str">
        <f>IFERROR(__xludf.DUMMYFUNCTION("GOOGLETRANSLATE(B30753,""en"",""de"")"),"Die Männer führen dann verschiedene Kampfkünste umeinander aus, während die Menschen herumstehen und zuschauen.")</f>
        <v>Die Männer führen dann verschiedene Kampfkünste umeinander aus, während die Menschen herumstehen und zuschauen.</v>
      </c>
    </row>
    <row r="30754">
      <c r="A30754" s="4" t="s">
        <v>38730</v>
      </c>
      <c r="B30754" s="4" t="s">
        <v>38731</v>
      </c>
      <c r="C30754" s="5" t="str">
        <f>IFERROR(__xludf.DUMMYFUNCTION("GOOGLETRANSLATE(B30754,""en"",""de"")"),"Ein Mann fährt eine Rudermaschine in einem Fitnessstudio.")</f>
        <v>Ein Mann fährt eine Rudermaschine in einem Fitnessstudio.</v>
      </c>
    </row>
    <row r="30755">
      <c r="A30755" s="4" t="s">
        <v>38730</v>
      </c>
      <c r="B30755" s="4" t="s">
        <v>38732</v>
      </c>
      <c r="C30755" s="5" t="str">
        <f>IFERROR(__xludf.DUMMYFUNCTION("GOOGLETRANSLATE(B30755,""en"",""de"")"),"Ein Finger deckt kurz einen Teil des Kameraobjektivs ab.")</f>
        <v>Ein Finger deckt kurz einen Teil des Kameraobjektivs ab.</v>
      </c>
    </row>
    <row r="30756">
      <c r="A30756" s="4" t="s">
        <v>38730</v>
      </c>
      <c r="B30756" s="4" t="s">
        <v>38733</v>
      </c>
      <c r="C30756" s="5" t="str">
        <f>IFERROR(__xludf.DUMMYFUNCTION("GOOGLETRANSLATE(B30756,""en"",""de"")"),"Der Mann rudern weiter, während die Leute im Fitnessstudio vorbeigehen.")</f>
        <v>Der Mann rudern weiter, während die Leute im Fitnessstudio vorbeigehen.</v>
      </c>
    </row>
    <row r="30757">
      <c r="A30757" s="4" t="s">
        <v>38734</v>
      </c>
      <c r="B30757" s="4" t="s">
        <v>38735</v>
      </c>
      <c r="C30757" s="5" t="str">
        <f>IFERROR(__xludf.DUMMYFUNCTION("GOOGLETRANSLATE(B30757,""en"",""de"")"),"Eine Person bewegt einen Reifen zum Tor.")</f>
        <v>Eine Person bewegt einen Reifen zum Tor.</v>
      </c>
    </row>
    <row r="30758">
      <c r="A30758" s="4" t="s">
        <v>38734</v>
      </c>
      <c r="B30758" s="4" t="s">
        <v>38736</v>
      </c>
      <c r="C30758" s="5" t="str">
        <f>IFERROR(__xludf.DUMMYFUNCTION("GOOGLETRANSLATE(B30758,""en"",""de"")"),"Die Tore schließen sich in ihren Gassen.")</f>
        <v>Die Tore schließen sich in ihren Gassen.</v>
      </c>
    </row>
    <row r="30759">
      <c r="A30759" s="4" t="s">
        <v>38734</v>
      </c>
      <c r="B30759" s="4" t="s">
        <v>38737</v>
      </c>
      <c r="C30759" s="5" t="str">
        <f>IFERROR(__xludf.DUMMYFUNCTION("GOOGLETRANSLATE(B30759,""en"",""de"")"),"Die Leute sitzen auf Reifen hinter Toren.")</f>
        <v>Die Leute sitzen auf Reifen hinter Toren.</v>
      </c>
    </row>
    <row r="30760">
      <c r="A30760" s="4" t="s">
        <v>38734</v>
      </c>
      <c r="B30760" s="4" t="s">
        <v>38738</v>
      </c>
      <c r="C30760" s="5" t="str">
        <f>IFERROR(__xludf.DUMMYFUNCTION("GOOGLETRANSLATE(B30760,""en"",""de"")"),"Eine Person bewegt ihre Füße.")</f>
        <v>Eine Person bewegt ihre Füße.</v>
      </c>
    </row>
    <row r="30761">
      <c r="A30761" s="4" t="s">
        <v>38734</v>
      </c>
      <c r="B30761" s="4" t="s">
        <v>38739</v>
      </c>
      <c r="C30761" s="5" t="str">
        <f>IFERROR(__xludf.DUMMYFUNCTION("GOOGLETRANSLATE(B30761,""en"",""de"")"),"Wenn das Tor freigesetzt wird, rutschen die Leute das Eis auf Reifen hinunter.")</f>
        <v>Wenn das Tor freigesetzt wird, rutschen die Leute das Eis auf Reifen hinunter.</v>
      </c>
    </row>
    <row r="30762">
      <c r="A30762" s="4" t="s">
        <v>38734</v>
      </c>
      <c r="B30762" s="4" t="s">
        <v>38740</v>
      </c>
      <c r="C30762" s="5" t="str">
        <f>IFERROR(__xludf.DUMMYFUNCTION("GOOGLETRANSLATE(B30762,""en"",""de"")"),"Eine Person feiert und hebt ihre Hände.")</f>
        <v>Eine Person feiert und hebt ihre Hände.</v>
      </c>
    </row>
    <row r="30763">
      <c r="A30763" s="4" t="s">
        <v>38741</v>
      </c>
      <c r="B30763" s="4" t="s">
        <v>38742</v>
      </c>
      <c r="C30763" s="5" t="str">
        <f>IFERROR(__xludf.DUMMYFUNCTION("GOOGLETRANSLATE(B30763,""en"",""de"")"),"Viele Menschen sind am Ziellinie eines Marathons versammelt und warten darauf, dass die Läufer hereinkommen.")</f>
        <v>Viele Menschen sind am Ziellinie eines Marathons versammelt und warten darauf, dass die Läufer hereinkommen.</v>
      </c>
    </row>
    <row r="30764">
      <c r="A30764" s="4" t="s">
        <v>38741</v>
      </c>
      <c r="B30764" s="4" t="s">
        <v>38743</v>
      </c>
      <c r="C30764" s="5" t="str">
        <f>IFERROR(__xludf.DUMMYFUNCTION("GOOGLETRANSLATE(B30764,""en"",""de"")"),"Viele Läufer tricken ein und verlangsamen sich, wenn sie an diesen Punkt kommen.")</f>
        <v>Viele Läufer tricken ein und verlangsamen sich, wenn sie an diesen Punkt kommen.</v>
      </c>
    </row>
    <row r="30765">
      <c r="A30765" s="4" t="s">
        <v>38741</v>
      </c>
      <c r="B30765" s="4" t="s">
        <v>38744</v>
      </c>
      <c r="C30765" s="5" t="str">
        <f>IFERROR(__xludf.DUMMYFUNCTION("GOOGLETRANSLATE(B30765,""en"",""de"")"),"Es gibt viele Läufer und einige Leute an den Seiten, aber die Tribünen sind auf dieser Seite völlig leer.")</f>
        <v>Es gibt viele Läufer und einige Leute an den Seiten, aber die Tribünen sind auf dieser Seite völlig leer.</v>
      </c>
    </row>
    <row r="30766">
      <c r="A30766" s="4" t="s">
        <v>38741</v>
      </c>
      <c r="B30766" s="4" t="s">
        <v>38745</v>
      </c>
      <c r="C30766" s="5" t="str">
        <f>IFERROR(__xludf.DUMMYFUNCTION("GOOGLETRANSLATE(B30766,""en"",""de"")"),"Immer mehr Männer rennen nach und nach.")</f>
        <v>Immer mehr Männer rennen nach und nach.</v>
      </c>
    </row>
    <row r="30767">
      <c r="A30767" s="4" t="s">
        <v>38746</v>
      </c>
      <c r="B30767" s="4" t="s">
        <v>38747</v>
      </c>
      <c r="C30767" s="5" t="str">
        <f>IFERROR(__xludf.DUMMYFUNCTION("GOOGLETRANSLATE(B30767,""en"",""de"")"),"Einige Menschen sind auf Wasserskiern im See zu sehen.")</f>
        <v>Einige Menschen sind auf Wasserskiern im See zu sehen.</v>
      </c>
    </row>
    <row r="30768">
      <c r="A30768" s="4" t="s">
        <v>38746</v>
      </c>
      <c r="B30768" s="4" t="s">
        <v>38748</v>
      </c>
      <c r="C30768" s="5" t="str">
        <f>IFERROR(__xludf.DUMMYFUNCTION("GOOGLETRANSLATE(B30768,""en"",""de"")"),"Ein Mann spricht mit der Kamera und demonstriert, wie man Skifahren ist.")</f>
        <v>Ein Mann spricht mit der Kamera und demonstriert, wie man Skifahren ist.</v>
      </c>
    </row>
    <row r="30769">
      <c r="A30769" s="4" t="s">
        <v>38746</v>
      </c>
      <c r="B30769" s="4" t="s">
        <v>38749</v>
      </c>
      <c r="C30769" s="5" t="str">
        <f>IFERROR(__xludf.DUMMYFUNCTION("GOOGLETRANSLATE(B30769,""en"",""de"")"),"Während er spricht.")</f>
        <v>Während er spricht.</v>
      </c>
    </row>
    <row r="30770">
      <c r="A30770" s="4" t="s">
        <v>38750</v>
      </c>
      <c r="B30770" s="4" t="s">
        <v>38751</v>
      </c>
      <c r="C30770" s="5" t="str">
        <f>IFERROR(__xludf.DUMMYFUNCTION("GOOGLETRANSLATE(B30770,""en"",""de"")"),"Eine Frau trinkt eine Tasse Kaffee.")</f>
        <v>Eine Frau trinkt eine Tasse Kaffee.</v>
      </c>
    </row>
    <row r="30771">
      <c r="A30771" s="4" t="s">
        <v>38750</v>
      </c>
      <c r="B30771" s="4" t="s">
        <v>38752</v>
      </c>
      <c r="C30771" s="5" t="str">
        <f>IFERROR(__xludf.DUMMYFUNCTION("GOOGLETRANSLATE(B30771,""en"",""de"")"),"Kaffeebohnen werden in einer Tasse gezeigt.")</f>
        <v>Kaffeebohnen werden in einer Tasse gezeigt.</v>
      </c>
    </row>
    <row r="30772">
      <c r="A30772" s="4" t="s">
        <v>38750</v>
      </c>
      <c r="B30772" s="4" t="s">
        <v>38753</v>
      </c>
      <c r="C30772" s="5" t="str">
        <f>IFERROR(__xludf.DUMMYFUNCTION("GOOGLETRANSLATE(B30772,""en"",""de"")"),"Webartikel werden angezeigt.")</f>
        <v>Webartikel werden angezeigt.</v>
      </c>
    </row>
    <row r="30773">
      <c r="A30773" s="4" t="s">
        <v>38750</v>
      </c>
      <c r="B30773" s="4" t="s">
        <v>38754</v>
      </c>
      <c r="C30773" s="5" t="str">
        <f>IFERROR(__xludf.DUMMYFUNCTION("GOOGLETRANSLATE(B30773,""en"",""de"")"),"Eine Tassenbecher wird mit Kaffee gefüllt.")</f>
        <v>Eine Tassenbecher wird mit Kaffee gefüllt.</v>
      </c>
    </row>
    <row r="30774">
      <c r="A30774" s="4" t="s">
        <v>38750</v>
      </c>
      <c r="B30774" s="4" t="s">
        <v>38755</v>
      </c>
      <c r="C30774" s="5" t="str">
        <f>IFERROR(__xludf.DUMMYFUNCTION("GOOGLETRANSLATE(B30774,""en"",""de"")"),"Die Leute fahren die Straße entlang.")</f>
        <v>Die Leute fahren die Straße entlang.</v>
      </c>
    </row>
    <row r="30775">
      <c r="A30775" s="4" t="s">
        <v>38756</v>
      </c>
      <c r="B30775" s="4" t="s">
        <v>38757</v>
      </c>
      <c r="C30775" s="5" t="str">
        <f>IFERROR(__xludf.DUMMYFUNCTION("GOOGLETRANSLATE(B30775,""en"",""de"")"),"Motorradfahrer rennen während eines Wettbewerbs um eine Scheißstrecke.")</f>
        <v>Motorradfahrer rennen während eines Wettbewerbs um eine Scheißstrecke.</v>
      </c>
    </row>
    <row r="30776">
      <c r="A30776" s="4" t="s">
        <v>38756</v>
      </c>
      <c r="B30776" s="4" t="s">
        <v>38758</v>
      </c>
      <c r="C30776" s="5" t="str">
        <f>IFERROR(__xludf.DUMMYFUNCTION("GOOGLETRANSLATE(B30776,""en"",""de"")"),"Ein Fahrer stürzt über einen Sprung und fällt von seinem Fahrrad.")</f>
        <v>Ein Fahrer stürzt über einen Sprung und fällt von seinem Fahrrad.</v>
      </c>
    </row>
    <row r="30777">
      <c r="A30777" s="4" t="s">
        <v>38756</v>
      </c>
      <c r="B30777" s="4" t="s">
        <v>38759</v>
      </c>
      <c r="C30777" s="5" t="str">
        <f>IFERROR(__xludf.DUMMYFUNCTION("GOOGLETRANSLATE(B30777,""en"",""de"")"),"Der andere Fahrer verlangsamt sich und zieht die Strecke ab.")</f>
        <v>Der andere Fahrer verlangsamt sich und zieht die Strecke ab.</v>
      </c>
    </row>
    <row r="30778">
      <c r="A30778" s="4" t="s">
        <v>38756</v>
      </c>
      <c r="B30778" s="4" t="s">
        <v>38760</v>
      </c>
      <c r="C30778" s="5" t="str">
        <f>IFERROR(__xludf.DUMMYFUNCTION("GOOGLETRANSLATE(B30778,""en"",""de"")"),"Der abgestürzte Fahrer krabbelt auf dem Boden und wird von einem anderen unterstützt.")</f>
        <v>Der abgestürzte Fahrer krabbelt auf dem Boden und wird von einem anderen unterstützt.</v>
      </c>
    </row>
    <row r="30779">
      <c r="A30779" s="4" t="s">
        <v>38756</v>
      </c>
      <c r="B30779" s="4" t="s">
        <v>38761</v>
      </c>
      <c r="C30779" s="5" t="str">
        <f>IFERROR(__xludf.DUMMYFUNCTION("GOOGLETRANSLATE(B30779,""en"",""de"")"),"Der Fahrer winkt mit den Armen, um den anderen zu signalisieren, und nimmt das abgestürzte Fahrrad vom Kurs.")</f>
        <v>Der Fahrer winkt mit den Armen, um den anderen zu signalisieren, und nimmt das abgestürzte Fahrrad vom Kurs.</v>
      </c>
    </row>
    <row r="30780">
      <c r="A30780" s="4" t="s">
        <v>38756</v>
      </c>
      <c r="B30780" s="4" t="s">
        <v>38762</v>
      </c>
      <c r="C30780" s="5" t="str">
        <f>IFERROR(__xludf.DUMMYFUNCTION("GOOGLETRANSLATE(B30780,""en"",""de"")"),"Der Fahrer stürzt in Zeitlupe.")</f>
        <v>Der Fahrer stürzt in Zeitlupe.</v>
      </c>
    </row>
    <row r="30781">
      <c r="A30781" s="4" t="s">
        <v>38763</v>
      </c>
      <c r="B30781" s="4" t="s">
        <v>38764</v>
      </c>
      <c r="C30781" s="5" t="str">
        <f>IFERROR(__xludf.DUMMYFUNCTION("GOOGLETRANSLATE(B30781,""en"",""de"")"),"Eine Gruppe von Menschen steht in einem Raum mit einigen Halten an Instrumenten.")</f>
        <v>Eine Gruppe von Menschen steht in einem Raum mit einigen Halten an Instrumenten.</v>
      </c>
    </row>
    <row r="30782">
      <c r="A30782" s="4" t="s">
        <v>38763</v>
      </c>
      <c r="B30782" s="4" t="s">
        <v>38765</v>
      </c>
      <c r="C30782" s="5" t="str">
        <f>IFERROR(__xludf.DUMMYFUNCTION("GOOGLETRANSLATE(B30782,""en"",""de"")"),"Die Leute sitzen an einem Tisch mit Tassen.")</f>
        <v>Die Leute sitzen an einem Tisch mit Tassen.</v>
      </c>
    </row>
    <row r="30783">
      <c r="A30783" s="4" t="s">
        <v>38763</v>
      </c>
      <c r="B30783" s="4" t="s">
        <v>38766</v>
      </c>
      <c r="C30783" s="5" t="str">
        <f>IFERROR(__xludf.DUMMYFUNCTION("GOOGLETRANSLATE(B30783,""en"",""de"")"),"Weitere Menschen trommeln nebenbei, während die Leute weiterhin mit Tassen spielen.")</f>
        <v>Weitere Menschen trommeln nebenbei, während die Leute weiterhin mit Tassen spielen.</v>
      </c>
    </row>
    <row r="30784">
      <c r="A30784" s="4" t="s">
        <v>38763</v>
      </c>
      <c r="B30784" s="4" t="s">
        <v>38767</v>
      </c>
      <c r="C30784" s="5" t="str">
        <f>IFERROR(__xludf.DUMMYFUNCTION("GOOGLETRANSLATE(B30784,""en"",""de"")"),"Schließlich spielen die Leute mit einer Gitarre und enden, indem sie von der Bühne gehen.")</f>
        <v>Schließlich spielen die Leute mit einer Gitarre und enden, indem sie von der Bühne gehen.</v>
      </c>
    </row>
    <row r="30785">
      <c r="A30785" s="4" t="s">
        <v>38768</v>
      </c>
      <c r="B30785" s="4" t="s">
        <v>38769</v>
      </c>
      <c r="C30785" s="5" t="str">
        <f>IFERROR(__xludf.DUMMYFUNCTION("GOOGLETRANSLATE(B30785,""en"",""de"")"),"Ein junger Mann sitzt auf einem Stuhl und rasiert mit einem elektrischen Rasiermesser sein Bein.")</f>
        <v>Ein junger Mann sitzt auf einem Stuhl und rasiert mit einem elektrischen Rasiermesser sein Bein.</v>
      </c>
    </row>
    <row r="30786">
      <c r="A30786" s="4" t="s">
        <v>38768</v>
      </c>
      <c r="B30786" s="4" t="s">
        <v>38770</v>
      </c>
      <c r="C30786" s="5" t="str">
        <f>IFERROR(__xludf.DUMMYFUNCTION("GOOGLETRANSLATE(B30786,""en"",""de"")"),"Der Mann hält an und reinigt den Rasiermesser aus.")</f>
        <v>Der Mann hält an und reinigt den Rasiermesser aus.</v>
      </c>
    </row>
    <row r="30787">
      <c r="A30787" s="4" t="s">
        <v>38768</v>
      </c>
      <c r="B30787" s="4" t="s">
        <v>38771</v>
      </c>
      <c r="C30787" s="5" t="str">
        <f>IFERROR(__xludf.DUMMYFUNCTION("GOOGLETRANSLATE(B30787,""en"",""de"")"),"Der Mann schüttelt den Rasiermesser, wenn er aufhört zu arbeiten, bis er wieder beginnt und sich weiter rasiert.")</f>
        <v>Der Mann schüttelt den Rasiermesser, wenn er aufhört zu arbeiten, bis er wieder beginnt und sich weiter rasiert.</v>
      </c>
    </row>
    <row r="30788">
      <c r="A30788" s="4" t="s">
        <v>38772</v>
      </c>
      <c r="B30788" s="4" t="s">
        <v>38773</v>
      </c>
      <c r="C30788" s="5" t="str">
        <f>IFERROR(__xludf.DUMMYFUNCTION("GOOGLETRANSLATE(B30788,""en"",""de"")"),"Ein Hund ist draußen in einem großen Feld und rennt auf einen Mann zu, der einen gelben Frisbee hält.")</f>
        <v>Ein Hund ist draußen in einem großen Feld und rennt auf einen Mann zu, der einen gelben Frisbee hält.</v>
      </c>
    </row>
    <row r="30789">
      <c r="A30789" s="4" t="s">
        <v>38772</v>
      </c>
      <c r="B30789" s="4" t="s">
        <v>38774</v>
      </c>
      <c r="C30789" s="5" t="str">
        <f>IFERROR(__xludf.DUMMYFUNCTION("GOOGLETRANSLATE(B30789,""en"",""de"")"),"Der Mann beginnt dann zu laufen und wirft den Frisbee, damit der Hund fangen kann.")</f>
        <v>Der Mann beginnt dann zu laufen und wirft den Frisbee, damit der Hund fangen kann.</v>
      </c>
    </row>
    <row r="30790">
      <c r="A30790" s="4" t="s">
        <v>38772</v>
      </c>
      <c r="B30790" s="4" t="s">
        <v>38775</v>
      </c>
      <c r="C30790" s="5" t="str">
        <f>IFERROR(__xludf.DUMMYFUNCTION("GOOGLETRANSLATE(B30790,""en"",""de"")"),"Er wirft es einige Zeit und der Hund fängt jeden einzelnen.")</f>
        <v>Er wirft es einige Zeit und der Hund fängt jeden einzelnen.</v>
      </c>
    </row>
    <row r="30791">
      <c r="A30791" s="4" t="s">
        <v>38776</v>
      </c>
      <c r="B30791" s="4" t="s">
        <v>38777</v>
      </c>
      <c r="C30791" s="5" t="str">
        <f>IFERROR(__xludf.DUMMYFUNCTION("GOOGLETRANSLATE(B30791,""en"",""de"")"),"Kinder spielen in einem staubigen Feld Strandfußball.")</f>
        <v>Kinder spielen in einem staubigen Feld Strandfußball.</v>
      </c>
    </row>
    <row r="30792">
      <c r="A30792" s="4" t="s">
        <v>38776</v>
      </c>
      <c r="B30792" s="4" t="s">
        <v>38778</v>
      </c>
      <c r="C30792" s="5" t="str">
        <f>IFERROR(__xludf.DUMMYFUNCTION("GOOGLETRANSLATE(B30792,""en"",""de"")"),"Menschen stehen auf dem Feld auf dem Feld.")</f>
        <v>Menschen stehen auf dem Feld auf dem Feld.</v>
      </c>
    </row>
    <row r="30793">
      <c r="A30793" s="4" t="s">
        <v>38776</v>
      </c>
      <c r="B30793" s="4" t="s">
        <v>38779</v>
      </c>
      <c r="C30793" s="5" t="str">
        <f>IFERROR(__xludf.DUMMYFUNCTION("GOOGLETRANSLATE(B30793,""en"",""de"")"),"Der Mensch macht ein Ziel und das Team und die Leute in Tribünen feiern.")</f>
        <v>Der Mensch macht ein Ziel und das Team und die Leute in Tribünen feiern.</v>
      </c>
    </row>
    <row r="30794">
      <c r="A30794" s="4" t="s">
        <v>38776</v>
      </c>
      <c r="B30794" s="4" t="s">
        <v>38780</v>
      </c>
      <c r="C30794" s="5" t="str">
        <f>IFERROR(__xludf.DUMMYFUNCTION("GOOGLETRANSLATE(B30794,""en"",""de"")"),"Man macht eine Ecke und erzielt ein Tor und Ruun für seine Teamkollegen, um zu feiern.")</f>
        <v>Man macht eine Ecke und erzielt ein Tor und Ruun für seine Teamkollegen, um zu feiern.</v>
      </c>
    </row>
    <row r="30795">
      <c r="A30795" s="4" t="s">
        <v>38776</v>
      </c>
      <c r="B30795" s="4" t="s">
        <v>38781</v>
      </c>
      <c r="C30795" s="5" t="str">
        <f>IFERROR(__xludf.DUMMYFUNCTION("GOOGLETRANSLATE(B30795,""en"",""de"")"),"Das Spiel startet das TE -Spiel und Männer läuft weiter, erzielt ein weiteres Ziel und feiert, während es eine Wiederholung gibt.")</f>
        <v>Das Spiel startet das TE -Spiel und Männer läuft weiter, erzielt ein weiteres Ziel und feiert, während es eine Wiederholung gibt.</v>
      </c>
    </row>
    <row r="30796">
      <c r="A30796" s="4" t="s">
        <v>38782</v>
      </c>
      <c r="B30796" s="4" t="s">
        <v>38783</v>
      </c>
      <c r="C30796" s="5" t="str">
        <f>IFERROR(__xludf.DUMMYFUNCTION("GOOGLETRANSLATE(B30796,""en"",""de"")"),"Ein Teenager auf einem Pferd, das ein Seil in der Luft nach ein wenig Kuh dreht.")</f>
        <v>Ein Teenager auf einem Pferd, das ein Seil in der Luft nach ein wenig Kuh dreht.</v>
      </c>
    </row>
    <row r="30797">
      <c r="A30797" s="4" t="s">
        <v>38782</v>
      </c>
      <c r="B30797" s="4" t="s">
        <v>38784</v>
      </c>
      <c r="C30797" s="5" t="str">
        <f>IFERROR(__xludf.DUMMYFUNCTION("GOOGLETRANSLATE(B30797,""en"",""de"")"),"Die Kuh läuft und der Junge wirft das Seil um den Hals.")</f>
        <v>Die Kuh läuft und der Junge wirft das Seil um den Hals.</v>
      </c>
    </row>
    <row r="30798">
      <c r="A30798" s="4" t="s">
        <v>38782</v>
      </c>
      <c r="B30798" s="4" t="s">
        <v>38785</v>
      </c>
      <c r="C30798" s="5" t="str">
        <f>IFERROR(__xludf.DUMMYFUNCTION("GOOGLETRANSLATE(B30798,""en"",""de"")"),"Es führt dazu, dass die Kuh nach dem Rückzug vom Seil umgezogen wurde.")</f>
        <v>Es führt dazu, dass die Kuh nach dem Rückzug vom Seil umgezogen wurde.</v>
      </c>
    </row>
    <row r="30799">
      <c r="A30799" s="4" t="s">
        <v>38782</v>
      </c>
      <c r="B30799" s="4" t="s">
        <v>38786</v>
      </c>
      <c r="C30799" s="5" t="str">
        <f>IFERROR(__xludf.DUMMYFUNCTION("GOOGLETRANSLATE(B30799,""en"",""de"")"),"Der Junge rennt vom Pferd danach weg und steckt die kleine Kuh herunter.")</f>
        <v>Der Junge rennt vom Pferd danach weg und steckt die kleine Kuh herunter.</v>
      </c>
    </row>
    <row r="30800">
      <c r="A30800" s="4" t="s">
        <v>38787</v>
      </c>
      <c r="B30800" s="4" t="s">
        <v>38788</v>
      </c>
      <c r="C30800" s="5" t="str">
        <f>IFERROR(__xludf.DUMMYFUNCTION("GOOGLETRANSLATE(B30800,""en"",""de"")"),"Wir sehen Fleisch und Käse auf einer Theke.")</f>
        <v>Wir sehen Fleisch und Käse auf einer Theke.</v>
      </c>
    </row>
    <row r="30801">
      <c r="A30801" s="4" t="s">
        <v>38787</v>
      </c>
      <c r="B30801" s="4" t="s">
        <v>38789</v>
      </c>
      <c r="C30801" s="5" t="str">
        <f>IFERROR(__xludf.DUMMYFUNCTION("GOOGLETRANSLATE(B30801,""en"",""de"")"),"Ein Mann spricht mit der Kamera in einer Küche.")</f>
        <v>Ein Mann spricht mit der Kamera in einer Küche.</v>
      </c>
    </row>
    <row r="30802">
      <c r="A30802" s="4" t="s">
        <v>38787</v>
      </c>
      <c r="B30802" s="4" t="s">
        <v>38790</v>
      </c>
      <c r="C30802" s="5" t="str">
        <f>IFERROR(__xludf.DUMMYFUNCTION("GOOGLETRANSLATE(B30802,""en"",""de"")"),"Der Mann verbreitet Senf auf Brot.")</f>
        <v>Der Mann verbreitet Senf auf Brot.</v>
      </c>
    </row>
    <row r="30803">
      <c r="A30803" s="4" t="s">
        <v>38787</v>
      </c>
      <c r="B30803" s="4" t="s">
        <v>38791</v>
      </c>
      <c r="C30803" s="5" t="str">
        <f>IFERROR(__xludf.DUMMYFUNCTION("GOOGLETRANSLATE(B30803,""en"",""de"")"),"Der Mann montiert das Sandwich.")</f>
        <v>Der Mann montiert das Sandwich.</v>
      </c>
    </row>
    <row r="30804">
      <c r="A30804" s="4" t="s">
        <v>38787</v>
      </c>
      <c r="B30804" s="4" t="s">
        <v>38792</v>
      </c>
      <c r="C30804" s="5" t="str">
        <f>IFERROR(__xludf.DUMMYFUNCTION("GOOGLETRANSLATE(B30804,""en"",""de"")"),"Das Sandwich wird gedrückt.")</f>
        <v>Das Sandwich wird gedrückt.</v>
      </c>
    </row>
    <row r="30805">
      <c r="A30805" s="4" t="s">
        <v>38787</v>
      </c>
      <c r="B30805" s="4" t="s">
        <v>38793</v>
      </c>
      <c r="C30805" s="5" t="str">
        <f>IFERROR(__xludf.DUMMYFUNCTION("GOOGLETRANSLATE(B30805,""en"",""de"")"),"Der Mann schneidet das Sandwich.")</f>
        <v>Der Mann schneidet das Sandwich.</v>
      </c>
    </row>
    <row r="30806">
      <c r="A30806" s="4" t="s">
        <v>38787</v>
      </c>
      <c r="B30806" s="4" t="s">
        <v>38794</v>
      </c>
      <c r="C30806" s="5" t="str">
        <f>IFERROR(__xludf.DUMMYFUNCTION("GOOGLETRANSLATE(B30806,""en"",""de"")"),"Der Mann plant das gesamte Essen.")</f>
        <v>Der Mann plant das gesamte Essen.</v>
      </c>
    </row>
    <row r="30807">
      <c r="A30807" s="4" t="s">
        <v>38795</v>
      </c>
      <c r="B30807" s="4" t="s">
        <v>38796</v>
      </c>
      <c r="C30807" s="5" t="str">
        <f>IFERROR(__xludf.DUMMYFUNCTION("GOOGLETRANSLATE(B30807,""en"",""de"")"),"Eine Dame bläst von einem Dach.")</f>
        <v>Eine Dame bläst von einem Dach.</v>
      </c>
    </row>
    <row r="30808">
      <c r="A30808" s="4" t="s">
        <v>38795</v>
      </c>
      <c r="B30808" s="4" t="s">
        <v>38797</v>
      </c>
      <c r="C30808" s="5" t="str">
        <f>IFERROR(__xludf.DUMMYFUNCTION("GOOGLETRANSLATE(B30808,""en"",""de"")"),"Die Dame geht nach rechts dann nach oben.")</f>
        <v>Die Dame geht nach rechts dann nach oben.</v>
      </c>
    </row>
    <row r="30809">
      <c r="A30809" s="4" t="s">
        <v>38795</v>
      </c>
      <c r="B30809" s="4" t="s">
        <v>38798</v>
      </c>
      <c r="C30809" s="5" t="str">
        <f>IFERROR(__xludf.DUMMYFUNCTION("GOOGLETRANSLATE(B30809,""en"",""de"")"),"Die Kamera schwenkt nach unten und wir sehen einen kleinen Jungen auf dem Boden unten.")</f>
        <v>Die Kamera schwenkt nach unten und wir sehen einen kleinen Jungen auf dem Boden unten.</v>
      </c>
    </row>
    <row r="30810">
      <c r="A30810" s="4" t="s">
        <v>38799</v>
      </c>
      <c r="B30810" s="4" t="s">
        <v>38800</v>
      </c>
      <c r="C30810" s="5" t="str">
        <f>IFERROR(__xludf.DUMMYFUNCTION("GOOGLETRANSLATE(B30810,""en"",""de"")"),"Eine Person wirft einen Ball zu einem Teenager, der rennt und den Ball tritt.")</f>
        <v>Eine Person wirft einen Ball zu einem Teenager, der rennt und den Ball tritt.</v>
      </c>
    </row>
    <row r="30811">
      <c r="A30811" s="4" t="s">
        <v>38799</v>
      </c>
      <c r="B30811" s="4" t="s">
        <v>38801</v>
      </c>
      <c r="C30811" s="5" t="str">
        <f>IFERROR(__xludf.DUMMYFUNCTION("GOOGLETRANSLATE(B30811,""en"",""de"")"),"Ein Teenager packt den Ball in der Luft und wirft ein anderes Mädchen zu.")</f>
        <v>Ein Teenager packt den Ball in der Luft und wirft ein anderes Mädchen zu.</v>
      </c>
    </row>
    <row r="30812">
      <c r="A30812" s="4" t="s">
        <v>38799</v>
      </c>
      <c r="B30812" s="4" t="s">
        <v>38802</v>
      </c>
      <c r="C30812" s="5" t="str">
        <f>IFERROR(__xludf.DUMMYFUNCTION("GOOGLETRANSLATE(B30812,""en"",""de"")"),"Die fällt auf den Boden und das Mädchen nimmt es.")</f>
        <v>Die fällt auf den Boden und das Mädchen nimmt es.</v>
      </c>
    </row>
    <row r="30813">
      <c r="A30813" s="4" t="s">
        <v>38803</v>
      </c>
      <c r="B30813" s="4" t="s">
        <v>38804</v>
      </c>
      <c r="C30813" s="5" t="str">
        <f>IFERROR(__xludf.DUMMYFUNCTION("GOOGLETRANSLATE(B30813,""en"",""de"")"),"Eine Frau trägt Rollerblätter und spricht mit der Kamera.")</f>
        <v>Eine Frau trägt Rollerblätter und spricht mit der Kamera.</v>
      </c>
    </row>
    <row r="30814">
      <c r="A30814" s="4" t="s">
        <v>38803</v>
      </c>
      <c r="B30814" s="4" t="s">
        <v>38805</v>
      </c>
      <c r="C30814" s="5" t="str">
        <f>IFERROR(__xludf.DUMMYFUNCTION("GOOGLETRANSLATE(B30814,""en"",""de"")"),"Sie reitet dann auf ihren Klingen herum, während sie zur Kamera schaut und spricht.")</f>
        <v>Sie reitet dann auf ihren Klingen herum, während sie zur Kamera schaut und spricht.</v>
      </c>
    </row>
    <row r="30815">
      <c r="A30815" s="4" t="s">
        <v>38803</v>
      </c>
      <c r="B30815" s="4" t="s">
        <v>38806</v>
      </c>
      <c r="C30815" s="5" t="str">
        <f>IFERROR(__xludf.DUMMYFUNCTION("GOOGLETRANSLATE(B30815,""en"",""de"")"),"Sie zeigt weiterhin, wie man die Klingen richtig benutzt und sich bewegt.")</f>
        <v>Sie zeigt weiterhin, wie man die Klingen richtig benutzt und sich bewegt.</v>
      </c>
    </row>
    <row r="30816">
      <c r="A30816" s="4" t="s">
        <v>38807</v>
      </c>
      <c r="B30816" s="4" t="s">
        <v>38808</v>
      </c>
      <c r="C30816" s="5" t="str">
        <f>IFERROR(__xludf.DUMMYFUNCTION("GOOGLETRANSLATE(B30816,""en"",""de"")"),"Wir sehen einen Mann rennen und einen Hochsprung 6'11 machen und die Wiederholung sehen.")</f>
        <v>Wir sehen einen Mann rennen und einen Hochsprung 6'11 machen und die Wiederholung sehen.</v>
      </c>
    </row>
    <row r="30817">
      <c r="A30817" s="4" t="s">
        <v>38807</v>
      </c>
      <c r="B30817" s="4" t="s">
        <v>38809</v>
      </c>
      <c r="C30817" s="5" t="str">
        <f>IFERROR(__xludf.DUMMYFUNCTION("GOOGLETRANSLATE(B30817,""en"",""de"")"),"Wir sehen dann den Mann mit 6'9 springen und die Wiederholung sehen.")</f>
        <v>Wir sehen dann den Mann mit 6'9 springen und die Wiederholung sehen.</v>
      </c>
    </row>
    <row r="30818">
      <c r="A30818" s="4" t="s">
        <v>38807</v>
      </c>
      <c r="B30818" s="4" t="s">
        <v>38810</v>
      </c>
      <c r="C30818" s="5" t="str">
        <f>IFERROR(__xludf.DUMMYFUNCTION("GOOGLETRANSLATE(B30818,""en"",""de"")"),"Der Mann springt wieder um 6'11 und wir sehen die Wiederholung.")</f>
        <v>Der Mann springt wieder um 6'11 und wir sehen die Wiederholung.</v>
      </c>
    </row>
    <row r="30819">
      <c r="A30819" s="4" t="s">
        <v>38807</v>
      </c>
      <c r="B30819" s="4" t="s">
        <v>38811</v>
      </c>
      <c r="C30819" s="5" t="str">
        <f>IFERROR(__xludf.DUMMYFUNCTION("GOOGLETRANSLATE(B30819,""en"",""de"")"),"Wir sehen den Mann mit 7'2 springen und wir sehen die Wiederholung.")</f>
        <v>Wir sehen den Mann mit 7'2 springen und wir sehen die Wiederholung.</v>
      </c>
    </row>
    <row r="30820">
      <c r="A30820" s="4" t="s">
        <v>38807</v>
      </c>
      <c r="B30820" s="4" t="s">
        <v>38812</v>
      </c>
      <c r="C30820" s="5" t="str">
        <f>IFERROR(__xludf.DUMMYFUNCTION("GOOGLETRANSLATE(B30820,""en"",""de"")"),"Wir sehen den Mann mit einem Sprungbrett mit 8'3 springen und wir sehen die Wiederholung.")</f>
        <v>Wir sehen den Mann mit einem Sprungbrett mit 8'3 springen und wir sehen die Wiederholung.</v>
      </c>
    </row>
    <row r="30821">
      <c r="A30821" s="4" t="s">
        <v>38813</v>
      </c>
      <c r="B30821" s="4" t="s">
        <v>38814</v>
      </c>
      <c r="C30821" s="5" t="str">
        <f>IFERROR(__xludf.DUMMYFUNCTION("GOOGLETRANSLATE(B30821,""en"",""de"")"),"Es gibt einige Gewichtheber auf der Bühne, die an Gewichthebenereignissen teilnehmen.")</f>
        <v>Es gibt einige Gewichtheber auf der Bühne, die an Gewichthebenereignissen teilnehmen.</v>
      </c>
    </row>
    <row r="30822">
      <c r="A30822" s="4" t="s">
        <v>38813</v>
      </c>
      <c r="B30822" s="4" t="s">
        <v>38815</v>
      </c>
      <c r="C30822" s="5" t="str">
        <f>IFERROR(__xludf.DUMMYFUNCTION("GOOGLETRANSLATE(B30822,""en"",""de"")"),"Es gibt mehrere Zuschauer, die das Ereignis beobachten.")</f>
        <v>Es gibt mehrere Zuschauer, die das Ereignis beobachten.</v>
      </c>
    </row>
    <row r="30823">
      <c r="A30823" s="4" t="s">
        <v>38813</v>
      </c>
      <c r="B30823" s="4" t="s">
        <v>38816</v>
      </c>
      <c r="C30823" s="5" t="str">
        <f>IFERROR(__xludf.DUMMYFUNCTION("GOOGLETRANSLATE(B30823,""en"",""de"")"),"Einer der Gewichtheber hebt den Gewichtsbalken erfolgreich hoch nach oben und lässt ihn dann herunterfallen.")</f>
        <v>Einer der Gewichtheber hebt den Gewichtsbalken erfolgreich hoch nach oben und lässt ihn dann herunterfallen.</v>
      </c>
    </row>
    <row r="30824">
      <c r="A30824" s="4" t="s">
        <v>38813</v>
      </c>
      <c r="B30824" s="4" t="s">
        <v>38817</v>
      </c>
      <c r="C30824" s="5" t="str">
        <f>IFERROR(__xludf.DUMMYFUNCTION("GOOGLETRANSLATE(B30824,""en"",""de"")"),"Er hebt seine rechte Hand und fühlt sich triumphierend.")</f>
        <v>Er hebt seine rechte Hand und fühlt sich triumphierend.</v>
      </c>
    </row>
    <row r="30825">
      <c r="A30825" s="4" t="s">
        <v>38818</v>
      </c>
      <c r="B30825" s="4" t="s">
        <v>38819</v>
      </c>
      <c r="C30825" s="5" t="str">
        <f>IFERROR(__xludf.DUMMYFUNCTION("GOOGLETRANSLATE(B30825,""en"",""de"")"),"Es gibt eine Nahaufnahme mehrerer Männer und Jungen, die schwitzen.")</f>
        <v>Es gibt eine Nahaufnahme mehrerer Männer und Jungen, die schwitzen.</v>
      </c>
    </row>
    <row r="30826">
      <c r="A30826" s="4" t="s">
        <v>38818</v>
      </c>
      <c r="B30826" s="4" t="s">
        <v>38820</v>
      </c>
      <c r="C30826" s="5" t="str">
        <f>IFERROR(__xludf.DUMMYFUNCTION("GOOGLETRANSLATE(B30826,""en"",""de"")"),"Sie spielen Rockpapierscheren, und der Verlierer wird wütend.")</f>
        <v>Sie spielen Rockpapierscheren, und der Verlierer wird wütend.</v>
      </c>
    </row>
    <row r="30827">
      <c r="A30827" s="4" t="s">
        <v>38818</v>
      </c>
      <c r="B30827" s="4" t="s">
        <v>38821</v>
      </c>
      <c r="C30827" s="5" t="str">
        <f>IFERROR(__xludf.DUMMYFUNCTION("GOOGLETRANSLATE(B30827,""en"",""de"")"),"Er rennt durch das Gebäude und im Freien, schreit und schlägt die Luft.")</f>
        <v>Er rennt durch das Gebäude und im Freien, schreit und schlägt die Luft.</v>
      </c>
    </row>
    <row r="30828">
      <c r="A30828" s="4" t="s">
        <v>38818</v>
      </c>
      <c r="B30828" s="4" t="s">
        <v>38822</v>
      </c>
      <c r="C30828" s="5" t="str">
        <f>IFERROR(__xludf.DUMMYFUNCTION("GOOGLETRANSLATE(B30828,""en"",""de"")"),"Der Mann sitzt auf einem Stuhl und redet.")</f>
        <v>Der Mann sitzt auf einem Stuhl und redet.</v>
      </c>
    </row>
    <row r="30829">
      <c r="A30829" s="4" t="s">
        <v>38818</v>
      </c>
      <c r="B30829" s="4" t="s">
        <v>38823</v>
      </c>
      <c r="C30829" s="5" t="str">
        <f>IFERROR(__xludf.DUMMYFUNCTION("GOOGLETRANSLATE(B30829,""en"",""de"")"),"Er schüttelt eine Flasche auf und trinkt etwas, bevor er erstickt.")</f>
        <v>Er schüttelt eine Flasche auf und trinkt etwas, bevor er erstickt.</v>
      </c>
    </row>
    <row r="30830">
      <c r="A30830" s="4" t="s">
        <v>38818</v>
      </c>
      <c r="B30830" s="4" t="s">
        <v>38824</v>
      </c>
      <c r="C30830" s="5" t="str">
        <f>IFERROR(__xludf.DUMMYFUNCTION("GOOGLETRANSLATE(B30830,""en"",""de"")"),"Sie geben das Spiel wieder nach und enden mit ihm wieder, während sie auf dem Stuhl sitzen.")</f>
        <v>Sie geben das Spiel wieder nach und enden mit ihm wieder, während sie auf dem Stuhl sitzen.</v>
      </c>
    </row>
    <row r="30831">
      <c r="A30831" s="4" t="s">
        <v>38825</v>
      </c>
      <c r="B30831" s="4" t="s">
        <v>38826</v>
      </c>
      <c r="C30831" s="5" t="str">
        <f>IFERROR(__xludf.DUMMYFUNCTION("GOOGLETRANSLATE(B30831,""en"",""de"")"),"Ein Mann sitzt auf einem Eimer -Eisfischen.")</f>
        <v>Ein Mann sitzt auf einem Eimer -Eisfischen.</v>
      </c>
    </row>
    <row r="30832">
      <c r="A30832" s="4" t="s">
        <v>38825</v>
      </c>
      <c r="B30832" s="4" t="s">
        <v>38827</v>
      </c>
      <c r="C30832" s="5" t="str">
        <f>IFERROR(__xludf.DUMMYFUNCTION("GOOGLETRANSLATE(B30832,""en"",""de"")"),"Er steht auf und zieht einen Fisch aus dem Loch.")</f>
        <v>Er steht auf und zieht einen Fisch aus dem Loch.</v>
      </c>
    </row>
    <row r="30833">
      <c r="A30833" s="4" t="s">
        <v>38825</v>
      </c>
      <c r="B30833" s="4" t="s">
        <v>38828</v>
      </c>
      <c r="C30833" s="5" t="str">
        <f>IFERROR(__xludf.DUMMYFUNCTION("GOOGLETRANSLATE(B30833,""en"",""de"")"),"Er schneidet den Haken aus dem Fisch und wirft den Fisch auf das Eis.")</f>
        <v>Er schneidet den Haken aus dem Fisch und wirft den Fisch auf das Eis.</v>
      </c>
    </row>
    <row r="30834">
      <c r="A30834" s="4" t="s">
        <v>38825</v>
      </c>
      <c r="B30834" s="4" t="s">
        <v>38829</v>
      </c>
      <c r="C30834" s="5" t="str">
        <f>IFERROR(__xludf.DUMMYFUNCTION("GOOGLETRANSLATE(B30834,""en"",""de"")"),"Er setzt sich wieder auf den Eimer.")</f>
        <v>Er setzt sich wieder auf den Eimer.</v>
      </c>
    </row>
    <row r="30835">
      <c r="A30835" s="4" t="s">
        <v>38830</v>
      </c>
      <c r="B30835" s="4" t="s">
        <v>38831</v>
      </c>
      <c r="C30835" s="5" t="str">
        <f>IFERROR(__xludf.DUMMYFUNCTION("GOOGLETRANSLATE(B30835,""en"",""de"")"),"Es wird ein noch ein Schuss eines Mannes auf Wasserskiern gezeigt.")</f>
        <v>Es wird ein noch ein Schuss eines Mannes auf Wasserskiern gezeigt.</v>
      </c>
    </row>
    <row r="30836">
      <c r="A30836" s="4" t="s">
        <v>38830</v>
      </c>
      <c r="B30836" s="4" t="s">
        <v>38832</v>
      </c>
      <c r="C30836" s="5" t="str">
        <f>IFERROR(__xludf.DUMMYFUNCTION("GOOGLETRANSLATE(B30836,""en"",""de"")"),"Es springt dann sehr intensiv zu demselben Mann, der Wasser Ski Ski ist.")</f>
        <v>Es springt dann sehr intensiv zu demselben Mann, der Wasser Ski Ski ist.</v>
      </c>
    </row>
    <row r="30837">
      <c r="A30837" s="4" t="s">
        <v>38830</v>
      </c>
      <c r="B30837" s="4" t="s">
        <v>38833</v>
      </c>
      <c r="C30837" s="5" t="str">
        <f>IFERROR(__xludf.DUMMYFUNCTION("GOOGLETRANSLATE(B30837,""en"",""de"")"),"Er fällt ein paar Mal und tut sein Bestes, um aufrecht zu bleiben.")</f>
        <v>Er fällt ein paar Mal und tut sein Bestes, um aufrecht zu bleiben.</v>
      </c>
    </row>
    <row r="30838">
      <c r="A30838" s="4" t="s">
        <v>38830</v>
      </c>
      <c r="B30838" s="4" t="s">
        <v>38834</v>
      </c>
      <c r="C30838" s="5" t="str">
        <f>IFERROR(__xludf.DUMMYFUNCTION("GOOGLETRANSLATE(B30838,""en"",""de"")"),"Das Video zeigt dann andere Leute, die ihr Bestes geben, aber jedes Mal fallen.")</f>
        <v>Das Video zeigt dann andere Leute, die ihr Bestes geben, aber jedes Mal fallen.</v>
      </c>
    </row>
    <row r="30839">
      <c r="A30839" s="4" t="s">
        <v>38830</v>
      </c>
      <c r="B30839" s="4" t="s">
        <v>38835</v>
      </c>
      <c r="C30839" s="5" t="str">
        <f>IFERROR(__xludf.DUMMYFUNCTION("GOOGLETRANSLATE(B30839,""en"",""de"")"),"Das Video zeigt weiterhin Menschen, die immer wieder fallen.")</f>
        <v>Das Video zeigt weiterhin Menschen, die immer wieder fallen.</v>
      </c>
    </row>
    <row r="30840">
      <c r="A30840" s="4" t="s">
        <v>38830</v>
      </c>
      <c r="B30840" s="4" t="s">
        <v>38836</v>
      </c>
      <c r="C30840" s="5" t="str">
        <f>IFERROR(__xludf.DUMMYFUNCTION("GOOGLETRANSLATE(B30840,""en"",""de"")"),"Am Ende werden Credits gezeigt, wer im Video gedreht und mitgespielt hat.")</f>
        <v>Am Ende werden Credits gezeigt, wer im Video gedreht und mitgespielt hat.</v>
      </c>
    </row>
    <row r="30841">
      <c r="A30841" s="4" t="s">
        <v>38837</v>
      </c>
      <c r="B30841" s="4" t="s">
        <v>38838</v>
      </c>
      <c r="C30841" s="5" t="str">
        <f>IFERROR(__xludf.DUMMYFUNCTION("GOOGLETRANSLATE(B30841,""en"",""de"")"),"Ein Mann spielt die Dudelsack.")</f>
        <v>Ein Mann spielt die Dudelsack.</v>
      </c>
    </row>
    <row r="30842">
      <c r="A30842" s="4" t="s">
        <v>38837</v>
      </c>
      <c r="B30842" s="4" t="s">
        <v>38839</v>
      </c>
      <c r="C30842" s="5" t="str">
        <f>IFERROR(__xludf.DUMMYFUNCTION("GOOGLETRANSLATE(B30842,""en"",""de"")"),"Die Leute spielen draußen ein Lacrosse -Spiel.")</f>
        <v>Die Leute spielen draußen ein Lacrosse -Spiel.</v>
      </c>
    </row>
    <row r="30843">
      <c r="A30843" s="4" t="s">
        <v>38837</v>
      </c>
      <c r="B30843" s="4" t="s">
        <v>21371</v>
      </c>
      <c r="C30843" s="5" t="str">
        <f>IFERROR(__xludf.DUMMYFUNCTION("GOOGLETRANSLATE(B30843,""en"",""de"")"),"Ein Mann in einem blauen Hemd spricht mit der Kamera.")</f>
        <v>Ein Mann in einem blauen Hemd spricht mit der Kamera.</v>
      </c>
    </row>
    <row r="30844">
      <c r="A30844" s="4" t="s">
        <v>38840</v>
      </c>
      <c r="B30844" s="4" t="s">
        <v>38841</v>
      </c>
      <c r="C30844" s="5" t="str">
        <f>IFERROR(__xludf.DUMMYFUNCTION("GOOGLETRANSLATE(B30844,""en"",""de"")"),"Ein Junge mäht einen Garten mit einem Mäher mit einem Sammelbeutel auf dem Rücken.")</f>
        <v>Ein Junge mäht einen Garten mit einem Mäher mit einem Sammelbeutel auf dem Rücken.</v>
      </c>
    </row>
    <row r="30845">
      <c r="A30845" s="4" t="s">
        <v>38840</v>
      </c>
      <c r="B30845" s="4" t="s">
        <v>38842</v>
      </c>
      <c r="C30845" s="5" t="str">
        <f>IFERROR(__xludf.DUMMYFUNCTION("GOOGLETRANSLATE(B30845,""en"",""de"")"),"Der Junge passieren den Bürgersteig und dreht sich in den Hof, um das Gras weiter zu schneiden.")</f>
        <v>Der Junge passieren den Bürgersteig und dreht sich in den Hof, um das Gras weiter zu schneiden.</v>
      </c>
    </row>
    <row r="30846">
      <c r="A30846" s="4" t="s">
        <v>38843</v>
      </c>
      <c r="B30846" s="4" t="s">
        <v>38844</v>
      </c>
      <c r="C30846" s="5" t="str">
        <f>IFERROR(__xludf.DUMMYFUNCTION("GOOGLETRANSLATE(B30846,""en"",""de"")"),"Die Leute reiten auf Pferden auf einem Feld.")</f>
        <v>Die Leute reiten auf Pferden auf einem Feld.</v>
      </c>
    </row>
    <row r="30847">
      <c r="A30847" s="4" t="s">
        <v>38843</v>
      </c>
      <c r="B30847" s="4" t="s">
        <v>38845</v>
      </c>
      <c r="C30847" s="5" t="str">
        <f>IFERROR(__xludf.DUMMYFUNCTION("GOOGLETRANSLATE(B30847,""en"",""de"")"),"Eine Person in einem roten Hemd steht neben dem Pferd.")</f>
        <v>Eine Person in einem roten Hemd steht neben dem Pferd.</v>
      </c>
    </row>
    <row r="30848">
      <c r="A30848" s="4" t="s">
        <v>38843</v>
      </c>
      <c r="B30848" s="4" t="s">
        <v>38846</v>
      </c>
      <c r="C30848" s="5" t="str">
        <f>IFERROR(__xludf.DUMMYFUNCTION("GOOGLETRANSLATE(B30848,""en"",""de"")"),"Ein Mann in einem schwarzen Hut steht neben dem Pferd.")</f>
        <v>Ein Mann in einem schwarzen Hut steht neben dem Pferd.</v>
      </c>
    </row>
    <row r="30849">
      <c r="A30849" s="4" t="s">
        <v>38847</v>
      </c>
      <c r="B30849" s="4" t="s">
        <v>38848</v>
      </c>
      <c r="C30849" s="5" t="str">
        <f>IFERROR(__xludf.DUMMYFUNCTION("GOOGLETRANSLATE(B30849,""en"",""de"")"),"Eine Frau wird gesehen, wie sie das Fell eines Hundes rasiert, während die Kamera viele Hunde in Kisten zeigt.")</f>
        <v>Eine Frau wird gesehen, wie sie das Fell eines Hundes rasiert, während die Kamera viele Hunde in Kisten zeigt.</v>
      </c>
    </row>
    <row r="30850">
      <c r="A30850" s="4" t="s">
        <v>38847</v>
      </c>
      <c r="B30850" s="4" t="s">
        <v>38849</v>
      </c>
      <c r="C30850" s="5" t="str">
        <f>IFERROR(__xludf.DUMMYFUNCTION("GOOGLETRANSLATE(B30850,""en"",""de"")"),"Eine Frau spricht mit der Kamera und zeigt mehrere Hunde mit langem Haar und danach.")</f>
        <v>Eine Frau spricht mit der Kamera und zeigt mehrere Hunde mit langem Haar und danach.</v>
      </c>
    </row>
    <row r="30851">
      <c r="A30851" s="4" t="s">
        <v>38847</v>
      </c>
      <c r="B30851" s="4" t="s">
        <v>38850</v>
      </c>
      <c r="C30851" s="5" t="str">
        <f>IFERROR(__xludf.DUMMYFUNCTION("GOOGLETRANSLATE(B30851,""en"",""de"")"),"Die Frau rasiert weiterhin die Seiten des Hundes, während sie anhält, um mit der Kamera zu sprechen und den rasierten Hund zu zeigen.")</f>
        <v>Die Frau rasiert weiterhin die Seiten des Hundes, während sie anhält, um mit der Kamera zu sprechen und den rasierten Hund zu zeigen.</v>
      </c>
    </row>
    <row r="30852">
      <c r="A30852" s="4" t="s">
        <v>38851</v>
      </c>
      <c r="B30852" s="4" t="s">
        <v>38852</v>
      </c>
      <c r="C30852" s="5" t="str">
        <f>IFERROR(__xludf.DUMMYFUNCTION("GOOGLETRANSLATE(B30852,""en"",""de"")"),"Eine Person in einem schwarzen Mantel kratzt Eis aus einem Fenster.")</f>
        <v>Eine Person in einem schwarzen Mantel kratzt Eis aus einem Fenster.</v>
      </c>
    </row>
    <row r="30853">
      <c r="A30853" s="4" t="s">
        <v>38851</v>
      </c>
      <c r="B30853" s="4" t="s">
        <v>38853</v>
      </c>
      <c r="C30853" s="5" t="str">
        <f>IFERROR(__xludf.DUMMYFUNCTION("GOOGLETRANSLATE(B30853,""en"",""de"")"),"Ein Kind in einem gelben Mantel lächelt in die Kamera.")</f>
        <v>Ein Kind in einem gelben Mantel lächelt in die Kamera.</v>
      </c>
    </row>
    <row r="30854">
      <c r="A30854" s="4" t="s">
        <v>38851</v>
      </c>
      <c r="B30854" s="4" t="s">
        <v>38854</v>
      </c>
      <c r="C30854" s="5" t="str">
        <f>IFERROR(__xludf.DUMMYFUNCTION("GOOGLETRANSLATE(B30854,""en"",""de"")"),"Ein Junge in einer grünen Jacke kratzt das Eis aus einem anderen Auto.")</f>
        <v>Ein Junge in einer grünen Jacke kratzt das Eis aus einem anderen Auto.</v>
      </c>
    </row>
    <row r="30855">
      <c r="A30855" s="4" t="s">
        <v>38855</v>
      </c>
      <c r="B30855" s="4" t="s">
        <v>38856</v>
      </c>
      <c r="C30855" s="5" t="str">
        <f>IFERROR(__xludf.DUMMYFUNCTION("GOOGLETRANSLATE(B30855,""en"",""de"")"),"Die Nachrichten zeigen ein Bild eines Mannes Namen Albertinho Gazio, während eine Frau in Schneetätigkeit in Richtung ihres geparkten Autoes aus ihrem Haus geht.")</f>
        <v>Die Nachrichten zeigen ein Bild eines Mannes Namen Albertinho Gazio, während eine Frau in Schneetätigkeit in Richtung ihres geparkten Autoes aus ihrem Haus geht.</v>
      </c>
    </row>
    <row r="30856">
      <c r="A30856" s="4" t="s">
        <v>38855</v>
      </c>
      <c r="B30856" s="4" t="s">
        <v>38857</v>
      </c>
      <c r="C30856" s="5" t="str">
        <f>IFERROR(__xludf.DUMMYFUNCTION("GOOGLETRANSLATE(B30856,""en"",""de"")"),"Der Mann hinter der Kamera scheint Albertinho zu sein, er geht durch den Schnee und redet, er und seine Frau und nimmt den Schnee von den Autos auf dem Parkplatz aus.")</f>
        <v>Der Mann hinter der Kamera scheint Albertinho zu sein, er geht durch den Schnee und redet, er und seine Frau und nimmt den Schnee von den Autos auf dem Parkplatz aus.</v>
      </c>
    </row>
    <row r="30857">
      <c r="A30857" s="4" t="s">
        <v>38855</v>
      </c>
      <c r="B30857" s="4" t="s">
        <v>38858</v>
      </c>
      <c r="C30857" s="5" t="str">
        <f>IFERROR(__xludf.DUMMYFUNCTION("GOOGLETRANSLATE(B30857,""en"",""de"")"),"Seine Hände sind extrem rot aus dem Schnee, aber seine Frau trägt Handschuhe, also ist sie nicht betroffen.")</f>
        <v>Seine Hände sind extrem rot aus dem Schnee, aber seine Frau trägt Handschuhe, also ist sie nicht betroffen.</v>
      </c>
    </row>
    <row r="30858">
      <c r="A30858" s="4" t="s">
        <v>38855</v>
      </c>
      <c r="B30858" s="4" t="s">
        <v>38859</v>
      </c>
      <c r="C30858" s="5" t="str">
        <f>IFERROR(__xludf.DUMMYFUNCTION("GOOGLETRANSLATE(B30858,""en"",""de"")"),"Er nimmt eine Zeitung aus der Tasche und liest es durch, während seine Frau ihn auslacht, bevor sie wieder hineingehen.")</f>
        <v>Er nimmt eine Zeitung aus der Tasche und liest es durch, während seine Frau ihn auslacht, bevor sie wieder hineingehen.</v>
      </c>
    </row>
    <row r="30859">
      <c r="A30859" s="4" t="s">
        <v>38860</v>
      </c>
      <c r="B30859" s="4" t="s">
        <v>38861</v>
      </c>
      <c r="C30859" s="5" t="str">
        <f>IFERROR(__xludf.DUMMYFUNCTION("GOOGLETRANSLATE(B30859,""en"",""de"")"),"Ein Mädchen legte ihren Fuß auf eine Linie und zieht sich dann hoch.")</f>
        <v>Ein Mädchen legte ihren Fuß auf eine Linie und zieht sich dann hoch.</v>
      </c>
    </row>
    <row r="30860">
      <c r="A30860" s="4" t="s">
        <v>38860</v>
      </c>
      <c r="B30860" s="4" t="s">
        <v>38862</v>
      </c>
      <c r="C30860" s="5" t="str">
        <f>IFERROR(__xludf.DUMMYFUNCTION("GOOGLETRANSLATE(B30860,""en"",""de"")"),"Ihre Füße sind schmutzig, aber sie versucht, das Seil auszugleichen.")</f>
        <v>Ihre Füße sind schmutzig, aber sie versucht, das Seil auszugleichen.</v>
      </c>
    </row>
    <row r="30861">
      <c r="A30861" s="4" t="s">
        <v>38860</v>
      </c>
      <c r="B30861" s="4" t="s">
        <v>38863</v>
      </c>
      <c r="C30861" s="5" t="str">
        <f>IFERROR(__xludf.DUMMYFUNCTION("GOOGLETRANSLATE(B30861,""en"",""de"")"),"Ein Mann steht auf dem Seil auf, um sich auch auszugleichen. Er hat Schwierigkeiten, sein Gleichgewicht zu bewahren, was dazu führt, dass er fast ein wenig fällt.")</f>
        <v>Ein Mann steht auf dem Seil auf, um sich auch auszugleichen. Er hat Schwierigkeiten, sein Gleichgewicht zu bewahren, was dazu führt, dass er fast ein wenig fällt.</v>
      </c>
    </row>
    <row r="30862">
      <c r="A30862" s="4" t="s">
        <v>38860</v>
      </c>
      <c r="B30862" s="4" t="s">
        <v>38864</v>
      </c>
      <c r="C30862" s="5" t="str">
        <f>IFERROR(__xludf.DUMMYFUNCTION("GOOGLETRANSLATE(B30862,""en"",""de"")"),"Er versuchte dies über Wasser und dann beobachtet er eine Frau, die versucht, sich auszugleichen.")</f>
        <v>Er versuchte dies über Wasser und dann beobachtet er eine Frau, die versucht, sich auszugleichen.</v>
      </c>
    </row>
    <row r="30863">
      <c r="A30863" s="4" t="s">
        <v>38865</v>
      </c>
      <c r="B30863" s="4" t="s">
        <v>38866</v>
      </c>
      <c r="C30863" s="5" t="str">
        <f>IFERROR(__xludf.DUMMYFUNCTION("GOOGLETRANSLATE(B30863,""en"",""de"")"),"Eine Person übernimmt die Hände einen kleinen und großen Pinsel und einen Com und verweist auf einen Krug aus Waschmittel und einer Sprühflasche.")</f>
        <v>Eine Person übernimmt die Hände einen kleinen und großen Pinsel und einen Com und verweist auf einen Krug aus Waschmittel und einer Sprühflasche.</v>
      </c>
    </row>
    <row r="30864">
      <c r="A30864" s="4" t="s">
        <v>38865</v>
      </c>
      <c r="B30864" s="4" t="s">
        <v>38867</v>
      </c>
      <c r="C30864" s="5" t="str">
        <f>IFERROR(__xludf.DUMMYFUNCTION("GOOGLETRANSLATE(B30864,""en"",""de"")"),"Die Person nimmt die große Bürste und streift das Hinterbein des Hundes von oben nach unten.")</f>
        <v>Die Person nimmt die große Bürste und streift das Hinterbein des Hundes von oben nach unten.</v>
      </c>
    </row>
    <row r="30865">
      <c r="A30865" s="4" t="s">
        <v>38865</v>
      </c>
      <c r="B30865" s="4" t="s">
        <v>38868</v>
      </c>
      <c r="C30865" s="5" t="str">
        <f>IFERROR(__xludf.DUMMYFUNCTION("GOOGLETRANSLATE(B30865,""en"",""de"")"),"Danach streift die Person das Hinterbein des Hundes mit der großen Pinsel, dann kleine Bürste und Kamm.")</f>
        <v>Danach streift die Person das Hinterbein des Hundes mit der großen Pinsel, dann kleine Bürste und Kamm.</v>
      </c>
    </row>
    <row r="30866">
      <c r="A30866" s="4" t="s">
        <v>38865</v>
      </c>
      <c r="B30866" s="4" t="s">
        <v>38869</v>
      </c>
      <c r="C30866" s="5" t="str">
        <f>IFERROR(__xludf.DUMMYFUNCTION("GOOGLETRANSLATE(B30866,""en"",""de"")"),"Als nächstes sprüht die Person das Bein des Hundes und die Kämme.")</f>
        <v>Als nächstes sprüht die Person das Bein des Hundes und die Kämme.</v>
      </c>
    </row>
    <row r="30867">
      <c r="A30867" s="4" t="s">
        <v>38870</v>
      </c>
      <c r="B30867" s="4" t="s">
        <v>38871</v>
      </c>
      <c r="C30867" s="5" t="str">
        <f>IFERROR(__xludf.DUMMYFUNCTION("GOOGLETRANSLATE(B30867,""en"",""de"")"),"Eine Person spielt auf den Straßen Dudelsack, während die Leute vorbeikommen.")</f>
        <v>Eine Person spielt auf den Straßen Dudelsack, während die Leute vorbeikommen.</v>
      </c>
    </row>
    <row r="30868">
      <c r="A30868" s="4" t="s">
        <v>38870</v>
      </c>
      <c r="B30868" s="4" t="s">
        <v>38872</v>
      </c>
      <c r="C30868" s="5" t="str">
        <f>IFERROR(__xludf.DUMMYFUNCTION("GOOGLETRANSLATE(B30868,""en"",""de"")"),"Die Menge wird gezeigt und jemand macht ein Foto mit der Frau.")</f>
        <v>Die Menge wird gezeigt und jemand macht ein Foto mit der Frau.</v>
      </c>
    </row>
    <row r="30869">
      <c r="A30869" s="4" t="s">
        <v>38873</v>
      </c>
      <c r="B30869" s="4" t="s">
        <v>38874</v>
      </c>
      <c r="C30869" s="5" t="str">
        <f>IFERROR(__xludf.DUMMYFUNCTION("GOOGLETRANSLATE(B30869,""en"",""de"")"),"Es gibt einen Turner, der rote Trikots trägt, die in einem großen Stadion mit Zuschauern und einer Jury in einer Pferdebar in einem großen Stadion Turnerinnen spielen.")</f>
        <v>Es gibt einen Turner, der rote Trikots trägt, die in einem großen Stadion mit Zuschauern und einer Jury in einer Pferdebar in einem großen Stadion Turnerinnen spielen.</v>
      </c>
    </row>
    <row r="30870">
      <c r="A30870" s="4" t="s">
        <v>38873</v>
      </c>
      <c r="B30870" s="4" t="s">
        <v>38875</v>
      </c>
      <c r="C30870" s="5" t="str">
        <f>IFERROR(__xludf.DUMMYFUNCTION("GOOGLETRANSLATE(B30870,""en"",""de"")"),"Sie beginnt, indem sie in die Pferdestange steigt und vorne und ein paar Rückenflips macht.")</f>
        <v>Sie beginnt, indem sie in die Pferdestange steigt und vorne und ein paar Rückenflips macht.</v>
      </c>
    </row>
    <row r="30871">
      <c r="A30871" s="4" t="s">
        <v>38873</v>
      </c>
      <c r="B30871" s="4" t="s">
        <v>38876</v>
      </c>
      <c r="C30871" s="5" t="str">
        <f>IFERROR(__xludf.DUMMYFUNCTION("GOOGLETRANSLATE(B30871,""en"",""de"")"),"Dann dreht sie weiter ihre Beine und macht eine andere Seite, indem sie ihren Körper verdreht.")</f>
        <v>Dann dreht sie weiter ihre Beine und macht eine andere Seite, indem sie ihren Körper verdreht.</v>
      </c>
    </row>
    <row r="30872">
      <c r="A30872" s="4" t="s">
        <v>38873</v>
      </c>
      <c r="B30872" s="4" t="s">
        <v>38877</v>
      </c>
      <c r="C30872" s="5" t="str">
        <f>IFERROR(__xludf.DUMMYFUNCTION("GOOGLETRANSLATE(B30872,""en"",""de"")"),"Sie macht dann anmutig noch wenige kontinuierliche Rückenlips und springt von der Bar und geht weg.")</f>
        <v>Sie macht dann anmutig noch wenige kontinuierliche Rückenlips und springt von der Bar und geht weg.</v>
      </c>
    </row>
    <row r="30873">
      <c r="A30873" s="4" t="s">
        <v>38878</v>
      </c>
      <c r="B30873" s="4" t="s">
        <v>38879</v>
      </c>
      <c r="C30873" s="5" t="str">
        <f>IFERROR(__xludf.DUMMYFUNCTION("GOOGLETRANSLATE(B30873,""en"",""de"")"),"Zwei Sumos stehen von Angesicht zu Angesicht vor einer Frau.")</f>
        <v>Zwei Sumos stehen von Angesicht zu Angesicht vor einer Frau.</v>
      </c>
    </row>
    <row r="30874">
      <c r="A30874" s="4" t="s">
        <v>38878</v>
      </c>
      <c r="B30874" s="4" t="s">
        <v>38880</v>
      </c>
      <c r="C30874" s="5" t="str">
        <f>IFERROR(__xludf.DUMMYFUNCTION("GOOGLETRANSLATE(B30874,""en"",""de"")"),"Dann schieben sich die Sumos gegenseitig, während die Frau sie beobachtet.")</f>
        <v>Dann schieben sich die Sumos gegenseitig, während die Frau sie beobachtet.</v>
      </c>
    </row>
    <row r="30875">
      <c r="A30875" s="4" t="s">
        <v>38878</v>
      </c>
      <c r="B30875" s="4" t="s">
        <v>38881</v>
      </c>
      <c r="C30875" s="5" t="str">
        <f>IFERROR(__xludf.DUMMYFUNCTION("GOOGLETRANSLATE(B30875,""en"",""de"")"),"Danach fällt ein Sumo stark auf den Boden, dann steht er.")</f>
        <v>Danach fällt ein Sumo stark auf den Boden, dann steht er.</v>
      </c>
    </row>
    <row r="30876">
      <c r="A30876" s="4" t="s">
        <v>38878</v>
      </c>
      <c r="B30876" s="4" t="s">
        <v>38882</v>
      </c>
      <c r="C30876" s="5" t="str">
        <f>IFERROR(__xludf.DUMMYFUNCTION("GOOGLETRANSLATE(B30876,""en"",""de"")"),"Ein Mann, der gelbe Kleidung trägt, nähert sich dem Ring.")</f>
        <v>Ein Mann, der gelbe Kleidung trägt, nähert sich dem Ring.</v>
      </c>
    </row>
    <row r="30877">
      <c r="A30877" s="4" t="s">
        <v>38883</v>
      </c>
      <c r="B30877" s="4" t="s">
        <v>38884</v>
      </c>
      <c r="C30877" s="5" t="str">
        <f>IFERROR(__xludf.DUMMYFUNCTION("GOOGLETRANSLATE(B30877,""en"",""de"")"),"Fünf Produkte sind auf einem Tisch ausgerichtet und veranschaulichen die Produkte, die zur Rasur benötigt werden.")</f>
        <v>Fünf Produkte sind auf einem Tisch ausgerichtet und veranschaulichen die Produkte, die zur Rasur benötigt werden.</v>
      </c>
    </row>
    <row r="30878">
      <c r="A30878" s="4" t="s">
        <v>38883</v>
      </c>
      <c r="B30878" s="4" t="s">
        <v>38885</v>
      </c>
      <c r="C30878" s="5" t="str">
        <f>IFERROR(__xludf.DUMMYFUNCTION("GOOGLETRANSLATE(B30878,""en"",""de"")"),"Ein junger weißer Mann geht ins Badezimmer, dreht das Wasser an und beginnt seinen Bart zu reiben.")</f>
        <v>Ein junger weißer Mann geht ins Badezimmer, dreht das Wasser an und beginnt seinen Bart zu reiben.</v>
      </c>
    </row>
    <row r="30879">
      <c r="A30879" s="4" t="s">
        <v>38883</v>
      </c>
      <c r="B30879" s="4" t="s">
        <v>38886</v>
      </c>
      <c r="C30879" s="5" t="str">
        <f>IFERROR(__xludf.DUMMYFUNCTION("GOOGLETRANSLATE(B30879,""en"",""de"")"),"Eine Reihe verschiedener Formen des Produkts wird gezeigt, und dann bereitet der Mann seine Haut mit Öl vor und legt sie um seinen Bart.")</f>
        <v>Eine Reihe verschiedener Formen des Produkts wird gezeigt, und dann bereitet der Mann seine Haut mit Öl vor und legt sie um seinen Bart.</v>
      </c>
    </row>
    <row r="30880">
      <c r="A30880" s="4" t="s">
        <v>38883</v>
      </c>
      <c r="B30880" s="4" t="s">
        <v>38887</v>
      </c>
      <c r="C30880" s="5" t="str">
        <f>IFERROR(__xludf.DUMMYFUNCTION("GOOGLETRANSLATE(B30880,""en"",""de"")"),"Als nächstes kommt der Pinsel und er fügt ihm etwas weiße Creme hinzu, um seine Haare zu schämen.")</f>
        <v>Als nächstes kommt der Pinsel und er fügt ihm etwas weiße Creme hinzu, um seine Haare zu schämen.</v>
      </c>
    </row>
    <row r="30881">
      <c r="A30881" s="4" t="s">
        <v>38883</v>
      </c>
      <c r="B30881" s="4" t="s">
        <v>38888</v>
      </c>
      <c r="C30881" s="5" t="str">
        <f>IFERROR(__xludf.DUMMYFUNCTION("GOOGLETRANSLATE(B30881,""en"",""de"")"),"Schließlich ist es Zeit zu rasieren und der Bart wird komplett niedergeschlagen.")</f>
        <v>Schließlich ist es Zeit zu rasieren und der Bart wird komplett niedergeschlagen.</v>
      </c>
    </row>
    <row r="30882">
      <c r="A30882" s="4" t="s">
        <v>38883</v>
      </c>
      <c r="B30882" s="4" t="s">
        <v>38889</v>
      </c>
      <c r="C30882" s="5" t="str">
        <f>IFERROR(__xludf.DUMMYFUNCTION("GOOGLETRANSLATE(B30882,""en"",""de"")"),"Für den letzten Schliff wird Lotion hinzugefügt und der Mann ist jetzt in einem Anzug gekleidet, der bereit ist zu gehen.")</f>
        <v>Für den letzten Schliff wird Lotion hinzugefügt und der Mann ist jetzt in einem Anzug gekleidet, der bereit ist zu gehen.</v>
      </c>
    </row>
    <row r="30883">
      <c r="A30883" s="4" t="s">
        <v>38890</v>
      </c>
      <c r="B30883" s="4" t="s">
        <v>38891</v>
      </c>
      <c r="C30883" s="5" t="str">
        <f>IFERROR(__xludf.DUMMYFUNCTION("GOOGLETRANSLATE(B30883,""en"",""de"")"),"Ein Mann, der einen Hut trägt, spricht mit der Kamera und hält verschiedene Reinigungsprodukte hoch.")</f>
        <v>Ein Mann, der einen Hut trägt, spricht mit der Kamera und hält verschiedene Reinigungsprodukte hoch.</v>
      </c>
    </row>
    <row r="30884">
      <c r="A30884" s="4" t="s">
        <v>38890</v>
      </c>
      <c r="B30884" s="4" t="s">
        <v>38892</v>
      </c>
      <c r="C30884" s="5" t="str">
        <f>IFERROR(__xludf.DUMMYFUNCTION("GOOGLETRANSLATE(B30884,""en"",""de"")"),"Dann hält er eine Flasche und einen Lappen hoch und beginnt, eine Klassentür abzuwischen.")</f>
        <v>Dann hält er eine Flasche und einen Lappen hoch und beginnt, eine Klassentür abzuwischen.</v>
      </c>
    </row>
    <row r="30885">
      <c r="A30885" s="4" t="s">
        <v>38890</v>
      </c>
      <c r="B30885" s="4" t="s">
        <v>38893</v>
      </c>
      <c r="C30885" s="5" t="str">
        <f>IFERROR(__xludf.DUMMYFUNCTION("GOOGLETRANSLATE(B30885,""en"",""de"")"),"Er wischt weiter in eine Tür und spricht mit der Kamera.")</f>
        <v>Er wischt weiter in eine Tür und spricht mit der Kamera.</v>
      </c>
    </row>
    <row r="30886">
      <c r="A30886" s="4" t="s">
        <v>38894</v>
      </c>
      <c r="B30886" s="4" t="s">
        <v>38895</v>
      </c>
      <c r="C30886" s="5" t="str">
        <f>IFERROR(__xludf.DUMMYFUNCTION("GOOGLETRANSLATE(B30886,""en"",""de"")"),"Ein Mann spricht mit der Kamera, während er die Haare einer Frau gestylt.")</f>
        <v>Ein Mann spricht mit der Kamera, während er die Haare einer Frau gestylt.</v>
      </c>
    </row>
    <row r="30887">
      <c r="A30887" s="4" t="s">
        <v>38894</v>
      </c>
      <c r="B30887" s="4" t="s">
        <v>38896</v>
      </c>
      <c r="C30887" s="5" t="str">
        <f>IFERROR(__xludf.DUMMYFUNCTION("GOOGLETRANSLATE(B30887,""en"",""de"")"),"Der Mann zeigt verschiedene Haarpflegeprodukte.")</f>
        <v>Der Mann zeigt verschiedene Haarpflegeprodukte.</v>
      </c>
    </row>
    <row r="30888">
      <c r="A30888" s="4" t="s">
        <v>38894</v>
      </c>
      <c r="B30888" s="4" t="s">
        <v>38897</v>
      </c>
      <c r="C30888" s="5" t="str">
        <f>IFERROR(__xludf.DUMMYFUNCTION("GOOGLETRANSLATE(B30888,""en"",""de"")"),"Der Mann trocknet die Haare der Frau mit einem Föhn.")</f>
        <v>Der Mann trocknet die Haare der Frau mit einem Föhn.</v>
      </c>
    </row>
    <row r="30889">
      <c r="A30889" s="4" t="s">
        <v>38894</v>
      </c>
      <c r="B30889" s="4" t="s">
        <v>38898</v>
      </c>
      <c r="C30889" s="5" t="str">
        <f>IFERROR(__xludf.DUMMYFUNCTION("GOOGLETRANSLATE(B30889,""en"",""de"")"),"Der Mann zeigt eine Haarbürste.")</f>
        <v>Der Mann zeigt eine Haarbürste.</v>
      </c>
    </row>
    <row r="30890">
      <c r="A30890" s="4" t="s">
        <v>38894</v>
      </c>
      <c r="B30890" s="4" t="s">
        <v>38899</v>
      </c>
      <c r="C30890" s="5" t="str">
        <f>IFERROR(__xludf.DUMMYFUNCTION("GOOGLETRANSLATE(B30890,""en"",""de"")"),"Der Mann gibt der Frau die Bürste und den Föhn.")</f>
        <v>Der Mann gibt der Frau die Bürste und den Föhn.</v>
      </c>
    </row>
    <row r="30891">
      <c r="A30891" s="4" t="s">
        <v>38894</v>
      </c>
      <c r="B30891" s="4" t="s">
        <v>38900</v>
      </c>
      <c r="C30891" s="5" t="str">
        <f>IFERROR(__xludf.DUMMYFUNCTION("GOOGLETRANSLATE(B30891,""en"",""de"")"),"Die Frau fährt fort, ihr eigenes Haar zu trocknen.")</f>
        <v>Die Frau fährt fort, ihr eigenes Haar zu trocknen.</v>
      </c>
    </row>
    <row r="30892">
      <c r="A30892" s="4" t="s">
        <v>38894</v>
      </c>
      <c r="B30892" s="4" t="s">
        <v>38901</v>
      </c>
      <c r="C30892" s="5" t="str">
        <f>IFERROR(__xludf.DUMMYFUNCTION("GOOGLETRANSLATE(B30892,""en"",""de"")"),"Der Mann nutzt das Blasen, das die Haare der Frau trocknet.")</f>
        <v>Der Mann nutzt das Blasen, das die Haare der Frau trocknet.</v>
      </c>
    </row>
    <row r="30893">
      <c r="A30893" s="4" t="s">
        <v>38894</v>
      </c>
      <c r="B30893" s="4" t="s">
        <v>38902</v>
      </c>
      <c r="C30893" s="5" t="str">
        <f>IFERROR(__xludf.DUMMYFUNCTION("GOOGLETRANSLATE(B30893,""en"",""de"")"),"Der Mann sprüht die Haare der Frau mit Haarspray.")</f>
        <v>Der Mann sprüht die Haare der Frau mit Haarspray.</v>
      </c>
    </row>
    <row r="30894">
      <c r="A30894" s="4" t="s">
        <v>38894</v>
      </c>
      <c r="B30894" s="4" t="s">
        <v>38903</v>
      </c>
      <c r="C30894" s="5" t="str">
        <f>IFERROR(__xludf.DUMMYFUNCTION("GOOGLETRANSLATE(B30894,""en"",""de"")"),"Eine Reihe von Haarpflegeprodukten wird gezeigt.")</f>
        <v>Eine Reihe von Haarpflegeprodukten wird gezeigt.</v>
      </c>
    </row>
    <row r="30895">
      <c r="A30895" s="4" t="s">
        <v>38894</v>
      </c>
      <c r="B30895" s="4" t="s">
        <v>38904</v>
      </c>
      <c r="C30895" s="5" t="str">
        <f>IFERROR(__xludf.DUMMYFUNCTION("GOOGLETRANSLATE(B30895,""en"",""de"")"),"Es wird ein Logo für Haarpflegeprodukte gezeigt.")</f>
        <v>Es wird ein Logo für Haarpflegeprodukte gezeigt.</v>
      </c>
    </row>
    <row r="30896">
      <c r="A30896" s="4" t="s">
        <v>38905</v>
      </c>
      <c r="B30896" s="4" t="s">
        <v>38906</v>
      </c>
      <c r="C30896" s="5" t="str">
        <f>IFERROR(__xludf.DUMMYFUNCTION("GOOGLETRANSLATE(B30896,""en"",""de"")"),"Eine Gruppe von Menschen befindet sich im Hinterhof eines Hauses und spielt Croquette.")</f>
        <v>Eine Gruppe von Menschen befindet sich im Hinterhof eines Hauses und spielt Croquette.</v>
      </c>
    </row>
    <row r="30897">
      <c r="A30897" s="4" t="s">
        <v>38905</v>
      </c>
      <c r="B30897" s="4" t="s">
        <v>38907</v>
      </c>
      <c r="C30897" s="5" t="str">
        <f>IFERROR(__xludf.DUMMYFUNCTION("GOOGLETRANSLATE(B30897,""en"",""de"")"),"Eine Frau benutzt den Mallet, um den Ball zu schlagen, dann gehen andere mit.")</f>
        <v>Eine Frau benutzt den Mallet, um den Ball zu schlagen, dann gehen andere mit.</v>
      </c>
    </row>
    <row r="30898">
      <c r="A30898" s="4" t="s">
        <v>38905</v>
      </c>
      <c r="B30898" s="4" t="s">
        <v>38908</v>
      </c>
      <c r="C30898" s="5" t="str">
        <f>IFERROR(__xludf.DUMMYFUNCTION("GOOGLETRANSLATE(B30898,""en"",""de"")"),"Ein Mann, der einen Schläger und einen Ball hält, spricht über den Prozess, wie man das Spiel spielt, spielt und den Ball schlägt, und er erklärt es.")</f>
        <v>Ein Mann, der einen Schläger und einen Ball hält, spricht über den Prozess, wie man das Spiel spielt, spielt und den Ball schlägt, und er erklärt es.</v>
      </c>
    </row>
    <row r="30899">
      <c r="A30899" s="4" t="s">
        <v>38905</v>
      </c>
      <c r="B30899" s="4" t="s">
        <v>38909</v>
      </c>
      <c r="C30899" s="5" t="str">
        <f>IFERROR(__xludf.DUMMYFUNCTION("GOOGLETRANSLATE(B30899,""en"",""de"")"),"Dann legt er seine Arme an seine Seiten aus.")</f>
        <v>Dann legt er seine Arme an seine Seiten aus.</v>
      </c>
    </row>
    <row r="30900">
      <c r="A30900" s="4" t="s">
        <v>38910</v>
      </c>
      <c r="B30900" s="4" t="s">
        <v>38911</v>
      </c>
      <c r="C30900" s="5" t="str">
        <f>IFERROR(__xludf.DUMMYFUNCTION("GOOGLETRANSLATE(B30900,""en"",""de"")"),"Ein Kreis besteht aus mehreren Kindern, die sich mit Schaumahnen mit Schaumstoff in den Kopf sprechen und gegenseitig in den Kopf schlagen.")</f>
        <v>Ein Kreis besteht aus mehreren Kindern, die sich mit Schaumahnen mit Schaumstoff in den Kopf sprechen und gegenseitig in den Kopf schlagen.</v>
      </c>
    </row>
    <row r="30901">
      <c r="A30901" s="4" t="s">
        <v>38910</v>
      </c>
      <c r="B30901" s="4" t="s">
        <v>38912</v>
      </c>
      <c r="C30901" s="5" t="str">
        <f>IFERROR(__xludf.DUMMYFUNCTION("GOOGLETRANSLATE(B30901,""en"",""de"")"),"Die anderen Leute lachen, wie sie sehen.")</f>
        <v>Die anderen Leute lachen, wie sie sehen.</v>
      </c>
    </row>
    <row r="30902">
      <c r="A30902" s="4" t="s">
        <v>38913</v>
      </c>
      <c r="B30902" s="4" t="s">
        <v>38914</v>
      </c>
      <c r="C30902" s="5" t="str">
        <f>IFERROR(__xludf.DUMMYFUNCTION("GOOGLETRANSLATE(B30902,""en"",""de"")"),"Wir sehen einen Track mit Menschen herum.")</f>
        <v>Wir sehen einen Track mit Menschen herum.</v>
      </c>
    </row>
    <row r="30903">
      <c r="A30903" s="4" t="s">
        <v>38913</v>
      </c>
      <c r="B30903" s="4" t="s">
        <v>38915</v>
      </c>
      <c r="C30903" s="5" t="str">
        <f>IFERROR(__xludf.DUMMYFUNCTION("GOOGLETRANSLATE(B30903,""en"",""de"")"),"Wir sehen einen Mann mit einem Speerlauf.")</f>
        <v>Wir sehen einen Mann mit einem Speerlauf.</v>
      </c>
    </row>
    <row r="30904">
      <c r="A30904" s="4" t="s">
        <v>38913</v>
      </c>
      <c r="B30904" s="4" t="s">
        <v>38916</v>
      </c>
      <c r="C30904" s="5" t="str">
        <f>IFERROR(__xludf.DUMMYFUNCTION("GOOGLETRANSLATE(B30904,""en"",""de"")"),"Der Mann kehrt zurück und wir sehen einen weiteren Speerwerfer mit ihm.")</f>
        <v>Der Mann kehrt zurück und wir sehen einen weiteren Speerwerfer mit ihm.</v>
      </c>
    </row>
    <row r="30905">
      <c r="A30905" s="4" t="s">
        <v>38913</v>
      </c>
      <c r="B30905" s="4" t="s">
        <v>38917</v>
      </c>
      <c r="C30905" s="5" t="str">
        <f>IFERROR(__xludf.DUMMYFUNCTION("GOOGLETRANSLATE(B30905,""en"",""de"")"),"Ein Mann in Rot und Weiß läuft eine Strecke hinunter und führt einen Hochsprung durch.")</f>
        <v>Ein Mann in Rot und Weiß läuft eine Strecke hinunter und führt einen Hochsprung durch.</v>
      </c>
    </row>
    <row r="30906">
      <c r="A30906" s="4" t="s">
        <v>38913</v>
      </c>
      <c r="B30906" s="4" t="s">
        <v>38918</v>
      </c>
      <c r="C30906" s="5" t="str">
        <f>IFERROR(__xludf.DUMMYFUNCTION("GOOGLETRANSLATE(B30906,""en"",""de"")"),"Die Kamera ist abgesenkt und von einer Hand bedeckt.")</f>
        <v>Die Kamera ist abgesenkt und von einer Hand bedeckt.</v>
      </c>
    </row>
    <row r="30907">
      <c r="A30907" s="4" t="s">
        <v>38919</v>
      </c>
      <c r="B30907" s="4" t="s">
        <v>38920</v>
      </c>
      <c r="C30907" s="5" t="str">
        <f>IFERROR(__xludf.DUMMYFUNCTION("GOOGLETRANSLATE(B30907,""en"",""de"")"),"Ein Mann wird gezeigt, dass es mehrmals von Rücken an Rücken einen Sprung in Zeitlupe auf einer Strecke macht.")</f>
        <v>Ein Mann wird gezeigt, dass es mehrmals von Rücken an Rücken einen Sprung in Zeitlupe auf einer Strecke macht.</v>
      </c>
    </row>
    <row r="30908">
      <c r="A30908" s="4" t="s">
        <v>38919</v>
      </c>
      <c r="B30908" s="4" t="s">
        <v>38921</v>
      </c>
      <c r="C30908" s="5" t="str">
        <f>IFERROR(__xludf.DUMMYFUNCTION("GOOGLETRANSLATE(B30908,""en"",""de"")"),"Die Kamera zeigt verschiedene Winkel des Athleten, der sowohl in einer Linie als auch in die Grube am Sand springt.")</f>
        <v>Die Kamera zeigt verschiedene Winkel des Athleten, der sowohl in einer Linie als auch in die Grube am Sand springt.</v>
      </c>
    </row>
    <row r="30909">
      <c r="A30909" s="4" t="s">
        <v>38919</v>
      </c>
      <c r="B30909" s="4" t="s">
        <v>38922</v>
      </c>
      <c r="C30909" s="5" t="str">
        <f>IFERROR(__xludf.DUMMYFUNCTION("GOOGLETRANSLATE(B30909,""en"",""de"")"),"Er führt mehrere Langstöcke zurück und zeigt seine erworbene Entfernung.")</f>
        <v>Er führt mehrere Langstöcke zurück und zeigt seine erworbene Entfernung.</v>
      </c>
    </row>
    <row r="30910">
      <c r="A30910" s="4" t="s">
        <v>38923</v>
      </c>
      <c r="B30910" s="4" t="s">
        <v>38924</v>
      </c>
      <c r="C30910" s="5" t="str">
        <f>IFERROR(__xludf.DUMMYFUNCTION("GOOGLETRANSLATE(B30910,""en"",""de"")"),"Ein Mädchen beleuchtet eine Zigarette und bläst Rauch.")</f>
        <v>Ein Mädchen beleuchtet eine Zigarette und bläst Rauch.</v>
      </c>
    </row>
    <row r="30911">
      <c r="A30911" s="4" t="s">
        <v>38923</v>
      </c>
      <c r="B30911" s="4" t="s">
        <v>38925</v>
      </c>
      <c r="C30911" s="5" t="str">
        <f>IFERROR(__xludf.DUMMYFUNCTION("GOOGLETRANSLATE(B30911,""en"",""de"")"),"Ein Arm kommt in Sicht und das Mädchen riecht es.")</f>
        <v>Ein Arm kommt in Sicht und das Mädchen riecht es.</v>
      </c>
    </row>
    <row r="30912">
      <c r="A30912" s="4" t="s">
        <v>38923</v>
      </c>
      <c r="B30912" s="4" t="s">
        <v>38926</v>
      </c>
      <c r="C30912" s="5" t="str">
        <f>IFERROR(__xludf.DUMMYFUNCTION("GOOGLETRANSLATE(B30912,""en"",""de"")"),"Sie raucht noch etwas und bläst Rauch, während sie mit ihren Haaren spielt.")</f>
        <v>Sie raucht noch etwas und bläst Rauch, während sie mit ihren Haaren spielt.</v>
      </c>
    </row>
    <row r="30913">
      <c r="A30913" s="4" t="s">
        <v>38923</v>
      </c>
      <c r="B30913" s="4" t="s">
        <v>38927</v>
      </c>
      <c r="C30913" s="5" t="str">
        <f>IFERROR(__xludf.DUMMYFUNCTION("GOOGLETRANSLATE(B30913,""en"",""de"")"),"Sie sagt etwas zur Kamera, während sie raucht.")</f>
        <v>Sie sagt etwas zur Kamera, während sie raucht.</v>
      </c>
    </row>
    <row r="30914">
      <c r="A30914" s="4" t="s">
        <v>38923</v>
      </c>
      <c r="B30914" s="4" t="s">
        <v>38928</v>
      </c>
      <c r="C30914" s="5" t="str">
        <f>IFERROR(__xludf.DUMMYFUNCTION("GOOGLETRANSLATE(B30914,""en"",""de"")"),"Sie schlägt ihre Asche und raucht weiter.")</f>
        <v>Sie schlägt ihre Asche und raucht weiter.</v>
      </c>
    </row>
    <row r="30915">
      <c r="A30915" s="4" t="s">
        <v>38923</v>
      </c>
      <c r="B30915" s="4" t="s">
        <v>38929</v>
      </c>
      <c r="C30915" s="5" t="str">
        <f>IFERROR(__xludf.DUMMYFUNCTION("GOOGLETRANSLATE(B30915,""en"",""de"")"),"Sie dreht sich um und dann wieder zum Rauchen.")</f>
        <v>Sie dreht sich um und dann wieder zum Rauchen.</v>
      </c>
    </row>
    <row r="30916">
      <c r="A30916" s="4" t="s">
        <v>38923</v>
      </c>
      <c r="B30916" s="4" t="s">
        <v>38930</v>
      </c>
      <c r="C30916" s="5" t="str">
        <f>IFERROR(__xludf.DUMMYFUNCTION("GOOGLETRANSLATE(B30916,""en"",""de"")"),"Sie streckt ihre Zunge heraus.")</f>
        <v>Sie streckt ihre Zunge heraus.</v>
      </c>
    </row>
    <row r="30917">
      <c r="A30917" s="4" t="s">
        <v>38923</v>
      </c>
      <c r="B30917" s="4" t="s">
        <v>38931</v>
      </c>
      <c r="C30917" s="5" t="str">
        <f>IFERROR(__xludf.DUMMYFUNCTION("GOOGLETRANSLATE(B30917,""en"",""de"")"),"Sie schwenkt zu einem Bild einer verrückten Frau und versucht es zu imitieren.")</f>
        <v>Sie schwenkt zu einem Bild einer verrückten Frau und versucht es zu imitieren.</v>
      </c>
    </row>
    <row r="30918">
      <c r="A30918" s="4" t="s">
        <v>38923</v>
      </c>
      <c r="B30918" s="4" t="s">
        <v>38932</v>
      </c>
      <c r="C30918" s="5" t="str">
        <f>IFERROR(__xludf.DUMMYFUNCTION("GOOGLETRANSLATE(B30918,""en"",""de"")"),"Sie raucht weiter und spricht mit der Kamera.")</f>
        <v>Sie raucht weiter und spricht mit der Kamera.</v>
      </c>
    </row>
    <row r="30919">
      <c r="A30919" s="4" t="s">
        <v>38923</v>
      </c>
      <c r="B30919" s="4" t="s">
        <v>38933</v>
      </c>
      <c r="C30919" s="5" t="str">
        <f>IFERROR(__xludf.DUMMYFUNCTION("GOOGLETRANSLATE(B30919,""en"",""de"")"),"Sie macht Gesichter in der Kamera.")</f>
        <v>Sie macht Gesichter in der Kamera.</v>
      </c>
    </row>
    <row r="30920">
      <c r="A30920" s="4" t="s">
        <v>38923</v>
      </c>
      <c r="B30920" s="4" t="s">
        <v>38934</v>
      </c>
      <c r="C30920" s="5" t="str">
        <f>IFERROR(__xludf.DUMMYFUNCTION("GOOGLETRANSLATE(B30920,""en"",""de"")"),"Sie kommt der Kamera nahe, als jemand hinter sich geht.")</f>
        <v>Sie kommt der Kamera nahe, als jemand hinter sich geht.</v>
      </c>
    </row>
    <row r="30921">
      <c r="A30921" s="4" t="s">
        <v>38935</v>
      </c>
      <c r="B30921" s="4" t="s">
        <v>38936</v>
      </c>
      <c r="C30921" s="5" t="str">
        <f>IFERROR(__xludf.DUMMYFUNCTION("GOOGLETRANSLATE(B30921,""en"",""de"")"),"Die Hände einer Person werden am Kopf eines Menschen arbeiten und Haarstücke in den Kopf legen.")</f>
        <v>Die Hände einer Person werden am Kopf eines Menschen arbeiten und Haarstücke in den Kopf legen.</v>
      </c>
    </row>
    <row r="30922">
      <c r="A30922" s="4" t="s">
        <v>38935</v>
      </c>
      <c r="B30922" s="4" t="s">
        <v>38937</v>
      </c>
      <c r="C30922" s="5" t="str">
        <f>IFERROR(__xludf.DUMMYFUNCTION("GOOGLETRANSLATE(B30922,""en"",""de"")"),"Die Person verbindet die Haare in mehrere Zöpfe und wechselt dann in eine Hochsteckfrisur in Bilder des Haares.")</f>
        <v>Die Person verbindet die Haare in mehrere Zöpfe und wechselt dann in eine Hochsteckfrisur in Bilder des Haares.</v>
      </c>
    </row>
    <row r="30923">
      <c r="A30923" s="4" t="s">
        <v>38938</v>
      </c>
      <c r="B30923" s="4" t="s">
        <v>38939</v>
      </c>
      <c r="C30923" s="5" t="str">
        <f>IFERROR(__xludf.DUMMYFUNCTION("GOOGLETRANSLATE(B30923,""en"",""de"")"),"Eine Frau hebt Hula draußen und dann im Dunkeln abwechselnd.")</f>
        <v>Eine Frau hebt Hula draußen und dann im Dunkeln abwechselnd.</v>
      </c>
    </row>
    <row r="30924">
      <c r="A30924" s="4" t="s">
        <v>38938</v>
      </c>
      <c r="B30924" s="4" t="s">
        <v>38940</v>
      </c>
      <c r="C30924" s="5" t="str">
        <f>IFERROR(__xludf.DUMMYFUNCTION("GOOGLETRANSLATE(B30924,""en"",""de"")"),"Ein Mann nimmt einen Hula -Reifen und beschreibt ihn, bevor er auf die Frau zurückgreift.")</f>
        <v>Ein Mann nimmt einen Hula -Reifen und beschreibt ihn, bevor er auf die Frau zurückgreift.</v>
      </c>
    </row>
    <row r="30925">
      <c r="A30925" s="4" t="s">
        <v>38941</v>
      </c>
      <c r="B30925" s="4" t="s">
        <v>38942</v>
      </c>
      <c r="C30925" s="5" t="str">
        <f>IFERROR(__xludf.DUMMYFUNCTION("GOOGLETRANSLATE(B30925,""en"",""de"")"),"Ein Mann wird gesehen, wie er sich über einen Holzblock beugt und ihn besitzt.")</f>
        <v>Ein Mann wird gesehen, wie er sich über einen Holzblock beugt und ihn besitzt.</v>
      </c>
    </row>
    <row r="30926">
      <c r="A30926" s="4" t="s">
        <v>38941</v>
      </c>
      <c r="B30926" s="4" t="s">
        <v>38943</v>
      </c>
      <c r="C30926" s="5" t="str">
        <f>IFERROR(__xludf.DUMMYFUNCTION("GOOGLETRANSLATE(B30926,""en"",""de"")"),"Er gießt mehr Flüssigkeiten vor einer Gruppe von Menschen aus und reibt sie entlang des Holzblocks.")</f>
        <v>Er gießt mehr Flüssigkeiten vor einer Gruppe von Menschen aus und reibt sie entlang des Holzblocks.</v>
      </c>
    </row>
    <row r="30927">
      <c r="A30927" s="4" t="s">
        <v>38941</v>
      </c>
      <c r="B30927" s="4" t="s">
        <v>38944</v>
      </c>
      <c r="C30927" s="5" t="str">
        <f>IFERROR(__xludf.DUMMYFUNCTION("GOOGLETRANSLATE(B30927,""en"",""de"")"),"Er reiben es weiter ab, während die Leute am Rande zuschauen.")</f>
        <v>Er reiben es weiter ab, während die Leute am Rande zuschauen.</v>
      </c>
    </row>
    <row r="30928">
      <c r="A30928" s="4" t="s">
        <v>38945</v>
      </c>
      <c r="B30928" s="4" t="s">
        <v>38946</v>
      </c>
      <c r="C30928" s="5" t="str">
        <f>IFERROR(__xludf.DUMMYFUNCTION("GOOGLETRANSLATE(B30928,""en"",""de"")"),"Eine Nahaufnahme eines Weihnachtsbaums wird gezeigt, gefolgt von einem kleinen Kind, das Ornamente aufweist.")</f>
        <v>Eine Nahaufnahme eines Weihnachtsbaums wird gezeigt, gefolgt von einem kleinen Kind, das Ornamente aufweist.</v>
      </c>
    </row>
    <row r="30929">
      <c r="A30929" s="4" t="s">
        <v>38945</v>
      </c>
      <c r="B30929" s="4" t="s">
        <v>38947</v>
      </c>
      <c r="C30929" s="5" t="str">
        <f>IFERROR(__xludf.DUMMYFUNCTION("GOOGLETRANSLATE(B30929,""en"",""de"")"),"Das Mädchen geht zurück und der vierte Ornamente auf einem Baum.")</f>
        <v>Das Mädchen geht zurück und der vierte Ornamente auf einem Baum.</v>
      </c>
    </row>
    <row r="30930">
      <c r="A30930" s="4" t="s">
        <v>38945</v>
      </c>
      <c r="B30930" s="4" t="s">
        <v>38948</v>
      </c>
      <c r="C30930" s="5" t="str">
        <f>IFERROR(__xludf.DUMMYFUNCTION("GOOGLETRANSLATE(B30930,""en"",""de"")"),"Das Mädchen hängt weiterhin Ornamente auf, während die Kamera ihre Bewegungen einfängt.")</f>
        <v>Das Mädchen hängt weiterhin Ornamente auf, während die Kamera ihre Bewegungen einfängt.</v>
      </c>
    </row>
    <row r="30931">
      <c r="A30931" s="4" t="s">
        <v>38949</v>
      </c>
      <c r="B30931" s="4" t="s">
        <v>38950</v>
      </c>
      <c r="C30931" s="5" t="str">
        <f>IFERROR(__xludf.DUMMYFUNCTION("GOOGLETRANSLATE(B30931,""en"",""de"")"),"Ein Mann schält eine Kartoffel, während sie mit verbundenen Augen verbunden sind und zwei kleine Mädchen beobachten.")</f>
        <v>Ein Mann schält eine Kartoffel, während sie mit verbundenen Augen verbunden sind und zwei kleine Mädchen beobachten.</v>
      </c>
    </row>
    <row r="30932">
      <c r="A30932" s="4" t="s">
        <v>38949</v>
      </c>
      <c r="B30932" s="4" t="s">
        <v>38951</v>
      </c>
      <c r="C30932" s="5" t="str">
        <f>IFERROR(__xludf.DUMMYFUNCTION("GOOGLETRANSLATE(B30932,""en"",""de"")"),"Der Mann beendet und hält die Kartoffel an der Kamera.")</f>
        <v>Der Mann beendet und hält die Kartoffel an der Kamera.</v>
      </c>
    </row>
    <row r="30933">
      <c r="A30933" s="4" t="s">
        <v>38949</v>
      </c>
      <c r="B30933" s="4" t="s">
        <v>38952</v>
      </c>
      <c r="C30933" s="5" t="str">
        <f>IFERROR(__xludf.DUMMYFUNCTION("GOOGLETRANSLATE(B30933,""en"",""de"")"),"Der Mann nimmt einen Schale vom Tisch ab.")</f>
        <v>Der Mann nimmt einen Schale vom Tisch ab.</v>
      </c>
    </row>
    <row r="30934">
      <c r="A30934" s="4" t="s">
        <v>38949</v>
      </c>
      <c r="B30934" s="4" t="s">
        <v>38953</v>
      </c>
      <c r="C30934" s="5" t="str">
        <f>IFERROR(__xludf.DUMMYFUNCTION("GOOGLETRANSLATE(B30934,""en"",""de"")"),"Der Mann entfernt seine Augenbinde.")</f>
        <v>Der Mann entfernt seine Augenbinde.</v>
      </c>
    </row>
    <row r="30935">
      <c r="A30935" s="4" t="s">
        <v>38954</v>
      </c>
      <c r="B30935" s="4" t="s">
        <v>38955</v>
      </c>
      <c r="C30935" s="5" t="str">
        <f>IFERROR(__xludf.DUMMYFUNCTION("GOOGLETRANSLATE(B30935,""en"",""de"")"),"Das Video beginnt mit mehreren Personen, die Shuffleboard auf einem Shuffleboard -Platz spielen.")</f>
        <v>Das Video beginnt mit mehreren Personen, die Shuffleboard auf einem Shuffleboard -Platz spielen.</v>
      </c>
    </row>
    <row r="30936">
      <c r="A30936" s="4" t="s">
        <v>38954</v>
      </c>
      <c r="B30936" s="4" t="s">
        <v>38956</v>
      </c>
      <c r="C30936" s="5" t="str">
        <f>IFERROR(__xludf.DUMMYFUNCTION("GOOGLETRANSLATE(B30936,""en"",""de"")"),"Eine Person macht einen Schuss mit einem schwarzen Puck.")</f>
        <v>Eine Person macht einen Schuss mit einem schwarzen Puck.</v>
      </c>
    </row>
    <row r="30937">
      <c r="A30937" s="4" t="s">
        <v>38954</v>
      </c>
      <c r="B30937" s="4" t="s">
        <v>38957</v>
      </c>
      <c r="C30937" s="5" t="str">
        <f>IFERROR(__xludf.DUMMYFUNCTION("GOOGLETRANSLATE(B30937,""en"",""de"")"),"Die nächste Person macht einen Schuss mit einem gelben Puck.")</f>
        <v>Die nächste Person macht einen Schuss mit einem gelben Puck.</v>
      </c>
    </row>
    <row r="30938">
      <c r="A30938" s="4" t="s">
        <v>38954</v>
      </c>
      <c r="B30938" s="4" t="s">
        <v>38958</v>
      </c>
      <c r="C30938" s="5" t="str">
        <f>IFERROR(__xludf.DUMMYFUNCTION("GOOGLETRANSLATE(B30938,""en"",""de"")"),"Die Menschen wechseln weiterhin Schüsse zwischen einem gelben und einem schwarzen Puck.")</f>
        <v>Die Menschen wechseln weiterhin Schüsse zwischen einem gelben und einem schwarzen Puck.</v>
      </c>
    </row>
    <row r="30939">
      <c r="A30939" s="4" t="s">
        <v>38959</v>
      </c>
      <c r="B30939" s="4" t="s">
        <v>38960</v>
      </c>
      <c r="C30939" s="5" t="str">
        <f>IFERROR(__xludf.DUMMYFUNCTION("GOOGLETRANSLATE(B30939,""en"",""de"")"),"Ein älterer Mann sitzt im Wohnzimmer.")</f>
        <v>Ein älterer Mann sitzt im Wohnzimmer.</v>
      </c>
    </row>
    <row r="30940">
      <c r="A30940" s="4" t="s">
        <v>38959</v>
      </c>
      <c r="B30940" s="4" t="s">
        <v>38961</v>
      </c>
      <c r="C30940" s="5" t="str">
        <f>IFERROR(__xludf.DUMMYFUNCTION("GOOGLETRANSLATE(B30940,""en"",""de"")"),"Er spielt einen Akkordeianer.")</f>
        <v>Er spielt einen Akkordeianer.</v>
      </c>
    </row>
    <row r="30941">
      <c r="A30941" s="4" t="s">
        <v>38959</v>
      </c>
      <c r="B30941" s="4" t="s">
        <v>38962</v>
      </c>
      <c r="C30941" s="5" t="str">
        <f>IFERROR(__xludf.DUMMYFUNCTION("GOOGLETRANSLATE(B30941,""en"",""de"")"),"Er spielt weiterhin den Akkordeian für die Kamera.")</f>
        <v>Er spielt weiterhin den Akkordeian für die Kamera.</v>
      </c>
    </row>
    <row r="30942">
      <c r="A30942" s="4" t="s">
        <v>38963</v>
      </c>
      <c r="B30942" s="4" t="s">
        <v>38964</v>
      </c>
      <c r="C30942" s="5" t="str">
        <f>IFERROR(__xludf.DUMMYFUNCTION("GOOGLETRANSLATE(B30942,""en"",""de"")"),"Eine Frau spielt eine akustische Gitarre.")</f>
        <v>Eine Frau spielt eine akustische Gitarre.</v>
      </c>
    </row>
    <row r="30943">
      <c r="A30943" s="4" t="s">
        <v>38963</v>
      </c>
      <c r="B30943" s="4" t="s">
        <v>38965</v>
      </c>
      <c r="C30943" s="5" t="str">
        <f>IFERROR(__xludf.DUMMYFUNCTION("GOOGLETRANSLATE(B30943,""en"",""de"")"),"Eine Frau, die neben ihr steht, tanzt und wirbelt einen Schlagstock.")</f>
        <v>Eine Frau, die neben ihr steht, tanzt und wirbelt einen Schlagstock.</v>
      </c>
    </row>
    <row r="30944">
      <c r="A30944" s="4" t="s">
        <v>38963</v>
      </c>
      <c r="B30944" s="4" t="s">
        <v>14926</v>
      </c>
      <c r="C30944" s="5" t="str">
        <f>IFERROR(__xludf.DUMMYFUNCTION("GOOGLETRANSLATE(B30944,""en"",""de"")"),"Wörter werden dann auf dem Bildschirm angezeigt.")</f>
        <v>Wörter werden dann auf dem Bildschirm angezeigt.</v>
      </c>
    </row>
    <row r="30945">
      <c r="A30945" s="4" t="s">
        <v>38966</v>
      </c>
      <c r="B30945" s="4" t="s">
        <v>38967</v>
      </c>
      <c r="C30945" s="5" t="str">
        <f>IFERROR(__xludf.DUMMYFUNCTION("GOOGLETRANSLATE(B30945,""en"",""de"")"),"Eine Person sieht sich in einer Stadt um und beginnt mit ihren Werkzeugen Fenster zu waschen.")</f>
        <v>Eine Person sieht sich in einer Stadt um und beginnt mit ihren Werkzeugen Fenster zu waschen.</v>
      </c>
    </row>
    <row r="30946">
      <c r="A30946" s="4" t="s">
        <v>38966</v>
      </c>
      <c r="B30946" s="4" t="s">
        <v>38968</v>
      </c>
      <c r="C30946" s="5" t="str">
        <f>IFERROR(__xludf.DUMMYFUNCTION("GOOGLETRANSLATE(B30946,""en"",""de"")"),"Er geht rasant die Fenster hoch und runter und filmt sich weiter durch das Glas.")</f>
        <v>Er geht rasant die Fenster hoch und runter und filmt sich weiter durch das Glas.</v>
      </c>
    </row>
    <row r="30947">
      <c r="A30947" s="4" t="s">
        <v>38966</v>
      </c>
      <c r="B30947" s="4" t="s">
        <v>38969</v>
      </c>
      <c r="C30947" s="5" t="str">
        <f>IFERROR(__xludf.DUMMYFUNCTION("GOOGLETRANSLATE(B30947,""en"",""de"")"),"Er beendet das Glas in Rekordzeit und schaltet die Kamera aus.")</f>
        <v>Er beendet das Glas in Rekordzeit und schaltet die Kamera aus.</v>
      </c>
    </row>
    <row r="30948">
      <c r="A30948" s="4" t="s">
        <v>38970</v>
      </c>
      <c r="B30948" s="4" t="s">
        <v>38971</v>
      </c>
      <c r="C30948" s="5" t="str">
        <f>IFERROR(__xludf.DUMMYFUNCTION("GOOGLETRANSLATE(B30948,""en"",""de"")"),"Ein Mann erklärt einem anderen Mann, wie man eine Rudermaschine benutzt.")</f>
        <v>Ein Mann erklärt einem anderen Mann, wie man eine Rudermaschine benutzt.</v>
      </c>
    </row>
    <row r="30949">
      <c r="A30949" s="4" t="s">
        <v>38970</v>
      </c>
      <c r="B30949" s="4" t="s">
        <v>38972</v>
      </c>
      <c r="C30949" s="5" t="str">
        <f>IFERROR(__xludf.DUMMYFUNCTION("GOOGLETRANSLATE(B30949,""en"",""de"")"),"Einer der Hauptstärke beginnt vor dem anderen auf der Rudermaschine zu rudern.")</f>
        <v>Einer der Hauptstärke beginnt vor dem anderen auf der Rudermaschine zu rudern.</v>
      </c>
    </row>
    <row r="30950">
      <c r="A30950" s="4" t="s">
        <v>38970</v>
      </c>
      <c r="B30950" s="4" t="s">
        <v>38973</v>
      </c>
      <c r="C30950" s="5" t="str">
        <f>IFERROR(__xludf.DUMMYFUNCTION("GOOGLETRANSLATE(B30950,""en"",""de"")"),"Als nächstes schließt sich der andere Mann dem ersten Mann an und beginnt zu rudern.")</f>
        <v>Als nächstes schließt sich der andere Mann dem ersten Mann an und beginnt zu rudern.</v>
      </c>
    </row>
    <row r="30951">
      <c r="A30951" s="4" t="s">
        <v>38974</v>
      </c>
      <c r="B30951" s="4" t="s">
        <v>38975</v>
      </c>
      <c r="C30951" s="5" t="str">
        <f>IFERROR(__xludf.DUMMYFUNCTION("GOOGLETRANSLATE(B30951,""en"",""de"")"),"Ein Mann in Shorts wird vor einigen Büschen gezeigt und schneidet sie mit einem manuellen Trimmer ab.")</f>
        <v>Ein Mann in Shorts wird vor einigen Büschen gezeigt und schneidet sie mit einem manuellen Trimmer ab.</v>
      </c>
    </row>
    <row r="30952">
      <c r="A30952" s="4" t="s">
        <v>38974</v>
      </c>
      <c r="B30952" s="4" t="s">
        <v>38976</v>
      </c>
      <c r="C30952" s="5" t="str">
        <f>IFERROR(__xludf.DUMMYFUNCTION("GOOGLETRANSLATE(B30952,""en"",""de"")"),"Er ist sehr präzise und macht einen sehr detaillierten Job.")</f>
        <v>Er ist sehr präzise und macht einen sehr detaillierten Job.</v>
      </c>
    </row>
    <row r="30953">
      <c r="A30953" s="4" t="s">
        <v>38974</v>
      </c>
      <c r="B30953" s="4" t="s">
        <v>38977</v>
      </c>
      <c r="C30953" s="5" t="str">
        <f>IFERROR(__xludf.DUMMYFUNCTION("GOOGLETRANSLATE(B30953,""en"",""de"")"),"Er geht die Länge der Büsche auf und ab und achtet auf jeden Teil von ihnen.")</f>
        <v>Er geht die Länge der Büsche auf und ab und achtet auf jeden Teil von ihnen.</v>
      </c>
    </row>
    <row r="30954">
      <c r="A30954" s="4" t="s">
        <v>38974</v>
      </c>
      <c r="B30954" s="4" t="s">
        <v>38978</v>
      </c>
      <c r="C30954" s="5" t="str">
        <f>IFERROR(__xludf.DUMMYFUNCTION("GOOGLETRANSLATE(B30954,""en"",""de"")"),"Dann bewegt er sich immer höher und höher, um die Spitze des Busches zu bekommen.")</f>
        <v>Dann bewegt er sich immer höher und höher, um die Spitze des Busches zu bekommen.</v>
      </c>
    </row>
    <row r="30955">
      <c r="A30955" s="4" t="s">
        <v>38979</v>
      </c>
      <c r="B30955" s="4" t="s">
        <v>38980</v>
      </c>
      <c r="C30955" s="5" t="str">
        <f>IFERROR(__xludf.DUMMYFUNCTION("GOOGLETRANSLATE(B30955,""en"",""de"")"),"Kinder befinden sich in einem Park um einen Quadrat, der Bob Schwamm Piñata zieht.")</f>
        <v>Kinder befinden sich in einem Park um einen Quadrat, der Bob Schwamm Piñata zieht.</v>
      </c>
    </row>
    <row r="30956">
      <c r="A30956" s="4" t="s">
        <v>38979</v>
      </c>
      <c r="B30956" s="4" t="s">
        <v>38981</v>
      </c>
      <c r="C30956" s="5" t="str">
        <f>IFERROR(__xludf.DUMMYFUNCTION("GOOGLETRANSLATE(B30956,""en"",""de"")"),"Frau ist hinter dem Spielplatz, der eine Tasche hält und die Kinder beobachtet.")</f>
        <v>Frau ist hinter dem Spielplatz, der eine Tasche hält und die Kinder beobachtet.</v>
      </c>
    </row>
    <row r="30957">
      <c r="A30957" s="4" t="s">
        <v>38979</v>
      </c>
      <c r="B30957" s="4" t="s">
        <v>38982</v>
      </c>
      <c r="C30957" s="5" t="str">
        <f>IFERROR(__xludf.DUMMYFUNCTION("GOOGLETRANSLATE(B30957,""en"",""de"")"),"Frau hält die Piñata, während Kinder weiter aus der Piñata ziehen.")</f>
        <v>Frau hält die Piñata, während Kinder weiter aus der Piñata ziehen.</v>
      </c>
    </row>
    <row r="30958">
      <c r="A30958" s="4" t="s">
        <v>38979</v>
      </c>
      <c r="B30958" s="4" t="s">
        <v>38983</v>
      </c>
      <c r="C30958" s="5" t="str">
        <f>IFERROR(__xludf.DUMMYFUNCTION("GOOGLETRANSLATE(B30958,""en"",""de"")"),"Kid zieht den Faden und opn die Piñata und knien im Boden und nimmt Süßigkeiten auf.")</f>
        <v>Kid zieht den Faden und opn die Piñata und knien im Boden und nimmt Süßigkeiten auf.</v>
      </c>
    </row>
    <row r="30959">
      <c r="A30959" s="4" t="s">
        <v>38984</v>
      </c>
      <c r="B30959" s="4" t="s">
        <v>38985</v>
      </c>
      <c r="C30959" s="5" t="str">
        <f>IFERROR(__xludf.DUMMYFUNCTION("GOOGLETRANSLATE(B30959,""en"",""de"")"),"Mehrere Menschen sind gesehen, wie sie sich sowohl selbst als auch alleine miteinander absaugen, wie andere nebenbei zuschauen.")</f>
        <v>Mehrere Menschen sind gesehen, wie sie sich sowohl selbst als auch alleine miteinander absaugen, wie andere nebenbei zuschauen.</v>
      </c>
    </row>
    <row r="30960">
      <c r="A30960" s="4" t="s">
        <v>38984</v>
      </c>
      <c r="B30960" s="4" t="s">
        <v>38986</v>
      </c>
      <c r="C30960" s="5" t="str">
        <f>IFERROR(__xludf.DUMMYFUNCTION("GOOGLETRANSLATE(B30960,""en"",""de"")"),"Die Leute, die mehrere Sprünge und Spins mit dem Sprungseil sowie Schüsse durchführen, die in Zeitlupe gezeigt werden.")</f>
        <v>Die Leute, die mehrere Sprünge und Spins mit dem Sprungseil sowie Schüsse durchführen, die in Zeitlupe gezeigt werden.</v>
      </c>
    </row>
    <row r="30961">
      <c r="A30961" s="4" t="s">
        <v>38987</v>
      </c>
      <c r="B30961" s="4" t="s">
        <v>38988</v>
      </c>
      <c r="C30961" s="5" t="str">
        <f>IFERROR(__xludf.DUMMYFUNCTION("GOOGLETRANSLATE(B30961,""en"",""de"")"),"Eine Person, die auf einem Fahrrad sitzt, sitzt, bevor eine Strecke mit anderen beginnt und führt in ihn ein Rennen.")</f>
        <v>Eine Person, die auf einem Fahrrad sitzt, sitzt, bevor eine Strecke mit anderen beginnt und führt in ihn ein Rennen.</v>
      </c>
    </row>
    <row r="30962">
      <c r="A30962" s="4" t="s">
        <v>38987</v>
      </c>
      <c r="B30962" s="4" t="s">
        <v>38989</v>
      </c>
      <c r="C30962" s="5" t="str">
        <f>IFERROR(__xludf.DUMMYFUNCTION("GOOGLETRANSLATE(B30962,""en"",""de"")"),"Es werden einige weitere Aufnahmen von Menschen gezeigt, die zusammen rennen, sowie von dem Mann, der herumfährt und andere ihn aufnehmen.")</f>
        <v>Es werden einige weitere Aufnahmen von Menschen gezeigt, die zusammen rennen, sowie von dem Mann, der herumfährt und andere ihn aufnehmen.</v>
      </c>
    </row>
    <row r="30963">
      <c r="A30963" s="4" t="s">
        <v>38990</v>
      </c>
      <c r="B30963" s="4" t="s">
        <v>38991</v>
      </c>
      <c r="C30963" s="5" t="str">
        <f>IFERROR(__xludf.DUMMYFUNCTION("GOOGLETRANSLATE(B30963,""en"",""de"")"),"Ein Wind Surfer surft gegen schwere Wellen.")</f>
        <v>Ein Wind Surfer surft gegen schwere Wellen.</v>
      </c>
    </row>
    <row r="30964">
      <c r="A30964" s="4" t="s">
        <v>38990</v>
      </c>
      <c r="B30964" s="4" t="s">
        <v>38992</v>
      </c>
      <c r="C30964" s="5" t="str">
        <f>IFERROR(__xludf.DUMMYFUNCTION("GOOGLETRANSLATE(B30964,""en"",""de"")"),"Der Surfer schleudert seine Brett gegen eine Welle und fliegt hoch in die Luft.")</f>
        <v>Der Surfer schleudert seine Brett gegen eine Welle und fliegt hoch in die Luft.</v>
      </c>
    </row>
    <row r="30965">
      <c r="A30965" s="4" t="s">
        <v>38990</v>
      </c>
      <c r="B30965" s="4" t="s">
        <v>38993</v>
      </c>
      <c r="C30965" s="5" t="str">
        <f>IFERROR(__xludf.DUMMYFUNCTION("GOOGLETRANSLATE(B30965,""en"",""de"")"),"Der Surfer landet wieder in das Wasser und nimmt seine Brandung wieder auf.")</f>
        <v>Der Surfer landet wieder in das Wasser und nimmt seine Brandung wieder auf.</v>
      </c>
    </row>
    <row r="30966">
      <c r="A30966" s="4" t="s">
        <v>38994</v>
      </c>
      <c r="B30966" s="4" t="s">
        <v>38995</v>
      </c>
      <c r="C30966" s="5" t="str">
        <f>IFERROR(__xludf.DUMMYFUNCTION("GOOGLETRANSLATE(B30966,""en"",""de"")"),"Eine Frau macht Kickboxen vor einer gespiegelten Wand.")</f>
        <v>Eine Frau macht Kickboxen vor einer gespiegelten Wand.</v>
      </c>
    </row>
    <row r="30967">
      <c r="A30967" s="4" t="s">
        <v>38994</v>
      </c>
      <c r="B30967" s="4" t="s">
        <v>38996</v>
      </c>
      <c r="C30967" s="5" t="str">
        <f>IFERROR(__xludf.DUMMYFUNCTION("GOOGLETRANSLATE(B30967,""en"",""de"")"),"Sie tritt ihre Beine in die Luft.")</f>
        <v>Sie tritt ihre Beine in die Luft.</v>
      </c>
    </row>
    <row r="30968">
      <c r="A30968" s="4" t="s">
        <v>38994</v>
      </c>
      <c r="B30968" s="4" t="s">
        <v>38997</v>
      </c>
      <c r="C30968" s="5" t="str">
        <f>IFERROR(__xludf.DUMMYFUNCTION("GOOGLETRANSLATE(B30968,""en"",""de"")"),"Sie wechselt die Tritte mit Schlägen.")</f>
        <v>Sie wechselt die Tritte mit Schlägen.</v>
      </c>
    </row>
    <row r="30969">
      <c r="A30969" s="4" t="s">
        <v>38998</v>
      </c>
      <c r="B30969" s="4" t="s">
        <v>38999</v>
      </c>
      <c r="C30969" s="5" t="str">
        <f>IFERROR(__xludf.DUMMYFUNCTION("GOOGLETRANSLATE(B30969,""en"",""de"")"),"Ein Mann ist draußen mit einer großen Metallkiste.")</f>
        <v>Ein Mann ist draußen mit einer großen Metallkiste.</v>
      </c>
    </row>
    <row r="30970">
      <c r="A30970" s="4" t="s">
        <v>38998</v>
      </c>
      <c r="B30970" s="4" t="s">
        <v>39000</v>
      </c>
      <c r="C30970" s="5" t="str">
        <f>IFERROR(__xludf.DUMMYFUNCTION("GOOGLETRANSLATE(B30970,""en"",""de"")"),"Ein anderer Mann schleift eine Wand und eine Decke in einem Gebäude.")</f>
        <v>Ein anderer Mann schleift eine Wand und eine Decke in einem Gebäude.</v>
      </c>
    </row>
    <row r="30971">
      <c r="A30971" s="4" t="s">
        <v>38998</v>
      </c>
      <c r="B30971" s="4" t="s">
        <v>39001</v>
      </c>
      <c r="C30971" s="5" t="str">
        <f>IFERROR(__xludf.DUMMYFUNCTION("GOOGLETRANSLATE(B30971,""en"",""de"")"),"Sie schleifen dann die Böden.")</f>
        <v>Sie schleifen dann die Böden.</v>
      </c>
    </row>
    <row r="30972">
      <c r="A30972" s="4" t="s">
        <v>39002</v>
      </c>
      <c r="B30972" s="4" t="s">
        <v>39003</v>
      </c>
      <c r="C30972" s="5" t="str">
        <f>IFERROR(__xludf.DUMMYFUNCTION("GOOGLETRANSLATE(B30972,""en"",""de"")"),"Ein Cricket -Spieler trifft einen Ball, der aufgestellt wird.")</f>
        <v>Ein Cricket -Spieler trifft einen Ball, der aufgestellt wird.</v>
      </c>
    </row>
    <row r="30973">
      <c r="A30973" s="4" t="s">
        <v>39002</v>
      </c>
      <c r="B30973" s="4" t="s">
        <v>39004</v>
      </c>
      <c r="C30973" s="5" t="str">
        <f>IFERROR(__xludf.DUMMYFUNCTION("GOOGLETRANSLATE(B30973,""en"",""de"")"),"Ein Spieler macht einen Tauchfang im Außenfeld.")</f>
        <v>Ein Spieler macht einen Tauchfang im Außenfeld.</v>
      </c>
    </row>
    <row r="30974">
      <c r="A30974" s="4" t="s">
        <v>39002</v>
      </c>
      <c r="B30974" s="4" t="s">
        <v>39005</v>
      </c>
      <c r="C30974" s="5" t="str">
        <f>IFERROR(__xludf.DUMMYFUNCTION("GOOGLETRANSLATE(B30974,""en"",""de"")"),"Der Spieler lächelt und ist ein guter Sport.")</f>
        <v>Der Spieler lächelt und ist ein guter Sport.</v>
      </c>
    </row>
    <row r="30975">
      <c r="A30975" s="4" t="s">
        <v>39006</v>
      </c>
      <c r="B30975" s="4" t="s">
        <v>39007</v>
      </c>
      <c r="C30975" s="5" t="str">
        <f>IFERROR(__xludf.DUMMYFUNCTION("GOOGLETRANSLATE(B30975,""en"",""de"")"),"Ein junger Mann wird gesehen, wie er einen Hund mit Wasser in der Mitte einer Gasse sprüht, während sich der Hund vom Wasser entfernen.")</f>
        <v>Ein junger Mann wird gesehen, wie er einen Hund mit Wasser in der Mitte einer Gasse sprüht, während sich der Hund vom Wasser entfernen.</v>
      </c>
    </row>
    <row r="30976">
      <c r="A30976" s="4" t="s">
        <v>39006</v>
      </c>
      <c r="B30976" s="4" t="s">
        <v>39008</v>
      </c>
      <c r="C30976" s="5" t="str">
        <f>IFERROR(__xludf.DUMMYFUNCTION("GOOGLETRANSLATE(B30976,""en"",""de"")"),"Die Person sprüht den Hund weiter mit dem Schlauch und stehst auf den Hund.")</f>
        <v>Die Person sprüht den Hund weiter mit dem Schlauch und stehst auf den Hund.</v>
      </c>
    </row>
    <row r="30977">
      <c r="A30977" s="4" t="s">
        <v>39009</v>
      </c>
      <c r="B30977" s="4" t="s">
        <v>39010</v>
      </c>
      <c r="C30977" s="5" t="str">
        <f>IFERROR(__xludf.DUMMYFUNCTION("GOOGLETRANSLATE(B30977,""en"",""de"")"),"Zwei Menschen Arm ringen in einem Wettbewerb.")</f>
        <v>Zwei Menschen Arm ringen in einem Wettbewerb.</v>
      </c>
    </row>
    <row r="30978">
      <c r="A30978" s="4" t="s">
        <v>39009</v>
      </c>
      <c r="B30978" s="4" t="s">
        <v>39011</v>
      </c>
      <c r="C30978" s="5" t="str">
        <f>IFERROR(__xludf.DUMMYFUNCTION("GOOGLETRANSLATE(B30978,""en"",""de"")"),"Der Verliererarm ist verletzt.")</f>
        <v>Der Verliererarm ist verletzt.</v>
      </c>
    </row>
    <row r="30979">
      <c r="A30979" s="4" t="s">
        <v>39012</v>
      </c>
      <c r="B30979" s="4" t="s">
        <v>39013</v>
      </c>
      <c r="C30979" s="5" t="str">
        <f>IFERROR(__xludf.DUMMYFUNCTION("GOOGLETRANSLATE(B30979,""en"",""de"")"),"Eine Gruppe von Menschen ist gesehen, wie sie auf Skiern und Skigörfern schneey Mountains auf und ab gehen.")</f>
        <v>Eine Gruppe von Menschen ist gesehen, wie sie auf Skiern und Skigörfern schneey Mountains auf und ab gehen.</v>
      </c>
    </row>
    <row r="30980">
      <c r="A30980" s="4" t="s">
        <v>39012</v>
      </c>
      <c r="B30980" s="4" t="s">
        <v>39014</v>
      </c>
      <c r="C30980" s="5" t="str">
        <f>IFERROR(__xludf.DUMMYFUNCTION("GOOGLETRANSLATE(B30980,""en"",""de"")"),"Anschließend ist ein Blick auf die schneebedeckten Berge mit einer Brücke vor.")</f>
        <v>Anschließend ist ein Blick auf die schneebedeckten Berge mit einer Brücke vor.</v>
      </c>
    </row>
    <row r="30981">
      <c r="A30981" s="4" t="s">
        <v>39015</v>
      </c>
      <c r="B30981" s="4" t="s">
        <v>39016</v>
      </c>
      <c r="C30981" s="5" t="str">
        <f>IFERROR(__xludf.DUMMYFUNCTION("GOOGLETRANSLATE(B30981,""en"",""de"")"),"Ein Mann ist gesehen, der neben einem Auto kniet, während er mit der Kamera spricht.")</f>
        <v>Ein Mann ist gesehen, der neben einem Auto kniet, während er mit der Kamera spricht.</v>
      </c>
    </row>
    <row r="30982">
      <c r="A30982" s="4" t="s">
        <v>39015</v>
      </c>
      <c r="B30982" s="4" t="s">
        <v>39017</v>
      </c>
      <c r="C30982" s="5" t="str">
        <f>IFERROR(__xludf.DUMMYFUNCTION("GOOGLETRANSLATE(B30982,""en"",""de"")"),"Die Kamera schwenkt rund um das Auto und den Reifen, während der Mann weiterhin mit der Kamera spricht.")</f>
        <v>Die Kamera schwenkt rund um das Auto und den Reifen, während der Mann weiterhin mit der Kamera spricht.</v>
      </c>
    </row>
    <row r="30983">
      <c r="A30983" s="4" t="s">
        <v>39018</v>
      </c>
      <c r="B30983" s="4" t="s">
        <v>39019</v>
      </c>
      <c r="C30983" s="5" t="str">
        <f>IFERROR(__xludf.DUMMYFUNCTION("GOOGLETRANSLATE(B30983,""en"",""de"")"),"Ein Mann serviert einen Ball in einem Strandvolleyballspiel, dann rennt er auf dem Netz, um den Ball zu empfangen, während die Leute das Spiel in einem Strand beobachten.")</f>
        <v>Ein Mann serviert einen Ball in einem Strandvolleyballspiel, dann rennt er auf dem Netz, um den Ball zu empfangen, während die Leute das Spiel in einem Strand beobachten.</v>
      </c>
    </row>
    <row r="30984">
      <c r="A30984" s="4" t="s">
        <v>39018</v>
      </c>
      <c r="B30984" s="4" t="s">
        <v>39020</v>
      </c>
      <c r="C30984" s="5" t="str">
        <f>IFERROR(__xludf.DUMMYFUNCTION("GOOGLETRANSLATE(B30984,""en"",""de"")"),"A serviert einen Ball und spielt, während die Leute das Spiel in einem Strand beobachten.")</f>
        <v>A serviert einen Ball und spielt, während die Leute das Spiel in einem Strand beobachten.</v>
      </c>
    </row>
    <row r="30985">
      <c r="A30985" s="4" t="s">
        <v>39021</v>
      </c>
      <c r="B30985" s="4" t="s">
        <v>39022</v>
      </c>
      <c r="C30985" s="5" t="str">
        <f>IFERROR(__xludf.DUMMYFUNCTION("GOOGLETRANSLATE(B30985,""en"",""de"")"),"In einem Haus wird ein Paar französischer Türen gezeigt.")</f>
        <v>In einem Haus wird ein Paar französischer Türen gezeigt.</v>
      </c>
    </row>
    <row r="30986">
      <c r="A30986" s="4" t="s">
        <v>39021</v>
      </c>
      <c r="B30986" s="4" t="s">
        <v>39023</v>
      </c>
      <c r="C30986" s="5" t="str">
        <f>IFERROR(__xludf.DUMMYFUNCTION("GOOGLETRANSLATE(B30986,""en"",""de"")"),"Ein Mann zeigt, wie man das Glas in den Fenstern der Türen reinigt.")</f>
        <v>Ein Mann zeigt, wie man das Glas in den Fenstern der Türen reinigt.</v>
      </c>
    </row>
    <row r="30987">
      <c r="A30987" s="4" t="s">
        <v>39021</v>
      </c>
      <c r="B30987" s="4" t="s">
        <v>39024</v>
      </c>
      <c r="C30987" s="5" t="str">
        <f>IFERROR(__xludf.DUMMYFUNCTION("GOOGLETRANSLATE(B30987,""en"",""de"")"),"Er schrubbt sie mit einem Tuch und wischt sie sauber ab.")</f>
        <v>Er schrubbt sie mit einem Tuch und wischt sie sauber ab.</v>
      </c>
    </row>
    <row r="30988">
      <c r="A30988" s="4" t="s">
        <v>39021</v>
      </c>
      <c r="B30988" s="4" t="s">
        <v>39025</v>
      </c>
      <c r="C30988" s="5" t="str">
        <f>IFERROR(__xludf.DUMMYFUNCTION("GOOGLETRANSLATE(B30988,""en"",""de"")"),"Er geht weiter in eine Tür und putzt jedes einzelne Fenster.")</f>
        <v>Er geht weiter in eine Tür und putzt jedes einzelne Fenster.</v>
      </c>
    </row>
    <row r="30989">
      <c r="A30989" s="4" t="s">
        <v>39026</v>
      </c>
      <c r="B30989" s="4" t="s">
        <v>39027</v>
      </c>
      <c r="C30989" s="5" t="str">
        <f>IFERROR(__xludf.DUMMYFUNCTION("GOOGLETRANSLATE(B30989,""en"",""de"")"),"Eine Frau mäht einen Rasen und schiebt den Mäher hin und her.")</f>
        <v>Eine Frau mäht einen Rasen und schiebt den Mäher hin und her.</v>
      </c>
    </row>
    <row r="30990">
      <c r="A30990" s="4" t="s">
        <v>39026</v>
      </c>
      <c r="B30990" s="4" t="s">
        <v>39028</v>
      </c>
      <c r="C30990" s="5" t="str">
        <f>IFERROR(__xludf.DUMMYFUNCTION("GOOGLETRANSLATE(B30990,""en"",""de"")"),"Sie deckt vor dem Ende des Videos die Hälfte des Rasens und der Einfahrt ab.")</f>
        <v>Sie deckt vor dem Ende des Videos die Hälfte des Rasens und der Einfahrt ab.</v>
      </c>
    </row>
    <row r="30991">
      <c r="A30991" s="4" t="s">
        <v>39029</v>
      </c>
      <c r="B30991" s="4" t="s">
        <v>39030</v>
      </c>
      <c r="C30991" s="5" t="str">
        <f>IFERROR(__xludf.DUMMYFUNCTION("GOOGLETRANSLATE(B30991,""en"",""de"")"),"Eine Gruppe von Männern spielt Fußball in einem Sandbereich.")</f>
        <v>Eine Gruppe von Männern spielt Fußball in einem Sandbereich.</v>
      </c>
    </row>
    <row r="30992">
      <c r="A30992" s="4" t="s">
        <v>39029</v>
      </c>
      <c r="B30992" s="4" t="s">
        <v>39031</v>
      </c>
      <c r="C30992" s="5" t="str">
        <f>IFERROR(__xludf.DUMMYFUNCTION("GOOGLETRANSLATE(B30992,""en"",""de"")"),"Eine Menge sieht aus den Tribünen zu.")</f>
        <v>Eine Menge sieht aus den Tribünen zu.</v>
      </c>
    </row>
    <row r="30993">
      <c r="A30993" s="4" t="s">
        <v>39029</v>
      </c>
      <c r="B30993" s="4" t="s">
        <v>39032</v>
      </c>
      <c r="C30993" s="5" t="str">
        <f>IFERROR(__xludf.DUMMYFUNCTION("GOOGLETRANSLATE(B30993,""en"",""de"")"),"Ein Torwart versucht einen Ball zu blockieren und macht die Spaltungen, vermisst aber den Ball.")</f>
        <v>Ein Torwart versucht einen Ball zu blockieren und macht die Spaltungen, vermisst aber den Ball.</v>
      </c>
    </row>
    <row r="30994">
      <c r="A30994" s="4" t="s">
        <v>39033</v>
      </c>
      <c r="B30994" s="4" t="s">
        <v>39034</v>
      </c>
      <c r="C30994" s="5" t="str">
        <f>IFERROR(__xludf.DUMMYFUNCTION("GOOGLETRANSLATE(B30994,""en"",""de"")"),"Zwei Männer betreten den Racquetball -Raum.")</f>
        <v>Zwei Männer betreten den Racquetball -Raum.</v>
      </c>
    </row>
    <row r="30995">
      <c r="A30995" s="4" t="s">
        <v>39033</v>
      </c>
      <c r="B30995" s="4" t="s">
        <v>39035</v>
      </c>
      <c r="C30995" s="5" t="str">
        <f>IFERROR(__xludf.DUMMYFUNCTION("GOOGLETRANSLATE(B30995,""en"",""de"")"),"Die beiden Männer spielen Racquetball und rennen durch den Raum und versuchen, den Ball zu schlagen.")</f>
        <v>Die beiden Männer spielen Racquetball und rennen durch den Raum und versuchen, den Ball zu schlagen.</v>
      </c>
    </row>
    <row r="30996">
      <c r="A30996" s="4" t="s">
        <v>39033</v>
      </c>
      <c r="B30996" s="4" t="s">
        <v>39036</v>
      </c>
      <c r="C30996" s="5" t="str">
        <f>IFERROR(__xludf.DUMMYFUNCTION("GOOGLETRANSLATE(B30996,""en"",""de"")"),"Ein Mann leitete den Raum und schaute in die Kamera.")</f>
        <v>Ein Mann leitete den Raum und schaute in die Kamera.</v>
      </c>
    </row>
    <row r="30997">
      <c r="A30997" s="4" t="s">
        <v>39037</v>
      </c>
      <c r="B30997" s="4" t="s">
        <v>39038</v>
      </c>
      <c r="C30997" s="5" t="str">
        <f>IFERROR(__xludf.DUMMYFUNCTION("GOOGLETRANSLATE(B30997,""en"",""de"")"),"Frau steht in einer Küche und isst einen Kuchen voller Sahne.")</f>
        <v>Frau steht in einer Küche und isst einen Kuchen voller Sahne.</v>
      </c>
    </row>
    <row r="30998">
      <c r="A30998" s="4" t="s">
        <v>39037</v>
      </c>
      <c r="B30998" s="4" t="s">
        <v>39039</v>
      </c>
      <c r="C30998" s="5" t="str">
        <f>IFERROR(__xludf.DUMMYFUNCTION("GOOGLETRANSLATE(B30998,""en"",""de"")"),"Ein Kuchen befindet sich in einem Topf auf der Theke, Frau spricht mit der Kamera in der Küche.")</f>
        <v>Ein Kuchen befindet sich in einem Topf auf der Theke, Frau spricht mit der Kamera in der Küche.</v>
      </c>
    </row>
    <row r="30999">
      <c r="A30999" s="4" t="s">
        <v>39037</v>
      </c>
      <c r="B30999" s="4" t="s">
        <v>39040</v>
      </c>
      <c r="C30999" s="5" t="str">
        <f>IFERROR(__xludf.DUMMYFUNCTION("GOOGLETRANSLATE(B30999,""en"",""de"")"),"Kuchenmischung wird mit einem Mixer geschlagen, die Frau redet weiter und mischt den Kuchen.")</f>
        <v>Kuchenmischung wird mit einem Mixer geschlagen, die Frau redet weiter und mischt den Kuchen.</v>
      </c>
    </row>
    <row r="31000">
      <c r="A31000" s="4" t="s">
        <v>39037</v>
      </c>
      <c r="B31000" s="4" t="s">
        <v>39041</v>
      </c>
      <c r="C31000" s="5" t="str">
        <f>IFERROR(__xludf.DUMMYFUNCTION("GOOGLETRANSLATE(B31000,""en"",""de"")"),"Öl ist in einem Topf.")</f>
        <v>Öl ist in einem Topf.</v>
      </c>
    </row>
    <row r="31001">
      <c r="A31001" s="4" t="s">
        <v>39037</v>
      </c>
      <c r="B31001" s="4" t="s">
        <v>39042</v>
      </c>
      <c r="C31001" s="5" t="str">
        <f>IFERROR(__xludf.DUMMYFUNCTION("GOOGLETRANSLATE(B31001,""en"",""de"")"),"Die Frau hält einen grünen Topf mit Sand und er hat den Schnellkochtopf gepackt.")</f>
        <v>Die Frau hält einen grünen Topf mit Sand und er hat den Schnellkochtopf gepackt.</v>
      </c>
    </row>
    <row r="31002">
      <c r="A31002" s="4" t="s">
        <v>39037</v>
      </c>
      <c r="B31002" s="4" t="s">
        <v>39043</v>
      </c>
      <c r="C31002" s="5" t="str">
        <f>IFERROR(__xludf.DUMMYFUNCTION("GOOGLETRANSLATE(B31002,""en"",""de"")"),"Legen Sie den Mixer auf den öligen Topf.")</f>
        <v>Legen Sie den Mixer auf den öligen Topf.</v>
      </c>
    </row>
    <row r="31003">
      <c r="A31003" s="4" t="s">
        <v>39037</v>
      </c>
      <c r="B31003" s="4" t="s">
        <v>39044</v>
      </c>
      <c r="C31003" s="5" t="str">
        <f>IFERROR(__xludf.DUMMYFUNCTION("GOOGLETRANSLATE(B31003,""en"",""de"")"),"Die Pressionsmischung ist geöffnet und dann geschlossen, während die Frau weiter in der Küche spricht, nachdem ein IME den Topf geöffnet und der Kuchen fertig ist.")</f>
        <v>Die Pressionsmischung ist geöffnet und dann geschlossen, während die Frau weiter in der Küche spricht, nachdem ein IME den Topf geöffnet und der Kuchen fertig ist.</v>
      </c>
    </row>
    <row r="31004">
      <c r="A31004" s="4" t="s">
        <v>39037</v>
      </c>
      <c r="B31004" s="4" t="s">
        <v>39045</v>
      </c>
      <c r="C31004" s="5" t="str">
        <f>IFERROR(__xludf.DUMMYFUNCTION("GOOGLETRANSLATE(B31004,""en"",""de"")"),"Es wird ein dekorierter Kuchen gezeigt und die Kuchen entlang des Pressionstopfs.")</f>
        <v>Es wird ein dekorierter Kuchen gezeigt und die Kuchen entlang des Pressionstopfs.</v>
      </c>
    </row>
    <row r="31005">
      <c r="A31005" s="4" t="s">
        <v>39046</v>
      </c>
      <c r="B31005" s="4" t="s">
        <v>39047</v>
      </c>
      <c r="C31005" s="5" t="str">
        <f>IFERROR(__xludf.DUMMYFUNCTION("GOOGLETRANSLATE(B31005,""en"",""de"")"),"Ein schwarz -weißes Video zeigt zwei Personen in einem Schlafzimmer und spielt Gitarren.")</f>
        <v>Ein schwarz -weißes Video zeigt zwei Personen in einem Schlafzimmer und spielt Gitarren.</v>
      </c>
    </row>
    <row r="31006">
      <c r="A31006" s="4" t="s">
        <v>39046</v>
      </c>
      <c r="B31006" s="4" t="s">
        <v>39048</v>
      </c>
      <c r="C31006" s="5" t="str">
        <f>IFERROR(__xludf.DUMMYFUNCTION("GOOGLETRANSLATE(B31006,""en"",""de"")"),"Sie fahren während des gesamten Videos fort und zittern beim Spielen etwas.")</f>
        <v>Sie fahren während des gesamten Videos fort und zittern beim Spielen etwas.</v>
      </c>
    </row>
    <row r="31007">
      <c r="A31007" s="4" t="s">
        <v>39049</v>
      </c>
      <c r="B31007" s="4" t="s">
        <v>39050</v>
      </c>
      <c r="C31007" s="5" t="str">
        <f>IFERROR(__xludf.DUMMYFUNCTION("GOOGLETRANSLATE(B31007,""en"",""de"")"),"Eine Gruppe von Läufern geht einen Schmutzweg hinunter.")</f>
        <v>Eine Gruppe von Läufern geht einen Schmutzweg hinunter.</v>
      </c>
    </row>
    <row r="31008">
      <c r="A31008" s="4" t="s">
        <v>39049</v>
      </c>
      <c r="B31008" s="4" t="s">
        <v>39051</v>
      </c>
      <c r="C31008" s="5" t="str">
        <f>IFERROR(__xludf.DUMMYFUNCTION("GOOGLETRANSLATE(B31008,""en"",""de"")"),"Sie beginnen zu rennen und werden von Autos weitergegeben, während sie gehen.")</f>
        <v>Sie beginnen zu rennen und werden von Autos weitergegeben, während sie gehen.</v>
      </c>
    </row>
    <row r="31009">
      <c r="A31009" s="4" t="s">
        <v>39049</v>
      </c>
      <c r="B31009" s="4" t="s">
        <v>39052</v>
      </c>
      <c r="C31009" s="5" t="str">
        <f>IFERROR(__xludf.DUMMYFUNCTION("GOOGLETRANSLATE(B31009,""en"",""de"")"),"Sie rennen weiter durch die Stadt zusammen.")</f>
        <v>Sie rennen weiter durch die Stadt zusammen.</v>
      </c>
    </row>
    <row r="31010">
      <c r="A31010" s="4" t="s">
        <v>39053</v>
      </c>
      <c r="B31010" s="4" t="s">
        <v>39054</v>
      </c>
      <c r="C31010" s="5" t="str">
        <f>IFERROR(__xludf.DUMMYFUNCTION("GOOGLETRANSLATE(B31010,""en"",""de"")"),"Eine Nahaufnahme eines Balls wird gezeigt, gefolgt von einer Person, die an mehreren Stellen den Ball schlägt.")</f>
        <v>Eine Nahaufnahme eines Balls wird gezeigt, gefolgt von einer Person, die an mehreren Stellen den Ball schlägt.</v>
      </c>
    </row>
    <row r="31011">
      <c r="A31011" s="4" t="s">
        <v>39053</v>
      </c>
      <c r="B31011" s="4" t="s">
        <v>39055</v>
      </c>
      <c r="C31011" s="5" t="str">
        <f>IFERROR(__xludf.DUMMYFUNCTION("GOOGLETRANSLATE(B31011,""en"",""de"")"),"Der Mann zeigt weiterhin, wie man den Ball in verschiedenen Winkeln schlägt und auf dem Boden kniet, um zu schießen.")</f>
        <v>Der Mann zeigt weiterhin, wie man den Ball in verschiedenen Winkeln schlägt und auf dem Boden kniet, um zu schießen.</v>
      </c>
    </row>
    <row r="31012">
      <c r="A31012" s="4" t="s">
        <v>39056</v>
      </c>
      <c r="B31012" s="4" t="s">
        <v>39057</v>
      </c>
      <c r="C31012" s="5" t="str">
        <f>IFERROR(__xludf.DUMMYFUNCTION("GOOGLETRANSLATE(B31012,""en"",""de"")"),"Es gibt ein Mädchen mit langen braunen Haaren, die die Mundharmonika in einem Krankenhausaufzug spielen.")</f>
        <v>Es gibt ein Mädchen mit langen braunen Haaren, die die Mundharmonika in einem Krankenhausaufzug spielen.</v>
      </c>
    </row>
    <row r="31013">
      <c r="A31013" s="4" t="s">
        <v>39056</v>
      </c>
      <c r="B31013" s="4" t="s">
        <v>39058</v>
      </c>
      <c r="C31013" s="5" t="str">
        <f>IFERROR(__xludf.DUMMYFUNCTION("GOOGLETRANSLATE(B31013,""en"",""de"")"),"Die Aufzugstür öffnet sich und mehrere Personen betreten den Aufzug.")</f>
        <v>Die Aufzugstür öffnet sich und mehrere Personen betreten den Aufzug.</v>
      </c>
    </row>
    <row r="31014">
      <c r="A31014" s="4" t="s">
        <v>39056</v>
      </c>
      <c r="B31014" s="4" t="s">
        <v>39059</v>
      </c>
      <c r="C31014" s="5" t="str">
        <f>IFERROR(__xludf.DUMMYFUNCTION("GOOGLETRANSLATE(B31014,""en"",""de"")"),"Sie spielt weiterhin ihre Mundharmonika.")</f>
        <v>Sie spielt weiterhin ihre Mundharmonika.</v>
      </c>
    </row>
    <row r="31015">
      <c r="A31015" s="4" t="s">
        <v>39056</v>
      </c>
      <c r="B31015" s="4" t="s">
        <v>39060</v>
      </c>
      <c r="C31015" s="5" t="str">
        <f>IFERROR(__xludf.DUMMYFUNCTION("GOOGLETRANSLATE(B31015,""en"",""de"")"),"Es gibt einen kleinen Jungen und seine Mutter, die die Dame anlächeln, während sie spielt.")</f>
        <v>Es gibt einen kleinen Jungen und seine Mutter, die die Dame anlächeln, während sie spielt.</v>
      </c>
    </row>
    <row r="31016">
      <c r="A31016" s="4" t="s">
        <v>39056</v>
      </c>
      <c r="B31016" s="4" t="s">
        <v>39061</v>
      </c>
      <c r="C31016" s="5" t="str">
        <f>IFERROR(__xludf.DUMMYFUNCTION("GOOGLETRANSLATE(B31016,""en"",""de"")"),"Dann steigen sie aus dem Aufzug, wenn sie ihr Niveau erreichen.")</f>
        <v>Dann steigen sie aus dem Aufzug, wenn sie ihr Niveau erreichen.</v>
      </c>
    </row>
    <row r="31017">
      <c r="A31017" s="4" t="s">
        <v>39056</v>
      </c>
      <c r="B31017" s="4" t="s">
        <v>39062</v>
      </c>
      <c r="C31017" s="5" t="str">
        <f>IFERROR(__xludf.DUMMYFUNCTION("GOOGLETRANSLATE(B31017,""en"",""de"")"),"Die Dame spielt weiterhin die Mundharmonika, während sich der Aufzug weiter bewegt und auf anderen Ebenen aufhört und mehr Menschen hereinkommen.")</f>
        <v>Die Dame spielt weiterhin die Mundharmonika, während sich der Aufzug weiter bewegt und auf anderen Ebenen aufhört und mehr Menschen hereinkommen.</v>
      </c>
    </row>
    <row r="31018">
      <c r="A31018" s="4" t="s">
        <v>39056</v>
      </c>
      <c r="B31018" s="4" t="s">
        <v>39063</v>
      </c>
      <c r="C31018" s="5" t="str">
        <f>IFERROR(__xludf.DUMMYFUNCTION("GOOGLETRANSLATE(B31018,""en"",""de"")"),"Die Leute steigen weiter in den Aufzug und spielen weiterhin ihre Mundharmonika.")</f>
        <v>Die Leute steigen weiter in den Aufzug und spielen weiterhin ihre Mundharmonika.</v>
      </c>
    </row>
    <row r="31019">
      <c r="A31019" s="4" t="s">
        <v>39056</v>
      </c>
      <c r="B31019" s="4" t="s">
        <v>39064</v>
      </c>
      <c r="C31019" s="5" t="str">
        <f>IFERROR(__xludf.DUMMYFUNCTION("GOOGLETRANSLATE(B31019,""en"",""de"")"),"Eine Person betritt den Aufzug mit einem Mann auf einer Trage zusammen mit einigen anderen Menschen.")</f>
        <v>Eine Person betritt den Aufzug mit einem Mann auf einer Trage zusammen mit einigen anderen Menschen.</v>
      </c>
    </row>
    <row r="31020">
      <c r="A31020" s="4" t="s">
        <v>39056</v>
      </c>
      <c r="B31020" s="4" t="s">
        <v>39065</v>
      </c>
      <c r="C31020" s="5" t="str">
        <f>IFERROR(__xludf.DUMMYFUNCTION("GOOGLETRANSLATE(B31020,""en"",""de"")"),"Sie lächeln sie an und ergänzen sie.")</f>
        <v>Sie lächeln sie an und ergänzen sie.</v>
      </c>
    </row>
    <row r="31021">
      <c r="A31021" s="4" t="s">
        <v>39056</v>
      </c>
      <c r="B31021" s="4" t="s">
        <v>39066</v>
      </c>
      <c r="C31021" s="5" t="str">
        <f>IFERROR(__xludf.DUMMYFUNCTION("GOOGLETRANSLATE(B31021,""en"",""de"")"),"Sie steigen aus dem Aufzug, wenn sie ihr gewünschtes Niveau im Krankenhaus erreichen.")</f>
        <v>Sie steigen aus dem Aufzug, wenn sie ihr gewünschtes Niveau im Krankenhaus erreichen.</v>
      </c>
    </row>
    <row r="31022">
      <c r="A31022" s="4" t="s">
        <v>39067</v>
      </c>
      <c r="B31022" s="4" t="s">
        <v>39068</v>
      </c>
      <c r="C31022" s="5" t="str">
        <f>IFERROR(__xludf.DUMMYFUNCTION("GOOGLETRANSLATE(B31022,""en"",""de"")"),"Ein Kleinkind waschen seine Hände im Waschbecken.")</f>
        <v>Ein Kleinkind waschen seine Hände im Waschbecken.</v>
      </c>
    </row>
    <row r="31023">
      <c r="A31023" s="4" t="s">
        <v>39067</v>
      </c>
      <c r="B31023" s="4" t="s">
        <v>39069</v>
      </c>
      <c r="C31023" s="5" t="str">
        <f>IFERROR(__xludf.DUMMYFUNCTION("GOOGLETRANSLATE(B31023,""en"",""de"")"),"Dann spritzt das Kleinkind Wasser auf sein Gesicht und lächelt.")</f>
        <v>Dann spritzt das Kleinkind Wasser auf sein Gesicht und lächelt.</v>
      </c>
    </row>
    <row r="31024">
      <c r="A31024" s="4" t="s">
        <v>39067</v>
      </c>
      <c r="B31024" s="4" t="s">
        <v>39070</v>
      </c>
      <c r="C31024" s="5" t="str">
        <f>IFERROR(__xludf.DUMMYFUNCTION("GOOGLETRANSLATE(B31024,""en"",""de"")"),"Das tätig legt Wasser in sein Gesicht und bewegt dann seinen Kopf.")</f>
        <v>Das tätig legt Wasser in sein Gesicht und bewegt dann seinen Kopf.</v>
      </c>
    </row>
    <row r="31025">
      <c r="A31025" s="4" t="s">
        <v>39071</v>
      </c>
      <c r="B31025" s="4" t="s">
        <v>39072</v>
      </c>
      <c r="C31025" s="5" t="str">
        <f>IFERROR(__xludf.DUMMYFUNCTION("GOOGLETRANSLATE(B31025,""en"",""de"")"),"Zwei Menschen sehen Arm, die miteinander ringen, während ein Mann ihre Hände hält.")</f>
        <v>Zwei Menschen sehen Arm, die miteinander ringen, während ein Mann ihre Hände hält.</v>
      </c>
    </row>
    <row r="31026">
      <c r="A31026" s="4" t="s">
        <v>39071</v>
      </c>
      <c r="B31026" s="4" t="s">
        <v>39073</v>
      </c>
      <c r="C31026" s="5" t="str">
        <f>IFERROR(__xludf.DUMMYFUNCTION("GOOGLETRANSLATE(B31026,""en"",""de"")"),"Die Männer ringen dann weiter, wobei einer die Hand des anderen knallte.")</f>
        <v>Die Männer ringen dann weiter, wobei einer die Hand des anderen knallte.</v>
      </c>
    </row>
    <row r="31027">
      <c r="A31027" s="4" t="s">
        <v>39074</v>
      </c>
      <c r="B31027" s="4" t="s">
        <v>39075</v>
      </c>
      <c r="C31027" s="5" t="str">
        <f>IFERROR(__xludf.DUMMYFUNCTION("GOOGLETRANSLATE(B31027,""en"",""de"")"),"Eine Gruppe von Menschen wird herumgekauert und führt in eine Gruppe von ihnen mit Hilfe eines Mannes einen Fluss hinunter.")</f>
        <v>Eine Gruppe von Menschen wird herumgekauert und führt in eine Gruppe von ihnen mit Hilfe eines Mannes einen Fluss hinunter.</v>
      </c>
    </row>
    <row r="31028">
      <c r="A31028" s="4" t="s">
        <v>39074</v>
      </c>
      <c r="B31028" s="4" t="s">
        <v>39076</v>
      </c>
      <c r="C31028" s="5" t="str">
        <f>IFERROR(__xludf.DUMMYFUNCTION("GOOGLETRANSLATE(B31028,""en"",""de"")"),"Die Fahrt kontinuierlich den Fluss hinunter in Felsen auf dem Weg und führt dazu, dass sie auf der Seite hinausgehen.")</f>
        <v>Die Fahrt kontinuierlich den Fluss hinunter in Felsen auf dem Weg und führt dazu, dass sie auf der Seite hinausgehen.</v>
      </c>
    </row>
    <row r="31029">
      <c r="A31029" s="4" t="s">
        <v>39074</v>
      </c>
      <c r="B31029" s="4" t="s">
        <v>39077</v>
      </c>
      <c r="C31029" s="5" t="str">
        <f>IFERROR(__xludf.DUMMYFUNCTION("GOOGLETRANSLATE(B31029,""en"",""de"")"),"Endlich ein Bild von ihnen alle zusammen in dem Ende gezeigt.")</f>
        <v>Endlich ein Bild von ihnen alle zusammen in dem Ende gezeigt.</v>
      </c>
    </row>
    <row r="31030">
      <c r="A31030" s="4" t="s">
        <v>39078</v>
      </c>
      <c r="B31030" s="4" t="s">
        <v>39079</v>
      </c>
      <c r="C31030" s="5" t="str">
        <f>IFERROR(__xludf.DUMMYFUNCTION("GOOGLETRANSLATE(B31030,""en"",""de"")"),"Eine ältere Frau sitzt auf einem Stuhl, der zwei Nadeln hält, und führt in sie, die ihren Strickkorb zeigt und mit der Kamera spricht.")</f>
        <v>Eine ältere Frau sitzt auf einem Stuhl, der zwei Nadeln hält, und führt in sie, die ihren Strickkorb zeigt und mit der Kamera spricht.</v>
      </c>
    </row>
    <row r="31031">
      <c r="A31031" s="4" t="s">
        <v>39078</v>
      </c>
      <c r="B31031" s="4" t="s">
        <v>39080</v>
      </c>
      <c r="C31031" s="5" t="str">
        <f>IFERROR(__xludf.DUMMYFUNCTION("GOOGLETRANSLATE(B31031,""en"",""de"")"),"Die Frau spricht weiter und hält die Strickwerkzeuge und endet, indem sie schwarz verblasst.")</f>
        <v>Die Frau spricht weiter und hält die Strickwerkzeuge und endet, indem sie schwarz verblasst.</v>
      </c>
    </row>
    <row r="31032">
      <c r="A31032" s="4" t="s">
        <v>39081</v>
      </c>
      <c r="B31032" s="4" t="s">
        <v>39082</v>
      </c>
      <c r="C31032" s="5" t="str">
        <f>IFERROR(__xludf.DUMMYFUNCTION("GOOGLETRANSLATE(B31032,""en"",""de"")"),"Eine Gruppe von zwei Frauen und zwei Männern posieren zusammen.")</f>
        <v>Eine Gruppe von zwei Frauen und zwei Männern posieren zusammen.</v>
      </c>
    </row>
    <row r="31033">
      <c r="A31033" s="4" t="s">
        <v>39081</v>
      </c>
      <c r="B31033" s="4" t="s">
        <v>39083</v>
      </c>
      <c r="C31033" s="5" t="str">
        <f>IFERROR(__xludf.DUMMYFUNCTION("GOOGLETRANSLATE(B31033,""en"",""de"")"),"Sie werden dann gezeigt, dass sie eine Kunstübung namens Zumba in einem Gebäude durchführen.")</f>
        <v>Sie werden dann gezeigt, dass sie eine Kunstübung namens Zumba in einem Gebäude durchführen.</v>
      </c>
    </row>
    <row r="31034">
      <c r="A31034" s="4" t="s">
        <v>39081</v>
      </c>
      <c r="B31034" s="4" t="s">
        <v>39084</v>
      </c>
      <c r="C31034" s="5" t="str">
        <f>IFERROR(__xludf.DUMMYFUNCTION("GOOGLETRANSLATE(B31034,""en"",""de"")"),"Sie tanzen unklar hin und her und werden am Ende zusammen posieren, wenn Musiknoten über den Bildschirm schweben.")</f>
        <v>Sie tanzen unklar hin und her und werden am Ende zusammen posieren, wenn Musiknoten über den Bildschirm schweben.</v>
      </c>
    </row>
    <row r="31035">
      <c r="A31035" s="4" t="s">
        <v>39085</v>
      </c>
      <c r="B31035" s="4" t="s">
        <v>39086</v>
      </c>
      <c r="C31035" s="5" t="str">
        <f>IFERROR(__xludf.DUMMYFUNCTION("GOOGLETRANSLATE(B31035,""en"",""de"")"),"Ein Mann in einem braunen Mantel und Hut schaufelt den Schnee aus seiner Einfahrt.")</f>
        <v>Ein Mann in einem braunen Mantel und Hut schaufelt den Schnee aus seiner Einfahrt.</v>
      </c>
    </row>
    <row r="31036">
      <c r="A31036" s="4" t="s">
        <v>39085</v>
      </c>
      <c r="B31036" s="4" t="s">
        <v>39087</v>
      </c>
      <c r="C31036" s="5" t="str">
        <f>IFERROR(__xludf.DUMMYFUNCTION("GOOGLETRANSLATE(B31036,""en"",""de"")"),"Bilder des Mannes werden gezeigt.")</f>
        <v>Bilder des Mannes werden gezeigt.</v>
      </c>
    </row>
    <row r="31037">
      <c r="A31037" s="4" t="s">
        <v>39085</v>
      </c>
      <c r="B31037" s="4" t="s">
        <v>39088</v>
      </c>
      <c r="C31037" s="5" t="str">
        <f>IFERROR(__xludf.DUMMYFUNCTION("GOOGLETRANSLATE(B31037,""en"",""de"")"),"Der Mann holt einen Schneeblower heraus und beginnt mit der Schneeblieb in seiner Einfahrt.")</f>
        <v>Der Mann holt einen Schneeblower heraus und beginnt mit der Schneeblieb in seiner Einfahrt.</v>
      </c>
    </row>
    <row r="31038">
      <c r="A31038" s="4" t="s">
        <v>39085</v>
      </c>
      <c r="B31038" s="4" t="s">
        <v>39089</v>
      </c>
      <c r="C31038" s="5" t="str">
        <f>IFERROR(__xludf.DUMMYFUNCTION("GOOGLETRANSLATE(B31038,""en"",""de"")"),"Eine Frau in einem blauen Mantel spricht.")</f>
        <v>Eine Frau in einem blauen Mantel spricht.</v>
      </c>
    </row>
    <row r="31039">
      <c r="A31039" s="4" t="s">
        <v>39085</v>
      </c>
      <c r="B31039" s="4" t="s">
        <v>39090</v>
      </c>
      <c r="C31039" s="5" t="str">
        <f>IFERROR(__xludf.DUMMYFUNCTION("GOOGLETRANSLATE(B31039,""en"",""de"")"),"Der Mann schneehlt weiter, bevor er mit der Kamera spricht.")</f>
        <v>Der Mann schneehlt weiter, bevor er mit der Kamera spricht.</v>
      </c>
    </row>
    <row r="31040">
      <c r="A31040" s="4" t="s">
        <v>39091</v>
      </c>
      <c r="B31040" s="4" t="s">
        <v>39092</v>
      </c>
      <c r="C31040" s="5" t="str">
        <f>IFERROR(__xludf.DUMMYFUNCTION("GOOGLETRANSLATE(B31040,""en"",""de"")"),"Eine Person schweißt eine Naht eines großen Metallrohrs mit Schutzmaske.")</f>
        <v>Eine Person schweißt eine Naht eines großen Metallrohrs mit Schutzmaske.</v>
      </c>
    </row>
    <row r="31041">
      <c r="A31041" s="4" t="s">
        <v>39091</v>
      </c>
      <c r="B31041" s="4" t="s">
        <v>39093</v>
      </c>
      <c r="C31041" s="5" t="str">
        <f>IFERROR(__xludf.DUMMYFUNCTION("GOOGLETRANSLATE(B31041,""en"",""de"")"),"Die Person spielt durch ein kleines Loch in einem Stück Metall.")</f>
        <v>Die Person spielt durch ein kleines Loch in einem Stück Metall.</v>
      </c>
    </row>
    <row r="31042">
      <c r="A31042" s="4" t="s">
        <v>39091</v>
      </c>
      <c r="B31042" s="4" t="s">
        <v>39094</v>
      </c>
      <c r="C31042" s="5" t="str">
        <f>IFERROR(__xludf.DUMMYFUNCTION("GOOGLETRANSLATE(B31042,""en"",""de"")"),"Der Mann beendet die Schweißnaht und die Naht ist gut heiß.")</f>
        <v>Der Mann beendet die Schweißnaht und die Naht ist gut heiß.</v>
      </c>
    </row>
    <row r="31043">
      <c r="A31043" s="4" t="s">
        <v>39091</v>
      </c>
      <c r="B31043" s="4" t="s">
        <v>39095</v>
      </c>
      <c r="C31043" s="5" t="str">
        <f>IFERROR(__xludf.DUMMYFUNCTION("GOOGLETRANSLATE(B31043,""en"",""de"")"),"Ein Mann klopft mit einer Metalldatei auf die Fertiger.")</f>
        <v>Ein Mann klopft mit einer Metalldatei auf die Fertiger.</v>
      </c>
    </row>
    <row r="31044">
      <c r="A31044" s="4" t="s">
        <v>39096</v>
      </c>
      <c r="B31044" s="4" t="s">
        <v>39097</v>
      </c>
      <c r="C31044" s="5" t="str">
        <f>IFERROR(__xludf.DUMMYFUNCTION("GOOGLETRANSLATE(B31044,""en"",""de"")"),"Das Video zeigt die Hand einer Person, die eine akustische Gitarre hält.")</f>
        <v>Das Video zeigt die Hand einer Person, die eine akustische Gitarre hält.</v>
      </c>
    </row>
    <row r="31045">
      <c r="A31045" s="4" t="s">
        <v>39096</v>
      </c>
      <c r="B31045" s="4" t="s">
        <v>39098</v>
      </c>
      <c r="C31045" s="5" t="str">
        <f>IFERROR(__xludf.DUMMYFUNCTION("GOOGLETRANSLATE(B31045,""en"",""de"")"),"Der Yamaha -Fall der Gitarre wird ebenfalls gezeigt.")</f>
        <v>Der Yamaha -Fall der Gitarre wird ebenfalls gezeigt.</v>
      </c>
    </row>
    <row r="31046">
      <c r="A31046" s="4" t="s">
        <v>39096</v>
      </c>
      <c r="B31046" s="4" t="s">
        <v>39099</v>
      </c>
      <c r="C31046" s="5" t="str">
        <f>IFERROR(__xludf.DUMMYFUNCTION("GOOGLETRANSLATE(B31046,""en"",""de"")"),"Ein junger Mann spielt seine Akustikgitarre.")</f>
        <v>Ein junger Mann spielt seine Akustikgitarre.</v>
      </c>
    </row>
    <row r="31047">
      <c r="A31047" s="4" t="s">
        <v>39096</v>
      </c>
      <c r="B31047" s="4" t="s">
        <v>39100</v>
      </c>
      <c r="C31047" s="5" t="str">
        <f>IFERROR(__xludf.DUMMYFUNCTION("GOOGLETRANSLATE(B31047,""en"",""de"")"),"Er schlägt seine Gitarre zu einer Melodie.")</f>
        <v>Er schlägt seine Gitarre zu einer Melodie.</v>
      </c>
    </row>
    <row r="31048">
      <c r="A31048" s="4" t="s">
        <v>39101</v>
      </c>
      <c r="B31048" s="4" t="s">
        <v>39102</v>
      </c>
      <c r="C31048" s="5" t="str">
        <f>IFERROR(__xludf.DUMMYFUNCTION("GOOGLETRANSLATE(B31048,""en"",""de"")"),"Ein Mann ist an mehreren Stellen zu sehen, die an einem langen Seil entlang an zwei Bäumen gebunden sind.")</f>
        <v>Ein Mann ist an mehreren Stellen zu sehen, die an einem langen Seil entlang an zwei Bäumen gebunden sind.</v>
      </c>
    </row>
    <row r="31049">
      <c r="A31049" s="4" t="s">
        <v>39101</v>
      </c>
      <c r="B31049" s="4" t="s">
        <v>39103</v>
      </c>
      <c r="C31049" s="5" t="str">
        <f>IFERROR(__xludf.DUMMYFUNCTION("GOOGLETRANSLATE(B31049,""en"",""de"")"),"Der Mann führt weiterhin verschiedene Variationen durch, wie man auf dem Seil geht und auf und ab springt und weiter geht.")</f>
        <v>Der Mann führt weiterhin verschiedene Variationen durch, wie man auf dem Seil geht und auf und ab springt und weiter geht.</v>
      </c>
    </row>
    <row r="31050">
      <c r="A31050" s="4" t="s">
        <v>39104</v>
      </c>
      <c r="B31050" s="4" t="s">
        <v>39105</v>
      </c>
      <c r="C31050" s="5" t="str">
        <f>IFERROR(__xludf.DUMMYFUNCTION("GOOGLETRANSLATE(B31050,""en"",""de"")"),"Mehrere Katzen werden herumgefolgt von einem Mann, der mit der Kamera spricht.")</f>
        <v>Mehrere Katzen werden herumgefolgt von einem Mann, der mit der Kamera spricht.</v>
      </c>
    </row>
    <row r="31051">
      <c r="A31051" s="4" t="s">
        <v>39104</v>
      </c>
      <c r="B31051" s="4" t="s">
        <v>39106</v>
      </c>
      <c r="C31051" s="5" t="str">
        <f>IFERROR(__xludf.DUMMYFUNCTION("GOOGLETRANSLATE(B31051,""en"",""de"")"),"Weitere Schüsse werden aus Autos gezeigt und führt zu einer Frau, die die Krallen einer Katze schneidet.")</f>
        <v>Weitere Schüsse werden aus Autos gezeigt und führt zu einer Frau, die die Krallen einer Katze schneidet.</v>
      </c>
    </row>
    <row r="31052">
      <c r="A31052" s="4" t="s">
        <v>39104</v>
      </c>
      <c r="B31052" s="4" t="s">
        <v>39107</v>
      </c>
      <c r="C31052" s="5" t="str">
        <f>IFERROR(__xludf.DUMMYFUNCTION("GOOGLETRANSLATE(B31052,""en"",""de"")"),"Es werden mehrere Produkte ausgelegt und mehrere Personen, die Katzen halten und ihre Nägel schneiden.")</f>
        <v>Es werden mehrere Produkte ausgelegt und mehrere Personen, die Katzen halten und ihre Nägel schneiden.</v>
      </c>
    </row>
    <row r="31053">
      <c r="A31053" s="4" t="s">
        <v>39108</v>
      </c>
      <c r="B31053" s="4" t="s">
        <v>39109</v>
      </c>
      <c r="C31053" s="5" t="str">
        <f>IFERROR(__xludf.DUMMYFUNCTION("GOOGLETRANSLATE(B31053,""en"",""de"")"),"Männer halten einen Eimer und stehen im Oof eines Hauses und arbeiten daran.")</f>
        <v>Männer halten einen Eimer und stehen im Oof eines Hauses und arbeiten daran.</v>
      </c>
    </row>
    <row r="31054">
      <c r="A31054" s="4" t="s">
        <v>39108</v>
      </c>
      <c r="B31054" s="4" t="s">
        <v>39110</v>
      </c>
      <c r="C31054" s="5" t="str">
        <f>IFERROR(__xludf.DUMMYFUNCTION("GOOGLETRANSLATE(B31054,""en"",""de"")"),"Der Mensch macht die Mischung in einem Eimer in einem Boden und wieder im Dach.")</f>
        <v>Der Mensch macht die Mischung in einem Eimer in einem Boden und wieder im Dach.</v>
      </c>
    </row>
    <row r="31055">
      <c r="A31055" s="4" t="s">
        <v>39111</v>
      </c>
      <c r="B31055" s="4" t="s">
        <v>39112</v>
      </c>
      <c r="C31055" s="5" t="str">
        <f>IFERROR(__xludf.DUMMYFUNCTION("GOOGLETRANSLATE(B31055,""en"",""de"")"),"Der Text wird auf dem Bildschirm angezeigt, der zu zwei Frauen führt, die miteinander sprechen.")</f>
        <v>Der Text wird auf dem Bildschirm angezeigt, der zu zwei Frauen führt, die miteinander sprechen.</v>
      </c>
    </row>
    <row r="31056">
      <c r="A31056" s="4" t="s">
        <v>39111</v>
      </c>
      <c r="B31056" s="4" t="s">
        <v>39113</v>
      </c>
      <c r="C31056" s="5" t="str">
        <f>IFERROR(__xludf.DUMMYFUNCTION("GOOGLETRANSLATE(B31056,""en"",""de"")"),"Man nimmt einen Schluck Mundwäsche und spuckt es in die Spüle.")</f>
        <v>Man nimmt einen Schluck Mundwäsche und spuckt es in die Spüle.</v>
      </c>
    </row>
    <row r="31057">
      <c r="A31057" s="4" t="s">
        <v>39111</v>
      </c>
      <c r="B31057" s="4" t="s">
        <v>39114</v>
      </c>
      <c r="C31057" s="5" t="str">
        <f>IFERROR(__xludf.DUMMYFUNCTION("GOOGLETRANSLATE(B31057,""en"",""de"")"),"Sie gibt den Behälter der Frau zurück, die sich umdreht, um mit der Kamera zu sprechen.")</f>
        <v>Sie gibt den Behälter der Frau zurück, die sich umdreht, um mit der Kamera zu sprechen.</v>
      </c>
    </row>
    <row r="31058">
      <c r="A31058" s="4" t="s">
        <v>39115</v>
      </c>
      <c r="B31058" s="4" t="s">
        <v>39116</v>
      </c>
      <c r="C31058" s="5" t="str">
        <f>IFERROR(__xludf.DUMMYFUNCTION("GOOGLETRANSLATE(B31058,""en"",""de"")"),"Drei Athleten führen Hammerwürfe bei einem professionellen Sportereignis vor dem Publikum bei Tribünen und Score -Keepers durch.")</f>
        <v>Drei Athleten führen Hammerwürfe bei einem professionellen Sportereignis vor dem Publikum bei Tribünen und Score -Keepers durch.</v>
      </c>
    </row>
    <row r="31059">
      <c r="A31059" s="4" t="s">
        <v>39115</v>
      </c>
      <c r="B31059" s="4" t="s">
        <v>39117</v>
      </c>
      <c r="C31059" s="5" t="str">
        <f>IFERROR(__xludf.DUMMYFUNCTION("GOOGLETRANSLATE(B31059,""en"",""de"")"),"Ein Mann dreht bei einem professionellen Sportereignis einen Hammer -Wurf -Sporthammer immer wieder herum und lässt ihn dann in ein Feld fliegen, das von einem Publikum in Tribünen umgeben ist.")</f>
        <v>Ein Mann dreht bei einem professionellen Sportereignis einen Hammer -Wurf -Sporthammer immer wieder herum und lässt ihn dann in ein Feld fliegen, das von einem Publikum in Tribünen umgeben ist.</v>
      </c>
    </row>
    <row r="31060">
      <c r="A31060" s="4" t="s">
        <v>39115</v>
      </c>
      <c r="B31060" s="4" t="s">
        <v>39118</v>
      </c>
      <c r="C31060" s="5" t="str">
        <f>IFERROR(__xludf.DUMMYFUNCTION("GOOGLETRANSLATE(B31060,""en"",""de"")"),"Der Athlet geht weg und sieht enttäuscht aus, als eine Anzeigetafel die Partitur zeigt.")</f>
        <v>Der Athlet geht weg und sieht enttäuscht aus, als eine Anzeigetafel die Partitur zeigt.</v>
      </c>
    </row>
    <row r="31061">
      <c r="A31061" s="4" t="s">
        <v>39115</v>
      </c>
      <c r="B31061" s="4" t="s">
        <v>39119</v>
      </c>
      <c r="C31061" s="5" t="str">
        <f>IFERROR(__xludf.DUMMYFUNCTION("GOOGLETRANSLATE(B31061,""en"",""de"")"),"Zwei weitere Athleten führen die gleiche Sportart auf die gleiche Weise durch, wie beide den Hammer in die Luft fliegen lassen.")</f>
        <v>Zwei weitere Athleten führen die gleiche Sportart auf die gleiche Weise durch, wie beide den Hammer in die Luft fliegen lassen.</v>
      </c>
    </row>
    <row r="31062">
      <c r="A31062" s="4" t="s">
        <v>39115</v>
      </c>
      <c r="B31062" s="4" t="s">
        <v>39120</v>
      </c>
      <c r="C31062" s="5" t="str">
        <f>IFERROR(__xludf.DUMMYFUNCTION("GOOGLETRANSLATE(B31062,""en"",""de"")"),"Ein Endergebnisklang wird angezeigt.")</f>
        <v>Ein Endergebnisklang wird angezeigt.</v>
      </c>
    </row>
    <row r="31063">
      <c r="A31063" s="4" t="s">
        <v>39121</v>
      </c>
      <c r="B31063" s="4" t="s">
        <v>39122</v>
      </c>
      <c r="C31063" s="5" t="str">
        <f>IFERROR(__xludf.DUMMYFUNCTION("GOOGLETRANSLATE(B31063,""en"",""de"")"),"Ein Mann trägt eine gelbe Weste.")</f>
        <v>Ein Mann trägt eine gelbe Weste.</v>
      </c>
    </row>
    <row r="31064">
      <c r="A31064" s="4" t="s">
        <v>39121</v>
      </c>
      <c r="B31064" s="4" t="s">
        <v>39123</v>
      </c>
      <c r="C31064" s="5" t="str">
        <f>IFERROR(__xludf.DUMMYFUNCTION("GOOGLETRANSLATE(B31064,""en"",""de"")"),"Er steht vor einem Gebäude, das ein Fenster reinigt.")</f>
        <v>Er steht vor einem Gebäude, das ein Fenster reinigt.</v>
      </c>
    </row>
    <row r="31065">
      <c r="A31065" s="4" t="s">
        <v>39121</v>
      </c>
      <c r="B31065" s="4" t="s">
        <v>39124</v>
      </c>
      <c r="C31065" s="5" t="str">
        <f>IFERROR(__xludf.DUMMYFUNCTION("GOOGLETRANSLATE(B31065,""en"",""de"")"),"Eine Person sieht aus einem der Fenster aus.")</f>
        <v>Eine Person sieht aus einem der Fenster aus.</v>
      </c>
    </row>
    <row r="31066">
      <c r="A31066" s="4" t="s">
        <v>39125</v>
      </c>
      <c r="B31066" s="4" t="s">
        <v>39126</v>
      </c>
      <c r="C31066" s="5" t="str">
        <f>IFERROR(__xludf.DUMMYFUNCTION("GOOGLETRANSLATE(B31066,""en"",""de"")"),"Ein Koch steht vor einem Tisch mit verschiedenen Objekten und zieht ein Stück Essen aus dem Topf.")</f>
        <v>Ein Koch steht vor einem Tisch mit verschiedenen Objekten und zieht ein Stück Essen aus dem Topf.</v>
      </c>
    </row>
    <row r="31067">
      <c r="A31067" s="4" t="s">
        <v>39125</v>
      </c>
      <c r="B31067" s="4" t="s">
        <v>39127</v>
      </c>
      <c r="C31067" s="5" t="str">
        <f>IFERROR(__xludf.DUMMYFUNCTION("GOOGLETRANSLATE(B31067,""en"",""de"")"),"Er zeigt das Objekt der Kamera und beginnt es in eine Schüssel zu schälen.")</f>
        <v>Er zeigt das Objekt der Kamera und beginnt es in eine Schüssel zu schälen.</v>
      </c>
    </row>
    <row r="31068">
      <c r="A31068" s="4" t="s">
        <v>39125</v>
      </c>
      <c r="B31068" s="4" t="s">
        <v>39128</v>
      </c>
      <c r="C31068" s="5" t="str">
        <f>IFERROR(__xludf.DUMMYFUNCTION("GOOGLETRANSLATE(B31068,""en"",""de"")"),"Die Person schneidet dann das Essen auf und schält weiter mehr in einen Topf.")</f>
        <v>Die Person schneidet dann das Essen auf und schält weiter mehr in einen Topf.</v>
      </c>
    </row>
    <row r="31069">
      <c r="A31069" s="4" t="s">
        <v>39129</v>
      </c>
      <c r="B31069" s="4" t="s">
        <v>39130</v>
      </c>
      <c r="C31069" s="5" t="str">
        <f>IFERROR(__xludf.DUMMYFUNCTION("GOOGLETRANSLATE(B31069,""en"",""de"")"),"Es gibt eine Frau, die ein Tutorial über die Verwendung eines Lockeneisens an den Haaren eines Modells macht.")</f>
        <v>Es gibt eine Frau, die ein Tutorial über die Verwendung eines Lockeneisens an den Haaren eines Modells macht.</v>
      </c>
    </row>
    <row r="31070">
      <c r="A31070" s="4" t="s">
        <v>39129</v>
      </c>
      <c r="B31070" s="4" t="s">
        <v>39131</v>
      </c>
      <c r="C31070" s="5" t="str">
        <f>IFERROR(__xludf.DUMMYFUNCTION("GOOGLETRANSLATE(B31070,""en"",""de"")"),"Sie nimmt zu einer Zeitabschnitte des Modells des Modells und steckt es in das Lockenstab und löst es dann allmählich frei, um die Locken herauszuziehen.")</f>
        <v>Sie nimmt zu einer Zeitabschnitte des Modells des Modells und steckt es in das Lockenstab und löst es dann allmählich frei, um die Locken herauszuziehen.</v>
      </c>
    </row>
    <row r="31071">
      <c r="A31071" s="4" t="s">
        <v>39129</v>
      </c>
      <c r="B31071" s="4" t="s">
        <v>39132</v>
      </c>
      <c r="C31071" s="5" t="str">
        <f>IFERROR(__xludf.DUMMYFUNCTION("GOOGLETRANSLATE(B31071,""en"",""de"")"),"Sie setzt den Prozess fort, bis der gesamte Haarkopf mit dem Eisen gekräuselt ist.")</f>
        <v>Sie setzt den Prozess fort, bis der gesamte Haarkopf mit dem Eisen gekräuselt ist.</v>
      </c>
    </row>
    <row r="31072">
      <c r="A31072" s="4" t="s">
        <v>39129</v>
      </c>
      <c r="B31072" s="4" t="s">
        <v>39133</v>
      </c>
      <c r="C31072" s="5" t="str">
        <f>IFERROR(__xludf.DUMMYFUNCTION("GOOGLETRANSLATE(B31072,""en"",""de"")"),"Das Modell lächelt dann und macht ein Selfie, während er in den Spiegel schaut.")</f>
        <v>Das Modell lächelt dann und macht ein Selfie, während er in den Spiegel schaut.</v>
      </c>
    </row>
    <row r="31073">
      <c r="A31073" s="4" t="s">
        <v>39134</v>
      </c>
      <c r="B31073" s="4" t="s">
        <v>39135</v>
      </c>
      <c r="C31073" s="5" t="str">
        <f>IFERROR(__xludf.DUMMYFUNCTION("GOOGLETRANSLATE(B31073,""en"",""de"")"),"Eine Kamera zeigt die Füße einer Person, die einen Schneeberg entlang reitet, während er sich im Kreis herumrennt.")</f>
        <v>Eine Kamera zeigt die Füße einer Person, die einen Schneeberg entlang reitet, während er sich im Kreis herumrennt.</v>
      </c>
    </row>
    <row r="31074">
      <c r="A31074" s="4" t="s">
        <v>39134</v>
      </c>
      <c r="B31074" s="4" t="s">
        <v>39136</v>
      </c>
      <c r="C31074" s="5" t="str">
        <f>IFERROR(__xludf.DUMMYFUNCTION("GOOGLETRANSLATE(B31074,""en"",""de"")"),"Die Person dreht sich weiter den Hügel hinunter, während eine große Menge auf der Seite zuschaut und ein kleiner Junge unten aufspringt.")</f>
        <v>Die Person dreht sich weiter den Hügel hinunter, während eine große Menge auf der Seite zuschaut und ein kleiner Junge unten aufspringt.</v>
      </c>
    </row>
    <row r="31075">
      <c r="A31075" s="4" t="s">
        <v>39137</v>
      </c>
      <c r="B31075" s="4" t="s">
        <v>39138</v>
      </c>
      <c r="C31075" s="5" t="str">
        <f>IFERROR(__xludf.DUMMYFUNCTION("GOOGLETRANSLATE(B31075,""en"",""de"")"),"Eine Person auf einem Skateboard bewegt sich über und rampt sich an einer Ecke.")</f>
        <v>Eine Person auf einem Skateboard bewegt sich über und rampt sich an einer Ecke.</v>
      </c>
    </row>
    <row r="31076">
      <c r="A31076" s="4" t="s">
        <v>39137</v>
      </c>
      <c r="B31076" s="4" t="s">
        <v>39139</v>
      </c>
      <c r="C31076" s="5" t="str">
        <f>IFERROR(__xludf.DUMMYFUNCTION("GOOGLETRANSLATE(B31076,""en"",""de"")"),"Die Kamera zeigt, dass er verschiedene Bewegungen durchführt und die Kamera interviewt.")</f>
        <v>Die Kamera zeigt, dass er verschiedene Bewegungen durchführt und die Kamera interviewt.</v>
      </c>
    </row>
    <row r="31077">
      <c r="A31077" s="4" t="s">
        <v>39137</v>
      </c>
      <c r="B31077" s="4" t="s">
        <v>39140</v>
      </c>
      <c r="C31077" s="5" t="str">
        <f>IFERROR(__xludf.DUMMYFUNCTION("GOOGLETRANSLATE(B31077,""en"",""de"")"),"Ein anderer Mann fährt ein Wakeboard und betreibt und fällt schließlich.")</f>
        <v>Ein anderer Mann fährt ein Wakeboard und betreibt und fällt schließlich.</v>
      </c>
    </row>
    <row r="31078">
      <c r="A31078" s="4" t="s">
        <v>39137</v>
      </c>
      <c r="B31078" s="4" t="s">
        <v>39141</v>
      </c>
      <c r="C31078" s="5" t="str">
        <f>IFERROR(__xludf.DUMMYFUNCTION("GOOGLETRANSLATE(B31078,""en"",""de"")"),"Mehrere andere Clips werden von Personen gezeigt, die Kajakfahren durchführen, während die Kamera aufzeichnet.")</f>
        <v>Mehrere andere Clips werden von Personen gezeigt, die Kajakfahren durchführen, während die Kamera aufzeichnet.</v>
      </c>
    </row>
    <row r="31079">
      <c r="A31079" s="4" t="s">
        <v>39142</v>
      </c>
      <c r="B31079" s="4" t="s">
        <v>39143</v>
      </c>
      <c r="C31079" s="5" t="str">
        <f>IFERROR(__xludf.DUMMYFUNCTION("GOOGLETRANSLATE(B31079,""en"",""de"")"),"Es wird gezeigt, dass ein Mann mehrere verschiedene Langstöcke von Rücken an Rücken macht, während die Kamera ihn einfängt.")</f>
        <v>Es wird gezeigt, dass ein Mann mehrere verschiedene Langstöcke von Rücken an Rücken macht, während die Kamera ihn einfängt.</v>
      </c>
    </row>
    <row r="31080">
      <c r="A31080" s="4" t="s">
        <v>39142</v>
      </c>
      <c r="B31080" s="4" t="s">
        <v>39144</v>
      </c>
      <c r="C31080" s="5" t="str">
        <f>IFERROR(__xludf.DUMMYFUNCTION("GOOGLETRANSLATE(B31080,""en"",""de"")"),"Er schwingt seine Arme herum, um einen richtigen Zug zu demonstrieren, gefolgt von mehreren weiteren Sprüngen.")</f>
        <v>Er schwingt seine Arme herum, um einen richtigen Zug zu demonstrieren, gefolgt von mehreren weiteren Sprüngen.</v>
      </c>
    </row>
    <row r="31081">
      <c r="A31081" s="4" t="s">
        <v>39145</v>
      </c>
      <c r="B31081" s="4" t="s">
        <v>39146</v>
      </c>
      <c r="C31081" s="5" t="str">
        <f>IFERROR(__xludf.DUMMYFUNCTION("GOOGLETRANSLATE(B31081,""en"",""de"")"),"Ein Mann wird neben einer Anzeige für Yoga abgebildet.")</f>
        <v>Ein Mann wird neben einer Anzeige für Yoga abgebildet.</v>
      </c>
    </row>
    <row r="31082">
      <c r="A31082" s="4" t="s">
        <v>39145</v>
      </c>
      <c r="B31082" s="4" t="s">
        <v>39147</v>
      </c>
      <c r="C31082" s="5" t="str">
        <f>IFERROR(__xludf.DUMMYFUNCTION("GOOGLETRANSLATE(B31082,""en"",""de"")"),"Er steht in einem Wald und macht langsame und anmutige Yoga -Bewegungen.")</f>
        <v>Er steht in einem Wald und macht langsame und anmutige Yoga -Bewegungen.</v>
      </c>
    </row>
    <row r="31083">
      <c r="A31083" s="4" t="s">
        <v>39145</v>
      </c>
      <c r="B31083" s="4" t="s">
        <v>39148</v>
      </c>
      <c r="C31083" s="5" t="str">
        <f>IFERROR(__xludf.DUMMYFUNCTION("GOOGLETRANSLATE(B31083,""en"",""de"")"),"Er steht auf einer Plattform und setzt die anmutigen Bewegungen fort.")</f>
        <v>Er steht auf einer Plattform und setzt die anmutigen Bewegungen fort.</v>
      </c>
    </row>
    <row r="31084">
      <c r="A31084" s="4" t="s">
        <v>39145</v>
      </c>
      <c r="B31084" s="4" t="s">
        <v>39149</v>
      </c>
      <c r="C31084" s="5" t="str">
        <f>IFERROR(__xludf.DUMMYFUNCTION("GOOGLETRANSLATE(B31084,""en"",""de"")"),"Wir sehen ihn dann wieder im Wald und spielen immer noch leise Yoga.")</f>
        <v>Wir sehen ihn dann wieder im Wald und spielen immer noch leise Yoga.</v>
      </c>
    </row>
    <row r="31085">
      <c r="A31085" s="4" t="s">
        <v>39150</v>
      </c>
      <c r="B31085" s="4" t="s">
        <v>39151</v>
      </c>
      <c r="C31085" s="5" t="str">
        <f>IFERROR(__xludf.DUMMYFUNCTION("GOOGLETRANSLATE(B31085,""en"",""de"")"),"Diese beiden Männer werden das Äußere des schwarzen Autos mit Seife besprühen.")</f>
        <v>Diese beiden Männer werden das Äußere des schwarzen Autos mit Seife besprühen.</v>
      </c>
    </row>
    <row r="31086">
      <c r="A31086" s="4" t="s">
        <v>39150</v>
      </c>
      <c r="B31086" s="4" t="s">
        <v>39152</v>
      </c>
      <c r="C31086" s="5" t="str">
        <f>IFERROR(__xludf.DUMMYFUNCTION("GOOGLETRANSLATE(B31086,""en"",""de"")"),"Dann fingen sie an, das Auto mit ihren Händen und einem Handtuch zu waschen.")</f>
        <v>Dann fingen sie an, das Auto mit ihren Händen und einem Handtuch zu waschen.</v>
      </c>
    </row>
    <row r="31087">
      <c r="A31087" s="4" t="s">
        <v>39150</v>
      </c>
      <c r="B31087" s="4" t="s">
        <v>39153</v>
      </c>
      <c r="C31087" s="5" t="str">
        <f>IFERROR(__xludf.DUMMYFUNCTION("GOOGLETRANSLATE(B31087,""en"",""de"")"),"Sie schrubbten fast überall, um den Schwarzen in Glanz zu verwandeln.")</f>
        <v>Sie schrubbten fast überall, um den Schwarzen in Glanz zu verwandeln.</v>
      </c>
    </row>
    <row r="31088">
      <c r="A31088" s="4" t="s">
        <v>39154</v>
      </c>
      <c r="B31088" s="4" t="s">
        <v>39155</v>
      </c>
      <c r="C31088" s="5" t="str">
        <f>IFERROR(__xludf.DUMMYFUNCTION("GOOGLETRANSLATE(B31088,""en"",""de"")"),"Eine Person schneidet eine Kartoffel.")</f>
        <v>Eine Person schneidet eine Kartoffel.</v>
      </c>
    </row>
    <row r="31089">
      <c r="A31089" s="4" t="s">
        <v>39154</v>
      </c>
      <c r="B31089" s="4" t="s">
        <v>39156</v>
      </c>
      <c r="C31089" s="5" t="str">
        <f>IFERROR(__xludf.DUMMYFUNCTION("GOOGLETRANSLATE(B31089,""en"",""de"")"),"Sie stapeln die Kartoffelscheiben und fangen an, sie in winzige Stücke zu hacken.")</f>
        <v>Sie stapeln die Kartoffelscheiben und fangen an, sie in winzige Stücke zu hacken.</v>
      </c>
    </row>
    <row r="31090">
      <c r="A31090" s="4" t="s">
        <v>39154</v>
      </c>
      <c r="B31090" s="4" t="s">
        <v>39157</v>
      </c>
      <c r="C31090" s="5" t="str">
        <f>IFERROR(__xludf.DUMMYFUNCTION("GOOGLETRANSLATE(B31090,""en"",""de"")"),"Er setzt die Teile auf einen Teller in einer Spüle.")</f>
        <v>Er setzt die Teile auf einen Teller in einer Spüle.</v>
      </c>
    </row>
    <row r="31091">
      <c r="A31091" s="4" t="s">
        <v>39154</v>
      </c>
      <c r="B31091" s="4" t="s">
        <v>39158</v>
      </c>
      <c r="C31091" s="5" t="str">
        <f>IFERROR(__xludf.DUMMYFUNCTION("GOOGLETRANSLATE(B31091,""en"",""de"")"),"In der Spüle befinden sich Futterteller.")</f>
        <v>In der Spüle befinden sich Futterteller.</v>
      </c>
    </row>
    <row r="31092">
      <c r="A31092" s="4" t="s">
        <v>39154</v>
      </c>
      <c r="B31092" s="4" t="s">
        <v>39159</v>
      </c>
      <c r="C31092" s="5" t="str">
        <f>IFERROR(__xludf.DUMMYFUNCTION("GOOGLETRANSLATE(B31092,""en"",""de"")"),"Er leert die Teller in einen Topf.")</f>
        <v>Er leert die Teller in einen Topf.</v>
      </c>
    </row>
    <row r="31093">
      <c r="A31093" s="4" t="s">
        <v>39154</v>
      </c>
      <c r="B31093" s="4" t="s">
        <v>39160</v>
      </c>
      <c r="C31093" s="5" t="str">
        <f>IFERROR(__xludf.DUMMYFUNCTION("GOOGLETRANSLATE(B31093,""en"",""de"")"),"Er rührt alles zusammen im Topf.")</f>
        <v>Er rührt alles zusammen im Topf.</v>
      </c>
    </row>
    <row r="31094">
      <c r="A31094" s="4" t="s">
        <v>39154</v>
      </c>
      <c r="B31094" s="4" t="s">
        <v>39161</v>
      </c>
      <c r="C31094" s="5" t="str">
        <f>IFERROR(__xludf.DUMMYFUNCTION("GOOGLETRANSLATE(B31094,""en"",""de"")"),"Dann nimmt er eine Kugel davon und legt es auf einen Teller mit Gemüse darauf.")</f>
        <v>Dann nimmt er eine Kugel davon und legt es auf einen Teller mit Gemüse darauf.</v>
      </c>
    </row>
    <row r="31095">
      <c r="A31095" s="4" t="s">
        <v>39154</v>
      </c>
      <c r="B31095" s="4" t="s">
        <v>39162</v>
      </c>
      <c r="C31095" s="5" t="str">
        <f>IFERROR(__xludf.DUMMYFUNCTION("GOOGLETRANSLATE(B31095,""en"",""de"")"),"Er toppt es mit Beilagen.")</f>
        <v>Er toppt es mit Beilagen.</v>
      </c>
    </row>
    <row r="31096">
      <c r="A31096" s="4" t="s">
        <v>39163</v>
      </c>
      <c r="B31096" s="4" t="s">
        <v>39164</v>
      </c>
      <c r="C31096" s="5" t="str">
        <f>IFERROR(__xludf.DUMMYFUNCTION("GOOGLETRANSLATE(B31096,""en"",""de"")"),"Männer sprechen mit der Kamera auf einem Stuhl.")</f>
        <v>Männer sprechen mit der Kamera auf einem Stuhl.</v>
      </c>
    </row>
    <row r="31097">
      <c r="A31097" s="4" t="s">
        <v>39163</v>
      </c>
      <c r="B31097" s="4" t="s">
        <v>39165</v>
      </c>
      <c r="C31097" s="5" t="str">
        <f>IFERROR(__xludf.DUMMYFUNCTION("GOOGLETRANSLATE(B31097,""en"",""de"")"),"Männer, die ihre Brille ausziehen und die Hälfte ihrer Gesichter rasieren, während eine Frau ihnen etwas Make -up macht, ihre Augenbrauen macht und etwas Eyeliner und Wimpern setzt.")</f>
        <v>Männer, die ihre Brille ausziehen und die Hälfte ihrer Gesichter rasieren, während eine Frau ihnen etwas Make -up macht, ihre Augenbrauen macht und etwas Eyeliner und Wimpern setzt.</v>
      </c>
    </row>
    <row r="31098">
      <c r="A31098" s="4" t="s">
        <v>39163</v>
      </c>
      <c r="B31098" s="4" t="s">
        <v>39166</v>
      </c>
      <c r="C31098" s="5" t="str">
        <f>IFERROR(__xludf.DUMMYFUNCTION("GOOGLETRANSLATE(B31098,""en"",""de"")"),"Männer schauen sie mit dem halben Gesichtsweg mit Make -up und der Hälfte ohne Make -up im Spiegel an und sprechen mit der Kamera.")</f>
        <v>Männer schauen sie mit dem halben Gesichtsweg mit Make -up und der Hälfte ohne Make -up im Spiegel an und sprechen mit der Kamera.</v>
      </c>
    </row>
    <row r="31099">
      <c r="A31099" s="4" t="s">
        <v>39167</v>
      </c>
      <c r="B31099" s="4" t="s">
        <v>39168</v>
      </c>
      <c r="C31099" s="5" t="str">
        <f>IFERROR(__xludf.DUMMYFUNCTION("GOOGLETRANSLATE(B31099,""en"",""de"")"),"Die Menschen schaufeln den Schnee mit einer Schneeschaufel mit Rädern.")</f>
        <v>Die Menschen schaufeln den Schnee mit einer Schneeschaufel mit Rädern.</v>
      </c>
    </row>
    <row r="31100">
      <c r="A31100" s="4" t="s">
        <v>39167</v>
      </c>
      <c r="B31100" s="4" t="s">
        <v>39169</v>
      </c>
      <c r="C31100" s="5" t="str">
        <f>IFERROR(__xludf.DUMMYFUNCTION("GOOGLETRANSLATE(B31100,""en"",""de"")"),"Dann zeigt ein Mann, wie man den Schnee schaufelt, er benutzt eine Tasche.")</f>
        <v>Dann zeigt ein Mann, wie man den Schnee schaufelt, er benutzt eine Tasche.</v>
      </c>
    </row>
    <row r="31101">
      <c r="A31101" s="4" t="s">
        <v>39170</v>
      </c>
      <c r="B31101" s="4" t="s">
        <v>39171</v>
      </c>
      <c r="C31101" s="5" t="str">
        <f>IFERROR(__xludf.DUMMYFUNCTION("GOOGLETRANSLATE(B31101,""en"",""de"")"),"Eine Gruppe von Menschen reitet Pferde und spielt Polo.")</f>
        <v>Eine Gruppe von Menschen reitet Pferde und spielt Polo.</v>
      </c>
    </row>
    <row r="31102">
      <c r="A31102" s="4" t="s">
        <v>39170</v>
      </c>
      <c r="B31102" s="4" t="s">
        <v>39172</v>
      </c>
      <c r="C31102" s="5" t="str">
        <f>IFERROR(__xludf.DUMMYFUNCTION("GOOGLETRANSLATE(B31102,""en"",""de"")"),"Sie kämpfen vor dem beobachteten Publikum um den Ball.")</f>
        <v>Sie kämpfen vor dem beobachteten Publikum um den Ball.</v>
      </c>
    </row>
    <row r="31103">
      <c r="A31103" s="4" t="s">
        <v>39170</v>
      </c>
      <c r="B31103" s="4" t="s">
        <v>39173</v>
      </c>
      <c r="C31103" s="5" t="str">
        <f>IFERROR(__xludf.DUMMYFUNCTION("GOOGLETRANSLATE(B31103,""en"",""de"")"),"Wenn es vorbei ist, posieren sie für Bilder außerhalb des Rodeo und des Stadions.")</f>
        <v>Wenn es vorbei ist, posieren sie für Bilder außerhalb des Rodeo und des Stadions.</v>
      </c>
    </row>
    <row r="31104">
      <c r="A31104" s="4" t="s">
        <v>39174</v>
      </c>
      <c r="B31104" s="4" t="s">
        <v>39175</v>
      </c>
      <c r="C31104" s="5" t="str">
        <f>IFERROR(__xludf.DUMMYFUNCTION("GOOGLETRANSLATE(B31104,""en"",""de"")"),"Eine Dame in einem rosa Hemd steht in einem Waschraum, der mit der Kamera spricht.")</f>
        <v>Eine Dame in einem rosa Hemd steht in einem Waschraum, der mit der Kamera spricht.</v>
      </c>
    </row>
    <row r="31105">
      <c r="A31105" s="4" t="s">
        <v>39174</v>
      </c>
      <c r="B31105" s="4" t="s">
        <v>39176</v>
      </c>
      <c r="C31105" s="5" t="str">
        <f>IFERROR(__xludf.DUMMYFUNCTION("GOOGLETRANSLATE(B31105,""en"",""de"")"),"Die Kamera zoomt uns aus, um uns den ganzen Raum zu zeigen.")</f>
        <v>Die Kamera zoomt uns aus, um uns den ganzen Raum zu zeigen.</v>
      </c>
    </row>
    <row r="31106">
      <c r="A31106" s="4" t="s">
        <v>39174</v>
      </c>
      <c r="B31106" s="4" t="s">
        <v>39177</v>
      </c>
      <c r="C31106" s="5" t="str">
        <f>IFERROR(__xludf.DUMMYFUNCTION("GOOGLETRANSLATE(B31106,""en"",""de"")"),"Die Dame zeigt uns eine Sprühflasche und schüttelt sie auf.")</f>
        <v>Die Dame zeigt uns eine Sprühflasche und schüttelt sie auf.</v>
      </c>
    </row>
    <row r="31107">
      <c r="A31107" s="4" t="s">
        <v>39174</v>
      </c>
      <c r="B31107" s="4" t="s">
        <v>39178</v>
      </c>
      <c r="C31107" s="5" t="str">
        <f>IFERROR(__xludf.DUMMYFUNCTION("GOOGLETRANSLATE(B31107,""en"",""de"")"),"Die Dame spricht dann mit der Kamera.")</f>
        <v>Die Dame spricht dann mit der Kamera.</v>
      </c>
    </row>
    <row r="31108">
      <c r="A31108" s="4" t="s">
        <v>39179</v>
      </c>
      <c r="B31108" s="4" t="s">
        <v>39180</v>
      </c>
      <c r="C31108" s="5" t="str">
        <f>IFERROR(__xludf.DUMMYFUNCTION("GOOGLETRANSLATE(B31108,""en"",""de"")"),"Eine Nahaufnahme einer Wand wird angezeigt, gefolgt von mehreren Clips von Männern, die ein Fenster öffnen.")</f>
        <v>Eine Nahaufnahme einer Wand wird angezeigt, gefolgt von mehreren Clips von Männern, die ein Fenster öffnen.</v>
      </c>
    </row>
    <row r="31109">
      <c r="A31109" s="4" t="s">
        <v>39179</v>
      </c>
      <c r="B31109" s="4" t="s">
        <v>39181</v>
      </c>
      <c r="C31109" s="5" t="str">
        <f>IFERROR(__xludf.DUMMYFUNCTION("GOOGLETRANSLATE(B31109,""en"",""de"")"),"Sie arbeiten auch auf einem Dach und legen Fliesen auf die Seite.")</f>
        <v>Sie arbeiten auch auf einem Dach und legen Fliesen auf die Seite.</v>
      </c>
    </row>
    <row r="31110">
      <c r="A31110" s="4" t="s">
        <v>39179</v>
      </c>
      <c r="B31110" s="4" t="s">
        <v>39182</v>
      </c>
      <c r="C31110" s="5" t="str">
        <f>IFERROR(__xludf.DUMMYFUNCTION("GOOGLETRANSLATE(B31110,""en"",""de"")"),"Sie legten ein Fenster ein und enden, indem sie sich schließen.")</f>
        <v>Sie legten ein Fenster ein und enden, indem sie sich schließen.</v>
      </c>
    </row>
    <row r="31111">
      <c r="A31111" s="4" t="s">
        <v>39183</v>
      </c>
      <c r="B31111" s="4" t="s">
        <v>39184</v>
      </c>
      <c r="C31111" s="5" t="str">
        <f>IFERROR(__xludf.DUMMYFUNCTION("GOOGLETRANSLATE(B31111,""en"",""de"")"),"Ein Mann reinigt Blätter von einem Bürgersteig mit einem Besen und einer Schaufel.")</f>
        <v>Ein Mann reinigt Blätter von einem Bürgersteig mit einem Besen und einer Schaufel.</v>
      </c>
    </row>
    <row r="31112">
      <c r="A31112" s="4" t="s">
        <v>39183</v>
      </c>
      <c r="B31112" s="4" t="s">
        <v>39185</v>
      </c>
      <c r="C31112" s="5" t="str">
        <f>IFERROR(__xludf.DUMMYFUNCTION("GOOGLETRANSLATE(B31112,""en"",""de"")"),"Der Mann fegt die Blätter in einen Kreis und stellt sie in den Behälter.")</f>
        <v>Der Mann fegt die Blätter in einen Kreis und stellt sie in den Behälter.</v>
      </c>
    </row>
    <row r="31113">
      <c r="A31113" s="4" t="s">
        <v>39183</v>
      </c>
      <c r="B31113" s="4" t="s">
        <v>39186</v>
      </c>
      <c r="C31113" s="5" t="str">
        <f>IFERROR(__xludf.DUMMYFUNCTION("GOOGLETRANSLATE(B31113,""en"",""de"")"),"Ein gelber Bus fährt am Mann vorbei.")</f>
        <v>Ein gelber Bus fährt am Mann vorbei.</v>
      </c>
    </row>
    <row r="31114">
      <c r="A31114" s="4" t="s">
        <v>39183</v>
      </c>
      <c r="B31114" s="4" t="s">
        <v>39187</v>
      </c>
      <c r="C31114" s="5" t="str">
        <f>IFERROR(__xludf.DUMMYFUNCTION("GOOGLETRANSLATE(B31114,""en"",""de"")"),"Der Mann fegt wieder und steckt die Blätter in den Behälter.")</f>
        <v>Der Mann fegt wieder und steckt die Blätter in den Behälter.</v>
      </c>
    </row>
    <row r="31115">
      <c r="A31115" s="4" t="s">
        <v>39188</v>
      </c>
      <c r="B31115" s="4" t="s">
        <v>39189</v>
      </c>
      <c r="C31115" s="5" t="str">
        <f>IFERROR(__xludf.DUMMYFUNCTION("GOOGLETRANSLATE(B31115,""en"",""de"")"),"Ein Tutorial wird über einfache Ballettbewegungen vorgestellt.")</f>
        <v>Ein Tutorial wird über einfache Ballettbewegungen vorgestellt.</v>
      </c>
    </row>
    <row r="31116">
      <c r="A31116" s="4" t="s">
        <v>39188</v>
      </c>
      <c r="B31116" s="4" t="s">
        <v>39190</v>
      </c>
      <c r="C31116" s="5" t="str">
        <f>IFERROR(__xludf.DUMMYFUNCTION("GOOGLETRANSLATE(B31116,""en"",""de"")"),"Nachdem der Lehrer die Materialien gezeigt hat, berührt er den Schüler, um eine perfekte Form zu zeigen.")</f>
        <v>Nachdem der Lehrer die Materialien gezeigt hat, berührt er den Schüler, um eine perfekte Form zu zeigen.</v>
      </c>
    </row>
    <row r="31117">
      <c r="A31117" s="4" t="s">
        <v>39191</v>
      </c>
      <c r="B31117" s="4" t="s">
        <v>39192</v>
      </c>
      <c r="C31117" s="5" t="str">
        <f>IFERROR(__xludf.DUMMYFUNCTION("GOOGLETRANSLATE(B31117,""en"",""de"")"),"Wir sehen einen Mann und ein Baby, das einen Weihnachtsbaum dekoriert.")</f>
        <v>Wir sehen einen Mann und ein Baby, das einen Weihnachtsbaum dekoriert.</v>
      </c>
    </row>
    <row r="31118">
      <c r="A31118" s="4" t="s">
        <v>39191</v>
      </c>
      <c r="B31118" s="4" t="s">
        <v>39193</v>
      </c>
      <c r="C31118" s="5" t="str">
        <f>IFERROR(__xludf.DUMMYFUNCTION("GOOGLETRANSLATE(B31118,""en"",""de"")"),"Das Baby nimmt eine blaue Glühbirne vom Baum.")</f>
        <v>Das Baby nimmt eine blaue Glühbirne vom Baum.</v>
      </c>
    </row>
    <row r="31119">
      <c r="A31119" s="4" t="s">
        <v>39191</v>
      </c>
      <c r="B31119" s="4" t="s">
        <v>39194</v>
      </c>
      <c r="C31119" s="5" t="str">
        <f>IFERROR(__xludf.DUMMYFUNCTION("GOOGLETRANSLATE(B31119,""en"",""de"")"),"Der Vater setzt es zurück und das Baby nimmt es wieder.")</f>
        <v>Der Vater setzt es zurück und das Baby nimmt es wieder.</v>
      </c>
    </row>
    <row r="31120">
      <c r="A31120" s="4" t="s">
        <v>39191</v>
      </c>
      <c r="B31120" s="4" t="s">
        <v>39195</v>
      </c>
      <c r="C31120" s="5" t="str">
        <f>IFERROR(__xludf.DUMMYFUNCTION("GOOGLETRANSLATE(B31120,""en"",""de"")"),"Das Kind dreht sich zur Kamera und der Vater geht zu einer Theke.")</f>
        <v>Das Kind dreht sich zur Kamera und der Vater geht zu einer Theke.</v>
      </c>
    </row>
    <row r="31121">
      <c r="A31121" s="4" t="s">
        <v>39191</v>
      </c>
      <c r="B31121" s="4" t="s">
        <v>39196</v>
      </c>
      <c r="C31121" s="5" t="str">
        <f>IFERROR(__xludf.DUMMYFUNCTION("GOOGLETRANSLATE(B31121,""en"",""de"")"),"Das Kind lässt die blaue Glühbirne fallen und geht für einen anderen.")</f>
        <v>Das Kind lässt die blaue Glühbirne fallen und geht für einen anderen.</v>
      </c>
    </row>
    <row r="31122">
      <c r="A31122" s="4" t="s">
        <v>39191</v>
      </c>
      <c r="B31122" s="4" t="s">
        <v>39197</v>
      </c>
      <c r="C31122" s="5" t="str">
        <f>IFERROR(__xludf.DUMMYFUNCTION("GOOGLETRANSLATE(B31122,""en"",""de"")"),"Das Kind fügt dem Baum eine weitere blaue Glühbirne hinzu.")</f>
        <v>Das Kind fügt dem Baum eine weitere blaue Glühbirne hinzu.</v>
      </c>
    </row>
    <row r="31123">
      <c r="A31123" s="4" t="s">
        <v>39191</v>
      </c>
      <c r="B31123" s="4" t="s">
        <v>39198</v>
      </c>
      <c r="C31123" s="5" t="str">
        <f>IFERROR(__xludf.DUMMYFUNCTION("GOOGLETRANSLATE(B31123,""en"",""de"")"),"Die Kamera schwenkt nach oben, um den Baum zu zeigen, und zeigt dann die Strümpfe.")</f>
        <v>Die Kamera schwenkt nach oben, um den Baum zu zeigen, und zeigt dann die Strümpfe.</v>
      </c>
    </row>
    <row r="31124">
      <c r="A31124" s="4" t="s">
        <v>39199</v>
      </c>
      <c r="B31124" s="4" t="s">
        <v>39200</v>
      </c>
      <c r="C31124" s="5" t="str">
        <f>IFERROR(__xludf.DUMMYFUNCTION("GOOGLETRANSLATE(B31124,""en"",""de"")"),"Ein Mann spricht mit der Kamera und arbeitet an einem Fahrrad, gefolgt von ihm, der Ketten und Spinnräder auf dem Fahrrad zog.")</f>
        <v>Ein Mann spricht mit der Kamera und arbeitet an einem Fahrrad, gefolgt von ihm, der Ketten und Spinnräder auf dem Fahrrad zog.</v>
      </c>
    </row>
    <row r="31125">
      <c r="A31125" s="4" t="s">
        <v>39199</v>
      </c>
      <c r="B31125" s="4" t="s">
        <v>39201</v>
      </c>
      <c r="C31125" s="5" t="str">
        <f>IFERROR(__xludf.DUMMYFUNCTION("GOOGLETRANSLATE(B31125,""en"",""de"")"),"Er hebt das Fahrrad auf und zeigt den Reifen, der sich erneut dreht, mit ihm den Reifen festzieht und ihn noch einmal dreht.")</f>
        <v>Er hebt das Fahrrad auf und zeigt den Reifen, der sich erneut dreht, mit ihm den Reifen festzieht und ihn noch einmal dreht.</v>
      </c>
    </row>
    <row r="31126">
      <c r="A31126" s="4" t="s">
        <v>39202</v>
      </c>
      <c r="B31126" s="4" t="s">
        <v>39203</v>
      </c>
      <c r="C31126" s="5" t="str">
        <f>IFERROR(__xludf.DUMMYFUNCTION("GOOGLETRANSLATE(B31126,""en"",""de"")"),"Ein Schweißspezialist von der Tulsa Welding School zeigt, wie man schweißt.")</f>
        <v>Ein Schweißspezialist von der Tulsa Welding School zeigt, wie man schweißt.</v>
      </c>
    </row>
    <row r="31127">
      <c r="A31127" s="4" t="s">
        <v>39202</v>
      </c>
      <c r="B31127" s="4" t="s">
        <v>39204</v>
      </c>
      <c r="C31127" s="5" t="str">
        <f>IFERROR(__xludf.DUMMYFUNCTION("GOOGLETRANSLATE(B31127,""en"",""de"")"),"Er erklärt die Techniken des Schweißens mit Hilfe von Schweißer, die Schutzausrüstung und Maske mit der Blasbrenner tragen.")</f>
        <v>Er erklärt die Techniken des Schweißens mit Hilfe von Schweißer, die Schutzausrüstung und Maske mit der Blasbrenner tragen.</v>
      </c>
    </row>
    <row r="31128">
      <c r="A31128" s="4" t="s">
        <v>39205</v>
      </c>
      <c r="B31128" s="4" t="s">
        <v>39206</v>
      </c>
      <c r="C31128" s="5" t="str">
        <f>IFERROR(__xludf.DUMMYFUNCTION("GOOGLETRANSLATE(B31128,""en"",""de"")"),"Eine Person schneidet einen Pfeffer und legt eine Schüssel ein.")</f>
        <v>Eine Person schneidet einen Pfeffer und legt eine Schüssel ein.</v>
      </c>
    </row>
    <row r="31129">
      <c r="A31129" s="4" t="s">
        <v>39205</v>
      </c>
      <c r="B31129" s="4" t="s">
        <v>39207</v>
      </c>
      <c r="C31129" s="5" t="str">
        <f>IFERROR(__xludf.DUMMYFUNCTION("GOOGLETRANSLATE(B31129,""en"",""de"")"),"Auch die Person kocht Nudeln in einem Topf.")</f>
        <v>Auch die Person kocht Nudeln in einem Topf.</v>
      </c>
    </row>
    <row r="31130">
      <c r="A31130" s="4" t="s">
        <v>39205</v>
      </c>
      <c r="B31130" s="4" t="s">
        <v>39208</v>
      </c>
      <c r="C31130" s="5" t="str">
        <f>IFERROR(__xludf.DUMMYFUNCTION("GOOGLETRANSLATE(B31130,""en"",""de"")"),"Dann braten die Person Pilze in einer Pfanne, füge Salz, Knoblauch, Tomaten und Wurzeln hinzu.")</f>
        <v>Dann braten die Person Pilze in einer Pfanne, füge Salz, Knoblauch, Tomaten und Wurzeln hinzu.</v>
      </c>
    </row>
    <row r="31131">
      <c r="A31131" s="4" t="s">
        <v>39205</v>
      </c>
      <c r="B31131" s="4" t="s">
        <v>39209</v>
      </c>
      <c r="C31131" s="5" t="str">
        <f>IFERROR(__xludf.DUMMYFUNCTION("GOOGLETRANSLATE(B31131,""en"",""de"")"),"Danach fügt die Person den Pfeffer und die Nudeln hinzu, mischen und dient.")</f>
        <v>Danach fügt die Person den Pfeffer und die Nudeln hinzu, mischen und dient.</v>
      </c>
    </row>
    <row r="31132">
      <c r="A31132" s="4" t="s">
        <v>39210</v>
      </c>
      <c r="B31132" s="4" t="s">
        <v>39211</v>
      </c>
      <c r="C31132" s="5" t="str">
        <f>IFERROR(__xludf.DUMMYFUNCTION("GOOGLETRANSLATE(B31132,""en"",""de"")"),"Eine Frau biegt sich über einen Tisch, wobei eine Tätowiererin sie von hinten zurückrbt und eine Tattoo -Nadel greift.")</f>
        <v>Eine Frau biegt sich über einen Tisch, wobei eine Tätowiererin sie von hinten zurückrbt und eine Tattoo -Nadel greift.</v>
      </c>
    </row>
    <row r="31133">
      <c r="A31133" s="4" t="s">
        <v>39210</v>
      </c>
      <c r="B31133" s="4" t="s">
        <v>39212</v>
      </c>
      <c r="C31133" s="5" t="str">
        <f>IFERROR(__xludf.DUMMYFUNCTION("GOOGLETRANSLATE(B31133,""en"",""de"")"),"Die Frau beginnt dann, die Rückseite der Frau zu tätowieren, während sich die Kamera aus verschiedenen Winkeln umnimmt.")</f>
        <v>Die Frau beginnt dann, die Rückseite der Frau zu tätowieren, während sich die Kamera aus verschiedenen Winkeln umnimmt.</v>
      </c>
    </row>
    <row r="31134">
      <c r="A31134" s="4" t="s">
        <v>39213</v>
      </c>
      <c r="B31134" s="4" t="s">
        <v>39214</v>
      </c>
      <c r="C31134" s="5" t="str">
        <f>IFERROR(__xludf.DUMMYFUNCTION("GOOGLETRANSLATE(B31134,""en"",""de"")"),"Ein Blick auf einen Blattgebläse liegt auf dem Boden in einem Hof.")</f>
        <v>Ein Blick auf einen Blattgebläse liegt auf dem Boden in einem Hof.</v>
      </c>
    </row>
    <row r="31135">
      <c r="A31135" s="4" t="s">
        <v>39213</v>
      </c>
      <c r="B31135" s="4" t="s">
        <v>39215</v>
      </c>
      <c r="C31135" s="5" t="str">
        <f>IFERROR(__xludf.DUMMYFUNCTION("GOOGLETRANSLATE(B31135,""en"",""de"")"),"Das Blattgebläse bläst braune getrocknete Blätter mit dem Blattgebläse.")</f>
        <v>Das Blattgebläse bläst braune getrocknete Blätter mit dem Blattgebläse.</v>
      </c>
    </row>
    <row r="31136">
      <c r="A31136" s="4" t="s">
        <v>39213</v>
      </c>
      <c r="B31136" s="4" t="s">
        <v>39216</v>
      </c>
      <c r="C31136" s="5" t="str">
        <f>IFERROR(__xludf.DUMMYFUNCTION("GOOGLETRANSLATE(B31136,""en"",""de"")"),"Die Blätter sind von einigen Rasenmöbeln weggeblasen und in die Mitte des Hofes geblasen.")</f>
        <v>Die Blätter sind von einigen Rasenmöbeln weggeblasen und in die Mitte des Hofes geblasen.</v>
      </c>
    </row>
    <row r="31137">
      <c r="A31137" s="4" t="s">
        <v>39217</v>
      </c>
      <c r="B31137" s="4" t="s">
        <v>39218</v>
      </c>
      <c r="C31137" s="5" t="str">
        <f>IFERROR(__xludf.DUMMYFUNCTION("GOOGLETRANSLATE(B31137,""en"",""de"")"),"Ein großes schwarzes Gegenstand wird auf einem langen Blatt weißer Papier gezeichnet.")</f>
        <v>Ein großes schwarzes Gegenstand wird auf einem langen Blatt weißer Papier gezeichnet.</v>
      </c>
    </row>
    <row r="31138">
      <c r="A31138" s="4" t="s">
        <v>39217</v>
      </c>
      <c r="B31138" s="4" t="s">
        <v>39219</v>
      </c>
      <c r="C31138" s="5" t="str">
        <f>IFERROR(__xludf.DUMMYFUNCTION("GOOGLETRANSLATE(B31138,""en"",""de"")"),"Eine Person benutzt einen Pinsel, um das Gemälde fortzusetzen.")</f>
        <v>Eine Person benutzt einen Pinsel, um das Gemälde fortzusetzen.</v>
      </c>
    </row>
    <row r="31139">
      <c r="A31139" s="4" t="s">
        <v>39217</v>
      </c>
      <c r="B31139" s="4" t="s">
        <v>39220</v>
      </c>
      <c r="C31139" s="5" t="str">
        <f>IFERROR(__xludf.DUMMYFUNCTION("GOOGLETRANSLATE(B31139,""en"",""de"")"),"Sie fügen Blätter hinzu und erzeugen eine schwarze Pflanze.")</f>
        <v>Sie fügen Blätter hinzu und erzeugen eine schwarze Pflanze.</v>
      </c>
    </row>
    <row r="31140">
      <c r="A31140" s="4" t="s">
        <v>39221</v>
      </c>
      <c r="B31140" s="4" t="s">
        <v>39222</v>
      </c>
      <c r="C31140" s="5" t="str">
        <f>IFERROR(__xludf.DUMMYFUNCTION("GOOGLETRANSLATE(B31140,""en"",""de"")"),"Ein junger Mann hält sein Auge vor einem Spiegel offen und versucht, eine Kontaktlinse einzulegen.")</f>
        <v>Ein junger Mann hält sein Auge vor einem Spiegel offen und versucht, eine Kontaktlinse einzulegen.</v>
      </c>
    </row>
    <row r="31141">
      <c r="A31141" s="4" t="s">
        <v>39221</v>
      </c>
      <c r="B31141" s="4" t="s">
        <v>39223</v>
      </c>
      <c r="C31141" s="5" t="str">
        <f>IFERROR(__xludf.DUMMYFUNCTION("GOOGLETRANSLATE(B31141,""en"",""de"")"),"Er lässt die Linse auf das Waschbecken fallen und versucht erneut, den Kontakt in sein Auge zu bringen.")</f>
        <v>Er lässt die Linse auf das Waschbecken fallen und versucht erneut, den Kontakt in sein Auge zu bringen.</v>
      </c>
    </row>
    <row r="31142">
      <c r="A31142" s="4" t="s">
        <v>39221</v>
      </c>
      <c r="B31142" s="4" t="s">
        <v>39224</v>
      </c>
      <c r="C31142" s="5" t="str">
        <f>IFERROR(__xludf.DUMMYFUNCTION("GOOGLETRANSLATE(B31142,""en"",""de"")"),"Er lässt das Objektiv erneut fallen und versucht weiter, es in sein Auge zu stecken, und die Kamera bewegt sich am Ende.")</f>
        <v>Er lässt das Objektiv erneut fallen und versucht weiter, es in sein Auge zu stecken, und die Kamera bewegt sich am Ende.</v>
      </c>
    </row>
    <row r="31143">
      <c r="A31143" s="4" t="s">
        <v>39225</v>
      </c>
      <c r="B31143" s="4" t="s">
        <v>39226</v>
      </c>
      <c r="C31143" s="5" t="str">
        <f>IFERROR(__xludf.DUMMYFUNCTION("GOOGLETRANSLATE(B31143,""en"",""de"")"),"Das Video ist ein Tutorial zur Herstellung von Alfredo -Sauce -Pasta.")</f>
        <v>Das Video ist ein Tutorial zur Herstellung von Alfredo -Sauce -Pasta.</v>
      </c>
    </row>
    <row r="31144">
      <c r="A31144" s="4" t="s">
        <v>39225</v>
      </c>
      <c r="B31144" s="4" t="s">
        <v>39227</v>
      </c>
      <c r="C31144" s="5" t="str">
        <f>IFERROR(__xludf.DUMMYFUNCTION("GOOGLETRANSLATE(B31144,""en"",""de"")"),"Eine Dame mit blonden Haaren, die ein kastanienbraunes Tanktop tragen, zeigt, wie man Wasser kocht, um Piefliege zu machen.")</f>
        <v>Eine Dame mit blonden Haaren, die ein kastanienbraunes Tanktop tragen, zeigt, wie man Wasser kocht, um Piefliege zu machen.</v>
      </c>
    </row>
    <row r="31145">
      <c r="A31145" s="4" t="s">
        <v>39225</v>
      </c>
      <c r="B31145" s="4" t="s">
        <v>39228</v>
      </c>
      <c r="C31145" s="5" t="str">
        <f>IFERROR(__xludf.DUMMYFUNCTION("GOOGLETRANSLATE(B31145,""en"",""de"")"),"Sie streckt dann die Nudeln in einer Schüssel aus, indem sie das überschüssige Wasser wegwirft.")</f>
        <v>Sie streckt dann die Nudeln in einer Schüssel aus, indem sie das überschüssige Wasser wegwirft.</v>
      </c>
    </row>
    <row r="31146">
      <c r="A31146" s="4" t="s">
        <v>39225</v>
      </c>
      <c r="B31146" s="4" t="s">
        <v>39229</v>
      </c>
      <c r="C31146" s="5" t="str">
        <f>IFERROR(__xludf.DUMMYFUNCTION("GOOGLETRANSLATE(B31146,""en"",""de"")"),"Dann nimmt sie einen Butterstab und schneidet es und fügt einen Topf hinzu.")</f>
        <v>Dann nimmt sie einen Butterstab und schneidet es und fügt einen Topf hinzu.</v>
      </c>
    </row>
    <row r="31147">
      <c r="A31147" s="4" t="s">
        <v>39225</v>
      </c>
      <c r="B31147" s="4" t="s">
        <v>39230</v>
      </c>
      <c r="C31147" s="5" t="str">
        <f>IFERROR(__xludf.DUMMYFUNCTION("GOOGLETRANSLATE(B31147,""en"",""de"")"),"Dann fügt sie etwas Milch und Käse hinzu und rührt es mit den gekochten Nudeln ein.")</f>
        <v>Dann fügt sie etwas Milch und Käse hinzu und rührt es mit den gekochten Nudeln ein.</v>
      </c>
    </row>
    <row r="31148">
      <c r="A31148" s="4" t="s">
        <v>39225</v>
      </c>
      <c r="B31148" s="4" t="s">
        <v>39231</v>
      </c>
      <c r="C31148" s="5" t="str">
        <f>IFERROR(__xludf.DUMMYFUNCTION("GOOGLETRANSLATE(B31148,""en"",""de"")"),"Sie fügt der Nudeln mehr Milch und Käse hinzu, um die Sauce zu machen.")</f>
        <v>Sie fügt der Nudeln mehr Milch und Käse hinzu, um die Sauce zu machen.</v>
      </c>
    </row>
    <row r="31149">
      <c r="A31149" s="4" t="s">
        <v>39225</v>
      </c>
      <c r="B31149" s="4" t="s">
        <v>39232</v>
      </c>
      <c r="C31149" s="5" t="str">
        <f>IFERROR(__xludf.DUMMYFUNCTION("GOOGLETRANSLATE(B31149,""en"",""de"")"),"Sie rührt die Nudeln im Topf fort.")</f>
        <v>Sie rührt die Nudeln im Topf fort.</v>
      </c>
    </row>
    <row r="31150">
      <c r="A31150" s="4" t="s">
        <v>39225</v>
      </c>
      <c r="B31150" s="4" t="s">
        <v>39233</v>
      </c>
      <c r="C31150" s="5" t="str">
        <f>IFERROR(__xludf.DUMMYFUNCTION("GOOGLETRANSLATE(B31150,""en"",""de"")"),"Sie serviert die Nudeln in einem quadratischen braunen Teller und nimmt einen Löffel der Nudeln, um sie zu schmecken.")</f>
        <v>Sie serviert die Nudeln in einem quadratischen braunen Teller und nimmt einen Löffel der Nudeln, um sie zu schmecken.</v>
      </c>
    </row>
    <row r="31151">
      <c r="A31151" s="4" t="s">
        <v>39225</v>
      </c>
      <c r="B31151" s="4" t="s">
        <v>39234</v>
      </c>
      <c r="C31151" s="5" t="str">
        <f>IFERROR(__xludf.DUMMYFUNCTION("GOOGLETRANSLATE(B31151,""en"",""de"")"),"Sie ist zufrieden mit der Art und Weise, wie es sich herausstellte.")</f>
        <v>Sie ist zufrieden mit der Art und Weise, wie es sich herausstellte.</v>
      </c>
    </row>
    <row r="31152">
      <c r="A31152" s="4" t="s">
        <v>39235</v>
      </c>
      <c r="B31152" s="4" t="s">
        <v>39236</v>
      </c>
      <c r="C31152" s="5" t="str">
        <f>IFERROR(__xludf.DUMMYFUNCTION("GOOGLETRANSLATE(B31152,""en"",""de"")"),"Eine Frau, die ein Kleid trägt, tanzt auf einer Bühne.")</f>
        <v>Eine Frau, die ein Kleid trägt, tanzt auf einer Bühne.</v>
      </c>
    </row>
    <row r="31153">
      <c r="A31153" s="4" t="s">
        <v>39235</v>
      </c>
      <c r="B31153" s="4" t="s">
        <v>39237</v>
      </c>
      <c r="C31153" s="5" t="str">
        <f>IFERROR(__xludf.DUMMYFUNCTION("GOOGLETRANSLATE(B31153,""en"",""de"")"),"Rauch wird auf die Bühne hinter sich gepumpt.")</f>
        <v>Rauch wird auf die Bühne hinter sich gepumpt.</v>
      </c>
    </row>
    <row r="31154">
      <c r="A31154" s="4" t="s">
        <v>39235</v>
      </c>
      <c r="B31154" s="4" t="s">
        <v>39238</v>
      </c>
      <c r="C31154" s="5" t="str">
        <f>IFERROR(__xludf.DUMMYFUNCTION("GOOGLETRANSLATE(B31154,""en"",""de"")"),"Sie knallt am Ende und tritt zurück.")</f>
        <v>Sie knallt am Ende und tritt zurück.</v>
      </c>
    </row>
    <row r="31155">
      <c r="A31155" s="4" t="s">
        <v>39239</v>
      </c>
      <c r="B31155" s="4" t="s">
        <v>39240</v>
      </c>
      <c r="C31155" s="5" t="str">
        <f>IFERROR(__xludf.DUMMYFUNCTION("GOOGLETRANSLATE(B31155,""en"",""de"")"),"Ein Mann, der einen schwarzen Mantel trägt, hackt ein Stück Holz mit einer Axt.")</f>
        <v>Ein Mann, der einen schwarzen Mantel trägt, hackt ein Stück Holz mit einer Axt.</v>
      </c>
    </row>
    <row r="31156">
      <c r="A31156" s="4" t="s">
        <v>39239</v>
      </c>
      <c r="B31156" s="4" t="s">
        <v>39241</v>
      </c>
      <c r="C31156" s="5" t="str">
        <f>IFERROR(__xludf.DUMMYFUNCTION("GOOGLETRANSLATE(B31156,""en"",""de"")"),"Er versucht es noch einmal und schneidet es erneut ab.")</f>
        <v>Er versucht es noch einmal und schneidet es erneut ab.</v>
      </c>
    </row>
    <row r="31157">
      <c r="A31157" s="4" t="s">
        <v>39239</v>
      </c>
      <c r="B31157" s="4" t="s">
        <v>39242</v>
      </c>
      <c r="C31157" s="5" t="str">
        <f>IFERROR(__xludf.DUMMYFUNCTION("GOOGLETRANSLATE(B31157,""en"",""de"")"),"Er bewegt den Stumpf und versucht ihn wieder zu hacken.")</f>
        <v>Er bewegt den Stumpf und versucht ihn wieder zu hacken.</v>
      </c>
    </row>
    <row r="31158">
      <c r="A31158" s="4" t="s">
        <v>39239</v>
      </c>
      <c r="B31158" s="4" t="s">
        <v>39243</v>
      </c>
      <c r="C31158" s="5" t="str">
        <f>IFERROR(__xludf.DUMMYFUNCTION("GOOGLETRANSLATE(B31158,""en"",""de"")"),"Er hackt weiterhin das Holz.")</f>
        <v>Er hackt weiterhin das Holz.</v>
      </c>
    </row>
    <row r="31159">
      <c r="A31159" s="4" t="s">
        <v>39244</v>
      </c>
      <c r="B31159" s="4" t="s">
        <v>39245</v>
      </c>
      <c r="C31159" s="5" t="str">
        <f>IFERROR(__xludf.DUMMYFUNCTION("GOOGLETRANSLATE(B31159,""en"",""de"")"),"Schwimmer schwimmen auf einer Seite des Pools und halten dann kurz an.")</f>
        <v>Schwimmer schwimmen auf einer Seite des Pools und halten dann kurz an.</v>
      </c>
    </row>
    <row r="31160">
      <c r="A31160" s="4" t="s">
        <v>39244</v>
      </c>
      <c r="B31160" s="4" t="s">
        <v>39246</v>
      </c>
      <c r="C31160" s="5" t="str">
        <f>IFERROR(__xludf.DUMMYFUNCTION("GOOGLETRANSLATE(B31160,""en"",""de"")"),"Einige Schwimmer auf den Seitenlinien beobachten sie.")</f>
        <v>Einige Schwimmer auf den Seitenlinien beobachten sie.</v>
      </c>
    </row>
    <row r="31161">
      <c r="A31161" s="4" t="s">
        <v>39244</v>
      </c>
      <c r="B31161" s="4" t="s">
        <v>39247</v>
      </c>
      <c r="C31161" s="5" t="str">
        <f>IFERROR(__xludf.DUMMYFUNCTION("GOOGLETRANSLATE(B31161,""en"",""de"")"),"Sie werfen einen Ball hin und her.")</f>
        <v>Sie werfen einen Ball hin und her.</v>
      </c>
    </row>
    <row r="31162">
      <c r="A31162" s="4" t="s">
        <v>39244</v>
      </c>
      <c r="B31162" s="4" t="s">
        <v>39248</v>
      </c>
      <c r="C31162" s="5" t="str">
        <f>IFERROR(__xludf.DUMMYFUNCTION("GOOGLETRANSLATE(B31162,""en"",""de"")"),"Ein Mann in der Ecke des Pools versucht den Ball zu fangen und vermisst ihn.")</f>
        <v>Ein Mann in der Ecke des Pools versucht den Ball zu fangen und vermisst ihn.</v>
      </c>
    </row>
    <row r="31163">
      <c r="A31163" s="4" t="s">
        <v>39249</v>
      </c>
      <c r="B31163" s="4" t="s">
        <v>39250</v>
      </c>
      <c r="C31163" s="5" t="str">
        <f>IFERROR(__xludf.DUMMYFUNCTION("GOOGLETRANSLATE(B31163,""en"",""de"")"),"Eine Frau spricht vor der Kamera, während er zwei Hanteln hält, und zeigt dann eine Spin -Zyklus -Übung vor einer Klasse in einem Fitnessstudio.")</f>
        <v>Eine Frau spricht vor der Kamera, während er zwei Hanteln hält, und zeigt dann eine Spin -Zyklus -Übung vor einer Klasse in einem Fitnessstudio.</v>
      </c>
    </row>
    <row r="31164">
      <c r="A31164" s="4" t="s">
        <v>39249</v>
      </c>
      <c r="B31164" s="4" t="s">
        <v>39251</v>
      </c>
      <c r="C31164" s="5" t="str">
        <f>IFERROR(__xludf.DUMMYFUNCTION("GOOGLETRANSLATE(B31164,""en"",""de"")"),"Eine Frau steht und spricht, während sie der Kamera in einem Fitnessstudio mit einer Spiegelwand an ihrer Seite und mehreren Personen hinter ihrem Stehen in der Nähe verschiedener Stücke von Fitnessstudiengeräten gegenübersteht.")</f>
        <v>Eine Frau steht und spricht, während sie der Kamera in einem Fitnessstudio mit einer Spiegelwand an ihrer Seite und mehreren Personen hinter ihrem Stehen in der Nähe verschiedener Stücke von Fitnessstudiengeräten gegenübersteht.</v>
      </c>
    </row>
    <row r="31165">
      <c r="A31165" s="4" t="s">
        <v>39249</v>
      </c>
      <c r="B31165" s="4" t="s">
        <v>39252</v>
      </c>
      <c r="C31165" s="5" t="str">
        <f>IFERROR(__xludf.DUMMYFUNCTION("GOOGLETRANSLATE(B31165,""en"",""de"")"),"Die Frau, die jetzt ein Headset mit einem an dem Mundstück befestigten Mikrofon trägt, beginnt auf einer Spin -Zyklus -Maschine vor einem Spiegel sehr schnell mit einer Klasse von Menschen hinter sich, die ebenfalls auf Spin -Zyklus -Maschinen sind.")</f>
        <v>Die Frau, die jetzt ein Headset mit einem an dem Mundstück befestigten Mikrofon trägt, beginnt auf einer Spin -Zyklus -Maschine vor einem Spiegel sehr schnell mit einer Klasse von Menschen hinter sich, die ebenfalls auf Spin -Zyklus -Maschinen sind.</v>
      </c>
    </row>
    <row r="31166">
      <c r="A31166" s="4" t="s">
        <v>39249</v>
      </c>
      <c r="B31166" s="4" t="s">
        <v>39253</v>
      </c>
      <c r="C31166" s="5" t="str">
        <f>IFERROR(__xludf.DUMMYFUNCTION("GOOGLETRANSLATE(B31166,""en"",""de"")"),"Die Frau hebt dann die Hanteln mit ihren Armen im Stehen, hebt die Hanteln, während sie auf dem Boden sitzen, und kehrt dann zur Spin -Zyklus -Maschine zurück, bevor die Szene schwarz verblasst.")</f>
        <v>Die Frau hebt dann die Hanteln mit ihren Armen im Stehen, hebt die Hanteln, während sie auf dem Boden sitzen, und kehrt dann zur Spin -Zyklus -Maschine zurück, bevor die Szene schwarz verblasst.</v>
      </c>
    </row>
    <row r="31167">
      <c r="A31167" s="4" t="s">
        <v>39254</v>
      </c>
      <c r="B31167" s="4" t="s">
        <v>39255</v>
      </c>
      <c r="C31167" s="5" t="str">
        <f>IFERROR(__xludf.DUMMYFUNCTION("GOOGLETRANSLATE(B31167,""en"",""de"")"),"Vier Männer sind draußen auf einem Feld und werfen sich gegenseitig einen Baseball.")</f>
        <v>Vier Männer sind draußen auf einem Feld und werfen sich gegenseitig einen Baseball.</v>
      </c>
    </row>
    <row r="31168">
      <c r="A31168" s="4" t="s">
        <v>39254</v>
      </c>
      <c r="B31168" s="4" t="s">
        <v>39256</v>
      </c>
      <c r="C31168" s="5" t="str">
        <f>IFERROR(__xludf.DUMMYFUNCTION("GOOGLETRANSLATE(B31168,""en"",""de"")"),"Ein Ball rollt dann in einen Teich und ein kleiner Junge greift ihn und wirft ihn.")</f>
        <v>Ein Ball rollt dann in einen Teich und ein kleiner Junge greift ihn und wirft ihn.</v>
      </c>
    </row>
    <row r="31169">
      <c r="A31169" s="4" t="s">
        <v>39254</v>
      </c>
      <c r="B31169" s="4" t="s">
        <v>39257</v>
      </c>
      <c r="C31169" s="5" t="str">
        <f>IFERROR(__xludf.DUMMYFUNCTION("GOOGLETRANSLATE(B31169,""en"",""de"")"),"Die Szene bewegt sich zu einem Spielplatz und die Jungs gehen die Rutsche hinunter.")</f>
        <v>Die Szene bewegt sich zu einem Spielplatz und die Jungs gehen die Rutsche hinunter.</v>
      </c>
    </row>
    <row r="31170">
      <c r="A31170" s="4" t="s">
        <v>39254</v>
      </c>
      <c r="B31170" s="4" t="s">
        <v>39258</v>
      </c>
      <c r="C31170" s="5" t="str">
        <f>IFERROR(__xludf.DUMMYFUNCTION("GOOGLETRANSLATE(B31170,""en"",""de"")"),"Es werden mehr Kinder gezeigt und machen verschiedene Aktivitäten beim Spielen wie The See Saw, Monkey Bars und Swings.")</f>
        <v>Es werden mehr Kinder gezeigt und machen verschiedene Aktivitäten beim Spielen wie The See Saw, Monkey Bars und Swings.</v>
      </c>
    </row>
    <row r="31171">
      <c r="A31171" s="4" t="s">
        <v>39254</v>
      </c>
      <c r="B31171" s="4" t="s">
        <v>39259</v>
      </c>
      <c r="C31171" s="5" t="str">
        <f>IFERROR(__xludf.DUMMYFUNCTION("GOOGLETRANSLATE(B31171,""en"",""de"")"),"Nebenbei beginnt ein Junge seinen Reifen und ein kleines Baby wird in einem Becken baden.")</f>
        <v>Nebenbei beginnt ein Junge seinen Reifen und ein kleines Baby wird in einem Becken baden.</v>
      </c>
    </row>
    <row r="31172">
      <c r="A31172" s="4" t="s">
        <v>39260</v>
      </c>
      <c r="B31172" s="4" t="s">
        <v>39261</v>
      </c>
      <c r="C31172" s="5" t="str">
        <f>IFERROR(__xludf.DUMMYFUNCTION("GOOGLETRANSLATE(B31172,""en"",""de"")"),"Ein Übungslehrer erklärt den Schritt.")</f>
        <v>Ein Übungslehrer erklärt den Schritt.</v>
      </c>
    </row>
    <row r="31173">
      <c r="A31173" s="4" t="s">
        <v>39260</v>
      </c>
      <c r="B31173" s="4" t="s">
        <v>39262</v>
      </c>
      <c r="C31173" s="5" t="str">
        <f>IFERROR(__xludf.DUMMYFUNCTION("GOOGLETRANSLATE(B31173,""en"",""de"")"),"Sie tritt auf und beginnt die Übungen zu zeigen.")</f>
        <v>Sie tritt auf und beginnt die Übungen zu zeigen.</v>
      </c>
    </row>
    <row r="31174">
      <c r="A31174" s="4" t="s">
        <v>39260</v>
      </c>
      <c r="B31174" s="4" t="s">
        <v>39263</v>
      </c>
      <c r="C31174" s="5" t="str">
        <f>IFERROR(__xludf.DUMMYFUNCTION("GOOGLETRANSLATE(B31174,""en"",""de"")"),"Sie geht davor und zeigt mehr Übungen, tritt auf und ab und hebt ihre Arme, während sie tritt.")</f>
        <v>Sie geht davor und zeigt mehr Übungen, tritt auf und ab und hebt ihre Arme, während sie tritt.</v>
      </c>
    </row>
    <row r="31175">
      <c r="A31175" s="4" t="s">
        <v>39260</v>
      </c>
      <c r="B31175" s="4" t="s">
        <v>39264</v>
      </c>
      <c r="C31175" s="5" t="str">
        <f>IFERROR(__xludf.DUMMYFUNCTION("GOOGLETRANSLATE(B31175,""en"",""de"")"),"Sie stoppt und erklärt mehr.")</f>
        <v>Sie stoppt und erklärt mehr.</v>
      </c>
    </row>
    <row r="31176">
      <c r="A31176" s="4" t="s">
        <v>39260</v>
      </c>
      <c r="B31176" s="4" t="s">
        <v>39265</v>
      </c>
      <c r="C31176" s="5" t="str">
        <f>IFERROR(__xludf.DUMMYFUNCTION("GOOGLETRANSLATE(B31176,""en"",""de"")"),"Sie kehrt wieder in den Schritt um und beginnt weitere Fortschritte.")</f>
        <v>Sie kehrt wieder in den Schritt um und beginnt weitere Fortschritte.</v>
      </c>
    </row>
    <row r="31177">
      <c r="A31177" s="4" t="s">
        <v>39260</v>
      </c>
      <c r="B31177" s="4" t="s">
        <v>39266</v>
      </c>
      <c r="C31177" s="5" t="str">
        <f>IFERROR(__xludf.DUMMYFUNCTION("GOOGLETRANSLATE(B31177,""en"",""de"")"),"Sie hält für den Moment an und zeigt wieder den schnellen Schritt.")</f>
        <v>Sie hält für den Moment an und zeigt wieder den schnellen Schritt.</v>
      </c>
    </row>
    <row r="31178">
      <c r="A31178" s="4" t="s">
        <v>39267</v>
      </c>
      <c r="B31178" s="4" t="s">
        <v>39268</v>
      </c>
      <c r="C31178" s="5" t="str">
        <f>IFERROR(__xludf.DUMMYFUNCTION("GOOGLETRANSLATE(B31178,""en"",""de"")"),"Zwei Männer spielen zusammen ein Lied auf einem Gitarren in einem schwach beleuchteten Raum.")</f>
        <v>Zwei Männer spielen zusammen ein Lied auf einem Gitarren in einem schwach beleuchteten Raum.</v>
      </c>
    </row>
    <row r="31179">
      <c r="A31179" s="4" t="s">
        <v>39267</v>
      </c>
      <c r="B31179" s="4" t="s">
        <v>39269</v>
      </c>
      <c r="C31179" s="5" t="str">
        <f>IFERROR(__xludf.DUMMYFUNCTION("GOOGLETRANSLATE(B31179,""en"",""de"")"),"Diejenigen, um die Akustikgitarre zu spielen.")</f>
        <v>Diejenigen, um die Akustikgitarre zu spielen.</v>
      </c>
    </row>
    <row r="31180">
      <c r="A31180" s="4" t="s">
        <v>39270</v>
      </c>
      <c r="B31180" s="4" t="s">
        <v>39271</v>
      </c>
      <c r="C31180" s="5" t="str">
        <f>IFERROR(__xludf.DUMMYFUNCTION("GOOGLETRANSLATE(B31180,""en"",""de"")"),"In einem Sped -Up -Modus geht ein älterer Mann zur Vorderseite eines Hauses und schnappt sich einen blauen Schneepflug.")</f>
        <v>In einem Sped -Up -Modus geht ein älterer Mann zur Vorderseite eines Hauses und schnappt sich einen blauen Schneepflug.</v>
      </c>
    </row>
    <row r="31181">
      <c r="A31181" s="4" t="s">
        <v>39270</v>
      </c>
      <c r="B31181" s="4" t="s">
        <v>39272</v>
      </c>
      <c r="C31181" s="5" t="str">
        <f>IFERROR(__xludf.DUMMYFUNCTION("GOOGLETRANSLATE(B31181,""en"",""de"")"),"Der Mann fährt im Sped Up -Modus fort und pflügt Schnee, um einen Weg zu machen.")</f>
        <v>Der Mann fährt im Sped Up -Modus fort und pflügt Schnee, um einen Weg zu machen.</v>
      </c>
    </row>
    <row r="31182">
      <c r="A31182" s="4" t="s">
        <v>39270</v>
      </c>
      <c r="B31182" s="4" t="s">
        <v>39273</v>
      </c>
      <c r="C31182" s="5" t="str">
        <f>IFERROR(__xludf.DUMMYFUNCTION("GOOGLETRANSLATE(B31182,""en"",""de"")"),"Der Mann bewegt dann die Kameraansicht und pflügt den Schnee in einem anderen Bereich, der eingezäunt ist.")</f>
        <v>Der Mann bewegt dann die Kameraansicht und pflügt den Schnee in einem anderen Bereich, der eingezäunt ist.</v>
      </c>
    </row>
    <row r="31183">
      <c r="A31183" s="4" t="s">
        <v>39270</v>
      </c>
      <c r="B31183" s="4" t="s">
        <v>39274</v>
      </c>
      <c r="C31183" s="5" t="str">
        <f>IFERROR(__xludf.DUMMYFUNCTION("GOOGLETRANSLATE(B31183,""en"",""de"")"),"Der Mann greift nach der Kamera, zeigt auf den Pflug und schwenkt dann in die verschiedenen Bereiche des Hofes.")</f>
        <v>Der Mann greift nach der Kamera, zeigt auf den Pflug und schwenkt dann in die verschiedenen Bereiche des Hofes.</v>
      </c>
    </row>
    <row r="31184">
      <c r="A31184" s="4" t="s">
        <v>39270</v>
      </c>
      <c r="B31184" s="4" t="s">
        <v>39275</v>
      </c>
      <c r="C31184" s="5" t="str">
        <f>IFERROR(__xludf.DUMMYFUNCTION("GOOGLETRANSLATE(B31184,""en"",""de"")"),"Der Mann geht dann drinnen, um einen chaotischen und überfüllten Workshop mit Werkzeugen und Vorräten zu zeigen.")</f>
        <v>Der Mann geht dann drinnen, um einen chaotischen und überfüllten Workshop mit Werkzeugen und Vorräten zu zeigen.</v>
      </c>
    </row>
    <row r="31185">
      <c r="A31185" s="4" t="s">
        <v>39270</v>
      </c>
      <c r="B31185" s="4" t="s">
        <v>39276</v>
      </c>
      <c r="C31185" s="5" t="str">
        <f>IFERROR(__xludf.DUMMYFUNCTION("GOOGLETRANSLATE(B31185,""en"",""de"")"),"Der Mann geht zurück, zeigt seinen Hund und geht um seinen Garten, legt seinen Hund nieder und der Hund rennt zurück zum Werkstatt und schiebt die Tür auf.")</f>
        <v>Der Mann geht zurück, zeigt seinen Hund und geht um seinen Garten, legt seinen Hund nieder und der Hund rennt zurück zum Werkstatt und schiebt die Tür auf.</v>
      </c>
    </row>
    <row r="31186">
      <c r="A31186" s="4" t="s">
        <v>39277</v>
      </c>
      <c r="B31186" s="4" t="s">
        <v>573</v>
      </c>
      <c r="C31186" s="5" t="str">
        <f>IFERROR(__xludf.DUMMYFUNCTION("GOOGLETRANSLATE(B31186,""en"",""de"")"),"Die Credits des Videos werden angezeigt.")</f>
        <v>Die Credits des Videos werden angezeigt.</v>
      </c>
    </row>
    <row r="31187">
      <c r="A31187" s="4" t="s">
        <v>39277</v>
      </c>
      <c r="B31187" s="4" t="s">
        <v>39278</v>
      </c>
      <c r="C31187" s="5" t="str">
        <f>IFERROR(__xludf.DUMMYFUNCTION("GOOGLETRANSLATE(B31187,""en"",""de"")"),"Eine Dame lehnt sich zurück, spricht und trinkt Kaffee.")</f>
        <v>Eine Dame lehnt sich zurück, spricht und trinkt Kaffee.</v>
      </c>
    </row>
    <row r="31188">
      <c r="A31188" s="4" t="s">
        <v>39277</v>
      </c>
      <c r="B31188" s="4" t="s">
        <v>39279</v>
      </c>
      <c r="C31188" s="5" t="str">
        <f>IFERROR(__xludf.DUMMYFUNCTION("GOOGLETRANSLATE(B31188,""en"",""de"")"),"Credits des Clips werden angezeigt.")</f>
        <v>Credits des Clips werden angezeigt.</v>
      </c>
    </row>
    <row r="31189">
      <c r="A31189" s="4" t="s">
        <v>39280</v>
      </c>
      <c r="B31189" s="4" t="s">
        <v>39281</v>
      </c>
      <c r="C31189" s="5" t="str">
        <f>IFERROR(__xludf.DUMMYFUNCTION("GOOGLETRANSLATE(B31189,""en"",""de"")"),"Ein alter Mann setzt Salz in einen Topf, um Wasser zu bogen, dann fügt er Pasta hinzu und lässt eine Minute kochen.")</f>
        <v>Ein alter Mann setzt Salz in einen Topf, um Wasser zu bogen, dann fügt er Pasta hinzu und lässt eine Minute kochen.</v>
      </c>
    </row>
    <row r="31190">
      <c r="A31190" s="4" t="s">
        <v>39280</v>
      </c>
      <c r="B31190" s="4" t="s">
        <v>39282</v>
      </c>
      <c r="C31190" s="5" t="str">
        <f>IFERROR(__xludf.DUMMYFUNCTION("GOOGLETRANSLATE(B31190,""en"",""de"")"),"Dann schaltet der Mann den Herd aus und legt einen Tuch und einen Deckel an und lässt ihn 10 Minuten lang.")</f>
        <v>Dann schaltet der Mann den Herd aus und legt einen Tuch und einen Deckel an und lässt ihn 10 Minuten lang.</v>
      </c>
    </row>
    <row r="31191">
      <c r="A31191" s="4" t="s">
        <v>39280</v>
      </c>
      <c r="B31191" s="4" t="s">
        <v>39283</v>
      </c>
      <c r="C31191" s="5" t="str">
        <f>IFERROR(__xludf.DUMMYFUNCTION("GOOGLETRANSLATE(B31191,""en"",""de"")"),"Danach entwässert der Mann die Nudeln im Waschbecken.")</f>
        <v>Danach entwässert der Mann die Nudeln im Waschbecken.</v>
      </c>
    </row>
    <row r="31192">
      <c r="A31192" s="4" t="s">
        <v>39280</v>
      </c>
      <c r="B31192" s="4" t="s">
        <v>39284</v>
      </c>
      <c r="C31192" s="5" t="str">
        <f>IFERROR(__xludf.DUMMYFUNCTION("GOOGLETRANSLATE(B31192,""en"",""de"")"),"Eine Frau kommt und schmeckt die gekochten Nudeln und macht einen Schlag.")</f>
        <v>Eine Frau kommt und schmeckt die gekochten Nudeln und macht einen Schlag.</v>
      </c>
    </row>
    <row r="31193">
      <c r="A31193" s="4" t="s">
        <v>39285</v>
      </c>
      <c r="B31193" s="4" t="s">
        <v>39286</v>
      </c>
      <c r="C31193" s="5" t="str">
        <f>IFERROR(__xludf.DUMMYFUNCTION("GOOGLETRANSLATE(B31193,""en"",""de"")"),"Ein Mann sitzt in einer Röhre und spricht in Menschen, die durch die Tragenröhrchen herumlaufen.")</f>
        <v>Ein Mann sitzt in einer Röhre und spricht in Menschen, die durch die Tragenröhrchen herumlaufen.</v>
      </c>
    </row>
    <row r="31194">
      <c r="A31194" s="4" t="s">
        <v>39285</v>
      </c>
      <c r="B31194" s="4" t="s">
        <v>39287</v>
      </c>
      <c r="C31194" s="5" t="str">
        <f>IFERROR(__xludf.DUMMYFUNCTION("GOOGLETRANSLATE(B31194,""en"",""de"")"),"Aufnahmen des Wassers werden gezeigt, gefolgt von Menschen, die einen Fluss auf den Röhren hinunterfahren.")</f>
        <v>Aufnahmen des Wassers werden gezeigt, gefolgt von Menschen, die einen Fluss auf den Röhren hinunterfahren.</v>
      </c>
    </row>
    <row r="31195">
      <c r="A31195" s="4" t="s">
        <v>39285</v>
      </c>
      <c r="B31195" s="4" t="s">
        <v>39288</v>
      </c>
      <c r="C31195" s="5" t="str">
        <f>IFERROR(__xludf.DUMMYFUNCTION("GOOGLETRANSLATE(B31195,""en"",""de"")"),"Die Leute fahren nacheinander weiter runter, während die Leute nebenbei zuschauen.")</f>
        <v>Die Leute fahren nacheinander weiter runter, während die Leute nebenbei zuschauen.</v>
      </c>
    </row>
    <row r="31196">
      <c r="A31196" s="4" t="s">
        <v>39289</v>
      </c>
      <c r="B31196" s="4" t="s">
        <v>39290</v>
      </c>
      <c r="C31196" s="5" t="str">
        <f>IFERROR(__xludf.DUMMYFUNCTION("GOOGLETRANSLATE(B31196,""en"",""de"")"),"Ein Mädchen schlägt eine Pinata mit einer Orange, Spielzeugschläger.")</f>
        <v>Ein Mädchen schlägt eine Pinata mit einer Orange, Spielzeugschläger.</v>
      </c>
    </row>
    <row r="31197">
      <c r="A31197" s="4" t="s">
        <v>39289</v>
      </c>
      <c r="B31197" s="4" t="s">
        <v>39291</v>
      </c>
      <c r="C31197" s="5" t="str">
        <f>IFERROR(__xludf.DUMMYFUNCTION("GOOGLETRANSLATE(B31197,""en"",""de"")"),"Die Fledermaus fällt und das Mädchen nimmt es auf.")</f>
        <v>Die Fledermaus fällt und das Mädchen nimmt es auf.</v>
      </c>
    </row>
    <row r="31198">
      <c r="A31198" s="4" t="s">
        <v>39289</v>
      </c>
      <c r="B31198" s="4" t="s">
        <v>39292</v>
      </c>
      <c r="C31198" s="5" t="str">
        <f>IFERROR(__xludf.DUMMYFUNCTION("GOOGLETRANSLATE(B31198,""en"",""de"")"),"Hinter ihr zeigt ein Junge, wie sie sie schlagen und sie anfeuert.")</f>
        <v>Hinter ihr zeigt ein Junge, wie sie sie schlagen und sie anfeuert.</v>
      </c>
    </row>
    <row r="31199">
      <c r="A31199" s="4" t="s">
        <v>39293</v>
      </c>
      <c r="B31199" s="4" t="s">
        <v>39294</v>
      </c>
      <c r="C31199" s="5" t="str">
        <f>IFERROR(__xludf.DUMMYFUNCTION("GOOGLETRANSLATE(B31199,""en"",""de"")"),"In einem Hof ​​-Hof -Männerteams spielen Fußball, während das Publikum im Stadion sitzt.")</f>
        <v>In einem Hof ​​-Hof -Männerteams spielen Fußball, während das Publikum im Stadion sitzt.</v>
      </c>
    </row>
    <row r="31200">
      <c r="A31200" s="4" t="s">
        <v>39293</v>
      </c>
      <c r="B31200" s="4" t="s">
        <v>39295</v>
      </c>
      <c r="C31200" s="5" t="str">
        <f>IFERROR(__xludf.DUMMYFUNCTION("GOOGLETRANSLATE(B31200,""en"",""de"")"),"Das Team in Black versucht, das andere Team in Red zu verhindern, dass das Torwart die Partitur blockiert.")</f>
        <v>Das Team in Black versucht, das andere Team in Red zu verhindern, dass das Torwart die Partitur blockiert.</v>
      </c>
    </row>
    <row r="31201">
      <c r="A31201" s="4" t="s">
        <v>39293</v>
      </c>
      <c r="B31201" s="4" t="s">
        <v>39296</v>
      </c>
      <c r="C31201" s="5" t="str">
        <f>IFERROR(__xludf.DUMMYFUNCTION("GOOGLETRANSLATE(B31201,""en"",""de"")"),"Sie rennen das Gericht auf und ab und versuchen, den anderen vom Tor abzuhalten.")</f>
        <v>Sie rennen das Gericht auf und ab und versuchen, den anderen vom Tor abzuhalten.</v>
      </c>
    </row>
    <row r="31202">
      <c r="A31202" s="4" t="s">
        <v>39293</v>
      </c>
      <c r="B31202" s="4" t="s">
        <v>39297</v>
      </c>
      <c r="C31202" s="5" t="str">
        <f>IFERROR(__xludf.DUMMYFUNCTION("GOOGLETRANSLATE(B31202,""en"",""de"")"),"Das Rote Team bewertet und es ist 1: 1, sie bleiben auf dem Platz, bis das Spiel vorbei ist.")</f>
        <v>Das Rote Team bewertet und es ist 1: 1, sie bleiben auf dem Platz, bis das Spiel vorbei ist.</v>
      </c>
    </row>
    <row r="31203">
      <c r="A31203" s="4" t="s">
        <v>39298</v>
      </c>
      <c r="B31203" s="4" t="s">
        <v>39299</v>
      </c>
      <c r="C31203" s="5" t="str">
        <f>IFERROR(__xludf.DUMMYFUNCTION("GOOGLETRANSLATE(B31203,""en"",""de"")"),"Eine Band spielt auf einer Bühne.")</f>
        <v>Eine Band spielt auf einer Bühne.</v>
      </c>
    </row>
    <row r="31204">
      <c r="A31204" s="4" t="s">
        <v>39298</v>
      </c>
      <c r="B31204" s="4" t="s">
        <v>39300</v>
      </c>
      <c r="C31204" s="5" t="str">
        <f>IFERROR(__xludf.DUMMYFUNCTION("GOOGLETRANSLATE(B31204,""en"",""de"")"),"Ein Mann in einem Anzug spielt das Saxophon vorne mit einer Sonnenbrille.")</f>
        <v>Ein Mann in einem Anzug spielt das Saxophon vorne mit einer Sonnenbrille.</v>
      </c>
    </row>
    <row r="31205">
      <c r="A31205" s="4" t="s">
        <v>39301</v>
      </c>
      <c r="B31205" s="4" t="s">
        <v>39302</v>
      </c>
      <c r="C31205" s="5" t="str">
        <f>IFERROR(__xludf.DUMMYFUNCTION("GOOGLETRANSLATE(B31205,""en"",""de"")"),"Verschiedene Clips werden von einem Mann ausgeweckt und Flips machen, gefolgt von ihm, der auf einem Boot sitzt und mit der Kamera spricht.")</f>
        <v>Verschiedene Clips werden von einem Mann ausgeweckt und Flips machen, gefolgt von ihm, der auf einem Boot sitzt und mit der Kamera spricht.</v>
      </c>
    </row>
    <row r="31206">
      <c r="A31206" s="4" t="s">
        <v>39301</v>
      </c>
      <c r="B31206" s="4" t="s">
        <v>39303</v>
      </c>
      <c r="C31206" s="5" t="str">
        <f>IFERROR(__xludf.DUMMYFUNCTION("GOOGLETRANSLATE(B31206,""en"",""de"")"),"Es werden einige weitere Aufnahmen von ihm gefahren und sprechen und eine blonde Frau weckt ebenfalls das Boarding.")</f>
        <v>Es werden einige weitere Aufnahmen von ihm gefahren und sprechen und eine blonde Frau weckt ebenfalls das Boarding.</v>
      </c>
    </row>
    <row r="31207">
      <c r="A31207" s="4" t="s">
        <v>39301</v>
      </c>
      <c r="B31207" s="4" t="s">
        <v>39304</v>
      </c>
      <c r="C31207" s="5" t="str">
        <f>IFERROR(__xludf.DUMMYFUNCTION("GOOGLETRANSLATE(B31207,""en"",""de"")"),"Die beiden reiten gemeinsam das Wasser entlang, während der Mann weiterhin mit der Kamera spricht.")</f>
        <v>Die beiden reiten gemeinsam das Wasser entlang, während der Mann weiterhin mit der Kamera spricht.</v>
      </c>
    </row>
    <row r="31208">
      <c r="A31208" s="4" t="s">
        <v>39305</v>
      </c>
      <c r="B31208" s="4" t="s">
        <v>31981</v>
      </c>
      <c r="C31208" s="5" t="str">
        <f>IFERROR(__xludf.DUMMYFUNCTION("GOOGLETRANSLATE(B31208,""en"",""de"")"),"Ein Emblem erscheint auf dem Bildschirm.")</f>
        <v>Ein Emblem erscheint auf dem Bildschirm.</v>
      </c>
    </row>
    <row r="31209">
      <c r="A31209" s="4" t="s">
        <v>39305</v>
      </c>
      <c r="B31209" s="4" t="s">
        <v>39306</v>
      </c>
      <c r="C31209" s="5" t="str">
        <f>IFERROR(__xludf.DUMMYFUNCTION("GOOGLETRANSLATE(B31209,""en"",""de"")"),"Es erscheint eine Band, die die Straße entlang und über ein Feld entlang geht, während sie für eine Menschenmenge spielen.")</f>
        <v>Es erscheint eine Band, die die Straße entlang und über ein Feld entlang geht, während sie für eine Menschenmenge spielen.</v>
      </c>
    </row>
    <row r="31210">
      <c r="A31210" s="4" t="s">
        <v>39305</v>
      </c>
      <c r="B31210" s="4" t="s">
        <v>39307</v>
      </c>
      <c r="C31210" s="5" t="str">
        <f>IFERROR(__xludf.DUMMYFUNCTION("GOOGLETRANSLATE(B31210,""en"",""de"")"),"Auf dem Bildschirm erscheinen Worte darüber, am 4. März mit einer Parade zu feiern.")</f>
        <v>Auf dem Bildschirm erscheinen Worte darüber, am 4. März mit einer Parade zu feiern.</v>
      </c>
    </row>
    <row r="31211">
      <c r="A31211" s="4" t="s">
        <v>39308</v>
      </c>
      <c r="B31211" s="4" t="s">
        <v>39309</v>
      </c>
      <c r="C31211" s="5" t="str">
        <f>IFERROR(__xludf.DUMMYFUNCTION("GOOGLETRANSLATE(B31211,""en"",""de"")"),"Eine Einführung kommt auf den Bildschirm für ein Video über eine Tour für eine Band.")</f>
        <v>Eine Einführung kommt auf den Bildschirm für ein Video über eine Tour für eine Band.</v>
      </c>
    </row>
    <row r="31212">
      <c r="A31212" s="4" t="s">
        <v>39308</v>
      </c>
      <c r="B31212" s="4" t="s">
        <v>39310</v>
      </c>
      <c r="C31212" s="5" t="str">
        <f>IFERROR(__xludf.DUMMYFUNCTION("GOOGLETRANSLATE(B31212,""en"",""de"")"),"Sie werden gezeigt, dass sie Haarschnitte in einem Friseurladen bekommen und sich über den Haarschnitt kommentieren.")</f>
        <v>Sie werden gezeigt, dass sie Haarschnitte in einem Friseurladen bekommen und sich über den Haarschnitt kommentieren.</v>
      </c>
    </row>
    <row r="31213">
      <c r="A31213" s="4" t="s">
        <v>39308</v>
      </c>
      <c r="B31213" s="4" t="s">
        <v>39311</v>
      </c>
      <c r="C31213" s="5" t="str">
        <f>IFERROR(__xludf.DUMMYFUNCTION("GOOGLETRANSLATE(B31213,""en"",""de"")"),"Sie werden auch in einer Sitzung mit mehreren Menschen gezeigt, die herumtanzen und eine gute Zeit haben.")</f>
        <v>Sie werden auch in einer Sitzung mit mehreren Menschen gezeigt, die herumtanzen und eine gute Zeit haben.</v>
      </c>
    </row>
    <row r="31214">
      <c r="A31214" s="4" t="s">
        <v>39308</v>
      </c>
      <c r="B31214" s="4" t="s">
        <v>4761</v>
      </c>
      <c r="C31214" s="5" t="str">
        <f>IFERROR(__xludf.DUMMYFUNCTION("GOOGLETRANSLATE(B31214,""en"",""de"")"),"Das Video endet mit den auf dem Bildschirm angezeigten Schließkrediten.")</f>
        <v>Das Video endet mit den auf dem Bildschirm angezeigten Schließkrediten.</v>
      </c>
    </row>
    <row r="31215">
      <c r="A31215" s="4" t="s">
        <v>39312</v>
      </c>
      <c r="B31215" s="4" t="s">
        <v>14047</v>
      </c>
      <c r="C31215" s="5" t="str">
        <f>IFERROR(__xludf.DUMMYFUNCTION("GOOGLETRANSLATE(B31215,""en"",""de"")"),"Die Credits des Videos werden angezeigt.")</f>
        <v>Die Credits des Videos werden angezeigt.</v>
      </c>
    </row>
    <row r="31216">
      <c r="A31216" s="4" t="s">
        <v>39312</v>
      </c>
      <c r="B31216" s="4" t="s">
        <v>39313</v>
      </c>
      <c r="C31216" s="5" t="str">
        <f>IFERROR(__xludf.DUMMYFUNCTION("GOOGLETRANSLATE(B31216,""en"",""de"")"),"Ein Mann resh braune Blätter in einem Rasen.")</f>
        <v>Ein Mann resh braune Blätter in einem Rasen.</v>
      </c>
    </row>
    <row r="31217">
      <c r="A31217" s="4" t="s">
        <v>39312</v>
      </c>
      <c r="B31217" s="4" t="s">
        <v>39314</v>
      </c>
      <c r="C31217" s="5" t="str">
        <f>IFERROR(__xludf.DUMMYFUNCTION("GOOGLETRANSLATE(B31217,""en"",""de"")"),"Der Mann steckt die Blätter in einen Mülleimer.")</f>
        <v>Der Mann steckt die Blätter in einen Mülleimer.</v>
      </c>
    </row>
    <row r="31218">
      <c r="A31218" s="4" t="s">
        <v>39312</v>
      </c>
      <c r="B31218" s="4" t="s">
        <v>39315</v>
      </c>
      <c r="C31218" s="5" t="str">
        <f>IFERROR(__xludf.DUMMYFUNCTION("GOOGLETRANSLATE(B31218,""en"",""de"")"),"Der Mann hält stehen und bewegt den Mülleimer.")</f>
        <v>Der Mann hält stehen und bewegt den Mülleimer.</v>
      </c>
    </row>
    <row r="31219">
      <c r="A31219" s="4" t="s">
        <v>39312</v>
      </c>
      <c r="B31219" s="4" t="s">
        <v>39316</v>
      </c>
      <c r="C31219" s="5" t="str">
        <f>IFERROR(__xludf.DUMMYFUNCTION("GOOGLETRANSLATE(B31219,""en"",""de"")"),"Der Mann zieht ein schwarzes Objekt aus seiner Tasche heraus und präsentiert es.")</f>
        <v>Der Mann zieht ein schwarzes Objekt aus seiner Tasche heraus und präsentiert es.</v>
      </c>
    </row>
    <row r="31220">
      <c r="A31220" s="4" t="s">
        <v>39312</v>
      </c>
      <c r="B31220" s="4" t="s">
        <v>39317</v>
      </c>
      <c r="C31220" s="5" t="str">
        <f>IFERROR(__xludf.DUMMYFUNCTION("GOOGLETRANSLATE(B31220,""en"",""de"")"),"Der Mann schraubt das schwarze Objekt am Ende des Rechengriffs.")</f>
        <v>Der Mann schraubt das schwarze Objekt am Ende des Rechengriffs.</v>
      </c>
    </row>
    <row r="31221">
      <c r="A31221" s="4" t="s">
        <v>39312</v>
      </c>
      <c r="B31221" s="4" t="s">
        <v>39318</v>
      </c>
      <c r="C31221" s="5" t="str">
        <f>IFERROR(__xludf.DUMMYFUNCTION("GOOGLETRANSLATE(B31221,""en"",""de"")"),"Der Mann bewegt den Mülleimer und rennt.")</f>
        <v>Der Mann bewegt den Mülleimer und rennt.</v>
      </c>
    </row>
    <row r="31222">
      <c r="A31222" s="4" t="s">
        <v>39312</v>
      </c>
      <c r="B31222" s="4" t="s">
        <v>39319</v>
      </c>
      <c r="C31222" s="5" t="str">
        <f>IFERROR(__xludf.DUMMYFUNCTION("GOOGLETRANSLATE(B31222,""en"",""de"")"),"Der Mann hört auf zu kehren, geht zu einem Baum und hängt den Rechen an den Baum.")</f>
        <v>Der Mann hört auf zu kehren, geht zu einem Baum und hängt den Rechen an den Baum.</v>
      </c>
    </row>
    <row r="31223">
      <c r="A31223" s="4" t="s">
        <v>39312</v>
      </c>
      <c r="B31223" s="4" t="s">
        <v>39320</v>
      </c>
      <c r="C31223" s="5" t="str">
        <f>IFERROR(__xludf.DUMMYFUNCTION("GOOGLETRANSLATE(B31223,""en"",""de"")"),"Der Mann entfernt ein Paar Rechen für den Baum und hebt ihn über seinen Kopf.")</f>
        <v>Der Mann entfernt ein Paar Rechen für den Baum und hebt ihn über seinen Kopf.</v>
      </c>
    </row>
    <row r="31224">
      <c r="A31224" s="4" t="s">
        <v>39312</v>
      </c>
      <c r="B31224" s="4" t="s">
        <v>39321</v>
      </c>
      <c r="C31224" s="5" t="str">
        <f>IFERROR(__xludf.DUMMYFUNCTION("GOOGLETRANSLATE(B31224,""en"",""de"")"),"Der Mann benutzt die doppelten Rakes, um die Blätter aufzunehmen und sie in den Mülleimer zu setzen.")</f>
        <v>Der Mann benutzt die doppelten Rakes, um die Blätter aufzunehmen und sie in den Mülleimer zu setzen.</v>
      </c>
    </row>
    <row r="31225">
      <c r="A31225" s="4" t="s">
        <v>39312</v>
      </c>
      <c r="B31225" s="4" t="s">
        <v>39322</v>
      </c>
      <c r="C31225" s="5" t="str">
        <f>IFERROR(__xludf.DUMMYFUNCTION("GOOGLETRANSLATE(B31225,""en"",""de"")"),"Der Mann hebt die doppelten Rechen über seinen Kopf und kombiniert sie dann zusammen.")</f>
        <v>Der Mann hebt die doppelten Rechen über seinen Kopf und kombiniert sie dann zusammen.</v>
      </c>
    </row>
    <row r="31226">
      <c r="A31226" s="4" t="s">
        <v>39312</v>
      </c>
      <c r="B31226" s="4" t="s">
        <v>39323</v>
      </c>
      <c r="C31226" s="5" t="str">
        <f>IFERROR(__xludf.DUMMYFUNCTION("GOOGLETRANSLATE(B31226,""en"",""de"")"),"Der Mann nimmt die gepaarten Rakes zurück zu dem Baum, wo er sie an einen Zweig hängt.")</f>
        <v>Der Mann nimmt die gepaarten Rakes zurück zu dem Baum, wo er sie an einen Zweig hängt.</v>
      </c>
    </row>
    <row r="31227">
      <c r="A31227" s="4" t="s">
        <v>39312</v>
      </c>
      <c r="B31227" s="4" t="s">
        <v>25249</v>
      </c>
      <c r="C31227" s="5" t="str">
        <f>IFERROR(__xludf.DUMMYFUNCTION("GOOGLETRANSLATE(B31227,""en"",""de"")"),"Die Credits der Clips werden angezeigt.")</f>
        <v>Die Credits der Clips werden angezeigt.</v>
      </c>
    </row>
    <row r="31228">
      <c r="A31228" s="4" t="s">
        <v>39324</v>
      </c>
      <c r="B31228" s="4" t="s">
        <v>39325</v>
      </c>
      <c r="C31228" s="5" t="str">
        <f>IFERROR(__xludf.DUMMYFUNCTION("GOOGLETRANSLATE(B31228,""en"",""de"")"),"Eine Frau in einer weißen Schürze schneidet Salat auf einem Brett.")</f>
        <v>Eine Frau in einer weißen Schürze schneidet Salat auf einem Brett.</v>
      </c>
    </row>
    <row r="31229">
      <c r="A31229" s="4" t="s">
        <v>39324</v>
      </c>
      <c r="B31229" s="4" t="s">
        <v>39326</v>
      </c>
      <c r="C31229" s="5" t="str">
        <f>IFERROR(__xludf.DUMMYFUNCTION("GOOGLETRANSLATE(B31229,""en"",""de"")"),"Sie trocknet und schneidet einige Gurken, um eine Salatschale zu investieren.")</f>
        <v>Sie trocknet und schneidet einige Gurken, um eine Salatschale zu investieren.</v>
      </c>
    </row>
    <row r="31230">
      <c r="A31230" s="4" t="s">
        <v>39324</v>
      </c>
      <c r="B31230" s="4" t="s">
        <v>39327</v>
      </c>
      <c r="C31230" s="5" t="str">
        <f>IFERROR(__xludf.DUMMYFUNCTION("GOOGLETRANSLATE(B31230,""en"",""de"")"),"Sie wirft den Salat mit den Händen.")</f>
        <v>Sie wirft den Salat mit den Händen.</v>
      </c>
    </row>
    <row r="31231">
      <c r="A31231" s="4" t="s">
        <v>39324</v>
      </c>
      <c r="B31231" s="4" t="s">
        <v>39328</v>
      </c>
      <c r="C31231" s="5" t="str">
        <f>IFERROR(__xludf.DUMMYFUNCTION("GOOGLETRANSLATE(B31231,""en"",""de"")"),"Sie schnappt sich eine Flasche Essig und gießt sie auf den Salat.")</f>
        <v>Sie schnappt sich eine Flasche Essig und gießt sie auf den Salat.</v>
      </c>
    </row>
    <row r="31232">
      <c r="A31232" s="4" t="s">
        <v>39324</v>
      </c>
      <c r="B31232" s="4" t="s">
        <v>39329</v>
      </c>
      <c r="C31232" s="5" t="str">
        <f>IFERROR(__xludf.DUMMYFUNCTION("GOOGLETRANSLATE(B31232,""en"",""de"")"),"Sie öffnet eine Flasche mit den Zähnen und gießt sie auch auf den Salat.")</f>
        <v>Sie öffnet eine Flasche mit den Zähnen und gießt sie auch auf den Salat.</v>
      </c>
    </row>
    <row r="31233">
      <c r="A31233" s="4" t="s">
        <v>39324</v>
      </c>
      <c r="B31233" s="4" t="s">
        <v>39330</v>
      </c>
      <c r="C31233" s="5" t="str">
        <f>IFERROR(__xludf.DUMMYFUNCTION("GOOGLETRANSLATE(B31233,""en"",""de"")"),"Sie zieht mehr Dressing auf den Salat.")</f>
        <v>Sie zieht mehr Dressing auf den Salat.</v>
      </c>
    </row>
    <row r="31234">
      <c r="A31234" s="4" t="s">
        <v>39324</v>
      </c>
      <c r="B31234" s="4" t="s">
        <v>39331</v>
      </c>
      <c r="C31234" s="5" t="str">
        <f>IFERROR(__xludf.DUMMYFUNCTION("GOOGLETRANSLATE(B31234,""en"",""de"")"),"Eine Dame im Hintergrund zieht Saran aus.")</f>
        <v>Eine Dame im Hintergrund zieht Saran aus.</v>
      </c>
    </row>
    <row r="31235">
      <c r="A31235" s="4" t="s">
        <v>39324</v>
      </c>
      <c r="B31235" s="4" t="s">
        <v>39332</v>
      </c>
      <c r="C31235" s="5" t="str">
        <f>IFERROR(__xludf.DUMMYFUNCTION("GOOGLETRANSLATE(B31235,""en"",""de"")"),"Sie wirft weiter den Salat und mischt das Dressing hinein.")</f>
        <v>Sie wirft weiter den Salat und mischt das Dressing hinein.</v>
      </c>
    </row>
    <row r="31236">
      <c r="A31236" s="4" t="s">
        <v>39324</v>
      </c>
      <c r="B31236" s="4" t="s">
        <v>39333</v>
      </c>
      <c r="C31236" s="5" t="str">
        <f>IFERROR(__xludf.DUMMYFUNCTION("GOOGLETRANSLATE(B31236,""en"",""de"")"),"Eine Frau hinter ihr schüttet auf den Salat.")</f>
        <v>Eine Frau hinter ihr schüttet auf den Salat.</v>
      </c>
    </row>
    <row r="31237">
      <c r="A31237" s="4" t="s">
        <v>39324</v>
      </c>
      <c r="B31237" s="4" t="s">
        <v>39334</v>
      </c>
      <c r="C31237" s="5" t="str">
        <f>IFERROR(__xludf.DUMMYFUNCTION("GOOGLETRANSLATE(B31237,""en"",""de"")"),"Eine Frau hält die Schüssel hoch und zeigt den Salat beim Lächeln.")</f>
        <v>Eine Frau hält die Schüssel hoch und zeigt den Salat beim Lächeln.</v>
      </c>
    </row>
    <row r="31238">
      <c r="A31238" s="4" t="s">
        <v>39324</v>
      </c>
      <c r="B31238" s="4" t="s">
        <v>39335</v>
      </c>
      <c r="C31238" s="5" t="str">
        <f>IFERROR(__xludf.DUMMYFUNCTION("GOOGLETRANSLATE(B31238,""en"",""de"")"),"Die Frau, die den Salat warf, wäscht ihre Hände auf einem Handtuch.")</f>
        <v>Die Frau, die den Salat warf, wäscht ihre Hände auf einem Handtuch.</v>
      </c>
    </row>
    <row r="31239">
      <c r="A31239" s="4" t="s">
        <v>39336</v>
      </c>
      <c r="B31239" s="4" t="s">
        <v>39337</v>
      </c>
      <c r="C31239" s="5" t="str">
        <f>IFERROR(__xludf.DUMMYFUNCTION("GOOGLETRANSLATE(B31239,""en"",""de"")"),"Eine Grafik spielt mit ""Stuntsamazing"" mit einem Link zu ihrer Facebook -Seite.")</f>
        <v>Eine Grafik spielt mit "Stuntsamazing" mit einem Link zu ihrer Facebook -Seite.</v>
      </c>
    </row>
    <row r="31240">
      <c r="A31240" s="4" t="s">
        <v>39336</v>
      </c>
      <c r="B31240" s="4" t="s">
        <v>39338</v>
      </c>
      <c r="C31240" s="5" t="str">
        <f>IFERROR(__xludf.DUMMYFUNCTION("GOOGLETRANSLATE(B31240,""en"",""de"")"),"Ein Mann zeigt eine Vielzahl von Pool -Tricks auf seinem Billardtisch in seinem Haus.")</f>
        <v>Ein Mann zeigt eine Vielzahl von Pool -Tricks auf seinem Billardtisch in seinem Haus.</v>
      </c>
    </row>
    <row r="31241">
      <c r="A31241" s="4" t="s">
        <v>39336</v>
      </c>
      <c r="B31241" s="4" t="s">
        <v>39339</v>
      </c>
      <c r="C31241" s="5" t="str">
        <f>IFERROR(__xludf.DUMMYFUNCTION("GOOGLETRANSLATE(B31241,""en"",""de"")"),"Eine Grafik spielt mit der Aufschrift ""Abonnieren"" und das Video endet.")</f>
        <v>Eine Grafik spielt mit der Aufschrift "Abonnieren" und das Video endet.</v>
      </c>
    </row>
    <row r="31242">
      <c r="A31242" s="4" t="s">
        <v>39340</v>
      </c>
      <c r="B31242" s="4" t="s">
        <v>39341</v>
      </c>
      <c r="C31242" s="5" t="str">
        <f>IFERROR(__xludf.DUMMYFUNCTION("GOOGLETRANSLATE(B31242,""en"",""de"")"),"Ein Raum mit einem Tisch ohne Gemälde wird gezeigt und eine Emery steht ganz oben.")</f>
        <v>Ein Raum mit einem Tisch ohne Gemälde wird gezeigt und eine Emery steht ganz oben.</v>
      </c>
    </row>
    <row r="31243">
      <c r="A31243" s="4" t="s">
        <v>39340</v>
      </c>
      <c r="B31243" s="4" t="s">
        <v>39342</v>
      </c>
      <c r="C31243" s="5" t="str">
        <f>IFERROR(__xludf.DUMMYFUNCTION("GOOGLETRANSLATE(B31243,""en"",""de"")"),"Der Mensch geht in einen Raum und benutzt die Emery auf der Spitze des Tisches.")</f>
        <v>Der Mensch geht in einen Raum und benutzt die Emery auf der Spitze des Tisches.</v>
      </c>
    </row>
    <row r="31244">
      <c r="A31244" s="4" t="s">
        <v>39340</v>
      </c>
      <c r="B31244" s="4" t="s">
        <v>39343</v>
      </c>
      <c r="C31244" s="5" t="str">
        <f>IFERROR(__xludf.DUMMYFUNCTION("GOOGLETRANSLATE(B31244,""en"",""de"")"),"Der Mann nimmt die Brille heraus und reinigt die Scheibe der Emery.")</f>
        <v>Der Mann nimmt die Brille heraus und reinigt die Scheibe der Emery.</v>
      </c>
    </row>
    <row r="31245">
      <c r="A31245" s="4" t="s">
        <v>39344</v>
      </c>
      <c r="B31245" s="4" t="s">
        <v>39345</v>
      </c>
      <c r="C31245" s="5" t="str">
        <f>IFERROR(__xludf.DUMMYFUNCTION("GOOGLETRANSLATE(B31245,""en"",""de"")"),"Wir sehen eine Person Hand auf der Kamera.")</f>
        <v>Wir sehen eine Person Hand auf der Kamera.</v>
      </c>
    </row>
    <row r="31246">
      <c r="A31246" s="4" t="s">
        <v>39344</v>
      </c>
      <c r="B31246" s="4" t="s">
        <v>39346</v>
      </c>
      <c r="C31246" s="5" t="str">
        <f>IFERROR(__xludf.DUMMYFUNCTION("GOOGLETRANSLATE(B31246,""en"",""de"")"),"Ein Mädchen zeigt uns dann ihren Pinsel.")</f>
        <v>Ein Mädchen zeigt uns dann ihren Pinsel.</v>
      </c>
    </row>
    <row r="31247">
      <c r="A31247" s="4" t="s">
        <v>39344</v>
      </c>
      <c r="B31247" s="4" t="s">
        <v>39347</v>
      </c>
      <c r="C31247" s="5" t="str">
        <f>IFERROR(__xludf.DUMMYFUNCTION("GOOGLETRANSLATE(B31247,""en"",""de"")"),"Das Mädchen benutzt die Bürste, um ihr Haar zu putzen.")</f>
        <v>Das Mädchen benutzt die Bürste, um ihr Haar zu putzen.</v>
      </c>
    </row>
    <row r="31248">
      <c r="A31248" s="4" t="s">
        <v>39344</v>
      </c>
      <c r="B31248" s="4" t="s">
        <v>39348</v>
      </c>
      <c r="C31248" s="5" t="str">
        <f>IFERROR(__xludf.DUMMYFUNCTION("GOOGLETRANSLATE(B31248,""en"",""de"")"),"Sie zeigt uns wieder ihren Pinsel.")</f>
        <v>Sie zeigt uns wieder ihren Pinsel.</v>
      </c>
    </row>
    <row r="31249">
      <c r="A31249" s="4" t="s">
        <v>39344</v>
      </c>
      <c r="B31249" s="4" t="s">
        <v>39349</v>
      </c>
      <c r="C31249" s="5" t="str">
        <f>IFERROR(__xludf.DUMMYFUNCTION("GOOGLETRANSLATE(B31249,""en"",""de"")"),"Ihre Hand bedeckt dann die Kamera.")</f>
        <v>Ihre Hand bedeckt dann die Kamera.</v>
      </c>
    </row>
    <row r="31250">
      <c r="A31250" s="4" t="s">
        <v>39350</v>
      </c>
      <c r="B31250" s="4" t="s">
        <v>39351</v>
      </c>
      <c r="C31250" s="5" t="str">
        <f>IFERROR(__xludf.DUMMYFUNCTION("GOOGLETRANSLATE(B31250,""en"",""de"")"),"Eine asiatische Frau kniet auf dem Boden.")</f>
        <v>Eine asiatische Frau kniet auf dem Boden.</v>
      </c>
    </row>
    <row r="31251">
      <c r="A31251" s="4" t="s">
        <v>39350</v>
      </c>
      <c r="B31251" s="4" t="s">
        <v>39352</v>
      </c>
      <c r="C31251" s="5" t="str">
        <f>IFERROR(__xludf.DUMMYFUNCTION("GOOGLETRANSLATE(B31251,""en"",""de"")"),"Sie erhebt sich sehr langsam, die Arme zuerst.")</f>
        <v>Sie erhebt sich sehr langsam, die Arme zuerst.</v>
      </c>
    </row>
    <row r="31252">
      <c r="A31252" s="4" t="s">
        <v>39350</v>
      </c>
      <c r="B31252" s="4" t="s">
        <v>39353</v>
      </c>
      <c r="C31252" s="5" t="str">
        <f>IFERROR(__xludf.DUMMYFUNCTION("GOOGLETRANSLATE(B31252,""en"",""de"")"),"Sie macht mehrere Kampfkunstbewegungen für die Kamera.")</f>
        <v>Sie macht mehrere Kampfkunstbewegungen für die Kamera.</v>
      </c>
    </row>
    <row r="31253">
      <c r="A31253" s="4" t="s">
        <v>39354</v>
      </c>
      <c r="B31253" s="4" t="s">
        <v>39355</v>
      </c>
      <c r="C31253" s="5" t="str">
        <f>IFERROR(__xludf.DUMMYFUNCTION("GOOGLETRANSLATE(B31253,""en"",""de"")"),"Ein Mann geht in ein Badezimmer und schaut durch schmutzige Zahnbürsten.")</f>
        <v>Ein Mann geht in ein Badezimmer und schaut durch schmutzige Zahnbürsten.</v>
      </c>
    </row>
    <row r="31254">
      <c r="A31254" s="4" t="s">
        <v>39354</v>
      </c>
      <c r="B31254" s="4" t="s">
        <v>39356</v>
      </c>
      <c r="C31254" s="5" t="str">
        <f>IFERROR(__xludf.DUMMYFUNCTION("GOOGLETRANSLATE(B31254,""en"",""de"")"),"Die Person gießt Zahnpasta auf eine Bürste und putzt ständig die Zähne.")</f>
        <v>Die Person gießt Zahnpasta auf eine Bürste und putzt ständig die Zähne.</v>
      </c>
    </row>
    <row r="31255">
      <c r="A31255" s="4" t="s">
        <v>39354</v>
      </c>
      <c r="B31255" s="4" t="s">
        <v>39357</v>
      </c>
      <c r="C31255" s="5" t="str">
        <f>IFERROR(__xludf.DUMMYFUNCTION("GOOGLETRANSLATE(B31255,""en"",""de"")"),"Dann streift er mehr und endet, indem er seinen Mund mit Mundwäsche ausspült und das Waschbecken zeigt.")</f>
        <v>Dann streift er mehr und endet, indem er seinen Mund mit Mundwäsche ausspült und das Waschbecken zeigt.</v>
      </c>
    </row>
    <row r="31256">
      <c r="A31256" s="4" t="s">
        <v>39358</v>
      </c>
      <c r="B31256" s="4" t="s">
        <v>39359</v>
      </c>
      <c r="C31256" s="5" t="str">
        <f>IFERROR(__xludf.DUMMYFUNCTION("GOOGLETRANSLATE(B31256,""en"",""de"")"),"Ein Typ geht auf einem Seil, während er ein Selfie -Stick hält, der sich selbst aufzeichnet.")</f>
        <v>Ein Typ geht auf einem Seil, während er ein Selfie -Stick hält, der sich selbst aufzeichnet.</v>
      </c>
    </row>
    <row r="31257">
      <c r="A31257" s="4" t="s">
        <v>39358</v>
      </c>
      <c r="B31257" s="4" t="s">
        <v>39360</v>
      </c>
      <c r="C31257" s="5" t="str">
        <f>IFERROR(__xludf.DUMMYFUNCTION("GOOGLETRANSLATE(B31257,""en"",""de"")"),"Der Typ geht auf einem Seil über Wasser, das eine kurze Strecke vom Dock zu einer Bootskante hat, während die Leute zuschauen.")</f>
        <v>Der Typ geht auf einem Seil über Wasser, das eine kurze Strecke vom Dock zu einer Bootskante hat, während die Leute zuschauen.</v>
      </c>
    </row>
    <row r="31258">
      <c r="A31258" s="4" t="s">
        <v>39358</v>
      </c>
      <c r="B31258" s="4" t="s">
        <v>39361</v>
      </c>
      <c r="C31258" s="5" t="str">
        <f>IFERROR(__xludf.DUMMYFUNCTION("GOOGLETRANSLATE(B31258,""en"",""de"")"),"Guy hüpft auch und macht auch Tricks auf einem rosa Seil.")</f>
        <v>Guy hüpft auch und macht auch Tricks auf einem rosa Seil.</v>
      </c>
    </row>
    <row r="31259">
      <c r="A31259" s="4" t="s">
        <v>39358</v>
      </c>
      <c r="B31259" s="4" t="s">
        <v>39362</v>
      </c>
      <c r="C31259" s="5" t="str">
        <f>IFERROR(__xludf.DUMMYFUNCTION("GOOGLETRANSLATE(B31259,""en"",""de"")"),"Guys versucht, Spaziergang über das Wasser zu tippen, fällt aber ein und einige schaffen es über.")</f>
        <v>Guys versucht, Spaziergang über das Wasser zu tippen, fällt aber ein und einige schaffen es über.</v>
      </c>
    </row>
    <row r="31260">
      <c r="A31260" s="4" t="s">
        <v>39363</v>
      </c>
      <c r="B31260" s="4" t="s">
        <v>39364</v>
      </c>
      <c r="C31260" s="5" t="str">
        <f>IFERROR(__xludf.DUMMYFUNCTION("GOOGLETRANSLATE(B31260,""en"",""de"")"),"Zwei Mädchen werden gezeigt, wie sie Blätter in einem Hof ​​aufrollen, während sie kontinuierlich mit der Kamera sprechen.")</f>
        <v>Zwei Mädchen werden gezeigt, wie sie Blätter in einem Hof ​​aufrollen, während sie kontinuierlich mit der Kamera sprechen.</v>
      </c>
    </row>
    <row r="31261">
      <c r="A31261" s="4" t="s">
        <v>39363</v>
      </c>
      <c r="B31261" s="4" t="s">
        <v>39365</v>
      </c>
      <c r="C31261" s="5" t="str">
        <f>IFERROR(__xludf.DUMMYFUNCTION("GOOGLETRANSLATE(B31261,""en"",""de"")"),"Das ältere Mädchen zeigt das jüngere, wie man remt, während ein anderes Mädchen vorbeikommt und auf eine nahe gelegene Rutsche schaut.")</f>
        <v>Das ältere Mädchen zeigt das jüngere, wie man remt, während ein anderes Mädchen vorbeikommt und auf eine nahe gelegene Rutsche schaut.</v>
      </c>
    </row>
    <row r="31262">
      <c r="A31262" s="4" t="s">
        <v>39363</v>
      </c>
      <c r="B31262" s="4" t="s">
        <v>39366</v>
      </c>
      <c r="C31262" s="5" t="str">
        <f>IFERROR(__xludf.DUMMYFUNCTION("GOOGLETRANSLATE(B31262,""en"",""de"")"),"Die Kamera zoomt auf das jüngere Mädchen und beobachtet sie, wie sie die Blätter aufrauscht.")</f>
        <v>Die Kamera zoomt auf das jüngere Mädchen und beobachtet sie, wie sie die Blätter aufrauscht.</v>
      </c>
    </row>
    <row r="31263">
      <c r="A31263" s="4" t="s">
        <v>39367</v>
      </c>
      <c r="B31263" s="4" t="s">
        <v>39368</v>
      </c>
      <c r="C31263" s="5" t="str">
        <f>IFERROR(__xludf.DUMMYFUNCTION("GOOGLETRANSLATE(B31263,""en"",""de"")"),"Zwei Jungen knien im Gras, das das Gras mit einer Schere schneidet.")</f>
        <v>Zwei Jungen knien im Gras, das das Gras mit einer Schere schneidet.</v>
      </c>
    </row>
    <row r="31264">
      <c r="A31264" s="4" t="s">
        <v>39367</v>
      </c>
      <c r="B31264" s="4" t="s">
        <v>39369</v>
      </c>
      <c r="C31264" s="5" t="str">
        <f>IFERROR(__xludf.DUMMYFUNCTION("GOOGLETRANSLATE(B31264,""en"",""de"")"),"Sie schnappen sich ein paar Stücke und verwenden die Schere, um sie aufzuschneiden.")</f>
        <v>Sie schnappen sich ein paar Stücke und verwenden die Schere, um sie aufzuschneiden.</v>
      </c>
    </row>
    <row r="31265">
      <c r="A31265" s="4" t="s">
        <v>39367</v>
      </c>
      <c r="B31265" s="4" t="s">
        <v>39370</v>
      </c>
      <c r="C31265" s="5" t="str">
        <f>IFERROR(__xludf.DUMMYFUNCTION("GOOGLETRANSLATE(B31265,""en"",""de"")"),"Dann werfen Sie das Gras, den sie hinter sich zurückschneiden.")</f>
        <v>Dann werfen Sie das Gras, den sie hinter sich zurückschneiden.</v>
      </c>
    </row>
    <row r="31266">
      <c r="A31266" s="4" t="s">
        <v>39367</v>
      </c>
      <c r="B31266" s="4" t="s">
        <v>39371</v>
      </c>
      <c r="C31266" s="5" t="str">
        <f>IFERROR(__xludf.DUMMYFUNCTION("GOOGLETRANSLATE(B31266,""en"",""de"")"),"Sie gehen schnell daran, sie scheinen sehr gelangweilte kleine Kinder mit nichts anderem zu tun.")</f>
        <v>Sie gehen schnell daran, sie scheinen sehr gelangweilte kleine Kinder mit nichts anderem zu tun.</v>
      </c>
    </row>
    <row r="31267">
      <c r="A31267" s="4" t="s">
        <v>39372</v>
      </c>
      <c r="B31267" s="4" t="s">
        <v>39373</v>
      </c>
      <c r="C31267" s="5" t="str">
        <f>IFERROR(__xludf.DUMMYFUNCTION("GOOGLETRANSLATE(B31267,""en"",""de"")"),"Ein rot-blaues Triple-A-Logo ist auf einem weißen Bildschirm abgebildet und dann blinkt der Bildschirm zu einem großen Schneewagen.")</f>
        <v>Ein rot-blaues Triple-A-Logo ist auf einem weißen Bildschirm abgebildet und dann blinkt der Bildschirm zu einem großen Schneewagen.</v>
      </c>
    </row>
    <row r="31268">
      <c r="A31268" s="4" t="s">
        <v>39372</v>
      </c>
      <c r="B31268" s="4" t="s">
        <v>39374</v>
      </c>
      <c r="C31268" s="5" t="str">
        <f>IFERROR(__xludf.DUMMYFUNCTION("GOOGLETRANSLATE(B31268,""en"",""de"")"),"Sobald der LKW weg ist, pflügen verschiedene Menschen durch den Schnee, um ihn von den Straßen zu bringen und einen Gehweg zu räumen.")</f>
        <v>Sobald der LKW weg ist, pflügen verschiedene Menschen durch den Schnee, um ihn von den Straßen zu bringen und einen Gehweg zu räumen.</v>
      </c>
    </row>
    <row r="31269">
      <c r="A31269" s="4" t="s">
        <v>39372</v>
      </c>
      <c r="B31269" s="4" t="s">
        <v>39375</v>
      </c>
      <c r="C31269" s="5" t="str">
        <f>IFERROR(__xludf.DUMMYFUNCTION("GOOGLETRANSLATE(B31269,""en"",""de"")"),"Danach beginnt ein junger schwarzer Mann zu reden und zu veranschaulichen, wie er den Aspekt der Öffentlichkeitsarbeit von Triple A.")</f>
        <v>Danach beginnt ein junger schwarzer Mann zu reden und zu veranschaulichen, wie er den Aspekt der Öffentlichkeitsarbeit von Triple A.</v>
      </c>
    </row>
    <row r="31270">
      <c r="A31270" s="4" t="s">
        <v>39372</v>
      </c>
      <c r="B31270" s="4" t="s">
        <v>39376</v>
      </c>
      <c r="C31270" s="5" t="str">
        <f>IFERROR(__xludf.DUMMYFUNCTION("GOOGLETRANSLATE(B31270,""en"",""de"")"),"Während der Mann weiter spricht, wird ein Mann mit Wassereimer gezeigt und es gibt kein Wasser mehr auf seinem Auto.")</f>
        <v>Während der Mann weiter spricht, wird ein Mann mit Wassereimer gezeigt und es gibt kein Wasser mehr auf seinem Auto.</v>
      </c>
    </row>
    <row r="31271">
      <c r="A31271" s="4" t="s">
        <v>39372</v>
      </c>
      <c r="B31271" s="4" t="s">
        <v>39377</v>
      </c>
      <c r="C31271" s="5" t="str">
        <f>IFERROR(__xludf.DUMMYFUNCTION("GOOGLETRANSLATE(B31271,""en"",""de"")"),"Nach einer Weile wird ein anderer Mann abgebildet, der Schnee aus seinem Auto schaufelt und dann innen steigt, um das Radio anzupassen. Plötzlich ist der Mann wieder draußen und kratzt Schnee von allen Aspekten des Autos ab, einschließlich Fenstern, Abgas"&amp;"rohren, Windschutzscheiben und Rücklichter dann kommt der schwarze Mann zurück und redet weiter.")</f>
        <v>Nach einer Weile wird ein anderer Mann abgebildet, der Schnee aus seinem Auto schaufelt und dann innen steigt, um das Radio anzupassen. Plötzlich ist der Mann wieder draußen und kratzt Schnee von allen Aspekten des Autos ab, einschließlich Fenstern, Abgasrohren, Windschutzscheiben und Rücklichter dann kommt der schwarze Mann zurück und redet weiter.</v>
      </c>
    </row>
    <row r="31272">
      <c r="A31272" s="4" t="s">
        <v>39378</v>
      </c>
      <c r="B31272" s="4" t="s">
        <v>39379</v>
      </c>
      <c r="C31272" s="5" t="str">
        <f>IFERROR(__xludf.DUMMYFUNCTION("GOOGLETRANSLATE(B31272,""en"",""de"")"),"Ein kleines Mädchen springt auf die Straße.")</f>
        <v>Ein kleines Mädchen springt auf die Straße.</v>
      </c>
    </row>
    <row r="31273">
      <c r="A31273" s="4" t="s">
        <v>39378</v>
      </c>
      <c r="B31273" s="4" t="s">
        <v>39380</v>
      </c>
      <c r="C31273" s="5" t="str">
        <f>IFERROR(__xludf.DUMMYFUNCTION("GOOGLETRANSLATE(B31273,""en"",""de"")"),"Das kleine Mädchen dreht sich um und springt Hopscotch.")</f>
        <v>Das kleine Mädchen dreht sich um und springt Hopscotch.</v>
      </c>
    </row>
    <row r="31274">
      <c r="A31274" s="4" t="s">
        <v>39381</v>
      </c>
      <c r="B31274" s="4" t="s">
        <v>39382</v>
      </c>
      <c r="C31274" s="5" t="str">
        <f>IFERROR(__xludf.DUMMYFUNCTION("GOOGLETRANSLATE(B31274,""en"",""de"")"),"In einem U -Bahn -Zug reisen mehrere Passagiere.")</f>
        <v>In einem U -Bahn -Zug reisen mehrere Passagiere.</v>
      </c>
    </row>
    <row r="31275">
      <c r="A31275" s="4" t="s">
        <v>39381</v>
      </c>
      <c r="B31275" s="4" t="s">
        <v>39383</v>
      </c>
      <c r="C31275" s="5" t="str">
        <f>IFERROR(__xludf.DUMMYFUNCTION("GOOGLETRANSLATE(B31275,""en"",""de"")"),"Zwei der Passagiere sitzen auf Klappstühlen und spielen auf Bongos Schlagzeug.")</f>
        <v>Zwei der Passagiere sitzen auf Klappstühlen und spielen auf Bongos Schlagzeug.</v>
      </c>
    </row>
    <row r="31276">
      <c r="A31276" s="4" t="s">
        <v>39381</v>
      </c>
      <c r="B31276" s="4" t="s">
        <v>39384</v>
      </c>
      <c r="C31276" s="5" t="str">
        <f>IFERROR(__xludf.DUMMYFUNCTION("GOOGLETRANSLATE(B31276,""en"",""de"")"),"Sie spielen weiterhin die Bongos, während die anderen Passagiere damit beschäftigt sind, ihr eigenes Ding zu machen.")</f>
        <v>Sie spielen weiterhin die Bongos, während die anderen Passagiere damit beschäftigt sind, ihr eigenes Ding zu machen.</v>
      </c>
    </row>
    <row r="31277">
      <c r="A31277" s="4" t="s">
        <v>39381</v>
      </c>
      <c r="B31277" s="4" t="s">
        <v>39385</v>
      </c>
      <c r="C31277" s="5" t="str">
        <f>IFERROR(__xludf.DUMMYFUNCTION("GOOGLETRANSLATE(B31277,""en"",""de"")"),"Ein kleiner Junge, der in der Nähe der Spieler sitzt, beobachtet sie spielen.")</f>
        <v>Ein kleiner Junge, der in der Nähe der Spieler sitzt, beobachtet sie spielen.</v>
      </c>
    </row>
    <row r="31278">
      <c r="A31278" s="4" t="s">
        <v>39381</v>
      </c>
      <c r="B31278" s="4" t="s">
        <v>39386</v>
      </c>
      <c r="C31278" s="5" t="str">
        <f>IFERROR(__xludf.DUMMYFUNCTION("GOOGLETRANSLATE(B31278,""en"",""de"")"),"Die Spieler spielen weiterhin Bongos und trommeln sie.")</f>
        <v>Die Spieler spielen weiterhin Bongos und trommeln sie.</v>
      </c>
    </row>
    <row r="31279">
      <c r="A31279" s="4" t="s">
        <v>39381</v>
      </c>
      <c r="B31279" s="4" t="s">
        <v>39387</v>
      </c>
      <c r="C31279" s="5" t="str">
        <f>IFERROR(__xludf.DUMMYFUNCTION("GOOGLETRANSLATE(B31279,""en"",""de"")"),"Nachdem sie aufhören, zu spielen, applaudiert eine Person sie.")</f>
        <v>Nachdem sie aufhören, zu spielen, applaudiert eine Person sie.</v>
      </c>
    </row>
    <row r="31280">
      <c r="A31280" s="4" t="s">
        <v>39388</v>
      </c>
      <c r="B31280" s="4" t="s">
        <v>39389</v>
      </c>
      <c r="C31280" s="5" t="str">
        <f>IFERROR(__xludf.DUMMYFUNCTION("GOOGLETRANSLATE(B31280,""en"",""de"")"),"Ein Mann harkt Blätter in einem großen Hof.")</f>
        <v>Ein Mann harkt Blätter in einem großen Hof.</v>
      </c>
    </row>
    <row r="31281">
      <c r="A31281" s="4" t="s">
        <v>39388</v>
      </c>
      <c r="B31281" s="4" t="s">
        <v>39390</v>
      </c>
      <c r="C31281" s="5" t="str">
        <f>IFERROR(__xludf.DUMMYFUNCTION("GOOGLETRANSLATE(B31281,""en"",""de"")"),"Er benutzt den Rechen, um die Blätter in Stapel zu schieben.")</f>
        <v>Er benutzt den Rechen, um die Blätter in Stapel zu schieben.</v>
      </c>
    </row>
    <row r="31282">
      <c r="A31282" s="4" t="s">
        <v>39388</v>
      </c>
      <c r="B31282" s="4" t="s">
        <v>39391</v>
      </c>
      <c r="C31282" s="5" t="str">
        <f>IFERROR(__xludf.DUMMYFUNCTION("GOOGLETRANSLATE(B31282,""en"",""de"")"),"Er remt weiter und räumt einen Weg des Schmutzes darunter.")</f>
        <v>Er remt weiter und räumt einen Weg des Schmutzes darunter.</v>
      </c>
    </row>
    <row r="31283">
      <c r="A31283" s="4" t="s">
        <v>39392</v>
      </c>
      <c r="B31283" s="4" t="s">
        <v>39393</v>
      </c>
      <c r="C31283" s="5" t="str">
        <f>IFERROR(__xludf.DUMMYFUNCTION("GOOGLETRANSLATE(B31283,""en"",""de"")"),"Ein Team auf dem Feld herumläuft Lacrosse.")</f>
        <v>Ein Team auf dem Feld herumläuft Lacrosse.</v>
      </c>
    </row>
    <row r="31284">
      <c r="A31284" s="4" t="s">
        <v>39392</v>
      </c>
      <c r="B31284" s="4" t="s">
        <v>39394</v>
      </c>
      <c r="C31284" s="5" t="str">
        <f>IFERROR(__xludf.DUMMYFUNCTION("GOOGLETRANSLATE(B31284,""en"",""de"")"),"Jeder rennt nacheinander und versucht, das Ziel zu erreichen.")</f>
        <v>Jeder rennt nacheinander und versucht, das Ziel zu erreichen.</v>
      </c>
    </row>
    <row r="31285">
      <c r="A31285" s="4" t="s">
        <v>39392</v>
      </c>
      <c r="B31285" s="4" t="s">
        <v>39395</v>
      </c>
      <c r="C31285" s="5" t="str">
        <f>IFERROR(__xludf.DUMMYFUNCTION("GOOGLETRANSLATE(B31285,""en"",""de"")"),"Jeder läuft viel und versucht, das andere Team daran zu hindern, ein Tor zu erzielen.")</f>
        <v>Jeder läuft viel und versucht, das andere Team daran zu hindern, ein Tor zu erzielen.</v>
      </c>
    </row>
    <row r="31286">
      <c r="A31286" s="4" t="s">
        <v>39392</v>
      </c>
      <c r="B31286" s="4" t="s">
        <v>39396</v>
      </c>
      <c r="C31286" s="5" t="str">
        <f>IFERROR(__xludf.DUMMYFUNCTION("GOOGLETRANSLATE(B31286,""en"",""de"")"),"Das Mädchen im Roten sieht aus, als würde sie es fast schaffen, bevor sie wegläuft.")</f>
        <v>Das Mädchen im Roten sieht aus, als würde sie es fast schaffen, bevor sie wegläuft.</v>
      </c>
    </row>
    <row r="31287">
      <c r="A31287" s="4" t="s">
        <v>39397</v>
      </c>
      <c r="B31287" s="4" t="s">
        <v>39398</v>
      </c>
      <c r="C31287" s="5" t="str">
        <f>IFERROR(__xludf.DUMMYFUNCTION("GOOGLETRANSLATE(B31287,""en"",""de"")"),"Großer Wolkenkratzer mit einer tollen Aussicht.")</f>
        <v>Großer Wolkenkratzer mit einer tollen Aussicht.</v>
      </c>
    </row>
    <row r="31288">
      <c r="A31288" s="4" t="s">
        <v>39397</v>
      </c>
      <c r="B31288" s="4" t="s">
        <v>39399</v>
      </c>
      <c r="C31288" s="5" t="str">
        <f>IFERROR(__xludf.DUMMYFUNCTION("GOOGLETRANSLATE(B31288,""en"",""de"")"),"Männer reinigen das Fenster nach außen am Gerüst.")</f>
        <v>Männer reinigen das Fenster nach außen am Gerüst.</v>
      </c>
    </row>
    <row r="31289">
      <c r="A31289" s="4" t="s">
        <v>39400</v>
      </c>
      <c r="B31289" s="4" t="s">
        <v>39401</v>
      </c>
      <c r="C31289" s="5" t="str">
        <f>IFERROR(__xludf.DUMMYFUNCTION("GOOGLETRANSLATE(B31289,""en"",""de"")"),"Ein sportlicher Mann hält sich an einem Übungsgerät fest und kniete, während er mit der Kamera spricht.")</f>
        <v>Ein sportlicher Mann hält sich an einem Übungsgerät fest und kniete, während er mit der Kamera spricht.</v>
      </c>
    </row>
    <row r="31290">
      <c r="A31290" s="4" t="s">
        <v>39400</v>
      </c>
      <c r="B31290" s="4" t="s">
        <v>39402</v>
      </c>
      <c r="C31290" s="5" t="str">
        <f>IFERROR(__xludf.DUMMYFUNCTION("GOOGLETRANSLATE(B31290,""en"",""de"")"),"Er spricht weiter und bewegt seine Arme und den Körper zurück und den vierten Platz.")</f>
        <v>Er spricht weiter und bewegt seine Arme und den Körper zurück und den vierten Platz.</v>
      </c>
    </row>
    <row r="31291">
      <c r="A31291" s="4" t="s">
        <v>39403</v>
      </c>
      <c r="B31291" s="4" t="s">
        <v>39404</v>
      </c>
      <c r="C31291" s="5" t="str">
        <f>IFERROR(__xludf.DUMMYFUNCTION("GOOGLETRANSLATE(B31291,""en"",""de"")"),"Der Mann surft auf den Wellen und fällt ins Wasser.")</f>
        <v>Der Mann surft auf den Wellen und fällt ins Wasser.</v>
      </c>
    </row>
    <row r="31292">
      <c r="A31292" s="4" t="s">
        <v>39403</v>
      </c>
      <c r="B31292" s="4" t="s">
        <v>39405</v>
      </c>
      <c r="C31292" s="5" t="str">
        <f>IFERROR(__xludf.DUMMYFUNCTION("GOOGLETRANSLATE(B31292,""en"",""de"")"),"Der Mann surft, während andere Surfer hinter ihm sind.")</f>
        <v>Der Mann surft, während andere Surfer hinter ihm sind.</v>
      </c>
    </row>
    <row r="31293">
      <c r="A31293" s="4" t="s">
        <v>39403</v>
      </c>
      <c r="B31293" s="4" t="s">
        <v>39406</v>
      </c>
      <c r="C31293" s="5" t="str">
        <f>IFERROR(__xludf.DUMMYFUNCTION("GOOGLETRANSLATE(B31293,""en"",""de"")"),"Der Surfer surft über dem Wasser und fiel in der Nähe der Felsen.")</f>
        <v>Der Surfer surft über dem Wasser und fiel in der Nähe der Felsen.</v>
      </c>
    </row>
    <row r="31294">
      <c r="A31294" s="4" t="s">
        <v>39407</v>
      </c>
      <c r="B31294" s="4" t="s">
        <v>39408</v>
      </c>
      <c r="C31294" s="5" t="str">
        <f>IFERROR(__xludf.DUMMYFUNCTION("GOOGLETRANSLATE(B31294,""en"",""de"")"),"Männer sind in Fußballausrüstung gekleidet, die das Pepsi -Logo auf ihren Hemden haben und auf einem Grasfeld spielen.")</f>
        <v>Männer sind in Fußballausrüstung gekleidet, die das Pepsi -Logo auf ihren Hemden haben und auf einem Grasfeld spielen.</v>
      </c>
    </row>
    <row r="31295">
      <c r="A31295" s="4" t="s">
        <v>39407</v>
      </c>
      <c r="B31295" s="4" t="s">
        <v>39409</v>
      </c>
      <c r="C31295" s="5" t="str">
        <f>IFERROR(__xludf.DUMMYFUNCTION("GOOGLETRANSLATE(B31295,""en"",""de"")"),"Sehr große Sumos laufen mit ihrem eigenen Fußballball in der Hand auf dem Feld, und die Fußballmänner nähern sich ihnen und der Sumo zeigt auf den Pepsi -Kühler, der mit Soda gefüllt ist.")</f>
        <v>Sehr große Sumos laufen mit ihrem eigenen Fußballball in der Hand auf dem Feld, und die Fußballmänner nähern sich ihnen und der Sumo zeigt auf den Pepsi -Kühler, der mit Soda gefüllt ist.</v>
      </c>
    </row>
    <row r="31296">
      <c r="A31296" s="4" t="s">
        <v>39407</v>
      </c>
      <c r="B31296" s="4" t="s">
        <v>39410</v>
      </c>
      <c r="C31296" s="5" t="str">
        <f>IFERROR(__xludf.DUMMYFUNCTION("GOOGLETRANSLATE(B31296,""en"",""de"")"),"Die Männer und Sumos beginnen ein Fußballspiel gegeneinander und wenn ein Mann versucht, ein Tor zu erzielen, blockiert ein Sumo das gesamte Tor und in verschiedenen anderen Umschüssen gewinnt der Sumo, einschließlich eines Tores, als ein Sumo fiel und de"&amp;"r Fußball ins Netz flog.")</f>
        <v>Die Männer und Sumos beginnen ein Fußballspiel gegeneinander und wenn ein Mann versucht, ein Tor zu erzielen, blockiert ein Sumo das gesamte Tor und in verschiedenen anderen Umschüssen gewinnt der Sumo, einschließlich eines Tores, als ein Sumo fiel und der Fußball ins Netz flog.</v>
      </c>
    </row>
    <row r="31297">
      <c r="A31297" s="4" t="s">
        <v>39407</v>
      </c>
      <c r="B31297" s="4" t="s">
        <v>39411</v>
      </c>
      <c r="C31297" s="5" t="str">
        <f>IFERROR(__xludf.DUMMYFUNCTION("GOOGLETRANSLATE(B31297,""en"",""de"")"),"Ein Mann schnappt sich eine Pepsi -Dose und wirft ihn zu einem Sumo und alle Sumos laufen zum Kühler, trinken einen Pepsi, dann gehen sie mit dem Pepsi -Kühler davon.")</f>
        <v>Ein Mann schnappt sich eine Pepsi -Dose und wirft ihn zu einem Sumo und alle Sumos laufen zum Kühler, trinken einen Pepsi, dann gehen sie mit dem Pepsi -Kühler davon.</v>
      </c>
    </row>
    <row r="31298">
      <c r="A31298" s="4" t="s">
        <v>39412</v>
      </c>
      <c r="B31298" s="4" t="s">
        <v>39413</v>
      </c>
      <c r="C31298" s="5" t="str">
        <f>IFERROR(__xludf.DUMMYFUNCTION("GOOGLETRANSLATE(B31298,""en"",""de"")"),"Ein Mann wird gesehen, wie ein Mann mit der Kamera spricht, während es mehrere Spiele Ping Pong gespielt hat.")</f>
        <v>Ein Mann wird gesehen, wie ein Mann mit der Kamera spricht, während es mehrere Spiele Ping Pong gespielt hat.</v>
      </c>
    </row>
    <row r="31299">
      <c r="A31299" s="4" t="s">
        <v>39412</v>
      </c>
      <c r="B31299" s="4" t="s">
        <v>39414</v>
      </c>
      <c r="C31299" s="5" t="str">
        <f>IFERROR(__xludf.DUMMYFUNCTION("GOOGLETRANSLATE(B31299,""en"",""de"")"),"Der Mann schlägt weiter auf den Ball, während er mit der Kamera spricht und Ping -Pong -Werkzeuge hochhält.")</f>
        <v>Der Mann schlägt weiter auf den Ball, während er mit der Kamera spricht und Ping -Pong -Werkzeuge hochhält.</v>
      </c>
    </row>
    <row r="31300">
      <c r="A31300" s="4" t="s">
        <v>39412</v>
      </c>
      <c r="B31300" s="4" t="s">
        <v>39415</v>
      </c>
      <c r="C31300" s="5" t="str">
        <f>IFERROR(__xludf.DUMMYFUNCTION("GOOGLETRANSLATE(B31300,""en"",""de"")"),"Der Mann zeigt, wie man den Ball richtig schlägt und seinen Körper umsetzt und immer noch den Ball schlägt.")</f>
        <v>Der Mann zeigt, wie man den Ball richtig schlägt und seinen Körper umsetzt und immer noch den Ball schlägt.</v>
      </c>
    </row>
    <row r="31301">
      <c r="A31301" s="4" t="s">
        <v>39416</v>
      </c>
      <c r="B31301" s="4" t="s">
        <v>39417</v>
      </c>
      <c r="C31301" s="5" t="str">
        <f>IFERROR(__xludf.DUMMYFUNCTION("GOOGLETRANSLATE(B31301,""en"",""de"")"),"Es gibt einen Schweißer in einem blauen Hemd, der einen gelben Schutzhelm trägt und ein großes Metallrohr in einem Werkstatt schweißt.")</f>
        <v>Es gibt einen Schweißer in einem blauen Hemd, der einen gelben Schutzhelm trägt und ein großes Metallrohr in einem Werkstatt schweißt.</v>
      </c>
    </row>
    <row r="31302">
      <c r="A31302" s="4" t="s">
        <v>39416</v>
      </c>
      <c r="B31302" s="4" t="s">
        <v>39418</v>
      </c>
      <c r="C31302" s="5" t="str">
        <f>IFERROR(__xludf.DUMMYFUNCTION("GOOGLETRANSLATE(B31302,""en"",""de"")"),"Es gibt einen weiteren Schweißer, der einen blauen Schutzanzug und ein weißes Helmschweiß ein Metallstück auf einem Workshop -Tisch trägt.")</f>
        <v>Es gibt einen weiteren Schweißer, der einen blauen Schutzanzug und ein weißes Helmschweiß ein Metallstück auf einem Workshop -Tisch trägt.</v>
      </c>
    </row>
    <row r="31303">
      <c r="A31303" s="4" t="s">
        <v>39416</v>
      </c>
      <c r="B31303" s="4" t="s">
        <v>39419</v>
      </c>
      <c r="C31303" s="5" t="str">
        <f>IFERROR(__xludf.DUMMYFUNCTION("GOOGLETRANSLATE(B31303,""en"",""de"")"),"Er schweißt das Metallstück horizontal mit Präzision.")</f>
        <v>Er schweißt das Metallstück horizontal mit Präzision.</v>
      </c>
    </row>
    <row r="31304">
      <c r="A31304" s="4" t="s">
        <v>39416</v>
      </c>
      <c r="B31304" s="4" t="s">
        <v>39420</v>
      </c>
      <c r="C31304" s="5" t="str">
        <f>IFERROR(__xludf.DUMMYFUNCTION("GOOGLETRANSLATE(B31304,""en"",""de"")"),"Es gibt eine Schweißmaschine, die zeigt, wie sie bei hoher Temperatur bei schmelzendem Metall funktioniert.")</f>
        <v>Es gibt eine Schweißmaschine, die zeigt, wie sie bei hoher Temperatur bei schmelzendem Metall funktioniert.</v>
      </c>
    </row>
    <row r="31305">
      <c r="A31305" s="4" t="s">
        <v>39421</v>
      </c>
      <c r="B31305" s="4" t="s">
        <v>39422</v>
      </c>
      <c r="C31305" s="5" t="str">
        <f>IFERROR(__xludf.DUMMYFUNCTION("GOOGLETRANSLATE(B31305,""en"",""de"")"),"Ein junges Mädchen sitzt auf einem Bett, der mit der Kamera spricht, und führt in ihre aufführenden Gymnastik -Tricks auf einem Trampolin.")</f>
        <v>Ein junges Mädchen sitzt auf einem Bett, der mit der Kamera spricht, und führt in ihre aufführenden Gymnastik -Tricks auf einem Trampolin.</v>
      </c>
    </row>
    <row r="31306">
      <c r="A31306" s="4" t="s">
        <v>39421</v>
      </c>
      <c r="B31306" s="4" t="s">
        <v>39423</v>
      </c>
      <c r="C31306" s="5" t="str">
        <f>IFERROR(__xludf.DUMMYFUNCTION("GOOGLETRANSLATE(B31306,""en"",""de"")"),"Es werden mehr Aufnahmen von mehreren Mädchen gezeigt, die verschiedene Flips und Tricks auf einem Fitnessboden durchführen und mit einer Gruppe von Mädchen enden, die Cheerleading -Lifte machen.")</f>
        <v>Es werden mehr Aufnahmen von mehreren Mädchen gezeigt, die verschiedene Flips und Tricks auf einem Fitnessboden durchführen und mit einer Gruppe von Mädchen enden, die Cheerleading -Lifte machen.</v>
      </c>
    </row>
    <row r="31307">
      <c r="A31307" s="4" t="s">
        <v>39424</v>
      </c>
      <c r="B31307" s="4" t="s">
        <v>39425</v>
      </c>
      <c r="C31307" s="5" t="str">
        <f>IFERROR(__xludf.DUMMYFUNCTION("GOOGLETRANSLATE(B31307,""en"",""de"")"),"Ein Mädchen hält eine Zahnbürste bis zur Kamera.")</f>
        <v>Ein Mädchen hält eine Zahnbürste bis zur Kamera.</v>
      </c>
    </row>
    <row r="31308">
      <c r="A31308" s="4" t="s">
        <v>39424</v>
      </c>
      <c r="B31308" s="4" t="s">
        <v>39426</v>
      </c>
      <c r="C31308" s="5" t="str">
        <f>IFERROR(__xludf.DUMMYFUNCTION("GOOGLETRANSLATE(B31308,""en"",""de"")"),"Sie benutzt die Bürste, um ihre Zähne zu putzen.")</f>
        <v>Sie benutzt die Bürste, um ihre Zähne zu putzen.</v>
      </c>
    </row>
    <row r="31309">
      <c r="A31309" s="4" t="s">
        <v>39424</v>
      </c>
      <c r="B31309" s="4" t="s">
        <v>39427</v>
      </c>
      <c r="C31309" s="5" t="str">
        <f>IFERROR(__xludf.DUMMYFUNCTION("GOOGLETRANSLATE(B31309,""en"",""de"")"),"Sie schrubbt ihre Zähne für lange Zeit hin und her.")</f>
        <v>Sie schrubbt ihre Zähne für lange Zeit hin und her.</v>
      </c>
    </row>
    <row r="31310">
      <c r="A31310" s="4" t="s">
        <v>39428</v>
      </c>
      <c r="B31310" s="4" t="s">
        <v>39429</v>
      </c>
      <c r="C31310" s="5" t="str">
        <f>IFERROR(__xludf.DUMMYFUNCTION("GOOGLETRANSLATE(B31310,""en"",""de"")"),"Eine Person auf dem Bildschirm zeigt eine Box mit Sumo -Wrestling -Spielzeug an.")</f>
        <v>Eine Person auf dem Bildschirm zeigt eine Box mit Sumo -Wrestling -Spielzeug an.</v>
      </c>
    </row>
    <row r="31311">
      <c r="A31311" s="4" t="s">
        <v>39428</v>
      </c>
      <c r="B31311" s="4" t="s">
        <v>39430</v>
      </c>
      <c r="C31311" s="5" t="str">
        <f>IFERROR(__xludf.DUMMYFUNCTION("GOOGLETRANSLATE(B31311,""en"",""de"")"),"Die Person gibt eine Demonstration, wie man die Spielzeuge benutzt.")</f>
        <v>Die Person gibt eine Demonstration, wie man die Spielzeuge benutzt.</v>
      </c>
    </row>
    <row r="31312">
      <c r="A31312" s="4" t="s">
        <v>39428</v>
      </c>
      <c r="B31312" s="4" t="s">
        <v>39431</v>
      </c>
      <c r="C31312" s="5" t="str">
        <f>IFERROR(__xludf.DUMMYFUNCTION("GOOGLETRANSLATE(B31312,""en"",""de"")"),"Als nächstes führt die Person mehrere Demonstrationen des Sumo -Wrestling -Spielzeugssatzes mit Spielzeug sowie Spielzeug aus dem Set aus.")</f>
        <v>Als nächstes führt die Person mehrere Demonstrationen des Sumo -Wrestling -Spielzeugssatzes mit Spielzeug sowie Spielzeug aus dem Set aus.</v>
      </c>
    </row>
    <row r="31313">
      <c r="A31313" s="4" t="s">
        <v>39428</v>
      </c>
      <c r="B31313" s="4" t="s">
        <v>15945</v>
      </c>
      <c r="C31313" s="5" t="str">
        <f>IFERROR(__xludf.DUMMYFUNCTION("GOOGLETRANSLATE(B31313,""en"",""de"")"),"Am Ende des Videos werden die Schlusskredite angezeigt.")</f>
        <v>Am Ende des Videos werden die Schlusskredite angezeigt.</v>
      </c>
    </row>
    <row r="31314">
      <c r="A31314" s="4" t="s">
        <v>39432</v>
      </c>
      <c r="B31314" s="4" t="s">
        <v>39433</v>
      </c>
      <c r="C31314" s="5" t="str">
        <f>IFERROR(__xludf.DUMMYFUNCTION("GOOGLETRANSLATE(B31314,""en"",""de"")"),"Die Leute sehen zu, wie ein Turner ihre Routine ausführt.")</f>
        <v>Die Leute sehen zu, wie ein Turner ihre Routine ausführt.</v>
      </c>
    </row>
    <row r="31315">
      <c r="A31315" s="4" t="s">
        <v>39432</v>
      </c>
      <c r="B31315" s="4" t="s">
        <v>39434</v>
      </c>
      <c r="C31315" s="5" t="str">
        <f>IFERROR(__xludf.DUMMYFUNCTION("GOOGLETRANSLATE(B31315,""en"",""de"")"),"Der Turner steht auf der Seite des Balancestrahls.")</f>
        <v>Der Turner steht auf der Seite des Balancestrahls.</v>
      </c>
    </row>
    <row r="31316">
      <c r="A31316" s="4" t="s">
        <v>39432</v>
      </c>
      <c r="B31316" s="4" t="s">
        <v>39435</v>
      </c>
      <c r="C31316" s="5" t="str">
        <f>IFERROR(__xludf.DUMMYFUNCTION("GOOGLETRANSLATE(B31316,""en"",""de"")"),"Der Gyjmnast montiert den Strahl.")</f>
        <v>Der Gyjmnast montiert den Strahl.</v>
      </c>
    </row>
    <row r="31317">
      <c r="A31317" s="4" t="s">
        <v>39432</v>
      </c>
      <c r="B31317" s="4" t="s">
        <v>39436</v>
      </c>
      <c r="C31317" s="5" t="str">
        <f>IFERROR(__xludf.DUMMYFUNCTION("GOOGLETRANSLATE(B31317,""en"",""de"")"),"Der Turner führt ihre Routine auf dem Strahl durch.")</f>
        <v>Der Turner führt ihre Routine auf dem Strahl durch.</v>
      </c>
    </row>
    <row r="31318">
      <c r="A31318" s="4" t="s">
        <v>39432</v>
      </c>
      <c r="B31318" s="4" t="s">
        <v>39437</v>
      </c>
      <c r="C31318" s="5" t="str">
        <f>IFERROR(__xludf.DUMMYFUNCTION("GOOGLETRANSLATE(B31318,""en"",""de"")"),"Der Turner fällt fast, fängt sich aber auf.")</f>
        <v>Der Turner fällt fast, fängt sich aber auf.</v>
      </c>
    </row>
    <row r="31319">
      <c r="A31319" s="4" t="s">
        <v>39432</v>
      </c>
      <c r="B31319" s="4" t="s">
        <v>39438</v>
      </c>
      <c r="C31319" s="5" t="str">
        <f>IFERROR(__xludf.DUMMYFUNCTION("GOOGLETRANSLATE(B31319,""en"",""de"")"),"Der Turner steigt und landet auf der blauen Matte.")</f>
        <v>Der Turner steigt und landet auf der blauen Matte.</v>
      </c>
    </row>
    <row r="31320">
      <c r="A31320" s="4" t="s">
        <v>39439</v>
      </c>
      <c r="B31320" s="4" t="s">
        <v>39440</v>
      </c>
      <c r="C31320" s="5" t="str">
        <f>IFERROR(__xludf.DUMMYFUNCTION("GOOGLETRANSLATE(B31320,""en"",""de"")"),"Mehrere Clips von Leuten, die in einem großen Feld gegeneinander gegeneinander Kickball spielen.")</f>
        <v>Mehrere Clips von Leuten, die in einem großen Feld gegeneinander gegeneinander Kickball spielen.</v>
      </c>
    </row>
    <row r="31321">
      <c r="A31321" s="4" t="s">
        <v>39439</v>
      </c>
      <c r="B31321" s="4" t="s">
        <v>39441</v>
      </c>
      <c r="C31321" s="5" t="str">
        <f>IFERROR(__xludf.DUMMYFUNCTION("GOOGLETRANSLATE(B31321,""en"",""de"")"),"Es werden mehrere Clips gezeigt, von denen Menschen herumlaufen, den Ball fangen und werfen und nebenbei feiern.")</f>
        <v>Es werden mehrere Clips gezeigt, von denen Menschen herumlaufen, den Ball fangen und werfen und nebenbei feiern.</v>
      </c>
    </row>
    <row r="31322">
      <c r="A31322" s="4" t="s">
        <v>39442</v>
      </c>
      <c r="B31322" s="4" t="s">
        <v>39443</v>
      </c>
      <c r="C31322" s="5" t="str">
        <f>IFERROR(__xludf.DUMMYFUNCTION("GOOGLETRANSLATE(B31322,""en"",""de"")"),"Ein Mann legt Objekte an eine Wand und legt ein Brett entlang der Wand.")</f>
        <v>Ein Mann legt Objekte an eine Wand und legt ein Brett entlang der Wand.</v>
      </c>
    </row>
    <row r="31323">
      <c r="A31323" s="4" t="s">
        <v>39442</v>
      </c>
      <c r="B31323" s="4" t="s">
        <v>39444</v>
      </c>
      <c r="C31323" s="5" t="str">
        <f>IFERROR(__xludf.DUMMYFUNCTION("GOOGLETRANSLATE(B31323,""en"",""de"")"),"Er bewegt die Objekte weiter an der Wand und nagelt sie dann mit einer Nagelpistole und präsentiert die Regale, die er gemacht hat.")</f>
        <v>Er bewegt die Objekte weiter an der Wand und nagelt sie dann mit einer Nagelpistole und präsentiert die Regale, die er gemacht hat.</v>
      </c>
    </row>
    <row r="31324">
      <c r="A31324" s="4" t="s">
        <v>39445</v>
      </c>
      <c r="B31324" s="4" t="s">
        <v>39446</v>
      </c>
      <c r="C31324" s="5" t="str">
        <f>IFERROR(__xludf.DUMMYFUNCTION("GOOGLETRANSLATE(B31324,""en"",""de"")"),"Ein Mann spielt eine Bongo -Drum, die schnell seine Hände rund um das Instrument bewegt.")</f>
        <v>Ein Mann spielt eine Bongo -Drum, die schnell seine Hände rund um das Instrument bewegt.</v>
      </c>
    </row>
    <row r="31325">
      <c r="A31325" s="4" t="s">
        <v>39445</v>
      </c>
      <c r="B31325" s="4" t="s">
        <v>39447</v>
      </c>
      <c r="C31325" s="5" t="str">
        <f>IFERROR(__xludf.DUMMYFUNCTION("GOOGLETRANSLATE(B31325,""en"",""de"")"),"Er spielt kontinuierlich die Trommel, während er seine Augen in Konzentration schließt und endet, indem er schneller seine Hände schlägt.")</f>
        <v>Er spielt kontinuierlich die Trommel, während er seine Augen in Konzentration schließt und endet, indem er schneller seine Hände schlägt.</v>
      </c>
    </row>
    <row r="31326">
      <c r="A31326" s="4" t="s">
        <v>39448</v>
      </c>
      <c r="B31326" s="4" t="s">
        <v>39449</v>
      </c>
      <c r="C31326" s="5" t="str">
        <f>IFERROR(__xludf.DUMMYFUNCTION("GOOGLETRANSLATE(B31326,""en"",""de"")"),"Ein Paar Schuhe wird auf einem Tisch ausgestellt, während ein Mann und eine Frau ein Gespräch führen.")</f>
        <v>Ein Paar Schuhe wird auf einem Tisch ausgestellt, während ein Mann und eine Frau ein Gespräch führen.</v>
      </c>
    </row>
    <row r="31327">
      <c r="A31327" s="4" t="s">
        <v>39448</v>
      </c>
      <c r="B31327" s="4" t="s">
        <v>39450</v>
      </c>
      <c r="C31327" s="5" t="str">
        <f>IFERROR(__xludf.DUMMYFUNCTION("GOOGLETRANSLATE(B31327,""en"",""de"")"),"Eine Frau fordert einen Mann auf, das Wrestling zu arm.")</f>
        <v>Eine Frau fordert einen Mann auf, das Wrestling zu arm.</v>
      </c>
    </row>
    <row r="31328">
      <c r="A31328" s="4" t="s">
        <v>39448</v>
      </c>
      <c r="B31328" s="4" t="s">
        <v>39451</v>
      </c>
      <c r="C31328" s="5" t="str">
        <f>IFERROR(__xludf.DUMMYFUNCTION("GOOGLETRANSLATE(B31328,""en"",""de"")"),"Der Mann entfernt die Schuhe vom Tisch.")</f>
        <v>Der Mann entfernt die Schuhe vom Tisch.</v>
      </c>
    </row>
    <row r="31329">
      <c r="A31329" s="4" t="s">
        <v>39448</v>
      </c>
      <c r="B31329" s="4" t="s">
        <v>39452</v>
      </c>
      <c r="C31329" s="5" t="str">
        <f>IFERROR(__xludf.DUMMYFUNCTION("GOOGLETRANSLATE(B31329,""en"",""de"")"),"Die Frau und der Mann Arm ringen.")</f>
        <v>Die Frau und der Mann Arm ringen.</v>
      </c>
    </row>
    <row r="31330">
      <c r="A31330" s="4" t="s">
        <v>39448</v>
      </c>
      <c r="B31330" s="4" t="s">
        <v>39453</v>
      </c>
      <c r="C31330" s="5" t="str">
        <f>IFERROR(__xludf.DUMMYFUNCTION("GOOGLETRANSLATE(B31330,""en"",""de"")"),"Der Mann schlägt die Frau.")</f>
        <v>Der Mann schlägt die Frau.</v>
      </c>
    </row>
    <row r="31331">
      <c r="A31331" s="4" t="s">
        <v>39448</v>
      </c>
      <c r="B31331" s="4" t="s">
        <v>39454</v>
      </c>
      <c r="C31331" s="5" t="str">
        <f>IFERROR(__xludf.DUMMYFUNCTION("GOOGLETRANSLATE(B31331,""en"",""de"")"),"Er nimmt die Schuhe heraus und zeigt sie wieder auf den Tisch.")</f>
        <v>Er nimmt die Schuhe heraus und zeigt sie wieder auf den Tisch.</v>
      </c>
    </row>
    <row r="31332">
      <c r="A31332" s="4" t="s">
        <v>39448</v>
      </c>
      <c r="B31332" s="4" t="s">
        <v>39455</v>
      </c>
      <c r="C31332" s="5" t="str">
        <f>IFERROR(__xludf.DUMMYFUNCTION("GOOGLETRANSLATE(B31332,""en"",""de"")"),"Die Frau und der Mann lachen, während sie ein Gespräch führen.")</f>
        <v>Die Frau und der Mann lachen, während sie ein Gespräch führen.</v>
      </c>
    </row>
    <row r="31333">
      <c r="A31333" s="4" t="s">
        <v>39456</v>
      </c>
      <c r="B31333" s="4" t="s">
        <v>39457</v>
      </c>
      <c r="C31333" s="5" t="str">
        <f>IFERROR(__xludf.DUMMYFUNCTION("GOOGLETRANSLATE(B31333,""en"",""de"")"),"Eine Frau spricht in einem Fitnessstudio.")</f>
        <v>Eine Frau spricht in einem Fitnessstudio.</v>
      </c>
    </row>
    <row r="31334">
      <c r="A31334" s="4" t="s">
        <v>39456</v>
      </c>
      <c r="B31334" s="4" t="s">
        <v>39458</v>
      </c>
      <c r="C31334" s="5" t="str">
        <f>IFERROR(__xludf.DUMMYFUNCTION("GOOGLETRANSLATE(B31334,""en"",""de"")"),"Die Frau steht auf einer Fahrspur, dann rennt sie einen Weitsprung, der im Sand landet.")</f>
        <v>Die Frau steht auf einer Fahrspur, dann rennt sie einen Weitsprung, der im Sand landet.</v>
      </c>
    </row>
    <row r="31335">
      <c r="A31335" s="4" t="s">
        <v>39456</v>
      </c>
      <c r="B31335" s="4" t="s">
        <v>39459</v>
      </c>
      <c r="C31335" s="5" t="str">
        <f>IFERROR(__xludf.DUMMYFUNCTION("GOOGLETRANSLATE(B31335,""en"",""de"")"),"Der Sprung der Frau wird mehrmals wiederholt.")</f>
        <v>Der Sprung der Frau wird mehrmals wiederholt.</v>
      </c>
    </row>
    <row r="31336">
      <c r="A31336" s="4" t="s">
        <v>39460</v>
      </c>
      <c r="B31336" s="4" t="s">
        <v>39461</v>
      </c>
      <c r="C31336" s="5" t="str">
        <f>IFERROR(__xludf.DUMMYFUNCTION("GOOGLETRANSLATE(B31336,""en"",""de"")"),"Mehrere Menschen sind zu sehen, wie Kite entlang des Wassers surft und eine Tricks ausführt.")</f>
        <v>Mehrere Menschen sind zu sehen, wie Kite entlang des Wassers surft und eine Tricks ausführt.</v>
      </c>
    </row>
    <row r="31337">
      <c r="A31337" s="4" t="s">
        <v>39460</v>
      </c>
      <c r="B31337" s="4" t="s">
        <v>39462</v>
      </c>
      <c r="C31337" s="5" t="str">
        <f>IFERROR(__xludf.DUMMYFUNCTION("GOOGLETRANSLATE(B31337,""en"",""de"")"),"Weitere Leute führen Tricks durch und einer fallen von der Seite und klettern sofort wieder auf.")</f>
        <v>Weitere Leute führen Tricks durch und einer fallen von der Seite und klettern sofort wieder auf.</v>
      </c>
    </row>
    <row r="31338">
      <c r="A31338" s="4" t="s">
        <v>39463</v>
      </c>
      <c r="B31338" s="4" t="s">
        <v>39464</v>
      </c>
      <c r="C31338" s="5" t="str">
        <f>IFERROR(__xludf.DUMMYFUNCTION("GOOGLETRANSLATE(B31338,""en"",""de"")"),"Ein Kind malt ihre Zehennägel mit weißem Nagellack vor einem kleinen Kind.")</f>
        <v>Ein Kind malt ihre Zehennägel mit weißem Nagellack vor einem kleinen Kind.</v>
      </c>
    </row>
    <row r="31339">
      <c r="A31339" s="4" t="s">
        <v>39463</v>
      </c>
      <c r="B31339" s="4" t="s">
        <v>39465</v>
      </c>
      <c r="C31339" s="5" t="str">
        <f>IFERROR(__xludf.DUMMYFUNCTION("GOOGLETRANSLATE(B31339,""en"",""de"")"),"Eine Person betritt den Raum und geht auf den Kindern.")</f>
        <v>Eine Person betritt den Raum und geht auf den Kindern.</v>
      </c>
    </row>
    <row r="31340">
      <c r="A31340" s="4" t="s">
        <v>39463</v>
      </c>
      <c r="B31340" s="4" t="s">
        <v>39466</v>
      </c>
      <c r="C31340" s="5" t="str">
        <f>IFERROR(__xludf.DUMMYFUNCTION("GOOGLETRANSLATE(B31340,""en"",""de"")"),"Dann dreht sich das Kind um, um jemandem für eine Sekunde zuzuhören, und malt ihre Zehennägel weiter.")</f>
        <v>Dann dreht sich das Kind um, um jemandem für eine Sekunde zuzuhören, und malt ihre Zehennägel weiter.</v>
      </c>
    </row>
    <row r="31341">
      <c r="A31341" s="4" t="s">
        <v>39463</v>
      </c>
      <c r="B31341" s="4" t="s">
        <v>39467</v>
      </c>
      <c r="C31341" s="5" t="str">
        <f>IFERROR(__xludf.DUMMYFUNCTION("GOOGLETRANSLATE(B31341,""en"",""de"")"),"Danach berührt eine Hand zweimal die Rückseite des Kindes, das sich umdreht und dann ihre Zehennägel weiter malt.")</f>
        <v>Danach berührt eine Hand zweimal die Rückseite des Kindes, das sich umdreht und dann ihre Zehennägel weiter malt.</v>
      </c>
    </row>
    <row r="31342">
      <c r="A31342" s="4" t="s">
        <v>39468</v>
      </c>
      <c r="B31342" s="4" t="s">
        <v>39469</v>
      </c>
      <c r="C31342" s="5" t="str">
        <f>IFERROR(__xludf.DUMMYFUNCTION("GOOGLETRANSLATE(B31342,""en"",""de"")"),"Eine Person gießt Essig in ein Waschbecken auf ein Handtuch.")</f>
        <v>Eine Person gießt Essig in ein Waschbecken auf ein Handtuch.</v>
      </c>
    </row>
    <row r="31343">
      <c r="A31343" s="4" t="s">
        <v>39468</v>
      </c>
      <c r="B31343" s="4" t="s">
        <v>39470</v>
      </c>
      <c r="C31343" s="5" t="str">
        <f>IFERROR(__xludf.DUMMYFUNCTION("GOOGLETRANSLATE(B31343,""en"",""de"")"),"Die Person verwendet dann das Handtuch, um die Oberfläche der Spüle zu reiben.")</f>
        <v>Die Person verwendet dann das Handtuch, um die Oberfläche der Spüle zu reiben.</v>
      </c>
    </row>
    <row r="31344">
      <c r="A31344" s="4" t="s">
        <v>39468</v>
      </c>
      <c r="B31344" s="4" t="s">
        <v>39471</v>
      </c>
      <c r="C31344" s="5" t="str">
        <f>IFERROR(__xludf.DUMMYFUNCTION("GOOGLETRANSLATE(B31344,""en"",""de"")"),"Die Person lässt das Handtuch fallen und nimmt es auf.")</f>
        <v>Die Person lässt das Handtuch fallen und nimmt es auf.</v>
      </c>
    </row>
    <row r="31345">
      <c r="A31345" s="4" t="s">
        <v>39472</v>
      </c>
      <c r="B31345" s="4" t="s">
        <v>39473</v>
      </c>
      <c r="C31345" s="5" t="str">
        <f>IFERROR(__xludf.DUMMYFUNCTION("GOOGLETRANSLATE(B31345,""en"",""de"")"),"Eine Frau spricht mit der Kamera, während sie ihre Nägel zeigt und führt in sie ein Kontaktlinsen.")</f>
        <v>Eine Frau spricht mit der Kamera, während sie ihre Nägel zeigt und führt in sie ein Kontaktlinsen.</v>
      </c>
    </row>
    <row r="31346">
      <c r="A31346" s="4" t="s">
        <v>39472</v>
      </c>
      <c r="B31346" s="4" t="s">
        <v>39474</v>
      </c>
      <c r="C31346" s="5" t="str">
        <f>IFERROR(__xludf.DUMMYFUNCTION("GOOGLETRANSLATE(B31346,""en"",""de"")"),"Das Mädchen gießt dann Flüssigkeit in einen Behälter und zeigt, wie man ein Kontaktlinsen richtig einbringt und annimmt.")</f>
        <v>Das Mädchen gießt dann Flüssigkeit in einen Behälter und zeigt, wie man ein Kontaktlinsen richtig einbringt und annimmt.</v>
      </c>
    </row>
    <row r="31347">
      <c r="A31347" s="4" t="s">
        <v>39475</v>
      </c>
      <c r="B31347" s="4" t="s">
        <v>39476</v>
      </c>
      <c r="C31347" s="5" t="str">
        <f>IFERROR(__xludf.DUMMYFUNCTION("GOOGLETRANSLATE(B31347,""en"",""de"")"),"Frau spricht mit der Kamera, die eine große Katze an ihren Beinen hält, die in einem Katzenkissen sitzt und seinen Kopf streichelt.")</f>
        <v>Frau spricht mit der Kamera, die eine große Katze an ihren Beinen hält, die in einem Katzenkissen sitzt und seinen Kopf streichelt.</v>
      </c>
    </row>
    <row r="31348">
      <c r="A31348" s="4" t="s">
        <v>39475</v>
      </c>
      <c r="B31348" s="4" t="s">
        <v>39477</v>
      </c>
      <c r="C31348" s="5" t="str">
        <f>IFERROR(__xludf.DUMMYFUNCTION("GOOGLETRANSLATE(B31348,""en"",""de"")"),"Die Frau hält einen Nagelschneider und schneidet die Nägel der Katze und erklärt den richtigen Weg, dies zu tun.")</f>
        <v>Die Frau hält einen Nagelschneider und schneidet die Nägel der Katze und erklärt den richtigen Weg, dies zu tun.</v>
      </c>
    </row>
    <row r="31349">
      <c r="A31349" s="4" t="s">
        <v>39478</v>
      </c>
      <c r="B31349" s="4" t="s">
        <v>39479</v>
      </c>
      <c r="C31349" s="5" t="str">
        <f>IFERROR(__xludf.DUMMYFUNCTION("GOOGLETRANSLATE(B31349,""en"",""de"")"),"Eine Person, die Wasserski im Wasser hält und ein Seil an einem Boot im Fluss befestigt ist.")</f>
        <v>Eine Person, die Wasserski im Wasser hält und ein Seil an einem Boot im Fluss befestigt ist.</v>
      </c>
    </row>
    <row r="31350">
      <c r="A31350" s="4" t="s">
        <v>39478</v>
      </c>
      <c r="B31350" s="4" t="s">
        <v>39480</v>
      </c>
      <c r="C31350" s="5" t="str">
        <f>IFERROR(__xludf.DUMMYFUNCTION("GOOGLETRANSLATE(B31350,""en"",""de"")"),"Die Person passieren vor einem Boot im Fluss, während die Waterskiing.")</f>
        <v>Die Person passieren vor einem Boot im Fluss, während die Waterskiing.</v>
      </c>
    </row>
    <row r="31351">
      <c r="A31351" s="4" t="s">
        <v>39478</v>
      </c>
      <c r="B31351" s="4" t="s">
        <v>39481</v>
      </c>
      <c r="C31351" s="5" t="str">
        <f>IFERROR(__xludf.DUMMYFUNCTION("GOOGLETRANSLATE(B31351,""en"",""de"")"),"Dann gibt die Person während der Durchführung von Wasserskii einen Daumen auf, nachdem die Person Waterskiing fortgesetzt hat.")</f>
        <v>Dann gibt die Person während der Durchführung von Wasserskii einen Daumen auf, nachdem die Person Waterskiing fortgesetzt hat.</v>
      </c>
    </row>
    <row r="31352">
      <c r="A31352" s="4" t="s">
        <v>39478</v>
      </c>
      <c r="B31352" s="4" t="s">
        <v>39482</v>
      </c>
      <c r="C31352" s="5" t="str">
        <f>IFERROR(__xludf.DUMMYFUNCTION("GOOGLETRANSLATE(B31352,""en"",""de"")"),"Dann schwimmt das Surfbrett auf einer Metallstruktur auf der Vorderseite.")</f>
        <v>Dann schwimmt das Surfbrett auf einer Metallstruktur auf der Vorderseite.</v>
      </c>
    </row>
    <row r="31353">
      <c r="A31353" s="4" t="s">
        <v>39483</v>
      </c>
      <c r="B31353" s="4" t="s">
        <v>39484</v>
      </c>
      <c r="C31353" s="5" t="str">
        <f>IFERROR(__xludf.DUMMYFUNCTION("GOOGLETRANSLATE(B31353,""en"",""de"")"),"Ein Trainer, der einen nassen Anzug trägt, gibt einem Walross -Leckereien und der Walross nickt zu Beginn einer Show vor Aufregung in der Stadt.")</f>
        <v>Ein Trainer, der einen nassen Anzug trägt, gibt einem Walross -Leckereien und der Walross nickt zu Beginn einer Show vor Aufregung in der Stadt.</v>
      </c>
    </row>
    <row r="31354">
      <c r="A31354" s="4" t="s">
        <v>39483</v>
      </c>
      <c r="B31354" s="4" t="s">
        <v>39485</v>
      </c>
      <c r="C31354" s="5" t="str">
        <f>IFERROR(__xludf.DUMMYFUNCTION("GOOGLETRANSLATE(B31354,""en"",""de"")"),"Der Trainer spielt ein kleines Saxophon und das Walross nickt und hat einen Vergnügen.")</f>
        <v>Der Trainer spielt ein kleines Saxophon und das Walross nickt und hat einen Vergnügen.</v>
      </c>
    </row>
    <row r="31355">
      <c r="A31355" s="4" t="s">
        <v>39483</v>
      </c>
      <c r="B31355" s="4" t="s">
        <v>39486</v>
      </c>
      <c r="C31355" s="5" t="str">
        <f>IFERROR(__xludf.DUMMYFUNCTION("GOOGLETRANSLATE(B31355,""en"",""de"")"),"Der Walross erhält das Saxophon und spielt ihn beim Tanzen mit dem Trainer.")</f>
        <v>Der Walross erhält das Saxophon und spielt ihn beim Tanzen mit dem Trainer.</v>
      </c>
    </row>
    <row r="31356">
      <c r="A31356" s="4" t="s">
        <v>39487</v>
      </c>
      <c r="B31356" s="4" t="s">
        <v>39488</v>
      </c>
      <c r="C31356" s="5" t="str">
        <f>IFERROR(__xludf.DUMMYFUNCTION("GOOGLETRANSLATE(B31356,""en"",""de"")"),"Die Hände einer Person zeigen, wie man eine blonde Puppe styelt und kämmt.")</f>
        <v>Die Hände einer Person zeigen, wie man eine blonde Puppe styelt und kämmt.</v>
      </c>
    </row>
    <row r="31357">
      <c r="A31357" s="4" t="s">
        <v>39487</v>
      </c>
      <c r="B31357" s="4" t="s">
        <v>39489</v>
      </c>
      <c r="C31357" s="5" t="str">
        <f>IFERROR(__xludf.DUMMYFUNCTION("GOOGLETRANSLATE(B31357,""en"",""de"")"),"Die Hand der Person beginnt, die Haare der Puppe mit einem rosa Borstenpinsel zu bürsten, bevor eine Flasche Haarstylingprodukt hochhält.")</f>
        <v>Die Hand der Person beginnt, die Haare der Puppe mit einem rosa Borstenpinsel zu bürsten, bevor eine Flasche Haarstylingprodukt hochhält.</v>
      </c>
    </row>
    <row r="31358">
      <c r="A31358" s="4" t="s">
        <v>39487</v>
      </c>
      <c r="B31358" s="4" t="s">
        <v>39490</v>
      </c>
      <c r="C31358" s="5" t="str">
        <f>IFERROR(__xludf.DUMMYFUNCTION("GOOGLETRANSLATE(B31358,""en"",""de"")"),"Die Hand spricht einige der Frisurenprodukte auf das Haar der Puppe und verläuft dann wieder das Haar.")</f>
        <v>Die Hand spricht einige der Frisurenprodukte auf das Haar der Puppe und verläuft dann wieder das Haar.</v>
      </c>
    </row>
    <row r="31359">
      <c r="A31359" s="4" t="s">
        <v>39487</v>
      </c>
      <c r="B31359" s="4" t="s">
        <v>39491</v>
      </c>
      <c r="C31359" s="5" t="str">
        <f>IFERROR(__xludf.DUMMYFUNCTION("GOOGLETRANSLATE(B31359,""en"",""de"")"),"Die Hand dreht dann die Puppe um, um den fertigen Stil zu präsentieren. Die Hand zeigt auch in Bereiche um das Puppenhaar.")</f>
        <v>Die Hand dreht dann die Puppe um, um den fertigen Stil zu präsentieren. Die Hand zeigt auch in Bereiche um das Puppenhaar.</v>
      </c>
    </row>
    <row r="31360">
      <c r="A31360" s="4" t="s">
        <v>39492</v>
      </c>
      <c r="B31360" s="4" t="s">
        <v>39493</v>
      </c>
      <c r="C31360" s="5" t="str">
        <f>IFERROR(__xludf.DUMMYFUNCTION("GOOGLETRANSLATE(B31360,""en"",""de"")"),"Ein Segelboot mit dunkelroten Pflaumensegel fährt auf dem Ozean.")</f>
        <v>Ein Segelboot mit dunkelroten Pflaumensegel fährt auf dem Ozean.</v>
      </c>
    </row>
    <row r="31361">
      <c r="A31361" s="4" t="s">
        <v>39492</v>
      </c>
      <c r="B31361" s="4" t="s">
        <v>39494</v>
      </c>
      <c r="C31361" s="5" t="str">
        <f>IFERROR(__xludf.DUMMYFUNCTION("GOOGLETRANSLATE(B31361,""en"",""de"")"),"Das Boot dreht sich und wir sehen es von hinten, als wir uns zur linken Seite bewegen.")</f>
        <v>Das Boot dreht sich und wir sehen es von hinten, als wir uns zur linken Seite bewegen.</v>
      </c>
    </row>
    <row r="31362">
      <c r="A31362" s="4" t="s">
        <v>39492</v>
      </c>
      <c r="B31362" s="4" t="s">
        <v>39495</v>
      </c>
      <c r="C31362" s="5" t="str">
        <f>IFERROR(__xludf.DUMMYFUNCTION("GOOGLETRANSLATE(B31362,""en"",""de"")"),"Die Kamera vergrößert ein und aus und blitzt dann in einen anderen Winkel.")</f>
        <v>Die Kamera vergrößert ein und aus und blitzt dann in einen anderen Winkel.</v>
      </c>
    </row>
    <row r="31363">
      <c r="A31363" s="4" t="s">
        <v>39492</v>
      </c>
      <c r="B31363" s="4" t="s">
        <v>39496</v>
      </c>
      <c r="C31363" s="5" t="str">
        <f>IFERROR(__xludf.DUMMYFUNCTION("GOOGLETRANSLATE(B31363,""en"",""de"")"),"Wir sehen die Credits über das Video.")</f>
        <v>Wir sehen die Credits über das Video.</v>
      </c>
    </row>
    <row r="31364">
      <c r="A31364" s="4" t="s">
        <v>39497</v>
      </c>
      <c r="B31364" s="4" t="s">
        <v>39498</v>
      </c>
      <c r="C31364" s="5" t="str">
        <f>IFERROR(__xludf.DUMMYFUNCTION("GOOGLETRANSLATE(B31364,""en"",""de"")"),"Ein Mann schwingt seine Arme um seinen Kopf.")</f>
        <v>Ein Mann schwingt seine Arme um seinen Kopf.</v>
      </c>
    </row>
    <row r="31365">
      <c r="A31365" s="4" t="s">
        <v>39497</v>
      </c>
      <c r="B31365" s="4" t="s">
        <v>39499</v>
      </c>
      <c r="C31365" s="5" t="str">
        <f>IFERROR(__xludf.DUMMYFUNCTION("GOOGLETRANSLATE(B31365,""en"",""de"")"),"Er dreht seinen ganzen Körper dünn.")</f>
        <v>Er dreht seinen ganzen Körper dünn.</v>
      </c>
    </row>
    <row r="31366">
      <c r="A31366" s="4" t="s">
        <v>39497</v>
      </c>
      <c r="B31366" s="4" t="s">
        <v>39500</v>
      </c>
      <c r="C31366" s="5" t="str">
        <f>IFERROR(__xludf.DUMMYFUNCTION("GOOGLETRANSLATE(B31366,""en"",""de"")"),"Der Mann löst den Hammer frei und senkt seine Arme.")</f>
        <v>Der Mann löst den Hammer frei und senkt seine Arme.</v>
      </c>
    </row>
    <row r="31367">
      <c r="A31367" s="4" t="s">
        <v>39501</v>
      </c>
      <c r="B31367" s="4" t="s">
        <v>39502</v>
      </c>
      <c r="C31367" s="5" t="str">
        <f>IFERROR(__xludf.DUMMYFUNCTION("GOOGLETRANSLATE(B31367,""en"",""de"")"),"Ein Mann und eine Frau dekorieren einen Weihnachtsbaum aus Dekorationen im Raum im Sped-up-Video.")</f>
        <v>Ein Mann und eine Frau dekorieren einen Weihnachtsbaum aus Dekorationen im Raum im Sped-up-Video.</v>
      </c>
    </row>
    <row r="31368">
      <c r="A31368" s="4" t="s">
        <v>39501</v>
      </c>
      <c r="B31368" s="4" t="s">
        <v>39503</v>
      </c>
      <c r="C31368" s="5" t="str">
        <f>IFERROR(__xludf.DUMMYFUNCTION("GOOGLETRANSLATE(B31368,""en"",""de"")"),"Ein Hund geht durch den Kamera -Rahmen.")</f>
        <v>Ein Hund geht durch den Kamera -Rahmen.</v>
      </c>
    </row>
    <row r="31369">
      <c r="A31369" s="4" t="s">
        <v>39501</v>
      </c>
      <c r="B31369" s="4" t="s">
        <v>39504</v>
      </c>
      <c r="C31369" s="5" t="str">
        <f>IFERROR(__xludf.DUMMYFUNCTION("GOOGLETRANSLATE(B31369,""en"",""de"")"),"Der Mann verlässt den Kamerarahmen.")</f>
        <v>Der Mann verlässt den Kamerarahmen.</v>
      </c>
    </row>
    <row r="31370">
      <c r="A31370" s="4" t="s">
        <v>39501</v>
      </c>
      <c r="B31370" s="4" t="s">
        <v>39505</v>
      </c>
      <c r="C31370" s="5" t="str">
        <f>IFERROR(__xludf.DUMMYFUNCTION("GOOGLETRANSLATE(B31370,""en"",""de"")"),"Der Mann kehrt zur Dekoration mit einem Weihnachtsmut zurück.")</f>
        <v>Der Mann kehrt zur Dekoration mit einem Weihnachtsmut zurück.</v>
      </c>
    </row>
    <row r="31371">
      <c r="A31371" s="4" t="s">
        <v>39501</v>
      </c>
      <c r="B31371" s="4" t="s">
        <v>39506</v>
      </c>
      <c r="C31371" s="5" t="str">
        <f>IFERROR(__xludf.DUMMYFUNCTION("GOOGLETRANSLATE(B31371,""en"",""de"")"),"Der Mann steht auf einem Stuhl, um eine Dekoration oben auf dem Baum zu stellen.")</f>
        <v>Der Mann steht auf einem Stuhl, um eine Dekoration oben auf dem Baum zu stellen.</v>
      </c>
    </row>
    <row r="31372">
      <c r="A31372" s="4" t="s">
        <v>39501</v>
      </c>
      <c r="B31372" s="4" t="s">
        <v>39507</v>
      </c>
      <c r="C31372" s="5" t="str">
        <f>IFERROR(__xludf.DUMMYFUNCTION("GOOGLETRANSLATE(B31372,""en"",""de"")"),"Der fertige Baum wird selbst angezeigt.")</f>
        <v>Der fertige Baum wird selbst angezeigt.</v>
      </c>
    </row>
    <row r="31373">
      <c r="A31373" s="4" t="s">
        <v>39508</v>
      </c>
      <c r="B31373" s="4" t="s">
        <v>39509</v>
      </c>
      <c r="C31373" s="5" t="str">
        <f>IFERROR(__xludf.DUMMYFUNCTION("GOOGLETRANSLATE(B31373,""en"",""de"")"),"Zwei Menschen stehen am Wasser am Wasser.")</f>
        <v>Zwei Menschen stehen am Wasser am Wasser.</v>
      </c>
    </row>
    <row r="31374">
      <c r="A31374" s="4" t="s">
        <v>39508</v>
      </c>
      <c r="B31374" s="4" t="s">
        <v>39510</v>
      </c>
      <c r="C31374" s="5" t="str">
        <f>IFERROR(__xludf.DUMMYFUNCTION("GOOGLETRANSLATE(B31374,""en"",""de"")"),"Er stellt es ins Wasser und reitet es, es geht ziemlich schnell.")</f>
        <v>Er stellt es ins Wasser und reitet es, es geht ziemlich schnell.</v>
      </c>
    </row>
    <row r="31375">
      <c r="A31375" s="4" t="s">
        <v>39508</v>
      </c>
      <c r="B31375" s="4" t="s">
        <v>39511</v>
      </c>
      <c r="C31375" s="5" t="str">
        <f>IFERROR(__xludf.DUMMYFUNCTION("GOOGLETRANSLATE(B31375,""en"",""de"")"),"Er dreht es ein paar Mal um und geht an einer anderen anderen an einem anderen vorbei.")</f>
        <v>Er dreht es ein paar Mal um und geht an einer anderen anderen an einem anderen vorbei.</v>
      </c>
    </row>
    <row r="31376">
      <c r="A31376" s="4" t="s">
        <v>39508</v>
      </c>
      <c r="B31376" s="4" t="s">
        <v>39512</v>
      </c>
      <c r="C31376" s="5" t="str">
        <f>IFERROR(__xludf.DUMMYFUNCTION("GOOGLETRANSLATE(B31376,""en"",""de"")"),"Er steigt aus und geht mit ihm über seinem Kopf auf ein Feld.")</f>
        <v>Er steigt aus und geht mit ihm über seinem Kopf auf ein Feld.</v>
      </c>
    </row>
    <row r="31377">
      <c r="A31377" s="4" t="s">
        <v>39513</v>
      </c>
      <c r="B31377" s="4" t="s">
        <v>39514</v>
      </c>
      <c r="C31377" s="5" t="str">
        <f>IFERROR(__xludf.DUMMYFUNCTION("GOOGLETRANSLATE(B31377,""en"",""de"")"),"Ein Mann, der Handschuhe trägt, befindet sich in einem Gebäude.")</f>
        <v>Ein Mann, der Handschuhe trägt, befindet sich in einem Gebäude.</v>
      </c>
    </row>
    <row r="31378">
      <c r="A31378" s="4" t="s">
        <v>39513</v>
      </c>
      <c r="B31378" s="4" t="s">
        <v>39515</v>
      </c>
      <c r="C31378" s="5" t="str">
        <f>IFERROR(__xludf.DUMMYFUNCTION("GOOGLETRANSLATE(B31378,""en"",""de"")"),"Er rollt einen Teppich hoch und legt ihn beiseite.")</f>
        <v>Er rollt einen Teppich hoch und legt ihn beiseite.</v>
      </c>
    </row>
    <row r="31379">
      <c r="A31379" s="4" t="s">
        <v>39513</v>
      </c>
      <c r="B31379" s="4" t="s">
        <v>39516</v>
      </c>
      <c r="C31379" s="5" t="str">
        <f>IFERROR(__xludf.DUMMYFUNCTION("GOOGLETRANSLATE(B31379,""en"",""de"")"),"Dann fegt und mops er die Böden, bis sie sauber sind.")</f>
        <v>Dann fegt und mops er die Böden, bis sie sauber sind.</v>
      </c>
    </row>
    <row r="31380">
      <c r="A31380" s="4" t="s">
        <v>39517</v>
      </c>
      <c r="B31380" s="4" t="s">
        <v>39518</v>
      </c>
      <c r="C31380" s="5" t="str">
        <f>IFERROR(__xludf.DUMMYFUNCTION("GOOGLETRANSLATE(B31380,""en"",""de"")"),"Ein Logo wird kurz auf dem Bildschirm angezeigt.")</f>
        <v>Ein Logo wird kurz auf dem Bildschirm angezeigt.</v>
      </c>
    </row>
    <row r="31381">
      <c r="A31381" s="4" t="s">
        <v>39517</v>
      </c>
      <c r="B31381" s="4" t="s">
        <v>39519</v>
      </c>
      <c r="C31381" s="5" t="str">
        <f>IFERROR(__xludf.DUMMYFUNCTION("GOOGLETRANSLATE(B31381,""en"",""de"")"),"Ein Mann spricht mit einer Gruppe, während er in einem Floß steht.")</f>
        <v>Ein Mann spricht mit einer Gruppe, während er in einem Floß steht.</v>
      </c>
    </row>
    <row r="31382">
      <c r="A31382" s="4" t="s">
        <v>39517</v>
      </c>
      <c r="B31382" s="4" t="s">
        <v>39520</v>
      </c>
      <c r="C31382" s="5" t="str">
        <f>IFERROR(__xludf.DUMMYFUNCTION("GOOGLETRANSLATE(B31382,""en"",""de"")"),"Eine Gruppe von Menschen raftet Flüsse mit Stromschnellen.")</f>
        <v>Eine Gruppe von Menschen raftet Flüsse mit Stromschnellen.</v>
      </c>
    </row>
    <row r="31383">
      <c r="A31383" s="4" t="s">
        <v>39517</v>
      </c>
      <c r="B31383" s="4" t="s">
        <v>39521</v>
      </c>
      <c r="C31383" s="5" t="str">
        <f>IFERROR(__xludf.DUMMYFUNCTION("GOOGLETRANSLATE(B31383,""en"",""de"")"),"Sie jubeln, indem sie ihre Paddel heben.")</f>
        <v>Sie jubeln, indem sie ihre Paddel heben.</v>
      </c>
    </row>
    <row r="31384">
      <c r="A31384" s="4" t="s">
        <v>39517</v>
      </c>
      <c r="B31384" s="4" t="s">
        <v>39522</v>
      </c>
      <c r="C31384" s="5" t="str">
        <f>IFERROR(__xludf.DUMMYFUNCTION("GOOGLETRANSLATE(B31384,""en"",""de"")"),"Sie flogen weiterhin den Fluss hinunter.")</f>
        <v>Sie flogen weiterhin den Fluss hinunter.</v>
      </c>
    </row>
    <row r="31385">
      <c r="A31385" s="4" t="s">
        <v>39517</v>
      </c>
      <c r="B31385" s="4" t="s">
        <v>39523</v>
      </c>
      <c r="C31385" s="5" t="str">
        <f>IFERROR(__xludf.DUMMYFUNCTION("GOOGLETRANSLATE(B31385,""en"",""de"")"),"Es reduziert die Menschen auf der Bank auf einem Campingplatz.")</f>
        <v>Es reduziert die Menschen auf der Bank auf einem Campingplatz.</v>
      </c>
    </row>
    <row r="31386">
      <c r="A31386" s="4" t="s">
        <v>39517</v>
      </c>
      <c r="B31386" s="4" t="s">
        <v>39524</v>
      </c>
      <c r="C31386" s="5" t="str">
        <f>IFERROR(__xludf.DUMMYFUNCTION("GOOGLETRANSLATE(B31386,""en"",""de"")"),"Die Leute raften wieder den Fluss hinunter.")</f>
        <v>Die Leute raften wieder den Fluss hinunter.</v>
      </c>
    </row>
    <row r="31387">
      <c r="A31387" s="4" t="s">
        <v>39517</v>
      </c>
      <c r="B31387" s="4" t="s">
        <v>39525</v>
      </c>
      <c r="C31387" s="5" t="str">
        <f>IFERROR(__xludf.DUMMYFUNCTION("GOOGLETRANSLATE(B31387,""en"",""de"")"),"Eine Person kajak den Fluss hinunter.")</f>
        <v>Eine Person kajak den Fluss hinunter.</v>
      </c>
    </row>
    <row r="31388">
      <c r="A31388" s="4" t="s">
        <v>39517</v>
      </c>
      <c r="B31388" s="4" t="s">
        <v>39526</v>
      </c>
      <c r="C31388" s="5" t="str">
        <f>IFERROR(__xludf.DUMMYFUNCTION("GOOGLETRANSLATE(B31388,""en"",""de"")"),"Eine andere Person kasiert den Fluss hinunter.")</f>
        <v>Eine andere Person kasiert den Fluss hinunter.</v>
      </c>
    </row>
    <row r="31389">
      <c r="A31389" s="4" t="s">
        <v>39517</v>
      </c>
      <c r="B31389" s="4" t="s">
        <v>39527</v>
      </c>
      <c r="C31389" s="5" t="str">
        <f>IFERROR(__xludf.DUMMYFUNCTION("GOOGLETRANSLATE(B31389,""en"",""de"")"),"Eine andere Gruppe fließt den Fluss hinunter.")</f>
        <v>Eine andere Gruppe fließt den Fluss hinunter.</v>
      </c>
    </row>
    <row r="31390">
      <c r="A31390" s="4" t="s">
        <v>39517</v>
      </c>
      <c r="B31390" s="4" t="s">
        <v>39528</v>
      </c>
      <c r="C31390" s="5" t="str">
        <f>IFERROR(__xludf.DUMMYFUNCTION("GOOGLETRANSLATE(B31390,""en"",""de"")"),"Es zeigt Affen auf der Bank.")</f>
        <v>Es zeigt Affen auf der Bank.</v>
      </c>
    </row>
    <row r="31391">
      <c r="A31391" s="4" t="s">
        <v>39517</v>
      </c>
      <c r="B31391" s="4" t="s">
        <v>39529</v>
      </c>
      <c r="C31391" s="5" t="str">
        <f>IFERROR(__xludf.DUMMYFUNCTION("GOOGLETRANSLATE(B31391,""en"",""de"")"),"Die Leute werden von einem Wasserfall bespritzt.")</f>
        <v>Die Leute werden von einem Wasserfall bespritzt.</v>
      </c>
    </row>
    <row r="31392">
      <c r="A31392" s="4" t="s">
        <v>39517</v>
      </c>
      <c r="B31392" s="4" t="s">
        <v>39530</v>
      </c>
      <c r="C31392" s="5" t="str">
        <f>IFERROR(__xludf.DUMMYFUNCTION("GOOGLETRANSLATE(B31392,""en"",""de"")"),"Es schneidet das Logo und die Informationen.")</f>
        <v>Es schneidet das Logo und die Informationen.</v>
      </c>
    </row>
    <row r="31393">
      <c r="A31393" s="4" t="s">
        <v>39531</v>
      </c>
      <c r="B31393" s="4" t="s">
        <v>39532</v>
      </c>
      <c r="C31393" s="5" t="str">
        <f>IFERROR(__xludf.DUMMYFUNCTION("GOOGLETRANSLATE(B31393,""en"",""de"")"),"Zwei Frauen stehen vor einem Weihnachtsbaum mit kleinen Kindern, die ebenfalls anwesend sind.")</f>
        <v>Zwei Frauen stehen vor einem Weihnachtsbaum mit kleinen Kindern, die ebenfalls anwesend sind.</v>
      </c>
    </row>
    <row r="31394">
      <c r="A31394" s="4" t="s">
        <v>39531</v>
      </c>
      <c r="B31394" s="4" t="s">
        <v>39533</v>
      </c>
      <c r="C31394" s="5" t="str">
        <f>IFERROR(__xludf.DUMMYFUNCTION("GOOGLETRANSLATE(B31394,""en"",""de"")"),"Die Menschen bewegen sich dann alle umeinander und legen Ornamente in schneller Bewegung auf den Baum.")</f>
        <v>Die Menschen bewegen sich dann alle umeinander und legen Ornamente in schneller Bewegung auf den Baum.</v>
      </c>
    </row>
    <row r="31395">
      <c r="A31395" s="4" t="s">
        <v>39531</v>
      </c>
      <c r="B31395" s="4" t="s">
        <v>39534</v>
      </c>
      <c r="C31395" s="5" t="str">
        <f>IFERROR(__xludf.DUMMYFUNCTION("GOOGLETRANSLATE(B31395,""en"",""de"")"),"Die Mädchen legen weiterhin Gegenstände auf den Baum und enden, indem sie zur Kamera lächeln.")</f>
        <v>Die Mädchen legen weiterhin Gegenstände auf den Baum und enden, indem sie zur Kamera lächeln.</v>
      </c>
    </row>
    <row r="31396">
      <c r="A31396" s="4" t="s">
        <v>39535</v>
      </c>
      <c r="B31396" s="4" t="s">
        <v>39536</v>
      </c>
      <c r="C31396" s="5" t="str">
        <f>IFERROR(__xludf.DUMMYFUNCTION("GOOGLETRANSLATE(B31396,""en"",""de"")"),"Ein Mann sitzt auf einem Stuhl neben einem Talkshow -Gastgeber.")</f>
        <v>Ein Mann sitzt auf einem Stuhl neben einem Talkshow -Gastgeber.</v>
      </c>
    </row>
    <row r="31397">
      <c r="A31397" s="4" t="s">
        <v>39535</v>
      </c>
      <c r="B31397" s="4" t="s">
        <v>39537</v>
      </c>
      <c r="C31397" s="5" t="str">
        <f>IFERROR(__xludf.DUMMYFUNCTION("GOOGLETRANSLATE(B31397,""en"",""de"")"),"Eine Frau veranstaltet ein Bier -Pong -Turnier, und die beiden Männer gehen zum Tisch.")</f>
        <v>Eine Frau veranstaltet ein Bier -Pong -Turnier, und die beiden Männer gehen zum Tisch.</v>
      </c>
    </row>
    <row r="31398">
      <c r="A31398" s="4" t="s">
        <v>39535</v>
      </c>
      <c r="B31398" s="4" t="s">
        <v>39538</v>
      </c>
      <c r="C31398" s="5" t="str">
        <f>IFERROR(__xludf.DUMMYFUNCTION("GOOGLETRANSLATE(B31398,""en"",""de"")"),"Sie trinken und versuchen, die Bälle in die Tassen zu werfen.")</f>
        <v>Sie trinken und versuchen, die Bälle in die Tassen zu werfen.</v>
      </c>
    </row>
    <row r="31399">
      <c r="A31399" s="4" t="s">
        <v>39535</v>
      </c>
      <c r="B31399" s="4" t="s">
        <v>39539</v>
      </c>
      <c r="C31399" s="5" t="str">
        <f>IFERROR(__xludf.DUMMYFUNCTION("GOOGLETRANSLATE(B31399,""en"",""de"")"),"Die Band spielt im Hintergrund, während die Männer spielen.")</f>
        <v>Die Band spielt im Hintergrund, während die Männer spielen.</v>
      </c>
    </row>
    <row r="31400">
      <c r="A31400" s="4" t="s">
        <v>39540</v>
      </c>
      <c r="B31400" s="4" t="s">
        <v>39541</v>
      </c>
      <c r="C31400" s="5" t="str">
        <f>IFERROR(__xludf.DUMMYFUNCTION("GOOGLETRANSLATE(B31400,""en"",""de"")"),"Eine große Gruppe von Menschen steht an einem Tisch, der mit einer mit der Kamera spricht.")</f>
        <v>Eine große Gruppe von Menschen steht an einem Tisch, der mit einer mit der Kamera spricht.</v>
      </c>
    </row>
    <row r="31401">
      <c r="A31401" s="4" t="s">
        <v>39540</v>
      </c>
      <c r="B31401" s="4" t="s">
        <v>39542</v>
      </c>
      <c r="C31401" s="5" t="str">
        <f>IFERROR(__xludf.DUMMYFUNCTION("GOOGLETRANSLATE(B31401,""en"",""de"")"),"Die Menschen helfen sich dann gegenseitig, Zutaten in Pfannen zu bringen und sie herumzudrehen.")</f>
        <v>Die Menschen helfen sich dann gegenseitig, Zutaten in Pfannen zu bringen und sie herumzudrehen.</v>
      </c>
    </row>
    <row r="31402">
      <c r="A31402" s="4" t="s">
        <v>39540</v>
      </c>
      <c r="B31402" s="4" t="s">
        <v>39543</v>
      </c>
      <c r="C31402" s="5" t="str">
        <f>IFERROR(__xludf.DUMMYFUNCTION("GOOGLETRANSLATE(B31402,""en"",""de"")"),"Die Menschen mischen das Essen weiterhin zusammen und beenden es, indem sie es auf einen Teller präsentieren.")</f>
        <v>Die Menschen mischen das Essen weiterhin zusammen und beenden es, indem sie es auf einen Teller präsentieren.</v>
      </c>
    </row>
    <row r="31403">
      <c r="A31403" s="4" t="s">
        <v>39544</v>
      </c>
      <c r="B31403" s="4" t="s">
        <v>39545</v>
      </c>
      <c r="C31403" s="5" t="str">
        <f>IFERROR(__xludf.DUMMYFUNCTION("GOOGLETRANSLATE(B31403,""en"",""de"")"),"Eine Frau sitzt auf einem Stuhl, während eine Frau hinter ihr einen Haartrockner hält.")</f>
        <v>Eine Frau sitzt auf einem Stuhl, während eine Frau hinter ihr einen Haartrockner hält.</v>
      </c>
    </row>
    <row r="31404">
      <c r="A31404" s="4" t="s">
        <v>39544</v>
      </c>
      <c r="B31404" s="4" t="s">
        <v>39546</v>
      </c>
      <c r="C31404" s="5" t="str">
        <f>IFERROR(__xludf.DUMMYFUNCTION("GOOGLETRANSLATE(B31404,""en"",""de"")"),"Sie beginnt die Haare der Frau zu trocknen.")</f>
        <v>Sie beginnt die Haare der Frau zu trocknen.</v>
      </c>
    </row>
    <row r="31405">
      <c r="A31405" s="4" t="s">
        <v>39544</v>
      </c>
      <c r="B31405" s="4" t="s">
        <v>39547</v>
      </c>
      <c r="C31405" s="5" t="str">
        <f>IFERROR(__xludf.DUMMYFUNCTION("GOOGLETRANSLATE(B31405,""en"",""de"")"),"Die Frau spricht mit der Kamera und zeigt auf einen Haartrockner.")</f>
        <v>Die Frau spricht mit der Kamera und zeigt auf einen Haartrockner.</v>
      </c>
    </row>
    <row r="31406">
      <c r="A31406" s="4" t="s">
        <v>39548</v>
      </c>
      <c r="B31406" s="4" t="s">
        <v>39549</v>
      </c>
      <c r="C31406" s="5" t="str">
        <f>IFERROR(__xludf.DUMMYFUNCTION("GOOGLETRANSLATE(B31406,""en"",""de"")"),"Eine Frau sitzt hinter einem Holztisch.")</f>
        <v>Eine Frau sitzt hinter einem Holztisch.</v>
      </c>
    </row>
    <row r="31407">
      <c r="A31407" s="4" t="s">
        <v>39548</v>
      </c>
      <c r="B31407" s="4" t="s">
        <v>39550</v>
      </c>
      <c r="C31407" s="5" t="str">
        <f>IFERROR(__xludf.DUMMYFUNCTION("GOOGLETRANSLATE(B31407,""en"",""de"")"),"Sie bewegt schnell Farbblöcke eines Puzzles und versucht es zu lösen.")</f>
        <v>Sie bewegt schnell Farbblöcke eines Puzzles und versucht es zu lösen.</v>
      </c>
    </row>
    <row r="31408">
      <c r="A31408" s="4" t="s">
        <v>39548</v>
      </c>
      <c r="B31408" s="4" t="s">
        <v>39551</v>
      </c>
      <c r="C31408" s="5" t="str">
        <f>IFERROR(__xludf.DUMMYFUNCTION("GOOGLETRANSLATE(B31408,""en"",""de"")"),"Sie löst das Puzzle und zeigt es der Kamera.")</f>
        <v>Sie löst das Puzzle und zeigt es der Kamera.</v>
      </c>
    </row>
    <row r="31409">
      <c r="A31409" s="4" t="s">
        <v>39552</v>
      </c>
      <c r="B31409" s="4" t="s">
        <v>39553</v>
      </c>
      <c r="C31409" s="5" t="str">
        <f>IFERROR(__xludf.DUMMYFUNCTION("GOOGLETRANSLATE(B31409,""en"",""de"")"),"Eine kleine Gruppe von Männern ist gesehen, wie er eine unbefestigte Straße entlanggeht, gefolgt von mehreren Schüssen, von denen sie in Röhren reiten und gegen die Kamera lachen.")</f>
        <v>Eine kleine Gruppe von Männern ist gesehen, wie er eine unbefestigte Straße entlanggeht, gefolgt von mehreren Schüssen, von denen sie in Röhren reiten und gegen die Kamera lachen.</v>
      </c>
    </row>
    <row r="31410">
      <c r="A31410" s="4" t="s">
        <v>39552</v>
      </c>
      <c r="B31410" s="4" t="s">
        <v>39554</v>
      </c>
      <c r="C31410" s="5" t="str">
        <f>IFERROR(__xludf.DUMMYFUNCTION("GOOGLETRANSLATE(B31410,""en"",""de"")"),"Sie reiten weiterhin unter Bäumen den Fluss hinunter und haben mehr Leute, die die Kamera halten.")</f>
        <v>Sie reiten weiterhin unter Bäumen den Fluss hinunter und haben mehr Leute, die die Kamera halten.</v>
      </c>
    </row>
    <row r="31411">
      <c r="A31411" s="4" t="s">
        <v>39555</v>
      </c>
      <c r="B31411" s="4" t="s">
        <v>39556</v>
      </c>
      <c r="C31411" s="5" t="str">
        <f>IFERROR(__xludf.DUMMYFUNCTION("GOOGLETRANSLATE(B31411,""en"",""de"")"),"Ein Mann zeigt Ihnen, wie man einen Drink macht, der Kerl gießt Eis in ein hohes Glas, fügt eine halbe Tasse eine bestimmte Art von Alkohol hinzu und gießt es mit dem Eis in die Tasse.")</f>
        <v>Ein Mann zeigt Ihnen, wie man einen Drink macht, der Kerl gießt Eis in ein hohes Glas, fügt eine halbe Tasse eine bestimmte Art von Alkohol hinzu und gießt es mit dem Eis in die Tasse.</v>
      </c>
    </row>
    <row r="31412">
      <c r="A31412" s="4" t="s">
        <v>39555</v>
      </c>
      <c r="B31412" s="4" t="s">
        <v>39557</v>
      </c>
      <c r="C31412" s="5" t="str">
        <f>IFERROR(__xludf.DUMMYFUNCTION("GOOGLETRANSLATE(B31412,""en"",""de"")"),"Dann fügt er der Tasse Soda hinzu, wodurch die Tasse nach oben voll macht und sie mit einem Metallwerkzeug aufrüttet.")</f>
        <v>Dann fügt er der Tasse Soda hinzu, wodurch die Tasse nach oben voll macht und sie mit einem Metallwerkzeug aufrüttet.</v>
      </c>
    </row>
    <row r="31413">
      <c r="A31413" s="4" t="s">
        <v>39555</v>
      </c>
      <c r="B31413" s="4" t="s">
        <v>39558</v>
      </c>
      <c r="C31413" s="5" t="str">
        <f>IFERROR(__xludf.DUMMYFUNCTION("GOOGLETRANSLATE(B31413,""en"",""de"")"),"Der Typ drückt dann drei halbe Limetten in die Tasse und drückt die drei Kalk mit dem Metallwerkzeug, mit dem er das Getränk rührt, auf den Boden des Tasses.")</f>
        <v>Der Typ drückt dann drei halbe Limetten in die Tasse und drückt die drei Kalk mit dem Metallwerkzeug, mit dem er das Getränk rührt, auf den Boden des Tasses.</v>
      </c>
    </row>
    <row r="31414">
      <c r="A31414" s="4" t="s">
        <v>39555</v>
      </c>
      <c r="B31414" s="4" t="s">
        <v>39559</v>
      </c>
      <c r="C31414" s="5" t="str">
        <f>IFERROR(__xludf.DUMMYFUNCTION("GOOGLETRANSLATE(B31414,""en"",""de"")"),"Schließlich gießt er das Getränk aus dem hohen Glas zu einem kürzeren Glas und fügt eine andere Art von Alkohol mit einem Strohhalm hinzu, um es abzuschließen.")</f>
        <v>Schließlich gießt er das Getränk aus dem hohen Glas zu einem kürzeren Glas und fügt eine andere Art von Alkohol mit einem Strohhalm hinzu, um es abzuschließen.</v>
      </c>
    </row>
    <row r="31415">
      <c r="A31415" s="4" t="s">
        <v>39560</v>
      </c>
      <c r="B31415" s="4" t="s">
        <v>6935</v>
      </c>
      <c r="C31415" s="5" t="str">
        <f>IFERROR(__xludf.DUMMYFUNCTION("GOOGLETRANSLATE(B31415,""en"",""de"")"),"Der Text wird kurz auf dem Bildschirm angezeigt.")</f>
        <v>Der Text wird kurz auf dem Bildschirm angezeigt.</v>
      </c>
    </row>
    <row r="31416">
      <c r="A31416" s="4" t="s">
        <v>39560</v>
      </c>
      <c r="B31416" s="4" t="s">
        <v>39561</v>
      </c>
      <c r="C31416" s="5" t="str">
        <f>IFERROR(__xludf.DUMMYFUNCTION("GOOGLETRANSLATE(B31416,""en"",""de"")"),"Zwei Leute stehen vor einem Kuchen und reden.")</f>
        <v>Zwei Leute stehen vor einem Kuchen und reden.</v>
      </c>
    </row>
    <row r="31417">
      <c r="A31417" s="4" t="s">
        <v>39560</v>
      </c>
      <c r="B31417" s="4" t="s">
        <v>39562</v>
      </c>
      <c r="C31417" s="5" t="str">
        <f>IFERROR(__xludf.DUMMYFUNCTION("GOOGLETRANSLATE(B31417,""en"",""de"")"),"Der Text wird auf dem Bildschirm angezeigt, während sie sprechen.")</f>
        <v>Der Text wird auf dem Bildschirm angezeigt, während sie sprechen.</v>
      </c>
    </row>
    <row r="31418">
      <c r="A31418" s="4" t="s">
        <v>39560</v>
      </c>
      <c r="B31418" s="4" t="s">
        <v>39563</v>
      </c>
      <c r="C31418" s="5" t="str">
        <f>IFERROR(__xludf.DUMMYFUNCTION("GOOGLETRANSLATE(B31418,""en"",""de"")"),"Eine Frau mischt Zutaten in einen Topf am Herd.")</f>
        <v>Eine Frau mischt Zutaten in einen Topf am Herd.</v>
      </c>
    </row>
    <row r="31419">
      <c r="A31419" s="4" t="s">
        <v>39560</v>
      </c>
      <c r="B31419" s="4" t="s">
        <v>39564</v>
      </c>
      <c r="C31419" s="5" t="str">
        <f>IFERROR(__xludf.DUMMYFUNCTION("GOOGLETRANSLATE(B31419,""en"",""de"")"),"Ein Mann gießt Rum in den Topf und rührt ihn.")</f>
        <v>Ein Mann gießt Rum in den Topf und rührt ihn.</v>
      </c>
    </row>
    <row r="31420">
      <c r="A31420" s="4" t="s">
        <v>39560</v>
      </c>
      <c r="B31420" s="4" t="s">
        <v>39565</v>
      </c>
      <c r="C31420" s="5" t="str">
        <f>IFERROR(__xludf.DUMMYFUNCTION("GOOGLETRANSLATE(B31420,""en"",""de"")"),"Sie stecken Löcher in den Kuchen mit Messern und gießen die Mischung darauf.")</f>
        <v>Sie stecken Löcher in den Kuchen mit Messern und gießen die Mischung darauf.</v>
      </c>
    </row>
    <row r="31421">
      <c r="A31421" s="4" t="s">
        <v>39560</v>
      </c>
      <c r="B31421" s="4" t="s">
        <v>39566</v>
      </c>
      <c r="C31421" s="5" t="str">
        <f>IFERROR(__xludf.DUMMYFUNCTION("GOOGLETRANSLATE(B31421,""en"",""de"")"),"Sie stehen wieder vor dem Kuchen und reden.")</f>
        <v>Sie stehen wieder vor dem Kuchen und reden.</v>
      </c>
    </row>
    <row r="31422">
      <c r="A31422" s="4" t="s">
        <v>39560</v>
      </c>
      <c r="B31422" s="4" t="s">
        <v>39567</v>
      </c>
      <c r="C31422" s="5" t="str">
        <f>IFERROR(__xludf.DUMMYFUNCTION("GOOGLETRANSLATE(B31422,""en"",""de"")"),"Sie essen den Kuchen, während sie reden.")</f>
        <v>Sie essen den Kuchen, während sie reden.</v>
      </c>
    </row>
    <row r="31423">
      <c r="A31423" s="4" t="s">
        <v>39568</v>
      </c>
      <c r="B31423" s="4" t="s">
        <v>39569</v>
      </c>
      <c r="C31423" s="5" t="str">
        <f>IFERROR(__xludf.DUMMYFUNCTION("GOOGLETRANSLATE(B31423,""en"",""de"")"),"Ein Mann füllt eine Shisha mit Wasser und setzt sie auf einen Tisch.")</f>
        <v>Ein Mann füllt eine Shisha mit Wasser und setzt sie auf einen Tisch.</v>
      </c>
    </row>
    <row r="31424">
      <c r="A31424" s="4" t="s">
        <v>39568</v>
      </c>
      <c r="B31424" s="4" t="s">
        <v>39570</v>
      </c>
      <c r="C31424" s="5" t="str">
        <f>IFERROR(__xludf.DUMMYFUNCTION("GOOGLETRANSLATE(B31424,""en"",""de"")"),"Er steckt Tabak in ein Gerät und bedeckt ihn mit Blechfolie.")</f>
        <v>Er steckt Tabak in ein Gerät und bedeckt ihn mit Blechfolie.</v>
      </c>
    </row>
    <row r="31425">
      <c r="A31425" s="4" t="s">
        <v>39568</v>
      </c>
      <c r="B31425" s="4" t="s">
        <v>39571</v>
      </c>
      <c r="C31425" s="5" t="str">
        <f>IFERROR(__xludf.DUMMYFUNCTION("GOOGLETRANSLATE(B31425,""en"",""de"")"),"Er stapft mehrmals ein Loch in die Oberseite der Zinnfolie.")</f>
        <v>Er stapft mehrmals ein Loch in die Oberseite der Zinnfolie.</v>
      </c>
    </row>
    <row r="31426">
      <c r="A31426" s="4" t="s">
        <v>39568</v>
      </c>
      <c r="B31426" s="4" t="s">
        <v>39572</v>
      </c>
      <c r="C31426" s="5" t="str">
        <f>IFERROR(__xludf.DUMMYFUNCTION("GOOGLETRANSLATE(B31426,""en"",""de"")"),"Er legt das auf die Oberseite der Shisha.")</f>
        <v>Er legt das auf die Oberseite der Shisha.</v>
      </c>
    </row>
    <row r="31427">
      <c r="A31427" s="4" t="s">
        <v>39568</v>
      </c>
      <c r="B31427" s="4" t="s">
        <v>39573</v>
      </c>
      <c r="C31427" s="5" t="str">
        <f>IFERROR(__xludf.DUMMYFUNCTION("GOOGLETRANSLATE(B31427,""en"",""de"")"),"Er nimmt einen Rauch von der Shisha und bläst den Rauch.")</f>
        <v>Er nimmt einen Rauch von der Shisha und bläst den Rauch.</v>
      </c>
    </row>
    <row r="31428">
      <c r="A31428" s="4" t="s">
        <v>39574</v>
      </c>
      <c r="B31428" s="4" t="s">
        <v>39575</v>
      </c>
      <c r="C31428" s="5" t="str">
        <f>IFERROR(__xludf.DUMMYFUNCTION("GOOGLETRANSLATE(B31428,""en"",""de"")"),"Eine Gruppe von Menschen reitet auf einem Boot nach Catalina Island.")</f>
        <v>Eine Gruppe von Menschen reitet auf einem Boot nach Catalina Island.</v>
      </c>
    </row>
    <row r="31429">
      <c r="A31429" s="4" t="s">
        <v>39574</v>
      </c>
      <c r="B31429" s="4" t="s">
        <v>39576</v>
      </c>
      <c r="C31429" s="5" t="str">
        <f>IFERROR(__xludf.DUMMYFUNCTION("GOOGLETRANSLATE(B31429,""en"",""de"")"),"Ein Mann, der ein graues T-Shirt trägt, filmt selbst einen Selfie-Stick, während er auf einem Boot fährt.")</f>
        <v>Ein Mann, der ein graues T-Shirt trägt, filmt selbst einen Selfie-Stick, während er auf einem Boot fährt.</v>
      </c>
    </row>
    <row r="31430">
      <c r="A31430" s="4" t="s">
        <v>39574</v>
      </c>
      <c r="B31430" s="4" t="s">
        <v>39577</v>
      </c>
      <c r="C31430" s="5" t="str">
        <f>IFERROR(__xludf.DUMMYFUNCTION("GOOGLETRANSLATE(B31430,""en"",""de"")"),"Die Gruppe von Menschen auf dem Boot ist in Tauchausrüstung gekleidet.")</f>
        <v>Die Gruppe von Menschen auf dem Boot ist in Tauchausrüstung gekleidet.</v>
      </c>
    </row>
    <row r="31431">
      <c r="A31431" s="4" t="s">
        <v>39574</v>
      </c>
      <c r="B31431" s="4" t="s">
        <v>39578</v>
      </c>
      <c r="C31431" s="5" t="str">
        <f>IFERROR(__xludf.DUMMYFUNCTION("GOOGLETRANSLATE(B31431,""en"",""de"")"),"Ein Mann in Tauchausrüstung betritt das Wasser, während er sich selbst filmt, während er einen Selfie -Stock hält.")</f>
        <v>Ein Mann in Tauchausrüstung betritt das Wasser, während er sich selbst filmt, während er einen Selfie -Stock hält.</v>
      </c>
    </row>
    <row r="31432">
      <c r="A31432" s="4" t="s">
        <v>39574</v>
      </c>
      <c r="B31432" s="4" t="s">
        <v>39579</v>
      </c>
      <c r="C31432" s="5" t="str">
        <f>IFERROR(__xludf.DUMMYFUNCTION("GOOGLETRANSLATE(B31432,""en"",""de"")"),"Der Taucher filmt sich selbst beim Tauchen unter Wasser.")</f>
        <v>Der Taucher filmt sich selbst beim Tauchen unter Wasser.</v>
      </c>
    </row>
    <row r="31433">
      <c r="A31433" s="4" t="s">
        <v>39574</v>
      </c>
      <c r="B31433" s="4" t="s">
        <v>39580</v>
      </c>
      <c r="C31433" s="5" t="str">
        <f>IFERROR(__xludf.DUMMYFUNCTION("GOOGLETRANSLATE(B31433,""en"",""de"")"),"Die Ddiver filmt eine Fischschule und leuchtend gelbe tropische Fische.")</f>
        <v>Die Ddiver filmt eine Fischschule und leuchtend gelbe tropische Fische.</v>
      </c>
    </row>
    <row r="31434">
      <c r="A31434" s="4" t="s">
        <v>39574</v>
      </c>
      <c r="B31434" s="4" t="s">
        <v>39581</v>
      </c>
      <c r="C31434" s="5" t="str">
        <f>IFERROR(__xludf.DUMMYFUNCTION("GOOGLETRANSLATE(B31434,""en"",""de"")"),"Der Taucherkameramann geht rückwärts auf Stufen aus dem Wasser.")</f>
        <v>Der Taucherkameramann geht rückwärts auf Stufen aus dem Wasser.</v>
      </c>
    </row>
    <row r="31435">
      <c r="A31435" s="4" t="s">
        <v>39574</v>
      </c>
      <c r="B31435" s="4" t="s">
        <v>39582</v>
      </c>
      <c r="C31435" s="5" t="str">
        <f>IFERROR(__xludf.DUMMYFUNCTION("GOOGLETRANSLATE(B31435,""en"",""de"")"),"Eine Gruppe von Tauchern, die in Straßenkleidung gekleidet sind, reiten in einem Golfwagen.")</f>
        <v>Eine Gruppe von Tauchern, die in Straßenkleidung gekleidet sind, reiten in einem Golfwagen.</v>
      </c>
    </row>
    <row r="31436">
      <c r="A31436" s="4" t="s">
        <v>39583</v>
      </c>
      <c r="B31436" s="4" t="s">
        <v>39584</v>
      </c>
      <c r="C31436" s="5" t="str">
        <f>IFERROR(__xludf.DUMMYFUNCTION("GOOGLETRANSLATE(B31436,""en"",""de"")"),"Frau steht in einer Küche vor einer Kamera und zeigt Zutaten am Tisch.")</f>
        <v>Frau steht in einer Küche vor einer Kamera und zeigt Zutaten am Tisch.</v>
      </c>
    </row>
    <row r="31437">
      <c r="A31437" s="4" t="s">
        <v>39583</v>
      </c>
      <c r="B31437" s="4" t="s">
        <v>39585</v>
      </c>
      <c r="C31437" s="5" t="str">
        <f>IFERROR(__xludf.DUMMYFUNCTION("GOOGLETRANSLATE(B31437,""en"",""de"")"),"Frau gießt die Zutaten in eine Küchenhilfe ein, mischt sie und erklärt der Kamera, wie man die Paste macht.")</f>
        <v>Frau gießt die Zutaten in eine Küchenhilfe ein, mischt sie und erklärt der Kamera, wie man die Paste macht.</v>
      </c>
    </row>
    <row r="31438">
      <c r="A31438" s="4" t="s">
        <v>39586</v>
      </c>
      <c r="B31438" s="4" t="s">
        <v>39587</v>
      </c>
      <c r="C31438" s="5" t="str">
        <f>IFERROR(__xludf.DUMMYFUNCTION("GOOGLETRANSLATE(B31438,""en"",""de"")"),"Eine Frau hinter der Bar, die redet, hat sie eine Flasche Corona.")</f>
        <v>Eine Frau hinter der Bar, die redet, hat sie eine Flasche Corona.</v>
      </c>
    </row>
    <row r="31439">
      <c r="A31439" s="4" t="s">
        <v>39586</v>
      </c>
      <c r="B31439" s="4" t="s">
        <v>39588</v>
      </c>
      <c r="C31439" s="5" t="str">
        <f>IFERROR(__xludf.DUMMYFUNCTION("GOOGLETRANSLATE(B31439,""en"",""de"")"),"Sie saugt ein paar Mal an der Flasche.")</f>
        <v>Sie saugt ein paar Mal an der Flasche.</v>
      </c>
    </row>
    <row r="31440">
      <c r="A31440" s="4" t="s">
        <v>39586</v>
      </c>
      <c r="B31440" s="4" t="s">
        <v>39589</v>
      </c>
      <c r="C31440" s="5" t="str">
        <f>IFERROR(__xludf.DUMMYFUNCTION("GOOGLETRANSLATE(B31440,""en"",""de"")"),"Dann packt sie es nur mit ihrem Mund und hält es hoch, um das Bier zu tuckern.")</f>
        <v>Dann packt sie es nur mit ihrem Mund und hält es hoch, um das Bier zu tuckern.</v>
      </c>
    </row>
    <row r="31441">
      <c r="A31441" s="4" t="s">
        <v>39586</v>
      </c>
      <c r="B31441" s="4" t="s">
        <v>39590</v>
      </c>
      <c r="C31441" s="5" t="str">
        <f>IFERROR(__xludf.DUMMYFUNCTION("GOOGLETRANSLATE(B31441,""en"",""de"")"),"Sie tuckert und tuckert, bis es völlig leer ist.")</f>
        <v>Sie tuckert und tuckert, bis es völlig leer ist.</v>
      </c>
    </row>
    <row r="31442">
      <c r="A31442" s="4" t="s">
        <v>39591</v>
      </c>
      <c r="B31442" s="4" t="s">
        <v>39592</v>
      </c>
      <c r="C31442" s="5" t="str">
        <f>IFERROR(__xludf.DUMMYFUNCTION("GOOGLETRANSLATE(B31442,""en"",""de"")"),"Ein kaukasischer Mann ist draußen und hält ein Skateboard hoch.")</f>
        <v>Ein kaukasischer Mann ist draußen und hält ein Skateboard hoch.</v>
      </c>
    </row>
    <row r="31443">
      <c r="A31443" s="4" t="s">
        <v>39591</v>
      </c>
      <c r="B31443" s="4" t="s">
        <v>39593</v>
      </c>
      <c r="C31443" s="5" t="str">
        <f>IFERROR(__xludf.DUMMYFUNCTION("GOOGLETRANSLATE(B31443,""en"",""de"")"),"Er geht dann auf eine kurvenreiche Straße und kommt Skateboarding herunter und das Bild ist immer noch, bis er in einen Trick rutscht und es dann wieder angehalten wird.")</f>
        <v>Er geht dann auf eine kurvenreiche Straße und kommt Skateboarding herunter und das Bild ist immer noch, bis er in einen Trick rutscht und es dann wieder angehalten wird.</v>
      </c>
    </row>
    <row r="31444">
      <c r="A31444" s="4" t="s">
        <v>39591</v>
      </c>
      <c r="B31444" s="4" t="s">
        <v>39594</v>
      </c>
      <c r="C31444" s="5" t="str">
        <f>IFERROR(__xludf.DUMMYFUNCTION("GOOGLETRANSLATE(B31444,""en"",""de"")"),"Die Routine geht weiter und dann steht der Spieler weiter auf die Straße hinunter.")</f>
        <v>Die Routine geht weiter und dann steht der Spieler weiter auf die Straße hinunter.</v>
      </c>
    </row>
    <row r="31445">
      <c r="A31445" s="4" t="s">
        <v>39591</v>
      </c>
      <c r="B31445" s="4" t="s">
        <v>39595</v>
      </c>
      <c r="C31445" s="5" t="str">
        <f>IFERROR(__xludf.DUMMYFUNCTION("GOOGLETRANSLATE(B31445,""en"",""de"")"),"Sobald er vollständig fertig ist, kehrt er zu dem Ort zurück, an dem er ursprünglich angefangen hat, und spricht immer wieder mit der Kamera, als er sein Skateboard in seiner linken Hand hält.")</f>
        <v>Sobald er vollständig fertig ist, kehrt er zu dem Ort zurück, an dem er ursprünglich angefangen hat, und spricht immer wieder mit der Kamera, als er sein Skateboard in seiner linken Hand hält.</v>
      </c>
    </row>
    <row r="31446">
      <c r="A31446" s="4" t="s">
        <v>39591</v>
      </c>
      <c r="B31446" s="4" t="s">
        <v>39596</v>
      </c>
      <c r="C31446" s="5" t="str">
        <f>IFERROR(__xludf.DUMMYFUNCTION("GOOGLETRANSLATE(B31446,""en"",""de"")"),"Danach dreht sich der Mann um und zeigt, wie seine braunen Frachtshorts mit Klebeband geflickt werden.")</f>
        <v>Danach dreht sich der Mann um und zeigt, wie seine braunen Frachtshorts mit Klebeband geflickt werden.</v>
      </c>
    </row>
    <row r="31447">
      <c r="A31447" s="4" t="s">
        <v>39597</v>
      </c>
      <c r="B31447" s="4" t="s">
        <v>39598</v>
      </c>
      <c r="C31447" s="5" t="str">
        <f>IFERROR(__xludf.DUMMYFUNCTION("GOOGLETRANSLATE(B31447,""en"",""de"")"),"Eine Nahaufnahme einer Person, die ein Rack anzieht, wird angezeigt, gefolgt von mehreren Frauen, die große Mengen an Gewicht erhöhen.")</f>
        <v>Eine Nahaufnahme einer Person, die ein Rack anzieht, wird angezeigt, gefolgt von mehreren Frauen, die große Mengen an Gewicht erhöhen.</v>
      </c>
    </row>
    <row r="31448">
      <c r="A31448" s="4" t="s">
        <v>39597</v>
      </c>
      <c r="B31448" s="4" t="s">
        <v>39599</v>
      </c>
      <c r="C31448" s="5" t="str">
        <f>IFERROR(__xludf.DUMMYFUNCTION("GOOGLETRANSLATE(B31448,""en"",""de"")"),"Es werden mehr Menschen gesehen, wie sie die schweren Gewichte über den Kopf heben und sie abwerfen, wenn sie fertig sind.")</f>
        <v>Es werden mehr Menschen gesehen, wie sie die schweren Gewichte über den Kopf heben und sie abwerfen, wenn sie fertig sind.</v>
      </c>
    </row>
    <row r="31449">
      <c r="A31449" s="4" t="s">
        <v>39600</v>
      </c>
      <c r="B31449" s="4" t="s">
        <v>39601</v>
      </c>
      <c r="C31449" s="5" t="str">
        <f>IFERROR(__xludf.DUMMYFUNCTION("GOOGLETRANSLATE(B31449,""en"",""de"")"),"Mehrere Menschen sitzen draußen an einem Picknicktisch und führen zu zwei Personen, die ein Seil um einen Baum binden.")</f>
        <v>Mehrere Menschen sitzen draußen an einem Picknicktisch und führen zu zwei Personen, die ein Seil um einen Baum binden.</v>
      </c>
    </row>
    <row r="31450">
      <c r="A31450" s="4" t="s">
        <v>39600</v>
      </c>
      <c r="B31450" s="4" t="s">
        <v>39602</v>
      </c>
      <c r="C31450" s="5" t="str">
        <f>IFERROR(__xludf.DUMMYFUNCTION("GOOGLETRANSLATE(B31450,""en"",""de"")"),"Weitere Leute kommen, um zu helfen und in einen Jungen zu führen, der mit der Hilfe eines Mannes auf dem Seil spaziert.")</f>
        <v>Weitere Leute kommen, um zu helfen und in einen Jungen zu führen, der mit der Hilfe eines Mannes auf dem Seil spaziert.</v>
      </c>
    </row>
    <row r="31451">
      <c r="A31451" s="4" t="s">
        <v>39600</v>
      </c>
      <c r="B31451" s="4" t="s">
        <v>39603</v>
      </c>
      <c r="C31451" s="5" t="str">
        <f>IFERROR(__xludf.DUMMYFUNCTION("GOOGLETRANSLATE(B31451,""en"",""de"")"),"Weitere Menschen versuchen, mit der Hilfe anderer und alleine auf dem Seil zu gehen.")</f>
        <v>Weitere Menschen versuchen, mit der Hilfe anderer und alleine auf dem Seil zu gehen.</v>
      </c>
    </row>
    <row r="31452">
      <c r="A31452" s="4" t="s">
        <v>39604</v>
      </c>
      <c r="B31452" s="4" t="s">
        <v>39605</v>
      </c>
      <c r="C31452" s="5" t="str">
        <f>IFERROR(__xludf.DUMMYFUNCTION("GOOGLETRANSLATE(B31452,""en"",""de"")"),"Die Wörter Freestyle schwimmen über den Bildschirm.")</f>
        <v>Die Wörter Freestyle schwimmen über den Bildschirm.</v>
      </c>
    </row>
    <row r="31453">
      <c r="A31453" s="4" t="s">
        <v>39604</v>
      </c>
      <c r="B31453" s="4" t="s">
        <v>39606</v>
      </c>
      <c r="C31453" s="5" t="str">
        <f>IFERROR(__xludf.DUMMYFUNCTION("GOOGLETRANSLATE(B31453,""en"",""de"")"),"Ein Mann springt in den Pool und schwimmt Freestyle.")</f>
        <v>Ein Mann springt in den Pool und schwimmt Freestyle.</v>
      </c>
    </row>
    <row r="31454">
      <c r="A31454" s="4" t="s">
        <v>39604</v>
      </c>
      <c r="B31454" s="4" t="s">
        <v>39607</v>
      </c>
      <c r="C31454" s="5" t="str">
        <f>IFERROR(__xludf.DUMMYFUNCTION("GOOGLETRANSLATE(B31454,""en"",""de"")"),"Die Wörter Backstroke -Stil schweben über den Bildschirm.")</f>
        <v>Die Wörter Backstroke -Stil schweben über den Bildschirm.</v>
      </c>
    </row>
    <row r="31455">
      <c r="A31455" s="4" t="s">
        <v>39604</v>
      </c>
      <c r="B31455" s="4" t="s">
        <v>39608</v>
      </c>
      <c r="C31455" s="5" t="str">
        <f>IFERROR(__xludf.DUMMYFUNCTION("GOOGLETRANSLATE(B31455,""en"",""de"")"),"Der gleiche Mann schwimmt zurück, von wo aus er kam.")</f>
        <v>Der gleiche Mann schwimmt zurück, von wo aus er kam.</v>
      </c>
    </row>
    <row r="31456">
      <c r="A31456" s="4" t="s">
        <v>39604</v>
      </c>
      <c r="B31456" s="4" t="s">
        <v>39609</v>
      </c>
      <c r="C31456" s="5" t="str">
        <f>IFERROR(__xludf.DUMMYFUNCTION("GOOGLETRANSLATE(B31456,""en"",""de"")"),"Die Wörter, die Brustschwimmen auf dem Bildschirm zeigen.")</f>
        <v>Die Wörter, die Brustschwimmen auf dem Bildschirm zeigen.</v>
      </c>
    </row>
    <row r="31457">
      <c r="A31457" s="4" t="s">
        <v>39604</v>
      </c>
      <c r="B31457" s="4" t="s">
        <v>39610</v>
      </c>
      <c r="C31457" s="5" t="str">
        <f>IFERROR(__xludf.DUMMYFUNCTION("GOOGLETRANSLATE(B31457,""en"",""de"")"),"Der Mann schenkt die Brust über den Pool zurück.")</f>
        <v>Der Mann schenkt die Brust über den Pool zurück.</v>
      </c>
    </row>
    <row r="31458">
      <c r="A31458" s="4" t="s">
        <v>39611</v>
      </c>
      <c r="B31458" s="4" t="s">
        <v>39612</v>
      </c>
      <c r="C31458" s="5" t="str">
        <f>IFERROR(__xludf.DUMMYFUNCTION("GOOGLETRANSLATE(B31458,""en"",""de"")"),"Ein News -and -Frau -News -Reporter sitzt beim Reden vor einem Fernsehbildschirm.")</f>
        <v>Ein News -and -Frau -News -Reporter sitzt beim Reden vor einem Fernsehbildschirm.</v>
      </c>
    </row>
    <row r="31459">
      <c r="A31459" s="4" t="s">
        <v>39611</v>
      </c>
      <c r="B31459" s="4" t="s">
        <v>39613</v>
      </c>
      <c r="C31459" s="5" t="str">
        <f>IFERROR(__xludf.DUMMYFUNCTION("GOOGLETRANSLATE(B31459,""en"",""de"")"),"Sie zeigen dann Clips aus einem Volleyballspiel im Freien.")</f>
        <v>Sie zeigen dann Clips aus einem Volleyballspiel im Freien.</v>
      </c>
    </row>
    <row r="31460">
      <c r="A31460" s="4" t="s">
        <v>39611</v>
      </c>
      <c r="B31460" s="4" t="s">
        <v>39614</v>
      </c>
      <c r="C31460" s="5" t="str">
        <f>IFERROR(__xludf.DUMMYFUNCTION("GOOGLETRANSLATE(B31460,""en"",""de"")"),"Die Teamkollegen schlugen den Ball über das Netz hin und her.")</f>
        <v>Die Teamkollegen schlugen den Ball über das Netz hin und her.</v>
      </c>
    </row>
    <row r="31461">
      <c r="A31461" s="4" t="s">
        <v>39611</v>
      </c>
      <c r="B31461" s="4" t="s">
        <v>39615</v>
      </c>
      <c r="C31461" s="5" t="str">
        <f>IFERROR(__xludf.DUMMYFUNCTION("GOOGLETRANSLATE(B31461,""en"",""de"")"),"Danach schütteln sie ihren Gegnern die Hand.")</f>
        <v>Danach schütteln sie ihren Gegnern die Hand.</v>
      </c>
    </row>
    <row r="31462">
      <c r="A31462" s="4" t="s">
        <v>39616</v>
      </c>
      <c r="B31462" s="4" t="s">
        <v>39617</v>
      </c>
      <c r="C31462" s="5" t="str">
        <f>IFERROR(__xludf.DUMMYFUNCTION("GOOGLETRANSLATE(B31462,""en"",""de"")"),"Zwei Personen sprechen mit der Kamera und führen zu einem Lineal, der gezeigt wird und die Frau einen Schwamm hält.")</f>
        <v>Zwei Personen sprechen mit der Kamera und führen zu einem Lineal, der gezeigt wird und die Frau einen Schwamm hält.</v>
      </c>
    </row>
    <row r="31463">
      <c r="A31463" s="4" t="s">
        <v>39616</v>
      </c>
      <c r="B31463" s="4" t="s">
        <v>39618</v>
      </c>
      <c r="C31463" s="5" t="str">
        <f>IFERROR(__xludf.DUMMYFUNCTION("GOOGLETRANSLATE(B31463,""en"",""de"")"),"Sie wischt eine Wand ab, während der Mann sie abschlendet und dann die Länge der Wand misst.")</f>
        <v>Sie wischt eine Wand ab, während der Mann sie abschlendet und dann die Länge der Wand misst.</v>
      </c>
    </row>
    <row r="31464">
      <c r="A31464" s="4" t="s">
        <v>39616</v>
      </c>
      <c r="B31464" s="4" t="s">
        <v>39619</v>
      </c>
      <c r="C31464" s="5" t="str">
        <f>IFERROR(__xludf.DUMMYFUNCTION("GOOGLETRANSLATE(B31464,""en"",""de"")"),"Dann legen sie Papier nach unten, schneiden das Papier und richten es auf die Wand aus.")</f>
        <v>Dann legen sie Papier nach unten, schneiden das Papier und richten es auf die Wand aus.</v>
      </c>
    </row>
    <row r="31465">
      <c r="A31465" s="4" t="s">
        <v>39616</v>
      </c>
      <c r="B31465" s="4" t="s">
        <v>39620</v>
      </c>
      <c r="C31465" s="5" t="str">
        <f>IFERROR(__xludf.DUMMYFUNCTION("GOOGLETRANSLATE(B31465,""en"",""de"")"),"Sie reiben das Papier ein, drücken es entlang der Wand und lächeln zurück in die Kamera.")</f>
        <v>Sie reiben das Papier ein, drücken es entlang der Wand und lächeln zurück in die Kamera.</v>
      </c>
    </row>
    <row r="31466">
      <c r="A31466" s="4" t="s">
        <v>39621</v>
      </c>
      <c r="B31466" s="4" t="s">
        <v>39622</v>
      </c>
      <c r="C31466" s="5" t="str">
        <f>IFERROR(__xludf.DUMMYFUNCTION("GOOGLETRANSLATE(B31466,""en"",""de"")"),"Die Menschen nehmen an einem Tauziehen in einem Fitnessstudio teil.")</f>
        <v>Die Menschen nehmen an einem Tauziehen in einem Fitnessstudio teil.</v>
      </c>
    </row>
    <row r="31467">
      <c r="A31467" s="4" t="s">
        <v>39621</v>
      </c>
      <c r="B31467" s="4" t="s">
        <v>39623</v>
      </c>
      <c r="C31467" s="5" t="str">
        <f>IFERROR(__xludf.DUMMYFUNCTION("GOOGLETRANSLATE(B31467,""en"",""de"")"),"Das gelbe Team auf der linken Seite zieht das Seil hauptsächlich nach links oder gewinnt.")</f>
        <v>Das gelbe Team auf der linken Seite zieht das Seil hauptsächlich nach links oder gewinnt.</v>
      </c>
    </row>
    <row r="31468">
      <c r="A31468" s="4" t="s">
        <v>39621</v>
      </c>
      <c r="B31468" s="4" t="s">
        <v>39624</v>
      </c>
      <c r="C31468" s="5" t="str">
        <f>IFERROR(__xludf.DUMMYFUNCTION("GOOGLETRANSLATE(B31468,""en"",""de"")"),"Ein Erwachsener schnappt sich den Arm eines blauen Teammitglieds.")</f>
        <v>Ein Erwachsener schnappt sich den Arm eines blauen Teammitglieds.</v>
      </c>
    </row>
    <row r="31469">
      <c r="A31469" s="4" t="s">
        <v>39625</v>
      </c>
      <c r="B31469" s="4" t="s">
        <v>39626</v>
      </c>
      <c r="C31469" s="5" t="str">
        <f>IFERROR(__xludf.DUMMYFUNCTION("GOOGLETRANSLATE(B31469,""en"",""de"")"),"Die Worte ""Großmeister Huang Sheng Shyan"" und ""Taiji Push Hands"" erscheinen auf dem Bildschirm.")</f>
        <v>Die Worte "Großmeister Huang Sheng Shyan" und "Taiji Push Hands" erscheinen auf dem Bildschirm.</v>
      </c>
    </row>
    <row r="31470">
      <c r="A31470" s="4" t="s">
        <v>39625</v>
      </c>
      <c r="B31470" s="4" t="s">
        <v>39627</v>
      </c>
      <c r="C31470" s="5" t="str">
        <f>IFERROR(__xludf.DUMMYFUNCTION("GOOGLETRANSLATE(B31470,""en"",""de"")"),"Mehrere Studenten wenden sich individuell an den Großmeister, der versucht, gegen ihn zu kämpfen, und werden schnell zurückgedrängt.")</f>
        <v>Mehrere Studenten wenden sich individuell an den Großmeister, der versucht, gegen ihn zu kämpfen, und werden schnell zurückgedrängt.</v>
      </c>
    </row>
    <row r="31471">
      <c r="A31471" s="4" t="s">
        <v>39625</v>
      </c>
      <c r="B31471" s="4" t="s">
        <v>39628</v>
      </c>
      <c r="C31471" s="5" t="str">
        <f>IFERROR(__xludf.DUMMYFUNCTION("GOOGLETRANSLATE(B31471,""en"",""de"")"),"Der Großmeister tippt auf einen Schüler auf den Kopf und er fällt schnell zu Boden.")</f>
        <v>Der Großmeister tippt auf einen Schüler auf den Kopf und er fällt schnell zu Boden.</v>
      </c>
    </row>
    <row r="31472">
      <c r="A31472" s="4" t="s">
        <v>39629</v>
      </c>
      <c r="B31472" s="4" t="s">
        <v>39630</v>
      </c>
      <c r="C31472" s="5" t="str">
        <f>IFERROR(__xludf.DUMMYFUNCTION("GOOGLETRANSLATE(B31472,""en"",""de"")"),"Eine Person ist gesehen, wie er über den Hof geht, der zu einem langen Seil führt.")</f>
        <v>Eine Person ist gesehen, wie er über den Hof geht, der zu einem langen Seil führt.</v>
      </c>
    </row>
    <row r="31473">
      <c r="A31473" s="4" t="s">
        <v>39629</v>
      </c>
      <c r="B31473" s="4" t="s">
        <v>39631</v>
      </c>
      <c r="C31473" s="5" t="str">
        <f>IFERROR(__xludf.DUMMYFUNCTION("GOOGLETRANSLATE(B31473,""en"",""de"")"),"Der Mann springt auf das Seil und versucht, darüber zu gehen.")</f>
        <v>Der Mann springt auf das Seil und versucht, darüber zu gehen.</v>
      </c>
    </row>
    <row r="31474">
      <c r="A31474" s="4" t="s">
        <v>39629</v>
      </c>
      <c r="B31474" s="4" t="s">
        <v>39632</v>
      </c>
      <c r="C31474" s="5" t="str">
        <f>IFERROR(__xludf.DUMMYFUNCTION("GOOGLETRANSLATE(B31474,""en"",""de"")"),"Er geht weiter und führt dazu, dass er abfällt.")</f>
        <v>Er geht weiter und führt dazu, dass er abfällt.</v>
      </c>
    </row>
    <row r="31475">
      <c r="A31475" s="4" t="s">
        <v>39633</v>
      </c>
      <c r="B31475" s="4" t="s">
        <v>39634</v>
      </c>
      <c r="C31475" s="5" t="str">
        <f>IFERROR(__xludf.DUMMYFUNCTION("GOOGLETRANSLATE(B31475,""en"",""de"")"),"Katze schläft in einem pelzigen Tisch und ein Mann hält ihn und zeigt einen Nagelschneider und fängt an, die Katzennägel in einer Couch zu schneiden.")</f>
        <v>Katze schläft in einem pelzigen Tisch und ein Mann hält ihn und zeigt einen Nagelschneider und fängt an, die Katzennägel in einer Couch zu schneiden.</v>
      </c>
    </row>
    <row r="31476">
      <c r="A31476" s="4" t="s">
        <v>39633</v>
      </c>
      <c r="B31476" s="4" t="s">
        <v>39635</v>
      </c>
      <c r="C31476" s="5" t="str">
        <f>IFERROR(__xludf.DUMMYFUNCTION("GOOGLETRANSLATE(B31476,""en"",""de"")"),"Katze sitzt in einem roten Teppich.")</f>
        <v>Katze sitzt in einem roten Teppich.</v>
      </c>
    </row>
    <row r="31477">
      <c r="A31477" s="4" t="s">
        <v>39636</v>
      </c>
      <c r="B31477" s="4" t="s">
        <v>39637</v>
      </c>
      <c r="C31477" s="5" t="str">
        <f>IFERROR(__xludf.DUMMYFUNCTION("GOOGLETRANSLATE(B31477,""en"",""de"")"),"Es wird ein Video von Wodka gezeigt, das in ein Martini -Glas gegossen wird.")</f>
        <v>Es wird ein Video von Wodka gezeigt, das in ein Martini -Glas gegossen wird.</v>
      </c>
    </row>
    <row r="31478">
      <c r="A31478" s="4" t="s">
        <v>39636</v>
      </c>
      <c r="B31478" s="4" t="s">
        <v>39638</v>
      </c>
      <c r="C31478" s="5" t="str">
        <f>IFERROR(__xludf.DUMMYFUNCTION("GOOGLETRANSLATE(B31478,""en"",""de"")"),"Eine Frau steht hinter einer Bar mit Flaschen und Zutaten.")</f>
        <v>Eine Frau steht hinter einer Bar mit Flaschen und Zutaten.</v>
      </c>
    </row>
    <row r="31479">
      <c r="A31479" s="4" t="s">
        <v>39636</v>
      </c>
      <c r="B31479" s="4" t="s">
        <v>39639</v>
      </c>
      <c r="C31479" s="5" t="str">
        <f>IFERROR(__xludf.DUMMYFUNCTION("GOOGLETRANSLATE(B31479,""en"",""de"")"),"Sie mischt die Alkohole in ein Glas und schüttelt sie dann auf, bevor sie das Getränk dekoriert und zeigt.")</f>
        <v>Sie mischt die Alkohole in ein Glas und schüttelt sie dann auf, bevor sie das Getränk dekoriert und zeigt.</v>
      </c>
    </row>
    <row r="31480">
      <c r="A31480" s="4" t="s">
        <v>39640</v>
      </c>
      <c r="B31480" s="4" t="s">
        <v>39641</v>
      </c>
      <c r="C31480" s="5" t="str">
        <f>IFERROR(__xludf.DUMMYFUNCTION("GOOGLETRANSLATE(B31480,""en"",""de"")"),"Ein großer schneebedeckter Berg wird ebenso gezeigt wie Menschen, die fahren und Menschen auf einem Berg stehen.")</f>
        <v>Ein großer schneebedeckter Berg wird ebenso gezeigt wie Menschen, die fahren und Menschen auf einem Berg stehen.</v>
      </c>
    </row>
    <row r="31481">
      <c r="A31481" s="4" t="s">
        <v>39640</v>
      </c>
      <c r="B31481" s="4" t="s">
        <v>39642</v>
      </c>
      <c r="C31481" s="5" t="str">
        <f>IFERROR(__xludf.DUMMYFUNCTION("GOOGLETRANSLATE(B31481,""en"",""de"")"),"Es werden mehrere Schüsse von Menschen auf Snowboards gezeigt, Tricks durchführen und die Kamera gestikulieren.")</f>
        <v>Es werden mehrere Schüsse von Menschen auf Snowboards gezeigt, Tricks durchführen und die Kamera gestikulieren.</v>
      </c>
    </row>
    <row r="31482">
      <c r="A31482" s="4" t="s">
        <v>39640</v>
      </c>
      <c r="B31482" s="4" t="s">
        <v>39643</v>
      </c>
      <c r="C31482" s="5" t="str">
        <f>IFERROR(__xludf.DUMMYFUNCTION("GOOGLETRANSLATE(B31482,""en"",""de"")"),"Das Video setzt sich mit beeindruckenden Clips von Menschen fort, die Stunts sowie Nahaufnahmen von Menschen reiten.")</f>
        <v>Das Video setzt sich mit beeindruckenden Clips von Menschen fort, die Stunts sowie Nahaufnahmen von Menschen reiten.</v>
      </c>
    </row>
    <row r="31483">
      <c r="A31483" s="4" t="s">
        <v>39644</v>
      </c>
      <c r="B31483" s="4" t="s">
        <v>39645</v>
      </c>
      <c r="C31483" s="5" t="str">
        <f>IFERROR(__xludf.DUMMYFUNCTION("GOOGLETRANSLATE(B31483,""en"",""de"")"),"Eine Frau macht einen Gurt an.")</f>
        <v>Eine Frau macht einen Gurt an.</v>
      </c>
    </row>
    <row r="31484">
      <c r="A31484" s="4" t="s">
        <v>39644</v>
      </c>
      <c r="B31484" s="4" t="s">
        <v>39646</v>
      </c>
      <c r="C31484" s="5" t="str">
        <f>IFERROR(__xludf.DUMMYFUNCTION("GOOGLETRANSLATE(B31484,""en"",""de"")"),"Ein Mann steckt ein Seil vor dem Gurt der Frau.")</f>
        <v>Ein Mann steckt ein Seil vor dem Gurt der Frau.</v>
      </c>
    </row>
    <row r="31485">
      <c r="A31485" s="4" t="s">
        <v>39644</v>
      </c>
      <c r="B31485" s="4" t="s">
        <v>39647</v>
      </c>
      <c r="C31485" s="5" t="str">
        <f>IFERROR(__xludf.DUMMYFUNCTION("GOOGLETRANSLATE(B31485,""en"",""de"")"),"Er bindet das Seil in einen Knoten.")</f>
        <v>Er bindet das Seil in einen Knoten.</v>
      </c>
    </row>
    <row r="31486">
      <c r="A31486" s="4" t="s">
        <v>39648</v>
      </c>
      <c r="B31486" s="4" t="s">
        <v>39649</v>
      </c>
      <c r="C31486" s="5" t="str">
        <f>IFERROR(__xludf.DUMMYFUNCTION("GOOGLETRANSLATE(B31486,""en"",""de"")"),"Eine Person steht an einem Fluss.")</f>
        <v>Eine Person steht an einem Fluss.</v>
      </c>
    </row>
    <row r="31487">
      <c r="A31487" s="4" t="s">
        <v>39648</v>
      </c>
      <c r="B31487" s="4" t="s">
        <v>39650</v>
      </c>
      <c r="C31487" s="5" t="str">
        <f>IFERROR(__xludf.DUMMYFUNCTION("GOOGLETRANSLATE(B31487,""en"",""de"")"),"Eine Gruppe von Menschen, die Westen tragen, Kajak einen Fluss hinunter.")</f>
        <v>Eine Gruppe von Menschen, die Westen tragen, Kajak einen Fluss hinunter.</v>
      </c>
    </row>
    <row r="31488">
      <c r="A31488" s="4" t="s">
        <v>39648</v>
      </c>
      <c r="B31488" s="4" t="s">
        <v>39651</v>
      </c>
      <c r="C31488" s="5" t="str">
        <f>IFERROR(__xludf.DUMMYFUNCTION("GOOGLETRANSLATE(B31488,""en"",""de"")"),"Eine Person hält ihr Paddel über ihren Kopf.")</f>
        <v>Eine Person hält ihr Paddel über ihren Kopf.</v>
      </c>
    </row>
    <row r="31489">
      <c r="A31489" s="4" t="s">
        <v>39648</v>
      </c>
      <c r="B31489" s="4" t="s">
        <v>39652</v>
      </c>
      <c r="C31489" s="5" t="str">
        <f>IFERROR(__xludf.DUMMYFUNCTION("GOOGLETRANSLATE(B31489,""en"",""de"")"),"Ein paar Menschen sitzen am Fluss in einem Grasgebiet.")</f>
        <v>Ein paar Menschen sitzen am Fluss in einem Grasgebiet.</v>
      </c>
    </row>
    <row r="31490">
      <c r="A31490" s="4" t="s">
        <v>39648</v>
      </c>
      <c r="B31490" s="4" t="s">
        <v>39653</v>
      </c>
      <c r="C31490" s="5" t="str">
        <f>IFERROR(__xludf.DUMMYFUNCTION("GOOGLETRANSLATE(B31490,""en"",""de"")"),"Die Menschen Kajakfahren nähern sich einer Brücke.")</f>
        <v>Die Menschen Kajakfahren nähern sich einer Brücke.</v>
      </c>
    </row>
    <row r="31491">
      <c r="A31491" s="4" t="s">
        <v>39648</v>
      </c>
      <c r="B31491" s="4" t="s">
        <v>39654</v>
      </c>
      <c r="C31491" s="5" t="str">
        <f>IFERROR(__xludf.DUMMYFUNCTION("GOOGLETRANSLATE(B31491,""en"",""de"")"),"Ein paar Leute sitzen in der Nähe einiger Autos neben dem Fluss.")</f>
        <v>Ein paar Leute sitzen in der Nähe einiger Autos neben dem Fluss.</v>
      </c>
    </row>
    <row r="31492">
      <c r="A31492" s="4" t="s">
        <v>39655</v>
      </c>
      <c r="B31492" s="4" t="s">
        <v>39656</v>
      </c>
      <c r="C31492" s="5" t="str">
        <f>IFERROR(__xludf.DUMMYFUNCTION("GOOGLETRANSLATE(B31492,""en"",""de"")"),"Ein Mann Kajakfahren am Wasser und bewegt seine Arme schnell und vierten.")</f>
        <v>Ein Mann Kajakfahren am Wasser und bewegt seine Arme schnell und vierten.</v>
      </c>
    </row>
    <row r="31493">
      <c r="A31493" s="4" t="s">
        <v>39655</v>
      </c>
      <c r="B31493" s="4" t="s">
        <v>39657</v>
      </c>
      <c r="C31493" s="5" t="str">
        <f>IFERROR(__xludf.DUMMYFUNCTION("GOOGLETRANSLATE(B31493,""en"",""de"")"),"Die Kamera folgt ihm durch das Wasser und arbeitet sich schließlich in Richtung einer Brücke.")</f>
        <v>Die Kamera folgt ihm durch das Wasser und arbeitet sich schließlich in Richtung einer Brücke.</v>
      </c>
    </row>
    <row r="31494">
      <c r="A31494" s="4" t="s">
        <v>39658</v>
      </c>
      <c r="B31494" s="4" t="s">
        <v>39659</v>
      </c>
      <c r="C31494" s="5" t="str">
        <f>IFERROR(__xludf.DUMMYFUNCTION("GOOGLETRANSLATE(B31494,""en"",""de"")"),"Die Credits des Clips neben einem Farbeimer werden angezeigt.")</f>
        <v>Die Credits des Clips neben einem Farbeimer werden angezeigt.</v>
      </c>
    </row>
    <row r="31495">
      <c r="A31495" s="4" t="s">
        <v>39658</v>
      </c>
      <c r="B31495" s="4" t="s">
        <v>39660</v>
      </c>
      <c r="C31495" s="5" t="str">
        <f>IFERROR(__xludf.DUMMYFUNCTION("GOOGLETRANSLATE(B31495,""en"",""de"")"),"Eine Hand malt einen Kleiderschrank weiß mit einem Pinsel.")</f>
        <v>Eine Hand malt einen Kleiderschrank weiß mit einem Pinsel.</v>
      </c>
    </row>
    <row r="31496">
      <c r="A31496" s="4" t="s">
        <v>39658</v>
      </c>
      <c r="B31496" s="4" t="s">
        <v>39661</v>
      </c>
      <c r="C31496" s="5" t="str">
        <f>IFERROR(__xludf.DUMMYFUNCTION("GOOGLETRANSLATE(B31496,""en"",""de"")"),"Die Hand nimmt einen weißen Teppich auf.")</f>
        <v>Die Hand nimmt einen weißen Teppich auf.</v>
      </c>
    </row>
    <row r="31497">
      <c r="A31497" s="4" t="s">
        <v>39658</v>
      </c>
      <c r="B31497" s="4" t="s">
        <v>39662</v>
      </c>
      <c r="C31497" s="5" t="str">
        <f>IFERROR(__xludf.DUMMYFUNCTION("GOOGLETRANSLATE(B31497,""en"",""de"")"),"Die Hand steckt zwei Finger in den Teppich und vermittelt den bemalten Garderobe.")</f>
        <v>Die Hand steckt zwei Finger in den Teppich und vermittelt den bemalten Garderobe.</v>
      </c>
    </row>
    <row r="31498">
      <c r="A31498" s="4" t="s">
        <v>39658</v>
      </c>
      <c r="B31498" s="4" t="s">
        <v>39663</v>
      </c>
      <c r="C31498" s="5" t="str">
        <f>IFERROR(__xludf.DUMMYFUNCTION("GOOGLETRANSLATE(B31498,""en"",""de"")"),"Das Endprodukt der gemalten Garderobe wird gezeigt.")</f>
        <v>Das Endprodukt der gemalten Garderobe wird gezeigt.</v>
      </c>
    </row>
    <row r="31499">
      <c r="A31499" s="4" t="s">
        <v>39658</v>
      </c>
      <c r="B31499" s="4" t="s">
        <v>573</v>
      </c>
      <c r="C31499" s="5" t="str">
        <f>IFERROR(__xludf.DUMMYFUNCTION("GOOGLETRANSLATE(B31499,""en"",""de"")"),"Die Credits des Videos werden angezeigt.")</f>
        <v>Die Credits des Videos werden angezeigt.</v>
      </c>
    </row>
    <row r="31500">
      <c r="A31500" s="4" t="s">
        <v>39664</v>
      </c>
      <c r="B31500" s="4" t="s">
        <v>39665</v>
      </c>
      <c r="C31500" s="5" t="str">
        <f>IFERROR(__xludf.DUMMYFUNCTION("GOOGLETRANSLATE(B31500,""en"",""de"")"),"Die Arme einer Person bewegten sich zurück und vierten im Wasser, das ein Kajak unter einigen Gräbern steuert, das aus dem Wasser ragt.")</f>
        <v>Die Arme einer Person bewegten sich zurück und vierten im Wasser, das ein Kajak unter einigen Gräbern steuert, das aus dem Wasser ragt.</v>
      </c>
    </row>
    <row r="31501">
      <c r="A31501" s="4" t="s">
        <v>39664</v>
      </c>
      <c r="B31501" s="4" t="s">
        <v>39666</v>
      </c>
      <c r="C31501" s="5" t="str">
        <f>IFERROR(__xludf.DUMMYFUNCTION("GOOGLETRANSLATE(B31501,""en"",""de"")"),"Der Mann schiebt sich weiter und endet damit, dass er seine Stange ins Wasser steckt.")</f>
        <v>Der Mann schiebt sich weiter und endet damit, dass er seine Stange ins Wasser steckt.</v>
      </c>
    </row>
    <row r="31502">
      <c r="A31502" s="4" t="s">
        <v>39667</v>
      </c>
      <c r="B31502" s="4" t="s">
        <v>39668</v>
      </c>
      <c r="C31502" s="5" t="str">
        <f>IFERROR(__xludf.DUMMYFUNCTION("GOOGLETRANSLATE(B31502,""en"",""de"")"),"Verschiedene Aufnahmen eines Tattoo -Shops werden gezeigt, gefolgt von einer Frau, die auf einem Stuhl sitzt, und ein Mann, der Gegenstände bereitet.")</f>
        <v>Verschiedene Aufnahmen eines Tattoo -Shops werden gezeigt, gefolgt von einer Frau, die auf einem Stuhl sitzt, und ein Mann, der Gegenstände bereitet.</v>
      </c>
    </row>
    <row r="31503">
      <c r="A31503" s="4" t="s">
        <v>39667</v>
      </c>
      <c r="B31503" s="4" t="s">
        <v>39669</v>
      </c>
      <c r="C31503" s="5" t="str">
        <f>IFERROR(__xludf.DUMMYFUNCTION("GOOGLETRANSLATE(B31503,""en"",""de"")"),"Sie nimmt einen Schluck Wasser und der Mann durchbohrt dann die Lippe mit einer Nadel.")</f>
        <v>Sie nimmt einen Schluck Wasser und der Mann durchbohrt dann die Lippe mit einer Nadel.</v>
      </c>
    </row>
    <row r="31504">
      <c r="A31504" s="4" t="s">
        <v>39667</v>
      </c>
      <c r="B31504" s="4" t="s">
        <v>39670</v>
      </c>
      <c r="C31504" s="5" t="str">
        <f>IFERROR(__xludf.DUMMYFUNCTION("GOOGLETRANSLATE(B31504,""en"",""de"")"),"Sie wird wieder in einem Bild ihres neuen Piercings gezeigt.")</f>
        <v>Sie wird wieder in einem Bild ihres neuen Piercings gezeigt.</v>
      </c>
    </row>
    <row r="31505">
      <c r="A31505" s="4" t="s">
        <v>39671</v>
      </c>
      <c r="B31505" s="4" t="s">
        <v>39672</v>
      </c>
      <c r="C31505" s="5" t="str">
        <f>IFERROR(__xludf.DUMMYFUNCTION("GOOGLETRANSLATE(B31505,""en"",""de"")"),"Ein Mann spielt einen Akkordeianer, während er gelegentlich in die Kamera starrt.")</f>
        <v>Ein Mann spielt einen Akkordeianer, während er gelegentlich in die Kamera starrt.</v>
      </c>
    </row>
    <row r="31506">
      <c r="A31506" s="4" t="s">
        <v>39671</v>
      </c>
      <c r="B31506" s="4" t="s">
        <v>39673</v>
      </c>
      <c r="C31506" s="5" t="str">
        <f>IFERROR(__xludf.DUMMYFUNCTION("GOOGLETRANSLATE(B31506,""en"",""de"")"),"Der Mann ändert seine Fingerspitzen ständig und schaut während des Spielens in die Ferne.")</f>
        <v>Der Mann ändert seine Fingerspitzen ständig und schaut während des Spielens in die Ferne.</v>
      </c>
    </row>
    <row r="31507">
      <c r="A31507" s="4" t="s">
        <v>39671</v>
      </c>
      <c r="B31507" s="4" t="s">
        <v>39674</v>
      </c>
      <c r="C31507" s="5" t="str">
        <f>IFERROR(__xludf.DUMMYFUNCTION("GOOGLETRANSLATE(B31507,""en"",""de"")"),"Der Mann setzt sein Lied fort und endet schließlich, indem er in die Kamera lächelt.")</f>
        <v>Der Mann setzt sein Lied fort und endet schließlich, indem er in die Kamera lächelt.</v>
      </c>
    </row>
    <row r="31508">
      <c r="A31508" s="4" t="s">
        <v>39675</v>
      </c>
      <c r="B31508" s="4" t="s">
        <v>39676</v>
      </c>
      <c r="C31508" s="5" t="str">
        <f>IFERROR(__xludf.DUMMYFUNCTION("GOOGLETRANSLATE(B31508,""en"",""de"")"),"Ein Mann im Vorgarten, der zeigt, wie man den Rasen mähen.")</f>
        <v>Ein Mann im Vorgarten, der zeigt, wie man den Rasen mähen.</v>
      </c>
    </row>
    <row r="31509">
      <c r="A31509" s="4" t="s">
        <v>39675</v>
      </c>
      <c r="B31509" s="4" t="s">
        <v>39677</v>
      </c>
      <c r="C31509" s="5" t="str">
        <f>IFERROR(__xludf.DUMMYFUNCTION("GOOGLETRANSLATE(B31509,""en"",""de"")"),"Er bewegt zuerst alle Trümmer aus dem Weg, so dass vor dem Mähen nichts im Mäher gefangen wird.")</f>
        <v>Er bewegt zuerst alle Trümmer aus dem Weg, so dass vor dem Mähen nichts im Mäher gefangen wird.</v>
      </c>
    </row>
    <row r="31510">
      <c r="A31510" s="4" t="s">
        <v>39675</v>
      </c>
      <c r="B31510" s="4" t="s">
        <v>39678</v>
      </c>
      <c r="C31510" s="5" t="str">
        <f>IFERROR(__xludf.DUMMYFUNCTION("GOOGLETRANSLATE(B31510,""en"",""de"")"),"Dann benutzt er ein Stethoskop, um dem Mäher zu hören, während er Öl hineinlegt.")</f>
        <v>Dann benutzt er ein Stethoskop, um dem Mäher zu hören, während er Öl hineinlegt.</v>
      </c>
    </row>
    <row r="31511">
      <c r="A31511" s="4" t="s">
        <v>39675</v>
      </c>
      <c r="B31511" s="4" t="s">
        <v>39679</v>
      </c>
      <c r="C31511" s="5" t="str">
        <f>IFERROR(__xludf.DUMMYFUNCTION("GOOGLETRANSLATE(B31511,""en"",""de"")"),"Er schlägt vor, dass Sie mit Sonnenuntergang das Mähen von Sonnenuntergang beenden. Wenn Sie einen Pushing -Mäher verwenden, sollten Sie Ihren Rückenstriag und die Arme gebeugt halten.")</f>
        <v>Er schlägt vor, dass Sie mit Sonnenuntergang das Mähen von Sonnenuntergang beenden. Wenn Sie einen Pushing -Mäher verwenden, sollten Sie Ihren Rückenstriag und die Arme gebeugt halten.</v>
      </c>
    </row>
    <row r="31512">
      <c r="A31512" s="4" t="s">
        <v>39680</v>
      </c>
      <c r="B31512" s="4" t="s">
        <v>39681</v>
      </c>
      <c r="C31512" s="5" t="str">
        <f>IFERROR(__xludf.DUMMYFUNCTION("GOOGLETRANSLATE(B31512,""en"",""de"")"),"Ein kleines Mädchen steht in einer Küche vor einer Schüssel- und Zuckerkeksmischung.")</f>
        <v>Ein kleines Mädchen steht in einer Küche vor einer Schüssel- und Zuckerkeksmischung.</v>
      </c>
    </row>
    <row r="31513">
      <c r="A31513" s="4" t="s">
        <v>39680</v>
      </c>
      <c r="B31513" s="4" t="s">
        <v>39682</v>
      </c>
      <c r="C31513" s="5" t="str">
        <f>IFERROR(__xludf.DUMMYFUNCTION("GOOGLETRANSLATE(B31513,""en"",""de"")"),"Das Mädchen zeigt ihrem Publikum die Zutaten, bevor er die Cookie -Mischung in eine Schüssel gießt.")</f>
        <v>Das Mädchen zeigt ihrem Publikum die Zutaten, bevor er die Cookie -Mischung in eine Schüssel gießt.</v>
      </c>
    </row>
    <row r="31514">
      <c r="A31514" s="4" t="s">
        <v>39680</v>
      </c>
      <c r="B31514" s="4" t="s">
        <v>39683</v>
      </c>
      <c r="C31514" s="5" t="str">
        <f>IFERROR(__xludf.DUMMYFUNCTION("GOOGLETRANSLATE(B31514,""en"",""de"")"),"Sie fügt dann Butter und Eigelb hinzu und rührt das Ganze mit einem Handmixer.")</f>
        <v>Sie fügt dann Butter und Eigelb hinzu und rührt das Ganze mit einem Handmixer.</v>
      </c>
    </row>
    <row r="31515">
      <c r="A31515" s="4" t="s">
        <v>39680</v>
      </c>
      <c r="B31515" s="4" t="s">
        <v>39684</v>
      </c>
      <c r="C31515" s="5" t="str">
        <f>IFERROR(__xludf.DUMMYFUNCTION("GOOGLETRANSLATE(B31515,""en"",""de"")"),"Sie rollt den Teig in Plastikfolie, bevor sie ihn wieder ausbreitet und in Formen mit Keksträgern schneidet.")</f>
        <v>Sie rollt den Teig in Plastikfolie, bevor sie ihn wieder ausbreitet und in Formen mit Keksträgern schneidet.</v>
      </c>
    </row>
    <row r="31516">
      <c r="A31516" s="4" t="s">
        <v>39680</v>
      </c>
      <c r="B31516" s="4" t="s">
        <v>39685</v>
      </c>
      <c r="C31516" s="5" t="str">
        <f>IFERROR(__xludf.DUMMYFUNCTION("GOOGLETRANSLATE(B31516,""en"",""de"")"),"Die Kekse sind gebacken und bereit, mit Streuseln und Zuckerguss zu frostieren.")</f>
        <v>Die Kekse sind gebacken und bereit, mit Streuseln und Zuckerguss zu frostieren.</v>
      </c>
    </row>
    <row r="31517">
      <c r="A31517" s="4" t="s">
        <v>39686</v>
      </c>
      <c r="B31517" s="4" t="s">
        <v>1251</v>
      </c>
      <c r="C31517" s="5" t="str">
        <f>IFERROR(__xludf.DUMMYFUNCTION("GOOGLETRANSLATE(B31517,""en"",""de"")"),"Die Credits des Clips werden angezeigt.")</f>
        <v>Die Credits des Clips werden angezeigt.</v>
      </c>
    </row>
    <row r="31518">
      <c r="A31518" s="4" t="s">
        <v>39686</v>
      </c>
      <c r="B31518" s="4" t="s">
        <v>39687</v>
      </c>
      <c r="C31518" s="5" t="str">
        <f>IFERROR(__xludf.DUMMYFUNCTION("GOOGLETRANSLATE(B31518,""en"",""de"")"),"Eine polierte Hände nimmt ein Stück Klebeband.")</f>
        <v>Eine polierte Hände nimmt ein Stück Klebeband.</v>
      </c>
    </row>
    <row r="31519">
      <c r="A31519" s="4" t="s">
        <v>39686</v>
      </c>
      <c r="B31519" s="4" t="s">
        <v>39688</v>
      </c>
      <c r="C31519" s="5" t="str">
        <f>IFERROR(__xludf.DUMMYFUNCTION("GOOGLETRANSLATE(B31519,""en"",""de"")"),"Die polierten Hände legen ein Stück Klebeband am Rand eines braunen Objekts.")</f>
        <v>Die polierten Hände legen ein Stück Klebeband am Rand eines braunen Objekts.</v>
      </c>
    </row>
    <row r="31520">
      <c r="A31520" s="4" t="s">
        <v>39686</v>
      </c>
      <c r="B31520" s="4" t="s">
        <v>39689</v>
      </c>
      <c r="C31520" s="5" t="str">
        <f>IFERROR(__xludf.DUMMYFUNCTION("GOOGLETRANSLATE(B31520,""en"",""de"")"),"Die Hand malt türkisklinisch auf dem Band.")</f>
        <v>Die Hand malt türkisklinisch auf dem Band.</v>
      </c>
    </row>
    <row r="31521">
      <c r="A31521" s="4" t="s">
        <v>39686</v>
      </c>
      <c r="B31521" s="4" t="s">
        <v>39690</v>
      </c>
      <c r="C31521" s="5" t="str">
        <f>IFERROR(__xludf.DUMMYFUNCTION("GOOGLETRANSLATE(B31521,""en"",""de"")"),"Die Hand schneidet das polierte Klebeband in Streifen.")</f>
        <v>Die Hand schneidet das polierte Klebeband in Streifen.</v>
      </c>
    </row>
    <row r="31522">
      <c r="A31522" s="4" t="s">
        <v>39686</v>
      </c>
      <c r="B31522" s="4" t="s">
        <v>39691</v>
      </c>
      <c r="C31522" s="5" t="str">
        <f>IFERROR(__xludf.DUMMYFUNCTION("GOOGLETRANSLATE(B31522,""en"",""de"")"),"Die Hand legt den Streifen auf einen polierten Nagel.")</f>
        <v>Die Hand legt den Streifen auf einen polierten Nagel.</v>
      </c>
    </row>
    <row r="31523">
      <c r="A31523" s="4" t="s">
        <v>39686</v>
      </c>
      <c r="B31523" s="4" t="s">
        <v>39692</v>
      </c>
      <c r="C31523" s="5" t="str">
        <f>IFERROR(__xludf.DUMMYFUNCTION("GOOGLETRANSLATE(B31523,""en"",""de"")"),"Die Hand malt den Nagel mit klarem Nagellack.")</f>
        <v>Die Hand malt den Nagel mit klarem Nagellack.</v>
      </c>
    </row>
    <row r="31524">
      <c r="A31524" s="4" t="s">
        <v>39686</v>
      </c>
      <c r="B31524" s="4" t="s">
        <v>39693</v>
      </c>
      <c r="C31524" s="5" t="str">
        <f>IFERROR(__xludf.DUMMYFUNCTION("GOOGLETRANSLATE(B31524,""en"",""de"")"),"Die Hand reibt einen eingeweichten Wattebausch auf einem Fingernagel, sodass der Lack entfernt wird.")</f>
        <v>Die Hand reibt einen eingeweichten Wattebausch auf einem Fingernagel, sodass der Lack entfernt wird.</v>
      </c>
    </row>
    <row r="31525">
      <c r="A31525" s="4" t="s">
        <v>39686</v>
      </c>
      <c r="B31525" s="4" t="s">
        <v>573</v>
      </c>
      <c r="C31525" s="5" t="str">
        <f>IFERROR(__xludf.DUMMYFUNCTION("GOOGLETRANSLATE(B31525,""en"",""de"")"),"Die Credits des Videos werden angezeigt.")</f>
        <v>Die Credits des Videos werden angezeigt.</v>
      </c>
    </row>
    <row r="31526">
      <c r="A31526" s="4" t="s">
        <v>39694</v>
      </c>
      <c r="B31526" s="4" t="s">
        <v>39695</v>
      </c>
      <c r="C31526" s="5" t="str">
        <f>IFERROR(__xludf.DUMMYFUNCTION("GOOGLETRANSLATE(B31526,""en"",""de"")"),"Ein Mann streckt Hemden auf einem Bügelbrett in einem Werkstattbereich aus und verwendet ein flaches Bügeleisen, um es zu dämpfen.")</f>
        <v>Ein Mann streckt Hemden auf einem Bügelbrett in einem Werkstattbereich aus und verwendet ein flaches Bügeleisen, um es zu dämpfen.</v>
      </c>
    </row>
    <row r="31527">
      <c r="A31527" s="4" t="s">
        <v>39694</v>
      </c>
      <c r="B31527" s="4" t="s">
        <v>39696</v>
      </c>
      <c r="C31527" s="5" t="str">
        <f>IFERROR(__xludf.DUMMYFUNCTION("GOOGLETRANSLATE(B31527,""en"",""de"")"),"Der Mann entfernt das gebügelte Hemd und legt es auf einen Kleiderbügel.")</f>
        <v>Der Mann entfernt das gebügelte Hemd und legt es auf einen Kleiderbügel.</v>
      </c>
    </row>
    <row r="31528">
      <c r="A31528" s="4" t="s">
        <v>39694</v>
      </c>
      <c r="B31528" s="4" t="s">
        <v>39697</v>
      </c>
      <c r="C31528" s="5" t="str">
        <f>IFERROR(__xludf.DUMMYFUNCTION("GOOGLETRANSLATE(B31528,""en"",""de"")"),"Der Mann verleiht dem Hemd ein weiteres schnelles Bügeln an einer einzelnen Stelle und hängt das Hemd an einem Rack.")</f>
        <v>Der Mann verleiht dem Hemd ein weiteres schnelles Bügeln an einer einzelnen Stelle und hängt das Hemd an einem Rack.</v>
      </c>
    </row>
    <row r="31529">
      <c r="A31529" s="4" t="s">
        <v>39698</v>
      </c>
      <c r="B31529" s="4" t="s">
        <v>39699</v>
      </c>
      <c r="C31529" s="5" t="str">
        <f>IFERROR(__xludf.DUMMYFUNCTION("GOOGLETRANSLATE(B31529,""en"",""de"")"),"Ein Mann springt mehrmals von einem Tauchbrett in einen Pool.")</f>
        <v>Ein Mann springt mehrmals von einem Tauchbrett in einen Pool.</v>
      </c>
    </row>
    <row r="31530">
      <c r="A31530" s="4" t="s">
        <v>39698</v>
      </c>
      <c r="B31530" s="4" t="s">
        <v>39700</v>
      </c>
      <c r="C31530" s="5" t="str">
        <f>IFERROR(__xludf.DUMMYFUNCTION("GOOGLETRANSLATE(B31530,""en"",""de"")"),"Eine andere Person schwimmt im Pool.")</f>
        <v>Eine andere Person schwimmt im Pool.</v>
      </c>
    </row>
    <row r="31531">
      <c r="A31531" s="4" t="s">
        <v>39698</v>
      </c>
      <c r="B31531" s="4" t="s">
        <v>39701</v>
      </c>
      <c r="C31531" s="5" t="str">
        <f>IFERROR(__xludf.DUMMYFUNCTION("GOOGLETRANSLATE(B31531,""en"",""de"")"),"Er macht einen Flip und landet im Wasser, bevor er auftaucht.")</f>
        <v>Er macht einen Flip und landet im Wasser, bevor er auftaucht.</v>
      </c>
    </row>
    <row r="31532">
      <c r="A31532" s="4" t="s">
        <v>39702</v>
      </c>
      <c r="B31532" s="4" t="s">
        <v>1487</v>
      </c>
      <c r="C31532" s="5" t="str">
        <f>IFERROR(__xludf.DUMMYFUNCTION("GOOGLETRANSLATE(B31532,""en"",""de"")"),"Wir sehen einen Öffnungsbildschirm.")</f>
        <v>Wir sehen einen Öffnungsbildschirm.</v>
      </c>
    </row>
    <row r="31533">
      <c r="A31533" s="4" t="s">
        <v>39702</v>
      </c>
      <c r="B31533" s="4" t="s">
        <v>39703</v>
      </c>
      <c r="C31533" s="5" t="str">
        <f>IFERROR(__xludf.DUMMYFUNCTION("GOOGLETRANSLATE(B31533,""en"",""de"")"),"Wir sehen eine Dame an einem Tisch mit Schuhen und Vorräten, die mit der Kamera sprechen.")</f>
        <v>Wir sehen eine Dame an einem Tisch mit Schuhen und Vorräten, die mit der Kamera sprechen.</v>
      </c>
    </row>
    <row r="31534">
      <c r="A31534" s="4" t="s">
        <v>39702</v>
      </c>
      <c r="B31534" s="4" t="s">
        <v>39704</v>
      </c>
      <c r="C31534" s="5" t="str">
        <f>IFERROR(__xludf.DUMMYFUNCTION("GOOGLETRANSLATE(B31534,""en"",""de"")"),"Wir sehen Bildschirme mit Schuhen.")</f>
        <v>Wir sehen Bildschirme mit Schuhen.</v>
      </c>
    </row>
    <row r="31535">
      <c r="A31535" s="4" t="s">
        <v>39702</v>
      </c>
      <c r="B31535" s="4" t="s">
        <v>39705</v>
      </c>
      <c r="C31535" s="5" t="str">
        <f>IFERROR(__xludf.DUMMYFUNCTION("GOOGLETRANSLATE(B31535,""en"",""de"")"),"Die Dame zeigt uns verschiedene Schuhe.")</f>
        <v>Die Dame zeigt uns verschiedene Schuhe.</v>
      </c>
    </row>
    <row r="31536">
      <c r="A31536" s="4" t="s">
        <v>39702</v>
      </c>
      <c r="B31536" s="4" t="s">
        <v>39706</v>
      </c>
      <c r="C31536" s="5" t="str">
        <f>IFERROR(__xludf.DUMMYFUNCTION("GOOGLETRANSLATE(B31536,""en"",""de"")"),"Die Dame zeigt uns die Schuhbedarf.")</f>
        <v>Die Dame zeigt uns die Schuhbedarf.</v>
      </c>
    </row>
    <row r="31537">
      <c r="A31537" s="4" t="s">
        <v>39702</v>
      </c>
      <c r="B31537" s="4" t="s">
        <v>39707</v>
      </c>
      <c r="C31537" s="5" t="str">
        <f>IFERROR(__xludf.DUMMYFUNCTION("GOOGLETRANSLATE(B31537,""en"",""de"")"),"Die Dame fügt den Schuhen ein Produkt hinzu.")</f>
        <v>Die Dame fügt den Schuhen ein Produkt hinzu.</v>
      </c>
    </row>
    <row r="31538">
      <c r="A31538" s="4" t="s">
        <v>39702</v>
      </c>
      <c r="B31538" s="4" t="s">
        <v>39708</v>
      </c>
      <c r="C31538" s="5" t="str">
        <f>IFERROR(__xludf.DUMMYFUNCTION("GOOGLETRANSLATE(B31538,""en"",""de"")"),"Die Dame wischt dann das Produkt mit einem Handtuch ab.")</f>
        <v>Die Dame wischt dann das Produkt mit einem Handtuch ab.</v>
      </c>
    </row>
    <row r="31539">
      <c r="A31539" s="4" t="s">
        <v>39702</v>
      </c>
      <c r="B31539" s="4" t="s">
        <v>39709</v>
      </c>
      <c r="C31539" s="5" t="str">
        <f>IFERROR(__xludf.DUMMYFUNCTION("GOOGLETRANSLATE(B31539,""en"",""de"")"),"Die Dame fügt dann dem Schuh Schuhe Wachs hinzu und wischt ihn ab.")</f>
        <v>Die Dame fügt dann dem Schuh Schuhe Wachs hinzu und wischt ihn ab.</v>
      </c>
    </row>
    <row r="31540">
      <c r="A31540" s="4" t="s">
        <v>39702</v>
      </c>
      <c r="B31540" s="4" t="s">
        <v>2892</v>
      </c>
      <c r="C31540" s="5" t="str">
        <f>IFERROR(__xludf.DUMMYFUNCTION("GOOGLETRANSLATE(B31540,""en"",""de"")"),"Wir sehen den Schluss -Titelbildschirm.")</f>
        <v>Wir sehen den Schluss -Titelbildschirm.</v>
      </c>
    </row>
    <row r="31541">
      <c r="A31541" s="4" t="s">
        <v>39710</v>
      </c>
      <c r="B31541" s="4" t="s">
        <v>39711</v>
      </c>
      <c r="C31541" s="5" t="str">
        <f>IFERROR(__xludf.DUMMYFUNCTION("GOOGLETRANSLATE(B31541,""en"",""de"")"),"Ein Mann räumt Schnee von einem Auto auf schneebedeckten Parkplatz aus.")</f>
        <v>Ein Mann räumt Schnee von einem Auto auf schneebedeckten Parkplatz aus.</v>
      </c>
    </row>
    <row r="31542">
      <c r="A31542" s="4" t="s">
        <v>39710</v>
      </c>
      <c r="B31542" s="4" t="s">
        <v>39712</v>
      </c>
      <c r="C31542" s="5" t="str">
        <f>IFERROR(__xludf.DUMMYFUNCTION("GOOGLETRANSLATE(B31542,""en"",""de"")"),"Ein Mann in einem schmalen Flur hält und leitet eine Kamera im Flur, drückt einen Knopf in den Flur, verlässt dann durch die Tür im Flur und geht nach draußen.")</f>
        <v>Ein Mann in einem schmalen Flur hält und leitet eine Kamera im Flur, drückt einen Knopf in den Flur, verlässt dann durch die Tür im Flur und geht nach draußen.</v>
      </c>
    </row>
    <row r="31543">
      <c r="A31543" s="4" t="s">
        <v>39710</v>
      </c>
      <c r="B31543" s="4" t="s">
        <v>39713</v>
      </c>
      <c r="C31543" s="5" t="str">
        <f>IFERROR(__xludf.DUMMYFUNCTION("GOOGLETRANSLATE(B31543,""en"",""de"")"),"Sobald vor der Kamera einen schneebedeckten Parkplatz mit schneebedeckten Autos und einem Mädchen in rosa Hosen abholt.")</f>
        <v>Sobald vor der Kamera einen schneebedeckten Parkplatz mit schneebedeckten Autos und einem Mädchen in rosa Hosen abholt.</v>
      </c>
    </row>
    <row r="31544">
      <c r="A31544" s="4" t="s">
        <v>39710</v>
      </c>
      <c r="B31544" s="4" t="s">
        <v>39714</v>
      </c>
      <c r="C31544" s="5" t="str">
        <f>IFERROR(__xludf.DUMMYFUNCTION("GOOGLETRANSLATE(B31544,""en"",""de"")"),"Ein Mann, der einen langen Schnee entfernen, der die Bürste entfernt, nähert sich einem Auto und beginnt, manchmal mit seinen Armen den Schnee aus dem Auto zu wischen.")</f>
        <v>Ein Mann, der einen langen Schnee entfernen, der die Bürste entfernt, nähert sich einem Auto und beginnt, manchmal mit seinen Armen den Schnee aus dem Auto zu wischen.</v>
      </c>
    </row>
    <row r="31545">
      <c r="A31545" s="4" t="s">
        <v>39710</v>
      </c>
      <c r="B31545" s="4" t="s">
        <v>39715</v>
      </c>
      <c r="C31545" s="5" t="str">
        <f>IFERROR(__xludf.DUMMYFUNCTION("GOOGLETRANSLATE(B31545,""en"",""de"")"),"Der Mann räumt das gesamte Auto mit Schnee mit der Bürste und einer Schaufel aus, bevor die Szene in ein Fahrzeug fährt, das die Straße im Schnee hinunter fährt.")</f>
        <v>Der Mann räumt das gesamte Auto mit Schnee mit der Bürste und einer Schaufel aus, bevor die Szene in ein Fahrzeug fährt, das die Straße im Schnee hinunter fährt.</v>
      </c>
    </row>
    <row r="31546">
      <c r="A31546" s="4" t="s">
        <v>39716</v>
      </c>
      <c r="B31546" s="4" t="s">
        <v>39717</v>
      </c>
      <c r="C31546" s="5" t="str">
        <f>IFERROR(__xludf.DUMMYFUNCTION("GOOGLETRANSLATE(B31546,""en"",""de"")"),"Wir sehen Männer in einem Casino, das Bier hält.")</f>
        <v>Wir sehen Männer in einem Casino, das Bier hält.</v>
      </c>
    </row>
    <row r="31547">
      <c r="A31547" s="4" t="s">
        <v>39716</v>
      </c>
      <c r="B31547" s="4" t="s">
        <v>39718</v>
      </c>
      <c r="C31547" s="5" t="str">
        <f>IFERROR(__xludf.DUMMYFUNCTION("GOOGLETRANSLATE(B31547,""en"",""de"")"),"Wir sehen einen Mann und legen Geld auf den Tisch.")</f>
        <v>Wir sehen einen Mann und legen Geld auf den Tisch.</v>
      </c>
    </row>
    <row r="31548">
      <c r="A31548" s="4" t="s">
        <v>39716</v>
      </c>
      <c r="B31548" s="4" t="s">
        <v>39719</v>
      </c>
      <c r="C31548" s="5" t="str">
        <f>IFERROR(__xludf.DUMMYFUNCTION("GOOGLETRANSLATE(B31548,""en"",""de"")"),"Der Händler zählt das Geld und gibt den Mann Chips.")</f>
        <v>Der Händler zählt das Geld und gibt den Mann Chips.</v>
      </c>
    </row>
    <row r="31549">
      <c r="A31549" s="4" t="s">
        <v>39716</v>
      </c>
      <c r="B31549" s="4" t="s">
        <v>39720</v>
      </c>
      <c r="C31549" s="5" t="str">
        <f>IFERROR(__xludf.DUMMYFUNCTION("GOOGLETRANSLATE(B31549,""en"",""de"")"),"Der Händler handelt von Blackjack und wir sehen, wie die Männer klatschen und der Händler lachen.")</f>
        <v>Der Händler handelt von Blackjack und wir sehen, wie die Männer klatschen und der Händler lachen.</v>
      </c>
    </row>
    <row r="31550">
      <c r="A31550" s="4" t="s">
        <v>39716</v>
      </c>
      <c r="B31550" s="4" t="s">
        <v>39721</v>
      </c>
      <c r="C31550" s="5" t="str">
        <f>IFERROR(__xludf.DUMMYFUNCTION("GOOGLETRANSLATE(B31550,""en"",""de"")"),"Wir sehen, dass der Händler den Mann Chips gibt und der Mann in seiner Gruppe steht und seinen Freunden seinen Stapel Chips zeigt.")</f>
        <v>Wir sehen, dass der Händler den Mann Chips gibt und der Mann in seiner Gruppe steht und seinen Freunden seinen Stapel Chips zeigt.</v>
      </c>
    </row>
    <row r="31551">
      <c r="A31551" s="4" t="s">
        <v>39716</v>
      </c>
      <c r="B31551" s="4" t="s">
        <v>39722</v>
      </c>
      <c r="C31551" s="5" t="str">
        <f>IFERROR(__xludf.DUMMYFUNCTION("GOOGLETRANSLATE(B31551,""en"",""de"")"),"Zwei Männer jubeln und werfen ihre Fäuste in die Luft und das Ich lacht und jubelt und spazieren.")</f>
        <v>Zwei Männer jubeln und werfen ihre Fäuste in die Luft und das Ich lacht und jubelt und spazieren.</v>
      </c>
    </row>
    <row r="31552">
      <c r="A31552" s="4" t="s">
        <v>39723</v>
      </c>
      <c r="B31552" s="4" t="s">
        <v>31448</v>
      </c>
      <c r="C31552" s="5" t="str">
        <f>IFERROR(__xludf.DUMMYFUNCTION("GOOGLETRANSLATE(B31552,""en"",""de"")"),"Ein Kind rutscht in eine Rutsche.")</f>
        <v>Ein Kind rutscht in eine Rutsche.</v>
      </c>
    </row>
    <row r="31553">
      <c r="A31553" s="4" t="s">
        <v>39723</v>
      </c>
      <c r="B31553" s="4" t="s">
        <v>39724</v>
      </c>
      <c r="C31553" s="5" t="str">
        <f>IFERROR(__xludf.DUMMYFUNCTION("GOOGLETRANSLATE(B31553,""en"",""de"")"),"Er macht eine Pause, als ein anderer nach unten rutscht.")</f>
        <v>Er macht eine Pause, als ein anderer nach unten rutscht.</v>
      </c>
    </row>
    <row r="31554">
      <c r="A31554" s="4" t="s">
        <v>39723</v>
      </c>
      <c r="B31554" s="4" t="s">
        <v>39725</v>
      </c>
      <c r="C31554" s="5" t="str">
        <f>IFERROR(__xludf.DUMMYFUNCTION("GOOGLETRANSLATE(B31554,""en"",""de"")"),"Er rutscht nach unten, als sie aufhört.")</f>
        <v>Er rutscht nach unten, als sie aufhört.</v>
      </c>
    </row>
    <row r="31555">
      <c r="A31555" s="4" t="s">
        <v>39723</v>
      </c>
      <c r="B31555" s="4" t="s">
        <v>39726</v>
      </c>
      <c r="C31555" s="5" t="str">
        <f>IFERROR(__xludf.DUMMYFUNCTION("GOOGLETRANSLATE(B31555,""en"",""de"")"),"Er rennt auf sie zu und sie rutscht bis zum Ende hinunter.")</f>
        <v>Er rennt auf sie zu und sie rutscht bis zum Ende hinunter.</v>
      </c>
    </row>
    <row r="31556">
      <c r="A31556" s="4" t="s">
        <v>39727</v>
      </c>
      <c r="B31556" s="4" t="s">
        <v>39728</v>
      </c>
      <c r="C31556" s="5" t="str">
        <f>IFERROR(__xludf.DUMMYFUNCTION("GOOGLETRANSLATE(B31556,""en"",""de"")"),"Wir sehen den Titel über einer Landschaft.")</f>
        <v>Wir sehen den Titel über einer Landschaft.</v>
      </c>
    </row>
    <row r="31557">
      <c r="A31557" s="4" t="s">
        <v>39727</v>
      </c>
      <c r="B31557" s="4" t="s">
        <v>39729</v>
      </c>
      <c r="C31557" s="5" t="str">
        <f>IFERROR(__xludf.DUMMYFUNCTION("GOOGLETRANSLATE(B31557,""en"",""de"")"),"Die Leute spielen Instrumente in einem Bereich.")</f>
        <v>Die Leute spielen Instrumente in einem Bereich.</v>
      </c>
    </row>
    <row r="31558">
      <c r="A31558" s="4" t="s">
        <v>39727</v>
      </c>
      <c r="B31558" s="4" t="s">
        <v>39730</v>
      </c>
      <c r="C31558" s="5" t="str">
        <f>IFERROR(__xludf.DUMMYFUNCTION("GOOGLETRANSLATE(B31558,""en"",""de"")"),"Wir sehen dann Männer, die Kampfkunst praktizieren.")</f>
        <v>Wir sehen dann Männer, die Kampfkunst praktizieren.</v>
      </c>
    </row>
    <row r="31559">
      <c r="A31559" s="4" t="s">
        <v>39727</v>
      </c>
      <c r="B31559" s="4" t="s">
        <v>39731</v>
      </c>
      <c r="C31559" s="5" t="str">
        <f>IFERROR(__xludf.DUMMYFUNCTION("GOOGLETRANSLATE(B31559,""en"",""de"")"),"Ein Mann tritt einen anderen Mann zu Boden.")</f>
        <v>Ein Mann tritt einen anderen Mann zu Boden.</v>
      </c>
    </row>
    <row r="31560">
      <c r="A31560" s="4" t="s">
        <v>39727</v>
      </c>
      <c r="B31560" s="4" t="s">
        <v>39732</v>
      </c>
      <c r="C31560" s="5" t="str">
        <f>IFERROR(__xludf.DUMMYFUNCTION("GOOGLETRANSLATE(B31560,""en"",""de"")"),"Wir sehen einen Mann einen anderen Mann über seinen Rücken.")</f>
        <v>Wir sehen einen Mann einen anderen Mann über seinen Rücken.</v>
      </c>
    </row>
    <row r="31561">
      <c r="A31561" s="4" t="s">
        <v>39727</v>
      </c>
      <c r="B31561" s="4" t="s">
        <v>39733</v>
      </c>
      <c r="C31561" s="5" t="str">
        <f>IFERROR(__xludf.DUMMYFUNCTION("GOOGLETRANSLATE(B31561,""en"",""de"")"),"Ein Mann macht einen Flip und macht dann einen Rückenflip.")</f>
        <v>Ein Mann macht einen Flip und macht dann einen Rückenflip.</v>
      </c>
    </row>
    <row r="31562">
      <c r="A31562" s="4" t="s">
        <v>39727</v>
      </c>
      <c r="B31562" s="4" t="s">
        <v>39734</v>
      </c>
      <c r="C31562" s="5" t="str">
        <f>IFERROR(__xludf.DUMMYFUNCTION("GOOGLETRANSLATE(B31562,""en"",""de"")"),"Wir sehen die Leute wieder, die Instrumente spielen.")</f>
        <v>Wir sehen die Leute wieder, die Instrumente spielen.</v>
      </c>
    </row>
    <row r="31563">
      <c r="A31563" s="4" t="s">
        <v>39727</v>
      </c>
      <c r="B31563" s="4" t="s">
        <v>39735</v>
      </c>
      <c r="C31563" s="5" t="str">
        <f>IFERROR(__xludf.DUMMYFUNCTION("GOOGLETRANSLATE(B31563,""en"",""de"")"),"130 Wir sehen, dass Wörter auf dem Bildschirm erscheinen, und die Endkredite werden angezeigt.")</f>
        <v>130 Wir sehen, dass Wörter auf dem Bildschirm erscheinen, und die Endkredite werden angezeigt.</v>
      </c>
    </row>
    <row r="31564">
      <c r="A31564" s="4" t="s">
        <v>39736</v>
      </c>
      <c r="B31564" s="4" t="s">
        <v>39737</v>
      </c>
      <c r="C31564" s="5" t="str">
        <f>IFERROR(__xludf.DUMMYFUNCTION("GOOGLETRANSLATE(B31564,""en"",""de"")"),"Ein kleines Kind spielt mit einem Spielzeug und legt Lippenstock auf die Lippen.")</f>
        <v>Ein kleines Kind spielt mit einem Spielzeug und legt Lippenstock auf die Lippen.</v>
      </c>
    </row>
    <row r="31565">
      <c r="A31565" s="4" t="s">
        <v>39736</v>
      </c>
      <c r="B31565" s="4" t="s">
        <v>39738</v>
      </c>
      <c r="C31565" s="5" t="str">
        <f>IFERROR(__xludf.DUMMYFUNCTION("GOOGLETRANSLATE(B31565,""en"",""de"")"),"Die Kamera wird dann in einem Raum bewegt, die Treppe hinuntergeht und dem jungen Mädchen folgt.")</f>
        <v>Die Kamera wird dann in einem Raum bewegt, die Treppe hinuntergeht und dem jungen Mädchen folgt.</v>
      </c>
    </row>
    <row r="31566">
      <c r="A31566" s="4" t="s">
        <v>39736</v>
      </c>
      <c r="B31566" s="4" t="s">
        <v>39739</v>
      </c>
      <c r="C31566" s="5" t="str">
        <f>IFERROR(__xludf.DUMMYFUNCTION("GOOGLETRANSLATE(B31566,""en"",""de"")"),"Das Mädchen geht zurück in ihr Zimmer, um mit ihrem Spielzeug zu spielen, während die Kamera folgt.")</f>
        <v>Das Mädchen geht zurück in ihr Zimmer, um mit ihrem Spielzeug zu spielen, während die Kamera folgt.</v>
      </c>
    </row>
    <row r="31567">
      <c r="A31567" s="4" t="s">
        <v>39740</v>
      </c>
      <c r="B31567" s="4" t="s">
        <v>39741</v>
      </c>
      <c r="C31567" s="5" t="str">
        <f>IFERROR(__xludf.DUMMYFUNCTION("GOOGLETRANSLATE(B31567,""en"",""de"")"),"Zwei Männer spielen vor einem Schiedsrichter Spiele von Rockpapierscheren.")</f>
        <v>Zwei Männer spielen vor einem Schiedsrichter Spiele von Rockpapierscheren.</v>
      </c>
    </row>
    <row r="31568">
      <c r="A31568" s="4" t="s">
        <v>39740</v>
      </c>
      <c r="B31568" s="4" t="s">
        <v>39742</v>
      </c>
      <c r="C31568" s="5" t="str">
        <f>IFERROR(__xludf.DUMMYFUNCTION("GOOGLETRANSLATE(B31568,""en"",""de"")"),"Eine Frau klopft auf einen von ihnen auf den Rücken.")</f>
        <v>Eine Frau klopft auf einen von ihnen auf den Rücken.</v>
      </c>
    </row>
    <row r="31569">
      <c r="A31569" s="4" t="s">
        <v>39740</v>
      </c>
      <c r="B31569" s="4" t="s">
        <v>39743</v>
      </c>
      <c r="C31569" s="5" t="str">
        <f>IFERROR(__xludf.DUMMYFUNCTION("GOOGLETRANSLATE(B31569,""en"",""de"")"),"Sie spielen ein letztes Spiel und ein Mann feiert seinen Sieg.")</f>
        <v>Sie spielen ein letztes Spiel und ein Mann feiert seinen Sieg.</v>
      </c>
    </row>
    <row r="31570">
      <c r="A31570" s="4" t="s">
        <v>39744</v>
      </c>
      <c r="B31570" s="4" t="s">
        <v>39745</v>
      </c>
      <c r="C31570" s="5" t="str">
        <f>IFERROR(__xludf.DUMMYFUNCTION("GOOGLETRANSLATE(B31570,""en"",""de"")"),"Ein Mann sitzt hinter einem Tisch.")</f>
        <v>Ein Mann sitzt hinter einem Tisch.</v>
      </c>
    </row>
    <row r="31571">
      <c r="A31571" s="4" t="s">
        <v>39744</v>
      </c>
      <c r="B31571" s="4" t="s">
        <v>39746</v>
      </c>
      <c r="C31571" s="5" t="str">
        <f>IFERROR(__xludf.DUMMYFUNCTION("GOOGLETRANSLATE(B31571,""en"",""de"")"),"Er nimmt einen Rubiks -Würfel ab und vervollständigt ihn.")</f>
        <v>Er nimmt einen Rubiks -Würfel ab und vervollständigt ihn.</v>
      </c>
    </row>
    <row r="31572">
      <c r="A31572" s="4" t="s">
        <v>39744</v>
      </c>
      <c r="B31572" s="4" t="s">
        <v>39747</v>
      </c>
      <c r="C31572" s="5" t="str">
        <f>IFERROR(__xludf.DUMMYFUNCTION("GOOGLETRANSLATE(B31572,""en"",""de"")"),"Ein Mann steht neben ihm und schreibt etwas auf eine Zeitung.")</f>
        <v>Ein Mann steht neben ihm und schreibt etwas auf eine Zeitung.</v>
      </c>
    </row>
    <row r="31573">
      <c r="A31573" s="4" t="s">
        <v>39748</v>
      </c>
      <c r="B31573" s="4" t="s">
        <v>39749</v>
      </c>
      <c r="C31573" s="5" t="str">
        <f>IFERROR(__xludf.DUMMYFUNCTION("GOOGLETRANSLATE(B31573,""en"",""de"")"),"Ein Mann spricht mit der Kamera und beginnt Messer hochzuhalten.")</f>
        <v>Ein Mann spricht mit der Kamera und beginnt Messer hochzuhalten.</v>
      </c>
    </row>
    <row r="31574">
      <c r="A31574" s="4" t="s">
        <v>39748</v>
      </c>
      <c r="B31574" s="4" t="s">
        <v>39750</v>
      </c>
      <c r="C31574" s="5" t="str">
        <f>IFERROR(__xludf.DUMMYFUNCTION("GOOGLETRANSLATE(B31574,""en"",""de"")"),"Er schwenkt rund um seine Werkzeuge und zeigt ein Kit.")</f>
        <v>Er schwenkt rund um seine Werkzeuge und zeigt ein Kit.</v>
      </c>
    </row>
    <row r="31575">
      <c r="A31575" s="4" t="s">
        <v>39748</v>
      </c>
      <c r="B31575" s="4" t="s">
        <v>39751</v>
      </c>
      <c r="C31575" s="5" t="str">
        <f>IFERROR(__xludf.DUMMYFUNCTION("GOOGLETRANSLATE(B31575,""en"",""de"")"),"Dann führt er ein Messer mit verschiedenen Brettern und Stöcken, während er immer noch mit der Kamera spricht.")</f>
        <v>Dann führt er ein Messer mit verschiedenen Brettern und Stöcken, während er immer noch mit der Kamera spricht.</v>
      </c>
    </row>
    <row r="31576">
      <c r="A31576" s="4" t="s">
        <v>39752</v>
      </c>
      <c r="B31576" s="4" t="s">
        <v>39753</v>
      </c>
      <c r="C31576" s="5" t="str">
        <f>IFERROR(__xludf.DUMMYFUNCTION("GOOGLETRANSLATE(B31576,""en"",""de"")"),"Eine Gruppe von Schwimmern steht auf einer Plattform bereit und beugen sich auf die Füße.")</f>
        <v>Eine Gruppe von Schwimmern steht auf einer Plattform bereit und beugen sich auf die Füße.</v>
      </c>
    </row>
    <row r="31577">
      <c r="A31577" s="4" t="s">
        <v>39752</v>
      </c>
      <c r="B31577" s="4" t="s">
        <v>39754</v>
      </c>
      <c r="C31577" s="5" t="str">
        <f>IFERROR(__xludf.DUMMYFUNCTION("GOOGLETRANSLATE(B31577,""en"",""de"")"),"Mehrere Männer stehen hinter ihnen, wenn sie alle gleichzeitig hineinspringen.")</f>
        <v>Mehrere Männer stehen hinter ihnen, wenn sie alle gleichzeitig hineinspringen.</v>
      </c>
    </row>
    <row r="31578">
      <c r="A31578" s="4" t="s">
        <v>39752</v>
      </c>
      <c r="B31578" s="4" t="s">
        <v>39755</v>
      </c>
      <c r="C31578" s="5" t="str">
        <f>IFERROR(__xludf.DUMMYFUNCTION("GOOGLETRANSLATE(B31578,""en"",""de"")"),"Die Männer rennen zurück und viertes und machen eine Schmetterlingsbewegung zurück und vierten, bis sie alle das Ende erreichen.")</f>
        <v>Die Männer rennen zurück und viertes und machen eine Schmetterlingsbewegung zurück und vierten, bis sie alle das Ende erreichen.</v>
      </c>
    </row>
    <row r="31579">
      <c r="A31579" s="4" t="s">
        <v>39756</v>
      </c>
      <c r="B31579" s="4" t="s">
        <v>39757</v>
      </c>
      <c r="C31579" s="5" t="str">
        <f>IFERROR(__xludf.DUMMYFUNCTION("GOOGLETRANSLATE(B31579,""en"",""de"")"),"Ein junges Mädchen streift ihr Haar.")</f>
        <v>Ein junges Mädchen streift ihr Haar.</v>
      </c>
    </row>
    <row r="31580">
      <c r="A31580" s="4" t="s">
        <v>39756</v>
      </c>
      <c r="B31580" s="4" t="s">
        <v>39758</v>
      </c>
      <c r="C31580" s="5" t="str">
        <f>IFERROR(__xludf.DUMMYFUNCTION("GOOGLETRANSLATE(B31580,""en"",""de"")"),"Das Mädchen schaut nach unten, als wäre sie verwirrt.")</f>
        <v>Das Mädchen schaut nach unten, als wäre sie verwirrt.</v>
      </c>
    </row>
    <row r="31581">
      <c r="A31581" s="4" t="s">
        <v>39756</v>
      </c>
      <c r="B31581" s="4" t="s">
        <v>32637</v>
      </c>
      <c r="C31581" s="5" t="str">
        <f>IFERROR(__xludf.DUMMYFUNCTION("GOOGLETRANSLATE(B31581,""en"",""de"")"),"Das Mädchen spricht mit der Kamera.")</f>
        <v>Das Mädchen spricht mit der Kamera.</v>
      </c>
    </row>
    <row r="31582">
      <c r="A31582" s="4" t="s">
        <v>39759</v>
      </c>
      <c r="B31582" s="4" t="s">
        <v>39760</v>
      </c>
      <c r="C31582" s="5" t="str">
        <f>IFERROR(__xludf.DUMMYFUNCTION("GOOGLETRANSLATE(B31582,""en"",""de"")"),"Verschiedene Personen werden am Anfang in einer großen Gymnasium gezeigt, die mehrere Ausrutscher und Tricks auf einem Trampolin nacheinander ausführt.")</f>
        <v>Verschiedene Personen werden am Anfang in einer großen Gymnasium gezeigt, die mehrere Ausrutscher und Tricks auf einem Trampolin nacheinander ausführt.</v>
      </c>
    </row>
    <row r="31583">
      <c r="A31583" s="4" t="s">
        <v>39759</v>
      </c>
      <c r="B31583" s="4" t="s">
        <v>39761</v>
      </c>
      <c r="C31583" s="5" t="str">
        <f>IFERROR(__xludf.DUMMYFUNCTION("GOOGLETRANSLATE(B31583,""en"",""de"")"),"Die Menschen springen weiter und drehen sich im Fitnessstudio herum, wobei eine am Ende in einer großen Grube endet.")</f>
        <v>Die Menschen springen weiter und drehen sich im Fitnessstudio herum, wobei eine am Ende in einer großen Grube endet.</v>
      </c>
    </row>
    <row r="31584">
      <c r="A31584" s="4" t="s">
        <v>39762</v>
      </c>
      <c r="B31584" s="4" t="s">
        <v>39763</v>
      </c>
      <c r="C31584" s="5" t="str">
        <f>IFERROR(__xludf.DUMMYFUNCTION("GOOGLETRANSLATE(B31584,""en"",""de"")"),"Der Groomer sprüht den braunen Hund.")</f>
        <v>Der Groomer sprüht den braunen Hund.</v>
      </c>
    </row>
    <row r="31585">
      <c r="A31585" s="4" t="s">
        <v>39762</v>
      </c>
      <c r="B31585" s="4" t="s">
        <v>39764</v>
      </c>
      <c r="C31585" s="5" t="str">
        <f>IFERROR(__xludf.DUMMYFUNCTION("GOOGLETRANSLATE(B31585,""en"",""de"")"),"Der Hund rennt im Laden herum.")</f>
        <v>Der Hund rennt im Laden herum.</v>
      </c>
    </row>
    <row r="31586">
      <c r="A31586" s="4" t="s">
        <v>39762</v>
      </c>
      <c r="B31586" s="4" t="s">
        <v>39765</v>
      </c>
      <c r="C31586" s="5" t="str">
        <f>IFERROR(__xludf.DUMMYFUNCTION("GOOGLETRANSLATE(B31586,""en"",""de"")"),"Der Groomer büscht den braunen Hund.")</f>
        <v>Der Groomer büscht den braunen Hund.</v>
      </c>
    </row>
    <row r="31587">
      <c r="A31587" s="4" t="s">
        <v>39766</v>
      </c>
      <c r="B31587" s="4" t="s">
        <v>39767</v>
      </c>
      <c r="C31587" s="5" t="str">
        <f>IFERROR(__xludf.DUMMYFUNCTION("GOOGLETRANSLATE(B31587,""en"",""de"")"),"Eine Person hält verschiedene Lebensmittel auf, während sie lachen und mit anderen sprechen.")</f>
        <v>Eine Person hält verschiedene Lebensmittel auf, während sie lachen und mit anderen sprechen.</v>
      </c>
    </row>
    <row r="31588">
      <c r="A31588" s="4" t="s">
        <v>39766</v>
      </c>
      <c r="B31588" s="4" t="s">
        <v>39768</v>
      </c>
      <c r="C31588" s="5" t="str">
        <f>IFERROR(__xludf.DUMMYFUNCTION("GOOGLETRANSLATE(B31588,""en"",""de"")"),"Die Männer beginnen dann zusammen zu kochen, indem sie verschiedene Zutaten mischen und auf einen Teller präsentieren.")</f>
        <v>Die Männer beginnen dann zusammen zu kochen, indem sie verschiedene Zutaten mischen und auf einen Teller präsentieren.</v>
      </c>
    </row>
    <row r="31589">
      <c r="A31589" s="4" t="s">
        <v>39766</v>
      </c>
      <c r="B31589" s="4" t="s">
        <v>39769</v>
      </c>
      <c r="C31589" s="5" t="str">
        <f>IFERROR(__xludf.DUMMYFUNCTION("GOOGLETRANSLATE(B31589,""en"",""de"")"),"Das Rezept wird dann gezeigt, wie man das Essen kocht und führt zu Klammern des gekochten Essens und präsentiert, wobei die Männer zusammen essen.")</f>
        <v>Das Rezept wird dann gezeigt, wie man das Essen kocht und führt zu Klammern des gekochten Essens und präsentiert, wobei die Männer zusammen essen.</v>
      </c>
    </row>
    <row r="31590">
      <c r="A31590" s="4" t="s">
        <v>39770</v>
      </c>
      <c r="B31590" s="4" t="s">
        <v>39771</v>
      </c>
      <c r="C31590" s="5" t="str">
        <f>IFERROR(__xludf.DUMMYFUNCTION("GOOGLETRANSLATE(B31590,""en"",""de"")"),"Ein Intro führt zu mehreren Schüssen Wasser und einer jungen Frau, die zurück und vierten im Wasser schwimmt.")</f>
        <v>Ein Intro führt zu mehreren Schüssen Wasser und einer jungen Frau, die zurück und vierten im Wasser schwimmt.</v>
      </c>
    </row>
    <row r="31591">
      <c r="A31591" s="4" t="s">
        <v>39770</v>
      </c>
      <c r="B31591" s="4" t="s">
        <v>39772</v>
      </c>
      <c r="C31591" s="5" t="str">
        <f>IFERROR(__xludf.DUMMYFUNCTION("GOOGLETRANSLATE(B31591,""en"",""de"")"),"Sie kommt an die Oberfläche und spricht mit der Kamera, während mehrere weitere Wasseraufnahmen gezeigt werden.")</f>
        <v>Sie kommt an die Oberfläche und spricht mit der Kamera, während mehrere weitere Wasseraufnahmen gezeigt werden.</v>
      </c>
    </row>
    <row r="31592">
      <c r="A31592" s="4" t="s">
        <v>39773</v>
      </c>
      <c r="B31592" s="4" t="s">
        <v>39774</v>
      </c>
      <c r="C31592" s="5" t="str">
        <f>IFERROR(__xludf.DUMMYFUNCTION("GOOGLETRANSLATE(B31592,""en"",""de"")"),"Ein Mann sitzt auf einem Kamel, gefolgt von einem anderen Mann, der weiter klettert.")</f>
        <v>Ein Mann sitzt auf einem Kamel, gefolgt von einem anderen Mann, der weiter klettert.</v>
      </c>
    </row>
    <row r="31593">
      <c r="A31593" s="4" t="s">
        <v>39773</v>
      </c>
      <c r="B31593" s="4" t="s">
        <v>39775</v>
      </c>
      <c r="C31593" s="5" t="str">
        <f>IFERROR(__xludf.DUMMYFUNCTION("GOOGLETRANSLATE(B31593,""en"",""de"")"),"Der Mann führt dann den anderen auf dem Kamel.")</f>
        <v>Der Mann führt dann den anderen auf dem Kamel.</v>
      </c>
    </row>
    <row r="31594">
      <c r="A31594" s="4" t="s">
        <v>39773</v>
      </c>
      <c r="B31594" s="4" t="s">
        <v>39776</v>
      </c>
      <c r="C31594" s="5" t="str">
        <f>IFERROR(__xludf.DUMMYFUNCTION("GOOGLETRANSLATE(B31594,""en"",""de"")"),"Der Mann hält das Kamel an und holt die andere Person aus, während er wieder aufsteigt.")</f>
        <v>Der Mann hält das Kamel an und holt die andere Person aus, während er wieder aufsteigt.</v>
      </c>
    </row>
    <row r="31595">
      <c r="A31595" s="4" t="s">
        <v>39777</v>
      </c>
      <c r="B31595" s="4" t="s">
        <v>39778</v>
      </c>
      <c r="C31595" s="5" t="str">
        <f>IFERROR(__xludf.DUMMYFUNCTION("GOOGLETRANSLATE(B31595,""en"",""de"")"),"Mehrere Künstler gehen aus einer Schachtel und es ist ein Mann und eine Frau.")</f>
        <v>Mehrere Künstler gehen aus einer Schachtel und es ist ein Mann und eine Frau.</v>
      </c>
    </row>
    <row r="31596">
      <c r="A31596" s="4" t="s">
        <v>39777</v>
      </c>
      <c r="B31596" s="4" t="s">
        <v>39779</v>
      </c>
      <c r="C31596" s="5" t="str">
        <f>IFERROR(__xludf.DUMMYFUNCTION("GOOGLETRANSLATE(B31596,""en"",""de"")"),"Die Dame beginnt dann auf seltsame Weise und erzählt weiterhin eine Geschichte in Ballerina -Form.")</f>
        <v>Die Dame beginnt dann auf seltsame Weise und erzählt weiterhin eine Geschichte in Ballerina -Form.</v>
      </c>
    </row>
    <row r="31597">
      <c r="A31597" s="4" t="s">
        <v>39777</v>
      </c>
      <c r="B31597" s="4" t="s">
        <v>39780</v>
      </c>
      <c r="C31597" s="5" t="str">
        <f>IFERROR(__xludf.DUMMYFUNCTION("GOOGLETRANSLATE(B31597,""en"",""de"")"),"Nach ein paar Minuten schließt sich der Mann ihnen an und sie tanzen weiter mit starken Beinen und festen Armen.")</f>
        <v>Nach ein paar Minuten schließt sich der Mann ihnen an und sie tanzen weiter mit starken Beinen und festen Armen.</v>
      </c>
    </row>
    <row r="31598">
      <c r="A31598" s="4" t="s">
        <v>39781</v>
      </c>
      <c r="B31598" s="4" t="s">
        <v>39782</v>
      </c>
      <c r="C31598" s="5" t="str">
        <f>IFERROR(__xludf.DUMMYFUNCTION("GOOGLETRANSLATE(B31598,""en"",""de"")"),"Ein Mann hält ein gelbes Eisen auf einer Schachtel.")</f>
        <v>Ein Mann hält ein gelbes Eisen auf einer Schachtel.</v>
      </c>
    </row>
    <row r="31599">
      <c r="A31599" s="4" t="s">
        <v>39781</v>
      </c>
      <c r="B31599" s="4" t="s">
        <v>39783</v>
      </c>
      <c r="C31599" s="5" t="str">
        <f>IFERROR(__xludf.DUMMYFUNCTION("GOOGLETRANSLATE(B31599,""en"",""de"")"),"Er schmilzt eine Stange von dem Boden des heißen Eisen.")</f>
        <v>Er schmilzt eine Stange von dem Boden des heißen Eisen.</v>
      </c>
    </row>
    <row r="31600">
      <c r="A31600" s="4" t="s">
        <v>39781</v>
      </c>
      <c r="B31600" s="4" t="s">
        <v>39784</v>
      </c>
      <c r="C31600" s="5" t="str">
        <f>IFERROR(__xludf.DUMMYFUNCTION("GOOGLETRANSLATE(B31600,""en"",""de"")"),"Dann feiern er über dem Wachs, der auf einen Ski tropfte.")</f>
        <v>Dann feiern er über dem Wachs, der auf einen Ski tropfte.</v>
      </c>
    </row>
    <row r="31601">
      <c r="A31601" s="4" t="s">
        <v>39781</v>
      </c>
      <c r="B31601" s="4" t="s">
        <v>39785</v>
      </c>
      <c r="C31601" s="5" t="str">
        <f>IFERROR(__xludf.DUMMYFUNCTION("GOOGLETRANSLATE(B31601,""en"",""de"")"),"Er beendet und setzt das Eisen ab.")</f>
        <v>Er beendet und setzt das Eisen ab.</v>
      </c>
    </row>
    <row r="31602">
      <c r="A31602" s="4" t="s">
        <v>39786</v>
      </c>
      <c r="B31602" s="4" t="s">
        <v>39787</v>
      </c>
      <c r="C31602" s="5" t="str">
        <f>IFERROR(__xludf.DUMMYFUNCTION("GOOGLETRANSLATE(B31602,""en"",""de"")"),"Ein Logo für eine Firma taucht auf einem schwarzen Bildschirm auf.")</f>
        <v>Ein Logo für eine Firma taucht auf einem schwarzen Bildschirm auf.</v>
      </c>
    </row>
    <row r="31603">
      <c r="A31603" s="4" t="s">
        <v>39786</v>
      </c>
      <c r="B31603" s="4" t="s">
        <v>39788</v>
      </c>
      <c r="C31603" s="5" t="str">
        <f>IFERROR(__xludf.DUMMYFUNCTION("GOOGLETRANSLATE(B31603,""en"",""de"")"),"Ein Mann in einer gelben Jacke und einem orangefarbenen Helm wird das Kajakfahren des Ozeans gezeigt.")</f>
        <v>Ein Mann in einer gelben Jacke und einem orangefarbenen Helm wird das Kajakfahren des Ozeans gezeigt.</v>
      </c>
    </row>
    <row r="31604">
      <c r="A31604" s="4" t="s">
        <v>39786</v>
      </c>
      <c r="B31604" s="4" t="s">
        <v>39789</v>
      </c>
      <c r="C31604" s="5" t="str">
        <f>IFERROR(__xludf.DUMMYFUNCTION("GOOGLETRANSLATE(B31604,""en"",""de"")"),"Andere Kajakfahrer werden gezeigt, die durch Wellen kämpfen und sie reiten.")</f>
        <v>Andere Kajakfahrer werden gezeigt, die durch Wellen kämpfen und sie reiten.</v>
      </c>
    </row>
    <row r="31605">
      <c r="A31605" s="4" t="s">
        <v>39786</v>
      </c>
      <c r="B31605" s="4" t="s">
        <v>39790</v>
      </c>
      <c r="C31605" s="5" t="str">
        <f>IFERROR(__xludf.DUMMYFUNCTION("GOOGLETRANSLATE(B31605,""en"",""de"")"),"Eine Reihe von Fotos zeigt, dass die Kajakhersteller den Ozean navigieren und in Wellen krachen.")</f>
        <v>Eine Reihe von Fotos zeigt, dass die Kajakhersteller den Ozean navigieren und in Wellen krachen.</v>
      </c>
    </row>
    <row r="31606">
      <c r="A31606" s="4" t="s">
        <v>39791</v>
      </c>
      <c r="B31606" s="4" t="s">
        <v>39792</v>
      </c>
      <c r="C31606" s="5" t="str">
        <f>IFERROR(__xludf.DUMMYFUNCTION("GOOGLETRANSLATE(B31606,""en"",""de"")"),"Eine Frau steht in einem Racquetballplatz.")</f>
        <v>Eine Frau steht in einem Racquetballplatz.</v>
      </c>
    </row>
    <row r="31607">
      <c r="A31607" s="4" t="s">
        <v>39791</v>
      </c>
      <c r="B31607" s="4" t="s">
        <v>39793</v>
      </c>
      <c r="C31607" s="5" t="str">
        <f>IFERROR(__xludf.DUMMYFUNCTION("GOOGLETRANSLATE(B31607,""en"",""de"")"),"Sie fängt an, den Ball zu schlagen und danach zu rennen.")</f>
        <v>Sie fängt an, den Ball zu schlagen und danach zu rennen.</v>
      </c>
    </row>
    <row r="31608">
      <c r="A31608" s="4" t="s">
        <v>39791</v>
      </c>
      <c r="B31608" s="4" t="s">
        <v>39794</v>
      </c>
      <c r="C31608" s="5" t="str">
        <f>IFERROR(__xludf.DUMMYFUNCTION("GOOGLETRANSLATE(B31608,""en"",""de"")"),"Sie stolpert und fällt runter und trifft den Boden, als ein Mann den Ball rettet.")</f>
        <v>Sie stolpert und fällt runter und trifft den Boden, als ein Mann den Ball rettet.</v>
      </c>
    </row>
    <row r="31609">
      <c r="A31609" s="4" t="s">
        <v>39795</v>
      </c>
      <c r="B31609" s="4" t="s">
        <v>39796</v>
      </c>
      <c r="C31609" s="5" t="str">
        <f>IFERROR(__xludf.DUMMYFUNCTION("GOOGLETRANSLATE(B31609,""en"",""de"")"),"Ein Mann steht vor einem Zelt.")</f>
        <v>Ein Mann steht vor einem Zelt.</v>
      </c>
    </row>
    <row r="31610">
      <c r="A31610" s="4" t="s">
        <v>39795</v>
      </c>
      <c r="B31610" s="4" t="s">
        <v>39797</v>
      </c>
      <c r="C31610" s="5" t="str">
        <f>IFERROR(__xludf.DUMMYFUNCTION("GOOGLETRANSLATE(B31610,""en"",""de"")"),"Er schaut in das Zelt auf eine Gruppe von Kindern, die Karten spielen und eine Frau draußen sitzt.")</f>
        <v>Er schaut in das Zelt auf eine Gruppe von Kindern, die Karten spielen und eine Frau draußen sitzt.</v>
      </c>
    </row>
    <row r="31611">
      <c r="A31611" s="4" t="s">
        <v>39795</v>
      </c>
      <c r="B31611" s="4" t="s">
        <v>39798</v>
      </c>
      <c r="C31611" s="5" t="str">
        <f>IFERROR(__xludf.DUMMYFUNCTION("GOOGLETRANSLATE(B31611,""en"",""de"")"),"Ein Junge geht durch geparkte Autos und lächelt.")</f>
        <v>Ein Junge geht durch geparkte Autos und lächelt.</v>
      </c>
    </row>
    <row r="31612">
      <c r="A31612" s="4" t="s">
        <v>39795</v>
      </c>
      <c r="B31612" s="4" t="s">
        <v>39799</v>
      </c>
      <c r="C31612" s="5" t="str">
        <f>IFERROR(__xludf.DUMMYFUNCTION("GOOGLETRANSLATE(B31612,""en"",""de"")"),"Er wird dann auf einem Kajak in einem See gezeigt.")</f>
        <v>Er wird dann auf einem Kajak in einem See gezeigt.</v>
      </c>
    </row>
    <row r="31613">
      <c r="A31613" s="4" t="s">
        <v>39795</v>
      </c>
      <c r="B31613" s="4" t="s">
        <v>39800</v>
      </c>
      <c r="C31613" s="5" t="str">
        <f>IFERROR(__xludf.DUMMYFUNCTION("GOOGLETRANSLATE(B31613,""en"",""de"")"),"Der Rest der Familie schließt sich ihm bald an.")</f>
        <v>Der Rest der Familie schließt sich ihm bald an.</v>
      </c>
    </row>
    <row r="31614">
      <c r="A31614" s="4" t="s">
        <v>39801</v>
      </c>
      <c r="B31614" s="4" t="s">
        <v>39802</v>
      </c>
      <c r="C31614" s="5" t="str">
        <f>IFERROR(__xludf.DUMMYFUNCTION("GOOGLETRANSLATE(B31614,""en"",""de"")"),"Ein kleiner Junge ist auf einer Party, die einen Stock hält und einen Pinata schlägt.")</f>
        <v>Ein kleiner Junge ist auf einer Party, die einen Stock hält und einen Pinata schlägt.</v>
      </c>
    </row>
    <row r="31615">
      <c r="A31615" s="4" t="s">
        <v>39801</v>
      </c>
      <c r="B31615" s="4" t="s">
        <v>39803</v>
      </c>
      <c r="C31615" s="5" t="str">
        <f>IFERROR(__xludf.DUMMYFUNCTION("GOOGLETRANSLATE(B31615,""en"",""de"")"),"Wenn der Junge fertig ist, um ihn zu treffen, geht ein Erwachsener in Richtung der Pinata.")</f>
        <v>Wenn der Junge fertig ist, um ihn zu treffen, geht ein Erwachsener in Richtung der Pinata.</v>
      </c>
    </row>
    <row r="31616">
      <c r="A31616" s="4" t="s">
        <v>39801</v>
      </c>
      <c r="B31616" s="4" t="s">
        <v>39804</v>
      </c>
      <c r="C31616" s="5" t="str">
        <f>IFERROR(__xludf.DUMMYFUNCTION("GOOGLETRANSLATE(B31616,""en"",""de"")"),"Ein anderes Kind, das mit dem Erwachsenen steht, geht ebenfalls in Richtung Pinata.")</f>
        <v>Ein anderes Kind, das mit dem Erwachsenen steht, geht ebenfalls in Richtung Pinata.</v>
      </c>
    </row>
    <row r="31617">
      <c r="A31617" s="4" t="s">
        <v>39805</v>
      </c>
      <c r="B31617" s="4" t="s">
        <v>39806</v>
      </c>
      <c r="C31617" s="5" t="str">
        <f>IFERROR(__xludf.DUMMYFUNCTION("GOOGLETRANSLATE(B31617,""en"",""de"")"),"Ein rauer Ozean hat große weiße Wellen und ein Segelboot, das durch ihn führt.")</f>
        <v>Ein rauer Ozean hat große weiße Wellen und ein Segelboot, das durch ihn führt.</v>
      </c>
    </row>
    <row r="31618">
      <c r="A31618" s="4" t="s">
        <v>39805</v>
      </c>
      <c r="B31618" s="4" t="s">
        <v>39807</v>
      </c>
      <c r="C31618" s="5" t="str">
        <f>IFERROR(__xludf.DUMMYFUNCTION("GOOGLETRANSLATE(B31618,""en"",""de"")"),"Das Segelboot geht über große Wellen und landet mit einem Spritzer.")</f>
        <v>Das Segelboot geht über große Wellen und landet mit einem Spritzer.</v>
      </c>
    </row>
    <row r="31619">
      <c r="A31619" s="4" t="s">
        <v>39805</v>
      </c>
      <c r="B31619" s="4" t="s">
        <v>39808</v>
      </c>
      <c r="C31619" s="5" t="str">
        <f>IFERROR(__xludf.DUMMYFUNCTION("GOOGLETRANSLATE(B31619,""en"",""de"")"),"Das Boot manövriert und ist seitwärts geneigt, wenn es über Wellen geht.")</f>
        <v>Das Boot manövriert und ist seitwärts geneigt, wenn es über Wellen geht.</v>
      </c>
    </row>
    <row r="31620">
      <c r="A31620" s="4" t="s">
        <v>39809</v>
      </c>
      <c r="B31620" s="4" t="s">
        <v>39810</v>
      </c>
      <c r="C31620" s="5" t="str">
        <f>IFERROR(__xludf.DUMMYFUNCTION("GOOGLETRANSLATE(B31620,""en"",""de"")"),"Zwei Teams spielen Strandvolleyball vor einer Menge.")</f>
        <v>Zwei Teams spielen Strandvolleyball vor einer Menge.</v>
      </c>
    </row>
    <row r="31621">
      <c r="A31621" s="4" t="s">
        <v>39809</v>
      </c>
      <c r="B31621" s="4" t="s">
        <v>39811</v>
      </c>
      <c r="C31621" s="5" t="str">
        <f>IFERROR(__xludf.DUMMYFUNCTION("GOOGLETRANSLATE(B31621,""en"",""de"")"),"Eine Frau hält ein Smartphone.")</f>
        <v>Eine Frau hält ein Smartphone.</v>
      </c>
    </row>
    <row r="31622">
      <c r="A31622" s="4" t="s">
        <v>39809</v>
      </c>
      <c r="B31622" s="4" t="s">
        <v>39812</v>
      </c>
      <c r="C31622" s="5" t="str">
        <f>IFERROR(__xludf.DUMMYFUNCTION("GOOGLETRANSLATE(B31622,""en"",""de"")"),"Ein Mann serviert einen Ball.")</f>
        <v>Ein Mann serviert einen Ball.</v>
      </c>
    </row>
    <row r="31623">
      <c r="A31623" s="4" t="s">
        <v>39809</v>
      </c>
      <c r="B31623" s="4" t="s">
        <v>39813</v>
      </c>
      <c r="C31623" s="5" t="str">
        <f>IFERROR(__xludf.DUMMYFUNCTION("GOOGLETRANSLATE(B31623,""en"",""de"")"),"Ein Mann, der eine Mütze und kariertes Hemd mit der Vorderseite der Spieler trägt.")</f>
        <v>Ein Mann, der eine Mütze und kariertes Hemd mit der Vorderseite der Spieler trägt.</v>
      </c>
    </row>
    <row r="31624">
      <c r="A31624" s="4" t="s">
        <v>39814</v>
      </c>
      <c r="B31624" s="4" t="s">
        <v>39815</v>
      </c>
      <c r="C31624" s="5" t="str">
        <f>IFERROR(__xludf.DUMMYFUNCTION("GOOGLETRANSLATE(B31624,""en"",""de"")"),"Ein Mann steht auf einem Hügel und feiert vor einer Menge.")</f>
        <v>Ein Mann steht auf einem Hügel und feiert vor einer Menge.</v>
      </c>
    </row>
    <row r="31625">
      <c r="A31625" s="4" t="s">
        <v>39814</v>
      </c>
      <c r="B31625" s="4" t="s">
        <v>39816</v>
      </c>
      <c r="C31625" s="5" t="str">
        <f>IFERROR(__xludf.DUMMYFUNCTION("GOOGLETRANSLATE(B31625,""en"",""de"")"),"Er wird auf einem BMX -Dirt -Fahrrad gezeigt und führt eine Fülle von Stunts, Wheelies und Spins für eine Menge durch.")</f>
        <v>Er wird auf einem BMX -Dirt -Fahrrad gezeigt und führt eine Fülle von Stunts, Wheelies und Spins für eine Menge durch.</v>
      </c>
    </row>
    <row r="31626">
      <c r="A31626" s="4" t="s">
        <v>39814</v>
      </c>
      <c r="B31626" s="4" t="s">
        <v>39817</v>
      </c>
      <c r="C31626" s="5" t="str">
        <f>IFERROR(__xludf.DUMMYFUNCTION("GOOGLETRANSLATE(B31626,""en"",""de"")"),"Frauen werden in der Nähe gezeigt, tanzen.")</f>
        <v>Frauen werden in der Nähe gezeigt, tanzen.</v>
      </c>
    </row>
    <row r="31627">
      <c r="A31627" s="4" t="s">
        <v>39818</v>
      </c>
      <c r="B31627" s="4" t="s">
        <v>39819</v>
      </c>
      <c r="C31627" s="5" t="str">
        <f>IFERROR(__xludf.DUMMYFUNCTION("GOOGLETRANSLATE(B31627,""en"",""de"")"),"Zwei Jungen spielen in einem Fitnessstudio Ping Pong und einer der Jungen benutzt einen Nunchaku als Schläger, um zu spielen und Tricks zu machen.")</f>
        <v>Zwei Jungen spielen in einem Fitnessstudio Ping Pong und einer der Jungen benutzt einen Nunchaku als Schläger, um zu spielen und Tricks zu machen.</v>
      </c>
    </row>
    <row r="31628">
      <c r="A31628" s="4" t="s">
        <v>39818</v>
      </c>
      <c r="B31628" s="4" t="s">
        <v>39820</v>
      </c>
      <c r="C31628" s="5" t="str">
        <f>IFERROR(__xludf.DUMMYFUNCTION("GOOGLETRANSLATE(B31628,""en"",""de"")"),"Ein Mann, der vorne auf dem Tisch in die Ping -Pong passt und in der Nähe des Tisches steht.")</f>
        <v>Ein Mann, der vorne auf dem Tisch in die Ping -Pong passt und in der Nähe des Tisches steht.</v>
      </c>
    </row>
    <row r="31629">
      <c r="A31629" s="4" t="s">
        <v>39818</v>
      </c>
      <c r="B31629" s="4" t="s">
        <v>39821</v>
      </c>
      <c r="C31629" s="5" t="str">
        <f>IFERROR(__xludf.DUMMYFUNCTION("GOOGLETRANSLATE(B31629,""en"",""de"")"),"Dann erscheint der Mann einen der Spieler und beginnt zu spielen, danach erscheint Bruce Lee auf dem Bildschirm eines Smartphone, das herumflippt.")</f>
        <v>Dann erscheint der Mann einen der Spieler und beginnt zu spielen, danach erscheint Bruce Lee auf dem Bildschirm eines Smartphone, das herumflippt.</v>
      </c>
    </row>
    <row r="31630">
      <c r="A31630" s="4" t="s">
        <v>39818</v>
      </c>
      <c r="B31630" s="4" t="s">
        <v>39822</v>
      </c>
      <c r="C31630" s="5" t="str">
        <f>IFERROR(__xludf.DUMMYFUNCTION("GOOGLETRANSLATE(B31630,""en"",""de"")"),"Ein Junge bewegt Kampfkünste und brach ein Brett, dann repariert er das Nunchaku und benutzte es, um ein Match im Mund des anderen Jungen zu beleuchten.")</f>
        <v>Ein Junge bewegt Kampfkünste und brach ein Brett, dann repariert er das Nunchaku und benutzte es, um ein Match im Mund des anderen Jungen zu beleuchten.</v>
      </c>
    </row>
    <row r="31631">
      <c r="A31631" s="4" t="s">
        <v>39823</v>
      </c>
      <c r="B31631" s="4" t="s">
        <v>39824</v>
      </c>
      <c r="C31631" s="5" t="str">
        <f>IFERROR(__xludf.DUMMYFUNCTION("GOOGLETRANSLATE(B31631,""en"",""de"")"),"Eine Frau hält eine Flasche lila Nagellack an die Kamera.")</f>
        <v>Eine Frau hält eine Flasche lila Nagellack an die Kamera.</v>
      </c>
    </row>
    <row r="31632">
      <c r="A31632" s="4" t="s">
        <v>39823</v>
      </c>
      <c r="B31632" s="4" t="s">
        <v>39825</v>
      </c>
      <c r="C31632" s="5" t="str">
        <f>IFERROR(__xludf.DUMMYFUNCTION("GOOGLETRANSLATE(B31632,""en"",""de"")"),"Sie wendet es dann auf ihre Nägel.")</f>
        <v>Sie wendet es dann auf ihre Nägel.</v>
      </c>
    </row>
    <row r="31633">
      <c r="A31633" s="4" t="s">
        <v>39823</v>
      </c>
      <c r="B31633" s="4" t="s">
        <v>39826</v>
      </c>
      <c r="C31633" s="5" t="str">
        <f>IFERROR(__xludf.DUMMYFUNCTION("GOOGLETRANSLATE(B31633,""en"",""de"")"),"Wenn sie fertig ist, zeigt sie ein letztes Mal ihre Nägel und die Politur.")</f>
        <v>Wenn sie fertig ist, zeigt sie ein letztes Mal ihre Nägel und die Politur.</v>
      </c>
    </row>
    <row r="31634">
      <c r="A31634" s="4" t="s">
        <v>39827</v>
      </c>
      <c r="B31634" s="4" t="s">
        <v>39828</v>
      </c>
      <c r="C31634" s="5" t="str">
        <f>IFERROR(__xludf.DUMMYFUNCTION("GOOGLETRANSLATE(B31634,""en"",""de"")"),"Stierkampf wird auf dem Bildschirm beworben.")</f>
        <v>Stierkampf wird auf dem Bildschirm beworben.</v>
      </c>
    </row>
    <row r="31635">
      <c r="A31635" s="4" t="s">
        <v>39827</v>
      </c>
      <c r="B31635" s="4" t="s">
        <v>39829</v>
      </c>
      <c r="C31635" s="5" t="str">
        <f>IFERROR(__xludf.DUMMYFUNCTION("GOOGLETRANSLATE(B31635,""en"",""de"")"),"Es gibt Clips von Bullenkämpfen und der Mensch spricht über seine Erfahrung mit Bullenkampf.")</f>
        <v>Es gibt Clips von Bullenkämpfen und der Mensch spricht über seine Erfahrung mit Bullenkampf.</v>
      </c>
    </row>
    <row r="31636">
      <c r="A31636" s="4" t="s">
        <v>39827</v>
      </c>
      <c r="B31636" s="4" t="s">
        <v>39830</v>
      </c>
      <c r="C31636" s="5" t="str">
        <f>IFERROR(__xludf.DUMMYFUNCTION("GOOGLETRANSLATE(B31636,""en"",""de"")"),"Der Stier rollt ein Fass, während der Clown dahinter steht.")</f>
        <v>Der Stier rollt ein Fass, während der Clown dahinter steht.</v>
      </c>
    </row>
    <row r="31637">
      <c r="A31637" s="4" t="s">
        <v>39827</v>
      </c>
      <c r="B31637" s="4" t="s">
        <v>39831</v>
      </c>
      <c r="C31637" s="5" t="str">
        <f>IFERROR(__xludf.DUMMYFUNCTION("GOOGLETRANSLATE(B31637,""en"",""de"")"),"Eine Trophäe wird dem Bullenkämpfer vergeben.")</f>
        <v>Eine Trophäe wird dem Bullenkämpfer vergeben.</v>
      </c>
    </row>
    <row r="31638">
      <c r="A31638" s="4" t="s">
        <v>39832</v>
      </c>
      <c r="B31638" s="4" t="s">
        <v>39833</v>
      </c>
      <c r="C31638" s="5" t="str">
        <f>IFERROR(__xludf.DUMMYFUNCTION("GOOGLETRANSLATE(B31638,""en"",""de"")"),"Eine Frau, die neben einem Fahrzeug steht, spricht mit der Kamera, während sie gelegentlich auf das Fahrzeug gestikuliert wird.")</f>
        <v>Eine Frau, die neben einem Fahrzeug steht, spricht mit der Kamera, während sie gelegentlich auf das Fahrzeug gestikuliert wird.</v>
      </c>
    </row>
    <row r="31639">
      <c r="A31639" s="4" t="s">
        <v>39832</v>
      </c>
      <c r="B31639" s="4" t="s">
        <v>39834</v>
      </c>
      <c r="C31639" s="5" t="str">
        <f>IFERROR(__xludf.DUMMYFUNCTION("GOOGLETRANSLATE(B31639,""en"",""de"")"),"Die Frau hält eine Flasche Spray hoch.")</f>
        <v>Die Frau hält eine Flasche Spray hoch.</v>
      </c>
    </row>
    <row r="31640">
      <c r="A31640" s="4" t="s">
        <v>39832</v>
      </c>
      <c r="B31640" s="4" t="s">
        <v>39835</v>
      </c>
      <c r="C31640" s="5" t="str">
        <f>IFERROR(__xludf.DUMMYFUNCTION("GOOGLETRANSLATE(B31640,""en"",""de"")"),"Die Frau sprüht das Fahrzeugfenster mit der Flasche.")</f>
        <v>Die Frau sprüht das Fahrzeugfenster mit der Flasche.</v>
      </c>
    </row>
    <row r="31641">
      <c r="A31641" s="4" t="s">
        <v>39832</v>
      </c>
      <c r="B31641" s="4" t="s">
        <v>39836</v>
      </c>
      <c r="C31641" s="5" t="str">
        <f>IFERROR(__xludf.DUMMYFUNCTION("GOOGLETRANSLATE(B31641,""en"",""de"")"),"Die Frau benutzt ein Handtuch, um das Fenster zu reinigen.")</f>
        <v>Die Frau benutzt ein Handtuch, um das Fenster zu reinigen.</v>
      </c>
    </row>
    <row r="31642">
      <c r="A31642" s="4" t="s">
        <v>39832</v>
      </c>
      <c r="B31642" s="4" t="s">
        <v>39837</v>
      </c>
      <c r="C31642" s="5" t="str">
        <f>IFERROR(__xludf.DUMMYFUNCTION("GOOGLETRANSLATE(B31642,""en"",""de"")"),"Die Frau spricht wieder mit der Kamera.")</f>
        <v>Die Frau spricht wieder mit der Kamera.</v>
      </c>
    </row>
    <row r="31643">
      <c r="A31643" s="4" t="s">
        <v>39832</v>
      </c>
      <c r="B31643" s="4" t="s">
        <v>39838</v>
      </c>
      <c r="C31643" s="5" t="str">
        <f>IFERROR(__xludf.DUMMYFUNCTION("GOOGLETRANSLATE(B31643,""en"",""de"")"),"Die Frau kehrt zum Reinigen des Fensters zurück.")</f>
        <v>Die Frau kehrt zum Reinigen des Fensters zurück.</v>
      </c>
    </row>
    <row r="31644">
      <c r="A31644" s="4" t="s">
        <v>39832</v>
      </c>
      <c r="B31644" s="4" t="s">
        <v>39839</v>
      </c>
      <c r="C31644" s="5" t="str">
        <f>IFERROR(__xludf.DUMMYFUNCTION("GOOGLETRANSLATE(B31644,""en"",""de"")"),"Die Frau spricht noch einmal mit der Kamera.")</f>
        <v>Die Frau spricht noch einmal mit der Kamera.</v>
      </c>
    </row>
    <row r="31645">
      <c r="A31645" s="4" t="s">
        <v>39840</v>
      </c>
      <c r="B31645" s="4" t="s">
        <v>39841</v>
      </c>
      <c r="C31645" s="5" t="str">
        <f>IFERROR(__xludf.DUMMYFUNCTION("GOOGLETRANSLATE(B31645,""en"",""de"")"),"Ein Shuffleboard wird in einem Raum gezeigt.")</f>
        <v>Ein Shuffleboard wird in einem Raum gezeigt.</v>
      </c>
    </row>
    <row r="31646">
      <c r="A31646" s="4" t="s">
        <v>39840</v>
      </c>
      <c r="B31646" s="4" t="s">
        <v>39842</v>
      </c>
      <c r="C31646" s="5" t="str">
        <f>IFERROR(__xludf.DUMMYFUNCTION("GOOGLETRANSLATE(B31646,""en"",""de"")"),"Ein Mann in einem blauen Pullover wirft einen Ball über den Shuffleboard.")</f>
        <v>Ein Mann in einem blauen Pullover wirft einen Ball über den Shuffleboard.</v>
      </c>
    </row>
    <row r="31647">
      <c r="A31647" s="4" t="s">
        <v>39840</v>
      </c>
      <c r="B31647" s="4" t="s">
        <v>29481</v>
      </c>
      <c r="C31647" s="5" t="str">
        <f>IFERROR(__xludf.DUMMYFUNCTION("GOOGLETRANSLATE(B31647,""en"",""de"")"),"Ein Glas Bier wird gezeigt.")</f>
        <v>Ein Glas Bier wird gezeigt.</v>
      </c>
    </row>
    <row r="31648">
      <c r="A31648" s="4" t="s">
        <v>39843</v>
      </c>
      <c r="B31648" s="4" t="s">
        <v>39844</v>
      </c>
      <c r="C31648" s="5" t="str">
        <f>IFERROR(__xludf.DUMMYFUNCTION("GOOGLETRANSLATE(B31648,""en"",""de"")"),"Eine große Gruppe von Menschen sitzt in einem Boden, gefolgt von Menschen, die Bogen und Pfeile schießen und einen Kurs herumlaufen.")</f>
        <v>Eine große Gruppe von Menschen sitzt in einem Boden, gefolgt von Menschen, die Bogen und Pfeile schießen und einen Kurs herumlaufen.</v>
      </c>
    </row>
    <row r="31649">
      <c r="A31649" s="4" t="s">
        <v>39843</v>
      </c>
      <c r="B31649" s="4" t="s">
        <v>39845</v>
      </c>
      <c r="C31649" s="5" t="str">
        <f>IFERROR(__xludf.DUMMYFUNCTION("GOOGLETRANSLATE(B31649,""en"",""de"")"),"Die Kinder rennen weiterhin umeinander herum und schießen den Bogen und die Pfeile und endet mit einer Frau, die ihre Hand hält und ein Bild zeigt.")</f>
        <v>Die Kinder rennen weiterhin umeinander herum und schießen den Bogen und die Pfeile und endet mit einer Frau, die ihre Hand hält und ein Bild zeigt.</v>
      </c>
    </row>
    <row r="31650">
      <c r="A31650" s="4" t="s">
        <v>39846</v>
      </c>
      <c r="B31650" s="4" t="s">
        <v>39847</v>
      </c>
      <c r="C31650" s="5" t="str">
        <f>IFERROR(__xludf.DUMMYFUNCTION("GOOGLETRANSLATE(B31650,""en"",""de"")"),"Ein älteres Video mit schlechter Qualität beginnt zu spielen, und es gibt weiße Worte auf roten Blöcken mit der Aufschrift ""Leichtathletik Leicht Gemacht Diskus"".")</f>
        <v>Ein älteres Video mit schlechter Qualität beginnt zu spielen, und es gibt weiße Worte auf roten Blöcken mit der Aufschrift "Leichtathletik Leicht Gemacht Diskus".</v>
      </c>
    </row>
    <row r="31651">
      <c r="A31651" s="4" t="s">
        <v>39846</v>
      </c>
      <c r="B31651" s="4" t="s">
        <v>39848</v>
      </c>
      <c r="C31651" s="5" t="str">
        <f>IFERROR(__xludf.DUMMYFUNCTION("GOOGLETRANSLATE(B31651,""en"",""de"")"),"Eine Scheibe fliegt durch die Luft und landet auf einem Feld, dann erscheint ein noch ein Schussbild eines nackten Mannes, der eine CD hält, kurz, bis ein Clip eines Mannes auf einem großen Feld eine Scheibe wirft.")</f>
        <v>Eine Scheibe fliegt durch die Luft und landet auf einem Feld, dann erscheint ein noch ein Schussbild eines nackten Mannes, der eine CD hält, kurz, bis ein Clip eines Mannes auf einem großen Feld eine Scheibe wirft.</v>
      </c>
    </row>
    <row r="31652">
      <c r="A31652" s="4" t="s">
        <v>39846</v>
      </c>
      <c r="B31652" s="4" t="s">
        <v>39849</v>
      </c>
      <c r="C31652" s="5" t="str">
        <f>IFERROR(__xludf.DUMMYFUNCTION("GOOGLETRANSLATE(B31652,""en"",""de"")"),"Ein Mann sitzt jetzt auf einem Feld und die Wörter auf dem Bildschirm sagen, dass er ""Lars Riedel"" ist und unter ihm das Wort ""Olympiasieger"" und er zeigt ihn, während er spricht, während er hin und her zu Clips eines Mannes auf einem Feld ist, ist Ha"&amp;"lten Sie eine Scheibe auf dem Feld, schwingen Sie sie und werfen Sie sie dann.")</f>
        <v>Ein Mann sitzt jetzt auf einem Feld und die Wörter auf dem Bildschirm sagen, dass er "Lars Riedel" ist und unter ihm das Wort "Olympiasieger" und er zeigt ihn, während er spricht, während er hin und her zu Clips eines Mannes auf einem Feld ist, ist Halten Sie eine Scheibe auf dem Feld, schwingen Sie sie und werfen Sie sie dann.</v>
      </c>
    </row>
    <row r="31653">
      <c r="A31653" s="4" t="s">
        <v>39846</v>
      </c>
      <c r="B31653" s="4" t="s">
        <v>39850</v>
      </c>
      <c r="C31653" s="5" t="str">
        <f>IFERROR(__xludf.DUMMYFUNCTION("GOOGLETRANSLATE(B31653,""en"",""de"")"),"Das immer noch geschossene Bild des nackten Mannes, der den Dickus hält, taucht wieder auf und kehrt dann zu Clips des Mannes zurück, der jetzt gerade auf dem Feld geht.")</f>
        <v>Das immer noch geschossene Bild des nackten Mannes, der den Dickus hält, taucht wieder auf und kehrt dann zu Clips des Mannes zurück, der jetzt gerade auf dem Feld geht.</v>
      </c>
    </row>
    <row r="31654">
      <c r="A31654" s="4" t="s">
        <v>39851</v>
      </c>
      <c r="B31654" s="4" t="s">
        <v>39852</v>
      </c>
      <c r="C31654" s="5" t="str">
        <f>IFERROR(__xludf.DUMMYFUNCTION("GOOGLETRANSLATE(B31654,""en"",""de"")"),"Eine Gruppe von Menschen beginnt in einem Raum zu gehen und sie spielen ein Foosballspiel.")</f>
        <v>Eine Gruppe von Menschen beginnt in einem Raum zu gehen und sie spielen ein Foosballspiel.</v>
      </c>
    </row>
    <row r="31655">
      <c r="A31655" s="4" t="s">
        <v>39851</v>
      </c>
      <c r="B31655" s="4" t="s">
        <v>39853</v>
      </c>
      <c r="C31655" s="5" t="str">
        <f>IFERROR(__xludf.DUMMYFUNCTION("GOOGLETRANSLATE(B31655,""en"",""de"")"),"Das Spiel beginnt sich zu intensivieren und die Männer beginnen sich im Auge zu betrachten, wenn sie anfangen, Ziele zu erzielen.")</f>
        <v>Das Spiel beginnt sich zu intensivieren und die Männer beginnen sich im Auge zu betrachten, wenn sie anfangen, Ziele zu erzielen.</v>
      </c>
    </row>
    <row r="31656">
      <c r="A31656" s="4" t="s">
        <v>39851</v>
      </c>
      <c r="B31656" s="4" t="s">
        <v>39854</v>
      </c>
      <c r="C31656" s="5" t="str">
        <f>IFERROR(__xludf.DUMMYFUNCTION("GOOGLETRANSLATE(B31656,""en"",""de"")"),"Sobald das erste Spiel beendet ist, beginnt ein weiterer Satz von Männern zu konkurrieren und beginnt, den Ball über die Menschen zu klettern.")</f>
        <v>Sobald das erste Spiel beendet ist, beginnt ein weiterer Satz von Männern zu konkurrieren und beginnt, den Ball über die Menschen zu klettern.</v>
      </c>
    </row>
    <row r="31657">
      <c r="A31657" s="4" t="s">
        <v>39851</v>
      </c>
      <c r="B31657" s="4" t="s">
        <v>39855</v>
      </c>
      <c r="C31657" s="5" t="str">
        <f>IFERROR(__xludf.DUMMYFUNCTION("GOOGLETRANSLATE(B31657,""en"",""de"")"),"Als nächstes schließen sich Frauen an und rollen den Ball auf den Rand des Tisches, wenn sie Tore machen.")</f>
        <v>Als nächstes schließen sich Frauen an und rollen den Ball auf den Rand des Tisches, wenn sie Tore machen.</v>
      </c>
    </row>
    <row r="31658">
      <c r="A31658" s="4" t="s">
        <v>39851</v>
      </c>
      <c r="B31658" s="4" t="s">
        <v>39856</v>
      </c>
      <c r="C31658" s="5" t="str">
        <f>IFERROR(__xludf.DUMMYFUNCTION("GOOGLETRANSLATE(B31658,""en"",""de"")"),"Schließlich erscheint ein Mann mit einem Nokia -Telefon, das das Spiel aufnimmt und Videooptionen verschiedener Tricks zeigt, die aufgeführt wurden.")</f>
        <v>Schließlich erscheint ein Mann mit einem Nokia -Telefon, das das Spiel aufnimmt und Videooptionen verschiedener Tricks zeigt, die aufgeführt wurden.</v>
      </c>
    </row>
    <row r="31659">
      <c r="A31659" s="4" t="s">
        <v>39857</v>
      </c>
      <c r="B31659" s="4" t="s">
        <v>39858</v>
      </c>
      <c r="C31659" s="5" t="str">
        <f>IFERROR(__xludf.DUMMYFUNCTION("GOOGLETRANSLATE(B31659,""en"",""de"")"),"Es gibt einen Mann, der ein Gewicht hebt, das über 90 Pfund wiegt.")</f>
        <v>Es gibt einen Mann, der ein Gewicht hebt, das über 90 Pfund wiegt.</v>
      </c>
    </row>
    <row r="31660">
      <c r="A31660" s="4" t="s">
        <v>39857</v>
      </c>
      <c r="B31660" s="4" t="s">
        <v>39859</v>
      </c>
      <c r="C31660" s="5" t="str">
        <f>IFERROR(__xludf.DUMMYFUNCTION("GOOGLETRANSLATE(B31660,""en"",""de"")"),"Es gibt eine Frau, die auf dem Laufband hinter ihm rennt.")</f>
        <v>Es gibt eine Frau, die auf dem Laufband hinter ihm rennt.</v>
      </c>
    </row>
    <row r="31661">
      <c r="A31661" s="4" t="s">
        <v>39860</v>
      </c>
      <c r="B31661" s="4" t="s">
        <v>39861</v>
      </c>
      <c r="C31661" s="5" t="str">
        <f>IFERROR(__xludf.DUMMYFUNCTION("GOOGLETRANSLATE(B31661,""en"",""de"")"),"Ein Skifahrer passt seine Schuhe auf dem Brett an.")</f>
        <v>Ein Skifahrer passt seine Schuhe auf dem Brett an.</v>
      </c>
    </row>
    <row r="31662">
      <c r="A31662" s="4" t="s">
        <v>39860</v>
      </c>
      <c r="B31662" s="4" t="s">
        <v>39862</v>
      </c>
      <c r="C31662" s="5" t="str">
        <f>IFERROR(__xludf.DUMMYFUNCTION("GOOGLETRANSLATE(B31662,""en"",""de"")"),"Dann wird er gesehen, wie er durch die Luft auf der Wasserbrett fliegt.")</f>
        <v>Dann wird er gesehen, wie er durch die Luft auf der Wasserbrett fliegt.</v>
      </c>
    </row>
    <row r="31663">
      <c r="A31663" s="4" t="s">
        <v>39860</v>
      </c>
      <c r="B31663" s="4" t="s">
        <v>39863</v>
      </c>
      <c r="C31663" s="5" t="str">
        <f>IFERROR(__xludf.DUMMYFUNCTION("GOOGLETRANSLATE(B31663,""en"",""de"")"),"Er Skifahren, während er an der Rückseite eines Bootes befestigt ist.")</f>
        <v>Er Skifahren, während er an der Rückseite eines Bootes befestigt ist.</v>
      </c>
    </row>
    <row r="31664">
      <c r="A31664" s="4" t="s">
        <v>39864</v>
      </c>
      <c r="B31664" s="4" t="s">
        <v>39865</v>
      </c>
      <c r="C31664" s="5" t="str">
        <f>IFERROR(__xludf.DUMMYFUNCTION("GOOGLETRANSLATE(B31664,""en"",""de"")"),"Ein Spieler, der einen Basketball hält, dribiert den Ball, rennt und springt den Ball mehrmals in den Korb.")</f>
        <v>Ein Spieler, der einen Basketball hält, dribiert den Ball, rennt und springt den Ball mehrmals in den Korb.</v>
      </c>
    </row>
    <row r="31665">
      <c r="A31665" s="4" t="s">
        <v>39864</v>
      </c>
      <c r="B31665" s="4" t="s">
        <v>39866</v>
      </c>
      <c r="C31665" s="5" t="str">
        <f>IFERROR(__xludf.DUMMYFUNCTION("GOOGLETRANSLATE(B31665,""en"",""de"")"),"Ein Mann wirft einen Basketball in den Platz und geht dann.")</f>
        <v>Ein Mann wirft einen Basketball in den Platz und geht dann.</v>
      </c>
    </row>
    <row r="31666">
      <c r="A31666" s="4" t="s">
        <v>39867</v>
      </c>
      <c r="B31666" s="4" t="s">
        <v>39868</v>
      </c>
      <c r="C31666" s="5" t="str">
        <f>IFERROR(__xludf.DUMMYFUNCTION("GOOGLETRANSLATE(B31666,""en"",""de"")"),"Ein kleines Kind hält sich an einem Stock in einem Wohnzimmer fest, während er einen Ball herumschreibt.")</f>
        <v>Ein kleines Kind hält sich an einem Stock in einem Wohnzimmer fest, während er einen Ball herumschreibt.</v>
      </c>
    </row>
    <row r="31667">
      <c r="A31667" s="4" t="s">
        <v>39867</v>
      </c>
      <c r="B31667" s="4" t="s">
        <v>39869</v>
      </c>
      <c r="C31667" s="5" t="str">
        <f>IFERROR(__xludf.DUMMYFUNCTION("GOOGLETRANSLATE(B31667,""en"",""de"")"),"Der Junge drückt den Ball weiter herum, während die Kamera seine Bewegungen einfängt.")</f>
        <v>Der Junge drückt den Ball weiter herum, während die Kamera seine Bewegungen einfängt.</v>
      </c>
    </row>
    <row r="31668">
      <c r="A31668" s="4" t="s">
        <v>39867</v>
      </c>
      <c r="B31668" s="4" t="s">
        <v>39870</v>
      </c>
      <c r="C31668" s="5" t="str">
        <f>IFERROR(__xludf.DUMMYFUNCTION("GOOGLETRANSLATE(B31668,""en"",""de"")"),"Er hält an, um mit der Kamera zu sprechen, und schlägt den Ball weiter.")</f>
        <v>Er hält an, um mit der Kamera zu sprechen, und schlägt den Ball weiter.</v>
      </c>
    </row>
    <row r="31669">
      <c r="A31669" s="4" t="s">
        <v>39871</v>
      </c>
      <c r="B31669" s="4" t="s">
        <v>39872</v>
      </c>
      <c r="C31669" s="5" t="str">
        <f>IFERROR(__xludf.DUMMYFUNCTION("GOOGLETRANSLATE(B31669,""en"",""de"")"),"Ein männliches Fitnessstudio bereitet sich auf einen Strahl vor.")</f>
        <v>Ein männliches Fitnessstudio bereitet sich auf einen Strahl vor.</v>
      </c>
    </row>
    <row r="31670">
      <c r="A31670" s="4" t="s">
        <v>39871</v>
      </c>
      <c r="B31670" s="4" t="s">
        <v>39873</v>
      </c>
      <c r="C31670" s="5" t="str">
        <f>IFERROR(__xludf.DUMMYFUNCTION("GOOGLETRANSLATE(B31670,""en"",""de"")"),"Er springt auf und macht einen Handstand an der Bar.")</f>
        <v>Er springt auf und macht einen Handstand an der Bar.</v>
      </c>
    </row>
    <row r="31671">
      <c r="A31671" s="4" t="s">
        <v>39871</v>
      </c>
      <c r="B31671" s="4" t="s">
        <v>39874</v>
      </c>
      <c r="C31671" s="5" t="str">
        <f>IFERROR(__xludf.DUMMYFUNCTION("GOOGLETRANSLATE(B31671,""en"",""de"")"),"Dann dreht und dreht er sich mehrmals.")</f>
        <v>Dann dreht und dreht er sich mehrmals.</v>
      </c>
    </row>
    <row r="31672">
      <c r="A31672" s="4" t="s">
        <v>39871</v>
      </c>
      <c r="B31672" s="4" t="s">
        <v>39875</v>
      </c>
      <c r="C31672" s="5" t="str">
        <f>IFERROR(__xludf.DUMMYFUNCTION("GOOGLETRANSLATE(B31672,""en"",""de"")"),"Er steigt ab und wirft seine Arme in die Luft.")</f>
        <v>Er steigt ab und wirft seine Arme in die Luft.</v>
      </c>
    </row>
    <row r="31673">
      <c r="A31673" s="4" t="s">
        <v>39876</v>
      </c>
      <c r="B31673" s="4" t="s">
        <v>39877</v>
      </c>
      <c r="C31673" s="5" t="str">
        <f>IFERROR(__xludf.DUMMYFUNCTION("GOOGLETRANSLATE(B31673,""en"",""de"")"),"Ein kleines Mädchen hält einen Stock und schlägt sanft auf eine große Pinata, die Ninja Turtled -Themen ist.")</f>
        <v>Ein kleines Mädchen hält einen Stock und schlägt sanft auf eine große Pinata, die Ninja Turtled -Themen ist.</v>
      </c>
    </row>
    <row r="31674">
      <c r="A31674" s="4" t="s">
        <v>39876</v>
      </c>
      <c r="B31674" s="4" t="s">
        <v>39878</v>
      </c>
      <c r="C31674" s="5" t="str">
        <f>IFERROR(__xludf.DUMMYFUNCTION("GOOGLETRANSLATE(B31674,""en"",""de"")"),"Im Hintergrund wirft ein Junge auf einem weißen Stuhl sanft einen Ball in die Luft über seinem Schoß.")</f>
        <v>Im Hintergrund wirft ein Junge auf einem weißen Stuhl sanft einen Ball in die Luft über seinem Schoß.</v>
      </c>
    </row>
    <row r="31675">
      <c r="A31675" s="4" t="s">
        <v>39876</v>
      </c>
      <c r="B31675" s="4" t="s">
        <v>39879</v>
      </c>
      <c r="C31675" s="5" t="str">
        <f>IFERROR(__xludf.DUMMYFUNCTION("GOOGLETRANSLATE(B31675,""en"",""de"")"),"Ein größerer Junge steht und geht in der Nähe des Jungen, der auf dem Stuhl sitzt, und er hat eine grüne Plastiktüte über der linken Hand, die er mit einem Wendung seines Handgelenks hin und her bewegt.")</f>
        <v>Ein größerer Junge steht und geht in der Nähe des Jungen, der auf dem Stuhl sitzt, und er hat eine grüne Plastiktüte über der linken Hand, die er mit einem Wendung seines Handgelenks hin und her bewegt.</v>
      </c>
    </row>
    <row r="31676">
      <c r="A31676" s="4" t="s">
        <v>39876</v>
      </c>
      <c r="B31676" s="4" t="s">
        <v>39880</v>
      </c>
      <c r="C31676" s="5" t="str">
        <f>IFERROR(__xludf.DUMMYFUNCTION("GOOGLETRANSLATE(B31676,""en"",""de"")"),"Ein kleines Mädchen an der Seite beginnt zu springen, als sie auf sie wartet.")</f>
        <v>Ein kleines Mädchen an der Seite beginnt zu springen, als sie auf sie wartet.</v>
      </c>
    </row>
    <row r="31677">
      <c r="A31677" s="4" t="s">
        <v>39881</v>
      </c>
      <c r="B31677" s="4" t="s">
        <v>39882</v>
      </c>
      <c r="C31677" s="5" t="str">
        <f>IFERROR(__xludf.DUMMYFUNCTION("GOOGLETRANSLATE(B31677,""en"",""de"")"),"Ein blonder Junge, der einen Poolstock hält, trifft Bälle auf einen Billardtisch, der vom gelben Klebeband abgereicht wird, während eine große Menge außerhalb des gelben Klebebandes gesammelt wird.")</f>
        <v>Ein blonder Junge, der einen Poolstock hält, trifft Bälle auf einen Billardtisch, der vom gelben Klebeband abgereicht wird, während eine große Menge außerhalb des gelben Klebebandes gesammelt wird.</v>
      </c>
    </row>
    <row r="31678">
      <c r="A31678" s="4" t="s">
        <v>39881</v>
      </c>
      <c r="B31678" s="4" t="s">
        <v>39883</v>
      </c>
      <c r="C31678" s="5" t="str">
        <f>IFERROR(__xludf.DUMMYFUNCTION("GOOGLETRANSLATE(B31678,""en"",""de"")"),"Der Junge schnappt sich einen weiteren Stock unter dem Billardtisch, legt ihn auf den Tisch, kankt seinen Stock und schlägt dann erfolgreich den Ball in das Loch, obwohl eine Frau versucht, ihn abzulenken.")</f>
        <v>Der Junge schnappt sich einen weiteren Stock unter dem Billardtisch, legt ihn auf den Tisch, kankt seinen Stock und schlägt dann erfolgreich den Ball in das Loch, obwohl eine Frau versucht, ihn abzulenken.</v>
      </c>
    </row>
    <row r="31679">
      <c r="A31679" s="4" t="s">
        <v>39881</v>
      </c>
      <c r="B31679" s="4" t="s">
        <v>39884</v>
      </c>
      <c r="C31679" s="5" t="str">
        <f>IFERROR(__xludf.DUMMYFUNCTION("GOOGLETRANSLATE(B31679,""en"",""de"")"),"Der Junge geht um den Tisch und schlägt weiterhin die verbleibenden Bälle in die Löcher, die Menge jubelt ihn an und er geht um die Menge herum und gibt allen hohen Fünfen.")</f>
        <v>Der Junge geht um den Tisch und schlägt weiterhin die verbleibenden Bälle in die Löcher, die Menge jubelt ihn an und er geht um die Menge herum und gibt allen hohen Fünfen.</v>
      </c>
    </row>
    <row r="31680">
      <c r="A31680" s="4" t="s">
        <v>39881</v>
      </c>
      <c r="B31680" s="4" t="s">
        <v>39885</v>
      </c>
      <c r="C31680" s="5" t="str">
        <f>IFERROR(__xludf.DUMMYFUNCTION("GOOGLETRANSLATE(B31680,""en"",""de"")"),"Der Junge umarmt die Frau, die versuchte, ihn die ganze Zeit abzulenken, er legt seinen Stock nieder und sie umarmt ihn erneut.")</f>
        <v>Der Junge umarmt die Frau, die versuchte, ihn die ganze Zeit abzulenken, er legt seinen Stock nieder und sie umarmt ihn erneut.</v>
      </c>
    </row>
    <row r="31681">
      <c r="A31681" s="4" t="s">
        <v>39881</v>
      </c>
      <c r="B31681" s="4" t="s">
        <v>39886</v>
      </c>
      <c r="C31681" s="5" t="str">
        <f>IFERROR(__xludf.DUMMYFUNCTION("GOOGLETRANSLATE(B31681,""en"",""de"")"),"Ein schwarzer Bildschirm erscheint und weiße Wörter auf dem Bildschirm sagen ""Die schwarze Witwe Jeanette Lee Worlds beste weibliche Poolspieler ein Ron Hawks -Video"".")</f>
        <v>Ein schwarzer Bildschirm erscheint und weiße Wörter auf dem Bildschirm sagen "Die schwarze Witwe Jeanette Lee Worlds beste weibliche Poolspieler ein Ron Hawks -Video".</v>
      </c>
    </row>
    <row r="31682">
      <c r="A31682" s="4" t="s">
        <v>39887</v>
      </c>
      <c r="B31682" s="4" t="s">
        <v>39888</v>
      </c>
      <c r="C31682" s="5" t="str">
        <f>IFERROR(__xludf.DUMMYFUNCTION("GOOGLETRANSLATE(B31682,""en"",""de"")"),"Ein Mann, der in ganz Weiß gekleidet ist, kämpft gegen verschiedene Männer im Freien und schlägt sie sehr hart.")</f>
        <v>Ein Mann, der in ganz Weiß gekleidet ist, kämpft gegen verschiedene Männer im Freien und schlägt sie sehr hart.</v>
      </c>
    </row>
    <row r="31683">
      <c r="A31683" s="4" t="s">
        <v>39887</v>
      </c>
      <c r="B31683" s="4" t="s">
        <v>39889</v>
      </c>
      <c r="C31683" s="5" t="str">
        <f>IFERROR(__xludf.DUMMYFUNCTION("GOOGLETRANSLATE(B31683,""en"",""de"")"),"Tai Chi Combat zusammen mit seiner Website und verschiedenen anderen Website -Ikonen befinden sich unten rechts.")</f>
        <v>Tai Chi Combat zusammen mit seiner Website und verschiedenen anderen Website -Ikonen befinden sich unten rechts.</v>
      </c>
    </row>
    <row r="31684">
      <c r="A31684" s="4" t="s">
        <v>39887</v>
      </c>
      <c r="B31684" s="4" t="s">
        <v>39890</v>
      </c>
      <c r="C31684" s="5" t="str">
        <f>IFERROR(__xludf.DUMMYFUNCTION("GOOGLETRANSLATE(B31684,""en"",""de"")"),"Der Mann steht dann im Freien alleine, wo er immer noch das gleiche weiße Outfit trägt und sehr leidenschaftlich mit Handbewegungen und vielen Gesichtsausdrücken spricht.")</f>
        <v>Der Mann steht dann im Freien alleine, wo er immer noch das gleiche weiße Outfit trägt und sehr leidenschaftlich mit Handbewegungen und vielen Gesichtsausdrücken spricht.</v>
      </c>
    </row>
    <row r="31685">
      <c r="A31685" s="4" t="s">
        <v>39887</v>
      </c>
      <c r="B31685" s="4" t="s">
        <v>39891</v>
      </c>
      <c r="C31685" s="5" t="str">
        <f>IFERROR(__xludf.DUMMYFUNCTION("GOOGLETRANSLATE(B31685,""en"",""de"")"),"Der Mann kämpft erneut als im Freien gegen verschiedene Männer und er scheint jeden Kampf zu gewinnen.")</f>
        <v>Der Mann kämpft erneut als im Freien gegen verschiedene Männer und er scheint jeden Kampf zu gewinnen.</v>
      </c>
    </row>
    <row r="31686">
      <c r="A31686" s="4" t="s">
        <v>39887</v>
      </c>
      <c r="B31686" s="4" t="s">
        <v>39892</v>
      </c>
      <c r="C31686" s="5" t="str">
        <f>IFERROR(__xludf.DUMMYFUNCTION("GOOGLETRANSLATE(B31686,""en"",""de"")"),"Nach dieser Runde von Kämpfen spricht der Mann erneut sehr leidenschaftlich mit vielen Handbewegungen und Gesichtsausdrücken.")</f>
        <v>Nach dieser Runde von Kämpfen spricht der Mann erneut sehr leidenschaftlich mit vielen Handbewegungen und Gesichtsausdrücken.</v>
      </c>
    </row>
    <row r="31687">
      <c r="A31687" s="4" t="s">
        <v>39887</v>
      </c>
      <c r="B31687" s="4" t="s">
        <v>39893</v>
      </c>
      <c r="C31687" s="5" t="str">
        <f>IFERROR(__xludf.DUMMYFUNCTION("GOOGLETRANSLATE(B31687,""en"",""de"")"),"Der Mann kämpft dann wieder mit verschiedenen Männern irgendwo im Freien, wo er weiterhin die Kämpfe gewinnt, indem er schlägt und gelegentlich tritt.")</f>
        <v>Der Mann kämpft dann wieder mit verschiedenen Männern irgendwo im Freien, wo er weiterhin die Kämpfe gewinnt, indem er schlägt und gelegentlich tritt.</v>
      </c>
    </row>
    <row r="31688">
      <c r="A31688" s="4" t="s">
        <v>39887</v>
      </c>
      <c r="B31688" s="4" t="s">
        <v>39894</v>
      </c>
      <c r="C31688" s="5" t="str">
        <f>IFERROR(__xludf.DUMMYFUNCTION("GOOGLETRANSLATE(B31688,""en"",""de"")"),"Zuletzt zeigt der Mann erneut, dass es sehr leidenschaftlich mit Handbewegungen und vielen Gesichtsausdrücken spricht und um ihn herum überlagert auf dem Bildschirm, um seinen YouTube -Kanal zusammen mit seiner Website für Tai Chi Combat zu bewerben.")</f>
        <v>Zuletzt zeigt der Mann erneut, dass es sehr leidenschaftlich mit Handbewegungen und vielen Gesichtsausdrücken spricht und um ihn herum überlagert auf dem Bildschirm, um seinen YouTube -Kanal zusammen mit seiner Website für Tai Chi Combat zu bewerben.</v>
      </c>
    </row>
    <row r="31689">
      <c r="A31689" s="4" t="s">
        <v>39895</v>
      </c>
      <c r="B31689" s="4" t="s">
        <v>39896</v>
      </c>
      <c r="C31689" s="5" t="str">
        <f>IFERROR(__xludf.DUMMYFUNCTION("GOOGLETRANSLATE(B31689,""en"",""de"")"),"Ein Mann in einem Neonmantel fährt ein Auto mit der Kamera am Fenster.")</f>
        <v>Ein Mann in einem Neonmantel fährt ein Auto mit der Kamera am Fenster.</v>
      </c>
    </row>
    <row r="31690">
      <c r="A31690" s="4" t="s">
        <v>39895</v>
      </c>
      <c r="B31690" s="4" t="s">
        <v>39897</v>
      </c>
      <c r="C31690" s="5" t="str">
        <f>IFERROR(__xludf.DUMMYFUNCTION("GOOGLETRANSLATE(B31690,""en"",""de"")"),"Er fährt schnell mit dem Schnee und lacht, als er sich aufzeichnet.")</f>
        <v>Er fährt schnell mit dem Schnee und lacht, als er sich aufzeichnet.</v>
      </c>
    </row>
    <row r="31691">
      <c r="A31691" s="4" t="s">
        <v>39895</v>
      </c>
      <c r="B31691" s="4" t="s">
        <v>39898</v>
      </c>
      <c r="C31691" s="5" t="str">
        <f>IFERROR(__xludf.DUMMYFUNCTION("GOOGLETRANSLATE(B31691,""en"",""de"")"),"Er und seine Passagiere stehen auf einem schneebedeckten Hügel und drehen sich, während sie sich aufnehmen.")</f>
        <v>Er und seine Passagiere stehen auf einem schneebedeckten Hügel und drehen sich, während sie sich aufnehmen.</v>
      </c>
    </row>
    <row r="31692">
      <c r="A31692" s="4" t="s">
        <v>39895</v>
      </c>
      <c r="B31692" s="4" t="s">
        <v>39899</v>
      </c>
      <c r="C31692" s="5" t="str">
        <f>IFERROR(__xludf.DUMMYFUNCTION("GOOGLETRANSLATE(B31692,""en"",""de"")"),"Sie verwenden dann Sägen, um einen Pfad im Schnee zu schneiden.")</f>
        <v>Sie verwenden dann Sägen, um einen Pfad im Schnee zu schneiden.</v>
      </c>
    </row>
    <row r="31693">
      <c r="A31693" s="4" t="s">
        <v>39895</v>
      </c>
      <c r="B31693" s="4" t="s">
        <v>39900</v>
      </c>
      <c r="C31693" s="5" t="str">
        <f>IFERROR(__xludf.DUMMYFUNCTION("GOOGLETRANSLATE(B31693,""en"",""de"")"),"Sie Wasserski auf dem gefrorenen Wasserweg.")</f>
        <v>Sie Wasserski auf dem gefrorenen Wasserweg.</v>
      </c>
    </row>
    <row r="31694">
      <c r="A31694" s="4" t="s">
        <v>39901</v>
      </c>
      <c r="B31694" s="4" t="s">
        <v>39902</v>
      </c>
      <c r="C31694" s="5" t="str">
        <f>IFERROR(__xludf.DUMMYFUNCTION("GOOGLETRANSLATE(B31694,""en"",""de"")"),"Eine Person reinigt ein extrem schmutziges Waschbecken mit einem Papiertuch.")</f>
        <v>Eine Person reinigt ein extrem schmutziges Waschbecken mit einem Papiertuch.</v>
      </c>
    </row>
    <row r="31695">
      <c r="A31695" s="4" t="s">
        <v>39901</v>
      </c>
      <c r="B31695" s="4" t="s">
        <v>39903</v>
      </c>
      <c r="C31695" s="5" t="str">
        <f>IFERROR(__xludf.DUMMYFUNCTION("GOOGLETRANSLATE(B31695,""en"",""de"")"),"Der Titel Tubotowels wird auf dem Bildschirm angezeigt.")</f>
        <v>Der Titel Tubotowels wird auf dem Bildschirm angezeigt.</v>
      </c>
    </row>
    <row r="31696">
      <c r="A31696" s="4" t="s">
        <v>39904</v>
      </c>
      <c r="B31696" s="4" t="s">
        <v>39905</v>
      </c>
      <c r="C31696" s="5" t="str">
        <f>IFERROR(__xludf.DUMMYFUNCTION("GOOGLETRANSLATE(B31696,""en"",""de"")"),"Ein junger Mann in Weiß läuft auf der Bühnentanz.")</f>
        <v>Ein junger Mann in Weiß läuft auf der Bühnentanz.</v>
      </c>
    </row>
    <row r="31697">
      <c r="A31697" s="4" t="s">
        <v>39904</v>
      </c>
      <c r="B31697" s="4" t="s">
        <v>39906</v>
      </c>
      <c r="C31697" s="5" t="str">
        <f>IFERROR(__xludf.DUMMYFUNCTION("GOOGLETRANSLATE(B31697,""en"",""de"")"),"Andere Männer tanzen im Hintergrund.")</f>
        <v>Andere Männer tanzen im Hintergrund.</v>
      </c>
    </row>
    <row r="31698">
      <c r="A31698" s="4" t="s">
        <v>39904</v>
      </c>
      <c r="B31698" s="4" t="s">
        <v>39907</v>
      </c>
      <c r="C31698" s="5" t="str">
        <f>IFERROR(__xludf.DUMMYFUNCTION("GOOGLETRANSLATE(B31698,""en"",""de"")"),"Ein kleinerer Junge rennt verwirrt auf der Bühne.")</f>
        <v>Ein kleinerer Junge rennt verwirrt auf der Bühne.</v>
      </c>
    </row>
    <row r="31699">
      <c r="A31699" s="4" t="s">
        <v>39904</v>
      </c>
      <c r="B31699" s="4" t="s">
        <v>39908</v>
      </c>
      <c r="C31699" s="5" t="str">
        <f>IFERROR(__xludf.DUMMYFUNCTION("GOOGLETRANSLATE(B31699,""en"",""de"")"),"Ein Mann mit einem Mikrofon spricht mit dem jungen Kind.")</f>
        <v>Ein Mann mit einem Mikrofon spricht mit dem jungen Kind.</v>
      </c>
    </row>
    <row r="31700">
      <c r="A31700" s="4" t="s">
        <v>39904</v>
      </c>
      <c r="B31700" s="4" t="s">
        <v>39909</v>
      </c>
      <c r="C31700" s="5" t="str">
        <f>IFERROR(__xludf.DUMMYFUNCTION("GOOGLETRANSLATE(B31700,""en"",""de"")"),"Der Junge fängt an zu tanzen.")</f>
        <v>Der Junge fängt an zu tanzen.</v>
      </c>
    </row>
    <row r="31701">
      <c r="A31701" s="4" t="s">
        <v>39904</v>
      </c>
      <c r="B31701" s="4" t="s">
        <v>39910</v>
      </c>
      <c r="C31701" s="5" t="str">
        <f>IFERROR(__xludf.DUMMYFUNCTION("GOOGLETRANSLATE(B31701,""en"",""de"")"),"Jeder auf der Bühne hört auf zu tanzen.")</f>
        <v>Jeder auf der Bühne hört auf zu tanzen.</v>
      </c>
    </row>
    <row r="31702">
      <c r="A31702" s="4" t="s">
        <v>39904</v>
      </c>
      <c r="B31702" s="4" t="s">
        <v>39911</v>
      </c>
      <c r="C31702" s="5" t="str">
        <f>IFERROR(__xludf.DUMMYFUNCTION("GOOGLETRANSLATE(B31702,""en"",""de"")"),"Die Männer zeigen auf den Sänger.")</f>
        <v>Die Männer zeigen auf den Sänger.</v>
      </c>
    </row>
    <row r="31703">
      <c r="A31703" s="4" t="s">
        <v>39904</v>
      </c>
      <c r="B31703" s="4" t="s">
        <v>39912</v>
      </c>
      <c r="C31703" s="5" t="str">
        <f>IFERROR(__xludf.DUMMYFUNCTION("GOOGLETRANSLATE(B31703,""en"",""de"")"),"Der Sänger in Red beginnt zu tanzen.")</f>
        <v>Der Sänger in Red beginnt zu tanzen.</v>
      </c>
    </row>
    <row r="31704">
      <c r="A31704" s="4" t="s">
        <v>39913</v>
      </c>
      <c r="B31704" s="4" t="s">
        <v>39914</v>
      </c>
      <c r="C31704" s="5" t="str">
        <f>IFERROR(__xludf.DUMMYFUNCTION("GOOGLETRANSLATE(B31704,""en"",""de"")"),"Ein gelbes Tuch, ein gelber und grünes Schwamm und ein CIF -Creme -Reiniger werden neben einem flachen Waschbecken mit silbernem Abfluss auf die Theke platziert.")</f>
        <v>Ein gelbes Tuch, ein gelber und grünes Schwamm und ein CIF -Creme -Reiniger werden neben einem flachen Waschbecken mit silbernem Abfluss auf die Theke platziert.</v>
      </c>
    </row>
    <row r="31705">
      <c r="A31705" s="4" t="s">
        <v>39913</v>
      </c>
      <c r="B31705" s="4" t="s">
        <v>39915</v>
      </c>
      <c r="C31705" s="5" t="str">
        <f>IFERROR(__xludf.DUMMYFUNCTION("GOOGLETRANSLATE(B31705,""en"",""de"")"),"Eine Hand gießt einen Tropfen CIF -Creme, wischte sie mit der grünen Seite des Schwamms aus, wischte ihn in kreisförmiger Bewegung ab und wischte dann die Theke mit gelbem Tuch ab.")</f>
        <v>Eine Hand gießt einen Tropfen CIF -Creme, wischte sie mit der grünen Seite des Schwamms aus, wischte ihn in kreisförmiger Bewegung ab und wischte dann die Theke mit gelbem Tuch ab.</v>
      </c>
    </row>
    <row r="31706">
      <c r="A31706" s="4" t="s">
        <v>39916</v>
      </c>
      <c r="B31706" s="4" t="s">
        <v>39917</v>
      </c>
      <c r="C31706" s="5" t="str">
        <f>IFERROR(__xludf.DUMMYFUNCTION("GOOGLETRANSLATE(B31706,""en"",""de"")"),"Ein Mann bereitet seine Vorräte in der Nähe eines Picknicktischs vor und legt dann einen ab.")</f>
        <v>Ein Mann bereitet seine Vorräte in der Nähe eines Picknicktischs vor und legt dann einen ab.</v>
      </c>
    </row>
    <row r="31707">
      <c r="A31707" s="4" t="s">
        <v>39916</v>
      </c>
      <c r="B31707" s="4" t="s">
        <v>39918</v>
      </c>
      <c r="C31707" s="5" t="str">
        <f>IFERROR(__xludf.DUMMYFUNCTION("GOOGLETRANSLATE(B31707,""en"",""de"")"),"Der Mann gießt hellere Flüssigkeit in einen Camp -Feuerring.")</f>
        <v>Der Mann gießt hellere Flüssigkeit in einen Camp -Feuerring.</v>
      </c>
    </row>
    <row r="31708">
      <c r="A31708" s="4" t="s">
        <v>39916</v>
      </c>
      <c r="B31708" s="4" t="s">
        <v>39919</v>
      </c>
      <c r="C31708" s="5" t="str">
        <f>IFERROR(__xludf.DUMMYFUNCTION("GOOGLETRANSLATE(B31708,""en"",""de"")"),"Der Mann holt Streichhölzer, die auf das Feuer fallen, und er bricht in Flammen aus.")</f>
        <v>Der Mann holt Streichhölzer, die auf das Feuer fallen, und er bricht in Flammen aus.</v>
      </c>
    </row>
    <row r="31709">
      <c r="A31709" s="4" t="s">
        <v>39920</v>
      </c>
      <c r="B31709" s="4" t="s">
        <v>39921</v>
      </c>
      <c r="C31709" s="5" t="str">
        <f>IFERROR(__xludf.DUMMYFUNCTION("GOOGLETRANSLATE(B31709,""en"",""de"")"),"Eine Gruppe von Menschen in Schneegätigkeiten wird ein Schneeboden auf schneebedeckten Schneefehlern gezeigt, wobei eine visuelle Betonung eines bestimmten Schnee -Boarders in einem grünen Mantel gezeigt wird.")</f>
        <v>Eine Gruppe von Menschen in Schneegätigkeiten wird ein Schneeboden auf schneebedeckten Schneefehlern gezeigt, wobei eine visuelle Betonung eines bestimmten Schnee -Boarders in einem grünen Mantel gezeigt wird.</v>
      </c>
    </row>
    <row r="31710">
      <c r="A31710" s="4" t="s">
        <v>39920</v>
      </c>
      <c r="B31710" s="4" t="s">
        <v>39922</v>
      </c>
      <c r="C31710" s="5" t="str">
        <f>IFERROR(__xludf.DUMMYFUNCTION("GOOGLETRANSLATE(B31710,""en"",""de"")"),"Ein Mann in einem grünen Mantel Schneeschlitten über viele Oberflächen auf und ab, als er an andere Schneeschlittenfahrer vorbeikommt, während er von braunem Laub und schneebedeckten Dächern und Hügeln umgeben ist.")</f>
        <v>Ein Mann in einem grünen Mantel Schneeschlitten über viele Oberflächen auf und ab, als er an andere Schneeschlittenfahrer vorbeikommt, während er von braunem Laub und schneebedeckten Dächern und Hügeln umgeben ist.</v>
      </c>
    </row>
    <row r="31711">
      <c r="A31711" s="4" t="s">
        <v>39920</v>
      </c>
      <c r="B31711" s="4" t="s">
        <v>39923</v>
      </c>
      <c r="C31711" s="5" t="str">
        <f>IFERROR(__xludf.DUMMYFUNCTION("GOOGLETRANSLATE(B31711,""en"",""de"")"),"Als die Snowboards der Mann fällt eine Person, die er übergeht, und brechen seinen Schlitten, und einige der anderen Skifahrer spielen Trick, während sie Snowboard, einschließlich Schneeboden von erhöhten Plattformen und Sprüngen, während des Schneebretts"&amp;".")</f>
        <v>Als die Snowboards der Mann fällt eine Person, die er übergeht, und brechen seinen Schlitten, und einige der anderen Skifahrer spielen Trick, während sie Snowboard, einschließlich Schneeboden von erhöhten Plattformen und Sprüngen, während des Schneebretts.</v>
      </c>
    </row>
    <row r="31712">
      <c r="A31712" s="4" t="s">
        <v>39924</v>
      </c>
      <c r="B31712" s="4" t="s">
        <v>39925</v>
      </c>
      <c r="C31712" s="5" t="str">
        <f>IFERROR(__xludf.DUMMYFUNCTION("GOOGLETRANSLATE(B31712,""en"",""de"")"),"Ein kleiner Junge mops eine hölzerne Rampe, barfuß, draußen mit einem Mini -Mopp und einem Eimer Wasser.")</f>
        <v>Ein kleiner Junge mops eine hölzerne Rampe, barfuß, draußen mit einem Mini -Mopp und einem Eimer Wasser.</v>
      </c>
    </row>
    <row r="31713">
      <c r="A31713" s="4" t="s">
        <v>39924</v>
      </c>
      <c r="B31713" s="4" t="s">
        <v>39926</v>
      </c>
      <c r="C31713" s="5" t="str">
        <f>IFERROR(__xludf.DUMMYFUNCTION("GOOGLETRANSLATE(B31713,""en"",""de"")"),"Ein kleiner Junge steht draußen, ohne Hemd, barfuß und Jeans und Mops eine Holzrampe mit gelben Mini -Mopp.")</f>
        <v>Ein kleiner Junge steht draußen, ohne Hemd, barfuß und Jeans und Mops eine Holzrampe mit gelben Mini -Mopp.</v>
      </c>
    </row>
    <row r="31714">
      <c r="A31714" s="4" t="s">
        <v>39924</v>
      </c>
      <c r="B31714" s="4" t="s">
        <v>39927</v>
      </c>
      <c r="C31714" s="5" t="str">
        <f>IFERROR(__xludf.DUMMYFUNCTION("GOOGLETRANSLATE(B31714,""en"",""de"")"),"Der Junge taucht nach einer Weile den Mopp in Wasser und wischt weiter auf die Rampe.")</f>
        <v>Der Junge taucht nach einer Weile den Mopp in Wasser und wischt weiter auf die Rampe.</v>
      </c>
    </row>
    <row r="31715">
      <c r="A31715" s="4" t="s">
        <v>39928</v>
      </c>
      <c r="B31715" s="4" t="s">
        <v>39929</v>
      </c>
      <c r="C31715" s="5" t="str">
        <f>IFERROR(__xludf.DUMMYFUNCTION("GOOGLETRANSLATE(B31715,""en"",""de"")"),"Eine Nachrichtenfrau spricht in einem Nachrichtenzimmer.")</f>
        <v>Eine Nachrichtenfrau spricht in einem Nachrichtenzimmer.</v>
      </c>
    </row>
    <row r="31716">
      <c r="A31716" s="4" t="s">
        <v>39928</v>
      </c>
      <c r="B31716" s="4" t="s">
        <v>39930</v>
      </c>
      <c r="C31716" s="5" t="str">
        <f>IFERROR(__xludf.DUMMYFUNCTION("GOOGLETRANSLATE(B31716,""en"",""de"")"),"Ein paar professionelle Tänzer werden auf einer Bühne tanzen und Ballett durchführen, wobei die Weibchen gelegentlich mit der Kamera sprechen.")</f>
        <v>Ein paar professionelle Tänzer werden auf einer Bühne tanzen und Ballett durchführen, wobei die Weibchen gelegentlich mit der Kamera sprechen.</v>
      </c>
    </row>
    <row r="31717">
      <c r="A31717" s="4" t="s">
        <v>39928</v>
      </c>
      <c r="B31717" s="4" t="s">
        <v>39931</v>
      </c>
      <c r="C31717" s="5" t="str">
        <f>IFERROR(__xludf.DUMMYFUNCTION("GOOGLETRANSLATE(B31717,""en"",""de"")"),"Sie ist nach einer Aufführung herauszukommen, um einen mit Menschen gefüllten Raum zu sehen und eine Pressekonferenz zu machen.")</f>
        <v>Sie ist nach einer Aufführung herauszukommen, um einen mit Menschen gefüllten Raum zu sehen und eine Pressekonferenz zu machen.</v>
      </c>
    </row>
    <row r="31718">
      <c r="A31718" s="4" t="s">
        <v>39928</v>
      </c>
      <c r="B31718" s="4" t="s">
        <v>39932</v>
      </c>
      <c r="C31718" s="5" t="str">
        <f>IFERROR(__xludf.DUMMYFUNCTION("GOOGLETRANSLATE(B31718,""en"",""de"")"),"Am Ende wird ein Plakat von drei Frauen gezeigt.")</f>
        <v>Am Ende wird ein Plakat von drei Frauen gezeigt.</v>
      </c>
    </row>
    <row r="31719">
      <c r="A31719" s="4" t="s">
        <v>39933</v>
      </c>
      <c r="B31719" s="4" t="s">
        <v>39934</v>
      </c>
      <c r="C31719" s="5" t="str">
        <f>IFERROR(__xludf.DUMMYFUNCTION("GOOGLETRANSLATE(B31719,""en"",""de"")"),"Ein Mann paddelt ein Surfbrett mit einem Baby auf dem Brett vor ihm.")</f>
        <v>Ein Mann paddelt ein Surfbrett mit einem Baby auf dem Brett vor ihm.</v>
      </c>
    </row>
    <row r="31720">
      <c r="A31720" s="4" t="s">
        <v>39933</v>
      </c>
      <c r="B31720" s="4" t="s">
        <v>39935</v>
      </c>
      <c r="C31720" s="5" t="str">
        <f>IFERROR(__xludf.DUMMYFUNCTION("GOOGLETRANSLATE(B31720,""en"",""de"")"),"Er hebt das Baby kurz an eine stehende Position.")</f>
        <v>Er hebt das Baby kurz an eine stehende Position.</v>
      </c>
    </row>
    <row r="31721">
      <c r="A31721" s="4" t="s">
        <v>39933</v>
      </c>
      <c r="B31721" s="4" t="s">
        <v>39936</v>
      </c>
      <c r="C31721" s="5" t="str">
        <f>IFERROR(__xludf.DUMMYFUNCTION("GOOGLETRANSLATE(B31721,""en"",""de"")"),"Eine Frau bewegt sich auf den Mann und das Baby zu.")</f>
        <v>Eine Frau bewegt sich auf den Mann und das Baby zu.</v>
      </c>
    </row>
    <row r="31722">
      <c r="A31722" s="4" t="s">
        <v>39933</v>
      </c>
      <c r="B31722" s="4" t="s">
        <v>39937</v>
      </c>
      <c r="C31722" s="5" t="str">
        <f>IFERROR(__xludf.DUMMYFUNCTION("GOOGLETRANSLATE(B31722,""en"",""de"")"),"Der Mann hebt das Baby momentan wieder in eine stehende Position.")</f>
        <v>Der Mann hebt das Baby momentan wieder in eine stehende Position.</v>
      </c>
    </row>
    <row r="31723">
      <c r="A31723" s="4" t="s">
        <v>39933</v>
      </c>
      <c r="B31723" s="4" t="s">
        <v>39938</v>
      </c>
      <c r="C31723" s="5" t="str">
        <f>IFERROR(__xludf.DUMMYFUNCTION("GOOGLETRANSLATE(B31723,""en"",""de"")"),"Der Mann hebt das Baby momentan noch einmal in eine stehende Position.")</f>
        <v>Der Mann hebt das Baby momentan noch einmal in eine stehende Position.</v>
      </c>
    </row>
    <row r="31724">
      <c r="A31724" s="4" t="s">
        <v>39939</v>
      </c>
      <c r="B31724" s="4" t="s">
        <v>39940</v>
      </c>
      <c r="C31724" s="5" t="str">
        <f>IFERROR(__xludf.DUMMYFUNCTION("GOOGLETRANSLATE(B31724,""en"",""de"")"),"Der Mann im braunen Hemd steht neben einem Haufen Tennisball, während er mit der Kamera spricht.")</f>
        <v>Der Mann im braunen Hemd steht neben einem Haufen Tennisball, während er mit der Kamera spricht.</v>
      </c>
    </row>
    <row r="31725">
      <c r="A31725" s="4" t="s">
        <v>39939</v>
      </c>
      <c r="B31725" s="4" t="s">
        <v>39941</v>
      </c>
      <c r="C31725" s="5" t="str">
        <f>IFERROR(__xludf.DUMMYFUNCTION("GOOGLETRANSLATE(B31725,""en"",""de"")"),"Er spielte Tennisball mit einer anderen Person.")</f>
        <v>Er spielte Tennisball mit einer anderen Person.</v>
      </c>
    </row>
    <row r="31726">
      <c r="A31726" s="4" t="s">
        <v>39939</v>
      </c>
      <c r="B31726" s="4" t="s">
        <v>39942</v>
      </c>
      <c r="C31726" s="5" t="str">
        <f>IFERROR(__xludf.DUMMYFUNCTION("GOOGLETRANSLATE(B31726,""en"",""de"")"),"Der Mann im lila Hemd serviert den Ball, während der schwarze Mann den Ball zurückschlug.")</f>
        <v>Der Mann im lila Hemd serviert den Ball, während der schwarze Mann den Ball zurückschlug.</v>
      </c>
    </row>
    <row r="31727">
      <c r="A31727" s="4" t="s">
        <v>39943</v>
      </c>
      <c r="B31727" s="4" t="s">
        <v>39944</v>
      </c>
      <c r="C31727" s="5" t="str">
        <f>IFERROR(__xludf.DUMMYFUNCTION("GOOGLETRANSLATE(B31727,""en"",""de"")"),"Eine Frau gibt ein Haar -Tutorial.")</f>
        <v>Eine Frau gibt ein Haar -Tutorial.</v>
      </c>
    </row>
    <row r="31728">
      <c r="A31728" s="4" t="s">
        <v>39943</v>
      </c>
      <c r="B31728" s="4" t="s">
        <v>39945</v>
      </c>
      <c r="C31728" s="5" t="str">
        <f>IFERROR(__xludf.DUMMYFUNCTION("GOOGLETRANSLATE(B31728,""en"",""de"")"),"Die Frau bindet ihre Haare und bereitet sie so vor, dass sie besser aussieht.")</f>
        <v>Die Frau bindet ihre Haare und bereitet sie so vor, dass sie besser aussieht.</v>
      </c>
    </row>
    <row r="31729">
      <c r="A31729" s="4" t="s">
        <v>39946</v>
      </c>
      <c r="B31729" s="4" t="s">
        <v>39947</v>
      </c>
      <c r="C31729" s="5" t="str">
        <f>IFERROR(__xludf.DUMMYFUNCTION("GOOGLETRANSLATE(B31729,""en"",""de"")"),"Ein Spezialeffekt -Intro einer in der Luft geborenen Mann auf einer Waterboard mit den Wörtern MMXIV Hyperlite Collection befindet sich auf dem Bildschirm.")</f>
        <v>Ein Spezialeffekt -Intro einer in der Luft geborenen Mann auf einer Waterboard mit den Wörtern MMXIV Hyperlite Collection befindet sich auf dem Bildschirm.</v>
      </c>
    </row>
    <row r="31730">
      <c r="A31730" s="4" t="s">
        <v>39946</v>
      </c>
      <c r="B31730" s="4" t="s">
        <v>39948</v>
      </c>
      <c r="C31730" s="5" t="str">
        <f>IFERROR(__xludf.DUMMYFUNCTION("GOOGLETRANSLATE(B31730,""en"",""de"")"),"Ein paar Männer erscheinen in der Nähe des Sees und dann spielen eine Reihe verschiedener Clips und Männer auf den Wasserbrettern nacheinander, während sie alle schnell auf dem Wasser auf dem Wasser sind und einige Flips machen, während sie sich am Seil f"&amp;"esthalten.")</f>
        <v>Ein paar Männer erscheinen in der Nähe des Sees und dann spielen eine Reihe verschiedener Clips und Männer auf den Wasserbrettern nacheinander, während sie alle schnell auf dem Wasser auf dem Wasser sind und einige Flips machen, während sie sich am Seil festhalten.</v>
      </c>
    </row>
    <row r="31731">
      <c r="A31731" s="4" t="s">
        <v>39946</v>
      </c>
      <c r="B31731" s="4" t="s">
        <v>39949</v>
      </c>
      <c r="C31731" s="5" t="str">
        <f>IFERROR(__xludf.DUMMYFUNCTION("GOOGLETRANSLATE(B31731,""en"",""de"")"),"Eine Frau in rosa Shorts erscheint und sie wird kurz auch kurz gezeigt.")</f>
        <v>Eine Frau in rosa Shorts erscheint und sie wird kurz auch kurz gezeigt.</v>
      </c>
    </row>
    <row r="31732">
      <c r="A31732" s="4" t="s">
        <v>39946</v>
      </c>
      <c r="B31732" s="4" t="s">
        <v>39950</v>
      </c>
      <c r="C31732" s="5" t="str">
        <f>IFERROR(__xludf.DUMMYFUNCTION("GOOGLETRANSLATE(B31732,""en"",""de"")"),"Jetzt sitzt ein Mann auf einem Boot, während ein großes ferngesteuertes Flugzeug auf ihn zuging, und ein stehender Mann greift es schnell, bevor es das Gesicht des sitzenden Mannes trifft, und der sitzende Mann dreht sich in die Kamera, um eine schockiert"&amp;"e und Erleichterung zu geben Blick auf sein Gesicht.")</f>
        <v>Jetzt sitzt ein Mann auf einem Boot, während ein großes ferngesteuertes Flugzeug auf ihn zuging, und ein stehender Mann greift es schnell, bevor es das Gesicht des sitzenden Mannes trifft, und der sitzende Mann dreht sich in die Kamera, um eine schockierte und Erleichterung zu geben Blick auf sein Gesicht.</v>
      </c>
    </row>
    <row r="31733">
      <c r="A31733" s="4" t="s">
        <v>39946</v>
      </c>
      <c r="B31733" s="4" t="s">
        <v>39951</v>
      </c>
      <c r="C31733" s="5" t="str">
        <f>IFERROR(__xludf.DUMMYFUNCTION("GOOGLETRANSLATE(B31733,""en"",""de"")"),"Die Clips verschiedener Menschen, die Waterboarding aufwässern, tauchen wieder auf und sie halten sich alle immer noch am Seil, während sie auf den Brettern stehen und Sprünge, Flips und andere Tricks machen.")</f>
        <v>Die Clips verschiedener Menschen, die Waterboarding aufwässern, tauchen wieder auf und sie halten sich alle immer noch am Seil, während sie auf den Brettern stehen und Sprünge, Flips und andere Tricks machen.</v>
      </c>
    </row>
    <row r="31734">
      <c r="A31734" s="4" t="s">
        <v>39946</v>
      </c>
      <c r="B31734" s="4" t="s">
        <v>39952</v>
      </c>
      <c r="C31734" s="5" t="str">
        <f>IFERROR(__xludf.DUMMYFUNCTION("GOOGLETRANSLATE(B31734,""en"",""de"")"),"Der Outro -Clip beginnt und ähnelt dem Intro.")</f>
        <v>Der Outro -Clip beginnt und ähnelt dem Intro.</v>
      </c>
    </row>
    <row r="31735">
      <c r="A31735" s="4" t="s">
        <v>39953</v>
      </c>
      <c r="B31735" s="4" t="s">
        <v>39954</v>
      </c>
      <c r="C31735" s="5" t="str">
        <f>IFERROR(__xludf.DUMMYFUNCTION("GOOGLETRANSLATE(B31735,""en"",""de"")"),"Ein Mann erklärt ein Verfahrensbestandtücher und Reinigungsmaterialien, während sie die Tücher zeigen.")</f>
        <v>Ein Mann erklärt ein Verfahrensbestandtücher und Reinigungsmaterialien, während sie die Tücher zeigen.</v>
      </c>
    </row>
    <row r="31736">
      <c r="A31736" s="4" t="s">
        <v>39953</v>
      </c>
      <c r="B31736" s="4" t="s">
        <v>39955</v>
      </c>
      <c r="C31736" s="5" t="str">
        <f>IFERROR(__xludf.DUMMYFUNCTION("GOOGLETRANSLATE(B31736,""en"",""de"")"),"Danach nähert sich der Mann an ein Fenster und beginnt für einen Augenblick zu reinigen und erklärt dann weiter.")</f>
        <v>Danach nähert sich der Mann an ein Fenster und beginnt für einen Augenblick zu reinigen und erklärt dann weiter.</v>
      </c>
    </row>
    <row r="31737">
      <c r="A31737" s="4" t="s">
        <v>39956</v>
      </c>
      <c r="B31737" s="4" t="s">
        <v>1487</v>
      </c>
      <c r="C31737" s="5" t="str">
        <f>IFERROR(__xludf.DUMMYFUNCTION("GOOGLETRANSLATE(B31737,""en"",""de"")"),"Wir sehen einen Öffnungsbildschirm.")</f>
        <v>Wir sehen einen Öffnungsbildschirm.</v>
      </c>
    </row>
    <row r="31738">
      <c r="A31738" s="4" t="s">
        <v>39956</v>
      </c>
      <c r="B31738" s="4" t="s">
        <v>39957</v>
      </c>
      <c r="C31738" s="5" t="str">
        <f>IFERROR(__xludf.DUMMYFUNCTION("GOOGLETRANSLATE(B31738,""en"",""de"")"),"Eine Dame sitzt an einem Tisch mit Schuh, Wasser, Salz, Bürste und Handtuch.")</f>
        <v>Eine Dame sitzt an einem Tisch mit Schuh, Wasser, Salz, Bürste und Handtuch.</v>
      </c>
    </row>
    <row r="31739">
      <c r="A31739" s="4" t="s">
        <v>39956</v>
      </c>
      <c r="B31739" s="4" t="s">
        <v>39958</v>
      </c>
      <c r="C31739" s="5" t="str">
        <f>IFERROR(__xludf.DUMMYFUNCTION("GOOGLETRANSLATE(B31739,""en"",""de"")"),"Die Dame setzt Salz das Wasser und taucht die Bürste ab und streift dann den Schuh.")</f>
        <v>Die Dame setzt Salz das Wasser und taucht die Bürste ab und streift dann den Schuh.</v>
      </c>
    </row>
    <row r="31740">
      <c r="A31740" s="4" t="s">
        <v>39956</v>
      </c>
      <c r="B31740" s="4" t="s">
        <v>39959</v>
      </c>
      <c r="C31740" s="5" t="str">
        <f>IFERROR(__xludf.DUMMYFUNCTION("GOOGLETRANSLATE(B31740,""en"",""de"")"),"Die Dame wischt den Schuh mit dem Handtuch ab und spricht mit der Kamera.")</f>
        <v>Die Dame wischt den Schuh mit dem Handtuch ab und spricht mit der Kamera.</v>
      </c>
    </row>
    <row r="31741">
      <c r="A31741" s="4" t="s">
        <v>39956</v>
      </c>
      <c r="B31741" s="4" t="s">
        <v>39960</v>
      </c>
      <c r="C31741" s="5" t="str">
        <f>IFERROR(__xludf.DUMMYFUNCTION("GOOGLETRANSLATE(B31741,""en"",""de"")"),"Wir sehen einen End -Titelbildschirm.")</f>
        <v>Wir sehen einen End -Titelbildschirm.</v>
      </c>
    </row>
    <row r="31742">
      <c r="A31742" s="4" t="s">
        <v>39961</v>
      </c>
      <c r="B31742" s="4" t="s">
        <v>39962</v>
      </c>
      <c r="C31742" s="5" t="str">
        <f>IFERROR(__xludf.DUMMYFUNCTION("GOOGLETRANSLATE(B31742,""en"",""de"")"),"Ein Hund bekommt draußen ein Bad.")</f>
        <v>Ein Hund bekommt draußen ein Bad.</v>
      </c>
    </row>
    <row r="31743">
      <c r="A31743" s="4" t="s">
        <v>39961</v>
      </c>
      <c r="B31743" s="4" t="s">
        <v>39963</v>
      </c>
      <c r="C31743" s="5" t="str">
        <f>IFERROR(__xludf.DUMMYFUNCTION("GOOGLETRANSLATE(B31743,""en"",""de"")"),"Seife wird durch den Mantel bearbeitet und dann abgewaschen.")</f>
        <v>Seife wird durch den Mantel bearbeitet und dann abgewaschen.</v>
      </c>
    </row>
    <row r="31744">
      <c r="A31744" s="4" t="s">
        <v>39964</v>
      </c>
      <c r="B31744" s="4" t="s">
        <v>39965</v>
      </c>
      <c r="C31744" s="5" t="str">
        <f>IFERROR(__xludf.DUMMYFUNCTION("GOOGLETRANSLATE(B31744,""en"",""de"")"),"Es gibt einen hemdlosen Mann, der Denim -Jeans in einem Wald trägt.")</f>
        <v>Es gibt einen hemdlosen Mann, der Denim -Jeans in einem Wald trägt.</v>
      </c>
    </row>
    <row r="31745">
      <c r="A31745" s="4" t="s">
        <v>39964</v>
      </c>
      <c r="B31745" s="4" t="s">
        <v>39966</v>
      </c>
      <c r="C31745" s="5" t="str">
        <f>IFERROR(__xludf.DUMMYFUNCTION("GOOGLETRANSLATE(B31745,""en"",""de"")"),"Er hackt Holz aus einer geschnittenen Baumrinde mit einem Hammer.")</f>
        <v>Er hackt Holz aus einer geschnittenen Baumrinde mit einem Hammer.</v>
      </c>
    </row>
    <row r="31746">
      <c r="A31746" s="4" t="s">
        <v>39964</v>
      </c>
      <c r="B31746" s="4" t="s">
        <v>39967</v>
      </c>
      <c r="C31746" s="5" t="str">
        <f>IFERROR(__xludf.DUMMYFUNCTION("GOOGLETRANSLATE(B31746,""en"",""de"")"),"Er schlägt mit all seiner Kraft auf das gehackte Holzblock.")</f>
        <v>Er schlägt mit all seiner Kraft auf das gehackte Holzblock.</v>
      </c>
    </row>
    <row r="31747">
      <c r="A31747" s="4" t="s">
        <v>39968</v>
      </c>
      <c r="B31747" s="4" t="s">
        <v>39969</v>
      </c>
      <c r="C31747" s="5" t="str">
        <f>IFERROR(__xludf.DUMMYFUNCTION("GOOGLETRANSLATE(B31747,""en"",""de"")"),"Eine kleine Gruppe von Menschen steht an einem Tisch mit Solo -Tassen und einer Tasse.")</f>
        <v>Eine kleine Gruppe von Menschen steht an einem Tisch mit Solo -Tassen und einer Tasse.</v>
      </c>
    </row>
    <row r="31748">
      <c r="A31748" s="4" t="s">
        <v>39968</v>
      </c>
      <c r="B31748" s="4" t="s">
        <v>39970</v>
      </c>
      <c r="C31748" s="5" t="str">
        <f>IFERROR(__xludf.DUMMYFUNCTION("GOOGLETRANSLATE(B31748,""en"",""de"")"),"Der Mann trinkt dann aus einer Tasse und fährt auf den Tisch zusammen.")</f>
        <v>Der Mann trinkt dann aus einer Tasse und fährt auf den Tisch zusammen.</v>
      </c>
    </row>
    <row r="31749">
      <c r="A31749" s="4" t="s">
        <v>39971</v>
      </c>
      <c r="B31749" s="4" t="s">
        <v>39972</v>
      </c>
      <c r="C31749" s="5" t="str">
        <f>IFERROR(__xludf.DUMMYFUNCTION("GOOGLETRANSLATE(B31749,""en"",""de"")"),"Ein Mann draußen auf einem Parkplatz rollerbladiert.")</f>
        <v>Ein Mann draußen auf einem Parkplatz rollerbladiert.</v>
      </c>
    </row>
    <row r="31750">
      <c r="A31750" s="4" t="s">
        <v>39971</v>
      </c>
      <c r="B31750" s="4" t="s">
        <v>39973</v>
      </c>
      <c r="C31750" s="5" t="str">
        <f>IFERROR(__xludf.DUMMYFUNCTION("GOOGLETRANSLATE(B31750,""en"",""de"")"),"Er macht mehrere Tricks auf seinen Rollerblades.")</f>
        <v>Er macht mehrere Tricks auf seinen Rollerblades.</v>
      </c>
    </row>
    <row r="31751">
      <c r="A31751" s="4" t="s">
        <v>39971</v>
      </c>
      <c r="B31751" s="4" t="s">
        <v>39974</v>
      </c>
      <c r="C31751" s="5" t="str">
        <f>IFERROR(__xludf.DUMMYFUNCTION("GOOGLETRANSLATE(B31751,""en"",""de"")"),"Er macht ein Karrenrad auf dem Boden.")</f>
        <v>Er macht ein Karrenrad auf dem Boden.</v>
      </c>
    </row>
    <row r="31752">
      <c r="A31752" s="4" t="s">
        <v>39975</v>
      </c>
      <c r="B31752" s="4" t="s">
        <v>39976</v>
      </c>
      <c r="C31752" s="5" t="str">
        <f>IFERROR(__xludf.DUMMYFUNCTION("GOOGLETRANSLATE(B31752,""en"",""de"")"),"Ein Mann, der an die Wand schreibt.")</f>
        <v>Ein Mann, der an die Wand schreibt.</v>
      </c>
    </row>
    <row r="31753">
      <c r="A31753" s="4" t="s">
        <v>39975</v>
      </c>
      <c r="B31753" s="4" t="s">
        <v>39977</v>
      </c>
      <c r="C31753" s="5" t="str">
        <f>IFERROR(__xludf.DUMMYFUNCTION("GOOGLETRANSLATE(B31753,""en"",""de"")"),"Schalter zu einem Produkt, das vorgestellt wird.")</f>
        <v>Schalter zu einem Produkt, das vorgestellt wird.</v>
      </c>
    </row>
    <row r="31754">
      <c r="A31754" s="4" t="s">
        <v>39975</v>
      </c>
      <c r="B31754" s="4" t="s">
        <v>39978</v>
      </c>
      <c r="C31754" s="5" t="str">
        <f>IFERROR(__xludf.DUMMYFUNCTION("GOOGLETRANSLATE(B31754,""en"",""de"")"),"Der Mann schreibt erneut an die Wand.")</f>
        <v>Der Mann schreibt erneut an die Wand.</v>
      </c>
    </row>
    <row r="31755">
      <c r="A31755" s="4" t="s">
        <v>39975</v>
      </c>
      <c r="B31755" s="4" t="s">
        <v>39979</v>
      </c>
      <c r="C31755" s="5" t="str">
        <f>IFERROR(__xludf.DUMMYFUNCTION("GOOGLETRANSLATE(B31755,""en"",""de"")"),"Er beginnt Produkt anzuwenden.")</f>
        <v>Er beginnt Produkt anzuwenden.</v>
      </c>
    </row>
    <row r="31756">
      <c r="A31756" s="4" t="s">
        <v>39975</v>
      </c>
      <c r="B31756" s="4" t="s">
        <v>39980</v>
      </c>
      <c r="C31756" s="5" t="str">
        <f>IFERROR(__xludf.DUMMYFUNCTION("GOOGLETRANSLATE(B31756,""en"",""de"")"),"Wechselt wieder zum Produkt.")</f>
        <v>Wechselt wieder zum Produkt.</v>
      </c>
    </row>
    <row r="31757">
      <c r="A31757" s="4" t="s">
        <v>39975</v>
      </c>
      <c r="B31757" s="4" t="s">
        <v>39981</v>
      </c>
      <c r="C31757" s="5" t="str">
        <f>IFERROR(__xludf.DUMMYFUNCTION("GOOGLETRANSLATE(B31757,""en"",""de"")"),"Er schreibt an die Wand.")</f>
        <v>Er schreibt an die Wand.</v>
      </c>
    </row>
    <row r="31758">
      <c r="A31758" s="4" t="s">
        <v>39975</v>
      </c>
      <c r="B31758" s="4" t="s">
        <v>39982</v>
      </c>
      <c r="C31758" s="5" t="str">
        <f>IFERROR(__xludf.DUMMYFUNCTION("GOOGLETRANSLATE(B31758,""en"",""de"")"),"Er beginnt, Werkzeuge auszulegen.")</f>
        <v>Er beginnt, Werkzeuge auszulegen.</v>
      </c>
    </row>
    <row r="31759">
      <c r="A31759" s="4" t="s">
        <v>39975</v>
      </c>
      <c r="B31759" s="4" t="s">
        <v>39983</v>
      </c>
      <c r="C31759" s="5" t="str">
        <f>IFERROR(__xludf.DUMMYFUNCTION("GOOGLETRANSLATE(B31759,""en"",""de"")"),"Als nächstes misst und beträgt er die Mauer.")</f>
        <v>Als nächstes misst und beträgt er die Mauer.</v>
      </c>
    </row>
    <row r="31760">
      <c r="A31760" s="4" t="s">
        <v>39975</v>
      </c>
      <c r="B31760" s="4" t="s">
        <v>39984</v>
      </c>
      <c r="C31760" s="5" t="str">
        <f>IFERROR(__xludf.DUMMYFUNCTION("GOOGLETRANSLATE(B31760,""en"",""de"")"),"Er nimmt das Produkt heraus und beginnt einen Mantel auf den Riss in der Wand.")</f>
        <v>Er nimmt das Produkt heraus und beginnt einen Mantel auf den Riss in der Wand.</v>
      </c>
    </row>
    <row r="31761">
      <c r="A31761" s="4" t="s">
        <v>39975</v>
      </c>
      <c r="B31761" s="4" t="s">
        <v>39985</v>
      </c>
      <c r="C31761" s="5" t="str">
        <f>IFERROR(__xludf.DUMMYFUNCTION("GOOGLETRANSLATE(B31761,""en"",""de"")"),"Dann nimmt er eine Rolle und rollt sie entlang der Wand.")</f>
        <v>Dann nimmt er eine Rolle und rollt sie entlang der Wand.</v>
      </c>
    </row>
    <row r="31762">
      <c r="A31762" s="4" t="s">
        <v>39975</v>
      </c>
      <c r="B31762" s="4" t="s">
        <v>39986</v>
      </c>
      <c r="C31762" s="5" t="str">
        <f>IFERROR(__xludf.DUMMYFUNCTION("GOOGLETRANSLATE(B31762,""en"",""de"")"),"Als nächstes hängt er ein weißes Blatt an die Wand.")</f>
        <v>Als nächstes hängt er ein weißes Blatt an die Wand.</v>
      </c>
    </row>
    <row r="31763">
      <c r="A31763" s="4" t="s">
        <v>39975</v>
      </c>
      <c r="B31763" s="4" t="s">
        <v>39987</v>
      </c>
      <c r="C31763" s="5" t="str">
        <f>IFERROR(__xludf.DUMMYFUNCTION("GOOGLETRANSLATE(B31763,""en"",""de"")"),"Er wiederholt den Vorgang in den verschiedenen Abschnitten der Wand, die ihn brauchen.")</f>
        <v>Er wiederholt den Vorgang in den verschiedenen Abschnitten der Wand, die ihn brauchen.</v>
      </c>
    </row>
    <row r="31764">
      <c r="A31764" s="4" t="s">
        <v>39975</v>
      </c>
      <c r="B31764" s="4" t="s">
        <v>39988</v>
      </c>
      <c r="C31764" s="5" t="str">
        <f>IFERROR(__xludf.DUMMYFUNCTION("GOOGLETRANSLATE(B31764,""en"",""de"")"),"Jetzt schreibt er erneut an die Wand.")</f>
        <v>Jetzt schreibt er erneut an die Wand.</v>
      </c>
    </row>
    <row r="31765">
      <c r="A31765" s="4" t="s">
        <v>39975</v>
      </c>
      <c r="B31765" s="4" t="s">
        <v>39989</v>
      </c>
      <c r="C31765" s="5" t="str">
        <f>IFERROR(__xludf.DUMMYFUNCTION("GOOGLETRANSLATE(B31765,""en"",""de"")"),"Als nächstes springt ein Hund vor eine Wand.")</f>
        <v>Als nächstes springt ein Hund vor eine Wand.</v>
      </c>
    </row>
    <row r="31766">
      <c r="A31766" s="4" t="s">
        <v>39975</v>
      </c>
      <c r="B31766" s="4" t="s">
        <v>39990</v>
      </c>
      <c r="C31766" s="5" t="str">
        <f>IFERROR(__xludf.DUMMYFUNCTION("GOOGLETRANSLATE(B31766,""en"",""de"")"),"Er schreibt erneut an der Wand.")</f>
        <v>Er schreibt erneut an der Wand.</v>
      </c>
    </row>
    <row r="31767">
      <c r="A31767" s="4" t="s">
        <v>39975</v>
      </c>
      <c r="B31767" s="4" t="s">
        <v>39991</v>
      </c>
      <c r="C31767" s="5" t="str">
        <f>IFERROR(__xludf.DUMMYFUNCTION("GOOGLETRANSLATE(B31767,""en"",""de"")"),"Die Beschriftung wird auf dem Bildschirm für das Produkt angezeigt.")</f>
        <v>Die Beschriftung wird auf dem Bildschirm für das Produkt angezeigt.</v>
      </c>
    </row>
    <row r="31768">
      <c r="A31768" s="4" t="s">
        <v>39992</v>
      </c>
      <c r="B31768" s="4" t="s">
        <v>39993</v>
      </c>
      <c r="C31768" s="5" t="str">
        <f>IFERROR(__xludf.DUMMYFUNCTION("GOOGLETRANSLATE(B31768,""en"",""de"")"),"Mehrere Menschen schweben einen Fluss in Röhren hinunter.")</f>
        <v>Mehrere Menschen schweben einen Fluss in Röhren hinunter.</v>
      </c>
    </row>
    <row r="31769">
      <c r="A31769" s="4" t="s">
        <v>39992</v>
      </c>
      <c r="B31769" s="4" t="s">
        <v>39994</v>
      </c>
      <c r="C31769" s="5" t="str">
        <f>IFERROR(__xludf.DUMMYFUNCTION("GOOGLETRANSLATE(B31769,""en"",""de"")"),"Sie gehen durch mehrere Felsen.")</f>
        <v>Sie gehen durch mehrere Felsen.</v>
      </c>
    </row>
    <row r="31770">
      <c r="A31770" s="4" t="s">
        <v>39992</v>
      </c>
      <c r="B31770" s="4" t="s">
        <v>39995</v>
      </c>
      <c r="C31770" s="5" t="str">
        <f>IFERROR(__xludf.DUMMYFUNCTION("GOOGLETRANSLATE(B31770,""en"",""de"")"),"Das Wasser wird rau wie die Vergangenheit durch einige Steine.")</f>
        <v>Das Wasser wird rau wie die Vergangenheit durch einige Steine.</v>
      </c>
    </row>
    <row r="31771">
      <c r="A31771" s="4" t="s">
        <v>39992</v>
      </c>
      <c r="B31771" s="4" t="s">
        <v>39996</v>
      </c>
      <c r="C31771" s="5" t="str">
        <f>IFERROR(__xludf.DUMMYFUNCTION("GOOGLETRANSLATE(B31771,""en"",""de"")"),"Mehrere Menschen stehen im Fluss auf.")</f>
        <v>Mehrere Menschen stehen im Fluss auf.</v>
      </c>
    </row>
    <row r="31772">
      <c r="A31772" s="4" t="s">
        <v>39997</v>
      </c>
      <c r="B31772" s="4" t="s">
        <v>39998</v>
      </c>
      <c r="C31772" s="5" t="str">
        <f>IFERROR(__xludf.DUMMYFUNCTION("GOOGLETRANSLATE(B31772,""en"",""de"")"),"Einzelpersonen stehen hinter schwarzen Plattformen auf Anweisungen.")</f>
        <v>Einzelpersonen stehen hinter schwarzen Plattformen auf Anweisungen.</v>
      </c>
    </row>
    <row r="31773">
      <c r="A31773" s="4" t="s">
        <v>39997</v>
      </c>
      <c r="B31773" s="4" t="s">
        <v>39999</v>
      </c>
      <c r="C31773" s="5" t="str">
        <f>IFERROR(__xludf.DUMMYFUNCTION("GOOGLETRANSLATE(B31773,""en"",""de"")"),"Einzelpersonen verwenden Tanzbewegungen, um mit der Plattform zu trainieren.")</f>
        <v>Einzelpersonen verwenden Tanzbewegungen, um mit der Plattform zu trainieren.</v>
      </c>
    </row>
    <row r="31774">
      <c r="A31774" s="4" t="s">
        <v>39997</v>
      </c>
      <c r="B31774" s="4" t="s">
        <v>40000</v>
      </c>
      <c r="C31774" s="5" t="str">
        <f>IFERROR(__xludf.DUMMYFUNCTION("GOOGLETRANSLATE(B31774,""en"",""de"")"),"Die Leute springen nach rechts von der Plattform.")</f>
        <v>Die Leute springen nach rechts von der Plattform.</v>
      </c>
    </row>
    <row r="31775">
      <c r="A31775" s="4" t="s">
        <v>39997</v>
      </c>
      <c r="B31775" s="4" t="s">
        <v>40001</v>
      </c>
      <c r="C31775" s="5" t="str">
        <f>IFERROR(__xludf.DUMMYFUNCTION("GOOGLETRANSLATE(B31775,""en"",""de"")"),"Die Individuen springen links von der Plattform.")</f>
        <v>Die Individuen springen links von der Plattform.</v>
      </c>
    </row>
    <row r="31776">
      <c r="A31776" s="4" t="s">
        <v>39997</v>
      </c>
      <c r="B31776" s="4" t="s">
        <v>40002</v>
      </c>
      <c r="C31776" s="5" t="str">
        <f>IFERROR(__xludf.DUMMYFUNCTION("GOOGLETRANSLATE(B31776,""en"",""de"")"),"Die Dame, die die Gruppe kontinuierlich angewiesen hatte, klatscht in die Hände und beginnt zu gehen.")</f>
        <v>Die Dame, die die Gruppe kontinuierlich angewiesen hatte, klatscht in die Hände und beginnt zu gehen.</v>
      </c>
    </row>
    <row r="31777">
      <c r="A31777" s="4" t="s">
        <v>40003</v>
      </c>
      <c r="B31777" s="4" t="s">
        <v>40004</v>
      </c>
      <c r="C31777" s="5" t="str">
        <f>IFERROR(__xludf.DUMMYFUNCTION("GOOGLETRANSLATE(B31777,""en"",""de"")"),"Ein Mädchen hält ein weißes Stück Papier und es hat eine Zeichnung darauf, die in schwarzer Tinte gemacht wird.")</f>
        <v>Ein Mädchen hält ein weißes Stück Papier und es hat eine Zeichnung darauf, die in schwarzer Tinte gemacht wird.</v>
      </c>
    </row>
    <row r="31778">
      <c r="A31778" s="4" t="s">
        <v>40003</v>
      </c>
      <c r="B31778" s="4" t="s">
        <v>40005</v>
      </c>
      <c r="C31778" s="5" t="str">
        <f>IFERROR(__xludf.DUMMYFUNCTION("GOOGLETRANSLATE(B31778,""en"",""de"")"),"Das Mädchen dreht sich dann um und das Video wird beschleunigt, um ihre Zeichnung auf einem Kürbis in der Nähe einer Küche zu zeigen, während sich mehrere Personen um sie herum bewegen.")</f>
        <v>Das Mädchen dreht sich dann um und das Video wird beschleunigt, um ihre Zeichnung auf einem Kürbis in der Nähe einer Küche zu zeigen, während sich mehrere Personen um sie herum bewegen.</v>
      </c>
    </row>
    <row r="31779">
      <c r="A31779" s="4" t="s">
        <v>40003</v>
      </c>
      <c r="B31779" s="4" t="s">
        <v>40006</v>
      </c>
      <c r="C31779" s="5" t="str">
        <f>IFERROR(__xludf.DUMMYFUNCTION("GOOGLETRANSLATE(B31779,""en"",""de"")"),"Das Mädchen beendet die Zeichnung und sie beginnt, das Design aus dem Kürbis zu schnitzen, während sich das Video noch in einem Sped -Up -Modus befindet.")</f>
        <v>Das Mädchen beendet die Zeichnung und sie beginnt, das Design aus dem Kürbis zu schnitzen, während sich das Video noch in einem Sped -Up -Modus befindet.</v>
      </c>
    </row>
    <row r="31780">
      <c r="A31780" s="4" t="s">
        <v>40003</v>
      </c>
      <c r="B31780" s="4" t="s">
        <v>40007</v>
      </c>
      <c r="C31780" s="5" t="str">
        <f>IFERROR(__xludf.DUMMYFUNCTION("GOOGLETRANSLATE(B31780,""en"",""de"")"),"Der Kürbis wird jetzt fertig geschnitzt und erscheint auf einem schwarzen Bildschirm mit nur dem geschnitzten Bereich in orangefarbener Farbe.")</f>
        <v>Der Kürbis wird jetzt fertig geschnitzt und erscheint auf einem schwarzen Bildschirm mit nur dem geschnitzten Bereich in orangefarbener Farbe.</v>
      </c>
    </row>
    <row r="31781">
      <c r="A31781" s="4" t="s">
        <v>40003</v>
      </c>
      <c r="B31781" s="4" t="s">
        <v>40008</v>
      </c>
      <c r="C31781" s="5" t="str">
        <f>IFERROR(__xludf.DUMMYFUNCTION("GOOGLETRANSLATE(B31781,""en"",""de"")"),"Das Mädchen erscheint erneut, das weiße Papier hochhält, rennt aus dem Raum und der Bildschirm geht mit nur dem Kürbis auf Schwarz zurück.")</f>
        <v>Das Mädchen erscheint erneut, das weiße Papier hochhält, rennt aus dem Raum und der Bildschirm geht mit nur dem Kürbis auf Schwarz zurück.</v>
      </c>
    </row>
    <row r="31782">
      <c r="A31782" s="4" t="s">
        <v>40009</v>
      </c>
      <c r="B31782" s="4" t="s">
        <v>40010</v>
      </c>
      <c r="C31782" s="5" t="str">
        <f>IFERROR(__xludf.DUMMYFUNCTION("GOOGLETRANSLATE(B31782,""en"",""de"")"),"Ein großer Mann steht auf einer großen Matte, die vorwärts geht und zum Publikum schreit.")</f>
        <v>Ein großer Mann steht auf einer großen Matte, die vorwärts geht und zum Publikum schreit.</v>
      </c>
    </row>
    <row r="31783">
      <c r="A31783" s="4" t="s">
        <v>40009</v>
      </c>
      <c r="B31783" s="4" t="s">
        <v>40011</v>
      </c>
      <c r="C31783" s="5" t="str">
        <f>IFERROR(__xludf.DUMMYFUNCTION("GOOGLETRANSLATE(B31783,""en"",""de"")"),"Der Mann hebt dann die Stange hoch, dann zurück und schreit laut aus.")</f>
        <v>Der Mann hebt dann die Stange hoch, dann zurück und schreit laut aus.</v>
      </c>
    </row>
    <row r="31784">
      <c r="A31784" s="4" t="s">
        <v>40009</v>
      </c>
      <c r="B31784" s="4" t="s">
        <v>40012</v>
      </c>
      <c r="C31784" s="5" t="str">
        <f>IFERROR(__xludf.DUMMYFUNCTION("GOOGLETRANSLATE(B31784,""en"",""de"")"),"Die gleichen Clips werden unmittelbar danach erneut angezeigt.")</f>
        <v>Die gleichen Clips werden unmittelbar danach erneut angezeigt.</v>
      </c>
    </row>
    <row r="31785">
      <c r="A31785" s="4" t="s">
        <v>40013</v>
      </c>
      <c r="B31785" s="4" t="s">
        <v>40014</v>
      </c>
      <c r="C31785" s="5" t="str">
        <f>IFERROR(__xludf.DUMMYFUNCTION("GOOGLETRANSLATE(B31785,""en"",""de"")"),"Ein Mann spricht mit der Kamera, während er einen Schuh und einen Politur hochhält und auf Objekte zeigt.")</f>
        <v>Ein Mann spricht mit der Kamera, während er einen Schuh und einen Politur hochhält und auf Objekte zeigt.</v>
      </c>
    </row>
    <row r="31786">
      <c r="A31786" s="4" t="s">
        <v>40013</v>
      </c>
      <c r="B31786" s="4" t="s">
        <v>40015</v>
      </c>
      <c r="C31786" s="5" t="str">
        <f>IFERROR(__xludf.DUMMYFUNCTION("GOOGLETRANSLATE(B31786,""en"",""de"")"),"Der Mann reibt dann den Schuh mit einem Lappen ab, während die Kamera mehr Produkte vergrößert und mit der Kamera spricht.")</f>
        <v>Der Mann reibt dann den Schuh mit einem Lappen ab, während die Kamera mehr Produkte vergrößert und mit der Kamera spricht.</v>
      </c>
    </row>
    <row r="31787">
      <c r="A31787" s="4" t="s">
        <v>40016</v>
      </c>
      <c r="B31787" s="4" t="s">
        <v>40017</v>
      </c>
      <c r="C31787" s="5" t="str">
        <f>IFERROR(__xludf.DUMMYFUNCTION("GOOGLETRANSLATE(B31787,""en"",""de"")"),"Der Mann sitzt in einem weißen Raum, der Congas A Bongos spielt.")</f>
        <v>Der Mann sitzt in einem weißen Raum, der Congas A Bongos spielt.</v>
      </c>
    </row>
    <row r="31788">
      <c r="A31788" s="4" t="s">
        <v>40016</v>
      </c>
      <c r="B31788" s="4" t="s">
        <v>40018</v>
      </c>
      <c r="C31788" s="5" t="str">
        <f>IFERROR(__xludf.DUMMYFUNCTION("GOOGLETRANSLATE(B31788,""en"",""de"")"),"Der dicke Mann, der eine Brille trägt, sitzt auf einem Stuhl in einem weißen Raum.")</f>
        <v>Der dicke Mann, der eine Brille trägt, sitzt auf einem Stuhl in einem weißen Raum.</v>
      </c>
    </row>
    <row r="31789">
      <c r="A31789" s="4" t="s">
        <v>40016</v>
      </c>
      <c r="B31789" s="4" t="s">
        <v>40019</v>
      </c>
      <c r="C31789" s="5" t="str">
        <f>IFERROR(__xludf.DUMMYFUNCTION("GOOGLETRANSLATE(B31789,""en"",""de"")"),"Der Mann sitzt in einem Raum und spielt Salsa -Musik mit den Bongos.")</f>
        <v>Der Mann sitzt in einem Raum und spielt Salsa -Musik mit den Bongos.</v>
      </c>
    </row>
    <row r="31790">
      <c r="A31790" s="4" t="s">
        <v>40020</v>
      </c>
      <c r="B31790" s="4" t="s">
        <v>40021</v>
      </c>
      <c r="C31790" s="5" t="str">
        <f>IFERROR(__xludf.DUMMYFUNCTION("GOOGLETRANSLATE(B31790,""en"",""de"")"),"Frau klettern in einem Fitnessstudio auf eine Felswand und ein Mann zieht die Seile.")</f>
        <v>Frau klettern in einem Fitnessstudio auf eine Felswand und ein Mann zieht die Seile.</v>
      </c>
    </row>
    <row r="31791">
      <c r="A31791" s="4" t="s">
        <v>40020</v>
      </c>
      <c r="B31791" s="4" t="s">
        <v>40022</v>
      </c>
      <c r="C31791" s="5" t="str">
        <f>IFERROR(__xludf.DUMMYFUNCTION("GOOGLETRANSLATE(B31791,""en"",""de"")"),"Frau fängt an, von der Felswand abzusteigen.")</f>
        <v>Frau fängt an, von der Felswand abzusteigen.</v>
      </c>
    </row>
    <row r="31792">
      <c r="A31792" s="4" t="s">
        <v>40023</v>
      </c>
      <c r="B31792" s="4" t="s">
        <v>40024</v>
      </c>
      <c r="C31792" s="5" t="str">
        <f>IFERROR(__xludf.DUMMYFUNCTION("GOOGLETRANSLATE(B31792,""en"",""de"")"),"Ein Clip wird von einer Person auf einem Wake -Board angezeigt, die auf einigen Wellen fährt und ins Wasser kracht.")</f>
        <v>Ein Clip wird von einer Person auf einem Wake -Board angezeigt, die auf einigen Wellen fährt und ins Wasser kracht.</v>
      </c>
    </row>
    <row r="31793">
      <c r="A31793" s="4" t="s">
        <v>40023</v>
      </c>
      <c r="B31793" s="4" t="s">
        <v>40025</v>
      </c>
      <c r="C31793" s="5" t="str">
        <f>IFERROR(__xludf.DUMMYFUNCTION("GOOGLETRANSLATE(B31793,""en"",""de"")"),"Es werden einige weitere Clips von Menschen gezeigt, die auf den Wake Boards auf den Ozeanwellen fahren.")</f>
        <v>Es werden einige weitere Clips von Menschen gezeigt, die auf den Wake Boards auf den Ozeanwellen fahren.</v>
      </c>
    </row>
    <row r="31794">
      <c r="A31794" s="4" t="s">
        <v>40026</v>
      </c>
      <c r="B31794" s="4" t="s">
        <v>40027</v>
      </c>
      <c r="C31794" s="5" t="str">
        <f>IFERROR(__xludf.DUMMYFUNCTION("GOOGLETRANSLATE(B31794,""en"",""de"")"),"Ein Mädchen, das einen Schal trägt, spricht mit der Kamera und mischt verschiedene Zutaten in eine Schüssel.")</f>
        <v>Ein Mädchen, das einen Schal trägt, spricht mit der Kamera und mischt verschiedene Zutaten in eine Schüssel.</v>
      </c>
    </row>
    <row r="31795">
      <c r="A31795" s="4" t="s">
        <v>40026</v>
      </c>
      <c r="B31795" s="4" t="s">
        <v>40028</v>
      </c>
      <c r="C31795" s="5" t="str">
        <f>IFERROR(__xludf.DUMMYFUNCTION("GOOGLETRANSLATE(B31795,""en"",""de"")"),"Sie legt den Teig in separate Pfannen in Kreise und zeigt die Kekse, die sie nach dem Abschluss gemacht hat.")</f>
        <v>Sie legt den Teig in separate Pfannen in Kreise und zeigt die Kekse, die sie nach dem Abschluss gemacht hat.</v>
      </c>
    </row>
    <row r="31796">
      <c r="A31796" s="4" t="s">
        <v>40029</v>
      </c>
      <c r="B31796" s="4" t="s">
        <v>40030</v>
      </c>
      <c r="C31796" s="5" t="str">
        <f>IFERROR(__xludf.DUMMYFUNCTION("GOOGLETRANSLATE(B31796,""en"",""de"")"),"Ein Mann geht in Kreisen in der Mitte einer Menge.")</f>
        <v>Ein Mann geht in Kreisen in der Mitte einer Menge.</v>
      </c>
    </row>
    <row r="31797">
      <c r="A31797" s="4" t="s">
        <v>40029</v>
      </c>
      <c r="B31797" s="4" t="s">
        <v>40031</v>
      </c>
      <c r="C31797" s="5" t="str">
        <f>IFERROR(__xludf.DUMMYFUNCTION("GOOGLETRANSLATE(B31797,""en"",""de"")"),"Er beginnt den Tanz zu brechen.")</f>
        <v>Er beginnt den Tanz zu brechen.</v>
      </c>
    </row>
    <row r="31798">
      <c r="A31798" s="4" t="s">
        <v>40029</v>
      </c>
      <c r="B31798" s="4" t="s">
        <v>40032</v>
      </c>
      <c r="C31798" s="5" t="str">
        <f>IFERROR(__xludf.DUMMYFUNCTION("GOOGLETRANSLATE(B31798,""en"",""de"")"),"Es werden mehrere Clips von Männern unterbrochen, die an verschiedenen Orten tanzen, wenn sie für Menschenmassen umdrehen, drehen und auftreten.")</f>
        <v>Es werden mehrere Clips von Männern unterbrochen, die an verschiedenen Orten tanzen, wenn sie für Menschenmassen umdrehen, drehen und auftreten.</v>
      </c>
    </row>
    <row r="31799">
      <c r="A31799" s="4" t="s">
        <v>40033</v>
      </c>
      <c r="B31799" s="4" t="s">
        <v>40034</v>
      </c>
      <c r="C31799" s="5" t="str">
        <f>IFERROR(__xludf.DUMMYFUNCTION("GOOGLETRANSLATE(B31799,""en"",""de"")"),"Dort kleideten zwei Männer schottische Kilts und Kleidung im Hof.")</f>
        <v>Dort kleideten zwei Männer schottische Kilts und Kleidung im Hof.</v>
      </c>
    </row>
    <row r="31800">
      <c r="A31800" s="4" t="s">
        <v>40033</v>
      </c>
      <c r="B31800" s="4" t="s">
        <v>40035</v>
      </c>
      <c r="C31800" s="5" t="str">
        <f>IFERROR(__xludf.DUMMYFUNCTION("GOOGLETRANSLATE(B31800,""en"",""de"")"),"Einer der Männer spielt die Dudelsack und der andere spielt Schlagzeug.")</f>
        <v>Einer der Männer spielt die Dudelsack und der andere spielt Schlagzeug.</v>
      </c>
    </row>
    <row r="31801">
      <c r="A31801" s="4" t="s">
        <v>40033</v>
      </c>
      <c r="B31801" s="4" t="s">
        <v>40036</v>
      </c>
      <c r="C31801" s="5" t="str">
        <f>IFERROR(__xludf.DUMMYFUNCTION("GOOGLETRANSLATE(B31801,""en"",""de"")"),"Eine Frau, die Touristin geht, geht an ihnen vorbei, während sie weiter spielen.")</f>
        <v>Eine Frau, die Touristin geht, geht an ihnen vorbei, während sie weiter spielen.</v>
      </c>
    </row>
    <row r="31802">
      <c r="A31802" s="4" t="s">
        <v>40037</v>
      </c>
      <c r="B31802" s="4" t="s">
        <v>40038</v>
      </c>
      <c r="C31802" s="5" t="str">
        <f>IFERROR(__xludf.DUMMYFUNCTION("GOOGLETRANSLATE(B31802,""en"",""de"")"),"Ein leerer Pokertisch wird angezeigt, gefolgt von einer Frau, die mit Karten handelt und mit der Kamera spricht.")</f>
        <v>Ein leerer Pokertisch wird angezeigt, gefolgt von einer Frau, die mit Karten handelt und mit der Kamera spricht.</v>
      </c>
    </row>
    <row r="31803">
      <c r="A31803" s="4" t="s">
        <v>40037</v>
      </c>
      <c r="B31803" s="4" t="s">
        <v>40039</v>
      </c>
      <c r="C31803" s="5" t="str">
        <f>IFERROR(__xludf.DUMMYFUNCTION("GOOGLETRANSLATE(B31803,""en"",""de"")"),"Sie weist an, wie man das Spiel spielt, während sie gleichzeitig mit der Kamera spricht und lächelt.")</f>
        <v>Sie weist an, wie man das Spiel spielt, während sie gleichzeitig mit der Kamera spricht und lächelt.</v>
      </c>
    </row>
    <row r="31804">
      <c r="A31804" s="4" t="s">
        <v>40040</v>
      </c>
      <c r="B31804" s="4" t="s">
        <v>40041</v>
      </c>
      <c r="C31804" s="5" t="str">
        <f>IFERROR(__xludf.DUMMYFUNCTION("GOOGLETRANSLATE(B31804,""en"",""de"")"),"Ein Mann steht in einem Raum.")</f>
        <v>Ein Mann steht in einem Raum.</v>
      </c>
    </row>
    <row r="31805">
      <c r="A31805" s="4" t="s">
        <v>40040</v>
      </c>
      <c r="B31805" s="4" t="s">
        <v>40042</v>
      </c>
      <c r="C31805" s="5" t="str">
        <f>IFERROR(__xludf.DUMMYFUNCTION("GOOGLETRANSLATE(B31805,""en"",""de"")"),"Sie werfen Darts in ein Dartbrett.")</f>
        <v>Sie werfen Darts in ein Dartbrett.</v>
      </c>
    </row>
    <row r="31806">
      <c r="A31806" s="4" t="s">
        <v>40040</v>
      </c>
      <c r="B31806" s="4" t="s">
        <v>40043</v>
      </c>
      <c r="C31806" s="5" t="str">
        <f>IFERROR(__xludf.DUMMYFUNCTION("GOOGLETRANSLATE(B31806,""en"",""de"")"),"Eine Frau kommt dann und wirft Darts in ein Dartboard.")</f>
        <v>Eine Frau kommt dann und wirft Darts in ein Dartboard.</v>
      </c>
    </row>
    <row r="31807">
      <c r="A31807" s="4" t="s">
        <v>40044</v>
      </c>
      <c r="B31807" s="4" t="s">
        <v>40045</v>
      </c>
      <c r="C31807" s="5" t="str">
        <f>IFERROR(__xludf.DUMMYFUNCTION("GOOGLETRANSLATE(B31807,""en"",""de"")"),"Die Leute flohen in einem schlammigen Fluss, dann campen sie am Ufer, um sich auszuruhen und zu spielen.")</f>
        <v>Die Leute flohen in einem schlammigen Fluss, dann campen sie am Ufer, um sich auszuruhen und zu spielen.</v>
      </c>
    </row>
    <row r="31808">
      <c r="A31808" s="4" t="s">
        <v>40044</v>
      </c>
      <c r="B31808" s="4" t="s">
        <v>40046</v>
      </c>
      <c r="C31808" s="5" t="str">
        <f>IFERROR(__xludf.DUMMYFUNCTION("GOOGLETRANSLATE(B31808,""en"",""de"")"),"Dann rägt der Mann im Fluss und ein Mann fällt ins Wasser und seine Freunde retten ihn, dann räumen sie weiter.")</f>
        <v>Dann rägt der Mann im Fluss und ein Mann fällt ins Wasser und seine Freunde retten ihn, dann räumen sie weiter.</v>
      </c>
    </row>
    <row r="31809">
      <c r="A31809" s="4" t="s">
        <v>40044</v>
      </c>
      <c r="B31809" s="4" t="s">
        <v>40047</v>
      </c>
      <c r="C31809" s="5" t="str">
        <f>IFERROR(__xludf.DUMMYFUNCTION("GOOGLETRANSLATE(B31809,""en"",""de"")"),"Eine Frau und ein Mann stehen als nächstes ein Hubschrauber, dann fliegen der Hubschrauber.")</f>
        <v>Eine Frau und ein Mann stehen als nächstes ein Hubschrauber, dann fliegen der Hubschrauber.</v>
      </c>
    </row>
    <row r="31810">
      <c r="A31810" s="4" t="s">
        <v>40048</v>
      </c>
      <c r="B31810" s="4" t="s">
        <v>40049</v>
      </c>
      <c r="C31810" s="5" t="str">
        <f>IFERROR(__xludf.DUMMYFUNCTION("GOOGLETRANSLATE(B31810,""en"",""de"")"),"Ein Lagerfeuer brennt in der Nacht hell.")</f>
        <v>Ein Lagerfeuer brennt in der Nacht hell.</v>
      </c>
    </row>
    <row r="31811">
      <c r="A31811" s="4" t="s">
        <v>40048</v>
      </c>
      <c r="B31811" s="4" t="s">
        <v>40050</v>
      </c>
      <c r="C31811" s="5" t="str">
        <f>IFERROR(__xludf.DUMMYFUNCTION("GOOGLETRANSLATE(B31811,""en"",""de"")"),"Das Feuer wächst langsam an Größe.")</f>
        <v>Das Feuer wächst langsam an Größe.</v>
      </c>
    </row>
    <row r="31812">
      <c r="A31812" s="4" t="s">
        <v>40048</v>
      </c>
      <c r="B31812" s="4" t="s">
        <v>40051</v>
      </c>
      <c r="C31812" s="5" t="str">
        <f>IFERROR(__xludf.DUMMYFUNCTION("GOOGLETRANSLATE(B31812,""en"",""de"")"),"Die Szene wird heller und besser beleuchtet.")</f>
        <v>Die Szene wird heller und besser beleuchtet.</v>
      </c>
    </row>
    <row r="31813">
      <c r="A31813" s="4" t="s">
        <v>40048</v>
      </c>
      <c r="B31813" s="4" t="s">
        <v>40052</v>
      </c>
      <c r="C31813" s="5" t="str">
        <f>IFERROR(__xludf.DUMMYFUNCTION("GOOGLETRANSLATE(B31813,""en"",""de"")"),"Es gibt Bäume im Hintergrund.")</f>
        <v>Es gibt Bäume im Hintergrund.</v>
      </c>
    </row>
    <row r="31814">
      <c r="A31814" s="4" t="s">
        <v>40053</v>
      </c>
      <c r="B31814" s="4" t="s">
        <v>40054</v>
      </c>
      <c r="C31814" s="5" t="str">
        <f>IFERROR(__xludf.DUMMYFUNCTION("GOOGLETRANSLATE(B31814,""en"",""de"")"),"Eine Nahaufnahme einer Person führt in die Person, die ihre Hände beobachtet und sie mit Seife schrubbt.")</f>
        <v>Eine Nahaufnahme einer Person führt in die Person, die ihre Hände beobachtet und sie mit Seife schrubbt.</v>
      </c>
    </row>
    <row r="31815">
      <c r="A31815" s="4" t="s">
        <v>40053</v>
      </c>
      <c r="B31815" s="4" t="s">
        <v>40055</v>
      </c>
      <c r="C31815" s="5" t="str">
        <f>IFERROR(__xludf.DUMMYFUNCTION("GOOGLETRANSLATE(B31815,""en"",""de"")"),"Einem Mann wird gezeigt, der seine Hände in einem Waschbecken hochschrubbte, während er den richtigen Weg zeigt, um die Hände zu waschen und sie unter Wasser zu tauchen.")</f>
        <v>Einem Mann wird gezeigt, der seine Hände in einem Waschbecken hochschrubbte, während er den richtigen Weg zeigt, um die Hände zu waschen und sie unter Wasser zu tauchen.</v>
      </c>
    </row>
    <row r="31816">
      <c r="A31816" s="4" t="s">
        <v>40053</v>
      </c>
      <c r="B31816" s="4" t="s">
        <v>40056</v>
      </c>
      <c r="C31816" s="5" t="str">
        <f>IFERROR(__xludf.DUMMYFUNCTION("GOOGLETRANSLATE(B31816,""en"",""de"")"),"Der Mann trocknet es am Ende mit einem Lappen ab.")</f>
        <v>Der Mann trocknet es am Ende mit einem Lappen ab.</v>
      </c>
    </row>
    <row r="31817">
      <c r="A31817" s="4" t="s">
        <v>40057</v>
      </c>
      <c r="B31817" s="4" t="s">
        <v>40058</v>
      </c>
      <c r="C31817" s="5" t="str">
        <f>IFERROR(__xludf.DUMMYFUNCTION("GOOGLETRANSLATE(B31817,""en"",""de"")"),"Ein Auto fährt in eine Autowaschbucht.")</f>
        <v>Ein Auto fährt in eine Autowaschbucht.</v>
      </c>
    </row>
    <row r="31818">
      <c r="A31818" s="4" t="s">
        <v>40057</v>
      </c>
      <c r="B31818" s="4" t="s">
        <v>40059</v>
      </c>
      <c r="C31818" s="5" t="str">
        <f>IFERROR(__xludf.DUMMYFUNCTION("GOOGLETRANSLATE(B31818,""en"",""de"")"),"Der Fahrer steigt aus und steckt Geld in eine Maschine ein.")</f>
        <v>Der Fahrer steigt aus und steckt Geld in eine Maschine ein.</v>
      </c>
    </row>
    <row r="31819">
      <c r="A31819" s="4" t="s">
        <v>40057</v>
      </c>
      <c r="B31819" s="4" t="s">
        <v>40060</v>
      </c>
      <c r="C31819" s="5" t="str">
        <f>IFERROR(__xludf.DUMMYFUNCTION("GOOGLETRANSLATE(B31819,""en"",""de"")"),"Die Person wäscht dann ihr Auto mit einer Druckscheibe.")</f>
        <v>Die Person wäscht dann ihr Auto mit einer Druckscheibe.</v>
      </c>
    </row>
    <row r="31820">
      <c r="A31820" s="4" t="s">
        <v>40057</v>
      </c>
      <c r="B31820" s="4" t="s">
        <v>40061</v>
      </c>
      <c r="C31820" s="5" t="str">
        <f>IFERROR(__xludf.DUMMYFUNCTION("GOOGLETRANSLATE(B31820,""en"",""de"")"),"Wir sehen eine andere Maschine und eine Automaten.")</f>
        <v>Wir sehen eine andere Maschine und eine Automaten.</v>
      </c>
    </row>
    <row r="31821">
      <c r="A31821" s="4" t="s">
        <v>40062</v>
      </c>
      <c r="B31821" s="4" t="s">
        <v>40063</v>
      </c>
      <c r="C31821" s="5" t="str">
        <f>IFERROR(__xludf.DUMMYFUNCTION("GOOGLETRANSLATE(B31821,""en"",""de"")"),"Ein Mann steht neben einem Zaun, während die Kamera um den See in der Nähe schwenkt.")</f>
        <v>Ein Mann steht neben einem Zaun, während die Kamera um den See in der Nähe schwenkt.</v>
      </c>
    </row>
    <row r="31822">
      <c r="A31822" s="4" t="s">
        <v>40062</v>
      </c>
      <c r="B31822" s="4" t="s">
        <v>40064</v>
      </c>
      <c r="C31822" s="5" t="str">
        <f>IFERROR(__xludf.DUMMYFUNCTION("GOOGLETRANSLATE(B31822,""en"",""de"")"),"Der Mann beugt sich und malt den Zaun, während sich die Kamera auf eine Person konzentriert, die nach unten geht.")</f>
        <v>Der Mann beugt sich und malt den Zaun, während sich die Kamera auf eine Person konzentriert, die nach unten geht.</v>
      </c>
    </row>
    <row r="31823">
      <c r="A31823" s="4" t="s">
        <v>40062</v>
      </c>
      <c r="B31823" s="4" t="s">
        <v>40065</v>
      </c>
      <c r="C31823" s="5" t="str">
        <f>IFERROR(__xludf.DUMMYFUNCTION("GOOGLETRANSLATE(B31823,""en"",""de"")"),"Ein anderer Mann geht mit einem Eimer auf und hilft dem Mann, während der Kameramann sich weiter umsieht.")</f>
        <v>Ein anderer Mann geht mit einem Eimer auf und hilft dem Mann, während der Kameramann sich weiter umsieht.</v>
      </c>
    </row>
    <row r="31824">
      <c r="A31824" s="4" t="s">
        <v>40066</v>
      </c>
      <c r="B31824" s="4" t="s">
        <v>40067</v>
      </c>
      <c r="C31824" s="5" t="str">
        <f>IFERROR(__xludf.DUMMYFUNCTION("GOOGLETRANSLATE(B31824,""en"",""de"")"),"Ein Auto fährt durch schneebedeckte Straßen und Bäume, bevor er in eine Kabine ankommt.")</f>
        <v>Ein Auto fährt durch schneebedeckte Straßen und Bäume, bevor er in eine Kabine ankommt.</v>
      </c>
    </row>
    <row r="31825">
      <c r="A31825" s="4" t="s">
        <v>40066</v>
      </c>
      <c r="B31825" s="4" t="s">
        <v>40068</v>
      </c>
      <c r="C31825" s="5" t="str">
        <f>IFERROR(__xludf.DUMMYFUNCTION("GOOGLETRANSLATE(B31825,""en"",""de"")"),"Die Leute zogen Skier und werden gezeigt, wie sie das Hügel hinuntergehen, Skifahren.")</f>
        <v>Die Leute zogen Skier und werden gezeigt, wie sie das Hügel hinuntergehen, Skifahren.</v>
      </c>
    </row>
    <row r="31826">
      <c r="A31826" s="4" t="s">
        <v>40066</v>
      </c>
      <c r="B31826" s="4" t="s">
        <v>40069</v>
      </c>
      <c r="C31826" s="5" t="str">
        <f>IFERROR(__xludf.DUMMYFUNCTION("GOOGLETRANSLATE(B31826,""en"",""de"")"),"Sie werden weiterhin Skifahren, winken in die Kamera und zeigen nach enden ein endgültiges Panoramablick.")</f>
        <v>Sie werden weiterhin Skifahren, winken in die Kamera und zeigen nach enden ein endgültiges Panoramablick.</v>
      </c>
    </row>
    <row r="31827">
      <c r="A31827" s="4" t="s">
        <v>40070</v>
      </c>
      <c r="B31827" s="4" t="s">
        <v>40071</v>
      </c>
      <c r="C31827" s="5" t="str">
        <f>IFERROR(__xludf.DUMMYFUNCTION("GOOGLETRANSLATE(B31827,""en"",""de"")"),"Verschiedene Titelkarten blinken vor dem Bildschirm.")</f>
        <v>Verschiedene Titelkarten blinken vor dem Bildschirm.</v>
      </c>
    </row>
    <row r="31828">
      <c r="A31828" s="4" t="s">
        <v>40070</v>
      </c>
      <c r="B31828" s="4" t="s">
        <v>40072</v>
      </c>
      <c r="C31828" s="5" t="str">
        <f>IFERROR(__xludf.DUMMYFUNCTION("GOOGLETRANSLATE(B31828,""en"",""de"")"),"Wir sehen einen Hund und einen Mann mit einem Selfie -Stick, der ein Snowboard trägt.")</f>
        <v>Wir sehen einen Hund und einen Mann mit einem Selfie -Stick, der ein Snowboard trägt.</v>
      </c>
    </row>
    <row r="31829">
      <c r="A31829" s="4" t="s">
        <v>40070</v>
      </c>
      <c r="B31829" s="4" t="s">
        <v>40073</v>
      </c>
      <c r="C31829" s="5" t="str">
        <f>IFERROR(__xludf.DUMMYFUNCTION("GOOGLETRANSLATE(B31829,""en"",""de"")"),"Der Mann snowboarden und hält den Selfie -Stock.")</f>
        <v>Der Mann snowboarden und hält den Selfie -Stock.</v>
      </c>
    </row>
    <row r="31830">
      <c r="A31830" s="4" t="s">
        <v>40070</v>
      </c>
      <c r="B31830" s="4" t="s">
        <v>40074</v>
      </c>
      <c r="C31830" s="5" t="str">
        <f>IFERROR(__xludf.DUMMYFUNCTION("GOOGLETRANSLATE(B31830,""en"",""de"")"),"Der Mann spielt mit dem Hund und wir sehen, wie der Hund sich schließt.")</f>
        <v>Der Mann spielt mit dem Hund und wir sehen, wie der Hund sich schließt.</v>
      </c>
    </row>
    <row r="31831">
      <c r="A31831" s="4" t="s">
        <v>40070</v>
      </c>
      <c r="B31831" s="4" t="s">
        <v>40075</v>
      </c>
      <c r="C31831" s="5" t="str">
        <f>IFERROR(__xludf.DUMMYFUNCTION("GOOGLETRANSLATE(B31831,""en"",""de"")"),"Der Mann snowboarden bergab.")</f>
        <v>Der Mann snowboarden bergab.</v>
      </c>
    </row>
    <row r="31832">
      <c r="A31832" s="4" t="s">
        <v>40070</v>
      </c>
      <c r="B31832" s="4" t="s">
        <v>40076</v>
      </c>
      <c r="C31832" s="5" t="str">
        <f>IFERROR(__xludf.DUMMYFUNCTION("GOOGLETRANSLATE(B31832,""en"",""de"")"),"Er hält an, um seinen Hund erneut zu streicheln, bevor er erneut snowboarden.")</f>
        <v>Er hält an, um seinen Hund erneut zu streicheln, bevor er erneut snowboarden.</v>
      </c>
    </row>
    <row r="31833">
      <c r="A31833" s="4" t="s">
        <v>40070</v>
      </c>
      <c r="B31833" s="4" t="s">
        <v>40077</v>
      </c>
      <c r="C31833" s="5" t="str">
        <f>IFERROR(__xludf.DUMMYFUNCTION("GOOGLETRANSLATE(B31833,""en"",""de"")"),"Der Mann und der Hund gehen in einer Gegend mit wenig Schnee.")</f>
        <v>Der Mann und der Hund gehen in einer Gegend mit wenig Schnee.</v>
      </c>
    </row>
    <row r="31834">
      <c r="A31834" s="4" t="s">
        <v>40070</v>
      </c>
      <c r="B31834" s="4" t="s">
        <v>40078</v>
      </c>
      <c r="C31834" s="5" t="str">
        <f>IFERROR(__xludf.DUMMYFUNCTION("GOOGLETRANSLATE(B31834,""en"",""de"")"),"Der Mann montiert das Brett und die Snowboards, bevor er ihn in seinen LKW steckt.")</f>
        <v>Der Mann montiert das Brett und die Snowboards, bevor er ihn in seinen LKW steckt.</v>
      </c>
    </row>
    <row r="31835">
      <c r="A31835" s="4" t="s">
        <v>40070</v>
      </c>
      <c r="B31835" s="4" t="s">
        <v>40079</v>
      </c>
      <c r="C31835" s="5" t="str">
        <f>IFERROR(__xludf.DUMMYFUNCTION("GOOGLETRANSLATE(B31835,""en"",""de"")"),"Wir sehen den Gopro -Bildschirm.")</f>
        <v>Wir sehen den Gopro -Bildschirm.</v>
      </c>
    </row>
    <row r="31836">
      <c r="A31836" s="4" t="s">
        <v>40080</v>
      </c>
      <c r="B31836" s="4" t="s">
        <v>40081</v>
      </c>
      <c r="C31836" s="5" t="str">
        <f>IFERROR(__xludf.DUMMYFUNCTION("GOOGLETRANSLATE(B31836,""en"",""de"")"),"Ein Taucher schwimmt unter dem blauen Wasser.")</f>
        <v>Ein Taucher schwimmt unter dem blauen Wasser.</v>
      </c>
    </row>
    <row r="31837">
      <c r="A31837" s="4" t="s">
        <v>40080</v>
      </c>
      <c r="B31837" s="4" t="s">
        <v>40082</v>
      </c>
      <c r="C31837" s="5" t="str">
        <f>IFERROR(__xludf.DUMMYFUNCTION("GOOGLETRANSLATE(B31837,""en"",""de"")"),"Zwei Taucher, die ihren Sauerstoff tragen, befinden sich unter dem Wasser, sie halten am starken Seil fest.")</f>
        <v>Zwei Taucher, die ihren Sauerstoff tragen, befinden sich unter dem Wasser, sie halten am starken Seil fest.</v>
      </c>
    </row>
    <row r="31838">
      <c r="A31838" s="4" t="s">
        <v>40080</v>
      </c>
      <c r="B31838" s="4" t="s">
        <v>40083</v>
      </c>
      <c r="C31838" s="5" t="str">
        <f>IFERROR(__xludf.DUMMYFUNCTION("GOOGLETRANSLATE(B31838,""en"",""de"")"),"Die Taucher tauchen tiefer ins Wasser, sie schwimmen zu einem Korallenbett unter dem Wasser.")</f>
        <v>Die Taucher tauchen tiefer ins Wasser, sie schwimmen zu einem Korallenbett unter dem Wasser.</v>
      </c>
    </row>
    <row r="31839">
      <c r="A31839" s="4" t="s">
        <v>40080</v>
      </c>
      <c r="B31839" s="4" t="s">
        <v>40084</v>
      </c>
      <c r="C31839" s="5" t="str">
        <f>IFERROR(__xludf.DUMMYFUNCTION("GOOGLETRANSLATE(B31839,""en"",""de"")"),"Die Menschen reiten mit dem weißen Boot zum Ozean.")</f>
        <v>Die Menschen reiten mit dem weißen Boot zum Ozean.</v>
      </c>
    </row>
    <row r="31840">
      <c r="A31840" s="4" t="s">
        <v>40085</v>
      </c>
      <c r="B31840" s="4" t="s">
        <v>40086</v>
      </c>
      <c r="C31840" s="5" t="str">
        <f>IFERROR(__xludf.DUMMYFUNCTION("GOOGLETRANSLATE(B31840,""en"",""de"")"),"Ein weiblicher Turner bereitet sich darauf vor, die Bar zu montieren.")</f>
        <v>Ein weiblicher Turner bereitet sich darauf vor, die Bar zu montieren.</v>
      </c>
    </row>
    <row r="31841">
      <c r="A31841" s="4" t="s">
        <v>40085</v>
      </c>
      <c r="B31841" s="4" t="s">
        <v>40087</v>
      </c>
      <c r="C31841" s="5" t="str">
        <f>IFERROR(__xludf.DUMMYFUNCTION("GOOGLETRANSLATE(B31841,""en"",""de"")"),"Sie montiert und macht dann mehrere Handfedern, Vorwärtsflips und Rückenflips.")</f>
        <v>Sie montiert und macht dann mehrere Handfedern, Vorwärtsflips und Rückenflips.</v>
      </c>
    </row>
    <row r="31842">
      <c r="A31842" s="4" t="s">
        <v>40085</v>
      </c>
      <c r="B31842" s="4" t="s">
        <v>40088</v>
      </c>
      <c r="C31842" s="5" t="str">
        <f>IFERROR(__xludf.DUMMYFUNCTION("GOOGLETRANSLATE(B31842,""en"",""de"")"),"Dann steigt sie ab und wirft ihre Arme in die Luft.")</f>
        <v>Dann steigt sie ab und wirft ihre Arme in die Luft.</v>
      </c>
    </row>
    <row r="31843">
      <c r="A31843" s="4" t="s">
        <v>40089</v>
      </c>
      <c r="B31843" s="4" t="s">
        <v>40090</v>
      </c>
      <c r="C31843" s="5" t="str">
        <f>IFERROR(__xludf.DUMMYFUNCTION("GOOGLETRANSLATE(B31843,""en"",""de"")"),"Ein Kleinkind fährt in einem Spielplatz voller Menschen auf eine Rutsche, als das Kleinkind den Boden berührt, und rennt und rennt.")</f>
        <v>Ein Kleinkind fährt in einem Spielplatz voller Menschen auf eine Rutsche, als das Kleinkind den Boden berührt, und rennt und rennt.</v>
      </c>
    </row>
    <row r="31844">
      <c r="A31844" s="4" t="s">
        <v>40089</v>
      </c>
      <c r="B31844" s="4" t="s">
        <v>40091</v>
      </c>
      <c r="C31844" s="5" t="str">
        <f>IFERROR(__xludf.DUMMYFUNCTION("GOOGLETRANSLATE(B31844,""en"",""de"")"),"Plötzlich rennt ein Mann hinter dem Kleinkind.")</f>
        <v>Plötzlich rennt ein Mann hinter dem Kleinkind.</v>
      </c>
    </row>
    <row r="31845">
      <c r="A31845" s="4" t="s">
        <v>40092</v>
      </c>
      <c r="B31845" s="4" t="s">
        <v>40093</v>
      </c>
      <c r="C31845" s="5" t="str">
        <f>IFERROR(__xludf.DUMMYFUNCTION("GOOGLETRANSLATE(B31845,""en"",""de"")"),"Ein Mann in einem weißen Hemd hält ein Werkzeug in der Hand.")</f>
        <v>Ein Mann in einem weißen Hemd hält ein Werkzeug in der Hand.</v>
      </c>
    </row>
    <row r="31846">
      <c r="A31846" s="4" t="s">
        <v>40092</v>
      </c>
      <c r="B31846" s="4" t="s">
        <v>40094</v>
      </c>
      <c r="C31846" s="5" t="str">
        <f>IFERROR(__xludf.DUMMYFUNCTION("GOOGLETRANSLATE(B31846,""en"",""de"")"),"Er fängt an, Unkraut auf einem Feld abzuhacken.")</f>
        <v>Er fängt an, Unkraut auf einem Feld abzuhacken.</v>
      </c>
    </row>
    <row r="31847">
      <c r="A31847" s="4" t="s">
        <v>40092</v>
      </c>
      <c r="B31847" s="4" t="s">
        <v>40095</v>
      </c>
      <c r="C31847" s="5" t="str">
        <f>IFERROR(__xludf.DUMMYFUNCTION("GOOGLETRANSLATE(B31847,""en"",""de"")"),"Er stoppt und legt das Werkzeug gegen einen Zaun.")</f>
        <v>Er stoppt und legt das Werkzeug gegen einen Zaun.</v>
      </c>
    </row>
    <row r="31848">
      <c r="A31848" s="4" t="s">
        <v>40096</v>
      </c>
      <c r="B31848" s="4" t="s">
        <v>40097</v>
      </c>
      <c r="C31848" s="5" t="str">
        <f>IFERROR(__xludf.DUMMYFUNCTION("GOOGLETRANSLATE(B31848,""en"",""de"")"),"Das Rennen beginnt, einer der Rennfahrer hat einen riesigen Vorsprung, bevor der andere sich überhaupt bewegt.")</f>
        <v>Das Rennen beginnt, einer der Rennfahrer hat einen riesigen Vorsprung, bevor der andere sich überhaupt bewegt.</v>
      </c>
    </row>
    <row r="31849">
      <c r="A31849" s="4" t="s">
        <v>40096</v>
      </c>
      <c r="B31849" s="4" t="s">
        <v>40098</v>
      </c>
      <c r="C31849" s="5" t="str">
        <f>IFERROR(__xludf.DUMMYFUNCTION("GOOGLETRANSLATE(B31849,""en"",""de"")"),"Sie beginnen wieder zu laufen, aber diesmal nimmt der Mann, der den Vorsprung hatte, seine Zeit und der Mann im Blauen läuft schnell und springt in den Sand.")</f>
        <v>Sie beginnen wieder zu laufen, aber diesmal nimmt der Mann, der den Vorsprung hatte, seine Zeit und der Mann im Blauen läuft schnell und springt in den Sand.</v>
      </c>
    </row>
    <row r="31850">
      <c r="A31850" s="4" t="s">
        <v>40096</v>
      </c>
      <c r="B31850" s="4" t="s">
        <v>40099</v>
      </c>
      <c r="C31850" s="5" t="str">
        <f>IFERROR(__xludf.DUMMYFUNCTION("GOOGLETRANSLATE(B31850,""en"",""de"")"),"Er rennt und springt wieder, diesmal zeigen sie es wieder in Zeitlupe.")</f>
        <v>Er rennt und springt wieder, diesmal zeigen sie es wieder in Zeitlupe.</v>
      </c>
    </row>
    <row r="31851">
      <c r="A31851" s="4" t="s">
        <v>40096</v>
      </c>
      <c r="B31851" s="4" t="s">
        <v>40100</v>
      </c>
      <c r="C31851" s="5" t="str">
        <f>IFERROR(__xludf.DUMMYFUNCTION("GOOGLETRANSLATE(B31851,""en"",""de"")"),"Er übt einfach seinen Lauf und springt immer wieder und versucht, es perfekt zu machen.")</f>
        <v>Er übt einfach seinen Lauf und springt immer wieder und versucht, es perfekt zu machen.</v>
      </c>
    </row>
    <row r="31852">
      <c r="A31852" s="4" t="s">
        <v>40101</v>
      </c>
      <c r="B31852" s="4" t="s">
        <v>40102</v>
      </c>
      <c r="C31852" s="5" t="str">
        <f>IFERROR(__xludf.DUMMYFUNCTION("GOOGLETRANSLATE(B31852,""en"",""de"")"),"Die Leute klingen Treppenabten.")</f>
        <v>Die Leute klingen Treppenabten.</v>
      </c>
    </row>
    <row r="31853">
      <c r="A31853" s="4" t="s">
        <v>40101</v>
      </c>
      <c r="B31853" s="4" t="s">
        <v>40103</v>
      </c>
      <c r="C31853" s="5" t="str">
        <f>IFERROR(__xludf.DUMMYFUNCTION("GOOGLETRANSLATE(B31853,""en"",""de"")"),"Eine Person fällt auf die Straße.")</f>
        <v>Eine Person fällt auf die Straße.</v>
      </c>
    </row>
    <row r="31854">
      <c r="A31854" s="4" t="s">
        <v>40101</v>
      </c>
      <c r="B31854" s="4" t="s">
        <v>40104</v>
      </c>
      <c r="C31854" s="5" t="str">
        <f>IFERROR(__xludf.DUMMYFUNCTION("GOOGLETRANSLATE(B31854,""en"",""de"")"),"Ein Schulbus ist hinter ihnen auf der Straße.")</f>
        <v>Ein Schulbus ist hinter ihnen auf der Straße.</v>
      </c>
    </row>
    <row r="31855">
      <c r="A31855" s="4" t="s">
        <v>40105</v>
      </c>
      <c r="B31855" s="4" t="s">
        <v>40106</v>
      </c>
      <c r="C31855" s="5" t="str">
        <f>IFERROR(__xludf.DUMMYFUNCTION("GOOGLETRANSLATE(B31855,""en"",""de"")"),"Eine Frau steht im Kreis auf einem Feld.")</f>
        <v>Eine Frau steht im Kreis auf einem Feld.</v>
      </c>
    </row>
    <row r="31856">
      <c r="A31856" s="4" t="s">
        <v>40105</v>
      </c>
      <c r="B31856" s="4" t="s">
        <v>40107</v>
      </c>
      <c r="C31856" s="5" t="str">
        <f>IFERROR(__xludf.DUMMYFUNCTION("GOOGLETRANSLATE(B31856,""en"",""de"")"),"Sie dreht sich, während sie eine Scheibe hält.")</f>
        <v>Sie dreht sich, während sie eine Scheibe hält.</v>
      </c>
    </row>
    <row r="31857">
      <c r="A31857" s="4" t="s">
        <v>40105</v>
      </c>
      <c r="B31857" s="4" t="s">
        <v>40108</v>
      </c>
      <c r="C31857" s="5" t="str">
        <f>IFERROR(__xludf.DUMMYFUNCTION("GOOGLETRANSLATE(B31857,""en"",""de"")"),"Sie lässt versehentlich los und die Scheibe fliegt hinter ihr aus.")</f>
        <v>Sie lässt versehentlich los und die Scheibe fliegt hinter ihr aus.</v>
      </c>
    </row>
    <row r="31858">
      <c r="A31858" s="4" t="s">
        <v>40109</v>
      </c>
      <c r="B31858" s="4" t="s">
        <v>40110</v>
      </c>
      <c r="C31858" s="5" t="str">
        <f>IFERROR(__xludf.DUMMYFUNCTION("GOOGLETRANSLATE(B31858,""en"",""de"")"),"Ein junges Mädchen spielt ein Saxophon, während er zur Kamera schaut und ihre Hände auf und ab bewegt.")</f>
        <v>Ein junges Mädchen spielt ein Saxophon, während er zur Kamera schaut und ihre Hände auf und ab bewegt.</v>
      </c>
    </row>
    <row r="31859">
      <c r="A31859" s="4" t="s">
        <v>40109</v>
      </c>
      <c r="B31859" s="4" t="s">
        <v>40111</v>
      </c>
      <c r="C31859" s="5" t="str">
        <f>IFERROR(__xludf.DUMMYFUNCTION("GOOGLETRANSLATE(B31859,""en"",""de"")"),"Die Frau spielt weiterhin das Instrument und endet, indem sie die Kamera ausschaltet.")</f>
        <v>Die Frau spielt weiterhin das Instrument und endet, indem sie die Kamera ausschaltet.</v>
      </c>
    </row>
    <row r="31860">
      <c r="A31860" s="4" t="s">
        <v>40112</v>
      </c>
      <c r="B31860" s="4" t="s">
        <v>40113</v>
      </c>
      <c r="C31860" s="5" t="str">
        <f>IFERROR(__xludf.DUMMYFUNCTION("GOOGLETRANSLATE(B31860,""en"",""de"")"),"Wir sehen Männer, die Instrumente auf einem Platz spielen.")</f>
        <v>Wir sehen Männer, die Instrumente auf einem Platz spielen.</v>
      </c>
    </row>
    <row r="31861">
      <c r="A31861" s="4" t="s">
        <v>40112</v>
      </c>
      <c r="B31861" s="4" t="s">
        <v>40114</v>
      </c>
      <c r="C31861" s="5" t="str">
        <f>IFERROR(__xludf.DUMMYFUNCTION("GOOGLETRANSLATE(B31861,""en"",""de"")"),"Der Frontmann dreht sich zu den Männern hinter ihm um.")</f>
        <v>Der Frontmann dreht sich zu den Männern hinter ihm um.</v>
      </c>
    </row>
    <row r="31862">
      <c r="A31862" s="4" t="s">
        <v>40112</v>
      </c>
      <c r="B31862" s="4" t="s">
        <v>40115</v>
      </c>
      <c r="C31862" s="5" t="str">
        <f>IFERROR(__xludf.DUMMYFUNCTION("GOOGLETRANSLATE(B31862,""en"",""de"")"),"Der Mann vor dem Mikrofon greift das Mikrofon.")</f>
        <v>Der Mann vor dem Mikrofon greift das Mikrofon.</v>
      </c>
    </row>
    <row r="31863">
      <c r="A31863" s="4" t="s">
        <v>40112</v>
      </c>
      <c r="B31863" s="4" t="s">
        <v>40116</v>
      </c>
      <c r="C31863" s="5" t="str">
        <f>IFERROR(__xludf.DUMMYFUNCTION("GOOGLETRANSLATE(B31863,""en"",""de"")"),"Die Band beendet ihre Instrumente.")</f>
        <v>Die Band beendet ihre Instrumente.</v>
      </c>
    </row>
    <row r="31864">
      <c r="A31864" s="4" t="s">
        <v>40117</v>
      </c>
      <c r="B31864" s="4" t="s">
        <v>40118</v>
      </c>
      <c r="C31864" s="5" t="str">
        <f>IFERROR(__xludf.DUMMYFUNCTION("GOOGLETRANSLATE(B31864,""en"",""de"")"),"Auf einem großen Feld gibt es ein Lacrosse -Team, das ein Spiel spielt, sie bewegen sich alle strategisch.")</f>
        <v>Auf einem großen Feld gibt es ein Lacrosse -Team, das ein Spiel spielt, sie bewegen sich alle strategisch.</v>
      </c>
    </row>
    <row r="31865">
      <c r="A31865" s="4" t="s">
        <v>40117</v>
      </c>
      <c r="B31865" s="4" t="s">
        <v>40119</v>
      </c>
      <c r="C31865" s="5" t="str">
        <f>IFERROR(__xludf.DUMMYFUNCTION("GOOGLETRANSLATE(B31865,""en"",""de"")"),"Sie werfen den Ball und versuchen, das Ziel zu erreichen, während das andere Team versucht, sie zu blockieren.")</f>
        <v>Sie werfen den Ball und versuchen, das Ziel zu erreichen, während das andere Team versucht, sie zu blockieren.</v>
      </c>
    </row>
    <row r="31866">
      <c r="A31866" s="4" t="s">
        <v>40117</v>
      </c>
      <c r="B31866" s="4" t="s">
        <v>40120</v>
      </c>
      <c r="C31866" s="5" t="str">
        <f>IFERROR(__xludf.DUMMYFUNCTION("GOOGLETRANSLATE(B31866,""en"",""de"")"),"Sie rennen um Sie herum können Pfeile sehen, um darauf hinzuweisen, was hier und da vor sich geht.")</f>
        <v>Sie rennen um Sie herum können Pfeile sehen, um darauf hinzuweisen, was hier und da vor sich geht.</v>
      </c>
    </row>
    <row r="31867">
      <c r="A31867" s="4" t="s">
        <v>40117</v>
      </c>
      <c r="B31867" s="4" t="s">
        <v>40121</v>
      </c>
      <c r="C31867" s="5" t="str">
        <f>IFERROR(__xludf.DUMMYFUNCTION("GOOGLETRANSLATE(B31867,""en"",""de"")"),"Es ist ein sehr physischer und praktischer Sport, der Ausdauer und Energie erfordert.")</f>
        <v>Es ist ein sehr physischer und praktischer Sport, der Ausdauer und Energie erfordert.</v>
      </c>
    </row>
    <row r="31868">
      <c r="A31868" s="4" t="s">
        <v>40122</v>
      </c>
      <c r="B31868" s="4" t="s">
        <v>40123</v>
      </c>
      <c r="C31868" s="5" t="str">
        <f>IFERROR(__xludf.DUMMYFUNCTION("GOOGLETRANSLATE(B31868,""en"",""de"")"),"Ein Typ mit Beinerweiterungen treten ein.")</f>
        <v>Ein Typ mit Beinerweiterungen treten ein.</v>
      </c>
    </row>
    <row r="31869">
      <c r="A31869" s="4" t="s">
        <v>40122</v>
      </c>
      <c r="B31869" s="4" t="s">
        <v>40124</v>
      </c>
      <c r="C31869" s="5" t="str">
        <f>IFERROR(__xludf.DUMMYFUNCTION("GOOGLETRANSLATE(B31869,""en"",""de"")"),"Der Typ hüpft und dreht sich auf ein Trampolin.")</f>
        <v>Der Typ hüpft und dreht sich auf ein Trampolin.</v>
      </c>
    </row>
    <row r="31870">
      <c r="A31870" s="4" t="s">
        <v>40122</v>
      </c>
      <c r="B31870" s="4" t="s">
        <v>40125</v>
      </c>
      <c r="C31870" s="5" t="str">
        <f>IFERROR(__xludf.DUMMYFUNCTION("GOOGLETRANSLATE(B31870,""en"",""de"")"),"Ein Mann und eine Frau entfernen einen Ansatz aus einem Kabel und befestigen Sie eine andere.")</f>
        <v>Ein Mann und eine Frau entfernen einen Ansatz aus einem Kabel und befestigen Sie eine andere.</v>
      </c>
    </row>
    <row r="31871">
      <c r="A31871" s="4" t="s">
        <v>40122</v>
      </c>
      <c r="B31871" s="4" t="s">
        <v>40126</v>
      </c>
      <c r="C31871" s="5" t="str">
        <f>IFERROR(__xludf.DUMMYFUNCTION("GOOGLETRANSLATE(B31871,""en"",""de"")"),"Die Kabel werden angehoben.")</f>
        <v>Die Kabel werden angehoben.</v>
      </c>
    </row>
    <row r="31872">
      <c r="A31872" s="4" t="s">
        <v>40122</v>
      </c>
      <c r="B31872" s="4" t="s">
        <v>40127</v>
      </c>
      <c r="C31872" s="5" t="str">
        <f>IFERROR(__xludf.DUMMYFUNCTION("GOOGLETRANSLATE(B31872,""en"",""de"")"),"Der Mann und die Frau entfernen das, was sie aus dem Trampolin entfernten und gehen.")</f>
        <v>Der Mann und die Frau entfernen das, was sie aus dem Trampolin entfernten und gehen.</v>
      </c>
    </row>
    <row r="31873">
      <c r="A31873" s="4" t="s">
        <v>40122</v>
      </c>
      <c r="B31873" s="4" t="s">
        <v>40128</v>
      </c>
      <c r="C31873" s="5" t="str">
        <f>IFERROR(__xludf.DUMMYFUNCTION("GOOGLETRANSLATE(B31873,""en"",""de"")"),"Der Typ mit Beinerweiterungen blätter.")</f>
        <v>Der Typ mit Beinerweiterungen blätter.</v>
      </c>
    </row>
    <row r="31874">
      <c r="A31874" s="4" t="s">
        <v>40122</v>
      </c>
      <c r="B31874" s="4" t="s">
        <v>40129</v>
      </c>
      <c r="C31874" s="5" t="str">
        <f>IFERROR(__xludf.DUMMYFUNCTION("GOOGLETRANSLATE(B31874,""en"",""de"")"),"Zwei Personen betreten mit einem Stuhl und Eimer.")</f>
        <v>Zwei Personen betreten mit einem Stuhl und Eimer.</v>
      </c>
    </row>
    <row r="31875">
      <c r="A31875" s="4" t="s">
        <v>40130</v>
      </c>
      <c r="B31875" s="4" t="s">
        <v>40131</v>
      </c>
      <c r="C31875" s="5" t="str">
        <f>IFERROR(__xludf.DUMMYFUNCTION("GOOGLETRANSLATE(B31875,""en"",""de"")"),"Ein Taucher schwimmt bei einem Videospiel durch das Wasser.")</f>
        <v>Ein Taucher schwimmt bei einem Videospiel durch das Wasser.</v>
      </c>
    </row>
    <row r="31876">
      <c r="A31876" s="4" t="s">
        <v>40130</v>
      </c>
      <c r="B31876" s="4" t="s">
        <v>40132</v>
      </c>
      <c r="C31876" s="5" t="str">
        <f>IFERROR(__xludf.DUMMYFUNCTION("GOOGLETRANSLATE(B31876,""en"",""de"")"),"Sie schauen durch Trümmer eines alten Schiffes.")</f>
        <v>Sie schauen durch Trümmer eines alten Schiffes.</v>
      </c>
    </row>
    <row r="31877">
      <c r="A31877" s="4" t="s">
        <v>40130</v>
      </c>
      <c r="B31877" s="4" t="s">
        <v>40133</v>
      </c>
      <c r="C31877" s="5" t="str">
        <f>IFERROR(__xludf.DUMMYFUNCTION("GOOGLETRANSLATE(B31877,""en"",""de"")"),"Sie steigen in ihr Boot und fahren.")</f>
        <v>Sie steigen in ihr Boot und fahren.</v>
      </c>
    </row>
    <row r="31878">
      <c r="A31878" s="4" t="s">
        <v>40130</v>
      </c>
      <c r="B31878" s="4" t="s">
        <v>40134</v>
      </c>
      <c r="C31878" s="5" t="str">
        <f>IFERROR(__xludf.DUMMYFUNCTION("GOOGLETRANSLATE(B31878,""en"",""de"")"),"Sie springen wieder unter das Wasser.")</f>
        <v>Sie springen wieder unter das Wasser.</v>
      </c>
    </row>
    <row r="31879">
      <c r="A31879" s="4" t="s">
        <v>40135</v>
      </c>
      <c r="B31879" s="4" t="s">
        <v>40136</v>
      </c>
      <c r="C31879" s="5" t="str">
        <f>IFERROR(__xludf.DUMMYFUNCTION("GOOGLETRANSLATE(B31879,""en"",""de"")"),"Ein Mann bereitet sich darauf vor, entlang einer Indoor -Strecke zu rennen.")</f>
        <v>Ein Mann bereitet sich darauf vor, entlang einer Indoor -Strecke zu rennen.</v>
      </c>
    </row>
    <row r="31880">
      <c r="A31880" s="4" t="s">
        <v>40135</v>
      </c>
      <c r="B31880" s="4" t="s">
        <v>40137</v>
      </c>
      <c r="C31880" s="5" t="str">
        <f>IFERROR(__xludf.DUMMYFUNCTION("GOOGLETRANSLATE(B31880,""en"",""de"")"),"Er rennt und macht sehr große Fortschritte.")</f>
        <v>Er rennt und macht sehr große Fortschritte.</v>
      </c>
    </row>
    <row r="31881">
      <c r="A31881" s="4" t="s">
        <v>40135</v>
      </c>
      <c r="B31881" s="4" t="s">
        <v>40138</v>
      </c>
      <c r="C31881" s="5" t="str">
        <f>IFERROR(__xludf.DUMMYFUNCTION("GOOGLETRANSLATE(B31881,""en"",""de"")"),"Er springt unbeholfen in den Sand und landet auf seinem Gesicht.")</f>
        <v>Er springt unbeholfen in den Sand und landet auf seinem Gesicht.</v>
      </c>
    </row>
    <row r="31882">
      <c r="A31882" s="4" t="s">
        <v>40139</v>
      </c>
      <c r="B31882" s="4" t="s">
        <v>40140</v>
      </c>
      <c r="C31882" s="5" t="str">
        <f>IFERROR(__xludf.DUMMYFUNCTION("GOOGLETRANSLATE(B31882,""en"",""de"")"),"Es gibt einen jungen Mann, der eine blaue Jacke und ein weißes Hemd in der Nähe einer Wand mit weißen Badezimmerfliesen trägt.")</f>
        <v>Es gibt einen jungen Mann, der eine blaue Jacke und ein weißes Hemd in der Nähe einer Wand mit weißen Badezimmerfliesen trägt.</v>
      </c>
    </row>
    <row r="31883">
      <c r="A31883" s="4" t="s">
        <v>40139</v>
      </c>
      <c r="B31883" s="4" t="s">
        <v>40141</v>
      </c>
      <c r="C31883" s="5" t="str">
        <f>IFERROR(__xludf.DUMMYFUNCTION("GOOGLETRANSLATE(B31883,""en"",""de"")"),"Er raucht eine Zigarette.")</f>
        <v>Er raucht eine Zigarette.</v>
      </c>
    </row>
    <row r="31884">
      <c r="A31884" s="4" t="s">
        <v>40139</v>
      </c>
      <c r="B31884" s="4" t="s">
        <v>40142</v>
      </c>
      <c r="C31884" s="5" t="str">
        <f>IFERROR(__xludf.DUMMYFUNCTION("GOOGLETRANSLATE(B31884,""en"",""de"")"),"Er nimmt weiterhin mehrere Puffs der Zigarette, als er die Asche der verbrannten Zigarette an der Seite leert.")</f>
        <v>Er nimmt weiterhin mehrere Puffs der Zigarette, als er die Asche der verbrannten Zigarette an der Seite leert.</v>
      </c>
    </row>
    <row r="31885">
      <c r="A31885" s="4" t="s">
        <v>40139</v>
      </c>
      <c r="B31885" s="4" t="s">
        <v>40143</v>
      </c>
      <c r="C31885" s="5" t="str">
        <f>IFERROR(__xludf.DUMMYFUNCTION("GOOGLETRANSLATE(B31885,""en"",""de"")"),"Er sieht ein bisschen verwirrt aus, als er die Zigarette weiter raucht.")</f>
        <v>Er sieht ein bisschen verwirrt aus, als er die Zigarette weiter raucht.</v>
      </c>
    </row>
    <row r="31886">
      <c r="A31886" s="4" t="s">
        <v>40144</v>
      </c>
      <c r="B31886" s="4" t="s">
        <v>40145</v>
      </c>
      <c r="C31886" s="5" t="str">
        <f>IFERROR(__xludf.DUMMYFUNCTION("GOOGLETRANSLATE(B31886,""en"",""de"")"),"Drei Menschen stehen auf einem sandigen Feld und führen zu einem Tor.")</f>
        <v>Drei Menschen stehen auf einem sandigen Feld und führen zu einem Tor.</v>
      </c>
    </row>
    <row r="31887">
      <c r="A31887" s="4" t="s">
        <v>40144</v>
      </c>
      <c r="B31887" s="4" t="s">
        <v>40146</v>
      </c>
      <c r="C31887" s="5" t="str">
        <f>IFERROR(__xludf.DUMMYFUNCTION("GOOGLETRANSLATE(B31887,""en"",""de"")"),"Die Männer feiern, während sein Clip mehrmals wieder gezeigt wird.")</f>
        <v>Die Männer feiern, während sein Clip mehrmals wieder gezeigt wird.</v>
      </c>
    </row>
    <row r="31888">
      <c r="A31888" s="4" t="s">
        <v>40144</v>
      </c>
      <c r="B31888" s="4" t="s">
        <v>40147</v>
      </c>
      <c r="C31888" s="5" t="str">
        <f>IFERROR(__xludf.DUMMYFUNCTION("GOOGLETRANSLATE(B31888,""en"",""de"")"),"Die Männer feiern weiter und beginnen wieder zu spielen.")</f>
        <v>Die Männer feiern weiter und beginnen wieder zu spielen.</v>
      </c>
    </row>
    <row r="31889">
      <c r="A31889" s="4" t="s">
        <v>40148</v>
      </c>
      <c r="B31889" s="4" t="s">
        <v>40149</v>
      </c>
      <c r="C31889" s="5" t="str">
        <f>IFERROR(__xludf.DUMMYFUNCTION("GOOGLETRANSLATE(B31889,""en"",""de"")"),"Eine Dame wischt sich Lippenstift von ihrem Gesicht ab.")</f>
        <v>Eine Dame wischt sich Lippenstift von ihrem Gesicht ab.</v>
      </c>
    </row>
    <row r="31890">
      <c r="A31890" s="4" t="s">
        <v>40148</v>
      </c>
      <c r="B31890" s="4" t="s">
        <v>40150</v>
      </c>
      <c r="C31890" s="5" t="str">
        <f>IFERROR(__xludf.DUMMYFUNCTION("GOOGLETRANSLATE(B31890,""en"",""de"")"),"Die Dame setzt dann ihre Lippen mit einem Bleistift.")</f>
        <v>Die Dame setzt dann ihre Lippen mit einem Bleistift.</v>
      </c>
    </row>
    <row r="31891">
      <c r="A31891" s="4" t="s">
        <v>40148</v>
      </c>
      <c r="B31891" s="4" t="s">
        <v>40151</v>
      </c>
      <c r="C31891" s="5" t="str">
        <f>IFERROR(__xludf.DUMMYFUNCTION("GOOGLETRANSLATE(B31891,""en"",""de"")"),"Die Dame hält an und passt die Kamera an.")</f>
        <v>Die Dame hält an und passt die Kamera an.</v>
      </c>
    </row>
    <row r="31892">
      <c r="A31892" s="4" t="s">
        <v>40148</v>
      </c>
      <c r="B31892" s="4" t="s">
        <v>40152</v>
      </c>
      <c r="C31892" s="5" t="str">
        <f>IFERROR(__xludf.DUMMYFUNCTION("GOOGLETRANSLATE(B31892,""en"",""de"")"),"Die Kamera bewegt sich und wir sehen einen Mann neben der Dame.")</f>
        <v>Die Kamera bewegt sich und wir sehen einen Mann neben der Dame.</v>
      </c>
    </row>
    <row r="31893">
      <c r="A31893" s="4" t="s">
        <v>40148</v>
      </c>
      <c r="B31893" s="4" t="s">
        <v>40153</v>
      </c>
      <c r="C31893" s="5" t="str">
        <f>IFERROR(__xludf.DUMMYFUNCTION("GOOGLETRANSLATE(B31893,""en"",""de"")"),"Die Dame repariert ihre Haare in der Kamera.")</f>
        <v>Die Dame repariert ihre Haare in der Kamera.</v>
      </c>
    </row>
    <row r="31894">
      <c r="A31894" s="4" t="s">
        <v>40154</v>
      </c>
      <c r="B31894" s="4" t="s">
        <v>40155</v>
      </c>
      <c r="C31894" s="5" t="str">
        <f>IFERROR(__xludf.DUMMYFUNCTION("GOOGLETRANSLATE(B31894,""en"",""de"")"),"Ein Mann steht vor einem Spülbecken und waschen Geschirr in den Händen.")</f>
        <v>Ein Mann steht vor einem Spülbecken und waschen Geschirr in den Händen.</v>
      </c>
    </row>
    <row r="31895">
      <c r="A31895" s="4" t="s">
        <v>40154</v>
      </c>
      <c r="B31895" s="4" t="s">
        <v>40156</v>
      </c>
      <c r="C31895" s="5" t="str">
        <f>IFERROR(__xludf.DUMMYFUNCTION("GOOGLETRANSLATE(B31895,""en"",""de"")"),"Der Mann reinigt dann das Geschirr und legt sie weg und schaut dann verärgert, um mehr Gerichte zu sehen.")</f>
        <v>Der Mann reinigt dann das Geschirr und legt sie weg und schaut dann verärgert, um mehr Gerichte zu sehen.</v>
      </c>
    </row>
    <row r="31896">
      <c r="A31896" s="4" t="s">
        <v>40157</v>
      </c>
      <c r="B31896" s="4" t="s">
        <v>40158</v>
      </c>
      <c r="C31896" s="5" t="str">
        <f>IFERROR(__xludf.DUMMYFUNCTION("GOOGLETRANSLATE(B31896,""en"",""de"")"),"Eine junge Frau trägt einen Zebra -Strampler, der auf ihrem Bett sitzt und eine Shisha raucht.")</f>
        <v>Eine junge Frau trägt einen Zebra -Strampler, der auf ihrem Bett sitzt und eine Shisha raucht.</v>
      </c>
    </row>
    <row r="31897">
      <c r="A31897" s="4" t="s">
        <v>40157</v>
      </c>
      <c r="B31897" s="4" t="s">
        <v>40159</v>
      </c>
      <c r="C31897" s="5" t="str">
        <f>IFERROR(__xludf.DUMMYFUNCTION("GOOGLETRANSLATE(B31897,""en"",""de"")"),"Sie nimmt zwei Puffs, atmet den Rauch aus und ein Funke fliegt vom Ende der Röhre.")</f>
        <v>Sie nimmt zwei Puffs, atmet den Rauch aus und ein Funke fliegt vom Ende der Röhre.</v>
      </c>
    </row>
    <row r="31898">
      <c r="A31898" s="4" t="s">
        <v>40157</v>
      </c>
      <c r="B31898" s="4" t="s">
        <v>40160</v>
      </c>
      <c r="C31898" s="5" t="str">
        <f>IFERROR(__xludf.DUMMYFUNCTION("GOOGLETRANSLATE(B31898,""en"",""de"")"),"Der Mann hinter der Kamera wechselt und beginnt dann die Shisha zu rauchen, wenn das Mädchen aufgenommen wird.")</f>
        <v>Der Mann hinter der Kamera wechselt und beginnt dann die Shisha zu rauchen, wenn das Mädchen aufgenommen wird.</v>
      </c>
    </row>
    <row r="31899">
      <c r="A31899" s="4" t="s">
        <v>40157</v>
      </c>
      <c r="B31899" s="4" t="s">
        <v>40161</v>
      </c>
      <c r="C31899" s="5" t="str">
        <f>IFERROR(__xludf.DUMMYFUNCTION("GOOGLETRANSLATE(B31899,""en"",""de"")"),"Sobald er fertig ist, wird die Shisha dem Mädchen zurückgegeben und sie beginnt zu rauchen.")</f>
        <v>Sobald er fertig ist, wird die Shisha dem Mädchen zurückgegeben und sie beginnt zu rauchen.</v>
      </c>
    </row>
    <row r="31900">
      <c r="A31900" s="4" t="s">
        <v>40162</v>
      </c>
      <c r="B31900" s="4" t="s">
        <v>40163</v>
      </c>
      <c r="C31900" s="5" t="str">
        <f>IFERROR(__xludf.DUMMYFUNCTION("GOOGLETRANSLATE(B31900,""en"",""de"")"),"Eine Person, die als Darth Vader gekleidet ist, spielt eine Geige auf dem Bürgersteig.")</f>
        <v>Eine Person, die als Darth Vader gekleidet ist, spielt eine Geige auf dem Bürgersteig.</v>
      </c>
    </row>
    <row r="31901">
      <c r="A31901" s="4" t="s">
        <v>40162</v>
      </c>
      <c r="B31901" s="4" t="s">
        <v>40164</v>
      </c>
      <c r="C31901" s="5" t="str">
        <f>IFERROR(__xludf.DUMMYFUNCTION("GOOGLETRANSLATE(B31901,""en"",""de"")"),"Die Leute gehen vor ihm.")</f>
        <v>Die Leute gehen vor ihm.</v>
      </c>
    </row>
    <row r="31902">
      <c r="A31902" s="4" t="s">
        <v>40165</v>
      </c>
      <c r="B31902" s="4" t="s">
        <v>40166</v>
      </c>
      <c r="C31902" s="5" t="str">
        <f>IFERROR(__xludf.DUMMYFUNCTION("GOOGLETRANSLATE(B31902,""en"",""de"")"),"Ein Mann trägt ein weißes Gewand mit einem schwarzen Gürtel.")</f>
        <v>Ein Mann trägt ein weißes Gewand mit einem schwarzen Gürtel.</v>
      </c>
    </row>
    <row r="31903">
      <c r="A31903" s="4" t="s">
        <v>40165</v>
      </c>
      <c r="B31903" s="4" t="s">
        <v>40167</v>
      </c>
      <c r="C31903" s="5" t="str">
        <f>IFERROR(__xludf.DUMMYFUNCTION("GOOGLETRANSLATE(B31903,""en"",""de"")"),"Er beginnt Karatebewegungen in einem Raum zu machen.")</f>
        <v>Er beginnt Karatebewegungen in einem Raum zu machen.</v>
      </c>
    </row>
    <row r="31904">
      <c r="A31904" s="4" t="s">
        <v>40165</v>
      </c>
      <c r="B31904" s="4" t="s">
        <v>40168</v>
      </c>
      <c r="C31904" s="5" t="str">
        <f>IFERROR(__xludf.DUMMYFUNCTION("GOOGLETRANSLATE(B31904,""en"",""de"")"),"Er steht direkt am Ende auf.")</f>
        <v>Er steht direkt am Ende auf.</v>
      </c>
    </row>
    <row r="31905">
      <c r="A31905" s="4" t="s">
        <v>40169</v>
      </c>
      <c r="B31905" s="4" t="s">
        <v>40170</v>
      </c>
      <c r="C31905" s="5" t="str">
        <f>IFERROR(__xludf.DUMMYFUNCTION("GOOGLETRANSLATE(B31905,""en"",""de"")"),"Ein aufgeregter Mann wird gesehen, wie er mit der Kamera spricht und sich in mehrere Schüsse von Männern übergeht, die Spiele, Bier gewinnen und vom Gastgeber interviewt werden.")</f>
        <v>Ein aufgeregter Mann wird gesehen, wie er mit der Kamera spricht und sich in mehrere Schüsse von Männern übergeht, die Spiele, Bier gewinnen und vom Gastgeber interviewt werden.</v>
      </c>
    </row>
    <row r="31906">
      <c r="A31906" s="4" t="s">
        <v>40169</v>
      </c>
      <c r="B31906" s="4" t="s">
        <v>40171</v>
      </c>
      <c r="C31906" s="5" t="str">
        <f>IFERROR(__xludf.DUMMYFUNCTION("GOOGLETRANSLATE(B31906,""en"",""de"")"),"Die Männer spielen dann ein Spiel Bierpong mit mehreren anderen in der Nähe und zeigen einen rasierten Kopf.")</f>
        <v>Die Männer spielen dann ein Spiel Bierpong mit mehreren anderen in der Nähe und zeigen einen rasierten Kopf.</v>
      </c>
    </row>
    <row r="31907">
      <c r="A31907" s="4" t="s">
        <v>40169</v>
      </c>
      <c r="B31907" s="4" t="s">
        <v>40172</v>
      </c>
      <c r="C31907" s="5" t="str">
        <f>IFERROR(__xludf.DUMMYFUNCTION("GOOGLETRANSLATE(B31907,""en"",""de"")"),"Ein Mann wird gesehen, wie er telefoniert und mehr Schüsse der Männer, die Bierpong spielen, gezeigt werden.")</f>
        <v>Ein Mann wird gesehen, wie er telefoniert und mehr Schüsse der Männer, die Bierpong spielen, gezeigt werden.</v>
      </c>
    </row>
    <row r="31908">
      <c r="A31908" s="4" t="s">
        <v>40173</v>
      </c>
      <c r="B31908" s="4" t="s">
        <v>40174</v>
      </c>
      <c r="C31908" s="5" t="str">
        <f>IFERROR(__xludf.DUMMYFUNCTION("GOOGLETRANSLATE(B31908,""en"",""de"")"),"Eine Frau dreht sich herum und zeigt ihre Frisur.")</f>
        <v>Eine Frau dreht sich herum und zeigt ihre Frisur.</v>
      </c>
    </row>
    <row r="31909">
      <c r="A31909" s="4" t="s">
        <v>40173</v>
      </c>
      <c r="B31909" s="4" t="s">
        <v>40175</v>
      </c>
      <c r="C31909" s="5" t="str">
        <f>IFERROR(__xludf.DUMMYFUNCTION("GOOGLETRANSLATE(B31909,""en"",""de"")"),"Wir sehen, wie ein schwarzes Haar trocknet, das sich auf dem Bildschirm dreht.")</f>
        <v>Wir sehen, wie ein schwarzes Haar trocknet, das sich auf dem Bildschirm dreht.</v>
      </c>
    </row>
    <row r="31910">
      <c r="A31910" s="4" t="s">
        <v>40173</v>
      </c>
      <c r="B31910" s="4" t="s">
        <v>40176</v>
      </c>
      <c r="C31910" s="5" t="str">
        <f>IFERROR(__xludf.DUMMYFUNCTION("GOOGLETRANSLATE(B31910,""en"",""de"")"),"Die Frau bekommt ihre Haare von einer anderen Frau im Hintergrund, während Text den Bildschirm mit Anweisungen abdeckt.")</f>
        <v>Die Frau bekommt ihre Haare von einer anderen Frau im Hintergrund, während Text den Bildschirm mit Anweisungen abdeckt.</v>
      </c>
    </row>
    <row r="31911">
      <c r="A31911" s="4" t="s">
        <v>40173</v>
      </c>
      <c r="B31911" s="4" t="s">
        <v>40177</v>
      </c>
      <c r="C31911" s="5" t="str">
        <f>IFERROR(__xludf.DUMMYFUNCTION("GOOGLETRANSLATE(B31911,""en"",""de"")"),"Die Frau bürstet und schließt den Stil ab, und der Klient hat ein großes glückliches Lächeln.")</f>
        <v>Die Frau bürstet und schließt den Stil ab, und der Klient hat ein großes glückliches Lächeln.</v>
      </c>
    </row>
    <row r="31912">
      <c r="A31912" s="4" t="s">
        <v>40178</v>
      </c>
      <c r="B31912" s="4" t="s">
        <v>40179</v>
      </c>
      <c r="C31912" s="5" t="str">
        <f>IFERROR(__xludf.DUMMYFUNCTION("GOOGLETRANSLATE(B31912,""en"",""de"")"),"Ein Mann sitzt auf einer Parkbank, die mit einem kleinen Jungen neben ihm Gitarre spielt.")</f>
        <v>Ein Mann sitzt auf einer Parkbank, die mit einem kleinen Jungen neben ihm Gitarre spielt.</v>
      </c>
    </row>
    <row r="31913">
      <c r="A31913" s="4" t="s">
        <v>40178</v>
      </c>
      <c r="B31913" s="4" t="s">
        <v>40180</v>
      </c>
      <c r="C31913" s="5" t="str">
        <f>IFERROR(__xludf.DUMMYFUNCTION("GOOGLETRANSLATE(B31913,""en"",""de"")"),"Der Junge spielt dann eine Reihe von Trommeln neben dem Mann, der Gitarre spielt.")</f>
        <v>Der Junge spielt dann eine Reihe von Trommeln neben dem Mann, der Gitarre spielt.</v>
      </c>
    </row>
    <row r="31914">
      <c r="A31914" s="4" t="s">
        <v>40178</v>
      </c>
      <c r="B31914" s="4" t="s">
        <v>40181</v>
      </c>
      <c r="C31914" s="5" t="str">
        <f>IFERROR(__xludf.DUMMYFUNCTION("GOOGLETRANSLATE(B31914,""en"",""de"")"),"Die beiden spielen weiter miteinander und halten an, um zur Kamera zu winken und miteinander zu sprechen.")</f>
        <v>Die beiden spielen weiter miteinander und halten an, um zur Kamera zu winken und miteinander zu sprechen.</v>
      </c>
    </row>
    <row r="31915">
      <c r="A31915" s="4" t="s">
        <v>40182</v>
      </c>
      <c r="B31915" s="4" t="s">
        <v>40183</v>
      </c>
      <c r="C31915" s="5" t="str">
        <f>IFERROR(__xludf.DUMMYFUNCTION("GOOGLETRANSLATE(B31915,""en"",""de"")"),"Eine Person schaltet eine Maschine ein und beobachtet, wie ein Schlauch größer wird, während er das Zifferblatt dreht.")</f>
        <v>Eine Person schaltet eine Maschine ein und beobachtet, wie ein Schlauch größer wird, während er das Zifferblatt dreht.</v>
      </c>
    </row>
    <row r="31916">
      <c r="A31916" s="4" t="s">
        <v>40182</v>
      </c>
      <c r="B31916" s="4" t="s">
        <v>40184</v>
      </c>
      <c r="C31916" s="5" t="str">
        <f>IFERROR(__xludf.DUMMYFUNCTION("GOOGLETRANSLATE(B31916,""en"",""de"")"),"Er drückt weiter und beginnt einen Hund zu pflegen.")</f>
        <v>Er drückt weiter und beginnt einen Hund zu pflegen.</v>
      </c>
    </row>
    <row r="31917">
      <c r="A31917" s="4" t="s">
        <v>40182</v>
      </c>
      <c r="B31917" s="4" t="s">
        <v>40185</v>
      </c>
      <c r="C31917" s="5" t="str">
        <f>IFERROR(__xludf.DUMMYFUNCTION("GOOGLETRANSLATE(B31917,""en"",""de"")"),"Die Person geht den Hund auf und ab und lässt sie schließlich mit unterschiedlichen Einstellungen gut aussehen.")</f>
        <v>Die Person geht den Hund auf und ab und lässt sie schließlich mit unterschiedlichen Einstellungen gut aussehen.</v>
      </c>
    </row>
    <row r="31918">
      <c r="A31918" s="4" t="s">
        <v>40186</v>
      </c>
      <c r="B31918" s="4" t="s">
        <v>40187</v>
      </c>
      <c r="C31918" s="5" t="str">
        <f>IFERROR(__xludf.DUMMYFUNCTION("GOOGLETRANSLATE(B31918,""en"",""de"")"),"Ein junges Mädchen sitzt in einer leeren Badewanne, die das Bein eines Mannes rasiert und über die Wanne geworfen wird.")</f>
        <v>Ein junges Mädchen sitzt in einer leeren Badewanne, die das Bein eines Mannes rasiert und über die Wanne geworfen wird.</v>
      </c>
    </row>
    <row r="31919">
      <c r="A31919" s="4" t="s">
        <v>40186</v>
      </c>
      <c r="B31919" s="4" t="s">
        <v>40188</v>
      </c>
      <c r="C31919" s="5" t="str">
        <f>IFERROR(__xludf.DUMMYFUNCTION("GOOGLETRANSLATE(B31919,""en"",""de"")"),"Während sie weitergeht, kommt der Hund und sie zeigt die Haare auf dem Rasierer der Kamera.")</f>
        <v>Während sie weitergeht, kommt der Hund und sie zeigt die Haare auf dem Rasierer der Kamera.</v>
      </c>
    </row>
    <row r="31920">
      <c r="A31920" s="4" t="s">
        <v>40189</v>
      </c>
      <c r="B31920" s="4" t="s">
        <v>40190</v>
      </c>
      <c r="C31920" s="5" t="str">
        <f>IFERROR(__xludf.DUMMYFUNCTION("GOOGLETRANSLATE(B31920,""en"",""de"")"),"Es gibt zwei Schüler, einen Jungen und ein Mädchen auf einer Stabhochstrecksteg.")</f>
        <v>Es gibt zwei Schüler, einen Jungen und ein Mädchen auf einer Stabhochstrecksteg.</v>
      </c>
    </row>
    <row r="31921">
      <c r="A31921" s="4" t="s">
        <v>40189</v>
      </c>
      <c r="B31921" s="4" t="s">
        <v>40191</v>
      </c>
      <c r="C31921" s="5" t="str">
        <f>IFERROR(__xludf.DUMMYFUNCTION("GOOGLETRANSLATE(B31921,""en"",""de"")"),"Einer der Schüler, ein Junge sprintet mit der Stange auf der Landebahn, während eine Person in Blau, die andere Schüler ihn aufführen.")</f>
        <v>Einer der Schüler, ein Junge sprintet mit der Stange auf der Landebahn, während eine Person in Blau, die andere Schüler ihn aufführen.</v>
      </c>
    </row>
    <row r="31922">
      <c r="A31922" s="4" t="s">
        <v>40189</v>
      </c>
      <c r="B31922" s="4" t="s">
        <v>40192</v>
      </c>
      <c r="C31922" s="5" t="str">
        <f>IFERROR(__xludf.DUMMYFUNCTION("GOOGLETRANSLATE(B31922,""en"",""de"")"),"Dann springt er hoch und landet ein paar Meter entfernt auf dem Landeplatz.")</f>
        <v>Dann springt er hoch und landet ein paar Meter entfernt auf dem Landeplatz.</v>
      </c>
    </row>
    <row r="31923">
      <c r="A31923" s="4" t="s">
        <v>40189</v>
      </c>
      <c r="B31923" s="4" t="s">
        <v>40193</v>
      </c>
      <c r="C31923" s="5" t="str">
        <f>IFERROR(__xludf.DUMMYFUNCTION("GOOGLETRANSLATE(B31923,""en"",""de"")"),"Seine Handlungen werden in Zeitlupe wiedergegeben, um seinen Sprung und Landung zu fangen.")</f>
        <v>Seine Handlungen werden in Zeitlupe wiedergegeben, um seinen Sprung und Landung zu fangen.</v>
      </c>
    </row>
    <row r="31924">
      <c r="A31924" s="4" t="s">
        <v>40194</v>
      </c>
      <c r="B31924" s="4" t="s">
        <v>40195</v>
      </c>
      <c r="C31924" s="5" t="str">
        <f>IFERROR(__xludf.DUMMYFUNCTION("GOOGLETRANSLATE(B31924,""en"",""de"")"),"Eine kleine Gruppe von Mädchen ist gesehen, wie sie auf eine Bühne gehen, gefolgt von weiteren Menschen, die hinter ihnen folgen.")</f>
        <v>Eine kleine Gruppe von Mädchen ist gesehen, wie sie auf eine Bühne gehen, gefolgt von weiteren Menschen, die hinter ihnen folgen.</v>
      </c>
    </row>
    <row r="31925">
      <c r="A31925" s="4" t="s">
        <v>40194</v>
      </c>
      <c r="B31925" s="4" t="s">
        <v>40196</v>
      </c>
      <c r="C31925" s="5" t="str">
        <f>IFERROR(__xludf.DUMMYFUNCTION("GOOGLETRANSLATE(B31925,""en"",""de"")"),"Weitere Menschen gehen weiter auf die Bühne, wobei einige Holding -Schilder und andere nebenbei beobachten.")</f>
        <v>Weitere Menschen gehen weiter auf die Bühne, wobei einige Holding -Schilder und andere nebenbei beobachten.</v>
      </c>
    </row>
    <row r="31926">
      <c r="A31926" s="4" t="s">
        <v>40197</v>
      </c>
      <c r="B31926" s="4" t="s">
        <v>40198</v>
      </c>
      <c r="C31926" s="5" t="str">
        <f>IFERROR(__xludf.DUMMYFUNCTION("GOOGLETRANSLATE(B31926,""en"",""de"")"),"Ein Junge in der Karate -Klasse beugt vor einer Aufführung.")</f>
        <v>Ein Junge in der Karate -Klasse beugt vor einer Aufführung.</v>
      </c>
    </row>
    <row r="31927">
      <c r="A31927" s="4" t="s">
        <v>40197</v>
      </c>
      <c r="B31927" s="4" t="s">
        <v>40199</v>
      </c>
      <c r="C31927" s="5" t="str">
        <f>IFERROR(__xludf.DUMMYFUNCTION("GOOGLETRANSLATE(B31927,""en"",""de"")"),"Der Junge führt eine Karate -Routine mit Hand Scythen durch.")</f>
        <v>Der Junge führt eine Karate -Routine mit Hand Scythen durch.</v>
      </c>
    </row>
    <row r="31928">
      <c r="A31928" s="4" t="s">
        <v>40197</v>
      </c>
      <c r="B31928" s="4" t="s">
        <v>40200</v>
      </c>
      <c r="C31928" s="5" t="str">
        <f>IFERROR(__xludf.DUMMYFUNCTION("GOOGLETRANSLATE(B31928,""en"",""de"")"),"Der Junge beendet seine Routine und Bögen.")</f>
        <v>Der Junge beendet seine Routine und Bögen.</v>
      </c>
    </row>
    <row r="31929">
      <c r="A31929" s="4" t="s">
        <v>40201</v>
      </c>
      <c r="B31929" s="4" t="s">
        <v>40202</v>
      </c>
      <c r="C31929" s="5" t="str">
        <f>IFERROR(__xludf.DUMMYFUNCTION("GOOGLETRANSLATE(B31929,""en"",""de"")"),"Wir sehen einen Mann zu den parallelen Bars und springen auf.")</f>
        <v>Wir sehen einen Mann zu den parallelen Bars und springen auf.</v>
      </c>
    </row>
    <row r="31930">
      <c r="A31930" s="4" t="s">
        <v>40201</v>
      </c>
      <c r="B31930" s="4" t="s">
        <v>40203</v>
      </c>
      <c r="C31930" s="5" t="str">
        <f>IFERROR(__xludf.DUMMYFUNCTION("GOOGLETRANSLATE(B31930,""en"",""de"")"),"Wir sehen, dass der Mann eine Routine an den Balken ausführt.")</f>
        <v>Wir sehen, dass der Mann eine Routine an den Balken ausführt.</v>
      </c>
    </row>
    <row r="31931">
      <c r="A31931" s="4" t="s">
        <v>40201</v>
      </c>
      <c r="B31931" s="4" t="s">
        <v>40204</v>
      </c>
      <c r="C31931" s="5" t="str">
        <f>IFERROR(__xludf.DUMMYFUNCTION("GOOGLETRANSLATE(B31931,""en"",""de"")"),"Der Mann macht einen Handstand.")</f>
        <v>Der Mann macht einen Handstand.</v>
      </c>
    </row>
    <row r="31932">
      <c r="A31932" s="4" t="s">
        <v>40201</v>
      </c>
      <c r="B31932" s="4" t="s">
        <v>40205</v>
      </c>
      <c r="C31932" s="5" t="str">
        <f>IFERROR(__xludf.DUMMYFUNCTION("GOOGLETRANSLATE(B31932,""en"",""de"")"),"Der Mann flippt und steigt von den Stäben ab.")</f>
        <v>Der Mann flippt und steigt von den Stäben ab.</v>
      </c>
    </row>
    <row r="31933">
      <c r="A31933" s="4" t="s">
        <v>40201</v>
      </c>
      <c r="B31933" s="4" t="s">
        <v>40206</v>
      </c>
      <c r="C31933" s="5" t="str">
        <f>IFERROR(__xludf.DUMMYFUNCTION("GOOGLETRANSLATE(B31933,""en"",""de"")"),"Der Mann hebt seine Arme in der Luft.")</f>
        <v>Der Mann hebt seine Arme in der Luft.</v>
      </c>
    </row>
    <row r="31934">
      <c r="A31934" s="4" t="s">
        <v>40201</v>
      </c>
      <c r="B31934" s="4" t="s">
        <v>40207</v>
      </c>
      <c r="C31934" s="5" t="str">
        <f>IFERROR(__xludf.DUMMYFUNCTION("GOOGLETRANSLATE(B31934,""en"",""de"")"),"Der Mann geht weg und umarmt einen anderen Mann.")</f>
        <v>Der Mann geht weg und umarmt einen anderen Mann.</v>
      </c>
    </row>
    <row r="31935">
      <c r="A31935" s="4" t="s">
        <v>40208</v>
      </c>
      <c r="B31935" s="4" t="s">
        <v>40209</v>
      </c>
      <c r="C31935" s="5" t="str">
        <f>IFERROR(__xludf.DUMMYFUNCTION("GOOGLETRANSLATE(B31935,""en"",""de"")"),"Eine Dame steht in einem Wohnzimmer und diskutiert.")</f>
        <v>Eine Dame steht in einem Wohnzimmer und diskutiert.</v>
      </c>
    </row>
    <row r="31936">
      <c r="A31936" s="4" t="s">
        <v>40208</v>
      </c>
      <c r="B31936" s="4" t="s">
        <v>40210</v>
      </c>
      <c r="C31936" s="5" t="str">
        <f>IFERROR(__xludf.DUMMYFUNCTION("GOOGLETRANSLATE(B31936,""en"",""de"")"),"Die Dame zieht leicht die Tapete der Wand.")</f>
        <v>Die Dame zieht leicht die Tapete der Wand.</v>
      </c>
    </row>
    <row r="31937">
      <c r="A31937" s="4" t="s">
        <v>40208</v>
      </c>
      <c r="B31937" s="4" t="s">
        <v>40211</v>
      </c>
      <c r="C31937" s="5" t="str">
        <f>IFERROR(__xludf.DUMMYFUNCTION("GOOGLETRANSLATE(B31937,""en"",""de"")"),"Eine Frau malt die Wand mit einer Flüssigkeit.")</f>
        <v>Eine Frau malt die Wand mit einer Flüssigkeit.</v>
      </c>
    </row>
    <row r="31938">
      <c r="A31938" s="4" t="s">
        <v>40208</v>
      </c>
      <c r="B31938" s="4" t="s">
        <v>40212</v>
      </c>
      <c r="C31938" s="5" t="str">
        <f>IFERROR(__xludf.DUMMYFUNCTION("GOOGLETRANSLATE(B31938,""en"",""de"")"),"Die Frau legt Tapete in die Gegend.")</f>
        <v>Die Frau legt Tapete in die Gegend.</v>
      </c>
    </row>
    <row r="31939">
      <c r="A31939" s="4" t="s">
        <v>40208</v>
      </c>
      <c r="B31939" s="4" t="s">
        <v>40213</v>
      </c>
      <c r="C31939" s="5" t="str">
        <f>IFERROR(__xludf.DUMMYFUNCTION("GOOGLETRANSLATE(B31939,""en"",""de"")"),"Die Frau schneidet die Tapete mit einem Kastenschneider.")</f>
        <v>Die Frau schneidet die Tapete mit einem Kastenschneider.</v>
      </c>
    </row>
    <row r="31940">
      <c r="A31940" s="4" t="s">
        <v>40208</v>
      </c>
      <c r="B31940" s="4" t="s">
        <v>40214</v>
      </c>
      <c r="C31940" s="5" t="str">
        <f>IFERROR(__xludf.DUMMYFUNCTION("GOOGLETRANSLATE(B31940,""en"",""de"")"),"Die Frau malt die Tapete mit Farbe.")</f>
        <v>Die Frau malt die Tapete mit Farbe.</v>
      </c>
    </row>
    <row r="31941">
      <c r="A31941" s="4" t="s">
        <v>40215</v>
      </c>
      <c r="B31941" s="4" t="s">
        <v>40216</v>
      </c>
      <c r="C31941" s="5" t="str">
        <f>IFERROR(__xludf.DUMMYFUNCTION("GOOGLETRANSLATE(B31941,""en"",""de"")"),"Ein sportlicher Mann steht bereit und läuft über eine Strecke und springt in eine Grube.")</f>
        <v>Ein sportlicher Mann steht bereit und läuft über eine Strecke und springt in eine Grube.</v>
      </c>
    </row>
    <row r="31942">
      <c r="A31942" s="4" t="s">
        <v>40215</v>
      </c>
      <c r="B31942" s="4" t="s">
        <v>40217</v>
      </c>
      <c r="C31942" s="5" t="str">
        <f>IFERROR(__xludf.DUMMYFUNCTION("GOOGLETRANSLATE(B31942,""en"",""de"")"),"Der Mann feiert, als seine Punktzahl gezeigt wird und sein Sprung wieder in Zeitlupe gezeigt wird.")</f>
        <v>Der Mann feiert, als seine Punktzahl gezeigt wird und sein Sprung wieder in Zeitlupe gezeigt wird.</v>
      </c>
    </row>
    <row r="31943">
      <c r="A31943" s="4" t="s">
        <v>40218</v>
      </c>
      <c r="B31943" s="4" t="s">
        <v>40219</v>
      </c>
      <c r="C31943" s="5" t="str">
        <f>IFERROR(__xludf.DUMMYFUNCTION("GOOGLETRANSLATE(B31943,""en"",""de"")"),"Ein Mann lehrt den richtigen Weg, um ein Mundstück auf ein Saxophon zu bekommen.")</f>
        <v>Ein Mann lehrt den richtigen Weg, um ein Mundstück auf ein Saxophon zu bekommen.</v>
      </c>
    </row>
    <row r="31944">
      <c r="A31944" s="4" t="s">
        <v>40218</v>
      </c>
      <c r="B31944" s="4" t="s">
        <v>40220</v>
      </c>
      <c r="C31944" s="5" t="str">
        <f>IFERROR(__xludf.DUMMYFUNCTION("GOOGLETRANSLATE(B31944,""en"",""de"")"),"Dann beschreibt er, wie man das Horn richtig spielt.")</f>
        <v>Dann beschreibt er, wie man das Horn richtig spielt.</v>
      </c>
    </row>
    <row r="31945">
      <c r="A31945" s="4" t="s">
        <v>40221</v>
      </c>
      <c r="B31945" s="4" t="s">
        <v>1487</v>
      </c>
      <c r="C31945" s="5" t="str">
        <f>IFERROR(__xludf.DUMMYFUNCTION("GOOGLETRANSLATE(B31945,""en"",""de"")"),"Wir sehen einen Öffnungsbildschirm.")</f>
        <v>Wir sehen einen Öffnungsbildschirm.</v>
      </c>
    </row>
    <row r="31946">
      <c r="A31946" s="4" t="s">
        <v>40221</v>
      </c>
      <c r="B31946" s="4" t="s">
        <v>40222</v>
      </c>
      <c r="C31946" s="5" t="str">
        <f>IFERROR(__xludf.DUMMYFUNCTION("GOOGLETRANSLATE(B31946,""en"",""de"")"),"Ein hemdloser Mann spricht in einem Fitnessstudio.")</f>
        <v>Ein hemdloser Mann spricht in einem Fitnessstudio.</v>
      </c>
    </row>
    <row r="31947">
      <c r="A31947" s="4" t="s">
        <v>40221</v>
      </c>
      <c r="B31947" s="4" t="s">
        <v>40223</v>
      </c>
      <c r="C31947" s="5" t="str">
        <f>IFERROR(__xludf.DUMMYFUNCTION("GOOGLETRANSLATE(B31947,""en"",""de"")"),"Eine Dame rennt in beide Richtungen vorbei und springt dann auf den Seil hinter den Mann.")</f>
        <v>Eine Dame rennt in beide Richtungen vorbei und springt dann auf den Seil hinter den Mann.</v>
      </c>
    </row>
    <row r="31948">
      <c r="A31948" s="4" t="s">
        <v>40221</v>
      </c>
      <c r="B31948" s="4" t="s">
        <v>40224</v>
      </c>
      <c r="C31948" s="5" t="str">
        <f>IFERROR(__xludf.DUMMYFUNCTION("GOOGLETRANSLATE(B31948,""en"",""de"")"),"Wir sehen Titelbildschirme mit Anweisungen.")</f>
        <v>Wir sehen Titelbildschirme mit Anweisungen.</v>
      </c>
    </row>
    <row r="31949">
      <c r="A31949" s="4" t="s">
        <v>40221</v>
      </c>
      <c r="B31949" s="4" t="s">
        <v>40225</v>
      </c>
      <c r="C31949" s="5" t="str">
        <f>IFERROR(__xludf.DUMMYFUNCTION("GOOGLETRANSLATE(B31949,""en"",""de"")"),"Wir sehen eine Dame, die elf verschiedene Arten springt.")</f>
        <v>Wir sehen eine Dame, die elf verschiedene Arten springt.</v>
      </c>
    </row>
    <row r="31950">
      <c r="A31950" s="4" t="s">
        <v>40221</v>
      </c>
      <c r="B31950" s="4" t="s">
        <v>777</v>
      </c>
      <c r="C31950" s="5" t="str">
        <f>IFERROR(__xludf.DUMMYFUNCTION("GOOGLETRANSLATE(B31950,""en"",""de"")"),"Wir sehen den End -Titelbildschirm.")</f>
        <v>Wir sehen den End -Titelbildschirm.</v>
      </c>
    </row>
    <row r="31951">
      <c r="A31951" s="4" t="s">
        <v>40226</v>
      </c>
      <c r="B31951" s="4" t="s">
        <v>40227</v>
      </c>
      <c r="C31951" s="5" t="str">
        <f>IFERROR(__xludf.DUMMYFUNCTION("GOOGLETRANSLATE(B31951,""en"",""de"")"),"Es wird ein Fluss gezeigt und ein Auto ist ein Staubweg.")</f>
        <v>Es wird ein Fluss gezeigt und ein Auto ist ein Staubweg.</v>
      </c>
    </row>
    <row r="31952">
      <c r="A31952" s="4" t="s">
        <v>40226</v>
      </c>
      <c r="B31952" s="4" t="s">
        <v>40228</v>
      </c>
      <c r="C31952" s="5" t="str">
        <f>IFERROR(__xludf.DUMMYFUNCTION("GOOGLETRANSLATE(B31952,""en"",""de"")"),"Männer rafting auf einem See auf den Stromschnellen.")</f>
        <v>Männer rafting auf einem See auf den Stromschnellen.</v>
      </c>
    </row>
    <row r="31953">
      <c r="A31953" s="4" t="s">
        <v>40229</v>
      </c>
      <c r="B31953" s="4" t="s">
        <v>40230</v>
      </c>
      <c r="C31953" s="5" t="str">
        <f>IFERROR(__xludf.DUMMYFUNCTION("GOOGLETRANSLATE(B31953,""en"",""de"")"),"Es wird ein grafisches Logo gesehen, das mit dem Buchstaben ""n"" schwarz und weiß ist.")</f>
        <v>Es wird ein grafisches Logo gesehen, das mit dem Buchstaben "n" schwarz und weiß ist.</v>
      </c>
    </row>
    <row r="31954">
      <c r="A31954" s="4" t="s">
        <v>40229</v>
      </c>
      <c r="B31954" s="4" t="s">
        <v>40231</v>
      </c>
      <c r="C31954" s="5" t="str">
        <f>IFERROR(__xludf.DUMMYFUNCTION("GOOGLETRANSLATE(B31954,""en"",""de"")"),"Ein TV -Host steht vor einem getarnten Hintergrund.")</f>
        <v>Ein TV -Host steht vor einem getarnten Hintergrund.</v>
      </c>
    </row>
    <row r="31955">
      <c r="A31955" s="4" t="s">
        <v>40229</v>
      </c>
      <c r="B31955" s="4" t="s">
        <v>40232</v>
      </c>
      <c r="C31955" s="5" t="str">
        <f>IFERROR(__xludf.DUMMYFUNCTION("GOOGLETRANSLATE(B31955,""en"",""de"")"),"Zwei Mädchen sind auf einem Foto in Baseballuniformen zu sehen.")</f>
        <v>Zwei Mädchen sind auf einem Foto in Baseballuniformen zu sehen.</v>
      </c>
    </row>
    <row r="31956">
      <c r="A31956" s="4" t="s">
        <v>40229</v>
      </c>
      <c r="B31956" s="4" t="s">
        <v>40233</v>
      </c>
      <c r="C31956" s="5" t="str">
        <f>IFERROR(__xludf.DUMMYFUNCTION("GOOGLETRANSLATE(B31956,""en"",""de"")"),"Eine große Gruppe von Fans wird auf einem Baseballfeld eingedreht und umgibt einen berühmten Sänger, der eine Aufführung macht.")</f>
        <v>Eine große Gruppe von Fans wird auf einem Baseballfeld eingedreht und umgibt einen berühmten Sänger, der eine Aufführung macht.</v>
      </c>
    </row>
    <row r="31957">
      <c r="A31957" s="4" t="s">
        <v>40229</v>
      </c>
      <c r="B31957" s="4" t="s">
        <v>40234</v>
      </c>
      <c r="C31957" s="5" t="str">
        <f>IFERROR(__xludf.DUMMYFUNCTION("GOOGLETRANSLATE(B31957,""en"",""de"")"),"Während eines Kickballspiels, der es für einen Lauf ins Außenfeld tritt, wird ein roter Handball zu einem Kicker gerollt.")</f>
        <v>Während eines Kickballspiels, der es für einen Lauf ins Außenfeld tritt, wird ein roter Handball zu einem Kicker gerollt.</v>
      </c>
    </row>
    <row r="31958">
      <c r="A31958" s="4" t="s">
        <v>40229</v>
      </c>
      <c r="B31958" s="4" t="s">
        <v>40235</v>
      </c>
      <c r="C31958" s="5" t="str">
        <f>IFERROR(__xludf.DUMMYFUNCTION("GOOGLETRANSLATE(B31958,""en"",""de"")"),"Ein anderer Mann in T -Shirt und Black Sweats tritt einen Ball und rennt durch die Basen und versucht nicht mit dem Ball markiert zu werden.")</f>
        <v>Ein anderer Mann in T -Shirt und Black Sweats tritt einen Ball und rennt durch die Basen und versucht nicht mit dem Ball markiert zu werden.</v>
      </c>
    </row>
    <row r="31959">
      <c r="A31959" s="4" t="s">
        <v>40229</v>
      </c>
      <c r="B31959" s="4" t="s">
        <v>40236</v>
      </c>
      <c r="C31959" s="5" t="str">
        <f>IFERROR(__xludf.DUMMYFUNCTION("GOOGLETRANSLATE(B31959,""en"",""de"")"),"Der gleiche Mann fährt auf einem Skateboard in der Stadt.")</f>
        <v>Der gleiche Mann fährt auf einem Skateboard in der Stadt.</v>
      </c>
    </row>
    <row r="31960">
      <c r="A31960" s="4" t="s">
        <v>40229</v>
      </c>
      <c r="B31960" s="4" t="s">
        <v>40237</v>
      </c>
      <c r="C31960" s="5" t="str">
        <f>IFERROR(__xludf.DUMMYFUNCTION("GOOGLETRANSLATE(B31960,""en"",""de"")"),"Der Mann wird wieder in einem aus nächsten einem Raum gesehen.")</f>
        <v>Der Mann wird wieder in einem aus nächsten einem Raum gesehen.</v>
      </c>
    </row>
    <row r="31961">
      <c r="A31961" s="4" t="s">
        <v>40238</v>
      </c>
      <c r="B31961" s="4" t="s">
        <v>40239</v>
      </c>
      <c r="C31961" s="5" t="str">
        <f>IFERROR(__xludf.DUMMYFUNCTION("GOOGLETRANSLATE(B31961,""en"",""de"")"),"Der Titel zeigt, wie ein Mann ein Pferd durch eine Arena reitet.")</f>
        <v>Der Titel zeigt, wie ein Mann ein Pferd durch eine Arena reitet.</v>
      </c>
    </row>
    <row r="31962">
      <c r="A31962" s="4" t="s">
        <v>40238</v>
      </c>
      <c r="B31962" s="4" t="s">
        <v>40240</v>
      </c>
      <c r="C31962" s="5" t="str">
        <f>IFERROR(__xludf.DUMMYFUNCTION("GOOGLETRANSLATE(B31962,""en"",""de"")"),"Es gibt dann eine Präsentation von Pferden, die über Hindernisse springen.")</f>
        <v>Es gibt dann eine Präsentation von Pferden, die über Hindernisse springen.</v>
      </c>
    </row>
    <row r="31963">
      <c r="A31963" s="4" t="s">
        <v>40238</v>
      </c>
      <c r="B31963" s="4" t="s">
        <v>40241</v>
      </c>
      <c r="C31963" s="5" t="str">
        <f>IFERROR(__xludf.DUMMYFUNCTION("GOOGLETRANSLATE(B31963,""en"",""de"")"),"Eines der Bilder dreht sich im Kreis und das nächste Video drückt sich auf sich selbst.")</f>
        <v>Eines der Bilder dreht sich im Kreis und das nächste Video drückt sich auf sich selbst.</v>
      </c>
    </row>
    <row r="31964">
      <c r="A31964" s="4" t="s">
        <v>40238</v>
      </c>
      <c r="B31964" s="4" t="s">
        <v>40242</v>
      </c>
      <c r="C31964" s="5" t="str">
        <f>IFERROR(__xludf.DUMMYFUNCTION("GOOGLETRANSLATE(B31964,""en"",""de"")"),"Es zeigt weiterhin Pferd, das mit Videoffekten über Hindernisse springt.")</f>
        <v>Es zeigt weiterhin Pferd, das mit Videoffekten über Hindernisse springt.</v>
      </c>
    </row>
    <row r="31965">
      <c r="A31965" s="4" t="s">
        <v>40238</v>
      </c>
      <c r="B31965" s="4" t="s">
        <v>40243</v>
      </c>
      <c r="C31965" s="5" t="str">
        <f>IFERROR(__xludf.DUMMYFUNCTION("GOOGLETRANSLATE(B31965,""en"",""de"")"),"Ein Mann geht mit dem Partner auf der Seite meiner Seite.")</f>
        <v>Ein Mann geht mit dem Partner auf der Seite meiner Seite.</v>
      </c>
    </row>
    <row r="31966">
      <c r="A31966" s="4" t="s">
        <v>40238</v>
      </c>
      <c r="B31966" s="4" t="s">
        <v>40244</v>
      </c>
      <c r="C31966" s="5" t="str">
        <f>IFERROR(__xludf.DUMMYFUNCTION("GOOGLETRANSLATE(B31966,""en"",""de"")"),"Die Creditsrolle mit etwas Lob.")</f>
        <v>Die Creditsrolle mit etwas Lob.</v>
      </c>
    </row>
    <row r="31967">
      <c r="A31967" s="4" t="s">
        <v>40245</v>
      </c>
      <c r="B31967" s="4" t="s">
        <v>40246</v>
      </c>
      <c r="C31967" s="5" t="str">
        <f>IFERROR(__xludf.DUMMYFUNCTION("GOOGLETRANSLATE(B31967,""en"",""de"")"),"Die Frau im roten Oberteil steht.")</f>
        <v>Die Frau im roten Oberteil steht.</v>
      </c>
    </row>
    <row r="31968">
      <c r="A31968" s="4" t="s">
        <v>40245</v>
      </c>
      <c r="B31968" s="4" t="s">
        <v>40247</v>
      </c>
      <c r="C31968" s="5" t="str">
        <f>IFERROR(__xludf.DUMMYFUNCTION("GOOGLETRANSLATE(B31968,""en"",""de"")"),"Die Frau streckt ihre Arme zuerst eine Seite, dann die nächste.")</f>
        <v>Die Frau streckt ihre Arme zuerst eine Seite, dann die nächste.</v>
      </c>
    </row>
    <row r="31969">
      <c r="A31969" s="4" t="s">
        <v>40245</v>
      </c>
      <c r="B31969" s="4" t="s">
        <v>40248</v>
      </c>
      <c r="C31969" s="5" t="str">
        <f>IFERROR(__xludf.DUMMYFUNCTION("GOOGLETRANSLATE(B31969,""en"",""de"")"),"Die Frau legte ihre Arme vor sie, streckte sich dann aus und drehte sich um.")</f>
        <v>Die Frau legte ihre Arme vor sie, streckte sich dann aus und drehte sich um.</v>
      </c>
    </row>
    <row r="31970">
      <c r="A31970" s="4" t="s">
        <v>40249</v>
      </c>
      <c r="B31970" s="4" t="s">
        <v>40250</v>
      </c>
      <c r="C31970" s="5" t="str">
        <f>IFERROR(__xludf.DUMMYFUNCTION("GOOGLETRANSLATE(B31970,""en"",""de"")"),"Ein Mann ist draußen auf einer Strecke.")</f>
        <v>Ein Mann ist draußen auf einer Strecke.</v>
      </c>
    </row>
    <row r="31971">
      <c r="A31971" s="4" t="s">
        <v>40249</v>
      </c>
      <c r="B31971" s="4" t="s">
        <v>40251</v>
      </c>
      <c r="C31971" s="5" t="str">
        <f>IFERROR(__xludf.DUMMYFUNCTION("GOOGLETRANSLATE(B31971,""en"",""de"")"),"Er rennt mit einem Speer in der Hand.")</f>
        <v>Er rennt mit einem Speer in der Hand.</v>
      </c>
    </row>
    <row r="31972">
      <c r="A31972" s="4" t="s">
        <v>40249</v>
      </c>
      <c r="B31972" s="4" t="s">
        <v>40252</v>
      </c>
      <c r="C31972" s="5" t="str">
        <f>IFERROR(__xludf.DUMMYFUNCTION("GOOGLETRANSLATE(B31972,""en"",""de"")"),"Er wirft es so weit wie möglich und erhebt den Sieg seine Arme.")</f>
        <v>Er wirft es so weit wie möglich und erhebt den Sieg seine Arme.</v>
      </c>
    </row>
    <row r="31973">
      <c r="A31973" s="4" t="s">
        <v>40253</v>
      </c>
      <c r="B31973" s="4" t="s">
        <v>40254</v>
      </c>
      <c r="C31973" s="5" t="str">
        <f>IFERROR(__xludf.DUMMYFUNCTION("GOOGLETRANSLATE(B31973,""en"",""de"")"),"Ein Mädchen und ein Mann befinden sich in einer hohen Struktur mit Bungee -Sprungausrüstung.")</f>
        <v>Ein Mädchen und ein Mann befinden sich in einer hohen Struktur mit Bungee -Sprungausrüstung.</v>
      </c>
    </row>
    <row r="31974">
      <c r="A31974" s="4" t="s">
        <v>40253</v>
      </c>
      <c r="B31974" s="4" t="s">
        <v>40255</v>
      </c>
      <c r="C31974" s="5" t="str">
        <f>IFERROR(__xludf.DUMMYFUNCTION("GOOGLETRANSLATE(B31974,""en"",""de"")"),"Das Mädchen steigt aus und steht an der Grenze der Struktur, während der Mann ein Seil hinter das Mädchen legt.")</f>
        <v>Das Mädchen steigt aus und steht an der Grenze der Struktur, während der Mann ein Seil hinter das Mädchen legt.</v>
      </c>
    </row>
    <row r="31975">
      <c r="A31975" s="4" t="s">
        <v>40253</v>
      </c>
      <c r="B31975" s="4" t="s">
        <v>40256</v>
      </c>
      <c r="C31975" s="5" t="str">
        <f>IFERROR(__xludf.DUMMYFUNCTION("GOOGLETRANSLATE(B31975,""en"",""de"")"),"Danach springt das Mädchen für einen Moment aus der Struktur und dann steht sie auf die Struktur auf.")</f>
        <v>Danach springt das Mädchen für einen Moment aus der Struktur und dann steht sie auf die Struktur auf.</v>
      </c>
    </row>
    <row r="31976">
      <c r="A31976" s="4" t="s">
        <v>40257</v>
      </c>
      <c r="B31976" s="4" t="s">
        <v>40258</v>
      </c>
      <c r="C31976" s="5" t="str">
        <f>IFERROR(__xludf.DUMMYFUNCTION("GOOGLETRANSLATE(B31976,""en"",""de"")"),"Ein Mann, der eine Kapuze trägt, öffnet ein Papier, dann ging er die Treppe hinunter und ging zu einem Weg.")</f>
        <v>Ein Mann, der eine Kapuze trägt, öffnet ein Papier, dann ging er die Treppe hinunter und ging zu einem Weg.</v>
      </c>
    </row>
    <row r="31977">
      <c r="A31977" s="4" t="s">
        <v>40257</v>
      </c>
      <c r="B31977" s="4" t="s">
        <v>40259</v>
      </c>
      <c r="C31977" s="5" t="str">
        <f>IFERROR(__xludf.DUMMYFUNCTION("GOOGLETRANSLATE(B31977,""en"",""de"")"),"Die Frau spricht mit der Kamera und zeigt den mit Schnee bedeckten Boden.")</f>
        <v>Die Frau spricht mit der Kamera und zeigt den mit Schnee bedeckten Boden.</v>
      </c>
    </row>
    <row r="31978">
      <c r="A31978" s="4" t="s">
        <v>40257</v>
      </c>
      <c r="B31978" s="4" t="s">
        <v>40260</v>
      </c>
      <c r="C31978" s="5" t="str">
        <f>IFERROR(__xludf.DUMMYFUNCTION("GOOGLETRANSLATE(B31978,""en"",""de"")"),"Der Mann steht neben dem Van und begann den Schnee auf dem Dach des Autos, während die andere Person einen Besen benutzt, um den Schnee vom Auto zu holen.")</f>
        <v>Der Mann steht neben dem Van und begann den Schnee auf dem Dach des Autos, während die andere Person einen Besen benutzt, um den Schnee vom Auto zu holen.</v>
      </c>
    </row>
    <row r="31979">
      <c r="A31979" s="4" t="s">
        <v>40261</v>
      </c>
      <c r="B31979" s="4" t="s">
        <v>40262</v>
      </c>
      <c r="C31979" s="5" t="str">
        <f>IFERROR(__xludf.DUMMYFUNCTION("GOOGLETRANSLATE(B31979,""en"",""de"")"),"Ein Bauarbeiter steht und spricht mit der Kamera, während er ein Sprühgerät hält.")</f>
        <v>Ein Bauarbeiter steht und spricht mit der Kamera, während er ein Sprühgerät hält.</v>
      </c>
    </row>
    <row r="31980">
      <c r="A31980" s="4" t="s">
        <v>40261</v>
      </c>
      <c r="B31980" s="4" t="s">
        <v>40263</v>
      </c>
      <c r="C31980" s="5" t="str">
        <f>IFERROR(__xludf.DUMMYFUNCTION("GOOGLETRANSLATE(B31980,""en"",""de"")"),"Er ist sehr animiert, während er wieder schleifen und sprüht.")</f>
        <v>Er ist sehr animiert, während er wieder schleifen und sprüht.</v>
      </c>
    </row>
    <row r="31981">
      <c r="A31981" s="4" t="s">
        <v>40264</v>
      </c>
      <c r="B31981" s="4" t="s">
        <v>40265</v>
      </c>
      <c r="C31981" s="5" t="str">
        <f>IFERROR(__xludf.DUMMYFUNCTION("GOOGLETRANSLATE(B31981,""en"",""de"")"),"Ein Mann spricht aufgeregt mit der Kamera und zeigt mehrere Aufnahmen des Mannes, der eine Felswand und verschiedene Orte klettern.")</f>
        <v>Ein Mann spricht aufgeregt mit der Kamera und zeigt mehrere Aufnahmen des Mannes, der eine Felswand und verschiedene Orte klettern.</v>
      </c>
    </row>
    <row r="31982">
      <c r="A31982" s="4" t="s">
        <v>40264</v>
      </c>
      <c r="B31982" s="4" t="s">
        <v>40266</v>
      </c>
      <c r="C31982" s="5" t="str">
        <f>IFERROR(__xludf.DUMMYFUNCTION("GOOGLETRANSLATE(B31982,""en"",""de"")"),"Dann spricht der Mensch weiterhin mit der Kamera und zeigt, wie man die Wand richtig klettern, während sie noch spricht.")</f>
        <v>Dann spricht der Mensch weiterhin mit der Kamera und zeigt, wie man die Wand richtig klettern, während sie noch spricht.</v>
      </c>
    </row>
    <row r="31983">
      <c r="A31983" s="4" t="s">
        <v>40267</v>
      </c>
      <c r="B31983" s="4" t="s">
        <v>40268</v>
      </c>
      <c r="C31983" s="5" t="str">
        <f>IFERROR(__xludf.DUMMYFUNCTION("GOOGLETRANSLATE(B31983,""en"",""de"")"),"Der Mensch steht vor einem weißen Tuch in einem Studio, der in einer elliptischen Maschine trainiert und die Eigenschaften des Fahrrads zeigt.")</f>
        <v>Der Mensch steht vor einem weißen Tuch in einem Studio, der in einer elliptischen Maschine trainiert und die Eigenschaften des Fahrrads zeigt.</v>
      </c>
    </row>
    <row r="31984">
      <c r="A31984" s="4" t="s">
        <v>40267</v>
      </c>
      <c r="B31984" s="4" t="s">
        <v>40269</v>
      </c>
      <c r="C31984" s="5" t="str">
        <f>IFERROR(__xludf.DUMMYFUNCTION("GOOGLETRANSLATE(B31984,""en"",""de"")"),"Frau tut das Gleiche wie der Mann, beobachtet die Elliptik und macht Sport.")</f>
        <v>Frau tut das Gleiche wie der Mann, beobachtet die Elliptik und macht Sport.</v>
      </c>
    </row>
    <row r="31985">
      <c r="A31985" s="4" t="s">
        <v>40270</v>
      </c>
      <c r="B31985" s="4" t="s">
        <v>40271</v>
      </c>
      <c r="C31985" s="5" t="str">
        <f>IFERROR(__xludf.DUMMYFUNCTION("GOOGLETRANSLATE(B31985,""en"",""de"")"),"Ein Mädchen, das in einem Fahrersitz eines Autos sitzt, spricht auf ihrem Telefon auf dem Lautsprecher.")</f>
        <v>Ein Mädchen, das in einem Fahrersitz eines Autos sitzt, spricht auf ihrem Telefon auf dem Lautsprecher.</v>
      </c>
    </row>
    <row r="31986">
      <c r="A31986" s="4" t="s">
        <v>40270</v>
      </c>
      <c r="B31986" s="4" t="s">
        <v>40272</v>
      </c>
      <c r="C31986" s="5" t="str">
        <f>IFERROR(__xludf.DUMMYFUNCTION("GOOGLETRANSLATE(B31986,""en"",""de"")"),"Sie hängt und beginnt laut zu reden und dann gehen sie und ihre Freundin durch ein Parkhaus.")</f>
        <v>Sie hängt und beginnt laut zu reden und dann gehen sie und ihre Freundin durch ein Parkhaus.</v>
      </c>
    </row>
    <row r="31987">
      <c r="A31987" s="4" t="s">
        <v>40270</v>
      </c>
      <c r="B31987" s="4" t="s">
        <v>40273</v>
      </c>
      <c r="C31987" s="5" t="str">
        <f>IFERROR(__xludf.DUMMYFUNCTION("GOOGLETRANSLATE(B31987,""en"",""de"")"),"Die Mädchen gehen und reden durch das Einkaufszentrum, dann gehen sie nach Klopfen, um Ohren durchbohren zu lassen.")</f>
        <v>Die Mädchen gehen und reden durch das Einkaufszentrum, dann gehen sie nach Klopfen, um Ohren durchbohren zu lassen.</v>
      </c>
    </row>
    <row r="31988">
      <c r="A31988" s="4" t="s">
        <v>40270</v>
      </c>
      <c r="B31988" s="4" t="s">
        <v>40274</v>
      </c>
      <c r="C31988" s="5" t="str">
        <f>IFERROR(__xludf.DUMMYFUNCTION("GOOGLETRANSLATE(B31988,""en"",""de"")"),"Sie gehen eine Weile weiter durch das Einkaufszentrum.")</f>
        <v>Sie gehen eine Weile weiter durch das Einkaufszentrum.</v>
      </c>
    </row>
    <row r="31989">
      <c r="A31989" s="4" t="s">
        <v>40275</v>
      </c>
      <c r="B31989" s="4" t="s">
        <v>1251</v>
      </c>
      <c r="C31989" s="5" t="str">
        <f>IFERROR(__xludf.DUMMYFUNCTION("GOOGLETRANSLATE(B31989,""en"",""de"")"),"Die Credits des Clips werden angezeigt.")</f>
        <v>Die Credits des Clips werden angezeigt.</v>
      </c>
    </row>
    <row r="31990">
      <c r="A31990" s="4" t="s">
        <v>40275</v>
      </c>
      <c r="B31990" s="4" t="s">
        <v>40276</v>
      </c>
      <c r="C31990" s="5" t="str">
        <f>IFERROR(__xludf.DUMMYFUNCTION("GOOGLETRANSLATE(B31990,""en"",""de"")"),"Ein Mann steht in einer Treppenbahn mit einem Messer.")</f>
        <v>Ein Mann steht in einer Treppenbahn mit einem Messer.</v>
      </c>
    </row>
    <row r="31991">
      <c r="A31991" s="4" t="s">
        <v>40275</v>
      </c>
      <c r="B31991" s="4" t="s">
        <v>40277</v>
      </c>
      <c r="C31991" s="5" t="str">
        <f>IFERROR(__xludf.DUMMYFUNCTION("GOOGLETRANSLATE(B31991,""en"",""de"")"),"Ein Mann bereitet sich darauf vor, Schlagzeug zu spielen.")</f>
        <v>Ein Mann bereitet sich darauf vor, Schlagzeug zu spielen.</v>
      </c>
    </row>
    <row r="31992">
      <c r="A31992" s="4" t="s">
        <v>40275</v>
      </c>
      <c r="B31992" s="4" t="s">
        <v>40278</v>
      </c>
      <c r="C31992" s="5" t="str">
        <f>IFERROR(__xludf.DUMMYFUNCTION("GOOGLETRANSLATE(B31992,""en"",""de"")"),"Der Typ spielt ein Drum -Set.")</f>
        <v>Der Typ spielt ein Drum -Set.</v>
      </c>
    </row>
    <row r="31993">
      <c r="A31993" s="4" t="s">
        <v>40279</v>
      </c>
      <c r="B31993" s="4" t="s">
        <v>40280</v>
      </c>
      <c r="C31993" s="5" t="str">
        <f>IFERROR(__xludf.DUMMYFUNCTION("GOOGLETRANSLATE(B31993,""en"",""de"")"),"Es werden mehrere Schüsse gezeigt, die sich aufwärmen und Kampfkunsttricks aufführen.")</f>
        <v>Es werden mehrere Schüsse gezeigt, die sich aufwärmen und Kampfkunsttricks aufführen.</v>
      </c>
    </row>
    <row r="31994">
      <c r="A31994" s="4" t="s">
        <v>40279</v>
      </c>
      <c r="B31994" s="4" t="s">
        <v>40281</v>
      </c>
      <c r="C31994" s="5" t="str">
        <f>IFERROR(__xludf.DUMMYFUNCTION("GOOGLETRANSLATE(B31994,""en"",""de"")"),"Ein Mann spricht mit der Kamera, während mehrere Clips von Menschen angezeigt werden, die an verschiedenen Orten Tricks machen.")</f>
        <v>Ein Mann spricht mit der Kamera, während mehrere Clips von Menschen angezeigt werden, die an verschiedenen Orten Tricks machen.</v>
      </c>
    </row>
    <row r="31995">
      <c r="A31995" s="4" t="s">
        <v>40279</v>
      </c>
      <c r="B31995" s="4" t="s">
        <v>40282</v>
      </c>
      <c r="C31995" s="5" t="str">
        <f>IFERROR(__xludf.DUMMYFUNCTION("GOOGLETRANSLATE(B31995,""en"",""de"")"),"Die Leute springen und drehen sich umeinander und führen weiter Parkour durch.")</f>
        <v>Die Leute springen und drehen sich umeinander und führen weiter Parkour durch.</v>
      </c>
    </row>
    <row r="31996">
      <c r="A31996" s="4" t="s">
        <v>40283</v>
      </c>
      <c r="B31996" s="4" t="s">
        <v>40284</v>
      </c>
      <c r="C31996" s="5" t="str">
        <f>IFERROR(__xludf.DUMMYFUNCTION("GOOGLETRANSLATE(B31996,""en"",""de"")"),"Eine große Parade von Menschen, die eine Straße entlang marschieren, wird mit mehreren hundert Menschen nebenbei gezeigt.")</f>
        <v>Eine große Parade von Menschen, die eine Straße entlang marschieren, wird mit mehreren hundert Menschen nebenbei gezeigt.</v>
      </c>
    </row>
    <row r="31997">
      <c r="A31997" s="4" t="s">
        <v>40283</v>
      </c>
      <c r="B31997" s="4" t="s">
        <v>40285</v>
      </c>
      <c r="C31997" s="5" t="str">
        <f>IFERROR(__xludf.DUMMYFUNCTION("GOOGLETRANSLATE(B31997,""en"",""de"")"),"Die Leute spielen die Instrumente weiter, während die Kamera um die große Gruppe der Menschen schwenkt und der Parade folgen.")</f>
        <v>Die Leute spielen die Instrumente weiter, während die Kamera um die große Gruppe der Menschen schwenkt und der Parade folgen.</v>
      </c>
    </row>
    <row r="31998">
      <c r="A31998" s="4" t="s">
        <v>40286</v>
      </c>
      <c r="B31998" s="4" t="s">
        <v>40287</v>
      </c>
      <c r="C31998" s="5" t="str">
        <f>IFERROR(__xludf.DUMMYFUNCTION("GOOGLETRANSLATE(B31998,""en"",""de"")"),"Ein Mann trinkt während eines Spiels ein Bier, während andere zuschauen und lächeln.")</f>
        <v>Ein Mann trinkt während eines Spiels ein Bier, während andere zuschauen und lächeln.</v>
      </c>
    </row>
    <row r="31999">
      <c r="A31999" s="4" t="s">
        <v>40286</v>
      </c>
      <c r="B31999" s="4" t="s">
        <v>40288</v>
      </c>
      <c r="C31999" s="5" t="str">
        <f>IFERROR(__xludf.DUMMYFUNCTION("GOOGLETRANSLATE(B31999,""en"",""de"")"),"Mehrere Leute beobachten das Match und der Mann, der ein Bier trinkt, schaut in die Kamera und lächelt.")</f>
        <v>Mehrere Leute beobachten das Match und der Mann, der ein Bier trinkt, schaut in die Kamera und lächelt.</v>
      </c>
    </row>
    <row r="32000">
      <c r="A32000" s="4" t="s">
        <v>40289</v>
      </c>
      <c r="B32000" s="4" t="s">
        <v>40290</v>
      </c>
      <c r="C32000" s="5" t="str">
        <f>IFERROR(__xludf.DUMMYFUNCTION("GOOGLETRANSLATE(B32000,""en"",""de"")"),"Eine Gruppe von Menschen, die in einem großen Fitnessstudio stationäre Fahrräder fahren.")</f>
        <v>Eine Gruppe von Menschen, die in einem großen Fitnessstudio stationäre Fahrräder fahren.</v>
      </c>
    </row>
    <row r="32001">
      <c r="A32001" s="4" t="s">
        <v>40289</v>
      </c>
      <c r="B32001" s="4" t="s">
        <v>40291</v>
      </c>
      <c r="C32001" s="5" t="str">
        <f>IFERROR(__xludf.DUMMYFUNCTION("GOOGLETRANSLATE(B32001,""en"",""de"")"),"Ein Mann bewegt ein stationäres Fahrrad.")</f>
        <v>Ein Mann bewegt ein stationäres Fahrrad.</v>
      </c>
    </row>
    <row r="32002">
      <c r="A32002" s="4" t="s">
        <v>40289</v>
      </c>
      <c r="B32002" s="4" t="s">
        <v>40292</v>
      </c>
      <c r="C32002" s="5" t="str">
        <f>IFERROR(__xludf.DUMMYFUNCTION("GOOGLETRANSLATE(B32002,""en"",""de"")"),"Eine Frau passt den oberen Hut an, den sie trägt.")</f>
        <v>Eine Frau passt den oberen Hut an, den sie trägt.</v>
      </c>
    </row>
    <row r="32003">
      <c r="A32003" s="4" t="s">
        <v>40293</v>
      </c>
      <c r="B32003" s="4" t="s">
        <v>40294</v>
      </c>
      <c r="C32003" s="5" t="str">
        <f>IFERROR(__xludf.DUMMYFUNCTION("GOOGLETRANSLATE(B32003,""en"",""de"")"),"Ein Mann spricht mit der Kamera und beginnt, Plane neben einem Baum auszulegen.")</f>
        <v>Ein Mann spricht mit der Kamera und beginnt, Plane neben einem Baum auszulegen.</v>
      </c>
    </row>
    <row r="32004">
      <c r="A32004" s="4" t="s">
        <v>40293</v>
      </c>
      <c r="B32004" s="4" t="s">
        <v>40295</v>
      </c>
      <c r="C32004" s="5" t="str">
        <f>IFERROR(__xludf.DUMMYFUNCTION("GOOGLETRANSLATE(B32004,""en"",""de"")"),"Der Mann schneidet die Plane und legt Mulch rund um den Baum.")</f>
        <v>Der Mann schneidet die Plane und legt Mulch rund um den Baum.</v>
      </c>
    </row>
    <row r="32005">
      <c r="A32005" s="4" t="s">
        <v>40296</v>
      </c>
      <c r="B32005" s="4" t="s">
        <v>40297</v>
      </c>
      <c r="C32005" s="5" t="str">
        <f>IFERROR(__xludf.DUMMYFUNCTION("GOOGLETRANSLATE(B32005,""en"",""de"")"),"Zwei Männer sitzen über einen Tisch und beginnen ein Arm -Wrestling -Match.")</f>
        <v>Zwei Männer sitzen über einen Tisch und beginnen ein Arm -Wrestling -Match.</v>
      </c>
    </row>
    <row r="32006">
      <c r="A32006" s="4" t="s">
        <v>40296</v>
      </c>
      <c r="B32006" s="4" t="s">
        <v>40298</v>
      </c>
      <c r="C32006" s="5" t="str">
        <f>IFERROR(__xludf.DUMMYFUNCTION("GOOGLETRANSLATE(B32006,""en"",""de"")"),"Beide kämpfen ein wenig, bis der Mann links schließlich gewinnt.")</f>
        <v>Beide kämpfen ein wenig, bis der Mann links schließlich gewinnt.</v>
      </c>
    </row>
    <row r="32007">
      <c r="A32007" s="4" t="s">
        <v>40299</v>
      </c>
      <c r="B32007" s="4" t="s">
        <v>40300</v>
      </c>
      <c r="C32007" s="5" t="str">
        <f>IFERROR(__xludf.DUMMYFUNCTION("GOOGLETRANSLATE(B32007,""en"",""de"")"),"Eine kleine Gruppe von Kindern hält sich an einem Seil fest, wobei ein Mann vor ihnen steht und mit ihnen spricht.")</f>
        <v>Eine kleine Gruppe von Kindern hält sich an einem Seil fest, wobei ein Mann vor ihnen steht und mit ihnen spricht.</v>
      </c>
    </row>
    <row r="32008">
      <c r="A32008" s="4" t="s">
        <v>40299</v>
      </c>
      <c r="B32008" s="4" t="s">
        <v>40301</v>
      </c>
      <c r="C32008" s="5" t="str">
        <f>IFERROR(__xludf.DUMMYFUNCTION("GOOGLETRANSLATE(B32008,""en"",""de"")"),"Die Kinder ziehen weiter mit Hilfe von Erwachsenen und jubeln am Ende an.")</f>
        <v>Die Kinder ziehen weiter mit Hilfe von Erwachsenen und jubeln am Ende an.</v>
      </c>
    </row>
    <row r="32009">
      <c r="A32009" s="4" t="s">
        <v>40302</v>
      </c>
      <c r="B32009" s="4" t="s">
        <v>40303</v>
      </c>
      <c r="C32009" s="5" t="str">
        <f>IFERROR(__xludf.DUMMYFUNCTION("GOOGLETRANSLATE(B32009,""en"",""de"")"),"Ein Reiter sitzt auf einem Pferd und eine Person steht vor einer Rinder -Squeeze -Rutsche.")</f>
        <v>Ein Reiter sitzt auf einem Pferd und eine Person steht vor einer Rinder -Squeeze -Rutsche.</v>
      </c>
    </row>
    <row r="32010">
      <c r="A32010" s="4" t="s">
        <v>40302</v>
      </c>
      <c r="B32010" s="4" t="s">
        <v>40304</v>
      </c>
      <c r="C32010" s="5" t="str">
        <f>IFERROR(__xludf.DUMMYFUNCTION("GOOGLETRANSLATE(B32010,""en"",""de"")"),"Plötzlich rennen der Reiter und ein Kalb in die Arena, während der Reiter hinter dem Kalb läuft und sich in der Luft ein Seil dreht.")</f>
        <v>Plötzlich rennen der Reiter und ein Kalb in die Arena, während der Reiter hinter dem Kalb läuft und sich in der Luft ein Seil dreht.</v>
      </c>
    </row>
    <row r="32011">
      <c r="A32011" s="4" t="s">
        <v>40302</v>
      </c>
      <c r="B32011" s="4" t="s">
        <v>40305</v>
      </c>
      <c r="C32011" s="5" t="str">
        <f>IFERROR(__xludf.DUMMYFUNCTION("GOOGLETRANSLATE(B32011,""en"",""de"")"),"Danach wirft der Reiter den Reifen und fängt das Kalb, dann liegt er schnell das Kalb auf dem Boden und binde die Beine.")</f>
        <v>Danach wirft der Reiter den Reifen und fängt das Kalb, dann liegt er schnell das Kalb auf dem Boden und binde die Beine.</v>
      </c>
    </row>
    <row r="32012">
      <c r="A32012" s="4" t="s">
        <v>40306</v>
      </c>
      <c r="B32012" s="4" t="s">
        <v>40307</v>
      </c>
      <c r="C32012" s="5" t="str">
        <f>IFERROR(__xludf.DUMMYFUNCTION("GOOGLETRANSLATE(B32012,""en"",""de"")"),"Ein kleines Kind ist gesehen, wie er in eine Rutsche klettert und sich ihren Weg näher an die Kante rückt.")</f>
        <v>Ein kleines Kind ist gesehen, wie er in eine Rutsche klettert und sich ihren Weg näher an die Kante rückt.</v>
      </c>
    </row>
    <row r="32013">
      <c r="A32013" s="4" t="s">
        <v>40306</v>
      </c>
      <c r="B32013" s="4" t="s">
        <v>40308</v>
      </c>
      <c r="C32013" s="5" t="str">
        <f>IFERROR(__xludf.DUMMYFUNCTION("GOOGLETRANSLATE(B32013,""en"",""de"")"),"Das Mädchen reitet dann lächelnd die Rutsche hinunter und geht weg.")</f>
        <v>Das Mädchen reitet dann lächelnd die Rutsche hinunter und geht weg.</v>
      </c>
    </row>
    <row r="32014">
      <c r="A32014" s="4" t="s">
        <v>40309</v>
      </c>
      <c r="B32014" s="4" t="s">
        <v>40310</v>
      </c>
      <c r="C32014" s="5" t="str">
        <f>IFERROR(__xludf.DUMMYFUNCTION("GOOGLETRANSLATE(B32014,""en"",""de"")"),"Eine klare Flasche gießt ein Getränk in ein Cocktailglas.")</f>
        <v>Eine klare Flasche gießt ein Getränk in ein Cocktailglas.</v>
      </c>
    </row>
    <row r="32015">
      <c r="A32015" s="4" t="s">
        <v>40309</v>
      </c>
      <c r="B32015" s="4" t="s">
        <v>40311</v>
      </c>
      <c r="C32015" s="5" t="str">
        <f>IFERROR(__xludf.DUMMYFUNCTION("GOOGLETRANSLATE(B32015,""en"",""de"")"),"Ein Barkeeper nimmt einen Edelstahlbecher auf und schöpfert Eis hinein.")</f>
        <v>Ein Barkeeper nimmt einen Edelstahlbecher auf und schöpfert Eis hinein.</v>
      </c>
    </row>
    <row r="32016">
      <c r="A32016" s="4" t="s">
        <v>40309</v>
      </c>
      <c r="B32016" s="4" t="s">
        <v>40312</v>
      </c>
      <c r="C32016" s="5" t="str">
        <f>IFERROR(__xludf.DUMMYFUNCTION("GOOGLETRANSLATE(B32016,""en"",""de"")"),"Der Barkeeper gießt Alkohol in ein Schnapsglas und wirft sie in eine Tasse.")</f>
        <v>Der Barkeeper gießt Alkohol in ein Schnapsglas und wirft sie in eine Tasse.</v>
      </c>
    </row>
    <row r="32017">
      <c r="A32017" s="4" t="s">
        <v>40309</v>
      </c>
      <c r="B32017" s="4" t="s">
        <v>40313</v>
      </c>
      <c r="C32017" s="5" t="str">
        <f>IFERROR(__xludf.DUMMYFUNCTION("GOOGLETRANSLATE(B32017,""en"",""de"")"),"Der Barkeeper kappt die Tasse und zittert energisch.")</f>
        <v>Der Barkeeper kappt die Tasse und zittert energisch.</v>
      </c>
    </row>
    <row r="32018">
      <c r="A32018" s="4" t="s">
        <v>40309</v>
      </c>
      <c r="B32018" s="4" t="s">
        <v>40314</v>
      </c>
      <c r="C32018" s="5" t="str">
        <f>IFERROR(__xludf.DUMMYFUNCTION("GOOGLETRANSLATE(B32018,""en"",""de"")"),"Der Inhalt der Mischbecher wird in ein Martini -Glas gegossen.")</f>
        <v>Der Inhalt der Mischbecher wird in ein Martini -Glas gegossen.</v>
      </c>
    </row>
    <row r="32019">
      <c r="A32019" s="4" t="s">
        <v>40315</v>
      </c>
      <c r="B32019" s="4" t="s">
        <v>40316</v>
      </c>
      <c r="C32019" s="5" t="str">
        <f>IFERROR(__xludf.DUMMYFUNCTION("GOOGLETRANSLATE(B32019,""en"",""de"")"),"Ein Mann berührt seine Gesichter und Wellen.")</f>
        <v>Ein Mann berührt seine Gesichter und Wellen.</v>
      </c>
    </row>
    <row r="32020">
      <c r="A32020" s="4" t="s">
        <v>40315</v>
      </c>
      <c r="B32020" s="4" t="s">
        <v>40317</v>
      </c>
      <c r="C32020" s="5" t="str">
        <f>IFERROR(__xludf.DUMMYFUNCTION("GOOGLETRANSLATE(B32020,""en"",""de"")"),"Der Mann geht einen Mäher über sehr hoch wachsende Gras.")</f>
        <v>Der Mann geht einen Mäher über sehr hoch wachsende Gras.</v>
      </c>
    </row>
    <row r="32021">
      <c r="A32021" s="4" t="s">
        <v>40318</v>
      </c>
      <c r="B32021" s="4" t="s">
        <v>40319</v>
      </c>
      <c r="C32021" s="5" t="str">
        <f>IFERROR(__xludf.DUMMYFUNCTION("GOOGLETRANSLATE(B32021,""en"",""de"")"),"Eine Frau mittleren Alters steht in einem Raum hinter einem Tisch voller Schmerzen und Bürsten in verschiedenen Größe und einem Bild von Bäumen auf einer Staffelei.")</f>
        <v>Eine Frau mittleren Alters steht in einem Raum hinter einem Tisch voller Schmerzen und Bürsten in verschiedenen Größe und einem Bild von Bäumen auf einer Staffelei.</v>
      </c>
    </row>
    <row r="32022">
      <c r="A32022" s="4" t="s">
        <v>40318</v>
      </c>
      <c r="B32022" s="4" t="s">
        <v>40320</v>
      </c>
      <c r="C32022" s="5" t="str">
        <f>IFERROR(__xludf.DUMMYFUNCTION("GOOGLETRANSLATE(B32022,""en"",""de"")"),"In ihrer linken Hand hat sie ein Farbrad und beginnt, Stokes auf dem Bild zu machen, um ihr Bild zu vervollständigen.")</f>
        <v>In ihrer linken Hand hat sie ein Farbrad und beginnt, Stokes auf dem Bild zu machen, um ihr Bild zu vervollständigen.</v>
      </c>
    </row>
    <row r="32023">
      <c r="A32023" s="4" t="s">
        <v>40318</v>
      </c>
      <c r="B32023" s="4" t="s">
        <v>40321</v>
      </c>
      <c r="C32023" s="5" t="str">
        <f>IFERROR(__xludf.DUMMYFUNCTION("GOOGLETRANSLATE(B32023,""en"",""de"")"),"Sie geht von der Farbe zur Brett hin und her und zeigt, wie man einen Baum herstellt und dann ihre Bürsten reinigt.")</f>
        <v>Sie geht von der Farbe zur Brett hin und her und zeigt, wie man einen Baum herstellt und dann ihre Bürsten reinigt.</v>
      </c>
    </row>
    <row r="32024">
      <c r="A32024" s="4" t="s">
        <v>40322</v>
      </c>
      <c r="B32024" s="4" t="s">
        <v>40323</v>
      </c>
      <c r="C32024" s="5" t="str">
        <f>IFERROR(__xludf.DUMMYFUNCTION("GOOGLETRANSLATE(B32024,""en"",""de"")"),"Eine Person schnitzt einen Kürbis.")</f>
        <v>Eine Person schnitzt einen Kürbis.</v>
      </c>
    </row>
    <row r="32025">
      <c r="A32025" s="4" t="s">
        <v>40322</v>
      </c>
      <c r="B32025" s="4" t="s">
        <v>40324</v>
      </c>
      <c r="C32025" s="5" t="str">
        <f>IFERROR(__xludf.DUMMYFUNCTION("GOOGLETRANSLATE(B32025,""en"",""de"")"),"Wir sehen zwei Personen nebeneinander schnitzen Kürbisse.")</f>
        <v>Wir sehen zwei Personen nebeneinander schnitzen Kürbisse.</v>
      </c>
    </row>
    <row r="32026">
      <c r="A32026" s="4" t="s">
        <v>40322</v>
      </c>
      <c r="B32026" s="4" t="s">
        <v>40325</v>
      </c>
      <c r="C32026" s="5" t="str">
        <f>IFERROR(__xludf.DUMMYFUNCTION("GOOGLETRANSLATE(B32026,""en"",""de"")"),"Wir sehen aus dem Kürbis, während sie geschnitzt werden.")</f>
        <v>Wir sehen aus dem Kürbis, während sie geschnitzt werden.</v>
      </c>
    </row>
    <row r="32027">
      <c r="A32027" s="4" t="s">
        <v>40322</v>
      </c>
      <c r="B32027" s="4" t="s">
        <v>40326</v>
      </c>
      <c r="C32027" s="5" t="str">
        <f>IFERROR(__xludf.DUMMYFUNCTION("GOOGLETRANSLATE(B32027,""en"",""de"")"),"Wir sehen fünf Kürbisse auf einer Couch und im Dunkeln von innen beleuchtet.")</f>
        <v>Wir sehen fünf Kürbisse auf einer Couch und im Dunkeln von innen beleuchtet.</v>
      </c>
    </row>
    <row r="32028">
      <c r="A32028" s="4" t="s">
        <v>40322</v>
      </c>
      <c r="B32028" s="4" t="s">
        <v>27504</v>
      </c>
      <c r="C32028" s="5" t="str">
        <f>IFERROR(__xludf.DUMMYFUNCTION("GOOGLETRANSLATE(B32028,""en"",""de"")"),"Wir sehen einen schließenden Titelbildschirm.")</f>
        <v>Wir sehen einen schließenden Titelbildschirm.</v>
      </c>
    </row>
    <row r="32029">
      <c r="A32029" s="4" t="s">
        <v>40327</v>
      </c>
      <c r="B32029" s="4" t="s">
        <v>40328</v>
      </c>
      <c r="C32029" s="5" t="str">
        <f>IFERROR(__xludf.DUMMYFUNCTION("GOOGLETRANSLATE(B32029,""en"",""de"")"),"Eine Frau sitzt auf der Couch und setzt ihre Füße in eine Python -gedruckte Absätze.")</f>
        <v>Eine Frau sitzt auf der Couch und setzt ihre Füße in eine Python -gedruckte Absätze.</v>
      </c>
    </row>
    <row r="32030">
      <c r="A32030" s="4" t="s">
        <v>40327</v>
      </c>
      <c r="B32030" s="4" t="s">
        <v>40329</v>
      </c>
      <c r="C32030" s="5" t="str">
        <f>IFERROR(__xludf.DUMMYFUNCTION("GOOGLETRANSLATE(B32030,""en"",""de"")"),"Sobald sie eingeschaltet sind, steht sie auf und geht herum, während die Kamera ihre rot gestrichenen Zehennägel zoomen.")</f>
        <v>Sobald sie eingeschaltet sind, steht sie auf und geht herum, während die Kamera ihre rot gestrichenen Zehennägel zoomen.</v>
      </c>
    </row>
    <row r="32031">
      <c r="A32031" s="4" t="s">
        <v>40330</v>
      </c>
      <c r="B32031" s="4" t="s">
        <v>40331</v>
      </c>
      <c r="C32031" s="5" t="str">
        <f>IFERROR(__xludf.DUMMYFUNCTION("GOOGLETRANSLATE(B32031,""en"",""de"")"),"Ein Mann in einem blauen Kostüm wirft etwas in das Publikum.")</f>
        <v>Ein Mann in einem blauen Kostüm wirft etwas in das Publikum.</v>
      </c>
    </row>
    <row r="32032">
      <c r="A32032" s="4" t="s">
        <v>40330</v>
      </c>
      <c r="B32032" s="4" t="s">
        <v>40332</v>
      </c>
      <c r="C32032" s="5" t="str">
        <f>IFERROR(__xludf.DUMMYFUNCTION("GOOGLETRANSLATE(B32032,""en"",""de"")"),"Er nimmt eine grüne Dose auf und trinkt etwas.")</f>
        <v>Er nimmt eine grüne Dose auf und trinkt etwas.</v>
      </c>
    </row>
    <row r="32033">
      <c r="A32033" s="4" t="s">
        <v>40330</v>
      </c>
      <c r="B32033" s="4" t="s">
        <v>40333</v>
      </c>
      <c r="C32033" s="5" t="str">
        <f>IFERROR(__xludf.DUMMYFUNCTION("GOOGLETRANSLATE(B32033,""en"",""de"")"),"Dann spielt er Rockpapierschere mit einem anderen Mann gegenüber von ihm.")</f>
        <v>Dann spielt er Rockpapierschere mit einem anderen Mann gegenüber von ihm.</v>
      </c>
    </row>
    <row r="32034">
      <c r="A32034" s="4" t="s">
        <v>40334</v>
      </c>
      <c r="B32034" s="4" t="s">
        <v>40335</v>
      </c>
      <c r="C32034" s="5" t="str">
        <f>IFERROR(__xludf.DUMMYFUNCTION("GOOGLETRANSLATE(B32034,""en"",""de"")"),"Ein Mann schaufelt Schnee aus einer Einfahrt.")</f>
        <v>Ein Mann schaufelt Schnee aus einer Einfahrt.</v>
      </c>
    </row>
    <row r="32035">
      <c r="A32035" s="4" t="s">
        <v>40334</v>
      </c>
      <c r="B32035" s="4" t="s">
        <v>40336</v>
      </c>
      <c r="C32035" s="5" t="str">
        <f>IFERROR(__xludf.DUMMYFUNCTION("GOOGLETRANSLATE(B32035,""en"",""de"")"),"Die Kamera schwenkt, um einen anderen Mann zu zeigen, der eine elektrische Schaufelmaschine benutzt, um die Show von seiner Auffahrt zu entfernen.")</f>
        <v>Die Kamera schwenkt, um einen anderen Mann zu zeigen, der eine elektrische Schaufelmaschine benutzt, um die Show von seiner Auffahrt zu entfernen.</v>
      </c>
    </row>
    <row r="32036">
      <c r="A32036" s="4" t="s">
        <v>40334</v>
      </c>
      <c r="B32036" s="4" t="s">
        <v>40337</v>
      </c>
      <c r="C32036" s="5" t="str">
        <f>IFERROR(__xludf.DUMMYFUNCTION("GOOGLETRANSLATE(B32036,""en"",""de"")"),"Der Mann beendet den Schnee und dreht sich in die Kamera.")</f>
        <v>Der Mann beendet den Schnee und dreht sich in die Kamera.</v>
      </c>
    </row>
    <row r="32037">
      <c r="A32037" s="4" t="s">
        <v>40338</v>
      </c>
      <c r="B32037" s="4" t="s">
        <v>27300</v>
      </c>
      <c r="C32037" s="5" t="str">
        <f>IFERROR(__xludf.DUMMYFUNCTION("GOOGLETRANSLATE(B32037,""en"",""de"")"),"Wir sehen einen animierten Öffnungsbildschirm.")</f>
        <v>Wir sehen einen animierten Öffnungsbildschirm.</v>
      </c>
    </row>
    <row r="32038">
      <c r="A32038" s="4" t="s">
        <v>40338</v>
      </c>
      <c r="B32038" s="4" t="s">
        <v>40339</v>
      </c>
      <c r="C32038" s="5" t="str">
        <f>IFERROR(__xludf.DUMMYFUNCTION("GOOGLETRANSLATE(B32038,""en"",""de"")"),"Wir sehen einen Antenrium eines Strandes mit Menschen überall.")</f>
        <v>Wir sehen einen Antenrium eines Strandes mit Menschen überall.</v>
      </c>
    </row>
    <row r="32039">
      <c r="A32039" s="4" t="s">
        <v>40338</v>
      </c>
      <c r="B32039" s="4" t="s">
        <v>40340</v>
      </c>
      <c r="C32039" s="5" t="str">
        <f>IFERROR(__xludf.DUMMYFUNCTION("GOOGLETRANSLATE(B32039,""en"",""de"")"),"Wir sehen Menschen, die Sandburgen bauen.")</f>
        <v>Wir sehen Menschen, die Sandburgen bauen.</v>
      </c>
    </row>
    <row r="32040">
      <c r="A32040" s="4" t="s">
        <v>40338</v>
      </c>
      <c r="B32040" s="4" t="s">
        <v>40341</v>
      </c>
      <c r="C32040" s="5" t="str">
        <f>IFERROR(__xludf.DUMMYFUNCTION("GOOGLETRANSLATE(B32040,""en"",""de"")"),"Wir interviewen einen Richter, der dann unter den Menschen geht.")</f>
        <v>Wir interviewen einen Richter, der dann unter den Menschen geht.</v>
      </c>
    </row>
    <row r="32041">
      <c r="A32041" s="4" t="s">
        <v>40338</v>
      </c>
      <c r="B32041" s="4" t="s">
        <v>40342</v>
      </c>
      <c r="C32041" s="5" t="str">
        <f>IFERROR(__xludf.DUMMYFUNCTION("GOOGLETRANSLATE(B32041,""en"",""de"")"),"Wir sehen zwei interviewte Männer.")</f>
        <v>Wir sehen zwei interviewte Männer.</v>
      </c>
    </row>
    <row r="32042">
      <c r="A32042" s="4" t="s">
        <v>40338</v>
      </c>
      <c r="B32042" s="4" t="s">
        <v>40343</v>
      </c>
      <c r="C32042" s="5" t="str">
        <f>IFERROR(__xludf.DUMMYFUNCTION("GOOGLETRANSLATE(B32042,""en"",""de"")"),"Wir sehen eine Markise über den Strand und Überdachungen darüber hinaus.")</f>
        <v>Wir sehen eine Markise über den Strand und Überdachungen darüber hinaus.</v>
      </c>
    </row>
    <row r="32043">
      <c r="A32043" s="4" t="s">
        <v>40344</v>
      </c>
      <c r="B32043" s="4" t="s">
        <v>40345</v>
      </c>
      <c r="C32043" s="5" t="str">
        <f>IFERROR(__xludf.DUMMYFUNCTION("GOOGLETRANSLATE(B32043,""en"",""de"")"),"Es gibt eine Frau in einem roten Pullover und einem weißen Hemd und einer blauen Hosen, die in ihrem Wohnzimmer auf einem braunen Ledersofa sitzt.")</f>
        <v>Es gibt eine Frau in einem roten Pullover und einem weißen Hemd und einer blauen Hosen, die in ihrem Wohnzimmer auf einem braunen Ledersofa sitzt.</v>
      </c>
    </row>
    <row r="32044">
      <c r="A32044" s="4" t="s">
        <v>40344</v>
      </c>
      <c r="B32044" s="4" t="s">
        <v>40346</v>
      </c>
      <c r="C32044" s="5" t="str">
        <f>IFERROR(__xludf.DUMMYFUNCTION("GOOGLETRANSLATE(B32044,""en"",""de"")"),"Sie hält eine Sprühdose Möbelpolitur in der Hand.")</f>
        <v>Sie hält eine Sprühdose Möbelpolitur in der Hand.</v>
      </c>
    </row>
    <row r="32045">
      <c r="A32045" s="4" t="s">
        <v>40344</v>
      </c>
      <c r="B32045" s="4" t="s">
        <v>40347</v>
      </c>
      <c r="C32045" s="5" t="str">
        <f>IFERROR(__xludf.DUMMYFUNCTION("GOOGLETRANSLATE(B32045,""en"",""de"")"),"Sie hat auch ein Papiertuch in der anderen Hand, mit dem sie den Tisch abwischt.")</f>
        <v>Sie hat auch ein Papiertuch in der anderen Hand, mit dem sie den Tisch abwischt.</v>
      </c>
    </row>
    <row r="32046">
      <c r="A32046" s="4" t="s">
        <v>40344</v>
      </c>
      <c r="B32046" s="4" t="s">
        <v>40348</v>
      </c>
      <c r="C32046" s="5" t="str">
        <f>IFERROR(__xludf.DUMMYFUNCTION("GOOGLETRANSLATE(B32046,""en"",""de"")"),"Sie sprüht die Holzoberfläche mit dem Spray und wischt sie dann mit dem weißen Papiertuch ab.")</f>
        <v>Sie sprüht die Holzoberfläche mit dem Spray und wischt sie dann mit dem weißen Papiertuch ab.</v>
      </c>
    </row>
    <row r="32047">
      <c r="A32047" s="4" t="s">
        <v>40344</v>
      </c>
      <c r="B32047" s="4" t="s">
        <v>40349</v>
      </c>
      <c r="C32047" s="5" t="str">
        <f>IFERROR(__xludf.DUMMYFUNCTION("GOOGLETRANSLATE(B32047,""en"",""de"")"),"Sie erklärt, wie man das Spray benutzt und die Möbel abwischt.")</f>
        <v>Sie erklärt, wie man das Spray benutzt und die Möbel abwischt.</v>
      </c>
    </row>
    <row r="32048">
      <c r="A32048" s="4" t="s">
        <v>40350</v>
      </c>
      <c r="B32048" s="4" t="s">
        <v>40351</v>
      </c>
      <c r="C32048" s="5" t="str">
        <f>IFERROR(__xludf.DUMMYFUNCTION("GOOGLETRANSLATE(B32048,""en"",""de"")"),"Wir sehen einen Mann in einem Raum.")</f>
        <v>Wir sehen einen Mann in einem Raum.</v>
      </c>
    </row>
    <row r="32049">
      <c r="A32049" s="4" t="s">
        <v>40350</v>
      </c>
      <c r="B32049" s="4" t="s">
        <v>40352</v>
      </c>
      <c r="C32049" s="5" t="str">
        <f>IFERROR(__xludf.DUMMYFUNCTION("GOOGLETRANSLATE(B32049,""en"",""de"")"),"Der Mann beginnt Tai Chi auszuführen.")</f>
        <v>Der Mann beginnt Tai Chi auszuführen.</v>
      </c>
    </row>
    <row r="32050">
      <c r="A32050" s="4" t="s">
        <v>40350</v>
      </c>
      <c r="B32050" s="4" t="s">
        <v>40353</v>
      </c>
      <c r="C32050" s="5" t="str">
        <f>IFERROR(__xludf.DUMMYFUNCTION("GOOGLETRANSLATE(B32050,""en"",""de"")"),"Der Mann dreht sich um und zeigt links.")</f>
        <v>Der Mann dreht sich um und zeigt links.</v>
      </c>
    </row>
    <row r="32051">
      <c r="A32051" s="4" t="s">
        <v>40350</v>
      </c>
      <c r="B32051" s="4" t="s">
        <v>40354</v>
      </c>
      <c r="C32051" s="5" t="str">
        <f>IFERROR(__xludf.DUMMYFUNCTION("GOOGLETRANSLATE(B32051,""en"",""de"")"),"Der Mann dreht sich nach rechts.")</f>
        <v>Der Mann dreht sich nach rechts.</v>
      </c>
    </row>
    <row r="32052">
      <c r="A32052" s="4" t="s">
        <v>40350</v>
      </c>
      <c r="B32052" s="4" t="s">
        <v>40355</v>
      </c>
      <c r="C32052" s="5" t="str">
        <f>IFERROR(__xludf.DUMMYFUNCTION("GOOGLETRANSLATE(B32052,""en"",""de"")"),"Der Mann macht sich langsam auf den Weg zur rechten Seite des Raumes.")</f>
        <v>Der Mann macht sich langsam auf den Weg zur rechten Seite des Raumes.</v>
      </c>
    </row>
    <row r="32053">
      <c r="A32053" s="4" t="s">
        <v>40350</v>
      </c>
      <c r="B32053" s="4" t="s">
        <v>40356</v>
      </c>
      <c r="C32053" s="5" t="str">
        <f>IFERROR(__xludf.DUMMYFUNCTION("GOOGLETRANSLATE(B32053,""en"",""de"")"),"Der Bildschirm verblasst dann zu schwarz.")</f>
        <v>Der Bildschirm verblasst dann zu schwarz.</v>
      </c>
    </row>
    <row r="32054">
      <c r="A32054" s="4" t="s">
        <v>40357</v>
      </c>
      <c r="B32054" s="4" t="s">
        <v>40358</v>
      </c>
      <c r="C32054" s="5" t="str">
        <f>IFERROR(__xludf.DUMMYFUNCTION("GOOGLETRANSLATE(B32054,""en"",""de"")"),"Ein junger Mann spielt die Geige auf einem Bürgersteig für Menschen in der Innenstadt.")</f>
        <v>Ein junger Mann spielt die Geige auf einem Bürgersteig für Menschen in der Innenstadt.</v>
      </c>
    </row>
    <row r="32055">
      <c r="A32055" s="4" t="s">
        <v>40357</v>
      </c>
      <c r="B32055" s="4" t="s">
        <v>40359</v>
      </c>
      <c r="C32055" s="5" t="str">
        <f>IFERROR(__xludf.DUMMYFUNCTION("GOOGLETRANSLATE(B32055,""en"",""de"")"),"Zwei Studenten gehen hinter dem Musiker vorbei, während er spielt.")</f>
        <v>Zwei Studenten gehen hinter dem Musiker vorbei, während er spielt.</v>
      </c>
    </row>
    <row r="32056">
      <c r="A32056" s="4" t="s">
        <v>40357</v>
      </c>
      <c r="B32056" s="4" t="s">
        <v>40360</v>
      </c>
      <c r="C32056" s="5" t="str">
        <f>IFERROR(__xludf.DUMMYFUNCTION("GOOGLETRANSLATE(B32056,""en"",""de"")"),"Die Frau auf der Bank hat sich gedreht, um dem Mann das Lied zu spielen.")</f>
        <v>Die Frau auf der Bank hat sich gedreht, um dem Mann das Lied zu spielen.</v>
      </c>
    </row>
    <row r="32057">
      <c r="A32057" s="4" t="s">
        <v>40357</v>
      </c>
      <c r="B32057" s="4" t="s">
        <v>40361</v>
      </c>
      <c r="C32057" s="5" t="str">
        <f>IFERROR(__xludf.DUMMYFUNCTION("GOOGLETRANSLATE(B32057,""en"",""de"")"),"Ein Mann lässt sich im Musikerpokal nach seinem Spielen ändern.")</f>
        <v>Ein Mann lässt sich im Musikerpokal nach seinem Spielen ändern.</v>
      </c>
    </row>
    <row r="32058">
      <c r="A32058" s="4" t="s">
        <v>40362</v>
      </c>
      <c r="B32058" s="4" t="s">
        <v>40363</v>
      </c>
      <c r="C32058" s="5" t="str">
        <f>IFERROR(__xludf.DUMMYFUNCTION("GOOGLETRANSLATE(B32058,""en"",""de"")"),"Ein Mann fährt mit einem Pferd in einem Rodeo und fängt einen Stier, während die Leute sie beobachten und andere Mann in einem HSE auf Seite des Hofes stehen.")</f>
        <v>Ein Mann fährt mit einem Pferd in einem Rodeo und fängt einen Stier, während die Leute sie beobachten und andere Mann in einem HSE auf Seite des Hofes stehen.</v>
      </c>
    </row>
    <row r="32059">
      <c r="A32059" s="4" t="s">
        <v>40362</v>
      </c>
      <c r="B32059" s="4" t="s">
        <v>40364</v>
      </c>
      <c r="C32059" s="5" t="str">
        <f>IFERROR(__xludf.DUMMYFUNCTION("GOOGLETRANSLATE(B32059,""en"",""de"")"),"Männer reiten mit einem Pferd in einer Scheune und werfen ein Seil, um einen Stier zu fangen.")</f>
        <v>Männer reiten mit einem Pferd in einer Scheune und werfen ein Seil, um einen Stier zu fangen.</v>
      </c>
    </row>
    <row r="32060">
      <c r="A32060" s="4" t="s">
        <v>40365</v>
      </c>
      <c r="B32060" s="4" t="s">
        <v>40366</v>
      </c>
      <c r="C32060" s="5" t="str">
        <f>IFERROR(__xludf.DUMMYFUNCTION("GOOGLETRANSLATE(B32060,""en"",""de"")"),"Ein Mann nimmt sein Hemd aus.")</f>
        <v>Ein Mann nimmt sein Hemd aus.</v>
      </c>
    </row>
    <row r="32061">
      <c r="A32061" s="4" t="s">
        <v>40365</v>
      </c>
      <c r="B32061" s="4" t="s">
        <v>40367</v>
      </c>
      <c r="C32061" s="5" t="str">
        <f>IFERROR(__xludf.DUMMYFUNCTION("GOOGLETRANSLATE(B32061,""en"",""de"")"),"Er beginnt Karate -Bewegungen auf einer blauen Matte zu machen.")</f>
        <v>Er beginnt Karate -Bewegungen auf einer blauen Matte zu machen.</v>
      </c>
    </row>
    <row r="32062">
      <c r="A32062" s="4" t="s">
        <v>40365</v>
      </c>
      <c r="B32062" s="4" t="s">
        <v>40368</v>
      </c>
      <c r="C32062" s="5" t="str">
        <f>IFERROR(__xludf.DUMMYFUNCTION("GOOGLETRANSLATE(B32062,""en"",""de"")"),"Er macht mehrere Flips in der Luft.")</f>
        <v>Er macht mehrere Flips in der Luft.</v>
      </c>
    </row>
    <row r="32063">
      <c r="A32063" s="4" t="s">
        <v>40369</v>
      </c>
      <c r="B32063" s="4" t="s">
        <v>40370</v>
      </c>
      <c r="C32063" s="5" t="str">
        <f>IFERROR(__xludf.DUMMYFUNCTION("GOOGLETRANSLATE(B32063,""en"",""de"")"),"Zuerst schläft die junge Frau in ihrem Bett, aber dann wacht sie auf, um etwas zu sagen.")</f>
        <v>Zuerst schläft die junge Frau in ihrem Bett, aber dann wacht sie auf, um etwas zu sagen.</v>
      </c>
    </row>
    <row r="32064">
      <c r="A32064" s="4" t="s">
        <v>40369</v>
      </c>
      <c r="B32064" s="4" t="s">
        <v>40371</v>
      </c>
      <c r="C32064" s="5" t="str">
        <f>IFERROR(__xludf.DUMMYFUNCTION("GOOGLETRANSLATE(B32064,""en"",""de"")"),"Als nächstes zeigt sie sich im Restaurant, das Pommes isst, und dann wird sie wieder in ihrem Zimmer gezeigt, starrt die Kleidung auf ihrem Bett und zieht ihre Schuhe an.")</f>
        <v>Als nächstes zeigt sie sich im Restaurant, das Pommes isst, und dann wird sie wieder in ihrem Zimmer gezeigt, starrt die Kleidung auf ihrem Bett und zieht ihre Schuhe an.</v>
      </c>
    </row>
    <row r="32065">
      <c r="A32065" s="4" t="s">
        <v>40369</v>
      </c>
      <c r="B32065" s="4" t="s">
        <v>40372</v>
      </c>
      <c r="C32065" s="5" t="str">
        <f>IFERROR(__xludf.DUMMYFUNCTION("GOOGLETRANSLATE(B32065,""en"",""de"")"),"Sie wird auch gezeigt, dass sie Spaß im Video tut, und andere Mädchen sind es auch.")</f>
        <v>Sie wird auch gezeigt, dass sie Spaß im Video tut, und andere Mädchen sind es auch.</v>
      </c>
    </row>
    <row r="32066">
      <c r="A32066" s="4" t="s">
        <v>40373</v>
      </c>
      <c r="B32066" s="4" t="s">
        <v>40374</v>
      </c>
      <c r="C32066" s="5" t="str">
        <f>IFERROR(__xludf.DUMMYFUNCTION("GOOGLETRANSLATE(B32066,""en"",""de"")"),"Ein junger Mann steckt Waschmittel in einen blauen Eimer und zeigt dann, wie man ein Bildschirmfenster mit einem Rakel reinigt.")</f>
        <v>Ein junger Mann steckt Waschmittel in einen blauen Eimer und zeigt dann, wie man ein Bildschirmfenster mit einem Rakel reinigt.</v>
      </c>
    </row>
    <row r="32067">
      <c r="A32067" s="4" t="s">
        <v>40373</v>
      </c>
      <c r="B32067" s="4" t="s">
        <v>40375</v>
      </c>
      <c r="C32067" s="5" t="str">
        <f>IFERROR(__xludf.DUMMYFUNCTION("GOOGLETRANSLATE(B32067,""en"",""de"")"),"Danach reinigt der junge Mann den nassen Bildschirm mit einem Tuch.")</f>
        <v>Danach reinigt der junge Mann den nassen Bildschirm mit einem Tuch.</v>
      </c>
    </row>
    <row r="32068">
      <c r="A32068" s="4" t="s">
        <v>40373</v>
      </c>
      <c r="B32068" s="4" t="s">
        <v>40376</v>
      </c>
      <c r="C32068" s="5" t="str">
        <f>IFERROR(__xludf.DUMMYFUNCTION("GOOGLETRANSLATE(B32068,""en"",""de"")"),"Der junge Mann vergleicht einen Schmutzbildschirm mit dem sauberen und vergleicht einen Schlag.")</f>
        <v>Der junge Mann vergleicht einen Schmutzbildschirm mit dem sauberen und vergleicht einen Schlag.</v>
      </c>
    </row>
    <row r="32069">
      <c r="A32069" s="4" t="s">
        <v>40377</v>
      </c>
      <c r="B32069" s="4" t="s">
        <v>40378</v>
      </c>
      <c r="C32069" s="5" t="str">
        <f>IFERROR(__xludf.DUMMYFUNCTION("GOOGLETRANSLATE(B32069,""en"",""de"")"),"Eine Kamera schwenkt um einen eingezäunten Bereich und führt zu einem Mann und seinem Hund, der mit einem Frisbee Tricks aufführt.")</f>
        <v>Eine Kamera schwenkt um einen eingezäunten Bereich und führt zu einem Mann und seinem Hund, der mit einem Frisbee Tricks aufführt.</v>
      </c>
    </row>
    <row r="32070">
      <c r="A32070" s="4" t="s">
        <v>40377</v>
      </c>
      <c r="B32070" s="4" t="s">
        <v>40379</v>
      </c>
      <c r="C32070" s="5" t="str">
        <f>IFERROR(__xludf.DUMMYFUNCTION("GOOGLETRANSLATE(B32070,""en"",""de"")"),"Das A führt weiterhin Tricks mit dem Hund durch, indem er das Spielzeug und andere Hunde benutzt, die nebenbei beobachten.")</f>
        <v>Das A führt weiterhin Tricks mit dem Hund durch, indem er das Spielzeug und andere Hunde benutzt, die nebenbei beobachten.</v>
      </c>
    </row>
    <row r="32071">
      <c r="A32071" s="4" t="s">
        <v>40380</v>
      </c>
      <c r="B32071" s="4" t="s">
        <v>40381</v>
      </c>
      <c r="C32071" s="5" t="str">
        <f>IFERROR(__xludf.DUMMYFUNCTION("GOOGLETRANSLATE(B32071,""en"",""de"")"),"Eine Collage von Zeichnungen und Logos ist in Schwarzweiß zu sehen, die ein größeres Logo bilden.")</f>
        <v>Eine Collage von Zeichnungen und Logos ist in Schwarzweiß zu sehen, die ein größeres Logo bilden.</v>
      </c>
    </row>
    <row r="32072">
      <c r="A32072" s="4" t="s">
        <v>40380</v>
      </c>
      <c r="B32072" s="4" t="s">
        <v>40382</v>
      </c>
      <c r="C32072" s="5" t="str">
        <f>IFERROR(__xludf.DUMMYFUNCTION("GOOGLETRANSLATE(B32072,""en"",""de"")"),"Ein Strand ist aus der Ferne zu sehen und Häuser sind auf einem Hügel in einer kleinen Strandstadt zu sehen.")</f>
        <v>Ein Strand ist aus der Ferne zu sehen und Häuser sind auf einem Hügel in einer kleinen Strandstadt zu sehen.</v>
      </c>
    </row>
    <row r="32073">
      <c r="A32073" s="4" t="s">
        <v>40380</v>
      </c>
      <c r="B32073" s="4" t="s">
        <v>40383</v>
      </c>
      <c r="C32073" s="5" t="str">
        <f>IFERROR(__xludf.DUMMYFUNCTION("GOOGLETRANSLATE(B32073,""en"",""de"")"),"Ein Surfer geht zum Strand hinunter.")</f>
        <v>Ein Surfer geht zum Strand hinunter.</v>
      </c>
    </row>
    <row r="32074">
      <c r="A32074" s="4" t="s">
        <v>40380</v>
      </c>
      <c r="B32074" s="4" t="s">
        <v>32466</v>
      </c>
      <c r="C32074" s="5" t="str">
        <f>IFERROR(__xludf.DUMMYFUNCTION("GOOGLETRANSLATE(B32074,""en"",""de"")"),"Surfer reiten große Wellen im Meer.")</f>
        <v>Surfer reiten große Wellen im Meer.</v>
      </c>
    </row>
    <row r="32075">
      <c r="A32075" s="4" t="s">
        <v>40384</v>
      </c>
      <c r="B32075" s="4" t="s">
        <v>40385</v>
      </c>
      <c r="C32075" s="5" t="str">
        <f>IFERROR(__xludf.DUMMYFUNCTION("GOOGLETRANSLATE(B32075,""en"",""de"")"),"Eine Frau sieht in der Ferne ab, die an einer Mundharmonika festhält.")</f>
        <v>Eine Frau sieht in der Ferne ab, die an einer Mundharmonika festhält.</v>
      </c>
    </row>
    <row r="32076">
      <c r="A32076" s="4" t="s">
        <v>40384</v>
      </c>
      <c r="B32076" s="4" t="s">
        <v>40386</v>
      </c>
      <c r="C32076" s="5" t="str">
        <f>IFERROR(__xludf.DUMMYFUNCTION("GOOGLETRANSLATE(B32076,""en"",""de"")"),"Sie beginnt die Mundharmonika zu spielen, während sie von der Kamera wegblickt.")</f>
        <v>Sie beginnt die Mundharmonika zu spielen, während sie von der Kamera wegblickt.</v>
      </c>
    </row>
    <row r="32077">
      <c r="A32077" s="4" t="s">
        <v>40384</v>
      </c>
      <c r="B32077" s="4" t="s">
        <v>40387</v>
      </c>
      <c r="C32077" s="5" t="str">
        <f>IFERROR(__xludf.DUMMYFUNCTION("GOOGLETRANSLATE(B32077,""en"",""de"")"),"Das spielt weiterhin die Mundharmonika und hält an, um auf die Kamera hinunterzuschauen.")</f>
        <v>Das spielt weiterhin die Mundharmonika und hält an, um auf die Kamera hinunterzuschauen.</v>
      </c>
    </row>
    <row r="32078">
      <c r="A32078" s="4" t="s">
        <v>40388</v>
      </c>
      <c r="B32078" s="4" t="s">
        <v>40389</v>
      </c>
      <c r="C32078" s="5" t="str">
        <f>IFERROR(__xludf.DUMMYFUNCTION("GOOGLETRANSLATE(B32078,""en"",""de"")"),"Eine Person, die eine Kettensäge verwendet, schneidet die Gliedmaßen von einem Baum ab.")</f>
        <v>Eine Person, die eine Kettensäge verwendet, schneidet die Gliedmaßen von einem Baum ab.</v>
      </c>
    </row>
    <row r="32079">
      <c r="A32079" s="4" t="s">
        <v>40388</v>
      </c>
      <c r="B32079" s="4" t="s">
        <v>40390</v>
      </c>
      <c r="C32079" s="5" t="str">
        <f>IFERROR(__xludf.DUMMYFUNCTION("GOOGLETRANSLATE(B32079,""en"",""de"")"),"Der Mann verwendet eine Erweiterung, um ein Glied von der Oberseite des Baumes zu schneiden.")</f>
        <v>Der Mann verwendet eine Erweiterung, um ein Glied von der Oberseite des Baumes zu schneiden.</v>
      </c>
    </row>
    <row r="32080">
      <c r="A32080" s="4" t="s">
        <v>40391</v>
      </c>
      <c r="B32080" s="4" t="s">
        <v>40392</v>
      </c>
      <c r="C32080" s="5" t="str">
        <f>IFERROR(__xludf.DUMMYFUNCTION("GOOGLETRANSLATE(B32080,""en"",""de"")"),"Ein Mann steigt von einem Dampfhang auf seinem Snowboard herab.")</f>
        <v>Ein Mann steigt von einem Dampfhang auf seinem Snowboard herab.</v>
      </c>
    </row>
    <row r="32081">
      <c r="A32081" s="4" t="s">
        <v>40391</v>
      </c>
      <c r="B32081" s="4" t="s">
        <v>40393</v>
      </c>
      <c r="C32081" s="5" t="str">
        <f>IFERROR(__xludf.DUMMYFUNCTION("GOOGLETRANSLATE(B32081,""en"",""de"")"),"Ein anderer fängt Luft auf, als er über einen schneebedeckten Hügel fliegt.")</f>
        <v>Ein anderer fängt Luft auf, als er über einen schneebedeckten Hügel fliegt.</v>
      </c>
    </row>
    <row r="32082">
      <c r="A32082" s="4" t="s">
        <v>40391</v>
      </c>
      <c r="B32082" s="4" t="s">
        <v>40394</v>
      </c>
      <c r="C32082" s="5" t="str">
        <f>IFERROR(__xludf.DUMMYFUNCTION("GOOGLETRANSLATE(B32082,""en"",""de"")"),"Ein anderer Snowboarder gleitet scharf einen steilen Hügel hinunter zur Basis.")</f>
        <v>Ein anderer Snowboarder gleitet scharf einen steilen Hügel hinunter zur Basis.</v>
      </c>
    </row>
    <row r="32083">
      <c r="A32083" s="4" t="s">
        <v>40391</v>
      </c>
      <c r="B32083" s="4" t="s">
        <v>40395</v>
      </c>
      <c r="C32083" s="5" t="str">
        <f>IFERROR(__xludf.DUMMYFUNCTION("GOOGLETRANSLATE(B32083,""en"",""de"")"),"Ein Mann in Grau wird gezeigt, der einige Tricks in der Luft ausführt.")</f>
        <v>Ein Mann in Grau wird gezeigt, der einige Tricks in der Luft ausführt.</v>
      </c>
    </row>
    <row r="32084">
      <c r="A32084" s="4" t="s">
        <v>40391</v>
      </c>
      <c r="B32084" s="4" t="s">
        <v>40396</v>
      </c>
      <c r="C32084" s="5" t="str">
        <f>IFERROR(__xludf.DUMMYFUNCTION("GOOGLETRANSLATE(B32084,""en"",""de"")"),"Die Perspektive eines Snowboarders, der einen Hügel hinuntergeht, wird gezeigt.")</f>
        <v>Die Perspektive eines Snowboarders, der einen Hügel hinuntergeht, wird gezeigt.</v>
      </c>
    </row>
    <row r="32085">
      <c r="A32085" s="4" t="s">
        <v>40391</v>
      </c>
      <c r="B32085" s="4" t="s">
        <v>40397</v>
      </c>
      <c r="C32085" s="5" t="str">
        <f>IFERROR(__xludf.DUMMYFUNCTION("GOOGLETRANSLATE(B32085,""en"",""de"")"),"Ein anderer Snowboarder fliegt den Hügel hinunter und schneidet links und rechts fachmännisch ab.")</f>
        <v>Ein anderer Snowboarder fliegt den Hügel hinunter und schneidet links und rechts fachmännisch ab.</v>
      </c>
    </row>
    <row r="32086">
      <c r="A32086" s="4" t="s">
        <v>40391</v>
      </c>
      <c r="B32086" s="4" t="s">
        <v>40398</v>
      </c>
      <c r="C32086" s="5" t="str">
        <f>IFERROR(__xludf.DUMMYFUNCTION("GOOGLETRANSLATE(B32086,""en"",""de"")"),"Es werden verschiedene Filmmaterialien von Snowboardern gezeigt, die große Hänge absteigern.")</f>
        <v>Es werden verschiedene Filmmaterialien von Snowboardern gezeigt, die große Hänge absteigern.</v>
      </c>
    </row>
    <row r="32087">
      <c r="A32087" s="4" t="s">
        <v>40391</v>
      </c>
      <c r="B32087" s="4" t="s">
        <v>40399</v>
      </c>
      <c r="C32087" s="5" t="str">
        <f>IFERROR(__xludf.DUMMYFUNCTION("GOOGLETRANSLATE(B32087,""en"",""de"")"),"Die erste Person Perspektive des Snowboarders mit anderer Fahrer vor ihm schließt das Video.")</f>
        <v>Die erste Person Perspektive des Snowboarders mit anderer Fahrer vor ihm schließt das Video.</v>
      </c>
    </row>
    <row r="32088">
      <c r="A32088" s="4" t="s">
        <v>40400</v>
      </c>
      <c r="B32088" s="4" t="s">
        <v>40401</v>
      </c>
      <c r="C32088" s="5" t="str">
        <f>IFERROR(__xludf.DUMMYFUNCTION("GOOGLETRANSLATE(B32088,""en"",""de"")"),"Die Frau im weißen Pullover spricht mit der Kamera.")</f>
        <v>Die Frau im weißen Pullover spricht mit der Kamera.</v>
      </c>
    </row>
    <row r="32089">
      <c r="A32089" s="4" t="s">
        <v>40400</v>
      </c>
      <c r="B32089" s="4" t="s">
        <v>40402</v>
      </c>
      <c r="C32089" s="5" t="str">
        <f>IFERROR(__xludf.DUMMYFUNCTION("GOOGLETRANSLATE(B32089,""en"",""de"")"),"Die Frau hält eine Geige und Stock.")</f>
        <v>Die Frau hält eine Geige und Stock.</v>
      </c>
    </row>
    <row r="32090">
      <c r="A32090" s="4" t="s">
        <v>40400</v>
      </c>
      <c r="B32090" s="4" t="s">
        <v>40403</v>
      </c>
      <c r="C32090" s="5" t="str">
        <f>IFERROR(__xludf.DUMMYFUNCTION("GOOGLETRANSLATE(B32090,""en"",""de"")"),"Die Frau legte die Geige zwischen Nacken und Schulter und begann einige Sekunden lang zu spielen und sprach dann mit der Kamera.")</f>
        <v>Die Frau legte die Geige zwischen Nacken und Schulter und begann einige Sekunden lang zu spielen und sprach dann mit der Kamera.</v>
      </c>
    </row>
    <row r="32091">
      <c r="A32091" s="4" t="s">
        <v>40404</v>
      </c>
      <c r="B32091" s="4" t="s">
        <v>40405</v>
      </c>
      <c r="C32091" s="5" t="str">
        <f>IFERROR(__xludf.DUMMYFUNCTION("GOOGLETRANSLATE(B32091,""en"",""de"")"),"Die Menschen stehen an der Grenze der Tauchbretter und tauchen im Wasser tauchen.")</f>
        <v>Die Menschen stehen an der Grenze der Tauchbretter und tauchen im Wasser tauchen.</v>
      </c>
    </row>
    <row r="32092">
      <c r="A32092" s="4" t="s">
        <v>40404</v>
      </c>
      <c r="B32092" s="4" t="s">
        <v>40406</v>
      </c>
      <c r="C32092" s="5" t="str">
        <f>IFERROR(__xludf.DUMMYFUNCTION("GOOGLETRANSLATE(B32092,""en"",""de"")"),"Schwimmer stehen auf den Tauchbrettern, dann springen sie in die Luft und tauchen im Wasser.")</f>
        <v>Schwimmer stehen auf den Tauchbrettern, dann springen sie in die Luft und tauchen im Wasser.</v>
      </c>
    </row>
    <row r="32093">
      <c r="A32093" s="4" t="s">
        <v>40404</v>
      </c>
      <c r="B32093" s="4" t="s">
        <v>40407</v>
      </c>
      <c r="C32093" s="5" t="str">
        <f>IFERROR(__xludf.DUMMYFUNCTION("GOOGLETRANSLATE(B32093,""en"",""de"")"),"Schwimmer springen aus dem Tauchbrett, sie drehen dreimal in der Luft, bevor sie das Wasser tauchten.")</f>
        <v>Schwimmer springen aus dem Tauchbrett, sie drehen dreimal in der Luft, bevor sie das Wasser tauchten.</v>
      </c>
    </row>
    <row r="32094">
      <c r="A32094" s="4" t="s">
        <v>40408</v>
      </c>
      <c r="B32094" s="4" t="s">
        <v>40409</v>
      </c>
      <c r="C32094" s="5" t="str">
        <f>IFERROR(__xludf.DUMMYFUNCTION("GOOGLETRANSLATE(B32094,""en"",""de"")"),"Ein Mädchen demonstriert, wie eine Akustikgitarre mit ihren Händen spielt, um Percussion -Geräusche auf dem Körper der Gitarre zu erzeugen.")</f>
        <v>Ein Mädchen demonstriert, wie eine Akustikgitarre mit ihren Händen spielt, um Percussion -Geräusche auf dem Körper der Gitarre zu erzeugen.</v>
      </c>
    </row>
    <row r="32095">
      <c r="A32095" s="4" t="s">
        <v>40408</v>
      </c>
      <c r="B32095" s="4" t="s">
        <v>40410</v>
      </c>
      <c r="C32095" s="5" t="str">
        <f>IFERROR(__xludf.DUMMYFUNCTION("GOOGLETRANSLATE(B32095,""en"",""de"")"),"Ein Mädchen betritt einen Raum, in dem sich eine Akustikgitarre gegen ein Sofa lehnt und sich auf das Sofa setzt und beginnt, Gitarre zu spielen.")</f>
        <v>Ein Mädchen betritt einen Raum, in dem sich eine Akustikgitarre gegen ein Sofa lehnt und sich auf das Sofa setzt und beginnt, Gitarre zu spielen.</v>
      </c>
    </row>
    <row r="32096">
      <c r="A32096" s="4" t="s">
        <v>40408</v>
      </c>
      <c r="B32096" s="4" t="s">
        <v>40411</v>
      </c>
      <c r="C32096" s="5" t="str">
        <f>IFERROR(__xludf.DUMMYFUNCTION("GOOGLETRANSLATE(B32096,""en"",""de"")"),"Das Mädchen benutzt ihre rechte Hand, um mit der Gitarre Beats zu machen, und pflückt Akkorde mit der linken Hand, während sie aufmerksam auf die Gitarre starrt.")</f>
        <v>Das Mädchen benutzt ihre rechte Hand, um mit der Gitarre Beats zu machen, und pflückt Akkorde mit der linken Hand, während sie aufmerksam auf die Gitarre starrt.</v>
      </c>
    </row>
    <row r="32097">
      <c r="A32097" s="4" t="s">
        <v>40408</v>
      </c>
      <c r="B32097" s="4" t="s">
        <v>40412</v>
      </c>
      <c r="C32097" s="5" t="str">
        <f>IFERROR(__xludf.DUMMYFUNCTION("GOOGLETRANSLATE(B32097,""en"",""de"")"),"Das Mädchen spielt weiterhin intensiv und nickt gelegentlich mit dem Kopf in den Rhythmus.")</f>
        <v>Das Mädchen spielt weiterhin intensiv und nickt gelegentlich mit dem Kopf in den Rhythmus.</v>
      </c>
    </row>
    <row r="32098">
      <c r="A32098" s="4" t="s">
        <v>40413</v>
      </c>
      <c r="B32098" s="4" t="s">
        <v>40414</v>
      </c>
      <c r="C32098" s="5" t="str">
        <f>IFERROR(__xludf.DUMMYFUNCTION("GOOGLETRANSLATE(B32098,""en"",""de"")"),"Ein junger Mann im grünen Hemd steht am Tor, während der junge Spieler in Blue den Ball zum Tor trat und der Ball ins Tor ging, der Mann in grünem Hemd den Ball verpasste.")</f>
        <v>Ein junger Mann im grünen Hemd steht am Tor, während der junge Spieler in Blue den Ball zum Tor trat und der Ball ins Tor ging, der Mann in grünem Hemd den Ball verpasste.</v>
      </c>
    </row>
    <row r="32099">
      <c r="A32099" s="4" t="s">
        <v>40413</v>
      </c>
      <c r="B32099" s="4" t="s">
        <v>40415</v>
      </c>
      <c r="C32099" s="5" t="str">
        <f>IFERROR(__xludf.DUMMYFUNCTION("GOOGLETRANSLATE(B32099,""en"",""de"")"),"Der Mann im roten Hemd rannte zum Ball, trat den Ball und der Torhüter konnte ihn nicht blockieren, der Spieler hoch fünf seine Teamkollegen.")</f>
        <v>Der Mann im roten Hemd rannte zum Ball, trat den Ball und der Torhüter konnte ihn nicht blockieren, der Spieler hoch fünf seine Teamkollegen.</v>
      </c>
    </row>
    <row r="32100">
      <c r="A32100" s="4" t="s">
        <v>40413</v>
      </c>
      <c r="B32100" s="4" t="s">
        <v>40416</v>
      </c>
      <c r="C32100" s="5" t="str">
        <f>IFERROR(__xludf.DUMMYFUNCTION("GOOGLETRANSLATE(B32100,""en"",""de"")"),"Die Spieler treten den Ball zum Tor und die Torhüter konnten den Ball nicht blockieren.")</f>
        <v>Die Spieler treten den Ball zum Tor und die Torhüter konnten den Ball nicht blockieren.</v>
      </c>
    </row>
    <row r="32101">
      <c r="A32101" s="4" t="s">
        <v>40417</v>
      </c>
      <c r="B32101" s="4" t="s">
        <v>40418</v>
      </c>
      <c r="C32101" s="5" t="str">
        <f>IFERROR(__xludf.DUMMYFUNCTION("GOOGLETRANSLATE(B32101,""en"",""de"")"),"Wir sehen eine Szene eines Stierkampfs mit Matadors im Ring und sehen, wie sie die Bullen stechen.")</f>
        <v>Wir sehen eine Szene eines Stierkampfs mit Matadors im Ring und sehen, wie sie die Bullen stechen.</v>
      </c>
    </row>
    <row r="32102">
      <c r="A32102" s="4" t="s">
        <v>40417</v>
      </c>
      <c r="B32102" s="4" t="s">
        <v>40419</v>
      </c>
      <c r="C32102" s="5" t="str">
        <f>IFERROR(__xludf.DUMMYFUNCTION("GOOGLETRANSLATE(B32102,""en"",""de"")"),"Wir sehen Bilder von blutigen Bullen und Kadaver, die auf den Boden gezogen werden.")</f>
        <v>Wir sehen Bilder von blutigen Bullen und Kadaver, die auf den Boden gezogen werden.</v>
      </c>
    </row>
    <row r="32103">
      <c r="A32103" s="4" t="s">
        <v>40417</v>
      </c>
      <c r="B32103" s="4" t="s">
        <v>40420</v>
      </c>
      <c r="C32103" s="5" t="str">
        <f>IFERROR(__xludf.DUMMYFUNCTION("GOOGLETRANSLATE(B32103,""en"",""de"")"),"Wir sehen Bilder eines Stiers in einem Schlachthaus.")</f>
        <v>Wir sehen Bilder eines Stiers in einem Schlachthaus.</v>
      </c>
    </row>
    <row r="32104">
      <c r="A32104" s="4" t="s">
        <v>40417</v>
      </c>
      <c r="B32104" s="4" t="s">
        <v>40421</v>
      </c>
      <c r="C32104" s="5" t="str">
        <f>IFERROR(__xludf.DUMMYFUNCTION("GOOGLETRANSLATE(B32104,""en"",""de"")"),"Wörter gehen über den Bildschirm, über das Folter der Bullen.")</f>
        <v>Wörter gehen über den Bildschirm, über das Folter der Bullen.</v>
      </c>
    </row>
    <row r="32105">
      <c r="A32105" s="4" t="s">
        <v>40417</v>
      </c>
      <c r="B32105" s="4" t="s">
        <v>40422</v>
      </c>
      <c r="C32105" s="5" t="str">
        <f>IFERROR(__xludf.DUMMYFUNCTION("GOOGLETRANSLATE(B32105,""en"",""de"")"),"Wir sehen dann einen PETA -Endbildschirm.")</f>
        <v>Wir sehen dann einen PETA -Endbildschirm.</v>
      </c>
    </row>
    <row r="32106">
      <c r="A32106" s="4" t="s">
        <v>40423</v>
      </c>
      <c r="B32106" s="4" t="s">
        <v>40424</v>
      </c>
      <c r="C32106" s="5" t="str">
        <f>IFERROR(__xludf.DUMMYFUNCTION("GOOGLETRANSLATE(B32106,""en"",""de"")"),"Ein Kajakfahrer treibt in der Bucht eines Ozeans ab.")</f>
        <v>Ein Kajakfahrer treibt in der Bucht eines Ozeans ab.</v>
      </c>
    </row>
    <row r="32107">
      <c r="A32107" s="4" t="s">
        <v>40423</v>
      </c>
      <c r="B32107" s="4" t="s">
        <v>40425</v>
      </c>
      <c r="C32107" s="5" t="str">
        <f>IFERROR(__xludf.DUMMYFUNCTION("GOOGLETRANSLATE(B32107,""en"",""de"")"),"Zwei Kajakfahrer reden, während sie in ihren Kajaks sitzen.")</f>
        <v>Zwei Kajakfahrer reden, während sie in ihren Kajaks sitzen.</v>
      </c>
    </row>
    <row r="32108">
      <c r="A32108" s="4" t="s">
        <v>40423</v>
      </c>
      <c r="B32108" s="4" t="s">
        <v>40426</v>
      </c>
      <c r="C32108" s="5" t="str">
        <f>IFERROR(__xludf.DUMMYFUNCTION("GOOGLETRANSLATE(B32108,""en"",""de"")"),"Der Blick auf die umliegenden Berge ist zu sehen.")</f>
        <v>Der Blick auf die umliegenden Berge ist zu sehen.</v>
      </c>
    </row>
    <row r="32109">
      <c r="A32109" s="4" t="s">
        <v>40427</v>
      </c>
      <c r="B32109" s="4" t="s">
        <v>40428</v>
      </c>
      <c r="C32109" s="5" t="str">
        <f>IFERROR(__xludf.DUMMYFUNCTION("GOOGLETRANSLATE(B32109,""en"",""de"")"),"Zwei Menschen stehen in einer Küche.")</f>
        <v>Zwei Menschen stehen in einer Küche.</v>
      </c>
    </row>
    <row r="32110">
      <c r="A32110" s="4" t="s">
        <v>40427</v>
      </c>
      <c r="B32110" s="4" t="s">
        <v>40429</v>
      </c>
      <c r="C32110" s="5" t="str">
        <f>IFERROR(__xludf.DUMMYFUNCTION("GOOGLETRANSLATE(B32110,""en"",""de"")"),"Ein Mann bewegt eine Glasschale vom Theke.")</f>
        <v>Ein Mann bewegt eine Glasschale vom Theke.</v>
      </c>
    </row>
    <row r="32111">
      <c r="A32111" s="4" t="s">
        <v>40427</v>
      </c>
      <c r="B32111" s="4" t="s">
        <v>40430</v>
      </c>
      <c r="C32111" s="5" t="str">
        <f>IFERROR(__xludf.DUMMYFUNCTION("GOOGLETRANSLATE(B32111,""en"",""de"")"),"Eine Frau fängt an, eine Tomate auf einem Brett zu hacken.")</f>
        <v>Eine Frau fängt an, eine Tomate auf einem Brett zu hacken.</v>
      </c>
    </row>
    <row r="32112">
      <c r="A32112" s="4" t="s">
        <v>40431</v>
      </c>
      <c r="B32112" s="4" t="s">
        <v>40432</v>
      </c>
      <c r="C32112" s="5" t="str">
        <f>IFERROR(__xludf.DUMMYFUNCTION("GOOGLETRANSLATE(B32112,""en"",""de"")"),"Wir ein Mann waschen Geschirr in einer Restaurantküche mit zwei anderen Männern, die hinter ihm stehen, um seine Schulter zu massieren.")</f>
        <v>Wir ein Mann waschen Geschirr in einer Restaurantküche mit zwei anderen Männern, die hinter ihm stehen, um seine Schulter zu massieren.</v>
      </c>
    </row>
    <row r="32113">
      <c r="A32113" s="4" t="s">
        <v>40431</v>
      </c>
      <c r="B32113" s="4" t="s">
        <v>40433</v>
      </c>
      <c r="C32113" s="5" t="str">
        <f>IFERROR(__xludf.DUMMYFUNCTION("GOOGLETRANSLATE(B32113,""en"",""de"")"),"Teh Spülmaschine schüttelt den Mann von den Schultern.")</f>
        <v>Teh Spülmaschine schüttelt den Mann von den Schultern.</v>
      </c>
    </row>
    <row r="32114">
      <c r="A32114" s="4" t="s">
        <v>40431</v>
      </c>
      <c r="B32114" s="4" t="s">
        <v>40434</v>
      </c>
      <c r="C32114" s="5" t="str">
        <f>IFERROR(__xludf.DUMMYFUNCTION("GOOGLETRANSLATE(B32114,""en"",""de"")"),"Der Mann in der Rückseite in Blau geht aus dem Raum.")</f>
        <v>Der Mann in der Rückseite in Blau geht aus dem Raum.</v>
      </c>
    </row>
    <row r="32115">
      <c r="A32115" s="4" t="s">
        <v>40431</v>
      </c>
      <c r="B32115" s="4" t="s">
        <v>40435</v>
      </c>
      <c r="C32115" s="5" t="str">
        <f>IFERROR(__xludf.DUMMYFUNCTION("GOOGLETRANSLATE(B32115,""en"",""de"")"),"Der andere Mann gibt vor, Geschirr zu waschen und dann seine Hände zu waschen.")</f>
        <v>Der andere Mann gibt vor, Geschirr zu waschen und dann seine Hände zu waschen.</v>
      </c>
    </row>
    <row r="32116">
      <c r="A32116" s="4" t="s">
        <v>40436</v>
      </c>
      <c r="B32116" s="4" t="s">
        <v>40437</v>
      </c>
      <c r="C32116" s="5" t="str">
        <f>IFERROR(__xludf.DUMMYFUNCTION("GOOGLETRANSLATE(B32116,""en"",""de"")"),"Ein Reporter aus einem TV -Studio -Set.")</f>
        <v>Ein Reporter aus einem TV -Studio -Set.</v>
      </c>
    </row>
    <row r="32117">
      <c r="A32117" s="4" t="s">
        <v>40436</v>
      </c>
      <c r="B32117" s="4" t="s">
        <v>40438</v>
      </c>
      <c r="C32117" s="5" t="str">
        <f>IFERROR(__xludf.DUMMYFUNCTION("GOOGLETRANSLATE(B32117,""en"",""de"")"),"Dann zeigt er Reporter Interviews einem Mann, der eine weibliche Spielerin im nächsten einen Schwimmbad, während eine Gruppe von Spielern ins Wasser springt.")</f>
        <v>Dann zeigt er Reporter Interviews einem Mann, der eine weibliche Spielerin im nächsten einen Schwimmbad, während eine Gruppe von Spielern ins Wasser springt.</v>
      </c>
    </row>
    <row r="32118">
      <c r="A32118" s="4" t="s">
        <v>40436</v>
      </c>
      <c r="B32118" s="4" t="s">
        <v>40439</v>
      </c>
      <c r="C32118" s="5" t="str">
        <f>IFERROR(__xludf.DUMMYFUNCTION("GOOGLETRANSLATE(B32118,""en"",""de"")"),"Zwei Teams spielen im Schwimmbad Wasserball, während der Reporter weiterhin Menschen interviewt.")</f>
        <v>Zwei Teams spielen im Schwimmbad Wasserball, während der Reporter weiterhin Menschen interviewt.</v>
      </c>
    </row>
    <row r="32119">
      <c r="A32119" s="4" t="s">
        <v>40436</v>
      </c>
      <c r="B32119" s="4" t="s">
        <v>40440</v>
      </c>
      <c r="C32119" s="5" t="str">
        <f>IFERROR(__xludf.DUMMYFUNCTION("GOOGLETRANSLATE(B32119,""en"",""de"")"),"Eine Frau und ein Mann schreibt die Ergebnisse auf ein Spiel, dann applaudiert die Leute.")</f>
        <v>Eine Frau und ein Mann schreibt die Ergebnisse auf ein Spiel, dann applaudiert die Leute.</v>
      </c>
    </row>
    <row r="32120">
      <c r="A32120" s="4" t="s">
        <v>40436</v>
      </c>
      <c r="B32120" s="4" t="s">
        <v>40441</v>
      </c>
      <c r="C32120" s="5" t="str">
        <f>IFERROR(__xludf.DUMMYFUNCTION("GOOGLETRANSLATE(B32120,""en"",""de"")"),"Das Gewinnerteam holt das Wasser aus und feiert und dann interviewt der Reporter die Teammitglieder.")</f>
        <v>Das Gewinnerteam holt das Wasser aus und feiert und dann interviewt der Reporter die Teammitglieder.</v>
      </c>
    </row>
    <row r="32121">
      <c r="A32121" s="4" t="s">
        <v>40436</v>
      </c>
      <c r="B32121" s="4" t="s">
        <v>40442</v>
      </c>
      <c r="C32121" s="5" t="str">
        <f>IFERROR(__xludf.DUMMYFUNCTION("GOOGLETRANSLATE(B32121,""en"",""de"")"),"Auch hier steigt das Team ins Wasser und dann überträgt der Reporter aus einem Studio -Set.")</f>
        <v>Auch hier steigt das Team ins Wasser und dann überträgt der Reporter aus einem Studio -Set.</v>
      </c>
    </row>
    <row r="32122">
      <c r="A32122" s="4" t="s">
        <v>40443</v>
      </c>
      <c r="B32122" s="4" t="s">
        <v>40444</v>
      </c>
      <c r="C32122" s="5" t="str">
        <f>IFERROR(__xludf.DUMMYFUNCTION("GOOGLETRANSLATE(B32122,""en"",""de"")"),"Frau steht vor einer Theke, die mit der Kamera spricht und Getränke zeigt.")</f>
        <v>Frau steht vor einer Theke, die mit der Kamera spricht und Getränke zeigt.</v>
      </c>
    </row>
    <row r="32123">
      <c r="A32123" s="4" t="s">
        <v>40443</v>
      </c>
      <c r="B32123" s="4" t="s">
        <v>40445</v>
      </c>
      <c r="C32123" s="5" t="str">
        <f>IFERROR(__xludf.DUMMYFUNCTION("GOOGLETRANSLATE(B32123,""en"",""de"")"),"Frau greift den Saft und den Schnaps und serviert ihn in einer Tasse.")</f>
        <v>Frau greift den Saft und den Schnaps und serviert ihn in einer Tasse.</v>
      </c>
    </row>
    <row r="32124">
      <c r="A32124" s="4" t="s">
        <v>40443</v>
      </c>
      <c r="B32124" s="4" t="s">
        <v>40446</v>
      </c>
      <c r="C32124" s="5" t="str">
        <f>IFERROR(__xludf.DUMMYFUNCTION("GOOGLETRANSLATE(B32124,""en"",""de"")"),"Frau zeigt sich in einer Bar, wie man einen Cocktail vorbereitet.")</f>
        <v>Frau zeigt sich in einer Bar, wie man einen Cocktail vorbereitet.</v>
      </c>
    </row>
    <row r="32125">
      <c r="A32125" s="4" t="s">
        <v>40447</v>
      </c>
      <c r="B32125" s="4" t="s">
        <v>40448</v>
      </c>
      <c r="C32125" s="5" t="str">
        <f>IFERROR(__xludf.DUMMYFUNCTION("GOOGLETRANSLATE(B32125,""en"",""de"")"),"Ein Mann, der ein blaues Hemd trägt, geht zu einigen Congas und setzt sich.")</f>
        <v>Ein Mann, der ein blaues Hemd trägt, geht zu einigen Congas und setzt sich.</v>
      </c>
    </row>
    <row r="32126">
      <c r="A32126" s="4" t="s">
        <v>40447</v>
      </c>
      <c r="B32126" s="4" t="s">
        <v>40449</v>
      </c>
      <c r="C32126" s="5" t="str">
        <f>IFERROR(__xludf.DUMMYFUNCTION("GOOGLETRANSLATE(B32126,""en"",""de"")"),"Der Musiker beginnt Congas in einem kleinen Raum zu spielen.")</f>
        <v>Der Musiker beginnt Congas in einem kleinen Raum zu spielen.</v>
      </c>
    </row>
    <row r="32127">
      <c r="A32127" s="4" t="s">
        <v>40447</v>
      </c>
      <c r="B32127" s="4" t="s">
        <v>40450</v>
      </c>
      <c r="C32127" s="5" t="str">
        <f>IFERROR(__xludf.DUMMYFUNCTION("GOOGLETRANSLATE(B32127,""en"",""de"")"),"Der Mann steht dann auf und nähert sich der Kamera.")</f>
        <v>Der Mann steht dann auf und nähert sich der Kamera.</v>
      </c>
    </row>
    <row r="32128">
      <c r="A32128" s="4" t="s">
        <v>40451</v>
      </c>
      <c r="B32128" s="4" t="s">
        <v>40452</v>
      </c>
      <c r="C32128" s="5" t="str">
        <f>IFERROR(__xludf.DUMMYFUNCTION("GOOGLETRANSLATE(B32128,""en"",""de"")"),"Wir sehen Aufnahmen eines Waschbeckens.")</f>
        <v>Wir sehen Aufnahmen eines Waschbeckens.</v>
      </c>
    </row>
    <row r="32129">
      <c r="A32129" s="4" t="s">
        <v>40451</v>
      </c>
      <c r="B32129" s="4" t="s">
        <v>40453</v>
      </c>
      <c r="C32129" s="5" t="str">
        <f>IFERROR(__xludf.DUMMYFUNCTION("GOOGLETRANSLATE(B32129,""en"",""de"")"),"Eine Person sprüht das Waschbecken mit einer Flasche und schrubbt dann die Peelingbürsten.")</f>
        <v>Eine Person sprüht das Waschbecken mit einer Flasche und schrubbt dann die Peelingbürsten.</v>
      </c>
    </row>
    <row r="32130">
      <c r="A32130" s="4" t="s">
        <v>40451</v>
      </c>
      <c r="B32130" s="4" t="s">
        <v>40454</v>
      </c>
      <c r="C32130" s="5" t="str">
        <f>IFERROR(__xludf.DUMMYFUNCTION("GOOGLETRANSLATE(B32130,""en"",""de"")"),"Die Person spügt das Waschbecken mit einem blauen Handtuch.")</f>
        <v>Die Person spügt das Waschbecken mit einem blauen Handtuch.</v>
      </c>
    </row>
    <row r="32131">
      <c r="A32131" s="4" t="s">
        <v>40451</v>
      </c>
      <c r="B32131" s="4" t="s">
        <v>40455</v>
      </c>
      <c r="C32131" s="5" t="str">
        <f>IFERROR(__xludf.DUMMYFUNCTION("GOOGLETRANSLATE(B32131,""en"",""de"")"),"Die Person spült dann das Waschbecken wieder und wischt ihn erneut mit dem blauen Handtuch ab.")</f>
        <v>Die Person spült dann das Waschbecken wieder und wischt ihn erneut mit dem blauen Handtuch ab.</v>
      </c>
    </row>
    <row r="32132">
      <c r="A32132" s="4" t="s">
        <v>40451</v>
      </c>
      <c r="B32132" s="4" t="s">
        <v>40456</v>
      </c>
      <c r="C32132" s="5" t="str">
        <f>IFERROR(__xludf.DUMMYFUNCTION("GOOGLETRANSLATE(B32132,""en"",""de"")"),"Die Person sprüht das Waschbecken mit einer Lösung und verwendet eine kleine Rollenpinsel, um die Lösung in die Spüle zu führen.")</f>
        <v>Die Person sprüht das Waschbecken mit einer Lösung und verwendet eine kleine Rollenpinsel, um die Lösung in die Spüle zu führen.</v>
      </c>
    </row>
    <row r="32133">
      <c r="A32133" s="4" t="s">
        <v>40451</v>
      </c>
      <c r="B32133" s="4" t="s">
        <v>40457</v>
      </c>
      <c r="C32133" s="5" t="str">
        <f>IFERROR(__xludf.DUMMYFUNCTION("GOOGLETRANSLATE(B32133,""en"",""de"")"),"Wir sehen vor und nach dem Waschbecken.")</f>
        <v>Wir sehen vor und nach dem Waschbecken.</v>
      </c>
    </row>
    <row r="32134">
      <c r="A32134" s="4" t="s">
        <v>40458</v>
      </c>
      <c r="B32134" s="4" t="s">
        <v>40459</v>
      </c>
      <c r="C32134" s="5" t="str">
        <f>IFERROR(__xludf.DUMMYFUNCTION("GOOGLETRANSLATE(B32134,""en"",""de"")"),"Eine Gruppe von Menschen spielt Ping -Pong mit automatisierten Maschinen und Robotern.")</f>
        <v>Eine Gruppe von Menschen spielt Ping -Pong mit automatisierten Maschinen und Robotern.</v>
      </c>
    </row>
    <row r="32135">
      <c r="A32135" s="4" t="s">
        <v>40458</v>
      </c>
      <c r="B32135" s="4" t="s">
        <v>40460</v>
      </c>
      <c r="C32135" s="5" t="str">
        <f>IFERROR(__xludf.DUMMYFUNCTION("GOOGLETRANSLATE(B32135,""en"",""de"")"),"Ein Mann spielt Ping -Pong mit einer orangefarbenen Maschine mit einem roten Paddel am Ende eines Roboterarms.")</f>
        <v>Ein Mann spielt Ping -Pong mit einer orangefarbenen Maschine mit einem roten Paddel am Ende eines Roboterarms.</v>
      </c>
    </row>
    <row r="32136">
      <c r="A32136" s="4" t="s">
        <v>40458</v>
      </c>
      <c r="B32136" s="4" t="s">
        <v>40461</v>
      </c>
      <c r="C32136" s="5" t="str">
        <f>IFERROR(__xludf.DUMMYFUNCTION("GOOGLETRANSLATE(B32136,""en"",""de"")"),"Ein Mann und ein Kind spielen eine Ping -Pong über einen blauen Tischtenpong -Tisch, als ein Mann neben einer orange automatisierten Maschine steht und spricht.")</f>
        <v>Ein Mann und ein Kind spielen eine Ping -Pong über einen blauen Tischtenpong -Tisch, als ein Mann neben einer orange automatisierten Maschine steht und spricht.</v>
      </c>
    </row>
    <row r="32137">
      <c r="A32137" s="4" t="s">
        <v>40458</v>
      </c>
      <c r="B32137" s="4" t="s">
        <v>40462</v>
      </c>
      <c r="C32137" s="5" t="str">
        <f>IFERROR(__xludf.DUMMYFUNCTION("GOOGLETRANSLATE(B32137,""en"",""de"")"),"Ein anderer Mann spielt Ping -Pong über einen blauen Tischtenpong -Tisch mit einem weißen Metall, Roboter.")</f>
        <v>Ein anderer Mann spielt Ping -Pong über einen blauen Tischtenpong -Tisch mit einem weißen Metall, Roboter.</v>
      </c>
    </row>
    <row r="32138">
      <c r="A32138" s="4" t="s">
        <v>40458</v>
      </c>
      <c r="B32138" s="4" t="s">
        <v>40463</v>
      </c>
      <c r="C32138" s="5" t="str">
        <f>IFERROR(__xludf.DUMMYFUNCTION("GOOGLETRANSLATE(B32138,""en"",""de"")"),"Ein Mann in einem Anzug und einer Krawatte spricht, während eine Hand einen orangefarbenen Ball in die automatische zwei Zinkenhand eines weißen Roboters steckt, bevor er in einen Bereich in einem Raum mit orangefarbenen Robotermaschinen gefüllt ist.")</f>
        <v>Ein Mann in einem Anzug und einer Krawatte spricht, während eine Hand einen orangefarbenen Ball in die automatische zwei Zinkenhand eines weißen Roboters steckt, bevor er in einen Bereich in einem Raum mit orangefarbenen Robotermaschinen gefüllt ist.</v>
      </c>
    </row>
    <row r="32139">
      <c r="A32139" s="4" t="s">
        <v>40464</v>
      </c>
      <c r="B32139" s="4" t="s">
        <v>40465</v>
      </c>
      <c r="C32139" s="5" t="str">
        <f>IFERROR(__xludf.DUMMYFUNCTION("GOOGLETRANSLATE(B32139,""en"",""de"")"),"Wir sehen eine Reihe von Eröffnungsbildschirmen.")</f>
        <v>Wir sehen eine Reihe von Eröffnungsbildschirmen.</v>
      </c>
    </row>
    <row r="32140">
      <c r="A32140" s="4" t="s">
        <v>40464</v>
      </c>
      <c r="B32140" s="4" t="s">
        <v>40466</v>
      </c>
      <c r="C32140" s="5" t="str">
        <f>IFERROR(__xludf.DUMMYFUNCTION("GOOGLETRANSLATE(B32140,""en"",""de"")"),"Eine Person wirft eine Frisbee, während ein Hund sie fängt.")</f>
        <v>Eine Person wirft eine Frisbee, während ein Hund sie fängt.</v>
      </c>
    </row>
    <row r="32141">
      <c r="A32141" s="4" t="s">
        <v>40464</v>
      </c>
      <c r="B32141" s="4" t="s">
        <v>40467</v>
      </c>
      <c r="C32141" s="5" t="str">
        <f>IFERROR(__xludf.DUMMYFUNCTION("GOOGLETRANSLATE(B32141,""en"",""de"")"),"Ein Mann hebt seine Hände in der Luft und geht weg und eine andere Person geht an der Kamera vorbei.")</f>
        <v>Ein Mann hebt seine Hände in der Luft und geht weg und eine andere Person geht an der Kamera vorbei.</v>
      </c>
    </row>
    <row r="32142">
      <c r="A32142" s="4" t="s">
        <v>40464</v>
      </c>
      <c r="B32142" s="4" t="s">
        <v>6208</v>
      </c>
      <c r="C32142" s="5" t="str">
        <f>IFERROR(__xludf.DUMMYFUNCTION("GOOGLETRANSLATE(B32142,""en"",""de"")"),"Wir sehen einen Titelbildschirm.")</f>
        <v>Wir sehen einen Titelbildschirm.</v>
      </c>
    </row>
    <row r="32143">
      <c r="A32143" s="4" t="s">
        <v>40464</v>
      </c>
      <c r="B32143" s="4" t="s">
        <v>40468</v>
      </c>
      <c r="C32143" s="5" t="str">
        <f>IFERROR(__xludf.DUMMYFUNCTION("GOOGLETRANSLATE(B32143,""en"",""de"")"),"Wir sehen ein Bild des Hundes, der mit Wörtern auf dem Bildschirm im Gras liegt.")</f>
        <v>Wir sehen ein Bild des Hundes, der mit Wörtern auf dem Bildschirm im Gras liegt.</v>
      </c>
    </row>
    <row r="32144">
      <c r="A32144" s="4" t="s">
        <v>40469</v>
      </c>
      <c r="B32144" s="4" t="s">
        <v>40470</v>
      </c>
      <c r="C32144" s="5" t="str">
        <f>IFERROR(__xludf.DUMMYFUNCTION("GOOGLETRANSLATE(B32144,""en"",""de"")"),"Es werden mehrere Schüsse von Tauchern gezeigt, die sich entlang des Wassers und Fische bewegen.")</f>
        <v>Es werden mehrere Schüsse von Tauchern gezeigt, die sich entlang des Wassers und Fische bewegen.</v>
      </c>
    </row>
    <row r="32145">
      <c r="A32145" s="4" t="s">
        <v>40469</v>
      </c>
      <c r="B32145" s="4" t="s">
        <v>40471</v>
      </c>
      <c r="C32145" s="5" t="str">
        <f>IFERROR(__xludf.DUMMYFUNCTION("GOOGLETRANSLATE(B32145,""en"",""de"")"),"Weitere Menschen bewegen sich entlang des Ozeans, während sie an die Kamera gestikulieren und alle Wildtiere um sie herum einfangen.")</f>
        <v>Weitere Menschen bewegen sich entlang des Ozeans, während sie an die Kamera gestikulieren und alle Wildtiere um sie herum einfangen.</v>
      </c>
    </row>
    <row r="32146">
      <c r="A32146" s="4" t="s">
        <v>40469</v>
      </c>
      <c r="B32146" s="4" t="s">
        <v>40472</v>
      </c>
      <c r="C32146" s="5" t="str">
        <f>IFERROR(__xludf.DUMMYFUNCTION("GOOGLETRANSLATE(B32146,""en"",""de"")"),"Am Ende fuhren sie zusammen mit einem Boot und winken zur Kamera.")</f>
        <v>Am Ende fuhren sie zusammen mit einem Boot und winken zur Kamera.</v>
      </c>
    </row>
    <row r="32147">
      <c r="A32147" s="4" t="s">
        <v>40473</v>
      </c>
      <c r="B32147" s="4" t="s">
        <v>40474</v>
      </c>
      <c r="C32147" s="5" t="str">
        <f>IFERROR(__xludf.DUMMYFUNCTION("GOOGLETRANSLATE(B32147,""en"",""de"")"),"Ein kleiner Junge rennt schnell zu seinem Swing -Set und sein Hund rennt ihm her.")</f>
        <v>Ein kleiner Junge rennt schnell zu seinem Swing -Set und sein Hund rennt ihm her.</v>
      </c>
    </row>
    <row r="32148">
      <c r="A32148" s="4" t="s">
        <v>40473</v>
      </c>
      <c r="B32148" s="4" t="s">
        <v>40475</v>
      </c>
      <c r="C32148" s="5" t="str">
        <f>IFERROR(__xludf.DUMMYFUNCTION("GOOGLETRANSLATE(B32148,""en"",""de"")"),"Er klettert die Rutsche hinauf und rutscht und sein kleiner Bruder kommt auch zum Spielen.")</f>
        <v>Er klettert die Rutsche hinauf und rutscht und sein kleiner Bruder kommt auch zum Spielen.</v>
      </c>
    </row>
    <row r="32149">
      <c r="A32149" s="4" t="s">
        <v>40473</v>
      </c>
      <c r="B32149" s="4" t="s">
        <v>40476</v>
      </c>
      <c r="C32149" s="5" t="str">
        <f>IFERROR(__xludf.DUMMYFUNCTION("GOOGLETRANSLATE(B32149,""en"",""de"")"),"Die Mutter kommt mit einem der Jungen auf dem Meeressäge und er fällt ab.")</f>
        <v>Die Mutter kommt mit einem der Jungen auf dem Meeressäge und er fällt ab.</v>
      </c>
    </row>
    <row r="32150">
      <c r="A32150" s="4" t="s">
        <v>40473</v>
      </c>
      <c r="B32150" s="4" t="s">
        <v>40477</v>
      </c>
      <c r="C32150" s="5" t="str">
        <f>IFERROR(__xludf.DUMMYFUNCTION("GOOGLETRANSLATE(B32150,""en"",""de"")"),"Sie spielen eine Weile von einem Teil des Sets zum nächsten.")</f>
        <v>Sie spielen eine Weile von einem Teil des Sets zum nächsten.</v>
      </c>
    </row>
    <row r="32151">
      <c r="A32151" s="4" t="s">
        <v>40478</v>
      </c>
      <c r="B32151" s="4" t="s">
        <v>40479</v>
      </c>
      <c r="C32151" s="5" t="str">
        <f>IFERROR(__xludf.DUMMYFUNCTION("GOOGLETRANSLATE(B32151,""en"",""de"")"),"Eine Kamera schwenkt in einem Raum und führt zu zwei Frauen, die und ziehen Felsfliesen aus.")</f>
        <v>Eine Kamera schwenkt in einem Raum und führt zu zwei Frauen, die und ziehen Felsfliesen aus.</v>
      </c>
    </row>
    <row r="32152">
      <c r="A32152" s="4" t="s">
        <v>40478</v>
      </c>
      <c r="B32152" s="4" t="s">
        <v>40480</v>
      </c>
      <c r="C32152" s="5" t="str">
        <f>IFERROR(__xludf.DUMMYFUNCTION("GOOGLETRANSLATE(B32152,""en"",""de"")"),"Die Frauen legten dann Gips ab, gefolgt von den Felsfliesen und zeigen die fertige Dusche am Ende und die Menschen reagieren.")</f>
        <v>Die Frauen legten dann Gips ab, gefolgt von den Felsfliesen und zeigen die fertige Dusche am Ende und die Menschen reagieren.</v>
      </c>
    </row>
    <row r="32153">
      <c r="A32153" s="4" t="s">
        <v>40481</v>
      </c>
      <c r="B32153" s="4" t="s">
        <v>40482</v>
      </c>
      <c r="C32153" s="5" t="str">
        <f>IFERROR(__xludf.DUMMYFUNCTION("GOOGLETRANSLATE(B32153,""en"",""de"")"),"Eine ältere Dame sitzt auf einem Stuhl, der strickt und mit der Kamera spricht.")</f>
        <v>Eine ältere Dame sitzt auf einem Stuhl, der strickt und mit der Kamera spricht.</v>
      </c>
    </row>
    <row r="32154">
      <c r="A32154" s="4" t="s">
        <v>40481</v>
      </c>
      <c r="B32154" s="4" t="s">
        <v>40483</v>
      </c>
      <c r="C32154" s="5" t="str">
        <f>IFERROR(__xludf.DUMMYFUNCTION("GOOGLETRANSLATE(B32154,""en"",""de"")"),"Die Dame schüttelt leicht den Kopf, während sie in die Kamera schaut.")</f>
        <v>Die Dame schüttelt leicht den Kopf, während sie in die Kamera schaut.</v>
      </c>
    </row>
    <row r="32155">
      <c r="A32155" s="4" t="s">
        <v>40481</v>
      </c>
      <c r="B32155" s="4" t="s">
        <v>40484</v>
      </c>
      <c r="C32155" s="5" t="str">
        <f>IFERROR(__xludf.DUMMYFUNCTION("GOOGLETRANSLATE(B32155,""en"",""de"")"),"Die Dame macht eine Pause und schaut aus dem Fenster.")</f>
        <v>Die Dame macht eine Pause und schaut aus dem Fenster.</v>
      </c>
    </row>
    <row r="32156">
      <c r="A32156" s="4" t="s">
        <v>40485</v>
      </c>
      <c r="B32156" s="4" t="s">
        <v>40486</v>
      </c>
      <c r="C32156" s="5" t="str">
        <f>IFERROR(__xludf.DUMMYFUNCTION("GOOGLETRANSLATE(B32156,""en"",""de"")"),"Eine Frau, die einen roten Trikot trägt, zeigt einen Ballettbewegungsbewegung.")</f>
        <v>Eine Frau, die einen roten Trikot trägt, zeigt einen Ballettbewegungsbewegung.</v>
      </c>
    </row>
    <row r="32157">
      <c r="A32157" s="4" t="s">
        <v>40485</v>
      </c>
      <c r="B32157" s="4" t="s">
        <v>40487</v>
      </c>
      <c r="C32157" s="5" t="str">
        <f>IFERROR(__xludf.DUMMYFUNCTION("GOOGLETRANSLATE(B32157,""en"",""de"")"),"Der Ballettlehrer schimmert über den Boden und macht kleine Seitenstufen.")</f>
        <v>Der Ballettlehrer schimmert über den Boden und macht kleine Seitenstufen.</v>
      </c>
    </row>
    <row r="32158">
      <c r="A32158" s="4" t="s">
        <v>40485</v>
      </c>
      <c r="B32158" s="4" t="s">
        <v>40488</v>
      </c>
      <c r="C32158" s="5" t="str">
        <f>IFERROR(__xludf.DUMMYFUNCTION("GOOGLETRANSLATE(B32158,""en"",""de"")"),"Der Ausbilder zeigt einen Spot -Dreh -Ballettwechsel.")</f>
        <v>Der Ausbilder zeigt einen Spot -Dreh -Ballettwechsel.</v>
      </c>
    </row>
    <row r="32159">
      <c r="A32159" s="4" t="s">
        <v>40485</v>
      </c>
      <c r="B32159" s="4" t="s">
        <v>40489</v>
      </c>
      <c r="C32159" s="5" t="str">
        <f>IFERROR(__xludf.DUMMYFUNCTION("GOOGLETRANSLATE(B32159,""en"",""de"")"),"Der Ausbilder kombiniert den Seitentehenschritt mit dem Spot -Drehbewegung.")</f>
        <v>Der Ausbilder kombiniert den Seitentehenschritt mit dem Spot -Drehbewegung.</v>
      </c>
    </row>
    <row r="32160">
      <c r="A32160" s="4" t="s">
        <v>40490</v>
      </c>
      <c r="B32160" s="4" t="s">
        <v>40491</v>
      </c>
      <c r="C32160" s="5" t="str">
        <f>IFERROR(__xludf.DUMMYFUNCTION("GOOGLETRANSLATE(B32160,""en"",""de"")"),"Zwei junge Teenager -Mädchen halten Soapsuds in einer Küche in den Händen.")</f>
        <v>Zwei junge Teenager -Mädchen halten Soapsuds in einer Küche in den Händen.</v>
      </c>
    </row>
    <row r="32161">
      <c r="A32161" s="4" t="s">
        <v>40490</v>
      </c>
      <c r="B32161" s="4" t="s">
        <v>40492</v>
      </c>
      <c r="C32161" s="5" t="str">
        <f>IFERROR(__xludf.DUMMYFUNCTION("GOOGLETRANSLATE(B32161,""en"",""de"")"),"Die Mädchen werfen die Schaum in die Gesichter des anderen.")</f>
        <v>Die Mädchen werfen die Schaum in die Gesichter des anderen.</v>
      </c>
    </row>
    <row r="32162">
      <c r="A32162" s="4" t="s">
        <v>40490</v>
      </c>
      <c r="B32162" s="4" t="s">
        <v>40493</v>
      </c>
      <c r="C32162" s="5" t="str">
        <f>IFERROR(__xludf.DUMMYFUNCTION("GOOGLETRANSLATE(B32162,""en"",""de"")"),"Ein Mädchen hüpft auf die Schultern des anderen.")</f>
        <v>Ein Mädchen hüpft auf die Schultern des anderen.</v>
      </c>
    </row>
    <row r="32163">
      <c r="A32163" s="4" t="s">
        <v>40490</v>
      </c>
      <c r="B32163" s="4" t="s">
        <v>40494</v>
      </c>
      <c r="C32163" s="5" t="str">
        <f>IFERROR(__xludf.DUMMYFUNCTION("GOOGLETRANSLATE(B32163,""en"",""de"")"),"Sie beginnen, das Geschirr zu waschen.")</f>
        <v>Sie beginnen, das Geschirr zu waschen.</v>
      </c>
    </row>
    <row r="32164">
      <c r="A32164" s="4" t="s">
        <v>40495</v>
      </c>
      <c r="B32164" s="4" t="s">
        <v>40496</v>
      </c>
      <c r="C32164" s="5" t="str">
        <f>IFERROR(__xludf.DUMMYFUNCTION("GOOGLETRANSLATE(B32164,""en"",""de"")"),"Ein kleiner Junge und ein kleiner Junge sind auf einem eingezäunten Feld.")</f>
        <v>Ein kleiner Junge und ein kleiner Junge sind auf einem eingezäunten Feld.</v>
      </c>
    </row>
    <row r="32165">
      <c r="A32165" s="4" t="s">
        <v>40495</v>
      </c>
      <c r="B32165" s="4" t="s">
        <v>40497</v>
      </c>
      <c r="C32165" s="5" t="str">
        <f>IFERROR(__xludf.DUMMYFUNCTION("GOOGLETRANSLATE(B32165,""en"",""de"")"),"Sie treten einen Ball und versuchen dann, ihn zu verfolgen.")</f>
        <v>Sie treten einen Ball und versuchen dann, ihn zu verfolgen.</v>
      </c>
    </row>
    <row r="32166">
      <c r="A32166" s="4" t="s">
        <v>40495</v>
      </c>
      <c r="B32166" s="4" t="s">
        <v>40498</v>
      </c>
      <c r="C32166" s="5" t="str">
        <f>IFERROR(__xludf.DUMMYFUNCTION("GOOGLETRANSLATE(B32166,""en"",""de"")"),"Die Kinder spielen weiter, während ein Mann sich anschließt und um den Ball kämpft.")</f>
        <v>Die Kinder spielen weiter, während ein Mann sich anschließt und um den Ball kämpft.</v>
      </c>
    </row>
    <row r="32167">
      <c r="A32167" s="4" t="s">
        <v>40499</v>
      </c>
      <c r="B32167" s="4" t="s">
        <v>40500</v>
      </c>
      <c r="C32167" s="5" t="str">
        <f>IFERROR(__xludf.DUMMYFUNCTION("GOOGLETRANSLATE(B32167,""en"",""de"")"),"Ein Meer wird mit einem grünen Wald an der Küste gezeigt.")</f>
        <v>Ein Meer wird mit einem grünen Wald an der Küste gezeigt.</v>
      </c>
    </row>
    <row r="32168">
      <c r="A32168" s="4" t="s">
        <v>40499</v>
      </c>
      <c r="B32168" s="4" t="s">
        <v>40501</v>
      </c>
      <c r="C32168" s="5" t="str">
        <f>IFERROR(__xludf.DUMMYFUNCTION("GOOGLETRANSLATE(B32168,""en"",""de"")"),"Der blonde Mann steht in Seashore und spricht mit der Kamera und surft große Wellen auf dem Meer.")</f>
        <v>Der blonde Mann steht in Seashore und spricht mit der Kamera und surft große Wellen auf dem Meer.</v>
      </c>
    </row>
    <row r="32169">
      <c r="A32169" s="4" t="s">
        <v>40499</v>
      </c>
      <c r="B32169" s="4" t="s">
        <v>40502</v>
      </c>
      <c r="C32169" s="5" t="str">
        <f>IFERROR(__xludf.DUMMYFUNCTION("GOOGLETRANSLATE(B32169,""en"",""de"")"),"Der Mensch geht auf der Küste durch viele Leute und spricht mit der Kamera, hält eine Auszeichnung und spricht über das Surfen der Küste.")</f>
        <v>Der Mensch geht auf der Küste durch viele Leute und spricht mit der Kamera, hält eine Auszeichnung und spricht über das Surfen der Küste.</v>
      </c>
    </row>
    <row r="32170">
      <c r="A32170" s="4" t="s">
        <v>40503</v>
      </c>
      <c r="B32170" s="4" t="s">
        <v>40504</v>
      </c>
      <c r="C32170" s="5" t="str">
        <f>IFERROR(__xludf.DUMMYFUNCTION("GOOGLETRANSLATE(B32170,""en"",""de"")"),"Ein Mann spricht mit der Kamera, während er sich an einem Stock festhält.")</f>
        <v>Ein Mann spricht mit der Kamera, während er sich an einem Stock festhält.</v>
      </c>
    </row>
    <row r="32171">
      <c r="A32171" s="4" t="s">
        <v>40503</v>
      </c>
      <c r="B32171" s="4" t="s">
        <v>40505</v>
      </c>
      <c r="C32171" s="5" t="str">
        <f>IFERROR(__xludf.DUMMYFUNCTION("GOOGLETRANSLATE(B32171,""en"",""de"")"),"Er zeigt auf Bälle vor ihm und seinem Körper.")</f>
        <v>Er zeigt auf Bälle vor ihm und seinem Körper.</v>
      </c>
    </row>
    <row r="32172">
      <c r="A32172" s="4" t="s">
        <v>40503</v>
      </c>
      <c r="B32172" s="4" t="s">
        <v>40506</v>
      </c>
      <c r="C32172" s="5" t="str">
        <f>IFERROR(__xludf.DUMMYFUNCTION("GOOGLETRANSLATE(B32172,""en"",""de"")"),"Er zeigt, wie man den Ball richtig schlägt, während er noch spricht.")</f>
        <v>Er zeigt, wie man den Ball richtig schlägt, während er noch spricht.</v>
      </c>
    </row>
    <row r="32173">
      <c r="A32173" s="4" t="s">
        <v>40507</v>
      </c>
      <c r="B32173" s="4" t="s">
        <v>40508</v>
      </c>
      <c r="C32173" s="5" t="str">
        <f>IFERROR(__xludf.DUMMYFUNCTION("GOOGLETRANSLATE(B32173,""en"",""de"")"),"Eine ältere Frau schwenkt in die Kamera und macht verschiedene Handbewegungen auf dem Boden.")</f>
        <v>Eine ältere Frau schwenkt in die Kamera und macht verschiedene Handbewegungen auf dem Boden.</v>
      </c>
    </row>
    <row r="32174">
      <c r="A32174" s="4" t="s">
        <v>40507</v>
      </c>
      <c r="B32174" s="4" t="s">
        <v>40509</v>
      </c>
      <c r="C32174" s="5" t="str">
        <f>IFERROR(__xludf.DUMMYFUNCTION("GOOGLETRANSLATE(B32174,""en"",""de"")"),"Die Frau schnappt sich mehrere Kleidungsstücke und zeigt, wie sie sie im Waschbecken wäscht.")</f>
        <v>Die Frau schnappt sich mehrere Kleidungsstücke und zeigt, wie sie sie im Waschbecken wäscht.</v>
      </c>
    </row>
    <row r="32175">
      <c r="A32175" s="4" t="s">
        <v>40507</v>
      </c>
      <c r="B32175" s="4" t="s">
        <v>40510</v>
      </c>
      <c r="C32175" s="5" t="str">
        <f>IFERROR(__xludf.DUMMYFUNCTION("GOOGLETRANSLATE(B32175,""en"",""de"")"),"Sie hält eine Bar Seife und reibt sie über die Kleidung und taucht sie ins Wasser ab.")</f>
        <v>Sie hält eine Bar Seife und reibt sie über die Kleidung und taucht sie ins Wasser ab.</v>
      </c>
    </row>
    <row r="32176">
      <c r="A32176" s="4" t="s">
        <v>40507</v>
      </c>
      <c r="B32176" s="4" t="s">
        <v>40511</v>
      </c>
      <c r="C32176" s="5" t="str">
        <f>IFERROR(__xludf.DUMMYFUNCTION("GOOGLETRANSLATE(B32176,""en"",""de"")"),"Sie reinigt die Kleidung weiter im Wasser und zeigt, wie sie ihre Kleidung reinigt.")</f>
        <v>Sie reinigt die Kleidung weiter im Wasser und zeigt, wie sie ihre Kleidung reinigt.</v>
      </c>
    </row>
    <row r="32177">
      <c r="A32177" s="4" t="s">
        <v>40512</v>
      </c>
      <c r="B32177" s="4" t="s">
        <v>40513</v>
      </c>
      <c r="C32177" s="5" t="str">
        <f>IFERROR(__xludf.DUMMYFUNCTION("GOOGLETRANSLATE(B32177,""en"",""de"")"),"Zuerst greift die Frau ein paar Gerichte, um etwas zuzubereiten, und stellt sie in einen Kühlschrank.")</f>
        <v>Zuerst greift die Frau ein paar Gerichte, um etwas zuzubereiten, und stellt sie in einen Kühlschrank.</v>
      </c>
    </row>
    <row r="32178">
      <c r="A32178" s="4" t="s">
        <v>40512</v>
      </c>
      <c r="B32178" s="4" t="s">
        <v>40514</v>
      </c>
      <c r="C32178" s="5" t="str">
        <f>IFERROR(__xludf.DUMMYFUNCTION("GOOGLETRANSLATE(B32178,""en"",""de"")"),"Sie hält dann eine Tasse unter einem Schaumstoffspender und entzieht Sit, wenn sie gefüllt ist.")</f>
        <v>Sie hält dann eine Tasse unter einem Schaumstoffspender und entzieht Sit, wenn sie gefüllt ist.</v>
      </c>
    </row>
    <row r="32179">
      <c r="A32179" s="4" t="s">
        <v>40512</v>
      </c>
      <c r="B32179" s="4" t="s">
        <v>40515</v>
      </c>
      <c r="C32179" s="5" t="str">
        <f>IFERROR(__xludf.DUMMYFUNCTION("GOOGLETRANSLATE(B32179,""en"",""de"")"),"Sie überragt es dann mit zerquetschten Grahambären.")</f>
        <v>Sie überragt es dann mit zerquetschten Grahambären.</v>
      </c>
    </row>
    <row r="32180">
      <c r="A32180" s="4" t="s">
        <v>40512</v>
      </c>
      <c r="B32180" s="4" t="s">
        <v>40516</v>
      </c>
      <c r="C32180" s="5" t="str">
        <f>IFERROR(__xludf.DUMMYFUNCTION("GOOGLETRANSLATE(B32180,""en"",""de"")"),"Als nächstes bekommt sie einen Teller und eine runde Schablone.")</f>
        <v>Als nächstes bekommt sie einen Teller und eine runde Schablone.</v>
      </c>
    </row>
    <row r="32181">
      <c r="A32181" s="4" t="s">
        <v>40512</v>
      </c>
      <c r="B32181" s="4" t="s">
        <v>40517</v>
      </c>
      <c r="C32181" s="5" t="str">
        <f>IFERROR(__xludf.DUMMYFUNCTION("GOOGLETRANSLATE(B32181,""en"",""de"")"),"Sie legt den Teller unter den Spender und entfernt ihn und zieht den Kreis langsam vom Kuchen ab, sobald sie die Paste glättet.")</f>
        <v>Sie legt den Teller unter den Spender und entfernt ihn und zieht den Kreis langsam vom Kuchen ab, sobald sie die Paste glättet.</v>
      </c>
    </row>
    <row r="32182">
      <c r="A32182" s="4" t="s">
        <v>40512</v>
      </c>
      <c r="B32182" s="4" t="s">
        <v>40518</v>
      </c>
      <c r="C32182" s="5" t="str">
        <f>IFERROR(__xludf.DUMMYFUNCTION("GOOGLETRANSLATE(B32182,""en"",""de"")"),"Dann benutzt sie ein Messer, um Linien an den Seiten des Kuchens zu legt.")</f>
        <v>Dann benutzt sie ein Messer, um Linien an den Seiten des Kuchens zu legt.</v>
      </c>
    </row>
    <row r="32183">
      <c r="A32183" s="4" t="s">
        <v>40512</v>
      </c>
      <c r="B32183" s="4" t="s">
        <v>40519</v>
      </c>
      <c r="C32183" s="5" t="str">
        <f>IFERROR(__xludf.DUMMYFUNCTION("GOOGLETRANSLATE(B32183,""en"",""de"")"),"Als nächstes setzt sie Creme an den Rändern von oben nach unten.")</f>
        <v>Als nächstes setzt sie Creme an den Rändern von oben nach unten.</v>
      </c>
    </row>
    <row r="32184">
      <c r="A32184" s="4" t="s">
        <v>40512</v>
      </c>
      <c r="B32184" s="4" t="s">
        <v>40520</v>
      </c>
      <c r="C32184" s="5" t="str">
        <f>IFERROR(__xludf.DUMMYFUNCTION("GOOGLETRANSLATE(B32184,""en"",""de"")"),"Dann beträufelt sie dort einen kleinen Schokoladensirup.")</f>
        <v>Dann beträufelt sie dort einen kleinen Schokoladensirup.</v>
      </c>
    </row>
    <row r="32185">
      <c r="A32185" s="4" t="s">
        <v>40512</v>
      </c>
      <c r="B32185" s="4" t="s">
        <v>40521</v>
      </c>
      <c r="C32185" s="5" t="str">
        <f>IFERROR(__xludf.DUMMYFUNCTION("GOOGLETRANSLATE(B32185,""en"",""de"")"),"Sie ist jetzt damit fertig, den Kuchen zu machen.")</f>
        <v>Sie ist jetzt damit fertig, den Kuchen zu machen.</v>
      </c>
    </row>
    <row r="32186">
      <c r="A32186" s="4" t="s">
        <v>40522</v>
      </c>
      <c r="B32186" s="4" t="s">
        <v>40523</v>
      </c>
      <c r="C32186" s="5" t="str">
        <f>IFERROR(__xludf.DUMMYFUNCTION("GOOGLETRANSLATE(B32186,""en"",""de"")"),"Ein kleines Kind sitzt vor einem Klavier und spielt ein Lied, während er ein Halloween -Kostüm trägt.")</f>
        <v>Ein kleines Kind sitzt vor einem Klavier und spielt ein Lied, während er ein Halloween -Kostüm trägt.</v>
      </c>
    </row>
    <row r="32187">
      <c r="A32187" s="4" t="s">
        <v>40522</v>
      </c>
      <c r="B32187" s="4" t="s">
        <v>40524</v>
      </c>
      <c r="C32187" s="5" t="str">
        <f>IFERROR(__xludf.DUMMYFUNCTION("GOOGLETRANSLATE(B32187,""en"",""de"")"),"Der Junge spielt weiter das Instrument und endet, indem er seine Maske niederzieht.")</f>
        <v>Der Junge spielt weiter das Instrument und endet, indem er seine Maske niederzieht.</v>
      </c>
    </row>
    <row r="32188">
      <c r="A32188" s="4" t="s">
        <v>40525</v>
      </c>
      <c r="B32188" s="4" t="s">
        <v>40526</v>
      </c>
      <c r="C32188" s="5" t="str">
        <f>IFERROR(__xludf.DUMMYFUNCTION("GOOGLETRANSLATE(B32188,""en"",""de"")"),"Ein junger männlicher Kaukasischer sitzt in einem Raum hinter einer Tastatur.")</f>
        <v>Ein junger männlicher Kaukasischer sitzt in einem Raum hinter einer Tastatur.</v>
      </c>
    </row>
    <row r="32189">
      <c r="A32189" s="4" t="s">
        <v>40525</v>
      </c>
      <c r="B32189" s="4" t="s">
        <v>40527</v>
      </c>
      <c r="C32189" s="5" t="str">
        <f>IFERROR(__xludf.DUMMYFUNCTION("GOOGLETRANSLATE(B32189,""en"",""de"")"),"Bevor er spielt, beginnt er zu sprechen und Bewegungen über drei schwarze Schlüssel mit der rechten Hand zu machen, während er weiter spricht.")</f>
        <v>Bevor er spielt, beginnt er zu sprechen und Bewegungen über drei schwarze Schlüssel mit der rechten Hand zu machen, während er weiter spricht.</v>
      </c>
    </row>
    <row r="32190">
      <c r="A32190" s="4" t="s">
        <v>40525</v>
      </c>
      <c r="B32190" s="4" t="s">
        <v>40528</v>
      </c>
      <c r="C32190" s="5" t="str">
        <f>IFERROR(__xludf.DUMMYFUNCTION("GOOGLETRANSLATE(B32190,""en"",""de"")"),"Er beginnt schließlich zu spielen und Sie können sehen, wie sich seine Hand schnell über die Tastatur auf der linken Seite des Bildschirms bewegt.")</f>
        <v>Er beginnt schließlich zu spielen und Sie können sehen, wie sich seine Hand schnell über die Tastatur auf der linken Seite des Bildschirms bewegt.</v>
      </c>
    </row>
    <row r="32191">
      <c r="A32191" s="4" t="s">
        <v>40525</v>
      </c>
      <c r="B32191" s="4" t="s">
        <v>40529</v>
      </c>
      <c r="C32191" s="5" t="str">
        <f>IFERROR(__xludf.DUMMYFUNCTION("GOOGLETRANSLATE(B32191,""en"",""de"")"),"Für seine letzten Akkorde nimmt er seine Hand vom Brett und bewegt seinen Kopf im Kreis.")</f>
        <v>Für seine letzten Akkorde nimmt er seine Hand vom Brett und bewegt seinen Kopf im Kreis.</v>
      </c>
    </row>
    <row r="32192">
      <c r="A32192" s="4" t="s">
        <v>40530</v>
      </c>
      <c r="B32192" s="4" t="s">
        <v>40531</v>
      </c>
      <c r="C32192" s="5" t="str">
        <f>IFERROR(__xludf.DUMMYFUNCTION("GOOGLETRANSLATE(B32192,""en"",""de"")"),"Eine Frau und ein Junge machen Siegesschild und lächeln.")</f>
        <v>Eine Frau und ein Junge machen Siegesschild und lächeln.</v>
      </c>
    </row>
    <row r="32193">
      <c r="A32193" s="4" t="s">
        <v>40530</v>
      </c>
      <c r="B32193" s="4" t="s">
        <v>40532</v>
      </c>
      <c r="C32193" s="5" t="str">
        <f>IFERROR(__xludf.DUMMYFUNCTION("GOOGLETRANSLATE(B32193,""en"",""de"")"),"Die Frau setzt das Gesicht des Jungen aus, und dann zeigt der Junge sein Gesicht.")</f>
        <v>Die Frau setzt das Gesicht des Jungen aus, und dann zeigt der Junge sein Gesicht.</v>
      </c>
    </row>
    <row r="32194">
      <c r="A32194" s="4" t="s">
        <v>40530</v>
      </c>
      <c r="B32194" s="4" t="s">
        <v>40533</v>
      </c>
      <c r="C32194" s="5" t="str">
        <f>IFERROR(__xludf.DUMMYFUNCTION("GOOGLETRANSLATE(B32194,""en"",""de"")"),"Dann machte die Frau auf ein Mädchen Gesicht.")</f>
        <v>Dann machte die Frau auf ein Mädchen Gesicht.</v>
      </c>
    </row>
    <row r="32195">
      <c r="A32195" s="4" t="s">
        <v>40530</v>
      </c>
      <c r="B32195" s="4" t="s">
        <v>40534</v>
      </c>
      <c r="C32195" s="5" t="str">
        <f>IFERROR(__xludf.DUMMYFUNCTION("GOOGLETRANSLATE(B32195,""en"",""de"")"),"Der Junge und das Mädchen schauen mit den Gesichtern auf einen Spiegel, der lustige Gesichter macht und winkt.")</f>
        <v>Der Junge und das Mädchen schauen mit den Gesichtern auf einen Spiegel, der lustige Gesichter macht und winkt.</v>
      </c>
    </row>
    <row r="32196">
      <c r="A32196" s="4" t="s">
        <v>40535</v>
      </c>
      <c r="B32196" s="4" t="s">
        <v>40536</v>
      </c>
      <c r="C32196" s="5" t="str">
        <f>IFERROR(__xludf.DUMMYFUNCTION("GOOGLETRANSLATE(B32196,""en"",""de"")"),"Ein Mädchen führt einige Gymnastikstunts auf.")</f>
        <v>Ein Mädchen führt einige Gymnastikstunts auf.</v>
      </c>
    </row>
    <row r="32197">
      <c r="A32197" s="4" t="s">
        <v>40535</v>
      </c>
      <c r="B32197" s="4" t="s">
        <v>40537</v>
      </c>
      <c r="C32197" s="5" t="str">
        <f>IFERROR(__xludf.DUMMYFUNCTION("GOOGLETRANSLATE(B32197,""en"",""de"")"),"Ein Mädchen steht vor einer Dame.")</f>
        <v>Ein Mädchen steht vor einer Dame.</v>
      </c>
    </row>
    <row r="32198">
      <c r="A32198" s="4" t="s">
        <v>40535</v>
      </c>
      <c r="B32198" s="4" t="s">
        <v>40538</v>
      </c>
      <c r="C32198" s="5" t="str">
        <f>IFERROR(__xludf.DUMMYFUNCTION("GOOGLETRANSLATE(B32198,""en"",""de"")"),"Das Mädchen hält ihre Hand hoch.")</f>
        <v>Das Mädchen hält ihre Hand hoch.</v>
      </c>
    </row>
    <row r="32199">
      <c r="A32199" s="4" t="s">
        <v>40535</v>
      </c>
      <c r="B32199" s="4" t="s">
        <v>40539</v>
      </c>
      <c r="C32199" s="5" t="str">
        <f>IFERROR(__xludf.DUMMYFUNCTION("GOOGLETRANSLATE(B32199,""en"",""de"")"),"Das Mädchen dreht sich um und steigt die Gymnastik, Holzbar.")</f>
        <v>Das Mädchen dreht sich um und steigt die Gymnastik, Holzbar.</v>
      </c>
    </row>
    <row r="32200">
      <c r="A32200" s="4" t="s">
        <v>40535</v>
      </c>
      <c r="B32200" s="4" t="s">
        <v>40540</v>
      </c>
      <c r="C32200" s="5" t="str">
        <f>IFERROR(__xludf.DUMMYFUNCTION("GOOGLETRANSLATE(B32200,""en"",""de"")"),"Mit den Händen an der Bar hebt das Mädchen ihre Beine über ihren Kopf.")</f>
        <v>Mit den Händen an der Bar hebt das Mädchen ihre Beine über ihren Kopf.</v>
      </c>
    </row>
    <row r="32201">
      <c r="A32201" s="4" t="s">
        <v>40535</v>
      </c>
      <c r="B32201" s="4" t="s">
        <v>40541</v>
      </c>
      <c r="C32201" s="5" t="str">
        <f>IFERROR(__xludf.DUMMYFUNCTION("GOOGLETRANSLATE(B32201,""en"",""de"")"),"Die Dame bewegt eine Plattform zur linken Seite der Bar.")</f>
        <v>Die Dame bewegt eine Plattform zur linken Seite der Bar.</v>
      </c>
    </row>
    <row r="32202">
      <c r="A32202" s="4" t="s">
        <v>40535</v>
      </c>
      <c r="B32202" s="4" t="s">
        <v>40542</v>
      </c>
      <c r="C32202" s="5" t="str">
        <f>IFERROR(__xludf.DUMMYFUNCTION("GOOGLETRANSLATE(B32202,""en"",""de"")"),"Das Mädchen sitzt mit erhöhter Hand an der Bar.")</f>
        <v>Das Mädchen sitzt mit erhöhter Hand an der Bar.</v>
      </c>
    </row>
    <row r="32203">
      <c r="A32203" s="4" t="s">
        <v>40535</v>
      </c>
      <c r="B32203" s="4" t="s">
        <v>40543</v>
      </c>
      <c r="C32203" s="5" t="str">
        <f>IFERROR(__xludf.DUMMYFUNCTION("GOOGLETRANSLATE(B32203,""en"",""de"")"),"Das Mädchen Knie an der Bar.")</f>
        <v>Das Mädchen Knie an der Bar.</v>
      </c>
    </row>
    <row r="32204">
      <c r="A32204" s="4" t="s">
        <v>40535</v>
      </c>
      <c r="B32204" s="4" t="s">
        <v>40544</v>
      </c>
      <c r="C32204" s="5" t="str">
        <f>IFERROR(__xludf.DUMMYFUNCTION("GOOGLETRANSLATE(B32204,""en"",""de"")"),"Das Mädchen steht an der Bar.")</f>
        <v>Das Mädchen steht an der Bar.</v>
      </c>
    </row>
    <row r="32205">
      <c r="A32205" s="4" t="s">
        <v>40535</v>
      </c>
      <c r="B32205" s="4" t="s">
        <v>40545</v>
      </c>
      <c r="C32205" s="5" t="str">
        <f>IFERROR(__xludf.DUMMYFUNCTION("GOOGLETRANSLATE(B32205,""en"",""de"")"),"Das Mädchen hebt die Bar ab und landet am Rand der Bar.")</f>
        <v>Das Mädchen hebt die Bar ab und landet am Rand der Bar.</v>
      </c>
    </row>
    <row r="32206">
      <c r="A32206" s="4" t="s">
        <v>40535</v>
      </c>
      <c r="B32206" s="4" t="s">
        <v>40546</v>
      </c>
      <c r="C32206" s="5" t="str">
        <f>IFERROR(__xludf.DUMMYFUNCTION("GOOGLETRANSLATE(B32206,""en"",""de"")"),"Das Mädchen zurück dreht dreimal um.")</f>
        <v>Das Mädchen zurück dreht dreimal um.</v>
      </c>
    </row>
    <row r="32207">
      <c r="A32207" s="4" t="s">
        <v>40535</v>
      </c>
      <c r="B32207" s="4" t="s">
        <v>40547</v>
      </c>
      <c r="C32207" s="5" t="str">
        <f>IFERROR(__xludf.DUMMYFUNCTION("GOOGLETRANSLATE(B32207,""en"",""de"")"),"Das Mädchen unternimmt zwei Schritte und vorne.")</f>
        <v>Das Mädchen unternimmt zwei Schritte und vorne.</v>
      </c>
    </row>
    <row r="32208">
      <c r="A32208" s="4" t="s">
        <v>40535</v>
      </c>
      <c r="B32208" s="4" t="s">
        <v>40548</v>
      </c>
      <c r="C32208" s="5" t="str">
        <f>IFERROR(__xludf.DUMMYFUNCTION("GOOGLETRANSLATE(B32208,""en"",""de"")"),"Das Mädchen hebt die Bar und landet in der gleichen Position.")</f>
        <v>Das Mädchen hebt die Bar und landet in der gleichen Position.</v>
      </c>
    </row>
    <row r="32209">
      <c r="A32209" s="4" t="s">
        <v>40535</v>
      </c>
      <c r="B32209" s="4" t="s">
        <v>40549</v>
      </c>
      <c r="C32209" s="5" t="str">
        <f>IFERROR(__xludf.DUMMYFUNCTION("GOOGLETRANSLATE(B32209,""en"",""de"")"),"Das Mädchen dreht sich um, springt an Ort und Rücken.")</f>
        <v>Das Mädchen dreht sich um, springt an Ort und Rücken.</v>
      </c>
    </row>
    <row r="32210">
      <c r="A32210" s="4" t="s">
        <v>40535</v>
      </c>
      <c r="B32210" s="4" t="s">
        <v>40550</v>
      </c>
      <c r="C32210" s="5" t="str">
        <f>IFERROR(__xludf.DUMMYFUNCTION("GOOGLETRANSLATE(B32210,""en"",""de"")"),"Das Mädchen dreht sich um und dreht sich mit Händen an.")</f>
        <v>Das Mädchen dreht sich um und dreht sich mit Händen an.</v>
      </c>
    </row>
    <row r="32211">
      <c r="A32211" s="4" t="s">
        <v>40535</v>
      </c>
      <c r="B32211" s="4" t="s">
        <v>40551</v>
      </c>
      <c r="C32211" s="5" t="str">
        <f>IFERROR(__xludf.DUMMYFUNCTION("GOOGLETRANSLATE(B32211,""en"",""de"")"),"Das Mädchen tritt vor, springt und dreht sich.")</f>
        <v>Das Mädchen tritt vor, springt und dreht sich.</v>
      </c>
    </row>
    <row r="32212">
      <c r="A32212" s="4" t="s">
        <v>40535</v>
      </c>
      <c r="B32212" s="4" t="s">
        <v>40552</v>
      </c>
      <c r="C32212" s="5" t="str">
        <f>IFERROR(__xludf.DUMMYFUNCTION("GOOGLETRANSLATE(B32212,""en"",""de"")"),"Die Mädchen treten nach vorne und vorne und landet am Rand.")</f>
        <v>Die Mädchen treten nach vorne und vorne und landet am Rand.</v>
      </c>
    </row>
    <row r="32213">
      <c r="A32213" s="4" t="s">
        <v>40535</v>
      </c>
      <c r="B32213" s="4" t="s">
        <v>40553</v>
      </c>
      <c r="C32213" s="5" t="str">
        <f>IFERROR(__xludf.DUMMYFUNCTION("GOOGLETRANSLATE(B32213,""en"",""de"")"),"Das Mädchen Rücken dreht dreimal von der Bar und landet auf einer blauen Matte.")</f>
        <v>Das Mädchen Rücken dreht dreimal von der Bar und landet auf einer blauen Matte.</v>
      </c>
    </row>
    <row r="32214">
      <c r="A32214" s="4" t="s">
        <v>40554</v>
      </c>
      <c r="B32214" s="4" t="s">
        <v>40555</v>
      </c>
      <c r="C32214" s="5" t="str">
        <f>IFERROR(__xludf.DUMMYFUNCTION("GOOGLETRANSLATE(B32214,""en"",""de"")"),"Ein weißes Haus und ein Hinterhof voller Schnee erscheint eine Person, die den Fron -Eingang des Hauses reinigt.")</f>
        <v>Ein weißes Haus und ein Hinterhof voller Schnee erscheint eine Person, die den Fron -Eingang des Hauses reinigt.</v>
      </c>
    </row>
    <row r="32215">
      <c r="A32215" s="4" t="s">
        <v>40554</v>
      </c>
      <c r="B32215" s="4" t="s">
        <v>40556</v>
      </c>
      <c r="C32215" s="5" t="str">
        <f>IFERROR(__xludf.DUMMYFUNCTION("GOOGLETRANSLATE(B32215,""en"",""de"")"),"Ein mit Schnee bedeckter Auto erscheint und die Person putzt den Schnee aus dem Auto und es ist die Straße vor dem Auto geöffnet.")</f>
        <v>Ein mit Schnee bedeckter Auto erscheint und die Person putzt den Schnee aus dem Auto und es ist die Straße vor dem Auto geöffnet.</v>
      </c>
    </row>
    <row r="32216">
      <c r="A32216" s="4" t="s">
        <v>40554</v>
      </c>
      <c r="B32216" s="4" t="s">
        <v>40557</v>
      </c>
      <c r="C32216" s="5" t="str">
        <f>IFERROR(__xludf.DUMMYFUNCTION("GOOGLETRANSLATE(B32216,""en"",""de"")"),"Ein rotes Auto erscheint mit Schnee und eine Person reinigt den Schnee.")</f>
        <v>Ein rotes Auto erscheint mit Schnee und eine Person reinigt den Schnee.</v>
      </c>
    </row>
    <row r="32217">
      <c r="A32217" s="4" t="s">
        <v>40554</v>
      </c>
      <c r="B32217" s="4" t="s">
        <v>40558</v>
      </c>
      <c r="C32217" s="5" t="str">
        <f>IFERROR(__xludf.DUMMYFUNCTION("GOOGLETRANSLATE(B32217,""en"",""de"")"),"Ein schwarzes Auto ist mit Schnee bedeckt.")</f>
        <v>Ein schwarzes Auto ist mit Schnee bedeckt.</v>
      </c>
    </row>
    <row r="32218">
      <c r="A32218" s="4" t="s">
        <v>40559</v>
      </c>
      <c r="B32218" s="4" t="s">
        <v>40560</v>
      </c>
      <c r="C32218" s="5" t="str">
        <f>IFERROR(__xludf.DUMMYFUNCTION("GOOGLETRANSLATE(B32218,""en"",""de"")"),"Ein rosa und gelbes Logo mit Lippen erscheint auf dem Bildschirm.")</f>
        <v>Ein rosa und gelbes Logo mit Lippen erscheint auf dem Bildschirm.</v>
      </c>
    </row>
    <row r="32219">
      <c r="A32219" s="4" t="s">
        <v>40559</v>
      </c>
      <c r="B32219" s="4" t="s">
        <v>40561</v>
      </c>
      <c r="C32219" s="5" t="str">
        <f>IFERROR(__xludf.DUMMYFUNCTION("GOOGLETRANSLATE(B32219,""en"",""de"")"),"Ein männlicher Friseur arbeitet an den Haaren einer sitzenden Frau in einem luxuriösen Schönheitssalon.")</f>
        <v>Ein männlicher Friseur arbeitet an den Haaren einer sitzenden Frau in einem luxuriösen Schönheitssalon.</v>
      </c>
    </row>
    <row r="32220">
      <c r="A32220" s="4" t="s">
        <v>40559</v>
      </c>
      <c r="B32220" s="4" t="s">
        <v>40562</v>
      </c>
      <c r="C32220" s="5" t="str">
        <f>IFERROR(__xludf.DUMMYFUNCTION("GOOGLETRANSLATE(B32220,""en"",""de"")"),"Der Mann trocknet und wendet Produkt auf die Haare der Frau an.")</f>
        <v>Der Mann trocknet und wendet Produkt auf die Haare der Frau an.</v>
      </c>
    </row>
    <row r="32221">
      <c r="A32221" s="4" t="s">
        <v>40563</v>
      </c>
      <c r="B32221" s="4" t="s">
        <v>40564</v>
      </c>
      <c r="C32221" s="5" t="str">
        <f>IFERROR(__xludf.DUMMYFUNCTION("GOOGLETRANSLATE(B32221,""en"",""de"")"),"Ein Mann nimmt einen Bowlingkugel und wirft ihn mit einigen Stiften auf die Gasse.")</f>
        <v>Ein Mann nimmt einen Bowlingkugel und wirft ihn mit einigen Stiften auf die Gasse.</v>
      </c>
    </row>
    <row r="32222">
      <c r="A32222" s="4" t="s">
        <v>40563</v>
      </c>
      <c r="B32222" s="4" t="s">
        <v>40565</v>
      </c>
      <c r="C32222" s="5" t="str">
        <f>IFERROR(__xludf.DUMMYFUNCTION("GOOGLETRANSLATE(B32222,""en"",""de"")"),"Er fällt auf den Boden.")</f>
        <v>Er fällt auf den Boden.</v>
      </c>
    </row>
    <row r="32223">
      <c r="A32223" s="4" t="s">
        <v>40563</v>
      </c>
      <c r="B32223" s="4" t="s">
        <v>40566</v>
      </c>
      <c r="C32223" s="5" t="str">
        <f>IFERROR(__xludf.DUMMYFUNCTION("GOOGLETRANSLATE(B32223,""en"",""de"")"),"Das Publikum hinter ihm begrüßt ihn.")</f>
        <v>Das Publikum hinter ihm begrüßt ihn.</v>
      </c>
    </row>
    <row r="32224">
      <c r="A32224" s="4" t="s">
        <v>40567</v>
      </c>
      <c r="B32224" s="4" t="s">
        <v>40568</v>
      </c>
      <c r="C32224" s="5" t="str">
        <f>IFERROR(__xludf.DUMMYFUNCTION("GOOGLETRANSLATE(B32224,""en"",""de"")"),"Eine Frau steht zu einem gelben Hopscotch und spricht mit der Kamera.")</f>
        <v>Eine Frau steht zu einem gelben Hopscotch und spricht mit der Kamera.</v>
      </c>
    </row>
    <row r="32225">
      <c r="A32225" s="4" t="s">
        <v>40567</v>
      </c>
      <c r="B32225" s="4" t="s">
        <v>40569</v>
      </c>
      <c r="C32225" s="5" t="str">
        <f>IFERROR(__xludf.DUMMYFUNCTION("GOOGLETRANSLATE(B32225,""en"",""de"")"),"Die Frau spielt Hopscotch auf dem bemalten Beton.")</f>
        <v>Die Frau spielt Hopscotch auf dem bemalten Beton.</v>
      </c>
    </row>
    <row r="32226">
      <c r="A32226" s="4" t="s">
        <v>40567</v>
      </c>
      <c r="B32226" s="4" t="s">
        <v>40570</v>
      </c>
      <c r="C32226" s="5" t="str">
        <f>IFERROR(__xludf.DUMMYFUNCTION("GOOGLETRANSLATE(B32226,""en"",""de"")"),"Die Frau spricht noch einmal mit der Kamera.")</f>
        <v>Die Frau spricht noch einmal mit der Kamera.</v>
      </c>
    </row>
    <row r="32227">
      <c r="A32227" s="4" t="s">
        <v>40571</v>
      </c>
      <c r="B32227" s="4" t="s">
        <v>40572</v>
      </c>
      <c r="C32227" s="5" t="str">
        <f>IFERROR(__xludf.DUMMYFUNCTION("GOOGLETRANSLATE(B32227,""en"",""de"")"),"Eine Eröffnungsszene mit einem Kind mit einem leichten Säbel, das Laser ablenkt, als es an der Wand kam, um eine Show vorzustellen.")</f>
        <v>Eine Eröffnungsszene mit einem Kind mit einem leichten Säbel, das Laser ablenkt, als es an der Wand kam, um eine Show vorzustellen.</v>
      </c>
    </row>
    <row r="32228">
      <c r="A32228" s="4" t="s">
        <v>40571</v>
      </c>
      <c r="B32228" s="4" t="s">
        <v>40573</v>
      </c>
      <c r="C32228" s="5" t="str">
        <f>IFERROR(__xludf.DUMMYFUNCTION("GOOGLETRANSLATE(B32228,""en"",""de"")"),"Ein Mann in einem blauen T-Shirt und einer Brille steht vor einer alten Telefonkabine und erklärt seinen Anhängern auf YouTube, wie er ins Krankenhaus gegangen war, um ein beschädigtes Knie aus einem Arm-Wrestling-Match zu reparieren.")</f>
        <v>Ein Mann in einem blauen T-Shirt und einer Brille steht vor einer alten Telefonkabine und erklärt seinen Anhängern auf YouTube, wie er ins Krankenhaus gegangen war, um ein beschädigtes Knie aus einem Arm-Wrestling-Match zu reparieren.</v>
      </c>
    </row>
    <row r="32229">
      <c r="A32229" s="4" t="s">
        <v>40571</v>
      </c>
      <c r="B32229" s="4" t="s">
        <v>40574</v>
      </c>
      <c r="C32229" s="5" t="str">
        <f>IFERROR(__xludf.DUMMYFUNCTION("GOOGLETRANSLATE(B32229,""en"",""de"")"),"Dann wird ein Video aus dem Vorfall gezeigt, bei dem er sein Knie bei einem Arm -Wrestling -Match beschädigt hat, als diese beiden Männer mit einem Schiedsrichter mit Blick .")</f>
        <v>Dann wird ein Video aus dem Vorfall gezeigt, bei dem er sein Knie bei einem Arm -Wrestling -Match beschädigt hat, als diese beiden Männer mit einem Schiedsrichter mit Blick .</v>
      </c>
    </row>
    <row r="32230">
      <c r="A32230" s="4" t="s">
        <v>40575</v>
      </c>
      <c r="B32230" s="4" t="s">
        <v>40576</v>
      </c>
      <c r="C32230" s="5" t="str">
        <f>IFERROR(__xludf.DUMMYFUNCTION("GOOGLETRANSLATE(B32230,""en"",""de"")"),"Eine Band spielt Musik, während eine Frau im grauen Anzug singt und hinter sich ein Mann im schwarzen Anzug steckt, der Typ in grünem Hemd spielt, die Leute im großen Raum tanzen und singen, während andere singen Wenn Sie sitzen, sprechen zwei Leute in ei"&amp;"ner Ecke, während das Gesang und Tanzen fortgesetzt werden.")</f>
        <v>Eine Band spielt Musik, während eine Frau im grauen Anzug singt und hinter sich ein Mann im schwarzen Anzug steckt, der Typ in grünem Hemd spielt, die Leute im großen Raum tanzen und singen, während andere singen Wenn Sie sitzen, sprechen zwei Leute in einer Ecke, während das Gesang und Tanzen fortgesetzt werden.</v>
      </c>
    </row>
    <row r="32231">
      <c r="A32231" s="4" t="s">
        <v>40575</v>
      </c>
      <c r="B32231" s="4" t="s">
        <v>40577</v>
      </c>
      <c r="C32231" s="5" t="str">
        <f>IFERROR(__xludf.DUMMYFUNCTION("GOOGLETRANSLATE(B32231,""en"",""de"")"),"Der Typ im grünen Hemd spielt Schlagzeug.")</f>
        <v>Der Typ im grünen Hemd spielt Schlagzeug.</v>
      </c>
    </row>
    <row r="32232">
      <c r="A32232" s="4" t="s">
        <v>40578</v>
      </c>
      <c r="B32232" s="4" t="s">
        <v>40579</v>
      </c>
      <c r="C32232" s="5" t="str">
        <f>IFERROR(__xludf.DUMMYFUNCTION("GOOGLETRANSLATE(B32232,""en"",""de"")"),"Ein Mann und eine Frau lächeln auf einem Bild.")</f>
        <v>Ein Mann und eine Frau lächeln auf einem Bild.</v>
      </c>
    </row>
    <row r="32233">
      <c r="A32233" s="4" t="s">
        <v>40578</v>
      </c>
      <c r="B32233" s="4" t="s">
        <v>40580</v>
      </c>
      <c r="C32233" s="5" t="str">
        <f>IFERROR(__xludf.DUMMYFUNCTION("GOOGLETRANSLATE(B32233,""en"",""de"")"),"Jemand hält einen Rasierer über eine Spüle.")</f>
        <v>Jemand hält einen Rasierer über eine Spüle.</v>
      </c>
    </row>
    <row r="32234">
      <c r="A32234" s="4" t="s">
        <v>40578</v>
      </c>
      <c r="B32234" s="4" t="s">
        <v>40581</v>
      </c>
      <c r="C32234" s="5" t="str">
        <f>IFERROR(__xludf.DUMMYFUNCTION("GOOGLETRANSLATE(B32234,""en"",""de"")"),"Ein Mann mit Rasiercreme auf seinem Bart fängt an, sich zu rasieren.")</f>
        <v>Ein Mann mit Rasiercreme auf seinem Bart fängt an, sich zu rasieren.</v>
      </c>
    </row>
    <row r="32235">
      <c r="A32235" s="4" t="s">
        <v>40578</v>
      </c>
      <c r="B32235" s="4" t="s">
        <v>16935</v>
      </c>
      <c r="C32235" s="5" t="str">
        <f>IFERROR(__xludf.DUMMYFUNCTION("GOOGLETRANSLATE(B32235,""en"",""de"")"),"Wörter werden auf dem Bildschirm geschrieben.")</f>
        <v>Wörter werden auf dem Bildschirm geschrieben.</v>
      </c>
    </row>
    <row r="32236">
      <c r="A32236" s="4" t="s">
        <v>40578</v>
      </c>
      <c r="B32236" s="4" t="s">
        <v>40582</v>
      </c>
      <c r="C32236" s="5" t="str">
        <f>IFERROR(__xludf.DUMMYFUNCTION("GOOGLETRANSLATE(B32236,""en"",""de"")"),"Der Mann rasiert weiter seinen Bart.")</f>
        <v>Der Mann rasiert weiter seinen Bart.</v>
      </c>
    </row>
    <row r="32237">
      <c r="A32237" s="4" t="s">
        <v>40578</v>
      </c>
      <c r="B32237" s="4" t="s">
        <v>40583</v>
      </c>
      <c r="C32237" s="5" t="str">
        <f>IFERROR(__xludf.DUMMYFUNCTION("GOOGLETRANSLATE(B32237,""en"",""de"")"),"Er wischt sein Gesicht mit einem Handtuch und lächelt.")</f>
        <v>Er wischt sein Gesicht mit einem Handtuch und lächelt.</v>
      </c>
    </row>
    <row r="32238">
      <c r="A32238" s="4" t="s">
        <v>40584</v>
      </c>
      <c r="B32238" s="4" t="s">
        <v>40585</v>
      </c>
      <c r="C32238" s="5" t="str">
        <f>IFERROR(__xludf.DUMMYFUNCTION("GOOGLETRANSLATE(B32238,""en"",""de"")"),"Ein junges Mädchen hat ihre Haare zurückgezogen und eine Brille, als jemand hier den Knorpel markiert.")</f>
        <v>Ein junges Mädchen hat ihre Haare zurückgezogen und eine Brille, als jemand hier den Knorpel markiert.</v>
      </c>
    </row>
    <row r="32239">
      <c r="A32239" s="4" t="s">
        <v>40584</v>
      </c>
      <c r="B32239" s="4" t="s">
        <v>40586</v>
      </c>
      <c r="C32239" s="5" t="str">
        <f>IFERROR(__xludf.DUMMYFUNCTION("GOOGLETRANSLATE(B32239,""en"",""de"")"),"Sobald es markiert ist, beginnt sie an der Kamera zu lächeln.")</f>
        <v>Sobald es markiert ist, beginnt sie an der Kamera zu lächeln.</v>
      </c>
    </row>
    <row r="32240">
      <c r="A32240" s="4" t="s">
        <v>40584</v>
      </c>
      <c r="B32240" s="4" t="s">
        <v>40587</v>
      </c>
      <c r="C32240" s="5" t="str">
        <f>IFERROR(__xludf.DUMMYFUNCTION("GOOGLETRANSLATE(B32240,""en"",""de"")"),"Der Mann schnappt sich dann ein Paar Pinzetten und klammert das Ohr des Mädchens.")</f>
        <v>Der Mann schnappt sich dann ein Paar Pinzetten und klammert das Ohr des Mädchens.</v>
      </c>
    </row>
    <row r="32241">
      <c r="A32241" s="4" t="s">
        <v>40584</v>
      </c>
      <c r="B32241" s="4" t="s">
        <v>40588</v>
      </c>
      <c r="C32241" s="5" t="str">
        <f>IFERROR(__xludf.DUMMYFUNCTION("GOOGLETRANSLATE(B32241,""en"",""de"")"),"Der Ohrring ist endlich da und das Mädchen beginnt zugelächelt und berührt ihr anderes Ohr.")</f>
        <v>Der Ohrring ist endlich da und das Mädchen beginnt zugelächelt und berührt ihr anderes Ohr.</v>
      </c>
    </row>
    <row r="32242">
      <c r="A32242" s="4" t="s">
        <v>40589</v>
      </c>
      <c r="B32242" s="4" t="s">
        <v>40590</v>
      </c>
      <c r="C32242" s="5" t="str">
        <f>IFERROR(__xludf.DUMMYFUNCTION("GOOGLETRANSLATE(B32242,""en"",""de"")"),"Es werden mehrere Clips von Athleten gezeigt, die eine große Strecke in eine Sandgrube hinunterlaufen.")</f>
        <v>Es werden mehrere Clips von Athleten gezeigt, die eine große Strecke in eine Sandgrube hinunterlaufen.</v>
      </c>
    </row>
    <row r="32243">
      <c r="A32243" s="4" t="s">
        <v>40589</v>
      </c>
      <c r="B32243" s="4" t="s">
        <v>40591</v>
      </c>
      <c r="C32243" s="5" t="str">
        <f>IFERROR(__xludf.DUMMYFUNCTION("GOOGLETRANSLATE(B32243,""en"",""de"")"),"Es werden mehr Menschen gezeigt, die die Strecke hinunterlaufen und beeindruckende Sprünge und danach feiern.")</f>
        <v>Es werden mehr Menschen gezeigt, die die Strecke hinunterlaufen und beeindruckende Sprünge und danach feiern.</v>
      </c>
    </row>
    <row r="32244">
      <c r="A32244" s="4" t="s">
        <v>40589</v>
      </c>
      <c r="B32244" s="4" t="s">
        <v>40592</v>
      </c>
      <c r="C32244" s="5" t="str">
        <f>IFERROR(__xludf.DUMMYFUNCTION("GOOGLETRANSLATE(B32244,""en"",""de"")"),"Es werden mehrere Clips angezeigt, von denen Sportler die Strecke hinunterlaufen und über Balken springen und dem Publikum winken.")</f>
        <v>Es werden mehrere Clips angezeigt, von denen Sportler die Strecke hinunterlaufen und über Balken springen und dem Publikum winken.</v>
      </c>
    </row>
    <row r="32245">
      <c r="A32245" s="4" t="s">
        <v>40593</v>
      </c>
      <c r="B32245" s="4" t="s">
        <v>40594</v>
      </c>
      <c r="C32245" s="5" t="str">
        <f>IFERROR(__xludf.DUMMYFUNCTION("GOOGLETRANSLATE(B32245,""en"",""de"")"),"Eine Gruppe von Männern ist gesehen, wie er um einen Tisch herumläuft, der mit Tassen gefüllt ist, während sie lachen und sich gegenseitig lächeln.")</f>
        <v>Eine Gruppe von Männern ist gesehen, wie er um einen Tisch herumläuft, der mit Tassen gefüllt ist, während sie lachen und sich gegenseitig lächeln.</v>
      </c>
    </row>
    <row r="32246">
      <c r="A32246" s="4" t="s">
        <v>40593</v>
      </c>
      <c r="B32246" s="4" t="s">
        <v>40595</v>
      </c>
      <c r="C32246" s="5" t="str">
        <f>IFERROR(__xludf.DUMMYFUNCTION("GOOGLETRANSLATE(B32246,""en"",""de"")"),"Ein Mann springt dann auf den Tisch und stürzt ihn auf den Boden, während andere herumlaufen und lachen.")</f>
        <v>Ein Mann springt dann auf den Tisch und stürzt ihn auf den Boden, während andere herumlaufen und lachen.</v>
      </c>
    </row>
    <row r="32247">
      <c r="A32247" s="4" t="s">
        <v>40596</v>
      </c>
      <c r="B32247" s="4" t="s">
        <v>40597</v>
      </c>
      <c r="C32247" s="5" t="str">
        <f>IFERROR(__xludf.DUMMYFUNCTION("GOOGLETRANSLATE(B32247,""en"",""de"")"),"Eine Aussicht ist von Menschen im Meer zu sehen.")</f>
        <v>Eine Aussicht ist von Menschen im Meer zu sehen.</v>
      </c>
    </row>
    <row r="32248">
      <c r="A32248" s="4" t="s">
        <v>40596</v>
      </c>
      <c r="B32248" s="4" t="s">
        <v>40598</v>
      </c>
      <c r="C32248" s="5" t="str">
        <f>IFERROR(__xludf.DUMMYFUNCTION("GOOGLETRANSLATE(B32248,""en"",""de"")"),"Das Wasser ist rau und spritzt hart gegen die Felsen.")</f>
        <v>Das Wasser ist rau und spritzt hart gegen die Felsen.</v>
      </c>
    </row>
    <row r="32249">
      <c r="A32249" s="4" t="s">
        <v>40596</v>
      </c>
      <c r="B32249" s="4" t="s">
        <v>40599</v>
      </c>
      <c r="C32249" s="5" t="str">
        <f>IFERROR(__xludf.DUMMYFUNCTION("GOOGLETRANSLATE(B32249,""en"",""de"")"),"Die Menschen werden von ihren Surfbrettern gestrichen.")</f>
        <v>Die Menschen werden von ihren Surfbrettern gestrichen.</v>
      </c>
    </row>
    <row r="32250">
      <c r="A32250" s="4" t="s">
        <v>40600</v>
      </c>
      <c r="B32250" s="4" t="s">
        <v>40601</v>
      </c>
      <c r="C32250" s="5" t="str">
        <f>IFERROR(__xludf.DUMMYFUNCTION("GOOGLETRANSLATE(B32250,""en"",""de"")"),"Die Leute sitzen auf und reiten Kamele draußen.")</f>
        <v>Die Leute sitzen auf und reiten Kamele draußen.</v>
      </c>
    </row>
    <row r="32251">
      <c r="A32251" s="4" t="s">
        <v>40600</v>
      </c>
      <c r="B32251" s="4" t="s">
        <v>40602</v>
      </c>
      <c r="C32251" s="5" t="str">
        <f>IFERROR(__xludf.DUMMYFUNCTION("GOOGLETRANSLATE(B32251,""en"",""de"")"),"Eine Person geht und hält eine Schnur, die an das Gesicht des Kamels gebunden ist.")</f>
        <v>Eine Person geht und hält eine Schnur, die an das Gesicht des Kamels gebunden ist.</v>
      </c>
    </row>
    <row r="32252">
      <c r="A32252" s="4" t="s">
        <v>40600</v>
      </c>
      <c r="B32252" s="4" t="s">
        <v>40603</v>
      </c>
      <c r="C32252" s="5" t="str">
        <f>IFERROR(__xludf.DUMMYFUNCTION("GOOGLETRANSLATE(B32252,""en"",""de"")"),"Eine hellbraune Flüssigkeit wird in kleine Brillen gegossen.")</f>
        <v>Eine hellbraune Flüssigkeit wird in kleine Brillen gegossen.</v>
      </c>
    </row>
    <row r="32253">
      <c r="A32253" s="4" t="s">
        <v>40604</v>
      </c>
      <c r="B32253" s="4" t="s">
        <v>40605</v>
      </c>
      <c r="C32253" s="5" t="str">
        <f>IFERROR(__xludf.DUMMYFUNCTION("GOOGLETRANSLATE(B32253,""en"",""de"")"),"Ein Mann arbeitet an Bars.")</f>
        <v>Ein Mann arbeitet an Bars.</v>
      </c>
    </row>
    <row r="32254">
      <c r="A32254" s="4" t="s">
        <v>40604</v>
      </c>
      <c r="B32254" s="4" t="s">
        <v>40606</v>
      </c>
      <c r="C32254" s="5" t="str">
        <f>IFERROR(__xludf.DUMMYFUNCTION("GOOGLETRANSLATE(B32254,""en"",""de"")"),"Er hat ein Gewicht an seinem Gürtel.")</f>
        <v>Er hat ein Gewicht an seinem Gürtel.</v>
      </c>
    </row>
    <row r="32255">
      <c r="A32255" s="4" t="s">
        <v>40604</v>
      </c>
      <c r="B32255" s="4" t="s">
        <v>40607</v>
      </c>
      <c r="C32255" s="5" t="str">
        <f>IFERROR(__xludf.DUMMYFUNCTION("GOOGLETRANSLATE(B32255,""en"",""de"")"),"Er geht auf und ab auf die Bars.")</f>
        <v>Er geht auf und ab auf die Bars.</v>
      </c>
    </row>
    <row r="32256">
      <c r="A32256" s="4" t="s">
        <v>40608</v>
      </c>
      <c r="B32256" s="4" t="s">
        <v>40609</v>
      </c>
      <c r="C32256" s="5" t="str">
        <f>IFERROR(__xludf.DUMMYFUNCTION("GOOGLETRANSLATE(B32256,""en"",""de"")"),"Uns wird der überwachsene Hof gezeigt.")</f>
        <v>Uns wird der überwachsene Hof gezeigt.</v>
      </c>
    </row>
    <row r="32257">
      <c r="A32257" s="4" t="s">
        <v>40608</v>
      </c>
      <c r="B32257" s="4" t="s">
        <v>40610</v>
      </c>
      <c r="C32257" s="5" t="str">
        <f>IFERROR(__xludf.DUMMYFUNCTION("GOOGLETRANSLATE(B32257,""en"",""de"")"),"In einer Einfahrt ist ein weißer LKW zu sehen.")</f>
        <v>In einer Einfahrt ist ein weißer LKW zu sehen.</v>
      </c>
    </row>
    <row r="32258">
      <c r="A32258" s="4" t="s">
        <v>40608</v>
      </c>
      <c r="B32258" s="4" t="s">
        <v>40611</v>
      </c>
      <c r="C32258" s="5" t="str">
        <f>IFERROR(__xludf.DUMMYFUNCTION("GOOGLETRANSLATE(B32258,""en"",""de"")"),"Wir sehen den Schatten des Kameramanns.")</f>
        <v>Wir sehen den Schatten des Kameramanns.</v>
      </c>
    </row>
    <row r="32259">
      <c r="A32259" s="4" t="s">
        <v>40608</v>
      </c>
      <c r="B32259" s="4" t="s">
        <v>40612</v>
      </c>
      <c r="C32259" s="5" t="str">
        <f>IFERROR(__xludf.DUMMYFUNCTION("GOOGLETRANSLATE(B32259,""en"",""de"")"),"Eine Person in Blau mäht den Rasen.")</f>
        <v>Eine Person in Blau mäht den Rasen.</v>
      </c>
    </row>
    <row r="32260">
      <c r="A32260" s="4" t="s">
        <v>40608</v>
      </c>
      <c r="B32260" s="4" t="s">
        <v>40613</v>
      </c>
      <c r="C32260" s="5" t="str">
        <f>IFERROR(__xludf.DUMMYFUNCTION("GOOGLETRANSLATE(B32260,""en"",""de"")"),"Eine Person, die Menschen mit Blättern verwenden.")</f>
        <v>Eine Person, die Menschen mit Blättern verwenden.</v>
      </c>
    </row>
    <row r="32261">
      <c r="A32261" s="4" t="s">
        <v>40608</v>
      </c>
      <c r="B32261" s="4" t="s">
        <v>40614</v>
      </c>
      <c r="C32261" s="5" t="str">
        <f>IFERROR(__xludf.DUMMYFUNCTION("GOOGLETRANSLATE(B32261,""en"",""de"")"),"Die Kamera schwenkt, um die Bäume und den Garten zu zeigen.")</f>
        <v>Die Kamera schwenkt, um die Bäume und den Garten zu zeigen.</v>
      </c>
    </row>
    <row r="32262">
      <c r="A32262" s="4" t="s">
        <v>40615</v>
      </c>
      <c r="B32262" s="4" t="s">
        <v>40616</v>
      </c>
      <c r="C32262" s="5" t="str">
        <f>IFERROR(__xludf.DUMMYFUNCTION("GOOGLETRANSLATE(B32262,""en"",""de"")"),"In Einführung mit dem Showtitel und der Website ist zu sehen.")</f>
        <v>In Einführung mit dem Showtitel und der Website ist zu sehen.</v>
      </c>
    </row>
    <row r="32263">
      <c r="A32263" s="4" t="s">
        <v>40615</v>
      </c>
      <c r="B32263" s="4" t="s">
        <v>40617</v>
      </c>
      <c r="C32263" s="5" t="str">
        <f>IFERROR(__xludf.DUMMYFUNCTION("GOOGLETRANSLATE(B32263,""en"",""de"")"),"Eine Frau steht im Badezimmer und legt dann ein Kontaktobjektiv in ihr Auge.")</f>
        <v>Eine Frau steht im Badezimmer und legt dann ein Kontaktobjektiv in ihr Auge.</v>
      </c>
    </row>
    <row r="32264">
      <c r="A32264" s="4" t="s">
        <v>40615</v>
      </c>
      <c r="B32264" s="4" t="s">
        <v>40618</v>
      </c>
      <c r="C32264" s="5" t="str">
        <f>IFERROR(__xludf.DUMMYFUNCTION("GOOGLETRANSLATE(B32264,""en"",""de"")"),"Die Frau nimmt dann die Kontaktlinse aus ihrem Auge zurück.")</f>
        <v>Die Frau nimmt dann die Kontaktlinse aus ihrem Auge zurück.</v>
      </c>
    </row>
    <row r="32265">
      <c r="A32265" s="4" t="s">
        <v>40615</v>
      </c>
      <c r="B32265" s="4" t="s">
        <v>40619</v>
      </c>
      <c r="C32265" s="5" t="str">
        <f>IFERROR(__xludf.DUMMYFUNCTION("GOOGLETRANSLATE(B32265,""en"",""de"")"),"Die Frau zeigt ein Paar Pinzetten und nutzt sie, um stattdessen den Kontakt aus ihrem Auge zu nehmen.")</f>
        <v>Die Frau zeigt ein Paar Pinzetten und nutzt sie, um stattdessen den Kontakt aus ihrem Auge zu nehmen.</v>
      </c>
    </row>
    <row r="32266">
      <c r="A32266" s="4" t="s">
        <v>40620</v>
      </c>
      <c r="B32266" s="4" t="s">
        <v>40621</v>
      </c>
      <c r="C32266" s="5" t="str">
        <f>IFERROR(__xludf.DUMMYFUNCTION("GOOGLETRANSLATE(B32266,""en"",""de"")"),"Verschiedene Aufnahmen von Wickrersurfer werden auf einem großen Gewässer mit mehreren Menschen in der Ferne abgebildet.")</f>
        <v>Verschiedene Aufnahmen von Wickrersurfer werden auf einem großen Gewässer mit mehreren Menschen in der Ferne abgebildet.</v>
      </c>
    </row>
    <row r="32267">
      <c r="A32267" s="4" t="s">
        <v>40620</v>
      </c>
      <c r="B32267" s="4" t="s">
        <v>40622</v>
      </c>
      <c r="C32267" s="5" t="str">
        <f>IFERROR(__xludf.DUMMYFUNCTION("GOOGLETRANSLATE(B32267,""en"",""de"")"),"Die Wake -Boarder reiten zurück und viertes vorbei und führen mehrere Tricks durch.")</f>
        <v>Die Wake -Boarder reiten zurück und viertes vorbei und führen mehrere Tricks durch.</v>
      </c>
    </row>
    <row r="32268">
      <c r="A32268" s="4" t="s">
        <v>40620</v>
      </c>
      <c r="B32268" s="4" t="s">
        <v>40623</v>
      </c>
      <c r="C32268" s="5" t="str">
        <f>IFERROR(__xludf.DUMMYFUNCTION("GOOGLETRANSLATE(B32268,""en"",""de"")"),"Die Fahrt in der Nähe des Ufers und Tricks nach dem anderen.")</f>
        <v>Die Fahrt in der Nähe des Ufers und Tricks nach dem anderen.</v>
      </c>
    </row>
    <row r="32269">
      <c r="A32269" s="4" t="s">
        <v>40624</v>
      </c>
      <c r="B32269" s="4" t="s">
        <v>18713</v>
      </c>
      <c r="C32269" s="5" t="str">
        <f>IFERROR(__xludf.DUMMYFUNCTION("GOOGLETRANSLATE(B32269,""en"",""de"")"),"Ein Turner bereitet sich auf einen Strahl vor.")</f>
        <v>Ein Turner bereitet sich auf einen Strahl vor.</v>
      </c>
    </row>
    <row r="32270">
      <c r="A32270" s="4" t="s">
        <v>40624</v>
      </c>
      <c r="B32270" s="4" t="s">
        <v>40625</v>
      </c>
      <c r="C32270" s="5" t="str">
        <f>IFERROR(__xludf.DUMMYFUNCTION("GOOGLETRANSLATE(B32270,""en"",""de"")"),"Er montiert und macht dann viele Flips und Handsprings.")</f>
        <v>Er montiert und macht dann viele Flips und Handsprings.</v>
      </c>
    </row>
    <row r="32271">
      <c r="A32271" s="4" t="s">
        <v>40624</v>
      </c>
      <c r="B32271" s="4" t="s">
        <v>40626</v>
      </c>
      <c r="C32271" s="5" t="str">
        <f>IFERROR(__xludf.DUMMYFUNCTION("GOOGLETRANSLATE(B32271,""en"",""de"")"),"Wenn er fertig ist, steigt er ab.")</f>
        <v>Wenn er fertig ist, steigt er ab.</v>
      </c>
    </row>
    <row r="32272">
      <c r="A32272" s="4" t="s">
        <v>40627</v>
      </c>
      <c r="B32272" s="4" t="s">
        <v>40628</v>
      </c>
      <c r="C32272" s="5" t="str">
        <f>IFERROR(__xludf.DUMMYFUNCTION("GOOGLETRANSLATE(B32272,""en"",""de"")"),"Ein Mädchen schlägt eine Piñata -Augen verbunden, während die Piñata in einem Garten rauf und runter geht.")</f>
        <v>Ein Mädchen schlägt eine Piñata -Augen verbunden, während die Piñata in einem Garten rauf und runter geht.</v>
      </c>
    </row>
    <row r="32273">
      <c r="A32273" s="4" t="s">
        <v>40627</v>
      </c>
      <c r="B32273" s="4" t="s">
        <v>40629</v>
      </c>
      <c r="C32273" s="5" t="str">
        <f>IFERROR(__xludf.DUMMYFUNCTION("GOOGLETRANSLATE(B32273,""en"",""de"")"),"Dann zieht das Mädchen das Tuch auf ihren Augen aus und lächelt.")</f>
        <v>Dann zieht das Mädchen das Tuch auf ihren Augen aus und lächelt.</v>
      </c>
    </row>
    <row r="32274">
      <c r="A32274" s="4" t="s">
        <v>40630</v>
      </c>
      <c r="B32274" s="4" t="s">
        <v>40631</v>
      </c>
      <c r="C32274" s="5" t="str">
        <f>IFERROR(__xludf.DUMMYFUNCTION("GOOGLETRANSLATE(B32274,""en"",""de"")"),"Ein Reifen für ein Fahrrad dreht sich und ein Mann fängt es auf.")</f>
        <v>Ein Reifen für ein Fahrrad dreht sich und ein Mann fängt es auf.</v>
      </c>
    </row>
    <row r="32275">
      <c r="A32275" s="4" t="s">
        <v>40630</v>
      </c>
      <c r="B32275" s="4" t="s">
        <v>40632</v>
      </c>
      <c r="C32275" s="5" t="str">
        <f>IFERROR(__xludf.DUMMYFUNCTION("GOOGLETRANSLATE(B32275,""en"",""de"")"),"Wir sehen eine Frage, die auf dem Papier geschrieben wurde, dann einen Mann in einem Fahrradgeschäft, während er spricht.")</f>
        <v>Wir sehen eine Frage, die auf dem Papier geschrieben wurde, dann einen Mann in einem Fahrradgeschäft, während er spricht.</v>
      </c>
    </row>
    <row r="32276">
      <c r="A32276" s="4" t="s">
        <v>40630</v>
      </c>
      <c r="B32276" s="4" t="s">
        <v>40633</v>
      </c>
      <c r="C32276" s="5" t="str">
        <f>IFERROR(__xludf.DUMMYFUNCTION("GOOGLETRANSLATE(B32276,""en"",""de"")"),"Er zeigt, wie man den Kautschuk eines Reifens aus dem Rahmen entzieht und ihn ersetzt.")</f>
        <v>Er zeigt, wie man den Kautschuk eines Reifens aus dem Rahmen entzieht und ihn ersetzt.</v>
      </c>
    </row>
    <row r="32277">
      <c r="A32277" s="4" t="s">
        <v>40630</v>
      </c>
      <c r="B32277" s="4" t="s">
        <v>40634</v>
      </c>
      <c r="C32277" s="5" t="str">
        <f>IFERROR(__xludf.DUMMYFUNCTION("GOOGLETRANSLATE(B32277,""en"",""de"")"),"Dann spricht er etwas länger mit der Kamera.")</f>
        <v>Dann spricht er etwas länger mit der Kamera.</v>
      </c>
    </row>
    <row r="32278">
      <c r="A32278" s="4" t="s">
        <v>40635</v>
      </c>
      <c r="B32278" s="4" t="s">
        <v>40636</v>
      </c>
      <c r="C32278" s="5" t="str">
        <f>IFERROR(__xludf.DUMMYFUNCTION("GOOGLETRANSLATE(B32278,""en"",""de"")"),"Ein Manneshaar wird in der Nähe gesehen, gefolgt von einem Rasierer, der an den Seiten verwendet wird.")</f>
        <v>Ein Manneshaar wird in der Nähe gesehen, gefolgt von einem Rasierer, der an den Seiten verwendet wird.</v>
      </c>
    </row>
    <row r="32279">
      <c r="A32279" s="4" t="s">
        <v>40635</v>
      </c>
      <c r="B32279" s="4" t="s">
        <v>40637</v>
      </c>
      <c r="C32279" s="5" t="str">
        <f>IFERROR(__xludf.DUMMYFUNCTION("GOOGLETRANSLATE(B32279,""en"",""de"")"),"Eine Person wird gesehen, wie sie die Haare der Person kämmt, während sie noch den Trimmer benutzt.")</f>
        <v>Eine Person wird gesehen, wie sie die Haare der Person kämmt, während sie noch den Trimmer benutzt.</v>
      </c>
    </row>
    <row r="32280">
      <c r="A32280" s="4" t="s">
        <v>40635</v>
      </c>
      <c r="B32280" s="4" t="s">
        <v>40638</v>
      </c>
      <c r="C32280" s="5" t="str">
        <f>IFERROR(__xludf.DUMMYFUNCTION("GOOGLETRANSLATE(B32280,""en"",""de"")"),"Der Kopf des Mannes wird auch an der Seite rasiert.")</f>
        <v>Der Kopf des Mannes wird auch an der Seite rasiert.</v>
      </c>
    </row>
    <row r="32281">
      <c r="A32281" s="4" t="s">
        <v>40639</v>
      </c>
      <c r="B32281" s="4" t="s">
        <v>40640</v>
      </c>
      <c r="C32281" s="5" t="str">
        <f>IFERROR(__xludf.DUMMYFUNCTION("GOOGLETRANSLATE(B32281,""en"",""de"")"),"Es gibt eine Dame, die Schwimmerin in einen Innenpool aus einem hohen Tauchbrett taucht, während eine kleine Gruppe von Menschen sie beobachtet.")</f>
        <v>Es gibt eine Dame, die Schwimmerin in einen Innenpool aus einem hohen Tauchbrett taucht, während eine kleine Gruppe von Menschen sie beobachtet.</v>
      </c>
    </row>
    <row r="32282">
      <c r="A32282" s="4" t="s">
        <v>40639</v>
      </c>
      <c r="B32282" s="4" t="s">
        <v>40641</v>
      </c>
      <c r="C32282" s="5" t="str">
        <f>IFERROR(__xludf.DUMMYFUNCTION("GOOGLETRANSLATE(B32282,""en"",""de"")"),"Der Taucher steht zuerst in einer Position, um ihre Haltung anzupassen, und tritt dann allmählich auf das Tauchbrett.")</f>
        <v>Der Taucher steht zuerst in einer Position, um ihre Haltung anzupassen, und tritt dann allmählich auf das Tauchbrett.</v>
      </c>
    </row>
    <row r="32283">
      <c r="A32283" s="4" t="s">
        <v>40639</v>
      </c>
      <c r="B32283" s="4" t="s">
        <v>40642</v>
      </c>
      <c r="C32283" s="5" t="str">
        <f>IFERROR(__xludf.DUMMYFUNCTION("GOOGLETRANSLATE(B32283,""en"",""de"")"),"Sie springt hoch und verdreht ihren Körper, während sie den Sprung macht.")</f>
        <v>Sie springt hoch und verdreht ihren Körper, während sie den Sprung macht.</v>
      </c>
    </row>
    <row r="32284">
      <c r="A32284" s="4" t="s">
        <v>40639</v>
      </c>
      <c r="B32284" s="4" t="s">
        <v>40643</v>
      </c>
      <c r="C32284" s="5" t="str">
        <f>IFERROR(__xludf.DUMMYFUNCTION("GOOGLETRANSLATE(B32284,""en"",""de"")"),"Sie verletzte sich auf dem Rücken, als sie die Entfernung vom Tauchbrett falsch einschätzt, als sie in den Pool fällt.")</f>
        <v>Sie verletzte sich auf dem Rücken, als sie die Entfernung vom Tauchbrett falsch einschätzt, als sie in den Pool fällt.</v>
      </c>
    </row>
    <row r="32285">
      <c r="A32285" s="4" t="s">
        <v>40644</v>
      </c>
      <c r="B32285" s="4" t="s">
        <v>40645</v>
      </c>
      <c r="C32285" s="5" t="str">
        <f>IFERROR(__xludf.DUMMYFUNCTION("GOOGLETRANSLATE(B32285,""en"",""de"")"),"Einige verschiedene Intros führen schließlich zu zwei Männern, die auf einem Feld zeigen und sich auf Paintball vorbereiten.")</f>
        <v>Einige verschiedene Intros führen schließlich zu zwei Männern, die auf einem Feld zeigen und sich auf Paintball vorbereiten.</v>
      </c>
    </row>
    <row r="32286">
      <c r="A32286" s="4" t="s">
        <v>40644</v>
      </c>
      <c r="B32286" s="4" t="s">
        <v>40646</v>
      </c>
      <c r="C32286" s="5" t="str">
        <f>IFERROR(__xludf.DUMMYFUNCTION("GOOGLETRANSLATE(B32286,""en"",""de"")"),"Dann rennen die Männer durch das Feld und greifen sich mit Paintball -Kanonen an.")</f>
        <v>Dann rennen die Männer durch das Feld und greifen sich mit Paintball -Kanonen an.</v>
      </c>
    </row>
    <row r="32287">
      <c r="A32287" s="4" t="s">
        <v>40644</v>
      </c>
      <c r="B32287" s="4" t="s">
        <v>40647</v>
      </c>
      <c r="C32287" s="5" t="str">
        <f>IFERROR(__xludf.DUMMYFUNCTION("GOOGLETRANSLATE(B32287,""en"",""de"")"),"Sie rennen schnell durch das Feld und greifen sich mit der Lackpistole gegenseitig an.")</f>
        <v>Sie rennen schnell durch das Feld und greifen sich mit der Lackpistole gegenseitig an.</v>
      </c>
    </row>
    <row r="32288">
      <c r="A32288" s="4" t="s">
        <v>40648</v>
      </c>
      <c r="B32288" s="4" t="s">
        <v>40649</v>
      </c>
      <c r="C32288" s="5" t="str">
        <f>IFERROR(__xludf.DUMMYFUNCTION("GOOGLETRANSLATE(B32288,""en"",""de"")"),"Ein Mädchen -Gymnast in Red Farkly Trikot macht in einer Pferdestange Gymnastik.")</f>
        <v>Ein Mädchen -Gymnast in Red Farkly Trikot macht in einer Pferdestange Gymnastik.</v>
      </c>
    </row>
    <row r="32289">
      <c r="A32289" s="4" t="s">
        <v>40648</v>
      </c>
      <c r="B32289" s="4" t="s">
        <v>40650</v>
      </c>
      <c r="C32289" s="5" t="str">
        <f>IFERROR(__xludf.DUMMYFUNCTION("GOOGLETRANSLATE(B32289,""en"",""de"")"),"Sie springt schnell und macht Handsprings und Rücken auf der Pferdestange.")</f>
        <v>Sie springt schnell und macht Handsprings und Rücken auf der Pferdestange.</v>
      </c>
    </row>
    <row r="32290">
      <c r="A32290" s="4" t="s">
        <v>40648</v>
      </c>
      <c r="B32290" s="4" t="s">
        <v>40651</v>
      </c>
      <c r="C32290" s="5" t="str">
        <f>IFERROR(__xludf.DUMMYFUNCTION("GOOGLETRANSLATE(B32290,""en"",""de"")"),"Es gibt eine Jury von Richtern, die sie im Stadion in Nanning, China, beobachten.")</f>
        <v>Es gibt eine Jury von Richtern, die sie im Stadion in Nanning, China, beobachten.</v>
      </c>
    </row>
    <row r="32291">
      <c r="A32291" s="4" t="s">
        <v>40648</v>
      </c>
      <c r="B32291" s="4" t="s">
        <v>40652</v>
      </c>
      <c r="C32291" s="5" t="str">
        <f>IFERROR(__xludf.DUMMYFUNCTION("GOOGLETRANSLATE(B32291,""en"",""de"")"),"Sie geht weiterhin anmutig auf der Pferdestange, als sie springt und einen Rücken direkt auf den Boden dreht und dann weggeht.")</f>
        <v>Sie geht weiterhin anmutig auf der Pferdestange, als sie springt und einen Rücken direkt auf den Boden dreht und dann weggeht.</v>
      </c>
    </row>
    <row r="32292">
      <c r="A32292" s="4" t="s">
        <v>40653</v>
      </c>
      <c r="B32292" s="4" t="s">
        <v>40654</v>
      </c>
      <c r="C32292" s="5" t="str">
        <f>IFERROR(__xludf.DUMMYFUNCTION("GOOGLETRANSLATE(B32292,""en"",""de"")"),"Eine Nahaufnahme von Lebensmitteln wird von einer Person gezeigt, die verschiedene Zutaten in einen Becher steckt.")</f>
        <v>Eine Nahaufnahme von Lebensmitteln wird von einer Person gezeigt, die verschiedene Zutaten in einen Becher steckt.</v>
      </c>
    </row>
    <row r="32293">
      <c r="A32293" s="4" t="s">
        <v>40653</v>
      </c>
      <c r="B32293" s="4" t="s">
        <v>40655</v>
      </c>
      <c r="C32293" s="5" t="str">
        <f>IFERROR(__xludf.DUMMYFUNCTION("GOOGLETRANSLATE(B32293,""en"",""de"")"),"Sie mischen sich um die Zutaten, legen den Becher in die Mikrowelle und nehmen sie am Ende heraus, um den Kuchen zu zeigen.")</f>
        <v>Sie mischen sich um die Zutaten, legen den Becher in die Mikrowelle und nehmen sie am Ende heraus, um den Kuchen zu zeigen.</v>
      </c>
    </row>
    <row r="32294">
      <c r="A32294" s="4" t="s">
        <v>40656</v>
      </c>
      <c r="B32294" s="4" t="s">
        <v>40657</v>
      </c>
      <c r="C32294" s="5" t="str">
        <f>IFERROR(__xludf.DUMMYFUNCTION("GOOGLETRANSLATE(B32294,""en"",""de"")"),"Jemand trifft eine Fledermaus gegen zwei Bälle.")</f>
        <v>Jemand trifft eine Fledermaus gegen zwei Bälle.</v>
      </c>
    </row>
    <row r="32295">
      <c r="A32295" s="4" t="s">
        <v>40656</v>
      </c>
      <c r="B32295" s="4" t="s">
        <v>40658</v>
      </c>
      <c r="C32295" s="5" t="str">
        <f>IFERROR(__xludf.DUMMYFUNCTION("GOOGLETRANSLATE(B32295,""en"",""de"")"),"Die Bälle gehen zu einer Schleife im Boden.")</f>
        <v>Die Bälle gehen zu einer Schleife im Boden.</v>
      </c>
    </row>
    <row r="32296">
      <c r="A32296" s="4" t="s">
        <v>40656</v>
      </c>
      <c r="B32296" s="4" t="s">
        <v>40659</v>
      </c>
      <c r="C32296" s="5" t="str">
        <f>IFERROR(__xludf.DUMMYFUNCTION("GOOGLETRANSLATE(B32296,""en"",""de"")"),"Sie trennten sich und gehen unterschiedliche Entfernungen.")</f>
        <v>Sie trennten sich und gehen unterschiedliche Entfernungen.</v>
      </c>
    </row>
    <row r="32297">
      <c r="A32297" s="4" t="s">
        <v>40660</v>
      </c>
      <c r="B32297" s="4" t="s">
        <v>40661</v>
      </c>
      <c r="C32297" s="5" t="str">
        <f>IFERROR(__xludf.DUMMYFUNCTION("GOOGLETRANSLATE(B32297,""en"",""de"")"),"Zwei Frauen fegen einen Boden zusammen, als ein Ball hinter ihnen gleitet.")</f>
        <v>Zwei Frauen fegen einen Boden zusammen, als ein Ball hinter ihnen gleitet.</v>
      </c>
    </row>
    <row r="32298">
      <c r="A32298" s="4" t="s">
        <v>40660</v>
      </c>
      <c r="B32298" s="4" t="s">
        <v>40662</v>
      </c>
      <c r="C32298" s="5" t="str">
        <f>IFERROR(__xludf.DUMMYFUNCTION("GOOGLETRANSLATE(B32298,""en"",""de"")"),"Sie fegen den Boden erneut und eine der Frauen hält eine Sekunde an, als ihr Partner schneller fegt.")</f>
        <v>Sie fegen den Boden erneut und eine der Frauen hält eine Sekunde an, als ihr Partner schneller fegt.</v>
      </c>
    </row>
    <row r="32299">
      <c r="A32299" s="4" t="s">
        <v>40660</v>
      </c>
      <c r="B32299" s="4" t="s">
        <v>40663</v>
      </c>
      <c r="C32299" s="5" t="str">
        <f>IFERROR(__xludf.DUMMYFUNCTION("GOOGLETRANSLATE(B32299,""en"",""de"")"),"Sie fegen den Boden erneut mit einer Frau, die gegen Ende wütend fegt, während ihr Partner eine Sekunde anhält und aufblickt.")</f>
        <v>Sie fegen den Boden erneut mit einer Frau, die gegen Ende wütend fegt, während ihr Partner eine Sekunde anhält und aufblickt.</v>
      </c>
    </row>
    <row r="32300">
      <c r="A32300" s="4" t="s">
        <v>40664</v>
      </c>
      <c r="B32300" s="4" t="s">
        <v>40665</v>
      </c>
      <c r="C32300" s="5" t="str">
        <f>IFERROR(__xludf.DUMMYFUNCTION("GOOGLETRANSLATE(B32300,""en"",""de"")"),"Menschen erwärmen sich die Hände und Biegen.")</f>
        <v>Menschen erwärmen sich die Hände und Biegen.</v>
      </c>
    </row>
    <row r="32301">
      <c r="A32301" s="4" t="s">
        <v>40664</v>
      </c>
      <c r="B32301" s="4" t="s">
        <v>40666</v>
      </c>
      <c r="C32301" s="5" t="str">
        <f>IFERROR(__xludf.DUMMYFUNCTION("GOOGLETRANSLATE(B32301,""en"",""de"")"),"Dann trainieren die Leute ein Stepper -Training, das jedes Mal einen Füße leistet.")</f>
        <v>Dann trainieren die Leute ein Stepper -Training, das jedes Mal einen Füße leistet.</v>
      </c>
    </row>
    <row r="32302">
      <c r="A32302" s="4" t="s">
        <v>40664</v>
      </c>
      <c r="B32302" s="4" t="s">
        <v>40667</v>
      </c>
      <c r="C32302" s="5" t="str">
        <f>IFERROR(__xludf.DUMMYFUNCTION("GOOGLETRANSLATE(B32302,""en"",""de"")"),"Danach drehen sich die Leute vor dem Schritt auf den Schritt.")</f>
        <v>Danach drehen sich die Leute vor dem Schritt auf den Schritt.</v>
      </c>
    </row>
    <row r="32303">
      <c r="A32303" s="4" t="s">
        <v>40668</v>
      </c>
      <c r="B32303" s="4" t="s">
        <v>40669</v>
      </c>
      <c r="C32303" s="5" t="str">
        <f>IFERROR(__xludf.DUMMYFUNCTION("GOOGLETRANSLATE(B32303,""en"",""de"")"),"Es gibt einen Mann in einem blauen Hemd- und beige -Hosen im Vorgarten auf braunem Mulch, der über Rasen und Gartenpflege spricht.")</f>
        <v>Es gibt einen Mann in einem blauen Hemd- und beige -Hosen im Vorgarten auf braunem Mulch, der über Rasen und Gartenpflege spricht.</v>
      </c>
    </row>
    <row r="32304">
      <c r="A32304" s="4" t="s">
        <v>40668</v>
      </c>
      <c r="B32304" s="4" t="s">
        <v>40670</v>
      </c>
      <c r="C32304" s="5" t="str">
        <f>IFERROR(__xludf.DUMMYFUNCTION("GOOGLETRANSLATE(B32304,""en"",""de"")"),"Er verweist auf den braunen Mulch und den Strauch in seiner Nähe, als er die Do's und keine Rasenpflege erklärt.")</f>
        <v>Er verweist auf den braunen Mulch und den Strauch in seiner Nähe, als er die Do's und keine Rasenpflege erklärt.</v>
      </c>
    </row>
    <row r="32305">
      <c r="A32305" s="4" t="s">
        <v>40671</v>
      </c>
      <c r="B32305" s="4" t="s">
        <v>40672</v>
      </c>
      <c r="C32305" s="5" t="str">
        <f>IFERROR(__xludf.DUMMYFUNCTION("GOOGLETRANSLATE(B32305,""en"",""de"")"),"Handlungen an einer Wand wird gezeigt.")</f>
        <v>Handlungen an einer Wand wird gezeigt.</v>
      </c>
    </row>
    <row r="32306">
      <c r="A32306" s="4" t="s">
        <v>40671</v>
      </c>
      <c r="B32306" s="4" t="s">
        <v>40673</v>
      </c>
      <c r="C32306" s="5" t="str">
        <f>IFERROR(__xludf.DUMMYFUNCTION("GOOGLETRANSLATE(B32306,""en"",""de"")"),"Eine Person legt ein Stück Wachspapier auf das Handlungenpapier.")</f>
        <v>Eine Person legt ein Stück Wachspapier auf das Handlungenpapier.</v>
      </c>
    </row>
    <row r="32307">
      <c r="A32307" s="4" t="s">
        <v>40671</v>
      </c>
      <c r="B32307" s="4" t="s">
        <v>40674</v>
      </c>
      <c r="C32307" s="5" t="str">
        <f>IFERROR(__xludf.DUMMYFUNCTION("GOOGLETRANSLATE(B32307,""en"",""de"")"),"Sie laufen eine Bürste vor dem Papier.")</f>
        <v>Sie laufen eine Bürste vor dem Papier.</v>
      </c>
    </row>
    <row r="32308">
      <c r="A32308" s="4" t="s">
        <v>40675</v>
      </c>
      <c r="B32308" s="4" t="s">
        <v>40676</v>
      </c>
      <c r="C32308" s="5" t="str">
        <f>IFERROR(__xludf.DUMMYFUNCTION("GOOGLETRANSLATE(B32308,""en"",""de"")"),"Wir sehen, wie ein Barkeeper hinter einer Bar Eis in ein Glas hinzufügt.")</f>
        <v>Wir sehen, wie ein Barkeeper hinter einer Bar Eis in ein Glas hinzufügt.</v>
      </c>
    </row>
    <row r="32309">
      <c r="A32309" s="4" t="s">
        <v>40675</v>
      </c>
      <c r="B32309" s="4" t="s">
        <v>40677</v>
      </c>
      <c r="C32309" s="5" t="str">
        <f>IFERROR(__xludf.DUMMYFUNCTION("GOOGLETRANSLATE(B32309,""en"",""de"")"),"Der Mann gießt drei Flüssigkeiten in ein Glas und schüttelt es auf.")</f>
        <v>Der Mann gießt drei Flüssigkeiten in ein Glas und schüttelt es auf.</v>
      </c>
    </row>
    <row r="32310">
      <c r="A32310" s="4" t="s">
        <v>40675</v>
      </c>
      <c r="B32310" s="4" t="s">
        <v>40678</v>
      </c>
      <c r="C32310" s="5" t="str">
        <f>IFERROR(__xludf.DUMMYFUNCTION("GOOGLETRANSLATE(B32310,""en"",""de"")"),"Der Mann gießt es in ein Glas und fügt Soda hinzu.")</f>
        <v>Der Mann gießt es in ein Glas und fügt Soda hinzu.</v>
      </c>
    </row>
    <row r="32311">
      <c r="A32311" s="4" t="s">
        <v>40675</v>
      </c>
      <c r="B32311" s="4" t="s">
        <v>40679</v>
      </c>
      <c r="C32311" s="5" t="str">
        <f>IFERROR(__xludf.DUMMYFUNCTION("GOOGLETRANSLATE(B32311,""en"",""de"")"),"Der Mann drückt eine Zitrone, rührt das Glas ein und überträgt sie in ein kleineres Glas.")</f>
        <v>Der Mann drückt eine Zitrone, rührt das Glas ein und überträgt sie in ein kleineres Glas.</v>
      </c>
    </row>
    <row r="32312">
      <c r="A32312" s="4" t="s">
        <v>40675</v>
      </c>
      <c r="B32312" s="4" t="s">
        <v>40680</v>
      </c>
      <c r="C32312" s="5" t="str">
        <f>IFERROR(__xludf.DUMMYFUNCTION("GOOGLETRANSLATE(B32312,""en"",""de"")"),"Der Mann fügt uns einen Strohhalm hinzu und präsentiert uns das Glas.")</f>
        <v>Der Mann fügt uns einen Strohhalm hinzu und präsentiert uns das Glas.</v>
      </c>
    </row>
    <row r="32313">
      <c r="A32313" s="4" t="s">
        <v>40681</v>
      </c>
      <c r="B32313" s="4" t="s">
        <v>40682</v>
      </c>
      <c r="C32313" s="5" t="str">
        <f>IFERROR(__xludf.DUMMYFUNCTION("GOOGLETRANSLATE(B32313,""en"",""de"")"),"Nachrichtenanker stellen einen Clip vor, der an einem Schreibtisch in einem Newsroom sitzt.")</f>
        <v>Nachrichtenanker stellen einen Clip vor, der an einem Schreibtisch in einem Newsroom sitzt.</v>
      </c>
    </row>
    <row r="32314">
      <c r="A32314" s="4" t="s">
        <v>40681</v>
      </c>
      <c r="B32314" s="4" t="s">
        <v>40683</v>
      </c>
      <c r="C32314" s="5" t="str">
        <f>IFERROR(__xludf.DUMMYFUNCTION("GOOGLETRANSLATE(B32314,""en"",""de"")"),"Präsident Obama führt und interviewt eine Band, die auf der Bühne spielt.")</f>
        <v>Präsident Obama führt und interviewt eine Band, die auf der Bühne spielt.</v>
      </c>
    </row>
    <row r="32315">
      <c r="A32315" s="4" t="s">
        <v>40681</v>
      </c>
      <c r="B32315" s="4" t="s">
        <v>40684</v>
      </c>
      <c r="C32315" s="5" t="str">
        <f>IFERROR(__xludf.DUMMYFUNCTION("GOOGLETRANSLATE(B32315,""en"",""de"")"),"Präsident Clinton spielt mit einer Band das Saxophon auf der Bühne.")</f>
        <v>Präsident Clinton spielt mit einer Band das Saxophon auf der Bühne.</v>
      </c>
    </row>
    <row r="32316">
      <c r="A32316" s="4" t="s">
        <v>40681</v>
      </c>
      <c r="B32316" s="4" t="s">
        <v>40685</v>
      </c>
      <c r="C32316" s="5" t="str">
        <f>IFERROR(__xludf.DUMMYFUNCTION("GOOGLETRANSLATE(B32316,""en"",""de"")"),"Präsident George Bush tanzt mit einem afrikanischen Drum -Spieler und anderen Diplomaten.")</f>
        <v>Präsident George Bush tanzt mit einem afrikanischen Drum -Spieler und anderen Diplomaten.</v>
      </c>
    </row>
    <row r="32317">
      <c r="A32317" s="4" t="s">
        <v>40686</v>
      </c>
      <c r="B32317" s="4" t="s">
        <v>40687</v>
      </c>
      <c r="C32317" s="5" t="str">
        <f>IFERROR(__xludf.DUMMYFUNCTION("GOOGLETRANSLATE(B32317,""en"",""de"")"),"Ein Mann spricht mit der Kamera und präsentiert verschiedene Flüssigkeiten und Zutaten.")</f>
        <v>Ein Mann spricht mit der Kamera und präsentiert verschiedene Flüssigkeiten und Zutaten.</v>
      </c>
    </row>
    <row r="32318">
      <c r="A32318" s="4" t="s">
        <v>40686</v>
      </c>
      <c r="B32318" s="4" t="s">
        <v>40688</v>
      </c>
      <c r="C32318" s="5" t="str">
        <f>IFERROR(__xludf.DUMMYFUNCTION("GOOGLETRANSLATE(B32318,""en"",""de"")"),"Der Mann mischt Zutaten in ein Glas mit Obst für mehrere Getränke, während sie anhalten, um etwas zu trinken.")</f>
        <v>Der Mann mischt Zutaten in ein Glas mit Obst für mehrere Getränke, während sie anhalten, um etwas zu trinken.</v>
      </c>
    </row>
    <row r="32319">
      <c r="A32319" s="4" t="s">
        <v>40686</v>
      </c>
      <c r="B32319" s="4" t="s">
        <v>40689</v>
      </c>
      <c r="C32319" s="5" t="str">
        <f>IFERROR(__xludf.DUMMYFUNCTION("GOOGLETRANSLATE(B32319,""en"",""de"")"),"Er macht weiterhin mehr Getränke mit verschiedenen Zutaten und spricht mit der Kamera.")</f>
        <v>Er macht weiterhin mehr Getränke mit verschiedenen Zutaten und spricht mit der Kamera.</v>
      </c>
    </row>
    <row r="32320">
      <c r="A32320" s="4" t="s">
        <v>40690</v>
      </c>
      <c r="B32320" s="4" t="s">
        <v>40691</v>
      </c>
      <c r="C32320" s="5" t="str">
        <f>IFERROR(__xludf.DUMMYFUNCTION("GOOGLETRANSLATE(B32320,""en"",""de"")"),"Das Gesicht eines Mannes bewegt sich hin und her.")</f>
        <v>Das Gesicht eines Mannes bewegt sich hin und her.</v>
      </c>
    </row>
    <row r="32321">
      <c r="A32321" s="4" t="s">
        <v>40690</v>
      </c>
      <c r="B32321" s="4" t="s">
        <v>40692</v>
      </c>
      <c r="C32321" s="5" t="str">
        <f>IFERROR(__xludf.DUMMYFUNCTION("GOOGLETRANSLATE(B32321,""en"",""de"")"),"Der Mann scheint einen Schuh.")</f>
        <v>Der Mann scheint einen Schuh.</v>
      </c>
    </row>
    <row r="32322">
      <c r="A32322" s="4" t="s">
        <v>40693</v>
      </c>
      <c r="B32322" s="4" t="s">
        <v>40694</v>
      </c>
      <c r="C32322" s="5" t="str">
        <f>IFERROR(__xludf.DUMMYFUNCTION("GOOGLETRANSLATE(B32322,""en"",""de"")"),"Green Text erklärt mehrere Spielregeln.")</f>
        <v>Green Text erklärt mehrere Spielregeln.</v>
      </c>
    </row>
    <row r="32323">
      <c r="A32323" s="4" t="s">
        <v>40693</v>
      </c>
      <c r="B32323" s="4" t="s">
        <v>40695</v>
      </c>
      <c r="C32323" s="5" t="str">
        <f>IFERROR(__xludf.DUMMYFUNCTION("GOOGLETRANSLATE(B32323,""en"",""de"")"),"Ein Mann und ein Junge üben zusammen, und der Trainer zeigt seinen Standpunkt.")</f>
        <v>Ein Mann und ein Junge üben zusammen, und der Trainer zeigt seinen Standpunkt.</v>
      </c>
    </row>
    <row r="32324">
      <c r="A32324" s="4" t="s">
        <v>40693</v>
      </c>
      <c r="B32324" s="4" t="s">
        <v>40696</v>
      </c>
      <c r="C32324" s="5" t="str">
        <f>IFERROR(__xludf.DUMMYFUNCTION("GOOGLETRANSLATE(B32324,""en"",""de"")"),"Sie zeigen ein paar verschiedene Bewegungen.")</f>
        <v>Sie zeigen ein paar verschiedene Bewegungen.</v>
      </c>
    </row>
    <row r="32325">
      <c r="A32325" s="4" t="s">
        <v>40697</v>
      </c>
      <c r="B32325" s="4" t="s">
        <v>40698</v>
      </c>
      <c r="C32325" s="5" t="str">
        <f>IFERROR(__xludf.DUMMYFUNCTION("GOOGLETRANSLATE(B32325,""en"",""de"")"),"Ein sportlicher Mann läuft eine lange Strecke hinunter und wirft einen Speer in die Ferne, wobei andere seinen Wurf messen.")</f>
        <v>Ein sportlicher Mann läuft eine lange Strecke hinunter und wirft einen Speer in die Ferne, wobei andere seinen Wurf messen.</v>
      </c>
    </row>
    <row r="32326">
      <c r="A32326" s="4" t="s">
        <v>40697</v>
      </c>
      <c r="B32326" s="4" t="s">
        <v>40699</v>
      </c>
      <c r="C32326" s="5" t="str">
        <f>IFERROR(__xludf.DUMMYFUNCTION("GOOGLETRANSLATE(B32326,""en"",""de"")"),"Der Mann geht weg und hohe Fives eines Mannes in der Menge, während seine Punktzahl gezeigt wird, und ein weiterer Schritte zur Seite.")</f>
        <v>Der Mann geht weg und hohe Fives eines Mannes in der Menge, während seine Punktzahl gezeigt wird, und ein weiterer Schritte zur Seite.</v>
      </c>
    </row>
    <row r="32327">
      <c r="A32327" s="4" t="s">
        <v>40700</v>
      </c>
      <c r="B32327" s="4" t="s">
        <v>40701</v>
      </c>
      <c r="C32327" s="5" t="str">
        <f>IFERROR(__xludf.DUMMYFUNCTION("GOOGLETRANSLATE(B32327,""en"",""de"")"),"Ein Mann steht draußen und hält eine Kettensäge.")</f>
        <v>Ein Mann steht draußen und hält eine Kettensäge.</v>
      </c>
    </row>
    <row r="32328">
      <c r="A32328" s="4" t="s">
        <v>40700</v>
      </c>
      <c r="B32328" s="4" t="s">
        <v>40702</v>
      </c>
      <c r="C32328" s="5" t="str">
        <f>IFERROR(__xludf.DUMMYFUNCTION("GOOGLETRANSLATE(B32328,""en"",""de"")"),"Er fällt einen Baum neben ihm ab.")</f>
        <v>Er fällt einen Baum neben ihm ab.</v>
      </c>
    </row>
    <row r="32329">
      <c r="A32329" s="4" t="s">
        <v>40700</v>
      </c>
      <c r="B32329" s="4" t="s">
        <v>40703</v>
      </c>
      <c r="C32329" s="5" t="str">
        <f>IFERROR(__xludf.DUMMYFUNCTION("GOOGLETRANSLATE(B32329,""en"",""de"")"),"Er steht neben dem Baum und redet.")</f>
        <v>Er steht neben dem Baum und redet.</v>
      </c>
    </row>
    <row r="32330">
      <c r="A32330" s="4" t="s">
        <v>40704</v>
      </c>
      <c r="B32330" s="4" t="s">
        <v>40705</v>
      </c>
      <c r="C32330" s="5" t="str">
        <f>IFERROR(__xludf.DUMMYFUNCTION("GOOGLETRANSLATE(B32330,""en"",""de"")"),"Eine Frau spricht mit der Kamera, während eine Frau im Pool hinter ihr zurück und Viertens schwimmt.")</f>
        <v>Eine Frau spricht mit der Kamera, während eine Frau im Pool hinter ihr zurück und Viertens schwimmt.</v>
      </c>
    </row>
    <row r="32331">
      <c r="A32331" s="4" t="s">
        <v>40704</v>
      </c>
      <c r="B32331" s="4" t="s">
        <v>40706</v>
      </c>
      <c r="C32331" s="5" t="str">
        <f>IFERROR(__xludf.DUMMYFUNCTION("GOOGLETRANSLATE(B32331,""en"",""de"")"),"Clips werden dann näher gesagt, wie man ordnungsgemäße Schwimmtechniken durchführt, während die Kamera mit der Frau spricht.")</f>
        <v>Clips werden dann näher gesagt, wie man ordnungsgemäße Schwimmtechniken durchführt, während die Kamera mit der Frau spricht.</v>
      </c>
    </row>
    <row r="32332">
      <c r="A32332" s="4" t="s">
        <v>40707</v>
      </c>
      <c r="B32332" s="4" t="s">
        <v>40708</v>
      </c>
      <c r="C32332" s="5" t="str">
        <f>IFERROR(__xludf.DUMMYFUNCTION("GOOGLETRANSLATE(B32332,""en"",""de"")"),"Ein Mann, der einen Cowboyhut, Sonnenbrille und gelbe Latexhandschuhe trägt, steht neben einem Pferd in einem Stall.")</f>
        <v>Ein Mann, der einen Cowboyhut, Sonnenbrille und gelbe Latexhandschuhe trägt, steht neben einem Pferd in einem Stall.</v>
      </c>
    </row>
    <row r="32333">
      <c r="A32333" s="4" t="s">
        <v>40707</v>
      </c>
      <c r="B32333" s="4" t="s">
        <v>40709</v>
      </c>
      <c r="C32333" s="5" t="str">
        <f>IFERROR(__xludf.DUMMYFUNCTION("GOOGLETRANSLATE(B32333,""en"",""de"")"),"Er benutzt einen Föhn, um den nassen Körper des Pferdes zu trocknen.")</f>
        <v>Er benutzt einen Föhn, um den nassen Körper des Pferdes zu trocknen.</v>
      </c>
    </row>
    <row r="32334">
      <c r="A32334" s="4" t="s">
        <v>40707</v>
      </c>
      <c r="B32334" s="4" t="s">
        <v>40710</v>
      </c>
      <c r="C32334" s="5" t="str">
        <f>IFERROR(__xludf.DUMMYFUNCTION("GOOGLETRANSLATE(B32334,""en"",""de"")"),"Er bewegt den Föhn über den Rücken des Pferdes hin und her, um ihn zu trocknen.")</f>
        <v>Er bewegt den Föhn über den Rücken des Pferdes hin und her, um ihn zu trocknen.</v>
      </c>
    </row>
    <row r="32335">
      <c r="A32335" s="4" t="s">
        <v>40707</v>
      </c>
      <c r="B32335" s="4" t="s">
        <v>40711</v>
      </c>
      <c r="C32335" s="5" t="str">
        <f>IFERROR(__xludf.DUMMYFUNCTION("GOOGLETRANSLATE(B32335,""en"",""de"")"),"Er verwendet auch eine Schrubbenpinsel auf dem Rücken des Pferdes, um das Pferd zu reinigen.")</f>
        <v>Er verwendet auch eine Schrubbenpinsel auf dem Rücken des Pferdes, um das Pferd zu reinigen.</v>
      </c>
    </row>
    <row r="32336">
      <c r="A32336" s="4" t="s">
        <v>40712</v>
      </c>
      <c r="B32336" s="4" t="s">
        <v>40713</v>
      </c>
      <c r="C32336" s="5" t="str">
        <f>IFERROR(__xludf.DUMMYFUNCTION("GOOGLETRANSLATE(B32336,""en"",""de"")"),"Ein Maler demonstriert verschiedene Kunstwerke in ihrem Studio.")</f>
        <v>Ein Maler demonstriert verschiedene Kunstwerke in ihrem Studio.</v>
      </c>
    </row>
    <row r="32337">
      <c r="A32337" s="4" t="s">
        <v>40712</v>
      </c>
      <c r="B32337" s="4" t="s">
        <v>40714</v>
      </c>
      <c r="C32337" s="5" t="str">
        <f>IFERROR(__xludf.DUMMYFUNCTION("GOOGLETRANSLATE(B32337,""en"",""de"")"),"Sie sitzt in ihrem Studio und spricht.")</f>
        <v>Sie sitzt in ihrem Studio und spricht.</v>
      </c>
    </row>
    <row r="32338">
      <c r="A32338" s="4" t="s">
        <v>40712</v>
      </c>
      <c r="B32338" s="4" t="s">
        <v>40715</v>
      </c>
      <c r="C32338" s="5" t="str">
        <f>IFERROR(__xludf.DUMMYFUNCTION("GOOGLETRANSLATE(B32338,""en"",""de"")"),"Sie schnappt sich einen Pinsel und taucht wiederholt in schwarze Farbe, als sie einen schwarzen Baum malt.")</f>
        <v>Sie schnappt sich einen Pinsel und taucht wiederholt in schwarze Farbe, als sie einen schwarzen Baum malt.</v>
      </c>
    </row>
    <row r="32339">
      <c r="A32339" s="4" t="s">
        <v>40712</v>
      </c>
      <c r="B32339" s="4" t="s">
        <v>40716</v>
      </c>
      <c r="C32339" s="5" t="str">
        <f>IFERROR(__xludf.DUMMYFUNCTION("GOOGLETRANSLATE(B32339,""en"",""de"")"),"Sie schnappt sich einen Schwamm und taucht ihn in grüne und blaue Farbe ein, während sie die Blätter auf dem Baum malt.")</f>
        <v>Sie schnappt sich einen Schwamm und taucht ihn in grüne und blaue Farbe ein, während sie die Blätter auf dem Baum malt.</v>
      </c>
    </row>
    <row r="32340">
      <c r="A32340" s="4" t="s">
        <v>40712</v>
      </c>
      <c r="B32340" s="4" t="s">
        <v>40717</v>
      </c>
      <c r="C32340" s="5" t="str">
        <f>IFERROR(__xludf.DUMMYFUNCTION("GOOGLETRANSLATE(B32340,""en"",""de"")"),"Sie geht weiter, um den Pinsel zu greifen und sie wiederholt in schwarze Farbe zu töten, und geht weiter, um einen anderen Baum zu malen.")</f>
        <v>Sie geht weiter, um den Pinsel zu greifen und sie wiederholt in schwarze Farbe zu töten, und geht weiter, um einen anderen Baum zu malen.</v>
      </c>
    </row>
    <row r="32341">
      <c r="A32341" s="4" t="s">
        <v>40712</v>
      </c>
      <c r="B32341" s="4" t="s">
        <v>40718</v>
      </c>
      <c r="C32341" s="5" t="str">
        <f>IFERROR(__xludf.DUMMYFUNCTION("GOOGLETRANSLATE(B32341,""en"",""de"")"),"Mit dem gleichen Pinsel, der diesmal in grüne Farbe taucht, malt sie die Kiefern von drei.")</f>
        <v>Mit dem gleichen Pinsel, der diesmal in grüne Farbe taucht, malt sie die Kiefern von drei.</v>
      </c>
    </row>
    <row r="32342">
      <c r="A32342" s="4" t="s">
        <v>40712</v>
      </c>
      <c r="B32342" s="4" t="s">
        <v>40719</v>
      </c>
      <c r="C32342" s="5" t="str">
        <f>IFERROR(__xludf.DUMMYFUNCTION("GOOGLETRANSLATE(B32342,""en"",""de"")"),"Sie beendet ihr Gemälde und spricht ein bisschen.")</f>
        <v>Sie beendet ihr Gemälde und spricht ein bisschen.</v>
      </c>
    </row>
    <row r="32343">
      <c r="A32343" s="4" t="s">
        <v>40720</v>
      </c>
      <c r="B32343" s="4" t="s">
        <v>1487</v>
      </c>
      <c r="C32343" s="5" t="str">
        <f>IFERROR(__xludf.DUMMYFUNCTION("GOOGLETRANSLATE(B32343,""en"",""de"")"),"Wir sehen einen Öffnungsbildschirm.")</f>
        <v>Wir sehen einen Öffnungsbildschirm.</v>
      </c>
    </row>
    <row r="32344">
      <c r="A32344" s="4" t="s">
        <v>40720</v>
      </c>
      <c r="B32344" s="4" t="s">
        <v>40721</v>
      </c>
      <c r="C32344" s="5" t="str">
        <f>IFERROR(__xludf.DUMMYFUNCTION("GOOGLETRANSLATE(B32344,""en"",""de"")"),"Ein Mann sitzt auf einem Track und spricht, während er interviewt wird.")</f>
        <v>Ein Mann sitzt auf einem Track und spricht, während er interviewt wird.</v>
      </c>
    </row>
    <row r="32345">
      <c r="A32345" s="4" t="s">
        <v>40720</v>
      </c>
      <c r="B32345" s="4" t="s">
        <v>40722</v>
      </c>
      <c r="C32345" s="5" t="str">
        <f>IFERROR(__xludf.DUMMYFUNCTION("GOOGLETRANSLATE(B32345,""en"",""de"")"),"Zwei Männer in Red gehen die Tribünen hinauf und eine Haltestelle, um mit jemandem zu sprechen.")</f>
        <v>Zwei Männer in Red gehen die Tribünen hinauf und eine Haltestelle, um mit jemandem zu sprechen.</v>
      </c>
    </row>
    <row r="32346">
      <c r="A32346" s="4" t="s">
        <v>40720</v>
      </c>
      <c r="B32346" s="4" t="s">
        <v>40723</v>
      </c>
      <c r="C32346" s="5" t="str">
        <f>IFERROR(__xludf.DUMMYFUNCTION("GOOGLETRANSLATE(B32346,""en"",""de"")"),"Eine Gruppe von Frauen geht hinter dem Mann als Interviewer.")</f>
        <v>Eine Gruppe von Frauen geht hinter dem Mann als Interviewer.</v>
      </c>
    </row>
    <row r="32347">
      <c r="A32347" s="4" t="s">
        <v>40720</v>
      </c>
      <c r="B32347" s="4" t="s">
        <v>5107</v>
      </c>
      <c r="C32347" s="5" t="str">
        <f>IFERROR(__xludf.DUMMYFUNCTION("GOOGLETRANSLATE(B32347,""en"",""de"")"),"Wir sehen dann den Ende des Endtitels.")</f>
        <v>Wir sehen dann den Ende des Endtitels.</v>
      </c>
    </row>
    <row r="32348">
      <c r="A32348" s="4" t="s">
        <v>40724</v>
      </c>
      <c r="B32348" s="4" t="s">
        <v>40725</v>
      </c>
      <c r="C32348" s="5" t="str">
        <f>IFERROR(__xludf.DUMMYFUNCTION("GOOGLETRANSLATE(B32348,""en"",""de"")"),"Ein Mann steht mit einer großen Gruppe von Kindern herum und führt in die Kinder, die Dodgbeall in einer großen Turnhalle spielen.")</f>
        <v>Ein Mann steht mit einer großen Gruppe von Kindern herum und führt in die Kinder, die Dodgbeall in einer großen Turnhalle spielen.</v>
      </c>
    </row>
    <row r="32349">
      <c r="A32349" s="4" t="s">
        <v>40724</v>
      </c>
      <c r="B32349" s="4" t="s">
        <v>40726</v>
      </c>
      <c r="C32349" s="5" t="str">
        <f>IFERROR(__xludf.DUMMYFUNCTION("GOOGLETRANSLATE(B32349,""en"",""de"")"),"Eine Frau spricht mit der Kamera, während mehr Aufnahmen des Spiels gezeigt werden und der Mann mit den Kindern spricht.")</f>
        <v>Eine Frau spricht mit der Kamera, während mehr Aufnahmen des Spiels gezeigt werden und der Mann mit den Kindern spricht.</v>
      </c>
    </row>
    <row r="32350">
      <c r="A32350" s="4" t="s">
        <v>40724</v>
      </c>
      <c r="B32350" s="4" t="s">
        <v>40727</v>
      </c>
      <c r="C32350" s="5" t="str">
        <f>IFERROR(__xludf.DUMMYFUNCTION("GOOGLETRANSLATE(B32350,""en"",""de"")"),"Sie alle sitzen zusammen und der Mann interviewt die Kinder in einem Klassenzimmer.")</f>
        <v>Sie alle sitzen zusammen und der Mann interviewt die Kinder in einem Klassenzimmer.</v>
      </c>
    </row>
    <row r="32351">
      <c r="A32351" s="4" t="s">
        <v>40728</v>
      </c>
      <c r="B32351" s="4" t="s">
        <v>40729</v>
      </c>
      <c r="C32351" s="5" t="str">
        <f>IFERROR(__xludf.DUMMYFUNCTION("GOOGLETRANSLATE(B32351,""en"",""de"")"),"Lawrence Welk spielt ein Akkordeon und leitet seine Band.")</f>
        <v>Lawrence Welk spielt ein Akkordeon und leitet seine Band.</v>
      </c>
    </row>
    <row r="32352">
      <c r="A32352" s="4" t="s">
        <v>40728</v>
      </c>
      <c r="B32352" s="4" t="s">
        <v>40730</v>
      </c>
      <c r="C32352" s="5" t="str">
        <f>IFERROR(__xludf.DUMMYFUNCTION("GOOGLETRANSLATE(B32352,""en"",""de"")"),"Er wird von einem anderen Akkordeonspieler begleitet.")</f>
        <v>Er wird von einem anderen Akkordeonspieler begleitet.</v>
      </c>
    </row>
    <row r="32353">
      <c r="A32353" s="4" t="s">
        <v>40728</v>
      </c>
      <c r="B32353" s="4" t="s">
        <v>40731</v>
      </c>
      <c r="C32353" s="5" t="str">
        <f>IFERROR(__xludf.DUMMYFUNCTION("GOOGLETRANSLATE(B32353,""en"",""de"")"),"Die Band steht auf dem Plan und die Kamera geht zwischen den Akkordeon -Spielern und der Band hin und her.")</f>
        <v>Die Band steht auf dem Plan und die Kamera geht zwischen den Akkordeon -Spielern und der Band hin und her.</v>
      </c>
    </row>
    <row r="32354">
      <c r="A32354" s="4" t="s">
        <v>40728</v>
      </c>
      <c r="B32354" s="4" t="s">
        <v>40732</v>
      </c>
      <c r="C32354" s="5" t="str">
        <f>IFERROR(__xludf.DUMMYFUNCTION("GOOGLETRANSLATE(B32354,""en"",""de"")"),"Sie spielen weiterhin die Akkordeons mit der Band hinter ihnen.")</f>
        <v>Sie spielen weiterhin die Akkordeons mit der Band hinter ihnen.</v>
      </c>
    </row>
    <row r="32355">
      <c r="A32355" s="4" t="s">
        <v>40733</v>
      </c>
      <c r="B32355" s="4" t="s">
        <v>40734</v>
      </c>
      <c r="C32355" s="5" t="str">
        <f>IFERROR(__xludf.DUMMYFUNCTION("GOOGLETRANSLATE(B32355,""en"",""de"")"),"Ein Mann spricht mit der Kamera vor einem Auto und nimmt beginnt, einen Hubcap abzunehmen.")</f>
        <v>Ein Mann spricht mit der Kamera vor einem Auto und nimmt beginnt, einen Hubcap abzunehmen.</v>
      </c>
    </row>
    <row r="32356">
      <c r="A32356" s="4" t="s">
        <v>40733</v>
      </c>
      <c r="B32356" s="4" t="s">
        <v>40735</v>
      </c>
      <c r="C32356" s="5" t="str">
        <f>IFERROR(__xludf.DUMMYFUNCTION("GOOGLETRANSLATE(B32356,""en"",""de"")"),"Er schiebt die Stücke vom Reifen.")</f>
        <v>Er schiebt die Stücke vom Reifen.</v>
      </c>
    </row>
    <row r="32357">
      <c r="A32357" s="4" t="s">
        <v>40733</v>
      </c>
      <c r="B32357" s="4" t="s">
        <v>40736</v>
      </c>
      <c r="C32357" s="5" t="str">
        <f>IFERROR(__xludf.DUMMYFUNCTION("GOOGLETRANSLATE(B32357,""en"",""de"")"),"Schließlich setzt er den Hubcap zurück.")</f>
        <v>Schließlich setzt er den Hubcap zurück.</v>
      </c>
    </row>
    <row r="32358">
      <c r="A32358" s="4" t="s">
        <v>40737</v>
      </c>
      <c r="B32358" s="4" t="s">
        <v>40738</v>
      </c>
      <c r="C32358" s="5" t="str">
        <f>IFERROR(__xludf.DUMMYFUNCTION("GOOGLETRANSLATE(B32358,""en"",""de"")"),"Ein Mann -Ina -Shirt, der besagt, dass der Beast -Modus ein Video darüber erstellt, was die besten kostenlosen Workouts ohne Fitnessstudio sind.")</f>
        <v>Ein Mann -Ina -Shirt, der besagt, dass der Beast -Modus ein Video darüber erstellt, was die besten kostenlosen Workouts ohne Fitnessstudio sind.</v>
      </c>
    </row>
    <row r="32359">
      <c r="A32359" s="4" t="s">
        <v>40737</v>
      </c>
      <c r="B32359" s="4" t="s">
        <v>40739</v>
      </c>
      <c r="C32359" s="5" t="str">
        <f>IFERROR(__xludf.DUMMYFUNCTION("GOOGLETRANSLATE(B32359,""en"",""de"")"),"Er hat eine Gewichtsleiste ohne Gewicht und er biegt sich über eine bestimmte Art und Weise.")</f>
        <v>Er hat eine Gewichtsleiste ohne Gewicht und er biegt sich über eine bestimmte Art und Weise.</v>
      </c>
    </row>
    <row r="32360">
      <c r="A32360" s="4" t="s">
        <v>40737</v>
      </c>
      <c r="B32360" s="4" t="s">
        <v>40740</v>
      </c>
      <c r="C32360" s="5" t="str">
        <f>IFERROR(__xludf.DUMMYFUNCTION("GOOGLETRANSLATE(B32360,""en"",""de"")"),"Er zeigt Ihnen, wie Sie den Gewichtsbalken für unterschiedliche Gewichtshebepositionen verwenden.")</f>
        <v>Er zeigt Ihnen, wie Sie den Gewichtsbalken für unterschiedliche Gewichtshebepositionen verwenden.</v>
      </c>
    </row>
    <row r="32361">
      <c r="A32361" s="4" t="s">
        <v>40737</v>
      </c>
      <c r="B32361" s="4" t="s">
        <v>40741</v>
      </c>
      <c r="C32361" s="5" t="str">
        <f>IFERROR(__xludf.DUMMYFUNCTION("GOOGLETRANSLATE(B32361,""en"",""de"")"),"Sobald er mit der Gewichtsleiste fertig ist, tritt er zurück und spricht darüber.")</f>
        <v>Sobald er mit der Gewichtsleiste fertig ist, tritt er zurück und spricht darüber.</v>
      </c>
    </row>
    <row r="32362">
      <c r="A32362" s="4" t="s">
        <v>40742</v>
      </c>
      <c r="B32362" s="4" t="s">
        <v>40743</v>
      </c>
      <c r="C32362" s="5" t="str">
        <f>IFERROR(__xludf.DUMMYFUNCTION("GOOGLETRANSLATE(B32362,""en"",""de"")"),"Die Leute sitzen auf einer Bank.")</f>
        <v>Die Leute sitzen auf einer Bank.</v>
      </c>
    </row>
    <row r="32363">
      <c r="A32363" s="4" t="s">
        <v>40742</v>
      </c>
      <c r="B32363" s="4" t="s">
        <v>40744</v>
      </c>
      <c r="C32363" s="5" t="str">
        <f>IFERROR(__xludf.DUMMYFUNCTION("GOOGLETRANSLATE(B32363,""en"",""de"")"),"Ein Mann trinkt aus einer Kaffeetasse.")</f>
        <v>Ein Mann trinkt aus einer Kaffeetasse.</v>
      </c>
    </row>
    <row r="32364">
      <c r="A32364" s="4" t="s">
        <v>40742</v>
      </c>
      <c r="B32364" s="4" t="s">
        <v>40745</v>
      </c>
      <c r="C32364" s="5" t="str">
        <f>IFERROR(__xludf.DUMMYFUNCTION("GOOGLETRANSLATE(B32364,""en"",""de"")"),"Eine Frau trinkt aus einer Kaffeetasse.")</f>
        <v>Eine Frau trinkt aus einer Kaffeetasse.</v>
      </c>
    </row>
    <row r="32365">
      <c r="A32365" s="4" t="s">
        <v>40746</v>
      </c>
      <c r="B32365" s="4" t="s">
        <v>40747</v>
      </c>
      <c r="C32365" s="5" t="str">
        <f>IFERROR(__xludf.DUMMYFUNCTION("GOOGLETRANSLATE(B32365,""en"",""de"")"),"Zwei Menschen sind auf einer weißen Platte und beginnen sich gegenseitig zu zätigen.")</f>
        <v>Zwei Menschen sind auf einer weißen Platte und beginnen sich gegenseitig zu zätigen.</v>
      </c>
    </row>
    <row r="32366">
      <c r="A32366" s="4" t="s">
        <v>40746</v>
      </c>
      <c r="B32366" s="4" t="s">
        <v>40748</v>
      </c>
      <c r="C32366" s="5" t="str">
        <f>IFERROR(__xludf.DUMMYFUNCTION("GOOGLETRANSLATE(B32366,""en"",""de"")"),"Es gibt ständige Stopps und der Junge, der der Kamera am nächsten liegt, gewinnt immer wieder.")</f>
        <v>Es gibt ständige Stopps und der Junge, der der Kamera am nächsten liegt, gewinnt immer wieder.</v>
      </c>
    </row>
    <row r="32367">
      <c r="A32367" s="4" t="s">
        <v>40746</v>
      </c>
      <c r="B32367" s="4" t="s">
        <v>40749</v>
      </c>
      <c r="C32367" s="5" t="str">
        <f>IFERROR(__xludf.DUMMYFUNCTION("GOOGLETRANSLATE(B32367,""en"",""de"")"),"Beide werden immer wieder zurückgesetzt, aber das Ergebnis ist nicht anders und die Dame auf der Seite geht immer wieder hin und her, um auf eine schwarze Taste zu klicken.")</f>
        <v>Beide werden immer wieder zurückgesetzt, aber das Ergebnis ist nicht anders und die Dame auf der Seite geht immer wieder hin und her, um auf eine schwarze Taste zu klicken.</v>
      </c>
    </row>
    <row r="32368">
      <c r="A32368" s="4" t="s">
        <v>40750</v>
      </c>
      <c r="B32368" s="4" t="s">
        <v>40751</v>
      </c>
      <c r="C32368" s="5" t="str">
        <f>IFERROR(__xludf.DUMMYFUNCTION("GOOGLETRANSLATE(B32368,""en"",""de"")"),"Ein Innenplatz ist voller Menschen, die Uniformen tragen und Dodgeball spielen, die die Bälle auf beide Seiten des Teams werfen.")</f>
        <v>Ein Innenplatz ist voller Menschen, die Uniformen tragen und Dodgeball spielen, die die Bälle auf beide Seiten des Teams werfen.</v>
      </c>
    </row>
    <row r="32369">
      <c r="A32369" s="4" t="s">
        <v>40750</v>
      </c>
      <c r="B32369" s="4" t="s">
        <v>40752</v>
      </c>
      <c r="C32369" s="5" t="str">
        <f>IFERROR(__xludf.DUMMYFUNCTION("GOOGLETRANSLATE(B32369,""en"",""de"")"),"Eine Zeitlupe -Wiederholung eines Völkerballs, der geworfen und gefangen wird, wird wiederholt.")</f>
        <v>Eine Zeitlupe -Wiederholung eines Völkerballs, der geworfen und gefangen wird, wird wiederholt.</v>
      </c>
    </row>
    <row r="32370">
      <c r="A32370" s="4" t="s">
        <v>40750</v>
      </c>
      <c r="B32370" s="4" t="s">
        <v>40753</v>
      </c>
      <c r="C32370" s="5" t="str">
        <f>IFERROR(__xludf.DUMMYFUNCTION("GOOGLETRANSLATE(B32370,""en"",""de"")"),"Ein Mann wirft schnell einen Ball und sein Ziel fängt ihn auf, er dreht sich um und geht mit seiner direkt in der Luft, während der Rest der Spieler weiter spielt.")</f>
        <v>Ein Mann wirft schnell einen Ball und sein Ziel fängt ihn auf, er dreht sich um und geht mit seiner direkt in der Luft, während der Rest der Spieler weiter spielt.</v>
      </c>
    </row>
    <row r="32371">
      <c r="A32371" s="4" t="s">
        <v>40750</v>
      </c>
      <c r="B32371" s="4" t="s">
        <v>40754</v>
      </c>
      <c r="C32371" s="5" t="str">
        <f>IFERROR(__xludf.DUMMYFUNCTION("GOOGLETRANSLATE(B32371,""en"",""de"")"),"Ein noch gedrehtes Bild von einem Mann, der zwei Bälle und schwarze Wörter mit dem Wort und der Nummer ""Jardine 77"" von unten nach oben hält, ist oben.")</f>
        <v>Ein noch gedrehtes Bild von einem Mann, der zwei Bälle und schwarze Wörter mit dem Wort und der Nummer "Jardine 77" von unten nach oben hält, ist oben.</v>
      </c>
    </row>
    <row r="32372">
      <c r="A32372" s="4" t="s">
        <v>40755</v>
      </c>
      <c r="B32372" s="4" t="s">
        <v>40756</v>
      </c>
      <c r="C32372" s="5" t="str">
        <f>IFERROR(__xludf.DUMMYFUNCTION("GOOGLETRANSLATE(B32372,""en"",""de"")"),"Ein Mann schwimmt nach hinten im Seewasser.")</f>
        <v>Ein Mann schwimmt nach hinten im Seewasser.</v>
      </c>
    </row>
    <row r="32373">
      <c r="A32373" s="4" t="s">
        <v>40755</v>
      </c>
      <c r="B32373" s="4" t="s">
        <v>40757</v>
      </c>
      <c r="C32373" s="5" t="str">
        <f>IFERROR(__xludf.DUMMYFUNCTION("GOOGLETRANSLATE(B32373,""en"",""de"")"),"Die beiden gezeigten Männer beginnen mit dem Wasserski.")</f>
        <v>Die beiden gezeigten Männer beginnen mit dem Wasserski.</v>
      </c>
    </row>
    <row r="32374">
      <c r="A32374" s="4" t="s">
        <v>40755</v>
      </c>
      <c r="B32374" s="4" t="s">
        <v>40758</v>
      </c>
      <c r="C32374" s="5" t="str">
        <f>IFERROR(__xludf.DUMMYFUNCTION("GOOGLETRANSLATE(B32374,""en"",""de"")"),"Sie verlieren ihr Gopro -Gerät und müssen sich um die Suche nach dem Fokussieren des noch funktionierenden Geräts benötigen.")</f>
        <v>Sie verlieren ihr Gopro -Gerät und müssen sich um die Suche nach dem Fokussieren des noch funktionierenden Geräts benötigen.</v>
      </c>
    </row>
    <row r="32375">
      <c r="A32375" s="4" t="s">
        <v>40759</v>
      </c>
      <c r="B32375" s="4" t="s">
        <v>40760</v>
      </c>
      <c r="C32375" s="5" t="str">
        <f>IFERROR(__xludf.DUMMYFUNCTION("GOOGLETRANSLATE(B32375,""en"",""de"")"),"Verschiedene Schüsse von Saiten werden gefolgt von Strickvorräten und Personen, die in einer Bibliothek stricken.")</f>
        <v>Verschiedene Schüsse von Saiten werden gefolgt von Strickvorräten und Personen, die in einer Bibliothek stricken.</v>
      </c>
    </row>
    <row r="32376">
      <c r="A32376" s="4" t="s">
        <v>40759</v>
      </c>
      <c r="B32376" s="4" t="s">
        <v>40761</v>
      </c>
      <c r="C32376" s="5" t="str">
        <f>IFERROR(__xludf.DUMMYFUNCTION("GOOGLETRANSLATE(B32376,""en"",""de"")"),"Die Frau gibt einem kleinen Kind Strickkleidung und demonstriert, wie sie dem jungen Mädchen richtig stricken.")</f>
        <v>Die Frau gibt einem kleinen Kind Strickkleidung und demonstriert, wie sie dem jungen Mädchen richtig stricken.</v>
      </c>
    </row>
    <row r="32377">
      <c r="A32377" s="4" t="s">
        <v>40762</v>
      </c>
      <c r="B32377" s="4" t="s">
        <v>40763</v>
      </c>
      <c r="C32377" s="5" t="str">
        <f>IFERROR(__xludf.DUMMYFUNCTION("GOOGLETRANSLATE(B32377,""en"",""de"")"),"""EPBF Millennium Series"" erscheint auf dem Bildschirm.")</f>
        <v>"EPBF Millennium Series" erscheint auf dem Bildschirm.</v>
      </c>
    </row>
    <row r="32378">
      <c r="A32378" s="4" t="s">
        <v>40762</v>
      </c>
      <c r="B32378" s="4" t="s">
        <v>40764</v>
      </c>
      <c r="C32378" s="5" t="str">
        <f>IFERROR(__xludf.DUMMYFUNCTION("GOOGLETRANSLATE(B32378,""en"",""de"")"),"Das geöffnete Ende des Fahrzeugs erscheint mit ""WWW-Farbversorgungsnetz"", das auf Stoßfänger gedruckt ist, während die Werkzeuge im Inneren platziert werden.")</f>
        <v>Das geöffnete Ende des Fahrzeugs erscheint mit "WWW-Farbversorgungsnetz", das auf Stoßfänger gedruckt ist, während die Werkzeuge im Inneren platziert werden.</v>
      </c>
    </row>
    <row r="32379">
      <c r="A32379" s="4" t="s">
        <v>40762</v>
      </c>
      <c r="B32379" s="4" t="s">
        <v>40765</v>
      </c>
      <c r="C32379" s="5" t="str">
        <f>IFERROR(__xludf.DUMMYFUNCTION("GOOGLETRANSLATE(B32379,""en"",""de"")"),"Das Auto fährt eine dunkle schwarze Straße hinunter mit Photoshopped -Objekten, die zu beiden Seiten auftauchen.")</f>
        <v>Das Auto fährt eine dunkle schwarze Straße hinunter mit Photoshopped -Objekten, die zu beiden Seiten auftauchen.</v>
      </c>
    </row>
    <row r="32380">
      <c r="A32380" s="4" t="s">
        <v>40762</v>
      </c>
      <c r="B32380" s="4" t="s">
        <v>40766</v>
      </c>
      <c r="C32380" s="5" t="str">
        <f>IFERROR(__xludf.DUMMYFUNCTION("GOOGLETRANSLATE(B32380,""en"",""de"")"),"Das Ende der Straße erscheint mit dem Wort ""Paintball Fail"" darüber und Bilder von Paintball darunter.")</f>
        <v>Das Ende der Straße erscheint mit dem Wort "Paintball Fail" darüber und Bilder von Paintball darunter.</v>
      </c>
    </row>
    <row r="32381">
      <c r="A32381" s="4" t="s">
        <v>40762</v>
      </c>
      <c r="B32381" s="4" t="s">
        <v>40767</v>
      </c>
      <c r="C32381" s="5" t="str">
        <f>IFERROR(__xludf.DUMMYFUNCTION("GOOGLETRANSLATE(B32381,""en"",""de"")"),"Die Worte ""freundliches Feuer"" erscheinen.")</f>
        <v>Die Worte "freundliches Feuer" erscheinen.</v>
      </c>
    </row>
    <row r="32382">
      <c r="A32382" s="4" t="s">
        <v>40762</v>
      </c>
      <c r="B32382" s="4" t="s">
        <v>40768</v>
      </c>
      <c r="C32382" s="5" t="str">
        <f>IFERROR(__xludf.DUMMYFUNCTION("GOOGLETRANSLATE(B32382,""en"",""de"")"),"Eine Gruppe von Menschen spielt Paintball auf einem Grasfeld mit aufblasbaren Hindernissen.")</f>
        <v>Eine Gruppe von Menschen spielt Paintball auf einem Grasfeld mit aufblasbaren Hindernissen.</v>
      </c>
    </row>
    <row r="32383">
      <c r="A32383" s="4" t="s">
        <v>40762</v>
      </c>
      <c r="B32383" s="4" t="s">
        <v>40769</v>
      </c>
      <c r="C32383" s="5" t="str">
        <f>IFERROR(__xludf.DUMMYFUNCTION("GOOGLETRANSLATE(B32383,""en"",""de"")"),"Die Worte ""dummen Hopper"" erscheinen.")</f>
        <v>Die Worte "dummen Hopper" erscheinen.</v>
      </c>
    </row>
    <row r="32384">
      <c r="A32384" s="4" t="s">
        <v>40762</v>
      </c>
      <c r="B32384" s="4" t="s">
        <v>40770</v>
      </c>
      <c r="C32384" s="5" t="str">
        <f>IFERROR(__xludf.DUMMYFUNCTION("GOOGLETRANSLATE(B32384,""en"",""de"")"),"Die Leute spielen erneut Paintball auf dem Feld.")</f>
        <v>Die Leute spielen erneut Paintball auf dem Feld.</v>
      </c>
    </row>
    <row r="32385">
      <c r="A32385" s="4" t="s">
        <v>40762</v>
      </c>
      <c r="B32385" s="4" t="s">
        <v>40771</v>
      </c>
      <c r="C32385" s="5" t="str">
        <f>IFERROR(__xludf.DUMMYFUNCTION("GOOGLETRANSLATE(B32385,""en"",""de"")"),"Die Wörter ""1/3 lauf"" erscheinen.")</f>
        <v>Die Wörter "1/3 lauf" erscheinen.</v>
      </c>
    </row>
    <row r="32386">
      <c r="A32386" s="4" t="s">
        <v>40762</v>
      </c>
      <c r="B32386" s="4" t="s">
        <v>40772</v>
      </c>
      <c r="C32386" s="5" t="str">
        <f>IFERROR(__xludf.DUMMYFUNCTION("GOOGLETRANSLATE(B32386,""en"",""de"")"),"Die Leute spielen wieder Paintball auf dem Feld.")</f>
        <v>Die Leute spielen wieder Paintball auf dem Feld.</v>
      </c>
    </row>
    <row r="32387">
      <c r="A32387" s="4" t="s">
        <v>40762</v>
      </c>
      <c r="B32387" s="4" t="s">
        <v>40773</v>
      </c>
      <c r="C32387" s="5" t="str">
        <f>IFERROR(__xludf.DUMMYFUNCTION("GOOGLETRANSLATE(B32387,""en"",""de"")"),"Das Wort ""Fehlstart"" wird auf dem Bildschirm angezeigt.")</f>
        <v>Das Wort "Fehlstart" wird auf dem Bildschirm angezeigt.</v>
      </c>
    </row>
    <row r="32388">
      <c r="A32388" s="4" t="s">
        <v>40762</v>
      </c>
      <c r="B32388" s="4" t="s">
        <v>40774</v>
      </c>
      <c r="C32388" s="5" t="str">
        <f>IFERROR(__xludf.DUMMYFUNCTION("GOOGLETRANSLATE(B32388,""en"",""de"")"),"Die Leute spielen Paintball auf dem Feld.")</f>
        <v>Die Leute spielen Paintball auf dem Feld.</v>
      </c>
    </row>
    <row r="32389">
      <c r="A32389" s="4" t="s">
        <v>40762</v>
      </c>
      <c r="B32389" s="4" t="s">
        <v>40775</v>
      </c>
      <c r="C32389" s="5" t="str">
        <f>IFERROR(__xludf.DUMMYFUNCTION("GOOGLETRANSLATE(B32389,""en"",""de"")"),"Kontaktinformationen für die Lackversorgung GmbH erscheint.")</f>
        <v>Kontaktinformationen für die Lackversorgung GmbH erscheint.</v>
      </c>
    </row>
    <row r="32390">
      <c r="A32390" s="4" t="s">
        <v>40776</v>
      </c>
      <c r="B32390" s="4" t="s">
        <v>40777</v>
      </c>
      <c r="C32390" s="5" t="str">
        <f>IFERROR(__xludf.DUMMYFUNCTION("GOOGLETRANSLATE(B32390,""en"",""de"")"),"Es gibt ein paar ältere Herren, die ein Spiel auf Eis spielen.")</f>
        <v>Es gibt ein paar ältere Herren, die ein Spiel auf Eis spielen.</v>
      </c>
    </row>
    <row r="32391">
      <c r="A32391" s="4" t="s">
        <v>40776</v>
      </c>
      <c r="B32391" s="4" t="s">
        <v>40778</v>
      </c>
      <c r="C32391" s="5" t="str">
        <f>IFERROR(__xludf.DUMMYFUNCTION("GOOGLETRANSLATE(B32391,""en"",""de"")"),"Sie haben einen Trainer, der ihnen hilft, und er spricht darüber, wie man sich kräuselt.")</f>
        <v>Sie haben einen Trainer, der ihnen hilft, und er spricht darüber, wie man sich kräuselt.</v>
      </c>
    </row>
    <row r="32392">
      <c r="A32392" s="4" t="s">
        <v>40776</v>
      </c>
      <c r="B32392" s="4" t="s">
        <v>40779</v>
      </c>
      <c r="C32392" s="5" t="str">
        <f>IFERROR(__xludf.DUMMYFUNCTION("GOOGLETRANSLATE(B32392,""en"",""de"")"),"Er spricht über die Schritte und wie man in den Hack kommt, sogar demonstriert.")</f>
        <v>Er spricht über die Schritte und wie man in den Hack kommt, sogar demonstriert.</v>
      </c>
    </row>
    <row r="32393">
      <c r="A32393" s="4" t="s">
        <v>40776</v>
      </c>
      <c r="B32393" s="4" t="s">
        <v>40780</v>
      </c>
      <c r="C32393" s="5" t="str">
        <f>IFERROR(__xludf.DUMMYFUNCTION("GOOGLETRANSLATE(B32393,""en"",""de"")"),"Er scheint ziemlich professionell zu sein, wenn er mit seinen Schuhen auf dem Eis geht, während er demonstriert.")</f>
        <v>Er scheint ziemlich professionell zu sein, wenn er mit seinen Schuhen auf dem Eis geht, während er demonstriert.</v>
      </c>
    </row>
    <row r="32394">
      <c r="A32394" s="4" t="s">
        <v>40781</v>
      </c>
      <c r="B32394" s="4" t="s">
        <v>40782</v>
      </c>
      <c r="C32394" s="5" t="str">
        <f>IFERROR(__xludf.DUMMYFUNCTION("GOOGLETRANSLATE(B32394,""en"",""de"")"),"Eine Nahaufnahme ist von einem Metall -Doppelwaschbecken zu sehen.")</f>
        <v>Eine Nahaufnahme ist von einem Metall -Doppelwaschbecken zu sehen.</v>
      </c>
    </row>
    <row r="32395">
      <c r="A32395" s="4" t="s">
        <v>40781</v>
      </c>
      <c r="B32395" s="4" t="s">
        <v>40783</v>
      </c>
      <c r="C32395" s="5" t="str">
        <f>IFERROR(__xludf.DUMMYFUNCTION("GOOGLETRANSLATE(B32395,""en"",""de"")"),"Dann sehen wir zwei Schalen mit Pulver und einem geschnittenen Kalk.")</f>
        <v>Dann sehen wir zwei Schalen mit Pulver und einem geschnittenen Kalk.</v>
      </c>
    </row>
    <row r="32396">
      <c r="A32396" s="4" t="s">
        <v>40781</v>
      </c>
      <c r="B32396" s="4" t="s">
        <v>40784</v>
      </c>
      <c r="C32396" s="5" t="str">
        <f>IFERROR(__xludf.DUMMYFUNCTION("GOOGLETRANSLATE(B32396,""en"",""de"")"),"Eine Frau benutzt das in Pulver getauchte Kalk, um das Waschbecken abzutrocknen, bevor sie abtrocknet und ein perfektes, sauberes Waschbecken zeigt.")</f>
        <v>Eine Frau benutzt das in Pulver getauchte Kalk, um das Waschbecken abzutrocknen, bevor sie abtrocknet und ein perfektes, sauberes Waschbecken zeigt.</v>
      </c>
    </row>
    <row r="32397">
      <c r="A32397" s="4" t="s">
        <v>40785</v>
      </c>
      <c r="B32397" s="4" t="s">
        <v>40786</v>
      </c>
      <c r="C32397" s="5" t="str">
        <f>IFERROR(__xludf.DUMMYFUNCTION("GOOGLETRANSLATE(B32397,""en"",""de"")"),"Eine Person montiert ein Fahrrad auf einem weißen Tuch.")</f>
        <v>Eine Person montiert ein Fahrrad auf einem weißen Tuch.</v>
      </c>
    </row>
    <row r="32398">
      <c r="A32398" s="4" t="s">
        <v>40785</v>
      </c>
      <c r="B32398" s="4" t="s">
        <v>40787</v>
      </c>
      <c r="C32398" s="5" t="str">
        <f>IFERROR(__xludf.DUMMYFUNCTION("GOOGLETRANSLATE(B32398,""en"",""de"")"),"Sie zogen eine blaue Schürze und Handschuhe an.")</f>
        <v>Sie zogen eine blaue Schürze und Handschuhe an.</v>
      </c>
    </row>
    <row r="32399">
      <c r="A32399" s="4" t="s">
        <v>40785</v>
      </c>
      <c r="B32399" s="4" t="s">
        <v>40788</v>
      </c>
      <c r="C32399" s="5" t="str">
        <f>IFERROR(__xludf.DUMMYFUNCTION("GOOGLETRANSLATE(B32399,""en"",""de"")"),"Sie legen Griffstangen auf das Fahrrad.")</f>
        <v>Sie legen Griffstangen auf das Fahrrad.</v>
      </c>
    </row>
    <row r="32400">
      <c r="A32400" s="4" t="s">
        <v>40789</v>
      </c>
      <c r="B32400" s="4" t="s">
        <v>40790</v>
      </c>
      <c r="C32400" s="5" t="str">
        <f>IFERROR(__xludf.DUMMYFUNCTION("GOOGLETRANSLATE(B32400,""en"",""de"")"),"Zwei Männer fahren mit einem Wasserrad in einem Meer, während eine große Welle hinter ihnen liegt.")</f>
        <v>Zwei Männer fahren mit einem Wasserrad in einem Meer, während eine große Welle hinter ihnen liegt.</v>
      </c>
    </row>
    <row r="32401">
      <c r="A32401" s="4" t="s">
        <v>40789</v>
      </c>
      <c r="B32401" s="4" t="s">
        <v>40791</v>
      </c>
      <c r="C32401" s="5" t="str">
        <f>IFERROR(__xludf.DUMMYFUNCTION("GOOGLETRANSLATE(B32401,""en"",""de"")"),"Viele Szenen von Menschen, die auf großen Wellen auf dem Meer und einer Stadt surfen, sind im Hintergrund.")</f>
        <v>Viele Szenen von Menschen, die auf großen Wellen auf dem Meer und einer Stadt surfen, sind im Hintergrund.</v>
      </c>
    </row>
    <row r="32402">
      <c r="A32402" s="4" t="s">
        <v>40792</v>
      </c>
      <c r="B32402" s="4" t="s">
        <v>40793</v>
      </c>
      <c r="C32402" s="5" t="str">
        <f>IFERROR(__xludf.DUMMYFUNCTION("GOOGLETRANSLATE(B32402,""en"",""de"")"),"Ein Hund wandert um einen Hof und ein Mann, der mit der Kamera spricht.")</f>
        <v>Ein Hund wandert um einen Hof und ein Mann, der mit der Kamera spricht.</v>
      </c>
    </row>
    <row r="32403">
      <c r="A32403" s="4" t="s">
        <v>40792</v>
      </c>
      <c r="B32403" s="4" t="s">
        <v>40794</v>
      </c>
      <c r="C32403" s="5" t="str">
        <f>IFERROR(__xludf.DUMMYFUNCTION("GOOGLETRANSLATE(B32403,""en"",""de"")"),"Der Hund bewegt sich um den Bereich, während der Mann weiterhin mit der Kamera spricht.")</f>
        <v>Der Hund bewegt sich um den Bereich, während der Mann weiterhin mit der Kamera spricht.</v>
      </c>
    </row>
    <row r="32404">
      <c r="A32404" s="4" t="s">
        <v>40792</v>
      </c>
      <c r="B32404" s="4" t="s">
        <v>40795</v>
      </c>
      <c r="C32404" s="5" t="str">
        <f>IFERROR(__xludf.DUMMYFUNCTION("GOOGLETRANSLATE(B32404,""en"",""de"")"),"Der Hund rennt zurück und viertens, während die Kamera in sein Gesicht ins Gesicht zoomt.")</f>
        <v>Der Hund rennt zurück und viertens, während die Kamera in sein Gesicht ins Gesicht zoomt.</v>
      </c>
    </row>
    <row r="32405">
      <c r="A32405" s="4" t="s">
        <v>40796</v>
      </c>
      <c r="B32405" s="4" t="s">
        <v>40797</v>
      </c>
      <c r="C32405" s="5" t="str">
        <f>IFERROR(__xludf.DUMMYFUNCTION("GOOGLETRANSLATE(B32405,""en"",""de"")"),"Eine Nahaufnahme zeigt die Augen einer Frau.")</f>
        <v>Eine Nahaufnahme zeigt die Augen einer Frau.</v>
      </c>
    </row>
    <row r="32406">
      <c r="A32406" s="4" t="s">
        <v>40796</v>
      </c>
      <c r="B32406" s="4" t="s">
        <v>40798</v>
      </c>
      <c r="C32406" s="5" t="str">
        <f>IFERROR(__xludf.DUMMYFUNCTION("GOOGLETRANSLATE(B32406,""en"",""de"")"),"Sie sitzt auf einem Felsen, fährt dann, dann schmückt sie Tauchausrüstung.")</f>
        <v>Sie sitzt auf einem Felsen, fährt dann, dann schmückt sie Tauchausrüstung.</v>
      </c>
    </row>
    <row r="32407">
      <c r="A32407" s="4" t="s">
        <v>40796</v>
      </c>
      <c r="B32407" s="4" t="s">
        <v>40799</v>
      </c>
      <c r="C32407" s="5" t="str">
        <f>IFERROR(__xludf.DUMMYFUNCTION("GOOGLETRANSLATE(B32407,""en"",""de"")"),"Sie taucht und schwimmt neben tropischen Fischen und einem Pflegehai.")</f>
        <v>Sie taucht und schwimmt neben tropischen Fischen und einem Pflegehai.</v>
      </c>
    </row>
    <row r="32408">
      <c r="A32408" s="4" t="s">
        <v>40796</v>
      </c>
      <c r="B32408" s="4" t="s">
        <v>40800</v>
      </c>
      <c r="C32408" s="5" t="str">
        <f>IFERROR(__xludf.DUMMYFUNCTION("GOOGLETRANSLATE(B32408,""en"",""de"")"),"Sie wird endlich gezeigt, dass sie Sonnenbrille trägt, lächelt und lacht.")</f>
        <v>Sie wird endlich gezeigt, dass sie Sonnenbrille trägt, lächelt und lacht.</v>
      </c>
    </row>
    <row r="32409">
      <c r="A32409" s="4" t="s">
        <v>40801</v>
      </c>
      <c r="B32409" s="4" t="s">
        <v>40802</v>
      </c>
      <c r="C32409" s="5" t="str">
        <f>IFERROR(__xludf.DUMMYFUNCTION("GOOGLETRANSLATE(B32409,""en"",""de"")"),"Ein Mann hält ein Schweißgerät und passt es an, während er seinen Arbeitsbereich zeigt.")</f>
        <v>Ein Mann hält ein Schweißgerät und passt es an, während er seinen Arbeitsbereich zeigt.</v>
      </c>
    </row>
    <row r="32410">
      <c r="A32410" s="4" t="s">
        <v>40801</v>
      </c>
      <c r="B32410" s="4" t="s">
        <v>40803</v>
      </c>
      <c r="C32410" s="5" t="str">
        <f>IFERROR(__xludf.DUMMYFUNCTION("GOOGLETRANSLATE(B32410,""en"",""de"")"),"Der Schweißer wird über einer Stahlplatte gehalten und sich langsam bewegt.")</f>
        <v>Der Schweißer wird über einer Stahlplatte gehalten und sich langsam bewegt.</v>
      </c>
    </row>
    <row r="32411">
      <c r="A32411" s="4" t="s">
        <v>40801</v>
      </c>
      <c r="B32411" s="4" t="s">
        <v>40804</v>
      </c>
      <c r="C32411" s="5" t="str">
        <f>IFERROR(__xludf.DUMMYFUNCTION("GOOGLETRANSLATE(B32411,""en"",""de"")"),"Der Mann zieht den Schweißer über ein kupferfarbenes Stück Metall.")</f>
        <v>Der Mann zieht den Schweißer über ein kupferfarbenes Stück Metall.</v>
      </c>
    </row>
    <row r="32412">
      <c r="A32412" s="4" t="s">
        <v>40801</v>
      </c>
      <c r="B32412" s="4" t="s">
        <v>40805</v>
      </c>
      <c r="C32412" s="5" t="str">
        <f>IFERROR(__xludf.DUMMYFUNCTION("GOOGLETRANSLATE(B32412,""en"",""de"")"),"Der Mann legt seine Gesichtswache nieder und beschweißt einen Platz auf einem Stück Metall.")</f>
        <v>Der Mann legt seine Gesichtswache nieder und beschweißt einen Platz auf einem Stück Metall.</v>
      </c>
    </row>
    <row r="32413">
      <c r="A32413" s="4" t="s">
        <v>40801</v>
      </c>
      <c r="B32413" s="4" t="s">
        <v>40806</v>
      </c>
      <c r="C32413" s="5" t="str">
        <f>IFERROR(__xludf.DUMMYFUNCTION("GOOGLETRANSLATE(B32413,""en"",""de"")"),"Der Mann hält eine Pause an.")</f>
        <v>Der Mann hält eine Pause an.</v>
      </c>
    </row>
    <row r="32414">
      <c r="A32414" s="4" t="s">
        <v>40801</v>
      </c>
      <c r="B32414" s="4" t="s">
        <v>40807</v>
      </c>
      <c r="C32414" s="5" t="str">
        <f>IFERROR(__xludf.DUMMYFUNCTION("GOOGLETRANSLATE(B32414,""en"",""de"")"),"Der Mann schweißt eine Linie in ein Stück Material.")</f>
        <v>Der Mann schweißt eine Linie in ein Stück Material.</v>
      </c>
    </row>
    <row r="32415">
      <c r="A32415" s="4" t="s">
        <v>40801</v>
      </c>
      <c r="B32415" s="4" t="s">
        <v>40808</v>
      </c>
      <c r="C32415" s="5" t="str">
        <f>IFERROR(__xludf.DUMMYFUNCTION("GOOGLETRANSLATE(B32415,""en"",""de"")"),"Der Mann hält einen Hammermeißel über der Metallstange und schneidet ein paar Stücke ab.")</f>
        <v>Der Mann hält einen Hammermeißel über der Metallstange und schneidet ein paar Stücke ab.</v>
      </c>
    </row>
    <row r="32416">
      <c r="A32416" s="4" t="s">
        <v>40801</v>
      </c>
      <c r="B32416" s="4" t="s">
        <v>40809</v>
      </c>
      <c r="C32416" s="5" t="str">
        <f>IFERROR(__xludf.DUMMYFUNCTION("GOOGLETRANSLATE(B32416,""en"",""de"")"),"Der Mann verwendet eine Drahtpinsel, um das Metall zu reinigen.")</f>
        <v>Der Mann verwendet eine Drahtpinsel, um das Metall zu reinigen.</v>
      </c>
    </row>
    <row r="32417">
      <c r="A32417" s="4" t="s">
        <v>40810</v>
      </c>
      <c r="B32417" s="4" t="s">
        <v>40811</v>
      </c>
      <c r="C32417" s="5" t="str">
        <f>IFERROR(__xludf.DUMMYFUNCTION("GOOGLETRANSLATE(B32417,""en"",""de"")"),"Ein Mädchen sitzt und raucht Zigaretten.")</f>
        <v>Ein Mädchen sitzt und raucht Zigaretten.</v>
      </c>
    </row>
    <row r="32418">
      <c r="A32418" s="4" t="s">
        <v>40810</v>
      </c>
      <c r="B32418" s="4" t="s">
        <v>40812</v>
      </c>
      <c r="C32418" s="5" t="str">
        <f>IFERROR(__xludf.DUMMYFUNCTION("GOOGLETRANSLATE(B32418,""en"",""de"")"),"Johnny Cash spielt im Hintergrund und sie trinkt etwas in der Hand.")</f>
        <v>Johnny Cash spielt im Hintergrund und sie trinkt etwas in der Hand.</v>
      </c>
    </row>
    <row r="32419">
      <c r="A32419" s="4" t="s">
        <v>40810</v>
      </c>
      <c r="B32419" s="4" t="s">
        <v>40813</v>
      </c>
      <c r="C32419" s="5" t="str">
        <f>IFERROR(__xludf.DUMMYFUNCTION("GOOGLETRANSLATE(B32419,""en"",""de"")"),"Sie starrt in die Kamera, während sie Puffs auf ihre Zigarette nimmt.")</f>
        <v>Sie starrt in die Kamera, während sie Puffs auf ihre Zigarette nimmt.</v>
      </c>
    </row>
    <row r="32420">
      <c r="A32420" s="4" t="s">
        <v>40810</v>
      </c>
      <c r="B32420" s="4" t="s">
        <v>40814</v>
      </c>
      <c r="C32420" s="5" t="str">
        <f>IFERROR(__xludf.DUMMYFUNCTION("GOOGLETRANSLATE(B32420,""en"",""de"")"),"Sie repariert ihre Haare ein wenig, während sie in die Kamera schaut.")</f>
        <v>Sie repariert ihre Haare ein wenig, während sie in die Kamera schaut.</v>
      </c>
    </row>
    <row r="32421">
      <c r="A32421" s="4" t="s">
        <v>40810</v>
      </c>
      <c r="B32421" s="4" t="s">
        <v>40815</v>
      </c>
      <c r="C32421" s="5" t="str">
        <f>IFERROR(__xludf.DUMMYFUNCTION("GOOGLETRANSLATE(B32421,""en"",""de"")"),"Sie lächelt in die Kamera und beugt sich näher.")</f>
        <v>Sie lächelt in die Kamera und beugt sich näher.</v>
      </c>
    </row>
    <row r="32422">
      <c r="A32422" s="4" t="s">
        <v>40816</v>
      </c>
      <c r="B32422" s="4" t="s">
        <v>40817</v>
      </c>
      <c r="C32422" s="5" t="str">
        <f>IFERROR(__xludf.DUMMYFUNCTION("GOOGLETRANSLATE(B32422,""en"",""de"")"),"Eine Frau steht auf einem Tisch mit Babyprodukten, dann rollt die Frau Windeln und legt einen kreisförmigen Behälter mit einem Band um.")</f>
        <v>Eine Frau steht auf einem Tisch mit Babyprodukten, dann rollt die Frau Windeln und legt einen kreisförmigen Behälter mit einem Band um.</v>
      </c>
    </row>
    <row r="32423">
      <c r="A32423" s="4" t="s">
        <v>40816</v>
      </c>
      <c r="B32423" s="4" t="s">
        <v>40818</v>
      </c>
      <c r="C32423" s="5" t="str">
        <f>IFERROR(__xludf.DUMMYFUNCTION("GOOGLETRANSLATE(B32423,""en"",""de"")"),"Danach legt die Frau Windeln mit einem Band um ein gefaltetes Handtuch.")</f>
        <v>Danach legt die Frau Windeln mit einem Band um ein gefaltetes Handtuch.</v>
      </c>
    </row>
    <row r="32424">
      <c r="A32424" s="4" t="s">
        <v>40816</v>
      </c>
      <c r="B32424" s="4" t="s">
        <v>40819</v>
      </c>
      <c r="C32424" s="5" t="str">
        <f>IFERROR(__xludf.DUMMYFUNCTION("GOOGLETRANSLATE(B32424,""en"",""de"")"),"Als nächstes füllt die Frau den kreisförmigen Behälter mit Babyprodukten und legt auf das Handtuch, einen Plüsch und eine Flasche.")</f>
        <v>Als nächstes füllt die Frau den kreisförmigen Behälter mit Babyprodukten und legt auf das Handtuch, einen Plüsch und eine Flasche.</v>
      </c>
    </row>
    <row r="32425">
      <c r="A32425" s="4" t="s">
        <v>40820</v>
      </c>
      <c r="B32425" s="4" t="s">
        <v>40821</v>
      </c>
      <c r="C32425" s="5" t="str">
        <f>IFERROR(__xludf.DUMMYFUNCTION("GOOGLETRANSLATE(B32425,""en"",""de"")"),"Ein Junge nimmt einen Bowlingkugel und rennt die Fahrspur hinunter.")</f>
        <v>Ein Junge nimmt einen Bowlingkugel und rennt die Fahrspur hinunter.</v>
      </c>
    </row>
    <row r="32426">
      <c r="A32426" s="4" t="s">
        <v>40820</v>
      </c>
      <c r="B32426" s="4" t="s">
        <v>40822</v>
      </c>
      <c r="C32426" s="5" t="str">
        <f>IFERROR(__xludf.DUMMYFUNCTION("GOOGLETRANSLATE(B32426,""en"",""de"")"),"Er taucht am Ende in die Stifte ein.")</f>
        <v>Er taucht am Ende in die Stifte ein.</v>
      </c>
    </row>
    <row r="32427">
      <c r="A32427" s="4" t="s">
        <v>40820</v>
      </c>
      <c r="B32427" s="4" t="s">
        <v>40823</v>
      </c>
      <c r="C32427" s="5" t="str">
        <f>IFERROR(__xludf.DUMMYFUNCTION("GOOGLETRANSLATE(B32427,""en"",""de"")"),"Er rennt zurück und fällt auf die Fahrspur.")</f>
        <v>Er rennt zurück und fällt auf die Fahrspur.</v>
      </c>
    </row>
    <row r="32428">
      <c r="A32428" s="4" t="s">
        <v>40824</v>
      </c>
      <c r="B32428" s="4" t="s">
        <v>40825</v>
      </c>
      <c r="C32428" s="5" t="str">
        <f>IFERROR(__xludf.DUMMYFUNCTION("GOOGLETRANSLATE(B32428,""en"",""de"")"),"Ein Mann, der in Schwarz und eine Maske an einem öffentlichen Ort spielt und ein Instrument mit Taschen in der mittleren und kleinen Tastatur an der Außenseite draußen ist.")</f>
        <v>Ein Mann, der in Schwarz und eine Maske an einem öffentlichen Ort spielt und ein Instrument mit Taschen in der mittleren und kleinen Tastatur an der Außenseite draußen ist.</v>
      </c>
    </row>
    <row r="32429">
      <c r="A32429" s="4" t="s">
        <v>40824</v>
      </c>
      <c r="B32429" s="4" t="s">
        <v>40826</v>
      </c>
      <c r="C32429" s="5" t="str">
        <f>IFERROR(__xludf.DUMMYFUNCTION("GOOGLETRANSLATE(B32429,""en"",""de"")"),"Während er spielt, gehen mehrere Menschen, die mit ihrem Leben weitermachen.")</f>
        <v>Während er spielt, gehen mehrere Menschen, die mit ihrem Leben weitermachen.</v>
      </c>
    </row>
    <row r="32430">
      <c r="A32430" s="4" t="s">
        <v>40824</v>
      </c>
      <c r="B32430" s="4" t="s">
        <v>40827</v>
      </c>
      <c r="C32430" s="5" t="str">
        <f>IFERROR(__xludf.DUMMYFUNCTION("GOOGLETRANSLATE(B32430,""en"",""de"")"),"Keiner von ihnen erkennt ihn an und der Hut vor Hi bleibt leer.")</f>
        <v>Keiner von ihnen erkennt ihn an und der Hut vor Hi bleibt leer.</v>
      </c>
    </row>
    <row r="32431">
      <c r="A32431" s="4" t="s">
        <v>40828</v>
      </c>
      <c r="B32431" s="4" t="s">
        <v>40829</v>
      </c>
      <c r="C32431" s="5" t="str">
        <f>IFERROR(__xludf.DUMMYFUNCTION("GOOGLETRANSLATE(B32431,""en"",""de"")"),"Zwei Mädchen, die Pom Poms halten, führen eine Tanzroutine in einem Gymnasium durch.")</f>
        <v>Zwei Mädchen, die Pom Poms halten, führen eine Tanzroutine in einem Gymnasium durch.</v>
      </c>
    </row>
    <row r="32432">
      <c r="A32432" s="4" t="s">
        <v>40828</v>
      </c>
      <c r="B32432" s="4" t="s">
        <v>40830</v>
      </c>
      <c r="C32432" s="5" t="str">
        <f>IFERROR(__xludf.DUMMYFUNCTION("GOOGLETRANSLATE(B32432,""en"",""de"")"),"Mehrere Menschen sehen im Hintergrund zu, während die Mädchen weiterhin flexible Bewegungen durchführen.")</f>
        <v>Mehrere Menschen sehen im Hintergrund zu, während die Mädchen weiterhin flexible Bewegungen durchführen.</v>
      </c>
    </row>
    <row r="32433">
      <c r="A32433" s="4" t="s">
        <v>40828</v>
      </c>
      <c r="B32433" s="4" t="s">
        <v>40831</v>
      </c>
      <c r="C32433" s="5" t="str">
        <f>IFERROR(__xludf.DUMMYFUNCTION("GOOGLETRANSLATE(B32433,""en"",""de"")"),"Die Grab -Stöcke und drehen weiterhin die Stöcke, während sie Spaltungen und verschiedene andere Tanzbewegungen durchführen.")</f>
        <v>Die Grab -Stöcke und drehen weiterhin die Stöcke, während sie Spaltungen und verschiedene andere Tanzbewegungen durchführen.</v>
      </c>
    </row>
    <row r="32434">
      <c r="A32434" s="4" t="s">
        <v>40832</v>
      </c>
      <c r="B32434" s="4" t="s">
        <v>40833</v>
      </c>
      <c r="C32434" s="5" t="str">
        <f>IFERROR(__xludf.DUMMYFUNCTION("GOOGLETRANSLATE(B32434,""en"",""de"")"),"Eine Frau, die Overalls trägt, spricht mit der Kamera.")</f>
        <v>Eine Frau, die Overalls trägt, spricht mit der Kamera.</v>
      </c>
    </row>
    <row r="32435">
      <c r="A32435" s="4" t="s">
        <v>40832</v>
      </c>
      <c r="B32435" s="4" t="s">
        <v>40834</v>
      </c>
      <c r="C32435" s="5" t="str">
        <f>IFERROR(__xludf.DUMMYFUNCTION("GOOGLETRANSLATE(B32435,""en"",""de"")"),"Sie legt ein Packpapier aus und zeigt, wie man ein Spielzeug darin einpackt.")</f>
        <v>Sie legt ein Packpapier aus und zeigt, wie man ein Spielzeug darin einpackt.</v>
      </c>
    </row>
    <row r="32436">
      <c r="A32436" s="4" t="s">
        <v>40832</v>
      </c>
      <c r="B32436" s="4" t="s">
        <v>40835</v>
      </c>
      <c r="C32436" s="5" t="str">
        <f>IFERROR(__xludf.DUMMYFUNCTION("GOOGLETRANSLATE(B32436,""en"",""de"")"),"Sie hüllt es um das Spielzeug und speichert es dann.")</f>
        <v>Sie hüllt es um das Spielzeug und speichert es dann.</v>
      </c>
    </row>
    <row r="32437">
      <c r="A32437" s="4" t="s">
        <v>40836</v>
      </c>
      <c r="B32437" s="4" t="s">
        <v>40837</v>
      </c>
      <c r="C32437" s="5" t="str">
        <f>IFERROR(__xludf.DUMMYFUNCTION("GOOGLETRANSLATE(B32437,""en"",""de"")"),"Wir sehen eine Dame, die ein weißes Handtuch in einem Waschbecken waschen.")</f>
        <v>Wir sehen eine Dame, die ein weißes Handtuch in einem Waschbecken waschen.</v>
      </c>
    </row>
    <row r="32438">
      <c r="A32438" s="4" t="s">
        <v>40836</v>
      </c>
      <c r="B32438" s="4" t="s">
        <v>40838</v>
      </c>
      <c r="C32438" s="5" t="str">
        <f>IFERROR(__xludf.DUMMYFUNCTION("GOOGLETRANSLATE(B32438,""en"",""de"")"),"Die Dame hebt das Handtuch hoch.")</f>
        <v>Die Dame hebt das Handtuch hoch.</v>
      </c>
    </row>
    <row r="32439">
      <c r="A32439" s="4" t="s">
        <v>40836</v>
      </c>
      <c r="B32439" s="4" t="s">
        <v>40839</v>
      </c>
      <c r="C32439" s="5" t="str">
        <f>IFERROR(__xludf.DUMMYFUNCTION("GOOGLETRANSLATE(B32439,""en"",""de"")"),"Die Dame nimmt etwas vom Boden auf.")</f>
        <v>Die Dame nimmt etwas vom Boden auf.</v>
      </c>
    </row>
    <row r="32440">
      <c r="A32440" s="4" t="s">
        <v>40836</v>
      </c>
      <c r="B32440" s="4" t="s">
        <v>40840</v>
      </c>
      <c r="C32440" s="5" t="str">
        <f>IFERROR(__xludf.DUMMYFUNCTION("GOOGLETRANSLATE(B32440,""en"",""de"")"),"Die Dame rückt das Handtuch im Waschbecken aus.")</f>
        <v>Die Dame rückt das Handtuch im Waschbecken aus.</v>
      </c>
    </row>
    <row r="32441">
      <c r="A32441" s="4" t="s">
        <v>40836</v>
      </c>
      <c r="B32441" s="4" t="s">
        <v>40841</v>
      </c>
      <c r="C32441" s="5" t="str">
        <f>IFERROR(__xludf.DUMMYFUNCTION("GOOGLETRANSLATE(B32441,""en"",""de"")"),"Die Dame geht dann weg.")</f>
        <v>Die Dame geht dann weg.</v>
      </c>
    </row>
    <row r="32442">
      <c r="A32442" s="4" t="s">
        <v>40842</v>
      </c>
      <c r="B32442" s="4" t="s">
        <v>40843</v>
      </c>
      <c r="C32442" s="5" t="str">
        <f>IFERROR(__xludf.DUMMYFUNCTION("GOOGLETRANSLATE(B32442,""en"",""de"")"),"Wir sehen einen schwarzen Bildschirm mit dem Intro.")</f>
        <v>Wir sehen einen schwarzen Bildschirm mit dem Intro.</v>
      </c>
    </row>
    <row r="32443">
      <c r="A32443" s="4" t="s">
        <v>40842</v>
      </c>
      <c r="B32443" s="4" t="s">
        <v>40844</v>
      </c>
      <c r="C32443" s="5" t="str">
        <f>IFERROR(__xludf.DUMMYFUNCTION("GOOGLETRANSLATE(B32443,""en"",""de"")"),"Wir sehen Leute in Blau, die Schlagzeug spielen.")</f>
        <v>Wir sehen Leute in Blau, die Schlagzeug spielen.</v>
      </c>
    </row>
    <row r="32444">
      <c r="A32444" s="4" t="s">
        <v>40842</v>
      </c>
      <c r="B32444" s="4" t="s">
        <v>40845</v>
      </c>
      <c r="C32444" s="5" t="str">
        <f>IFERROR(__xludf.DUMMYFUNCTION("GOOGLETRANSLATE(B32444,""en"",""de"")"),"Ein Titelbildschirm erscheint und wir sehen ein anderes Team.")</f>
        <v>Ein Titelbildschirm erscheint und wir sehen ein anderes Team.</v>
      </c>
    </row>
    <row r="32445">
      <c r="A32445" s="4" t="s">
        <v>40842</v>
      </c>
      <c r="B32445" s="4" t="s">
        <v>40846</v>
      </c>
      <c r="C32445" s="5" t="str">
        <f>IFERROR(__xludf.DUMMYFUNCTION("GOOGLETRANSLATE(B32445,""en"",""de"")"),"Ein anderer Titelbildschirm und ein Team mit einem Mann, der ein Band springt.")</f>
        <v>Ein anderer Titelbildschirm und ein Team mit einem Mann, der ein Band springt.</v>
      </c>
    </row>
    <row r="32446">
      <c r="A32446" s="4" t="s">
        <v>40842</v>
      </c>
      <c r="B32446" s="4" t="s">
        <v>40847</v>
      </c>
      <c r="C32446" s="5" t="str">
        <f>IFERROR(__xludf.DUMMYFUNCTION("GOOGLETRANSLATE(B32446,""en"",""de"")"),"Der Titel erscheint zweimal und wir sehen ein rotes Team.")</f>
        <v>Der Titel erscheint zweimal und wir sehen ein rotes Team.</v>
      </c>
    </row>
    <row r="32447">
      <c r="A32447" s="4" t="s">
        <v>40842</v>
      </c>
      <c r="B32447" s="4" t="s">
        <v>40848</v>
      </c>
      <c r="C32447" s="5" t="str">
        <f>IFERROR(__xludf.DUMMYFUNCTION("GOOGLETRANSLATE(B32447,""en"",""de"")"),"Der Titelbildschirm kehrt zurück und wir sehen ein Team in Lila.")</f>
        <v>Der Titelbildschirm kehrt zurück und wir sehen ein Team in Lila.</v>
      </c>
    </row>
    <row r="32448">
      <c r="A32448" s="4" t="s">
        <v>40842</v>
      </c>
      <c r="B32448" s="4" t="s">
        <v>40849</v>
      </c>
      <c r="C32448" s="5" t="str">
        <f>IFERROR(__xludf.DUMMYFUNCTION("GOOGLETRANSLATE(B32448,""en"",""de"")"),"Der Titel kehrt dreimal zurück und die Leute üben im Freien.")</f>
        <v>Der Titel kehrt dreimal zurück und die Leute üben im Freien.</v>
      </c>
    </row>
    <row r="32449">
      <c r="A32449" s="4" t="s">
        <v>40842</v>
      </c>
      <c r="B32449" s="4" t="s">
        <v>40850</v>
      </c>
      <c r="C32449" s="5" t="str">
        <f>IFERROR(__xludf.DUMMYFUNCTION("GOOGLETRANSLATE(B32449,""en"",""de"")"),"Wir sehen, dass Menschen vor einer Menge auftreten.")</f>
        <v>Wir sehen, dass Menschen vor einer Menge auftreten.</v>
      </c>
    </row>
    <row r="32450">
      <c r="A32450" s="4" t="s">
        <v>40842</v>
      </c>
      <c r="B32450" s="4" t="s">
        <v>40851</v>
      </c>
      <c r="C32450" s="5" t="str">
        <f>IFERROR(__xludf.DUMMYFUNCTION("GOOGLETRANSLATE(B32450,""en"",""de"")"),"Wir sehen ein paar schnelle Aufnahmen von Teams, dann den Endbildschirm.")</f>
        <v>Wir sehen ein paar schnelle Aufnahmen von Teams, dann den Endbildschirm.</v>
      </c>
    </row>
    <row r="32451">
      <c r="A32451" s="4" t="s">
        <v>40852</v>
      </c>
      <c r="B32451" s="4" t="s">
        <v>40853</v>
      </c>
      <c r="C32451" s="5" t="str">
        <f>IFERROR(__xludf.DUMMYFUNCTION("GOOGLETRANSLATE(B32451,""en"",""de"")"),"Ein Cowboy auf einem Pferd wird aus einem Tor entlassen.")</f>
        <v>Ein Cowboy auf einem Pferd wird aus einem Tor entlassen.</v>
      </c>
    </row>
    <row r="32452">
      <c r="A32452" s="4" t="s">
        <v>40852</v>
      </c>
      <c r="B32452" s="4" t="s">
        <v>40854</v>
      </c>
      <c r="C32452" s="5" t="str">
        <f>IFERROR(__xludf.DUMMYFUNCTION("GOOGLETRANSLATE(B32452,""en"",""de"")"),"Er lassos ein kleines Kalb.")</f>
        <v>Er lassos ein kleines Kalb.</v>
      </c>
    </row>
    <row r="32453">
      <c r="A32453" s="4" t="s">
        <v>40852</v>
      </c>
      <c r="B32453" s="4" t="s">
        <v>40855</v>
      </c>
      <c r="C32453" s="5" t="str">
        <f>IFERROR(__xludf.DUMMYFUNCTION("GOOGLETRANSLATE(B32453,""en"",""de"")"),"Er steigt ab und bindet dann das Kalb.")</f>
        <v>Er steigt ab und bindet dann das Kalb.</v>
      </c>
    </row>
    <row r="32454">
      <c r="A32454" s="4" t="s">
        <v>40856</v>
      </c>
      <c r="B32454" s="4" t="s">
        <v>40857</v>
      </c>
      <c r="C32454" s="5" t="str">
        <f>IFERROR(__xludf.DUMMYFUNCTION("GOOGLETRANSLATE(B32454,""en"",""de"")"),"Mehrere Menschen wanderten um eine dunkle Stadt herum, während sie Stelzen auf den Füßen tragen, um zu laufen.")</f>
        <v>Mehrere Menschen wanderten um eine dunkle Stadt herum, während sie Stelzen auf den Füßen tragen, um zu laufen.</v>
      </c>
    </row>
    <row r="32455">
      <c r="A32455" s="4" t="s">
        <v>40856</v>
      </c>
      <c r="B32455" s="4" t="s">
        <v>40858</v>
      </c>
      <c r="C32455" s="5" t="str">
        <f>IFERROR(__xludf.DUMMYFUNCTION("GOOGLETRANSLATE(B32455,""en"",""de"")"),"Die Leute gehen weiter und springen auf den Stelzen herum, während sie zur Kamera winken und auf dem Boden sitzen.")</f>
        <v>Die Leute gehen weiter und springen auf den Stelzen herum, während sie zur Kamera winken und auf dem Boden sitzen.</v>
      </c>
    </row>
    <row r="32456">
      <c r="A32456" s="4" t="s">
        <v>40859</v>
      </c>
      <c r="B32456" s="4" t="s">
        <v>40860</v>
      </c>
      <c r="C32456" s="5" t="str">
        <f>IFERROR(__xludf.DUMMYFUNCTION("GOOGLETRANSLATE(B32456,""en"",""de"")"),"Ein Mann sitzt an einem Klavier und sieht verwirrt aus, als er spielt und eine ältere Frau sieht.")</f>
        <v>Ein Mann sitzt an einem Klavier und sieht verwirrt aus, als er spielt und eine ältere Frau sieht.</v>
      </c>
    </row>
    <row r="32457">
      <c r="A32457" s="4" t="s">
        <v>40859</v>
      </c>
      <c r="B32457" s="4" t="s">
        <v>40861</v>
      </c>
      <c r="C32457" s="5" t="str">
        <f>IFERROR(__xludf.DUMMYFUNCTION("GOOGLETRANSLATE(B32457,""en"",""de"")"),"Er beschleunigt sein Spiel, während sie steht.")</f>
        <v>Er beschleunigt sein Spiel, während sie steht.</v>
      </c>
    </row>
    <row r="32458">
      <c r="A32458" s="4" t="s">
        <v>40859</v>
      </c>
      <c r="B32458" s="4" t="s">
        <v>40862</v>
      </c>
      <c r="C32458" s="5" t="str">
        <f>IFERROR(__xludf.DUMMYFUNCTION("GOOGLETRANSLATE(B32458,""en"",""de"")"),"Das Publikum sieht ratlos und amüsiert aus und tanzt an Ort und Stelle.")</f>
        <v>Das Publikum sieht ratlos und amüsiert aus und tanzt an Ort und Stelle.</v>
      </c>
    </row>
    <row r="32459">
      <c r="A32459" s="4" t="s">
        <v>40859</v>
      </c>
      <c r="B32459" s="4" t="s">
        <v>40863</v>
      </c>
      <c r="C32459" s="5" t="str">
        <f>IFERROR(__xludf.DUMMYFUNCTION("GOOGLETRANSLATE(B32459,""en"",""de"")"),"Die Leute stehen auf und tanzen zur Musik.")</f>
        <v>Die Leute stehen auf und tanzen zur Musik.</v>
      </c>
    </row>
    <row r="32460">
      <c r="A32460" s="4" t="s">
        <v>40859</v>
      </c>
      <c r="B32460" s="4" t="s">
        <v>40864</v>
      </c>
      <c r="C32460" s="5" t="str">
        <f>IFERROR(__xludf.DUMMYFUNCTION("GOOGLETRANSLATE(B32460,""en"",""de"")"),"Dann geht er mit seinem Arm in der einer Frau weg.")</f>
        <v>Dann geht er mit seinem Arm in der einer Frau weg.</v>
      </c>
    </row>
    <row r="32461">
      <c r="A32461" s="4" t="s">
        <v>40865</v>
      </c>
      <c r="B32461" s="4" t="s">
        <v>40866</v>
      </c>
      <c r="C32461" s="5" t="str">
        <f>IFERROR(__xludf.DUMMYFUNCTION("GOOGLETRANSLATE(B32461,""en"",""de"")"),"Eine Frau schält eine Kartoffel in einer rustikalen Küche.")</f>
        <v>Eine Frau schält eine Kartoffel in einer rustikalen Küche.</v>
      </c>
    </row>
    <row r="32462">
      <c r="A32462" s="4" t="s">
        <v>40865</v>
      </c>
      <c r="B32462" s="4" t="s">
        <v>40867</v>
      </c>
      <c r="C32462" s="5" t="str">
        <f>IFERROR(__xludf.DUMMYFUNCTION("GOOGLETRANSLATE(B32462,""en"",""de"")"),"Dann nimmt die Frau weitere Kartoffeln und schält sie mit einem Messer.")</f>
        <v>Dann nimmt die Frau weitere Kartoffeln und schält sie mit einem Messer.</v>
      </c>
    </row>
    <row r="32463">
      <c r="A32463" s="4" t="s">
        <v>40865</v>
      </c>
      <c r="B32463" s="4" t="s">
        <v>40868</v>
      </c>
      <c r="C32463" s="5" t="str">
        <f>IFERROR(__xludf.DUMMYFUNCTION("GOOGLETRANSLATE(B32463,""en"",""de"")"),"Danach legt die Frau die Kartoffel auf Adish.")</f>
        <v>Danach legt die Frau die Kartoffel auf Adish.</v>
      </c>
    </row>
    <row r="32464">
      <c r="A32464" s="4" t="s">
        <v>40869</v>
      </c>
      <c r="B32464" s="4" t="s">
        <v>40870</v>
      </c>
      <c r="C32464" s="5" t="str">
        <f>IFERROR(__xludf.DUMMYFUNCTION("GOOGLETRANSLATE(B32464,""en"",""de"")"),"Zwei junge Mann und ein Mann spielen Pool, der weiße Bälle mit einem Stichwort schlägt.")</f>
        <v>Zwei junge Mann und ein Mann spielen Pool, der weiße Bälle mit einem Stichwort schlägt.</v>
      </c>
    </row>
    <row r="32465">
      <c r="A32465" s="4" t="s">
        <v>40869</v>
      </c>
      <c r="B32465" s="4" t="s">
        <v>40871</v>
      </c>
      <c r="C32465" s="5" t="str">
        <f>IFERROR(__xludf.DUMMYFUNCTION("GOOGLETRANSLATE(B32465,""en"",""de"")"),"Der junge Mann schlägt Bälle, die in der Tasche des Billardtisches landen.")</f>
        <v>Der junge Mann schlägt Bälle, die in der Tasche des Billardtisches landen.</v>
      </c>
    </row>
    <row r="32466">
      <c r="A32466" s="4" t="s">
        <v>40869</v>
      </c>
      <c r="B32466" s="4" t="s">
        <v>40872</v>
      </c>
      <c r="C32466" s="5" t="str">
        <f>IFERROR(__xludf.DUMMYFUNCTION("GOOGLETRANSLATE(B32466,""en"",""de"")"),"Dann steckt der Mann die Bälle in ein Metalldreieck und arrangiert andere Kugeln.")</f>
        <v>Dann steckt der Mann die Bälle in ein Metalldreieck und arrangiert andere Kugeln.</v>
      </c>
    </row>
    <row r="32467">
      <c r="A32467" s="4" t="s">
        <v>40869</v>
      </c>
      <c r="B32467" s="4" t="s">
        <v>40873</v>
      </c>
      <c r="C32467" s="5" t="str">
        <f>IFERROR(__xludf.DUMMYFUNCTION("GOOGLETRANSLATE(B32467,""en"",""de"")"),"Danach schlägt der junge Mann auf den weißen Ball, stoppen Sie ihn jedoch nicht mit den Cue -Stöcken.")</f>
        <v>Danach schlägt der junge Mann auf den weißen Ball, stoppen Sie ihn jedoch nicht mit den Cue -Stöcken.</v>
      </c>
    </row>
    <row r="32468">
      <c r="A32468" s="4" t="s">
        <v>40869</v>
      </c>
      <c r="B32468" s="4" t="s">
        <v>40874</v>
      </c>
      <c r="C32468" s="5" t="str">
        <f>IFERROR(__xludf.DUMMYFUNCTION("GOOGLETRANSLATE(B32468,""en"",""de"")"),"Als nächstes schlägt der junge Mann die Bälle und schickt einen weißen Ball in eine Tasche.")</f>
        <v>Als nächstes schlägt der junge Mann die Bälle und schickt einen weißen Ball in eine Tasche.</v>
      </c>
    </row>
    <row r="32469">
      <c r="A32469" s="4" t="s">
        <v>40869</v>
      </c>
      <c r="B32469" s="4" t="s">
        <v>40875</v>
      </c>
      <c r="C32469" s="5" t="str">
        <f>IFERROR(__xludf.DUMMYFUNCTION("GOOGLETRANSLATE(B32469,""en"",""de"")"),"Der Mann schlägt einen weißen Ball und schickt Bälle in die Tasche.")</f>
        <v>Der Mann schlägt einen weißen Ball und schickt Bälle in die Tasche.</v>
      </c>
    </row>
    <row r="32470">
      <c r="A32470" s="4" t="s">
        <v>40869</v>
      </c>
      <c r="B32470" s="4" t="s">
        <v>40876</v>
      </c>
      <c r="C32470" s="5" t="str">
        <f>IFERROR(__xludf.DUMMYFUNCTION("GOOGLETRANSLATE(B32470,""en"",""de"")"),"Am Ende steckt der junge Mann den Ball in ein Metalldreieck.")</f>
        <v>Am Ende steckt der junge Mann den Ball in ein Metalldreieck.</v>
      </c>
    </row>
    <row r="32471">
      <c r="A32471" s="4" t="s">
        <v>40877</v>
      </c>
      <c r="B32471" s="4" t="s">
        <v>40878</v>
      </c>
      <c r="C32471" s="5" t="str">
        <f>IFERROR(__xludf.DUMMYFUNCTION("GOOGLETRANSLATE(B32471,""en"",""de"")"),"Drei Mädchen stehen zusammen auf einem grünen Boden zusammen und sprechen miteinander über einen Sport.")</f>
        <v>Drei Mädchen stehen zusammen auf einem grünen Boden zusammen und sprechen miteinander über einen Sport.</v>
      </c>
    </row>
    <row r="32472">
      <c r="A32472" s="4" t="s">
        <v>40877</v>
      </c>
      <c r="B32472" s="4" t="s">
        <v>40879</v>
      </c>
      <c r="C32472" s="5" t="str">
        <f>IFERROR(__xludf.DUMMYFUNCTION("GOOGLETRANSLATE(B32472,""en"",""de"")"),"Eine Person wird dann das Spielfeldhockey gezeigt und kommt dann zurück, um darüber zu sprechen, was sie gerade getan hat.")</f>
        <v>Eine Person wird dann das Spielfeldhockey gezeigt und kommt dann zurück, um darüber zu sprechen, was sie gerade getan hat.</v>
      </c>
    </row>
    <row r="32473">
      <c r="A32473" s="4" t="s">
        <v>40877</v>
      </c>
      <c r="B32473" s="4" t="s">
        <v>40880</v>
      </c>
      <c r="C32473" s="5" t="str">
        <f>IFERROR(__xludf.DUMMYFUNCTION("GOOGLETRANSLATE(B32473,""en"",""de"")"),"Als nächstes gehen sie über die richtigen Möglichkeiten, um den Ball zu verteidigen, und dann beginnen sie alle wieder nach dem anderen über den Sport.")</f>
        <v>Als nächstes gehen sie über die richtigen Möglichkeiten, um den Ball zu verteidigen, und dann beginnen sie alle wieder nach dem anderen über den Sport.</v>
      </c>
    </row>
    <row r="32474">
      <c r="A32474" s="4" t="s">
        <v>40877</v>
      </c>
      <c r="B32474" s="4" t="s">
        <v>40881</v>
      </c>
      <c r="C32474" s="5" t="str">
        <f>IFERROR(__xludf.DUMMYFUNCTION("GOOGLETRANSLATE(B32474,""en"",""de"")"),"Danach erscheint ein Bildschirm mit der Frage: ""Was ist, wenn das Spiel gebunden ist?"" Und die junge Dame geht detailliert für die Antwort ein.")</f>
        <v>Danach erscheint ein Bildschirm mit der Frage: "Was ist, wenn das Spiel gebunden ist?" Und die junge Dame geht detailliert für die Antwort ein.</v>
      </c>
    </row>
    <row r="32475">
      <c r="A32475" s="4" t="s">
        <v>40877</v>
      </c>
      <c r="B32475" s="4" t="s">
        <v>40882</v>
      </c>
      <c r="C32475" s="5" t="str">
        <f>IFERROR(__xludf.DUMMYFUNCTION("GOOGLETRANSLATE(B32475,""en"",""de"")"),"Schließlich werden die Fragen beantwortet und alle kommen wieder zusammen und schließen das Video ab.")</f>
        <v>Schließlich werden die Fragen beantwortet und alle kommen wieder zusammen und schließen das Video ab.</v>
      </c>
    </row>
    <row r="32476">
      <c r="A32476" s="4" t="s">
        <v>40883</v>
      </c>
      <c r="B32476" s="4" t="s">
        <v>40884</v>
      </c>
      <c r="C32476" s="5" t="str">
        <f>IFERROR(__xludf.DUMMYFUNCTION("GOOGLETRANSLATE(B32476,""en"",""de"")"),"Die Menschen paddeln Kanus in einem Innenpool.")</f>
        <v>Die Menschen paddeln Kanus in einem Innenpool.</v>
      </c>
    </row>
    <row r="32477">
      <c r="A32477" s="4" t="s">
        <v>40883</v>
      </c>
      <c r="B32477" s="4" t="s">
        <v>40885</v>
      </c>
      <c r="C32477" s="5" t="str">
        <f>IFERROR(__xludf.DUMMYFUNCTION("GOOGLETRANSLATE(B32477,""en"",""de"")"),"Ein Junge paddelt ein Kanu.")</f>
        <v>Ein Junge paddelt ein Kanu.</v>
      </c>
    </row>
    <row r="32478">
      <c r="A32478" s="4" t="s">
        <v>40883</v>
      </c>
      <c r="B32478" s="4" t="s">
        <v>40886</v>
      </c>
      <c r="C32478" s="5" t="str">
        <f>IFERROR(__xludf.DUMMYFUNCTION("GOOGLETRANSLATE(B32478,""en"",""de"")"),"Der Junge lehnt sich zur Seite und das Kanu dreht sich um.")</f>
        <v>Der Junge lehnt sich zur Seite und das Kanu dreht sich um.</v>
      </c>
    </row>
    <row r="32479">
      <c r="A32479" s="4" t="s">
        <v>40883</v>
      </c>
      <c r="B32479" s="4" t="s">
        <v>40887</v>
      </c>
      <c r="C32479" s="5" t="str">
        <f>IFERROR(__xludf.DUMMYFUNCTION("GOOGLETRANSLATE(B32479,""en"",""de"")"),"Der Junge schwimmt zur Oberfläche des Wassers.")</f>
        <v>Der Junge schwimmt zur Oberfläche des Wassers.</v>
      </c>
    </row>
    <row r="32480">
      <c r="A32480" s="4" t="s">
        <v>40888</v>
      </c>
      <c r="B32480" s="4" t="s">
        <v>40889</v>
      </c>
      <c r="C32480" s="5" t="str">
        <f>IFERROR(__xludf.DUMMYFUNCTION("GOOGLETRANSLATE(B32480,""en"",""de"")"),"Auf seinem Deck steht ein Mann, der mit Schnee bedeckt ist.")</f>
        <v>Auf seinem Deck steht ein Mann, der mit Schnee bedeckt ist.</v>
      </c>
    </row>
    <row r="32481">
      <c r="A32481" s="4" t="s">
        <v>40888</v>
      </c>
      <c r="B32481" s="4" t="s">
        <v>40890</v>
      </c>
      <c r="C32481" s="5" t="str">
        <f>IFERROR(__xludf.DUMMYFUNCTION("GOOGLETRANSLATE(B32481,""en"",""de"")"),"Er macht sich bereit, auf seinem Deck in seinen Whirlpool zu gelangen.")</f>
        <v>Er macht sich bereit, auf seinem Deck in seinen Whirlpool zu gelangen.</v>
      </c>
    </row>
    <row r="32482">
      <c r="A32482" s="4" t="s">
        <v>40888</v>
      </c>
      <c r="B32482" s="4" t="s">
        <v>40891</v>
      </c>
      <c r="C32482" s="5" t="str">
        <f>IFERROR(__xludf.DUMMYFUNCTION("GOOGLETRANSLATE(B32482,""en"",""de"")"),"Er geht bloß durch den Schnee, um in seinen Whirlpool zu gelangen.")</f>
        <v>Er geht bloß durch den Schnee, um in seinen Whirlpool zu gelangen.</v>
      </c>
    </row>
    <row r="32483">
      <c r="A32483" s="4" t="s">
        <v>40888</v>
      </c>
      <c r="B32483" s="4" t="s">
        <v>40892</v>
      </c>
      <c r="C32483" s="5" t="str">
        <f>IFERROR(__xludf.DUMMYFUNCTION("GOOGLETRANSLATE(B32483,""en"",""de"")"),"Er beginnt, den Schnee vom Deck zu schaufeln, um es ihm leichter zu gehen, zu laufen.")</f>
        <v>Er beginnt, den Schnee vom Deck zu schaufeln, um es ihm leichter zu gehen, zu laufen.</v>
      </c>
    </row>
    <row r="32484">
      <c r="A32484" s="4" t="s">
        <v>40888</v>
      </c>
      <c r="B32484" s="4" t="s">
        <v>40893</v>
      </c>
      <c r="C32484" s="5" t="str">
        <f>IFERROR(__xludf.DUMMYFUNCTION("GOOGLETRANSLATE(B32484,""en"",""de"")"),"Er räumt den Schnee vom Deck aus, um einen Weg zum Whirlpool zu schaffen.")</f>
        <v>Er räumt den Schnee vom Deck aus, um einen Weg zum Whirlpool zu schaffen.</v>
      </c>
    </row>
    <row r="32485">
      <c r="A32485" s="4" t="s">
        <v>40894</v>
      </c>
      <c r="B32485" s="4" t="s">
        <v>40895</v>
      </c>
      <c r="C32485" s="5" t="str">
        <f>IFERROR(__xludf.DUMMYFUNCTION("GOOGLETRANSLATE(B32485,""en"",""de"")"),"Verschiedene Landschaften werden ebenso gezeigt, wie Menschen fahren und andere interviewt werden.")</f>
        <v>Verschiedene Landschaften werden ebenso gezeigt, wie Menschen fahren und andere interviewt werden.</v>
      </c>
    </row>
    <row r="32486">
      <c r="A32486" s="4" t="s">
        <v>40894</v>
      </c>
      <c r="B32486" s="4" t="s">
        <v>40896</v>
      </c>
      <c r="C32486" s="5" t="str">
        <f>IFERROR(__xludf.DUMMYFUNCTION("GOOGLETRANSLATE(B32486,""en"",""de"")"),"Es werden mehrere Schüsse von Menschen am Strand gezeigt und führt zu Menschen, die verschiedene Sportarten am Strand spielen.")</f>
        <v>Es werden mehrere Schüsse von Menschen am Strand gezeigt und führt zu Menschen, die verschiedene Sportarten am Strand spielen.</v>
      </c>
    </row>
    <row r="32487">
      <c r="A32487" s="4" t="s">
        <v>40894</v>
      </c>
      <c r="B32487" s="4" t="s">
        <v>40897</v>
      </c>
      <c r="C32487" s="5" t="str">
        <f>IFERROR(__xludf.DUMMYFUNCTION("GOOGLETRANSLATE(B32487,""en"",""de"")"),"Die Leute spielen zurück und vierten, während andere interviewen und viele an den Seiten zuschauen.")</f>
        <v>Die Leute spielen zurück und vierten, während andere interviewen und viele an den Seiten zuschauen.</v>
      </c>
    </row>
    <row r="32488">
      <c r="A32488" s="4" t="s">
        <v>40898</v>
      </c>
      <c r="B32488" s="4" t="s">
        <v>40899</v>
      </c>
      <c r="C32488" s="5" t="str">
        <f>IFERROR(__xludf.DUMMYFUNCTION("GOOGLETRANSLATE(B32488,""en"",""de"")"),"Eine Frau schiebt einen Rasenmäher über einen Hof und hält an, um die Schnur zu ziehen und ihn in Gang zu bringen.")</f>
        <v>Eine Frau schiebt einen Rasenmäher über einen Hof und hält an, um die Schnur zu ziehen und ihn in Gang zu bringen.</v>
      </c>
    </row>
    <row r="32489">
      <c r="A32489" s="4" t="s">
        <v>40898</v>
      </c>
      <c r="B32489" s="4" t="s">
        <v>40900</v>
      </c>
      <c r="C32489" s="5" t="str">
        <f>IFERROR(__xludf.DUMMYFUNCTION("GOOGLETRANSLATE(B32489,""en"",""de"")"),"Die Frau schiebt den Mäher weiter entlang des Rasens und zieht zurück zu dem, wo sie angefangen hat.")</f>
        <v>Die Frau schiebt den Mäher weiter entlang des Rasens und zieht zurück zu dem, wo sie angefangen hat.</v>
      </c>
    </row>
    <row r="32490">
      <c r="A32490" s="4" t="s">
        <v>40901</v>
      </c>
      <c r="B32490" s="4" t="s">
        <v>40902</v>
      </c>
      <c r="C32490" s="5" t="str">
        <f>IFERROR(__xludf.DUMMYFUNCTION("GOOGLETRANSLATE(B32490,""en"",""de"")"),"Eine Person spaltet Pole über einen Strahl, gefolgt von mehreren weiteren Clips von Menschen, die springen.")</f>
        <v>Eine Person spaltet Pole über einen Strahl, gefolgt von mehreren weiteren Clips von Menschen, die springen.</v>
      </c>
    </row>
    <row r="32491">
      <c r="A32491" s="4" t="s">
        <v>40901</v>
      </c>
      <c r="B32491" s="4" t="s">
        <v>40903</v>
      </c>
      <c r="C32491" s="5" t="str">
        <f>IFERROR(__xludf.DUMMYFUNCTION("GOOGLETRANSLATE(B32491,""en"",""de"")"),"Mehr Menschen werden mit der Balken zu Pole Volt über einem Strahl angezeigt.")</f>
        <v>Mehr Menschen werden mit der Balken zu Pole Volt über einem Strahl angezeigt.</v>
      </c>
    </row>
    <row r="32492">
      <c r="A32492" s="4" t="s">
        <v>40904</v>
      </c>
      <c r="B32492" s="4" t="s">
        <v>40905</v>
      </c>
      <c r="C32492" s="5" t="str">
        <f>IFERROR(__xludf.DUMMYFUNCTION("GOOGLETRANSLATE(B32492,""en"",""de"")"),"Eine Reihe von Klippern, Bürsten und Rasierer werden gezeigt.")</f>
        <v>Eine Reihe von Klippern, Bürsten und Rasierer werden gezeigt.</v>
      </c>
    </row>
    <row r="32493">
      <c r="A32493" s="4" t="s">
        <v>40904</v>
      </c>
      <c r="B32493" s="4" t="s">
        <v>40906</v>
      </c>
      <c r="C32493" s="5" t="str">
        <f>IFERROR(__xludf.DUMMYFUNCTION("GOOGLETRANSLATE(B32493,""en"",""de"")"),"Kurz darauf wird die Vorderseite des Gebäudes angezeigt und der Name auf dem Platz wird angezeigt.")</f>
        <v>Kurz darauf wird die Vorderseite des Gebäudes angezeigt und der Name auf dem Platz wird angezeigt.</v>
      </c>
    </row>
    <row r="32494">
      <c r="A32494" s="4" t="s">
        <v>40904</v>
      </c>
      <c r="B32494" s="4" t="s">
        <v>40907</v>
      </c>
      <c r="C32494" s="5" t="str">
        <f>IFERROR(__xludf.DUMMYFUNCTION("GOOGLETRANSLATE(B32494,""en"",""de"")"),"Ein Mann mit langem lockigem Haar wird gezeigt, das im Friseur sitzt und sich die Haare niederlegt, und der Friseur verwendet eine Kombination aus Scheren, Bürsten und Föhn, um den Look zu vervollständigen.")</f>
        <v>Ein Mann mit langem lockigem Haar wird gezeigt, das im Friseur sitzt und sich die Haare niederlegt, und der Friseur verwendet eine Kombination aus Scheren, Bürsten und Föhn, um den Look zu vervollständigen.</v>
      </c>
    </row>
    <row r="32495">
      <c r="A32495" s="4" t="s">
        <v>40904</v>
      </c>
      <c r="B32495" s="4" t="s">
        <v>40908</v>
      </c>
      <c r="C32495" s="5" t="str">
        <f>IFERROR(__xludf.DUMMYFUNCTION("GOOGLETRANSLATE(B32495,""en"",""de"")"),"Sobald er fertig ist, wird ein Standbild des Friseur und seine Informationen zur Werbung angezeigt.")</f>
        <v>Sobald er fertig ist, wird ein Standbild des Friseur und seine Informationen zur Werbung angezeigt.</v>
      </c>
    </row>
    <row r="32496">
      <c r="A32496" s="4" t="s">
        <v>40909</v>
      </c>
      <c r="B32496" s="4" t="s">
        <v>40910</v>
      </c>
      <c r="C32496" s="5" t="str">
        <f>IFERROR(__xludf.DUMMYFUNCTION("GOOGLETRANSLATE(B32496,""en"",""de"")"),"Eine Person fährt auf einem Pferd um andere, während er mit anderen Menschen und Kindern spricht, die ein Schild hochhalten.")</f>
        <v>Eine Person fährt auf einem Pferd um andere, während er mit anderen Menschen und Kindern spricht, die ein Schild hochhalten.</v>
      </c>
    </row>
    <row r="32497">
      <c r="A32497" s="4" t="s">
        <v>40909</v>
      </c>
      <c r="B32497" s="4" t="s">
        <v>40911</v>
      </c>
      <c r="C32497" s="5" t="str">
        <f>IFERROR(__xludf.DUMMYFUNCTION("GOOGLETRANSLATE(B32497,""en"",""de"")"),"Die Kinder halten weiterhin Schilder und schauen in die Kamera, während mehr Leute auf Pferden herumfahren.")</f>
        <v>Die Kinder halten weiterhin Schilder und schauen in die Kamera, während mehr Leute auf Pferden herumfahren.</v>
      </c>
    </row>
    <row r="32498">
      <c r="A32498" s="4" t="s">
        <v>40909</v>
      </c>
      <c r="B32498" s="4" t="s">
        <v>40912</v>
      </c>
      <c r="C32498" s="5" t="str">
        <f>IFERROR(__xludf.DUMMYFUNCTION("GOOGLETRANSLATE(B32498,""en"",""de"")"),"Weitere Clips werden von Menschen gezeigt, die Pferde und Kinder tragen, die Helme tragen.")</f>
        <v>Weitere Clips werden von Menschen gezeigt, die Pferde und Kinder tragen, die Helme tragen.</v>
      </c>
    </row>
    <row r="32499">
      <c r="A32499" s="4" t="s">
        <v>40913</v>
      </c>
      <c r="B32499" s="4" t="s">
        <v>40914</v>
      </c>
      <c r="C32499" s="5" t="str">
        <f>IFERROR(__xludf.DUMMYFUNCTION("GOOGLETRANSLATE(B32499,""en"",""de"")"),"Ein Mann sitzt im Wasser und hält ein Seil.")</f>
        <v>Ein Mann sitzt im Wasser und hält ein Seil.</v>
      </c>
    </row>
    <row r="32500">
      <c r="A32500" s="4" t="s">
        <v>40913</v>
      </c>
      <c r="B32500" s="4" t="s">
        <v>40915</v>
      </c>
      <c r="C32500" s="5" t="str">
        <f>IFERROR(__xludf.DUMMYFUNCTION("GOOGLETRANSLATE(B32500,""en"",""de"")"),"Er steht auf und beginnt das Wake -Boarding.")</f>
        <v>Er steht auf und beginnt das Wake -Boarding.</v>
      </c>
    </row>
    <row r="32501">
      <c r="A32501" s="4" t="s">
        <v>40913</v>
      </c>
      <c r="B32501" s="4" t="s">
        <v>40916</v>
      </c>
      <c r="C32501" s="5" t="str">
        <f>IFERROR(__xludf.DUMMYFUNCTION("GOOGLETRANSLATE(B32501,""en"",""de"")"),"Er fällt zurück ins Wasser.")</f>
        <v>Er fällt zurück ins Wasser.</v>
      </c>
    </row>
    <row r="32502">
      <c r="A32502" s="4" t="s">
        <v>40917</v>
      </c>
      <c r="B32502" s="4" t="s">
        <v>40918</v>
      </c>
      <c r="C32502" s="5" t="str">
        <f>IFERROR(__xludf.DUMMYFUNCTION("GOOGLETRANSLATE(B32502,""en"",""de"")"),"Zwei Zeilen von Menschen stehen über einem langen Seil.")</f>
        <v>Zwei Zeilen von Menschen stehen über einem langen Seil.</v>
      </c>
    </row>
    <row r="32503">
      <c r="A32503" s="4" t="s">
        <v>40917</v>
      </c>
      <c r="B32503" s="4" t="s">
        <v>40919</v>
      </c>
      <c r="C32503" s="5" t="str">
        <f>IFERROR(__xludf.DUMMYFUNCTION("GOOGLETRANSLATE(B32503,""en"",""de"")"),"Jede Zeile nimmt das Seil auf und spielt ein Schleppseil, während eine große Menge zusieht.")</f>
        <v>Jede Zeile nimmt das Seil auf und spielt ein Schleppseil, während eine große Menge zusieht.</v>
      </c>
    </row>
    <row r="32504">
      <c r="A32504" s="4" t="s">
        <v>40917</v>
      </c>
      <c r="B32504" s="4" t="s">
        <v>40920</v>
      </c>
      <c r="C32504" s="5" t="str">
        <f>IFERROR(__xludf.DUMMYFUNCTION("GOOGLETRANSLATE(B32504,""en"",""de"")"),"Das Team mit hellblaue Hemden gewinnt die Runde.")</f>
        <v>Das Team mit hellblaue Hemden gewinnt die Runde.</v>
      </c>
    </row>
    <row r="32505">
      <c r="A32505" s="4" t="s">
        <v>40921</v>
      </c>
      <c r="B32505" s="4" t="s">
        <v>40922</v>
      </c>
      <c r="C32505" s="5" t="str">
        <f>IFERROR(__xludf.DUMMYFUNCTION("GOOGLETRANSLATE(B32505,""en"",""de"")"),"Ein weißer Intro -Bildschirm erscheint mit kleinen Kreisbildern eines Mannes oben links, einer Frau unten rechts und den Wörtern, die in der Mitte ""begeistert davon, intelligentes Training für vielbeschäftigte Frauen zu absolvieren"".")</f>
        <v>Ein weißer Intro -Bildschirm erscheint mit kleinen Kreisbildern eines Mannes oben links, einer Frau unten rechts und den Wörtern, die in der Mitte "begeistert davon, intelligentes Training für vielbeschäftigte Frauen zu absolvieren".</v>
      </c>
    </row>
    <row r="32506">
      <c r="A32506" s="4" t="s">
        <v>40921</v>
      </c>
      <c r="B32506" s="4" t="s">
        <v>40923</v>
      </c>
      <c r="C32506" s="5" t="str">
        <f>IFERROR(__xludf.DUMMYFUNCTION("GOOGLETRANSLATE(B32506,""en"",""de"")"),"Eine Frau, die einen Hut, eine Brille und ein langärmeliges, pinkfarbenes Oberteil trägt, steht vor einer Ziegelmauer und redet.")</f>
        <v>Eine Frau, die einen Hut, eine Brille und ein langärmeliges, pinkfarbenes Oberteil trägt, steht vor einer Ziegelmauer und redet.</v>
      </c>
    </row>
    <row r="32507">
      <c r="A32507" s="4" t="s">
        <v>40921</v>
      </c>
      <c r="B32507" s="4" t="s">
        <v>40924</v>
      </c>
      <c r="C32507" s="5" t="str">
        <f>IFERROR(__xludf.DUMMYFUNCTION("GOOGLETRANSLATE(B32507,""en"",""de"")"),"Die Frau steht jetzt hinter einem Tisch und steckt in einen Laufschuh zerknittert und füllt ihn so weit wie möglich.")</f>
        <v>Die Frau steht jetzt hinter einem Tisch und steckt in einen Laufschuh zerknittert und füllt ihn so weit wie möglich.</v>
      </c>
    </row>
    <row r="32508">
      <c r="A32508" s="4" t="s">
        <v>40921</v>
      </c>
      <c r="B32508" s="4" t="s">
        <v>40925</v>
      </c>
      <c r="C32508" s="5" t="str">
        <f>IFERROR(__xludf.DUMMYFUNCTION("GOOGLETRANSLATE(B32508,""en"",""de"")"),"Die Frau schnappt sich dann eine rosa Sohle aus dem Schuh und gießt überall Backpulver.")</f>
        <v>Die Frau schnappt sich dann eine rosa Sohle aus dem Schuh und gießt überall Backpulver.</v>
      </c>
    </row>
    <row r="32509">
      <c r="A32509" s="4" t="s">
        <v>40921</v>
      </c>
      <c r="B32509" s="4" t="s">
        <v>40926</v>
      </c>
      <c r="C32509" s="5" t="str">
        <f>IFERROR(__xludf.DUMMYFUNCTION("GOOGLETRANSLATE(B32509,""en"",""de"")"),"Die Frau schnappt sich dann eine Zahnbürste und die Show, die sie gerade gestopft hat und bewegt, schrubbt es aber nicht wirklich, dann setzt sie sowohl die Zahnbürste als auch den Schuh außer Sichtweite.")</f>
        <v>Die Frau schnappt sich dann eine Zahnbürste und die Show, die sie gerade gestopft hat und bewegt, schrubbt es aber nicht wirklich, dann setzt sie sowohl die Zahnbürste als auch den Schuh außer Sichtweite.</v>
      </c>
    </row>
    <row r="32510">
      <c r="A32510" s="4" t="s">
        <v>40921</v>
      </c>
      <c r="B32510" s="4" t="s">
        <v>40927</v>
      </c>
      <c r="C32510" s="5" t="str">
        <f>IFERROR(__xludf.DUMMYFUNCTION("GOOGLETRANSLATE(B32510,""en"",""de"")"),"Die Frau schnappt sich ein weiteres Paar Schuhe, der rechte Schuh ist unlöser und der linke Schuh ist geschnürt und sie hält sie fest und legt sie ab.")</f>
        <v>Die Frau schnappt sich ein weiteres Paar Schuhe, der rechte Schuh ist unlöser und der linke Schuh ist geschnürt und sie hält sie fest und legt sie ab.</v>
      </c>
    </row>
    <row r="32511">
      <c r="A32511" s="4" t="s">
        <v>40928</v>
      </c>
      <c r="B32511" s="4" t="s">
        <v>40929</v>
      </c>
      <c r="C32511" s="5" t="str">
        <f>IFERROR(__xludf.DUMMYFUNCTION("GOOGLETRANSLATE(B32511,""en"",""de"")"),"Ein schwarzes Pferd steht in einem Stall mit mehreren gelben Dingen auf seinen Haaren.")</f>
        <v>Ein schwarzes Pferd steht in einem Stall mit mehreren gelben Dingen auf seinen Haaren.</v>
      </c>
    </row>
    <row r="32512">
      <c r="A32512" s="4" t="s">
        <v>40928</v>
      </c>
      <c r="B32512" s="4" t="s">
        <v>40930</v>
      </c>
      <c r="C32512" s="5" t="str">
        <f>IFERROR(__xludf.DUMMYFUNCTION("GOOGLETRANSLATE(B32512,""en"",""de"")"),"Eine Frau erscheint dann und rasiert alle Haare des Pferdes.")</f>
        <v>Eine Frau erscheint dann und rasiert alle Haare des Pferdes.</v>
      </c>
    </row>
    <row r="32513">
      <c r="A32513" s="4" t="s">
        <v>40928</v>
      </c>
      <c r="B32513" s="4" t="s">
        <v>40931</v>
      </c>
      <c r="C32513" s="5" t="str">
        <f>IFERROR(__xludf.DUMMYFUNCTION("GOOGLETRANSLATE(B32513,""en"",""de"")"),"Die Seite ist vollständig verschwunden und wenn sie sich von hinten bewegt, geht sie unter seinen Körper, um auch dieses Haar zu entfernen.")</f>
        <v>Die Seite ist vollständig verschwunden und wenn sie sich von hinten bewegt, geht sie unter seinen Körper, um auch dieses Haar zu entfernen.</v>
      </c>
    </row>
    <row r="32514">
      <c r="A32514" s="4" t="s">
        <v>40932</v>
      </c>
      <c r="B32514" s="4" t="s">
        <v>40933</v>
      </c>
      <c r="C32514" s="5" t="str">
        <f>IFERROR(__xludf.DUMMYFUNCTION("GOOGLETRANSLATE(B32514,""en"",""de"")"),"Ein Mann steht vor einem Fenster, der mit einer Kopfbedeckung zur Kamera spricht.")</f>
        <v>Ein Mann steht vor einem Fenster, der mit einer Kopfbedeckung zur Kamera spricht.</v>
      </c>
    </row>
    <row r="32515">
      <c r="A32515" s="4" t="s">
        <v>40932</v>
      </c>
      <c r="B32515" s="4" t="s">
        <v>40934</v>
      </c>
      <c r="C32515" s="5" t="str">
        <f>IFERROR(__xludf.DUMMYFUNCTION("GOOGLETRANSLATE(B32515,""en"",""de"")"),"Der Mann putzt dann an den Seiten des Fensters und zeigt zurück und vierten zum Fenster, während er mit der Kamera spricht.")</f>
        <v>Der Mann putzt dann an den Seiten des Fensters und zeigt zurück und vierten zum Fenster, während er mit der Kamera spricht.</v>
      </c>
    </row>
    <row r="32516">
      <c r="A32516" s="4" t="s">
        <v>40935</v>
      </c>
      <c r="B32516" s="4" t="s">
        <v>40936</v>
      </c>
      <c r="C32516" s="5" t="str">
        <f>IFERROR(__xludf.DUMMYFUNCTION("GOOGLETRANSLATE(B32516,""en"",""de"")"),"Ein Mann wird gezeigt, der mit der Kamera spricht und dann nach unten kniet und Teppich mit einem Werkzeug nach unten drückt.")</f>
        <v>Ein Mann wird gezeigt, der mit der Kamera spricht und dann nach unten kniet und Teppich mit einem Werkzeug nach unten drückt.</v>
      </c>
    </row>
    <row r="32517">
      <c r="A32517" s="4" t="s">
        <v>40935</v>
      </c>
      <c r="B32517" s="4" t="s">
        <v>40937</v>
      </c>
      <c r="C32517" s="5" t="str">
        <f>IFERROR(__xludf.DUMMYFUNCTION("GOOGLETRANSLATE(B32517,""en"",""de"")"),"Dann schraubt er die Treppe ein und kniete sich, während er immer noch mit der Kamera spricht.")</f>
        <v>Dann schraubt er die Treppe ein und kniete sich, während er immer noch mit der Kamera spricht.</v>
      </c>
    </row>
    <row r="32518">
      <c r="A32518" s="4" t="s">
        <v>40938</v>
      </c>
      <c r="B32518" s="4" t="s">
        <v>40939</v>
      </c>
      <c r="C32518" s="5" t="str">
        <f>IFERROR(__xludf.DUMMYFUNCTION("GOOGLETRANSLATE(B32518,""en"",""de"")"),"Eine Frau spricht und zeigt ihr langes französisches Geflecht.")</f>
        <v>Eine Frau spricht und zeigt ihr langes französisches Geflecht.</v>
      </c>
    </row>
    <row r="32519">
      <c r="A32519" s="4" t="s">
        <v>40938</v>
      </c>
      <c r="B32519" s="4" t="s">
        <v>40940</v>
      </c>
      <c r="C32519" s="5" t="str">
        <f>IFERROR(__xludf.DUMMYFUNCTION("GOOGLETRANSLATE(B32519,""en"",""de"")"),"Dann liegt die Frau auf dem Bett und streift ihre Haare am Bett des Bettes.")</f>
        <v>Dann liegt die Frau auf dem Bett und streift ihre Haare am Bett des Bettes.</v>
      </c>
    </row>
    <row r="32520">
      <c r="A32520" s="4" t="s">
        <v>40938</v>
      </c>
      <c r="B32520" s="4" t="s">
        <v>40941</v>
      </c>
      <c r="C32520" s="5" t="str">
        <f>IFERROR(__xludf.DUMMYFUNCTION("GOOGLETRANSLATE(B32520,""en"",""de"")"),"Dann nimmt die Frau ein Vorderhaarschloss und flechten Geflecht von den Seiten.")</f>
        <v>Dann nimmt die Frau ein Vorderhaarschloss und flechten Geflecht von den Seiten.</v>
      </c>
    </row>
    <row r="32521">
      <c r="A32521" s="4" t="s">
        <v>40938</v>
      </c>
      <c r="B32521" s="4" t="s">
        <v>40942</v>
      </c>
      <c r="C32521" s="5" t="str">
        <f>IFERROR(__xludf.DUMMYFUNCTION("GOOGLETRANSLATE(B32521,""en"",""de"")"),"Dann zeigt die Frau das Geflecht, während sie weiter spricht.")</f>
        <v>Dann zeigt die Frau das Geflecht, während sie weiter spricht.</v>
      </c>
    </row>
    <row r="32522">
      <c r="A32522" s="4" t="s">
        <v>40943</v>
      </c>
      <c r="B32522" s="4" t="s">
        <v>40944</v>
      </c>
      <c r="C32522" s="5" t="str">
        <f>IFERROR(__xludf.DUMMYFUNCTION("GOOGLETRANSLATE(B32522,""en"",""de"")"),"Es gibt einen Taucher, der an einer Veranstaltung in einem großen Stadion in vielen Zuschauern teilnimmt.")</f>
        <v>Es gibt einen Taucher, der an einer Veranstaltung in einem großen Stadion in vielen Zuschauern teilnimmt.</v>
      </c>
    </row>
    <row r="32523">
      <c r="A32523" s="4" t="s">
        <v>40943</v>
      </c>
      <c r="B32523" s="4" t="s">
        <v>40945</v>
      </c>
      <c r="C32523" s="5" t="str">
        <f>IFERROR(__xludf.DUMMYFUNCTION("GOOGLETRANSLATE(B32523,""en"",""de"")"),"Er springt vom Armaturenbrett und taucht in den tiefen Schwimmbad.")</f>
        <v>Er springt vom Armaturenbrett und taucht in den tiefen Schwimmbad.</v>
      </c>
    </row>
    <row r="32524">
      <c r="A32524" s="4" t="s">
        <v>40943</v>
      </c>
      <c r="B32524" s="4" t="s">
        <v>40946</v>
      </c>
      <c r="C32524" s="5" t="str">
        <f>IFERROR(__xludf.DUMMYFUNCTION("GOOGLETRANSLATE(B32524,""en"",""de"")"),"Beim Tauchen stößt er versehentlich den Kopf auf das Tauchbrett und verletzt sich selbst.")</f>
        <v>Beim Tauchen stößt er versehentlich den Kopf auf das Tauchbrett und verletzt sich selbst.</v>
      </c>
    </row>
    <row r="32525">
      <c r="A32525" s="4" t="s">
        <v>40943</v>
      </c>
      <c r="B32525" s="4" t="s">
        <v>40947</v>
      </c>
      <c r="C32525" s="5" t="str">
        <f>IFERROR(__xludf.DUMMYFUNCTION("GOOGLETRANSLATE(B32525,""en"",""de"")"),"Er drückt Schmerzen aus, als er aus dem Pool steigt und sein Trainer kommt, um ihm zu helfen.")</f>
        <v>Er drückt Schmerzen aus, als er aus dem Pool steigt und sein Trainer kommt, um ihm zu helfen.</v>
      </c>
    </row>
    <row r="32526">
      <c r="A32526" s="4" t="s">
        <v>40943</v>
      </c>
      <c r="B32526" s="4" t="s">
        <v>40948</v>
      </c>
      <c r="C32526" s="5" t="str">
        <f>IFERROR(__xludf.DUMMYFUNCTION("GOOGLETRANSLATE(B32526,""en"",""de"")"),"Beim zweiten Mal, wenn der Taucher taucht, schafft er es, es ohne Verletzungen erfolgreich in den Schwimmbad zu schaffen.")</f>
        <v>Beim zweiten Mal, wenn der Taucher taucht, schafft er es, es ohne Verletzungen erfolgreich in den Schwimmbad zu schaffen.</v>
      </c>
    </row>
    <row r="32527">
      <c r="A32527" s="4" t="s">
        <v>40943</v>
      </c>
      <c r="B32527" s="4" t="s">
        <v>40949</v>
      </c>
      <c r="C32527" s="5" t="str">
        <f>IFERROR(__xludf.DUMMYFUNCTION("GOOGLETRANSLATE(B32527,""en"",""de"")"),"Ein weiteres historisches Tauchereignis wird gezeigt, bei dem der Taucher versehentlich seinen Kopf auf dem Tauchbrett verletzt, während er in den Pool taucht.")</f>
        <v>Ein weiteres historisches Tauchereignis wird gezeigt, bei dem der Taucher versehentlich seinen Kopf auf dem Tauchbrett verletzt, während er in den Pool taucht.</v>
      </c>
    </row>
    <row r="32528">
      <c r="A32528" s="4" t="s">
        <v>40950</v>
      </c>
      <c r="B32528" s="4" t="s">
        <v>40951</v>
      </c>
      <c r="C32528" s="5" t="str">
        <f>IFERROR(__xludf.DUMMYFUNCTION("GOOGLETRANSLATE(B32528,""en"",""de"")"),"Eine kleine Gruppe von Menschen steht in einer eingezäunten Gegend mit einem Mann auf einem Pferd.")</f>
        <v>Eine kleine Gruppe von Menschen steht in einer eingezäunten Gegend mit einem Mann auf einem Pferd.</v>
      </c>
    </row>
    <row r="32529">
      <c r="A32529" s="4" t="s">
        <v>40950</v>
      </c>
      <c r="B32529" s="4" t="s">
        <v>40952</v>
      </c>
      <c r="C32529" s="5" t="str">
        <f>IFERROR(__xludf.DUMMYFUNCTION("GOOGLETRANSLATE(B32529,""en"",""de"")"),"Der Mann reitet in die Grube und jagt ein Kalb mit einem Seil.")</f>
        <v>Der Mann reitet in die Grube und jagt ein Kalb mit einem Seil.</v>
      </c>
    </row>
    <row r="32530">
      <c r="A32530" s="4" t="s">
        <v>40950</v>
      </c>
      <c r="B32530" s="4" t="s">
        <v>40953</v>
      </c>
      <c r="C32530" s="5" t="str">
        <f>IFERROR(__xludf.DUMMYFUNCTION("GOOGLETRANSLATE(B32530,""en"",""de"")"),"Der Mann fesselt das Kalb, nachdem er gefangen ist und auf das Pferd zurückgiegt, während ein anderer das Kalb löst.")</f>
        <v>Der Mann fesselt das Kalb, nachdem er gefangen ist und auf das Pferd zurückgiegt, während ein anderer das Kalb löst.</v>
      </c>
    </row>
    <row r="32531">
      <c r="A32531" s="4" t="s">
        <v>40954</v>
      </c>
      <c r="B32531" s="4" t="s">
        <v>40955</v>
      </c>
      <c r="C32531" s="5" t="str">
        <f>IFERROR(__xludf.DUMMYFUNCTION("GOOGLETRANSLATE(B32531,""en"",""de"")"),"Es gibt Kinder, die in Trampolinen hüpfen.")</f>
        <v>Es gibt Kinder, die in Trampolinen hüpfen.</v>
      </c>
    </row>
    <row r="32532">
      <c r="A32532" s="4" t="s">
        <v>40954</v>
      </c>
      <c r="B32532" s="4" t="s">
        <v>40956</v>
      </c>
      <c r="C32532" s="5" t="str">
        <f>IFERROR(__xludf.DUMMYFUNCTION("GOOGLETRANSLATE(B32532,""en"",""de"")"),"Mehrere Kinder springen auf und ab.")</f>
        <v>Mehrere Kinder springen auf und ab.</v>
      </c>
    </row>
    <row r="32533">
      <c r="A32533" s="4" t="s">
        <v>40954</v>
      </c>
      <c r="B32533" s="4" t="s">
        <v>40957</v>
      </c>
      <c r="C32533" s="5" t="str">
        <f>IFERROR(__xludf.DUMMYFUNCTION("GOOGLETRANSLATE(B32533,""en"",""de"")"),"Die Kamera ist sehr wackelig.")</f>
        <v>Die Kamera ist sehr wackelig.</v>
      </c>
    </row>
    <row r="32534">
      <c r="A32534" s="4" t="s">
        <v>40958</v>
      </c>
      <c r="B32534" s="4" t="s">
        <v>27352</v>
      </c>
      <c r="C32534" s="5" t="str">
        <f>IFERROR(__xludf.DUMMYFUNCTION("GOOGLETRANSLATE(B32534,""en"",""de"")"),"Kinder sitzen in Stoßfänger.")</f>
        <v>Kinder sitzen in Stoßfänger.</v>
      </c>
    </row>
    <row r="32535">
      <c r="A32535" s="4" t="s">
        <v>40958</v>
      </c>
      <c r="B32535" s="4" t="s">
        <v>40959</v>
      </c>
      <c r="C32535" s="5" t="str">
        <f>IFERROR(__xludf.DUMMYFUNCTION("GOOGLETRANSLATE(B32535,""en"",""de"")"),"Sie beginnen zu gehen und stoßen gegeneinander.")</f>
        <v>Sie beginnen zu gehen und stoßen gegeneinander.</v>
      </c>
    </row>
    <row r="32536">
      <c r="A32536" s="4" t="s">
        <v>40958</v>
      </c>
      <c r="B32536" s="4" t="s">
        <v>40960</v>
      </c>
      <c r="C32536" s="5" t="str">
        <f>IFERROR(__xludf.DUMMYFUNCTION("GOOGLETRANSLATE(B32536,""en"",""de"")"),"Die Leute stehen hinter dem Tor und beobachten sie.")</f>
        <v>Die Leute stehen hinter dem Tor und beobachten sie.</v>
      </c>
    </row>
    <row r="32537">
      <c r="A32537" s="4" t="s">
        <v>40958</v>
      </c>
      <c r="B32537" s="4" t="s">
        <v>40961</v>
      </c>
      <c r="C32537" s="5" t="str">
        <f>IFERROR(__xludf.DUMMYFUNCTION("GOOGLETRANSLATE(B32537,""en"",""de"")"),"Ein Mann in einem blauen Hemd geht vor ihnen.")</f>
        <v>Ein Mann in einem blauen Hemd geht vor ihnen.</v>
      </c>
    </row>
    <row r="32538">
      <c r="A32538" s="4" t="s">
        <v>40962</v>
      </c>
      <c r="B32538" s="4" t="s">
        <v>40963</v>
      </c>
      <c r="C32538" s="5" t="str">
        <f>IFERROR(__xludf.DUMMYFUNCTION("GOOGLETRANSLATE(B32538,""en"",""de"")"),"Ein Intro, das ein blauer Bildschirm mit weißen Wörtern ist, auf denen ""Megazip Sentosa Dot Singapore Dot November 2010"" lautet, erscheint auf dem Bildschirm.")</f>
        <v>Ein Intro, das ein blauer Bildschirm mit weißen Wörtern ist, auf denen "Megazip Sentosa Dot Singapore Dot November 2010" lautet, erscheint auf dem Bildschirm.</v>
      </c>
    </row>
    <row r="32539">
      <c r="A32539" s="4" t="s">
        <v>40962</v>
      </c>
      <c r="B32539" s="4" t="s">
        <v>40964</v>
      </c>
      <c r="C32539" s="5" t="str">
        <f>IFERROR(__xludf.DUMMYFUNCTION("GOOGLETRANSLATE(B32539,""en"",""de"")"),"Vier Personen erscheinen in der Nähe eines Geländers, wo sie alle an Gurten befestigt sind.")</f>
        <v>Vier Personen erscheinen in der Nähe eines Geländers, wo sie alle an Gurten befestigt sind.</v>
      </c>
    </row>
    <row r="32540">
      <c r="A32540" s="4" t="s">
        <v>40962</v>
      </c>
      <c r="B32540" s="4" t="s">
        <v>40965</v>
      </c>
      <c r="C32540" s="5" t="str">
        <f>IFERROR(__xludf.DUMMYFUNCTION("GOOGLETRANSLATE(B32540,""en"",""de"")"),"Ein Mann legt seine Hand auf die Schulter der Frau und führt sie zur Öffnung, wo sie gehen soll, aber ein blauer Bildschirm erscheint mit den weißen Worten ""Ja"", dann geht es zurück zu der Frau, die sich zum Springen vorbereitet und sie die Knie biegt U"&amp;"nd ein blauer Bildschirm erscheint und sagt ""Nein"", und sie schüttelt ihren Kopf und Rücken weg.")</f>
        <v>Ein Mann legt seine Hand auf die Schulter der Frau und führt sie zur Öffnung, wo sie gehen soll, aber ein blauer Bildschirm erscheint mit den weißen Worten "Ja", dann geht es zurück zu der Frau, die sich zum Springen vorbereitet und sie die Knie biegt Und ein blauer Bildschirm erscheint und sagt "Nein", und sie schüttelt ihren Kopf und Rücken weg.</v>
      </c>
    </row>
    <row r="32541">
      <c r="A32541" s="4" t="s">
        <v>40962</v>
      </c>
      <c r="B32541" s="4" t="s">
        <v>40966</v>
      </c>
      <c r="C32541" s="5" t="str">
        <f>IFERROR(__xludf.DUMMYFUNCTION("GOOGLETRANSLATE(B32541,""en"",""de"")"),"Ein blauer Bildschirm erscheint wieder und es heißt ""OK vielleicht"" und die Frau macht sich wieder bereit, bei der Öffnung zu springen, und gleichzeitig ist auch der andere Mann, der am Geschirr befestigt ist, bereit zu gehen.")</f>
        <v>Ein blauer Bildschirm erscheint wieder und es heißt "OK vielleicht" und die Frau macht sich wieder bereit, bei der Öffnung zu springen, und gleichzeitig ist auch der andere Mann, der am Geschirr befestigt ist, bereit zu gehen.</v>
      </c>
    </row>
    <row r="32542">
      <c r="A32542" s="4" t="s">
        <v>40962</v>
      </c>
      <c r="B32542" s="4" t="s">
        <v>40967</v>
      </c>
      <c r="C32542" s="5" t="str">
        <f>IFERROR(__xludf.DUMMYFUNCTION("GOOGLETRANSLATE(B32542,""en"",""de"")"),"Ein blauer Bildschirm scheint, dass Says ""Nein"" ist, aber die Frau und der Mann lassen los und sie gehen über den schweren Baumgrün -Wald unten und ein blauer Bildschirm erscheint wieder und Says ""Ich denke, sie hat ja gesagt?"".")</f>
        <v>Ein blauer Bildschirm scheint, dass Says "Nein" ist, aber die Frau und der Mann lassen los und sie gehen über den schweren Baumgrün -Wald unten und ein blauer Bildschirm erscheint wieder und Says "Ich denke, sie hat ja gesagt?".</v>
      </c>
    </row>
    <row r="32543">
      <c r="A32543" s="4" t="s">
        <v>40962</v>
      </c>
      <c r="B32543" s="4" t="s">
        <v>40968</v>
      </c>
      <c r="C32543" s="5" t="str">
        <f>IFERROR(__xludf.DUMMYFUNCTION("GOOGLETRANSLATE(B32543,""en"",""de"")"),"Eine neue Gruppe wird nun genutzt und sie werden gedreht, um die Reißverschluss in die Reißverschluss zu ziehen, und der Mann, der die Kamera hält sie und der Strand am Ende.")</f>
        <v>Eine neue Gruppe wird nun genutzt und sie werden gedreht, um die Reißverschluss in die Reißverschluss zu ziehen, und der Mann, der die Kamera hält sie und der Strand am Ende.</v>
      </c>
    </row>
    <row r="32544">
      <c r="A32544" s="4" t="s">
        <v>40962</v>
      </c>
      <c r="B32544" s="4" t="s">
        <v>40969</v>
      </c>
      <c r="C32544" s="5" t="str">
        <f>IFERROR(__xludf.DUMMYFUNCTION("GOOGLETRANSLATE(B32544,""en"",""de"")"),"Sie erreichen das Ende der Postleitlinie und der Arbeiter beginnt, sie zu dem Landungspunkt zu ziehen, an dem eine Nahaufnahme des Arbeiters erscheint, und er hat auch ein großes Lächeln im Gesicht, während andere Zip -Liner dort stehen und auch lächeln.")</f>
        <v>Sie erreichen das Ende der Postleitlinie und der Arbeiter beginnt, sie zu dem Landungspunkt zu ziehen, an dem eine Nahaufnahme des Arbeiters erscheint, und er hat auch ein großes Lächeln im Gesicht, während andere Zip -Liner dort stehen und auch lächeln.</v>
      </c>
    </row>
    <row r="32545">
      <c r="A32545" s="4" t="s">
        <v>40962</v>
      </c>
      <c r="B32545" s="4" t="s">
        <v>40970</v>
      </c>
      <c r="C32545" s="5" t="str">
        <f>IFERROR(__xludf.DUMMYFUNCTION("GOOGLETRANSLATE(B32545,""en"",""de"")"),"Die Ansicht ändert sich in der Bodenansicht und zeigt, wie die Zip -Liner aus dem Boden aussehen.")</f>
        <v>Die Ansicht ändert sich in der Bodenansicht und zeigt, wie die Zip -Liner aus dem Boden aussehen.</v>
      </c>
    </row>
    <row r="32546">
      <c r="A32546" s="4" t="s">
        <v>40962</v>
      </c>
      <c r="B32546" s="4" t="s">
        <v>40971</v>
      </c>
      <c r="C32546" s="5" t="str">
        <f>IFERROR(__xludf.DUMMYFUNCTION("GOOGLETRANSLATE(B32546,""en"",""de"")"),"Das blaue Outro erscheint und die Worte ""Sentosa Megazip November 2010 Das Ende"" werden angezeigt.")</f>
        <v>Das blaue Outro erscheint und die Worte "Sentosa Megazip November 2010 Das Ende" werden angezeigt.</v>
      </c>
    </row>
    <row r="32547">
      <c r="A32547" s="4" t="s">
        <v>40972</v>
      </c>
      <c r="B32547" s="4" t="s">
        <v>40973</v>
      </c>
      <c r="C32547" s="5" t="str">
        <f>IFERROR(__xludf.DUMMYFUNCTION("GOOGLETRANSLATE(B32547,""en"",""de"")"),"Ein junger Mann, der in einem roten Overall gekleidet ist, tanzt auf der Bühne.")</f>
        <v>Ein junger Mann, der in einem roten Overall gekleidet ist, tanzt auf der Bühne.</v>
      </c>
    </row>
    <row r="32548">
      <c r="A32548" s="4" t="s">
        <v>40972</v>
      </c>
      <c r="B32548" s="4" t="s">
        <v>40974</v>
      </c>
      <c r="C32548" s="5" t="str">
        <f>IFERROR(__xludf.DUMMYFUNCTION("GOOGLETRANSLATE(B32548,""en"",""de"")"),"Sobald er fertig ist, schwärmt ihn eine Gruppe von Jungs und sie zeigen alle auf einen anderen Jungen, damit er die Bühne betreten kann.")</f>
        <v>Sobald er fertig ist, schwärmt ihn eine Gruppe von Jungs und sie zeigen alle auf einen anderen Jungen, damit er die Bühne betreten kann.</v>
      </c>
    </row>
    <row r="32549">
      <c r="A32549" s="4" t="s">
        <v>40972</v>
      </c>
      <c r="B32549" s="4" t="s">
        <v>40975</v>
      </c>
      <c r="C32549" s="5" t="str">
        <f>IFERROR(__xludf.DUMMYFUNCTION("GOOGLETRANSLATE(B32549,""en"",""de"")"),"Der Junge kommt mit und fängt an zu flippen und eine Variation des Roboters zu machen.")</f>
        <v>Der Junge kommt mit und fängt an zu flippen und eine Variation des Roboters zu machen.</v>
      </c>
    </row>
    <row r="32550">
      <c r="A32550" s="4" t="s">
        <v>40972</v>
      </c>
      <c r="B32550" s="4" t="s">
        <v>40976</v>
      </c>
      <c r="C32550" s="5" t="str">
        <f>IFERROR(__xludf.DUMMYFUNCTION("GOOGLETRANSLATE(B32550,""en"",""de"")"),"Alle Männer hinter ihm werden dann zu seinen Hintergrundtänzern, während der Junge ein Mikrofon nimmt und beginnt zu singen.")</f>
        <v>Alle Männer hinter ihm werden dann zu seinen Hintergrundtänzern, während der Junge ein Mikrofon nimmt und beginnt zu singen.</v>
      </c>
    </row>
    <row r="32551">
      <c r="A32551" s="4" t="s">
        <v>40977</v>
      </c>
      <c r="B32551" s="4" t="s">
        <v>40978</v>
      </c>
      <c r="C32551" s="5" t="str">
        <f>IFERROR(__xludf.DUMMYFUNCTION("GOOGLETRANSLATE(B32551,""en"",""de"")"),"Wir sehen die Titelkarten auf Blue.")</f>
        <v>Wir sehen die Titelkarten auf Blue.</v>
      </c>
    </row>
    <row r="32552">
      <c r="A32552" s="4" t="s">
        <v>40977</v>
      </c>
      <c r="B32552" s="4" t="s">
        <v>40979</v>
      </c>
      <c r="C32552" s="5" t="str">
        <f>IFERROR(__xludf.DUMMYFUNCTION("GOOGLETRANSLATE(B32552,""en"",""de"")"),"Wir sehen Männer, die Strandvolleyball spielen.")</f>
        <v>Wir sehen Männer, die Strandvolleyball spielen.</v>
      </c>
    </row>
    <row r="32553">
      <c r="A32553" s="4" t="s">
        <v>40977</v>
      </c>
      <c r="B32553" s="4" t="s">
        <v>40980</v>
      </c>
      <c r="C32553" s="5" t="str">
        <f>IFERROR(__xludf.DUMMYFUNCTION("GOOGLETRANSLATE(B32553,""en"",""de"")"),"Wir sehen ein Interview mit einem Mann.")</f>
        <v>Wir sehen ein Interview mit einem Mann.</v>
      </c>
    </row>
    <row r="32554">
      <c r="A32554" s="4" t="s">
        <v>40977</v>
      </c>
      <c r="B32554" s="4" t="s">
        <v>40981</v>
      </c>
      <c r="C32554" s="5" t="str">
        <f>IFERROR(__xludf.DUMMYFUNCTION("GOOGLETRANSLATE(B32554,""en"",""de"")"),"Zwei Männer hohe fünf gegenseitig die Männer alle handeln.")</f>
        <v>Zwei Männer hohe fünf gegenseitig die Männer alle handeln.</v>
      </c>
    </row>
    <row r="32555">
      <c r="A32555" s="4" t="s">
        <v>40977</v>
      </c>
      <c r="B32555" s="4" t="s">
        <v>40982</v>
      </c>
      <c r="C32555" s="5" t="str">
        <f>IFERROR(__xludf.DUMMYFUNCTION("GOOGLETRANSLATE(B32555,""en"",""de"")"),"Der Ball landet auf dem Boden.")</f>
        <v>Der Ball landet auf dem Boden.</v>
      </c>
    </row>
    <row r="32556">
      <c r="A32556" s="4" t="s">
        <v>40977</v>
      </c>
      <c r="B32556" s="4" t="s">
        <v>40983</v>
      </c>
      <c r="C32556" s="5" t="str">
        <f>IFERROR(__xludf.DUMMYFUNCTION("GOOGLETRANSLATE(B32556,""en"",""de"")"),"Ein Mann tritt den Ball auf die andere Seite.")</f>
        <v>Ein Mann tritt den Ball auf die andere Seite.</v>
      </c>
    </row>
    <row r="32557">
      <c r="A32557" s="4" t="s">
        <v>40977</v>
      </c>
      <c r="B32557" s="4" t="s">
        <v>40984</v>
      </c>
      <c r="C32557" s="5" t="str">
        <f>IFERROR(__xludf.DUMMYFUNCTION("GOOGLETRANSLATE(B32557,""en"",""de"")"),"Ein Mann springt und dreht in die Luft.")</f>
        <v>Ein Mann springt und dreht in die Luft.</v>
      </c>
    </row>
    <row r="32558">
      <c r="A32558" s="4" t="s">
        <v>40977</v>
      </c>
      <c r="B32558" s="4" t="s">
        <v>40985</v>
      </c>
      <c r="C32558" s="5" t="str">
        <f>IFERROR(__xludf.DUMMYFUNCTION("GOOGLETRANSLATE(B32558,""en"",""de"")"),"Der Mann in grauen Tätern, als die anderen Männer herumspringen.")</f>
        <v>Der Mann in grauen Tätern, als die anderen Männer herumspringen.</v>
      </c>
    </row>
    <row r="32559">
      <c r="A32559" s="4" t="s">
        <v>40977</v>
      </c>
      <c r="B32559" s="4" t="s">
        <v>40986</v>
      </c>
      <c r="C32559" s="5" t="str">
        <f>IFERROR(__xludf.DUMMYFUNCTION("GOOGLETRANSLATE(B32559,""en"",""de"")"),"Die Männer posieren für ein Foto.")</f>
        <v>Die Männer posieren für ein Foto.</v>
      </c>
    </row>
    <row r="32560">
      <c r="A32560" s="4" t="s">
        <v>40977</v>
      </c>
      <c r="B32560" s="4" t="s">
        <v>40987</v>
      </c>
      <c r="C32560" s="5" t="str">
        <f>IFERROR(__xludf.DUMMYFUNCTION("GOOGLETRANSLATE(B32560,""en"",""de"")"),"Die Titelkarte wird angezeigt und wir verblassen.")</f>
        <v>Die Titelkarte wird angezeigt und wir verblassen.</v>
      </c>
    </row>
    <row r="32561">
      <c r="A32561" s="4" t="s">
        <v>40988</v>
      </c>
      <c r="B32561" s="4" t="s">
        <v>40989</v>
      </c>
      <c r="C32561" s="5" t="str">
        <f>IFERROR(__xludf.DUMMYFUNCTION("GOOGLETRANSLATE(B32561,""en"",""de"")"),"Ein Clip einer alten TV -Show wird gezeigt, dass eine Frau Geschirr spült und ein junges Mädchen in den Rahmen tritt.")</f>
        <v>Ein Clip einer alten TV -Show wird gezeigt, dass eine Frau Geschirr spült und ein junges Mädchen in den Rahmen tritt.</v>
      </c>
    </row>
    <row r="32562">
      <c r="A32562" s="4" t="s">
        <v>40988</v>
      </c>
      <c r="B32562" s="4" t="s">
        <v>40990</v>
      </c>
      <c r="C32562" s="5" t="str">
        <f>IFERROR(__xludf.DUMMYFUNCTION("GOOGLETRANSLATE(B32562,""en"",""de"")"),"Die Frau gibt dem Mädchen ein Glas Wasser und wird wieder in verschiedenen Winkeln gezeigt, wobei eine Frau mit der Wäsche von Kleidung endet.")</f>
        <v>Die Frau gibt dem Mädchen ein Glas Wasser und wird wieder in verschiedenen Winkeln gezeigt, wobei eine Frau mit der Wäsche von Kleidung endet.</v>
      </c>
    </row>
    <row r="32563">
      <c r="A32563" s="4" t="s">
        <v>40991</v>
      </c>
      <c r="B32563" s="4" t="s">
        <v>40992</v>
      </c>
      <c r="C32563" s="5" t="str">
        <f>IFERROR(__xludf.DUMMYFUNCTION("GOOGLETRANSLATE(B32563,""en"",""de"")"),"Ein kleines Kind steht auf dem Bürgersteig und schaut in die Ferne.")</f>
        <v>Ein kleines Kind steht auf dem Bürgersteig und schaut in die Ferne.</v>
      </c>
    </row>
    <row r="32564">
      <c r="A32564" s="4" t="s">
        <v>40991</v>
      </c>
      <c r="B32564" s="4" t="s">
        <v>40993</v>
      </c>
      <c r="C32564" s="5" t="str">
        <f>IFERROR(__xludf.DUMMYFUNCTION("GOOGLETRANSLATE(B32564,""en"",""de"")"),"Das Mädchen wirft dann den Rock und spielt ein Hopscotch -Spiel.")</f>
        <v>Das Mädchen wirft dann den Rock und spielt ein Hopscotch -Spiel.</v>
      </c>
    </row>
    <row r="32565">
      <c r="A32565" s="4" t="s">
        <v>40991</v>
      </c>
      <c r="B32565" s="4" t="s">
        <v>40994</v>
      </c>
      <c r="C32565" s="5" t="str">
        <f>IFERROR(__xludf.DUMMYFUNCTION("GOOGLETRANSLATE(B32565,""en"",""de"")"),"Sie wirft und hüpft mehrmals, während sie anhält, um in die Kamera zu schauen.")</f>
        <v>Sie wirft und hüpft mehrmals, während sie anhält, um in die Kamera zu schauen.</v>
      </c>
    </row>
    <row r="32566">
      <c r="A32566" s="4" t="s">
        <v>40995</v>
      </c>
      <c r="B32566" s="4" t="s">
        <v>40996</v>
      </c>
      <c r="C32566" s="5" t="str">
        <f>IFERROR(__xludf.DUMMYFUNCTION("GOOGLETRANSLATE(B32566,""en"",""de"")"),"Ein Fernsehsager klatscht auf ihre Beine, während sie singt und eine Show vorstellt.")</f>
        <v>Ein Fernsehsager klatscht auf ihre Beine, während sie singt und eine Show vorstellt.</v>
      </c>
    </row>
    <row r="32567">
      <c r="A32567" s="4" t="s">
        <v>40995</v>
      </c>
      <c r="B32567" s="4" t="s">
        <v>40997</v>
      </c>
      <c r="C32567" s="5" t="str">
        <f>IFERROR(__xludf.DUMMYFUNCTION("GOOGLETRANSLATE(B32567,""en"",""de"")"),"Eine Gruppe von Tänzern in farbenfrohen Kostümen führt einen Tanzakt mit Hula Hoops durch.")</f>
        <v>Eine Gruppe von Tänzern in farbenfrohen Kostümen führt einen Tanzakt mit Hula Hoops durch.</v>
      </c>
    </row>
    <row r="32568">
      <c r="A32568" s="4" t="s">
        <v>40995</v>
      </c>
      <c r="B32568" s="4" t="s">
        <v>40998</v>
      </c>
      <c r="C32568" s="5" t="str">
        <f>IFERROR(__xludf.DUMMYFUNCTION("GOOGLETRANSLATE(B32568,""en"",""de"")"),"Das Publikum wird gesehen und Mitglieder klatschen für die Gruppe.")</f>
        <v>Das Publikum wird gesehen und Mitglieder klatschen für die Gruppe.</v>
      </c>
    </row>
    <row r="32569">
      <c r="A32569" s="4" t="s">
        <v>40995</v>
      </c>
      <c r="B32569" s="4" t="s">
        <v>40999</v>
      </c>
      <c r="C32569" s="5" t="str">
        <f>IFERROR(__xludf.DUMMYFUNCTION("GOOGLETRANSLATE(B32569,""en"",""de"")"),"Die älteren Mitglieder der Gruppe halten Pole hoch, damit die Kinder tanzen können, von denen sie schwingen können.")</f>
        <v>Die älteren Mitglieder der Gruppe halten Pole hoch, damit die Kinder tanzen können, von denen sie schwingen können.</v>
      </c>
    </row>
    <row r="32570">
      <c r="A32570" s="4" t="s">
        <v>40995</v>
      </c>
      <c r="B32570" s="4" t="s">
        <v>41000</v>
      </c>
      <c r="C32570" s="5" t="str">
        <f>IFERROR(__xludf.DUMMYFUNCTION("GOOGLETRANSLATE(B32570,""en"",""de"")"),"Die Hula Hoop -Tänzer bekommen noch mehr Reifen für das Finale.")</f>
        <v>Die Hula Hoop -Tänzer bekommen noch mehr Reifen für das Finale.</v>
      </c>
    </row>
    <row r="32571">
      <c r="A32571" s="4" t="s">
        <v>40995</v>
      </c>
      <c r="B32571" s="4" t="s">
        <v>41001</v>
      </c>
      <c r="C32571" s="5" t="str">
        <f>IFERROR(__xludf.DUMMYFUNCTION("GOOGLETRANSLATE(B32571,""en"",""de"")"),"Konfetti regnet von der Luft auf die Darsteller.")</f>
        <v>Konfetti regnet von der Luft auf die Darsteller.</v>
      </c>
    </row>
    <row r="32572">
      <c r="A32572" s="4" t="s">
        <v>40995</v>
      </c>
      <c r="B32572" s="4" t="s">
        <v>41002</v>
      </c>
      <c r="C32572" s="5" t="str">
        <f>IFERROR(__xludf.DUMMYFUNCTION("GOOGLETRANSLATE(B32572,""en"",""de"")"),"Der Ansager steht auf und klatscht für die Gruppe.")</f>
        <v>Der Ansager steht auf und klatscht für die Gruppe.</v>
      </c>
    </row>
    <row r="32573">
      <c r="A32573" s="4" t="s">
        <v>41003</v>
      </c>
      <c r="B32573" s="4" t="s">
        <v>41004</v>
      </c>
      <c r="C32573" s="5" t="str">
        <f>IFERROR(__xludf.DUMMYFUNCTION("GOOGLETRANSLATE(B32573,""en"",""de"")"),"Ein Mann sitzt mit Scheren, die in einem Rosengarten in der Hand ruhen.")</f>
        <v>Ein Mann sitzt mit Scheren, die in einem Rosengarten in der Hand ruhen.</v>
      </c>
    </row>
    <row r="32574">
      <c r="A32574" s="4" t="s">
        <v>41003</v>
      </c>
      <c r="B32574" s="4" t="s">
        <v>41005</v>
      </c>
      <c r="C32574" s="5" t="str">
        <f>IFERROR(__xludf.DUMMYFUNCTION("GOOGLETRANSLATE(B32574,""en"",""de"")"),"Der Mann steckt tote Rosen aus einem Rosenbusch mit Scheren.")</f>
        <v>Der Mann steckt tote Rosen aus einem Rosenbusch mit Scheren.</v>
      </c>
    </row>
    <row r="32575">
      <c r="A32575" s="4" t="s">
        <v>41003</v>
      </c>
      <c r="B32575" s="4" t="s">
        <v>41006</v>
      </c>
      <c r="C32575" s="5" t="str">
        <f>IFERROR(__xludf.DUMMYFUNCTION("GOOGLETRANSLATE(B32575,""en"",""de"")"),"Der Mann steckt ganze Zweige in der Nähe der Basis der Rosenbüsche.")</f>
        <v>Der Mann steckt ganze Zweige in der Nähe der Basis der Rosenbüsche.</v>
      </c>
    </row>
    <row r="32576">
      <c r="A32576" s="4" t="s">
        <v>41003</v>
      </c>
      <c r="B32576" s="4" t="s">
        <v>41007</v>
      </c>
      <c r="C32576" s="5" t="str">
        <f>IFERROR(__xludf.DUMMYFUNCTION("GOOGLETRANSLATE(B32576,""en"",""de"")"),"Sterbende Rosenbusch hinterlässt eine aus der Nähe.")</f>
        <v>Sterbende Rosenbusch hinterlässt eine aus der Nähe.</v>
      </c>
    </row>
    <row r="32577">
      <c r="A32577" s="4" t="s">
        <v>41003</v>
      </c>
      <c r="B32577" s="4" t="s">
        <v>41008</v>
      </c>
      <c r="C32577" s="5" t="str">
        <f>IFERROR(__xludf.DUMMYFUNCTION("GOOGLETRANSLATE(B32577,""en"",""de"")"),"Gesunde Rosenbuschblätter sind aus der Nähe zu sehen.")</f>
        <v>Gesunde Rosenbuschblätter sind aus der Nähe zu sehen.</v>
      </c>
    </row>
    <row r="32578">
      <c r="A32578" s="4" t="s">
        <v>41009</v>
      </c>
      <c r="B32578" s="4" t="s">
        <v>41010</v>
      </c>
      <c r="C32578" s="5" t="str">
        <f>IFERROR(__xludf.DUMMYFUNCTION("GOOGLETRANSLATE(B32578,""en"",""de"")"),"Es werden mehrere Bilder von einer Frau gezeigt, die sowohl alleine als auch mit Freunden steht.")</f>
        <v>Es werden mehrere Bilder von einer Frau gezeigt, die sowohl alleine als auch mit Freunden steht.</v>
      </c>
    </row>
    <row r="32579">
      <c r="A32579" s="4" t="s">
        <v>41009</v>
      </c>
      <c r="B32579" s="4" t="s">
        <v>41011</v>
      </c>
      <c r="C32579" s="5" t="str">
        <f>IFERROR(__xludf.DUMMYFUNCTION("GOOGLETRANSLATE(B32579,""en"",""de"")"),"Anschließend wird Videomaterial gezeigt, wie sie neben einer großen Gruppe von Menschen läuft, während viele an den Seiten zuschauen.")</f>
        <v>Anschließend wird Videomaterial gezeigt, wie sie neben einer großen Gruppe von Menschen läuft, während viele an den Seiten zuschauen.</v>
      </c>
    </row>
    <row r="32580">
      <c r="A32580" s="4" t="s">
        <v>41009</v>
      </c>
      <c r="B32580" s="4" t="s">
        <v>41012</v>
      </c>
      <c r="C32580" s="5" t="str">
        <f>IFERROR(__xludf.DUMMYFUNCTION("GOOGLETRANSLATE(B32580,""en"",""de"")"),"Es werden mehr Bilder von ihr gezeigt, das das Rennen und andere beendet hat.")</f>
        <v>Es werden mehr Bilder von ihr gezeigt, das das Rennen und andere beendet hat.</v>
      </c>
    </row>
    <row r="32581">
      <c r="A32581" s="4" t="s">
        <v>41013</v>
      </c>
      <c r="B32581" s="4" t="s">
        <v>41014</v>
      </c>
      <c r="C32581" s="5" t="str">
        <f>IFERROR(__xludf.DUMMYFUNCTION("GOOGLETRANSLATE(B32581,""en"",""de"")"),"Ein Mann mit einem Saxaphon um seinen Hals spricht in einem schwachen Raum mit der Kamera.")</f>
        <v>Ein Mann mit einem Saxaphon um seinen Hals spricht in einem schwachen Raum mit der Kamera.</v>
      </c>
    </row>
    <row r="32582">
      <c r="A32582" s="4" t="s">
        <v>41013</v>
      </c>
      <c r="B32582" s="4" t="s">
        <v>41015</v>
      </c>
      <c r="C32582" s="5" t="str">
        <f>IFERROR(__xludf.DUMMYFUNCTION("GOOGLETRANSLATE(B32582,""en"",""de"")"),"Die Kamera ändert sich wie ein Box, der sich dreht.")</f>
        <v>Die Kamera ändert sich wie ein Box, der sich dreht.</v>
      </c>
    </row>
    <row r="32583">
      <c r="A32583" s="4" t="s">
        <v>41013</v>
      </c>
      <c r="B32583" s="4" t="s">
        <v>41016</v>
      </c>
      <c r="C32583" s="5" t="str">
        <f>IFERROR(__xludf.DUMMYFUNCTION("GOOGLETRANSLATE(B32583,""en"",""de"")"),"Der Mann sieht sich um, dann spielt er sein Saxophon.")</f>
        <v>Der Mann sieht sich um, dann spielt er sein Saxophon.</v>
      </c>
    </row>
    <row r="32584">
      <c r="A32584" s="4" t="s">
        <v>41013</v>
      </c>
      <c r="B32584" s="4" t="s">
        <v>41017</v>
      </c>
      <c r="C32584" s="5" t="str">
        <f>IFERROR(__xludf.DUMMYFUNCTION("GOOGLETRANSLATE(B32584,""en"",""de"")"),"Eine Website Eine Person der Bildschirm in der unteren linken Ecke und der Bildschirm verblassen.")</f>
        <v>Eine Website Eine Person der Bildschirm in der unteren linken Ecke und der Bildschirm verblassen.</v>
      </c>
    </row>
    <row r="32585">
      <c r="A32585" s="4" t="s">
        <v>41018</v>
      </c>
      <c r="B32585" s="4" t="s">
        <v>41019</v>
      </c>
      <c r="C32585" s="5" t="str">
        <f>IFERROR(__xludf.DUMMYFUNCTION("GOOGLETRANSLATE(B32585,""en"",""de"")"),"Die Vorderseite eines großen braunen Gebäudes mit Schnee vor ihm wird gezeigt.")</f>
        <v>Die Vorderseite eines großen braunen Gebäudes mit Schnee vor ihm wird gezeigt.</v>
      </c>
    </row>
    <row r="32586">
      <c r="A32586" s="4" t="s">
        <v>41018</v>
      </c>
      <c r="B32586" s="4" t="s">
        <v>41020</v>
      </c>
      <c r="C32586" s="5" t="str">
        <f>IFERROR(__xludf.DUMMYFUNCTION("GOOGLETRANSLATE(B32586,""en"",""de"")"),"Im Inneren befindet sich ein Tischtenpong -Tisch und zwei erwachsene Männer gehen aufeinander zu.")</f>
        <v>Im Inneren befindet sich ein Tischtenpong -Tisch und zwei erwachsene Männer gehen aufeinander zu.</v>
      </c>
    </row>
    <row r="32587">
      <c r="A32587" s="4" t="s">
        <v>41018</v>
      </c>
      <c r="B32587" s="4" t="s">
        <v>41021</v>
      </c>
      <c r="C32587" s="5" t="str">
        <f>IFERROR(__xludf.DUMMYFUNCTION("GOOGLETRANSLATE(B32587,""en"",""de"")"),"Sie beginnen dann mit Nonne-Chucks Ping Pong zu spielen und mit ihren Füßen den Ball zu schlagen.")</f>
        <v>Sie beginnen dann mit Nonne-Chucks Ping Pong zu spielen und mit ihren Füßen den Ball zu schlagen.</v>
      </c>
    </row>
    <row r="32588">
      <c r="A32588" s="4" t="s">
        <v>41018</v>
      </c>
      <c r="B32588" s="4" t="s">
        <v>41022</v>
      </c>
      <c r="C32588" s="5" t="str">
        <f>IFERROR(__xludf.DUMMYFUNCTION("GOOGLETRANSLATE(B32588,""en"",""de"")"),"Im Laufe des Spiels werden mehr Bälle hinzugefügt und sie spielen weiter, ohne einen Ball zu verpassen.")</f>
        <v>Im Laufe des Spiels werden mehr Bälle hinzugefügt und sie spielen weiter, ohne einen Ball zu verpassen.</v>
      </c>
    </row>
    <row r="32589">
      <c r="A32589" s="4" t="s">
        <v>41018</v>
      </c>
      <c r="B32589" s="4" t="s">
        <v>41023</v>
      </c>
      <c r="C32589" s="5" t="str">
        <f>IFERROR(__xludf.DUMMYFUNCTION("GOOGLETRANSLATE(B32589,""en"",""de"")"),"Das Spiel intensiviert und der Mann auf der rechten Seite verfehlt den Ball und der Mann gratuliert sich selbst.")</f>
        <v>Das Spiel intensiviert und der Mann auf der rechten Seite verfehlt den Ball und der Mann gratuliert sich selbst.</v>
      </c>
    </row>
    <row r="32590">
      <c r="A32590" s="4" t="s">
        <v>41024</v>
      </c>
      <c r="B32590" s="4" t="s">
        <v>41025</v>
      </c>
      <c r="C32590" s="5" t="str">
        <f>IFERROR(__xludf.DUMMYFUNCTION("GOOGLETRANSLATE(B32590,""en"",""de"")"),"Eine große Gruppe von Menschen ist gesehen, wie sie ein Feld herumläuft und ein Lacrosse -Spiel miteinander spielt.")</f>
        <v>Eine große Gruppe von Menschen ist gesehen, wie sie ein Feld herumläuft und ein Lacrosse -Spiel miteinander spielt.</v>
      </c>
    </row>
    <row r="32591">
      <c r="A32591" s="4" t="s">
        <v>41024</v>
      </c>
      <c r="B32591" s="4" t="s">
        <v>41026</v>
      </c>
      <c r="C32591" s="5" t="str">
        <f>IFERROR(__xludf.DUMMYFUNCTION("GOOGLETRANSLATE(B32591,""en"",""de"")"),"Die Spieler rennen das Feld auf und ab, während die Kamera ihre Bewegungen erfasst.")</f>
        <v>Die Spieler rennen das Feld auf und ab, während die Kamera ihre Bewegungen erfasst.</v>
      </c>
    </row>
    <row r="32592">
      <c r="A32592" s="4" t="s">
        <v>41024</v>
      </c>
      <c r="B32592" s="4" t="s">
        <v>41027</v>
      </c>
      <c r="C32592" s="5" t="str">
        <f>IFERROR(__xludf.DUMMYFUNCTION("GOOGLETRANSLATE(B32592,""en"",""de"")"),"Die Männer spielen weiterhin umeinander, während die Leute nebenbei zuschauen und sie anfeuern.")</f>
        <v>Die Männer spielen weiterhin umeinander, während die Leute nebenbei zuschauen und sie anfeuern.</v>
      </c>
    </row>
    <row r="32593">
      <c r="A32593" s="4" t="s">
        <v>41028</v>
      </c>
      <c r="B32593" s="4" t="s">
        <v>41029</v>
      </c>
      <c r="C32593" s="5" t="str">
        <f>IFERROR(__xludf.DUMMYFUNCTION("GOOGLETRANSLATE(B32593,""en"",""de"")"),"Ein Mann hebt mehrmals ein großes Gewicht über seinem Kopf.")</f>
        <v>Ein Mann hebt mehrmals ein großes Gewicht über seinem Kopf.</v>
      </c>
    </row>
    <row r="32594">
      <c r="A32594" s="4" t="s">
        <v>41028</v>
      </c>
      <c r="B32594" s="4" t="s">
        <v>41030</v>
      </c>
      <c r="C32594" s="5" t="str">
        <f>IFERROR(__xludf.DUMMYFUNCTION("GOOGLETRANSLATE(B32594,""en"",""de"")"),"Eine Frau geht vor ihm.")</f>
        <v>Eine Frau geht vor ihm.</v>
      </c>
    </row>
    <row r="32595">
      <c r="A32595" s="4" t="s">
        <v>41028</v>
      </c>
      <c r="B32595" s="4" t="s">
        <v>41031</v>
      </c>
      <c r="C32595" s="5" t="str">
        <f>IFERROR(__xludf.DUMMYFUNCTION("GOOGLETRANSLATE(B32595,""en"",""de"")"),"Ein Mann in einem schwarzen Hemd steht hinter ihm.")</f>
        <v>Ein Mann in einem schwarzen Hemd steht hinter ihm.</v>
      </c>
    </row>
    <row r="32596">
      <c r="A32596" s="4" t="s">
        <v>41028</v>
      </c>
      <c r="B32596" s="4" t="s">
        <v>33798</v>
      </c>
      <c r="C32596" s="5" t="str">
        <f>IFERROR(__xludf.DUMMYFUNCTION("GOOGLETRANSLATE(B32596,""en"",""de"")"),"Wörter kommen am Ende auf den Bildschirm.")</f>
        <v>Wörter kommen am Ende auf den Bildschirm.</v>
      </c>
    </row>
    <row r="32597">
      <c r="A32597" s="4" t="s">
        <v>41032</v>
      </c>
      <c r="B32597" s="4" t="s">
        <v>41033</v>
      </c>
      <c r="C32597" s="5" t="str">
        <f>IFERROR(__xludf.DUMMYFUNCTION("GOOGLETRANSLATE(B32597,""en"",""de"")"),"Eine beleuchtete Jack-O-Laterne fokussiert.")</f>
        <v>Eine beleuchtete Jack-O-Laterne fokussiert.</v>
      </c>
    </row>
    <row r="32598">
      <c r="A32598" s="4" t="s">
        <v>41032</v>
      </c>
      <c r="B32598" s="4" t="s">
        <v>41034</v>
      </c>
      <c r="C32598" s="5" t="str">
        <f>IFERROR(__xludf.DUMMYFUNCTION("GOOGLETRANSLATE(B32598,""en"",""de"")"),"Die Jack-O-Lantern bewegt sich in Richtung Kamera.")</f>
        <v>Die Jack-O-Lantern bewegt sich in Richtung Kamera.</v>
      </c>
    </row>
    <row r="32599">
      <c r="A32599" s="4" t="s">
        <v>41032</v>
      </c>
      <c r="B32599" s="4" t="s">
        <v>41035</v>
      </c>
      <c r="C32599" s="5" t="str">
        <f>IFERROR(__xludf.DUMMYFUNCTION("GOOGLETRANSLATE(B32599,""en"",""de"")"),"Eine junge Frau spricht sehr animiert vor einer weißen Wand.")</f>
        <v>Eine junge Frau spricht sehr animiert vor einer weißen Wand.</v>
      </c>
    </row>
    <row r="32600">
      <c r="A32600" s="4" t="s">
        <v>41032</v>
      </c>
      <c r="B32600" s="4" t="s">
        <v>41036</v>
      </c>
      <c r="C32600" s="5" t="str">
        <f>IFERROR(__xludf.DUMMYFUNCTION("GOOGLETRANSLATE(B32600,""en"",""de"")"),"Die Frau hält einen kleinen Kürbis in der Hand, während sie redet.")</f>
        <v>Die Frau hält einen kleinen Kürbis in der Hand, während sie redet.</v>
      </c>
    </row>
    <row r="32601">
      <c r="A32601" s="4" t="s">
        <v>41032</v>
      </c>
      <c r="B32601" s="4" t="s">
        <v>41037</v>
      </c>
      <c r="C32601" s="5" t="str">
        <f>IFERROR(__xludf.DUMMYFUNCTION("GOOGLETRANSLATE(B32601,""en"",""de"")"),"Die Frau hält ein Stück Papier mit einigen Aufklebern auf.")</f>
        <v>Die Frau hält ein Stück Papier mit einigen Aufklebern auf.</v>
      </c>
    </row>
    <row r="32602">
      <c r="A32602" s="4" t="s">
        <v>41032</v>
      </c>
      <c r="B32602" s="4" t="s">
        <v>41038</v>
      </c>
      <c r="C32602" s="5" t="str">
        <f>IFERROR(__xludf.DUMMYFUNCTION("GOOGLETRANSLATE(B32602,""en"",""de"")"),"Der Kürbis bewegt sich mit einer schwarzen Tischdecke auf einem Tisch.")</f>
        <v>Der Kürbis bewegt sich mit einer schwarzen Tischdecke auf einem Tisch.</v>
      </c>
    </row>
    <row r="32603">
      <c r="A32603" s="4" t="s">
        <v>41032</v>
      </c>
      <c r="B32603" s="4" t="s">
        <v>41039</v>
      </c>
      <c r="C32603" s="5" t="str">
        <f>IFERROR(__xludf.DUMMYFUNCTION("GOOGLETRANSLATE(B32603,""en"",""de"")"),"Der Kürbis dreht sich herum und zeigt einige Cartoon -Gesichter.")</f>
        <v>Der Kürbis dreht sich herum und zeigt einige Cartoon -Gesichter.</v>
      </c>
    </row>
    <row r="32604">
      <c r="A32604" s="4" t="s">
        <v>41032</v>
      </c>
      <c r="B32604" s="4" t="s">
        <v>41040</v>
      </c>
      <c r="C32604" s="5" t="str">
        <f>IFERROR(__xludf.DUMMYFUNCTION("GOOGLETRANSLATE(B32604,""en"",""de"")"),"Eine Animation eines Messers sticht den Kürbis und eine Katze läuft neben dem Tisch hin und her.")</f>
        <v>Eine Animation eines Messers sticht den Kürbis und eine Katze läuft neben dem Tisch hin und her.</v>
      </c>
    </row>
    <row r="32605">
      <c r="A32605" s="4" t="s">
        <v>41032</v>
      </c>
      <c r="B32605" s="4" t="s">
        <v>41041</v>
      </c>
      <c r="C32605" s="5" t="str">
        <f>IFERROR(__xludf.DUMMYFUNCTION("GOOGLETRANSLATE(B32605,""en"",""de"")"),"Der Kürbis wird durch andere Objekte nach dem anderen, einem Messer, einem Löffel, einer Kerze usw. ersetzt.")</f>
        <v>Der Kürbis wird durch andere Objekte nach dem anderen, einem Messer, einem Löffel, einer Kerze usw. ersetzt.</v>
      </c>
    </row>
    <row r="32606">
      <c r="A32606" s="4" t="s">
        <v>41032</v>
      </c>
      <c r="B32606" s="4" t="s">
        <v>41042</v>
      </c>
      <c r="C32606" s="5" t="str">
        <f>IFERROR(__xludf.DUMMYFUNCTION("GOOGLETRANSLATE(B32606,""en"",""de"")"),"Die Frau trägt einen Schnurrbart im Gesicht und zieht den kleinen Kürbis mit einem schwarzen Filzstift.")</f>
        <v>Die Frau trägt einen Schnurrbart im Gesicht und zieht den kleinen Kürbis mit einem schwarzen Filzstift.</v>
      </c>
    </row>
    <row r="32607">
      <c r="A32607" s="4" t="s">
        <v>41032</v>
      </c>
      <c r="B32607" s="4" t="s">
        <v>41043</v>
      </c>
      <c r="C32607" s="5" t="str">
        <f>IFERROR(__xludf.DUMMYFUNCTION("GOOGLETRANSLATE(B32607,""en"",""de"")"),"Die Frau hält ein Messer und beginnt, den Kürbis entlang der Linien zu schnitzen, die sie gezeichnet hat.")</f>
        <v>Die Frau hält ein Messer und beginnt, den Kürbis entlang der Linien zu schnitzen, die sie gezeichnet hat.</v>
      </c>
    </row>
    <row r="32608">
      <c r="A32608" s="4" t="s">
        <v>41032</v>
      </c>
      <c r="B32608" s="4" t="s">
        <v>41044</v>
      </c>
      <c r="C32608" s="5" t="str">
        <f>IFERROR(__xludf.DUMMYFUNCTION("GOOGLETRANSLATE(B32608,""en"",""de"")"),"Die Frau schaufelt die Kürbiskerne mit einem Löffel und steckt die Samen in einen Halloween -Pappbecher.")</f>
        <v>Die Frau schaufelt die Kürbiskerne mit einem Löffel und steckt die Samen in einen Halloween -Pappbecher.</v>
      </c>
    </row>
    <row r="32609">
      <c r="A32609" s="4" t="s">
        <v>41032</v>
      </c>
      <c r="B32609" s="4" t="s">
        <v>41045</v>
      </c>
      <c r="C32609" s="5" t="str">
        <f>IFERROR(__xludf.DUMMYFUNCTION("GOOGLETRANSLATE(B32609,""en"",""de"")"),"Die Frau schnitzt weiterhin das Gesicht des Kürbis, um ihn in eine Jack-O-Laterne zu verwandeln.")</f>
        <v>Die Frau schnitzt weiterhin das Gesicht des Kürbis, um ihn in eine Jack-O-Laterne zu verwandeln.</v>
      </c>
    </row>
    <row r="32610">
      <c r="A32610" s="4" t="s">
        <v>41032</v>
      </c>
      <c r="B32610" s="4" t="s">
        <v>41046</v>
      </c>
      <c r="C32610" s="5" t="str">
        <f>IFERROR(__xludf.DUMMYFUNCTION("GOOGLETRANSLATE(B32610,""en"",""de"")"),"Die Frau räumt das Gesicht der Jack-O-Lantern mit einem Handtuch auf und setzt das Oberteil mit dem Stiel zurück.")</f>
        <v>Die Frau räumt das Gesicht der Jack-O-Lantern mit einem Handtuch auf und setzt das Oberteil mit dem Stiel zurück.</v>
      </c>
    </row>
    <row r="32611">
      <c r="A32611" s="4" t="s">
        <v>41032</v>
      </c>
      <c r="B32611" s="4" t="s">
        <v>41047</v>
      </c>
      <c r="C32611" s="5" t="str">
        <f>IFERROR(__xludf.DUMMYFUNCTION("GOOGLETRANSLATE(B32611,""en"",""de"")"),"Die Frau legt die Kerze in die Jack-O-Laterne.")</f>
        <v>Die Frau legt die Kerze in die Jack-O-Laterne.</v>
      </c>
    </row>
    <row r="32612">
      <c r="A32612" s="4" t="s">
        <v>41032</v>
      </c>
      <c r="B32612" s="4" t="s">
        <v>41048</v>
      </c>
      <c r="C32612" s="5" t="str">
        <f>IFERROR(__xludf.DUMMYFUNCTION("GOOGLETRANSLATE(B32612,""en"",""de"")"),"Die Frau fällt auf ein Einwegheller.")</f>
        <v>Die Frau fällt auf ein Einwegheller.</v>
      </c>
    </row>
    <row r="32613">
      <c r="A32613" s="4" t="s">
        <v>41032</v>
      </c>
      <c r="B32613" s="4" t="s">
        <v>41049</v>
      </c>
      <c r="C32613" s="5" t="str">
        <f>IFERROR(__xludf.DUMMYFUNCTION("GOOGLETRANSLATE(B32613,""en"",""de"")"),"Die beleuchtete Jack-O-Lantern ist wieder auf dem schwarzen Tisch zu sehen.")</f>
        <v>Die beleuchtete Jack-O-Lantern ist wieder auf dem schwarzen Tisch zu sehen.</v>
      </c>
    </row>
    <row r="32614">
      <c r="A32614" s="4" t="s">
        <v>41032</v>
      </c>
      <c r="B32614" s="4" t="s">
        <v>41050</v>
      </c>
      <c r="C32614" s="5" t="str">
        <f>IFERROR(__xludf.DUMMYFUNCTION("GOOGLETRANSLATE(B32614,""en"",""de"")"),"Das Video endet und zeigt einen geteilten Bildschirm mit Samples aus drei anderen Videos, die die Frau gemacht hat, mit einer ""Abonnement"" -Taste in der Mitte.")</f>
        <v>Das Video endet und zeigt einen geteilten Bildschirm mit Samples aus drei anderen Videos, die die Frau gemacht hat, mit einer "Abonnement" -Taste in der Mitte.</v>
      </c>
    </row>
    <row r="32615">
      <c r="A32615" s="4" t="s">
        <v>41051</v>
      </c>
      <c r="B32615" s="4" t="s">
        <v>41052</v>
      </c>
      <c r="C32615" s="5" t="str">
        <f>IFERROR(__xludf.DUMMYFUNCTION("GOOGLETRANSLATE(B32615,""en"",""de"")"),"Der Mensch sitzt in einer Handwäsche und ein anderer Mann tritt in das Bademittel ein und beginnt ein Gespräch.")</f>
        <v>Der Mensch sitzt in einer Handwäsche und ein anderer Mann tritt in das Bademittel ein und beginnt ein Gespräch.</v>
      </c>
    </row>
    <row r="32616">
      <c r="A32616" s="4" t="s">
        <v>41051</v>
      </c>
      <c r="B32616" s="4" t="s">
        <v>41053</v>
      </c>
      <c r="C32616" s="5" t="str">
        <f>IFERROR(__xludf.DUMMYFUNCTION("GOOGLETRANSLATE(B32616,""en"",""de"")"),"Der Mensch verbreitet Zahnpasta in Zahnbürste und wäscht ihren Zahn.")</f>
        <v>Der Mensch verbreitet Zahnpasta in Zahnbürste und wäscht ihren Zahn.</v>
      </c>
    </row>
    <row r="32617">
      <c r="A32617" s="4" t="s">
        <v>41054</v>
      </c>
      <c r="B32617" s="4" t="s">
        <v>41055</v>
      </c>
      <c r="C32617" s="5" t="str">
        <f>IFERROR(__xludf.DUMMYFUNCTION("GOOGLETRANSLATE(B32617,""en"",""de"")"),"Ein Mann remt Blätter vom Hof ​​in einen Stapel und lässt sie in einen Metallmüll ab.")</f>
        <v>Ein Mann remt Blätter vom Hof ​​in einen Stapel und lässt sie in einen Metallmüll ab.</v>
      </c>
    </row>
    <row r="32618">
      <c r="A32618" s="4" t="s">
        <v>41054</v>
      </c>
      <c r="B32618" s="4" t="s">
        <v>41056</v>
      </c>
      <c r="C32618" s="5" t="str">
        <f>IFERROR(__xludf.DUMMYFUNCTION("GOOGLETRANSLATE(B32618,""en"",""de"")"),"Der Mann legt seine Werkzeuge in den Schuppen weg und trägt eine Tüte Blätter weg.")</f>
        <v>Der Mann legt seine Werkzeuge in den Schuppen weg und trägt eine Tüte Blätter weg.</v>
      </c>
    </row>
    <row r="32619">
      <c r="A32619" s="4" t="s">
        <v>41057</v>
      </c>
      <c r="B32619" s="4" t="s">
        <v>41058</v>
      </c>
      <c r="C32619" s="5" t="str">
        <f>IFERROR(__xludf.DUMMYFUNCTION("GOOGLETRANSLATE(B32619,""en"",""de"")"),"Eine Gruppe von Männern und Frauen in verschiedenen Altersgruppen arbeitet an elliptischen Trainingsmaschinen.")</f>
        <v>Eine Gruppe von Männern und Frauen in verschiedenen Altersgruppen arbeitet an elliptischen Trainingsmaschinen.</v>
      </c>
    </row>
    <row r="32620">
      <c r="A32620" s="4" t="s">
        <v>41057</v>
      </c>
      <c r="B32620" s="4" t="s">
        <v>41059</v>
      </c>
      <c r="C32620" s="5" t="str">
        <f>IFERROR(__xludf.DUMMYFUNCTION("GOOGLETRANSLATE(B32620,""en"",""de"")"),"Ein Mann, der nur Shorts trägt, wischt sich von seinem Braun Schweiß und lehnt sich an eine Wand.")</f>
        <v>Ein Mann, der nur Shorts trägt, wischt sich von seinem Braun Schweiß und lehnt sich an eine Wand.</v>
      </c>
    </row>
    <row r="32621">
      <c r="A32621" s="4" t="s">
        <v>41057</v>
      </c>
      <c r="B32621" s="4" t="s">
        <v>41060</v>
      </c>
      <c r="C32621" s="5" t="str">
        <f>IFERROR(__xludf.DUMMYFUNCTION("GOOGLETRANSLATE(B32621,""en"",""de"")"),"Ein Körper einer fitigen Frau in einem weißen Bikini zeigt sich als Frau und ein Mann in Work -Out -Kleidung scheinen auf elliptischen Maschinen zu trainieren.")</f>
        <v>Ein Körper einer fitigen Frau in einem weißen Bikini zeigt sich als Frau und ein Mann in Work -Out -Kleidung scheinen auf elliptischen Maschinen zu trainieren.</v>
      </c>
    </row>
    <row r="32622">
      <c r="A32622" s="4" t="s">
        <v>41057</v>
      </c>
      <c r="B32622" s="4" t="s">
        <v>41061</v>
      </c>
      <c r="C32622" s="5" t="str">
        <f>IFERROR(__xludf.DUMMYFUNCTION("GOOGLETRANSLATE(B32622,""en"",""de"")"),"Die Frau und der Mann erscheinen dann in vollem Casual -Kleidungsstück, bevor sie in der Work -Ausrüstung zu den elliptischen Maschinen zurückkehrten, wieder auf den elliptischen Maschinen zurück und vorwärts und präsentieren die Anpassungsprofile sowohl "&amp;"allein als auch auf der Maschine.")</f>
        <v>Die Frau und der Mann erscheinen dann in vollem Casual -Kleidungsstück, bevor sie in der Work -Ausrüstung zu den elliptischen Maschinen zurückkehrten, wieder auf den elliptischen Maschinen zurück und vorwärts und präsentieren die Anpassungsprofile sowohl allein als auch auf der Maschine.</v>
      </c>
    </row>
    <row r="32623">
      <c r="A32623" s="4" t="s">
        <v>41062</v>
      </c>
      <c r="B32623" s="4" t="s">
        <v>41063</v>
      </c>
      <c r="C32623" s="5" t="str">
        <f>IFERROR(__xludf.DUMMYFUNCTION("GOOGLETRANSLATE(B32623,""en"",""de"")"),"Eine Gruppe von Frauen in einem großen Studio trägt schwarz, sie sind in einer Formation, dann ist der Mann in schwarzer Weste und weißer Hosen in der Mitte gelaufen.")</f>
        <v>Eine Gruppe von Frauen in einem großen Studio trägt schwarz, sie sind in einer Formation, dann ist der Mann in schwarzer Weste und weißer Hosen in der Mitte gelaufen.</v>
      </c>
    </row>
    <row r="32624">
      <c r="A32624" s="4" t="s">
        <v>41062</v>
      </c>
      <c r="B32624" s="4" t="s">
        <v>41064</v>
      </c>
      <c r="C32624" s="5" t="str">
        <f>IFERROR(__xludf.DUMMYFUNCTION("GOOGLETRANSLATE(B32624,""en"",""de"")"),"Die Weibchen und der Mann begannen zu marschieren, tanzten dann, legten ihre Arme hoch, dann runter und dann gehen sie vorwärts, dann nach hinten, seitlich und bewegen ihre Arme Seite zur Seite, sie schütteln auch ihre Hüften und ihren Körper.")</f>
        <v>Die Weibchen und der Mann begannen zu marschieren, tanzten dann, legten ihre Arme hoch, dann runter und dann gehen sie vorwärts, dann nach hinten, seitlich und bewegen ihre Arme Seite zur Seite, sie schütteln auch ihre Hüften und ihren Körper.</v>
      </c>
    </row>
    <row r="32625">
      <c r="A32625" s="4" t="s">
        <v>41065</v>
      </c>
      <c r="B32625" s="4" t="s">
        <v>41066</v>
      </c>
      <c r="C32625" s="5" t="str">
        <f>IFERROR(__xludf.DUMMYFUNCTION("GOOGLETRANSLATE(B32625,""en"",""de"")"),"Mehrere Frauen sind draußen auf einer Bühne, die mehrere Übungen machen und als Gruppe trainieren.")</f>
        <v>Mehrere Frauen sind draußen auf einer Bühne, die mehrere Übungen machen und als Gruppe trainieren.</v>
      </c>
    </row>
    <row r="32626">
      <c r="A32626" s="4" t="s">
        <v>41065</v>
      </c>
      <c r="B32626" s="4" t="s">
        <v>41067</v>
      </c>
      <c r="C32626" s="5" t="str">
        <f>IFERROR(__xludf.DUMMYFUNCTION("GOOGLETRANSLATE(B32626,""en"",""de"")"),"Während sie weitergehen, beginnen mehrere Menschen an der Bühne zu gehen und ihnen zuschauen, wie sie auftreten.")</f>
        <v>Während sie weitergehen, beginnen mehrere Menschen an der Bühne zu gehen und ihnen zuschauen, wie sie auftreten.</v>
      </c>
    </row>
    <row r="32627">
      <c r="A32627" s="4" t="s">
        <v>41065</v>
      </c>
      <c r="B32627" s="4" t="s">
        <v>41068</v>
      </c>
      <c r="C32627" s="5" t="str">
        <f>IFERROR(__xludf.DUMMYFUNCTION("GOOGLETRANSLATE(B32627,""en"",""de"")"),"Die Ausbilder tanzen weiter und verstärken die anderen Teams, um zu tanzen, und sie enden, indem sie es zusammen abklicken.")</f>
        <v>Die Ausbilder tanzen weiter und verstärken die anderen Teams, um zu tanzen, und sie enden, indem sie es zusammen abklicken.</v>
      </c>
    </row>
    <row r="32628">
      <c r="A32628" s="4" t="s">
        <v>41069</v>
      </c>
      <c r="B32628" s="4" t="s">
        <v>41070</v>
      </c>
      <c r="C32628" s="5" t="str">
        <f>IFERROR(__xludf.DUMMYFUNCTION("GOOGLETRANSLATE(B32628,""en"",""de"")"),"Anweisung, wie Sie Ihre Haare flechten können.")</f>
        <v>Anweisung, wie Sie Ihre Haare flechten können.</v>
      </c>
    </row>
    <row r="32629">
      <c r="A32629" s="4" t="s">
        <v>41069</v>
      </c>
      <c r="B32629" s="4" t="s">
        <v>41071</v>
      </c>
      <c r="C32629" s="5" t="str">
        <f>IFERROR(__xludf.DUMMYFUNCTION("GOOGLETRANSLATE(B32629,""en"",""de"")"),"Ein Mädchen in einem grauen T-Shirt zeigt, wie Sie Ihre Haare flechten und einen Schritt-für-Schritt-Prozess zeigt.")</f>
        <v>Ein Mädchen in einem grauen T-Shirt zeigt, wie Sie Ihre Haare flechten und einen Schritt-für-Schritt-Prozess zeigt.</v>
      </c>
    </row>
    <row r="32630">
      <c r="A32630" s="4" t="s">
        <v>41069</v>
      </c>
      <c r="B32630" s="4" t="s">
        <v>41072</v>
      </c>
      <c r="C32630" s="5" t="str">
        <f>IFERROR(__xludf.DUMMYFUNCTION("GOOGLETRANSLATE(B32630,""en"",""de"")"),"Einige Tipps werden in gedruckter Form angezeigt.")</f>
        <v>Einige Tipps werden in gedruckter Form angezeigt.</v>
      </c>
    </row>
    <row r="32631">
      <c r="A32631" s="4" t="s">
        <v>41069</v>
      </c>
      <c r="B32631" s="4" t="s">
        <v>41073</v>
      </c>
      <c r="C32631" s="5" t="str">
        <f>IFERROR(__xludf.DUMMYFUNCTION("GOOGLETRANSLATE(B32631,""en"",""de"")"),"Der Friseur zeigt das fertige Produkt, während sich kleider in einer schwarzen Oberseite und einer Sonnenbrille.")</f>
        <v>Der Friseur zeigt das fertige Produkt, während sich kleider in einer schwarzen Oberseite und einer Sonnenbrille.</v>
      </c>
    </row>
    <row r="32632">
      <c r="A32632" s="4" t="s">
        <v>41074</v>
      </c>
      <c r="B32632" s="4" t="s">
        <v>41075</v>
      </c>
      <c r="C32632" s="5" t="str">
        <f>IFERROR(__xludf.DUMMYFUNCTION("GOOGLETRANSLATE(B32632,""en"",""de"")"),"Ein paar Leute versuchen, in einem Ozean zu surfen.")</f>
        <v>Ein paar Leute versuchen, in einem Ozean zu surfen.</v>
      </c>
    </row>
    <row r="32633">
      <c r="A32633" s="4" t="s">
        <v>41074</v>
      </c>
      <c r="B32633" s="4" t="s">
        <v>41076</v>
      </c>
      <c r="C32633" s="5" t="str">
        <f>IFERROR(__xludf.DUMMYFUNCTION("GOOGLETRANSLATE(B32633,""en"",""de"")"),"Manchmal fallen sie, aber oft machen die Surfer einen tollen Job.")</f>
        <v>Manchmal fallen sie, aber oft machen die Surfer einen tollen Job.</v>
      </c>
    </row>
    <row r="32634">
      <c r="A32634" s="4" t="s">
        <v>41077</v>
      </c>
      <c r="B32634" s="4" t="s">
        <v>41078</v>
      </c>
      <c r="C32634" s="5" t="str">
        <f>IFERROR(__xludf.DUMMYFUNCTION("GOOGLETRANSLATE(B32634,""en"",""de"")"),"Ein Mann sitzt auf einem Friseurstuhl.")</f>
        <v>Ein Mann sitzt auf einem Friseurstuhl.</v>
      </c>
    </row>
    <row r="32635">
      <c r="A32635" s="4" t="s">
        <v>41077</v>
      </c>
      <c r="B32635" s="4" t="s">
        <v>41079</v>
      </c>
      <c r="C32635" s="5" t="str">
        <f>IFERROR(__xludf.DUMMYFUNCTION("GOOGLETRANSLATE(B32635,""en"",""de"")"),"Ein anderer Mann fängt an, die Seiten seines Kopfes zu rasieren.")</f>
        <v>Ein anderer Mann fängt an, die Seiten seines Kopfes zu rasieren.</v>
      </c>
    </row>
    <row r="32636">
      <c r="A32636" s="4" t="s">
        <v>41077</v>
      </c>
      <c r="B32636" s="4" t="s">
        <v>41080</v>
      </c>
      <c r="C32636" s="5" t="str">
        <f>IFERROR(__xludf.DUMMYFUNCTION("GOOGLETRANSLATE(B32636,""en"",""de"")"),"Er trocknet seine Haare und stilft es.")</f>
        <v>Er trocknet seine Haare und stilft es.</v>
      </c>
    </row>
    <row r="32637">
      <c r="A32637" s="4" t="s">
        <v>41077</v>
      </c>
      <c r="B32637" s="4" t="s">
        <v>41081</v>
      </c>
      <c r="C32637" s="5" t="str">
        <f>IFERROR(__xludf.DUMMYFUNCTION("GOOGLETRANSLATE(B32637,""en"",""de"")"),"Er steckt etwas Gel in die Haare.")</f>
        <v>Er steckt etwas Gel in die Haare.</v>
      </c>
    </row>
    <row r="32638">
      <c r="A32638" s="4" t="s">
        <v>41082</v>
      </c>
      <c r="B32638" s="4" t="s">
        <v>41083</v>
      </c>
      <c r="C32638" s="5" t="str">
        <f>IFERROR(__xludf.DUMMYFUNCTION("GOOGLETRANSLATE(B32638,""en"",""de"")"),"Eine Kamera schwenkt rund um einen See und Bäume und führt zu Menschen, die ein Seil mitziehen.")</f>
        <v>Eine Kamera schwenkt rund um einen See und Bäume und führt zu Menschen, die ein Seil mitziehen.</v>
      </c>
    </row>
    <row r="32639">
      <c r="A32639" s="4" t="s">
        <v>41082</v>
      </c>
      <c r="B32639" s="4" t="s">
        <v>41084</v>
      </c>
      <c r="C32639" s="5" t="str">
        <f>IFERROR(__xludf.DUMMYFUNCTION("GOOGLETRANSLATE(B32639,""en"",""de"")"),"Ein Mann verbindet das Seil und zeigt mehrere Klammern von Menschen, die sowohl am Seil hängen als auch laufen.")</f>
        <v>Ein Mann verbindet das Seil und zeigt mehrere Klammern von Menschen, die sowohl am Seil hängen als auch laufen.</v>
      </c>
    </row>
    <row r="32640">
      <c r="A32640" s="4" t="s">
        <v>41082</v>
      </c>
      <c r="B32640" s="4" t="s">
        <v>41085</v>
      </c>
      <c r="C32640" s="5" t="str">
        <f>IFERROR(__xludf.DUMMYFUNCTION("GOOGLETRANSLATE(B32640,""en"",""de"")"),"Weitere Clips werden von Menschen gezeigt, die entlang des Seils und mehr Landschaften gehen.")</f>
        <v>Weitere Clips werden von Menschen gezeigt, die entlang des Seils und mehr Landschaften gehen.</v>
      </c>
    </row>
    <row r="32641">
      <c r="A32641" s="4" t="s">
        <v>41086</v>
      </c>
      <c r="B32641" s="4" t="s">
        <v>41087</v>
      </c>
      <c r="C32641" s="5" t="str">
        <f>IFERROR(__xludf.DUMMYFUNCTION("GOOGLETRANSLATE(B32641,""en"",""de"")"),"Eine Dame spielt mit ihren Haaren.")</f>
        <v>Eine Dame spielt mit ihren Haaren.</v>
      </c>
    </row>
    <row r="32642">
      <c r="A32642" s="4" t="s">
        <v>41086</v>
      </c>
      <c r="B32642" s="4" t="s">
        <v>4828</v>
      </c>
      <c r="C32642" s="5" t="str">
        <f>IFERROR(__xludf.DUMMYFUNCTION("GOOGLETRANSLATE(B32642,""en"",""de"")"),"Die Dame streift ihre Haare.")</f>
        <v>Die Dame streift ihre Haare.</v>
      </c>
    </row>
    <row r="32643">
      <c r="A32643" s="4" t="s">
        <v>41086</v>
      </c>
      <c r="B32643" s="4" t="s">
        <v>41088</v>
      </c>
      <c r="C32643" s="5" t="str">
        <f>IFERROR(__xludf.DUMMYFUNCTION("GOOGLETRANSLATE(B32643,""en"",""de"")"),"Die Dame streift den Boden ihres Haares, indem sie ihren Arm nach oben streckt. Sie bürstet das Oberteil und dann die Enden und Oberflächen.")</f>
        <v>Die Dame streift den Boden ihres Haares, indem sie ihren Arm nach oben streckt. Sie bürstet das Oberteil und dann die Enden und Oberflächen.</v>
      </c>
    </row>
    <row r="32644">
      <c r="A32644" s="4" t="s">
        <v>41089</v>
      </c>
      <c r="B32644" s="4" t="s">
        <v>41090</v>
      </c>
      <c r="C32644" s="5" t="str">
        <f>IFERROR(__xludf.DUMMYFUNCTION("GOOGLETRANSLATE(B32644,""en"",""de"")"),"Eine Gruppe von Menschen befindet sich in einem Highschool -Fitnessstudio.")</f>
        <v>Eine Gruppe von Menschen befindet sich in einem Highschool -Fitnessstudio.</v>
      </c>
    </row>
    <row r="32645">
      <c r="A32645" s="4" t="s">
        <v>41089</v>
      </c>
      <c r="B32645" s="4" t="s">
        <v>41091</v>
      </c>
      <c r="C32645" s="5" t="str">
        <f>IFERROR(__xludf.DUMMYFUNCTION("GOOGLETRANSLATE(B32645,""en"",""de"")"),"Männer sind mit Frauen zusammengearbeitet und halten die Hände.")</f>
        <v>Männer sind mit Frauen zusammengearbeitet und halten die Hände.</v>
      </c>
    </row>
    <row r="32646">
      <c r="A32646" s="4" t="s">
        <v>41089</v>
      </c>
      <c r="B32646" s="4" t="s">
        <v>41092</v>
      </c>
      <c r="C32646" s="5" t="str">
        <f>IFERROR(__xludf.DUMMYFUNCTION("GOOGLETRANSLATE(B32646,""en"",""de"")"),"Jetzt tanzen sie alle den gleichen Tanz.")</f>
        <v>Jetzt tanzen sie alle den gleichen Tanz.</v>
      </c>
    </row>
    <row r="32647">
      <c r="A32647" s="4" t="s">
        <v>41089</v>
      </c>
      <c r="B32647" s="4" t="s">
        <v>41093</v>
      </c>
      <c r="C32647" s="5" t="str">
        <f>IFERROR(__xludf.DUMMYFUNCTION("GOOGLETRANSLATE(B32647,""en"",""de"")"),"Es scheint eine Art Tango -Tanz zu sein.")</f>
        <v>Es scheint eine Art Tango -Tanz zu sein.</v>
      </c>
    </row>
    <row r="32648">
      <c r="A32648" s="4" t="s">
        <v>41089</v>
      </c>
      <c r="B32648" s="4" t="s">
        <v>41094</v>
      </c>
      <c r="C32648" s="5" t="str">
        <f>IFERROR(__xludf.DUMMYFUNCTION("GOOGLETRANSLATE(B32648,""en"",""de"")"),"Die Männer wirbeln die Mädchen um ihre Hände.")</f>
        <v>Die Männer wirbeln die Mädchen um ihre Hände.</v>
      </c>
    </row>
    <row r="32649">
      <c r="A32649" s="4" t="s">
        <v>41089</v>
      </c>
      <c r="B32649" s="4" t="s">
        <v>41095</v>
      </c>
      <c r="C32649" s="5" t="str">
        <f>IFERROR(__xludf.DUMMYFUNCTION("GOOGLETRANSLATE(B32649,""en"",""de"")"),"Die Männer führen die Mädchen im Tanz.")</f>
        <v>Die Männer führen die Mädchen im Tanz.</v>
      </c>
    </row>
    <row r="32650">
      <c r="A32650" s="4" t="s">
        <v>41089</v>
      </c>
      <c r="B32650" s="4" t="s">
        <v>41096</v>
      </c>
      <c r="C32650" s="5" t="str">
        <f>IFERROR(__xludf.DUMMYFUNCTION("GOOGLETRANSLATE(B32650,""en"",""de"")"),"Die Mädchen drehen sich um die Jungen.")</f>
        <v>Die Mädchen drehen sich um die Jungen.</v>
      </c>
    </row>
    <row r="32651">
      <c r="A32651" s="4" t="s">
        <v>41089</v>
      </c>
      <c r="B32651" s="4" t="s">
        <v>41097</v>
      </c>
      <c r="C32651" s="5" t="str">
        <f>IFERROR(__xludf.DUMMYFUNCTION("GOOGLETRANSLATE(B32651,""en"",""de"")"),"Der Tanz geht für viele weitere Momente fort.")</f>
        <v>Der Tanz geht für viele weitere Momente fort.</v>
      </c>
    </row>
    <row r="32652">
      <c r="A32652" s="4" t="s">
        <v>41089</v>
      </c>
      <c r="B32652" s="4" t="s">
        <v>41098</v>
      </c>
      <c r="C32652" s="5" t="str">
        <f>IFERROR(__xludf.DUMMYFUNCTION("GOOGLETRANSLATE(B32652,""en"",""de"")"),"Die Mädchen und Jungen trennen sich.")</f>
        <v>Die Mädchen und Jungen trennen sich.</v>
      </c>
    </row>
    <row r="32653">
      <c r="A32653" s="4" t="s">
        <v>41089</v>
      </c>
      <c r="B32653" s="4" t="s">
        <v>41099</v>
      </c>
      <c r="C32653" s="5" t="str">
        <f>IFERROR(__xludf.DUMMYFUNCTION("GOOGLETRANSLATE(B32653,""en"",""de"")"),"Die Mädchen drehen Schalte herum, dann holen die Jungen sie ab, um fertig zu werden.")</f>
        <v>Die Mädchen drehen Schalte herum, dann holen die Jungen sie ab, um fertig zu werden.</v>
      </c>
    </row>
    <row r="32654">
      <c r="A32654" s="4" t="s">
        <v>41100</v>
      </c>
      <c r="B32654" s="4" t="s">
        <v>41101</v>
      </c>
      <c r="C32654" s="5" t="str">
        <f>IFERROR(__xludf.DUMMYFUNCTION("GOOGLETRANSLATE(B32654,""en"",""de"")"),"Wir sehen, wie ein Mann in einem rosa Hemd einen Ball in einer Tasse in einem Bier -Pong -Spiel werfen.")</f>
        <v>Wir sehen, wie ein Mann in einem rosa Hemd einen Ball in einer Tasse in einem Bier -Pong -Spiel werfen.</v>
      </c>
    </row>
    <row r="32655">
      <c r="A32655" s="4" t="s">
        <v>41100</v>
      </c>
      <c r="B32655" s="4" t="s">
        <v>41102</v>
      </c>
      <c r="C32655" s="5" t="str">
        <f>IFERROR(__xludf.DUMMYFUNCTION("GOOGLETRANSLATE(B32655,""en"",""de"")"),"Der Mann auf dem linken Team bläst den Ball aus der Tasse.")</f>
        <v>Der Mann auf dem linken Team bläst den Ball aus der Tasse.</v>
      </c>
    </row>
    <row r="32656">
      <c r="A32656" s="4" t="s">
        <v>41100</v>
      </c>
      <c r="B32656" s="4" t="s">
        <v>41103</v>
      </c>
      <c r="C32656" s="5" t="str">
        <f>IFERROR(__xludf.DUMMYFUNCTION("GOOGLETRANSLATE(B32656,""en"",""de"")"),"Der Mann und die beiden Damen lachen und jubeln und er fährt eine Dame.")</f>
        <v>Der Mann und die beiden Damen lachen und jubeln und er fährt eine Dame.</v>
      </c>
    </row>
    <row r="32657">
      <c r="A32657" s="4" t="s">
        <v>41100</v>
      </c>
      <c r="B32657" s="4" t="s">
        <v>41104</v>
      </c>
      <c r="C32657" s="5" t="str">
        <f>IFERROR(__xludf.DUMMYFUNCTION("GOOGLETRANSLATE(B32657,""en"",""de"")"),"Der Mann macht Handzeichen.")</f>
        <v>Der Mann macht Handzeichen.</v>
      </c>
    </row>
    <row r="32658">
      <c r="A32658" s="4" t="s">
        <v>41105</v>
      </c>
      <c r="B32658" s="4" t="s">
        <v>41106</v>
      </c>
      <c r="C32658" s="5" t="str">
        <f>IFERROR(__xludf.DUMMYFUNCTION("GOOGLETRANSLATE(B32658,""en"",""de"")"),"Es gibt einen jungen Mann in einem schwarzen Hemd, der in Kreisen herumgeht, um seine Haare von vorne und hinten zu zeigen.")</f>
        <v>Es gibt einen jungen Mann in einem schwarzen Hemd, der in Kreisen herumgeht, um seine Haare von vorne und hinten zu zeigen.</v>
      </c>
    </row>
    <row r="32659">
      <c r="A32659" s="4" t="s">
        <v>41105</v>
      </c>
      <c r="B32659" s="4" t="s">
        <v>41107</v>
      </c>
      <c r="C32659" s="5" t="str">
        <f>IFERROR(__xludf.DUMMYFUNCTION("GOOGLETRANSLATE(B32659,""en"",""de"")"),"Dann nimmt er eine Sprühflasche und sprüht seine Haare mit Wasser und kämmt sie.")</f>
        <v>Dann nimmt er eine Sprühflasche und sprüht seine Haare mit Wasser und kämmt sie.</v>
      </c>
    </row>
    <row r="32660">
      <c r="A32660" s="4" t="s">
        <v>41105</v>
      </c>
      <c r="B32660" s="4" t="s">
        <v>41108</v>
      </c>
      <c r="C32660" s="5" t="str">
        <f>IFERROR(__xludf.DUMMYFUNCTION("GOOGLETRANSLATE(B32660,""en"",""de"")"),"Dann nimmt er einen Rasierer und beginnt, die Seiten und den Hinterkopf zu rasieren.")</f>
        <v>Dann nimmt er einen Rasierer und beginnt, die Seiten und den Hinterkopf zu rasieren.</v>
      </c>
    </row>
    <row r="32661">
      <c r="A32661" s="4" t="s">
        <v>41105</v>
      </c>
      <c r="B32661" s="4" t="s">
        <v>41109</v>
      </c>
      <c r="C32661" s="5" t="str">
        <f>IFERROR(__xludf.DUMMYFUNCTION("GOOGLETRANSLATE(B32661,""en"",""de"")"),"Er nimmt eine Schere und beginnt den oberen Teil des Haares zu schneiden.")</f>
        <v>Er nimmt eine Schere und beginnt den oberen Teil des Haares zu schneiden.</v>
      </c>
    </row>
    <row r="32662">
      <c r="A32662" s="4" t="s">
        <v>41105</v>
      </c>
      <c r="B32662" s="4" t="s">
        <v>41110</v>
      </c>
      <c r="C32662" s="5" t="str">
        <f>IFERROR(__xludf.DUMMYFUNCTION("GOOGLETRANSLATE(B32662,""en"",""de"")"),"Er benutzt einen schwarzen Kamm und eine Schere, um ihm die Haare zu schneiden.")</f>
        <v>Er benutzt einen schwarzen Kamm und eine Schere, um ihm die Haare zu schneiden.</v>
      </c>
    </row>
    <row r="32663">
      <c r="A32663" s="4" t="s">
        <v>41105</v>
      </c>
      <c r="B32663" s="4" t="s">
        <v>41111</v>
      </c>
      <c r="C32663" s="5" t="str">
        <f>IFERROR(__xludf.DUMMYFUNCTION("GOOGLETRANSLATE(B32663,""en"",""de"")"),"Er hält die Haare in der Hand, als er es abschneidet.")</f>
        <v>Er hält die Haare in der Hand, als er es abschneidet.</v>
      </c>
    </row>
    <row r="32664">
      <c r="A32664" s="4" t="s">
        <v>41105</v>
      </c>
      <c r="B32664" s="4" t="s">
        <v>41112</v>
      </c>
      <c r="C32664" s="5" t="str">
        <f>IFERROR(__xludf.DUMMYFUNCTION("GOOGLETRANSLATE(B32664,""en"",""de"")"),"Er nimmt den Rasierer wieder und rasiert die Seiten.")</f>
        <v>Er nimmt den Rasierer wieder und rasiert die Seiten.</v>
      </c>
    </row>
    <row r="32665">
      <c r="A32665" s="4" t="s">
        <v>41105</v>
      </c>
      <c r="B32665" s="4" t="s">
        <v>41113</v>
      </c>
      <c r="C32665" s="5" t="str">
        <f>IFERROR(__xludf.DUMMYFUNCTION("GOOGLETRANSLATE(B32665,""en"",""de"")"),"Er nimmt auch die Schere und schneidet seine Haare ab.")</f>
        <v>Er nimmt auch die Schere und schneidet seine Haare ab.</v>
      </c>
    </row>
    <row r="32666">
      <c r="A32666" s="4" t="s">
        <v>41105</v>
      </c>
      <c r="B32666" s="4" t="s">
        <v>41114</v>
      </c>
      <c r="C32666" s="5" t="str">
        <f>IFERROR(__xludf.DUMMYFUNCTION("GOOGLETRANSLATE(B32666,""en"",""de"")"),"Dann trocknet er seine Haare.")</f>
        <v>Dann trocknet er seine Haare.</v>
      </c>
    </row>
    <row r="32667">
      <c r="A32667" s="4" t="s">
        <v>41105</v>
      </c>
      <c r="B32667" s="4" t="s">
        <v>41115</v>
      </c>
      <c r="C32667" s="5" t="str">
        <f>IFERROR(__xludf.DUMMYFUNCTION("GOOGLETRANSLATE(B32667,""en"",""de"")"),"Er nimmt eine kleine Menge Haargel auf seinen Finger aus dem Behälter und reibt ihn durch den langen Teil seines Haares.")</f>
        <v>Er nimmt eine kleine Menge Haargel auf seinen Finger aus dem Behälter und reibt ihn durch den langen Teil seines Haares.</v>
      </c>
    </row>
    <row r="32668">
      <c r="A32668" s="4" t="s">
        <v>41105</v>
      </c>
      <c r="B32668" s="4" t="s">
        <v>41116</v>
      </c>
      <c r="C32668" s="5" t="str">
        <f>IFERROR(__xludf.DUMMYFUNCTION("GOOGLETRANSLATE(B32668,""en"",""de"")"),"Dann kämmt er die Haare, um es zu stylen.")</f>
        <v>Dann kämmt er die Haare, um es zu stylen.</v>
      </c>
    </row>
    <row r="32669">
      <c r="A32669" s="4" t="s">
        <v>41105</v>
      </c>
      <c r="B32669" s="4" t="s">
        <v>41117</v>
      </c>
      <c r="C32669" s="5" t="str">
        <f>IFERROR(__xludf.DUMMYFUNCTION("GOOGLETRANSLATE(B32669,""en"",""de"")"),"Er fährt mit den Fingern durch die Haare, um den Look abzuschließen.")</f>
        <v>Er fährt mit den Fingern durch die Haare, um den Look abzuschließen.</v>
      </c>
    </row>
    <row r="32670">
      <c r="A32670" s="4" t="s">
        <v>41105</v>
      </c>
      <c r="B32670" s="4" t="s">
        <v>41118</v>
      </c>
      <c r="C32670" s="5" t="str">
        <f>IFERROR(__xludf.DUMMYFUNCTION("GOOGLETRANSLATE(B32670,""en"",""de"")"),"Er dreht sich um, um seine Frisur aus allen Blickwinkeln zu zeigen.")</f>
        <v>Er dreht sich um, um seine Frisur aus allen Blickwinkeln zu zeigen.</v>
      </c>
    </row>
    <row r="32671">
      <c r="A32671" s="4" t="s">
        <v>41119</v>
      </c>
      <c r="B32671" s="4" t="s">
        <v>41120</v>
      </c>
      <c r="C32671" s="5" t="str">
        <f>IFERROR(__xludf.DUMMYFUNCTION("GOOGLETRANSLATE(B32671,""en"",""de"")"),"Eine Gruppe von Menschen ist im Kreis versammelt.")</f>
        <v>Eine Gruppe von Menschen ist im Kreis versammelt.</v>
      </c>
    </row>
    <row r="32672">
      <c r="A32672" s="4" t="s">
        <v>41119</v>
      </c>
      <c r="B32672" s="4" t="s">
        <v>41121</v>
      </c>
      <c r="C32672" s="5" t="str">
        <f>IFERROR(__xludf.DUMMYFUNCTION("GOOGLETRANSLATE(B32672,""en"",""de"")"),"Zwei Männer sind im Kreis und demonstrieren eine Kampfkunst.")</f>
        <v>Zwei Männer sind im Kreis und demonstrieren eine Kampfkunst.</v>
      </c>
    </row>
    <row r="32673">
      <c r="A32673" s="4" t="s">
        <v>41119</v>
      </c>
      <c r="B32673" s="4" t="s">
        <v>41122</v>
      </c>
      <c r="C32673" s="5" t="str">
        <f>IFERROR(__xludf.DUMMYFUNCTION("GOOGLETRANSLATE(B32673,""en"",""de"")"),"Mehrere Männer im Kreis spielen ein Instrument.")</f>
        <v>Mehrere Männer im Kreis spielen ein Instrument.</v>
      </c>
    </row>
    <row r="32674">
      <c r="A32674" s="4" t="s">
        <v>41123</v>
      </c>
      <c r="B32674" s="4" t="s">
        <v>41124</v>
      </c>
      <c r="C32674" s="5" t="str">
        <f>IFERROR(__xludf.DUMMYFUNCTION("GOOGLETRANSLATE(B32674,""en"",""de"")"),"Eine Haarkommode schneidet das Haar des Mannes und beginnt oben.")</f>
        <v>Eine Haarkommode schneidet das Haar des Mannes und beginnt oben.</v>
      </c>
    </row>
    <row r="32675">
      <c r="A32675" s="4" t="s">
        <v>41123</v>
      </c>
      <c r="B32675" s="4" t="s">
        <v>41125</v>
      </c>
      <c r="C32675" s="5" t="str">
        <f>IFERROR(__xludf.DUMMYFUNCTION("GOOGLETRANSLATE(B32675,""en"",""de"")"),"Dann beginnt er am hinteren Schnitt und kämmt dorthin zurück.")</f>
        <v>Dann beginnt er am hinteren Schnitt und kämmt dorthin zurück.</v>
      </c>
    </row>
    <row r="32676">
      <c r="A32676" s="4" t="s">
        <v>41123</v>
      </c>
      <c r="B32676" s="4" t="s">
        <v>41126</v>
      </c>
      <c r="C32676" s="5" t="str">
        <f>IFERROR(__xludf.DUMMYFUNCTION("GOOGLETRANSLATE(B32676,""en"",""de"")"),"Danach benutzt er einige Clippers, um einige der härteren Bereiche zu bestimmen.")</f>
        <v>Danach benutzt er einige Clippers, um einige der härteren Bereiche zu bestimmen.</v>
      </c>
    </row>
    <row r="32677">
      <c r="A32677" s="4" t="s">
        <v>41123</v>
      </c>
      <c r="B32677" s="4" t="s">
        <v>41127</v>
      </c>
      <c r="C32677" s="5" t="str">
        <f>IFERROR(__xludf.DUMMYFUNCTION("GOOGLETRANSLATE(B32677,""en"",""de"")"),"Schließlich mit dem Kamm verwenden, um ihn ein wenig zu stylen und ihm einen Schliff zu geben.")</f>
        <v>Schließlich mit dem Kamm verwenden, um ihn ein wenig zu stylen und ihm einen Schliff zu geben.</v>
      </c>
    </row>
    <row r="32678">
      <c r="A32678" s="4" t="s">
        <v>41128</v>
      </c>
      <c r="B32678" s="4" t="s">
        <v>41129</v>
      </c>
      <c r="C32678" s="5" t="str">
        <f>IFERROR(__xludf.DUMMYFUNCTION("GOOGLETRANSLATE(B32678,""en"",""de"")"),"Zwei Jungs erscheint in einem Garten und sprechen mit der Kamera.")</f>
        <v>Zwei Jungs erscheint in einem Garten und sprechen mit der Kamera.</v>
      </c>
    </row>
    <row r="32679">
      <c r="A32679" s="4" t="s">
        <v>41128</v>
      </c>
      <c r="B32679" s="4" t="s">
        <v>41130</v>
      </c>
      <c r="C32679" s="5" t="str">
        <f>IFERROR(__xludf.DUMMYFUNCTION("GOOGLETRANSLATE(B32679,""en"",""de"")"),"Die Jungs sind in einer Holzoberfläche und spielen eine Schere auf der Felspapier und der Verlierer erhält einen hölzernen Treffer in den Nüssen und fiel auf den Boden.")</f>
        <v>Die Jungs sind in einer Holzoberfläche und spielen eine Schere auf der Felspapier und der Verlierer erhält einen hölzernen Treffer in den Nüssen und fiel auf den Boden.</v>
      </c>
    </row>
    <row r="32680">
      <c r="A32680" s="4" t="s">
        <v>41128</v>
      </c>
      <c r="B32680" s="4" t="s">
        <v>41131</v>
      </c>
      <c r="C32680" s="5" t="str">
        <f>IFERROR(__xludf.DUMMYFUNCTION("GOOGLETRANSLATE(B32680,""en"",""de"")"),"Man spricht mit der Kamera und andere Jungs sind im hinteren Teil von ADN und sprechen dann mit dem Gewinner.")</f>
        <v>Man spricht mit der Kamera und andere Jungs sind im hinteren Teil von ADN und sprechen dann mit dem Gewinner.</v>
      </c>
    </row>
    <row r="32681">
      <c r="A32681" s="4" t="s">
        <v>41128</v>
      </c>
      <c r="B32681" s="4" t="s">
        <v>41132</v>
      </c>
      <c r="C32681" s="5" t="str">
        <f>IFERROR(__xludf.DUMMYFUNCTION("GOOGLETRANSLATE(B32681,""en"",""de"")"),"Sie spielen rund um die zweite Rockpapierschere und wieder ist der Verlierer einen hölzernen Treffer in den Nüssen und ein Mann spricht mit der Kamera.")</f>
        <v>Sie spielen rund um die zweite Rockpapierschere und wieder ist der Verlierer einen hölzernen Treffer in den Nüssen und ein Mann spricht mit der Kamera.</v>
      </c>
    </row>
    <row r="32682">
      <c r="A32682" s="4" t="s">
        <v>41128</v>
      </c>
      <c r="B32682" s="4" t="s">
        <v>41133</v>
      </c>
      <c r="C32682" s="5" t="str">
        <f>IFERROR(__xludf.DUMMYFUNCTION("GOOGLETRANSLATE(B32682,""en"",""de"")"),"Die Jungs machen die letzte Runde der Rockpapierschere und der Gewinner wird angekündigt, einer der Männer, die beide Jungs einen Hit in den Nüssen bewirken.")</f>
        <v>Die Jungs machen die letzte Runde der Rockpapierschere und der Gewinner wird angekündigt, einer der Männer, die beide Jungs einen Hit in den Nüssen bewirken.</v>
      </c>
    </row>
    <row r="32683">
      <c r="A32683" s="4" t="s">
        <v>41134</v>
      </c>
      <c r="B32683" s="4" t="s">
        <v>41135</v>
      </c>
      <c r="C32683" s="5" t="str">
        <f>IFERROR(__xludf.DUMMYFUNCTION("GOOGLETRANSLATE(B32683,""en"",""de"")"),"Eine Person steht auf einer Matte.")</f>
        <v>Eine Person steht auf einer Matte.</v>
      </c>
    </row>
    <row r="32684">
      <c r="A32684" s="4" t="s">
        <v>41134</v>
      </c>
      <c r="B32684" s="4" t="s">
        <v>41136</v>
      </c>
      <c r="C32684" s="5" t="str">
        <f>IFERROR(__xludf.DUMMYFUNCTION("GOOGLETRANSLATE(B32684,""en"",""de"")"),"Sie rennen eine Landebahn hinunter, die einen Stangen und ein Gewölbe über eine Bar hält.")</f>
        <v>Sie rennen eine Landebahn hinunter, die einen Stangen und ein Gewölbe über eine Bar hält.</v>
      </c>
    </row>
    <row r="32685">
      <c r="A32685" s="4" t="s">
        <v>41134</v>
      </c>
      <c r="B32685" s="4" t="s">
        <v>41137</v>
      </c>
      <c r="C32685" s="5" t="str">
        <f>IFERROR(__xludf.DUMMYFUNCTION("GOOGLETRANSLATE(B32685,""en"",""de"")"),"Sie landen auf dem Rücken auf einer Matte.")</f>
        <v>Sie landen auf dem Rücken auf einer Matte.</v>
      </c>
    </row>
    <row r="32686">
      <c r="A32686" s="4" t="s">
        <v>41138</v>
      </c>
      <c r="B32686" s="4" t="s">
        <v>41139</v>
      </c>
      <c r="C32686" s="5" t="str">
        <f>IFERROR(__xludf.DUMMYFUNCTION("GOOGLETRANSLATE(B32686,""en"",""de"")"),"Zwei Zwillinge, die auf die gleiche Weise gekleidet sind und mit der gleichen Frisur sind in einem Raum, der mit der Kamera spricht.")</f>
        <v>Zwei Zwillinge, die auf die gleiche Weise gekleidet sind und mit der gleichen Frisur sind in einem Raum, der mit der Kamera spricht.</v>
      </c>
    </row>
    <row r="32687">
      <c r="A32687" s="4" t="s">
        <v>41138</v>
      </c>
      <c r="B32687" s="4" t="s">
        <v>41140</v>
      </c>
      <c r="C32687" s="5" t="str">
        <f>IFERROR(__xludf.DUMMYFUNCTION("GOOGLETRANSLATE(B32687,""en"",""de"")"),"Der Mann auf der Rückseite stellt einige Boxer über die Hose und der Mann vorne spricht weiter mit der Kamera.")</f>
        <v>Der Mann auf der Rückseite stellt einige Boxer über die Hose und der Mann vorne spricht weiter mit der Kamera.</v>
      </c>
    </row>
    <row r="32688">
      <c r="A32688" s="4" t="s">
        <v>41138</v>
      </c>
      <c r="B32688" s="4" t="s">
        <v>41141</v>
      </c>
      <c r="C32688" s="5" t="str">
        <f>IFERROR(__xludf.DUMMYFUNCTION("GOOGLETRANSLATE(B32688,""en"",""de"")"),"Der Mann vorne hält eine Pinsel und legt etwas Zahnpasta und reinigt seine Zähne. Dann führt der Kerl die Zahnbürste in einen Honigtopf ein und putzte die Zähne damit.")</f>
        <v>Der Mann vorne hält eine Pinsel und legt etwas Zahnpasta und reinigt seine Zähne. Dann führt der Kerl die Zahnbürste in einen Honigtopf ein und putzte die Zähne damit.</v>
      </c>
    </row>
    <row r="32689">
      <c r="A32689" s="4" t="s">
        <v>41138</v>
      </c>
      <c r="B32689" s="4" t="s">
        <v>41142</v>
      </c>
      <c r="C32689" s="5" t="str">
        <f>IFERROR(__xludf.DUMMYFUNCTION("GOOGLETRANSLATE(B32689,""en"",""de"")"),"Der Mann vorne hält eine Haarbürste und der andere trinkt Wasser, der andere Mann hält eine Zahnbürste mit Marmelade und putzte die Zähne.")</f>
        <v>Der Mann vorne hält eine Haarbürste und der andere trinkt Wasser, der andere Mann hält eine Zahnbürste mit Marmelade und putzte die Zähne.</v>
      </c>
    </row>
    <row r="32690">
      <c r="A32690" s="4" t="s">
        <v>41143</v>
      </c>
      <c r="B32690" s="4" t="s">
        <v>41144</v>
      </c>
      <c r="C32690" s="5" t="str">
        <f>IFERROR(__xludf.DUMMYFUNCTION("GOOGLETRANSLATE(B32690,""en"",""de"")"),"Ein kleiner Hund spielt mit einem rosa Frisbee.")</f>
        <v>Ein kleiner Hund spielt mit einem rosa Frisbee.</v>
      </c>
    </row>
    <row r="32691">
      <c r="A32691" s="4" t="s">
        <v>41143</v>
      </c>
      <c r="B32691" s="4" t="s">
        <v>41145</v>
      </c>
      <c r="C32691" s="5" t="str">
        <f>IFERROR(__xludf.DUMMYFUNCTION("GOOGLETRANSLATE(B32691,""en"",""de"")"),"Ein Mann in einem weißen Hemd und roten Shorts legt sich nieder und legt seine Füße in die Luft.")</f>
        <v>Ein Mann in einem weißen Hemd und roten Shorts legt sich nieder und legt seine Füße in die Luft.</v>
      </c>
    </row>
    <row r="32692">
      <c r="A32692" s="4" t="s">
        <v>41143</v>
      </c>
      <c r="B32692" s="4" t="s">
        <v>41146</v>
      </c>
      <c r="C32692" s="5" t="str">
        <f>IFERROR(__xludf.DUMMYFUNCTION("GOOGLETRANSLATE(B32692,""en"",""de"")"),"Der Hund steht auf den Füßen des Mannes.")</f>
        <v>Der Hund steht auf den Füßen des Mannes.</v>
      </c>
    </row>
    <row r="32693">
      <c r="A32693" s="4" t="s">
        <v>41143</v>
      </c>
      <c r="B32693" s="4" t="s">
        <v>41147</v>
      </c>
      <c r="C32693" s="5" t="str">
        <f>IFERROR(__xludf.DUMMYFUNCTION("GOOGLETRANSLATE(B32693,""en"",""de"")"),"Die Leute beobachten sie am Rande.")</f>
        <v>Die Leute beobachten sie am Rande.</v>
      </c>
    </row>
    <row r="32694">
      <c r="A32694" s="4" t="s">
        <v>41148</v>
      </c>
      <c r="B32694" s="4" t="s">
        <v>41149</v>
      </c>
      <c r="C32694" s="5" t="str">
        <f>IFERROR(__xludf.DUMMYFUNCTION("GOOGLETRANSLATE(B32694,""en"",""de"")"),"Der Mann sitzt auf einem Boot in einem ruhigen See.")</f>
        <v>Der Mann sitzt auf einem Boot in einem ruhigen See.</v>
      </c>
    </row>
    <row r="32695">
      <c r="A32695" s="4" t="s">
        <v>41148</v>
      </c>
      <c r="B32695" s="4" t="s">
        <v>41150</v>
      </c>
      <c r="C32695" s="5" t="str">
        <f>IFERROR(__xludf.DUMMYFUNCTION("GOOGLETRANSLATE(B32695,""en"",""de"")"),"Das Auto wird auf einer Autobahn mit Autos an den Seiten gefahren.")</f>
        <v>Das Auto wird auf einer Autobahn mit Autos an den Seiten gefahren.</v>
      </c>
    </row>
    <row r="32696">
      <c r="A32696" s="4" t="s">
        <v>41148</v>
      </c>
      <c r="B32696" s="4" t="s">
        <v>41151</v>
      </c>
      <c r="C32696" s="5" t="str">
        <f>IFERROR(__xludf.DUMMYFUNCTION("GOOGLETRANSLATE(B32696,""en"",""de"")"),"Foto eines Ivers wird gezeigt und sein Auto fährt durch die Haighway und kommt zu einem See.")</f>
        <v>Foto eines Ivers wird gezeigt und sein Auto fährt durch die Haighway und kommt zu einem See.</v>
      </c>
    </row>
    <row r="32697">
      <c r="A32697" s="4" t="s">
        <v>41148</v>
      </c>
      <c r="B32697" s="4" t="s">
        <v>41152</v>
      </c>
      <c r="C32697" s="5" t="str">
        <f>IFERROR(__xludf.DUMMYFUNCTION("GOOGLETRANSLATE(B32697,""en"",""de"")"),"Die Menschen paddeln im Fluss und kommen in ein Lager am Pier.")</f>
        <v>Die Menschen paddeln im Fluss und kommen in ein Lager am Pier.</v>
      </c>
    </row>
    <row r="32698">
      <c r="A32698" s="4" t="s">
        <v>41153</v>
      </c>
      <c r="B32698" s="4" t="s">
        <v>41154</v>
      </c>
      <c r="C32698" s="5" t="str">
        <f>IFERROR(__xludf.DUMMYFUNCTION("GOOGLETRANSLATE(B32698,""en"",""de"")"),"Ein Mann rennt mit beiden Händen eine Stange.")</f>
        <v>Ein Mann rennt mit beiden Händen eine Stange.</v>
      </c>
    </row>
    <row r="32699">
      <c r="A32699" s="4" t="s">
        <v>41153</v>
      </c>
      <c r="B32699" s="4" t="s">
        <v>41155</v>
      </c>
      <c r="C32699" s="5" t="str">
        <f>IFERROR(__xludf.DUMMYFUNCTION("GOOGLETRANSLATE(B32699,""en"",""de"")"),"Dann springt sie hoch mit der Pole, um über eine horizontale Balken zu gelangen.")</f>
        <v>Dann springt sie hoch mit der Pole, um über eine horizontale Balken zu gelangen.</v>
      </c>
    </row>
    <row r="32700">
      <c r="A32700" s="4" t="s">
        <v>41153</v>
      </c>
      <c r="B32700" s="4" t="s">
        <v>41156</v>
      </c>
      <c r="C32700" s="5" t="str">
        <f>IFERROR(__xludf.DUMMYFUNCTION("GOOGLETRANSLATE(B32700,""en"",""de"")"),"Der Mann fällt auf die Matte.")</f>
        <v>Der Mann fällt auf die Matte.</v>
      </c>
    </row>
    <row r="32701">
      <c r="A32701" s="4" t="s">
        <v>41157</v>
      </c>
      <c r="B32701" s="4" t="s">
        <v>41158</v>
      </c>
      <c r="C32701" s="5" t="str">
        <f>IFERROR(__xludf.DUMMYFUNCTION("GOOGLETRANSLATE(B32701,""en"",""de"")"),"Ein paar Jungen fahren Skateboards.")</f>
        <v>Ein paar Jungen fahren Skateboards.</v>
      </c>
    </row>
    <row r="32702">
      <c r="A32702" s="4" t="s">
        <v>41157</v>
      </c>
      <c r="B32702" s="4" t="s">
        <v>41159</v>
      </c>
      <c r="C32702" s="5" t="str">
        <f>IFERROR(__xludf.DUMMYFUNCTION("GOOGLETRANSLATE(B32702,""en"",""de"")"),"Sie sehen noch ein paar Männer, die Basketball spielen.")</f>
        <v>Sie sehen noch ein paar Männer, die Basketball spielen.</v>
      </c>
    </row>
    <row r="32703">
      <c r="A32703" s="4" t="s">
        <v>41157</v>
      </c>
      <c r="B32703" s="4" t="s">
        <v>41160</v>
      </c>
      <c r="C32703" s="5" t="str">
        <f>IFERROR(__xludf.DUMMYFUNCTION("GOOGLETRANSLATE(B32703,""en"",""de"")"),"Sie argumentieren, dann gehen die Basketballspieler.")</f>
        <v>Sie argumentieren, dann gehen die Basketballspieler.</v>
      </c>
    </row>
    <row r="32704">
      <c r="A32704" s="4" t="s">
        <v>41161</v>
      </c>
      <c r="B32704" s="4" t="s">
        <v>41162</v>
      </c>
      <c r="C32704" s="5" t="str">
        <f>IFERROR(__xludf.DUMMYFUNCTION("GOOGLETRANSLATE(B32704,""en"",""de"")"),"Es wird eine Schachtel mit Rollerbldes gezeigt und der Deckel ist geöffnet. AMD TJE -Akzessorien werden mit den Rollerblades gezeigt.")</f>
        <v>Es wird eine Schachtel mit Rollerbldes gezeigt und der Deckel ist geöffnet. AMD TJE -Akzessorien werden mit den Rollerblades gezeigt.</v>
      </c>
    </row>
    <row r="32705">
      <c r="A32705" s="4" t="s">
        <v>41161</v>
      </c>
      <c r="B32705" s="4" t="s">
        <v>41163</v>
      </c>
      <c r="C32705" s="5" t="str">
        <f>IFERROR(__xludf.DUMMYFUNCTION("GOOGLETRANSLATE(B32705,""en"",""de"")"),"Der Mensch ist im Straßenlauf und zeigt Bilder der Schlittschuhe.")</f>
        <v>Der Mensch ist im Straßenlauf und zeigt Bilder der Schlittschuhe.</v>
      </c>
    </row>
    <row r="32706">
      <c r="A32706" s="4" t="s">
        <v>41164</v>
      </c>
      <c r="B32706" s="4" t="s">
        <v>41165</v>
      </c>
      <c r="C32706" s="5" t="str">
        <f>IFERROR(__xludf.DUMMYFUNCTION("GOOGLETRANSLATE(B32706,""en"",""de"")"),"Eine Frau auf einem Parkplatz hüpft mit einigen Art von Pogo -Stick -Anhängen an ihren Beinen auf und ab.")</f>
        <v>Eine Frau auf einem Parkplatz hüpft mit einigen Art von Pogo -Stick -Anhängen an ihren Beinen auf und ab.</v>
      </c>
    </row>
    <row r="32707">
      <c r="A32707" s="4" t="s">
        <v>41164</v>
      </c>
      <c r="B32707" s="4" t="s">
        <v>41166</v>
      </c>
      <c r="C32707" s="5" t="str">
        <f>IFERROR(__xludf.DUMMYFUNCTION("GOOGLETRANSLATE(B32707,""en"",""de"")"),"Die Frau geht um den Parkplatz herum.")</f>
        <v>Die Frau geht um den Parkplatz herum.</v>
      </c>
    </row>
    <row r="32708">
      <c r="A32708" s="4" t="s">
        <v>41164</v>
      </c>
      <c r="B32708" s="4" t="s">
        <v>41167</v>
      </c>
      <c r="C32708" s="5" t="str">
        <f>IFERROR(__xludf.DUMMYFUNCTION("GOOGLETRANSLATE(B32708,""en"",""de"")"),"Die Frau hüpft auf und ab, während sie herumläuft.")</f>
        <v>Die Frau hüpft auf und ab, während sie herumläuft.</v>
      </c>
    </row>
    <row r="32709">
      <c r="A32709" s="4" t="s">
        <v>41164</v>
      </c>
      <c r="B32709" s="4" t="s">
        <v>41168</v>
      </c>
      <c r="C32709" s="5" t="str">
        <f>IFERROR(__xludf.DUMMYFUNCTION("GOOGLETRANSLATE(B32709,""en"",""de"")"),"Ein Mann geht auf und spricht mit der Frau.")</f>
        <v>Ein Mann geht auf und spricht mit der Frau.</v>
      </c>
    </row>
    <row r="32710">
      <c r="A32710" s="4" t="s">
        <v>41164</v>
      </c>
      <c r="B32710" s="4" t="s">
        <v>41169</v>
      </c>
      <c r="C32710" s="5" t="str">
        <f>IFERROR(__xludf.DUMMYFUNCTION("GOOGLETRANSLATE(B32710,""en"",""de"")"),"Die Frau hält die Hände des Mannes für das Gleichgewicht, während sie hüpft.")</f>
        <v>Die Frau hält die Hände des Mannes für das Gleichgewicht, während sie hüpft.</v>
      </c>
    </row>
    <row r="32711">
      <c r="A32711" s="4" t="s">
        <v>41170</v>
      </c>
      <c r="B32711" s="4" t="s">
        <v>41171</v>
      </c>
      <c r="C32711" s="5" t="str">
        <f>IFERROR(__xludf.DUMMYFUNCTION("GOOGLETRANSLATE(B32711,""en"",""de"")"),"Ein Mann öffnet seine Hintertür, um ein kleines Mädchen draußen zu lassen.")</f>
        <v>Ein Mann öffnet seine Hintertür, um ein kleines Mädchen draußen zu lassen.</v>
      </c>
    </row>
    <row r="32712">
      <c r="A32712" s="4" t="s">
        <v>41170</v>
      </c>
      <c r="B32712" s="4" t="s">
        <v>41172</v>
      </c>
      <c r="C32712" s="5" t="str">
        <f>IFERROR(__xludf.DUMMYFUNCTION("GOOGLETRANSLATE(B32712,""en"",""de"")"),"Der Mann folgt dem kleinen Mädchen.")</f>
        <v>Der Mann folgt dem kleinen Mädchen.</v>
      </c>
    </row>
    <row r="32713">
      <c r="A32713" s="4" t="s">
        <v>41170</v>
      </c>
      <c r="B32713" s="4" t="s">
        <v>41173</v>
      </c>
      <c r="C32713" s="5" t="str">
        <f>IFERROR(__xludf.DUMMYFUNCTION("GOOGLETRANSLATE(B32713,""en"",""de"")"),"Ein kleines Mädchen geht und zeigt auf die Kamera.")</f>
        <v>Ein kleines Mädchen geht und zeigt auf die Kamera.</v>
      </c>
    </row>
    <row r="32714">
      <c r="A32714" s="4" t="s">
        <v>41170</v>
      </c>
      <c r="B32714" s="4" t="s">
        <v>41174</v>
      </c>
      <c r="C32714" s="5" t="str">
        <f>IFERROR(__xludf.DUMMYFUNCTION("GOOGLETRANSLATE(B32714,""en"",""de"")"),"Ein Hund betritt die Szene und das kleine Mädchen springt mit Glück.")</f>
        <v>Ein Hund betritt die Szene und das kleine Mädchen springt mit Glück.</v>
      </c>
    </row>
    <row r="32715">
      <c r="A32715" s="4" t="s">
        <v>41170</v>
      </c>
      <c r="B32715" s="4" t="s">
        <v>41175</v>
      </c>
      <c r="C32715" s="5" t="str">
        <f>IFERROR(__xludf.DUMMYFUNCTION("GOOGLETRANSLATE(B32715,""en"",""de"")"),"Das kleine Mädchen geht um ihre Rutsche.")</f>
        <v>Das kleine Mädchen geht um ihre Rutsche.</v>
      </c>
    </row>
    <row r="32716">
      <c r="A32716" s="4" t="s">
        <v>41170</v>
      </c>
      <c r="B32716" s="4" t="s">
        <v>41176</v>
      </c>
      <c r="C32716" s="5" t="str">
        <f>IFERROR(__xludf.DUMMYFUNCTION("GOOGLETRANSLATE(B32716,""en"",""de"")"),"Das kleine Mädchen beginnt auf die Rutsche zu klettern und der Mann hilft ihr, nach oben zu gelangen.")</f>
        <v>Das kleine Mädchen beginnt auf die Rutsche zu klettern und der Mann hilft ihr, nach oben zu gelangen.</v>
      </c>
    </row>
    <row r="32717">
      <c r="A32717" s="4" t="s">
        <v>41170</v>
      </c>
      <c r="B32717" s="4" t="s">
        <v>41177</v>
      </c>
      <c r="C32717" s="5" t="str">
        <f>IFERROR(__xludf.DUMMYFUNCTION("GOOGLETRANSLATE(B32717,""en"",""de"")"),"Das kleine Mädchen beginnt mit dem Rad zu spielen und kommt auf die Knie.")</f>
        <v>Das kleine Mädchen beginnt mit dem Rad zu spielen und kommt auf die Knie.</v>
      </c>
    </row>
    <row r="32718">
      <c r="A32718" s="4" t="s">
        <v>41170</v>
      </c>
      <c r="B32718" s="4" t="s">
        <v>41178</v>
      </c>
      <c r="C32718" s="5" t="str">
        <f>IFERROR(__xludf.DUMMYFUNCTION("GOOGLETRANSLATE(B32718,""en"",""de"")"),"Der Mann hilft dem kleinen Mädchen, die Rutsche hinunter zu gehen.")</f>
        <v>Der Mann hilft dem kleinen Mädchen, die Rutsche hinunter zu gehen.</v>
      </c>
    </row>
    <row r="32719">
      <c r="A32719" s="4" t="s">
        <v>41170</v>
      </c>
      <c r="B32719" s="4" t="s">
        <v>41179</v>
      </c>
      <c r="C32719" s="5" t="str">
        <f>IFERROR(__xludf.DUMMYFUNCTION("GOOGLETRANSLATE(B32719,""en"",""de"")"),"Das kleine Mädchen geht zur Schaukel und der Mann hilft ihr dabei.")</f>
        <v>Das kleine Mädchen geht zur Schaukel und der Mann hilft ihr dabei.</v>
      </c>
    </row>
    <row r="32720">
      <c r="A32720" s="4" t="s">
        <v>41170</v>
      </c>
      <c r="B32720" s="4" t="s">
        <v>41180</v>
      </c>
      <c r="C32720" s="5" t="str">
        <f>IFERROR(__xludf.DUMMYFUNCTION("GOOGLETRANSLATE(B32720,""en"",""de"")"),"Das kleine Mädchen zeigt auf die Kamera.")</f>
        <v>Das kleine Mädchen zeigt auf die Kamera.</v>
      </c>
    </row>
    <row r="32721">
      <c r="A32721" s="4" t="s">
        <v>41170</v>
      </c>
      <c r="B32721" s="4" t="s">
        <v>41181</v>
      </c>
      <c r="C32721" s="5" t="str">
        <f>IFERROR(__xludf.DUMMYFUNCTION("GOOGLETRANSLATE(B32721,""en"",""de"")"),"Der Mann schiebt das kleine Mädchen auf die Schaukel.")</f>
        <v>Der Mann schiebt das kleine Mädchen auf die Schaukel.</v>
      </c>
    </row>
    <row r="32722">
      <c r="A32722" s="4" t="s">
        <v>41182</v>
      </c>
      <c r="B32722" s="4" t="s">
        <v>41183</v>
      </c>
      <c r="C32722" s="5" t="str">
        <f>IFERROR(__xludf.DUMMYFUNCTION("GOOGLETRANSLATE(B32722,""en"",""de"")"),"Die Leute rennen einen großen roten Drachen durch ein Feld.")</f>
        <v>Die Leute rennen einen großen roten Drachen durch ein Feld.</v>
      </c>
    </row>
    <row r="32723">
      <c r="A32723" s="4" t="s">
        <v>41182</v>
      </c>
      <c r="B32723" s="4" t="s">
        <v>41184</v>
      </c>
      <c r="C32723" s="5" t="str">
        <f>IFERROR(__xludf.DUMMYFUNCTION("GOOGLETRANSLATE(B32723,""en"",""de"")"),"Der Drachen ist in der Luft und die Kinder stehen darunter und beobachten ihn.")</f>
        <v>Der Drachen ist in der Luft und die Kinder stehen darunter und beobachten ihn.</v>
      </c>
    </row>
    <row r="32724">
      <c r="A32724" s="4" t="s">
        <v>41182</v>
      </c>
      <c r="B32724" s="4" t="s">
        <v>41185</v>
      </c>
      <c r="C32724" s="5" t="str">
        <f>IFERROR(__xludf.DUMMYFUNCTION("GOOGLETRANSLATE(B32724,""en"",""de"")"),"Der Drachen fliegt in der Luft.")</f>
        <v>Der Drachen fliegt in der Luft.</v>
      </c>
    </row>
    <row r="32725">
      <c r="A32725" s="4" t="s">
        <v>41182</v>
      </c>
      <c r="B32725" s="4" t="s">
        <v>41186</v>
      </c>
      <c r="C32725" s="5" t="str">
        <f>IFERROR(__xludf.DUMMYFUNCTION("GOOGLETRANSLATE(B32725,""en"",""de"")"),"Ein Mann und ein kleines Mädchen und ein Junge fliegen mit dem Drachen und halten die Basis davon.")</f>
        <v>Ein Mann und ein kleines Mädchen und ein Junge fliegen mit dem Drachen und halten die Basis davon.</v>
      </c>
    </row>
    <row r="32726">
      <c r="A32726" s="4" t="s">
        <v>41182</v>
      </c>
      <c r="B32726" s="4" t="s">
        <v>41187</v>
      </c>
      <c r="C32726" s="5" t="str">
        <f>IFERROR(__xludf.DUMMYFUNCTION("GOOGLETRANSLATE(B32726,""en"",""de"")"),"Ein kleines Mädchen wirft etwas auf den Boden.")</f>
        <v>Ein kleines Mädchen wirft etwas auf den Boden.</v>
      </c>
    </row>
    <row r="32727">
      <c r="A32727" s="4" t="s">
        <v>41188</v>
      </c>
      <c r="B32727" s="4" t="s">
        <v>41189</v>
      </c>
      <c r="C32727" s="5" t="str">
        <f>IFERROR(__xludf.DUMMYFUNCTION("GOOGLETRANSLATE(B32727,""en"",""de"")"),"Wir sehen, wie ein Pfeilbrett sanft schwingt.")</f>
        <v>Wir sehen, wie ein Pfeilbrett sanft schwingt.</v>
      </c>
    </row>
    <row r="32728">
      <c r="A32728" s="4" t="s">
        <v>41188</v>
      </c>
      <c r="B32728" s="4" t="s">
        <v>41190</v>
      </c>
      <c r="C32728" s="5" t="str">
        <f>IFERROR(__xludf.DUMMYFUNCTION("GOOGLETRANSLATE(B32728,""en"",""de"")"),"Zwei Darts, ein rotes, ein Grün traf das Brett.")</f>
        <v>Zwei Darts, ein rotes, ein Grün traf das Brett.</v>
      </c>
    </row>
    <row r="32729">
      <c r="A32729" s="4" t="s">
        <v>41188</v>
      </c>
      <c r="B32729" s="4" t="s">
        <v>41191</v>
      </c>
      <c r="C32729" s="5" t="str">
        <f>IFERROR(__xludf.DUMMYFUNCTION("GOOGLETRANSLATE(B32729,""en"",""de"")"),"Wir wechseln den Winkel und zwei weitere Darts trafen das Board.")</f>
        <v>Wir wechseln den Winkel und zwei weitere Darts trafen das Board.</v>
      </c>
    </row>
    <row r="32730">
      <c r="A32730" s="4" t="s">
        <v>41188</v>
      </c>
      <c r="B32730" s="4" t="s">
        <v>41192</v>
      </c>
      <c r="C32730" s="5" t="str">
        <f>IFERROR(__xludf.DUMMYFUNCTION("GOOGLETRANSLATE(B32730,""en"",""de"")"),"Der Bildschirm verblasst schwarz und wir sehen die Endkredite.")</f>
        <v>Der Bildschirm verblasst schwarz und wir sehen die Endkredite.</v>
      </c>
    </row>
    <row r="32731">
      <c r="A32731" s="4" t="s">
        <v>41193</v>
      </c>
      <c r="B32731" s="4" t="s">
        <v>41194</v>
      </c>
      <c r="C32731" s="5" t="str">
        <f>IFERROR(__xludf.DUMMYFUNCTION("GOOGLETRANSLATE(B32731,""en"",""de"")"),"Ein Mann wird gesehen, der sich von der Kamera zurückzieht, während er einen Hula -Reifen spricht und hält.")</f>
        <v>Ein Mann wird gesehen, der sich von der Kamera zurückzieht, während er einen Hula -Reifen spricht und hält.</v>
      </c>
    </row>
    <row r="32732">
      <c r="A32732" s="4" t="s">
        <v>41193</v>
      </c>
      <c r="B32732" s="4" t="s">
        <v>41195</v>
      </c>
      <c r="C32732" s="5" t="str">
        <f>IFERROR(__xludf.DUMMYFUNCTION("GOOGLETRANSLATE(B32732,""en"",""de"")"),"Der Mann schwingt dann den Hula -Hoop um sich herum, während er zur Kamera geht.")</f>
        <v>Der Mann schwingt dann den Hula -Hoop um sich herum, während er zur Kamera geht.</v>
      </c>
    </row>
    <row r="32733">
      <c r="A32733" s="4" t="s">
        <v>41193</v>
      </c>
      <c r="B32733" s="4" t="s">
        <v>41196</v>
      </c>
      <c r="C32733" s="5" t="str">
        <f>IFERROR(__xludf.DUMMYFUNCTION("GOOGLETRANSLATE(B32733,""en"",""de"")"),"Ein anderer Mann betritt den Rahmen und Hula Hoops mit dem Mann, während er immer noch in die Kamera schaut.")</f>
        <v>Ein anderer Mann betritt den Rahmen und Hula Hoops mit dem Mann, während er immer noch in die Kamera schaut.</v>
      </c>
    </row>
    <row r="32734">
      <c r="A32734" s="4" t="s">
        <v>41197</v>
      </c>
      <c r="B32734" s="4" t="s">
        <v>41198</v>
      </c>
      <c r="C32734" s="5" t="str">
        <f>IFERROR(__xludf.DUMMYFUNCTION("GOOGLETRANSLATE(B32734,""en"",""de"")"),"Ein Mann setzt sich hin und spricht mit der Kamera, während er einen Shisha -Schlauch hält, und eine andere Person wird im Rahmen gesehen.")</f>
        <v>Ein Mann setzt sich hin und spricht mit der Kamera, während er einen Shisha -Schlauch hält, und eine andere Person wird im Rahmen gesehen.</v>
      </c>
    </row>
    <row r="32735">
      <c r="A32735" s="4" t="s">
        <v>41197</v>
      </c>
      <c r="B32735" s="4" t="s">
        <v>41199</v>
      </c>
      <c r="C32735" s="5" t="str">
        <f>IFERROR(__xludf.DUMMYFUNCTION("GOOGLETRANSLATE(B32735,""en"",""de"")"),"Der Mann nimmt einen Zug aus der Pfeife, während er mit der Kamera spricht und es dem anderen Mann gibt, der ebenfalls einen Treffer macht.")</f>
        <v>Der Mann nimmt einen Zug aus der Pfeife, während er mit der Kamera spricht und es dem anderen Mann gibt, der ebenfalls einen Treffer macht.</v>
      </c>
    </row>
    <row r="32736">
      <c r="A32736" s="4" t="s">
        <v>41197</v>
      </c>
      <c r="B32736" s="4" t="s">
        <v>41200</v>
      </c>
      <c r="C32736" s="5" t="str">
        <f>IFERROR(__xludf.DUMMYFUNCTION("GOOGLETRANSLATE(B32736,""en"",""de"")"),"Er bläst den Rauch aus und der erste Mann wird immer noch gesehen, wie er mit der Kamera spricht.")</f>
        <v>Er bläst den Rauch aus und der erste Mann wird immer noch gesehen, wie er mit der Kamera spricht.</v>
      </c>
    </row>
    <row r="32737">
      <c r="A32737" s="4" t="s">
        <v>41201</v>
      </c>
      <c r="B32737" s="4" t="s">
        <v>41202</v>
      </c>
      <c r="C32737" s="5" t="str">
        <f>IFERROR(__xludf.DUMMYFUNCTION("GOOGLETRANSLATE(B32737,""en"",""de"")"),"Eine Person bereitet sich darauf vor, Bungee über ein Gewässer zu springen, während Zuschauer vom Boden aus beobachten.")</f>
        <v>Eine Person bereitet sich darauf vor, Bungee über ein Gewässer zu springen, während Zuschauer vom Boden aus beobachten.</v>
      </c>
    </row>
    <row r="32738">
      <c r="A32738" s="4" t="s">
        <v>41201</v>
      </c>
      <c r="B32738" s="4" t="s">
        <v>41203</v>
      </c>
      <c r="C32738" s="5" t="str">
        <f>IFERROR(__xludf.DUMMYFUNCTION("GOOGLETRANSLATE(B32738,""en"",""de"")"),"Die Person setzt sich zuerst hin, um sich in Bungee -Jumping -Ausrüstung festzuhalten.")</f>
        <v>Die Person setzt sich zuerst hin, um sich in Bungee -Jumping -Ausrüstung festzuhalten.</v>
      </c>
    </row>
    <row r="32739">
      <c r="A32739" s="4" t="s">
        <v>41201</v>
      </c>
      <c r="B32739" s="4" t="s">
        <v>41204</v>
      </c>
      <c r="C32739" s="5" t="str">
        <f>IFERROR(__xludf.DUMMYFUNCTION("GOOGLETRANSLATE(B32739,""en"",""de"")"),"Die Person steht am Rand einer Holz -Sprungoberfläche, während die Zuschauer vom Boden aus beobachten.")</f>
        <v>Die Person steht am Rand einer Holz -Sprungoberfläche, während die Zuschauer vom Boden aus beobachten.</v>
      </c>
    </row>
    <row r="32740">
      <c r="A32740" s="4" t="s">
        <v>41201</v>
      </c>
      <c r="B32740" s="4" t="s">
        <v>41205</v>
      </c>
      <c r="C32740" s="5" t="str">
        <f>IFERROR(__xludf.DUMMYFUNCTION("GOOGLETRANSLATE(B32740,""en"",""de"")"),"Die Person springt vom Rand ab und fällt nach unten, als die Kamera folgt und zeigt, dass dies ein Mann ist, der gesprungen ist, und der Mann lächelt und lacht, als er in die Luft direkt über dem Wasser drückt.")</f>
        <v>Die Person springt vom Rand ab und fällt nach unten, als die Kamera folgt und zeigt, dass dies ein Mann ist, der gesprungen ist, und der Mann lächelt und lacht, als er in die Luft direkt über dem Wasser drückt.</v>
      </c>
    </row>
    <row r="32741">
      <c r="A32741" s="4" t="s">
        <v>41206</v>
      </c>
      <c r="B32741" s="4" t="s">
        <v>41207</v>
      </c>
      <c r="C32741" s="5" t="str">
        <f>IFERROR(__xludf.DUMMYFUNCTION("GOOGLETRANSLATE(B32741,""en"",""de"")"),"Ein kleiner Junge schloss seinen kleinen Sicherheitsschutz.")</f>
        <v>Ein kleiner Junge schloss seinen kleinen Sicherheitsschutz.</v>
      </c>
    </row>
    <row r="32742">
      <c r="A32742" s="4" t="s">
        <v>41206</v>
      </c>
      <c r="B32742" s="4" t="s">
        <v>41208</v>
      </c>
      <c r="C32742" s="5" t="str">
        <f>IFERROR(__xludf.DUMMYFUNCTION("GOOGLETRANSLATE(B32742,""en"",""de"")"),"Er schließt es und baut etwas Schwung auf, um schnell zu gehen.")</f>
        <v>Er schließt es und baut etwas Schwung auf, um schnell zu gehen.</v>
      </c>
    </row>
    <row r="32743">
      <c r="A32743" s="4" t="s">
        <v>41206</v>
      </c>
      <c r="B32743" s="4" t="s">
        <v>41209</v>
      </c>
      <c r="C32743" s="5" t="str">
        <f>IFERROR(__xludf.DUMMYFUNCTION("GOOGLETRANSLATE(B32743,""en"",""de"")"),"Er tritt die Füße hin und her, wird ziemlich hoch.")</f>
        <v>Er tritt die Füße hin und her, wird ziemlich hoch.</v>
      </c>
    </row>
    <row r="32744">
      <c r="A32744" s="4" t="s">
        <v>41206</v>
      </c>
      <c r="B32744" s="4" t="s">
        <v>41210</v>
      </c>
      <c r="C32744" s="5" t="str">
        <f>IFERROR(__xludf.DUMMYFUNCTION("GOOGLETRANSLATE(B32744,""en"",""de"")"),"Er genießt es einfach, wenn er draußen hin und her schwingt und den Tag genießt.")</f>
        <v>Er genießt es einfach, wenn er draußen hin und her schwingt und den Tag genießt.</v>
      </c>
    </row>
    <row r="32745">
      <c r="A32745" s="4" t="s">
        <v>41211</v>
      </c>
      <c r="B32745" s="4" t="s">
        <v>41212</v>
      </c>
      <c r="C32745" s="5" t="str">
        <f>IFERROR(__xludf.DUMMYFUNCTION("GOOGLETRANSLATE(B32745,""en"",""de"")"),"Eine Nahaufnahme eines Stuhls wird angezeigt, während die Kamera nach hinten und Text über den Bildschirm bewegt.")</f>
        <v>Eine Nahaufnahme eines Stuhls wird angezeigt, während die Kamera nach hinten und Text über den Bildschirm bewegt.</v>
      </c>
    </row>
    <row r="32746">
      <c r="A32746" s="4" t="s">
        <v>41211</v>
      </c>
      <c r="B32746" s="4" t="s">
        <v>41213</v>
      </c>
      <c r="C32746" s="5" t="str">
        <f>IFERROR(__xludf.DUMMYFUNCTION("GOOGLETRANSLATE(B32746,""en"",""de"")"),"Die Kamera folgt eng in den Stuhl und führt zu einer Frau, die sich bequem auf dem Stuhl sitzt.")</f>
        <v>Die Kamera folgt eng in den Stuhl und führt zu einer Frau, die sich bequem auf dem Stuhl sitzt.</v>
      </c>
    </row>
    <row r="32747">
      <c r="A32747" s="4" t="s">
        <v>41211</v>
      </c>
      <c r="B32747" s="4" t="s">
        <v>41214</v>
      </c>
      <c r="C32747" s="5" t="str">
        <f>IFERROR(__xludf.DUMMYFUNCTION("GOOGLETRANSLATE(B32747,""en"",""de"")"),"Die Frau passt den Sitz an und führt in mehrere weitere Nahaufnahmen des Stuhls, das gezeigt wird.")</f>
        <v>Die Frau passt den Sitz an und führt in mehrere weitere Nahaufnahmen des Stuhls, das gezeigt wird.</v>
      </c>
    </row>
    <row r="32748">
      <c r="A32748" s="4" t="s">
        <v>41215</v>
      </c>
      <c r="B32748" s="4" t="s">
        <v>24280</v>
      </c>
      <c r="C32748" s="5" t="str">
        <f>IFERROR(__xludf.DUMMYFUNCTION("GOOGLETRANSLATE(B32748,""en"",""de"")"),"Wir sehen eine Reihe von Titelbildschirmen.")</f>
        <v>Wir sehen eine Reihe von Titelbildschirmen.</v>
      </c>
    </row>
    <row r="32749">
      <c r="A32749" s="4" t="s">
        <v>41215</v>
      </c>
      <c r="B32749" s="4" t="s">
        <v>41216</v>
      </c>
      <c r="C32749" s="5" t="str">
        <f>IFERROR(__xludf.DUMMYFUNCTION("GOOGLETRANSLATE(B32749,""en"",""de"")"),"Wir sehen, wie ein Schnellboot durch einen See und einen Mann, der dahinter fährt.")</f>
        <v>Wir sehen, wie ein Schnellboot durch einen See und einen Mann, der dahinter fährt.</v>
      </c>
    </row>
    <row r="32750">
      <c r="A32750" s="4" t="s">
        <v>41215</v>
      </c>
      <c r="B32750" s="4" t="s">
        <v>41217</v>
      </c>
      <c r="C32750" s="5" t="str">
        <f>IFERROR(__xludf.DUMMYFUNCTION("GOOGLETRANSLATE(B32750,""en"",""de"")"),"Der Bildschirm blinkt schwarz und wir sehen mehr Jetski.")</f>
        <v>Der Bildschirm blinkt schwarz und wir sehen mehr Jetski.</v>
      </c>
    </row>
    <row r="32751">
      <c r="A32751" s="4" t="s">
        <v>41215</v>
      </c>
      <c r="B32751" s="4" t="s">
        <v>777</v>
      </c>
      <c r="C32751" s="5" t="str">
        <f>IFERROR(__xludf.DUMMYFUNCTION("GOOGLETRANSLATE(B32751,""en"",""de"")"),"Wir sehen den End -Titelbildschirm.")</f>
        <v>Wir sehen den End -Titelbildschirm.</v>
      </c>
    </row>
    <row r="32752">
      <c r="A32752" s="4" t="s">
        <v>41218</v>
      </c>
      <c r="B32752" s="4" t="s">
        <v>41219</v>
      </c>
      <c r="C32752" s="5" t="str">
        <f>IFERROR(__xludf.DUMMYFUNCTION("GOOGLETRANSLATE(B32752,""en"",""de"")"),"Ein junger Mann namens Sean, der einen Mützenhut und schwarze Ohrring -Bolzen trägt.")</f>
        <v>Ein junger Mann namens Sean, der einen Mützenhut und schwarze Ohrring -Bolzen trägt.</v>
      </c>
    </row>
    <row r="32753">
      <c r="A32753" s="4" t="s">
        <v>41218</v>
      </c>
      <c r="B32753" s="4" t="s">
        <v>41220</v>
      </c>
      <c r="C32753" s="5" t="str">
        <f>IFERROR(__xludf.DUMMYFUNCTION("GOOGLETRANSLATE(B32753,""en"",""de"")"),"Er zeigt, wie er sein Ohr mit Ohrstöbenstudelern durchbohrt.")</f>
        <v>Er zeigt, wie er sein Ohr mit Ohrstöbenstudelern durchbohrt.</v>
      </c>
    </row>
    <row r="32754">
      <c r="A32754" s="4" t="s">
        <v>41218</v>
      </c>
      <c r="B32754" s="4" t="s">
        <v>41221</v>
      </c>
      <c r="C32754" s="5" t="str">
        <f>IFERROR(__xludf.DUMMYFUNCTION("GOOGLETRANSLATE(B32754,""en"",""de"")"),"Er drückt starke Schmerzen aus, als er versucht, seinen Ohrläppchen zu durchbohren.")</f>
        <v>Er drückt starke Schmerzen aus, als er versucht, seinen Ohrläppchen zu durchbohren.</v>
      </c>
    </row>
    <row r="32755">
      <c r="A32755" s="4" t="s">
        <v>41218</v>
      </c>
      <c r="B32755" s="4" t="s">
        <v>41222</v>
      </c>
      <c r="C32755" s="5" t="str">
        <f>IFERROR(__xludf.DUMMYFUNCTION("GOOGLETRANSLATE(B32755,""en"",""de"")"),"Er nimmt einen Eiswürfel, um seinen Ohrläppchen zu beruhigen.")</f>
        <v>Er nimmt einen Eiswürfel, um seinen Ohrläppchen zu beruhigen.</v>
      </c>
    </row>
    <row r="32756">
      <c r="A32756" s="4" t="s">
        <v>41218</v>
      </c>
      <c r="B32756" s="4" t="s">
        <v>41223</v>
      </c>
      <c r="C32756" s="5" t="str">
        <f>IFERROR(__xludf.DUMMYFUNCTION("GOOGLETRANSLATE(B32756,""en"",""de"")"),"Dann benutzt er ein Zigaretten -Feuerzeug, um den Ohrring zu erhitzen, um ihn zu desinfizieren.")</f>
        <v>Dann benutzt er ein Zigaretten -Feuerzeug, um den Ohrring zu erhitzen, um ihn zu desinfizieren.</v>
      </c>
    </row>
    <row r="32757">
      <c r="A32757" s="4" t="s">
        <v>41218</v>
      </c>
      <c r="B32757" s="4" t="s">
        <v>41224</v>
      </c>
      <c r="C32757" s="5" t="str">
        <f>IFERROR(__xludf.DUMMYFUNCTION("GOOGLETRANSLATE(B32757,""en"",""de"")"),"Er versucht, einen Thumbtack zu benutzen, um dem Piercing zu helfen, letzt aber schwere Blutungen in seinem Ohr.")</f>
        <v>Er versucht, einen Thumbtack zu benutzen, um dem Piercing zu helfen, letzt aber schwere Blutungen in seinem Ohr.</v>
      </c>
    </row>
    <row r="32758">
      <c r="A32758" s="4" t="s">
        <v>41218</v>
      </c>
      <c r="B32758" s="4" t="s">
        <v>41225</v>
      </c>
      <c r="C32758" s="5" t="str">
        <f>IFERROR(__xludf.DUMMYFUNCTION("GOOGLETRANSLATE(B32758,""en"",""de"")"),"Dann versucht er einen Gummihammer, um den Ohrring zu zwingen.")</f>
        <v>Dann versucht er einen Gummihammer, um den Ohrring zu zwingen.</v>
      </c>
    </row>
    <row r="32759">
      <c r="A32759" s="4" t="s">
        <v>41218</v>
      </c>
      <c r="B32759" s="4" t="s">
        <v>41226</v>
      </c>
      <c r="C32759" s="5" t="str">
        <f>IFERROR(__xludf.DUMMYFUNCTION("GOOGLETRANSLATE(B32759,""en"",""de"")"),"Er weint und schluchzt vor Schmerzen über seinen erfolglosen Versuch, seinen eigenen Ohrläppchen zu durchbohren.")</f>
        <v>Er weint und schluchzt vor Schmerzen über seinen erfolglosen Versuch, seinen eigenen Ohrläppchen zu durchbohren.</v>
      </c>
    </row>
    <row r="32760">
      <c r="A32760" s="4" t="s">
        <v>41227</v>
      </c>
      <c r="B32760" s="4" t="s">
        <v>41228</v>
      </c>
      <c r="C32760" s="5" t="str">
        <f>IFERROR(__xludf.DUMMYFUNCTION("GOOGLETRANSLATE(B32760,""en"",""de"")"),"Ein Mann sitzt in einem Kajak, der zur Kamera schaut.")</f>
        <v>Ein Mann sitzt in einem Kajak, der zur Kamera schaut.</v>
      </c>
    </row>
    <row r="32761">
      <c r="A32761" s="4" t="s">
        <v>41227</v>
      </c>
      <c r="B32761" s="4" t="s">
        <v>41229</v>
      </c>
      <c r="C32761" s="5" t="str">
        <f>IFERROR(__xludf.DUMMYFUNCTION("GOOGLETRANSLATE(B32761,""en"",""de"")"),"Dann steckt er sein Paddel ins Wasser und bewegt sich weiter.")</f>
        <v>Dann steckt er sein Paddel ins Wasser und bewegt sich weiter.</v>
      </c>
    </row>
    <row r="32762">
      <c r="A32762" s="4" t="s">
        <v>41227</v>
      </c>
      <c r="B32762" s="4" t="s">
        <v>41230</v>
      </c>
      <c r="C32762" s="5" t="str">
        <f>IFERROR(__xludf.DUMMYFUNCTION("GOOGLETRANSLATE(B32762,""en"",""de"")"),"Er reitet weiter in einem Bereich, während er das Paddel bewegt.")</f>
        <v>Er reitet weiter in einem Bereich, während er das Paddel bewegt.</v>
      </c>
    </row>
    <row r="32763">
      <c r="A32763" s="4" t="s">
        <v>41231</v>
      </c>
      <c r="B32763" s="4" t="s">
        <v>41232</v>
      </c>
      <c r="C32763" s="5" t="str">
        <f>IFERROR(__xludf.DUMMYFUNCTION("GOOGLETRANSLATE(B32763,""en"",""de"")"),"Ein Teenager dreht sich in der rechten Hand, dann wirft das Mädchen die Scheibe, während er in einem Stadion antritt.")</f>
        <v>Ein Teenager dreht sich in der rechten Hand, dann wirft das Mädchen die Scheibe, während er in einem Stadion antritt.</v>
      </c>
    </row>
    <row r="32764">
      <c r="A32764" s="4" t="s">
        <v>41231</v>
      </c>
      <c r="B32764" s="4" t="s">
        <v>41233</v>
      </c>
      <c r="C32764" s="5" t="str">
        <f>IFERROR(__xludf.DUMMYFUNCTION("GOOGLETRANSLATE(B32764,""en"",""de"")"),"Dann dreht sich eine andere junge Frau um eine Scheibe.")</f>
        <v>Dann dreht sich eine andere junge Frau um eine Scheibe.</v>
      </c>
    </row>
    <row r="32765">
      <c r="A32765" s="4" t="s">
        <v>41231</v>
      </c>
      <c r="B32765" s="4" t="s">
        <v>41234</v>
      </c>
      <c r="C32765" s="5" t="str">
        <f>IFERROR(__xludf.DUMMYFUNCTION("GOOGLETRANSLATE(B32765,""en"",""de"")"),"Eine Frau dreht und wirft eine Scheibe weit und sie gewinnt die Konkurrenz.")</f>
        <v>Eine Frau dreht und wirft eine Scheibe weit und sie gewinnt die Konkurrenz.</v>
      </c>
    </row>
    <row r="32766">
      <c r="A32766" s="4" t="s">
        <v>41231</v>
      </c>
      <c r="B32766" s="4" t="s">
        <v>41235</v>
      </c>
      <c r="C32766" s="5" t="str">
        <f>IFERROR(__xludf.DUMMYFUNCTION("GOOGLETRANSLATE(B32766,""en"",""de"")"),"Ein Mann in der Strecke hebt eine weiße Flagge auf seinem rechten Arm.")</f>
        <v>Ein Mann in der Strecke hebt eine weiße Flagge auf seinem rechten Arm.</v>
      </c>
    </row>
    <row r="32767">
      <c r="A32767" s="4" t="s">
        <v>41236</v>
      </c>
      <c r="B32767" s="4" t="s">
        <v>41237</v>
      </c>
      <c r="C32767" s="5" t="str">
        <f>IFERROR(__xludf.DUMMYFUNCTION("GOOGLETRANSLATE(B32767,""en"",""de"")"),"Der Turner aus der Ukraine spielt einen Weitsprung in einem endgültigen Wettbewerb.")</f>
        <v>Der Turner aus der Ukraine spielt einen Weitsprung in einem endgültigen Wettbewerb.</v>
      </c>
    </row>
    <row r="32768">
      <c r="A32768" s="4" t="s">
        <v>41236</v>
      </c>
      <c r="B32768" s="4" t="s">
        <v>41238</v>
      </c>
      <c r="C32768" s="5" t="str">
        <f>IFERROR(__xludf.DUMMYFUNCTION("GOOGLETRANSLATE(B32768,""en"",""de"")"),"Ein Mann hält ein Weiß und eine rote Fahne.")</f>
        <v>Ein Mann hält ein Weiß und eine rote Fahne.</v>
      </c>
    </row>
    <row r="32769">
      <c r="A32769" s="4" t="s">
        <v>41236</v>
      </c>
      <c r="B32769" s="4" t="s">
        <v>41239</v>
      </c>
      <c r="C32769" s="5" t="str">
        <f>IFERROR(__xludf.DUMMYFUNCTION("GOOGLETRANSLATE(B32769,""en"",""de"")"),"Der Turner läuft in der Strecke bis zu einer weißen Linie und springt, um den Weitsprung zu spielen.")</f>
        <v>Der Turner läuft in der Strecke bis zu einer weißen Linie und springt, um den Weitsprung zu spielen.</v>
      </c>
    </row>
    <row r="32770">
      <c r="A32770" s="4" t="s">
        <v>41236</v>
      </c>
      <c r="B32770" s="4" t="s">
        <v>41240</v>
      </c>
      <c r="C32770" s="5" t="str">
        <f>IFERROR(__xludf.DUMMYFUNCTION("GOOGLETRANSLATE(B32770,""en"",""de"")"),"Dann spielt eine Frau aus Deutschland den Weitsprung und nachdem ein Mädchen aus Australien lange auf den Sandkasten springt.")</f>
        <v>Dann spielt eine Frau aus Deutschland den Weitsprung und nachdem ein Mädchen aus Australien lange auf den Sandkasten springt.</v>
      </c>
    </row>
    <row r="32771">
      <c r="A32771" s="4" t="s">
        <v>41236</v>
      </c>
      <c r="B32771" s="4" t="s">
        <v>41241</v>
      </c>
      <c r="C32771" s="5" t="str">
        <f>IFERROR(__xludf.DUMMYFUNCTION("GOOGLETRANSLATE(B32771,""en"",""de"")"),"Die Frau aus Deutschland gewinnt die Konkurrenz, sie läuft und zeigt die Öffentlichkeit.")</f>
        <v>Die Frau aus Deutschland gewinnt die Konkurrenz, sie läuft und zeigt die Öffentlichkeit.</v>
      </c>
    </row>
    <row r="32772">
      <c r="A32772" s="4" t="s">
        <v>41242</v>
      </c>
      <c r="B32772" s="4" t="s">
        <v>41243</v>
      </c>
      <c r="C32772" s="5" t="str">
        <f>IFERROR(__xludf.DUMMYFUNCTION("GOOGLETRANSLATE(B32772,""en"",""de"")"),"Ein Mann in einer Weste sitzt in einem Boot.")</f>
        <v>Ein Mann in einer Weste sitzt in einem Boot.</v>
      </c>
    </row>
    <row r="32773">
      <c r="A32773" s="4" t="s">
        <v>41242</v>
      </c>
      <c r="B32773" s="4" t="s">
        <v>41244</v>
      </c>
      <c r="C32773" s="5" t="str">
        <f>IFERROR(__xludf.DUMMYFUNCTION("GOOGLETRANSLATE(B32773,""en"",""de"")"),"Dann ist der Mann im Wasser und hält einen Stock und eine Linie am Boot.")</f>
        <v>Dann ist der Mann im Wasser und hält einen Stock und eine Linie am Boot.</v>
      </c>
    </row>
    <row r="32774">
      <c r="A32774" s="4" t="s">
        <v>41242</v>
      </c>
      <c r="B32774" s="4" t="s">
        <v>41245</v>
      </c>
      <c r="C32774" s="5" t="str">
        <f>IFERROR(__xludf.DUMMYFUNCTION("GOOGLETRANSLATE(B32774,""en"",""de"")"),"Das Boot beginnt ihn ins Wasser zu ziehen, als er mit dem Wasserski mit dem Wasser beginnt.")</f>
        <v>Das Boot beginnt ihn ins Wasser zu ziehen, als er mit dem Wasserski mit dem Wasser beginnt.</v>
      </c>
    </row>
    <row r="32775">
      <c r="A32775" s="4" t="s">
        <v>41242</v>
      </c>
      <c r="B32775" s="4" t="s">
        <v>41246</v>
      </c>
      <c r="C32775" s="5" t="str">
        <f>IFERROR(__xludf.DUMMYFUNCTION("GOOGLETRANSLATE(B32775,""en"",""de"")"),"Er fährt lange.")</f>
        <v>Er fährt lange.</v>
      </c>
    </row>
    <row r="32776">
      <c r="A32776" s="4" t="s">
        <v>41247</v>
      </c>
      <c r="B32776" s="4" t="s">
        <v>41248</v>
      </c>
      <c r="C32776" s="5" t="str">
        <f>IFERROR(__xludf.DUMMYFUNCTION("GOOGLETRANSLATE(B32776,""en"",""de"")"),"Mädchen sitzen in einem ROM und Jungen stehen hinter ihnen, Jungen beginnen, die Haare zu kämmen.")</f>
        <v>Mädchen sitzen in einem ROM und Jungen stehen hinter ihnen, Jungen beginnen, die Haare zu kämmen.</v>
      </c>
    </row>
    <row r="32777">
      <c r="A32777" s="4" t="s">
        <v>41247</v>
      </c>
      <c r="B32777" s="4" t="s">
        <v>41249</v>
      </c>
      <c r="C32777" s="5" t="str">
        <f>IFERROR(__xludf.DUMMYFUNCTION("GOOGLETRANSLATE(B32777,""en"",""de"")"),"Frau trägt blauen Pullover auf allen vieren.")</f>
        <v>Frau trägt blauen Pullover auf allen vieren.</v>
      </c>
    </row>
    <row r="32778">
      <c r="A32778" s="4" t="s">
        <v>41247</v>
      </c>
      <c r="B32778" s="4" t="s">
        <v>41250</v>
      </c>
      <c r="C32778" s="5" t="str">
        <f>IFERROR(__xludf.DUMMYFUNCTION("GOOGLETRANSLATE(B32778,""en"",""de"")"),"Jungen kämmen immer wieder die Haare und setzen die Mädchen ein paar Haarrollen.")</f>
        <v>Jungen kämmen immer wieder die Haare und setzen die Mädchen ein paar Haarrollen.</v>
      </c>
    </row>
    <row r="32779">
      <c r="A32779" s="4" t="s">
        <v>41247</v>
      </c>
      <c r="B32779" s="4" t="s">
        <v>41251</v>
      </c>
      <c r="C32779" s="5" t="str">
        <f>IFERROR(__xludf.DUMMYFUNCTION("GOOGLETRANSLATE(B32779,""en"",""de"")"),"Frau in der Mitte ist irritiert und steht und entzieht die Rollen für den Kopf und sitzt wieder und lacht viel.")</f>
        <v>Frau in der Mitte ist irritiert und steht und entzieht die Rollen für den Kopf und sitzt wieder und lacht viel.</v>
      </c>
    </row>
    <row r="32780">
      <c r="A32780" s="4" t="s">
        <v>41252</v>
      </c>
      <c r="B32780" s="4" t="s">
        <v>41253</v>
      </c>
      <c r="C32780" s="5" t="str">
        <f>IFERROR(__xludf.DUMMYFUNCTION("GOOGLETRANSLATE(B32780,""en"",""de"")"),"Ein Mann sitzt auf einer Bühne.")</f>
        <v>Ein Mann sitzt auf einer Bühne.</v>
      </c>
    </row>
    <row r="32781">
      <c r="A32781" s="4" t="s">
        <v>41252</v>
      </c>
      <c r="B32781" s="4" t="s">
        <v>41254</v>
      </c>
      <c r="C32781" s="5" t="str">
        <f>IFERROR(__xludf.DUMMYFUNCTION("GOOGLETRANSLATE(B32781,""en"",""de"")"),"Es gibt einen Raum voller Leute, die ihn beobachten.")</f>
        <v>Es gibt einen Raum voller Leute, die ihn beobachten.</v>
      </c>
    </row>
    <row r="32782">
      <c r="A32782" s="4" t="s">
        <v>41252</v>
      </c>
      <c r="B32782" s="4" t="s">
        <v>41255</v>
      </c>
      <c r="C32782" s="5" t="str">
        <f>IFERROR(__xludf.DUMMYFUNCTION("GOOGLETRANSLATE(B32782,""en"",""de"")"),"Er spielt mit seinen Händen ein Set von Schlagzeug.")</f>
        <v>Er spielt mit seinen Händen ein Set von Schlagzeug.</v>
      </c>
    </row>
    <row r="32783">
      <c r="A32783" s="4" t="s">
        <v>41256</v>
      </c>
      <c r="B32783" s="4" t="s">
        <v>41257</v>
      </c>
      <c r="C32783" s="5" t="str">
        <f>IFERROR(__xludf.DUMMYFUNCTION("GOOGLETRANSLATE(B32783,""en"",""de"")"),"Eine Overhead -Ansicht eines Pool -Matchs.")</f>
        <v>Eine Overhead -Ansicht eines Pool -Matchs.</v>
      </c>
    </row>
    <row r="32784">
      <c r="A32784" s="4" t="s">
        <v>41256</v>
      </c>
      <c r="B32784" s="4" t="s">
        <v>41258</v>
      </c>
      <c r="C32784" s="5" t="str">
        <f>IFERROR(__xludf.DUMMYFUNCTION("GOOGLETRANSLATE(B32784,""en"",""de"")"),"Ein Mann in einer lustigen blauen Weste wird als nächster Spieler gezeigt, der einen Schuss macht.")</f>
        <v>Ein Mann in einer lustigen blauen Weste wird als nächster Spieler gezeigt, der einen Schuss macht.</v>
      </c>
    </row>
    <row r="32785">
      <c r="A32785" s="4" t="s">
        <v>41256</v>
      </c>
      <c r="B32785" s="4" t="s">
        <v>41259</v>
      </c>
      <c r="C32785" s="5" t="str">
        <f>IFERROR(__xludf.DUMMYFUNCTION("GOOGLETRANSLATE(B32785,""en"",""de"")"),"Er macht eine Pause und studiert den Tisch, bevor er seinen Schuss macht.")</f>
        <v>Er macht eine Pause und studiert den Tisch, bevor er seinen Schuss macht.</v>
      </c>
    </row>
    <row r="32786">
      <c r="A32786" s="4" t="s">
        <v>41256</v>
      </c>
      <c r="B32786" s="4" t="s">
        <v>41260</v>
      </c>
      <c r="C32786" s="5" t="str">
        <f>IFERROR(__xludf.DUMMYFUNCTION("GOOGLETRANSLATE(B32786,""en"",""de"")"),"Er schießt und schlägt den blauen Ball in der rechten Tasche der Ecke.")</f>
        <v>Er schießt und schlägt den blauen Ball in der rechten Tasche der Ecke.</v>
      </c>
    </row>
    <row r="32787">
      <c r="A32787" s="4" t="s">
        <v>41261</v>
      </c>
      <c r="B32787" s="4" t="s">
        <v>41262</v>
      </c>
      <c r="C32787" s="5" t="str">
        <f>IFERROR(__xludf.DUMMYFUNCTION("GOOGLETRANSLATE(B32787,""en"",""de"")"),"Eine Nahaufnahme von Lebensmitteln wird von zwei Frauen gezeigt, die mit der Kamera sprechen und verschiedene Zutaten präsentieren.")</f>
        <v>Eine Nahaufnahme von Lebensmitteln wird von zwei Frauen gezeigt, die mit der Kamera sprechen und verschiedene Zutaten präsentieren.</v>
      </c>
    </row>
    <row r="32788">
      <c r="A32788" s="4" t="s">
        <v>41261</v>
      </c>
      <c r="B32788" s="4" t="s">
        <v>41263</v>
      </c>
      <c r="C32788" s="5" t="str">
        <f>IFERROR(__xludf.DUMMYFUNCTION("GOOGLETRANSLATE(B32788,""en"",""de"")"),"Die Frauen mischen dann die Zutaten in einen Topf, nachdem die Nudeln gekocht wurden, und mischen dann alles in einer Schüssel.")</f>
        <v>Die Frauen mischen dann die Zutaten in einen Topf, nachdem die Nudeln gekocht wurden, und mischen dann alles in einer Schüssel.</v>
      </c>
    </row>
    <row r="32789">
      <c r="A32789" s="4" t="s">
        <v>41261</v>
      </c>
      <c r="B32789" s="4" t="s">
        <v>41264</v>
      </c>
      <c r="C32789" s="5" t="str">
        <f>IFERROR(__xludf.DUMMYFUNCTION("GOOGLETRANSLATE(B32789,""en"",""de"")"),"Schließlich wird das Gericht am Ende auf einem Teller gezeigt und die Frauen essen das Essen.")</f>
        <v>Schließlich wird das Gericht am Ende auf einem Teller gezeigt und die Frauen essen das Essen.</v>
      </c>
    </row>
    <row r="32790">
      <c r="A32790" s="4" t="s">
        <v>41265</v>
      </c>
      <c r="B32790" s="4" t="s">
        <v>41266</v>
      </c>
      <c r="C32790" s="5" t="str">
        <f>IFERROR(__xludf.DUMMYFUNCTION("GOOGLETRANSLATE(B32790,""en"",""de"")"),"Schwarzer Hund geht in einem Laufband in einem weißen Raum.")</f>
        <v>Schwarzer Hund geht in einem Laufband in einem weißen Raum.</v>
      </c>
    </row>
    <row r="32791">
      <c r="A32791" s="4" t="s">
        <v>41265</v>
      </c>
      <c r="B32791" s="4" t="s">
        <v>41267</v>
      </c>
      <c r="C32791" s="5" t="str">
        <f>IFERROR(__xludf.DUMMYFUNCTION("GOOGLETRANSLATE(B32791,""en"",""de"")"),"Der Hund läuft in dem Laufband, der sich neben einer Schublade befindet.")</f>
        <v>Der Hund läuft in dem Laufband, der sich neben einer Schublade befindet.</v>
      </c>
    </row>
    <row r="32792">
      <c r="A32792" s="4" t="s">
        <v>41265</v>
      </c>
      <c r="B32792" s="4" t="s">
        <v>41268</v>
      </c>
      <c r="C32792" s="5" t="str">
        <f>IFERROR(__xludf.DUMMYFUNCTION("GOOGLETRANSLATE(B32792,""en"",""de"")"),"Der Hund trägt eine rote Halskette und trainiert.")</f>
        <v>Der Hund trägt eine rote Halskette und trainiert.</v>
      </c>
    </row>
    <row r="32793">
      <c r="A32793" s="4" t="s">
        <v>41269</v>
      </c>
      <c r="B32793" s="4" t="s">
        <v>41270</v>
      </c>
      <c r="C32793" s="5" t="str">
        <f>IFERROR(__xludf.DUMMYFUNCTION("GOOGLETRANSLATE(B32793,""en"",""de"")"),"Ein Mädchen geht auf einem Tauchbrett.")</f>
        <v>Ein Mädchen geht auf einem Tauchbrett.</v>
      </c>
    </row>
    <row r="32794">
      <c r="A32794" s="4" t="s">
        <v>41269</v>
      </c>
      <c r="B32794" s="4" t="s">
        <v>41271</v>
      </c>
      <c r="C32794" s="5" t="str">
        <f>IFERROR(__xludf.DUMMYFUNCTION("GOOGLETRANSLATE(B32794,""en"",""de"")"),"Die Leute beobachten im Hintergrund.")</f>
        <v>Die Leute beobachten im Hintergrund.</v>
      </c>
    </row>
    <row r="32795">
      <c r="A32795" s="4" t="s">
        <v>41269</v>
      </c>
      <c r="B32795" s="4" t="s">
        <v>41272</v>
      </c>
      <c r="C32795" s="5" t="str">
        <f>IFERROR(__xludf.DUMMYFUNCTION("GOOGLETRANSLATE(B32795,""en"",""de"")"),"Das Mädchen springt vom Tauchbrett in den Schwimmbad.")</f>
        <v>Das Mädchen springt vom Tauchbrett in den Schwimmbad.</v>
      </c>
    </row>
    <row r="32796">
      <c r="A32796" s="4" t="s">
        <v>41269</v>
      </c>
      <c r="B32796" s="4" t="s">
        <v>41273</v>
      </c>
      <c r="C32796" s="5" t="str">
        <f>IFERROR(__xludf.DUMMYFUNCTION("GOOGLETRANSLATE(B32796,""en"",""de"")"),"Es gibt ein kleines Spritzer im Wasser.")</f>
        <v>Es gibt ein kleines Spritzer im Wasser.</v>
      </c>
    </row>
    <row r="32797">
      <c r="A32797" s="4" t="s">
        <v>41274</v>
      </c>
      <c r="B32797" s="4" t="s">
        <v>41275</v>
      </c>
      <c r="C32797" s="5" t="str">
        <f>IFERROR(__xludf.DUMMYFUNCTION("GOOGLETRANSLATE(B32797,""en"",""de"")"),"Ein junger Mann legt ein Stück Holz auf eine Rinde und hält eine Axt hoch.")</f>
        <v>Ein junger Mann legt ein Stück Holz auf eine Rinde und hält eine Axt hoch.</v>
      </c>
    </row>
    <row r="32798">
      <c r="A32798" s="4" t="s">
        <v>41274</v>
      </c>
      <c r="B32798" s="4" t="s">
        <v>41276</v>
      </c>
      <c r="C32798" s="5" t="str">
        <f>IFERROR(__xludf.DUMMYFUNCTION("GOOGLETRANSLATE(B32798,""en"",""de"")"),"Dann schwingt er mit der Axt die Rinde, die sie in zwei Hälften bricht, gefolgt von ihm in die Luft.")</f>
        <v>Dann schwingt er mit der Axt die Rinde, die sie in zwei Hälften bricht, gefolgt von ihm in die Luft.</v>
      </c>
    </row>
    <row r="32799">
      <c r="A32799" s="4" t="s">
        <v>41277</v>
      </c>
      <c r="B32799" s="4" t="s">
        <v>41278</v>
      </c>
      <c r="C32799" s="5" t="str">
        <f>IFERROR(__xludf.DUMMYFUNCTION("GOOGLETRANSLATE(B32799,""en"",""de"")"),"Eine Frau sitzt neben einem Vakuum auf dem Boden.")</f>
        <v>Eine Frau sitzt neben einem Vakuum auf dem Boden.</v>
      </c>
    </row>
    <row r="32800">
      <c r="A32800" s="4" t="s">
        <v>41277</v>
      </c>
      <c r="B32800" s="4" t="s">
        <v>41279</v>
      </c>
      <c r="C32800" s="5" t="str">
        <f>IFERROR(__xludf.DUMMYFUNCTION("GOOGLETRANSLATE(B32800,""en"",""de"")"),"Die Frau sehnt Schmutz auf einem harten Boden.")</f>
        <v>Die Frau sehnt Schmutz auf einem harten Boden.</v>
      </c>
    </row>
    <row r="32801">
      <c r="A32801" s="4" t="s">
        <v>41277</v>
      </c>
      <c r="B32801" s="4" t="s">
        <v>41280</v>
      </c>
      <c r="C32801" s="5" t="str">
        <f>IFERROR(__xludf.DUMMYFUNCTION("GOOGLETRANSLATE(B32801,""en"",""de"")"),"Dann reinigt die Frau Verschwendung auf einem Teppich.")</f>
        <v>Dann reinigt die Frau Verschwendung auf einem Teppich.</v>
      </c>
    </row>
    <row r="32802">
      <c r="A32802" s="4" t="s">
        <v>41277</v>
      </c>
      <c r="B32802" s="4" t="s">
        <v>41281</v>
      </c>
      <c r="C32802" s="5" t="str">
        <f>IFERROR(__xludf.DUMMYFUNCTION("GOOGLETRANSLATE(B32802,""en"",""de"")"),"Danach saugt die Frau mit einer kleineren Düse über ein Kissen.")</f>
        <v>Danach saugt die Frau mit einer kleineren Düse über ein Kissen.</v>
      </c>
    </row>
    <row r="32803">
      <c r="A32803" s="4" t="s">
        <v>41277</v>
      </c>
      <c r="B32803" s="4" t="s">
        <v>41282</v>
      </c>
      <c r="C32803" s="5" t="str">
        <f>IFERROR(__xludf.DUMMYFUNCTION("GOOGLETRANSLATE(B32803,""en"",""de"")"),"Als nächstes legte die Frau eine neue Düse, um schmale Oberflächen zu reinigen.")</f>
        <v>Als nächstes legte die Frau eine neue Düse, um schmale Oberflächen zu reinigen.</v>
      </c>
    </row>
    <row r="32804">
      <c r="A32804" s="4" t="s">
        <v>41277</v>
      </c>
      <c r="B32804" s="4" t="s">
        <v>41283</v>
      </c>
      <c r="C32804" s="5" t="str">
        <f>IFERROR(__xludf.DUMMYFUNCTION("GOOGLETRANSLATE(B32804,""en"",""de"")"),"Auch die Frau misst den Absaugendruck und zeigt das Innere des Vakuums.")</f>
        <v>Auch die Frau misst den Absaugendruck und zeigt das Innere des Vakuums.</v>
      </c>
    </row>
    <row r="32805">
      <c r="A32805" s="4" t="s">
        <v>41284</v>
      </c>
      <c r="B32805" s="4" t="s">
        <v>41285</v>
      </c>
      <c r="C32805" s="5" t="str">
        <f>IFERROR(__xludf.DUMMYFUNCTION("GOOGLETRANSLATE(B32805,""en"",""de"")"),"Wir sehen zwei Mädchen, die China auf Tauchbrettern über einem olympischen Pool repräsentieren und im Einklang tauchen, und wir sehen ihre Punktzahlen.")</f>
        <v>Wir sehen zwei Mädchen, die China auf Tauchbrettern über einem olympischen Pool repräsentieren und im Einklang tauchen, und wir sehen ihre Punktzahlen.</v>
      </c>
    </row>
    <row r="32806">
      <c r="A32806" s="4" t="s">
        <v>41284</v>
      </c>
      <c r="B32806" s="4" t="s">
        <v>41286</v>
      </c>
      <c r="C32806" s="5" t="str">
        <f>IFERROR(__xludf.DUMMYFUNCTION("GOOGLETRANSLATE(B32806,""en"",""de"")"),"Wir sehen dann zwei Mädchen, die die USA im Einklang tauchen und ihre Punktzahlen sehen.")</f>
        <v>Wir sehen dann zwei Mädchen, die die USA im Einklang tauchen und ihre Punktzahlen sehen.</v>
      </c>
    </row>
    <row r="32807">
      <c r="A32807" s="4" t="s">
        <v>41284</v>
      </c>
      <c r="B32807" s="4" t="s">
        <v>41287</v>
      </c>
      <c r="C32807" s="5" t="str">
        <f>IFERROR(__xludf.DUMMYFUNCTION("GOOGLETRANSLATE(B32807,""en"",""de"")"),"Als nächstes stehen zwei Mädchen, die Italien tauchen, und es werden Werte gezeigt.")</f>
        <v>Als nächstes stehen zwei Mädchen, die Italien tauchen, und es werden Werte gezeigt.</v>
      </c>
    </row>
    <row r="32808">
      <c r="A32808" s="4" t="s">
        <v>41284</v>
      </c>
      <c r="B32808" s="4" t="s">
        <v>41288</v>
      </c>
      <c r="C32808" s="5" t="str">
        <f>IFERROR(__xludf.DUMMYFUNCTION("GOOGLETRANSLATE(B32808,""en"",""de"")"),"Deutschland ist das nächste Team, das eintauchen kann, und für sie werden Punkte gezeigt.")</f>
        <v>Deutschland ist das nächste Team, das eintauchen kann, und für sie werden Punkte gezeigt.</v>
      </c>
    </row>
    <row r="32809">
      <c r="A32809" s="4" t="s">
        <v>41289</v>
      </c>
      <c r="B32809" s="4" t="s">
        <v>41290</v>
      </c>
      <c r="C32809" s="5" t="str">
        <f>IFERROR(__xludf.DUMMYFUNCTION("GOOGLETRANSLATE(B32809,""en"",""de"")"),"Ein Mann spricht mit der Kamera und hält eine Mundharmonika hoch.")</f>
        <v>Ein Mann spricht mit der Kamera und hält eine Mundharmonika hoch.</v>
      </c>
    </row>
    <row r="32810">
      <c r="A32810" s="4" t="s">
        <v>41289</v>
      </c>
      <c r="B32810" s="4" t="s">
        <v>41291</v>
      </c>
      <c r="C32810" s="5" t="str">
        <f>IFERROR(__xludf.DUMMYFUNCTION("GOOGLETRANSLATE(B32810,""en"",""de"")"),"Der Mann bläst in das Instrument, während er inne hielt, um mit der Kamera zu sprechen.")</f>
        <v>Der Mann bläst in das Instrument, während er inne hielt, um mit der Kamera zu sprechen.</v>
      </c>
    </row>
    <row r="32811">
      <c r="A32811" s="4" t="s">
        <v>41289</v>
      </c>
      <c r="B32811" s="4" t="s">
        <v>41292</v>
      </c>
      <c r="C32811" s="5" t="str">
        <f>IFERROR(__xludf.DUMMYFUNCTION("GOOGLETRANSLATE(B32811,""en"",""de"")"),"Er spielt weiterhin das Instrument und hält an, um mit der Kamera zu sprechen.")</f>
        <v>Er spielt weiterhin das Instrument und hält an, um mit der Kamera zu sprechen.</v>
      </c>
    </row>
    <row r="32812">
      <c r="A32812" s="4" t="s">
        <v>41293</v>
      </c>
      <c r="B32812" s="4" t="s">
        <v>41294</v>
      </c>
      <c r="C32812" s="5" t="str">
        <f>IFERROR(__xludf.DUMMYFUNCTION("GOOGLETRANSLATE(B32812,""en"",""de"")"),"Die Menschen snowboarden einen großen Schneeschnee hinunter.")</f>
        <v>Die Menschen snowboarden einen großen Schneeschnee hinunter.</v>
      </c>
    </row>
    <row r="32813">
      <c r="A32813" s="4" t="s">
        <v>41293</v>
      </c>
      <c r="B32813" s="4" t="s">
        <v>41295</v>
      </c>
      <c r="C32813" s="5" t="str">
        <f>IFERROR(__xludf.DUMMYFUNCTION("GOOGLETRANSLATE(B32813,""en"",""de"")"),"Eine Person in einer grünen Jacke hält eine Kamera vor sich.")</f>
        <v>Eine Person in einer grünen Jacke hält eine Kamera vor sich.</v>
      </c>
    </row>
    <row r="32814">
      <c r="A32814" s="4" t="s">
        <v>41293</v>
      </c>
      <c r="B32814" s="4" t="s">
        <v>41296</v>
      </c>
      <c r="C32814" s="5" t="str">
        <f>IFERROR(__xludf.DUMMYFUNCTION("GOOGLETRANSLATE(B32814,""en"",""de"")"),"Die Leute gehen nach unten und nehmen ihre Snowboards ab.")</f>
        <v>Die Leute gehen nach unten und nehmen ihre Snowboards ab.</v>
      </c>
    </row>
    <row r="32815">
      <c r="A32815" s="4" t="s">
        <v>41297</v>
      </c>
      <c r="B32815" s="4" t="s">
        <v>41298</v>
      </c>
      <c r="C32815" s="5" t="str">
        <f>IFERROR(__xludf.DUMMYFUNCTION("GOOGLETRANSLATE(B32815,""en"",""de"")"),"Männer am Strand spielen Volleyball im Sand.")</f>
        <v>Männer am Strand spielen Volleyball im Sand.</v>
      </c>
    </row>
    <row r="32816">
      <c r="A32816" s="4" t="s">
        <v>41297</v>
      </c>
      <c r="B32816" s="4" t="s">
        <v>41299</v>
      </c>
      <c r="C32816" s="5" t="str">
        <f>IFERROR(__xludf.DUMMYFUNCTION("GOOGLETRANSLATE(B32816,""en"",""de"")"),"Einer der Jungs schlägt den Ball auf die andere Seite und sie haben ihn zurückgeschlagen.")</f>
        <v>Einer der Jungs schlägt den Ball auf die andere Seite und sie haben ihn zurückgeschlagen.</v>
      </c>
    </row>
    <row r="32817">
      <c r="A32817" s="4" t="s">
        <v>41297</v>
      </c>
      <c r="B32817" s="4" t="s">
        <v>41300</v>
      </c>
      <c r="C32817" s="5" t="str">
        <f>IFERROR(__xludf.DUMMYFUNCTION("GOOGLETRANSLATE(B32817,""en"",""de"")"),"Dann gibt es auf der anderen Seite des Strandes auch eine Gruppe von Frauen, die auch Volleyball spielen.")</f>
        <v>Dann gibt es auf der anderen Seite des Strandes auch eine Gruppe von Frauen, die auch Volleyball spielen.</v>
      </c>
    </row>
    <row r="32818">
      <c r="A32818" s="4" t="s">
        <v>41297</v>
      </c>
      <c r="B32818" s="4" t="s">
        <v>41301</v>
      </c>
      <c r="C32818" s="5" t="str">
        <f>IFERROR(__xludf.DUMMYFUNCTION("GOOGLETRANSLATE(B32818,""en"",""de"")"),"Sie spielen ein wirklich gutes Spiel, eines der Mädchen landet direkt auf dem Bauch.")</f>
        <v>Sie spielen ein wirklich gutes Spiel, eines der Mädchen landet direkt auf dem Bauch.</v>
      </c>
    </row>
    <row r="32819">
      <c r="A32819" s="4" t="s">
        <v>41302</v>
      </c>
      <c r="B32819" s="4" t="s">
        <v>41303</v>
      </c>
      <c r="C32819" s="5" t="str">
        <f>IFERROR(__xludf.DUMMYFUNCTION("GOOGLETRANSLATE(B32819,""en"",""de"")"),"Ein Hund schwimmt in einem kleinen Pool.")</f>
        <v>Ein Hund schwimmt in einem kleinen Pool.</v>
      </c>
    </row>
    <row r="32820">
      <c r="A32820" s="4" t="s">
        <v>41302</v>
      </c>
      <c r="B32820" s="4" t="s">
        <v>41304</v>
      </c>
      <c r="C32820" s="5" t="str">
        <f>IFERROR(__xludf.DUMMYFUNCTION("GOOGLETRANSLATE(B32820,""en"",""de"")"),"Er wird mit Shampoo gerieben.")</f>
        <v>Er wird mit Shampoo gerieben.</v>
      </c>
    </row>
    <row r="32821">
      <c r="A32821" s="4" t="s">
        <v>41302</v>
      </c>
      <c r="B32821" s="4" t="s">
        <v>41305</v>
      </c>
      <c r="C32821" s="5" t="str">
        <f>IFERROR(__xludf.DUMMYFUNCTION("GOOGLETRANSLATE(B32821,""en"",""de"")"),"Er ist wieder im Wasser und wird gereinigt.")</f>
        <v>Er ist wieder im Wasser und wird gereinigt.</v>
      </c>
    </row>
    <row r="32822">
      <c r="A32822" s="4" t="s">
        <v>41302</v>
      </c>
      <c r="B32822" s="4" t="s">
        <v>41306</v>
      </c>
      <c r="C32822" s="5" t="str">
        <f>IFERROR(__xludf.DUMMYFUNCTION("GOOGLETRANSLATE(B32822,""en"",""de"")"),"Eine Person sprüht den Hund mit einem Schlauch.")</f>
        <v>Eine Person sprüht den Hund mit einem Schlauch.</v>
      </c>
    </row>
    <row r="32823">
      <c r="A32823" s="4" t="s">
        <v>41302</v>
      </c>
      <c r="B32823" s="4" t="s">
        <v>41307</v>
      </c>
      <c r="C32823" s="5" t="str">
        <f>IFERROR(__xludf.DUMMYFUNCTION("GOOGLETRANSLATE(B32823,""en"",""de"")"),"Der Hund wird dann in einen Metallstift gestellt.")</f>
        <v>Der Hund wird dann in einen Metallstift gestellt.</v>
      </c>
    </row>
    <row r="32824">
      <c r="A32824" s="4" t="s">
        <v>41308</v>
      </c>
      <c r="B32824" s="4" t="s">
        <v>41309</v>
      </c>
      <c r="C32824" s="5" t="str">
        <f>IFERROR(__xludf.DUMMYFUNCTION("GOOGLETRANSLATE(B32824,""en"",""de"")"),"Eine Person erklärt, wie man Kürbis spielt und einen Schläger und einen blauen Ball hält.")</f>
        <v>Eine Person erklärt, wie man Kürbis spielt und einen Schläger und einen blauen Ball hält.</v>
      </c>
    </row>
    <row r="32825">
      <c r="A32825" s="4" t="s">
        <v>41308</v>
      </c>
      <c r="B32825" s="4" t="s">
        <v>41310</v>
      </c>
      <c r="C32825" s="5" t="str">
        <f>IFERROR(__xludf.DUMMYFUNCTION("GOOGLETRANSLATE(B32825,""en"",""de"")"),"Dann erklärt er weiter und zeigt, wie man den Ball an die Wand schlägt.")</f>
        <v>Dann erklärt er weiter und zeigt, wie man den Ball an die Wand schlägt.</v>
      </c>
    </row>
    <row r="32826">
      <c r="A32826" s="4" t="s">
        <v>41311</v>
      </c>
      <c r="B32826" s="4" t="s">
        <v>41312</v>
      </c>
      <c r="C32826" s="5" t="str">
        <f>IFERROR(__xludf.DUMMYFUNCTION("GOOGLETRANSLATE(B32826,""en"",""de"")"),"Ein Fahrrad ist außerhalb eines Gebäudes zu sehen.")</f>
        <v>Ein Fahrrad ist außerhalb eines Gebäudes zu sehen.</v>
      </c>
    </row>
    <row r="32827">
      <c r="A32827" s="4" t="s">
        <v>41311</v>
      </c>
      <c r="B32827" s="4" t="s">
        <v>41313</v>
      </c>
      <c r="C32827" s="5" t="str">
        <f>IFERROR(__xludf.DUMMYFUNCTION("GOOGLETRANSLATE(B32827,""en"",""de"")"),"Eine Gruppe von Männern ist draußen, trinkt untätig und redet, während sie Bierpong spielen.")</f>
        <v>Eine Gruppe von Männern ist draußen, trinkt untätig und redet, während sie Bierpong spielen.</v>
      </c>
    </row>
    <row r="32828">
      <c r="A32828" s="4" t="s">
        <v>41311</v>
      </c>
      <c r="B32828" s="4" t="s">
        <v>41314</v>
      </c>
      <c r="C32828" s="5" t="str">
        <f>IFERROR(__xludf.DUMMYFUNCTION("GOOGLETRANSLATE(B32828,""en"",""de"")"),"Sie versuchen, den Ball in die Brille zu werfen.")</f>
        <v>Sie versuchen, den Ball in die Brille zu werfen.</v>
      </c>
    </row>
    <row r="32829">
      <c r="A32829" s="4" t="s">
        <v>41311</v>
      </c>
      <c r="B32829" s="4" t="s">
        <v>41315</v>
      </c>
      <c r="C32829" s="5" t="str">
        <f>IFERROR(__xludf.DUMMYFUNCTION("GOOGLETRANSLATE(B32829,""en"",""de"")"),"Sie lachen und reden, während sie spielen.")</f>
        <v>Sie lachen und reden, während sie spielen.</v>
      </c>
    </row>
    <row r="32830">
      <c r="A32830" s="4" t="s">
        <v>41316</v>
      </c>
      <c r="B32830" s="4" t="s">
        <v>41317</v>
      </c>
      <c r="C32830" s="5" t="str">
        <f>IFERROR(__xludf.DUMMYFUNCTION("GOOGLETRANSLATE(B32830,""en"",""de"")"),"Eine Kamera schwenkt um einen großen See, gefolgt von einer Person, die auf Skier hinter einem Jetski vorbeifährt.")</f>
        <v>Eine Kamera schwenkt um einen großen See, gefolgt von einer Person, die auf Skier hinter einem Jetski vorbeifährt.</v>
      </c>
    </row>
    <row r="32831">
      <c r="A32831" s="4" t="s">
        <v>41316</v>
      </c>
      <c r="B32831" s="4" t="s">
        <v>41318</v>
      </c>
      <c r="C32831" s="5" t="str">
        <f>IFERROR(__xludf.DUMMYFUNCTION("GOOGLETRANSLATE(B32831,""en"",""de"")"),"Zwei Menschen reiten hinter dem Jetski und bewegen sich weiter entlang des Wassers.")</f>
        <v>Zwei Menschen reiten hinter dem Jetski und bewegen sich weiter entlang des Wassers.</v>
      </c>
    </row>
    <row r="32832">
      <c r="A32832" s="4" t="s">
        <v>41319</v>
      </c>
      <c r="B32832" s="4" t="s">
        <v>41320</v>
      </c>
      <c r="C32832" s="5" t="str">
        <f>IFERROR(__xludf.DUMMYFUNCTION("GOOGLETRANSLATE(B32832,""en"",""de"")"),"Der Spieler im gelben Hemd trat den Ball in Richtung des Tores, und der Torhüter konnte ihn nicht fangen, ein anderer Spieler im roten Hemd trat den Ball und der Torhüter konnte ihn nicht fangen.")</f>
        <v>Der Spieler im gelben Hemd trat den Ball in Richtung des Tores, und der Torhüter konnte ihn nicht fangen, ein anderer Spieler im roten Hemd trat den Ball und der Torhüter konnte ihn nicht fangen.</v>
      </c>
    </row>
    <row r="32833">
      <c r="A32833" s="4" t="s">
        <v>41319</v>
      </c>
      <c r="B32833" s="4" t="s">
        <v>41321</v>
      </c>
      <c r="C32833" s="5" t="str">
        <f>IFERROR(__xludf.DUMMYFUNCTION("GOOGLETRANSLATE(B32833,""en"",""de"")"),"Der Torhüter steht vor dem Netz, die Menge jubelt.")</f>
        <v>Der Torhüter steht vor dem Netz, die Menge jubelt.</v>
      </c>
    </row>
    <row r="32834">
      <c r="A32834" s="4" t="s">
        <v>41322</v>
      </c>
      <c r="B32834" s="4" t="s">
        <v>41323</v>
      </c>
      <c r="C32834" s="5" t="str">
        <f>IFERROR(__xludf.DUMMYFUNCTION("GOOGLETRANSLATE(B32834,""en"",""de"")"),"Ein weißer Bildschirm wird angezeigt und mehrere Wörter werden auf dem Bildschirm angezeigt.")</f>
        <v>Ein weißer Bildschirm wird angezeigt und mehrere Wörter werden auf dem Bildschirm angezeigt.</v>
      </c>
    </row>
    <row r="32835">
      <c r="A32835" s="4" t="s">
        <v>41322</v>
      </c>
      <c r="B32835" s="4" t="s">
        <v>41324</v>
      </c>
      <c r="C32835" s="5" t="str">
        <f>IFERROR(__xludf.DUMMYFUNCTION("GOOGLETRANSLATE(B32835,""en"",""de"")"),"Dann wird eine blaue Matte gezeigt und eine Person fährt und legt die blaue Matte gegen die Matte.")</f>
        <v>Dann wird eine blaue Matte gezeigt und eine Person fährt und legt die blaue Matte gegen die Matte.</v>
      </c>
    </row>
    <row r="32836">
      <c r="A32836" s="4" t="s">
        <v>41322</v>
      </c>
      <c r="B32836" s="4" t="s">
        <v>41325</v>
      </c>
      <c r="C32836" s="5" t="str">
        <f>IFERROR(__xludf.DUMMYFUNCTION("GOOGLETRANSLATE(B32836,""en"",""de"")"),"Der Mann nimmt ein Messband heraus und schneidet ein Stück der blauen Matte ab und bedeckt den Boden weiter.")</f>
        <v>Der Mann nimmt ein Messband heraus und schneidet ein Stück der blauen Matte ab und bedeckt den Boden weiter.</v>
      </c>
    </row>
    <row r="32837">
      <c r="A32837" s="4" t="s">
        <v>41326</v>
      </c>
      <c r="B32837" s="4" t="s">
        <v>41327</v>
      </c>
      <c r="C32837" s="5" t="str">
        <f>IFERROR(__xludf.DUMMYFUNCTION("GOOGLETRANSLATE(B32837,""en"",""de"")"),"Zwei Leute spielen ein Poolspiel, während andere nebenbei und Gespräche zuschauen.")</f>
        <v>Zwei Leute spielen ein Poolspiel, während andere nebenbei und Gespräche zuschauen.</v>
      </c>
    </row>
    <row r="32838">
      <c r="A32838" s="4" t="s">
        <v>41326</v>
      </c>
      <c r="B32838" s="4" t="s">
        <v>41328</v>
      </c>
      <c r="C32838" s="5" t="str">
        <f>IFERROR(__xludf.DUMMYFUNCTION("GOOGLETRANSLATE(B32838,""en"",""de"")"),"Die Männer schlagen weiterhin den Ball um den Tisch und bewegen sich herum.")</f>
        <v>Die Männer schlagen weiterhin den Ball um den Tisch und bewegen sich herum.</v>
      </c>
    </row>
    <row r="32839">
      <c r="A32839" s="4" t="s">
        <v>41329</v>
      </c>
      <c r="B32839" s="4" t="s">
        <v>41330</v>
      </c>
      <c r="C32839" s="5" t="str">
        <f>IFERROR(__xludf.DUMMYFUNCTION("GOOGLETRANSLATE(B32839,""en"",""de"")"),"Zwei Männer sprechen draußen miteinander und sie beginnen Armstrecken.")</f>
        <v>Zwei Männer sprechen draußen miteinander und sie beginnen Armstrecken.</v>
      </c>
    </row>
    <row r="32840">
      <c r="A32840" s="4" t="s">
        <v>41329</v>
      </c>
      <c r="B32840" s="4" t="s">
        <v>41331</v>
      </c>
      <c r="C32840" s="5" t="str">
        <f>IFERROR(__xludf.DUMMYFUNCTION("GOOGLETRANSLATE(B32840,""en"",""de"")"),"Sie halten dann an und machen eine Reihe von Stein, Papier, Schere.")</f>
        <v>Sie halten dann an und machen eine Reihe von Stein, Papier, Schere.</v>
      </c>
    </row>
    <row r="32841">
      <c r="A32841" s="4" t="s">
        <v>41332</v>
      </c>
      <c r="B32841" s="4" t="s">
        <v>41333</v>
      </c>
      <c r="C32841" s="5" t="str">
        <f>IFERROR(__xludf.DUMMYFUNCTION("GOOGLETRANSLATE(B32841,""en"",""de"")"),"Mehrere kleine Kinder fahren in Stoßstangenautos herum.")</f>
        <v>Mehrere kleine Kinder fahren in Stoßstangenautos herum.</v>
      </c>
    </row>
    <row r="32842">
      <c r="A32842" s="4" t="s">
        <v>41332</v>
      </c>
      <c r="B32842" s="4" t="s">
        <v>41334</v>
      </c>
      <c r="C32842" s="5" t="str">
        <f>IFERROR(__xludf.DUMMYFUNCTION("GOOGLETRANSLATE(B32842,""en"",""de"")"),"Einer von ihnen dreht sich ständig in Kreisen.")</f>
        <v>Einer von ihnen dreht sich ständig in Kreisen.</v>
      </c>
    </row>
    <row r="32843">
      <c r="A32843" s="4" t="s">
        <v>41332</v>
      </c>
      <c r="B32843" s="4" t="s">
        <v>41335</v>
      </c>
      <c r="C32843" s="5" t="str">
        <f>IFERROR(__xludf.DUMMYFUNCTION("GOOGLETRANSLATE(B32843,""en"",""de"")"),"Sie reitet alleine, nachdem die anderen gegangen sind.")</f>
        <v>Sie reitet alleine, nachdem die anderen gegangen sind.</v>
      </c>
    </row>
    <row r="32844">
      <c r="A32844" s="4" t="s">
        <v>41336</v>
      </c>
      <c r="B32844" s="4" t="s">
        <v>41337</v>
      </c>
      <c r="C32844" s="5" t="str">
        <f>IFERROR(__xludf.DUMMYFUNCTION("GOOGLETRANSLATE(B32844,""en"",""de"")"),"Wir sehen eine Dame, die ihre Fingernägel malen.")</f>
        <v>Wir sehen eine Dame, die ihre Fingernägel malen.</v>
      </c>
    </row>
    <row r="32845">
      <c r="A32845" s="4" t="s">
        <v>41336</v>
      </c>
      <c r="B32845" s="4" t="s">
        <v>41338</v>
      </c>
      <c r="C32845" s="5" t="str">
        <f>IFERROR(__xludf.DUMMYFUNCTION("GOOGLETRANSLATE(B32845,""en"",""de"")"),"Wir sehen einen Titelbildschirm.")</f>
        <v>Wir sehen einen Titelbildschirm.</v>
      </c>
    </row>
    <row r="32846">
      <c r="A32846" s="4" t="s">
        <v>41336</v>
      </c>
      <c r="B32846" s="4" t="s">
        <v>41339</v>
      </c>
      <c r="C32846" s="5" t="str">
        <f>IFERROR(__xludf.DUMMYFUNCTION("GOOGLETRANSLATE(B32846,""en"",""de"")"),"Die Dame filt und legt einen klaren Mantel auf.")</f>
        <v>Die Dame filt und legt einen klaren Mantel auf.</v>
      </c>
    </row>
    <row r="32847">
      <c r="A32847" s="4" t="s">
        <v>41336</v>
      </c>
      <c r="B32847" s="4" t="s">
        <v>41340</v>
      </c>
      <c r="C32847" s="5" t="str">
        <f>IFERROR(__xludf.DUMMYFUNCTION("GOOGLETRANSLATE(B32847,""en"",""de"")"),"Die Dame malt ihre Fingernägel blau.")</f>
        <v>Die Dame malt ihre Fingernägel blau.</v>
      </c>
    </row>
    <row r="32848">
      <c r="A32848" s="4" t="s">
        <v>41336</v>
      </c>
      <c r="B32848" s="4" t="s">
        <v>41341</v>
      </c>
      <c r="C32848" s="5" t="str">
        <f>IFERROR(__xludf.DUMMYFUNCTION("GOOGLETRANSLATE(B32848,""en"",""de"")"),"Die Dame fügt einen Deckmantel mit klarem Politur hinzu.")</f>
        <v>Die Dame fügt einen Deckmantel mit klarem Politur hinzu.</v>
      </c>
    </row>
    <row r="32849">
      <c r="A32849" s="4" t="s">
        <v>41336</v>
      </c>
      <c r="B32849" s="4" t="s">
        <v>41342</v>
      </c>
      <c r="C32849" s="5" t="str">
        <f>IFERROR(__xludf.DUMMYFUNCTION("GOOGLETRANSLATE(B32849,""en"",""de"")"),"Die Dame legt Öl auf ihre Nagelhaut und wir sehen das fertige Produkt.")</f>
        <v>Die Dame legt Öl auf ihre Nagelhaut und wir sehen das fertige Produkt.</v>
      </c>
    </row>
    <row r="32850">
      <c r="A32850" s="4" t="s">
        <v>41336</v>
      </c>
      <c r="B32850" s="4" t="s">
        <v>777</v>
      </c>
      <c r="C32850" s="5" t="str">
        <f>IFERROR(__xludf.DUMMYFUNCTION("GOOGLETRANSLATE(B32850,""en"",""de"")"),"Wir sehen den End -Titelbildschirm.")</f>
        <v>Wir sehen den End -Titelbildschirm.</v>
      </c>
    </row>
    <row r="32851">
      <c r="A32851" s="4" t="s">
        <v>41343</v>
      </c>
      <c r="B32851" s="4" t="s">
        <v>41344</v>
      </c>
      <c r="C32851" s="5" t="str">
        <f>IFERROR(__xludf.DUMMYFUNCTION("GOOGLETRANSLATE(B32851,""en"",""de"")"),"Diese Frau spielt die schwarze Mundharmonika.")</f>
        <v>Diese Frau spielt die schwarze Mundharmonika.</v>
      </c>
    </row>
    <row r="32852">
      <c r="A32852" s="4" t="s">
        <v>41343</v>
      </c>
      <c r="B32852" s="4" t="s">
        <v>41345</v>
      </c>
      <c r="C32852" s="5" t="str">
        <f>IFERROR(__xludf.DUMMYFUNCTION("GOOGLETRANSLATE(B32852,""en"",""de"")"),"Sie hält ein bisschen an, aber dann geht sie weiter.")</f>
        <v>Sie hält ein bisschen an, aber dann geht sie weiter.</v>
      </c>
    </row>
    <row r="32853">
      <c r="A32853" s="4" t="s">
        <v>41346</v>
      </c>
      <c r="B32853" s="4" t="s">
        <v>41347</v>
      </c>
      <c r="C32853" s="5" t="str">
        <f>IFERROR(__xludf.DUMMYFUNCTION("GOOGLETRANSLATE(B32853,""en"",""de"")"),"Ein großer schwarzer Mann steht außerhalb des Klatschens und versucht, die Teilnahme der Menschenmengen zu gewinnen.")</f>
        <v>Ein großer schwarzer Mann steht außerhalb des Klatschens und versucht, die Teilnahme der Menschenmengen zu gewinnen.</v>
      </c>
    </row>
    <row r="32854">
      <c r="A32854" s="4" t="s">
        <v>41346</v>
      </c>
      <c r="B32854" s="4" t="s">
        <v>41348</v>
      </c>
      <c r="C32854" s="5" t="str">
        <f>IFERROR(__xludf.DUMMYFUNCTION("GOOGLETRANSLATE(B32854,""en"",""de"")"),"Der Athlet nimmt dann ab und macht einen dreifachen Sprung in die Grube.")</f>
        <v>Der Athlet nimmt dann ab und macht einen dreifachen Sprung in die Grube.</v>
      </c>
    </row>
    <row r="32855">
      <c r="A32855" s="4" t="s">
        <v>41346</v>
      </c>
      <c r="B32855" s="4" t="s">
        <v>41349</v>
      </c>
      <c r="C32855" s="5" t="str">
        <f>IFERROR(__xludf.DUMMYFUNCTION("GOOGLETRANSLATE(B32855,""en"",""de"")"),"Sobald er aus der Grube kommt, geht er herum und eine Wiederholung wird gezeigt, um sicherzustellen, dass er nicht kratzt und der Sprung gezählt werden kann.")</f>
        <v>Sobald er aus der Grube kommt, geht er herum und eine Wiederholung wird gezeigt, um sicherzustellen, dass er nicht kratzt und der Sprung gezählt werden kann.</v>
      </c>
    </row>
    <row r="32856">
      <c r="A32856" s="4" t="s">
        <v>41346</v>
      </c>
      <c r="B32856" s="4" t="s">
        <v>41350</v>
      </c>
      <c r="C32856" s="5" t="str">
        <f>IFERROR(__xludf.DUMMYFUNCTION("GOOGLETRANSLATE(B32856,""en"",""de"")"),"Ein anderer Mann nähert sich dem Lauf und wiederholt den gleichen Schritt, kratzt aber am Ende.")</f>
        <v>Ein anderer Mann nähert sich dem Lauf und wiederholt den gleichen Schritt, kratzt aber am Ende.</v>
      </c>
    </row>
    <row r="32857">
      <c r="A32857" s="4" t="s">
        <v>41351</v>
      </c>
      <c r="B32857" s="4" t="s">
        <v>41352</v>
      </c>
      <c r="C32857" s="5" t="str">
        <f>IFERROR(__xludf.DUMMYFUNCTION("GOOGLETRANSLATE(B32857,""en"",""de"")"),"Die Leute fliegen Drachen von einem Dach mit Kite -Streichbädern.")</f>
        <v>Die Leute fliegen Drachen von einem Dach mit Kite -Streichbädern.</v>
      </c>
    </row>
    <row r="32858">
      <c r="A32858" s="4" t="s">
        <v>41351</v>
      </c>
      <c r="B32858" s="4" t="s">
        <v>41353</v>
      </c>
      <c r="C32858" s="5" t="str">
        <f>IFERROR(__xludf.DUMMYFUNCTION("GOOGLETRANSLATE(B32858,""en"",""de"")"),"Mehrere Drachen fliegen in den Himmel.")</f>
        <v>Mehrere Drachen fliegen in den Himmel.</v>
      </c>
    </row>
    <row r="32859">
      <c r="A32859" s="4" t="s">
        <v>41351</v>
      </c>
      <c r="B32859" s="4" t="s">
        <v>41354</v>
      </c>
      <c r="C32859" s="5" t="str">
        <f>IFERROR(__xludf.DUMMYFUNCTION("GOOGLETRANSLATE(B32859,""en"",""de"")"),"Ein Mann hält einen Kite -Saitenbecken, während er einen Drachen fliegt.")</f>
        <v>Ein Mann hält einen Kite -Saitenbecken, während er einen Drachen fliegt.</v>
      </c>
    </row>
    <row r="32860">
      <c r="A32860" s="4" t="s">
        <v>41355</v>
      </c>
      <c r="B32860" s="4" t="s">
        <v>41356</v>
      </c>
      <c r="C32860" s="5" t="str">
        <f>IFERROR(__xludf.DUMMYFUNCTION("GOOGLETRANSLATE(B32860,""en"",""de"")"),"Ein Mann hält ein Stück Metall hoch und legt es entlang einer Wand.")</f>
        <v>Ein Mann hält ein Stück Metall hoch und legt es entlang einer Wand.</v>
      </c>
    </row>
    <row r="32861">
      <c r="A32861" s="4" t="s">
        <v>41355</v>
      </c>
      <c r="B32861" s="4" t="s">
        <v>41357</v>
      </c>
      <c r="C32861" s="5" t="str">
        <f>IFERROR(__xludf.DUMMYFUNCTION("GOOGLETRANSLATE(B32861,""en"",""de"")"),"Dann legt er Gips entlang des Metalls und reibt den Schleifer über die Wand, während er immer noch zur Kamera zurückblickt.")</f>
        <v>Dann legt er Gips entlang des Metalls und reibt den Schleifer über die Wand, während er immer noch zur Kamera zurückblickt.</v>
      </c>
    </row>
    <row r="32862">
      <c r="A32862" s="4" t="s">
        <v>41358</v>
      </c>
      <c r="B32862" s="4" t="s">
        <v>41359</v>
      </c>
      <c r="C32862" s="5" t="str">
        <f>IFERROR(__xludf.DUMMYFUNCTION("GOOGLETRANSLATE(B32862,""en"",""de"")"),"Zwei Teams spielen ein Spiel im Indoor -Fußball.")</f>
        <v>Zwei Teams spielen ein Spiel im Indoor -Fußball.</v>
      </c>
    </row>
    <row r="32863">
      <c r="A32863" s="4" t="s">
        <v>41358</v>
      </c>
      <c r="B32863" s="4" t="s">
        <v>41360</v>
      </c>
      <c r="C32863" s="5" t="str">
        <f>IFERROR(__xludf.DUMMYFUNCTION("GOOGLETRANSLATE(B32863,""en"",""de"")"),"Spieler aus dem weißen Team dribbeln und geben den Ball bis zum Feld hinunter und erzielen ein Tor.")</f>
        <v>Spieler aus dem weißen Team dribbeln und geben den Ball bis zum Feld hinunter und erzielen ein Tor.</v>
      </c>
    </row>
    <row r="32864">
      <c r="A32864" s="4" t="s">
        <v>41358</v>
      </c>
      <c r="B32864" s="4" t="s">
        <v>41361</v>
      </c>
      <c r="C32864" s="5" t="str">
        <f>IFERROR(__xludf.DUMMYFUNCTION("GOOGLETRANSLATE(B32864,""en"",""de"")"),"Spieler aus dem Blue Team dribbeln und vergeben sich bis zum Feld und machen ein Ziel.")</f>
        <v>Spieler aus dem Blue Team dribbeln und vergeben sich bis zum Feld und machen ein Ziel.</v>
      </c>
    </row>
    <row r="32865">
      <c r="A32865" s="4" t="s">
        <v>41358</v>
      </c>
      <c r="B32865" s="4" t="s">
        <v>41362</v>
      </c>
      <c r="C32865" s="5" t="str">
        <f>IFERROR(__xludf.DUMMYFUNCTION("GOOGLETRANSLATE(B32865,""en"",""de"")"),"Ein Mitglied des Blue -Teams kämpft zwei Verteidiger in der Nähe von Tor und macht einen Punkt.")</f>
        <v>Ein Mitglied des Blue -Teams kämpft zwei Verteidiger in der Nähe von Tor und macht einen Punkt.</v>
      </c>
    </row>
    <row r="32866">
      <c r="A32866" s="4" t="s">
        <v>41358</v>
      </c>
      <c r="B32866" s="4" t="s">
        <v>41363</v>
      </c>
      <c r="C32866" s="5" t="str">
        <f>IFERROR(__xludf.DUMMYFUNCTION("GOOGLETRANSLATE(B32866,""en"",""de"")"),"Die Spieler nehmen an der Ecke und unterstützen ein Tore.")</f>
        <v>Die Spieler nehmen an der Ecke und unterstützen ein Tore.</v>
      </c>
    </row>
    <row r="32867">
      <c r="A32867" s="4" t="s">
        <v>41364</v>
      </c>
      <c r="B32867" s="4" t="s">
        <v>41365</v>
      </c>
      <c r="C32867" s="5" t="str">
        <f>IFERROR(__xludf.DUMMYFUNCTION("GOOGLETRANSLATE(B32867,""en"",""de"")"),"Zwei Frauen rauchen eine Shisha, während sie auf einer Couch sitzen.")</f>
        <v>Zwei Frauen rauchen eine Shisha, während sie auf einer Couch sitzen.</v>
      </c>
    </row>
    <row r="32868">
      <c r="A32868" s="4" t="s">
        <v>41364</v>
      </c>
      <c r="B32868" s="4" t="s">
        <v>41366</v>
      </c>
      <c r="C32868" s="5" t="str">
        <f>IFERROR(__xludf.DUMMYFUNCTION("GOOGLETRANSLATE(B32868,""en"",""de"")"),"Sie wechseln abwechselnd Hits und blasen Rauch.")</f>
        <v>Sie wechseln abwechselnd Hits und blasen Rauch.</v>
      </c>
    </row>
    <row r="32869">
      <c r="A32869" s="4" t="s">
        <v>41364</v>
      </c>
      <c r="B32869" s="4" t="s">
        <v>41367</v>
      </c>
      <c r="C32869" s="5" t="str">
        <f>IFERROR(__xludf.DUMMYFUNCTION("GOOGLETRANSLATE(B32869,""en"",""de"")"),"Sie blasen den Rauch in Ringen zur Kamera.")</f>
        <v>Sie blasen den Rauch in Ringen zur Kamera.</v>
      </c>
    </row>
    <row r="32870">
      <c r="A32870" s="4" t="s">
        <v>41368</v>
      </c>
      <c r="B32870" s="4" t="s">
        <v>41369</v>
      </c>
      <c r="C32870" s="5" t="str">
        <f>IFERROR(__xludf.DUMMYFUNCTION("GOOGLETRANSLATE(B32870,""en"",""de"")"),"Ein Mann, der in einem Hof ​​steht, spricht mit der Kamera über seinen Garten.")</f>
        <v>Ein Mann, der in einem Hof ​​steht, spricht mit der Kamera über seinen Garten.</v>
      </c>
    </row>
    <row r="32871">
      <c r="A32871" s="4" t="s">
        <v>41368</v>
      </c>
      <c r="B32871" s="4" t="s">
        <v>41370</v>
      </c>
      <c r="C32871" s="5" t="str">
        <f>IFERROR(__xludf.DUMMYFUNCTION("GOOGLETRANSLATE(B32871,""en"",""de"")"),"Der Mann bewegt er über den Hof.")</f>
        <v>Der Mann bewegt er über den Hof.</v>
      </c>
    </row>
    <row r="32872">
      <c r="A32872" s="4" t="s">
        <v>41368</v>
      </c>
      <c r="B32872" s="4" t="s">
        <v>41371</v>
      </c>
      <c r="C32872" s="5" t="str">
        <f>IFERROR(__xludf.DUMMYFUNCTION("GOOGLETRANSLATE(B32872,""en"",""de"")"),"Der Mann mäht dann seinen Rasen mit seinem Mäher.")</f>
        <v>Der Mann mäht dann seinen Rasen mit seinem Mäher.</v>
      </c>
    </row>
    <row r="32873">
      <c r="A32873" s="4" t="s">
        <v>41368</v>
      </c>
      <c r="B32873" s="4" t="s">
        <v>41372</v>
      </c>
      <c r="C32873" s="5" t="str">
        <f>IFERROR(__xludf.DUMMYFUNCTION("GOOGLETRANSLATE(B32873,""en"",""de"")"),"Der Mann hält an und zeigt das elektrische Kabel auf seinem Mäher.")</f>
        <v>Der Mann hält an und zeigt das elektrische Kabel auf seinem Mäher.</v>
      </c>
    </row>
    <row r="32874">
      <c r="A32874" s="4" t="s">
        <v>41373</v>
      </c>
      <c r="B32874" s="4" t="s">
        <v>41374</v>
      </c>
      <c r="C32874" s="5" t="str">
        <f>IFERROR(__xludf.DUMMYFUNCTION("GOOGLETRANSLATE(B32874,""en"",""de"")"),"Wir sehen eine Dame, die in einem Nachrichtenstudio steht, der mit der Kamera spricht.")</f>
        <v>Wir sehen eine Dame, die in einem Nachrichtenstudio steht, der mit der Kamera spricht.</v>
      </c>
    </row>
    <row r="32875">
      <c r="A32875" s="4" t="s">
        <v>41373</v>
      </c>
      <c r="B32875" s="4" t="s">
        <v>41375</v>
      </c>
      <c r="C32875" s="5" t="str">
        <f>IFERROR(__xludf.DUMMYFUNCTION("GOOGLETRANSLATE(B32875,""en"",""de"")"),"Wir sehen dann Leute auf einem Feld auf Pferden.")</f>
        <v>Wir sehen dann Leute auf einem Feld auf Pferden.</v>
      </c>
    </row>
    <row r="32876">
      <c r="A32876" s="4" t="s">
        <v>41373</v>
      </c>
      <c r="B32876" s="4" t="s">
        <v>41376</v>
      </c>
      <c r="C32876" s="5" t="str">
        <f>IFERROR(__xludf.DUMMYFUNCTION("GOOGLETRANSLATE(B32876,""en"",""de"")"),"Die Leute spielen Polo auf den Pferden.")</f>
        <v>Die Leute spielen Polo auf den Pferden.</v>
      </c>
    </row>
    <row r="32877">
      <c r="A32877" s="4" t="s">
        <v>41373</v>
      </c>
      <c r="B32877" s="4" t="s">
        <v>41377</v>
      </c>
      <c r="C32877" s="5" t="str">
        <f>IFERROR(__xludf.DUMMYFUNCTION("GOOGLETRANSLATE(B32877,""en"",""de"")"),"Wir sehen einen Mann, der mit der Kamera spricht.")</f>
        <v>Wir sehen einen Mann, der mit der Kamera spricht.</v>
      </c>
    </row>
    <row r="32878">
      <c r="A32878" s="4" t="s">
        <v>41373</v>
      </c>
      <c r="B32878" s="4" t="s">
        <v>41378</v>
      </c>
      <c r="C32878" s="5" t="str">
        <f>IFERROR(__xludf.DUMMYFUNCTION("GOOGLETRANSLATE(B32878,""en"",""de"")"),"Wir sehen dann die Leute wieder spielen.")</f>
        <v>Wir sehen dann die Leute wieder spielen.</v>
      </c>
    </row>
    <row r="32879">
      <c r="A32879" s="4" t="s">
        <v>41373</v>
      </c>
      <c r="B32879" s="4" t="s">
        <v>41379</v>
      </c>
      <c r="C32879" s="5" t="str">
        <f>IFERROR(__xludf.DUMMYFUNCTION("GOOGLETRANSLATE(B32879,""en"",""de"")"),"Der Mann spricht wieder mit der Kamera.")</f>
        <v>Der Mann spricht wieder mit der Kamera.</v>
      </c>
    </row>
    <row r="32880">
      <c r="A32880" s="4" t="s">
        <v>41373</v>
      </c>
      <c r="B32880" s="4" t="s">
        <v>41380</v>
      </c>
      <c r="C32880" s="5" t="str">
        <f>IFERROR(__xludf.DUMMYFUNCTION("GOOGLETRANSLATE(B32880,""en"",""de"")"),"Wir sehen die Polospieler auf ihren Pferden.")</f>
        <v>Wir sehen die Polospieler auf ihren Pferden.</v>
      </c>
    </row>
    <row r="32881">
      <c r="A32881" s="4" t="s">
        <v>41373</v>
      </c>
      <c r="B32881" s="4" t="s">
        <v>41381</v>
      </c>
      <c r="C32881" s="5" t="str">
        <f>IFERROR(__xludf.DUMMYFUNCTION("GOOGLETRANSLATE(B32881,""en"",""de"")"),"Ein Mann hält Alkohol vor einem Pferdemund, wir sehen den Nachrichtensprecher wieder.")</f>
        <v>Ein Mann hält Alkohol vor einem Pferdemund, wir sehen den Nachrichtensprecher wieder.</v>
      </c>
    </row>
    <row r="32882">
      <c r="A32882" s="4" t="s">
        <v>41382</v>
      </c>
      <c r="B32882" s="4" t="s">
        <v>41383</v>
      </c>
      <c r="C32882" s="5" t="str">
        <f>IFERROR(__xludf.DUMMYFUNCTION("GOOGLETRANSLATE(B32882,""en"",""de"")"),"Eine Frau steht neben einem Mädchen auf einem Pferd in einem geschlossenen Hof.")</f>
        <v>Eine Frau steht neben einem Mädchen auf einem Pferd in einem geschlossenen Hof.</v>
      </c>
    </row>
    <row r="32883">
      <c r="A32883" s="4" t="s">
        <v>41382</v>
      </c>
      <c r="B32883" s="4" t="s">
        <v>41384</v>
      </c>
      <c r="C32883" s="5" t="str">
        <f>IFERROR(__xludf.DUMMYFUNCTION("GOOGLETRANSLATE(B32883,""en"",""de"")"),"Sie geht weg, als das Mädchen das Pferd vorsichtig um den Zaun reitet.")</f>
        <v>Sie geht weg, als das Mädchen das Pferd vorsichtig um den Zaun reitet.</v>
      </c>
    </row>
    <row r="32884">
      <c r="A32884" s="4" t="s">
        <v>41382</v>
      </c>
      <c r="B32884" s="4" t="s">
        <v>41385</v>
      </c>
      <c r="C32884" s="5" t="str">
        <f>IFERROR(__xludf.DUMMYFUNCTION("GOOGLETRANSLATE(B32884,""en"",""de"")"),"Sie nimmt das Pferd dann in einen leichten Trab, während sie reitet.")</f>
        <v>Sie nimmt das Pferd dann in einen leichten Trab, während sie reitet.</v>
      </c>
    </row>
    <row r="32885">
      <c r="A32885" s="4" t="s">
        <v>41386</v>
      </c>
      <c r="B32885" s="4" t="s">
        <v>41387</v>
      </c>
      <c r="C32885" s="5" t="str">
        <f>IFERROR(__xludf.DUMMYFUNCTION("GOOGLETRANSLATE(B32885,""en"",""de"")"),"Ein hemdloser Mann kratzt Dachkies mit einer Schaufel.")</f>
        <v>Ein hemdloser Mann kratzt Dachkies mit einer Schaufel.</v>
      </c>
    </row>
    <row r="32886">
      <c r="A32886" s="4" t="s">
        <v>41386</v>
      </c>
      <c r="B32886" s="4" t="s">
        <v>41388</v>
      </c>
      <c r="C32886" s="5" t="str">
        <f>IFERROR(__xludf.DUMMYFUNCTION("GOOGLETRANSLATE(B32886,""en"",""de"")"),"Der Mann hält stehen und stützt sich für einen Moment auf die Schaufel, um die Menge an Arbeit zu betrachten, die vor ihm liegt.")</f>
        <v>Der Mann hält stehen und stützt sich für einen Moment auf die Schaufel, um die Menge an Arbeit zu betrachten, die vor ihm liegt.</v>
      </c>
    </row>
    <row r="32887">
      <c r="A32887" s="4" t="s">
        <v>41386</v>
      </c>
      <c r="B32887" s="4" t="s">
        <v>41389</v>
      </c>
      <c r="C32887" s="5" t="str">
        <f>IFERROR(__xludf.DUMMYFUNCTION("GOOGLETRANSLATE(B32887,""en"",""de"")"),"Der Mann kratzt weiterhin das Kiesdach und dreht sich mit dem Rücken zur Kamera.")</f>
        <v>Der Mann kratzt weiterhin das Kiesdach und dreht sich mit dem Rücken zur Kamera.</v>
      </c>
    </row>
    <row r="32888">
      <c r="A32888" s="4" t="s">
        <v>41390</v>
      </c>
      <c r="B32888" s="4" t="s">
        <v>41391</v>
      </c>
      <c r="C32888" s="5" t="str">
        <f>IFERROR(__xludf.DUMMYFUNCTION("GOOGLETRANSLATE(B32888,""en"",""de"")"),"Zwei Männer stehen auf einem Shuffleboard -Tisch, gefolgt von den Männern, die auf der ganzen Brett Pucks schlagen.")</f>
        <v>Zwei Männer stehen auf einem Shuffleboard -Tisch, gefolgt von den Männern, die auf der ganzen Brett Pucks schlagen.</v>
      </c>
    </row>
    <row r="32889">
      <c r="A32889" s="4" t="s">
        <v>41390</v>
      </c>
      <c r="B32889" s="4" t="s">
        <v>41392</v>
      </c>
      <c r="C32889" s="5" t="str">
        <f>IFERROR(__xludf.DUMMYFUNCTION("GOOGLETRANSLATE(B32889,""en"",""de"")"),"Die Männer schlagen weiterhin die Pucks und zoomen am Ende in ihre Gesichter.")</f>
        <v>Die Männer schlagen weiterhin die Pucks und zoomen am Ende in ihre Gesichter.</v>
      </c>
    </row>
    <row r="32890">
      <c r="A32890" s="4" t="s">
        <v>41393</v>
      </c>
      <c r="B32890" s="4" t="s">
        <v>41394</v>
      </c>
      <c r="C32890" s="5" t="str">
        <f>IFERROR(__xludf.DUMMYFUNCTION("GOOGLETRANSLATE(B32890,""en"",""de"")"),"Dunkle Nächte werden mit Blitz gezeigt, der durch den Himmel blitzt.")</f>
        <v>Dunkle Nächte werden mit Blitz gezeigt, der durch den Himmel blitzt.</v>
      </c>
    </row>
    <row r="32891">
      <c r="A32891" s="4" t="s">
        <v>41393</v>
      </c>
      <c r="B32891" s="4" t="s">
        <v>41395</v>
      </c>
      <c r="C32891" s="5" t="str">
        <f>IFERROR(__xludf.DUMMYFUNCTION("GOOGLETRANSLATE(B32891,""en"",""de"")"),"Danach beginnt das Video und mehrere Personen werden auf einem großen Boot gezeigt, das im Wasser segelt.")</f>
        <v>Danach beginnt das Video und mehrere Personen werden auf einem großen Boot gezeigt, das im Wasser segelt.</v>
      </c>
    </row>
    <row r="32892">
      <c r="A32892" s="4" t="s">
        <v>41393</v>
      </c>
      <c r="B32892" s="4" t="s">
        <v>41396</v>
      </c>
      <c r="C32892" s="5" t="str">
        <f>IFERROR(__xludf.DUMMYFUNCTION("GOOGLETRANSLATE(B32892,""en"",""de"")"),"Das Wetter beginnt böse und die Menschen müssen sich für das liebe Leben festhalten, damit sie nicht sterben werden.")</f>
        <v>Das Wetter beginnt böse und die Menschen müssen sich für das liebe Leben festhalten, damit sie nicht sterben werden.</v>
      </c>
    </row>
    <row r="32893">
      <c r="A32893" s="4" t="s">
        <v>41393</v>
      </c>
      <c r="B32893" s="4" t="s">
        <v>41397</v>
      </c>
      <c r="C32893" s="5" t="str">
        <f>IFERROR(__xludf.DUMMYFUNCTION("GOOGLETRANSLATE(B32893,""en"",""de"")"),"In einem Fall beginnt das Boot zur Seite zu kippen und die Menschen springen vor Freude, dass es nicht umkippte, während das schreckliche Wetter weitergeht.")</f>
        <v>In einem Fall beginnt das Boot zur Seite zu kippen und die Menschen springen vor Freude, dass es nicht umkippte, während das schreckliche Wetter weitergeht.</v>
      </c>
    </row>
    <row r="32894">
      <c r="A32894" s="4" t="s">
        <v>41398</v>
      </c>
      <c r="B32894" s="4" t="s">
        <v>41399</v>
      </c>
      <c r="C32894" s="5" t="str">
        <f>IFERROR(__xludf.DUMMYFUNCTION("GOOGLETRANSLATE(B32894,""en"",""de"")"),"Eine Gruppe von Läufern befindet sich auf einer Straße, und ein Marathoner in Boston, der nach dem Feiern einen Rekord gebrochen hat, spricht in einem Interview.")</f>
        <v>Eine Gruppe von Läufern befindet sich auf einer Straße, und ein Marathoner in Boston, der nach dem Feiern einen Rekord gebrochen hat, spricht in einem Interview.</v>
      </c>
    </row>
    <row r="32895">
      <c r="A32895" s="4" t="s">
        <v>41398</v>
      </c>
      <c r="B32895" s="4" t="s">
        <v>41400</v>
      </c>
      <c r="C32895" s="5" t="str">
        <f>IFERROR(__xludf.DUMMYFUNCTION("GOOGLETRANSLATE(B32895,""en"",""de"")"),"Nachrichtengerichte werden über den Mann und andere sprechen, wenn sie das Ende des Marathons erreichen.")</f>
        <v>Nachrichtengerichte werden über den Mann und andere sprechen, wenn sie das Ende des Marathons erreichen.</v>
      </c>
    </row>
    <row r="32896">
      <c r="A32896" s="4" t="s">
        <v>41398</v>
      </c>
      <c r="B32896" s="4" t="s">
        <v>41401</v>
      </c>
      <c r="C32896" s="5" t="str">
        <f>IFERROR(__xludf.DUMMYFUNCTION("GOOGLETRANSLATE(B32896,""en"",""de"")"),"Die Läufer werden als Gruppe gezeigt, als Männer, die als britische Soldaten verkleidet sind, ein Stück für die Menge veranstalten.")</f>
        <v>Die Läufer werden als Gruppe gezeigt, als Männer, die als britische Soldaten verkleidet sind, ein Stück für die Menge veranstalten.</v>
      </c>
    </row>
    <row r="32897">
      <c r="A32897" s="4" t="s">
        <v>41402</v>
      </c>
      <c r="B32897" s="4" t="s">
        <v>41403</v>
      </c>
      <c r="C32897" s="5" t="str">
        <f>IFERROR(__xludf.DUMMYFUNCTION("GOOGLETRANSLATE(B32897,""en"",""de"")"),"Ein Mann im Pfirsichpullover ist Skateboard und fiel dann auf den Boden.")</f>
        <v>Ein Mann im Pfirsichpullover ist Skateboard und fiel dann auf den Boden.</v>
      </c>
    </row>
    <row r="32898">
      <c r="A32898" s="4" t="s">
        <v>41402</v>
      </c>
      <c r="B32898" s="4" t="s">
        <v>41404</v>
      </c>
      <c r="C32898" s="5" t="str">
        <f>IFERROR(__xludf.DUMMYFUNCTION("GOOGLETRANSLATE(B32898,""en"",""de"")"),"Ein Mann in Orange Stop ist Skateboard in der dunklen Straße und fiel auf den Boden.")</f>
        <v>Ein Mann in Orange Stop ist Skateboard in der dunklen Straße und fiel auf den Boden.</v>
      </c>
    </row>
    <row r="32899">
      <c r="A32899" s="4" t="s">
        <v>41402</v>
      </c>
      <c r="B32899" s="4" t="s">
        <v>41405</v>
      </c>
      <c r="C32899" s="5" t="str">
        <f>IFERROR(__xludf.DUMMYFUNCTION("GOOGLETRANSLATE(B32899,""en"",""de"")"),"Ein Mann im schwarzen Hemd -Skateboard die breite Straße hinunter und fiel auf die Straßenseite. Der Mann zeigte seine blutenden Schnitte vor der Kamera.")</f>
        <v>Ein Mann im schwarzen Hemd -Skateboard die breite Straße hinunter und fiel auf die Straßenseite. Der Mann zeigte seine blutenden Schnitte vor der Kamera.</v>
      </c>
    </row>
    <row r="32900">
      <c r="A32900" s="4" t="s">
        <v>41402</v>
      </c>
      <c r="B32900" s="4" t="s">
        <v>41406</v>
      </c>
      <c r="C32900" s="5" t="str">
        <f>IFERROR(__xludf.DUMMYFUNCTION("GOOGLETRANSLATE(B32900,""en"",""de"")"),"A Die Skateboarder fallen von ihren Skateboards.")</f>
        <v>A Die Skateboarder fallen von ihren Skateboards.</v>
      </c>
    </row>
    <row r="32901">
      <c r="A32901" s="4" t="s">
        <v>41407</v>
      </c>
      <c r="B32901" s="4" t="s">
        <v>41408</v>
      </c>
      <c r="C32901" s="5" t="str">
        <f>IFERROR(__xludf.DUMMYFUNCTION("GOOGLETRANSLATE(B32901,""en"",""de"")"),"Ein Mann spricht in einem Hof ​​vor einem Netz.")</f>
        <v>Ein Mann spricht in einem Hof ​​vor einem Netz.</v>
      </c>
    </row>
    <row r="32902">
      <c r="A32902" s="4" t="s">
        <v>41407</v>
      </c>
      <c r="B32902" s="4" t="s">
        <v>41409</v>
      </c>
      <c r="C32902" s="5" t="str">
        <f>IFERROR(__xludf.DUMMYFUNCTION("GOOGLETRANSLATE(B32902,""en"",""de"")"),"Zwei Jungen sehen einen Ball ins Netz.")</f>
        <v>Zwei Jungen sehen einen Ball ins Netz.</v>
      </c>
    </row>
    <row r="32903">
      <c r="A32903" s="4" t="s">
        <v>41407</v>
      </c>
      <c r="B32903" s="4" t="s">
        <v>41410</v>
      </c>
      <c r="C32903" s="5" t="str">
        <f>IFERROR(__xludf.DUMMYFUNCTION("GOOGLETRANSLATE(B32903,""en"",""de"")"),"Dann sehen wir ein Spiel auf einem Feld mit Männern, die Bälle mit Nets in das Tor schlagen.")</f>
        <v>Dann sehen wir ein Spiel auf einem Feld mit Männern, die Bälle mit Nets in das Tor schlagen.</v>
      </c>
    </row>
    <row r="32904">
      <c r="A32904" s="4" t="s">
        <v>41411</v>
      </c>
      <c r="B32904" s="4" t="s">
        <v>41412</v>
      </c>
      <c r="C32904" s="5" t="str">
        <f>IFERROR(__xludf.DUMMYFUNCTION("GOOGLETRANSLATE(B32904,""en"",""de"")"),"Eine Gruppe von Cheerleadern wird gezeigt, dass sie ihre Routine in einem Gymnasium üben.")</f>
        <v>Eine Gruppe von Cheerleadern wird gezeigt, dass sie ihre Routine in einem Gymnasium üben.</v>
      </c>
    </row>
    <row r="32905">
      <c r="A32905" s="4" t="s">
        <v>41411</v>
      </c>
      <c r="B32905" s="4" t="s">
        <v>41413</v>
      </c>
      <c r="C32905" s="5" t="str">
        <f>IFERROR(__xludf.DUMMYFUNCTION("GOOGLETRANSLATE(B32905,""en"",""de"")"),"Die Szene wechselt zu einer Cheerleaderin, die interviewt wird, während andere im Hintergrund strecken, und gelegentlich durch die Cheerleader verwandelte Clips durchsetzt.")</f>
        <v>Die Szene wechselt zu einer Cheerleaderin, die interviewt wird, während andere im Hintergrund strecken, und gelegentlich durch die Cheerleader verwandelte Clips durchsetzt.</v>
      </c>
    </row>
    <row r="32906">
      <c r="A32906" s="4" t="s">
        <v>41411</v>
      </c>
      <c r="B32906" s="4" t="s">
        <v>41414</v>
      </c>
      <c r="C32906" s="5" t="str">
        <f>IFERROR(__xludf.DUMMYFUNCTION("GOOGLETRANSLATE(B32906,""en"",""de"")"),"Ein Mann, der Blau trägt, wird in derselben Umgebung interviewt, mit gelegentlichen Cheerleader-Clips, die durchsetzt sind.")</f>
        <v>Ein Mann, der Blau trägt, wird in derselben Umgebung interviewt, mit gelegentlichen Cheerleader-Clips, die durchsetzt sind.</v>
      </c>
    </row>
    <row r="32907">
      <c r="A32907" s="4" t="s">
        <v>41411</v>
      </c>
      <c r="B32907" s="4" t="s">
        <v>41415</v>
      </c>
      <c r="C32907" s="5" t="str">
        <f>IFERROR(__xludf.DUMMYFUNCTION("GOOGLETRANSLATE(B32907,""en"",""de"")"),"Ein anderer Mann wird in derselben Umgebung befragt, wobei gelegentlich Cheerleader-bezogene Clips durchsetzt.")</f>
        <v>Ein anderer Mann wird in derselben Umgebung befragt, wobei gelegentlich Cheerleader-bezogene Clips durchsetzt.</v>
      </c>
    </row>
    <row r="32908">
      <c r="A32908" s="4" t="s">
        <v>41411</v>
      </c>
      <c r="B32908" s="4" t="s">
        <v>41416</v>
      </c>
      <c r="C32908" s="5" t="str">
        <f>IFERROR(__xludf.DUMMYFUNCTION("GOOGLETRANSLATE(B32908,""en"",""de"")"),"Die Kamera kehrt zu dem Mann in Blue zurück, der mit kurzen Cheerleader -Action -Sequenzen interviewt wird.")</f>
        <v>Die Kamera kehrt zu dem Mann in Blue zurück, der mit kurzen Cheerleader -Action -Sequenzen interviewt wird.</v>
      </c>
    </row>
    <row r="32909">
      <c r="A32909" s="4" t="s">
        <v>41411</v>
      </c>
      <c r="B32909" s="4" t="s">
        <v>41417</v>
      </c>
      <c r="C32909" s="5" t="str">
        <f>IFERROR(__xludf.DUMMYFUNCTION("GOOGLETRANSLATE(B32909,""en"",""de"")"),"Die Kamera kehrt zu der ersten befragten Person mit kurzen Cheerleader -Action -Sequenzen zurück.")</f>
        <v>Die Kamera kehrt zu der ersten befragten Person mit kurzen Cheerleader -Action -Sequenzen zurück.</v>
      </c>
    </row>
    <row r="32910">
      <c r="A32910" s="4" t="s">
        <v>41418</v>
      </c>
      <c r="B32910" s="4" t="s">
        <v>41419</v>
      </c>
      <c r="C32910" s="5" t="str">
        <f>IFERROR(__xludf.DUMMYFUNCTION("GOOGLETRANSLATE(B32910,""en"",""de"")"),"Mehrere Menschen stehen draußen in einem Schnee mit Röhrchen vor sich.")</f>
        <v>Mehrere Menschen stehen draußen in einem Schnee mit Röhrchen vor sich.</v>
      </c>
    </row>
    <row r="32911">
      <c r="A32911" s="4" t="s">
        <v>41418</v>
      </c>
      <c r="B32911" s="4" t="s">
        <v>41420</v>
      </c>
      <c r="C32911" s="5" t="str">
        <f>IFERROR(__xludf.DUMMYFUNCTION("GOOGLETRANSLATE(B32911,""en"",""de"")"),"Zwei Personen steigen dann in die Röhren und werden die Hänge hinuntergeschoben.")</f>
        <v>Zwei Personen steigen dann in die Röhren und werden die Hänge hinuntergeschoben.</v>
      </c>
    </row>
    <row r="32912">
      <c r="A32912" s="4" t="s">
        <v>41418</v>
      </c>
      <c r="B32912" s="4" t="s">
        <v>41421</v>
      </c>
      <c r="C32912" s="5" t="str">
        <f>IFERROR(__xludf.DUMMYFUNCTION("GOOGLETRANSLATE(B32912,""en"",""de"")"),"Sie gehen die Schneerutsche hinunter und sobald sie den Boden erreicht haben, steigen sie aus.")</f>
        <v>Sie gehen die Schneerutsche hinunter und sobald sie den Boden erreicht haben, steigen sie aus.</v>
      </c>
    </row>
    <row r="32913">
      <c r="A32913" s="4" t="s">
        <v>41422</v>
      </c>
      <c r="B32913" s="4" t="s">
        <v>41423</v>
      </c>
      <c r="C32913" s="5" t="str">
        <f>IFERROR(__xludf.DUMMYFUNCTION("GOOGLETRANSLATE(B32913,""en"",""de"")"),"Ein Mädchen steht in ihrem Badezimmer und macht kichernde Gesichter und hält eine Tasse.")</f>
        <v>Ein Mädchen steht in ihrem Badezimmer und macht kichernde Gesichter und hält eine Tasse.</v>
      </c>
    </row>
    <row r="32914">
      <c r="A32914" s="4" t="s">
        <v>41422</v>
      </c>
      <c r="B32914" s="4" t="s">
        <v>41424</v>
      </c>
      <c r="C32914" s="5" t="str">
        <f>IFERROR(__xludf.DUMMYFUNCTION("GOOGLETRANSLATE(B32914,""en"",""de"")"),"Sie nimmt schließlich alles im Jungen und beginnt zu knebeln, als sie es in die Spüle spuckt.")</f>
        <v>Sie nimmt schließlich alles im Jungen und beginnt zu knebeln, als sie es in die Spüle spuckt.</v>
      </c>
    </row>
    <row r="32915">
      <c r="A32915" s="4" t="s">
        <v>41422</v>
      </c>
      <c r="B32915" s="4" t="s">
        <v>41425</v>
      </c>
      <c r="C32915" s="5" t="str">
        <f>IFERROR(__xludf.DUMMYFUNCTION("GOOGLETRANSLATE(B32915,""en"",""de"")"),"Nachdem ihr Mund leer ist, zeigt sie eine Flasche Crest Mundwasser.")</f>
        <v>Nachdem ihr Mund leer ist, zeigt sie eine Flasche Crest Mundwasser.</v>
      </c>
    </row>
    <row r="32916">
      <c r="A32916" s="4" t="s">
        <v>41426</v>
      </c>
      <c r="B32916" s="4" t="s">
        <v>41427</v>
      </c>
      <c r="C32916" s="5" t="str">
        <f>IFERROR(__xludf.DUMMYFUNCTION("GOOGLETRANSLATE(B32916,""en"",""de"")"),"Ein Mann spielt mit einem Hund in einem Schmutzfeld Fang, während er einen Frisbee wirft.")</f>
        <v>Ein Mann spielt mit einem Hund in einem Schmutzfeld Fang, während er einen Frisbee wirft.</v>
      </c>
    </row>
    <row r="32917">
      <c r="A32917" s="4" t="s">
        <v>41426</v>
      </c>
      <c r="B32917" s="4" t="s">
        <v>41428</v>
      </c>
      <c r="C32917" s="5" t="str">
        <f>IFERROR(__xludf.DUMMYFUNCTION("GOOGLETRANSLATE(B32917,""en"",""de"")"),"Der Mann hält den Frisbee in der Hand dem Hund aus.")</f>
        <v>Der Mann hält den Frisbee in der Hand dem Hund aus.</v>
      </c>
    </row>
    <row r="32918">
      <c r="A32918" s="4" t="s">
        <v>41426</v>
      </c>
      <c r="B32918" s="4" t="s">
        <v>41429</v>
      </c>
      <c r="C32918" s="5" t="str">
        <f>IFERROR(__xludf.DUMMYFUNCTION("GOOGLETRANSLATE(B32918,""en"",""de"")"),"Eine Frau spielt Fang mit dem Hund, der eine Frisbee in einen Graspark wirft.")</f>
        <v>Eine Frau spielt Fang mit dem Hund, der eine Frisbee in einen Graspark wirft.</v>
      </c>
    </row>
    <row r="32919">
      <c r="A32919" s="4" t="s">
        <v>41430</v>
      </c>
      <c r="B32919" s="4" t="s">
        <v>41431</v>
      </c>
      <c r="C32919" s="5" t="str">
        <f>IFERROR(__xludf.DUMMYFUNCTION("GOOGLETRANSLATE(B32919,""en"",""de"")"),"Der Kameramann öffnet eine Tür und beobachtet eine Frau, die in einer Wanne nach vorne ließ.")</f>
        <v>Der Kameramann öffnet eine Tür und beobachtet eine Frau, die in einer Wanne nach vorne ließ.</v>
      </c>
    </row>
    <row r="32920">
      <c r="A32920" s="4" t="s">
        <v>41430</v>
      </c>
      <c r="B32920" s="4" t="s">
        <v>41432</v>
      </c>
      <c r="C32920" s="5" t="str">
        <f>IFERROR(__xludf.DUMMYFUNCTION("GOOGLETRANSLATE(B32920,""en"",""de"")"),"Die Frau spricht mit dem Kameramann, während er mehrere Kleider in einer mit Wasser gefüllten Wanne wäscht.")</f>
        <v>Die Frau spricht mit dem Kameramann, während er mehrere Kleider in einer mit Wasser gefüllten Wanne wäscht.</v>
      </c>
    </row>
    <row r="32921">
      <c r="A32921" s="4" t="s">
        <v>41430</v>
      </c>
      <c r="B32921" s="4" t="s">
        <v>41433</v>
      </c>
      <c r="C32921" s="5" t="str">
        <f>IFERROR(__xludf.DUMMYFUNCTION("GOOGLETRANSLATE(B32921,""en"",""de"")"),"Die Frau lernt erschöpft und kehrt schnell zum Kameramann zurück und dann zurück zur Wanne.")</f>
        <v>Die Frau lernt erschöpft und kehrt schnell zum Kameramann zurück und dann zurück zur Wanne.</v>
      </c>
    </row>
    <row r="32922">
      <c r="A32922" s="4" t="s">
        <v>41434</v>
      </c>
      <c r="B32922" s="4" t="s">
        <v>41435</v>
      </c>
      <c r="C32922" s="5" t="str">
        <f>IFERROR(__xludf.DUMMYFUNCTION("GOOGLETRANSLATE(B32922,""en"",""de"")"),"Eine Gruppe von Menschen rennt eine Straße entlang, in der verschiedene Menschen an den Seiten jubeln und klatschen.")</f>
        <v>Eine Gruppe von Menschen rennt eine Straße entlang, in der verschiedene Menschen an den Seiten jubeln und klatschen.</v>
      </c>
    </row>
    <row r="32923">
      <c r="A32923" s="4" t="s">
        <v>41434</v>
      </c>
      <c r="B32923" s="4" t="s">
        <v>41436</v>
      </c>
      <c r="C32923" s="5" t="str">
        <f>IFERROR(__xludf.DUMMYFUNCTION("GOOGLETRANSLATE(B32923,""en"",""de"")"),"Eine Frau feiert sich auch mit anderen Läufern.")</f>
        <v>Eine Frau feiert sich auch mit anderen Läufern.</v>
      </c>
    </row>
    <row r="32924">
      <c r="A32924" s="4" t="s">
        <v>41434</v>
      </c>
      <c r="B32924" s="4" t="s">
        <v>41437</v>
      </c>
      <c r="C32924" s="5" t="str">
        <f>IFERROR(__xludf.DUMMYFUNCTION("GOOGLETRANSLATE(B32924,""en"",""de"")"),"Weitere Aufnahmen von Menschen an den Seiten werden gezeigt, während die Läufer weiter laufen.")</f>
        <v>Weitere Aufnahmen von Menschen an den Seiten werden gezeigt, während die Läufer weiter laufen.</v>
      </c>
    </row>
    <row r="32925">
      <c r="A32925" s="4" t="s">
        <v>41438</v>
      </c>
      <c r="B32925" s="4" t="s">
        <v>41439</v>
      </c>
      <c r="C32925" s="5" t="str">
        <f>IFERROR(__xludf.DUMMYFUNCTION("GOOGLETRANSLATE(B32925,""en"",""de"")"),"Eine große Gruppe von Menschen steht auf einer Pferdespur und führt zu mehreren Männern, die auf Pferden sitzen und einen Reiten herumreiten und einen Stock schwingen.")</f>
        <v>Eine große Gruppe von Menschen steht auf einer Pferdespur und führt zu mehreren Männern, die auf Pferden sitzen und einen Reiten herumreiten und einen Stock schwingen.</v>
      </c>
    </row>
    <row r="32926">
      <c r="A32926" s="4" t="s">
        <v>41438</v>
      </c>
      <c r="B32926" s="4" t="s">
        <v>41440</v>
      </c>
      <c r="C32926" s="5" t="str">
        <f>IFERROR(__xludf.DUMMYFUNCTION("GOOGLETRANSLATE(B32926,""en"",""de"")"),"Die Männer spielen dann ein Spiel auf den Pferden und schütteln sich gegenseitig die Hände.")</f>
        <v>Die Männer spielen dann ein Spiel auf den Pferden und schütteln sich gegenseitig die Hände.</v>
      </c>
    </row>
    <row r="32927">
      <c r="A32927" s="4" t="s">
        <v>41438</v>
      </c>
      <c r="B32927" s="4" t="s">
        <v>41441</v>
      </c>
      <c r="C32927" s="5" t="str">
        <f>IFERROR(__xludf.DUMMYFUNCTION("GOOGLETRANSLATE(B32927,""en"",""de"")"),"Die Prinzessin gibt dann einem der Spieler eine Schachtel und steht in der Nähe von mehreren anderen, die eine Trophäe halten.")</f>
        <v>Die Prinzessin gibt dann einem der Spieler eine Schachtel und steht in der Nähe von mehreren anderen, die eine Trophäe halten.</v>
      </c>
    </row>
    <row r="32928">
      <c r="A32928" s="4" t="s">
        <v>41442</v>
      </c>
      <c r="B32928" s="4" t="s">
        <v>41443</v>
      </c>
      <c r="C32928" s="5" t="str">
        <f>IFERROR(__xludf.DUMMYFUNCTION("GOOGLETRANSLATE(B32928,""en"",""de"")"),"Eine Frau zeigt ihre Fingernägel an die Kamera.")</f>
        <v>Eine Frau zeigt ihre Fingernägel an die Kamera.</v>
      </c>
    </row>
    <row r="32929">
      <c r="A32929" s="4" t="s">
        <v>41442</v>
      </c>
      <c r="B32929" s="4" t="s">
        <v>41444</v>
      </c>
      <c r="C32929" s="5" t="str">
        <f>IFERROR(__xludf.DUMMYFUNCTION("GOOGLETRANSLATE(B32929,""en"",""de"")"),"Eine Frau in einem schwarzen Hemd sitzt in einem Raum mit einer Kamera.")</f>
        <v>Eine Frau in einem schwarzen Hemd sitzt in einem Raum mit einer Kamera.</v>
      </c>
    </row>
    <row r="32930">
      <c r="A32930" s="4" t="s">
        <v>41442</v>
      </c>
      <c r="B32930" s="4" t="s">
        <v>41445</v>
      </c>
      <c r="C32930" s="5" t="str">
        <f>IFERROR(__xludf.DUMMYFUNCTION("GOOGLETRANSLATE(B32930,""en"",""de"")"),"Eine Person macht die Nägel eines anderen auf einem Tisch.")</f>
        <v>Eine Person macht die Nägel eines anderen auf einem Tisch.</v>
      </c>
    </row>
    <row r="32931">
      <c r="A32931" s="4" t="s">
        <v>41442</v>
      </c>
      <c r="B32931" s="4" t="s">
        <v>41446</v>
      </c>
      <c r="C32931" s="5" t="str">
        <f>IFERROR(__xludf.DUMMYFUNCTION("GOOGLETRANSLATE(B32931,""en"",""de"")"),"Sie setzen ihnen falsche Fingernägel an.")</f>
        <v>Sie setzen ihnen falsche Fingernägel an.</v>
      </c>
    </row>
    <row r="32932">
      <c r="A32932" s="4" t="s">
        <v>41442</v>
      </c>
      <c r="B32932" s="4" t="s">
        <v>41447</v>
      </c>
      <c r="C32932" s="5" t="str">
        <f>IFERROR(__xludf.DUMMYFUNCTION("GOOGLETRANSLATE(B32932,""en"",""de"")"),"Sie schneiden die Nägel nieder.")</f>
        <v>Sie schneiden die Nägel nieder.</v>
      </c>
    </row>
    <row r="32933">
      <c r="A32933" s="4" t="s">
        <v>41442</v>
      </c>
      <c r="B32933" s="4" t="s">
        <v>41448</v>
      </c>
      <c r="C32933" s="5" t="str">
        <f>IFERROR(__xludf.DUMMYFUNCTION("GOOGLETRANSLATE(B32933,""en"",""de"")"),"Sie beginnen die Nägel zu malen.")</f>
        <v>Sie beginnen die Nägel zu malen.</v>
      </c>
    </row>
    <row r="32934">
      <c r="A32934" s="4" t="s">
        <v>41449</v>
      </c>
      <c r="B32934" s="4" t="s">
        <v>41450</v>
      </c>
      <c r="C32934" s="5" t="str">
        <f>IFERROR(__xludf.DUMMYFUNCTION("GOOGLETRANSLATE(B32934,""en"",""de"")"),"Ein Mann sitzt in einem großen Fitnessstudio, während er mit der Kamera spricht und auf einem Medizinball sitzt.")</f>
        <v>Ein Mann sitzt in einem großen Fitnessstudio, während er mit der Kamera spricht und auf einem Medizinball sitzt.</v>
      </c>
    </row>
    <row r="32935">
      <c r="A32935" s="4" t="s">
        <v>41449</v>
      </c>
      <c r="B32935" s="4" t="s">
        <v>41451</v>
      </c>
      <c r="C32935" s="5" t="str">
        <f>IFERROR(__xludf.DUMMYFUNCTION("GOOGLETRANSLATE(B32935,""en"",""de"")"),"Der Mann beugt sich dann auf den Ball, während er immer noch mit der Kamera spricht.")</f>
        <v>Der Mann beugt sich dann auf den Ball, während er immer noch mit der Kamera spricht.</v>
      </c>
    </row>
    <row r="32936">
      <c r="A32936" s="4" t="s">
        <v>41449</v>
      </c>
      <c r="B32936" s="4" t="s">
        <v>41452</v>
      </c>
      <c r="C32936" s="5" t="str">
        <f>IFERROR(__xludf.DUMMYFUNCTION("GOOGLETRANSLATE(B32936,""en"",""de"")"),"Der Mann balanciert weiterhin auf dem Ball und setzt sich auf und fängt einen Ball.")</f>
        <v>Der Mann balanciert weiterhin auf dem Ball und setzt sich auf und fängt einen Ball.</v>
      </c>
    </row>
    <row r="32937">
      <c r="A32937" s="4" t="s">
        <v>41453</v>
      </c>
      <c r="B32937" s="4" t="s">
        <v>41454</v>
      </c>
      <c r="C32937" s="5" t="str">
        <f>IFERROR(__xludf.DUMMYFUNCTION("GOOGLETRANSLATE(B32937,""en"",""de"")"),"Eine Gruppe von Männern befindet sich in einem Fitnessraum, der in schnellem Tempo auf Aerobic -Stepper tritt.")</f>
        <v>Eine Gruppe von Männern befindet sich in einem Fitnessraum, der in schnellem Tempo auf Aerobic -Stepper tritt.</v>
      </c>
    </row>
    <row r="32938">
      <c r="A32938" s="4" t="s">
        <v>41453</v>
      </c>
      <c r="B32938" s="4" t="s">
        <v>41455</v>
      </c>
      <c r="C32938" s="5" t="str">
        <f>IFERROR(__xludf.DUMMYFUNCTION("GOOGLETRANSLATE(B32938,""en"",""de"")"),"Sie scheinen eine tolle Zeit zu haben und mit ihren Armen zu erreichen und ihr Training zu variieren.")</f>
        <v>Sie scheinen eine tolle Zeit zu haben und mit ihren Armen zu erreichen und ihr Training zu variieren.</v>
      </c>
    </row>
    <row r="32939">
      <c r="A32939" s="4" t="s">
        <v>41453</v>
      </c>
      <c r="B32939" s="4" t="s">
        <v>41456</v>
      </c>
      <c r="C32939" s="5" t="str">
        <f>IFERROR(__xludf.DUMMYFUNCTION("GOOGLETRANSLATE(B32939,""en"",""de"")"),"Sie führen weiterhin eine weitere Reihe ähnlicher Training mit ihren Steppern durch.")</f>
        <v>Sie führen weiterhin eine weitere Reihe ähnlicher Training mit ihren Steppern durch.</v>
      </c>
    </row>
    <row r="32940">
      <c r="A32940" s="4" t="s">
        <v>41453</v>
      </c>
      <c r="B32940" s="4" t="s">
        <v>41457</v>
      </c>
      <c r="C32940" s="5" t="str">
        <f>IFERROR(__xludf.DUMMYFUNCTION("GOOGLETRANSLATE(B32940,""en"",""de"")"),"Sie bewegen sich von einer Seite zur anderen und wechseln ihre Bewegungen in einen bestimmten Rhythmus.")</f>
        <v>Sie bewegen sich von einer Seite zur anderen und wechseln ihre Bewegungen in einen bestimmten Rhythmus.</v>
      </c>
    </row>
    <row r="32941">
      <c r="A32941" s="4" t="s">
        <v>41453</v>
      </c>
      <c r="B32941" s="4" t="s">
        <v>41458</v>
      </c>
      <c r="C32941" s="5" t="str">
        <f>IFERROR(__xludf.DUMMYFUNCTION("GOOGLETRANSLATE(B32941,""en"",""de"")"),"Ihre letzten ihrer Workouts scheinen eine Zusammenstellung von allem zu sein, was sie bisher gemacht haben, und sie variieren ihre Bewegungen darin.")</f>
        <v>Ihre letzten ihrer Workouts scheinen eine Zusammenstellung von allem zu sein, was sie bisher gemacht haben, und sie variieren ihre Bewegungen darin.</v>
      </c>
    </row>
    <row r="32942">
      <c r="A32942" s="4" t="s">
        <v>41459</v>
      </c>
      <c r="B32942" s="4" t="s">
        <v>41460</v>
      </c>
      <c r="C32942" s="5" t="str">
        <f>IFERROR(__xludf.DUMMYFUNCTION("GOOGLETRANSLATE(B32942,""en"",""de"")"),"Eine Frau verwendet eine Nordictrack -Übungsmaschine.")</f>
        <v>Eine Frau verwendet eine Nordictrack -Übungsmaschine.</v>
      </c>
    </row>
    <row r="32943">
      <c r="A32943" s="4" t="s">
        <v>41459</v>
      </c>
      <c r="B32943" s="4" t="s">
        <v>41461</v>
      </c>
      <c r="C32943" s="5" t="str">
        <f>IFERROR(__xludf.DUMMYFUNCTION("GOOGLETRANSLATE(B32943,""en"",""de"")"),"Die Übungsmaschine wird von selbst angezeigt.")</f>
        <v>Die Übungsmaschine wird von selbst angezeigt.</v>
      </c>
    </row>
    <row r="32944">
      <c r="A32944" s="4" t="s">
        <v>41459</v>
      </c>
      <c r="B32944" s="4" t="s">
        <v>41462</v>
      </c>
      <c r="C32944" s="5" t="str">
        <f>IFERROR(__xludf.DUMMYFUNCTION("GOOGLETRANSLATE(B32944,""en"",""de"")"),"Die Frau benutzt die Maschine erneut.")</f>
        <v>Die Frau benutzt die Maschine erneut.</v>
      </c>
    </row>
    <row r="32945">
      <c r="A32945" s="4" t="s">
        <v>41459</v>
      </c>
      <c r="B32945" s="4" t="s">
        <v>41463</v>
      </c>
      <c r="C32945" s="5" t="str">
        <f>IFERROR(__xludf.DUMMYFUNCTION("GOOGLETRANSLATE(B32945,""en"",""de"")"),"Die Digitalanzeigesteuerungen der Maschine sind angezeigt.")</f>
        <v>Die Digitalanzeigesteuerungen der Maschine sind angezeigt.</v>
      </c>
    </row>
    <row r="32946">
      <c r="A32946" s="4" t="s">
        <v>41459</v>
      </c>
      <c r="B32946" s="4" t="s">
        <v>41464</v>
      </c>
      <c r="C32946" s="5" t="str">
        <f>IFERROR(__xludf.DUMMYFUNCTION("GOOGLETRANSLATE(B32946,""en"",""de"")"),"Es werden ein Begrüßungsbildschirm einer Frau und ein Showtitel angezeigt.")</f>
        <v>Es werden ein Begrüßungsbildschirm einer Frau und ein Showtitel angezeigt.</v>
      </c>
    </row>
    <row r="32947">
      <c r="A32947" s="4" t="s">
        <v>41459</v>
      </c>
      <c r="B32947" s="4" t="s">
        <v>41465</v>
      </c>
      <c r="C32947" s="5" t="str">
        <f>IFERROR(__xludf.DUMMYFUNCTION("GOOGLETRANSLATE(B32947,""en"",""de"")"),"Die Frau trainiert wieder auf der Maschine.")</f>
        <v>Die Frau trainiert wieder auf der Maschine.</v>
      </c>
    </row>
    <row r="32948">
      <c r="A32948" s="4" t="s">
        <v>41466</v>
      </c>
      <c r="B32948" s="4" t="s">
        <v>41467</v>
      </c>
      <c r="C32948" s="5" t="str">
        <f>IFERROR(__xludf.DUMMYFUNCTION("GOOGLETRANSLATE(B32948,""en"",""de"")"),"Vier Personen bereiten sich darauf vor, einen Hang hinunter zu skateboard.")</f>
        <v>Vier Personen bereiten sich darauf vor, einen Hang hinunter zu skateboard.</v>
      </c>
    </row>
    <row r="32949">
      <c r="A32949" s="4" t="s">
        <v>41466</v>
      </c>
      <c r="B32949" s="4" t="s">
        <v>41468</v>
      </c>
      <c r="C32949" s="5" t="str">
        <f>IFERROR(__xludf.DUMMYFUNCTION("GOOGLETRANSLATE(B32949,""en"",""de"")"),"Die vier Personen skateboard den Hang zusammen oder allein, wie die Zuschauer beobachten.")</f>
        <v>Die vier Personen skateboard den Hang zusammen oder allein, wie die Zuschauer beobachten.</v>
      </c>
    </row>
    <row r="32950">
      <c r="A32950" s="4" t="s">
        <v>41466</v>
      </c>
      <c r="B32950" s="4" t="s">
        <v>41469</v>
      </c>
      <c r="C32950" s="5" t="str">
        <f>IFERROR(__xludf.DUMMYFUNCTION("GOOGLETRANSLATE(B32950,""en"",""de"")"),"Die Kamera schwenkt über Hintergrundlandschaften.")</f>
        <v>Die Kamera schwenkt über Hintergrundlandschaften.</v>
      </c>
    </row>
    <row r="32951">
      <c r="A32951" s="4" t="s">
        <v>41466</v>
      </c>
      <c r="B32951" s="4" t="s">
        <v>41470</v>
      </c>
      <c r="C32951" s="5" t="str">
        <f>IFERROR(__xludf.DUMMYFUNCTION("GOOGLETRANSLATE(B32951,""en"",""de"")"),"Einer der Individuen neigt zu seinem Skateboard.")</f>
        <v>Einer der Individuen neigt zu seinem Skateboard.</v>
      </c>
    </row>
    <row r="32952">
      <c r="A32952" s="4" t="s">
        <v>41466</v>
      </c>
      <c r="B32952" s="4" t="s">
        <v>41471</v>
      </c>
      <c r="C32952" s="5" t="str">
        <f>IFERROR(__xludf.DUMMYFUNCTION("GOOGLETRANSLATE(B32952,""en"",""de"")"),"Die vier Personen beteiligen sich mehr Skateboard, die den Hang hinunter.")</f>
        <v>Die vier Personen beteiligen sich mehr Skateboard, die den Hang hinunter.</v>
      </c>
    </row>
    <row r="32953">
      <c r="A32953" s="4" t="s">
        <v>41466</v>
      </c>
      <c r="B32953" s="4" t="s">
        <v>41472</v>
      </c>
      <c r="C32953" s="5" t="str">
        <f>IFERROR(__xludf.DUMMYFUNCTION("GOOGLETRANSLATE(B32953,""en"",""de"")"),"Einer der Individuen wird erneut gezeigt, dass er sich um sein Skateboard kümmert.")</f>
        <v>Einer der Individuen wird erneut gezeigt, dass er sich um sein Skateboard kümmert.</v>
      </c>
    </row>
    <row r="32954">
      <c r="A32954" s="4" t="s">
        <v>41473</v>
      </c>
      <c r="B32954" s="4" t="s">
        <v>41474</v>
      </c>
      <c r="C32954" s="5" t="str">
        <f>IFERROR(__xludf.DUMMYFUNCTION("GOOGLETRANSLATE(B32954,""en"",""de"")"),"Zwei Kinder drehen sich auf einer Reifenschwung.")</f>
        <v>Zwei Kinder drehen sich auf einer Reifenschwung.</v>
      </c>
    </row>
    <row r="32955">
      <c r="A32955" s="4" t="s">
        <v>41473</v>
      </c>
      <c r="B32955" s="4" t="s">
        <v>41475</v>
      </c>
      <c r="C32955" s="5" t="str">
        <f>IFERROR(__xludf.DUMMYFUNCTION("GOOGLETRANSLATE(B32955,""en"",""de"")"),"Ein anderes Kind schwingt in einem anderen Swing -Set.")</f>
        <v>Ein anderes Kind schwingt in einem anderen Swing -Set.</v>
      </c>
    </row>
    <row r="32956">
      <c r="A32956" s="4" t="s">
        <v>41473</v>
      </c>
      <c r="B32956" s="4" t="s">
        <v>41476</v>
      </c>
      <c r="C32956" s="5" t="str">
        <f>IFERROR(__xludf.DUMMYFUNCTION("GOOGLETRANSLATE(B32956,""en"",""de"")"),"Ein sehr kleines Kind verläuft durch den Spielbereich.")</f>
        <v>Ein sehr kleines Kind verläuft durch den Spielbereich.</v>
      </c>
    </row>
    <row r="32957">
      <c r="A32957" s="4" t="s">
        <v>41477</v>
      </c>
      <c r="B32957" s="4" t="s">
        <v>41478</v>
      </c>
      <c r="C32957" s="5" t="str">
        <f>IFERROR(__xludf.DUMMYFUNCTION("GOOGLETRANSLATE(B32957,""en"",""de"")"),"Ein Kind sitzt auf dem Bett und winkt zur Kamera.")</f>
        <v>Ein Kind sitzt auf dem Bett und winkt zur Kamera.</v>
      </c>
    </row>
    <row r="32958">
      <c r="A32958" s="4" t="s">
        <v>41477</v>
      </c>
      <c r="B32958" s="4" t="s">
        <v>41479</v>
      </c>
      <c r="C32958" s="5" t="str">
        <f>IFERROR(__xludf.DUMMYFUNCTION("GOOGLETRANSLATE(B32958,""en"",""de"")"),"Er erklärt seine tägliche Routine der Kamera.")</f>
        <v>Er erklärt seine tägliche Routine der Kamera.</v>
      </c>
    </row>
    <row r="32959">
      <c r="A32959" s="4" t="s">
        <v>41477</v>
      </c>
      <c r="B32959" s="4" t="s">
        <v>41480</v>
      </c>
      <c r="C32959" s="5" t="str">
        <f>IFERROR(__xludf.DUMMYFUNCTION("GOOGLETRANSLATE(B32959,""en"",""de"")"),"Er setzt rote Kontakte in seine Augen.")</f>
        <v>Er setzt rote Kontakte in seine Augen.</v>
      </c>
    </row>
    <row r="32960">
      <c r="A32960" s="4" t="s">
        <v>41477</v>
      </c>
      <c r="B32960" s="4" t="s">
        <v>41481</v>
      </c>
      <c r="C32960" s="5" t="str">
        <f>IFERROR(__xludf.DUMMYFUNCTION("GOOGLETRANSLATE(B32960,""en"",""de"")"),"Der Kontakt fällt ihm aus dem Auge und er steckt ihn wieder ein, aber er fällt immer wieder heraus.")</f>
        <v>Der Kontakt fällt ihm aus dem Auge und er steckt ihn wieder ein, aber er fällt immer wieder heraus.</v>
      </c>
    </row>
    <row r="32961">
      <c r="A32961" s="4" t="s">
        <v>41477</v>
      </c>
      <c r="B32961" s="4" t="s">
        <v>41482</v>
      </c>
      <c r="C32961" s="5" t="str">
        <f>IFERROR(__xludf.DUMMYFUNCTION("GOOGLETRANSLATE(B32961,""en"",""de"")"),"Schließlich lässt er es bleiben und er gibt der Kamera näher und einige Bewegungen.")</f>
        <v>Schließlich lässt er es bleiben und er gibt der Kamera näher und einige Bewegungen.</v>
      </c>
    </row>
    <row r="32962">
      <c r="A32962" s="4" t="s">
        <v>41483</v>
      </c>
      <c r="B32962" s="4" t="s">
        <v>41484</v>
      </c>
      <c r="C32962" s="5" t="str">
        <f>IFERROR(__xludf.DUMMYFUNCTION("GOOGLETRANSLATE(B32962,""en"",""de"")"),"Es werden verschiedene Clips gezeigt, die verschiedene Mädchen auf einer großen Matte ausführen.")</f>
        <v>Es werden verschiedene Clips gezeigt, die verschiedene Mädchen auf einer großen Matte ausführen.</v>
      </c>
    </row>
    <row r="32963">
      <c r="A32963" s="4" t="s">
        <v>41483</v>
      </c>
      <c r="B32963" s="4" t="s">
        <v>41485</v>
      </c>
      <c r="C32963" s="5" t="str">
        <f>IFERROR(__xludf.DUMMYFUNCTION("GOOGLETRANSLATE(B32963,""en"",""de"")"),"Die Mädchen springen weiter und drehen sich um die Gegend, während die Kamera ihre Bewegungen weiter erfasst.")</f>
        <v>Die Mädchen springen weiter und drehen sich um die Gegend, während die Kamera ihre Bewegungen weiter erfasst.</v>
      </c>
    </row>
    <row r="32964">
      <c r="A32964" s="4" t="s">
        <v>41486</v>
      </c>
      <c r="B32964" s="4" t="s">
        <v>41487</v>
      </c>
      <c r="C32964" s="5" t="str">
        <f>IFERROR(__xludf.DUMMYFUNCTION("GOOGLETRANSLATE(B32964,""en"",""de"")"),"Ein Schwarzweißbild eines Mannes wird gezeigt und dann erscheint der Mann in einem Feld einen Diskus.")</f>
        <v>Ein Schwarzweißbild eines Mannes wird gezeigt und dann erscheint der Mann in einem Feld einen Diskus.</v>
      </c>
    </row>
    <row r="32965">
      <c r="A32965" s="4" t="s">
        <v>41486</v>
      </c>
      <c r="B32965" s="4" t="s">
        <v>41488</v>
      </c>
      <c r="C32965" s="5" t="str">
        <f>IFERROR(__xludf.DUMMYFUNCTION("GOOGLETRANSLATE(B32965,""en"",""de"")"),"Danach wirft er weiter den Diskus und wenn er fertig ist, wird er als Gewinner auf einer Reihe von Würfeln stehen.")</f>
        <v>Danach wirft er weiter den Diskus und wenn er fertig ist, wird er als Gewinner auf einer Reihe von Würfeln stehen.</v>
      </c>
    </row>
    <row r="32966">
      <c r="A32966" s="4" t="s">
        <v>41486</v>
      </c>
      <c r="B32966" s="4" t="s">
        <v>41489</v>
      </c>
      <c r="C32966" s="5" t="str">
        <f>IFERROR(__xludf.DUMMYFUNCTION("GOOGLETRANSLATE(B32966,""en"",""de"")"),"Die Teilnehmer schütteln sich gegenseitig die Hände und beide gehen am Ende davon.")</f>
        <v>Die Teilnehmer schütteln sich gegenseitig die Hände und beide gehen am Ende davon.</v>
      </c>
    </row>
    <row r="32967">
      <c r="A32967" s="4" t="s">
        <v>41490</v>
      </c>
      <c r="B32967" s="4" t="s">
        <v>41491</v>
      </c>
      <c r="C32967" s="5" t="str">
        <f>IFERROR(__xludf.DUMMYFUNCTION("GOOGLETRANSLATE(B32967,""en"",""de"")"),"Der Mensch steht in einem Raum und spricht mit einem anderen Mann.")</f>
        <v>Der Mensch steht in einem Raum und spricht mit einem anderen Mann.</v>
      </c>
    </row>
    <row r="32968">
      <c r="A32968" s="4" t="s">
        <v>41490</v>
      </c>
      <c r="B32968" s="4" t="s">
        <v>41492</v>
      </c>
      <c r="C32968" s="5" t="str">
        <f>IFERROR(__xludf.DUMMYFUNCTION("GOOGLETRANSLATE(B32968,""en"",""de"")"),"Manis übt Schüsse mit einem Bogen vor einem Brett in einem großen Feld.")</f>
        <v>Manis übt Schüsse mit einem Bogen vor einem Brett in einem großen Feld.</v>
      </c>
    </row>
    <row r="32969">
      <c r="A32969" s="4" t="s">
        <v>41493</v>
      </c>
      <c r="B32969" s="4" t="s">
        <v>41494</v>
      </c>
      <c r="C32969" s="5" t="str">
        <f>IFERROR(__xludf.DUMMYFUNCTION("GOOGLETRANSLATE(B32969,""en"",""de"")"),"Ein Mann in schwarzer Jacke hält einen Freund in beiden Armen.")</f>
        <v>Ein Mann in schwarzer Jacke hält einen Freund in beiden Armen.</v>
      </c>
    </row>
    <row r="32970">
      <c r="A32970" s="4" t="s">
        <v>41493</v>
      </c>
      <c r="B32970" s="4" t="s">
        <v>41495</v>
      </c>
      <c r="C32970" s="5" t="str">
        <f>IFERROR(__xludf.DUMMYFUNCTION("GOOGLETRANSLATE(B32970,""en"",""de"")"),"Die Freundin, die ein Seil trägt, legt ihre Arme in Vorbereitung aus.")</f>
        <v>Die Freundin, die ein Seil trägt, legt ihre Arme in Vorbereitung aus.</v>
      </c>
    </row>
    <row r="32971">
      <c r="A32971" s="4" t="s">
        <v>41493</v>
      </c>
      <c r="B32971" s="4" t="s">
        <v>41496</v>
      </c>
      <c r="C32971" s="5" t="str">
        <f>IFERROR(__xludf.DUMMYFUNCTION("GOOGLETRANSLATE(B32971,""en"",""de"")"),"Der Freund wird aus dem Gebäude mit einer Bungee -Schnur geworfen und schwingt in einem breiten Bogen über dem Boden unten und dann hin und her.")</f>
        <v>Der Freund wird aus dem Gebäude mit einer Bungee -Schnur geworfen und schwingt in einem breiten Bogen über dem Boden unten und dann hin und her.</v>
      </c>
    </row>
    <row r="32972">
      <c r="A32972" s="4" t="s">
        <v>41493</v>
      </c>
      <c r="B32972" s="4" t="s">
        <v>41497</v>
      </c>
      <c r="C32972" s="5" t="str">
        <f>IFERROR(__xludf.DUMMYFUNCTION("GOOGLETRANSLATE(B32972,""en"",""de"")"),"Eine Frau in schwarzer Jacke sitzt auf einer Rampe und wird von Freunden heruntergedrückt.")</f>
        <v>Eine Frau in schwarzer Jacke sitzt auf einer Rampe und wird von Freunden heruntergedrückt.</v>
      </c>
    </row>
    <row r="32973">
      <c r="A32973" s="4" t="s">
        <v>41493</v>
      </c>
      <c r="B32973" s="4" t="s">
        <v>41498</v>
      </c>
      <c r="C32973" s="5" t="str">
        <f>IFERROR(__xludf.DUMMYFUNCTION("GOOGLETRANSLATE(B32973,""en"",""de"")"),"Die Frau fällt vom Gebäude aus und schwingt von einem Seil über dem Boden darunter.")</f>
        <v>Die Frau fällt vom Gebäude aus und schwingt von einem Seil über dem Boden darunter.</v>
      </c>
    </row>
    <row r="32974">
      <c r="A32974" s="4" t="s">
        <v>41499</v>
      </c>
      <c r="B32974" s="4" t="s">
        <v>41500</v>
      </c>
      <c r="C32974" s="5" t="str">
        <f>IFERROR(__xludf.DUMMYFUNCTION("GOOGLETRANSLATE(B32974,""en"",""de"")"),"Zwei Männer sitzen mit einem Kürbis hinter einem Tisch.")</f>
        <v>Zwei Männer sitzen mit einem Kürbis hinter einem Tisch.</v>
      </c>
    </row>
    <row r="32975">
      <c r="A32975" s="4" t="s">
        <v>41499</v>
      </c>
      <c r="B32975" s="4" t="s">
        <v>41501</v>
      </c>
      <c r="C32975" s="5" t="str">
        <f>IFERROR(__xludf.DUMMYFUNCTION("GOOGLETRANSLATE(B32975,""en"",""de"")"),"Ein Mann zerschmettert den Kürbis mit einem Hammer.")</f>
        <v>Ein Mann zerschmettert den Kürbis mit einem Hammer.</v>
      </c>
    </row>
    <row r="32976">
      <c r="A32976" s="4" t="s">
        <v>41499</v>
      </c>
      <c r="B32976" s="4" t="s">
        <v>41502</v>
      </c>
      <c r="C32976" s="5" t="str">
        <f>IFERROR(__xludf.DUMMYFUNCTION("GOOGLETRANSLATE(B32976,""en"",""de"")"),"Er beginnt die Samen herauszureißen und sie dem Mann neben ihm zu geben.")</f>
        <v>Er beginnt die Samen herauszureißen und sie dem Mann neben ihm zu geben.</v>
      </c>
    </row>
    <row r="32977">
      <c r="A32977" s="4" t="s">
        <v>41503</v>
      </c>
      <c r="B32977" s="4" t="s">
        <v>41504</v>
      </c>
      <c r="C32977" s="5" t="str">
        <f>IFERROR(__xludf.DUMMYFUNCTION("GOOGLETRANSLATE(B32977,""en"",""de"")"),"Ein Mann wischt den Boden eines Ski.")</f>
        <v>Ein Mann wischt den Boden eines Ski.</v>
      </c>
    </row>
    <row r="32978">
      <c r="A32978" s="4" t="s">
        <v>41503</v>
      </c>
      <c r="B32978" s="4" t="s">
        <v>41505</v>
      </c>
      <c r="C32978" s="5" t="str">
        <f>IFERROR(__xludf.DUMMYFUNCTION("GOOGLETRANSLATE(B32978,""en"",""de"")"),"Er legt Politur auf den Boden des Ski und reibt ihn hinein.")</f>
        <v>Er legt Politur auf den Boden des Ski und reibt ihn hinein.</v>
      </c>
    </row>
    <row r="32979">
      <c r="A32979" s="4" t="s">
        <v>41503</v>
      </c>
      <c r="B32979" s="4" t="s">
        <v>41506</v>
      </c>
      <c r="C32979" s="5" t="str">
        <f>IFERROR(__xludf.DUMMYFUNCTION("GOOGLETRANSLATE(B32979,""en"",""de"")"),"Er nimmt ein Papiertuch und wischt sich den Boden des Ski.")</f>
        <v>Er nimmt ein Papiertuch und wischt sich den Boden des Ski.</v>
      </c>
    </row>
    <row r="32980">
      <c r="A32980" s="4" t="s">
        <v>41507</v>
      </c>
      <c r="B32980" s="4" t="s">
        <v>41508</v>
      </c>
      <c r="C32980" s="5" t="str">
        <f>IFERROR(__xludf.DUMMYFUNCTION("GOOGLETRANSLATE(B32980,""en"",""de"")"),"Ein Standpunkt einer Person zeigt sich in einem Schlitten, der zwei Kinder in Schlitten hält.")</f>
        <v>Ein Standpunkt einer Person zeigt sich in einem Schlitten, der zwei Kinder in Schlitten hält.</v>
      </c>
    </row>
    <row r="32981">
      <c r="A32981" s="4" t="s">
        <v>41507</v>
      </c>
      <c r="B32981" s="4" t="s">
        <v>41509</v>
      </c>
      <c r="C32981" s="5" t="str">
        <f>IFERROR(__xludf.DUMMYFUNCTION("GOOGLETRANSLATE(B32981,""en"",""de"")"),"Eine Person schiebt die drei einen Hügel hinunter, während sie immer noch die Hände hält, und lässt sich am Boden gehen, um sich mit den anderen zu treffen.")</f>
        <v>Eine Person schiebt die drei einen Hügel hinunter, während sie immer noch die Hände hält, und lässt sich am Boden gehen, um sich mit den anderen zu treffen.</v>
      </c>
    </row>
    <row r="32982">
      <c r="A32982" s="4" t="s">
        <v>41510</v>
      </c>
      <c r="B32982" s="4" t="s">
        <v>41511</v>
      </c>
      <c r="C32982" s="5" t="str">
        <f>IFERROR(__xludf.DUMMYFUNCTION("GOOGLETRANSLATE(B32982,""en"",""de"")"),"Ein Mann steht in einem Kraftraum mit mehreren Bildschirmen und Computern.")</f>
        <v>Ein Mann steht in einem Kraftraum mit mehreren Bildschirmen und Computern.</v>
      </c>
    </row>
    <row r="32983">
      <c r="A32983" s="4" t="s">
        <v>41510</v>
      </c>
      <c r="B32983" s="4" t="s">
        <v>41512</v>
      </c>
      <c r="C32983" s="5" t="str">
        <f>IFERROR(__xludf.DUMMYFUNCTION("GOOGLETRANSLATE(B32983,""en"",""de"")"),"Nachdem er das Gespräch beendet hat, steigt er auf ein Ellipitakal und beginnt zu rudern.")</f>
        <v>Nachdem er das Gespräch beendet hat, steigt er auf ein Ellipitakal und beginnt zu rudern.</v>
      </c>
    </row>
    <row r="32984">
      <c r="A32984" s="4" t="s">
        <v>41510</v>
      </c>
      <c r="B32984" s="4" t="s">
        <v>41513</v>
      </c>
      <c r="C32984" s="5" t="str">
        <f>IFERROR(__xludf.DUMMYFUNCTION("GOOGLETRANSLATE(B32984,""en"",""de"")"),"Als nächstes bewegt er sich zu einer anderen Maschine und macht das Gleiche auch auf etwas anderes.")</f>
        <v>Als nächstes bewegt er sich zu einer anderen Maschine und macht das Gleiche auch auf etwas anderes.</v>
      </c>
    </row>
    <row r="32985">
      <c r="A32985" s="4" t="s">
        <v>41514</v>
      </c>
      <c r="B32985" s="4" t="s">
        <v>41515</v>
      </c>
      <c r="C32985" s="5" t="str">
        <f>IFERROR(__xludf.DUMMYFUNCTION("GOOGLETRANSLATE(B32985,""en"",""de"")"),"Ein Vogel sitzt auf einer Bar über einer Badewanne.")</f>
        <v>Ein Vogel sitzt auf einer Bar über einer Badewanne.</v>
      </c>
    </row>
    <row r="32986">
      <c r="A32986" s="4" t="s">
        <v>41514</v>
      </c>
      <c r="B32986" s="4" t="s">
        <v>41516</v>
      </c>
      <c r="C32986" s="5" t="str">
        <f>IFERROR(__xludf.DUMMYFUNCTION("GOOGLETRANSLATE(B32986,""en"",""de"")"),"Ein Hund befindet sich in der Badewanne und duscht.")</f>
        <v>Ein Hund befindet sich in der Badewanne und duscht.</v>
      </c>
    </row>
    <row r="32987">
      <c r="A32987" s="4" t="s">
        <v>41514</v>
      </c>
      <c r="B32987" s="4" t="s">
        <v>41517</v>
      </c>
      <c r="C32987" s="5" t="str">
        <f>IFERROR(__xludf.DUMMYFUNCTION("GOOGLETRANSLATE(B32987,""en"",""de"")"),"Eine Person reibt Seife in das Hundefell.")</f>
        <v>Eine Person reibt Seife in das Hundefell.</v>
      </c>
    </row>
    <row r="32988">
      <c r="A32988" s="4" t="s">
        <v>41514</v>
      </c>
      <c r="B32988" s="4" t="s">
        <v>41518</v>
      </c>
      <c r="C32988" s="5" t="str">
        <f>IFERROR(__xludf.DUMMYFUNCTION("GOOGLETRANSLATE(B32988,""en"",""de"")"),"Der Hund schüttelt sich ab.")</f>
        <v>Der Hund schüttelt sich ab.</v>
      </c>
    </row>
    <row r="32989">
      <c r="A32989" s="4" t="s">
        <v>41519</v>
      </c>
      <c r="B32989" s="4" t="s">
        <v>41520</v>
      </c>
      <c r="C32989" s="5" t="str">
        <f>IFERROR(__xludf.DUMMYFUNCTION("GOOGLETRANSLATE(B32989,""en"",""de"")"),"Es wird ein Treffen im Freien im Freien angezeigt.")</f>
        <v>Es wird ein Treffen im Freien im Freien angezeigt.</v>
      </c>
    </row>
    <row r="32990">
      <c r="A32990" s="4" t="s">
        <v>41519</v>
      </c>
      <c r="B32990" s="4" t="s">
        <v>41521</v>
      </c>
      <c r="C32990" s="5" t="str">
        <f>IFERROR(__xludf.DUMMYFUNCTION("GOOGLETRANSLATE(B32990,""en"",""de"")"),"Polvauls werden in einem Wettbewerb gezeigt.")</f>
        <v>Polvauls werden in einem Wettbewerb gezeigt.</v>
      </c>
    </row>
    <row r="32991">
      <c r="A32991" s="4" t="s">
        <v>41519</v>
      </c>
      <c r="B32991" s="4" t="s">
        <v>41522</v>
      </c>
      <c r="C32991" s="5" t="str">
        <f>IFERROR(__xludf.DUMMYFUNCTION("GOOGLETRANSLATE(B32991,""en"",""de"")"),"Einige von ihnen machen ihre Sprünge, andere nicht.")</f>
        <v>Einige von ihnen machen ihre Sprünge, andere nicht.</v>
      </c>
    </row>
    <row r="32992">
      <c r="A32992" s="4" t="s">
        <v>41523</v>
      </c>
      <c r="B32992" s="4" t="s">
        <v>41524</v>
      </c>
      <c r="C32992" s="5" t="str">
        <f>IFERROR(__xludf.DUMMYFUNCTION("GOOGLETRANSLATE(B32992,""en"",""de"")"),"Zwei Männer sind in einer Gasse.")</f>
        <v>Zwei Männer sind in einer Gasse.</v>
      </c>
    </row>
    <row r="32993">
      <c r="A32993" s="4" t="s">
        <v>41523</v>
      </c>
      <c r="B32993" s="4" t="s">
        <v>41525</v>
      </c>
      <c r="C32993" s="5" t="str">
        <f>IFERROR(__xludf.DUMMYFUNCTION("GOOGLETRANSLATE(B32993,""en"",""de"")"),"Sie springen auf Stöcken auf und ab.")</f>
        <v>Sie springen auf Stöcken auf und ab.</v>
      </c>
    </row>
    <row r="32994">
      <c r="A32994" s="4" t="s">
        <v>41523</v>
      </c>
      <c r="B32994" s="4" t="s">
        <v>41526</v>
      </c>
      <c r="C32994" s="5" t="str">
        <f>IFERROR(__xludf.DUMMYFUNCTION("GOOGLETRANSLATE(B32994,""en"",""de"")"),"Es gibt einen Van im Vordergrund.")</f>
        <v>Es gibt einen Van im Vordergrund.</v>
      </c>
    </row>
    <row r="32995">
      <c r="A32995" s="4" t="s">
        <v>41523</v>
      </c>
      <c r="B32995" s="4" t="s">
        <v>41527</v>
      </c>
      <c r="C32995" s="5" t="str">
        <f>IFERROR(__xludf.DUMMYFUNCTION("GOOGLETRANSLATE(B32995,""en"",""de"")"),"Es gibt auch mehrere Gebäude.")</f>
        <v>Es gibt auch mehrere Gebäude.</v>
      </c>
    </row>
    <row r="32996">
      <c r="A32996" s="4" t="s">
        <v>41528</v>
      </c>
      <c r="B32996" s="4" t="s">
        <v>41529</v>
      </c>
      <c r="C32996" s="5" t="str">
        <f>IFERROR(__xludf.DUMMYFUNCTION("GOOGLETRANSLATE(B32996,""en"",""de"")"),"Ein Mann fährt ein Fahrrad hinter drei Männern, die in einem professionellen Rennen auf einer asphaltierten Autobahn mit Zuschauern, Zuschauern und Teilnehmern gesäumt sind.")</f>
        <v>Ein Mann fährt ein Fahrrad hinter drei Männern, die in einem professionellen Rennen auf einer asphaltierten Autobahn mit Zuschauern, Zuschauern und Teilnehmern gesäumt sind.</v>
      </c>
    </row>
    <row r="32997">
      <c r="A32997" s="4" t="s">
        <v>41528</v>
      </c>
      <c r="B32997" s="4" t="s">
        <v>41530</v>
      </c>
      <c r="C32997" s="5" t="str">
        <f>IFERROR(__xludf.DUMMYFUNCTION("GOOGLETRANSLATE(B32997,""en"",""de"")"),"Ein Mann fährt mit dem Fahrrad eine Autobahn hinunter und trägt einen Helm und trägt ein Papieretikett auf der Vorderseite des Fahrrads.")</f>
        <v>Ein Mann fährt mit dem Fahrrad eine Autobahn hinunter und trägt einen Helm und trägt ein Papieretikett auf der Vorderseite des Fahrrads.</v>
      </c>
    </row>
    <row r="32998">
      <c r="A32998" s="4" t="s">
        <v>41528</v>
      </c>
      <c r="B32998" s="4" t="s">
        <v>41531</v>
      </c>
      <c r="C32998" s="5" t="str">
        <f>IFERROR(__xludf.DUMMYFUNCTION("GOOGLETRANSLATE(B32998,""en"",""de"")"),"Drei Männer rennen vor dem Mann auf dem Fahrrad mit einem der Männer, die während des Laufens drei Bälle jonglieren, und ein Trinkwasser und verzichten auf die Menge.")</f>
        <v>Drei Männer rennen vor dem Mann auf dem Fahrrad mit einem der Männer, die während des Laufens drei Bälle jonglieren, und ein Trinkwasser und verzichten auf die Menge.</v>
      </c>
    </row>
    <row r="32999">
      <c r="A32999" s="4" t="s">
        <v>41528</v>
      </c>
      <c r="B32999" s="4" t="s">
        <v>41532</v>
      </c>
      <c r="C32999" s="5" t="str">
        <f>IFERROR(__xludf.DUMMYFUNCTION("GOOGLETRANSLATE(B32999,""en"",""de"")"),"Die Männer drehen beim Joggen eine Kurve und ein Zuschauer beginnt von hinten nach ihnen zu klatschen.")</f>
        <v>Die Männer drehen beim Joggen eine Kurve und ein Zuschauer beginnt von hinten nach ihnen zu klatschen.</v>
      </c>
    </row>
    <row r="33000">
      <c r="A33000" s="4" t="s">
        <v>41533</v>
      </c>
      <c r="B33000" s="4" t="s">
        <v>41534</v>
      </c>
      <c r="C33000" s="5" t="str">
        <f>IFERROR(__xludf.DUMMYFUNCTION("GOOGLETRANSLATE(B33000,""en"",""de"")"),"Gruppen von Menschen Bowl -Spiele in einer Kegelbahn.")</f>
        <v>Gruppen von Menschen Bowl -Spiele in einer Kegelbahn.</v>
      </c>
    </row>
    <row r="33001">
      <c r="A33001" s="4" t="s">
        <v>41533</v>
      </c>
      <c r="B33001" s="4" t="s">
        <v>41535</v>
      </c>
      <c r="C33001" s="5" t="str">
        <f>IFERROR(__xludf.DUMMYFUNCTION("GOOGLETRANSLATE(B33001,""en"",""de"")"),"Leute im aufgenommenen Video des Bowling -Matchs.")</f>
        <v>Leute im aufgenommenen Video des Bowling -Matchs.</v>
      </c>
    </row>
    <row r="33002">
      <c r="A33002" s="4" t="s">
        <v>41533</v>
      </c>
      <c r="B33002" s="4" t="s">
        <v>41536</v>
      </c>
      <c r="C33002" s="5" t="str">
        <f>IFERROR(__xludf.DUMMYFUNCTION("GOOGLETRANSLATE(B33002,""en"",""de"")"),"Die Zuschauer sitzen und stehen hinter dem Geländer und beobachten die Veranstaltung.")</f>
        <v>Die Zuschauer sitzen und stehen hinter dem Geländer und beobachten die Veranstaltung.</v>
      </c>
    </row>
    <row r="33003">
      <c r="A33003" s="4" t="s">
        <v>41533</v>
      </c>
      <c r="B33003" s="4" t="s">
        <v>41537</v>
      </c>
      <c r="C33003" s="5" t="str">
        <f>IFERROR(__xludf.DUMMYFUNCTION("GOOGLETRANSLATE(B33003,""en"",""de"")"),"Ein Mann spüelt seine Kurven nach hinten.")</f>
        <v>Ein Mann spüelt seine Kurven nach hinten.</v>
      </c>
    </row>
    <row r="33004">
      <c r="A33004" s="4" t="s">
        <v>41533</v>
      </c>
      <c r="B33004" s="4" t="s">
        <v>41538</v>
      </c>
      <c r="C33004" s="5" t="str">
        <f>IFERROR(__xludf.DUMMYFUNCTION("GOOGLETRANSLATE(B33004,""en"",""de"")"),"Menschen auf der Tribüne jubeln dem Bowler an.")</f>
        <v>Menschen auf der Tribüne jubeln dem Bowler an.</v>
      </c>
    </row>
    <row r="33005">
      <c r="A33005" s="4" t="s">
        <v>41539</v>
      </c>
      <c r="B33005" s="4" t="s">
        <v>41540</v>
      </c>
      <c r="C33005" s="5" t="str">
        <f>IFERROR(__xludf.DUMMYFUNCTION("GOOGLETRANSLATE(B33005,""en"",""de"")"),"Drei Männer sprechen und winken zur Kamera, die zu den Männern führt, die mit Fremden auf der Straße Spiele spielen.")</f>
        <v>Drei Männer sprechen und winken zur Kamera, die zu den Männern führt, die mit Fremden auf der Straße Spiele spielen.</v>
      </c>
    </row>
    <row r="33006">
      <c r="A33006" s="4" t="s">
        <v>41539</v>
      </c>
      <c r="B33006" s="4" t="s">
        <v>41541</v>
      </c>
      <c r="C33006" s="5" t="str">
        <f>IFERROR(__xludf.DUMMYFUNCTION("GOOGLETRANSLATE(B33006,""en"",""de"")"),"Der Gewinner kann den Mann küssen und der Verlierer kann ihn schlagen.")</f>
        <v>Der Gewinner kann den Mann küssen und der Verlierer kann ihn schlagen.</v>
      </c>
    </row>
    <row r="33007">
      <c r="A33007" s="4" t="s">
        <v>41539</v>
      </c>
      <c r="B33007" s="4" t="s">
        <v>41542</v>
      </c>
      <c r="C33007" s="5" t="str">
        <f>IFERROR(__xludf.DUMMYFUNCTION("GOOGLETRANSLATE(B33007,""en"",""de"")"),"Es werden mehrere Schüsse gezeigt, wie er Mädchen schlägt und küsst und durch die Gegend rennt, um mehr Menschen zu finden.")</f>
        <v>Es werden mehrere Schüsse gezeigt, wie er Mädchen schlägt und küsst und durch die Gegend rennt, um mehr Menschen zu finden.</v>
      </c>
    </row>
    <row r="33008">
      <c r="A33008" s="4" t="s">
        <v>41543</v>
      </c>
      <c r="B33008" s="4" t="s">
        <v>41544</v>
      </c>
      <c r="C33008" s="5" t="str">
        <f>IFERROR(__xludf.DUMMYFUNCTION("GOOGLETRANSLATE(B33008,""en"",""de"")"),"Einige Leute stehen in verschiedenen Fooseball -Tischen, die Spiele miteinander spielen.")</f>
        <v>Einige Leute stehen in verschiedenen Fooseball -Tischen, die Spiele miteinander spielen.</v>
      </c>
    </row>
    <row r="33009">
      <c r="A33009" s="4" t="s">
        <v>41543</v>
      </c>
      <c r="B33009" s="4" t="s">
        <v>41545</v>
      </c>
      <c r="C33009" s="5" t="str">
        <f>IFERROR(__xludf.DUMMYFUNCTION("GOOGLETRANSLATE(B33009,""en"",""de"")"),"Die Leute schieben den Ball weiterhin zurück und viertes, während sich die Kamera auf ein Spiel konzentriert.")</f>
        <v>Die Leute schieben den Ball weiterhin zurück und viertes, während sich die Kamera auf ein Spiel konzentriert.</v>
      </c>
    </row>
    <row r="33010">
      <c r="A33010" s="4" t="s">
        <v>41543</v>
      </c>
      <c r="B33010" s="4" t="s">
        <v>41546</v>
      </c>
      <c r="C33010" s="5" t="str">
        <f>IFERROR(__xludf.DUMMYFUNCTION("GOOGLETRANSLATE(B33010,""en"",""de"")"),"Die Leute verfolgen ihre Punktzahlen und andere beobachten sie in der Ferne.")</f>
        <v>Die Leute verfolgen ihre Punktzahlen und andere beobachten sie in der Ferne.</v>
      </c>
    </row>
    <row r="33011">
      <c r="A33011" s="4" t="s">
        <v>41547</v>
      </c>
      <c r="B33011" s="4" t="s">
        <v>41548</v>
      </c>
      <c r="C33011" s="5" t="str">
        <f>IFERROR(__xludf.DUMMYFUNCTION("GOOGLETRANSLATE(B33011,""en"",""de"")"),"Wenn eine rote Schnittszene vorbeikommt, wird ein junger Mann in einem blauen Hemd konzentriert.")</f>
        <v>Wenn eine rote Schnittszene vorbeikommt, wird ein junger Mann in einem blauen Hemd konzentriert.</v>
      </c>
    </row>
    <row r="33012">
      <c r="A33012" s="4" t="s">
        <v>41547</v>
      </c>
      <c r="B33012" s="4" t="s">
        <v>41549</v>
      </c>
      <c r="C33012" s="5" t="str">
        <f>IFERROR(__xludf.DUMMYFUNCTION("GOOGLETRANSLATE(B33012,""en"",""de"")"),"Danach wird ein anderer Mann auf einer Lockenbahn gesehen, die einen Steinstein freigibt, während zwei andere Männer Besen nutzen, um den Weg zu klären, während der Stein den Weg hinunter wandert.")</f>
        <v>Danach wird ein anderer Mann auf einer Lockenbahn gesehen, die einen Steinstein freigibt, während zwei andere Männer Besen nutzen, um den Weg zu klären, während der Stein den Weg hinunter wandert.</v>
      </c>
    </row>
    <row r="33013">
      <c r="A33013" s="4" t="s">
        <v>41547</v>
      </c>
      <c r="B33013" s="4" t="s">
        <v>41550</v>
      </c>
      <c r="C33013" s="5" t="str">
        <f>IFERROR(__xludf.DUMMYFUNCTION("GOOGLETRANSLATE(B33013,""en"",""de"")"),"Die Tat setzt sich mit denselben Männern fort, die sich wieder in dieselbe Handlung beschäftigen.")</f>
        <v>Die Tat setzt sich mit denselben Männern fort, die sich wieder in dieselbe Handlung beschäftigen.</v>
      </c>
    </row>
    <row r="33014">
      <c r="A33014" s="4" t="s">
        <v>41547</v>
      </c>
      <c r="B33014" s="4" t="s">
        <v>41551</v>
      </c>
      <c r="C33014" s="5" t="str">
        <f>IFERROR(__xludf.DUMMYFUNCTION("GOOGLETRANSLATE(B33014,""en"",""de"")"),"Danach wiederholt ein anderer junger Mann in einem blauen Hemd den gleichen Schritt wie das weiße Team.")</f>
        <v>Danach wiederholt ein anderer junger Mann in einem blauen Hemd den gleichen Schritt wie das weiße Team.</v>
      </c>
    </row>
    <row r="33015">
      <c r="A33015" s="4" t="s">
        <v>41547</v>
      </c>
      <c r="B33015" s="4" t="s">
        <v>41552</v>
      </c>
      <c r="C33015" s="5" t="str">
        <f>IFERROR(__xludf.DUMMYFUNCTION("GOOGLETRANSLATE(B33015,""en"",""de"")"),"Schließlich, wie die Zuschauer zuschauen, veröffentlicht ein Mitglied des weißen Teams einen Rockstein und zwei Männer aus dem Team nutzen Besen, um den Weg zu räumen.")</f>
        <v>Schließlich, wie die Zuschauer zuschauen, veröffentlicht ein Mitglied des weißen Teams einen Rockstein und zwei Männer aus dem Team nutzen Besen, um den Weg zu räumen.</v>
      </c>
    </row>
    <row r="33016">
      <c r="A33016" s="4" t="s">
        <v>41553</v>
      </c>
      <c r="B33016" s="4" t="s">
        <v>41554</v>
      </c>
      <c r="C33016" s="5" t="str">
        <f>IFERROR(__xludf.DUMMYFUNCTION("GOOGLETRANSLATE(B33016,""en"",""de"")"),"Ein Mann spricht mit der Kamera, während er eine Gitarre in den Händen hält.")</f>
        <v>Ein Mann spricht mit der Kamera, während er eine Gitarre in den Händen hält.</v>
      </c>
    </row>
    <row r="33017">
      <c r="A33017" s="4" t="s">
        <v>41553</v>
      </c>
      <c r="B33017" s="4" t="s">
        <v>41555</v>
      </c>
      <c r="C33017" s="5" t="str">
        <f>IFERROR(__xludf.DUMMYFUNCTION("GOOGLETRANSLATE(B33017,""en"",""de"")"),"Der Mann spielt Gitarre und singt in ein Mikrofon.")</f>
        <v>Der Mann spielt Gitarre und singt in ein Mikrofon.</v>
      </c>
    </row>
    <row r="33018">
      <c r="A33018" s="4" t="s">
        <v>41553</v>
      </c>
      <c r="B33018" s="4" t="s">
        <v>41556</v>
      </c>
      <c r="C33018" s="5" t="str">
        <f>IFERROR(__xludf.DUMMYFUNCTION("GOOGLETRANSLATE(B33018,""en"",""de"")"),"Der Mann singt und spielt weiter und hört am Ende auf.")</f>
        <v>Der Mann singt und spielt weiter und hört am Ende auf.</v>
      </c>
    </row>
    <row r="33019">
      <c r="A33019" s="4" t="s">
        <v>41557</v>
      </c>
      <c r="B33019" s="4" t="s">
        <v>41558</v>
      </c>
      <c r="C33019" s="5" t="str">
        <f>IFERROR(__xludf.DUMMYFUNCTION("GOOGLETRANSLATE(B33019,""en"",""de"")"),"Ein Mann spricht sowohl mit der Kamera als auch mit mehreren Schüssen einer Kegelbahn und ihm einen Ball.")</f>
        <v>Ein Mann spricht sowohl mit der Kamera als auch mit mehreren Schüssen einer Kegelbahn und ihm einen Ball.</v>
      </c>
    </row>
    <row r="33020">
      <c r="A33020" s="4" t="s">
        <v>41557</v>
      </c>
      <c r="B33020" s="4" t="s">
        <v>41559</v>
      </c>
      <c r="C33020" s="5" t="str">
        <f>IFERROR(__xludf.DUMMYFUNCTION("GOOGLETRANSLATE(B33020,""en"",""de"")"),"Er spricht weiter mit der Kamera, während er mehrere Videos von ihm zeigt, die den Bowlingball werfen und mehrere Stifte schlägt.")</f>
        <v>Er spricht weiter mit der Kamera, während er mehrere Videos von ihm zeigt, die den Bowlingball werfen und mehrere Stifte schlägt.</v>
      </c>
    </row>
    <row r="33021">
      <c r="A33021" s="4" t="s">
        <v>41560</v>
      </c>
      <c r="B33021" s="4" t="s">
        <v>41078</v>
      </c>
      <c r="C33021" s="5" t="str">
        <f>IFERROR(__xludf.DUMMYFUNCTION("GOOGLETRANSLATE(B33021,""en"",""de"")"),"Ein Mann sitzt auf einem Friseurstuhl.")</f>
        <v>Ein Mann sitzt auf einem Friseurstuhl.</v>
      </c>
    </row>
    <row r="33022">
      <c r="A33022" s="4" t="s">
        <v>41560</v>
      </c>
      <c r="B33022" s="4" t="s">
        <v>41561</v>
      </c>
      <c r="C33022" s="5" t="str">
        <f>IFERROR(__xludf.DUMMYFUNCTION("GOOGLETRANSLATE(B33022,""en"",""de"")"),"Ein anderer Mann gibt ihm einen Haarschnitt.")</f>
        <v>Ein anderer Mann gibt ihm einen Haarschnitt.</v>
      </c>
    </row>
    <row r="33023">
      <c r="A33023" s="4" t="s">
        <v>41560</v>
      </c>
      <c r="B33023" s="4" t="s">
        <v>41562</v>
      </c>
      <c r="C33023" s="5" t="str">
        <f>IFERROR(__xludf.DUMMYFUNCTION("GOOGLETRANSLATE(B33023,""en"",""de"")"),"Dann streift er den Hals des Mannes ab.")</f>
        <v>Dann streift er den Hals des Mannes ab.</v>
      </c>
    </row>
    <row r="33024">
      <c r="A33024" s="4" t="s">
        <v>41563</v>
      </c>
      <c r="B33024" s="4" t="s">
        <v>41564</v>
      </c>
      <c r="C33024" s="5" t="str">
        <f>IFERROR(__xludf.DUMMYFUNCTION("GOOGLETRANSLATE(B33024,""en"",""de"")"),"Ein Mann zeigt, wie man den Reifen auf einem Auto wechselt.")</f>
        <v>Ein Mann zeigt, wie man den Reifen auf einem Auto wechselt.</v>
      </c>
    </row>
    <row r="33025">
      <c r="A33025" s="4" t="s">
        <v>41563</v>
      </c>
      <c r="B33025" s="4" t="s">
        <v>41565</v>
      </c>
      <c r="C33025" s="5" t="str">
        <f>IFERROR(__xludf.DUMMYFUNCTION("GOOGLETRANSLATE(B33025,""en"",""de"")"),"Ein Auto fährt durch eine Straße und zeigt sich dann als geparkt, wobei ein Mann sich dem Auto nähert, das ein Werkzeug zur Entfernung von Nussnuss hält.")</f>
        <v>Ein Auto fährt durch eine Straße und zeigt sich dann als geparkt, wobei ein Mann sich dem Auto nähert, das ein Werkzeug zur Entfernung von Nussnuss hält.</v>
      </c>
    </row>
    <row r="33026">
      <c r="A33026" s="4" t="s">
        <v>41563</v>
      </c>
      <c r="B33026" s="4" t="s">
        <v>41566</v>
      </c>
      <c r="C33026" s="5" t="str">
        <f>IFERROR(__xludf.DUMMYFUNCTION("GOOGLETRANSLATE(B33026,""en"",""de"")"),"Der Mann entfernt die Lug -Nüsse und schürt dann das Auto auf.")</f>
        <v>Der Mann entfernt die Lug -Nüsse und schürt dann das Auto auf.</v>
      </c>
    </row>
    <row r="33027">
      <c r="A33027" s="4" t="s">
        <v>41563</v>
      </c>
      <c r="B33027" s="4" t="s">
        <v>41567</v>
      </c>
      <c r="C33027" s="5" t="str">
        <f>IFERROR(__xludf.DUMMYFUNCTION("GOOGLETRANSLATE(B33027,""en"",""de"")"),"Der Mann entfernt den Reifen und zieht ein Ersatzreifen von der Rückseite des Autos.")</f>
        <v>Der Mann entfernt den Reifen und zieht ein Ersatzreifen von der Rückseite des Autos.</v>
      </c>
    </row>
    <row r="33028">
      <c r="A33028" s="4" t="s">
        <v>41563</v>
      </c>
      <c r="B33028" s="4" t="s">
        <v>41568</v>
      </c>
      <c r="C33028" s="5" t="str">
        <f>IFERROR(__xludf.DUMMYFUNCTION("GOOGLETRANSLATE(B33028,""en"",""de"")"),"Der Mann legt dann den neuen Reifen auf das Auto.")</f>
        <v>Der Mann legt dann den neuen Reifen auf das Auto.</v>
      </c>
    </row>
    <row r="33029">
      <c r="A33029" s="4" t="s">
        <v>41569</v>
      </c>
      <c r="B33029" s="4" t="s">
        <v>41570</v>
      </c>
      <c r="C33029" s="5" t="str">
        <f>IFERROR(__xludf.DUMMYFUNCTION("GOOGLETRANSLATE(B33029,""en"",""de"")"),"Ein Mann hängt Tapete an einer leeren Wand.")</f>
        <v>Ein Mann hängt Tapete an einer leeren Wand.</v>
      </c>
    </row>
    <row r="33030">
      <c r="A33030" s="4" t="s">
        <v>41569</v>
      </c>
      <c r="B33030" s="4" t="s">
        <v>41571</v>
      </c>
      <c r="C33030" s="5" t="str">
        <f>IFERROR(__xludf.DUMMYFUNCTION("GOOGLETRANSLATE(B33030,""en"",""de"")"),"Jeder Rahmen wird heruntergerollt und an die Wand gelegt.")</f>
        <v>Jeder Rahmen wird heruntergerollt und an die Wand gelegt.</v>
      </c>
    </row>
    <row r="33031">
      <c r="A33031" s="4" t="s">
        <v>41572</v>
      </c>
      <c r="B33031" s="4" t="s">
        <v>41573</v>
      </c>
      <c r="C33031" s="5" t="str">
        <f>IFERROR(__xludf.DUMMYFUNCTION("GOOGLETRANSLATE(B33031,""en"",""de"")"),"Ein Mann in einem roten Hockeyhelm und mit einem langen Lockenbarsch ist in einem noch geschossenen Schuss neben einer Frau zu sehen, während er sich vor einer Eisbahnbahn auf eine Glasbarriere lehnt.")</f>
        <v>Ein Mann in einem roten Hockeyhelm und mit einem langen Lockenbarsch ist in einem noch geschossenen Schuss neben einer Frau zu sehen, während er sich vor einer Eisbahnbahn auf eine Glasbarriere lehnt.</v>
      </c>
    </row>
    <row r="33032">
      <c r="A33032" s="4" t="s">
        <v>41572</v>
      </c>
      <c r="B33032" s="4" t="s">
        <v>41574</v>
      </c>
      <c r="C33032" s="5" t="str">
        <f>IFERROR(__xludf.DUMMYFUNCTION("GOOGLETRANSLATE(B33032,""en"",""de"")"),"Dem Mann wird dann gezeigt, dass er in ein Live -Hockeyspiel eintritt und Hockey mit einem Boden mit anderen Spielern spielt.")</f>
        <v>Dem Mann wird dann gezeigt, dass er in ein Live -Hockeyspiel eintritt und Hockey mit einem Boden mit anderen Spielern spielt.</v>
      </c>
    </row>
    <row r="33033">
      <c r="A33033" s="4" t="s">
        <v>41572</v>
      </c>
      <c r="B33033" s="4" t="s">
        <v>41575</v>
      </c>
      <c r="C33033" s="5" t="str">
        <f>IFERROR(__xludf.DUMMYFUNCTION("GOOGLETRANSLATE(B33033,""en"",""de"")"),"Ein anderer Mann sitzt neben einer Snoopy -Puppe, bevor sich die Kamera wieder zum Mann im Schnurrbart wechselt.")</f>
        <v>Ein anderer Mann sitzt neben einer Snoopy -Puppe, bevor sich die Kamera wieder zum Mann im Schnurrbart wechselt.</v>
      </c>
    </row>
    <row r="33034">
      <c r="A33034" s="4" t="s">
        <v>41576</v>
      </c>
      <c r="B33034" s="4" t="s">
        <v>41577</v>
      </c>
      <c r="C33034" s="5" t="str">
        <f>IFERROR(__xludf.DUMMYFUNCTION("GOOGLETRANSLATE(B33034,""en"",""de"")"),"Eine Frau klatscht in die Hände.")</f>
        <v>Eine Frau klatscht in die Hände.</v>
      </c>
    </row>
    <row r="33035">
      <c r="A33035" s="4" t="s">
        <v>41576</v>
      </c>
      <c r="B33035" s="4" t="s">
        <v>41578</v>
      </c>
      <c r="C33035" s="5" t="str">
        <f>IFERROR(__xludf.DUMMYFUNCTION("GOOGLETRANSLATE(B33035,""en"",""de"")"),"Sie sprintet eine Strecke hinunter.")</f>
        <v>Sie sprintet eine Strecke hinunter.</v>
      </c>
    </row>
    <row r="33036">
      <c r="A33036" s="4" t="s">
        <v>41576</v>
      </c>
      <c r="B33036" s="4" t="s">
        <v>7927</v>
      </c>
      <c r="C33036" s="5" t="str">
        <f>IFERROR(__xludf.DUMMYFUNCTION("GOOGLETRANSLATE(B33036,""en"",""de"")"),"Sie springt in einen Sandhaufen.")</f>
        <v>Sie springt in einen Sandhaufen.</v>
      </c>
    </row>
    <row r="33037">
      <c r="A33037" s="4" t="s">
        <v>41576</v>
      </c>
      <c r="B33037" s="4" t="s">
        <v>41579</v>
      </c>
      <c r="C33037" s="5" t="str">
        <f>IFERROR(__xludf.DUMMYFUNCTION("GOOGLETRANSLATE(B33037,""en"",""de"")"),"Sie springt in die Luft.")</f>
        <v>Sie springt in die Luft.</v>
      </c>
    </row>
    <row r="33038">
      <c r="A33038" s="4" t="s">
        <v>41580</v>
      </c>
      <c r="B33038" s="4" t="s">
        <v>41581</v>
      </c>
      <c r="C33038" s="5" t="str">
        <f>IFERROR(__xludf.DUMMYFUNCTION("GOOGLETRANSLATE(B33038,""en"",""de"")"),"Ein Mann, der in einem schwarzen Frau Beater gekleidet ist, befindet sich in der Nähe eines fluoreszierenden Wandglas und spricht.")</f>
        <v>Ein Mann, der in einem schwarzen Frau Beater gekleidet ist, befindet sich in der Nähe eines fluoreszierenden Wandglas und spricht.</v>
      </c>
    </row>
    <row r="33039">
      <c r="A33039" s="4" t="s">
        <v>41580</v>
      </c>
      <c r="B33039" s="4" t="s">
        <v>41582</v>
      </c>
      <c r="C33039" s="5" t="str">
        <f>IFERROR(__xludf.DUMMYFUNCTION("GOOGLETRANSLATE(B33039,""en"",""de"")"),"Während er spricht, erscheinen mehrere Clips zwischen ihm, wo er sich in einem Raum mit drei Wänden und Glas als vierte Wand befindet, während er Wallball spielt.")</f>
        <v>Während er spricht, erscheinen mehrere Clips zwischen ihm, wo er sich in einem Raum mit drei Wänden und Glas als vierte Wand befindet, während er Wallball spielt.</v>
      </c>
    </row>
    <row r="33040">
      <c r="A33040" s="4" t="s">
        <v>41580</v>
      </c>
      <c r="B33040" s="4" t="s">
        <v>41583</v>
      </c>
      <c r="C33040" s="5" t="str">
        <f>IFERROR(__xludf.DUMMYFUNCTION("GOOGLETRANSLATE(B33040,""en"",""de"")"),"Die letzte Szene wird gezeigt, und der Mann kommt zurück und redet, bevor er am Ende endlich eine URL blinkt.")</f>
        <v>Die letzte Szene wird gezeigt, und der Mann kommt zurück und redet, bevor er am Ende endlich eine URL blinkt.</v>
      </c>
    </row>
    <row r="33041">
      <c r="A33041" s="4" t="s">
        <v>41584</v>
      </c>
      <c r="B33041" s="4" t="s">
        <v>41585</v>
      </c>
      <c r="C33041" s="5" t="str">
        <f>IFERROR(__xludf.DUMMYFUNCTION("GOOGLETRANSLATE(B33041,""en"",""de"")"),"Ein junger Mann steht in der Mitte eines großen Feldes mit Instrumenten und vor anderen.")</f>
        <v>Ein junger Mann steht in der Mitte eines großen Feldes mit Instrumenten und vor anderen.</v>
      </c>
    </row>
    <row r="33042">
      <c r="A33042" s="4" t="s">
        <v>41584</v>
      </c>
      <c r="B33042" s="4" t="s">
        <v>41586</v>
      </c>
      <c r="C33042" s="5" t="str">
        <f>IFERROR(__xludf.DUMMYFUNCTION("GOOGLETRANSLATE(B33042,""en"",""de"")"),"Der Mann spielt dann nacheinander die Instrumente.")</f>
        <v>Der Mann spielt dann nacheinander die Instrumente.</v>
      </c>
    </row>
    <row r="33043">
      <c r="A33043" s="4" t="s">
        <v>41584</v>
      </c>
      <c r="B33043" s="4" t="s">
        <v>41587</v>
      </c>
      <c r="C33043" s="5" t="str">
        <f>IFERROR(__xludf.DUMMYFUNCTION("GOOGLETRANSLATE(B33043,""en"",""de"")"),"Mehrere Kinder betreten dann Hula Hoops in den Rahmen, während der Mann immer noch singt und die Hände klatscht.")</f>
        <v>Mehrere Kinder betreten dann Hula Hoops in den Rahmen, während der Mann immer noch singt und die Hände klatscht.</v>
      </c>
    </row>
    <row r="33044">
      <c r="A33044" s="4" t="s">
        <v>41588</v>
      </c>
      <c r="B33044" s="4" t="s">
        <v>41589</v>
      </c>
      <c r="C33044" s="5" t="str">
        <f>IFERROR(__xludf.DUMMYFUNCTION("GOOGLETRANSLATE(B33044,""en"",""de"")"),"Eine junge Frau in ihrem BH und einer Unterwäsche sitzt auf einem Bett.")</f>
        <v>Eine junge Frau in ihrem BH und einer Unterwäsche sitzt auf einem Bett.</v>
      </c>
    </row>
    <row r="33045">
      <c r="A33045" s="4" t="s">
        <v>41588</v>
      </c>
      <c r="B33045" s="4" t="s">
        <v>41590</v>
      </c>
      <c r="C33045" s="5" t="str">
        <f>IFERROR(__xludf.DUMMYFUNCTION("GOOGLETRANSLATE(B33045,""en"",""de"")"),"Sie wendet dann Lotion auf ihre Beine und Hände an.")</f>
        <v>Sie wendet dann Lotion auf ihre Beine und Hände an.</v>
      </c>
    </row>
    <row r="33046">
      <c r="A33046" s="4" t="s">
        <v>41588</v>
      </c>
      <c r="B33046" s="4" t="s">
        <v>41591</v>
      </c>
      <c r="C33046" s="5" t="str">
        <f>IFERROR(__xludf.DUMMYFUNCTION("GOOGLETRANSLATE(B33046,""en"",""de"")"),"Sie ist sehr gründlich in ihrer Arbeit und sorgt dafür, dass sie nichts verpasst.")</f>
        <v>Sie ist sehr gründlich in ihrer Arbeit und sorgt dafür, dass sie nichts verpasst.</v>
      </c>
    </row>
    <row r="33047">
      <c r="A33047" s="4" t="s">
        <v>41588</v>
      </c>
      <c r="B33047" s="4" t="s">
        <v>41592</v>
      </c>
      <c r="C33047" s="5" t="str">
        <f>IFERROR(__xludf.DUMMYFUNCTION("GOOGLETRANSLATE(B33047,""en"",""de"")"),"Sie beginnt dann den Prozess, ihre Beine sehr intensiv zu rasieren.")</f>
        <v>Sie beginnt dann den Prozess, ihre Beine sehr intensiv zu rasieren.</v>
      </c>
    </row>
    <row r="33048">
      <c r="A33048" s="4" t="s">
        <v>41588</v>
      </c>
      <c r="B33048" s="4" t="s">
        <v>41593</v>
      </c>
      <c r="C33048" s="5" t="str">
        <f>IFERROR(__xludf.DUMMYFUNCTION("GOOGLETRANSLATE(B33048,""en"",""de"")"),"Sie setzt diesen Prozess fort, wobei ihr anderes Bein in Liebe zum Detail sehr gut ist.")</f>
        <v>Sie setzt diesen Prozess fort, wobei ihr anderes Bein in Liebe zum Detail sehr gut ist.</v>
      </c>
    </row>
    <row r="33049">
      <c r="A33049" s="4" t="s">
        <v>41594</v>
      </c>
      <c r="B33049" s="4" t="s">
        <v>41595</v>
      </c>
      <c r="C33049" s="5" t="str">
        <f>IFERROR(__xludf.DUMMYFUNCTION("GOOGLETRANSLATE(B33049,""en"",""de"")"),"Eine Person bläst Blätter mit einem Blattgebläse.")</f>
        <v>Eine Person bläst Blätter mit einem Blattgebläse.</v>
      </c>
    </row>
    <row r="33050">
      <c r="A33050" s="4" t="s">
        <v>41594</v>
      </c>
      <c r="B33050" s="4" t="s">
        <v>41596</v>
      </c>
      <c r="C33050" s="5" t="str">
        <f>IFERROR(__xludf.DUMMYFUNCTION("GOOGLETRANSLATE(B33050,""en"",""de"")"),"Dann werden neben den Bäumen ein Bereich ohne Blätter gezeigt.")</f>
        <v>Dann werden neben den Bäumen ein Bereich ohne Blätter gezeigt.</v>
      </c>
    </row>
    <row r="33051">
      <c r="A33051" s="4" t="s">
        <v>41597</v>
      </c>
      <c r="B33051" s="4" t="s">
        <v>41598</v>
      </c>
      <c r="C33051" s="5" t="str">
        <f>IFERROR(__xludf.DUMMYFUNCTION("GOOGLETRANSLATE(B33051,""en"",""de"")"),"Ein Mädchen steht und spricht in einer öffentlichen Toilette.")</f>
        <v>Ein Mädchen steht und spricht in einer öffentlichen Toilette.</v>
      </c>
    </row>
    <row r="33052">
      <c r="A33052" s="4" t="s">
        <v>41597</v>
      </c>
      <c r="B33052" s="4" t="s">
        <v>41599</v>
      </c>
      <c r="C33052" s="5" t="str">
        <f>IFERROR(__xludf.DUMMYFUNCTION("GOOGLETRANSLATE(B33052,""en"",""de"")"),"Das Mädchen geht in einen Stand und schließt die Tür.")</f>
        <v>Das Mädchen geht in einen Stand und schließt die Tür.</v>
      </c>
    </row>
    <row r="33053">
      <c r="A33053" s="4" t="s">
        <v>41597</v>
      </c>
      <c r="B33053" s="4" t="s">
        <v>41600</v>
      </c>
      <c r="C33053" s="5" t="str">
        <f>IFERROR(__xludf.DUMMYFUNCTION("GOOGLETRANSLATE(B33053,""en"",""de"")"),"Sie taucht auf und wäscht ihre Hände.")</f>
        <v>Sie taucht auf und wäscht ihre Hände.</v>
      </c>
    </row>
    <row r="33054">
      <c r="A33054" s="4" t="s">
        <v>41597</v>
      </c>
      <c r="B33054" s="4" t="s">
        <v>41601</v>
      </c>
      <c r="C33054" s="5" t="str">
        <f>IFERROR(__xludf.DUMMYFUNCTION("GOOGLETRANSLATE(B33054,""en"",""de"")"),"Sie nimmt eine Zeitung und entschlüsselt ihre Hände.")</f>
        <v>Sie nimmt eine Zeitung und entschlüsselt ihre Hände.</v>
      </c>
    </row>
    <row r="33055">
      <c r="A33055" s="4" t="s">
        <v>41597</v>
      </c>
      <c r="B33055" s="4" t="s">
        <v>41602</v>
      </c>
      <c r="C33055" s="5" t="str">
        <f>IFERROR(__xludf.DUMMYFUNCTION("GOOGLETRANSLATE(B33055,""en"",""de"")"),"Eine andere Person wäscht ihre Hände.")</f>
        <v>Eine andere Person wäscht ihre Hände.</v>
      </c>
    </row>
    <row r="33056">
      <c r="A33056" s="4" t="s">
        <v>41597</v>
      </c>
      <c r="B33056" s="4" t="s">
        <v>41603</v>
      </c>
      <c r="C33056" s="5" t="str">
        <f>IFERROR(__xludf.DUMMYFUNCTION("GOOGLETRANSLATE(B33056,""en"",""de"")"),"Das Mädchen wirft den Papertowel weg.")</f>
        <v>Das Mädchen wirft den Papertowel weg.</v>
      </c>
    </row>
    <row r="33057">
      <c r="A33057" s="4" t="s">
        <v>41604</v>
      </c>
      <c r="B33057" s="4" t="s">
        <v>41605</v>
      </c>
      <c r="C33057" s="5" t="str">
        <f>IFERROR(__xludf.DUMMYFUNCTION("GOOGLETRANSLATE(B33057,""en"",""de"")"),"Ein Mann klopft mit einem Stock auf ein Klavier und spricht mit einer großen Band, die vor ihm sitzt.")</f>
        <v>Ein Mann klopft mit einem Stock auf ein Klavier und spricht mit einer großen Band, die vor ihm sitzt.</v>
      </c>
    </row>
    <row r="33058">
      <c r="A33058" s="4" t="s">
        <v>41604</v>
      </c>
      <c r="B33058" s="4" t="s">
        <v>41606</v>
      </c>
      <c r="C33058" s="5" t="str">
        <f>IFERROR(__xludf.DUMMYFUNCTION("GOOGLETRANSLATE(B33058,""en"",""de"")"),"Er setzt sich am Klavier und er und die Band spielen.")</f>
        <v>Er setzt sich am Klavier und er und die Band spielen.</v>
      </c>
    </row>
    <row r="33059">
      <c r="A33059" s="4" t="s">
        <v>41604</v>
      </c>
      <c r="B33059" s="4" t="s">
        <v>41607</v>
      </c>
      <c r="C33059" s="5" t="str">
        <f>IFERROR(__xludf.DUMMYFUNCTION("GOOGLETRANSLATE(B33059,""en"",""de"")"),"Ein großes Publikum sieht aus der Nähe zu.")</f>
        <v>Ein großes Publikum sieht aus der Nähe zu.</v>
      </c>
    </row>
    <row r="33060">
      <c r="A33060" s="4" t="s">
        <v>41604</v>
      </c>
      <c r="B33060" s="4" t="s">
        <v>41608</v>
      </c>
      <c r="C33060" s="5" t="str">
        <f>IFERROR(__xludf.DUMMYFUNCTION("GOOGLETRANSLATE(B33060,""en"",""de"")"),"Der Mann wirft den Stock hinter die Band.")</f>
        <v>Der Mann wirft den Stock hinter die Band.</v>
      </c>
    </row>
    <row r="33061">
      <c r="A33061" s="4" t="s">
        <v>41604</v>
      </c>
      <c r="B33061" s="4" t="s">
        <v>41609</v>
      </c>
      <c r="C33061" s="5" t="str">
        <f>IFERROR(__xludf.DUMMYFUNCTION("GOOGLETRANSLATE(B33061,""en"",""de"")"),"Der Mann spielt für einen Moment und schweigt dann.")</f>
        <v>Der Mann spielt für einen Moment und schweigt dann.</v>
      </c>
    </row>
    <row r="33062">
      <c r="A33062" s="4" t="s">
        <v>41610</v>
      </c>
      <c r="B33062" s="4" t="s">
        <v>41611</v>
      </c>
      <c r="C33062" s="5" t="str">
        <f>IFERROR(__xludf.DUMMYFUNCTION("GOOGLETRANSLATE(B33062,""en"",""de"")"),"Es wird ein Getränk in ein Glas gegossen, gefolgt von einer Frau, die ein Glas schnappt und Gemische hineingießt.")</f>
        <v>Es wird ein Getränk in ein Glas gegossen, gefolgt von einer Frau, die ein Glas schnappt und Gemische hineingießt.</v>
      </c>
    </row>
    <row r="33063">
      <c r="A33063" s="4" t="s">
        <v>41610</v>
      </c>
      <c r="B33063" s="4" t="s">
        <v>41612</v>
      </c>
      <c r="C33063" s="5" t="str">
        <f>IFERROR(__xludf.DUMMYFUNCTION("GOOGLETRANSLATE(B33063,""en"",""de"")"),"Sie schafft ein alkoholisches Getränk, indem sie verschiedene Mischungen zusammenschüttet und die Kamera auf das Getränk zoomt.")</f>
        <v>Sie schafft ein alkoholisches Getränk, indem sie verschiedene Mischungen zusammenschüttet und die Kamera auf das Getränk zoomt.</v>
      </c>
    </row>
    <row r="33064">
      <c r="A33064" s="4" t="s">
        <v>41613</v>
      </c>
      <c r="B33064" s="4" t="s">
        <v>41614</v>
      </c>
      <c r="C33064" s="5" t="str">
        <f>IFERROR(__xludf.DUMMYFUNCTION("GOOGLETRANSLATE(B33064,""en"",""de"")"),"Eine mexikanische Band spielt und singt.")</f>
        <v>Eine mexikanische Band spielt und singt.</v>
      </c>
    </row>
    <row r="33065">
      <c r="A33065" s="4" t="s">
        <v>41613</v>
      </c>
      <c r="B33065" s="4" t="s">
        <v>41615</v>
      </c>
      <c r="C33065" s="5" t="str">
        <f>IFERROR(__xludf.DUMMYFUNCTION("GOOGLETRANSLATE(B33065,""en"",""de"")"),"Die Kamera nimmt an jedem Mitglied statt.")</f>
        <v>Die Kamera nimmt an jedem Mitglied statt.</v>
      </c>
    </row>
    <row r="33066">
      <c r="A33066" s="4" t="s">
        <v>41613</v>
      </c>
      <c r="B33066" s="4" t="s">
        <v>41616</v>
      </c>
      <c r="C33066" s="5" t="str">
        <f>IFERROR(__xludf.DUMMYFUNCTION("GOOGLETRANSLATE(B33066,""en"",""de"")"),"Es gibt eine Menge, die ihnen zuhört.")</f>
        <v>Es gibt eine Menge, die ihnen zuhört.</v>
      </c>
    </row>
    <row r="33067">
      <c r="A33067" s="4" t="s">
        <v>41613</v>
      </c>
      <c r="B33067" s="4" t="s">
        <v>41617</v>
      </c>
      <c r="C33067" s="5" t="str">
        <f>IFERROR(__xludf.DUMMYFUNCTION("GOOGLETRANSLATE(B33067,""en"",""de"")"),"Der Bandname befindet sich auf der Rückseite ihrer Hemden.")</f>
        <v>Der Bandname befindet sich auf der Rückseite ihrer Hemden.</v>
      </c>
    </row>
    <row r="33068">
      <c r="A33068" s="4" t="s">
        <v>41618</v>
      </c>
      <c r="B33068" s="4" t="s">
        <v>41619</v>
      </c>
      <c r="C33068" s="5" t="str">
        <f>IFERROR(__xludf.DUMMYFUNCTION("GOOGLETRANSLATE(B33068,""en"",""de"")"),"Dieser Mann ist auf den Händen und Knien auf dem Boden.")</f>
        <v>Dieser Mann ist auf den Händen und Knien auf dem Boden.</v>
      </c>
    </row>
    <row r="33069">
      <c r="A33069" s="4" t="s">
        <v>41618</v>
      </c>
      <c r="B33069" s="4" t="s">
        <v>41620</v>
      </c>
      <c r="C33069" s="5" t="str">
        <f>IFERROR(__xludf.DUMMYFUNCTION("GOOGLETRANSLATE(B33069,""en"",""de"")"),"Dies wird von einem Fernsehbildschirm aufgenommen und ist sehr laut.")</f>
        <v>Dies wird von einem Fernsehbildschirm aufgenommen und ist sehr laut.</v>
      </c>
    </row>
    <row r="33070">
      <c r="A33070" s="4" t="s">
        <v>41618</v>
      </c>
      <c r="B33070" s="4" t="s">
        <v>41621</v>
      </c>
      <c r="C33070" s="5" t="str">
        <f>IFERROR(__xludf.DUMMYFUNCTION("GOOGLETRANSLATE(B33070,""en"",""de"")"),"Es gibt niemanden im Raum mit diesem Mann und er sieht aus wie eine Frau, die von hinten betreten wird.")</f>
        <v>Es gibt niemanden im Raum mit diesem Mann und er sieht aus wie eine Frau, die von hinten betreten wird.</v>
      </c>
    </row>
    <row r="33071">
      <c r="A33071" s="4" t="s">
        <v>41622</v>
      </c>
      <c r="B33071" s="4" t="s">
        <v>41623</v>
      </c>
      <c r="C33071" s="5" t="str">
        <f>IFERROR(__xludf.DUMMYFUNCTION("GOOGLETRANSLATE(B33071,""en"",""de"")"),"Eine Nahaufnahme eines Kanus bewegt sich entlang des Wassers, das eine Person zeigt, die vorne paddelt.")</f>
        <v>Eine Nahaufnahme eines Kanus bewegt sich entlang des Wassers, das eine Person zeigt, die vorne paddelt.</v>
      </c>
    </row>
    <row r="33072">
      <c r="A33072" s="4" t="s">
        <v>41622</v>
      </c>
      <c r="B33072" s="4" t="s">
        <v>41624</v>
      </c>
      <c r="C33072" s="5" t="str">
        <f>IFERROR(__xludf.DUMMYFUNCTION("GOOGLETRANSLATE(B33072,""en"",""de"")"),"Einige weitere Menschen werden in Kanus herumfahren und Wasserfälle sowie ein Feuer zeigen.")</f>
        <v>Einige weitere Menschen werden in Kanus herumfahren und Wasserfälle sowie ein Feuer zeigen.</v>
      </c>
    </row>
    <row r="33073">
      <c r="A33073" s="4" t="s">
        <v>41625</v>
      </c>
      <c r="B33073" s="4" t="s">
        <v>41626</v>
      </c>
      <c r="C33073" s="5" t="str">
        <f>IFERROR(__xludf.DUMMYFUNCTION("GOOGLETRANSLATE(B33073,""en"",""de"")"),"Eine Frau macht eine Gymnastikroutine in ungleichmäßigen Bars.")</f>
        <v>Eine Frau macht eine Gymnastikroutine in ungleichmäßigen Bars.</v>
      </c>
    </row>
    <row r="33074">
      <c r="A33074" s="4" t="s">
        <v>41625</v>
      </c>
      <c r="B33074" s="4" t="s">
        <v>41627</v>
      </c>
      <c r="C33074" s="5" t="str">
        <f>IFERROR(__xludf.DUMMYFUNCTION("GOOGLETRANSLATE(B33074,""en"",""de"")"),"Eine Frau dreht auf der Bar.")</f>
        <v>Eine Frau dreht auf der Bar.</v>
      </c>
    </row>
    <row r="33075">
      <c r="A33075" s="4" t="s">
        <v>41625</v>
      </c>
      <c r="B33075" s="4" t="s">
        <v>41628</v>
      </c>
      <c r="C33075" s="5" t="str">
        <f>IFERROR(__xludf.DUMMYFUNCTION("GOOGLETRANSLATE(B33075,""en"",""de"")"),"Sie springt weg und landet auf einer Matte.")</f>
        <v>Sie springt weg und landet auf einer Matte.</v>
      </c>
    </row>
    <row r="33076">
      <c r="A33076" s="4" t="s">
        <v>41629</v>
      </c>
      <c r="B33076" s="4" t="s">
        <v>9397</v>
      </c>
      <c r="C33076" s="5" t="str">
        <f>IFERROR(__xludf.DUMMYFUNCTION("GOOGLETRANSLATE(B33076,""en"",""de"")"),"Eine Frau steht in einem Raum und redet.")</f>
        <v>Eine Frau steht in einem Raum und redet.</v>
      </c>
    </row>
    <row r="33077">
      <c r="A33077" s="4" t="s">
        <v>41629</v>
      </c>
      <c r="B33077" s="4" t="s">
        <v>41630</v>
      </c>
      <c r="C33077" s="5" t="str">
        <f>IFERROR(__xludf.DUMMYFUNCTION("GOOGLETRANSLATE(B33077,""en"",""de"")"),"Sie nimmt einen roten Pinsel auf und beginnt ihre Haare zu bürsten.")</f>
        <v>Sie nimmt einen roten Pinsel auf und beginnt ihre Haare zu bürsten.</v>
      </c>
    </row>
    <row r="33078">
      <c r="A33078" s="4" t="s">
        <v>41629</v>
      </c>
      <c r="B33078" s="4" t="s">
        <v>41631</v>
      </c>
      <c r="C33078" s="5" t="str">
        <f>IFERROR(__xludf.DUMMYFUNCTION("GOOGLETRANSLATE(B33078,""en"",""de"")"),"Auf dem Bildschirm wird eine Netflix -Anzeige angezeigt.")</f>
        <v>Auf dem Bildschirm wird eine Netflix -Anzeige angezeigt.</v>
      </c>
    </row>
    <row r="33079">
      <c r="A33079" s="4" t="s">
        <v>41632</v>
      </c>
      <c r="B33079" s="4" t="s">
        <v>41633</v>
      </c>
      <c r="C33079" s="5" t="str">
        <f>IFERROR(__xludf.DUMMYFUNCTION("GOOGLETRANSLATE(B33079,""en"",""de"")"),"Ein Mann sitzt auf einer Übungsmaschine.")</f>
        <v>Ein Mann sitzt auf einer Übungsmaschine.</v>
      </c>
    </row>
    <row r="33080">
      <c r="A33080" s="4" t="s">
        <v>41632</v>
      </c>
      <c r="B33080" s="4" t="s">
        <v>41634</v>
      </c>
      <c r="C33080" s="5" t="str">
        <f>IFERROR(__xludf.DUMMYFUNCTION("GOOGLETRANSLATE(B33080,""en"",""de"")"),"Er zieht eine Bar vor sich und beginnt zu trainieren.")</f>
        <v>Er zieht eine Bar vor sich und beginnt zu trainieren.</v>
      </c>
    </row>
    <row r="33081">
      <c r="A33081" s="4" t="s">
        <v>41632</v>
      </c>
      <c r="B33081" s="4" t="s">
        <v>41635</v>
      </c>
      <c r="C33081" s="5" t="str">
        <f>IFERROR(__xludf.DUMMYFUNCTION("GOOGLETRANSLATE(B33081,""en"",""de"")"),"Er lässt die Bar fallen und endet.")</f>
        <v>Er lässt die Bar fallen und endet.</v>
      </c>
    </row>
    <row r="33082">
      <c r="A33082" s="4" t="s">
        <v>41636</v>
      </c>
      <c r="B33082" s="4" t="s">
        <v>41637</v>
      </c>
      <c r="C33082" s="5" t="str">
        <f>IFERROR(__xludf.DUMMYFUNCTION("GOOGLETRANSLATE(B33082,""en"",""de"")"),"Ein junges Mädchen steht hinter einem Tisch, der Limetten drückt, während ein weiterer Geschirr im Hintergrund spüelt.")</f>
        <v>Ein junges Mädchen steht hinter einem Tisch, der Limetten drückt, während ein weiterer Geschirr im Hintergrund spüelt.</v>
      </c>
    </row>
    <row r="33083">
      <c r="A33083" s="4" t="s">
        <v>41636</v>
      </c>
      <c r="B33083" s="4" t="s">
        <v>41638</v>
      </c>
      <c r="C33083" s="5" t="str">
        <f>IFERROR(__xludf.DUMMYFUNCTION("GOOGLETRANSLATE(B33083,""en"",""de"")"),"Das Mädchen entsafelt weiter die Früchte und geht in Richtung Kamera und dann wieder zurück.")</f>
        <v>Das Mädchen entsafelt weiter die Früchte und geht in Richtung Kamera und dann wieder zurück.</v>
      </c>
    </row>
    <row r="33084">
      <c r="A33084" s="4" t="s">
        <v>41639</v>
      </c>
      <c r="B33084" s="4" t="s">
        <v>41640</v>
      </c>
      <c r="C33084" s="5" t="str">
        <f>IFERROR(__xludf.DUMMYFUNCTION("GOOGLETRANSLATE(B33084,""en"",""de"")"),"Die Duggar -Mutter und ein kleines Mädchen gehen zu einer anderen Frau auf einer Pferdebranch und die Worte am Boden links sagen, dass der Name der Frau Morgan Brown ist und sie die Reiterlehrerin ist.")</f>
        <v>Die Duggar -Mutter und ein kleines Mädchen gehen zu einer anderen Frau auf einer Pferdebranch und die Worte am Boden links sagen, dass der Name der Frau Morgan Brown ist und sie die Reiterlehrerin ist.</v>
      </c>
    </row>
    <row r="33085">
      <c r="A33085" s="4" t="s">
        <v>41639</v>
      </c>
      <c r="B33085" s="4" t="s">
        <v>41641</v>
      </c>
      <c r="C33085" s="5" t="str">
        <f>IFERROR(__xludf.DUMMYFUNCTION("GOOGLETRANSLATE(B33085,""en"",""de"")"),"Die Frau führt sie in die Scheune und sie legt einen Helm auf den Kopf der kleinen Mädchen, sie gehen, um Pferde zu holen, und irgendwann legte die Duggar -Mutter auch einen Helm auf.")</f>
        <v>Die Frau führt sie in die Scheune und sie legt einen Helm auf den Kopf der kleinen Mädchen, sie gehen, um Pferde zu holen, und irgendwann legte die Duggar -Mutter auch einen Helm auf.</v>
      </c>
    </row>
    <row r="33086">
      <c r="A33086" s="4" t="s">
        <v>41639</v>
      </c>
      <c r="B33086" s="4" t="s">
        <v>41642</v>
      </c>
      <c r="C33086" s="5" t="str">
        <f>IFERROR(__xludf.DUMMYFUNCTION("GOOGLETRANSLATE(B33086,""en"",""de"")"),"Zwischen den Interviews zeigen sie, dass die Duggar Mom und das kleine Mädchen Anweisungen über ihr Pferd bekommen und dann auf ihre Pferde steigen und in einem geschlossenen Bereich auf sie reiten.")</f>
        <v>Zwischen den Interviews zeigen sie, dass die Duggar Mom und das kleine Mädchen Anweisungen über ihr Pferd bekommen und dann auf ihre Pferde steigen und in einem geschlossenen Bereich auf sie reiten.</v>
      </c>
    </row>
    <row r="33087">
      <c r="A33087" s="4" t="s">
        <v>41639</v>
      </c>
      <c r="B33087" s="4" t="s">
        <v>41643</v>
      </c>
      <c r="C33087" s="5" t="str">
        <f>IFERROR(__xludf.DUMMYFUNCTION("GOOGLETRANSLATE(B33087,""en"",""de"")"),"Das rot -weiße TLC -Logo bleibt die ganze Zeit im unteren rechten Bereich des Bildschirms.")</f>
        <v>Das rot -weiße TLC -Logo bleibt die ganze Zeit im unteren rechten Bereich des Bildschirms.</v>
      </c>
    </row>
    <row r="33088">
      <c r="A33088" s="4" t="s">
        <v>41644</v>
      </c>
      <c r="B33088" s="4" t="s">
        <v>41645</v>
      </c>
      <c r="C33088" s="5" t="str">
        <f>IFERROR(__xludf.DUMMYFUNCTION("GOOGLETRANSLATE(B33088,""en"",""de"")"),"Ein Mann spricht mit der Kamera und führt zu mehreren Personen, die Bögen halten und schießen.")</f>
        <v>Ein Mann spricht mit der Kamera und führt zu mehreren Personen, die Bögen halten und schießen.</v>
      </c>
    </row>
    <row r="33089">
      <c r="A33089" s="4" t="s">
        <v>41644</v>
      </c>
      <c r="B33089" s="4" t="s">
        <v>41646</v>
      </c>
      <c r="C33089" s="5" t="str">
        <f>IFERROR(__xludf.DUMMYFUNCTION("GOOGLETRANSLATE(B33089,""en"",""de"")"),"Die Ausbilder hilft den Schülern, während sie mit der Kamera sprechen, und zeigt mehrere Aufnahmen der Person, die die Pfeile schießt.")</f>
        <v>Die Ausbilder hilft den Schülern, während sie mit der Kamera sprechen, und zeigt mehrere Aufnahmen der Person, die die Pfeile schießt.</v>
      </c>
    </row>
    <row r="33090">
      <c r="A33090" s="4" t="s">
        <v>41647</v>
      </c>
      <c r="B33090" s="4" t="s">
        <v>41648</v>
      </c>
      <c r="C33090" s="5" t="str">
        <f>IFERROR(__xludf.DUMMYFUNCTION("GOOGLETRANSLATE(B33090,""en"",""de"")"),"Ein Vans von der Wandanzeige wird gezeigt.")</f>
        <v>Ein Vans von der Wandanzeige wird gezeigt.</v>
      </c>
    </row>
    <row r="33091">
      <c r="A33091" s="4" t="s">
        <v>41647</v>
      </c>
      <c r="B33091" s="4" t="s">
        <v>41649</v>
      </c>
      <c r="C33091" s="5" t="str">
        <f>IFERROR(__xludf.DUMMYFUNCTION("GOOGLETRANSLATE(B33091,""en"",""de"")"),"Über den Bildschirm blinken mehrere Bilder.")</f>
        <v>Über den Bildschirm blinken mehrere Bilder.</v>
      </c>
    </row>
    <row r="33092">
      <c r="A33092" s="4" t="s">
        <v>41647</v>
      </c>
      <c r="B33092" s="4" t="s">
        <v>41650</v>
      </c>
      <c r="C33092" s="5" t="str">
        <f>IFERROR(__xludf.DUMMYFUNCTION("GOOGLETRANSLATE(B33092,""en"",""de"")"),"Männer trinken Wein, bevor sie zahlreiche Tricks auf Skigafeln durchführen.")</f>
        <v>Männer trinken Wein, bevor sie zahlreiche Tricks auf Skigafeln durchführen.</v>
      </c>
    </row>
    <row r="33093">
      <c r="A33093" s="4" t="s">
        <v>41647</v>
      </c>
      <c r="B33093" s="4" t="s">
        <v>41651</v>
      </c>
      <c r="C33093" s="5" t="str">
        <f>IFERROR(__xludf.DUMMYFUNCTION("GOOGLETRANSLATE(B33093,""en"",""de"")"),"Bilder von ihnen in der Luft, die Tricks und Springen ausführen, werden gezeigt.")</f>
        <v>Bilder von ihnen in der Luft, die Tricks und Springen ausführen, werden gezeigt.</v>
      </c>
    </row>
    <row r="33094">
      <c r="A33094" s="4" t="s">
        <v>41652</v>
      </c>
      <c r="B33094" s="4" t="s">
        <v>41653</v>
      </c>
      <c r="C33094" s="5" t="str">
        <f>IFERROR(__xludf.DUMMYFUNCTION("GOOGLETRANSLATE(B33094,""en"",""de"")"),"Der Mensch steht in einem Icetrack mit der Kamera.")</f>
        <v>Der Mensch steht in einem Icetrack mit der Kamera.</v>
      </c>
    </row>
    <row r="33095">
      <c r="A33095" s="4" t="s">
        <v>41652</v>
      </c>
      <c r="B33095" s="4" t="s">
        <v>41654</v>
      </c>
      <c r="C33095" s="5" t="str">
        <f>IFERROR(__xludf.DUMMYFUNCTION("GOOGLETRANSLATE(B33095,""en"",""de"")"),"Die Leute spielen in einem Eisplatz ein Curling.")</f>
        <v>Die Leute spielen in einem Eisplatz ein Curling.</v>
      </c>
    </row>
    <row r="33096">
      <c r="A33096" s="4" t="s">
        <v>41655</v>
      </c>
      <c r="B33096" s="4" t="s">
        <v>41656</v>
      </c>
      <c r="C33096" s="5" t="str">
        <f>IFERROR(__xludf.DUMMYFUNCTION("GOOGLETRANSLATE(B33096,""en"",""de"")"),"Es werden mehrere Clips von Menschen gezeigt, die vor einem großen Stadion Fußball spielen.")</f>
        <v>Es werden mehrere Clips von Menschen gezeigt, die vor einem großen Stadion Fußball spielen.</v>
      </c>
    </row>
    <row r="33097">
      <c r="A33097" s="4" t="s">
        <v>41655</v>
      </c>
      <c r="B33097" s="4" t="s">
        <v>41657</v>
      </c>
      <c r="C33097" s="5" t="str">
        <f>IFERROR(__xludf.DUMMYFUNCTION("GOOGLETRANSLATE(B33097,""en"",""de"")"),"Die Leute treten überall in der Gegend einen Ball und werfen ihre Hände hoch.")</f>
        <v>Die Leute treten überall in der Gegend einen Ball und werfen ihre Hände hoch.</v>
      </c>
    </row>
    <row r="33098">
      <c r="A33098" s="4" t="s">
        <v>41655</v>
      </c>
      <c r="B33098" s="4" t="s">
        <v>41658</v>
      </c>
      <c r="C33098" s="5" t="str">
        <f>IFERROR(__xludf.DUMMYFUNCTION("GOOGLETRANSLATE(B33098,""en"",""de"")"),"Weitere Aufnahmen von Menschen, die auf verschiedenen Bereichen gegeneinander spielen und feiern.")</f>
        <v>Weitere Aufnahmen von Menschen, die auf verschiedenen Bereichen gegeneinander spielen und feiern.</v>
      </c>
    </row>
    <row r="33099">
      <c r="A33099" s="4" t="s">
        <v>41659</v>
      </c>
      <c r="B33099" s="4" t="s">
        <v>41660</v>
      </c>
      <c r="C33099" s="5" t="str">
        <f>IFERROR(__xludf.DUMMYFUNCTION("GOOGLETRANSLATE(B33099,""en"",""de"")"),"Ein Kind spricht mit der Kamera und pflegt zu einer älteren Frau, die Blätter im Hof ​​bläst.")</f>
        <v>Ein Kind spricht mit der Kamera und pflegt zu einer älteren Frau, die Blätter im Hof ​​bläst.</v>
      </c>
    </row>
    <row r="33100">
      <c r="A33100" s="4" t="s">
        <v>41659</v>
      </c>
      <c r="B33100" s="4" t="s">
        <v>41661</v>
      </c>
      <c r="C33100" s="5" t="str">
        <f>IFERROR(__xludf.DUMMYFUNCTION("GOOGLETRANSLATE(B33100,""en"",""de"")"),"Die Frau spricht mit dem Jungen und er geht zu ihr hinüber, während sie immer noch herumbläst.")</f>
        <v>Die Frau spricht mit dem Jungen und er geht zu ihr hinüber, während sie immer noch herumbläst.</v>
      </c>
    </row>
    <row r="33101">
      <c r="A33101" s="4" t="s">
        <v>41659</v>
      </c>
      <c r="B33101" s="4" t="s">
        <v>41662</v>
      </c>
      <c r="C33101" s="5" t="str">
        <f>IFERROR(__xludf.DUMMYFUNCTION("GOOGLETRANSLATE(B33101,""en"",""de"")"),"Am Ende hat sie gesehen, wie sie an einem Zaun vorbei ging.")</f>
        <v>Am Ende hat sie gesehen, wie sie an einem Zaun vorbei ging.</v>
      </c>
    </row>
    <row r="33102">
      <c r="A33102" s="4" t="s">
        <v>41663</v>
      </c>
      <c r="B33102" s="4" t="s">
        <v>41664</v>
      </c>
      <c r="C33102" s="5" t="str">
        <f>IFERROR(__xludf.DUMMYFUNCTION("GOOGLETRANSLATE(B33102,""en"",""de"")"),"Ein junger Mann sitzt in der Wüste auf einem Kamel.")</f>
        <v>Ein junger Mann sitzt in der Wüste auf einem Kamel.</v>
      </c>
    </row>
    <row r="33103">
      <c r="A33103" s="4" t="s">
        <v>41663</v>
      </c>
      <c r="B33103" s="4" t="s">
        <v>41665</v>
      </c>
      <c r="C33103" s="5" t="str">
        <f>IFERROR(__xludf.DUMMYFUNCTION("GOOGLETRANSLATE(B33103,""en"",""de"")"),"Der Mann beginnt mit einem anderen Mann zu sprechen, der einen roten Wickel am Kopf hat.")</f>
        <v>Der Mann beginnt mit einem anderen Mann zu sprechen, der einen roten Wickel am Kopf hat.</v>
      </c>
    </row>
    <row r="33104">
      <c r="A33104" s="4" t="s">
        <v>41663</v>
      </c>
      <c r="B33104" s="4" t="s">
        <v>41666</v>
      </c>
      <c r="C33104" s="5" t="str">
        <f>IFERROR(__xludf.DUMMYFUNCTION("GOOGLETRANSLATE(B33104,""en"",""de"")"),"Das Kamel hebt sich dann und geht durch die Wüste in Richtung einer Gruppe von Kindern und Autos.")</f>
        <v>Das Kamel hebt sich dann und geht durch die Wüste in Richtung einer Gruppe von Kindern und Autos.</v>
      </c>
    </row>
    <row r="33105">
      <c r="A33105" s="4" t="s">
        <v>41667</v>
      </c>
      <c r="B33105" s="4" t="s">
        <v>41668</v>
      </c>
      <c r="C33105" s="5" t="str">
        <f>IFERROR(__xludf.DUMMYFUNCTION("GOOGLETRANSLATE(B33105,""en"",""de"")"),"Ein Mann bindet einen gelben Gürtel um die Taille eines größeren Mannes, der seine Hand schüttelt und dann alle anderen schüttelt.")</f>
        <v>Ein Mann bindet einen gelben Gürtel um die Taille eines größeren Mannes, der seine Hand schüttelt und dann alle anderen schüttelt.</v>
      </c>
    </row>
    <row r="33106">
      <c r="A33106" s="4" t="s">
        <v>41667</v>
      </c>
      <c r="B33106" s="4" t="s">
        <v>41669</v>
      </c>
      <c r="C33106" s="5" t="str">
        <f>IFERROR(__xludf.DUMMYFUNCTION("GOOGLETRANSLATE(B33106,""en"",""de"")"),"Der Mann und ein anderer beginnen, ein paar Karate gegeneinander zu bewegt, aber sie stellen selten physischen Kontakt auf.")</f>
        <v>Der Mann und ein anderer beginnen, ein paar Karate gegeneinander zu bewegt, aber sie stellen selten physischen Kontakt auf.</v>
      </c>
    </row>
    <row r="33107">
      <c r="A33107" s="4" t="s">
        <v>41667</v>
      </c>
      <c r="B33107" s="4" t="s">
        <v>41670</v>
      </c>
      <c r="C33107" s="5" t="str">
        <f>IFERROR(__xludf.DUMMYFUNCTION("GOOGLETRANSLATE(B33107,""en"",""de"")"),"Es gibt eine Gruppe von Männern, die um sie herum stehen und sie beobachten.")</f>
        <v>Es gibt eine Gruppe von Männern, die um sie herum stehen und sie beobachten.</v>
      </c>
    </row>
    <row r="33108">
      <c r="A33108" s="4" t="s">
        <v>41667</v>
      </c>
      <c r="B33108" s="4" t="s">
        <v>41671</v>
      </c>
      <c r="C33108" s="5" t="str">
        <f>IFERROR(__xludf.DUMMYFUNCTION("GOOGLETRANSLATE(B33108,""en"",""de"")"),"Wenn sie fertig sind, machen sie alle ein Gruppenfoto zusammen.")</f>
        <v>Wenn sie fertig sind, machen sie alle ein Gruppenfoto zusammen.</v>
      </c>
    </row>
    <row r="33109">
      <c r="A33109" s="4" t="s">
        <v>41672</v>
      </c>
      <c r="B33109" s="4" t="s">
        <v>41673</v>
      </c>
      <c r="C33109" s="5" t="str">
        <f>IFERROR(__xludf.DUMMYFUNCTION("GOOGLETRANSLATE(B33109,""en"",""de"")"),"Zwei große Männer stehen in einer Grube, die von anderen und einem Schiedsrichter in der Mitte stehen.")</f>
        <v>Zwei große Männer stehen in einer Grube, die von anderen und einem Schiedsrichter in der Mitte stehen.</v>
      </c>
    </row>
    <row r="33110">
      <c r="A33110" s="4" t="s">
        <v>41672</v>
      </c>
      <c r="B33110" s="4" t="s">
        <v>41674</v>
      </c>
      <c r="C33110" s="5" t="str">
        <f>IFERROR(__xludf.DUMMYFUNCTION("GOOGLETRANSLATE(B33110,""en"",""de"")"),"Die Männer verbeugen sich dann voreinander, als die Menschen die Arena weiter fegen und in die Männer kämpfen.")</f>
        <v>Die Männer verbeugen sich dann voreinander, als die Menschen die Arena weiter fegen und in die Männer kämpfen.</v>
      </c>
    </row>
    <row r="33111">
      <c r="A33111" s="4" t="s">
        <v>41672</v>
      </c>
      <c r="B33111" s="4" t="s">
        <v>41675</v>
      </c>
      <c r="C33111" s="5" t="str">
        <f>IFERROR(__xludf.DUMMYFUNCTION("GOOGLETRANSLATE(B33111,""en"",""de"")"),"Die Männer ringen sich ständig gegenseitig, während sich der Schiedsrichter um sie bewegt und endet, wenn sie herumlaufen und dann von der Bühne herumlaufen.")</f>
        <v>Die Männer ringen sich ständig gegenseitig, während sich der Schiedsrichter um sie bewegt und endet, wenn sie herumlaufen und dann von der Bühne herumlaufen.</v>
      </c>
    </row>
    <row r="33112">
      <c r="A33112" s="4" t="s">
        <v>41676</v>
      </c>
      <c r="B33112" s="4" t="s">
        <v>41677</v>
      </c>
      <c r="C33112" s="5" t="str">
        <f>IFERROR(__xludf.DUMMYFUNCTION("GOOGLETRANSLATE(B33112,""en"",""de"")"),"Eine Person in einer gelben Kappe schwimmt in einem Schwimmbad.")</f>
        <v>Eine Person in einer gelben Kappe schwimmt in einem Schwimmbad.</v>
      </c>
    </row>
    <row r="33113">
      <c r="A33113" s="4" t="s">
        <v>41676</v>
      </c>
      <c r="B33113" s="4" t="s">
        <v>41678</v>
      </c>
      <c r="C33113" s="5" t="str">
        <f>IFERROR(__xludf.DUMMYFUNCTION("GOOGLETRANSLATE(B33113,""en"",""de"")"),"Eine Person in einem weißen Hemd redet.")</f>
        <v>Eine Person in einem weißen Hemd redet.</v>
      </c>
    </row>
    <row r="33114">
      <c r="A33114" s="4" t="s">
        <v>41676</v>
      </c>
      <c r="B33114" s="4" t="s">
        <v>41679</v>
      </c>
      <c r="C33114" s="5" t="str">
        <f>IFERROR(__xludf.DUMMYFUNCTION("GOOGLETRANSLATE(B33114,""en"",""de"")"),"Die Person ist aus dem Wasser, das ihre Arme bewegt.")</f>
        <v>Die Person ist aus dem Wasser, das ihre Arme bewegt.</v>
      </c>
    </row>
    <row r="33115">
      <c r="A33115" s="4" t="s">
        <v>41680</v>
      </c>
      <c r="B33115" s="4" t="s">
        <v>41681</v>
      </c>
      <c r="C33115" s="5" t="str">
        <f>IFERROR(__xludf.DUMMYFUNCTION("GOOGLETRANSLATE(B33115,""en"",""de"")"),"Eine Frau montiert mit einem Publikum im Hintergrund einen Strahl.")</f>
        <v>Eine Frau montiert mit einem Publikum im Hintergrund einen Strahl.</v>
      </c>
    </row>
    <row r="33116">
      <c r="A33116" s="4" t="s">
        <v>41680</v>
      </c>
      <c r="B33116" s="4" t="s">
        <v>41682</v>
      </c>
      <c r="C33116" s="5" t="str">
        <f>IFERROR(__xludf.DUMMYFUNCTION("GOOGLETRANSLATE(B33116,""en"",""de"")"),"Die Frau führt Gymnastik auf dem Strahl durch.")</f>
        <v>Die Frau führt Gymnastik auf dem Strahl durch.</v>
      </c>
    </row>
    <row r="33117">
      <c r="A33117" s="4" t="s">
        <v>41680</v>
      </c>
      <c r="B33117" s="4" t="s">
        <v>41683</v>
      </c>
      <c r="C33117" s="5" t="str">
        <f>IFERROR(__xludf.DUMMYFUNCTION("GOOGLETRANSLATE(B33117,""en"",""de"")"),"Die Frau steigt vom Strahl ab.")</f>
        <v>Die Frau steigt vom Strahl ab.</v>
      </c>
    </row>
    <row r="33118">
      <c r="A33118" s="4" t="s">
        <v>41684</v>
      </c>
      <c r="B33118" s="4" t="s">
        <v>41685</v>
      </c>
      <c r="C33118" s="5" t="str">
        <f>IFERROR(__xludf.DUMMYFUNCTION("GOOGLETRANSLATE(B33118,""en"",""de"")"),"Ein kleiner Junge lacht, während er zwei Zahnbürsten hält.")</f>
        <v>Ein kleiner Junge lacht, während er zwei Zahnbürsten hält.</v>
      </c>
    </row>
    <row r="33119">
      <c r="A33119" s="4" t="s">
        <v>41684</v>
      </c>
      <c r="B33119" s="4" t="s">
        <v>41686</v>
      </c>
      <c r="C33119" s="5" t="str">
        <f>IFERROR(__xludf.DUMMYFUNCTION("GOOGLETRANSLATE(B33119,""en"",""de"")"),"Er benutzt eine elektrische Bürste, um die Zähne zu putzen.")</f>
        <v>Er benutzt eine elektrische Bürste, um die Zähne zu putzen.</v>
      </c>
    </row>
    <row r="33120">
      <c r="A33120" s="4" t="s">
        <v>41684</v>
      </c>
      <c r="B33120" s="4" t="s">
        <v>41687</v>
      </c>
      <c r="C33120" s="5" t="str">
        <f>IFERROR(__xludf.DUMMYFUNCTION("GOOGLETRANSLATE(B33120,""en"",""de"")"),"Er schüttelt die Bürste, gießt gelegentlich Wasser darauf und steckt es in den Mund zurück.")</f>
        <v>Er schüttelt die Bürste, gießt gelegentlich Wasser darauf und steckt es in den Mund zurück.</v>
      </c>
    </row>
    <row r="33121">
      <c r="A33121" s="4" t="s">
        <v>41688</v>
      </c>
      <c r="B33121" s="4" t="s">
        <v>41689</v>
      </c>
      <c r="C33121" s="5" t="str">
        <f>IFERROR(__xludf.DUMMYFUNCTION("GOOGLETRANSLATE(B33121,""en"",""de"")"),"Wir sehen einen Mann, der sich auf ein Kajak vorbereitet.")</f>
        <v>Wir sehen einen Mann, der sich auf ein Kajak vorbereitet.</v>
      </c>
    </row>
    <row r="33122">
      <c r="A33122" s="4" t="s">
        <v>41688</v>
      </c>
      <c r="B33122" s="4" t="s">
        <v>41690</v>
      </c>
      <c r="C33122" s="5" t="str">
        <f>IFERROR(__xludf.DUMMYFUNCTION("GOOGLETRANSLATE(B33122,""en"",""de"")"),"Wir sehen dann den Mann in seinem Kajak auf einem rauen Fluss reiten.")</f>
        <v>Wir sehen dann den Mann in seinem Kajak auf einem rauen Fluss reiten.</v>
      </c>
    </row>
    <row r="33123">
      <c r="A33123" s="4" t="s">
        <v>41688</v>
      </c>
      <c r="B33123" s="4" t="s">
        <v>41691</v>
      </c>
      <c r="C33123" s="5" t="str">
        <f>IFERROR(__xludf.DUMMYFUNCTION("GOOGLETRANSLATE(B33123,""en"",""de"")"),"Der Mann geht über einen Felsen.")</f>
        <v>Der Mann geht über einen Felsen.</v>
      </c>
    </row>
    <row r="33124">
      <c r="A33124" s="4" t="s">
        <v>41688</v>
      </c>
      <c r="B33124" s="4" t="s">
        <v>41692</v>
      </c>
      <c r="C33124" s="5" t="str">
        <f>IFERROR(__xludf.DUMMYFUNCTION("GOOGLETRANSLATE(B33124,""en"",""de"")"),"Wir sehen einen Berg in der Nähe des Flusses.")</f>
        <v>Wir sehen einen Berg in der Nähe des Flusses.</v>
      </c>
    </row>
    <row r="33125">
      <c r="A33125" s="4" t="s">
        <v>41688</v>
      </c>
      <c r="B33125" s="4" t="s">
        <v>41693</v>
      </c>
      <c r="C33125" s="5" t="str">
        <f>IFERROR(__xludf.DUMMYFUNCTION("GOOGLETRANSLATE(B33125,""en"",""de"")"),"Das Kajak wird im Fluss umgeworfen.")</f>
        <v>Das Kajak wird im Fluss umgeworfen.</v>
      </c>
    </row>
    <row r="33126">
      <c r="A33126" s="4" t="s">
        <v>41688</v>
      </c>
      <c r="B33126" s="4" t="s">
        <v>41694</v>
      </c>
      <c r="C33126" s="5" t="str">
        <f>IFERROR(__xludf.DUMMYFUNCTION("GOOGLETRANSLATE(B33126,""en"",""de"")"),"Wir sehen den Mann am Ufer.")</f>
        <v>Wir sehen den Mann am Ufer.</v>
      </c>
    </row>
    <row r="33127">
      <c r="A33127" s="4" t="s">
        <v>41688</v>
      </c>
      <c r="B33127" s="4" t="s">
        <v>41695</v>
      </c>
      <c r="C33127" s="5" t="str">
        <f>IFERROR(__xludf.DUMMYFUNCTION("GOOGLETRANSLATE(B33127,""en"",""de"")"),"Wir sehen, wie der Mann einen Wasserfall übergeht.")</f>
        <v>Wir sehen, wie der Mann einen Wasserfall übergeht.</v>
      </c>
    </row>
    <row r="33128">
      <c r="A33128" s="4" t="s">
        <v>41688</v>
      </c>
      <c r="B33128" s="4" t="s">
        <v>41696</v>
      </c>
      <c r="C33128" s="5" t="str">
        <f>IFERROR(__xludf.DUMMYFUNCTION("GOOGLETRANSLATE(B33128,""en"",""de"")"),"Wir sehen, wie der Mann sein Kajak an die Küste zieht.")</f>
        <v>Wir sehen, wie der Mann sein Kajak an die Küste zieht.</v>
      </c>
    </row>
    <row r="33129">
      <c r="A33129" s="4" t="s">
        <v>41688</v>
      </c>
      <c r="B33129" s="4" t="s">
        <v>41697</v>
      </c>
      <c r="C33129" s="5" t="str">
        <f>IFERROR(__xludf.DUMMYFUNCTION("GOOGLETRANSLATE(B33129,""en"",""de"")"),"Wir sehen, wie das Kajak umgeworfen wird und dann den Fluss laufen sehen.")</f>
        <v>Wir sehen, wie das Kajak umgeworfen wird und dann den Fluss laufen sehen.</v>
      </c>
    </row>
    <row r="33130">
      <c r="A33130" s="4" t="s">
        <v>41688</v>
      </c>
      <c r="B33130" s="4" t="s">
        <v>41698</v>
      </c>
      <c r="C33130" s="5" t="str">
        <f>IFERROR(__xludf.DUMMYFUNCTION("GOOGLETRANSLATE(B33130,""en"",""de"")"),"Wir sehen die Endbildschirme.")</f>
        <v>Wir sehen die Endbildschirme.</v>
      </c>
    </row>
    <row r="33131">
      <c r="A33131" s="4" t="s">
        <v>41699</v>
      </c>
      <c r="B33131" s="4" t="s">
        <v>41700</v>
      </c>
      <c r="C33131" s="5" t="str">
        <f>IFERROR(__xludf.DUMMYFUNCTION("GOOGLETRANSLATE(B33131,""en"",""de"")"),"Eine Frau lacht in die Kamera und beginnt eine Zigarette zu rauchen.")</f>
        <v>Eine Frau lacht in die Kamera und beginnt eine Zigarette zu rauchen.</v>
      </c>
    </row>
    <row r="33132">
      <c r="A33132" s="4" t="s">
        <v>41699</v>
      </c>
      <c r="B33132" s="4" t="s">
        <v>41701</v>
      </c>
      <c r="C33132" s="5" t="str">
        <f>IFERROR(__xludf.DUMMYFUNCTION("GOOGLETRANSLATE(B33132,""en"",""de"")"),"Die Frau nimmt Puffs von ihrer Zigarette, während sie in die Kamera schaut.")</f>
        <v>Die Frau nimmt Puffs von ihrer Zigarette, während sie in die Kamera schaut.</v>
      </c>
    </row>
    <row r="33133">
      <c r="A33133" s="4" t="s">
        <v>41699</v>
      </c>
      <c r="B33133" s="4" t="s">
        <v>41702</v>
      </c>
      <c r="C33133" s="5" t="str">
        <f>IFERROR(__xludf.DUMMYFUNCTION("GOOGLETRANSLATE(B33133,""en"",""de"")"),"Die Frau hebt ihre Zigarette weiter und bläst Rauch in die Ferne.")</f>
        <v>Die Frau hebt ihre Zigarette weiter und bläst Rauch in die Ferne.</v>
      </c>
    </row>
    <row r="33134">
      <c r="A33134" s="4" t="s">
        <v>41703</v>
      </c>
      <c r="B33134" s="4" t="s">
        <v>27300</v>
      </c>
      <c r="C33134" s="5" t="str">
        <f>IFERROR(__xludf.DUMMYFUNCTION("GOOGLETRANSLATE(B33134,""en"",""de"")"),"Wir sehen einen animierten Öffnungsbildschirm.")</f>
        <v>Wir sehen einen animierten Öffnungsbildschirm.</v>
      </c>
    </row>
    <row r="33135">
      <c r="A33135" s="4" t="s">
        <v>41703</v>
      </c>
      <c r="B33135" s="4" t="s">
        <v>41704</v>
      </c>
      <c r="C33135" s="5" t="str">
        <f>IFERROR(__xludf.DUMMYFUNCTION("GOOGLETRANSLATE(B33135,""en"",""de"")"),"Wir sehen einen Mann auf einem Parkplatz.")</f>
        <v>Wir sehen einen Mann auf einem Parkplatz.</v>
      </c>
    </row>
    <row r="33136">
      <c r="A33136" s="4" t="s">
        <v>41703</v>
      </c>
      <c r="B33136" s="4" t="s">
        <v>41705</v>
      </c>
      <c r="C33136" s="5" t="str">
        <f>IFERROR(__xludf.DUMMYFUNCTION("GOOGLETRANSLATE(B33136,""en"",""de"")"),"Der Mann beginnt, Kampfkunstbewegungen auszuführen.")</f>
        <v>Der Mann beginnt, Kampfkunstbewegungen auszuführen.</v>
      </c>
    </row>
    <row r="33137">
      <c r="A33137" s="4" t="s">
        <v>41703</v>
      </c>
      <c r="B33137" s="4" t="s">
        <v>41706</v>
      </c>
      <c r="C33137" s="5" t="str">
        <f>IFERROR(__xludf.DUMMYFUNCTION("GOOGLETRANSLATE(B33137,""en"",""de"")"),"Der Mann entfernt sein Hemd und seine Halskette.")</f>
        <v>Der Mann entfernt sein Hemd und seine Halskette.</v>
      </c>
    </row>
    <row r="33138">
      <c r="A33138" s="4" t="s">
        <v>41703</v>
      </c>
      <c r="B33138" s="4" t="s">
        <v>41707</v>
      </c>
      <c r="C33138" s="5" t="str">
        <f>IFERROR(__xludf.DUMMYFUNCTION("GOOGLETRANSLATE(B33138,""en"",""de"")"),"Der Mann dreht sich um und bewegt sich Capoeira.")</f>
        <v>Der Mann dreht sich um und bewegt sich Capoeira.</v>
      </c>
    </row>
    <row r="33139">
      <c r="A33139" s="4" t="s">
        <v>41703</v>
      </c>
      <c r="B33139" s="4" t="s">
        <v>41708</v>
      </c>
      <c r="C33139" s="5" t="str">
        <f>IFERROR(__xludf.DUMMYFUNCTION("GOOGLETRANSLATE(B33139,""en"",""de"")"),"Wir sehen, dass der Mann einerseits einen Handstand macht.")</f>
        <v>Wir sehen, dass der Mann einerseits einen Handstand macht.</v>
      </c>
    </row>
    <row r="33140">
      <c r="A33140" s="4" t="s">
        <v>41703</v>
      </c>
      <c r="B33140" s="4" t="s">
        <v>41709</v>
      </c>
      <c r="C33140" s="5" t="str">
        <f>IFERROR(__xludf.DUMMYFUNCTION("GOOGLETRANSLATE(B33140,""en"",""de"")"),"Der Mann endet, schnappt sich sein Hemd und geht weg.")</f>
        <v>Der Mann endet, schnappt sich sein Hemd und geht weg.</v>
      </c>
    </row>
    <row r="33141">
      <c r="A33141" s="4" t="s">
        <v>41703</v>
      </c>
      <c r="B33141" s="4" t="s">
        <v>41710</v>
      </c>
      <c r="C33141" s="5" t="str">
        <f>IFERROR(__xludf.DUMMYFUNCTION("GOOGLETRANSLATE(B33141,""en"",""de"")"),"Wir sehen Videoclips auf dem Schlussbildschirm.")</f>
        <v>Wir sehen Videoclips auf dem Schlussbildschirm.</v>
      </c>
    </row>
    <row r="33142">
      <c r="A33142" s="4" t="s">
        <v>41711</v>
      </c>
      <c r="B33142" s="4" t="s">
        <v>41712</v>
      </c>
      <c r="C33142" s="5" t="str">
        <f>IFERROR(__xludf.DUMMYFUNCTION("GOOGLETRANSLATE(B33142,""en"",""de"")"),"Ein Individuum fährt auf einem Innenröhrchen einen Fluss hinunter mit Steinen.")</f>
        <v>Ein Individuum fährt auf einem Innenröhrchen einen Fluss hinunter mit Steinen.</v>
      </c>
    </row>
    <row r="33143">
      <c r="A33143" s="4" t="s">
        <v>41711</v>
      </c>
      <c r="B33143" s="4" t="s">
        <v>41713</v>
      </c>
      <c r="C33143" s="5" t="str">
        <f>IFERROR(__xludf.DUMMYFUNCTION("GOOGLETRANSLATE(B33143,""en"",""de"")"),"Ein Mann schiebt den Einzelnen stromabwärts.")</f>
        <v>Ein Mann schiebt den Einzelnen stromabwärts.</v>
      </c>
    </row>
    <row r="33144">
      <c r="A33144" s="4" t="s">
        <v>41711</v>
      </c>
      <c r="B33144" s="4" t="s">
        <v>41714</v>
      </c>
      <c r="C33144" s="5" t="str">
        <f>IFERROR(__xludf.DUMMYFUNCTION("GOOGLETRANSLATE(B33144,""en"",""de"")"),"Ein anderer Mann drückt den Individuum weiter stromabwärts.")</f>
        <v>Ein anderer Mann drückt den Individuum weiter stromabwärts.</v>
      </c>
    </row>
    <row r="33145">
      <c r="A33145" s="4" t="s">
        <v>41715</v>
      </c>
      <c r="B33145" s="4" t="s">
        <v>41716</v>
      </c>
      <c r="C33145" s="5" t="str">
        <f>IFERROR(__xludf.DUMMYFUNCTION("GOOGLETRANSLATE(B33145,""en"",""de"")"),"Eine Kamera schwenkt rund um einen Zaun, während Text übernommen wird.")</f>
        <v>Eine Kamera schwenkt rund um einen Zaun, während Text übernommen wird.</v>
      </c>
    </row>
    <row r="33146">
      <c r="A33146" s="4" t="s">
        <v>41715</v>
      </c>
      <c r="B33146" s="4" t="s">
        <v>41717</v>
      </c>
      <c r="C33146" s="5" t="str">
        <f>IFERROR(__xludf.DUMMYFUNCTION("GOOGLETRANSLATE(B33146,""en"",""de"")"),"Eine Person wird in mehreren Schüssen gezeigt, die den Zaun mit einem Schlauch besprühen.")</f>
        <v>Eine Person wird in mehreren Schüssen gezeigt, die den Zaun mit einem Schlauch besprühen.</v>
      </c>
    </row>
    <row r="33147">
      <c r="A33147" s="4" t="s">
        <v>41715</v>
      </c>
      <c r="B33147" s="4" t="s">
        <v>41718</v>
      </c>
      <c r="C33147" s="5" t="str">
        <f>IFERROR(__xludf.DUMMYFUNCTION("GOOGLETRANSLATE(B33147,""en"",""de"")"),"Am Ende werden mehr Clips des Zauns gezeigt.")</f>
        <v>Am Ende werden mehr Clips des Zauns gezeigt.</v>
      </c>
    </row>
    <row r="33148">
      <c r="A33148" s="4" t="s">
        <v>41719</v>
      </c>
      <c r="B33148" s="4" t="s">
        <v>41720</v>
      </c>
      <c r="C33148" s="5" t="str">
        <f>IFERROR(__xludf.DUMMYFUNCTION("GOOGLETRANSLATE(B33148,""en"",""de"")"),"Die Leute rennen auf Dirt herum und spielen Fußball.")</f>
        <v>Die Leute rennen auf Dirt herum und spielen Fußball.</v>
      </c>
    </row>
    <row r="33149">
      <c r="A33149" s="4" t="s">
        <v>41719</v>
      </c>
      <c r="B33149" s="4" t="s">
        <v>41721</v>
      </c>
      <c r="C33149" s="5" t="str">
        <f>IFERROR(__xludf.DUMMYFUNCTION("GOOGLETRANSLATE(B33149,""en"",""de"")"),"Die Leute sind in einer Indoor -Arena, die Fußball spielt.")</f>
        <v>Die Leute sind in einer Indoor -Arena, die Fußball spielt.</v>
      </c>
    </row>
    <row r="33150">
      <c r="A33150" s="4" t="s">
        <v>41719</v>
      </c>
      <c r="B33150" s="4" t="s">
        <v>41722</v>
      </c>
      <c r="C33150" s="5" t="str">
        <f>IFERROR(__xludf.DUMMYFUNCTION("GOOGLETRANSLATE(B33150,""en"",""de"")"),"Menschen auf den Tribünen begrüßen sie für sie.")</f>
        <v>Menschen auf den Tribünen begrüßen sie für sie.</v>
      </c>
    </row>
    <row r="33151">
      <c r="A33151" s="4" t="s">
        <v>41723</v>
      </c>
      <c r="B33151" s="4" t="s">
        <v>41724</v>
      </c>
      <c r="C33151" s="5" t="str">
        <f>IFERROR(__xludf.DUMMYFUNCTION("GOOGLETRANSLATE(B33151,""en"",""de"")"),"Wir sehen eine Eröffnungs -Titelszene.")</f>
        <v>Wir sehen eine Eröffnungs -Titelszene.</v>
      </c>
    </row>
    <row r="33152">
      <c r="A33152" s="4" t="s">
        <v>41723</v>
      </c>
      <c r="B33152" s="4" t="s">
        <v>41725</v>
      </c>
      <c r="C33152" s="5" t="str">
        <f>IFERROR(__xludf.DUMMYFUNCTION("GOOGLETRANSLATE(B33152,""en"",""de"")"),"Wir sehen Menschen, die Pferde durch die Berge reiten.")</f>
        <v>Wir sehen Menschen, die Pferde durch die Berge reiten.</v>
      </c>
    </row>
    <row r="33153">
      <c r="A33153" s="4" t="s">
        <v>41723</v>
      </c>
      <c r="B33153" s="4" t="s">
        <v>41726</v>
      </c>
      <c r="C33153" s="5" t="str">
        <f>IFERROR(__xludf.DUMMYFUNCTION("GOOGLETRANSLATE(B33153,""en"",""de"")"),"Wir wenden uns um und sehen den Canyon und den Fluss.")</f>
        <v>Wir wenden uns um und sehen den Canyon und den Fluss.</v>
      </c>
    </row>
    <row r="33154">
      <c r="A33154" s="4" t="s">
        <v>41723</v>
      </c>
      <c r="B33154" s="4" t="s">
        <v>41727</v>
      </c>
      <c r="C33154" s="5" t="str">
        <f>IFERROR(__xludf.DUMMYFUNCTION("GOOGLETRANSLATE(B33154,""en"",""de"")"),"Eine Person in Blau dreht sich ein paar Mal um.")</f>
        <v>Eine Person in Blau dreht sich ein paar Mal um.</v>
      </c>
    </row>
    <row r="33155">
      <c r="A33155" s="4" t="s">
        <v>41723</v>
      </c>
      <c r="B33155" s="4" t="s">
        <v>41728</v>
      </c>
      <c r="C33155" s="5" t="str">
        <f>IFERROR(__xludf.DUMMYFUNCTION("GOOGLETRANSLATE(B33155,""en"",""de"")"),"Wir sehen einen großen weißen Schneehügel.")</f>
        <v>Wir sehen einen großen weißen Schneehügel.</v>
      </c>
    </row>
    <row r="33156">
      <c r="A33156" s="4" t="s">
        <v>41723</v>
      </c>
      <c r="B33156" s="4" t="s">
        <v>41729</v>
      </c>
      <c r="C33156" s="5" t="str">
        <f>IFERROR(__xludf.DUMMYFUNCTION("GOOGLETRANSLATE(B33156,""en"",""de"")"),"Die Person im blauen Hemd schaut den Berg hinauf.")</f>
        <v>Die Person im blauen Hemd schaut den Berg hinauf.</v>
      </c>
    </row>
    <row r="33157">
      <c r="A33157" s="4" t="s">
        <v>41723</v>
      </c>
      <c r="B33157" s="4" t="s">
        <v>41730</v>
      </c>
      <c r="C33157" s="5" t="str">
        <f>IFERROR(__xludf.DUMMYFUNCTION("GOOGLETRANSLATE(B33157,""en"",""de"")"),"Wir sehen eine blaue Balken am unteren Bildschirmrand.")</f>
        <v>Wir sehen eine blaue Balken am unteren Bildschirmrand.</v>
      </c>
    </row>
    <row r="33158">
      <c r="A33158" s="4" t="s">
        <v>41723</v>
      </c>
      <c r="B33158" s="4" t="s">
        <v>777</v>
      </c>
      <c r="C33158" s="5" t="str">
        <f>IFERROR(__xludf.DUMMYFUNCTION("GOOGLETRANSLATE(B33158,""en"",""de"")"),"Wir sehen den End -Titelbildschirm.")</f>
        <v>Wir sehen den End -Titelbildschirm.</v>
      </c>
    </row>
    <row r="33159">
      <c r="A33159" s="4" t="s">
        <v>41731</v>
      </c>
      <c r="B33159" s="4" t="s">
        <v>41732</v>
      </c>
      <c r="C33159" s="5" t="str">
        <f>IFERROR(__xludf.DUMMYFUNCTION("GOOGLETRANSLATE(B33159,""en"",""de"")"),"Ein Mann mit langen Haaren lässt sein Gesicht mit einem Pinsel streift, während er seine Hand hochhielt und mit der Kamera spricht.")</f>
        <v>Ein Mann mit langen Haaren lässt sein Gesicht mit einem Pinsel streift, während er seine Hand hochhielt und mit der Kamera spricht.</v>
      </c>
    </row>
    <row r="33160">
      <c r="A33160" s="4" t="s">
        <v>41731</v>
      </c>
      <c r="B33160" s="4" t="s">
        <v>41733</v>
      </c>
      <c r="C33160" s="5" t="str">
        <f>IFERROR(__xludf.DUMMYFUNCTION("GOOGLETRANSLATE(B33160,""en"",""de"")"),"Dann hält er den Pinsel hoch und packt seinen Hoodie, während er in die Kamera lächelt.")</f>
        <v>Dann hält er den Pinsel hoch und packt seinen Hoodie, während er in die Kamera lächelt.</v>
      </c>
    </row>
    <row r="33161">
      <c r="A33161" s="4" t="s">
        <v>41734</v>
      </c>
      <c r="B33161" s="4" t="s">
        <v>41735</v>
      </c>
      <c r="C33161" s="5" t="str">
        <f>IFERROR(__xludf.DUMMYFUNCTION("GOOGLETRANSLATE(B33161,""en"",""de"")"),"Intro führt zu einem Mann, der Schmutz auf einem Boden aufwischt und danach die Werkzeuge zeigt.")</f>
        <v>Intro führt zu einem Mann, der Schmutz auf einem Boden aufwischt und danach die Werkzeuge zeigt.</v>
      </c>
    </row>
    <row r="33162">
      <c r="A33162" s="4" t="s">
        <v>41734</v>
      </c>
      <c r="B33162" s="4" t="s">
        <v>41736</v>
      </c>
      <c r="C33162" s="5" t="str">
        <f>IFERROR(__xludf.DUMMYFUNCTION("GOOGLETRANSLATE(B33162,""en"",""de"")"),"Es werden mehrere Schüsse von Mops, die sich um Schmutz drücken, gezeigt, gefolgt von dem besseren Mop, der in Wasser getaucht und auf einen Tisch tropft wird.")</f>
        <v>Es werden mehrere Schüsse von Mops, die sich um Schmutz drücken, gezeigt, gefolgt von dem besseren Mop, der in Wasser getaucht und auf einen Tisch tropft wird.</v>
      </c>
    </row>
    <row r="33163">
      <c r="A33163" s="4" t="s">
        <v>41734</v>
      </c>
      <c r="B33163" s="4" t="s">
        <v>41737</v>
      </c>
      <c r="C33163" s="5" t="str">
        <f>IFERROR(__xludf.DUMMYFUNCTION("GOOGLETRANSLATE(B33163,""en"",""de"")"),"Ein 3D -Mopp zeigt, wie es mit einer Frau funktioniert, die auch die Dinge auf ihrem Boden aufnimmt.")</f>
        <v>Ein 3D -Mopp zeigt, wie es mit einer Frau funktioniert, die auch die Dinge auf ihrem Boden aufnimmt.</v>
      </c>
    </row>
    <row r="33164">
      <c r="A33164" s="4" t="s">
        <v>41734</v>
      </c>
      <c r="B33164" s="4" t="s">
        <v>41738</v>
      </c>
      <c r="C33164" s="5" t="str">
        <f>IFERROR(__xludf.DUMMYFUNCTION("GOOGLETRANSLATE(B33164,""en"",""de"")"),"Es werden mehrere andere Aufnahmen von Menschen, die wischen, sowie zu den Achseln der Menschen und wo sie die Mops kaufen können.")</f>
        <v>Es werden mehrere andere Aufnahmen von Menschen, die wischen, sowie zu den Achseln der Menschen und wo sie die Mops kaufen können.</v>
      </c>
    </row>
    <row r="33165">
      <c r="A33165" s="4" t="s">
        <v>41739</v>
      </c>
      <c r="B33165" s="4" t="s">
        <v>41740</v>
      </c>
      <c r="C33165" s="5" t="str">
        <f>IFERROR(__xludf.DUMMYFUNCTION("GOOGLETRANSLATE(B33165,""en"",""de"")"),"Ein Mann hält eine Blow -Taschenlampe und beginnt ihn zu benutzen, während er seine Maske niederzieht.")</f>
        <v>Ein Mann hält eine Blow -Taschenlampe und beginnt ihn zu benutzen, während er seine Maske niederzieht.</v>
      </c>
    </row>
    <row r="33166">
      <c r="A33166" s="4" t="s">
        <v>41739</v>
      </c>
      <c r="B33166" s="4" t="s">
        <v>41741</v>
      </c>
      <c r="C33166" s="5" t="str">
        <f>IFERROR(__xludf.DUMMYFUNCTION("GOOGLETRANSLATE(B33166,""en"",""de"")"),"Der Mann löst kontinuierlich mit der Maschine auf einem Stück Metall aus.")</f>
        <v>Der Mann löst kontinuierlich mit der Maschine auf einem Stück Metall aus.</v>
      </c>
    </row>
    <row r="33167">
      <c r="A33167" s="4" t="s">
        <v>41739</v>
      </c>
      <c r="B33167" s="4" t="s">
        <v>41742</v>
      </c>
      <c r="C33167" s="5" t="str">
        <f>IFERROR(__xludf.DUMMYFUNCTION("GOOGLETRANSLATE(B33167,""en"",""de"")"),"Am Ende hält er an, während er seine Maske auszieht und in die Kamera schaut.")</f>
        <v>Am Ende hält er an, während er seine Maske auszieht und in die Kamera schaut.</v>
      </c>
    </row>
    <row r="33168">
      <c r="A33168" s="4" t="s">
        <v>41743</v>
      </c>
      <c r="B33168" s="4" t="s">
        <v>41744</v>
      </c>
      <c r="C33168" s="5" t="str">
        <f>IFERROR(__xludf.DUMMYFUNCTION("GOOGLETRANSLATE(B33168,""en"",""de"")"),"Eine Frau und ein junges Mädchen sprechen mit der Kamera, während sie ein Spielzeug zusammenhalten.")</f>
        <v>Eine Frau und ein junges Mädchen sprechen mit der Kamera, während sie ein Spielzeug zusammenhalten.</v>
      </c>
    </row>
    <row r="33169">
      <c r="A33169" s="4" t="s">
        <v>41743</v>
      </c>
      <c r="B33169" s="4" t="s">
        <v>41745</v>
      </c>
      <c r="C33169" s="5" t="str">
        <f>IFERROR(__xludf.DUMMYFUNCTION("GOOGLETRANSLATE(B33169,""en"",""de"")"),"Die beiden erstellen ein Hop -Scotch -Spiel mit dem Spielzeug und legen es auf den Boden und zeigen den Schaum.")</f>
        <v>Die beiden erstellen ein Hop -Scotch -Spiel mit dem Spielzeug und legen es auf den Boden und zeigen den Schaum.</v>
      </c>
    </row>
    <row r="33170">
      <c r="A33170" s="4" t="s">
        <v>41743</v>
      </c>
      <c r="B33170" s="4" t="s">
        <v>41746</v>
      </c>
      <c r="C33170" s="5" t="str">
        <f>IFERROR(__xludf.DUMMYFUNCTION("GOOGLETRANSLATE(B33170,""en"",""de"")"),"Die Frau spricht mit der Kamera, während das Mädchen das Spiel entlang hüpft.")</f>
        <v>Die Frau spricht mit der Kamera, während das Mädchen das Spiel entlang hüpft.</v>
      </c>
    </row>
    <row r="33171">
      <c r="A33171" s="4" t="s">
        <v>41747</v>
      </c>
      <c r="B33171" s="4" t="s">
        <v>41748</v>
      </c>
      <c r="C33171" s="5" t="str">
        <f>IFERROR(__xludf.DUMMYFUNCTION("GOOGLETRANSLATE(B33171,""en"",""de"")"),"Eine Frau spricht mit der Kamera, während sie eine Geige hält, und fährt fort, dass sie Geige spielt und innehielt.")</f>
        <v>Eine Frau spricht mit der Kamera, während sie eine Geige hält, und fährt fort, dass sie Geige spielt und innehielt.</v>
      </c>
    </row>
    <row r="33172">
      <c r="A33172" s="4" t="s">
        <v>41747</v>
      </c>
      <c r="B33172" s="4" t="s">
        <v>41749</v>
      </c>
      <c r="C33172" s="5" t="str">
        <f>IFERROR(__xludf.DUMMYFUNCTION("GOOGLETRANSLATE(B33172,""en"",""de"")"),"Die Frau spielt weiterhin das Instrument und hält an, um mit der Kamera zu sprechen und zu demonstrieren, wie man spielt.")</f>
        <v>Die Frau spielt weiterhin das Instrument und hält an, um mit der Kamera zu sprechen und zu demonstrieren, wie man spielt.</v>
      </c>
    </row>
    <row r="33173">
      <c r="A33173" s="4" t="s">
        <v>41750</v>
      </c>
      <c r="B33173" s="4" t="s">
        <v>41751</v>
      </c>
      <c r="C33173" s="5" t="str">
        <f>IFERROR(__xludf.DUMMYFUNCTION("GOOGLETRANSLATE(B33173,""en"",""de"")"),"Es wird ein Video von einer ersten Person angezeigt, die auf dem Weg zu einem Track ein großes offenes Feld erkundet.")</f>
        <v>Es wird ein Video von einer ersten Person angezeigt, die auf dem Weg zu einem Track ein großes offenes Feld erkundet.</v>
      </c>
    </row>
    <row r="33174">
      <c r="A33174" s="4" t="s">
        <v>41750</v>
      </c>
      <c r="B33174" s="4" t="s">
        <v>41752</v>
      </c>
      <c r="C33174" s="5" t="str">
        <f>IFERROR(__xludf.DUMMYFUNCTION("GOOGLETRANSLATE(B33174,""en"",""de"")"),"Dann legt die Person die Kamera ab und beginnt auf der Strecke zu trainieren.")</f>
        <v>Dann legt die Person die Kamera ab und beginnt auf der Strecke zu trainieren.</v>
      </c>
    </row>
    <row r="33175">
      <c r="A33175" s="4" t="s">
        <v>41750</v>
      </c>
      <c r="B33175" s="4" t="s">
        <v>41753</v>
      </c>
      <c r="C33175" s="5" t="str">
        <f>IFERROR(__xludf.DUMMYFUNCTION("GOOGLETRANSLATE(B33175,""en"",""de"")"),"Die Jungs nehmen seinen Streckanzug aus und trainieren weiter.")</f>
        <v>Die Jungs nehmen seinen Streckanzug aus und trainieren weiter.</v>
      </c>
    </row>
    <row r="33176">
      <c r="A33176" s="4" t="s">
        <v>41750</v>
      </c>
      <c r="B33176" s="4" t="s">
        <v>41754</v>
      </c>
      <c r="C33176" s="5" t="str">
        <f>IFERROR(__xludf.DUMMYFUNCTION("GOOGLETRANSLATE(B33176,""en"",""de"")"),"Er dreht sich in die Luft und landet auf einem Sandhaufen.")</f>
        <v>Er dreht sich in die Luft und landet auf einem Sandhaufen.</v>
      </c>
    </row>
    <row r="33177">
      <c r="A33177" s="4" t="s">
        <v>41750</v>
      </c>
      <c r="B33177" s="4" t="s">
        <v>41755</v>
      </c>
      <c r="C33177" s="5" t="str">
        <f>IFERROR(__xludf.DUMMYFUNCTION("GOOGLETRANSLATE(B33177,""en"",""de"")"),"Er fährt vor, bevor das Video endet.")</f>
        <v>Er fährt vor, bevor das Video endet.</v>
      </c>
    </row>
    <row r="33178">
      <c r="A33178" s="4" t="s">
        <v>41756</v>
      </c>
      <c r="B33178" s="4" t="s">
        <v>41757</v>
      </c>
      <c r="C33178" s="5" t="str">
        <f>IFERROR(__xludf.DUMMYFUNCTION("GOOGLETRANSLATE(B33178,""en"",""de"")"),"Die Teams spielen in der Mitte Eishockey, sodass jeder, der sich hins sitzt, sie beobachten kann.")</f>
        <v>Die Teams spielen in der Mitte Eishockey, sodass jeder, der sich hins sitzt, sie beobachten kann.</v>
      </c>
    </row>
    <row r="33179">
      <c r="A33179" s="4" t="s">
        <v>41756</v>
      </c>
      <c r="B33179" s="4" t="s">
        <v>41758</v>
      </c>
      <c r="C33179" s="5" t="str">
        <f>IFERROR(__xludf.DUMMYFUNCTION("GOOGLETRANSLATE(B33179,""en"",""de"")"),"Das Blue -Team erzielt zuerst ein Ziel und dann fangen die Leute an zu klatschen und zu jubeln.")</f>
        <v>Das Blue -Team erzielt zuerst ein Ziel und dann fangen die Leute an zu klatschen und zu jubeln.</v>
      </c>
    </row>
    <row r="33180">
      <c r="A33180" s="4" t="s">
        <v>41756</v>
      </c>
      <c r="B33180" s="4" t="s">
        <v>41759</v>
      </c>
      <c r="C33180" s="5" t="str">
        <f>IFERROR(__xludf.DUMMYFUNCTION("GOOGLETRANSLATE(B33180,""en"",""de"")"),"Als nächstes trifft das Blue -Team wieder und die Menge wird wild.")</f>
        <v>Als nächstes trifft das Blue -Team wieder und die Menge wird wild.</v>
      </c>
    </row>
    <row r="33181">
      <c r="A33181" s="4" t="s">
        <v>41760</v>
      </c>
      <c r="B33181" s="4" t="s">
        <v>41761</v>
      </c>
      <c r="C33181" s="5" t="str">
        <f>IFERROR(__xludf.DUMMYFUNCTION("GOOGLETRANSLATE(B33181,""en"",""de"")"),"Eine Frau ist gesehen, wie sie sich vor der Kamera herabbiegt und einen Wasserhahn einschaltet.")</f>
        <v>Eine Frau ist gesehen, wie sie sich vor der Kamera herabbiegt und einen Wasserhahn einschaltet.</v>
      </c>
    </row>
    <row r="33182">
      <c r="A33182" s="4" t="s">
        <v>41760</v>
      </c>
      <c r="B33182" s="4" t="s">
        <v>41762</v>
      </c>
      <c r="C33182" s="5" t="str">
        <f>IFERROR(__xludf.DUMMYFUNCTION("GOOGLETRANSLATE(B33182,""en"",""de"")"),"Die Frau nutzt das Wasser fort und beginnt ein Hemd zu schrubben und in die Eimer zu treten.")</f>
        <v>Die Frau nutzt das Wasser fort und beginnt ein Hemd zu schrubben und in die Eimer zu treten.</v>
      </c>
    </row>
    <row r="33183">
      <c r="A33183" s="4" t="s">
        <v>41760</v>
      </c>
      <c r="B33183" s="4" t="s">
        <v>41763</v>
      </c>
      <c r="C33183" s="5" t="str">
        <f>IFERROR(__xludf.DUMMYFUNCTION("GOOGLETRANSLATE(B33183,""en"",""de"")"),"Es werden mehr Aufnahmen gezeigt, die die Kleidung reinigen und endet, indem sie sie aufhängen.")</f>
        <v>Es werden mehr Aufnahmen gezeigt, die die Kleidung reinigen und endet, indem sie sie aufhängen.</v>
      </c>
    </row>
    <row r="33184">
      <c r="A33184" s="4" t="s">
        <v>41764</v>
      </c>
      <c r="B33184" s="4" t="s">
        <v>41765</v>
      </c>
      <c r="C33184" s="5" t="str">
        <f>IFERROR(__xludf.DUMMYFUNCTION("GOOGLETRANSLATE(B33184,""en"",""de"")"),"Ein Mann fährt ein Auto durch ein Fenster.")</f>
        <v>Ein Mann fährt ein Auto durch ein Fenster.</v>
      </c>
    </row>
    <row r="33185">
      <c r="A33185" s="4" t="s">
        <v>41764</v>
      </c>
      <c r="B33185" s="4" t="s">
        <v>41766</v>
      </c>
      <c r="C33185" s="5" t="str">
        <f>IFERROR(__xludf.DUMMYFUNCTION("GOOGLETRANSLATE(B33185,""en"",""de"")"),"Er bekommt einen Pass in einen Parkbereich.")</f>
        <v>Er bekommt einen Pass in einen Parkbereich.</v>
      </c>
    </row>
    <row r="33186">
      <c r="A33186" s="4" t="s">
        <v>41764</v>
      </c>
      <c r="B33186" s="4" t="s">
        <v>41767</v>
      </c>
      <c r="C33186" s="5" t="str">
        <f>IFERROR(__xludf.DUMMYFUNCTION("GOOGLETRANSLATE(B33186,""en"",""de"")"),"Er fährt, spazieren und reitet Pferde, während er die Gegend erkundet.")</f>
        <v>Er fährt, spazieren und reitet Pferde, während er die Gegend erkundet.</v>
      </c>
    </row>
    <row r="33187">
      <c r="A33187" s="4" t="s">
        <v>41768</v>
      </c>
      <c r="B33187" s="4" t="s">
        <v>41769</v>
      </c>
      <c r="C33187" s="5" t="str">
        <f>IFERROR(__xludf.DUMMYFUNCTION("GOOGLETRANSLATE(B33187,""en"",""de"")"),"Ein Mädchen springt und schwingt in Balance Bars.")</f>
        <v>Ein Mädchen springt und schwingt in Balance Bars.</v>
      </c>
    </row>
    <row r="33188">
      <c r="A33188" s="4" t="s">
        <v>41768</v>
      </c>
      <c r="B33188" s="4" t="s">
        <v>41770</v>
      </c>
      <c r="C33188" s="5" t="str">
        <f>IFERROR(__xludf.DUMMYFUNCTION("GOOGLETRANSLATE(B33188,""en"",""de"")"),"Eine Frau in einem schwarzen Hemd steht unter ihrer Beobachtung.")</f>
        <v>Eine Frau in einem schwarzen Hemd steht unter ihrer Beobachtung.</v>
      </c>
    </row>
    <row r="33189">
      <c r="A33189" s="4" t="s">
        <v>41768</v>
      </c>
      <c r="B33189" s="4" t="s">
        <v>41771</v>
      </c>
      <c r="C33189" s="5" t="str">
        <f>IFERROR(__xludf.DUMMYFUNCTION("GOOGLETRANSLATE(B33189,""en"",""de"")"),"Sie hilft ihr, abzuspringen und auf einer Matte zu landen.")</f>
        <v>Sie hilft ihr, abzuspringen und auf einer Matte zu landen.</v>
      </c>
    </row>
    <row r="33190">
      <c r="A33190" s="4" t="s">
        <v>41772</v>
      </c>
      <c r="B33190" s="4" t="s">
        <v>41773</v>
      </c>
      <c r="C33190" s="5" t="str">
        <f>IFERROR(__xludf.DUMMYFUNCTION("GOOGLETRANSLATE(B33190,""en"",""de"")"),"Ein Turner legte Power -Kreidekraft auf seine Hände und steht in der Nähe des Pommel -Pferdes.")</f>
        <v>Ein Turner legte Power -Kreidekraft auf seine Hände und steht in der Nähe des Pommel -Pferdes.</v>
      </c>
    </row>
    <row r="33191">
      <c r="A33191" s="4" t="s">
        <v>41772</v>
      </c>
      <c r="B33191" s="4" t="s">
        <v>41774</v>
      </c>
      <c r="C33191" s="5" t="str">
        <f>IFERROR(__xludf.DUMMYFUNCTION("GOOGLETRANSLATE(B33191,""en"",""de"")"),"Dann nähert sich der Turner dem Pommel -Pferd, um sich viele Male zu drehen.")</f>
        <v>Dann nähert sich der Turner dem Pommel -Pferd, um sich viele Male zu drehen.</v>
      </c>
    </row>
    <row r="33192">
      <c r="A33192" s="4" t="s">
        <v>41772</v>
      </c>
      <c r="B33192" s="4" t="s">
        <v>41775</v>
      </c>
      <c r="C33192" s="5" t="str">
        <f>IFERROR(__xludf.DUMMYFUNCTION("GOOGLETRANSLATE(B33192,""en"",""de"")"),"Dann steht der Turner auf seiner Hand und springt auf den Boden, während die Leute applaudieren.")</f>
        <v>Dann steht der Turner auf seiner Hand und springt auf den Boden, während die Leute applaudieren.</v>
      </c>
    </row>
    <row r="33193">
      <c r="A33193" s="4" t="s">
        <v>41776</v>
      </c>
      <c r="B33193" s="4" t="s">
        <v>41777</v>
      </c>
      <c r="C33193" s="5" t="str">
        <f>IFERROR(__xludf.DUMMYFUNCTION("GOOGLETRANSLATE(B33193,""en"",""de"")"),"Ein Mann geht an die Seite einer Kabine.")</f>
        <v>Ein Mann geht an die Seite einer Kabine.</v>
      </c>
    </row>
    <row r="33194">
      <c r="A33194" s="4" t="s">
        <v>41776</v>
      </c>
      <c r="B33194" s="4" t="s">
        <v>41778</v>
      </c>
      <c r="C33194" s="5" t="str">
        <f>IFERROR(__xludf.DUMMYFUNCTION("GOOGLETRANSLATE(B33194,""en"",""de"")"),"Er benutzt ein großes Messer, um durch das Gras zu schneiden.")</f>
        <v>Er benutzt ein großes Messer, um durch das Gras zu schneiden.</v>
      </c>
    </row>
    <row r="33195">
      <c r="A33195" s="4" t="s">
        <v>41776</v>
      </c>
      <c r="B33195" s="4" t="s">
        <v>41779</v>
      </c>
      <c r="C33195" s="5" t="str">
        <f>IFERROR(__xludf.DUMMYFUNCTION("GOOGLETRANSLATE(B33195,""en"",""de"")"),"Er schwingt das Messer hin und her und schneidet das Gras und das Unkraut.")</f>
        <v>Er schwingt das Messer hin und her und schneidet das Gras und das Unkraut.</v>
      </c>
    </row>
    <row r="33196">
      <c r="A33196" s="4" t="s">
        <v>41780</v>
      </c>
      <c r="B33196" s="4" t="s">
        <v>41781</v>
      </c>
      <c r="C33196" s="5" t="str">
        <f>IFERROR(__xludf.DUMMYFUNCTION("GOOGLETRANSLATE(B33196,""en"",""de"")"),"Eine Frau steht auf einem Feld, während Menschen hinter ihr versammelt sind.")</f>
        <v>Eine Frau steht auf einem Feld, während Menschen hinter ihr versammelt sind.</v>
      </c>
    </row>
    <row r="33197">
      <c r="A33197" s="4" t="s">
        <v>41780</v>
      </c>
      <c r="B33197" s="4" t="s">
        <v>41782</v>
      </c>
      <c r="C33197" s="5" t="str">
        <f>IFERROR(__xludf.DUMMYFUNCTION("GOOGLETRANSLATE(B33197,""en"",""de"")"),"Mehrere Leute rennen zusammen und jagen sich gegenseitig.")</f>
        <v>Mehrere Leute rennen zusammen und jagen sich gegenseitig.</v>
      </c>
    </row>
    <row r="33198">
      <c r="A33198" s="4" t="s">
        <v>41780</v>
      </c>
      <c r="B33198" s="4" t="s">
        <v>41783</v>
      </c>
      <c r="C33198" s="5" t="str">
        <f>IFERROR(__xludf.DUMMYFUNCTION("GOOGLETRANSLATE(B33198,""en"",""de"")"),"Kinder werden am Ende nahe gezeigt.")</f>
        <v>Kinder werden am Ende nahe gezeigt.</v>
      </c>
    </row>
    <row r="33199">
      <c r="A33199" s="4" t="s">
        <v>41784</v>
      </c>
      <c r="B33199" s="4" t="s">
        <v>41785</v>
      </c>
      <c r="C33199" s="5" t="str">
        <f>IFERROR(__xludf.DUMMYFUNCTION("GOOGLETRANSLATE(B33199,""en"",""de"")"),"Ein Junge in einem grünen Hemd tritt auf einen Hocker, um das Waschbecken zu erreichen.")</f>
        <v>Ein Junge in einem grünen Hemd tritt auf einen Hocker, um das Waschbecken zu erreichen.</v>
      </c>
    </row>
    <row r="33200">
      <c r="A33200" s="4" t="s">
        <v>41784</v>
      </c>
      <c r="B33200" s="4" t="s">
        <v>41786</v>
      </c>
      <c r="C33200" s="5" t="str">
        <f>IFERROR(__xludf.DUMMYFUNCTION("GOOGLETRANSLATE(B33200,""en"",""de"")"),"Eine Frau steht neben ihm.")</f>
        <v>Eine Frau steht neben ihm.</v>
      </c>
    </row>
    <row r="33201">
      <c r="A33201" s="4" t="s">
        <v>41784</v>
      </c>
      <c r="B33201" s="4" t="s">
        <v>41787</v>
      </c>
      <c r="C33201" s="5" t="str">
        <f>IFERROR(__xludf.DUMMYFUNCTION("GOOGLETRANSLATE(B33201,""en"",""de"")"),"Der kleine Junge wäscht seine Hände im Waschbecken.")</f>
        <v>Der kleine Junge wäscht seine Hände im Waschbecken.</v>
      </c>
    </row>
    <row r="33202">
      <c r="A33202" s="4" t="s">
        <v>41784</v>
      </c>
      <c r="B33202" s="4" t="s">
        <v>41788</v>
      </c>
      <c r="C33202" s="5" t="str">
        <f>IFERROR(__xludf.DUMMYFUNCTION("GOOGLETRANSLATE(B33202,""en"",""de"")"),"Sie wischt das Waschbecken mit einem Papiertuch ab.")</f>
        <v>Sie wischt das Waschbecken mit einem Papiertuch ab.</v>
      </c>
    </row>
    <row r="33203">
      <c r="A33203" s="4" t="s">
        <v>41784</v>
      </c>
      <c r="B33203" s="4" t="s">
        <v>41789</v>
      </c>
      <c r="C33203" s="5" t="str">
        <f>IFERROR(__xludf.DUMMYFUNCTION("GOOGLETRANSLATE(B33203,""en"",""de"")"),"Der Junge trocknet die Hände mit einem Handtuch.")</f>
        <v>Der Junge trocknet die Hände mit einem Handtuch.</v>
      </c>
    </row>
    <row r="33204">
      <c r="A33204" s="4" t="s">
        <v>41790</v>
      </c>
      <c r="B33204" s="4" t="s">
        <v>41791</v>
      </c>
      <c r="C33204" s="5" t="str">
        <f>IFERROR(__xludf.DUMMYFUNCTION("GOOGLETRANSLATE(B33204,""en"",""de"")"),"Eine Frau spricht in einem Händler mit der Kamera und führt in mehrere Nahaufnahmen eines Autos.")</f>
        <v>Eine Frau spricht in einem Händler mit der Kamera und führt in mehrere Nahaufnahmen eines Autos.</v>
      </c>
    </row>
    <row r="33205">
      <c r="A33205" s="4" t="s">
        <v>41790</v>
      </c>
      <c r="B33205" s="4" t="s">
        <v>41792</v>
      </c>
      <c r="C33205" s="5" t="str">
        <f>IFERROR(__xludf.DUMMYFUNCTION("GOOGLETRANSLATE(B33205,""en"",""de"")"),"Die Frau präsentiert dann verschiedene Werkzeuge und beginnt den Reifen aus dem Auto abzuziehen.")</f>
        <v>Die Frau präsentiert dann verschiedene Werkzeuge und beginnt den Reifen aus dem Auto abzuziehen.</v>
      </c>
    </row>
    <row r="33206">
      <c r="A33206" s="4" t="s">
        <v>41790</v>
      </c>
      <c r="B33206" s="4" t="s">
        <v>41793</v>
      </c>
      <c r="C33206" s="5" t="str">
        <f>IFERROR(__xludf.DUMMYFUNCTION("GOOGLETRANSLATE(B33206,""en"",""de"")"),"Sie zieht einen neuen Reifen heraus, legt ihn auf das Auto, schraubt ihn an Ort und Stelle und zeigt, wo sich der Reifen im Kofferraum befindet.")</f>
        <v>Sie zieht einen neuen Reifen heraus, legt ihn auf das Auto, schraubt ihn an Ort und Stelle und zeigt, wo sich der Reifen im Kofferraum befindet.</v>
      </c>
    </row>
    <row r="33207">
      <c r="A33207" s="4" t="s">
        <v>41790</v>
      </c>
      <c r="B33207" s="4" t="s">
        <v>41794</v>
      </c>
      <c r="C33207" s="5" t="str">
        <f>IFERROR(__xludf.DUMMYFUNCTION("GOOGLETRANSLATE(B33207,""en"",""de"")"),"Sie schließt den Kofferraum und zeigt das Auto, während sie immer noch mit der Kamera spricht.")</f>
        <v>Sie schließt den Kofferraum und zeigt das Auto, während sie immer noch mit der Kamera spricht.</v>
      </c>
    </row>
    <row r="33208">
      <c r="A33208" s="4" t="s">
        <v>41795</v>
      </c>
      <c r="B33208" s="4" t="s">
        <v>41796</v>
      </c>
      <c r="C33208" s="5" t="str">
        <f>IFERROR(__xludf.DUMMYFUNCTION("GOOGLETRANSLATE(B33208,""en"",""de"")"),"Eine große Gruppe von Menschen sitzt an einem Strand, der zu mehreren Menschen führt, die auf Segelbooten sitzen und weiterfahren.")</f>
        <v>Eine große Gruppe von Menschen sitzt an einem Strand, der zu mehreren Menschen führt, die auf Segelbooten sitzen und weiterfahren.</v>
      </c>
    </row>
    <row r="33209">
      <c r="A33209" s="4" t="s">
        <v>41795</v>
      </c>
      <c r="B33209" s="4" t="s">
        <v>41797</v>
      </c>
      <c r="C33209" s="5" t="str">
        <f>IFERROR(__xludf.DUMMYFUNCTION("GOOGLETRANSLATE(B33209,""en"",""de"")"),"Die verschiedenen Boote fahren weiter entlang des Wassers, wobei der Gewinner ins Wasser springt und stolz auf dem Podium steht.")</f>
        <v>Die verschiedenen Boote fahren weiter entlang des Wassers, wobei der Gewinner ins Wasser springt und stolz auf dem Podium steht.</v>
      </c>
    </row>
    <row r="33210">
      <c r="A33210" s="4" t="s">
        <v>41798</v>
      </c>
      <c r="B33210" s="4" t="s">
        <v>41799</v>
      </c>
      <c r="C33210" s="5" t="str">
        <f>IFERROR(__xludf.DUMMYFUNCTION("GOOGLETRANSLATE(B33210,""en"",""de"")"),"Frau spricht in Nachrichten über einen Baseballspieler in Los Angeles.")</f>
        <v>Frau spricht in Nachrichten über einen Baseballspieler in Los Angeles.</v>
      </c>
    </row>
    <row r="33211">
      <c r="A33211" s="4" t="s">
        <v>41798</v>
      </c>
      <c r="B33211" s="4" t="s">
        <v>41800</v>
      </c>
      <c r="C33211" s="5" t="str">
        <f>IFERROR(__xludf.DUMMYFUNCTION("GOOGLETRANSLATE(B33211,""en"",""de"")"),"Ich bin auf einem Straßenplatz, der Dodgeball mit Dodgers -Uniform spielt, die Leute beobachten das Spiel und Autos fahren auf der Straße vorbei.")</f>
        <v>Ich bin auf einem Straßenplatz, der Dodgeball mit Dodgers -Uniform spielt, die Leute beobachten das Spiel und Autos fahren auf der Straße vorbei.</v>
      </c>
    </row>
    <row r="33212">
      <c r="A33212" s="4" t="s">
        <v>41798</v>
      </c>
      <c r="B33212" s="4" t="s">
        <v>41801</v>
      </c>
      <c r="C33212" s="5" t="str">
        <f>IFERROR(__xludf.DUMMYFUNCTION("GOOGLETRANSLATE(B33212,""en"",""de"")"),"Männer, die Dodgers -Uniform tragen, werden in Bildern auf einem Baseballfeld auf den Terrassen und der Frau in den Nachrichten gezeigt, die darüber sprechen.")</f>
        <v>Männer, die Dodgers -Uniform tragen, werden in Bildern auf einem Baseballfeld auf den Terrassen und der Frau in den Nachrichten gezeigt, die darüber sprechen.</v>
      </c>
    </row>
    <row r="33213">
      <c r="A33213" s="4" t="s">
        <v>41802</v>
      </c>
      <c r="B33213" s="4" t="s">
        <v>41803</v>
      </c>
      <c r="C33213" s="5" t="str">
        <f>IFERROR(__xludf.DUMMYFUNCTION("GOOGLETRANSLATE(B33213,""en"",""de"")"),"Ein Kind spielt während einer Solo -Leistung eine Geige auf der Bühne.")</f>
        <v>Ein Kind spielt während einer Solo -Leistung eine Geige auf der Bühne.</v>
      </c>
    </row>
    <row r="33214">
      <c r="A33214" s="4" t="s">
        <v>41802</v>
      </c>
      <c r="B33214" s="4" t="s">
        <v>41804</v>
      </c>
      <c r="C33214" s="5" t="str">
        <f>IFERROR(__xludf.DUMMYFUNCTION("GOOGLETRANSLATE(B33214,""en"",""de"")"),"Ein Mann beobachtet mit Interesse von der Seite der Bühne.")</f>
        <v>Ein Mann beobachtet mit Interesse von der Seite der Bühne.</v>
      </c>
    </row>
    <row r="33215">
      <c r="A33215" s="4" t="s">
        <v>41802</v>
      </c>
      <c r="B33215" s="4" t="s">
        <v>41805</v>
      </c>
      <c r="C33215" s="5" t="str">
        <f>IFERROR(__xludf.DUMMYFUNCTION("GOOGLETRANSLATE(B33215,""en"",""de"")"),"Das Mädchen pausiert kurz kurz und spielt dann wieder.")</f>
        <v>Das Mädchen pausiert kurz kurz und spielt dann wieder.</v>
      </c>
    </row>
    <row r="33216">
      <c r="A33216" s="4" t="s">
        <v>41802</v>
      </c>
      <c r="B33216" s="4" t="s">
        <v>41806</v>
      </c>
      <c r="C33216" s="5" t="str">
        <f>IFERROR(__xludf.DUMMYFUNCTION("GOOGLETRANSLATE(B33216,""en"",""de"")"),"Das Mädchen senkt ihre Geige und den Zauberstab am Ende der Aufführung.")</f>
        <v>Das Mädchen senkt ihre Geige und den Zauberstab am Ende der Aufführung.</v>
      </c>
    </row>
    <row r="33217">
      <c r="A33217" s="4" t="s">
        <v>41807</v>
      </c>
      <c r="B33217" s="4" t="s">
        <v>41808</v>
      </c>
      <c r="C33217" s="5" t="str">
        <f>IFERROR(__xludf.DUMMYFUNCTION("GOOGLETRANSLATE(B33217,""en"",""de"")"),"Eine Kamera schwenkt um einen eingezäunten In -In und führt zu einer Frau, die einen Pinsel hält.")</f>
        <v>Eine Kamera schwenkt um einen eingezäunten In -In und führt zu einer Frau, die einen Pinsel hält.</v>
      </c>
    </row>
    <row r="33218">
      <c r="A33218" s="4" t="s">
        <v>41807</v>
      </c>
      <c r="B33218" s="4" t="s">
        <v>41809</v>
      </c>
      <c r="C33218" s="5" t="str">
        <f>IFERROR(__xludf.DUMMYFUNCTION("GOOGLETRANSLATE(B33218,""en"",""de"")"),"Sie bürstet die Seite des Zauns auf und ab, während die Kamera sich weiter um die Seite umsieht.")</f>
        <v>Sie bürstet die Seite des Zauns auf und ab, während die Kamera sich weiter um die Seite umsieht.</v>
      </c>
    </row>
    <row r="33219">
      <c r="A33219" s="4" t="s">
        <v>41810</v>
      </c>
      <c r="B33219" s="4" t="s">
        <v>41811</v>
      </c>
      <c r="C33219" s="5" t="str">
        <f>IFERROR(__xludf.DUMMYFUNCTION("GOOGLETRANSLATE(B33219,""en"",""de"")"),"Ein Intro führt zu einem Mann, der spricht und in eine Kamera lächelt, und mehrere Leute, die ein Boot vorbereiten und am Wasser reiten.")</f>
        <v>Ein Intro führt zu einem Mann, der spricht und in eine Kamera lächelt, und mehrere Leute, die ein Boot vorbereiten und am Wasser reiten.</v>
      </c>
    </row>
    <row r="33220">
      <c r="A33220" s="4" t="s">
        <v>41810</v>
      </c>
      <c r="B33220" s="4" t="s">
        <v>41812</v>
      </c>
      <c r="C33220" s="5" t="str">
        <f>IFERROR(__xludf.DUMMYFUNCTION("GOOGLETRANSLATE(B33220,""en"",""de"")"),"Eine andere Frau wird gesehen, wie sie mit der Kamera gesprochen hat, gefolgt von mehreren Schüssen des Bootes entlang des Wassers und Menschen, die das Boot reiten und steuern.")</f>
        <v>Eine andere Frau wird gesehen, wie sie mit der Kamera gesprochen hat, gefolgt von mehreren Schüssen des Bootes entlang des Wassers und Menschen, die das Boot reiten und steuern.</v>
      </c>
    </row>
    <row r="33221">
      <c r="A33221" s="4" t="s">
        <v>41813</v>
      </c>
      <c r="B33221" s="4" t="s">
        <v>41814</v>
      </c>
      <c r="C33221" s="5" t="str">
        <f>IFERROR(__xludf.DUMMYFUNCTION("GOOGLETRANSLATE(B33221,""en"",""de"")"),"Drei Männer sind in Zeitlupe zu laufen, während ein anderes Mädchen in den Rahmen geht und die Gruppenröhrchen von einem Stapel ausrücken.")</f>
        <v>Drei Männer sind in Zeitlupe zu laufen, während ein anderes Mädchen in den Rahmen geht und die Gruppenröhrchen von einem Stapel ausrücken.</v>
      </c>
    </row>
    <row r="33222">
      <c r="A33222" s="4" t="s">
        <v>41813</v>
      </c>
      <c r="B33222" s="4" t="s">
        <v>41815</v>
      </c>
      <c r="C33222" s="5" t="str">
        <f>IFERROR(__xludf.DUMMYFUNCTION("GOOGLETRANSLATE(B33222,""en"",""de"")"),"Die Leute sprechen mit der Kamera und sind dann gesehen, wie sie in den Röhren sitzen und einen Fluss hinunter schweben.")</f>
        <v>Die Leute sprechen mit der Kamera und sind dann gesehen, wie sie in den Röhren sitzen und einen Fluss hinunter schweben.</v>
      </c>
    </row>
    <row r="33223">
      <c r="A33223" s="4" t="s">
        <v>41813</v>
      </c>
      <c r="B33223" s="4" t="s">
        <v>41816</v>
      </c>
      <c r="C33223" s="5" t="str">
        <f>IFERROR(__xludf.DUMMYFUNCTION("GOOGLETRANSLATE(B33223,""en"",""de"")"),"Die Menschen reiten ständig den Fluss hinunter, während sie zurück und vierten haben und dann in einem Bus sitzen und miteinander sprechen.")</f>
        <v>Die Menschen reiten ständig den Fluss hinunter, während sie zurück und vierten haben und dann in einem Bus sitzen und miteinander sprechen.</v>
      </c>
    </row>
    <row r="33224">
      <c r="A33224" s="4" t="s">
        <v>41817</v>
      </c>
      <c r="B33224" s="4" t="s">
        <v>41818</v>
      </c>
      <c r="C33224" s="5" t="str">
        <f>IFERROR(__xludf.DUMMYFUNCTION("GOOGLETRANSLATE(B33224,""en"",""de"")"),"Eine große Gruppe von Menschen wird in Ferienausrüstung gekleidet und wirft Objekte aufeinander.")</f>
        <v>Eine große Gruppe von Menschen wird in Ferienausrüstung gekleidet und wirft Objekte aufeinander.</v>
      </c>
    </row>
    <row r="33225">
      <c r="A33225" s="4" t="s">
        <v>41817</v>
      </c>
      <c r="B33225" s="4" t="s">
        <v>41819</v>
      </c>
      <c r="C33225" s="5" t="str">
        <f>IFERROR(__xludf.DUMMYFUNCTION("GOOGLETRANSLATE(B33225,""en"",""de"")"),"Die Leute spielen weiterhin Völkerball gegeneinander und enden mit dem Tanzen in der Mitte.")</f>
        <v>Die Leute spielen weiterhin Völkerball gegeneinander und enden mit dem Tanzen in der Mitte.</v>
      </c>
    </row>
    <row r="33226">
      <c r="A33226" s="4" t="s">
        <v>41820</v>
      </c>
      <c r="B33226" s="4" t="s">
        <v>41821</v>
      </c>
      <c r="C33226" s="5" t="str">
        <f>IFERROR(__xludf.DUMMYFUNCTION("GOOGLETRANSLATE(B33226,""en"",""de"")"),"Ein Mann in einem grünen Hemd hält einige Papiere und redet draußen.")</f>
        <v>Ein Mann in einem grünen Hemd hält einige Papiere und redet draußen.</v>
      </c>
    </row>
    <row r="33227">
      <c r="A33227" s="4" t="s">
        <v>41820</v>
      </c>
      <c r="B33227" s="4" t="s">
        <v>41822</v>
      </c>
      <c r="C33227" s="5" t="str">
        <f>IFERROR(__xludf.DUMMYFUNCTION("GOOGLETRANSLATE(B33227,""en"",""de"")"),"Er beginnt mit seiner Hand einen Schmutz neben einen Baum zu bewegen.")</f>
        <v>Er beginnt mit seiner Hand einen Schmutz neben einen Baum zu bewegen.</v>
      </c>
    </row>
    <row r="33228">
      <c r="A33228" s="4" t="s">
        <v>41820</v>
      </c>
      <c r="B33228" s="4" t="s">
        <v>41823</v>
      </c>
      <c r="C33228" s="5" t="str">
        <f>IFERROR(__xludf.DUMMYFUNCTION("GOOGLETRANSLATE(B33228,""en"",""de"")"),"Er tritt vom Baum weg und redet weiter.")</f>
        <v>Er tritt vom Baum weg und redet weiter.</v>
      </c>
    </row>
    <row r="33229">
      <c r="A33229" s="4" t="s">
        <v>41824</v>
      </c>
      <c r="B33229" s="4" t="s">
        <v>41825</v>
      </c>
      <c r="C33229" s="5" t="str">
        <f>IFERROR(__xludf.DUMMYFUNCTION("GOOGLETRANSLATE(B33229,""en"",""de"")"),"Mehrere Frauen knien auf dem Boden und arbeiten an der Zubereitung einer Suppe.")</f>
        <v>Mehrere Frauen knien auf dem Boden und arbeiten an der Zubereitung einer Suppe.</v>
      </c>
    </row>
    <row r="33230">
      <c r="A33230" s="4" t="s">
        <v>41824</v>
      </c>
      <c r="B33230" s="4" t="s">
        <v>41826</v>
      </c>
      <c r="C33230" s="5" t="str">
        <f>IFERROR(__xludf.DUMMYFUNCTION("GOOGLETRANSLATE(B33230,""en"",""de"")"),"Eine der Frauen nimmt etwas von dem Essen aus der Reibe aus.")</f>
        <v>Eine der Frauen nimmt etwas von dem Essen aus der Reibe aus.</v>
      </c>
    </row>
    <row r="33231">
      <c r="A33231" s="4" t="s">
        <v>41824</v>
      </c>
      <c r="B33231" s="4" t="s">
        <v>41827</v>
      </c>
      <c r="C33231" s="5" t="str">
        <f>IFERROR(__xludf.DUMMYFUNCTION("GOOGLETRANSLATE(B33231,""en"",""de"")"),"Eine Frau schneidet etwas weißes Gemüse in eine gelbe Schüssel.")</f>
        <v>Eine Frau schneidet etwas weißes Gemüse in eine gelbe Schüssel.</v>
      </c>
    </row>
    <row r="33232">
      <c r="A33232" s="4" t="s">
        <v>41828</v>
      </c>
      <c r="B33232" s="4" t="s">
        <v>41829</v>
      </c>
      <c r="C33232" s="5" t="str">
        <f>IFERROR(__xludf.DUMMYFUNCTION("GOOGLETRANSLATE(B33232,""en"",""de"")"),"Ein kleiner Junge trägt eine Bower auf dem Rücken und blasen tote Blätter eines Gartens.")</f>
        <v>Ein kleiner Junge trägt eine Bower auf dem Rücken und blasen tote Blätter eines Gartens.</v>
      </c>
    </row>
    <row r="33233">
      <c r="A33233" s="4" t="s">
        <v>41828</v>
      </c>
      <c r="B33233" s="4" t="s">
        <v>41830</v>
      </c>
      <c r="C33233" s="5" t="str">
        <f>IFERROR(__xludf.DUMMYFUNCTION("GOOGLETRANSLATE(B33233,""en"",""de"")"),"Dann geht der kleine Junge an einen anderen Ort, um Blätter zu blasen.")</f>
        <v>Dann geht der kleine Junge an einen anderen Ort, um Blätter zu blasen.</v>
      </c>
    </row>
    <row r="33234">
      <c r="A33234" s="4" t="s">
        <v>41828</v>
      </c>
      <c r="B33234" s="4" t="s">
        <v>41831</v>
      </c>
      <c r="C33234" s="5" t="str">
        <f>IFERROR(__xludf.DUMMYFUNCTION("GOOGLETRANSLATE(B33234,""en"",""de"")"),"Danach blasen der kleine Junge die Blätter in der Nähe eines Baumes.")</f>
        <v>Danach blasen der kleine Junge die Blätter in der Nähe eines Baumes.</v>
      </c>
    </row>
    <row r="33235">
      <c r="A33235" s="4" t="s">
        <v>41832</v>
      </c>
      <c r="B33235" s="4" t="s">
        <v>41833</v>
      </c>
      <c r="C33235" s="5" t="str">
        <f>IFERROR(__xludf.DUMMYFUNCTION("GOOGLETRANSLATE(B33235,""en"",""de"")"),"Eine Übungsausrüstung wird durch Technologie zusammengestellt und dann in Echtzeit gezeigt.")</f>
        <v>Eine Übungsausrüstung wird durch Technologie zusammengestellt und dann in Echtzeit gezeigt.</v>
      </c>
    </row>
    <row r="33236">
      <c r="A33236" s="4" t="s">
        <v>41832</v>
      </c>
      <c r="B33236" s="4" t="s">
        <v>41834</v>
      </c>
      <c r="C33236" s="5" t="str">
        <f>IFERROR(__xludf.DUMMYFUNCTION("GOOGLETRANSLATE(B33236,""en"",""de"")"),"Die Hand einer Person dreht einen Knopf auf die Maschine und läuft auf der Maschine.")</f>
        <v>Die Hand einer Person dreht einen Knopf auf die Maschine und läuft auf der Maschine.</v>
      </c>
    </row>
    <row r="33237">
      <c r="A33237" s="4" t="s">
        <v>41832</v>
      </c>
      <c r="B33237" s="4" t="s">
        <v>41835</v>
      </c>
      <c r="C33237" s="5" t="str">
        <f>IFERROR(__xludf.DUMMYFUNCTION("GOOGLETRANSLATE(B33237,""en"",""de"")"),"Nahaufnahmen ihrer Füße werden ebenso gezeigt wie mehrere andere Winkel ihres Laufens.")</f>
        <v>Nahaufnahmen ihrer Füße werden ebenso gezeigt wie mehrere andere Winkel ihres Laufens.</v>
      </c>
    </row>
    <row r="33238">
      <c r="A33238" s="4" t="s">
        <v>41836</v>
      </c>
      <c r="B33238" s="4" t="s">
        <v>41837</v>
      </c>
      <c r="C33238" s="5" t="str">
        <f>IFERROR(__xludf.DUMMYFUNCTION("GOOGLETRANSLATE(B33238,""en"",""de"")"),"Eine Frau mit sehr langem Haar steht auf einem Balkon, der die Länge ihrer Haare zeigt.")</f>
        <v>Eine Frau mit sehr langem Haar steht auf einem Balkon, der die Länge ihrer Haare zeigt.</v>
      </c>
    </row>
    <row r="33239">
      <c r="A33239" s="4" t="s">
        <v>41836</v>
      </c>
      <c r="B33239" s="4" t="s">
        <v>41838</v>
      </c>
      <c r="C33239" s="5" t="str">
        <f>IFERROR(__xludf.DUMMYFUNCTION("GOOGLETRANSLATE(B33239,""en"",""de"")"),"Sie dreht sich um und sieht sich der Kamera gegenüber, die ihr Haar weiterhin streift und ihre Länge zeigt.")</f>
        <v>Sie dreht sich um und sieht sich der Kamera gegenüber, die ihr Haar weiterhin streift und ihre Länge zeigt.</v>
      </c>
    </row>
    <row r="33240">
      <c r="A33240" s="4" t="s">
        <v>41836</v>
      </c>
      <c r="B33240" s="4" t="s">
        <v>41839</v>
      </c>
      <c r="C33240" s="5" t="str">
        <f>IFERROR(__xludf.DUMMYFUNCTION("GOOGLETRANSLATE(B33240,""en"",""de"")"),"Sie beginnt sich zu verdrehen und ihre Haare mit dem Rücken zur Kamera zu schwanken, und dann endet das Video.")</f>
        <v>Sie beginnt sich zu verdrehen und ihre Haare mit dem Rücken zur Kamera zu schwanken, und dann endet das Video.</v>
      </c>
    </row>
    <row r="33241">
      <c r="A33241" s="4" t="s">
        <v>41840</v>
      </c>
      <c r="B33241" s="4" t="s">
        <v>41841</v>
      </c>
      <c r="C33241" s="5" t="str">
        <f>IFERROR(__xludf.DUMMYFUNCTION("GOOGLETRANSLATE(B33241,""en"",""de"")"),"Eine Person wird gesehen, wie sie eine Flasche Mundwäsche abschraubt und sie in eine Tasse gießt.")</f>
        <v>Eine Person wird gesehen, wie sie eine Flasche Mundwäsche abschraubt und sie in eine Tasse gießt.</v>
      </c>
    </row>
    <row r="33242">
      <c r="A33242" s="4" t="s">
        <v>41840</v>
      </c>
      <c r="B33242" s="4" t="s">
        <v>41842</v>
      </c>
      <c r="C33242" s="5" t="str">
        <f>IFERROR(__xludf.DUMMYFUNCTION("GOOGLETRANSLATE(B33242,""en"",""de"")"),"Das Mädchen trinkt dann daraus und wischt es um ihren Mund.")</f>
        <v>Das Mädchen trinkt dann daraus und wischt es um ihren Mund.</v>
      </c>
    </row>
    <row r="33243">
      <c r="A33243" s="4" t="s">
        <v>41840</v>
      </c>
      <c r="B33243" s="4" t="s">
        <v>41843</v>
      </c>
      <c r="C33243" s="5" t="str">
        <f>IFERROR(__xludf.DUMMYFUNCTION("GOOGLETRANSLATE(B33243,""en"",""de"")"),"Sie spuckt die Mischung aus und zeigt am Ende Bilder.")</f>
        <v>Sie spuckt die Mischung aus und zeigt am Ende Bilder.</v>
      </c>
    </row>
    <row r="33244">
      <c r="A33244" s="4" t="s">
        <v>41844</v>
      </c>
      <c r="B33244" s="4" t="s">
        <v>41845</v>
      </c>
      <c r="C33244" s="5" t="str">
        <f>IFERROR(__xludf.DUMMYFUNCTION("GOOGLETRANSLATE(B33244,""en"",""de"")"),"Eine Zusammenstellung von Schuss wird zusammengestellt, Sie sehen, dass viele verschiedene Männer vorbereitet sind.")</f>
        <v>Eine Zusammenstellung von Schuss wird zusammengestellt, Sie sehen, dass viele verschiedene Männer vorbereitet sind.</v>
      </c>
    </row>
    <row r="33245">
      <c r="A33245" s="4" t="s">
        <v>41844</v>
      </c>
      <c r="B33245" s="4" t="s">
        <v>41846</v>
      </c>
      <c r="C33245" s="5" t="str">
        <f>IFERROR(__xludf.DUMMYFUNCTION("GOOGLETRANSLATE(B33245,""en"",""de"")"),"Sie drehen ihren Körper sehr schnell auf und bauen so viel Geschwindigkeit wie möglich auf, bevor sie ihren Schuss machen.")</f>
        <v>Sie drehen ihren Körper sehr schnell auf und bauen so viel Geschwindigkeit wie möglich auf, bevor sie ihren Schuss machen.</v>
      </c>
    </row>
    <row r="33246">
      <c r="A33246" s="4" t="s">
        <v>41844</v>
      </c>
      <c r="B33246" s="4" t="s">
        <v>41847</v>
      </c>
      <c r="C33246" s="5" t="str">
        <f>IFERROR(__xludf.DUMMYFUNCTION("GOOGLETRANSLATE(B33246,""en"",""de"")"),"Sie praktizieren und machen es professionell, es ist ein ernsthafter Sport, an dem die Leute wirklich Spaß machen.")</f>
        <v>Sie praktizieren und machen es professionell, es ist ein ernsthafter Sport, an dem die Leute wirklich Spaß machen.</v>
      </c>
    </row>
    <row r="33247">
      <c r="A33247" s="4" t="s">
        <v>41844</v>
      </c>
      <c r="B33247" s="4" t="s">
        <v>41848</v>
      </c>
      <c r="C33247" s="5" t="str">
        <f>IFERROR(__xludf.DUMMYFUNCTION("GOOGLETRANSLATE(B33247,""en"",""de"")"),"Sie neigen dazu, sehr aufgeregt zu sein, wenn sie ihre Würfe gut machen.")</f>
        <v>Sie neigen dazu, sehr aufgeregt zu sein, wenn sie ihre Würfe gut machen.</v>
      </c>
    </row>
    <row r="33248">
      <c r="A33248" s="4" t="s">
        <v>41849</v>
      </c>
      <c r="B33248" s="4" t="s">
        <v>41850</v>
      </c>
      <c r="C33248" s="5" t="str">
        <f>IFERROR(__xludf.DUMMYFUNCTION("GOOGLETRANSLATE(B33248,""en"",""de"")"),"Eine Frau in einem lila Mantel spricht.")</f>
        <v>Eine Frau in einem lila Mantel spricht.</v>
      </c>
    </row>
    <row r="33249">
      <c r="A33249" s="4" t="s">
        <v>41849</v>
      </c>
      <c r="B33249" s="4" t="s">
        <v>41851</v>
      </c>
      <c r="C33249" s="5" t="str">
        <f>IFERROR(__xludf.DUMMYFUNCTION("GOOGLETRANSLATE(B33249,""en"",""de"")"),"Sie fängt an, ein Pferd mit der Bürste zu bürsten.")</f>
        <v>Sie fängt an, ein Pferd mit der Bürste zu bürsten.</v>
      </c>
    </row>
    <row r="33250">
      <c r="A33250" s="4" t="s">
        <v>41849</v>
      </c>
      <c r="B33250" s="4" t="s">
        <v>41852</v>
      </c>
      <c r="C33250" s="5" t="str">
        <f>IFERROR(__xludf.DUMMYFUNCTION("GOOGLETRANSLATE(B33250,""en"",""de"")"),"Sie reinigt den Boden des Pferdes.")</f>
        <v>Sie reinigt den Boden des Pferdes.</v>
      </c>
    </row>
    <row r="33251">
      <c r="A33251" s="4" t="s">
        <v>41849</v>
      </c>
      <c r="B33251" s="4" t="s">
        <v>41853</v>
      </c>
      <c r="C33251" s="5" t="str">
        <f>IFERROR(__xludf.DUMMYFUNCTION("GOOGLETRANSLATE(B33251,""en"",""de"")"),"Sie sprüht den Schwanz des Pferdes und beginnt ihn zu bürsten.")</f>
        <v>Sie sprüht den Schwanz des Pferdes und beginnt ihn zu bürsten.</v>
      </c>
    </row>
    <row r="33252">
      <c r="A33252" s="4" t="s">
        <v>41849</v>
      </c>
      <c r="B33252" s="4" t="s">
        <v>41854</v>
      </c>
      <c r="C33252" s="5" t="str">
        <f>IFERROR(__xludf.DUMMYFUNCTION("GOOGLETRANSLATE(B33252,""en"",""de"")"),"Sie beendet und spricht weiter mit der Kamera.")</f>
        <v>Sie beendet und spricht weiter mit der Kamera.</v>
      </c>
    </row>
    <row r="33253">
      <c r="A33253" s="4" t="s">
        <v>41855</v>
      </c>
      <c r="B33253" s="4" t="s">
        <v>41856</v>
      </c>
      <c r="C33253" s="5" t="str">
        <f>IFERROR(__xludf.DUMMYFUNCTION("GOOGLETRANSLATE(B33253,""en"",""de"")"),"Ein Volleyballspieler wirft den Ball in die Luft.")</f>
        <v>Ein Volleyballspieler wirft den Ball in die Luft.</v>
      </c>
    </row>
    <row r="33254">
      <c r="A33254" s="4" t="s">
        <v>41855</v>
      </c>
      <c r="B33254" s="4" t="s">
        <v>41857</v>
      </c>
      <c r="C33254" s="5" t="str">
        <f>IFERROR(__xludf.DUMMYFUNCTION("GOOGLETRANSLATE(B33254,""en"",""de"")"),"Ihr Teamkollege fängt es und wirft es über das Netz.")</f>
        <v>Ihr Teamkollege fängt es und wirft es über das Netz.</v>
      </c>
    </row>
    <row r="33255">
      <c r="A33255" s="4" t="s">
        <v>41855</v>
      </c>
      <c r="B33255" s="4" t="s">
        <v>41858</v>
      </c>
      <c r="C33255" s="5" t="str">
        <f>IFERROR(__xludf.DUMMYFUNCTION("GOOGLETRANSLATE(B33255,""en"",""de"")"),"Der Volleyballspieler serviert den Ball.")</f>
        <v>Der Volleyballspieler serviert den Ball.</v>
      </c>
    </row>
    <row r="33256">
      <c r="A33256" s="4" t="s">
        <v>41855</v>
      </c>
      <c r="B33256" s="4" t="s">
        <v>41859</v>
      </c>
      <c r="C33256" s="5" t="str">
        <f>IFERROR(__xludf.DUMMYFUNCTION("GOOGLETRANSLATE(B33256,""en"",""de"")"),"Ein gegnerischer Spieler taucht taucht, um den Ball zu steigern.")</f>
        <v>Ein gegnerischer Spieler taucht taucht, um den Ball zu steigern.</v>
      </c>
    </row>
    <row r="33257">
      <c r="A33257" s="4" t="s">
        <v>41855</v>
      </c>
      <c r="B33257" s="4" t="s">
        <v>41860</v>
      </c>
      <c r="C33257" s="5" t="str">
        <f>IFERROR(__xludf.DUMMYFUNCTION("GOOGLETRANSLATE(B33257,""en"",""de"")"),"Ihr Teamkollege wirft den Ball über das Netz.")</f>
        <v>Ihr Teamkollege wirft den Ball über das Netz.</v>
      </c>
    </row>
    <row r="33258">
      <c r="A33258" s="4" t="s">
        <v>41855</v>
      </c>
      <c r="B33258" s="4" t="s">
        <v>41861</v>
      </c>
      <c r="C33258" s="5" t="str">
        <f>IFERROR(__xludf.DUMMYFUNCTION("GOOGLETRANSLATE(B33258,""en"",""de"")"),"Der Volleyballspieler, der früher den Ball über das Netz tauchte.")</f>
        <v>Der Volleyballspieler, der früher den Ball über das Netz tauchte.</v>
      </c>
    </row>
    <row r="33259">
      <c r="A33259" s="4" t="s">
        <v>41855</v>
      </c>
      <c r="B33259" s="4" t="s">
        <v>41862</v>
      </c>
      <c r="C33259" s="5" t="str">
        <f>IFERROR(__xludf.DUMMYFUNCTION("GOOGLETRANSLATE(B33259,""en"",""de"")"),"Ein gegnerischer Spieler trifft den Ball.")</f>
        <v>Ein gegnerischer Spieler trifft den Ball.</v>
      </c>
    </row>
    <row r="33260">
      <c r="A33260" s="4" t="s">
        <v>41855</v>
      </c>
      <c r="B33260" s="4" t="s">
        <v>41863</v>
      </c>
      <c r="C33260" s="5" t="str">
        <f>IFERROR(__xludf.DUMMYFUNCTION("GOOGLETRANSLATE(B33260,""en"",""de"")"),"Ihr Teamkollege trifft sie zurück.")</f>
        <v>Ihr Teamkollege trifft sie zurück.</v>
      </c>
    </row>
    <row r="33261">
      <c r="A33261" s="4" t="s">
        <v>41855</v>
      </c>
      <c r="B33261" s="4" t="s">
        <v>41864</v>
      </c>
      <c r="C33261" s="5" t="str">
        <f>IFERROR(__xludf.DUMMYFUNCTION("GOOGLETRANSLATE(B33261,""en"",""de"")"),"Der Teamkollegen verspannt es über das Netz.")</f>
        <v>Der Teamkollegen verspannt es über das Netz.</v>
      </c>
    </row>
    <row r="33262">
      <c r="A33262" s="4" t="s">
        <v>41855</v>
      </c>
      <c r="B33262" s="4" t="s">
        <v>41865</v>
      </c>
      <c r="C33262" s="5" t="str">
        <f>IFERROR(__xludf.DUMMYFUNCTION("GOOGLETRANSLATE(B33262,""en"",""de"")"),"Der gegnerische Spieler schlägt den Ball.")</f>
        <v>Der gegnerische Spieler schlägt den Ball.</v>
      </c>
    </row>
    <row r="33263">
      <c r="A33263" s="4" t="s">
        <v>41855</v>
      </c>
      <c r="B33263" s="4" t="s">
        <v>41866</v>
      </c>
      <c r="C33263" s="5" t="str">
        <f>IFERROR(__xludf.DUMMYFUNCTION("GOOGLETRANSLATE(B33263,""en"",""de"")"),"Ihr Teamkollege wirft den Ball über das Netz in das gegnerische Team.")</f>
        <v>Ihr Teamkollege wirft den Ball über das Netz in das gegnerische Team.</v>
      </c>
    </row>
    <row r="33264">
      <c r="A33264" s="4" t="s">
        <v>41855</v>
      </c>
      <c r="B33264" s="4" t="s">
        <v>41867</v>
      </c>
      <c r="C33264" s="5" t="str">
        <f>IFERROR(__xludf.DUMMYFUNCTION("GOOGLETRANSLATE(B33264,""en"",""de"")"),"Der gegnerische Spieler trifft den Ball auf ihren Teamkollegen.")</f>
        <v>Der gegnerische Spieler trifft den Ball auf ihren Teamkollegen.</v>
      </c>
    </row>
    <row r="33265">
      <c r="A33265" s="4" t="s">
        <v>41855</v>
      </c>
      <c r="B33265" s="4" t="s">
        <v>41868</v>
      </c>
      <c r="C33265" s="5" t="str">
        <f>IFERROR(__xludf.DUMMYFUNCTION("GOOGLETRANSLATE(B33265,""en"",""de"")"),"Ihr Teamkollege trifft den Ball.")</f>
        <v>Ihr Teamkollege trifft den Ball.</v>
      </c>
    </row>
    <row r="33266">
      <c r="A33266" s="4" t="s">
        <v>41855</v>
      </c>
      <c r="B33266" s="4" t="s">
        <v>41869</v>
      </c>
      <c r="C33266" s="5" t="str">
        <f>IFERROR(__xludf.DUMMYFUNCTION("GOOGLETRANSLATE(B33266,""en"",""de"")"),"Ihr Teamkollege trifft den Ball über das Netz.")</f>
        <v>Ihr Teamkollege trifft den Ball über das Netz.</v>
      </c>
    </row>
    <row r="33267">
      <c r="A33267" s="4" t="s">
        <v>41855</v>
      </c>
      <c r="B33267" s="4" t="s">
        <v>41870</v>
      </c>
      <c r="C33267" s="5" t="str">
        <f>IFERROR(__xludf.DUMMYFUNCTION("GOOGLETRANSLATE(B33267,""en"",""de"")"),"Ein gegnerischer Spieler taucht und trifft den Ball.")</f>
        <v>Ein gegnerischer Spieler taucht und trifft den Ball.</v>
      </c>
    </row>
    <row r="33268">
      <c r="A33268" s="4" t="s">
        <v>41855</v>
      </c>
      <c r="B33268" s="4" t="s">
        <v>41871</v>
      </c>
      <c r="C33268" s="5" t="str">
        <f>IFERROR(__xludf.DUMMYFUNCTION("GOOGLETRANSLATE(B33268,""en"",""de"")"),"Einer der Teamkollegen des gegnerischen Teams taucht auf, um den Grenzen zu fangen und zu werfen.")</f>
        <v>Einer der Teamkollegen des gegnerischen Teams taucht auf, um den Grenzen zu fangen und zu werfen.</v>
      </c>
    </row>
    <row r="33269">
      <c r="A33269" s="4" t="s">
        <v>41872</v>
      </c>
      <c r="B33269" s="4" t="s">
        <v>41873</v>
      </c>
      <c r="C33269" s="5" t="str">
        <f>IFERROR(__xludf.DUMMYFUNCTION("GOOGLETRANSLATE(B33269,""en"",""de"")"),"Ein Burler bereitet sich darauf vor, einen Locken zu machen, während sie andere Menschen in der Arena beobachten.")</f>
        <v>Ein Burler bereitet sich darauf vor, einen Locken zu machen, während sie andere Menschen in der Arena beobachten.</v>
      </c>
    </row>
    <row r="33270">
      <c r="A33270" s="4" t="s">
        <v>41872</v>
      </c>
      <c r="B33270" s="4" t="s">
        <v>41874</v>
      </c>
      <c r="C33270" s="5" t="str">
        <f>IFERROR(__xludf.DUMMYFUNCTION("GOOGLETRANSLATE(B33270,""en"",""de"")"),"Sie macht den Schuss und lässt den Puck los, während die anderen Teammitglieder ihn jagen und das Eis fegen.")</f>
        <v>Sie macht den Schuss und lässt den Puck los, während die anderen Teammitglieder ihn jagen und das Eis fegen.</v>
      </c>
    </row>
    <row r="33271">
      <c r="A33271" s="4" t="s">
        <v>41872</v>
      </c>
      <c r="B33271" s="4" t="s">
        <v>41875</v>
      </c>
      <c r="C33271" s="5" t="str">
        <f>IFERROR(__xludf.DUMMYFUNCTION("GOOGLETRANSLATE(B33271,""en"",""de"")"),"Ein weiterer Schuss wird gemacht, und die Teammitglieder folgen dem Schuss und fegen dem Eis.")</f>
        <v>Ein weiterer Schuss wird gemacht, und die Teammitglieder folgen dem Schuss und fegen dem Eis.</v>
      </c>
    </row>
    <row r="33272">
      <c r="A33272" s="4" t="s">
        <v>41872</v>
      </c>
      <c r="B33272" s="4" t="s">
        <v>41876</v>
      </c>
      <c r="C33272" s="5" t="str">
        <f>IFERROR(__xludf.DUMMYFUNCTION("GOOGLETRANSLATE(B33272,""en"",""de"")"),"Ein dritter Schuss wird dann gemacht und die Lockener lassen den Schuss einen weiteren Puck ausschalten.")</f>
        <v>Ein dritter Schuss wird dann gemacht und die Lockener lassen den Schuss einen weiteren Puck ausschalten.</v>
      </c>
    </row>
    <row r="33273">
      <c r="A33273" s="4" t="s">
        <v>41877</v>
      </c>
      <c r="B33273" s="4" t="s">
        <v>41878</v>
      </c>
      <c r="C33273" s="5" t="str">
        <f>IFERROR(__xludf.DUMMYFUNCTION("GOOGLETRANSLATE(B33273,""en"",""de"")"),"Eine kleine Gruppe von Menschen nimmt zusammen eine Spin -Klasse zusammen, die zu einem Mann führt, der mit der Kamera spricht.")</f>
        <v>Eine kleine Gruppe von Menschen nimmt zusammen eine Spin -Klasse zusammen, die zu einem Mann führt, der mit der Kamera spricht.</v>
      </c>
    </row>
    <row r="33274">
      <c r="A33274" s="4" t="s">
        <v>41877</v>
      </c>
      <c r="B33274" s="4" t="s">
        <v>41879</v>
      </c>
      <c r="C33274" s="5" t="str">
        <f>IFERROR(__xludf.DUMMYFUNCTION("GOOGLETRANSLATE(B33274,""en"",""de"")"),"Es werden Aufnahmen des Fitnessstudio gezeigt, die in eine andere Radsportklasse führen, wobei der Mann die Gruppe führt und immer noch mit der Kamera spricht.")</f>
        <v>Es werden Aufnahmen des Fitnessstudio gezeigt, die in eine andere Radsportklasse führen, wobei der Mann die Gruppe führt und immer noch mit der Kamera spricht.</v>
      </c>
    </row>
    <row r="33275">
      <c r="A33275" s="4" t="s">
        <v>41880</v>
      </c>
      <c r="B33275" s="4" t="s">
        <v>41881</v>
      </c>
      <c r="C33275" s="5" t="str">
        <f>IFERROR(__xludf.DUMMYFUNCTION("GOOGLETRANSLATE(B33275,""en"",""de"")"),"Ein Mann und eine Frau setzen sich auf einer Bank vor einer Wand mit mehreren Felgen hin.")</f>
        <v>Ein Mann und eine Frau setzen sich auf einer Bank vor einer Wand mit mehreren Felgen hin.</v>
      </c>
    </row>
    <row r="33276">
      <c r="A33276" s="4" t="s">
        <v>41880</v>
      </c>
      <c r="B33276" s="4" t="s">
        <v>41882</v>
      </c>
      <c r="C33276" s="5" t="str">
        <f>IFERROR(__xludf.DUMMYFUNCTION("GOOGLETRANSLATE(B33276,""en"",""de"")"),"Die beiden stehen dann auf und beginnen zu reden, und Sie können sehen, dass sie sich in einem Schrottplatz befinden.")</f>
        <v>Die beiden stehen dann auf und beginnen zu reden, und Sie können sehen, dass sie sich in einem Schrottplatz befinden.</v>
      </c>
    </row>
    <row r="33277">
      <c r="A33277" s="4" t="s">
        <v>41880</v>
      </c>
      <c r="B33277" s="4" t="s">
        <v>41883</v>
      </c>
      <c r="C33277" s="5" t="str">
        <f>IFERROR(__xludf.DUMMYFUNCTION("GOOGLETRANSLATE(B33277,""en"",""de"")"),"Schließlich beginnen sie zusammen zu tanzen und machen robuste Hip -Hop -Tanzbewegungen, die für die Umwelt geeignet sind.")</f>
        <v>Schließlich beginnen sie zusammen zu tanzen und machen robuste Hip -Hop -Tanzbewegungen, die für die Umwelt geeignet sind.</v>
      </c>
    </row>
    <row r="33278">
      <c r="A33278" s="4" t="s">
        <v>41884</v>
      </c>
      <c r="B33278" s="4" t="s">
        <v>41885</v>
      </c>
      <c r="C33278" s="5" t="str">
        <f>IFERROR(__xludf.DUMMYFUNCTION("GOOGLETRANSLATE(B33278,""en"",""de"")"),"Ein Mädchen kommt von der Seite herein und beginnt in den Raum zu stampfen.")</f>
        <v>Ein Mädchen kommt von der Seite herein und beginnt in den Raum zu stampfen.</v>
      </c>
    </row>
    <row r="33279">
      <c r="A33279" s="4" t="s">
        <v>41884</v>
      </c>
      <c r="B33279" s="4" t="s">
        <v>41886</v>
      </c>
      <c r="C33279" s="5" t="str">
        <f>IFERROR(__xludf.DUMMYFUNCTION("GOOGLETRANSLATE(B33279,""en"",""de"")"),"Das Mädchen trainiert weiter und bewegt sich von einer Seite zur anderen und beginnt, ihren Fuß in eine Hip -Hop -Art und Weise zu bewegt.")</f>
        <v>Das Mädchen trainiert weiter und bewegt sich von einer Seite zur anderen und beginnt, ihren Fuß in eine Hip -Hop -Art und Weise zu bewegt.</v>
      </c>
    </row>
    <row r="33280">
      <c r="A33280" s="4" t="s">
        <v>41884</v>
      </c>
      <c r="B33280" s="4" t="s">
        <v>41887</v>
      </c>
      <c r="C33280" s="5" t="str">
        <f>IFERROR(__xludf.DUMMYFUNCTION("GOOGLETRANSLATE(B33280,""en"",""de"")"),"Sie bewegt sich dann in eine Art Hocke und bewegt sich weiter und gleitet dann von links nach rechts und tanzt und zerknaut weiter.")</f>
        <v>Sie bewegt sich dann in eine Art Hocke und bewegt sich weiter und gleitet dann von links nach rechts und tanzt und zerknaut weiter.</v>
      </c>
    </row>
    <row r="33281">
      <c r="A33281" s="4" t="s">
        <v>41888</v>
      </c>
      <c r="B33281" s="4" t="s">
        <v>41889</v>
      </c>
      <c r="C33281" s="5" t="str">
        <f>IFERROR(__xludf.DUMMYFUNCTION("GOOGLETRANSLATE(B33281,""en"",""de"")"),"Wir sehen Menschen, die in einem See in lila Flößen schweben.")</f>
        <v>Wir sehen Menschen, die in einem See in lila Flößen schweben.</v>
      </c>
    </row>
    <row r="33282">
      <c r="A33282" s="4" t="s">
        <v>41888</v>
      </c>
      <c r="B33282" s="4" t="s">
        <v>41890</v>
      </c>
      <c r="C33282" s="5" t="str">
        <f>IFERROR(__xludf.DUMMYFUNCTION("GOOGLETRANSLATE(B33282,""en"",""de"")"),"Eine Person legt ihre Füße auf einen Felsen.")</f>
        <v>Eine Person legt ihre Füße auf einen Felsen.</v>
      </c>
    </row>
    <row r="33283">
      <c r="A33283" s="4" t="s">
        <v>41888</v>
      </c>
      <c r="B33283" s="4" t="s">
        <v>41891</v>
      </c>
      <c r="C33283" s="5" t="str">
        <f>IFERROR(__xludf.DUMMYFUNCTION("GOOGLETRANSLATE(B33283,""en"",""de"")"),"Die Leute trafen das raue Wasser.")</f>
        <v>Die Leute trafen das raue Wasser.</v>
      </c>
    </row>
    <row r="33284">
      <c r="A33284" s="4" t="s">
        <v>41888</v>
      </c>
      <c r="B33284" s="4" t="s">
        <v>41892</v>
      </c>
      <c r="C33284" s="5" t="str">
        <f>IFERROR(__xludf.DUMMYFUNCTION("GOOGLETRANSLATE(B33284,""en"",""de"")"),"Wir sehen ein rotes Kanu am Ufer.")</f>
        <v>Wir sehen ein rotes Kanu am Ufer.</v>
      </c>
    </row>
    <row r="33285">
      <c r="A33285" s="4" t="s">
        <v>41888</v>
      </c>
      <c r="B33285" s="4" t="s">
        <v>41893</v>
      </c>
      <c r="C33285" s="5" t="str">
        <f>IFERROR(__xludf.DUMMYFUNCTION("GOOGLETRANSLATE(B33285,""en"",""de"")"),"Wir schwenken über den Fluss.")</f>
        <v>Wir schwenken über den Fluss.</v>
      </c>
    </row>
    <row r="33286">
      <c r="A33286" s="4" t="s">
        <v>41894</v>
      </c>
      <c r="B33286" s="4" t="s">
        <v>41895</v>
      </c>
      <c r="C33286" s="5" t="str">
        <f>IFERROR(__xludf.DUMMYFUNCTION("GOOGLETRANSLATE(B33286,""en"",""de"")"),"Ein Mann wird gezeigt, wie ein Hund mit einem Wasserschlauch in einem Garten mit mehreren Blumen wäscht.")</f>
        <v>Ein Mann wird gezeigt, wie ein Hund mit einem Wasserschlauch in einem Garten mit mehreren Blumen wäscht.</v>
      </c>
    </row>
    <row r="33287">
      <c r="A33287" s="4" t="s">
        <v>41894</v>
      </c>
      <c r="B33287" s="4" t="s">
        <v>41896</v>
      </c>
      <c r="C33287" s="5" t="str">
        <f>IFERROR(__xludf.DUMMYFUNCTION("GOOGLETRANSLATE(B33287,""en"",""de"")"),"Die Kamera schwenkt um den nassen Hund, während der Mann ihn weiter wäscht und er abschüttelt.")</f>
        <v>Die Kamera schwenkt um den nassen Hund, während der Mann ihn weiter wäscht und er abschüttelt.</v>
      </c>
    </row>
    <row r="33288">
      <c r="A33288" s="4" t="s">
        <v>41894</v>
      </c>
      <c r="B33288" s="4" t="s">
        <v>41897</v>
      </c>
      <c r="C33288" s="5" t="str">
        <f>IFERROR(__xludf.DUMMYFUNCTION("GOOGLETRANSLATE(B33288,""en"",""de"")"),"Er gießt mehr Shampoo auf den Hund und reibt das Shampoo in sein Fell.")</f>
        <v>Er gießt mehr Shampoo auf den Hund und reibt das Shampoo in sein Fell.</v>
      </c>
    </row>
    <row r="33289">
      <c r="A33289" s="4" t="s">
        <v>41898</v>
      </c>
      <c r="B33289" s="4" t="s">
        <v>41899</v>
      </c>
      <c r="C33289" s="5" t="str">
        <f>IFERROR(__xludf.DUMMYFUNCTION("GOOGLETRANSLATE(B33289,""en"",""de"")"),"Es ist ein Gartenbereich zu sehen, der zu mehreren Kindern und älteren Mann führt, die auf einer Leiter arbeiten.")</f>
        <v>Es ist ein Gartenbereich zu sehen, der zu mehreren Kindern und älteren Mann führt, die auf einer Leiter arbeiten.</v>
      </c>
    </row>
    <row r="33290">
      <c r="A33290" s="4" t="s">
        <v>41898</v>
      </c>
      <c r="B33290" s="4" t="s">
        <v>41900</v>
      </c>
      <c r="C33290" s="5" t="str">
        <f>IFERROR(__xludf.DUMMYFUNCTION("GOOGLETRANSLATE(B33290,""en"",""de"")"),"Die Gruppe schneidet Hecken entlang der Seite und wirft sie in einen Eimer und hilft dem älteren Mann.")</f>
        <v>Die Gruppe schneidet Hecken entlang der Seite und wirft sie in einen Eimer und hilft dem älteren Mann.</v>
      </c>
    </row>
    <row r="33291">
      <c r="A33291" s="4" t="s">
        <v>41898</v>
      </c>
      <c r="B33291" s="4" t="s">
        <v>41901</v>
      </c>
      <c r="C33291" s="5" t="str">
        <f>IFERROR(__xludf.DUMMYFUNCTION("GOOGLETRANSLATE(B33291,""en"",""de"")"),"Die Kinder helfen dem anderen Mann weiterhin, indem sie Blätter versammeln, während er sie nach vorne schob.")</f>
        <v>Die Kinder helfen dem anderen Mann weiterhin, indem sie Blätter versammeln, während er sie nach vorne schob.</v>
      </c>
    </row>
    <row r="33292">
      <c r="A33292" s="4" t="s">
        <v>41902</v>
      </c>
      <c r="B33292" s="4" t="s">
        <v>41903</v>
      </c>
      <c r="C33292" s="5" t="str">
        <f>IFERROR(__xludf.DUMMYFUNCTION("GOOGLETRANSLATE(B33292,""en"",""de"")"),"Eine Frau sitzt gebeugt und wäscht ihre Wäsche von Hand in einer Schüssel.")</f>
        <v>Eine Frau sitzt gebeugt und wäscht ihre Wäsche von Hand in einer Schüssel.</v>
      </c>
    </row>
    <row r="33293">
      <c r="A33293" s="4" t="s">
        <v>41902</v>
      </c>
      <c r="B33293" s="4" t="s">
        <v>41904</v>
      </c>
      <c r="C33293" s="5" t="str">
        <f>IFERROR(__xludf.DUMMYFUNCTION("GOOGLETRANSLATE(B33293,""en"",""de"")"),"Ihre Freundin kommt vorbei und spricht mit ihr und lacht, bevor sie wieder weggeht.")</f>
        <v>Ihre Freundin kommt vorbei und spricht mit ihr und lacht, bevor sie wieder weggeht.</v>
      </c>
    </row>
    <row r="33294">
      <c r="A33294" s="4" t="s">
        <v>41902</v>
      </c>
      <c r="B33294" s="4" t="s">
        <v>41905</v>
      </c>
      <c r="C33294" s="5" t="str">
        <f>IFERROR(__xludf.DUMMYFUNCTION("GOOGLETRANSLATE(B33294,""en"",""de"")"),"Sie schrubbt ihre Kleidung weiterhin ausgiebig und sorgt dafür, dass es schön und sauber ist, bevor sie einen weiteren Eimer einfügt.")</f>
        <v>Sie schrubbt ihre Kleidung weiterhin ausgiebig und sorgt dafür, dass es schön und sauber ist, bevor sie einen weiteren Eimer einfügt.</v>
      </c>
    </row>
    <row r="33295">
      <c r="A33295" s="4" t="s">
        <v>41902</v>
      </c>
      <c r="B33295" s="4" t="s">
        <v>41906</v>
      </c>
      <c r="C33295" s="5" t="str">
        <f>IFERROR(__xludf.DUMMYFUNCTION("GOOGLETRANSLATE(B33295,""en"",""de"")"),"Sie wäscht und wäscht und wirft sie in den trockenen Eimer, wenn sie fertig ist.")</f>
        <v>Sie wäscht und wäscht und wirft sie in den trockenen Eimer, wenn sie fertig ist.</v>
      </c>
    </row>
    <row r="33296">
      <c r="A33296" s="4" t="s">
        <v>41907</v>
      </c>
      <c r="B33296" s="4" t="s">
        <v>41908</v>
      </c>
      <c r="C33296" s="5" t="str">
        <f>IFERROR(__xludf.DUMMYFUNCTION("GOOGLETRANSLATE(B33296,""en"",""de"")"),"Ein Mann wird gesehen, der auf den Schmutz kniet, als ein Stier in den Mann gerannt ist.")</f>
        <v>Ein Mann wird gesehen, der auf den Schmutz kniet, als ein Stier in den Mann gerannt ist.</v>
      </c>
    </row>
    <row r="33297">
      <c r="A33297" s="4" t="s">
        <v>41907</v>
      </c>
      <c r="B33297" s="4" t="s">
        <v>41909</v>
      </c>
      <c r="C33297" s="5" t="str">
        <f>IFERROR(__xludf.DUMMYFUNCTION("GOOGLETRANSLATE(B33297,""en"",""de"")"),"Er klopft über den Mann und wird weggeschleppt, gefolgt von seinem Clip wird erneut gezeigt.")</f>
        <v>Er klopft über den Mann und wird weggeschleppt, gefolgt von seinem Clip wird erneut gezeigt.</v>
      </c>
    </row>
    <row r="33298">
      <c r="A33298" s="4" t="s">
        <v>41907</v>
      </c>
      <c r="B33298" s="4" t="s">
        <v>41910</v>
      </c>
      <c r="C33298" s="5" t="str">
        <f>IFERROR(__xludf.DUMMYFUNCTION("GOOGLETRANSLATE(B33298,""en"",""de"")"),"Es werden einige weitere Clips gezeigt, die Bullen jagen und weglaufen.")</f>
        <v>Es werden einige weitere Clips gezeigt, die Bullen jagen und weglaufen.</v>
      </c>
    </row>
    <row r="33299">
      <c r="A33299" s="4" t="s">
        <v>41911</v>
      </c>
      <c r="B33299" s="4" t="s">
        <v>41912</v>
      </c>
      <c r="C33299" s="5" t="str">
        <f>IFERROR(__xludf.DUMMYFUNCTION("GOOGLETRANSLATE(B33299,""en"",""de"")"),"Ein Schwimmer schwimmt in einem Pool.")</f>
        <v>Ein Schwimmer schwimmt in einem Pool.</v>
      </c>
    </row>
    <row r="33300">
      <c r="A33300" s="4" t="s">
        <v>41911</v>
      </c>
      <c r="B33300" s="4" t="s">
        <v>41913</v>
      </c>
      <c r="C33300" s="5" t="str">
        <f>IFERROR(__xludf.DUMMYFUNCTION("GOOGLETRANSLATE(B33300,""en"",""de"")"),"Der Schwimmer trägt einen Trainingschnorchel.")</f>
        <v>Der Schwimmer trägt einen Trainingschnorchel.</v>
      </c>
    </row>
    <row r="33301">
      <c r="A33301" s="4" t="s">
        <v>41914</v>
      </c>
      <c r="B33301" s="4" t="s">
        <v>41915</v>
      </c>
      <c r="C33301" s="5" t="str">
        <f>IFERROR(__xludf.DUMMYFUNCTION("GOOGLETRANSLATE(B33301,""en"",""de"")"),"Ein Bildschirm von Kämpfer wird gezeigt und dann zwei zufällige Bilder ausgewählt.")</f>
        <v>Ein Bildschirm von Kämpfer wird gezeigt und dann zwei zufällige Bilder ausgewählt.</v>
      </c>
    </row>
    <row r="33302">
      <c r="A33302" s="4" t="s">
        <v>41914</v>
      </c>
      <c r="B33302" s="4" t="s">
        <v>41916</v>
      </c>
      <c r="C33302" s="5" t="str">
        <f>IFERROR(__xludf.DUMMYFUNCTION("GOOGLETRANSLATE(B33302,""en"",""de"")"),"Nach der Auswahl bewegen sich die Bilder in die oberen Ecken des Bildschirms, und zwei in Sumo-Uniformen gekleidete Personen stehen mitten in einem Rundum und beginnen zu kämpfen, während Autos um sie herum fahren.")</f>
        <v>Nach der Auswahl bewegen sich die Bilder in die oberen Ecken des Bildschirms, und zwei in Sumo-Uniformen gekleidete Personen stehen mitten in einem Rundum und beginnen zu kämpfen, während Autos um sie herum fahren.</v>
      </c>
    </row>
    <row r="33303">
      <c r="A33303" s="4" t="s">
        <v>41917</v>
      </c>
      <c r="B33303" s="4" t="s">
        <v>41918</v>
      </c>
      <c r="C33303" s="5" t="str">
        <f>IFERROR(__xludf.DUMMYFUNCTION("GOOGLETRANSLATE(B33303,""en"",""de"")"),"Ein Intro beginnt dann Bilder eines Mädchens, das im Badezimmer mit langen, geraden Haaren steht.")</f>
        <v>Ein Intro beginnt dann Bilder eines Mädchens, das im Badezimmer mit langen, geraden Haaren steht.</v>
      </c>
    </row>
    <row r="33304">
      <c r="A33304" s="4" t="s">
        <v>41917</v>
      </c>
      <c r="B33304" s="4" t="s">
        <v>41919</v>
      </c>
      <c r="C33304" s="5" t="str">
        <f>IFERROR(__xludf.DUMMYFUNCTION("GOOGLETRANSLATE(B33304,""en"",""de"")"),"Sie beginnt dann mit der Kamera zu sprechen, während sie ihre Haare streichelt, gefolgt von einem Schlag, das die Haare zu trocknen und die Haare zu putzen.")</f>
        <v>Sie beginnt dann mit der Kamera zu sprechen, während sie ihre Haare streichelt, gefolgt von einem Schlag, das die Haare zu trocknen und die Haare zu putzen.</v>
      </c>
    </row>
    <row r="33305">
      <c r="A33305" s="4" t="s">
        <v>41917</v>
      </c>
      <c r="B33305" s="4" t="s">
        <v>41920</v>
      </c>
      <c r="C33305" s="5" t="str">
        <f>IFERROR(__xludf.DUMMYFUNCTION("GOOGLETRANSLATE(B33305,""en"",""de"")"),"Sie steckt dann Lotion in ihre Haare und bricht ihre Haare in Abschnitte.")</f>
        <v>Sie steckt dann Lotion in ihre Haare und bricht ihre Haare in Abschnitte.</v>
      </c>
    </row>
    <row r="33306">
      <c r="A33306" s="4" t="s">
        <v>41917</v>
      </c>
      <c r="B33306" s="4" t="s">
        <v>41921</v>
      </c>
      <c r="C33306" s="5" t="str">
        <f>IFERROR(__xludf.DUMMYFUNCTION("GOOGLETRANSLATE(B33306,""en"",""de"")"),"Sie glättet jeden Haarabschnitt und lächelt am Ende.")</f>
        <v>Sie glättet jeden Haarabschnitt und lächelt am Ende.</v>
      </c>
    </row>
    <row r="33307">
      <c r="A33307" s="4" t="s">
        <v>41922</v>
      </c>
      <c r="B33307" s="4" t="s">
        <v>41923</v>
      </c>
      <c r="C33307" s="5" t="str">
        <f>IFERROR(__xludf.DUMMYFUNCTION("GOOGLETRANSLATE(B33307,""en"",""de"")"),"Eine Band wird vor einem Gebäude versammelt.")</f>
        <v>Eine Band wird vor einem Gebäude versammelt.</v>
      </c>
    </row>
    <row r="33308">
      <c r="A33308" s="4" t="s">
        <v>41922</v>
      </c>
      <c r="B33308" s="4" t="s">
        <v>41924</v>
      </c>
      <c r="C33308" s="5" t="str">
        <f>IFERROR(__xludf.DUMMYFUNCTION("GOOGLETRANSLATE(B33308,""en"",""de"")"),"Ein Führer benutzt einen Stab, um sie zu unterweisen.")</f>
        <v>Ein Führer benutzt einen Stab, um sie zu unterweisen.</v>
      </c>
    </row>
    <row r="33309">
      <c r="A33309" s="4" t="s">
        <v>41922</v>
      </c>
      <c r="B33309" s="4" t="s">
        <v>41925</v>
      </c>
      <c r="C33309" s="5" t="str">
        <f>IFERROR(__xludf.DUMMYFUNCTION("GOOGLETRANSLATE(B33309,""en"",""de"")"),"Sie spielen Schlagzeug für ein kleines Publikum.")</f>
        <v>Sie spielen Schlagzeug für ein kleines Publikum.</v>
      </c>
    </row>
    <row r="33310">
      <c r="A33310" s="4" t="s">
        <v>41926</v>
      </c>
      <c r="B33310" s="4" t="s">
        <v>41927</v>
      </c>
      <c r="C33310" s="5" t="str">
        <f>IFERROR(__xludf.DUMMYFUNCTION("GOOGLETRANSLATE(B33310,""en"",""de"")"),"Ein Typ im Hinterhof mäht den Rasen an einem heißen und sonnigen Tag, während eine Dame aufnimmt und erzählt.")</f>
        <v>Ein Typ im Hinterhof mäht den Rasen an einem heißen und sonnigen Tag, während eine Dame aufnimmt und erzählt.</v>
      </c>
    </row>
    <row r="33311">
      <c r="A33311" s="4" t="s">
        <v>41926</v>
      </c>
      <c r="B33311" s="4" t="s">
        <v>41928</v>
      </c>
      <c r="C33311" s="5" t="str">
        <f>IFERROR(__xludf.DUMMYFUNCTION("GOOGLETRANSLATE(B33311,""en"",""de"")"),"Er beginnt eine Hin und Herbewegung, als er den Mäher bewegt.")</f>
        <v>Er beginnt eine Hin und Herbewegung, als er den Mäher bewegt.</v>
      </c>
    </row>
    <row r="33312">
      <c r="A33312" s="4" t="s">
        <v>41926</v>
      </c>
      <c r="B33312" s="4" t="s">
        <v>41929</v>
      </c>
      <c r="C33312" s="5" t="str">
        <f>IFERROR(__xludf.DUMMYFUNCTION("GOOGLETRANSLATE(B33312,""en"",""de"")"),"Der Typ ändert die Richtung, während er weiter mäht.")</f>
        <v>Der Typ ändert die Richtung, während er weiter mäht.</v>
      </c>
    </row>
    <row r="33313">
      <c r="A33313" s="4" t="s">
        <v>41930</v>
      </c>
      <c r="B33313" s="4" t="s">
        <v>41931</v>
      </c>
      <c r="C33313" s="5" t="str">
        <f>IFERROR(__xludf.DUMMYFUNCTION("GOOGLETRANSLATE(B33313,""en"",""de"")"),"Eine Gruppe von Wachen marschiert eine Einfahrt hinunter, während sie die Trompeten spielen.")</f>
        <v>Eine Gruppe von Wachen marschiert eine Einfahrt hinunter, während sie die Trompeten spielen.</v>
      </c>
    </row>
    <row r="33314">
      <c r="A33314" s="4" t="s">
        <v>41930</v>
      </c>
      <c r="B33314" s="4" t="s">
        <v>41932</v>
      </c>
      <c r="C33314" s="5" t="str">
        <f>IFERROR(__xludf.DUMMYFUNCTION("GOOGLETRANSLATE(B33314,""en"",""de"")"),"Ein Mann erwärmt eine kleine Pfanne mit einer Flamme.")</f>
        <v>Ein Mann erwärmt eine kleine Pfanne mit einer Flamme.</v>
      </c>
    </row>
    <row r="33315">
      <c r="A33315" s="4" t="s">
        <v>41930</v>
      </c>
      <c r="B33315" s="4" t="s">
        <v>41933</v>
      </c>
      <c r="C33315" s="5" t="str">
        <f>IFERROR(__xludf.DUMMYFUNCTION("GOOGLETRANSLATE(B33315,""en"",""de"")"),"Drei Soldaten, die in der Nähe stehen, beobachten ihn.")</f>
        <v>Drei Soldaten, die in der Nähe stehen, beobachten ihn.</v>
      </c>
    </row>
    <row r="33316">
      <c r="A33316" s="4" t="s">
        <v>41930</v>
      </c>
      <c r="B33316" s="4" t="s">
        <v>41934</v>
      </c>
      <c r="C33316" s="5" t="str">
        <f>IFERROR(__xludf.DUMMYFUNCTION("GOOGLETRANSLATE(B33316,""en"",""de"")"),"Der Mann schnappt sich einen Pinsel und bewegt ihn in der Pfanne.")</f>
        <v>Der Mann schnappt sich einen Pinsel und bewegt ihn in der Pfanne.</v>
      </c>
    </row>
    <row r="33317">
      <c r="A33317" s="4" t="s">
        <v>41930</v>
      </c>
      <c r="B33317" s="4" t="s">
        <v>41935</v>
      </c>
      <c r="C33317" s="5" t="str">
        <f>IFERROR(__xludf.DUMMYFUNCTION("GOOGLETRANSLATE(B33317,""en"",""de"")"),"Er nimmt den Pinsel und streift einen Schuh.")</f>
        <v>Er nimmt den Pinsel und streift einen Schuh.</v>
      </c>
    </row>
    <row r="33318">
      <c r="A33318" s="4" t="s">
        <v>41930</v>
      </c>
      <c r="B33318" s="4" t="s">
        <v>41936</v>
      </c>
      <c r="C33318" s="5" t="str">
        <f>IFERROR(__xludf.DUMMYFUNCTION("GOOGLETRANSLATE(B33318,""en"",""de"")"),"Er flammt den Schuh mit dem Flammenkanister.")</f>
        <v>Er flammt den Schuh mit dem Flammenkanister.</v>
      </c>
    </row>
    <row r="33319">
      <c r="A33319" s="4" t="s">
        <v>41930</v>
      </c>
      <c r="B33319" s="4" t="s">
        <v>41937</v>
      </c>
      <c r="C33319" s="5" t="str">
        <f>IFERROR(__xludf.DUMMYFUNCTION("GOOGLETRANSLATE(B33319,""en"",""de"")"),"Er streift den Schuh erneut.")</f>
        <v>Er streift den Schuh erneut.</v>
      </c>
    </row>
    <row r="33320">
      <c r="A33320" s="4" t="s">
        <v>41930</v>
      </c>
      <c r="B33320" s="4" t="s">
        <v>41938</v>
      </c>
      <c r="C33320" s="5" t="str">
        <f>IFERROR(__xludf.DUMMYFUNCTION("GOOGLETRANSLATE(B33320,""en"",""de"")"),"Dann flucht er den Schuh noch mehr.")</f>
        <v>Dann flucht er den Schuh noch mehr.</v>
      </c>
    </row>
    <row r="33321">
      <c r="A33321" s="4" t="s">
        <v>41939</v>
      </c>
      <c r="B33321" s="4" t="s">
        <v>41940</v>
      </c>
      <c r="C33321" s="5" t="str">
        <f>IFERROR(__xludf.DUMMYFUNCTION("GOOGLETRANSLATE(B33321,""en"",""de"")"),"Ein Mann mäht den Rasen auf einem Hof ​​und lacht und macht Witze mit Freunden, die zuschauen.")</f>
        <v>Ein Mann mäht den Rasen auf einem Hof ​​und lacht und macht Witze mit Freunden, die zuschauen.</v>
      </c>
    </row>
    <row r="33322">
      <c r="A33322" s="4" t="s">
        <v>41939</v>
      </c>
      <c r="B33322" s="4" t="s">
        <v>41941</v>
      </c>
      <c r="C33322" s="5" t="str">
        <f>IFERROR(__xludf.DUMMYFUNCTION("GOOGLETRANSLATE(B33322,""en"",""de"")"),"Er beginnt mit dem Lawn Mover zu laufen und trifft fast auf etwas, während seine Freunde vor Freude lachen.")</f>
        <v>Er beginnt mit dem Lawn Mover zu laufen und trifft fast auf etwas, während seine Freunde vor Freude lachen.</v>
      </c>
    </row>
    <row r="33323">
      <c r="A33323" s="4" t="s">
        <v>41939</v>
      </c>
      <c r="B33323" s="4" t="s">
        <v>41942</v>
      </c>
      <c r="C33323" s="5" t="str">
        <f>IFERROR(__xludf.DUMMYFUNCTION("GOOGLETRANSLATE(B33323,""en"",""de"")"),"Einer seiner Freunde versucht ihm zu helfen, während er den Rasen mäht.")</f>
        <v>Einer seiner Freunde versucht ihm zu helfen, während er den Rasen mäht.</v>
      </c>
    </row>
    <row r="33324">
      <c r="A33324" s="4" t="s">
        <v>41943</v>
      </c>
      <c r="B33324" s="4" t="s">
        <v>41944</v>
      </c>
      <c r="C33324" s="5" t="str">
        <f>IFERROR(__xludf.DUMMYFUNCTION("GOOGLETRANSLATE(B33324,""en"",""de"")"),"Ein Mädchen sitzt auf einem Stuhl und redet.")</f>
        <v>Ein Mädchen sitzt auf einem Stuhl und redet.</v>
      </c>
    </row>
    <row r="33325">
      <c r="A33325" s="4" t="s">
        <v>41943</v>
      </c>
      <c r="B33325" s="4" t="s">
        <v>41945</v>
      </c>
      <c r="C33325" s="5" t="str">
        <f>IFERROR(__xludf.DUMMYFUNCTION("GOOGLETRANSLATE(B33325,""en"",""de"")"),"Eine Frau geht auf das Mädchen zu und wischt ihre Ohrläppchen ab.")</f>
        <v>Eine Frau geht auf das Mädchen zu und wischt ihre Ohrläppchen ab.</v>
      </c>
    </row>
    <row r="33326">
      <c r="A33326" s="4" t="s">
        <v>41943</v>
      </c>
      <c r="B33326" s="4" t="s">
        <v>41946</v>
      </c>
      <c r="C33326" s="5" t="str">
        <f>IFERROR(__xludf.DUMMYFUNCTION("GOOGLETRANSLATE(B33326,""en"",""de"")"),"Die Frau durchbohrt dann das Ohr des Mädchens.")</f>
        <v>Die Frau durchbohrt dann das Ohr des Mädchens.</v>
      </c>
    </row>
    <row r="33327">
      <c r="A33327" s="4" t="s">
        <v>41943</v>
      </c>
      <c r="B33327" s="4" t="s">
        <v>41947</v>
      </c>
      <c r="C33327" s="5" t="str">
        <f>IFERROR(__xludf.DUMMYFUNCTION("GOOGLETRANSLATE(B33327,""en"",""de"")"),"Das Mädchen zieht ihre Brille an, nachdem ihre Ohren zusammengesetzt wurden.")</f>
        <v>Das Mädchen zieht ihre Brille an, nachdem ihre Ohren zusammengesetzt wurden.</v>
      </c>
    </row>
    <row r="33328">
      <c r="A33328" s="4" t="s">
        <v>41948</v>
      </c>
      <c r="B33328" s="4" t="s">
        <v>41949</v>
      </c>
      <c r="C33328" s="5" t="str">
        <f>IFERROR(__xludf.DUMMYFUNCTION("GOOGLETRANSLATE(B33328,""en"",""de"")"),"Ein Mann lächelt in einem Bild, als Worte über sein Gesicht gehen.")</f>
        <v>Ein Mann lächelt in einem Bild, als Worte über sein Gesicht gehen.</v>
      </c>
    </row>
    <row r="33329">
      <c r="A33329" s="4" t="s">
        <v>41948</v>
      </c>
      <c r="B33329" s="4" t="s">
        <v>41950</v>
      </c>
      <c r="C33329" s="5" t="str">
        <f>IFERROR(__xludf.DUMMYFUNCTION("GOOGLETRANSLATE(B33329,""en"",""de"")"),"Er ist im Innenplatz und zeigt einem kleinen Jungen, wie man mit einem Schläger einen Tennisball gegen die Wand schlägt.")</f>
        <v>Er ist im Innenplatz und zeigt einem kleinen Jungen, wie man mit einem Schläger einen Tennisball gegen die Wand schlägt.</v>
      </c>
    </row>
    <row r="33330">
      <c r="A33330" s="4" t="s">
        <v>41948</v>
      </c>
      <c r="B33330" s="4" t="s">
        <v>41951</v>
      </c>
      <c r="C33330" s="5" t="str">
        <f>IFERROR(__xludf.DUMMYFUNCTION("GOOGLETRANSLATE(B33330,""en"",""de"")"),"Der Junge versucht mehrmals.")</f>
        <v>Der Junge versucht mehrmals.</v>
      </c>
    </row>
    <row r="33331">
      <c r="A33331" s="4" t="s">
        <v>41952</v>
      </c>
      <c r="B33331" s="4" t="s">
        <v>41953</v>
      </c>
      <c r="C33331" s="5" t="str">
        <f>IFERROR(__xludf.DUMMYFUNCTION("GOOGLETRANSLATE(B33331,""en"",""de"")"),"Ein Mann ohne Hände greift nach einem Pfeil, der am Brett haftet und rückwärts geht.")</f>
        <v>Ein Mann ohne Hände greift nach einem Pfeil, der am Brett haftet und rückwärts geht.</v>
      </c>
    </row>
    <row r="33332">
      <c r="A33332" s="4" t="s">
        <v>41952</v>
      </c>
      <c r="B33332" s="4" t="s">
        <v>41954</v>
      </c>
      <c r="C33332" s="5" t="str">
        <f>IFERROR(__xludf.DUMMYFUNCTION("GOOGLETRANSLATE(B33332,""en"",""de"")"),"Dann wirft er die Dunkelheit in die Luft, um zu zeigen, dass es auf dem Brett gelandet ist.")</f>
        <v>Dann wirft er die Dunkelheit in die Luft, um zu zeigen, dass es auf dem Brett gelandet ist.</v>
      </c>
    </row>
    <row r="33333">
      <c r="A33333" s="4" t="s">
        <v>41955</v>
      </c>
      <c r="B33333" s="4" t="s">
        <v>41956</v>
      </c>
      <c r="C33333" s="5" t="str">
        <f>IFERROR(__xludf.DUMMYFUNCTION("GOOGLETRANSLATE(B33333,""en"",""de"")"),"Ein Storm -Soldat spricht mit der Kamera und führt zu einer Kamera, die sich um einen Nachbarn und den Mann herumschwenkt.")</f>
        <v>Ein Storm -Soldat spricht mit der Kamera und führt zu einer Kamera, die sich um einen Nachbarn und den Mann herumschwenkt.</v>
      </c>
    </row>
    <row r="33334">
      <c r="A33334" s="4" t="s">
        <v>41955</v>
      </c>
      <c r="B33334" s="4" t="s">
        <v>41957</v>
      </c>
      <c r="C33334" s="5" t="str">
        <f>IFERROR(__xludf.DUMMYFUNCTION("GOOGLETRANSLATE(B33334,""en"",""de"")"),"Viele Kinder halten an, um mit dem Mann zu sprechen und Autos anzuhalten, um zu sprechen.")</f>
        <v>Viele Kinder halten an, um mit dem Mann zu sprechen und Autos anzuhalten, um zu sprechen.</v>
      </c>
    </row>
    <row r="33335">
      <c r="A33335" s="4" t="s">
        <v>41958</v>
      </c>
      <c r="B33335" s="4" t="s">
        <v>41959</v>
      </c>
      <c r="C33335" s="5" t="str">
        <f>IFERROR(__xludf.DUMMYFUNCTION("GOOGLETRANSLATE(B33335,""en"",""de"")"),"Eine große Gruppe von Menschen spielt ein Tauziehen mit anderen Menschen, die herumlaufen.")</f>
        <v>Eine große Gruppe von Menschen spielt ein Tauziehen mit anderen Menschen, die herumlaufen.</v>
      </c>
    </row>
    <row r="33336">
      <c r="A33336" s="4" t="s">
        <v>41958</v>
      </c>
      <c r="B33336" s="4" t="s">
        <v>41960</v>
      </c>
      <c r="C33336" s="5" t="str">
        <f>IFERROR(__xludf.DUMMYFUNCTION("GOOGLETRANSLATE(B33336,""en"",""de"")"),"Die Leute spielen zurück und vierten, während andere nebenbei zuschauen.")</f>
        <v>Die Leute spielen zurück und vierten, während andere nebenbei zuschauen.</v>
      </c>
    </row>
    <row r="33337">
      <c r="A33337" s="4" t="s">
        <v>41958</v>
      </c>
      <c r="B33337" s="4" t="s">
        <v>41961</v>
      </c>
      <c r="C33337" s="5" t="str">
        <f>IFERROR(__xludf.DUMMYFUNCTION("GOOGLETRANSLATE(B33337,""en"",""de"")"),"Eine Gruppe zieht dann eine andere nach unten und endet, indem sie weggeht.")</f>
        <v>Eine Gruppe zieht dann eine andere nach unten und endet, indem sie weggeht.</v>
      </c>
    </row>
    <row r="33338">
      <c r="A33338" s="4" t="s">
        <v>41962</v>
      </c>
      <c r="B33338" s="4" t="s">
        <v>41963</v>
      </c>
      <c r="C33338" s="5" t="str">
        <f>IFERROR(__xludf.DUMMYFUNCTION("GOOGLETRANSLATE(B33338,""en"",""de"")"),"Vor einem großen Fluss erscheint eine Skyline der Stadt.")</f>
        <v>Vor einem großen Fluss erscheint eine Skyline der Stadt.</v>
      </c>
    </row>
    <row r="33339">
      <c r="A33339" s="4" t="s">
        <v>41962</v>
      </c>
      <c r="B33339" s="4" t="s">
        <v>41964</v>
      </c>
      <c r="C33339" s="5" t="str">
        <f>IFERROR(__xludf.DUMMYFUNCTION("GOOGLETRANSLATE(B33339,""en"",""de"")"),"Von außen werden mehrere Unternehmen gezeigt.")</f>
        <v>Von außen werden mehrere Unternehmen gezeigt.</v>
      </c>
    </row>
    <row r="33340">
      <c r="A33340" s="4" t="s">
        <v>41962</v>
      </c>
      <c r="B33340" s="4" t="s">
        <v>41965</v>
      </c>
      <c r="C33340" s="5" t="str">
        <f>IFERROR(__xludf.DUMMYFUNCTION("GOOGLETRANSLATE(B33340,""en"",""de"")"),"In einem Gebäude beginnt ein Fechtenspiel.")</f>
        <v>In einem Gebäude beginnt ein Fechtenspiel.</v>
      </c>
    </row>
    <row r="33341">
      <c r="A33341" s="4" t="s">
        <v>41966</v>
      </c>
      <c r="B33341" s="4" t="s">
        <v>41967</v>
      </c>
      <c r="C33341" s="5" t="str">
        <f>IFERROR(__xludf.DUMMYFUNCTION("GOOGLETRANSLATE(B33341,""en"",""de"")"),"Wir sehen Leute, die Stoßfängerautos fahren.")</f>
        <v>Wir sehen Leute, die Stoßfängerautos fahren.</v>
      </c>
    </row>
    <row r="33342">
      <c r="A33342" s="4" t="s">
        <v>41966</v>
      </c>
      <c r="B33342" s="4" t="s">
        <v>41968</v>
      </c>
      <c r="C33342" s="5" t="str">
        <f>IFERROR(__xludf.DUMMYFUNCTION("GOOGLETRANSLATE(B33342,""en"",""de"")"),"Die Kamera bewegt sich nach rechts.")</f>
        <v>Die Kamera bewegt sich nach rechts.</v>
      </c>
    </row>
    <row r="33343">
      <c r="A33343" s="4" t="s">
        <v>41966</v>
      </c>
      <c r="B33343" s="4" t="s">
        <v>41969</v>
      </c>
      <c r="C33343" s="5" t="str">
        <f>IFERROR(__xludf.DUMMYFUNCTION("GOOGLETRANSLATE(B33343,""en"",""de"")"),"Das Mädchen in Schwarz bleibt stecken, das wird in Gang gebracht.")</f>
        <v>Das Mädchen in Schwarz bleibt stecken, das wird in Gang gebracht.</v>
      </c>
    </row>
    <row r="33344">
      <c r="A33344" s="4" t="s">
        <v>41966</v>
      </c>
      <c r="B33344" s="4" t="s">
        <v>41970</v>
      </c>
      <c r="C33344" s="5" t="str">
        <f>IFERROR(__xludf.DUMMYFUNCTION("GOOGLETRANSLATE(B33344,""en"",""de"")"),"Die Autos kommen dann zum Stillstand.")</f>
        <v>Die Autos kommen dann zum Stillstand.</v>
      </c>
    </row>
    <row r="33345">
      <c r="A33345" s="4" t="s">
        <v>41971</v>
      </c>
      <c r="B33345" s="4" t="s">
        <v>41972</v>
      </c>
      <c r="C33345" s="5" t="str">
        <f>IFERROR(__xludf.DUMMYFUNCTION("GOOGLETRANSLATE(B33345,""en"",""de"")"),"Eine Frau tanzt, während eine andere im Hintergrund steht.")</f>
        <v>Eine Frau tanzt, während eine andere im Hintergrund steht.</v>
      </c>
    </row>
    <row r="33346">
      <c r="A33346" s="4" t="s">
        <v>41971</v>
      </c>
      <c r="B33346" s="4" t="s">
        <v>41973</v>
      </c>
      <c r="C33346" s="5" t="str">
        <f>IFERROR(__xludf.DUMMYFUNCTION("GOOGLETRANSLATE(B33346,""en"",""de"")"),"Eine dritte Frau fegt den Boden.")</f>
        <v>Eine dritte Frau fegt den Boden.</v>
      </c>
    </row>
    <row r="33347">
      <c r="A33347" s="4" t="s">
        <v>41971</v>
      </c>
      <c r="B33347" s="4" t="s">
        <v>41974</v>
      </c>
      <c r="C33347" s="5" t="str">
        <f>IFERROR(__xludf.DUMMYFUNCTION("GOOGLETRANSLATE(B33347,""en"",""de"")"),"Die zweite Frau geht mit einem Handtuch unter einem Fuß herum.")</f>
        <v>Die zweite Frau geht mit einem Handtuch unter einem Fuß herum.</v>
      </c>
    </row>
    <row r="33348">
      <c r="A33348" s="4" t="s">
        <v>41971</v>
      </c>
      <c r="B33348" s="4" t="s">
        <v>41975</v>
      </c>
      <c r="C33348" s="5" t="str">
        <f>IFERROR(__xludf.DUMMYFUNCTION("GOOGLETRANSLATE(B33348,""en"",""de"")"),"Die erste Frau hört auf zu tanzen und geht mit einem Handtuch unter einem Fuß herum.")</f>
        <v>Die erste Frau hört auf zu tanzen und geht mit einem Handtuch unter einem Fuß herum.</v>
      </c>
    </row>
    <row r="33349">
      <c r="A33349" s="4" t="s">
        <v>41971</v>
      </c>
      <c r="B33349" s="4" t="s">
        <v>41976</v>
      </c>
      <c r="C33349" s="5" t="str">
        <f>IFERROR(__xludf.DUMMYFUNCTION("GOOGLETRANSLATE(B33349,""en"",""de"")"),"Die umfassende Frau stoppt, springt und Wellen, bevor er wieder aufgenommen wird.")</f>
        <v>Die umfassende Frau stoppt, springt und Wellen, bevor er wieder aufgenommen wird.</v>
      </c>
    </row>
    <row r="33350">
      <c r="A33350" s="4" t="s">
        <v>41971</v>
      </c>
      <c r="B33350" s="4" t="s">
        <v>41977</v>
      </c>
      <c r="C33350" s="5" t="str">
        <f>IFERROR(__xludf.DUMMYFUNCTION("GOOGLETRANSLATE(B33350,""en"",""de"")"),"Die erste Frau zieht Gegenstände aus einem Schrank und legt sie auf den Boden.")</f>
        <v>Die erste Frau zieht Gegenstände aus einem Schrank und legt sie auf den Boden.</v>
      </c>
    </row>
    <row r="33351">
      <c r="A33351" s="4" t="s">
        <v>41971</v>
      </c>
      <c r="B33351" s="4" t="s">
        <v>41978</v>
      </c>
      <c r="C33351" s="5" t="str">
        <f>IFERROR(__xludf.DUMMYFUNCTION("GOOGLETRANSLATE(B33351,""en"",""de"")"),"Eine vierte Person wird kurz in der Tür gezeigt.")</f>
        <v>Eine vierte Person wird kurz in der Tür gezeigt.</v>
      </c>
    </row>
    <row r="33352">
      <c r="A33352" s="4" t="s">
        <v>41979</v>
      </c>
      <c r="B33352" s="4" t="s">
        <v>41980</v>
      </c>
      <c r="C33352" s="5" t="str">
        <f>IFERROR(__xludf.DUMMYFUNCTION("GOOGLETRANSLATE(B33352,""en"",""de"")"),"Der Boden hat einen Hopscotch.")</f>
        <v>Der Boden hat einen Hopscotch.</v>
      </c>
    </row>
    <row r="33353">
      <c r="A33353" s="4" t="s">
        <v>41979</v>
      </c>
      <c r="B33353" s="4" t="s">
        <v>41981</v>
      </c>
      <c r="C33353" s="5" t="str">
        <f>IFERROR(__xludf.DUMMYFUNCTION("GOOGLETRANSLATE(B33353,""en"",""de"")"),"Jemand sitzt mit einem Schoßoberteil.")</f>
        <v>Jemand sitzt mit einem Schoßoberteil.</v>
      </c>
    </row>
    <row r="33354">
      <c r="A33354" s="4" t="s">
        <v>41979</v>
      </c>
      <c r="B33354" s="4" t="s">
        <v>41982</v>
      </c>
      <c r="C33354" s="5" t="str">
        <f>IFERROR(__xludf.DUMMYFUNCTION("GOOGLETRANSLATE(B33354,""en"",""de"")"),"Es gibt einen Mülleimer in der Ecke.")</f>
        <v>Es gibt einen Mülleimer in der Ecke.</v>
      </c>
    </row>
    <row r="33355">
      <c r="A33355" s="4" t="s">
        <v>41979</v>
      </c>
      <c r="B33355" s="4" t="s">
        <v>41983</v>
      </c>
      <c r="C33355" s="5" t="str">
        <f>IFERROR(__xludf.DUMMYFUNCTION("GOOGLETRANSLATE(B33355,""en"",""de"")"),"Ein Junge spielt Hopscotch.")</f>
        <v>Ein Junge spielt Hopscotch.</v>
      </c>
    </row>
    <row r="33356">
      <c r="A33356" s="4" t="s">
        <v>41984</v>
      </c>
      <c r="B33356" s="4" t="s">
        <v>41985</v>
      </c>
      <c r="C33356" s="5" t="str">
        <f>IFERROR(__xludf.DUMMYFUNCTION("GOOGLETRANSLATE(B33356,""en"",""de"")"),"Eine kleine Gruppe von Menschen steht auf einem Feld, als eine Dame einen Ball trifft.")</f>
        <v>Eine kleine Gruppe von Menschen steht auf einem Feld, als eine Dame einen Ball trifft.</v>
      </c>
    </row>
    <row r="33357">
      <c r="A33357" s="4" t="s">
        <v>41984</v>
      </c>
      <c r="B33357" s="4" t="s">
        <v>41986</v>
      </c>
      <c r="C33357" s="5" t="str">
        <f>IFERROR(__xludf.DUMMYFUNCTION("GOOGLETRANSLATE(B33357,""en"",""de"")"),"Die Leute spielen weiterhin Häkeln auf dem Rasen, während sie herumlaufen.")</f>
        <v>Die Leute spielen weiterhin Häkeln auf dem Rasen, während sie herumlaufen.</v>
      </c>
    </row>
    <row r="33358">
      <c r="A33358" s="4" t="s">
        <v>41987</v>
      </c>
      <c r="B33358" s="4" t="s">
        <v>41988</v>
      </c>
      <c r="C33358" s="5" t="str">
        <f>IFERROR(__xludf.DUMMYFUNCTION("GOOGLETRANSLATE(B33358,""en"",""de"")"),"Die Leute gehen vor einem weißen Zaun.")</f>
        <v>Die Leute gehen vor einem weißen Zaun.</v>
      </c>
    </row>
    <row r="33359">
      <c r="A33359" s="4" t="s">
        <v>41987</v>
      </c>
      <c r="B33359" s="4" t="s">
        <v>41989</v>
      </c>
      <c r="C33359" s="5" t="str">
        <f>IFERROR(__xludf.DUMMYFUNCTION("GOOGLETRANSLATE(B33359,""en"",""de"")"),"Hinter dem Zaun reitet ein Mann auf einem Pferd.")</f>
        <v>Hinter dem Zaun reitet ein Mann auf einem Pferd.</v>
      </c>
    </row>
    <row r="33360">
      <c r="A33360" s="4" t="s">
        <v>41987</v>
      </c>
      <c r="B33360" s="4" t="s">
        <v>41990</v>
      </c>
      <c r="C33360" s="5" t="str">
        <f>IFERROR(__xludf.DUMMYFUNCTION("GOOGLETRANSLATE(B33360,""en"",""de"")"),"Er seilt ein Kalb und wirft es auf den Boden.")</f>
        <v>Er seilt ein Kalb und wirft es auf den Boden.</v>
      </c>
    </row>
    <row r="33361">
      <c r="A33361" s="4" t="s">
        <v>41987</v>
      </c>
      <c r="B33361" s="4" t="s">
        <v>41991</v>
      </c>
      <c r="C33361" s="5" t="str">
        <f>IFERROR(__xludf.DUMMYFUNCTION("GOOGLETRANSLATE(B33361,""en"",""de"")"),"Er bindet die Beine des Kalbs und steht auf.")</f>
        <v>Er bindet die Beine des Kalbs und steht auf.</v>
      </c>
    </row>
    <row r="33362">
      <c r="A33362" s="4" t="s">
        <v>41987</v>
      </c>
      <c r="B33362" s="4" t="s">
        <v>41992</v>
      </c>
      <c r="C33362" s="5" t="str">
        <f>IFERROR(__xludf.DUMMYFUNCTION("GOOGLETRANSLATE(B33362,""en"",""de"")"),"Er steigt wieder auf sein Pferd.")</f>
        <v>Er steigt wieder auf sein Pferd.</v>
      </c>
    </row>
    <row r="33363">
      <c r="A33363" s="4" t="s">
        <v>41993</v>
      </c>
      <c r="B33363" s="4" t="s">
        <v>41994</v>
      </c>
      <c r="C33363" s="5" t="str">
        <f>IFERROR(__xludf.DUMMYFUNCTION("GOOGLETRANSLATE(B33363,""en"",""de"")"),"Eine Person spielt Tam-Tam mit drei Instrumenten.")</f>
        <v>Eine Person spielt Tam-Tam mit drei Instrumenten.</v>
      </c>
    </row>
    <row r="33364">
      <c r="A33364" s="4" t="s">
        <v>41993</v>
      </c>
      <c r="B33364" s="4" t="s">
        <v>41995</v>
      </c>
      <c r="C33364" s="5" t="str">
        <f>IFERROR(__xludf.DUMMYFUNCTION("GOOGLETRANSLATE(B33364,""en"",""de"")"),"Anderer Mann spielt mit zwei Stöcken Trommeln.")</f>
        <v>Anderer Mann spielt mit zwei Stöcken Trommeln.</v>
      </c>
    </row>
    <row r="33365">
      <c r="A33365" s="4" t="s">
        <v>41996</v>
      </c>
      <c r="B33365" s="4" t="s">
        <v>41997</v>
      </c>
      <c r="C33365" s="5" t="str">
        <f>IFERROR(__xludf.DUMMYFUNCTION("GOOGLETRANSLATE(B33365,""en"",""de"")"),"Ein karikaturgelber Charakter wird mit Bullen hinter sich läuft.")</f>
        <v>Ein karikaturgelber Charakter wird mit Bullen hinter sich läuft.</v>
      </c>
    </row>
    <row r="33366">
      <c r="A33366" s="4" t="s">
        <v>41996</v>
      </c>
      <c r="B33366" s="4" t="s">
        <v>41998</v>
      </c>
      <c r="C33366" s="5" t="str">
        <f>IFERROR(__xludf.DUMMYFUNCTION("GOOGLETRANSLATE(B33366,""en"",""de"")"),"Dann werden mehrere Sumo -Wrestler gezeigt, die eine Spur herunterlaufen.")</f>
        <v>Dann werden mehrere Sumo -Wrestler gezeigt, die eine Spur herunterlaufen.</v>
      </c>
    </row>
    <row r="33367">
      <c r="A33367" s="4" t="s">
        <v>41996</v>
      </c>
      <c r="B33367" s="4" t="s">
        <v>41999</v>
      </c>
      <c r="C33367" s="5" t="str">
        <f>IFERROR(__xludf.DUMMYFUNCTION("GOOGLETRANSLATE(B33367,""en"",""de"")"),"Eine Waffe feuert und sie rennen wieder.")</f>
        <v>Eine Waffe feuert und sie rennen wieder.</v>
      </c>
    </row>
    <row r="33368">
      <c r="A33368" s="4" t="s">
        <v>42000</v>
      </c>
      <c r="B33368" s="4" t="s">
        <v>42001</v>
      </c>
      <c r="C33368" s="5" t="str">
        <f>IFERROR(__xludf.DUMMYFUNCTION("GOOGLETRANSLATE(B33368,""en"",""de"")"),"Ein Mann kommt nach draußen und beginnt mit seiner schwarzen Schaufel den Schnee zu schaufeln und viele Menschen fahren daran vorbei, während er es tut.")</f>
        <v>Ein Mann kommt nach draußen und beginnt mit seiner schwarzen Schaufel den Schnee zu schaufeln und viele Menschen fahren daran vorbei, während er es tut.</v>
      </c>
    </row>
    <row r="33369">
      <c r="A33369" s="4" t="s">
        <v>42000</v>
      </c>
      <c r="B33369" s="4" t="s">
        <v>42002</v>
      </c>
      <c r="C33369" s="5" t="str">
        <f>IFERROR(__xludf.DUMMYFUNCTION("GOOGLETRANSLATE(B33369,""en"",""de"")"),"Am Ende zoomen die Kamera ein, um zu zeigen, was im großen Schneehaufen geschrieben ist.")</f>
        <v>Am Ende zoomen die Kamera ein, um zu zeigen, was im großen Schneehaufen geschrieben ist.</v>
      </c>
    </row>
    <row r="33370">
      <c r="A33370" s="4" t="s">
        <v>42000</v>
      </c>
      <c r="B33370" s="4" t="s">
        <v>42003</v>
      </c>
      <c r="C33370" s="5" t="str">
        <f>IFERROR(__xludf.DUMMYFUNCTION("GOOGLETRANSLATE(B33370,""en"",""de"")"),"Die Briefe erstellen diese weltbekannte Urlaubsbewegung und das ist frohe Weihnachten, einschließlich des Jahres 2013.")</f>
        <v>Die Briefe erstellen diese weltbekannte Urlaubsbewegung und das ist frohe Weihnachten, einschließlich des Jahres 2013.</v>
      </c>
    </row>
    <row r="33371">
      <c r="A33371" s="4" t="s">
        <v>42004</v>
      </c>
      <c r="B33371" s="4" t="s">
        <v>42005</v>
      </c>
      <c r="C33371" s="5" t="str">
        <f>IFERROR(__xludf.DUMMYFUNCTION("GOOGLETRANSLATE(B33371,""en"",""de"")"),"Ein Mann steigt auf sein Fahrrad.")</f>
        <v>Ein Mann steigt auf sein Fahrrad.</v>
      </c>
    </row>
    <row r="33372">
      <c r="A33372" s="4" t="s">
        <v>42004</v>
      </c>
      <c r="B33372" s="4" t="s">
        <v>42006</v>
      </c>
      <c r="C33372" s="5" t="str">
        <f>IFERROR(__xludf.DUMMYFUNCTION("GOOGLETRANSLATE(B33372,""en"",""de"")"),"Der Reifen ist flach und er fühlt es.")</f>
        <v>Der Reifen ist flach und er fühlt es.</v>
      </c>
    </row>
    <row r="33373">
      <c r="A33373" s="4" t="s">
        <v>42004</v>
      </c>
      <c r="B33373" s="4" t="s">
        <v>42007</v>
      </c>
      <c r="C33373" s="5" t="str">
        <f>IFERROR(__xludf.DUMMYFUNCTION("GOOGLETRANSLATE(B33373,""en"",""de"")"),"Er hasiert die Luftpumpe an den Reifen.")</f>
        <v>Er hasiert die Luftpumpe an den Reifen.</v>
      </c>
    </row>
    <row r="33374">
      <c r="A33374" s="4" t="s">
        <v>42004</v>
      </c>
      <c r="B33374" s="4" t="s">
        <v>42008</v>
      </c>
      <c r="C33374" s="5" t="str">
        <f>IFERROR(__xludf.DUMMYFUNCTION("GOOGLETRANSLATE(B33374,""en"",""de"")"),"Werkzeuge sitzen auf einer Mauer.")</f>
        <v>Werkzeuge sitzen auf einer Mauer.</v>
      </c>
    </row>
    <row r="33375">
      <c r="A33375" s="4" t="s">
        <v>42004</v>
      </c>
      <c r="B33375" s="4" t="s">
        <v>42009</v>
      </c>
      <c r="C33375" s="5" t="str">
        <f>IFERROR(__xludf.DUMMYFUNCTION("GOOGLETRANSLATE(B33375,""en"",""de"")"),"Er dreht das Fahrrad auf den Kopf, um den Reifen zu betrachten.")</f>
        <v>Er dreht das Fahrrad auf den Kopf, um den Reifen zu betrachten.</v>
      </c>
    </row>
    <row r="33376">
      <c r="A33376" s="4" t="s">
        <v>42004</v>
      </c>
      <c r="B33376" s="4" t="s">
        <v>42010</v>
      </c>
      <c r="C33376" s="5" t="str">
        <f>IFERROR(__xludf.DUMMYFUNCTION("GOOGLETRANSLATE(B33376,""en"",""de"")"),"Er nimmt eine Nuss vom Rad, um den Reifen auszuziehen.")</f>
        <v>Er nimmt eine Nuss vom Rad, um den Reifen auszuziehen.</v>
      </c>
    </row>
    <row r="33377">
      <c r="A33377" s="4" t="s">
        <v>42004</v>
      </c>
      <c r="B33377" s="4" t="s">
        <v>42011</v>
      </c>
      <c r="C33377" s="5" t="str">
        <f>IFERROR(__xludf.DUMMYFUNCTION("GOOGLETRANSLATE(B33377,""en"",""de"")"),"Er benutzt ein Werkzeug, um den Reifen vom Rad abzubauen.")</f>
        <v>Er benutzt ein Werkzeug, um den Reifen vom Rad abzubauen.</v>
      </c>
    </row>
    <row r="33378">
      <c r="A33378" s="4" t="s">
        <v>42004</v>
      </c>
      <c r="B33378" s="4" t="s">
        <v>42012</v>
      </c>
      <c r="C33378" s="5" t="str">
        <f>IFERROR(__xludf.DUMMYFUNCTION("GOOGLETRANSLATE(B33378,""en"",""de"")"),"Er pumpt eine Pumpe und füllt sie dann mit Wasser.")</f>
        <v>Er pumpt eine Pumpe und füllt sie dann mit Wasser.</v>
      </c>
    </row>
    <row r="33379">
      <c r="A33379" s="4" t="s">
        <v>42004</v>
      </c>
      <c r="B33379" s="4" t="s">
        <v>42013</v>
      </c>
      <c r="C33379" s="5" t="str">
        <f>IFERROR(__xludf.DUMMYFUNCTION("GOOGLETRANSLATE(B33379,""en"",""de"")"),"Er reibt Kreide auf den Reifen und legt Kleber darauf.")</f>
        <v>Er reibt Kreide auf den Reifen und legt Kleber darauf.</v>
      </c>
    </row>
    <row r="33380">
      <c r="A33380" s="4" t="s">
        <v>42004</v>
      </c>
      <c r="B33380" s="4" t="s">
        <v>42014</v>
      </c>
      <c r="C33380" s="5" t="str">
        <f>IFERROR(__xludf.DUMMYFUNCTION("GOOGLETRANSLATE(B33380,""en"",""de"")"),"Er legt den Reifen wieder auf das Lenkrad.")</f>
        <v>Er legt den Reifen wieder auf das Lenkrad.</v>
      </c>
    </row>
    <row r="33381">
      <c r="A33381" s="4" t="s">
        <v>42004</v>
      </c>
      <c r="B33381" s="4" t="s">
        <v>42015</v>
      </c>
      <c r="C33381" s="5" t="str">
        <f>IFERROR(__xludf.DUMMYFUNCTION("GOOGLETRANSLATE(B33381,""en"",""de"")"),"Er legt die Luftpumpe an und füllt sie mit Luft.")</f>
        <v>Er legt die Luftpumpe an und füllt sie mit Luft.</v>
      </c>
    </row>
    <row r="33382">
      <c r="A33382" s="4" t="s">
        <v>42004</v>
      </c>
      <c r="B33382" s="4" t="s">
        <v>42016</v>
      </c>
      <c r="C33382" s="5" t="str">
        <f>IFERROR(__xludf.DUMMYFUNCTION("GOOGLETRANSLATE(B33382,""en"",""de"")"),"Er steigt auf sein Fahrrad und fährt weg.")</f>
        <v>Er steigt auf sein Fahrrad und fährt weg.</v>
      </c>
    </row>
    <row r="33383">
      <c r="A33383" s="4" t="s">
        <v>42017</v>
      </c>
      <c r="B33383" s="4" t="s">
        <v>42018</v>
      </c>
      <c r="C33383" s="5" t="str">
        <f>IFERROR(__xludf.DUMMYFUNCTION("GOOGLETRANSLATE(B33383,""en"",""de"")"),"Eine Frau steht hinter einer Theke, die zur Kamera spricht und auf verschiedene Zutaten zeigt.")</f>
        <v>Eine Frau steht hinter einer Theke, die zur Kamera spricht und auf verschiedene Zutaten zeigt.</v>
      </c>
    </row>
    <row r="33384">
      <c r="A33384" s="4" t="s">
        <v>42017</v>
      </c>
      <c r="B33384" s="4" t="s">
        <v>42019</v>
      </c>
      <c r="C33384" s="5" t="str">
        <f>IFERROR(__xludf.DUMMYFUNCTION("GOOGLETRANSLATE(B33384,""en"",""de"")"),"Sie gießt Öl in eine heiße Pfanne und beginnt, Zutaten in der Pfanne zusammen zu mischen.")</f>
        <v>Sie gießt Öl in eine heiße Pfanne und beginnt, Zutaten in der Pfanne zusammen zu mischen.</v>
      </c>
    </row>
    <row r="33385">
      <c r="A33385" s="4" t="s">
        <v>42017</v>
      </c>
      <c r="B33385" s="4" t="s">
        <v>42020</v>
      </c>
      <c r="C33385" s="5" t="str">
        <f>IFERROR(__xludf.DUMMYFUNCTION("GOOGLETRANSLATE(B33385,""en"",""de"")"),"Sie kocht Nudeln in einen Topf und mischt ihn in der Pfanne und serviert ihn auf einen Teller.")</f>
        <v>Sie kocht Nudeln in einen Topf und mischt ihn in der Pfanne und serviert ihn auf einen Teller.</v>
      </c>
    </row>
    <row r="33386">
      <c r="A33386" s="4" t="s">
        <v>42021</v>
      </c>
      <c r="B33386" s="4" t="s">
        <v>42022</v>
      </c>
      <c r="C33386" s="5" t="str">
        <f>IFERROR(__xludf.DUMMYFUNCTION("GOOGLETRANSLATE(B33386,""en"",""de"")"),"Ein Mädchen in einem einteiligen Badeanzug beginnt auf einem Tauchbrett, das sich in einem großen Innenpool mit vielen Menschen auf der Tribüne befindet.")</f>
        <v>Ein Mädchen in einem einteiligen Badeanzug beginnt auf einem Tauchbrett, das sich in einem großen Innenpool mit vielen Menschen auf der Tribüne befindet.</v>
      </c>
    </row>
    <row r="33387">
      <c r="A33387" s="4" t="s">
        <v>42021</v>
      </c>
      <c r="B33387" s="4" t="s">
        <v>42023</v>
      </c>
      <c r="C33387" s="5" t="str">
        <f>IFERROR(__xludf.DUMMYFUNCTION("GOOGLETRANSLATE(B33387,""en"",""de"")"),"Wenn das Mädchen das Ende des Tauchbretts erreicht, springt sie und dreht und dreht sich dann in den Pool.")</f>
        <v>Wenn das Mädchen das Ende des Tauchbretts erreicht, springt sie und dreht und dreht sich dann in den Pool.</v>
      </c>
    </row>
    <row r="33388">
      <c r="A33388" s="4" t="s">
        <v>42021</v>
      </c>
      <c r="B33388" s="4" t="s">
        <v>42024</v>
      </c>
      <c r="C33388" s="5" t="str">
        <f>IFERROR(__xludf.DUMMYFUNCTION("GOOGLETRANSLATE(B33388,""en"",""de"")"),"Wenn das Mädchen das Wasser schlägt, macht sie einen kleinen Spritzer.")</f>
        <v>Wenn das Mädchen das Wasser schlägt, macht sie einen kleinen Spritzer.</v>
      </c>
    </row>
    <row r="33389">
      <c r="A33389" s="4" t="s">
        <v>42025</v>
      </c>
      <c r="B33389" s="4" t="s">
        <v>42026</v>
      </c>
      <c r="C33389" s="5" t="str">
        <f>IFERROR(__xludf.DUMMYFUNCTION("GOOGLETRANSLATE(B33389,""en"",""de"")"),"Ein Mann wird gesehen, wie ein Badezimmer aufräumt, wenn ein Spaziergang in den Rahmen geht und in einen Nachrichtenartikel führt.")</f>
        <v>Ein Mann wird gesehen, wie ein Badezimmer aufräumt, wenn ein Spaziergang in den Rahmen geht und in einen Nachrichtenartikel führt.</v>
      </c>
    </row>
    <row r="33390">
      <c r="A33390" s="4" t="s">
        <v>42025</v>
      </c>
      <c r="B33390" s="4" t="s">
        <v>42027</v>
      </c>
      <c r="C33390" s="5" t="str">
        <f>IFERROR(__xludf.DUMMYFUNCTION("GOOGLETRANSLATE(B33390,""en"",""de"")"),"Ein Bild eines Schilds wird angezeigt, gefolgt von einer Person, die ihre Hände wäscht, sowie Clips aus Fernsehsendungen.")</f>
        <v>Ein Bild eines Schilds wird angezeigt, gefolgt von einer Person, die ihre Hände wäscht, sowie Clips aus Fernsehsendungen.</v>
      </c>
    </row>
    <row r="33391">
      <c r="A33391" s="4" t="s">
        <v>42025</v>
      </c>
      <c r="B33391" s="4" t="s">
        <v>42028</v>
      </c>
      <c r="C33391" s="5" t="str">
        <f>IFERROR(__xludf.DUMMYFUNCTION("GOOGLETRANSLATE(B33391,""en"",""de"")"),"Weitere Aufnahmen sind Artikel und endet mit Menschen in einer U -Bahn.")</f>
        <v>Weitere Aufnahmen sind Artikel und endet mit Menschen in einer U -Bahn.</v>
      </c>
    </row>
    <row r="33392">
      <c r="A33392" s="4" t="s">
        <v>42029</v>
      </c>
      <c r="B33392" s="4" t="s">
        <v>42030</v>
      </c>
      <c r="C33392" s="5" t="str">
        <f>IFERROR(__xludf.DUMMYFUNCTION("GOOGLETRANSLATE(B33392,""en"",""de"")"),"Eine verschwommene Vision zeigt zwei Menschen in einem Fitnessstudio mit einem Schlag und treten die anderen Handschuhe.")</f>
        <v>Eine verschwommene Vision zeigt zwei Menschen in einem Fitnessstudio mit einem Schlag und treten die anderen Handschuhe.</v>
      </c>
    </row>
    <row r="33393">
      <c r="A33393" s="4" t="s">
        <v>42029</v>
      </c>
      <c r="B33393" s="4" t="s">
        <v>42031</v>
      </c>
      <c r="C33393" s="5" t="str">
        <f>IFERROR(__xludf.DUMMYFUNCTION("GOOGLETRANSLATE(B33393,""en"",""de"")"),"Die beiden bewegen sich weiter im Fitnessstudio und üben ihre Tritte und Schläge.")</f>
        <v>Die beiden bewegen sich weiter im Fitnessstudio und üben ihre Tritte und Schläge.</v>
      </c>
    </row>
    <row r="33394">
      <c r="A33394" s="4" t="s">
        <v>42032</v>
      </c>
      <c r="B33394" s="4" t="s">
        <v>42033</v>
      </c>
      <c r="C33394" s="5" t="str">
        <f>IFERROR(__xludf.DUMMYFUNCTION("GOOGLETRANSLATE(B33394,""en"",""de"")"),"Auf einem Parkplatz befindet sich ein schwarz -rotfarbenes Rennwagen.")</f>
        <v>Auf einem Parkplatz befindet sich ein schwarz -rotfarbenes Rennwagen.</v>
      </c>
    </row>
    <row r="33395">
      <c r="A33395" s="4" t="s">
        <v>42032</v>
      </c>
      <c r="B33395" s="4" t="s">
        <v>42034</v>
      </c>
      <c r="C33395" s="5" t="str">
        <f>IFERROR(__xludf.DUMMYFUNCTION("GOOGLETRANSLATE(B33395,""en"",""de"")"),"Ein Mann, der beige Shorts trägt, beginnt, das schwarze Rennwagen mit einem Tuch und einem Spray zu reinigen.")</f>
        <v>Ein Mann, der beige Shorts trägt, beginnt, das schwarze Rennwagen mit einem Tuch und einem Spray zu reinigen.</v>
      </c>
    </row>
    <row r="33396">
      <c r="A33396" s="4" t="s">
        <v>42032</v>
      </c>
      <c r="B33396" s="4" t="s">
        <v>42035</v>
      </c>
      <c r="C33396" s="5" t="str">
        <f>IFERROR(__xludf.DUMMYFUNCTION("GOOGLETRANSLATE(B33396,""en"",""de"")"),"Er wischt das Auto ab, um es glänzend und sauber zu machen.")</f>
        <v>Er wischt das Auto ab, um es glänzend und sauber zu machen.</v>
      </c>
    </row>
    <row r="33397">
      <c r="A33397" s="4" t="s">
        <v>42032</v>
      </c>
      <c r="B33397" s="4" t="s">
        <v>42036</v>
      </c>
      <c r="C33397" s="5" t="str">
        <f>IFERROR(__xludf.DUMMYFUNCTION("GOOGLETRANSLATE(B33397,""en"",""de"")"),"Beide Autos sind auf dem Parkplatz geparkt und sehen nach einer Autowäsche sauber und funkelnd aus.")</f>
        <v>Beide Autos sind auf dem Parkplatz geparkt und sehen nach einer Autowäsche sauber und funkelnd aus.</v>
      </c>
    </row>
    <row r="33398">
      <c r="A33398" s="4" t="s">
        <v>42032</v>
      </c>
      <c r="B33398" s="4" t="s">
        <v>42037</v>
      </c>
      <c r="C33398" s="5" t="str">
        <f>IFERROR(__xludf.DUMMYFUNCTION("GOOGLETRANSLATE(B33398,""en"",""de"")"),"Informationen zum Handjob, mobile wasserlose Autowaschanlage finden Sie auf dem Bildschirm.")</f>
        <v>Informationen zum Handjob, mobile wasserlose Autowaschanlage finden Sie auf dem Bildschirm.</v>
      </c>
    </row>
    <row r="33399">
      <c r="A33399" s="4" t="s">
        <v>42038</v>
      </c>
      <c r="B33399" s="4" t="s">
        <v>42039</v>
      </c>
      <c r="C33399" s="5" t="str">
        <f>IFERROR(__xludf.DUMMYFUNCTION("GOOGLETRANSLATE(B33399,""en"",""de"")"),"Eine kleine Gruppe von Menschen steht in einer Scheune voller Heu um ein großes Pferd.")</f>
        <v>Eine kleine Gruppe von Menschen steht in einer Scheune voller Heu um ein großes Pferd.</v>
      </c>
    </row>
    <row r="33400">
      <c r="A33400" s="4" t="s">
        <v>42038</v>
      </c>
      <c r="B33400" s="4" t="s">
        <v>42040</v>
      </c>
      <c r="C33400" s="5" t="str">
        <f>IFERROR(__xludf.DUMMYFUNCTION("GOOGLETRANSLATE(B33400,""en"",""de"")"),"Das Volk streift das Pferd entlang der Seiten, wenn eine Frau zurückkommt, um mit ihnen zu sprechen.")</f>
        <v>Das Volk streift das Pferd entlang der Seiten, wenn eine Frau zurückkommt, um mit ihnen zu sprechen.</v>
      </c>
    </row>
    <row r="33401">
      <c r="A33401" s="4" t="s">
        <v>42041</v>
      </c>
      <c r="B33401" s="4" t="s">
        <v>42042</v>
      </c>
      <c r="C33401" s="5" t="str">
        <f>IFERROR(__xludf.DUMMYFUNCTION("GOOGLETRANSLATE(B33401,""en"",""de"")"),"Ein Mann fährt mit einer Flagge im Rücken mit einem Fahrrad in Zeitlupe und führt in mehrere Clips von Menschen jeden Alters.")</f>
        <v>Ein Mann fährt mit einer Flagge im Rücken mit einem Fahrrad in Zeitlupe und führt in mehrere Clips von Menschen jeden Alters.</v>
      </c>
    </row>
    <row r="33402">
      <c r="A33402" s="4" t="s">
        <v>42041</v>
      </c>
      <c r="B33402" s="4" t="s">
        <v>42043</v>
      </c>
      <c r="C33402" s="5" t="str">
        <f>IFERROR(__xludf.DUMMYFUNCTION("GOOGLETRANSLATE(B33402,""en"",""de"")"),"Die Menschen, die weiter am Dirt Court reiten, während andere auf ihren Fahrrädern bereit sind und miteinander interagieren.")</f>
        <v>Die Menschen, die weiter am Dirt Court reiten, während andere auf ihren Fahrrädern bereit sind und miteinander interagieren.</v>
      </c>
    </row>
    <row r="33403">
      <c r="A33403" s="4" t="s">
        <v>42044</v>
      </c>
      <c r="B33403" s="4" t="s">
        <v>42045</v>
      </c>
      <c r="C33403" s="5" t="str">
        <f>IFERROR(__xludf.DUMMYFUNCTION("GOOGLETRANSLATE(B33403,""en"",""de"")"),"Auf einer Tabelle wird ein Klebstock angezeigt.")</f>
        <v>Auf einer Tabelle wird ein Klebstock angezeigt.</v>
      </c>
    </row>
    <row r="33404">
      <c r="A33404" s="4" t="s">
        <v>42044</v>
      </c>
      <c r="B33404" s="4" t="s">
        <v>42046</v>
      </c>
      <c r="C33404" s="5" t="str">
        <f>IFERROR(__xludf.DUMMYFUNCTION("GOOGLETRANSLATE(B33404,""en"",""de"")"),"Eine Schere liegt auf einem Tisch.")</f>
        <v>Eine Schere liegt auf einem Tisch.</v>
      </c>
    </row>
    <row r="33405">
      <c r="A33405" s="4" t="s">
        <v>42044</v>
      </c>
      <c r="B33405" s="4" t="s">
        <v>42047</v>
      </c>
      <c r="C33405" s="5" t="str">
        <f>IFERROR(__xludf.DUMMYFUNCTION("GOOGLETRANSLATE(B33405,""en"",""de"")"),"Eine Person steigt auf einen Computer und druckt etwas.")</f>
        <v>Eine Person steigt auf einen Computer und druckt etwas.</v>
      </c>
    </row>
    <row r="33406">
      <c r="A33406" s="4" t="s">
        <v>42044</v>
      </c>
      <c r="B33406" s="4" t="s">
        <v>42048</v>
      </c>
      <c r="C33406" s="5" t="str">
        <f>IFERROR(__xludf.DUMMYFUNCTION("GOOGLETRANSLATE(B33406,""en"",""de"")"),"Sie kleben das an ihre Tür.")</f>
        <v>Sie kleben das an ihre Tür.</v>
      </c>
    </row>
    <row r="33407">
      <c r="A33407" s="4" t="s">
        <v>42049</v>
      </c>
      <c r="B33407" s="4" t="s">
        <v>41967</v>
      </c>
      <c r="C33407" s="5" t="str">
        <f>IFERROR(__xludf.DUMMYFUNCTION("GOOGLETRANSLATE(B33407,""en"",""de"")"),"Wir sehen Leute, die Stoßfängerautos fahren.")</f>
        <v>Wir sehen Leute, die Stoßfängerautos fahren.</v>
      </c>
    </row>
    <row r="33408">
      <c r="A33408" s="4" t="s">
        <v>42049</v>
      </c>
      <c r="B33408" s="4" t="s">
        <v>42050</v>
      </c>
      <c r="C33408" s="5" t="str">
        <f>IFERROR(__xludf.DUMMYFUNCTION("GOOGLETRANSLATE(B33408,""en"",""de"")"),"Ein Mann ist mit einem kleinen Jungen im Auto.")</f>
        <v>Ein Mann ist mit einem kleinen Jungen im Auto.</v>
      </c>
    </row>
    <row r="33409">
      <c r="A33409" s="4" t="s">
        <v>42049</v>
      </c>
      <c r="B33409" s="4" t="s">
        <v>42051</v>
      </c>
      <c r="C33409" s="5" t="str">
        <f>IFERROR(__xludf.DUMMYFUNCTION("GOOGLETRANSLATE(B33409,""en"",""de"")"),"Wir sehen ein orangefarbenes Auto auf den Bildschirm, gefolgt von einem goldenen Auto.")</f>
        <v>Wir sehen ein orangefarbenes Auto auf den Bildschirm, gefolgt von einem goldenen Auto.</v>
      </c>
    </row>
    <row r="33410">
      <c r="A33410" s="4" t="s">
        <v>42052</v>
      </c>
      <c r="B33410" s="4" t="s">
        <v>42053</v>
      </c>
      <c r="C33410" s="5" t="str">
        <f>IFERROR(__xludf.DUMMYFUNCTION("GOOGLETRANSLATE(B33410,""en"",""de"")"),"Der Mensch ist in Schwingen und macht eine Art Somervault in der Luft.")</f>
        <v>Der Mensch ist in Schwingen und macht eine Art Somervault in der Luft.</v>
      </c>
    </row>
    <row r="33411">
      <c r="A33411" s="4" t="s">
        <v>42052</v>
      </c>
      <c r="B33411" s="4" t="s">
        <v>42054</v>
      </c>
      <c r="C33411" s="5" t="str">
        <f>IFERROR(__xludf.DUMMYFUNCTION("GOOGLETRANSLATE(B33411,""en"",""de"")"),"Der Mann macht den großen Sprung in die Luft und landet in einem Fahrrad und stat.")</f>
        <v>Der Mann macht den großen Sprung in die Luft und landet in einem Fahrrad und stat.</v>
      </c>
    </row>
    <row r="33412">
      <c r="A33412" s="4" t="s">
        <v>42052</v>
      </c>
      <c r="B33412" s="4" t="s">
        <v>42055</v>
      </c>
      <c r="C33412" s="5" t="str">
        <f>IFERROR(__xludf.DUMMYFUNCTION("GOOGLETRANSLATE(B33412,""en"",""de"")"),"Männer iss schwingen in einem grünen Grashof.")</f>
        <v>Männer iss schwingen in einem grünen Grashof.</v>
      </c>
    </row>
    <row r="33413">
      <c r="A33413" s="4" t="s">
        <v>42056</v>
      </c>
      <c r="B33413" s="4" t="s">
        <v>42057</v>
      </c>
      <c r="C33413" s="5" t="str">
        <f>IFERROR(__xludf.DUMMYFUNCTION("GOOGLETRANSLATE(B33413,""en"",""de"")"),"Ein Mann mit einer roten Jacke und einer grauen Hose geht in der Mitte der Berge über eine lockere Linie.")</f>
        <v>Ein Mann mit einer roten Jacke und einer grauen Hose geht in der Mitte der Berge über eine lockere Linie.</v>
      </c>
    </row>
    <row r="33414">
      <c r="A33414" s="4" t="s">
        <v>42056</v>
      </c>
      <c r="B33414" s="4" t="s">
        <v>42058</v>
      </c>
      <c r="C33414" s="5" t="str">
        <f>IFERROR(__xludf.DUMMYFUNCTION("GOOGLETRANSLATE(B33414,""en"",""de"")"),"Während er versucht, ein Seil zu engagieren, fällt er um und kann niemals aufstehen.")</f>
        <v>Während er versucht, ein Seil zu engagieren, fällt er um und kann niemals aufstehen.</v>
      </c>
    </row>
    <row r="33415">
      <c r="A33415" s="4" t="s">
        <v>42056</v>
      </c>
      <c r="B33415" s="4" t="s">
        <v>42059</v>
      </c>
      <c r="C33415" s="5" t="str">
        <f>IFERROR(__xludf.DUMMYFUNCTION("GOOGLETRANSLATE(B33415,""en"",""de"")"),"Obwohl er nicht in der Lage ist, aufzustehen, hält er sich an und beginnt auf und ab auf und ab.")</f>
        <v>Obwohl er nicht in der Lage ist, aufzustehen, hält er sich an und beginnt auf und ab auf und ab.</v>
      </c>
    </row>
    <row r="33416">
      <c r="A33416" s="4" t="s">
        <v>42060</v>
      </c>
      <c r="B33416" s="4" t="s">
        <v>42061</v>
      </c>
      <c r="C33416" s="5" t="str">
        <f>IFERROR(__xludf.DUMMYFUNCTION("GOOGLETRANSLATE(B33416,""en"",""de"")"),"Der Mensch geht in einem Garten schüttelt. Der Baum hält einen Besen und fegt die trockenen Blätter auf den Boden.")</f>
        <v>Der Mensch geht in einem Garten schüttelt. Der Baum hält einen Besen und fegt die trockenen Blätter auf den Boden.</v>
      </c>
    </row>
    <row r="33417">
      <c r="A33417" s="4" t="s">
        <v>42060</v>
      </c>
      <c r="B33417" s="4" t="s">
        <v>42062</v>
      </c>
      <c r="C33417" s="5" t="str">
        <f>IFERROR(__xludf.DUMMYFUNCTION("GOOGLETRANSLATE(B33417,""en"",""de"")"),"Der Mann enthält einen Staubpan und eine Tasche und hebt die Blätter vom Boden ab.")</f>
        <v>Der Mann enthält einen Staubpan und eine Tasche und hebt die Blätter vom Boden ab.</v>
      </c>
    </row>
    <row r="33418">
      <c r="A33418" s="4" t="s">
        <v>42063</v>
      </c>
      <c r="B33418" s="4" t="s">
        <v>42064</v>
      </c>
      <c r="C33418" s="5" t="str">
        <f>IFERROR(__xludf.DUMMYFUNCTION("GOOGLETRANSLATE(B33418,""en"",""de"")"),"Ein Mann setzt Kameras und Beleuchtung im Hintergrund für ein Video -Shooting auf.")</f>
        <v>Ein Mann setzt Kameras und Beleuchtung im Hintergrund für ein Video -Shooting auf.</v>
      </c>
    </row>
    <row r="33419">
      <c r="A33419" s="4" t="s">
        <v>42063</v>
      </c>
      <c r="B33419" s="4" t="s">
        <v>42065</v>
      </c>
      <c r="C33419" s="5" t="str">
        <f>IFERROR(__xludf.DUMMYFUNCTION("GOOGLETRANSLATE(B33419,""en"",""de"")"),"Ein Mann steht auf einer Maschine und benutzt nur seine Arme und Füße, um sich darauf zu bewegen.")</f>
        <v>Ein Mann steht auf einer Maschine und benutzt nur seine Arme und Füße, um sich darauf zu bewegen.</v>
      </c>
    </row>
    <row r="33420">
      <c r="A33420" s="4" t="s">
        <v>42063</v>
      </c>
      <c r="B33420" s="4" t="s">
        <v>42066</v>
      </c>
      <c r="C33420" s="5" t="str">
        <f>IFERROR(__xludf.DUMMYFUNCTION("GOOGLETRANSLATE(B33420,""en"",""de"")"),"Dann geht eine Frau darauf ein und nimmt den Platz des Mans und sie benutzt die Maschine.")</f>
        <v>Dann geht eine Frau darauf ein und nimmt den Platz des Mans und sie benutzt die Maschine.</v>
      </c>
    </row>
    <row r="33421">
      <c r="A33421" s="4" t="s">
        <v>42063</v>
      </c>
      <c r="B33421" s="4" t="s">
        <v>42067</v>
      </c>
      <c r="C33421" s="5" t="str">
        <f>IFERROR(__xludf.DUMMYFUNCTION("GOOGLETRANSLATE(B33421,""en"",""de"")"),"Sie erstellen eine kommerzielle Anzeige für Fernsehzuschauer.")</f>
        <v>Sie erstellen eine kommerzielle Anzeige für Fernsehzuschauer.</v>
      </c>
    </row>
    <row r="33422">
      <c r="A33422" s="4" t="s">
        <v>42068</v>
      </c>
      <c r="B33422" s="4" t="s">
        <v>42069</v>
      </c>
      <c r="C33422" s="5" t="str">
        <f>IFERROR(__xludf.DUMMYFUNCTION("GOOGLETRANSLATE(B33422,""en"",""de"")"),"Man spricht mit der Kamera in einem Nachrichtenstudio und Sart spricht mit einem Mann, der Teil einer Band ist.")</f>
        <v>Man spricht mit der Kamera in einem Nachrichtenstudio und Sart spricht mit einem Mann, der Teil einer Band ist.</v>
      </c>
    </row>
    <row r="33423">
      <c r="A33423" s="4" t="s">
        <v>42068</v>
      </c>
      <c r="B33423" s="4" t="s">
        <v>42070</v>
      </c>
      <c r="C33423" s="5" t="str">
        <f>IFERROR(__xludf.DUMMYFUNCTION("GOOGLETRANSLATE(B33423,""en"",""de"")"),"Band ist in einer Bühne, Männer spielen Schlagzeug.")</f>
        <v>Band ist in einer Bühne, Männer spielen Schlagzeug.</v>
      </c>
    </row>
    <row r="33424">
      <c r="A33424" s="4" t="s">
        <v>42068</v>
      </c>
      <c r="B33424" s="4" t="s">
        <v>42071</v>
      </c>
      <c r="C33424" s="5" t="str">
        <f>IFERROR(__xludf.DUMMYFUNCTION("GOOGLETRANSLATE(B33424,""en"",""de"")"),"Man ist wieder im Nachrichtenstudio mit der Band und dem Mann beginnt, Schlagzeug zu legen.")</f>
        <v>Man ist wieder im Nachrichtenstudio mit der Band und dem Mann beginnt, Schlagzeug zu legen.</v>
      </c>
    </row>
    <row r="33425">
      <c r="A33425" s="4" t="s">
        <v>42072</v>
      </c>
      <c r="B33425" s="4" t="s">
        <v>42073</v>
      </c>
      <c r="C33425" s="5" t="str">
        <f>IFERROR(__xludf.DUMMYFUNCTION("GOOGLETRANSLATE(B33425,""en"",""de"")"),"Wir sehen Leute in Stoßfängerautos.")</f>
        <v>Wir sehen Leute in Stoßfängerautos.</v>
      </c>
    </row>
    <row r="33426">
      <c r="A33426" s="4" t="s">
        <v>42072</v>
      </c>
      <c r="B33426" s="4" t="s">
        <v>42074</v>
      </c>
      <c r="C33426" s="5" t="str">
        <f>IFERROR(__xludf.DUMMYFUNCTION("GOOGLETRANSLATE(B33426,""en"",""de"")"),"Ein Mädchen schwenkt das Rüschenspielzeug.")</f>
        <v>Ein Mädchen schwenkt das Rüschenspielzeug.</v>
      </c>
    </row>
    <row r="33427">
      <c r="A33427" s="4" t="s">
        <v>42072</v>
      </c>
      <c r="B33427" s="4" t="s">
        <v>42075</v>
      </c>
      <c r="C33427" s="5" t="str">
        <f>IFERROR(__xludf.DUMMYFUNCTION("GOOGLETRANSLATE(B33427,""en"",""de"")"),"Ein kleiner Junge in Grey lächelt die Kamera.")</f>
        <v>Ein kleiner Junge in Grey lächelt die Kamera.</v>
      </c>
    </row>
    <row r="33428">
      <c r="A33428" s="4" t="s">
        <v>42072</v>
      </c>
      <c r="B33428" s="4" t="s">
        <v>42076</v>
      </c>
      <c r="C33428" s="5" t="str">
        <f>IFERROR(__xludf.DUMMYFUNCTION("GOOGLETRANSLATE(B33428,""en"",""de"")"),"Wir sehen einen Mann in einem roten Hut mit einem Jungen, der hart lacht.")</f>
        <v>Wir sehen einen Mann in einem roten Hut mit einem Jungen, der hart lacht.</v>
      </c>
    </row>
    <row r="33429">
      <c r="A33429" s="4" t="s">
        <v>42072</v>
      </c>
      <c r="B33429" s="4" t="s">
        <v>42077</v>
      </c>
      <c r="C33429" s="5" t="str">
        <f>IFERROR(__xludf.DUMMYFUNCTION("GOOGLETRANSLATE(B33429,""en"",""de"")"),"Wir sehen einen Stau rechts.")</f>
        <v>Wir sehen einen Stau rechts.</v>
      </c>
    </row>
    <row r="33430">
      <c r="A33430" s="4" t="s">
        <v>42072</v>
      </c>
      <c r="B33430" s="4" t="s">
        <v>42078</v>
      </c>
      <c r="C33430" s="5" t="str">
        <f>IFERROR(__xludf.DUMMYFUNCTION("GOOGLETRANSLATE(B33430,""en"",""de"")"),"Wir zoomen eine Dame in einem weißen Hemd.")</f>
        <v>Wir zoomen eine Dame in einem weißen Hemd.</v>
      </c>
    </row>
    <row r="33431">
      <c r="A33431" s="4" t="s">
        <v>42072</v>
      </c>
      <c r="B33431" s="4" t="s">
        <v>42079</v>
      </c>
      <c r="C33431" s="5" t="str">
        <f>IFERROR(__xludf.DUMMYFUNCTION("GOOGLETRANSLATE(B33431,""en"",""de"")"),"Die Dame in Weiß lächelt in der Kamera.")</f>
        <v>Die Dame in Weiß lächelt in der Kamera.</v>
      </c>
    </row>
    <row r="33432">
      <c r="A33432" s="4" t="s">
        <v>42072</v>
      </c>
      <c r="B33432" s="4" t="s">
        <v>42080</v>
      </c>
      <c r="C33432" s="5" t="str">
        <f>IFERROR(__xludf.DUMMYFUNCTION("GOOGLETRANSLATE(B33432,""en"",""de"")"),"Die Fahrt endet und die Leute stehen alle auf.")</f>
        <v>Die Fahrt endet und die Leute stehen alle auf.</v>
      </c>
    </row>
    <row r="33433">
      <c r="A33433" s="4" t="s">
        <v>42081</v>
      </c>
      <c r="B33433" s="4" t="s">
        <v>42082</v>
      </c>
      <c r="C33433" s="5" t="str">
        <f>IFERROR(__xludf.DUMMYFUNCTION("GOOGLETRANSLATE(B33433,""en"",""de"")"),"Ein Mann in einer sportlichen Uniform schwingt einen Ball und eine Schnur herum.")</f>
        <v>Ein Mann in einer sportlichen Uniform schwingt einen Ball und eine Schnur herum.</v>
      </c>
    </row>
    <row r="33434">
      <c r="A33434" s="4" t="s">
        <v>42081</v>
      </c>
      <c r="B33434" s="4" t="s">
        <v>42083</v>
      </c>
      <c r="C33434" s="5" t="str">
        <f>IFERROR(__xludf.DUMMYFUNCTION("GOOGLETRANSLATE(B33434,""en"",""de"")"),"Er lässt los und der Ball trifft den Bildschirm, als er zu Boden fällt.")</f>
        <v>Er lässt los und der Ball trifft den Bildschirm, als er zu Boden fällt.</v>
      </c>
    </row>
    <row r="33435">
      <c r="A33435" s="4" t="s">
        <v>42081</v>
      </c>
      <c r="B33435" s="4" t="s">
        <v>42084</v>
      </c>
      <c r="C33435" s="5" t="str">
        <f>IFERROR(__xludf.DUMMYFUNCTION("GOOGLETRANSLATE(B33435,""en"",""de"")"),"Das Video wird mit verschiedenen Geschwindigkeiten wiedergegeben.")</f>
        <v>Das Video wird mit verschiedenen Geschwindigkeiten wiedergegeben.</v>
      </c>
    </row>
    <row r="33436">
      <c r="A33436" s="4" t="s">
        <v>42085</v>
      </c>
      <c r="B33436" s="4" t="s">
        <v>42086</v>
      </c>
      <c r="C33436" s="5" t="str">
        <f>IFERROR(__xludf.DUMMYFUNCTION("GOOGLETRANSLATE(B33436,""en"",""de"")"),"Ein kleines Kind sitzt auf einem Schaukel, wenn ein älterer Mann hinter sich tritt und drückt.")</f>
        <v>Ein kleines Kind sitzt auf einem Schaukel, wenn ein älterer Mann hinter sich tritt und drückt.</v>
      </c>
    </row>
    <row r="33437">
      <c r="A33437" s="4" t="s">
        <v>42085</v>
      </c>
      <c r="B33437" s="4" t="s">
        <v>42087</v>
      </c>
      <c r="C33437" s="5" t="str">
        <f>IFERROR(__xludf.DUMMYFUNCTION("GOOGLETRANSLATE(B33437,""en"",""de"")"),"Der Junge bewegt sich zurück und viertens auf der Schaukel und führt dazu, dass der Junge abspringt und der Mann überrascht aussieht.")</f>
        <v>Der Junge bewegt sich zurück und viertens auf der Schaukel und führt dazu, dass der Junge abspringt und der Mann überrascht aussieht.</v>
      </c>
    </row>
    <row r="33438">
      <c r="A33438" s="4" t="s">
        <v>42088</v>
      </c>
      <c r="B33438" s="4" t="s">
        <v>42089</v>
      </c>
      <c r="C33438" s="5" t="str">
        <f>IFERROR(__xludf.DUMMYFUNCTION("GOOGLETRANSLATE(B33438,""en"",""de"")"),"Wir sehen einen Mann und die Intro -Szene.")</f>
        <v>Wir sehen einen Mann und die Intro -Szene.</v>
      </c>
    </row>
    <row r="33439">
      <c r="A33439" s="4" t="s">
        <v>42088</v>
      </c>
      <c r="B33439" s="4" t="s">
        <v>42090</v>
      </c>
      <c r="C33439" s="5" t="str">
        <f>IFERROR(__xludf.DUMMYFUNCTION("GOOGLETRANSLATE(B33439,""en"",""de"")"),"Ein Mann in einer Küche hat Messer und einen Schärfenblock.")</f>
        <v>Ein Mann in einer Küche hat Messer und einen Schärfenblock.</v>
      </c>
    </row>
    <row r="33440">
      <c r="A33440" s="4" t="s">
        <v>42088</v>
      </c>
      <c r="B33440" s="4" t="s">
        <v>42091</v>
      </c>
      <c r="C33440" s="5" t="str">
        <f>IFERROR(__xludf.DUMMYFUNCTION("GOOGLETRANSLATE(B33440,""en"",""de"")"),"Der Mann benimmt den Block und führt ein Messer über zwei verschiedene Blöcke.")</f>
        <v>Der Mann benimmt den Block und führt ein Messer über zwei verschiedene Blöcke.</v>
      </c>
    </row>
    <row r="33441">
      <c r="A33441" s="4" t="s">
        <v>42088</v>
      </c>
      <c r="B33441" s="4" t="s">
        <v>42092</v>
      </c>
      <c r="C33441" s="5" t="str">
        <f>IFERROR(__xludf.DUMMYFUNCTION("GOOGLETRANSLATE(B33441,""en"",""de"")"),"Der Mann schnappt sich eine Stange und schärft das Messer darauf.")</f>
        <v>Der Mann schnappt sich eine Stange und schärft das Messer darauf.</v>
      </c>
    </row>
    <row r="33442">
      <c r="A33442" s="4" t="s">
        <v>42088</v>
      </c>
      <c r="B33442" s="4" t="s">
        <v>42093</v>
      </c>
      <c r="C33442" s="5" t="str">
        <f>IFERROR(__xludf.DUMMYFUNCTION("GOOGLETRANSLATE(B33442,""en"",""de"")"),"Der Mann wischt das Messer auf einem Handtuch ab.")</f>
        <v>Der Mann wischt das Messer auf einem Handtuch ab.</v>
      </c>
    </row>
    <row r="33443">
      <c r="A33443" s="4" t="s">
        <v>42088</v>
      </c>
      <c r="B33443" s="4" t="s">
        <v>42094</v>
      </c>
      <c r="C33443" s="5" t="str">
        <f>IFERROR(__xludf.DUMMYFUNCTION("GOOGLETRANSLATE(B33443,""en"",""de"")"),"Der Mann schnappt sich und entfernt eine Zitrone.")</f>
        <v>Der Mann schnappt sich und entfernt eine Zitrone.</v>
      </c>
    </row>
    <row r="33444">
      <c r="A33444" s="4" t="s">
        <v>42088</v>
      </c>
      <c r="B33444" s="4" t="s">
        <v>42095</v>
      </c>
      <c r="C33444" s="5" t="str">
        <f>IFERROR(__xludf.DUMMYFUNCTION("GOOGLETRANSLATE(B33444,""en"",""de"")"),"Der Mann zeigt uns einen verkehrten Topf.")</f>
        <v>Der Mann zeigt uns einen verkehrten Topf.</v>
      </c>
    </row>
    <row r="33445">
      <c r="A33445" s="4" t="s">
        <v>42096</v>
      </c>
      <c r="B33445" s="4" t="s">
        <v>42097</v>
      </c>
      <c r="C33445" s="5" t="str">
        <f>IFERROR(__xludf.DUMMYFUNCTION("GOOGLETRANSLATE(B33445,""en"",""de"")"),"Das Cheerleading -Team kommt für eine Aufführung heraus.")</f>
        <v>Das Cheerleading -Team kommt für eine Aufführung heraus.</v>
      </c>
    </row>
    <row r="33446">
      <c r="A33446" s="4" t="s">
        <v>42096</v>
      </c>
      <c r="B33446" s="4" t="s">
        <v>42098</v>
      </c>
      <c r="C33446" s="5" t="str">
        <f>IFERROR(__xludf.DUMMYFUNCTION("GOOGLETRANSLATE(B33446,""en"",""de"")"),"Ein Mädchen versucht mehrere Flips und steckt die Landung.")</f>
        <v>Ein Mädchen versucht mehrere Flips und steckt die Landung.</v>
      </c>
    </row>
    <row r="33447">
      <c r="A33447" s="4" t="s">
        <v>42096</v>
      </c>
      <c r="B33447" s="4" t="s">
        <v>42099</v>
      </c>
      <c r="C33447" s="5" t="str">
        <f>IFERROR(__xludf.DUMMYFUNCTION("GOOGLETRANSLATE(B33447,""en"",""de"")"),"Ein anderes Mädchen folgt dem Beispiel, als das Team im Hintergrund hart arbeitet.")</f>
        <v>Ein anderes Mädchen folgt dem Beispiel, als das Team im Hintergrund hart arbeitet.</v>
      </c>
    </row>
    <row r="33448">
      <c r="A33448" s="4" t="s">
        <v>42096</v>
      </c>
      <c r="B33448" s="4" t="s">
        <v>42100</v>
      </c>
      <c r="C33448" s="5" t="str">
        <f>IFERROR(__xludf.DUMMYFUNCTION("GOOGLETRANSLATE(B33448,""en"",""de"")"),"Das Team zeigt als nächstes einige Tanzbewegungen und die Menge jubelt.")</f>
        <v>Das Team zeigt als nächstes einige Tanzbewegungen und die Menge jubelt.</v>
      </c>
    </row>
    <row r="33449">
      <c r="A33449" s="4" t="s">
        <v>42096</v>
      </c>
      <c r="B33449" s="4" t="s">
        <v>42101</v>
      </c>
      <c r="C33449" s="5" t="str">
        <f>IFERROR(__xludf.DUMMYFUNCTION("GOOGLETRANSLATE(B33449,""en"",""de"")"),"Nach einigen weiteren Teamgipfel posiert und feiert das Team, wenn die Routine endet.")</f>
        <v>Nach einigen weiteren Teamgipfel posiert und feiert das Team, wenn die Routine endet.</v>
      </c>
    </row>
    <row r="33450">
      <c r="A33450" s="4" t="s">
        <v>42096</v>
      </c>
      <c r="B33450" s="4" t="s">
        <v>42102</v>
      </c>
      <c r="C33450" s="5" t="str">
        <f>IFERROR(__xludf.DUMMYFUNCTION("GOOGLETRANSLATE(B33450,""en"",""de"")"),"Mehrere Mitglieder umarmen und reden.")</f>
        <v>Mehrere Mitglieder umarmen und reden.</v>
      </c>
    </row>
    <row r="33451">
      <c r="A33451" s="4" t="s">
        <v>42096</v>
      </c>
      <c r="B33451" s="4" t="s">
        <v>42103</v>
      </c>
      <c r="C33451" s="5" t="str">
        <f>IFERROR(__xludf.DUMMYFUNCTION("GOOGLETRANSLATE(B33451,""en"",""de"")"),"Die Richter reichen ihre Punktzahlen ein und das Team antizipiert die Ergebnisse.")</f>
        <v>Die Richter reichen ihre Punktzahlen ein und das Team antizipiert die Ergebnisse.</v>
      </c>
    </row>
    <row r="33452">
      <c r="A33452" s="4" t="s">
        <v>42096</v>
      </c>
      <c r="B33452" s="4" t="s">
        <v>42104</v>
      </c>
      <c r="C33452" s="5" t="str">
        <f>IFERROR(__xludf.DUMMYFUNCTION("GOOGLETRANSLATE(B33452,""en"",""de"")"),"Das Team wird zur Gewinner des Wettbewerbs gekrönt.")</f>
        <v>Das Team wird zur Gewinner des Wettbewerbs gekrönt.</v>
      </c>
    </row>
    <row r="33453">
      <c r="A33453" s="4" t="s">
        <v>42105</v>
      </c>
      <c r="B33453" s="4" t="s">
        <v>42106</v>
      </c>
      <c r="C33453" s="5" t="str">
        <f>IFERROR(__xludf.DUMMYFUNCTION("GOOGLETRANSLATE(B33453,""en"",""de"")"),"Einige Frauen schwimmen in einem Pool.")</f>
        <v>Einige Frauen schwimmen in einem Pool.</v>
      </c>
    </row>
    <row r="33454">
      <c r="A33454" s="4" t="s">
        <v>42105</v>
      </c>
      <c r="B33454" s="4" t="s">
        <v>42107</v>
      </c>
      <c r="C33454" s="5" t="str">
        <f>IFERROR(__xludf.DUMMYFUNCTION("GOOGLETRANSLATE(B33454,""en"",""de"")"),"Sie haben Babys in ihren Armen, während sie schwimmen.")</f>
        <v>Sie haben Babys in ihren Armen, während sie schwimmen.</v>
      </c>
    </row>
    <row r="33455">
      <c r="A33455" s="4" t="s">
        <v>42105</v>
      </c>
      <c r="B33455" s="4" t="s">
        <v>42108</v>
      </c>
      <c r="C33455" s="5" t="str">
        <f>IFERROR(__xludf.DUMMYFUNCTION("GOOGLETRANSLATE(B33455,""en"",""de"")"),"Sie lehren den Babys, unter Wasser zu gehen und den Atem anzuhalten.")</f>
        <v>Sie lehren den Babys, unter Wasser zu gehen und den Atem anzuhalten.</v>
      </c>
    </row>
    <row r="33456">
      <c r="A33456" s="4" t="s">
        <v>42109</v>
      </c>
      <c r="B33456" s="4" t="s">
        <v>42110</v>
      </c>
      <c r="C33456" s="5" t="str">
        <f>IFERROR(__xludf.DUMMYFUNCTION("GOOGLETRANSLATE(B33456,""en"",""de"")"),"Zwei sehr große Männer in Smoking tanzen außerhalb eines Geschäfts.")</f>
        <v>Zwei sehr große Männer in Smoking tanzen außerhalb eines Geschäfts.</v>
      </c>
    </row>
    <row r="33457">
      <c r="A33457" s="4" t="s">
        <v>42109</v>
      </c>
      <c r="B33457" s="4" t="s">
        <v>42111</v>
      </c>
      <c r="C33457" s="5" t="str">
        <f>IFERROR(__xludf.DUMMYFUNCTION("GOOGLETRANSLATE(B33457,""en"",""de"")"),"Die Leute stehen zurück und beobachten, wie sie ihren Tanz machen.")</f>
        <v>Die Leute stehen zurück und beobachten, wie sie ihren Tanz machen.</v>
      </c>
    </row>
    <row r="33458">
      <c r="A33458" s="4" t="s">
        <v>42109</v>
      </c>
      <c r="B33458" s="4" t="s">
        <v>42112</v>
      </c>
      <c r="C33458" s="5" t="str">
        <f>IFERROR(__xludf.DUMMYFUNCTION("GOOGLETRANSLATE(B33458,""en"",""de"")"),"Einer der Männer legt seinen Fuß aus, während der andere ihn in Kreisen dreht.")</f>
        <v>Einer der Männer legt seinen Fuß aus, während der andere ihn in Kreisen dreht.</v>
      </c>
    </row>
    <row r="33459">
      <c r="A33459" s="4" t="s">
        <v>42109</v>
      </c>
      <c r="B33459" s="4" t="s">
        <v>42113</v>
      </c>
      <c r="C33459" s="5" t="str">
        <f>IFERROR(__xludf.DUMMYFUNCTION("GOOGLETRANSLATE(B33459,""en"",""de"")"),"Wenn der Tanz endlich über beide Männer ist, schütteln Sie die Hand und winken der Menge.")</f>
        <v>Wenn der Tanz endlich über beide Männer ist, schütteln Sie die Hand und winken der Menge.</v>
      </c>
    </row>
    <row r="33460">
      <c r="A33460" s="4" t="s">
        <v>42114</v>
      </c>
      <c r="B33460" s="4" t="s">
        <v>42115</v>
      </c>
      <c r="C33460" s="5" t="str">
        <f>IFERROR(__xludf.DUMMYFUNCTION("GOOGLETRANSLATE(B33460,""en"",""de"")"),"Ein Mann wird gesehen, wie er sich in Zeitlupe bewegt.")</f>
        <v>Ein Mann wird gesehen, wie er sich in Zeitlupe bewegt.</v>
      </c>
    </row>
    <row r="33461">
      <c r="A33461" s="4" t="s">
        <v>42114</v>
      </c>
      <c r="B33461" s="4" t="s">
        <v>42116</v>
      </c>
      <c r="C33461" s="5" t="str">
        <f>IFERROR(__xludf.DUMMYFUNCTION("GOOGLETRANSLATE(B33461,""en"",""de"")"),"Der Mann führt weiterhin mehrere Tricks über den Boden durch und endet mit einer Titelsequenz über dem Bildschirm.")</f>
        <v>Der Mann führt weiterhin mehrere Tricks über den Boden durch und endet mit einer Titelsequenz über dem Bildschirm.</v>
      </c>
    </row>
    <row r="33462">
      <c r="A33462" s="4" t="s">
        <v>42117</v>
      </c>
      <c r="B33462" s="4" t="s">
        <v>42118</v>
      </c>
      <c r="C33462" s="5" t="str">
        <f>IFERROR(__xludf.DUMMYFUNCTION("GOOGLETRANSLATE(B33462,""en"",""de"")"),"Zwei Menschen sitzen hinter einer Theke sitzen, wenn man sich zurück und Viertens bewegt und sich selbst vorbereitet.")</f>
        <v>Zwei Menschen sitzen hinter einer Theke sitzen, wenn man sich zurück und Viertens bewegt und sich selbst vorbereitet.</v>
      </c>
    </row>
    <row r="33463">
      <c r="A33463" s="4" t="s">
        <v>42117</v>
      </c>
      <c r="B33463" s="4" t="s">
        <v>42119</v>
      </c>
      <c r="C33463" s="5" t="str">
        <f>IFERROR(__xludf.DUMMYFUNCTION("GOOGLETRANSLATE(B33463,""en"",""de"")"),"Der Mann löst dann einen Rubix -Würfel, während ein Timer geht und er legt eine Augenbinde über seine Augen und eine Person setzt Papier vor.")</f>
        <v>Der Mann löst dann einen Rubix -Würfel, während ein Timer geht und er legt eine Augenbinde über seine Augen und eine Person setzt Papier vor.</v>
      </c>
    </row>
    <row r="33464">
      <c r="A33464" s="4" t="s">
        <v>42117</v>
      </c>
      <c r="B33464" s="4" t="s">
        <v>42120</v>
      </c>
      <c r="C33464" s="5" t="str">
        <f>IFERROR(__xludf.DUMMYFUNCTION("GOOGLETRANSLATE(B33464,""en"",""de"")"),"Er löst das Sube und schlägt dann seine Hände auf den Tisch.")</f>
        <v>Er löst das Sube und schlägt dann seine Hände auf den Tisch.</v>
      </c>
    </row>
    <row r="33465">
      <c r="A33465" s="4" t="s">
        <v>42121</v>
      </c>
      <c r="B33465" s="4" t="s">
        <v>42122</v>
      </c>
      <c r="C33465" s="5" t="str">
        <f>IFERROR(__xludf.DUMMYFUNCTION("GOOGLETRANSLATE(B33465,""en"",""de"")"),"Dies ist ein Tutorial zum Beginn eines Lagerfeueres.")</f>
        <v>Dies ist ein Tutorial zum Beginn eines Lagerfeueres.</v>
      </c>
    </row>
    <row r="33466">
      <c r="A33466" s="4" t="s">
        <v>42121</v>
      </c>
      <c r="B33466" s="4" t="s">
        <v>42123</v>
      </c>
      <c r="C33466" s="5" t="str">
        <f>IFERROR(__xludf.DUMMYFUNCTION("GOOGLETRANSLATE(B33466,""en"",""de"")"),"Es zeigt das Lagerfeuer, das auf dem Boden brennt.")</f>
        <v>Es zeigt das Lagerfeuer, das auf dem Boden brennt.</v>
      </c>
    </row>
    <row r="33467">
      <c r="A33467" s="4" t="s">
        <v>42121</v>
      </c>
      <c r="B33467" s="4" t="s">
        <v>42124</v>
      </c>
      <c r="C33467" s="5" t="str">
        <f>IFERROR(__xludf.DUMMYFUNCTION("GOOGLETRANSLATE(B33467,""en"",""de"")"),"Es beginnt mit den Dingen, mit denen Sie beginnen müssen.")</f>
        <v>Es beginnt mit den Dingen, mit denen Sie beginnen müssen.</v>
      </c>
    </row>
    <row r="33468">
      <c r="A33468" s="4" t="s">
        <v>42121</v>
      </c>
      <c r="B33468" s="4" t="s">
        <v>42125</v>
      </c>
      <c r="C33468" s="5" t="str">
        <f>IFERROR(__xludf.DUMMYFUNCTION("GOOGLETRANSLATE(B33468,""en"",""de"")"),"Ein ausgewiesener Ort und einige Steine, die in einem Kreis angeordnet sind, um eine Grube zu schaffen.")</f>
        <v>Ein ausgewiesener Ort und einige Steine, die in einem Kreis angeordnet sind, um eine Grube zu schaffen.</v>
      </c>
    </row>
    <row r="33469">
      <c r="A33469" s="4" t="s">
        <v>42121</v>
      </c>
      <c r="B33469" s="4" t="s">
        <v>42126</v>
      </c>
      <c r="C33469" s="5" t="str">
        <f>IFERROR(__xludf.DUMMYFUNCTION("GOOGLETRANSLATE(B33469,""en"",""de"")"),"Einige zerknitterte Zeitungen und ein Feuerzeug zusammen mit einem Eimer Wasser.")</f>
        <v>Einige zerknitterte Zeitungen und ein Feuerzeug zusammen mit einem Eimer Wasser.</v>
      </c>
    </row>
    <row r="33470">
      <c r="A33470" s="4" t="s">
        <v>42121</v>
      </c>
      <c r="B33470" s="4" t="s">
        <v>42127</v>
      </c>
      <c r="C33470" s="5" t="str">
        <f>IFERROR(__xludf.DUMMYFUNCTION("GOOGLETRANSLATE(B33470,""en"",""de"")"),"Ein Mann zeigt, wie man die Zeitung und Zweige darauf platziert.")</f>
        <v>Ein Mann zeigt, wie man die Zeitung und Zweige darauf platziert.</v>
      </c>
    </row>
    <row r="33471">
      <c r="A33471" s="4" t="s">
        <v>42121</v>
      </c>
      <c r="B33471" s="4" t="s">
        <v>42128</v>
      </c>
      <c r="C33471" s="5" t="str">
        <f>IFERROR(__xludf.DUMMYFUNCTION("GOOGLETRANSLATE(B33471,""en"",""de"")"),"Dann erstellt er eine pyramidenförmige Struktur.")</f>
        <v>Dann erstellt er eine pyramidenförmige Struktur.</v>
      </c>
    </row>
    <row r="33472">
      <c r="A33472" s="4" t="s">
        <v>42121</v>
      </c>
      <c r="B33472" s="4" t="s">
        <v>42129</v>
      </c>
      <c r="C33472" s="5" t="str">
        <f>IFERROR(__xludf.DUMMYFUNCTION("GOOGLETRANSLATE(B33472,""en"",""de"")"),"Er nimmt sein Feuerzeug und beleuchtet die Zeitung an mehreren Stellen, um das Feuer zu beginnen.")</f>
        <v>Er nimmt sein Feuerzeug und beleuchtet die Zeitung an mehreren Stellen, um das Feuer zu beginnen.</v>
      </c>
    </row>
    <row r="33473">
      <c r="A33473" s="4" t="s">
        <v>42121</v>
      </c>
      <c r="B33473" s="4" t="s">
        <v>42130</v>
      </c>
      <c r="C33473" s="5" t="str">
        <f>IFERROR(__xludf.DUMMYFUNCTION("GOOGLETRANSLATE(B33473,""en"",""de"")"),"Das Lagerfeuer brennt und brennt weiter.")</f>
        <v>Das Lagerfeuer brennt und brennt weiter.</v>
      </c>
    </row>
    <row r="33474">
      <c r="A33474" s="4" t="s">
        <v>42121</v>
      </c>
      <c r="B33474" s="4" t="s">
        <v>42131</v>
      </c>
      <c r="C33474" s="5" t="str">
        <f>IFERROR(__xludf.DUMMYFUNCTION("GOOGLETRANSLATE(B33474,""en"",""de"")"),"Er fügt ein paar weitere Zweige hinzu, um die Flammen brennen zu lassen.")</f>
        <v>Er fügt ein paar weitere Zweige hinzu, um die Flammen brennen zu lassen.</v>
      </c>
    </row>
    <row r="33475">
      <c r="A33475" s="4" t="s">
        <v>42132</v>
      </c>
      <c r="B33475" s="4" t="s">
        <v>42133</v>
      </c>
      <c r="C33475" s="5" t="str">
        <f>IFERROR(__xludf.DUMMYFUNCTION("GOOGLETRANSLATE(B33475,""en"",""de"")"),"Zunächst werden die Leute alle gezeigt, die in ihren Autos in einer langen Linie sitzen.")</f>
        <v>Zunächst werden die Leute alle gezeigt, die in ihren Autos in einer langen Linie sitzen.</v>
      </c>
    </row>
    <row r="33476">
      <c r="A33476" s="4" t="s">
        <v>42132</v>
      </c>
      <c r="B33476" s="4" t="s">
        <v>42134</v>
      </c>
      <c r="C33476" s="5" t="str">
        <f>IFERROR(__xludf.DUMMYFUNCTION("GOOGLETRANSLATE(B33476,""en"",""de"")"),"Dann werden die Autos angetrieben und können gefahren werden.")</f>
        <v>Dann werden die Autos angetrieben und können gefahren werden.</v>
      </c>
    </row>
    <row r="33477">
      <c r="A33477" s="4" t="s">
        <v>42132</v>
      </c>
      <c r="B33477" s="4" t="s">
        <v>42135</v>
      </c>
      <c r="C33477" s="5" t="str">
        <f>IFERROR(__xludf.DUMMYFUNCTION("GOOGLETRANSLATE(B33477,""en"",""de"")"),"Nachdem die Leute mit dem Fahren fertig sind, steigen sie alle aus den Autos.")</f>
        <v>Nachdem die Leute mit dem Fahren fertig sind, steigen sie alle aus den Autos.</v>
      </c>
    </row>
    <row r="33478">
      <c r="A33478" s="4" t="s">
        <v>42136</v>
      </c>
      <c r="B33478" s="4" t="s">
        <v>42137</v>
      </c>
      <c r="C33478" s="5" t="str">
        <f>IFERROR(__xludf.DUMMYFUNCTION("GOOGLETRANSLATE(B33478,""en"",""de"")"),"Ein älterer Mann mit einem langen Pferdeschwanz und einer Brille kniet in der Nähe eines Fahrrads.")</f>
        <v>Ein älterer Mann mit einem langen Pferdeschwanz und einer Brille kniet in der Nähe eines Fahrrads.</v>
      </c>
    </row>
    <row r="33479">
      <c r="A33479" s="4" t="s">
        <v>42136</v>
      </c>
      <c r="B33479" s="4" t="s">
        <v>42138</v>
      </c>
      <c r="C33479" s="5" t="str">
        <f>IFERROR(__xludf.DUMMYFUNCTION("GOOGLETRANSLATE(B33479,""en"",""de"")"),"Der Mann hat eine blaue Zange in der Hand und beginnt, die Kette auf dem Fahrrad zu reparieren.")</f>
        <v>Der Mann hat eine blaue Zange in der Hand und beginnt, die Kette auf dem Fahrrad zu reparieren.</v>
      </c>
    </row>
    <row r="33480">
      <c r="A33480" s="4" t="s">
        <v>42136</v>
      </c>
      <c r="B33480" s="4" t="s">
        <v>42139</v>
      </c>
      <c r="C33480" s="5" t="str">
        <f>IFERROR(__xludf.DUMMYFUNCTION("GOOGLETRANSLATE(B33480,""en"",""de"")"),"Sobald die Kette eingeschaltet ist, beginnt er das Pedal zu bewegen und zeigt, wie die Kette funktioniert.")</f>
        <v>Sobald die Kette eingeschaltet ist, beginnt er das Pedal zu bewegen und zeigt, wie die Kette funktioniert.</v>
      </c>
    </row>
    <row r="33481">
      <c r="A33481" s="4" t="s">
        <v>42136</v>
      </c>
      <c r="B33481" s="4" t="s">
        <v>42140</v>
      </c>
      <c r="C33481" s="5" t="str">
        <f>IFERROR(__xludf.DUMMYFUNCTION("GOOGLETRANSLATE(B33481,""en"",""de"")"),"Nach einer Weile stoppt er die Kette und nimmt mit dem Fahrrad zwei Glieder aus der Kette.")</f>
        <v>Nach einer Weile stoppt er die Kette und nimmt mit dem Fahrrad zwei Glieder aus der Kette.</v>
      </c>
    </row>
    <row r="33482">
      <c r="A33482" s="4" t="s">
        <v>42136</v>
      </c>
      <c r="B33482" s="4" t="s">
        <v>42141</v>
      </c>
      <c r="C33482" s="5" t="str">
        <f>IFERROR(__xludf.DUMMYFUNCTION("GOOGLETRANSLATE(B33482,""en"",""de"")"),"Als die Kette anfängt, sich zu hängen, stellt der Mann sie wieder an den richtigen Ort und beginnt das Rückrad zu drehen und zu sprechen, wenn er fertig ist.")</f>
        <v>Als die Kette anfängt, sich zu hängen, stellt der Mann sie wieder an den richtigen Ort und beginnt das Rückrad zu drehen und zu sprechen, wenn er fertig ist.</v>
      </c>
    </row>
    <row r="33483">
      <c r="A33483" s="4" t="s">
        <v>42142</v>
      </c>
      <c r="B33483" s="4" t="s">
        <v>42143</v>
      </c>
      <c r="C33483" s="5" t="str">
        <f>IFERROR(__xludf.DUMMYFUNCTION("GOOGLETRANSLATE(B33483,""en"",""de"")"),"Das Video führt zu mehreren Schüssen von Menschen, die beeindruckende Schüsse von Bällen in Tassen landen.")</f>
        <v>Das Video führt zu mehreren Schüssen von Menschen, die beeindruckende Schüsse von Bällen in Tassen landen.</v>
      </c>
    </row>
    <row r="33484">
      <c r="A33484" s="4" t="s">
        <v>42142</v>
      </c>
      <c r="B33484" s="4" t="s">
        <v>42144</v>
      </c>
      <c r="C33484" s="5" t="str">
        <f>IFERROR(__xludf.DUMMYFUNCTION("GOOGLETRANSLATE(B33484,""en"",""de"")"),"Mehrere Personen werfen Bälle in eine Tasse und die Kamera, die eine Nahaufnahme zeigt.")</f>
        <v>Mehrere Personen werfen Bälle in eine Tasse und die Kamera, die eine Nahaufnahme zeigt.</v>
      </c>
    </row>
    <row r="33485">
      <c r="A33485" s="4" t="s">
        <v>42145</v>
      </c>
      <c r="B33485" s="4" t="s">
        <v>42146</v>
      </c>
      <c r="C33485" s="5" t="str">
        <f>IFERROR(__xludf.DUMMYFUNCTION("GOOGLETRANSLATE(B33485,""en"",""de"")"),"Junge Jungen spricht mit der Kamera vor Drum Set in einem Studio.")</f>
        <v>Junge Jungen spricht mit der Kamera vor Drum Set in einem Studio.</v>
      </c>
    </row>
    <row r="33486">
      <c r="A33486" s="4" t="s">
        <v>42145</v>
      </c>
      <c r="B33486" s="4" t="s">
        <v>42147</v>
      </c>
      <c r="C33486" s="5" t="str">
        <f>IFERROR(__xludf.DUMMYFUNCTION("GOOGLETRANSLATE(B33486,""en"",""de"")"),"Junges Jungen spielt auf dem Drum -Set und den Becken, während sie zeitweise mit der Kamera sprechen.")</f>
        <v>Junges Jungen spielt auf dem Drum -Set und den Becken, während sie zeitweise mit der Kamera sprechen.</v>
      </c>
    </row>
    <row r="33487">
      <c r="A33487" s="4" t="s">
        <v>42145</v>
      </c>
      <c r="B33487" s="4" t="s">
        <v>42148</v>
      </c>
      <c r="C33487" s="5" t="str">
        <f>IFERROR(__xludf.DUMMYFUNCTION("GOOGLETRANSLATE(B33487,""en"",""de"")"),"Der Junge beendet seine Drum -Sitzung und kehrt zur Kamera zurück.")</f>
        <v>Der Junge beendet seine Drum -Sitzung und kehrt zur Kamera zurück.</v>
      </c>
    </row>
    <row r="33488">
      <c r="A33488" s="4" t="s">
        <v>42149</v>
      </c>
      <c r="B33488" s="4" t="s">
        <v>42150</v>
      </c>
      <c r="C33488" s="5" t="str">
        <f>IFERROR(__xludf.DUMMYFUNCTION("GOOGLETRANSLATE(B33488,""en"",""de"")"),"Eine Frau ist in einer Einfahrt und macht Tricks und Stunts, während sie Seil springt.")</f>
        <v>Eine Frau ist in einer Einfahrt und macht Tricks und Stunts, während sie Seil springt.</v>
      </c>
    </row>
    <row r="33489">
      <c r="A33489" s="4" t="s">
        <v>42149</v>
      </c>
      <c r="B33489" s="4" t="s">
        <v>42151</v>
      </c>
      <c r="C33489" s="5" t="str">
        <f>IFERROR(__xludf.DUMMYFUNCTION("GOOGLETRANSLATE(B33489,""en"",""de"")"),"Sie erhöht die Geschwindigkeit und hört dann auf, als sich ein Mann ihr nähert, um ihre Technik zu besprechen.")</f>
        <v>Sie erhöht die Geschwindigkeit und hört dann auf, als sich ein Mann ihr nähert, um ihre Technik zu besprechen.</v>
      </c>
    </row>
    <row r="33490">
      <c r="A33490" s="4" t="s">
        <v>42149</v>
      </c>
      <c r="B33490" s="4" t="s">
        <v>42152</v>
      </c>
      <c r="C33490" s="5" t="str">
        <f>IFERROR(__xludf.DUMMYFUNCTION("GOOGLETRANSLATE(B33490,""en"",""de"")"),"Sie kehrt dann zurück, um zu demonstrieren, wie man Seil springt, und die verschiedenen Namen der Bewegungen.")</f>
        <v>Sie kehrt dann zurück, um zu demonstrieren, wie man Seil springt, und die verschiedenen Namen der Bewegungen.</v>
      </c>
    </row>
    <row r="33491">
      <c r="A33491" s="4" t="s">
        <v>42153</v>
      </c>
      <c r="B33491" s="4" t="s">
        <v>42154</v>
      </c>
      <c r="C33491" s="5" t="str">
        <f>IFERROR(__xludf.DUMMYFUNCTION("GOOGLETRANSLATE(B33491,""en"",""de"")"),"Eine Aussicht von Innenräumen zeigt eine schöne Ozeanansicht und schwenkt dann auf einen Mann auf den Knien auf dem Boden, während er einige Fliesen und die weißen Worte auf dem Bildschirm verschlucken, sagen ""Installieren von Fliesen mit Ditra"".")</f>
        <v>Eine Aussicht von Innenräumen zeigt eine schöne Ozeanansicht und schwenkt dann auf einen Mann auf den Knien auf dem Boden, während er einige Fliesen und die weißen Worte auf dem Bildschirm verschlucken, sagen "Installieren von Fliesen mit Ditra".</v>
      </c>
    </row>
    <row r="33492">
      <c r="A33492" s="4" t="s">
        <v>42153</v>
      </c>
      <c r="B33492" s="4" t="s">
        <v>42155</v>
      </c>
      <c r="C33492" s="5" t="str">
        <f>IFERROR(__xludf.DUMMYFUNCTION("GOOGLETRANSLATE(B33492,""en"",""de"")"),"Der Mann wird dann gezeigt, dass sich Abstandshalter zwischen Kacheln und Messungen stecken.")</f>
        <v>Der Mann wird dann gezeigt, dass sich Abstandshalter zwischen Kacheln und Messungen stecken.</v>
      </c>
    </row>
    <row r="33493">
      <c r="A33493" s="4" t="s">
        <v>42153</v>
      </c>
      <c r="B33493" s="4" t="s">
        <v>42156</v>
      </c>
      <c r="C33493" s="5" t="str">
        <f>IFERROR(__xludf.DUMMYFUNCTION("GOOGLETRANSLATE(B33493,""en"",""de"")"),"Der Mann geht dann zu einem anderen Teil des Raumes mit einem weißen Eimer und einem orangefarbenen Tuch und wischt sich Holzdielen ab.")</f>
        <v>Der Mann geht dann zu einem anderen Teil des Raumes mit einem weißen Eimer und einem orangefarbenen Tuch und wischt sich Holzdielen ab.</v>
      </c>
    </row>
    <row r="33494">
      <c r="A33494" s="4" t="s">
        <v>42153</v>
      </c>
      <c r="B33494" s="4" t="s">
        <v>42157</v>
      </c>
      <c r="C33494" s="5" t="str">
        <f>IFERROR(__xludf.DUMMYFUNCTION("GOOGLETRANSLATE(B33494,""en"",""de"")"),"Der Mann wird dann angezeigt, das Pulver in einen großen weißen Eimer gießt und Wasser hineingießt und den Inhalt mit einer Handbohrmaschine mischt.")</f>
        <v>Der Mann wird dann angezeigt, das Pulver in einen großen weißen Eimer gießt und Wasser hineingießt und den Inhalt mit einer Handbohrmaschine mischt.</v>
      </c>
    </row>
    <row r="33495">
      <c r="A33495" s="4" t="s">
        <v>42153</v>
      </c>
      <c r="B33495" s="4" t="s">
        <v>42158</v>
      </c>
      <c r="C33495" s="5" t="str">
        <f>IFERROR(__xludf.DUMMYFUNCTION("GOOGLETRANSLATE(B33495,""en"",""de"")"),"Der Mann ist dann in einer Ecke des Raumes und er wendet die Mischung auf die Dielen auf und legt dann ein orangefarbenes Material nieder.")</f>
        <v>Der Mann ist dann in einer Ecke des Raumes und er wendet die Mischung auf die Dielen auf und legt dann ein orangefarbenes Material nieder.</v>
      </c>
    </row>
    <row r="33496">
      <c r="A33496" s="4" t="s">
        <v>42153</v>
      </c>
      <c r="B33496" s="4" t="s">
        <v>42159</v>
      </c>
      <c r="C33496" s="5" t="str">
        <f>IFERROR(__xludf.DUMMYFUNCTION("GOOGLETRANSLATE(B33496,""en"",""de"")"),"Dem Mann wird dann gezeigt, wie es die Fliesen mit einem manuellen Handschneider schneidet, während ein anderer Mann ihm hilft, indem er sie hält. Der Mann, der die Fliese hält, nimmt sie weg und sandet sie.")</f>
        <v>Dem Mann wird dann gezeigt, wie es die Fliesen mit einem manuellen Handschneider schneidet, während ein anderer Mann ihm hilft, indem er sie hält. Der Mann, der die Fliese hält, nimmt sie weg und sandet sie.</v>
      </c>
    </row>
    <row r="33497">
      <c r="A33497" s="4" t="s">
        <v>42153</v>
      </c>
      <c r="B33497" s="4" t="s">
        <v>42160</v>
      </c>
      <c r="C33497" s="5" t="str">
        <f>IFERROR(__xludf.DUMMYFUNCTION("GOOGLETRANSLATE(B33497,""en"",""de"")"),"Der Mann wird erneut auf Händen und Knien gezeigt und weist einen Kitt auf den Boden oder die Fliese auf, legt die Fliesen ab, fügt Abstandshalter hinzu, misst dann, dass alles sogar mit einem weißen kreisförmigen Leveler ist.")</f>
        <v>Der Mann wird erneut auf Händen und Knien gezeigt und weist einen Kitt auf den Boden oder die Fliese auf, legt die Fliesen ab, fügt Abstandshalter hinzu, misst dann, dass alles sogar mit einem weißen kreisförmigen Leveler ist.</v>
      </c>
    </row>
    <row r="33498">
      <c r="A33498" s="4" t="s">
        <v>42153</v>
      </c>
      <c r="B33498" s="4" t="s">
        <v>42161</v>
      </c>
      <c r="C33498" s="5" t="str">
        <f>IFERROR(__xludf.DUMMYFUNCTION("GOOGLETRANSLATE(B33498,""en"",""de"")"),"Eine geringe Sicht auf die Fliesen wird gezeigt, und ein Mann wird vergießt, die Fliesen abweichen und verschiedene Aussicht auf den gefliesten Raum gezeigt.")</f>
        <v>Eine geringe Sicht auf die Fliesen wird gezeigt, und ein Mann wird vergießt, die Fliesen abweichen und verschiedene Aussicht auf den gefliesten Raum gezeigt.</v>
      </c>
    </row>
    <row r="33499">
      <c r="A33499" s="4" t="s">
        <v>42162</v>
      </c>
      <c r="B33499" s="4" t="s">
        <v>42163</v>
      </c>
      <c r="C33499" s="5" t="str">
        <f>IFERROR(__xludf.DUMMYFUNCTION("GOOGLETRANSLATE(B33499,""en"",""de"")"),"Eine Frau sitzt am Ende eines Bettes und nimmt ihre Schuhe aus und dann geht die Füße des Babys.")</f>
        <v>Eine Frau sitzt am Ende eines Bettes und nimmt ihre Schuhe aus und dann geht die Füße des Babys.</v>
      </c>
    </row>
    <row r="33500">
      <c r="A33500" s="4" t="s">
        <v>42162</v>
      </c>
      <c r="B33500" s="4" t="s">
        <v>42164</v>
      </c>
      <c r="C33500" s="5" t="str">
        <f>IFERROR(__xludf.DUMMYFUNCTION("GOOGLETRANSLATE(B33500,""en"",""de"")"),"Es wird gezeigt, dass Möbelschüsse zu einer Frau führen, die von mehreren Personen spricht, die auf den Teppich saugten und treten.")</f>
        <v>Es wird gezeigt, dass Möbelschüsse zu einer Frau führen, die von mehreren Personen spricht, die auf den Teppich saugten und treten.</v>
      </c>
    </row>
    <row r="33501">
      <c r="A33501" s="4" t="s">
        <v>42162</v>
      </c>
      <c r="B33501" s="4" t="s">
        <v>42165</v>
      </c>
      <c r="C33501" s="5" t="str">
        <f>IFERROR(__xludf.DUMMYFUNCTION("GOOGLETRANSLATE(B33501,""en"",""de"")"),"Eine Person passt das Vakuum an und verwendet es weiter, während die Frau spricht, und führt zu einem Mann, der mit einem Baby spielt.")</f>
        <v>Eine Person passt das Vakuum an und verwendet es weiter, während die Frau spricht, und führt zu einem Mann, der mit einem Baby spielt.</v>
      </c>
    </row>
    <row r="33502">
      <c r="A33502" s="4" t="s">
        <v>42166</v>
      </c>
      <c r="B33502" s="4" t="s">
        <v>42167</v>
      </c>
      <c r="C33502" s="5" t="str">
        <f>IFERROR(__xludf.DUMMYFUNCTION("GOOGLETRANSLATE(B33502,""en"",""de"")"),"Es wird eine GoPro -Kamera gesehen, und dann wird ein weiterer Bildschirm angezeigt, der zeigt, dass die Kamera Preise gewonnen hat.")</f>
        <v>Es wird eine GoPro -Kamera gesehen, und dann wird ein weiterer Bildschirm angezeigt, der zeigt, dass die Kamera Preise gewonnen hat.</v>
      </c>
    </row>
    <row r="33503">
      <c r="A33503" s="4" t="s">
        <v>42166</v>
      </c>
      <c r="B33503" s="4" t="s">
        <v>42168</v>
      </c>
      <c r="C33503" s="5" t="str">
        <f>IFERROR(__xludf.DUMMYFUNCTION("GOOGLETRANSLATE(B33503,""en"",""de"")"),"Eine Kamera ist auf dem Helm eines Wasserfahrers montiert und nachdem er sich einen Mann auf einem Pferd an einem Teich in Position bringt, zieht ihn für eine Fahrt.")</f>
        <v>Eine Kamera ist auf dem Helm eines Wasserfahrers montiert und nachdem er sich einen Mann auf einem Pferd an einem Teich in Position bringt, zieht ihn für eine Fahrt.</v>
      </c>
    </row>
    <row r="33504">
      <c r="A33504" s="4" t="s">
        <v>42166</v>
      </c>
      <c r="B33504" s="4" t="s">
        <v>42169</v>
      </c>
      <c r="C33504" s="5" t="str">
        <f>IFERROR(__xludf.DUMMYFUNCTION("GOOGLETRANSLATE(B33504,""en"",""de"")"),"In der Nähe von Land lässt er gehen und fällt ins Wasser, als er feiert und auf den Mann auf dem Pferd zeigt, während ein Hund vorbeikommt.")</f>
        <v>In der Nähe von Land lässt er gehen und fällt ins Wasser, als er feiert und auf den Mann auf dem Pferd zeigt, während ein Hund vorbeikommt.</v>
      </c>
    </row>
    <row r="33505">
      <c r="A33505" s="4" t="s">
        <v>42166</v>
      </c>
      <c r="B33505" s="4" t="s">
        <v>42170</v>
      </c>
      <c r="C33505" s="5" t="str">
        <f>IFERROR(__xludf.DUMMYFUNCTION("GOOGLETRANSLATE(B33505,""en"",""de"")"),"Ein Bildschirm erscheint, in dem er gebeten wird, Filmmaterial an die GoPro Awards einzureichen.")</f>
        <v>Ein Bildschirm erscheint, in dem er gebeten wird, Filmmaterial an die GoPro Awards einzureichen.</v>
      </c>
    </row>
    <row r="33506">
      <c r="A33506" s="4" t="s">
        <v>42171</v>
      </c>
      <c r="B33506" s="4" t="s">
        <v>42172</v>
      </c>
      <c r="C33506" s="5" t="str">
        <f>IFERROR(__xludf.DUMMYFUNCTION("GOOGLETRANSLATE(B33506,""en"",""de"")"),"Wir sehen einen Mann Kite Surfen.")</f>
        <v>Wir sehen einen Mann Kite Surfen.</v>
      </c>
    </row>
    <row r="33507">
      <c r="A33507" s="4" t="s">
        <v>42171</v>
      </c>
      <c r="B33507" s="4" t="s">
        <v>42173</v>
      </c>
      <c r="C33507" s="5" t="str">
        <f>IFERROR(__xludf.DUMMYFUNCTION("GOOGLETRANSLATE(B33507,""en"",""de"")"),"Wir geben eine Person am Strand vorbei.")</f>
        <v>Wir geben eine Person am Strand vorbei.</v>
      </c>
    </row>
    <row r="33508">
      <c r="A33508" s="4" t="s">
        <v>42171</v>
      </c>
      <c r="B33508" s="4" t="s">
        <v>42174</v>
      </c>
      <c r="C33508" s="5" t="str">
        <f>IFERROR(__xludf.DUMMYFUNCTION("GOOGLETRANSLATE(B33508,""en"",""de"")"),"Der Fahrer fällt ins Wasser.")</f>
        <v>Der Fahrer fällt ins Wasser.</v>
      </c>
    </row>
    <row r="33509">
      <c r="A33509" s="4" t="s">
        <v>42171</v>
      </c>
      <c r="B33509" s="4" t="s">
        <v>42175</v>
      </c>
      <c r="C33509" s="5" t="str">
        <f>IFERROR(__xludf.DUMMYFUNCTION("GOOGLETRANSLATE(B33509,""en"",""de"")"),"Wasserspritzer und bedeckt das Kameraobjektiv.")</f>
        <v>Wasserspritzer und bedeckt das Kameraobjektiv.</v>
      </c>
    </row>
    <row r="33510">
      <c r="A33510" s="4" t="s">
        <v>42171</v>
      </c>
      <c r="B33510" s="4" t="s">
        <v>42176</v>
      </c>
      <c r="C33510" s="5" t="str">
        <f>IFERROR(__xludf.DUMMYFUNCTION("GOOGLETRANSLATE(B33510,""en"",""de"")"),"Die Person reitet in die andere Richtung.")</f>
        <v>Die Person reitet in die andere Richtung.</v>
      </c>
    </row>
    <row r="33511">
      <c r="A33511" s="4" t="s">
        <v>42171</v>
      </c>
      <c r="B33511" s="4" t="s">
        <v>42177</v>
      </c>
      <c r="C33511" s="5" t="str">
        <f>IFERROR(__xludf.DUMMYFUNCTION("GOOGLETRANSLATE(B33511,""en"",""de"")"),"Wir sehen, wie der Sand im Wind bläst.")</f>
        <v>Wir sehen, wie der Sand im Wind bläst.</v>
      </c>
    </row>
    <row r="33512">
      <c r="A33512" s="4" t="s">
        <v>42178</v>
      </c>
      <c r="B33512" s="4" t="s">
        <v>42179</v>
      </c>
      <c r="C33512" s="5" t="str">
        <f>IFERROR(__xludf.DUMMYFUNCTION("GOOGLETRANSLATE(B33512,""en"",""de"")"),"Auf der Straße versammeln sich viele Menschen, um eine Parade zu beobachten oder in der Parade zu sein.")</f>
        <v>Auf der Straße versammeln sich viele Menschen, um eine Parade zu beobachten oder in der Parade zu sein.</v>
      </c>
    </row>
    <row r="33513">
      <c r="A33513" s="4" t="s">
        <v>42178</v>
      </c>
      <c r="B33513" s="4" t="s">
        <v>42180</v>
      </c>
      <c r="C33513" s="5" t="str">
        <f>IFERROR(__xludf.DUMMYFUNCTION("GOOGLETRANSLATE(B33513,""en"",""de"")"),"Es gibt 4 junge Menschen in Militärkleidung, die ein rot -weißes Banner in einer Parade tragen.")</f>
        <v>Es gibt 4 junge Menschen in Militärkleidung, die ein rot -weißes Banner in einer Parade tragen.</v>
      </c>
    </row>
    <row r="33514">
      <c r="A33514" s="4" t="s">
        <v>42178</v>
      </c>
      <c r="B33514" s="4" t="s">
        <v>42181</v>
      </c>
      <c r="C33514" s="5" t="str">
        <f>IFERROR(__xludf.DUMMYFUNCTION("GOOGLETRANSLATE(B33514,""en"",""de"")"),"Sie folgen dann eine Gruppe tanzender Mädchen, die alle in den gleichen Outfits gekleidet sind, die rot, weiß und schwarz sind, aber einige tragen weiße Oberteile und die anderen tragen rote Oberteile.")</f>
        <v>Sie folgen dann eine Gruppe tanzender Mädchen, die alle in den gleichen Outfits gekleidet sind, die rot, weiß und schwarz sind, aber einige tragen weiße Oberteile und die anderen tragen rote Oberteile.</v>
      </c>
    </row>
    <row r="33515">
      <c r="A33515" s="4" t="s">
        <v>42178</v>
      </c>
      <c r="B33515" s="4" t="s">
        <v>42182</v>
      </c>
      <c r="C33515" s="5" t="str">
        <f>IFERROR(__xludf.DUMMYFUNCTION("GOOGLETRANSLATE(B33515,""en"",""de"")"),"Sie folgen dann eine sehr große Band, die verschiedene Instrumente spielt, und sie sind alle synchron und eine Frau genießt es so sehr, dass sie beginnt zu tanzen, während die Band weitergeht.")</f>
        <v>Sie folgen dann eine sehr große Band, die verschiedene Instrumente spielt, und sie sind alle synchron und eine Frau genießt es so sehr, dass sie beginnt zu tanzen, während die Band weitergeht.</v>
      </c>
    </row>
    <row r="33516">
      <c r="A33516" s="4" t="s">
        <v>42183</v>
      </c>
      <c r="B33516" s="4" t="s">
        <v>42184</v>
      </c>
      <c r="C33516" s="5" t="str">
        <f>IFERROR(__xludf.DUMMYFUNCTION("GOOGLETRANSLATE(B33516,""en"",""de"")"),"Mehrere Personen kanu einen See, der mit mehreren noch Fotos der Lake -Statistiken und -Features durchsetzt ist.")</f>
        <v>Mehrere Personen kanu einen See, der mit mehreren noch Fotos der Lake -Statistiken und -Features durchsetzt ist.</v>
      </c>
    </row>
    <row r="33517">
      <c r="A33517" s="4" t="s">
        <v>42183</v>
      </c>
      <c r="B33517" s="4" t="s">
        <v>42185</v>
      </c>
      <c r="C33517" s="5" t="str">
        <f>IFERROR(__xludf.DUMMYFUNCTION("GOOGLETRANSLATE(B33517,""en"",""de"")"),"Es werden einige noch immer noch Fotos des Sees gezeigt, darunter gebräuntes und trockenes Unkraut/Sumpf und ruhiges blaues Wasser zusammen mit einem flachen Gewässer, der schwer mit Steinen ist.")</f>
        <v>Es werden einige noch immer noch Fotos des Sees gezeigt, darunter gebräuntes und trockenes Unkraut/Sumpf und ruhiges blaues Wasser zusammen mit einem flachen Gewässer, der schwer mit Steinen ist.</v>
      </c>
    </row>
    <row r="33518">
      <c r="A33518" s="4" t="s">
        <v>42183</v>
      </c>
      <c r="B33518" s="4" t="s">
        <v>42186</v>
      </c>
      <c r="C33518" s="5" t="str">
        <f>IFERROR(__xludf.DUMMYFUNCTION("GOOGLETRANSLATE(B33518,""en"",""de"")"),"Zwei Kanus mit Menschen in ihnen sind im See gezeigt.")</f>
        <v>Zwei Kanus mit Menschen in ihnen sind im See gezeigt.</v>
      </c>
    </row>
    <row r="33519">
      <c r="A33519" s="4" t="s">
        <v>42183</v>
      </c>
      <c r="B33519" s="4" t="s">
        <v>42187</v>
      </c>
      <c r="C33519" s="5" t="str">
        <f>IFERROR(__xludf.DUMMYFUNCTION("GOOGLETRANSLATE(B33519,""en"",""de"")"),"Ein Kunstbild eines blauen und gelben Fischs wird zusammen mit mehr Stillschüssen und Videos von Menschen auf dem See gezeigt.")</f>
        <v>Ein Kunstbild eines blauen und gelben Fischs wird zusammen mit mehr Stillschüssen und Videos von Menschen auf dem See gezeigt.</v>
      </c>
    </row>
    <row r="33520">
      <c r="A33520" s="4" t="s">
        <v>42188</v>
      </c>
      <c r="B33520" s="4" t="s">
        <v>42189</v>
      </c>
      <c r="C33520" s="5" t="str">
        <f>IFERROR(__xludf.DUMMYFUNCTION("GOOGLETRANSLATE(B33520,""en"",""de"")"),"Ein Ball schwingt herum, gefolgt von Schüssen der Landschaft und den Menschen, die sich fertig machen.")</f>
        <v>Ein Ball schwingt herum, gefolgt von Schüssen der Landschaft und den Menschen, die sich fertig machen.</v>
      </c>
    </row>
    <row r="33521">
      <c r="A33521" s="4" t="s">
        <v>42188</v>
      </c>
      <c r="B33521" s="4" t="s">
        <v>42190</v>
      </c>
      <c r="C33521" s="5" t="str">
        <f>IFERROR(__xludf.DUMMYFUNCTION("GOOGLETRANSLATE(B33521,""en"",""de"")"),"Ein Mann verzeichnet einen Athleten, der den Ball hält und auf einer Bank sitzt.")</f>
        <v>Ein Mann verzeichnet einen Athleten, der den Ball hält und auf einer Bank sitzt.</v>
      </c>
    </row>
    <row r="33522">
      <c r="A33522" s="4" t="s">
        <v>42188</v>
      </c>
      <c r="B33522" s="4" t="s">
        <v>42191</v>
      </c>
      <c r="C33522" s="5" t="str">
        <f>IFERROR(__xludf.DUMMYFUNCTION("GOOGLETRANSLATE(B33522,""en"",""de"")"),"Verschiedene Personen sind gezeigt, dass sie sich auf die Ausführung vorbereiten, gefolgt von mehreren Personen, die die Bälle schwingen.")</f>
        <v>Verschiedene Personen sind gezeigt, dass sie sich auf die Ausführung vorbereiten, gefolgt von mehreren Personen, die die Bälle schwingen.</v>
      </c>
    </row>
    <row r="33523">
      <c r="A33523" s="4" t="s">
        <v>42188</v>
      </c>
      <c r="B33523" s="4" t="s">
        <v>42192</v>
      </c>
      <c r="C33523" s="5" t="str">
        <f>IFERROR(__xludf.DUMMYFUNCTION("GOOGLETRANSLATE(B33523,""en"",""de"")"),"Schließlich werden mehrere verschiedene Frauen gezeigt, die die Aufgabe ausführen und gleichzeitig ihre Würfe erwärmen.")</f>
        <v>Schließlich werden mehrere verschiedene Frauen gezeigt, die die Aufgabe ausführen und gleichzeitig ihre Würfe erwärmen.</v>
      </c>
    </row>
    <row r="33524">
      <c r="A33524" s="4" t="s">
        <v>42193</v>
      </c>
      <c r="B33524" s="4" t="s">
        <v>42194</v>
      </c>
      <c r="C33524" s="5" t="str">
        <f>IFERROR(__xludf.DUMMYFUNCTION("GOOGLETRANSLATE(B33524,""en"",""de"")"),"Wir sehen einen Intro -Bildschirm mit Pfeilen.")</f>
        <v>Wir sehen einen Intro -Bildschirm mit Pfeilen.</v>
      </c>
    </row>
    <row r="33525">
      <c r="A33525" s="4" t="s">
        <v>42193</v>
      </c>
      <c r="B33525" s="4" t="s">
        <v>42195</v>
      </c>
      <c r="C33525" s="5" t="str">
        <f>IFERROR(__xludf.DUMMYFUNCTION("GOOGLETRANSLATE(B33525,""en"",""de"")"),"Ein Koch redet, während sie vor einem Bogen steht, als sie Spaghetti kocht.")</f>
        <v>Ein Koch redet, während sie vor einem Bogen steht, als sie Spaghetti kocht.</v>
      </c>
    </row>
    <row r="33526">
      <c r="A33526" s="4" t="s">
        <v>42193</v>
      </c>
      <c r="B33526" s="4" t="s">
        <v>42196</v>
      </c>
      <c r="C33526" s="5" t="str">
        <f>IFERROR(__xludf.DUMMYFUNCTION("GOOGLETRANSLATE(B33526,""en"",""de"")"),"Die Dame fügt Salz und Spaghetti zum kochenden Wasser.")</f>
        <v>Die Dame fügt Salz und Spaghetti zum kochenden Wasser.</v>
      </c>
    </row>
    <row r="33527">
      <c r="A33527" s="4" t="s">
        <v>42193</v>
      </c>
      <c r="B33527" s="4" t="s">
        <v>42197</v>
      </c>
      <c r="C33527" s="5" t="str">
        <f>IFERROR(__xludf.DUMMYFUNCTION("GOOGLETRANSLATE(B33527,""en"",""de"")"),"Die Dame greift nach einer Nudel, um zu zeigen, wie sie beim Kochen aussehen sollte.")</f>
        <v>Die Dame greift nach einer Nudel, um zu zeigen, wie sie beim Kochen aussehen sollte.</v>
      </c>
    </row>
    <row r="33528">
      <c r="A33528" s="4" t="s">
        <v>42193</v>
      </c>
      <c r="B33528" s="4" t="s">
        <v>42198</v>
      </c>
      <c r="C33528" s="5" t="str">
        <f>IFERROR(__xludf.DUMMYFUNCTION("GOOGLETRANSLATE(B33528,""en"",""de"")"),"Die Dame entwässert das Wasser, fügt Sauce hinzu und fügt etwas Kochwasser hinzu.")</f>
        <v>Die Dame entwässert das Wasser, fügt Sauce hinzu und fügt etwas Kochwasser hinzu.</v>
      </c>
    </row>
    <row r="33529">
      <c r="A33529" s="4" t="s">
        <v>42193</v>
      </c>
      <c r="B33529" s="4" t="s">
        <v>42199</v>
      </c>
      <c r="C33529" s="5" t="str">
        <f>IFERROR(__xludf.DUMMYFUNCTION("GOOGLETRANSLATE(B33529,""en"",""de"")"),"Sie legt es auf einen Teller.")</f>
        <v>Sie legt es auf einen Teller.</v>
      </c>
    </row>
    <row r="33530">
      <c r="A33530" s="4" t="s">
        <v>42193</v>
      </c>
      <c r="B33530" s="4" t="s">
        <v>42200</v>
      </c>
      <c r="C33530" s="5" t="str">
        <f>IFERROR(__xludf.DUMMYFUNCTION("GOOGLETRANSLATE(B33530,""en"",""de"")"),"Wir sehen dann die schwarzen Credits rollen.")</f>
        <v>Wir sehen dann die schwarzen Credits rollen.</v>
      </c>
    </row>
    <row r="33531">
      <c r="A33531" s="4" t="s">
        <v>42201</v>
      </c>
      <c r="B33531" s="4" t="s">
        <v>42202</v>
      </c>
      <c r="C33531" s="5" t="str">
        <f>IFERROR(__xludf.DUMMYFUNCTION("GOOGLETRANSLATE(B33531,""en"",""de"")"),"Der Mensch steht in einer Strecke in einem überdachten Fitnessstudio und läuft, um große Sprünge vor den Richtern zu machen.")</f>
        <v>Der Mensch steht in einer Strecke in einem überdachten Fitnessstudio und läuft, um große Sprünge vor den Richtern zu machen.</v>
      </c>
    </row>
    <row r="33532">
      <c r="A33532" s="4" t="s">
        <v>42201</v>
      </c>
      <c r="B33532" s="4" t="s">
        <v>42203</v>
      </c>
      <c r="C33532" s="5" t="str">
        <f>IFERROR(__xludf.DUMMYFUNCTION("GOOGLETRANSLATE(B33532,""en"",""de"")"),"Die Leute sind auf Terrassen und beobachten den Jungen.")</f>
        <v>Die Leute sind auf Terrassen und beobachten den Jungen.</v>
      </c>
    </row>
    <row r="33533">
      <c r="A33533" s="4" t="s">
        <v>42201</v>
      </c>
      <c r="B33533" s="4" t="s">
        <v>42204</v>
      </c>
      <c r="C33533" s="5" t="str">
        <f>IFERROR(__xludf.DUMMYFUNCTION("GOOGLETRANSLATE(B33533,""en"",""de"")"),"Der Mann klatscht nach dem Mann, nachdem der Mann die Sprünge gemacht hat.")</f>
        <v>Der Mann klatscht nach dem Mann, nachdem der Mann die Sprünge gemacht hat.</v>
      </c>
    </row>
    <row r="33534">
      <c r="A33534" s="4" t="s">
        <v>42205</v>
      </c>
      <c r="B33534" s="4" t="s">
        <v>42206</v>
      </c>
      <c r="C33534" s="5" t="str">
        <f>IFERROR(__xludf.DUMMYFUNCTION("GOOGLETRANSLATE(B33534,""en"",""de"")"),"Eine Frau schaut über die Kamera hinaus und zeigt den Hinterkopfrücken.")</f>
        <v>Eine Frau schaut über die Kamera hinaus und zeigt den Hinterkopfrücken.</v>
      </c>
    </row>
    <row r="33535">
      <c r="A33535" s="4" t="s">
        <v>42205</v>
      </c>
      <c r="B33535" s="4" t="s">
        <v>42207</v>
      </c>
      <c r="C33535" s="5" t="str">
        <f>IFERROR(__xludf.DUMMYFUNCTION("GOOGLETRANSLATE(B33535,""en"",""de"")"),"Sie hält verschiedene Produkte hoch und reibt sie durch ihre Haare.")</f>
        <v>Sie hält verschiedene Produkte hoch und reibt sie durch ihre Haare.</v>
      </c>
    </row>
    <row r="33536">
      <c r="A33536" s="4" t="s">
        <v>42205</v>
      </c>
      <c r="B33536" s="4" t="s">
        <v>42208</v>
      </c>
      <c r="C33536" s="5" t="str">
        <f>IFERROR(__xludf.DUMMYFUNCTION("GOOGLETRANSLATE(B33536,""en"",""de"")"),"Sie pitiert dann ihre Haare, während sie sie haarsprayeriert und danach die Textur spürt.")</f>
        <v>Sie pitiert dann ihre Haare, während sie sie haarsprayeriert und danach die Textur spürt.</v>
      </c>
    </row>
    <row r="33537">
      <c r="A33537" s="4" t="s">
        <v>42205</v>
      </c>
      <c r="B33537" s="4" t="s">
        <v>42209</v>
      </c>
      <c r="C33537" s="5" t="str">
        <f>IFERROR(__xludf.DUMMYFUNCTION("GOOGLETRANSLATE(B33537,""en"",""de"")"),"Sie beendet ihre Haare und blickt zurück in die Kamera.")</f>
        <v>Sie beendet ihre Haare und blickt zurück in die Kamera.</v>
      </c>
    </row>
    <row r="33538">
      <c r="A33538" s="4" t="s">
        <v>42210</v>
      </c>
      <c r="B33538" s="4" t="s">
        <v>42211</v>
      </c>
      <c r="C33538" s="5" t="str">
        <f>IFERROR(__xludf.DUMMYFUNCTION("GOOGLETRANSLATE(B33538,""en"",""de"")"),"Ein Mann und ein Hund stehen in der Mitte des Feldes und spielen eine Gruppe von Frisbees.")</f>
        <v>Ein Mann und ein Hund stehen in der Mitte des Feldes und spielen eine Gruppe von Frisbees.</v>
      </c>
    </row>
    <row r="33539">
      <c r="A33539" s="4" t="s">
        <v>42210</v>
      </c>
      <c r="B33539" s="4" t="s">
        <v>42212</v>
      </c>
      <c r="C33539" s="5" t="str">
        <f>IFERROR(__xludf.DUMMYFUNCTION("GOOGLETRANSLATE(B33539,""en"",""de"")"),"Der Mann wirft dann alle Frisbees und der Hund rennt ihnen mehrmals nach und fängt sie.")</f>
        <v>Der Mann wirft dann alle Frisbees und der Hund rennt ihnen mehrmals nach und fängt sie.</v>
      </c>
    </row>
    <row r="33540">
      <c r="A33540" s="4" t="s">
        <v>42210</v>
      </c>
      <c r="B33540" s="4" t="s">
        <v>42213</v>
      </c>
      <c r="C33540" s="5" t="str">
        <f>IFERROR(__xludf.DUMMYFUNCTION("GOOGLETRANSLATE(B33540,""en"",""de"")"),"In der Mitte der Routine schnappt er sich mehrere Frisbees und gibt sie dem Hund nacheinander, während er vor ihm herabkniet.")</f>
        <v>In der Mitte der Routine schnappt er sich mehrere Frisbees und gibt sie dem Hund nacheinander, während er vor ihm herabkniet.</v>
      </c>
    </row>
    <row r="33541">
      <c r="A33541" s="4" t="s">
        <v>42210</v>
      </c>
      <c r="B33541" s="4" t="s">
        <v>42214</v>
      </c>
      <c r="C33541" s="5" t="str">
        <f>IFERROR(__xludf.DUMMYFUNCTION("GOOGLETRANSLATE(B33541,""en"",""de"")"),"Es werden mehrere Tricks erledigt, und dann erscheint der Hund Sprung auf dem Feld, sie kehren zu ihren regulären Routinen zurück und der Besitzer nimmt den Hund und Wellen zur Menge auf.")</f>
        <v>Es werden mehrere Tricks erledigt, und dann erscheint der Hund Sprung auf dem Feld, sie kehren zu ihren regulären Routinen zurück und der Besitzer nimmt den Hund und Wellen zur Menge auf.</v>
      </c>
    </row>
    <row r="33542">
      <c r="A33542" s="4" t="s">
        <v>42215</v>
      </c>
      <c r="B33542" s="4" t="s">
        <v>42216</v>
      </c>
      <c r="C33542" s="5" t="str">
        <f>IFERROR(__xludf.DUMMYFUNCTION("GOOGLETRANSLATE(B33542,""en"",""de"")"),"Das Video beginnt mit zwei Sumo -Wrestlern auf einer Sumo -Bühne.")</f>
        <v>Das Video beginnt mit zwei Sumo -Wrestlern auf einer Sumo -Bühne.</v>
      </c>
    </row>
    <row r="33543">
      <c r="A33543" s="4" t="s">
        <v>42215</v>
      </c>
      <c r="B33543" s="4" t="s">
        <v>42217</v>
      </c>
      <c r="C33543" s="5" t="str">
        <f>IFERROR(__xludf.DUMMYFUNCTION("GOOGLETRANSLATE(B33543,""en"",""de"")"),"Es gibt eine große Menge, die zu spektieren ist und ein Mann in der Mitte des Rings als Schiedsrichter fungiert.")</f>
        <v>Es gibt eine große Menge, die zu spektieren ist und ein Mann in der Mitte des Rings als Schiedsrichter fungiert.</v>
      </c>
    </row>
    <row r="33544">
      <c r="A33544" s="4" t="s">
        <v>42215</v>
      </c>
      <c r="B33544" s="4" t="s">
        <v>42218</v>
      </c>
      <c r="C33544" s="5" t="str">
        <f>IFERROR(__xludf.DUMMYFUNCTION("GOOGLETRANSLATE(B33544,""en"",""de"")"),"Die beiden Sumo -Wrestler werfen ein weißes Pulver in den Ring.")</f>
        <v>Die beiden Sumo -Wrestler werfen ein weißes Pulver in den Ring.</v>
      </c>
    </row>
    <row r="33545">
      <c r="A33545" s="4" t="s">
        <v>42215</v>
      </c>
      <c r="B33545" s="4" t="s">
        <v>42219</v>
      </c>
      <c r="C33545" s="5" t="str">
        <f>IFERROR(__xludf.DUMMYFUNCTION("GOOGLETRANSLATE(B33545,""en"",""de"")"),"Die Hocke und klatschen in die Hände, während eine Gruppe von Männern Flaggen hält und um den Ring herumgeht.")</f>
        <v>Die Hocke und klatschen in die Hände, während eine Gruppe von Männern Flaggen hält und um den Ring herumgeht.</v>
      </c>
    </row>
    <row r="33546">
      <c r="A33546" s="4" t="s">
        <v>42215</v>
      </c>
      <c r="B33546" s="4" t="s">
        <v>42220</v>
      </c>
      <c r="C33546" s="5" t="str">
        <f>IFERROR(__xludf.DUMMYFUNCTION("GOOGLETRANSLATE(B33546,""en"",""de"")"),"Zwei weitere Männer halten Besen, während etwas Pulver auffährt.")</f>
        <v>Zwei weitere Männer halten Besen, während etwas Pulver auffährt.</v>
      </c>
    </row>
    <row r="33547">
      <c r="A33547" s="4" t="s">
        <v>42215</v>
      </c>
      <c r="B33547" s="4" t="s">
        <v>42221</v>
      </c>
      <c r="C33547" s="5" t="str">
        <f>IFERROR(__xludf.DUMMYFUNCTION("GOOGLETRANSLATE(B33547,""en"",""de"")"),"Die beiden Sumo -Wrestler gehen aus dem Ring und werfen erneut mehr Pulver.")</f>
        <v>Die beiden Sumo -Wrestler gehen aus dem Ring und werfen erneut mehr Pulver.</v>
      </c>
    </row>
    <row r="33548">
      <c r="A33548" s="4" t="s">
        <v>42215</v>
      </c>
      <c r="B33548" s="4" t="s">
        <v>42222</v>
      </c>
      <c r="C33548" s="5" t="str">
        <f>IFERROR(__xludf.DUMMYFUNCTION("GOOGLETRANSLATE(B33548,""en"",""de"")"),"Sie kollidieren ineinander und zurück.")</f>
        <v>Sie kollidieren ineinander und zurück.</v>
      </c>
    </row>
    <row r="33549">
      <c r="A33549" s="4" t="s">
        <v>42215</v>
      </c>
      <c r="B33549" s="4" t="s">
        <v>42223</v>
      </c>
      <c r="C33549" s="5" t="str">
        <f>IFERROR(__xludf.DUMMYFUNCTION("GOOGLETRANSLATE(B33549,""en"",""de"")"),"Sie kollidieren wieder ineinander und beginnen zu ringen.")</f>
        <v>Sie kollidieren wieder ineinander und beginnen zu ringen.</v>
      </c>
    </row>
    <row r="33550">
      <c r="A33550" s="4" t="s">
        <v>42215</v>
      </c>
      <c r="B33550" s="4" t="s">
        <v>42224</v>
      </c>
      <c r="C33550" s="5" t="str">
        <f>IFERROR(__xludf.DUMMYFUNCTION("GOOGLETRANSLATE(B33550,""en"",""de"")"),"Der Mann in schwarzen Sumo -Shorts wirft den anderen Mann aus dem Ring.")</f>
        <v>Der Mann in schwarzen Sumo -Shorts wirft den anderen Mann aus dem Ring.</v>
      </c>
    </row>
    <row r="33551">
      <c r="A33551" s="4" t="s">
        <v>42215</v>
      </c>
      <c r="B33551" s="4" t="s">
        <v>42225</v>
      </c>
      <c r="C33551" s="5" t="str">
        <f>IFERROR(__xludf.DUMMYFUNCTION("GOOGLETRANSLATE(B33551,""en"",""de"")"),"Sie verbeugen sich und der Verlierer verlässt den Ring.")</f>
        <v>Sie verbeugen sich und der Verlierer verlässt den Ring.</v>
      </c>
    </row>
    <row r="33552">
      <c r="A33552" s="4" t="s">
        <v>42226</v>
      </c>
      <c r="B33552" s="4" t="s">
        <v>42227</v>
      </c>
      <c r="C33552" s="5" t="str">
        <f>IFERROR(__xludf.DUMMYFUNCTION("GOOGLETRANSLATE(B33552,""en"",""de"")"),"Ein Mann beugt sich mehrmals hintereinander ein schweres Gewicht und setzt es ab.")</f>
        <v>Ein Mann beugt sich mehrmals hintereinander ein schweres Gewicht und setzt es ab.</v>
      </c>
    </row>
    <row r="33553">
      <c r="A33553" s="4" t="s">
        <v>42226</v>
      </c>
      <c r="B33553" s="4" t="s">
        <v>42228</v>
      </c>
      <c r="C33553" s="5" t="str">
        <f>IFERROR(__xludf.DUMMYFUNCTION("GOOGLETRANSLATE(B33553,""en"",""de"")"),"Ein Mann misst die Armlänge eines anderen Mannes.")</f>
        <v>Ein Mann misst die Armlänge eines anderen Mannes.</v>
      </c>
    </row>
    <row r="33554">
      <c r="A33554" s="4" t="s">
        <v>42226</v>
      </c>
      <c r="B33554" s="4" t="s">
        <v>42229</v>
      </c>
      <c r="C33554" s="5" t="str">
        <f>IFERROR(__xludf.DUMMYFUNCTION("GOOGLETRANSLATE(B33554,""en"",""de"")"),"Der Mann misst die Länge des Gewichtsbalkens.")</f>
        <v>Der Mann misst die Länge des Gewichtsbalkens.</v>
      </c>
    </row>
    <row r="33555">
      <c r="A33555" s="4" t="s">
        <v>42230</v>
      </c>
      <c r="B33555" s="4" t="s">
        <v>573</v>
      </c>
      <c r="C33555" s="5" t="str">
        <f>IFERROR(__xludf.DUMMYFUNCTION("GOOGLETRANSLATE(B33555,""en"",""de"")"),"Die Credits des Videos werden angezeigt.")</f>
        <v>Die Credits des Videos werden angezeigt.</v>
      </c>
    </row>
    <row r="33556">
      <c r="A33556" s="4" t="s">
        <v>42230</v>
      </c>
      <c r="B33556" s="4" t="s">
        <v>42231</v>
      </c>
      <c r="C33556" s="5" t="str">
        <f>IFERROR(__xludf.DUMMYFUNCTION("GOOGLETRANSLATE(B33556,""en"",""de"")"),"Ein Mann steht mit Bogen und Pfeil.")</f>
        <v>Ein Mann steht mit Bogen und Pfeil.</v>
      </c>
    </row>
    <row r="33557">
      <c r="A33557" s="4" t="s">
        <v>42230</v>
      </c>
      <c r="B33557" s="4" t="s">
        <v>42232</v>
      </c>
      <c r="C33557" s="5" t="str">
        <f>IFERROR(__xludf.DUMMYFUNCTION("GOOGLETRANSLATE(B33557,""en"",""de"")"),"Ein Mann schießt einen Pfeil aus dem Bogen.")</f>
        <v>Ein Mann schießt einen Pfeil aus dem Bogen.</v>
      </c>
    </row>
    <row r="33558">
      <c r="A33558" s="4" t="s">
        <v>42230</v>
      </c>
      <c r="B33558" s="4" t="s">
        <v>42233</v>
      </c>
      <c r="C33558" s="5" t="str">
        <f>IFERROR(__xludf.DUMMYFUNCTION("GOOGLETRANSLATE(B33558,""en"",""de"")"),"Der Kredit des Clips wird angezeigt.")</f>
        <v>Der Kredit des Clips wird angezeigt.</v>
      </c>
    </row>
    <row r="33559">
      <c r="A33559" s="4" t="s">
        <v>42230</v>
      </c>
      <c r="B33559" s="4" t="s">
        <v>42234</v>
      </c>
      <c r="C33559" s="5" t="str">
        <f>IFERROR(__xludf.DUMMYFUNCTION("GOOGLETRANSLATE(B33559,""en"",""de"")"),"Ein Typ spricht mit Mund und Hand.")</f>
        <v>Ein Typ spricht mit Mund und Hand.</v>
      </c>
    </row>
    <row r="33560">
      <c r="A33560" s="4" t="s">
        <v>42230</v>
      </c>
      <c r="B33560" s="4" t="s">
        <v>42235</v>
      </c>
      <c r="C33560" s="5" t="str">
        <f>IFERROR(__xludf.DUMMYFUNCTION("GOOGLETRANSLATE(B33560,""en"",""de"")"),"Eine verlängerte Hand, die einen Stift hält, wird auf einem geteilten Bildschirm angezeigt.")</f>
        <v>Eine verlängerte Hand, die einen Stift hält, wird auf einem geteilten Bildschirm angezeigt.</v>
      </c>
    </row>
    <row r="33561">
      <c r="A33561" s="4" t="s">
        <v>42230</v>
      </c>
      <c r="B33561" s="4" t="s">
        <v>42236</v>
      </c>
      <c r="C33561" s="5" t="str">
        <f>IFERROR(__xludf.DUMMYFUNCTION("GOOGLETRANSLATE(B33561,""en"",""de"")"),"Mehrere Pfeile treffen das Ziel.")</f>
        <v>Mehrere Pfeile treffen das Ziel.</v>
      </c>
    </row>
    <row r="33562">
      <c r="A33562" s="4" t="s">
        <v>42230</v>
      </c>
      <c r="B33562" s="4" t="s">
        <v>42237</v>
      </c>
      <c r="C33562" s="5" t="str">
        <f>IFERROR(__xludf.DUMMYFUNCTION("GOOGLETRANSLATE(B33562,""en"",""de"")"),"Ein Pfeil geht durch das Loch eines Donuts.")</f>
        <v>Ein Pfeil geht durch das Loch eines Donuts.</v>
      </c>
    </row>
    <row r="33563">
      <c r="A33563" s="4" t="s">
        <v>42230</v>
      </c>
      <c r="B33563" s="4" t="s">
        <v>42238</v>
      </c>
      <c r="C33563" s="5" t="str">
        <f>IFERROR(__xludf.DUMMYFUNCTION("GOOGLETRANSLATE(B33563,""en"",""de"")"),"Ein Pfeil schneidet die Schnur, die einen Apfel hält.")</f>
        <v>Ein Pfeil schneidet die Schnur, die einen Apfel hält.</v>
      </c>
    </row>
    <row r="33564">
      <c r="A33564" s="4" t="s">
        <v>42230</v>
      </c>
      <c r="B33564" s="4" t="s">
        <v>42239</v>
      </c>
      <c r="C33564" s="5" t="str">
        <f>IFERROR(__xludf.DUMMYFUNCTION("GOOGLETRANSLATE(B33564,""en"",""de"")"),"Ein Pfeil geht durch das Loch einer CD.")</f>
        <v>Ein Pfeil geht durch das Loch einer CD.</v>
      </c>
    </row>
    <row r="33565">
      <c r="A33565" s="4" t="s">
        <v>42230</v>
      </c>
      <c r="B33565" s="4" t="s">
        <v>42240</v>
      </c>
      <c r="C33565" s="5" t="str">
        <f>IFERROR(__xludf.DUMMYFUNCTION("GOOGLETRANSLATE(B33565,""en"",""de"")"),"Die Gutschrift des Clips wird präsentiert.")</f>
        <v>Die Gutschrift des Clips wird präsentiert.</v>
      </c>
    </row>
    <row r="33566">
      <c r="A33566" s="4" t="s">
        <v>42230</v>
      </c>
      <c r="B33566" s="4" t="s">
        <v>29120</v>
      </c>
      <c r="C33566" s="5" t="str">
        <f>IFERROR(__xludf.DUMMYFUNCTION("GOOGLETRANSLATE(B33566,""en"",""de"")"),"Ein Typ spricht beim Gegenwesen.")</f>
        <v>Ein Typ spricht beim Gegenwesen.</v>
      </c>
    </row>
    <row r="33567">
      <c r="A33567" s="4" t="s">
        <v>42230</v>
      </c>
      <c r="B33567" s="4" t="s">
        <v>42241</v>
      </c>
      <c r="C33567" s="5" t="str">
        <f>IFERROR(__xludf.DUMMYFUNCTION("GOOGLETRANSLATE(B33567,""en"",""de"")"),"Credits des Videos werden angezeigt.")</f>
        <v>Credits des Videos werden angezeigt.</v>
      </c>
    </row>
    <row r="33568">
      <c r="A33568" s="4" t="s">
        <v>42242</v>
      </c>
      <c r="B33568" s="4" t="s">
        <v>42243</v>
      </c>
      <c r="C33568" s="5" t="str">
        <f>IFERROR(__xludf.DUMMYFUNCTION("GOOGLETRANSLATE(B33568,""en"",""de"")"),"Zwei Männer spielen Billard, während sie abwechselnd den Ball mit einem Stock schlagen, während ein Mann allein im Rücken Billard spielt.")</f>
        <v>Zwei Männer spielen Billard, während sie abwechselnd den Ball mit einem Stock schlagen, während ein Mann allein im Rücken Billard spielt.</v>
      </c>
    </row>
    <row r="33569">
      <c r="A33569" s="4" t="s">
        <v>42242</v>
      </c>
      <c r="B33569" s="4" t="s">
        <v>42244</v>
      </c>
      <c r="C33569" s="5" t="str">
        <f>IFERROR(__xludf.DUMMYFUNCTION("GOOGLETRANSLATE(B33569,""en"",""de"")"),"Ein Mann und ein Kind gehen in einem Wohnzimmer auf dem Tischbecken in einem Wohnzimmer.")</f>
        <v>Ein Mann und ein Kind gehen in einem Wohnzimmer auf dem Tischbecken in einem Wohnzimmer.</v>
      </c>
    </row>
    <row r="33570">
      <c r="A33570" s="4" t="s">
        <v>42242</v>
      </c>
      <c r="B33570" s="4" t="s">
        <v>42245</v>
      </c>
      <c r="C33570" s="5" t="str">
        <f>IFERROR(__xludf.DUMMYFUNCTION("GOOGLETRANSLATE(B33570,""en"",""de"")"),"Eine Frau geht mit einem Stock neben den Männern.")</f>
        <v>Eine Frau geht mit einem Stock neben den Männern.</v>
      </c>
    </row>
    <row r="33571">
      <c r="A33571" s="4" t="s">
        <v>42246</v>
      </c>
      <c r="B33571" s="4" t="s">
        <v>42247</v>
      </c>
      <c r="C33571" s="5" t="str">
        <f>IFERROR(__xludf.DUMMYFUNCTION("GOOGLETRANSLATE(B33571,""en"",""de"")"),"Ein Mann spricht mit der Kamera, gefolgt von mehreren Bildern bärtiger Männer.")</f>
        <v>Ein Mann spricht mit der Kamera, gefolgt von mehreren Bildern bärtiger Männer.</v>
      </c>
    </row>
    <row r="33572">
      <c r="A33572" s="4" t="s">
        <v>42246</v>
      </c>
      <c r="B33572" s="4" t="s">
        <v>42248</v>
      </c>
      <c r="C33572" s="5" t="str">
        <f>IFERROR(__xludf.DUMMYFUNCTION("GOOGLETRANSLATE(B33572,""en"",""de"")"),"Der Mann beginnt dann eine Schere im Gesicht zu verwenden, während er Papierstücke hochhält.")</f>
        <v>Der Mann beginnt dann eine Schere im Gesicht zu verwenden, während er Papierstücke hochhält.</v>
      </c>
    </row>
    <row r="33573">
      <c r="A33573" s="4" t="s">
        <v>42246</v>
      </c>
      <c r="B33573" s="4" t="s">
        <v>42249</v>
      </c>
      <c r="C33573" s="5" t="str">
        <f>IFERROR(__xludf.DUMMYFUNCTION("GOOGLETRANSLATE(B33573,""en"",""de"")"),"Der Mann rasiert weiterhin sein Gesicht und endet, indem er zur Kamera winkt.")</f>
        <v>Der Mann rasiert weiterhin sein Gesicht und endet, indem er zur Kamera winkt.</v>
      </c>
    </row>
    <row r="33574">
      <c r="A33574" s="4" t="s">
        <v>42250</v>
      </c>
      <c r="B33574" s="4" t="s">
        <v>42251</v>
      </c>
      <c r="C33574" s="5" t="str">
        <f>IFERROR(__xludf.DUMMYFUNCTION("GOOGLETRANSLATE(B33574,""en"",""de"")"),"Ein kleiner Junge spricht mit der Kamera und zeigt schließlich seine Hände bewegende Objekte.")</f>
        <v>Ein kleiner Junge spricht mit der Kamera und zeigt schließlich seine Hände bewegende Objekte.</v>
      </c>
    </row>
    <row r="33575">
      <c r="A33575" s="4" t="s">
        <v>42250</v>
      </c>
      <c r="B33575" s="4" t="s">
        <v>42252</v>
      </c>
      <c r="C33575" s="5" t="str">
        <f>IFERROR(__xludf.DUMMYFUNCTION("GOOGLETRANSLATE(B33575,""en"",""de"")"),"Er legt die Objekte zusammen und beginnt, die Seiten mit einem scharfen Messer zu rasieren.")</f>
        <v>Er legt die Objekte zusammen und beginnt, die Seiten mit einem scharfen Messer zu rasieren.</v>
      </c>
    </row>
    <row r="33576">
      <c r="A33576" s="4" t="s">
        <v>42250</v>
      </c>
      <c r="B33576" s="4" t="s">
        <v>42253</v>
      </c>
      <c r="C33576" s="5" t="str">
        <f>IFERROR(__xludf.DUMMYFUNCTION("GOOGLETRANSLATE(B33576,""en"",""de"")"),"Er schärft das Objekt weiter und zeigt das Messer, das über seine nackte Haut läuft.")</f>
        <v>Er schärft das Objekt weiter und zeigt das Messer, das über seine nackte Haut läuft.</v>
      </c>
    </row>
    <row r="33577">
      <c r="A33577" s="4" t="s">
        <v>42254</v>
      </c>
      <c r="B33577" s="4" t="s">
        <v>42255</v>
      </c>
      <c r="C33577" s="5" t="str">
        <f>IFERROR(__xludf.DUMMYFUNCTION("GOOGLETRANSLATE(B33577,""en"",""de"")"),"Zwei Männer in Basketball -Shorts spielen Schläger.")</f>
        <v>Zwei Männer in Basketball -Shorts spielen Schläger.</v>
      </c>
    </row>
    <row r="33578">
      <c r="A33578" s="4" t="s">
        <v>42254</v>
      </c>
      <c r="B33578" s="4" t="s">
        <v>2779</v>
      </c>
      <c r="C33578" s="5" t="str">
        <f>IFERROR(__xludf.DUMMYFUNCTION("GOOGLETRANSLATE(B33578,""en"",""de"")"),"Sie schlugen den Ball gegen die Wand hin und her.")</f>
        <v>Sie schlugen den Ball gegen die Wand hin und her.</v>
      </c>
    </row>
    <row r="33579">
      <c r="A33579" s="4" t="s">
        <v>42254</v>
      </c>
      <c r="B33579" s="4" t="s">
        <v>42256</v>
      </c>
      <c r="C33579" s="5" t="str">
        <f>IFERROR(__xludf.DUMMYFUNCTION("GOOGLETRANSLATE(B33579,""en"",""de"")"),"Die Männer dienen weiter und schlägen dann und geben sich dann gegenseitig zurück.")</f>
        <v>Die Männer dienen weiter und schlägen dann und geben sich dann gegenseitig zurück.</v>
      </c>
    </row>
    <row r="33580">
      <c r="A33580" s="4" t="s">
        <v>42254</v>
      </c>
      <c r="B33580" s="4" t="s">
        <v>42257</v>
      </c>
      <c r="C33580" s="5" t="str">
        <f>IFERROR(__xludf.DUMMYFUNCTION("GOOGLETRANSLATE(B33580,""en"",""de"")"),"Sie machen eine kurze Pause, nachdem ein Mann erzielt wurde.")</f>
        <v>Sie machen eine kurze Pause, nachdem ein Mann erzielt wurde.</v>
      </c>
    </row>
    <row r="33581">
      <c r="A33581" s="4" t="s">
        <v>42254</v>
      </c>
      <c r="B33581" s="4" t="s">
        <v>42258</v>
      </c>
      <c r="C33581" s="5" t="str">
        <f>IFERROR(__xludf.DUMMYFUNCTION("GOOGLETRANSLATE(B33581,""en"",""de"")"),"Sie spielen weiter und dienen.")</f>
        <v>Sie spielen weiter und dienen.</v>
      </c>
    </row>
    <row r="33582">
      <c r="A33582" s="4" t="s">
        <v>42259</v>
      </c>
      <c r="B33582" s="4" t="s">
        <v>42260</v>
      </c>
      <c r="C33582" s="5" t="str">
        <f>IFERROR(__xludf.DUMMYFUNCTION("GOOGLETRANSLATE(B33582,""en"",""de"")"),"Ein Kickball -Spieler tritt in einer großen Arena auf den Ball auf den Ball.")</f>
        <v>Ein Kickball -Spieler tritt in einer großen Arena auf den Ball auf den Ball.</v>
      </c>
    </row>
    <row r="33583">
      <c r="A33583" s="4" t="s">
        <v>42259</v>
      </c>
      <c r="B33583" s="4" t="s">
        <v>42261</v>
      </c>
      <c r="C33583" s="5" t="str">
        <f>IFERROR(__xludf.DUMMYFUNCTION("GOOGLETRANSLATE(B33583,""en"",""de"")"),"Der Spieler läuft an der ersten Basis vorbei.")</f>
        <v>Der Spieler läuft an der ersten Basis vorbei.</v>
      </c>
    </row>
    <row r="33584">
      <c r="A33584" s="4" t="s">
        <v>42259</v>
      </c>
      <c r="B33584" s="4" t="s">
        <v>42262</v>
      </c>
      <c r="C33584" s="5" t="str">
        <f>IFERROR(__xludf.DUMMYFUNCTION("GOOGLETRANSLATE(B33584,""en"",""de"")"),"Der Spieler kommt dann zur ersten Basis zurück und setzt seinen Fuß darauf.")</f>
        <v>Der Spieler kommt dann zur ersten Basis zurück und setzt seinen Fuß darauf.</v>
      </c>
    </row>
    <row r="33585">
      <c r="A33585" s="4" t="s">
        <v>42263</v>
      </c>
      <c r="B33585" s="4" t="s">
        <v>42264</v>
      </c>
      <c r="C33585" s="5" t="str">
        <f>IFERROR(__xludf.DUMMYFUNCTION("GOOGLETRANSLATE(B33585,""en"",""de"")"),"Es gibt einen Gitarristen in einem grünen Hemd, das zeigt, wie man eine Akustikgitarre spielt.")</f>
        <v>Es gibt einen Gitarristen in einem grünen Hemd, das zeigt, wie man eine Akustikgitarre spielt.</v>
      </c>
    </row>
    <row r="33586">
      <c r="A33586" s="4" t="s">
        <v>42263</v>
      </c>
      <c r="B33586" s="4" t="s">
        <v>42265</v>
      </c>
      <c r="C33586" s="5" t="str">
        <f>IFERROR(__xludf.DUMMYFUNCTION("GOOGLETRANSLATE(B33586,""en"",""de"")"),"Es werden verschiedene Arten von Gitarren aus einer Vielzahl von Holz gezeigt.")</f>
        <v>Es werden verschiedene Arten von Gitarren aus einer Vielzahl von Holz gezeigt.</v>
      </c>
    </row>
    <row r="33587">
      <c r="A33587" s="4" t="s">
        <v>42263</v>
      </c>
      <c r="B33587" s="4" t="s">
        <v>42266</v>
      </c>
      <c r="C33587" s="5" t="str">
        <f>IFERROR(__xludf.DUMMYFUNCTION("GOOGLETRANSLATE(B33587,""en"",""de"")"),"Der Gitarrist spielt mit seiner Wahl die Gitarre, als er seine Musik spielt.")</f>
        <v>Der Gitarrist spielt mit seiner Wahl die Gitarre, als er seine Musik spielt.</v>
      </c>
    </row>
    <row r="33588">
      <c r="A33588" s="4" t="s">
        <v>42263</v>
      </c>
      <c r="B33588" s="4" t="s">
        <v>42267</v>
      </c>
      <c r="C33588" s="5" t="str">
        <f>IFERROR(__xludf.DUMMYFUNCTION("GOOGLETRANSLATE(B33588,""en"",""de"")"),"Es gibt Bilder des Gitarrenladens und die Arten von Gitarren, die das Scrollen durch den unteren Bildschirmrollen verkauft haben.")</f>
        <v>Es gibt Bilder des Gitarrenladens und die Arten von Gitarren, die das Scrollen durch den unteren Bildschirmrollen verkauft haben.</v>
      </c>
    </row>
    <row r="33589">
      <c r="A33589" s="4" t="s">
        <v>42263</v>
      </c>
      <c r="B33589" s="4" t="s">
        <v>42268</v>
      </c>
      <c r="C33589" s="5" t="str">
        <f>IFERROR(__xludf.DUMMYFUNCTION("GOOGLETRANSLATE(B33589,""en"",""de"")"),"Der Gitarrist spielt weiterhin seine Gitarre.")</f>
        <v>Der Gitarrist spielt weiterhin seine Gitarre.</v>
      </c>
    </row>
    <row r="33590">
      <c r="A33590" s="4" t="s">
        <v>42269</v>
      </c>
      <c r="B33590" s="4" t="s">
        <v>42270</v>
      </c>
      <c r="C33590" s="5" t="str">
        <f>IFERROR(__xludf.DUMMYFUNCTION("GOOGLETRANSLATE(B33590,""en"",""de"")"),"Eine kleine Gruppe von Menschen schwimmt um einen Pool, der einen Ball herumwirft, während mehrere Menschen an den Seiten zuschauen.")</f>
        <v>Eine kleine Gruppe von Menschen schwimmt um einen Pool, der einen Ball herumwirft, während mehrere Menschen an den Seiten zuschauen.</v>
      </c>
    </row>
    <row r="33591">
      <c r="A33591" s="4" t="s">
        <v>42269</v>
      </c>
      <c r="B33591" s="4" t="s">
        <v>42271</v>
      </c>
      <c r="C33591" s="5" t="str">
        <f>IFERROR(__xludf.DUMMYFUNCTION("GOOGLETRANSLATE(B33591,""en"",""de"")"),"Die Leute werfen den Ball weiterhin zueinander, während die Kamera das Spiel fängt.")</f>
        <v>Die Leute werfen den Ball weiterhin zueinander, während die Kamera das Spiel fängt.</v>
      </c>
    </row>
    <row r="33592">
      <c r="A33592" s="4" t="s">
        <v>42272</v>
      </c>
      <c r="B33592" s="4" t="s">
        <v>42273</v>
      </c>
      <c r="C33592" s="5" t="str">
        <f>IFERROR(__xludf.DUMMYFUNCTION("GOOGLETRANSLATE(B33592,""en"",""de"")"),"Drei Kampfkünstler mit schwarzen Gürteln zeigen eine Demonstration für jüngere Kinder.")</f>
        <v>Drei Kampfkünstler mit schwarzen Gürteln zeigen eine Demonstration für jüngere Kinder.</v>
      </c>
    </row>
    <row r="33593">
      <c r="A33593" s="4" t="s">
        <v>42272</v>
      </c>
      <c r="B33593" s="4" t="s">
        <v>42274</v>
      </c>
      <c r="C33593" s="5" t="str">
        <f>IFERROR(__xludf.DUMMYFUNCTION("GOOGLETRANSLATE(B33593,""en"",""de"")"),"Sie springen und treten uns dann miteinander.")</f>
        <v>Sie springen und treten uns dann miteinander.</v>
      </c>
    </row>
    <row r="33594">
      <c r="A33594" s="4" t="s">
        <v>42275</v>
      </c>
      <c r="B33594" s="4" t="s">
        <v>42276</v>
      </c>
      <c r="C33594" s="5" t="str">
        <f>IFERROR(__xludf.DUMMYFUNCTION("GOOGLETRANSLATE(B33594,""en"",""de"")"),"Ein sportlicher Mann schwimmt auf einem Paddelbrett herum, während ein anderer Mann zurückkommt und ihn hilft.")</f>
        <v>Ein sportlicher Mann schwimmt auf einem Paddelbrett herum, während ein anderer Mann zurückkommt und ihn hilft.</v>
      </c>
    </row>
    <row r="33595">
      <c r="A33595" s="4" t="s">
        <v>42275</v>
      </c>
      <c r="B33595" s="4" t="s">
        <v>42277</v>
      </c>
      <c r="C33595" s="5" t="str">
        <f>IFERROR(__xludf.DUMMYFUNCTION("GOOGLETRANSLATE(B33595,""en"",""de"")"),"Dann dreht er den Mann nach vorne und der Mann zeigt, wie man sich zurückblättert.")</f>
        <v>Dann dreht er den Mann nach vorne und der Mann zeigt, wie man sich zurückblättert.</v>
      </c>
    </row>
    <row r="33596">
      <c r="A33596" s="4" t="s">
        <v>42275</v>
      </c>
      <c r="B33596" s="4" t="s">
        <v>42278</v>
      </c>
      <c r="C33596" s="5" t="str">
        <f>IFERROR(__xludf.DUMMYFUNCTION("GOOGLETRANSLATE(B33596,""en"",""de"")"),"Sie tun dies noch mehrmals, um sich mit dem Umzug wohler zu fühlen.")</f>
        <v>Sie tun dies noch mehrmals, um sich mit dem Umzug wohler zu fühlen.</v>
      </c>
    </row>
    <row r="33597">
      <c r="A33597" s="4" t="s">
        <v>42279</v>
      </c>
      <c r="B33597" s="4" t="s">
        <v>42280</v>
      </c>
      <c r="C33597" s="5" t="str">
        <f>IFERROR(__xludf.DUMMYFUNCTION("GOOGLETRANSLATE(B33597,""en"",""de"")"),"In einem Floß segeln sechs bis acht Menschen einen turbulenten Wasserstrom hinunter.")</f>
        <v>In einem Floß segeln sechs bis acht Menschen einen turbulenten Wasserstrom hinunter.</v>
      </c>
    </row>
    <row r="33598">
      <c r="A33598" s="4" t="s">
        <v>42279</v>
      </c>
      <c r="B33598" s="4" t="s">
        <v>42281</v>
      </c>
      <c r="C33598" s="5" t="str">
        <f>IFERROR(__xludf.DUMMYFUNCTION("GOOGLETRANSLATE(B33598,""en"",""de"")"),"Sie sind alle in roten Zahnrädern und gelben Helmen gekleidet.")</f>
        <v>Sie sind alle in roten Zahnrädern und gelben Helmen gekleidet.</v>
      </c>
    </row>
    <row r="33599">
      <c r="A33599" s="4" t="s">
        <v>42279</v>
      </c>
      <c r="B33599" s="4" t="s">
        <v>42282</v>
      </c>
      <c r="C33599" s="5" t="str">
        <f>IFERROR(__xludf.DUMMYFUNCTION("GOOGLETRANSLATE(B33599,""en"",""de"")"),"Sie benutzen die Ruder, um sich die Stromschnellen hinunter zu segeln.")</f>
        <v>Sie benutzen die Ruder, um sich die Stromschnellen hinunter zu segeln.</v>
      </c>
    </row>
    <row r="33600">
      <c r="A33600" s="4" t="s">
        <v>42279</v>
      </c>
      <c r="B33600" s="4" t="s">
        <v>42283</v>
      </c>
      <c r="C33600" s="5" t="str">
        <f>IFERROR(__xludf.DUMMYFUNCTION("GOOGLETRANSLATE(B33600,""en"",""de"")"),"Sie bemühen sich, im turbulenten Wasser über Wasser zu bleiben, da das Boot holprig durch die Stromschnellen wird.")</f>
        <v>Sie bemühen sich, im turbulenten Wasser über Wasser zu bleiben, da das Boot holprig durch die Stromschnellen wird.</v>
      </c>
    </row>
    <row r="33601">
      <c r="A33601" s="4" t="s">
        <v>42279</v>
      </c>
      <c r="B33601" s="4" t="s">
        <v>42284</v>
      </c>
      <c r="C33601" s="5" t="str">
        <f>IFERROR(__xludf.DUMMYFUNCTION("GOOGLETRANSLATE(B33601,""en"",""de"")"),"Während sie durchsehen, stoßen sie auf eine andere Gruppe von Sparren in denselben Stromschnellen.")</f>
        <v>Während sie durchsehen, stoßen sie auf eine andere Gruppe von Sparren in denselben Stromschnellen.</v>
      </c>
    </row>
    <row r="33602">
      <c r="A33602" s="4" t="s">
        <v>42279</v>
      </c>
      <c r="B33602" s="4" t="s">
        <v>42285</v>
      </c>
      <c r="C33602" s="5" t="str">
        <f>IFERROR(__xludf.DUMMYFUNCTION("GOOGLETRANSLATE(B33602,""en"",""de"")"),"Sie setzen ihre Reise durch das raue Wasser der Stromschnellen fort.")</f>
        <v>Sie setzen ihre Reise durch das raue Wasser der Stromschnellen fort.</v>
      </c>
    </row>
    <row r="33603">
      <c r="A33603" s="4" t="s">
        <v>42286</v>
      </c>
      <c r="B33603" s="4" t="s">
        <v>42287</v>
      </c>
      <c r="C33603" s="5" t="str">
        <f>IFERROR(__xludf.DUMMYFUNCTION("GOOGLETRANSLATE(B33603,""en"",""de"")"),"Eine Gruppe von Läufern läuft im Marathon.")</f>
        <v>Eine Gruppe von Läufern läuft im Marathon.</v>
      </c>
    </row>
    <row r="33604">
      <c r="A33604" s="4" t="s">
        <v>42286</v>
      </c>
      <c r="B33604" s="4" t="s">
        <v>42288</v>
      </c>
      <c r="C33604" s="5" t="str">
        <f>IFERROR(__xludf.DUMMYFUNCTION("GOOGLETRANSLATE(B33604,""en"",""de"")"),"Ein Mann hoher Fives eine Frau in einer Menschenmenge.")</f>
        <v>Ein Mann hoher Fives eine Frau in einer Menschenmenge.</v>
      </c>
    </row>
    <row r="33605">
      <c r="A33605" s="4" t="s">
        <v>42286</v>
      </c>
      <c r="B33605" s="4" t="s">
        <v>42289</v>
      </c>
      <c r="C33605" s="5" t="str">
        <f>IFERROR(__xludf.DUMMYFUNCTION("GOOGLETRANSLATE(B33605,""en"",""de"")"),"Die Menge um sie herum jubelt.")</f>
        <v>Die Menge um sie herum jubelt.</v>
      </c>
    </row>
    <row r="33606">
      <c r="A33606" s="4" t="s">
        <v>42286</v>
      </c>
      <c r="B33606" s="4" t="s">
        <v>42290</v>
      </c>
      <c r="C33606" s="5" t="str">
        <f>IFERROR(__xludf.DUMMYFUNCTION("GOOGLETRANSLATE(B33606,""en"",""de"")"),"Eine Frau im weißen Hut geht seltsam.")</f>
        <v>Eine Frau im weißen Hut geht seltsam.</v>
      </c>
    </row>
    <row r="33607">
      <c r="A33607" s="4" t="s">
        <v>42286</v>
      </c>
      <c r="B33607" s="4" t="s">
        <v>42291</v>
      </c>
      <c r="C33607" s="5" t="str">
        <f>IFERROR(__xludf.DUMMYFUNCTION("GOOGLETRANSLATE(B33607,""en"",""de"")"),"Eine andere Frau in einem weißen Hut fällt zu Boden.")</f>
        <v>Eine andere Frau in einem weißen Hut fällt zu Boden.</v>
      </c>
    </row>
    <row r="33608">
      <c r="A33608" s="4" t="s">
        <v>42286</v>
      </c>
      <c r="B33608" s="4" t="s">
        <v>42292</v>
      </c>
      <c r="C33608" s="5" t="str">
        <f>IFERROR(__xludf.DUMMYFUNCTION("GOOGLETRANSLATE(B33608,""en"",""de"")"),"Die andere Frau im Hut fällt auch.")</f>
        <v>Die andere Frau im Hut fällt auch.</v>
      </c>
    </row>
    <row r="33609">
      <c r="A33609" s="4" t="s">
        <v>42286</v>
      </c>
      <c r="B33609" s="4" t="s">
        <v>42293</v>
      </c>
      <c r="C33609" s="5" t="str">
        <f>IFERROR(__xludf.DUMMYFUNCTION("GOOGLETRANSLATE(B33609,""en"",""de"")"),"Beide versuchen aufzustehen, aber sie fallen immer wieder hin.")</f>
        <v>Beide versuchen aufzustehen, aber sie fallen immer wieder hin.</v>
      </c>
    </row>
    <row r="33610">
      <c r="A33610" s="4" t="s">
        <v>42286</v>
      </c>
      <c r="B33610" s="4" t="s">
        <v>42294</v>
      </c>
      <c r="C33610" s="5" t="str">
        <f>IFERROR(__xludf.DUMMYFUNCTION("GOOGLETRANSLATE(B33610,""en"",""de"")"),"Eine der Frauen beginnt bis zur Ziellinie zu kriechen.")</f>
        <v>Eine der Frauen beginnt bis zur Ziellinie zu kriechen.</v>
      </c>
    </row>
    <row r="33611">
      <c r="A33611" s="4" t="s">
        <v>42286</v>
      </c>
      <c r="B33611" s="4" t="s">
        <v>42295</v>
      </c>
      <c r="C33611" s="5" t="str">
        <f>IFERROR(__xludf.DUMMYFUNCTION("GOOGLETRANSLATE(B33611,""en"",""de"")"),"Die andere Frau folgt ihr.")</f>
        <v>Die andere Frau folgt ihr.</v>
      </c>
    </row>
    <row r="33612">
      <c r="A33612" s="4" t="s">
        <v>42286</v>
      </c>
      <c r="B33612" s="4" t="s">
        <v>42296</v>
      </c>
      <c r="C33612" s="5" t="str">
        <f>IFERROR(__xludf.DUMMYFUNCTION("GOOGLETRANSLATE(B33612,""en"",""de"")"),"Ein Mann hebt eine der Frauen und umarmt sie.")</f>
        <v>Ein Mann hebt eine der Frauen und umarmt sie.</v>
      </c>
    </row>
    <row r="33613">
      <c r="A33613" s="4" t="s">
        <v>42297</v>
      </c>
      <c r="B33613" s="4" t="s">
        <v>42298</v>
      </c>
      <c r="C33613" s="5" t="str">
        <f>IFERROR(__xludf.DUMMYFUNCTION("GOOGLETRANSLATE(B33613,""en"",""de"")"),"Eine Person legt sich auf eine Kegelbahn auf dem Boden.")</f>
        <v>Eine Person legt sich auf eine Kegelbahn auf dem Boden.</v>
      </c>
    </row>
    <row r="33614">
      <c r="A33614" s="4" t="s">
        <v>42297</v>
      </c>
      <c r="B33614" s="4" t="s">
        <v>42299</v>
      </c>
      <c r="C33614" s="5" t="str">
        <f>IFERROR(__xludf.DUMMYFUNCTION("GOOGLETRANSLATE(B33614,""en"",""de"")"),"Der Mann beginnt dann Pause auf dem Boden zu tanzen.")</f>
        <v>Der Mann beginnt dann Pause auf dem Boden zu tanzen.</v>
      </c>
    </row>
    <row r="33615">
      <c r="A33615" s="4" t="s">
        <v>42297</v>
      </c>
      <c r="B33615" s="4" t="s">
        <v>42300</v>
      </c>
      <c r="C33615" s="5" t="str">
        <f>IFERROR(__xludf.DUMMYFUNCTION("GOOGLETRANSLATE(B33615,""en"",""de"")"),"Der Mann kennt einen Ball auf einer Fahrspur und die Leute feiern.")</f>
        <v>Der Mann kennt einen Ball auf einer Fahrspur und die Leute feiern.</v>
      </c>
    </row>
    <row r="33616">
      <c r="A33616" s="4" t="s">
        <v>42301</v>
      </c>
      <c r="B33616" s="4" t="s">
        <v>42302</v>
      </c>
      <c r="C33616" s="5" t="str">
        <f>IFERROR(__xludf.DUMMYFUNCTION("GOOGLETRANSLATE(B33616,""en"",""de"")"),"Ein Mann steht vor einem Ping -Pong -Tisch und wirft einen Ball in die Ferne.")</f>
        <v>Ein Mann steht vor einem Ping -Pong -Tisch und wirft einen Ball in die Ferne.</v>
      </c>
    </row>
    <row r="33617">
      <c r="A33617" s="4" t="s">
        <v>42301</v>
      </c>
      <c r="B33617" s="4" t="s">
        <v>42303</v>
      </c>
      <c r="C33617" s="5" t="str">
        <f>IFERROR(__xludf.DUMMYFUNCTION("GOOGLETRANSLATE(B33617,""en"",""de"")"),"Ein Mann nimmt einen Drink und führt in die beiden, die mehr Bierpong spielen.")</f>
        <v>Ein Mann nimmt einen Drink und führt in die beiden, die mehr Bierpong spielen.</v>
      </c>
    </row>
    <row r="33618">
      <c r="A33618" s="4" t="s">
        <v>42301</v>
      </c>
      <c r="B33618" s="4" t="s">
        <v>42304</v>
      </c>
      <c r="C33618" s="5" t="str">
        <f>IFERROR(__xludf.DUMMYFUNCTION("GOOGLETRANSLATE(B33618,""en"",""de"")"),"Die Männer werfen den Ball zurück und den vierten zueinander, während sie zur Kamera lächeln.")</f>
        <v>Die Männer werfen den Ball zurück und den vierten zueinander, während sie zur Kamera lächeln.</v>
      </c>
    </row>
    <row r="33619">
      <c r="A33619" s="4" t="s">
        <v>42305</v>
      </c>
      <c r="B33619" s="4" t="s">
        <v>42306</v>
      </c>
      <c r="C33619" s="5" t="str">
        <f>IFERROR(__xludf.DUMMYFUNCTION("GOOGLETRANSLATE(B33619,""en"",""de"")"),"Die Menschen stehen auf einer farbenfrohen Matte.")</f>
        <v>Die Menschen stehen auf einer farbenfrohen Matte.</v>
      </c>
    </row>
    <row r="33620">
      <c r="A33620" s="4" t="s">
        <v>42305</v>
      </c>
      <c r="B33620" s="4" t="s">
        <v>42307</v>
      </c>
      <c r="C33620" s="5" t="str">
        <f>IFERROR(__xludf.DUMMYFUNCTION("GOOGLETRANSLATE(B33620,""en"",""de"")"),"Eine Frau macht einen Karatezug.")</f>
        <v>Eine Frau macht einen Karatezug.</v>
      </c>
    </row>
    <row r="33621">
      <c r="A33621" s="4" t="s">
        <v>42305</v>
      </c>
      <c r="B33621" s="4" t="s">
        <v>42308</v>
      </c>
      <c r="C33621" s="5" t="str">
        <f>IFERROR(__xludf.DUMMYFUNCTION("GOOGLETRANSLATE(B33621,""en"",""de"")"),"Ein Kind, das hinter ihr steht, hebt seine Hand.")</f>
        <v>Ein Kind, das hinter ihr steht, hebt seine Hand.</v>
      </c>
    </row>
    <row r="33622">
      <c r="A33622" s="4" t="s">
        <v>42309</v>
      </c>
      <c r="B33622" s="4" t="s">
        <v>42310</v>
      </c>
      <c r="C33622" s="5" t="str">
        <f>IFERROR(__xludf.DUMMYFUNCTION("GOOGLETRANSLATE(B33622,""en"",""de"")"),"Der Kameramann erfasst einen Blick auf ein strohgedecktes Dachhaus.")</f>
        <v>Der Kameramann erfasst einen Blick auf ein strohgedecktes Dachhaus.</v>
      </c>
    </row>
    <row r="33623">
      <c r="A33623" s="4" t="s">
        <v>42309</v>
      </c>
      <c r="B33623" s="4" t="s">
        <v>42311</v>
      </c>
      <c r="C33623" s="5" t="str">
        <f>IFERROR(__xludf.DUMMYFUNCTION("GOOGLETRANSLATE(B33623,""en"",""de"")"),"Ein junges Mädchen in einer schwarzen Bluse und ein Mädchen in einem weißen Tanktop stehen in einem strohgedeckten Dachhaus und beobachtet zwei Frau, die den philippinischen Stil waschen.")</f>
        <v>Ein junges Mädchen in einer schwarzen Bluse und ein Mädchen in einem weißen Tanktop stehen in einem strohgedeckten Dachhaus und beobachtet zwei Frau, die den philippinischen Stil waschen.</v>
      </c>
    </row>
    <row r="33624">
      <c r="A33624" s="4" t="s">
        <v>42309</v>
      </c>
      <c r="B33624" s="4" t="s">
        <v>42312</v>
      </c>
      <c r="C33624" s="5" t="str">
        <f>IFERROR(__xludf.DUMMYFUNCTION("GOOGLETRANSLATE(B33624,""en"",""de"")"),"Ein Mädchen in einer rosa Bluse und ein Mädchen in einem weißen T-Shirt-Kleidung in großen Wannen direkt vor dem strohgedeckten Dachhaus.")</f>
        <v>Ein Mädchen in einer rosa Bluse und ein Mädchen in einem weißen T-Shirt-Kleidung in großen Wannen direkt vor dem strohgedeckten Dachhaus.</v>
      </c>
    </row>
    <row r="33625">
      <c r="A33625" s="4" t="s">
        <v>42309</v>
      </c>
      <c r="B33625" s="4" t="s">
        <v>42313</v>
      </c>
      <c r="C33625" s="5" t="str">
        <f>IFERROR(__xludf.DUMMYFUNCTION("GOOGLETRANSLATE(B33625,""en"",""de"")"),"Der Kameramann schwenkt die Vorderseite des Waschbereichs, während das Mädchen im weißen T-Shirt die Kleidung spült.")</f>
        <v>Der Kameramann schwenkt die Vorderseite des Waschbereichs, während das Mädchen im weißen T-Shirt die Kleidung spült.</v>
      </c>
    </row>
    <row r="33626">
      <c r="A33626" s="4" t="s">
        <v>42314</v>
      </c>
      <c r="B33626" s="4" t="s">
        <v>42315</v>
      </c>
      <c r="C33626" s="5" t="str">
        <f>IFERROR(__xludf.DUMMYFUNCTION("GOOGLETRANSLATE(B33626,""en"",""de"")"),"Eine Anzeige für Floorworks wird auf dem Bildschirm angezeigt.")</f>
        <v>Eine Anzeige für Floorworks wird auf dem Bildschirm angezeigt.</v>
      </c>
    </row>
    <row r="33627">
      <c r="A33627" s="4" t="s">
        <v>42314</v>
      </c>
      <c r="B33627" s="4" t="s">
        <v>42316</v>
      </c>
      <c r="C33627" s="5" t="str">
        <f>IFERROR(__xludf.DUMMYFUNCTION("GOOGLETRANSLATE(B33627,""en"",""de"")"),"Es wird ein Gästezimmer gezeigt, in dem die schmutzigen Teppiche angezeigt werden.")</f>
        <v>Es wird ein Gästezimmer gezeigt, in dem die schmutzigen Teppiche angezeigt werden.</v>
      </c>
    </row>
    <row r="33628">
      <c r="A33628" s="4" t="s">
        <v>42314</v>
      </c>
      <c r="B33628" s="4" t="s">
        <v>42317</v>
      </c>
      <c r="C33628" s="5" t="str">
        <f>IFERROR(__xludf.DUMMYFUNCTION("GOOGLETRANSLATE(B33628,""en"",""de"")"),"Männer werden gezeigt, dass sie die Böden durch Holzlatten ersetzen und reparieren, die keinen Kleber benötigen, um zu installieren.")</f>
        <v>Männer werden gezeigt, dass sie die Böden durch Holzlatten ersetzen und reparieren, die keinen Kleber benötigen, um zu installieren.</v>
      </c>
    </row>
    <row r="33629">
      <c r="A33629" s="4" t="s">
        <v>42314</v>
      </c>
      <c r="B33629" s="4" t="s">
        <v>42318</v>
      </c>
      <c r="C33629" s="5" t="str">
        <f>IFERROR(__xludf.DUMMYFUNCTION("GOOGLETRANSLATE(B33629,""en"",""de"")"),"Letzte Fotos werden von den neuen Holzböden im Gästezimmer gezeigt.")</f>
        <v>Letzte Fotos werden von den neuen Holzböden im Gästezimmer gezeigt.</v>
      </c>
    </row>
    <row r="33630">
      <c r="A33630" s="4" t="s">
        <v>42319</v>
      </c>
      <c r="B33630" s="4" t="s">
        <v>42320</v>
      </c>
      <c r="C33630" s="5" t="str">
        <f>IFERROR(__xludf.DUMMYFUNCTION("GOOGLETRANSLATE(B33630,""en"",""de"")"),"Ein Mädchen steht an einem Spülbecken und demonstriert, dass ihr Mund mit Mundwasser aus dem Crest Whitening ausspült wird.")</f>
        <v>Ein Mädchen steht an einem Spülbecken und demonstriert, dass ihr Mund mit Mundwasser aus dem Crest Whitening ausspült wird.</v>
      </c>
    </row>
    <row r="33631">
      <c r="A33631" s="4" t="s">
        <v>42319</v>
      </c>
      <c r="B33631" s="4" t="s">
        <v>42321</v>
      </c>
      <c r="C33631" s="5" t="str">
        <f>IFERROR(__xludf.DUMMYFUNCTION("GOOGLETRANSLATE(B33631,""en"",""de"")"),"Ein Mädchen steht zu einer Spüle, die gesprochen und benutzt hat Gesten.")</f>
        <v>Ein Mädchen steht zu einer Spüle, die gesprochen und benutzt hat Gesten.</v>
      </c>
    </row>
    <row r="33632">
      <c r="A33632" s="4" t="s">
        <v>42319</v>
      </c>
      <c r="B33632" s="4" t="s">
        <v>42322</v>
      </c>
      <c r="C33632" s="5" t="str">
        <f>IFERROR(__xludf.DUMMYFUNCTION("GOOGLETRANSLATE(B33632,""en"",""de"")"),"Das Mädchen nimmt dann eine Flasche Crest Whiting Mundwäsche auf und spült ihren Mund 60 Sekunden lang.")</f>
        <v>Das Mädchen nimmt dann eine Flasche Crest Whiting Mundwäsche auf und spült ihren Mund 60 Sekunden lang.</v>
      </c>
    </row>
    <row r="33633">
      <c r="A33633" s="4" t="s">
        <v>42319</v>
      </c>
      <c r="B33633" s="4" t="s">
        <v>42323</v>
      </c>
      <c r="C33633" s="5" t="str">
        <f>IFERROR(__xludf.DUMMYFUNCTION("GOOGLETRANSLATE(B33633,""en"",""de"")"),"Die Frau spuckt dann die Spülung in die Spüle aus und spricht erneut mit der Kamera.")</f>
        <v>Die Frau spuckt dann die Spülung in die Spüle aus und spricht erneut mit der Kamera.</v>
      </c>
    </row>
    <row r="33634">
      <c r="A33634" s="4" t="s">
        <v>42324</v>
      </c>
      <c r="B33634" s="4" t="s">
        <v>42325</v>
      </c>
      <c r="C33634" s="5" t="str">
        <f>IFERROR(__xludf.DUMMYFUNCTION("GOOGLETRANSLATE(B33634,""en"",""de"")"),"Eine Frau steht mit einem Kind, das neben einer Theke sitzt.")</f>
        <v>Eine Frau steht mit einem Kind, das neben einer Theke sitzt.</v>
      </c>
    </row>
    <row r="33635">
      <c r="A33635" s="4" t="s">
        <v>42324</v>
      </c>
      <c r="B33635" s="4" t="s">
        <v>42326</v>
      </c>
      <c r="C33635" s="5" t="str">
        <f>IFERROR(__xludf.DUMMYFUNCTION("GOOGLETRANSLATE(B33635,""en"",""de"")"),"Die Frau legt ein trockenes Pulver auf die Hals des Mädchens auf und bürstet durch.")</f>
        <v>Die Frau legt ein trockenes Pulver auf die Hals des Mädchens auf und bürstet durch.</v>
      </c>
    </row>
    <row r="33636">
      <c r="A33636" s="4" t="s">
        <v>42324</v>
      </c>
      <c r="B33636" s="4" t="s">
        <v>42327</v>
      </c>
      <c r="C33636" s="5" t="str">
        <f>IFERROR(__xludf.DUMMYFUNCTION("GOOGLETRANSLATE(B33636,""en"",""de"")"),"Die Frau bekommt einen Föhn und benutzt ihn, während sie die Haare der Mädchen streift, um es zu glätten.")</f>
        <v>Die Frau bekommt einen Föhn und benutzt ihn, während sie die Haare der Mädchen streift, um es zu glätten.</v>
      </c>
    </row>
    <row r="33637">
      <c r="A33637" s="4" t="s">
        <v>42328</v>
      </c>
      <c r="B33637" s="4" t="s">
        <v>42329</v>
      </c>
      <c r="C33637" s="5" t="str">
        <f>IFERROR(__xludf.DUMMYFUNCTION("GOOGLETRANSLATE(B33637,""en"",""de"")"),"Der Mensch steht vor einem Spiegel ausbreitende Creme im Gesicht.")</f>
        <v>Der Mensch steht vor einem Spiegel ausbreitende Creme im Gesicht.</v>
      </c>
    </row>
    <row r="33638">
      <c r="A33638" s="4" t="s">
        <v>42328</v>
      </c>
      <c r="B33638" s="4" t="s">
        <v>42330</v>
      </c>
      <c r="C33638" s="5" t="str">
        <f>IFERROR(__xludf.DUMMYFUNCTION("GOOGLETRANSLATE(B33638,""en"",""de"")"),"Der Mann kniet und wäscht ihr Gesicht.")</f>
        <v>Der Mann kniet und wäscht ihr Gesicht.</v>
      </c>
    </row>
    <row r="33639">
      <c r="A33639" s="4" t="s">
        <v>42328</v>
      </c>
      <c r="B33639" s="4" t="s">
        <v>42331</v>
      </c>
      <c r="C33639" s="5" t="str">
        <f>IFERROR(__xludf.DUMMYFUNCTION("GOOGLETRANSLATE(B33639,""en"",""de"")"),"Der Mann schnappt sich ein grünes Handtuch und wischt sich das Gesicht ab.")</f>
        <v>Der Mann schnappt sich ein grünes Handtuch und wischt sich das Gesicht ab.</v>
      </c>
    </row>
    <row r="33640">
      <c r="A33640" s="4" t="s">
        <v>42332</v>
      </c>
      <c r="B33640" s="4" t="s">
        <v>42333</v>
      </c>
      <c r="C33640" s="5" t="str">
        <f>IFERROR(__xludf.DUMMYFUNCTION("GOOGLETRANSLATE(B33640,""en"",""de"")"),"Eine Frau passt ihre Trainingsmaschine an.")</f>
        <v>Eine Frau passt ihre Trainingsmaschine an.</v>
      </c>
    </row>
    <row r="33641">
      <c r="A33641" s="4" t="s">
        <v>42332</v>
      </c>
      <c r="B33641" s="4" t="s">
        <v>42334</v>
      </c>
      <c r="C33641" s="5" t="str">
        <f>IFERROR(__xludf.DUMMYFUNCTION("GOOGLETRANSLATE(B33641,""en"",""de"")"),"Sie passt die Knöpfe ein und schiebt den Sitz nach oben.")</f>
        <v>Sie passt die Knöpfe ein und schiebt den Sitz nach oben.</v>
      </c>
    </row>
    <row r="33642">
      <c r="A33642" s="4" t="s">
        <v>42332</v>
      </c>
      <c r="B33642" s="4" t="s">
        <v>42335</v>
      </c>
      <c r="C33642" s="5" t="str">
        <f>IFERROR(__xludf.DUMMYFUNCTION("GOOGLETRANSLATE(B33642,""en"",""de"")"),"Sie setzt sich dann auf den Sitz und legt ihre Füße in die Pedale.")</f>
        <v>Sie setzt sich dann auf den Sitz und legt ihre Füße in die Pedale.</v>
      </c>
    </row>
    <row r="33643">
      <c r="A33643" s="4" t="s">
        <v>42332</v>
      </c>
      <c r="B33643" s="4" t="s">
        <v>42336</v>
      </c>
      <c r="C33643" s="5" t="str">
        <f>IFERROR(__xludf.DUMMYFUNCTION("GOOGLETRANSLATE(B33643,""en"",""de"")"),"Sie beginnt langsam zu treten, dann schnell.")</f>
        <v>Sie beginnt langsam zu treten, dann schnell.</v>
      </c>
    </row>
    <row r="33644">
      <c r="A33644" s="4" t="s">
        <v>42337</v>
      </c>
      <c r="B33644" s="4" t="s">
        <v>1251</v>
      </c>
      <c r="C33644" s="5" t="str">
        <f>IFERROR(__xludf.DUMMYFUNCTION("GOOGLETRANSLATE(B33644,""en"",""de"")"),"Die Credits des Clips werden angezeigt.")</f>
        <v>Die Credits des Clips werden angezeigt.</v>
      </c>
    </row>
    <row r="33645">
      <c r="A33645" s="4" t="s">
        <v>42337</v>
      </c>
      <c r="B33645" s="4" t="s">
        <v>42338</v>
      </c>
      <c r="C33645" s="5" t="str">
        <f>IFERROR(__xludf.DUMMYFUNCTION("GOOGLETRANSLATE(B33645,""en"",""de"")"),"Ein Trainer weist die Spieler in einem Basketballplatz an.")</f>
        <v>Ein Trainer weist die Spieler in einem Basketballplatz an.</v>
      </c>
    </row>
    <row r="33646">
      <c r="A33646" s="4" t="s">
        <v>42337</v>
      </c>
      <c r="B33646" s="4" t="s">
        <v>573</v>
      </c>
      <c r="C33646" s="5" t="str">
        <f>IFERROR(__xludf.DUMMYFUNCTION("GOOGLETRANSLATE(B33646,""en"",""de"")"),"Die Credits des Videos werden angezeigt.")</f>
        <v>Die Credits des Videos werden angezeigt.</v>
      </c>
    </row>
    <row r="33647">
      <c r="A33647" s="4" t="s">
        <v>42339</v>
      </c>
      <c r="B33647" s="4" t="s">
        <v>42340</v>
      </c>
      <c r="C33647" s="5" t="str">
        <f>IFERROR(__xludf.DUMMYFUNCTION("GOOGLETRANSLATE(B33647,""en"",""de"")"),"Zwei Frauen stehen auf einem Fitnessarmarm.")</f>
        <v>Zwei Frauen stehen auf einem Fitnessarmarm.</v>
      </c>
    </row>
    <row r="33648">
      <c r="A33648" s="4" t="s">
        <v>42339</v>
      </c>
      <c r="B33648" s="4" t="s">
        <v>42341</v>
      </c>
      <c r="C33648" s="5" t="str">
        <f>IFERROR(__xludf.DUMMYFUNCTION("GOOGLETRANSLATE(B33648,""en"",""de"")"),"Im TE -Hintergrund stehen die Leute im Fitnessstudio.")</f>
        <v>Im TE -Hintergrund stehen die Leute im Fitnessstudio.</v>
      </c>
    </row>
    <row r="33649">
      <c r="A33649" s="4" t="s">
        <v>42339</v>
      </c>
      <c r="B33649" s="4" t="s">
        <v>42342</v>
      </c>
      <c r="C33649" s="5" t="str">
        <f>IFERROR(__xludf.DUMMYFUNCTION("GOOGLETRANSLATE(B33649,""en"",""de"")"),"Starke Frauen sitzen auf einem Stuhlarm, der Armringe.")</f>
        <v>Starke Frauen sitzen auf einem Stuhlarm, der Armringe.</v>
      </c>
    </row>
    <row r="33650">
      <c r="A33650" s="4" t="s">
        <v>42343</v>
      </c>
      <c r="B33650" s="4" t="s">
        <v>42344</v>
      </c>
      <c r="C33650" s="5" t="str">
        <f>IFERROR(__xludf.DUMMYFUNCTION("GOOGLETRANSLATE(B33650,""en"",""de"")"),"Ein Mann fährt zum Ozean und surft auf einem Surfbrett und reitet Wellen, bevor er den Strand mit seinem Surfbrett verlässt.")</f>
        <v>Ein Mann fährt zum Ozean und surft auf einem Surfbrett und reitet Wellen, bevor er den Strand mit seinem Surfbrett verlässt.</v>
      </c>
    </row>
    <row r="33651">
      <c r="A33651" s="4" t="s">
        <v>42343</v>
      </c>
      <c r="B33651" s="4" t="s">
        <v>42345</v>
      </c>
      <c r="C33651" s="5" t="str">
        <f>IFERROR(__xludf.DUMMYFUNCTION("GOOGLETRANSLATE(B33651,""en"",""de"")"),"Ein Mann steigt in seinen Lastwagen, legt sein Surfbrett in den hinteren Teil seines Lastwagens und fährt.")</f>
        <v>Ein Mann steigt in seinen Lastwagen, legt sein Surfbrett in den hinteren Teil seines Lastwagens und fährt.</v>
      </c>
    </row>
    <row r="33652">
      <c r="A33652" s="4" t="s">
        <v>42343</v>
      </c>
      <c r="B33652" s="4" t="s">
        <v>42346</v>
      </c>
      <c r="C33652" s="5" t="str">
        <f>IFERROR(__xludf.DUMMYFUNCTION("GOOGLETRANSLATE(B33652,""en"",""de"")"),"Der Mann kommt am Strand an, wechselt in einen Netzanzug und beginnt auf einem Surfbrett im Meer zu surfen und Wellen zu reiten.")</f>
        <v>Der Mann kommt am Strand an, wechselt in einen Netzanzug und beginnt auf einem Surfbrett im Meer zu surfen und Wellen zu reiten.</v>
      </c>
    </row>
    <row r="33653">
      <c r="A33653" s="4" t="s">
        <v>42343</v>
      </c>
      <c r="B33653" s="4" t="s">
        <v>42347</v>
      </c>
      <c r="C33653" s="5" t="str">
        <f>IFERROR(__xludf.DUMMYFUNCTION("GOOGLETRANSLATE(B33653,""en"",""de"")"),"Der Mann verlässt dann den Strand in seinem Neoprenanzug mit seinem Surfbrett unter seinem Arm.")</f>
        <v>Der Mann verlässt dann den Strand in seinem Neoprenanzug mit seinem Surfbrett unter seinem Arm.</v>
      </c>
    </row>
    <row r="33654">
      <c r="A33654" s="4" t="s">
        <v>42348</v>
      </c>
      <c r="B33654" s="4" t="s">
        <v>42349</v>
      </c>
      <c r="C33654" s="5" t="str">
        <f>IFERROR(__xludf.DUMMYFUNCTION("GOOGLETRANSLATE(B33654,""en"",""de"")"),"Ein Mann hockt neben einem Mädchen am Strand.")</f>
        <v>Ein Mann hockt neben einem Mädchen am Strand.</v>
      </c>
    </row>
    <row r="33655">
      <c r="A33655" s="4" t="s">
        <v>42348</v>
      </c>
      <c r="B33655" s="4" t="s">
        <v>42350</v>
      </c>
      <c r="C33655" s="5" t="str">
        <f>IFERROR(__xludf.DUMMYFUNCTION("GOOGLETRANSLATE(B33655,""en"",""de"")"),"Sie legen Sand in einen Stapel.")</f>
        <v>Sie legen Sand in einen Stapel.</v>
      </c>
    </row>
    <row r="33656">
      <c r="A33656" s="4" t="s">
        <v>42348</v>
      </c>
      <c r="B33656" s="4" t="s">
        <v>42351</v>
      </c>
      <c r="C33656" s="5" t="str">
        <f>IFERROR(__xludf.DUMMYFUNCTION("GOOGLETRANSLATE(B33656,""en"",""de"")"),"Sie versuchen, eine Sandburg zu bauen.")</f>
        <v>Sie versuchen, eine Sandburg zu bauen.</v>
      </c>
    </row>
    <row r="33657">
      <c r="A33657" s="4" t="s">
        <v>42352</v>
      </c>
      <c r="B33657" s="4" t="s">
        <v>42353</v>
      </c>
      <c r="C33657" s="5" t="str">
        <f>IFERROR(__xludf.DUMMYFUNCTION("GOOGLETRANSLATE(B33657,""en"",""de"")"),"Ein Publikum sitzt auf der Tribüne und schaut sich ein Spiel auf dem Feld an.")</f>
        <v>Ein Publikum sitzt auf der Tribüne und schaut sich ein Spiel auf dem Feld an.</v>
      </c>
    </row>
    <row r="33658">
      <c r="A33658" s="4" t="s">
        <v>42352</v>
      </c>
      <c r="B33658" s="4" t="s">
        <v>42354</v>
      </c>
      <c r="C33658" s="5" t="str">
        <f>IFERROR(__xludf.DUMMYFUNCTION("GOOGLETRANSLATE(B33658,""en"",""de"")"),"Diese Fahrer steigen auf ihre Pferde und versuchen, für ihr Team zu punkten.")</f>
        <v>Diese Fahrer steigen auf ihre Pferde und versuchen, für ihr Team zu punkten.</v>
      </c>
    </row>
    <row r="33659">
      <c r="A33659" s="4" t="s">
        <v>42352</v>
      </c>
      <c r="B33659" s="4" t="s">
        <v>42355</v>
      </c>
      <c r="C33659" s="5" t="str">
        <f>IFERROR(__xludf.DUMMYFUNCTION("GOOGLETRANSLATE(B33659,""en"",""de"")"),"Jemand macht es und eine der Gruppen im Publikum klatschen.")</f>
        <v>Jemand macht es und eine der Gruppen im Publikum klatschen.</v>
      </c>
    </row>
    <row r="33660">
      <c r="A33660" s="4" t="s">
        <v>42352</v>
      </c>
      <c r="B33660" s="4" t="s">
        <v>42356</v>
      </c>
      <c r="C33660" s="5" t="str">
        <f>IFERROR(__xludf.DUMMYFUNCTION("GOOGLETRANSLATE(B33660,""en"",""de"")"),"Wenn das Spiel über den Fahrern ist, schütteln sich alle gegenseitig die Hände.")</f>
        <v>Wenn das Spiel über den Fahrern ist, schütteln sich alle gegenseitig die Hände.</v>
      </c>
    </row>
    <row r="33661">
      <c r="A33661" s="4" t="s">
        <v>42357</v>
      </c>
      <c r="B33661" s="4" t="s">
        <v>42358</v>
      </c>
      <c r="C33661" s="5" t="str">
        <f>IFERROR(__xludf.DUMMYFUNCTION("GOOGLETRANSLATE(B33661,""en"",""de"")"),"Ein Mann wird gesehen, wie ein großer Schleifer gegen eine Wand die Maschinerie entlang der Wand bewegt.")</f>
        <v>Ein Mann wird gesehen, wie ein großer Schleifer gegen eine Wand die Maschinerie entlang der Wand bewegt.</v>
      </c>
    </row>
    <row r="33662">
      <c r="A33662" s="4" t="s">
        <v>42357</v>
      </c>
      <c r="B33662" s="4" t="s">
        <v>42359</v>
      </c>
      <c r="C33662" s="5" t="str">
        <f>IFERROR(__xludf.DUMMYFUNCTION("GOOGLETRANSLATE(B33662,""en"",""de"")"),"Der Mann schleift weiter die Wand und endet damit, dass er sie ruhig hält.")</f>
        <v>Der Mann schleift weiter die Wand und endet damit, dass er sie ruhig hält.</v>
      </c>
    </row>
    <row r="33663">
      <c r="A33663" s="4" t="s">
        <v>42360</v>
      </c>
      <c r="B33663" s="4" t="s">
        <v>42361</v>
      </c>
      <c r="C33663" s="5" t="str">
        <f>IFERROR(__xludf.DUMMYFUNCTION("GOOGLETRANSLATE(B33663,""en"",""de"")"),"Es werden verschiedene Aufnahmen von einer Person gezeigt, die in der Kamera das Herstellen und Lachen in der Kamera trägt.")</f>
        <v>Es werden verschiedene Aufnahmen von einer Person gezeigt, die in der Kamera das Herstellen und Lachen in der Kamera trägt.</v>
      </c>
    </row>
    <row r="33664">
      <c r="A33664" s="4" t="s">
        <v>42360</v>
      </c>
      <c r="B33664" s="4" t="s">
        <v>42362</v>
      </c>
      <c r="C33664" s="5" t="str">
        <f>IFERROR(__xludf.DUMMYFUNCTION("GOOGLETRANSLATE(B33664,""en"",""de"")"),"Verschiedene Objekte werden dann eng an der Kamera angezeigt und die Person gießt Flüssigkeit in einen Kontaktfall.")</f>
        <v>Verschiedene Objekte werden dann eng an der Kamera angezeigt und die Person gießt Flüssigkeit in einen Kontaktfall.</v>
      </c>
    </row>
    <row r="33665">
      <c r="A33665" s="4" t="s">
        <v>42360</v>
      </c>
      <c r="B33665" s="4" t="s">
        <v>42363</v>
      </c>
      <c r="C33665" s="5" t="str">
        <f>IFERROR(__xludf.DUMMYFUNCTION("GOOGLETRANSLATE(B33665,""en"",""de"")"),"Dann mischt er die Flüssigkeiten mit den Kontakten und steckt sie langsam in sein Auge, während er in die Kamera schaut.")</f>
        <v>Dann mischt er die Flüssigkeiten mit den Kontakten und steckt sie langsam in sein Auge, während er in die Kamera schaut.</v>
      </c>
    </row>
    <row r="33666">
      <c r="A33666" s="4" t="s">
        <v>42360</v>
      </c>
      <c r="B33666" s="4" t="s">
        <v>42364</v>
      </c>
      <c r="C33666" s="5" t="str">
        <f>IFERROR(__xludf.DUMMYFUNCTION("GOOGLETRANSLATE(B33666,""en"",""de"")"),"Dann nimmt er seine Hände und steckt die Kontakte heraus.")</f>
        <v>Dann nimmt er seine Hände und steckt die Kontakte heraus.</v>
      </c>
    </row>
    <row r="33667">
      <c r="A33667" s="4" t="s">
        <v>42365</v>
      </c>
      <c r="B33667" s="4" t="s">
        <v>42366</v>
      </c>
      <c r="C33667" s="5" t="str">
        <f>IFERROR(__xludf.DUMMYFUNCTION("GOOGLETRANSLATE(B33667,""en"",""de"")"),"Die Hände einer Person spielen in Schmutz, während sie ihre Hände rund um den Boden bewegt.")</f>
        <v>Die Hände einer Person spielen in Schmutz, während sie ihre Hände rund um den Boden bewegt.</v>
      </c>
    </row>
    <row r="33668">
      <c r="A33668" s="4" t="s">
        <v>42365</v>
      </c>
      <c r="B33668" s="4" t="s">
        <v>42367</v>
      </c>
      <c r="C33668" s="5" t="str">
        <f>IFERROR(__xludf.DUMMYFUNCTION("GOOGLETRANSLATE(B33668,""en"",""de"")"),"Die Person spielt weiterhin im Boden herum, während die Kamera ihre Handbewegungen beobachtet.")</f>
        <v>Die Person spielt weiterhin im Boden herum, während die Kamera ihre Handbewegungen beobachtet.</v>
      </c>
    </row>
    <row r="33669">
      <c r="A33669" s="4" t="s">
        <v>42368</v>
      </c>
      <c r="B33669" s="4" t="s">
        <v>42369</v>
      </c>
      <c r="C33669" s="5" t="str">
        <f>IFERROR(__xludf.DUMMYFUNCTION("GOOGLETRANSLATE(B33669,""en"",""de"")"),"In einem Park im Freien wird eine Gruppe von Menschen versammelt.")</f>
        <v>In einem Park im Freien wird eine Gruppe von Menschen versammelt.</v>
      </c>
    </row>
    <row r="33670">
      <c r="A33670" s="4" t="s">
        <v>42368</v>
      </c>
      <c r="B33670" s="4" t="s">
        <v>42370</v>
      </c>
      <c r="C33670" s="5" t="str">
        <f>IFERROR(__xludf.DUMMYFUNCTION("GOOGLETRANSLATE(B33670,""en"",""de"")"),"Sie sind verkleidet und geraten in ein Floß.")</f>
        <v>Sie sind verkleidet und geraten in ein Floß.</v>
      </c>
    </row>
    <row r="33671">
      <c r="A33671" s="4" t="s">
        <v>42368</v>
      </c>
      <c r="B33671" s="4" t="s">
        <v>42371</v>
      </c>
      <c r="C33671" s="5" t="str">
        <f>IFERROR(__xludf.DUMMYFUNCTION("GOOGLETRANSLATE(B33671,""en"",""de"")"),"Sie retten sie zusammen einen Fluss hinunter.")</f>
        <v>Sie retten sie zusammen einen Fluss hinunter.</v>
      </c>
    </row>
    <row r="33672">
      <c r="A33672" s="4" t="s">
        <v>42372</v>
      </c>
      <c r="B33672" s="4" t="s">
        <v>32663</v>
      </c>
      <c r="C33672" s="5" t="str">
        <f>IFERROR(__xludf.DUMMYFUNCTION("GOOGLETRANSLATE(B33672,""en"",""de"")"),"Die Leute spielen Fußball in einer Indoor -Arena.")</f>
        <v>Die Leute spielen Fußball in einer Indoor -Arena.</v>
      </c>
    </row>
    <row r="33673">
      <c r="A33673" s="4" t="s">
        <v>42372</v>
      </c>
      <c r="B33673" s="4" t="s">
        <v>42373</v>
      </c>
      <c r="C33673" s="5" t="str">
        <f>IFERROR(__xludf.DUMMYFUNCTION("GOOGLETRANSLATE(B33673,""en"",""de"")"),"Ein Mann sitzt vor einem Tor, das Bälle blockiert.")</f>
        <v>Ein Mann sitzt vor einem Tor, das Bälle blockiert.</v>
      </c>
    </row>
    <row r="33674">
      <c r="A33674" s="4" t="s">
        <v>42372</v>
      </c>
      <c r="B33674" s="4" t="s">
        <v>42374</v>
      </c>
      <c r="C33674" s="5" t="str">
        <f>IFERROR(__xludf.DUMMYFUNCTION("GOOGLETRANSLATE(B33674,""en"",""de"")"),"Die Leute sind auf der Tribüne und beobachten das Spiel.")</f>
        <v>Die Leute sind auf der Tribüne und beobachten das Spiel.</v>
      </c>
    </row>
    <row r="33675">
      <c r="A33675" s="4" t="s">
        <v>42375</v>
      </c>
      <c r="B33675" s="4" t="s">
        <v>42376</v>
      </c>
      <c r="C33675" s="5" t="str">
        <f>IFERROR(__xludf.DUMMYFUNCTION("GOOGLETRANSLATE(B33675,""en"",""de"")"),"Ein kleiner Junge und ein Mädchen sitzen nebeneinander.")</f>
        <v>Ein kleiner Junge und ein Mädchen sitzen nebeneinander.</v>
      </c>
    </row>
    <row r="33676">
      <c r="A33676" s="4" t="s">
        <v>42375</v>
      </c>
      <c r="B33676" s="4" t="s">
        <v>42377</v>
      </c>
      <c r="C33676" s="5" t="str">
        <f>IFERROR(__xludf.DUMMYFUNCTION("GOOGLETRANSLATE(B33676,""en"",""de"")"),"Sie werden mit Eis gefüttert.")</f>
        <v>Sie werden mit Eis gefüttert.</v>
      </c>
    </row>
    <row r="33677">
      <c r="A33677" s="4" t="s">
        <v>42375</v>
      </c>
      <c r="B33677" s="4" t="s">
        <v>42378</v>
      </c>
      <c r="C33677" s="5" t="str">
        <f>IFERROR(__xludf.DUMMYFUNCTION("GOOGLETRANSLATE(B33677,""en"",""de"")"),"Das Mädchen versucht die Jungen Eis zu essen.")</f>
        <v>Das Mädchen versucht die Jungen Eis zu essen.</v>
      </c>
    </row>
    <row r="33678">
      <c r="A33678" s="4" t="s">
        <v>42375</v>
      </c>
      <c r="B33678" s="4" t="s">
        <v>42379</v>
      </c>
      <c r="C33678" s="5" t="str">
        <f>IFERROR(__xludf.DUMMYFUNCTION("GOOGLETRANSLATE(B33678,""en"",""de"")"),"Das Mädchen lacht am Ende.")</f>
        <v>Das Mädchen lacht am Ende.</v>
      </c>
    </row>
    <row r="33679">
      <c r="A33679" s="4" t="s">
        <v>42380</v>
      </c>
      <c r="B33679" s="4" t="s">
        <v>42381</v>
      </c>
      <c r="C33679" s="5" t="str">
        <f>IFERROR(__xludf.DUMMYFUNCTION("GOOGLETRANSLATE(B33679,""en"",""de"")"),"Jemand schläft auf einer weißen Couch.")</f>
        <v>Jemand schläft auf einer weißen Couch.</v>
      </c>
    </row>
    <row r="33680">
      <c r="A33680" s="4" t="s">
        <v>42380</v>
      </c>
      <c r="B33680" s="4" t="s">
        <v>42382</v>
      </c>
      <c r="C33680" s="5" t="str">
        <f>IFERROR(__xludf.DUMMYFUNCTION("GOOGLETRANSLATE(B33680,""en"",""de"")"),"Sie stehen auf und machen Crunches auf dem Boden.")</f>
        <v>Sie stehen auf und machen Crunches auf dem Boden.</v>
      </c>
    </row>
    <row r="33681">
      <c r="A33681" s="4" t="s">
        <v>42380</v>
      </c>
      <c r="B33681" s="4" t="s">
        <v>42383</v>
      </c>
      <c r="C33681" s="5" t="str">
        <f>IFERROR(__xludf.DUMMYFUNCTION("GOOGLETRANSLATE(B33681,""en"",""de"")"),"Sie stehen auf und gehen aus der Tür.")</f>
        <v>Sie stehen auf und gehen aus der Tür.</v>
      </c>
    </row>
    <row r="33682">
      <c r="A33682" s="4" t="s">
        <v>42384</v>
      </c>
      <c r="B33682" s="4" t="s">
        <v>42385</v>
      </c>
      <c r="C33682" s="5" t="str">
        <f>IFERROR(__xludf.DUMMYFUNCTION("GOOGLETRANSLATE(B33682,""en"",""de"")"),"Eine Frau ist vor einer Band auf der Bühne.")</f>
        <v>Eine Frau ist vor einer Band auf der Bühne.</v>
      </c>
    </row>
    <row r="33683">
      <c r="A33683" s="4" t="s">
        <v>42384</v>
      </c>
      <c r="B33683" s="4" t="s">
        <v>42386</v>
      </c>
      <c r="C33683" s="5" t="str">
        <f>IFERROR(__xludf.DUMMYFUNCTION("GOOGLETRANSLATE(B33683,""en"",""de"")"),"Sie ist eine Bauchtänzerin und gyratet und schüttelt zur Musik.")</f>
        <v>Sie ist eine Bauchtänzerin und gyratet und schüttelt zur Musik.</v>
      </c>
    </row>
    <row r="33684">
      <c r="A33684" s="4" t="s">
        <v>42384</v>
      </c>
      <c r="B33684" s="4" t="s">
        <v>42387</v>
      </c>
      <c r="C33684" s="5" t="str">
        <f>IFERROR(__xludf.DUMMYFUNCTION("GOOGLETRANSLATE(B33684,""en"",""de"")"),"Sie tanzt langsam und fällt zu Boden, als sie fertig ist.")</f>
        <v>Sie tanzt langsam und fällt zu Boden, als sie fertig ist.</v>
      </c>
    </row>
    <row r="33685">
      <c r="A33685" s="4" t="s">
        <v>42388</v>
      </c>
      <c r="B33685" s="4" t="s">
        <v>42389</v>
      </c>
      <c r="C33685" s="5" t="str">
        <f>IFERROR(__xludf.DUMMYFUNCTION("GOOGLETRANSLATE(B33685,""en"",""de"")"),"Ein Mann, der kein Hemd trägt, spielt eine Handtrommel.")</f>
        <v>Ein Mann, der kein Hemd trägt, spielt eine Handtrommel.</v>
      </c>
    </row>
    <row r="33686">
      <c r="A33686" s="4" t="s">
        <v>42388</v>
      </c>
      <c r="B33686" s="4" t="s">
        <v>42390</v>
      </c>
      <c r="C33686" s="5" t="str">
        <f>IFERROR(__xludf.DUMMYFUNCTION("GOOGLETRANSLATE(B33686,""en"",""de"")"),"Ein Solo -Mann dreht seinen Körper in seinen Händen herum und macht Wagenräder.")</f>
        <v>Ein Solo -Mann dreht seinen Körper in seinen Händen herum und macht Wagenräder.</v>
      </c>
    </row>
    <row r="33687">
      <c r="A33687" s="4" t="s">
        <v>42388</v>
      </c>
      <c r="B33687" s="4" t="s">
        <v>42391</v>
      </c>
      <c r="C33687" s="5" t="str">
        <f>IFERROR(__xludf.DUMMYFUNCTION("GOOGLETRANSLATE(B33687,""en"",""de"")"),"Zwei Männer üben eine Karate -Routine und Dodge treten vom anderen Gegner.")</f>
        <v>Zwei Männer üben eine Karate -Routine und Dodge treten vom anderen Gegner.</v>
      </c>
    </row>
    <row r="33688">
      <c r="A33688" s="4" t="s">
        <v>42388</v>
      </c>
      <c r="B33688" s="4" t="s">
        <v>42392</v>
      </c>
      <c r="C33688" s="5" t="str">
        <f>IFERROR(__xludf.DUMMYFUNCTION("GOOGLETRANSLATE(B33688,""en"",""de"")"),"Die Männer sind beide Handstände, dann kommen zusammen und berühren die Hände.")</f>
        <v>Die Männer sind beide Handstände, dann kommen zusammen und berühren die Hände.</v>
      </c>
    </row>
    <row r="33689">
      <c r="A33689" s="4" t="s">
        <v>42388</v>
      </c>
      <c r="B33689" s="4" t="s">
        <v>42393</v>
      </c>
      <c r="C33689" s="5" t="str">
        <f>IFERROR(__xludf.DUMMYFUNCTION("GOOGLETRANSLATE(B33689,""en"",""de"")"),"Der Mann spricht alleine.")</f>
        <v>Der Mann spricht alleine.</v>
      </c>
    </row>
    <row r="33690">
      <c r="A33690" s="4" t="s">
        <v>42388</v>
      </c>
      <c r="B33690" s="4" t="s">
        <v>42394</v>
      </c>
      <c r="C33690" s="5" t="str">
        <f>IFERROR(__xludf.DUMMYFUNCTION("GOOGLETRANSLATE(B33690,""en"",""de"")"),"Die beiden Männer springen Tritte, während sie in einem Karate -Tanz sparrten.")</f>
        <v>Die beiden Männer springen Tritte, während sie in einem Karate -Tanz sparrten.</v>
      </c>
    </row>
    <row r="33691">
      <c r="A33691" s="4" t="s">
        <v>42388</v>
      </c>
      <c r="B33691" s="4" t="s">
        <v>42395</v>
      </c>
      <c r="C33691" s="5" t="str">
        <f>IFERROR(__xludf.DUMMYFUNCTION("GOOGLETRANSLATE(B33691,""en"",""de"")"),"Der Mann steht auf seinen Händen und biegt sich nach hinten in eine horizontale Position.")</f>
        <v>Der Mann steht auf seinen Händen und biegt sich nach hinten in eine horizontale Position.</v>
      </c>
    </row>
    <row r="33692">
      <c r="A33692" s="4" t="s">
        <v>42396</v>
      </c>
      <c r="B33692" s="4" t="s">
        <v>42397</v>
      </c>
      <c r="C33692" s="5" t="str">
        <f>IFERROR(__xludf.DUMMYFUNCTION("GOOGLETRANSLATE(B33692,""en"",""de"")"),"Ein Mann zeigt Kampfkunstbewegungen in einem Filmclip, der dem Mann zeigt, der gegen verschiedene Menschen an verschiedenen Orten in einer Stadtkulisse kämpft.")</f>
        <v>Ein Mann zeigt Kampfkunstbewegungen in einem Filmclip, der dem Mann zeigt, der gegen verschiedene Menschen an verschiedenen Orten in einer Stadtkulisse kämpft.</v>
      </c>
    </row>
    <row r="33693">
      <c r="A33693" s="4" t="s">
        <v>42396</v>
      </c>
      <c r="B33693" s="4" t="s">
        <v>42398</v>
      </c>
      <c r="C33693" s="5" t="str">
        <f>IFERROR(__xludf.DUMMYFUNCTION("GOOGLETRANSLATE(B33693,""en"",""de"")"),"Ein Mann wird in einen Raum begleitet und allein gelassen, bis er von einem Mann, der plötzlich mit ihm im Raum erscheint, gewaltsam angegriffen wird.")</f>
        <v>Ein Mann wird in einen Raum begleitet und allein gelassen, bis er von einem Mann, der plötzlich mit ihm im Raum erscheint, gewaltsam angegriffen wird.</v>
      </c>
    </row>
    <row r="33694">
      <c r="A33694" s="4" t="s">
        <v>42396</v>
      </c>
      <c r="B33694" s="4" t="s">
        <v>42399</v>
      </c>
      <c r="C33694" s="5" t="str">
        <f>IFERROR(__xludf.DUMMYFUNCTION("GOOGLETRANSLATE(B33694,""en"",""de"")"),"Der Mann wird dann an mehreren anderen Orten gezeigt, die mit verschiedenen Männern kämpfen, die Kampfkunstfähigkeiten verwenden, bis der Clip zu einer Marketing -Einladung zum Abonnieren verblasst.")</f>
        <v>Der Mann wird dann an mehreren anderen Orten gezeigt, die mit verschiedenen Männern kämpfen, die Kampfkunstfähigkeiten verwenden, bis der Clip zu einer Marketing -Einladung zum Abonnieren verblasst.</v>
      </c>
    </row>
    <row r="33695">
      <c r="A33695" s="4" t="s">
        <v>42400</v>
      </c>
      <c r="B33695" s="4" t="s">
        <v>42401</v>
      </c>
      <c r="C33695" s="5" t="str">
        <f>IFERROR(__xludf.DUMMYFUNCTION("GOOGLETRANSLATE(B33695,""en"",""de"")"),"Eine schwarze Bannerüberlagerung mit dem Wort PowerChalk in Weiß und Grün ist im gesamten Banner.")</f>
        <v>Eine schwarze Bannerüberlagerung mit dem Wort PowerChalk in Weiß und Grün ist im gesamten Banner.</v>
      </c>
    </row>
    <row r="33696">
      <c r="A33696" s="4" t="s">
        <v>42400</v>
      </c>
      <c r="B33696" s="4" t="s">
        <v>42402</v>
      </c>
      <c r="C33696" s="5" t="str">
        <f>IFERROR(__xludf.DUMMYFUNCTION("GOOGLETRANSLATE(B33696,""en"",""de"")"),"Wenn das Banner -Overlay weggeht, springt ein Mann zum Ende eines Tauchbretts und macht dann einen Vorderfrontflip und dreht sich 5 Mal um, bevor er direkt ins Wasser im Pool taucht.")</f>
        <v>Wenn das Banner -Overlay weggeht, springt ein Mann zum Ende eines Tauchbretts und macht dann einen Vorderfrontflip und dreht sich 5 Mal um, bevor er direkt ins Wasser im Pool taucht.</v>
      </c>
    </row>
    <row r="33697">
      <c r="A33697" s="4" t="s">
        <v>42400</v>
      </c>
      <c r="B33697" s="4" t="s">
        <v>42403</v>
      </c>
      <c r="C33697" s="5" t="str">
        <f>IFERROR(__xludf.DUMMYFUNCTION("GOOGLETRANSLATE(B33697,""en"",""de"")"),"Am Rande stehen viele Zuschauer am Rande.")</f>
        <v>Am Rande stehen viele Zuschauer am Rande.</v>
      </c>
    </row>
    <row r="33698">
      <c r="A33698" s="4" t="s">
        <v>42404</v>
      </c>
      <c r="B33698" s="4" t="s">
        <v>42405</v>
      </c>
      <c r="C33698" s="5" t="str">
        <f>IFERROR(__xludf.DUMMYFUNCTION("GOOGLETRANSLATE(B33698,""en"",""de"")"),"Ein Geiger spielt die Geige in einem Musikraum.")</f>
        <v>Ein Geiger spielt die Geige in einem Musikraum.</v>
      </c>
    </row>
    <row r="33699">
      <c r="A33699" s="4" t="s">
        <v>42404</v>
      </c>
      <c r="B33699" s="4" t="s">
        <v>42406</v>
      </c>
      <c r="C33699" s="5" t="str">
        <f>IFERROR(__xludf.DUMMYFUNCTION("GOOGLETRANSLATE(B33699,""en"",""de"")"),"Sie passt die Geige unter ihr Kinn an, als sie die Musik liest.")</f>
        <v>Sie passt die Geige unter ihr Kinn an, als sie die Musik liest.</v>
      </c>
    </row>
    <row r="33700">
      <c r="A33700" s="4" t="s">
        <v>42404</v>
      </c>
      <c r="B33700" s="4" t="s">
        <v>42407</v>
      </c>
      <c r="C33700" s="5" t="str">
        <f>IFERROR(__xludf.DUMMYFUNCTION("GOOGLETRANSLATE(B33700,""en"",""de"")"),"Am Ende ihres Liedes entfernt sie die Geige und lächelt.")</f>
        <v>Am Ende ihres Liedes entfernt sie die Geige und lächelt.</v>
      </c>
    </row>
    <row r="33701">
      <c r="A33701" s="4" t="s">
        <v>42408</v>
      </c>
      <c r="B33701" s="4" t="s">
        <v>42409</v>
      </c>
      <c r="C33701" s="5" t="str">
        <f>IFERROR(__xludf.DUMMYFUNCTION("GOOGLETRANSLATE(B33701,""en"",""de"")"),"Eine kleine Gruppe von Mädchen wird erstmals auf einem Turnhalle ausgeht, wobei mehrere Leute am Rande zuschauen.")</f>
        <v>Eine kleine Gruppe von Mädchen wird erstmals auf einem Turnhalle ausgeht, wobei mehrere Leute am Rande zuschauen.</v>
      </c>
    </row>
    <row r="33702">
      <c r="A33702" s="4" t="s">
        <v>42408</v>
      </c>
      <c r="B33702" s="4" t="s">
        <v>42410</v>
      </c>
      <c r="C33702" s="5" t="str">
        <f>IFERROR(__xludf.DUMMYFUNCTION("GOOGLETRANSLATE(B33702,""en"",""de"")"),"Die Mädchen führen dann eine Routine mit Schlagstöcken durch, während sie sich drehen und wirbelten.")</f>
        <v>Die Mädchen führen dann eine Routine mit Schlagstöcken durch, während sie sich drehen und wirbelten.</v>
      </c>
    </row>
    <row r="33703">
      <c r="A33703" s="4" t="s">
        <v>42408</v>
      </c>
      <c r="B33703" s="4" t="s">
        <v>42411</v>
      </c>
      <c r="C33703" s="5" t="str">
        <f>IFERROR(__xludf.DUMMYFUNCTION("GOOGLETRANSLATE(B33703,""en"",""de"")"),"Sie machen eine Endpose, während das Publikum klatscht und zur Seite rennt.")</f>
        <v>Sie machen eine Endpose, während das Publikum klatscht und zur Seite rennt.</v>
      </c>
    </row>
    <row r="33704">
      <c r="A33704" s="4" t="s">
        <v>42412</v>
      </c>
      <c r="B33704" s="4" t="s">
        <v>42413</v>
      </c>
      <c r="C33704" s="5" t="str">
        <f>IFERROR(__xludf.DUMMYFUNCTION("GOOGLETRANSLATE(B33704,""en"",""de"")"),"Ein Mann führt Stunts auf der Rückseite eines Motorrads durch, fällt ab und verletzt sich an diesem Punkt zu Boden und sieht verletzt aus.")</f>
        <v>Ein Mann führt Stunts auf der Rückseite eines Motorrads durch, fällt ab und verletzt sich an diesem Punkt zu Boden und sieht verletzt aus.</v>
      </c>
    </row>
    <row r="33705">
      <c r="A33705" s="4" t="s">
        <v>42412</v>
      </c>
      <c r="B33705" s="4" t="s">
        <v>42414</v>
      </c>
      <c r="C33705" s="5" t="str">
        <f>IFERROR(__xludf.DUMMYFUNCTION("GOOGLETRANSLATE(B33705,""en"",""de"")"),"Ein Mann hängt an einem bewegenden Fahrrad auf einer Rampenrampe.")</f>
        <v>Ein Mann hängt an einem bewegenden Fahrrad auf einer Rampenrampe.</v>
      </c>
    </row>
    <row r="33706">
      <c r="A33706" s="4" t="s">
        <v>42412</v>
      </c>
      <c r="B33706" s="4" t="s">
        <v>42415</v>
      </c>
      <c r="C33706" s="5" t="str">
        <f>IFERROR(__xludf.DUMMYFUNCTION("GOOGLETRANSLATE(B33706,""en"",""de"")"),"Der Mann fällt mit zerrissenen Kleidern vom Fahrrad auf den Boden.")</f>
        <v>Der Mann fällt mit zerrissenen Kleidern vom Fahrrad auf den Boden.</v>
      </c>
    </row>
    <row r="33707">
      <c r="A33707" s="4" t="s">
        <v>42412</v>
      </c>
      <c r="B33707" s="4" t="s">
        <v>42416</v>
      </c>
      <c r="C33707" s="5" t="str">
        <f>IFERROR(__xludf.DUMMYFUNCTION("GOOGLETRANSLATE(B33707,""en"",""de"")"),"Die Kamera schwenkt die beschädigten Kleidung und den Helm des Mannes und sein geschlossenes Gesicht, als er sich auf den Boden verletzt.")</f>
        <v>Die Kamera schwenkt die beschädigten Kleidung und den Helm des Mannes und sein geschlossenes Gesicht, als er sich auf den Boden verletzt.</v>
      </c>
    </row>
    <row r="33708">
      <c r="A33708" s="4" t="s">
        <v>42417</v>
      </c>
      <c r="B33708" s="4" t="s">
        <v>42418</v>
      </c>
      <c r="C33708" s="5" t="str">
        <f>IFERROR(__xludf.DUMMYFUNCTION("GOOGLETRANSLATE(B33708,""en"",""de"")"),"Verschiedene Zutaten werden auf einem Tisch angezeigt und führen zu einer Person, die Gegenstände in eine Schüssel stellt.")</f>
        <v>Verschiedene Zutaten werden auf einem Tisch angezeigt und führen zu einer Person, die Gegenstände in eine Schüssel stellt.</v>
      </c>
    </row>
    <row r="33709">
      <c r="A33709" s="4" t="s">
        <v>42417</v>
      </c>
      <c r="B33709" s="4" t="s">
        <v>42419</v>
      </c>
      <c r="C33709" s="5" t="str">
        <f>IFERROR(__xludf.DUMMYFUNCTION("GOOGLETRANSLATE(B33709,""en"",""de"")"),"Die Person wird dann gesehen, wie er Früchte zerschneidet und in eine Schüssel legt.")</f>
        <v>Die Person wird dann gesehen, wie er Früchte zerschneidet und in eine Schüssel legt.</v>
      </c>
    </row>
    <row r="33710">
      <c r="A33710" s="4" t="s">
        <v>42417</v>
      </c>
      <c r="B33710" s="4" t="s">
        <v>42420</v>
      </c>
      <c r="C33710" s="5" t="str">
        <f>IFERROR(__xludf.DUMMYFUNCTION("GOOGLETRANSLATE(B33710,""en"",""de"")"),"Sie gießt mehr Flüssigkeit hinein und präsentiert es der Kamera.")</f>
        <v>Sie gießt mehr Flüssigkeit hinein und präsentiert es der Kamera.</v>
      </c>
    </row>
    <row r="33711">
      <c r="A33711" s="4" t="s">
        <v>42421</v>
      </c>
      <c r="B33711" s="4" t="s">
        <v>42422</v>
      </c>
      <c r="C33711" s="5" t="str">
        <f>IFERROR(__xludf.DUMMYFUNCTION("GOOGLETRANSLATE(B33711,""en"",""de"")"),"Zwei Männer spielen Wallball in einem Raum.")</f>
        <v>Zwei Männer spielen Wallball in einem Raum.</v>
      </c>
    </row>
    <row r="33712">
      <c r="A33712" s="4" t="s">
        <v>42421</v>
      </c>
      <c r="B33712" s="4" t="s">
        <v>42423</v>
      </c>
      <c r="C33712" s="5" t="str">
        <f>IFERROR(__xludf.DUMMYFUNCTION("GOOGLETRANSLATE(B33712,""en"",""de"")"),"Es gibt ein Publikum, das sie spielen sieht.")</f>
        <v>Es gibt ein Publikum, das sie spielen sieht.</v>
      </c>
    </row>
    <row r="33713">
      <c r="A33713" s="4" t="s">
        <v>42421</v>
      </c>
      <c r="B33713" s="4" t="s">
        <v>42424</v>
      </c>
      <c r="C33713" s="5" t="str">
        <f>IFERROR(__xludf.DUMMYFUNCTION("GOOGLETRANSLATE(B33713,""en"",""de"")"),"Der Mann gibt vor, sein Schläger sei eine Gitarre.")</f>
        <v>Der Mann gibt vor, sein Schläger sei eine Gitarre.</v>
      </c>
    </row>
    <row r="33714">
      <c r="A33714" s="4" t="s">
        <v>42425</v>
      </c>
      <c r="B33714" s="4" t="s">
        <v>42426</v>
      </c>
      <c r="C33714" s="5" t="str">
        <f>IFERROR(__xludf.DUMMYFUNCTION("GOOGLETRANSLATE(B33714,""en"",""de"")"),"Ein Mann surft im Meer auf einem Blue Surf Board.")</f>
        <v>Ein Mann surft im Meer auf einem Blue Surf Board.</v>
      </c>
    </row>
    <row r="33715">
      <c r="A33715" s="4" t="s">
        <v>42425</v>
      </c>
      <c r="B33715" s="4" t="s">
        <v>42427</v>
      </c>
      <c r="C33715" s="5" t="str">
        <f>IFERROR(__xludf.DUMMYFUNCTION("GOOGLETRANSLATE(B33715,""en"",""de"")"),"Das Wasser sieht grünlich blau aus, als der Surfer durch große Wellen surft.")</f>
        <v>Das Wasser sieht grünlich blau aus, als der Surfer durch große Wellen surft.</v>
      </c>
    </row>
    <row r="33716">
      <c r="A33716" s="4" t="s">
        <v>42425</v>
      </c>
      <c r="B33716" s="4" t="s">
        <v>42428</v>
      </c>
      <c r="C33716" s="5" t="str">
        <f>IFERROR(__xludf.DUMMYFUNCTION("GOOGLETRANSLATE(B33716,""en"",""de"")"),"Der Mann surft in der Nähe eines Strandes an einigen Hotels.")</f>
        <v>Der Mann surft in der Nähe eines Strandes an einigen Hotels.</v>
      </c>
    </row>
    <row r="33717">
      <c r="A33717" s="4" t="s">
        <v>42425</v>
      </c>
      <c r="B33717" s="4" t="s">
        <v>42429</v>
      </c>
      <c r="C33717" s="5" t="str">
        <f>IFERROR(__xludf.DUMMYFUNCTION("GOOGLETRANSLATE(B33717,""en"",""de"")"),"Der Surfer surft weiter durch große Wellen, ohne abzufallen.")</f>
        <v>Der Surfer surft weiter durch große Wellen, ohne abzufallen.</v>
      </c>
    </row>
    <row r="33718">
      <c r="A33718" s="4" t="s">
        <v>42430</v>
      </c>
      <c r="B33718" s="4" t="s">
        <v>42431</v>
      </c>
      <c r="C33718" s="5" t="str">
        <f>IFERROR(__xludf.DUMMYFUNCTION("GOOGLETRANSLATE(B33718,""en"",""de"")"),"Ein Turner tritt auf dem Gewölbe vor einer Menge auf, sie flieht und fällt aus dem Gewölbe.")</f>
        <v>Ein Turner tritt auf dem Gewölbe vor einer Menge auf, sie flieht und fällt aus dem Gewölbe.</v>
      </c>
    </row>
    <row r="33719">
      <c r="A33719" s="4" t="s">
        <v>42430</v>
      </c>
      <c r="B33719" s="4" t="s">
        <v>42432</v>
      </c>
      <c r="C33719" s="5" t="str">
        <f>IFERROR(__xludf.DUMMYFUNCTION("GOOGLETRANSLATE(B33719,""en"",""de"")"),"Dann springt der Turner, flippt aber während ihrer Leistung.")</f>
        <v>Dann springt der Turner, flippt aber während ihrer Leistung.</v>
      </c>
    </row>
    <row r="33720">
      <c r="A33720" s="4" t="s">
        <v>42430</v>
      </c>
      <c r="B33720" s="4" t="s">
        <v>42433</v>
      </c>
      <c r="C33720" s="5" t="str">
        <f>IFERROR(__xludf.DUMMYFUNCTION("GOOGLETRANSLATE(B33720,""en"",""de"")"),"Die Turnerin spielt rückwärts, dann fährt sie mit ihrer Routine fort.")</f>
        <v>Die Turnerin spielt rückwärts, dann fährt sie mit ihrer Routine fort.</v>
      </c>
    </row>
    <row r="33721">
      <c r="A33721" s="4" t="s">
        <v>42430</v>
      </c>
      <c r="B33721" s="4" t="s">
        <v>42434</v>
      </c>
      <c r="C33721" s="5" t="str">
        <f>IFERROR(__xludf.DUMMYFUNCTION("GOOGLETRANSLATE(B33721,""en"",""de"")"),"Als nächstes springt der Turner und macht einen Doppelflip und Land steht auf der Matte.")</f>
        <v>Als nächstes springt der Turner und macht einen Doppelflip und Land steht auf der Matte.</v>
      </c>
    </row>
    <row r="33722">
      <c r="A33722" s="4" t="s">
        <v>42435</v>
      </c>
      <c r="B33722" s="4" t="s">
        <v>42436</v>
      </c>
      <c r="C33722" s="5" t="str">
        <f>IFERROR(__xludf.DUMMYFUNCTION("GOOGLETRANSLATE(B33722,""en"",""de"")"),"Ein Mann rennt und springt an verschiedenen öffentlichen Orten mit Quellen an den Beinen, während die Zuschauer zuschauen.")</f>
        <v>Ein Mann rennt und springt an verschiedenen öffentlichen Orten mit Quellen an den Beinen, während die Zuschauer zuschauen.</v>
      </c>
    </row>
    <row r="33723">
      <c r="A33723" s="4" t="s">
        <v>42435</v>
      </c>
      <c r="B33723" s="4" t="s">
        <v>42437</v>
      </c>
      <c r="C33723" s="5" t="str">
        <f>IFERROR(__xludf.DUMMYFUNCTION("GOOGLETRANSLATE(B33723,""en"",""de"")"),"Ein Kameramann filmt den Mann, während er auf dem Boden liegt.")</f>
        <v>Ein Kameramann filmt den Mann, während er auf dem Boden liegt.</v>
      </c>
    </row>
    <row r="33724">
      <c r="A33724" s="4" t="s">
        <v>42435</v>
      </c>
      <c r="B33724" s="4" t="s">
        <v>42438</v>
      </c>
      <c r="C33724" s="5" t="str">
        <f>IFERROR(__xludf.DUMMYFUNCTION("GOOGLETRANSLATE(B33724,""en"",""de"")"),"Der Mann mit Federn springt über einen anderen Mann.")</f>
        <v>Der Mann mit Federn springt über einen anderen Mann.</v>
      </c>
    </row>
    <row r="33725">
      <c r="A33725" s="4" t="s">
        <v>42439</v>
      </c>
      <c r="B33725" s="4" t="s">
        <v>42440</v>
      </c>
      <c r="C33725" s="5" t="str">
        <f>IFERROR(__xludf.DUMMYFUNCTION("GOOGLETRANSLATE(B33725,""en"",""de"")"),"Wir sehen ein kleines Mädchen, das Make -up auf ihr Gesicht auf ein Spielzeugwaschtisch setzt.")</f>
        <v>Wir sehen ein kleines Mädchen, das Make -up auf ihr Gesicht auf ein Spielzeugwaschtisch setzt.</v>
      </c>
    </row>
    <row r="33726">
      <c r="A33726" s="4" t="s">
        <v>42439</v>
      </c>
      <c r="B33726" s="4" t="s">
        <v>42441</v>
      </c>
      <c r="C33726" s="5" t="str">
        <f>IFERROR(__xludf.DUMMYFUNCTION("GOOGLETRANSLATE(B33726,""en"",""de"")"),"Sie schließt den Make -up -Fall und öffnet sie wieder.")</f>
        <v>Sie schließt den Make -up -Fall und öffnet sie wieder.</v>
      </c>
    </row>
    <row r="33727">
      <c r="A33727" s="4" t="s">
        <v>42439</v>
      </c>
      <c r="B33727" s="4" t="s">
        <v>42442</v>
      </c>
      <c r="C33727" s="5" t="str">
        <f>IFERROR(__xludf.DUMMYFUNCTION("GOOGLETRANSLATE(B33727,""en"",""de"")"),"Sie reibt die Spitze der Bürste mit ihrem Finger.")</f>
        <v>Sie reibt die Spitze der Bürste mit ihrem Finger.</v>
      </c>
    </row>
    <row r="33728">
      <c r="A33728" s="4" t="s">
        <v>42443</v>
      </c>
      <c r="B33728" s="4" t="s">
        <v>42444</v>
      </c>
      <c r="C33728" s="5" t="str">
        <f>IFERROR(__xludf.DUMMYFUNCTION("GOOGLETRANSLATE(B33728,""en"",""de"")"),"Vier Männer fahren in einem Cabrio -Auto und fahren entlang einer Wüstenstraße entlang.")</f>
        <v>Vier Männer fahren in einem Cabrio -Auto und fahren entlang einer Wüstenstraße entlang.</v>
      </c>
    </row>
    <row r="33729">
      <c r="A33729" s="4" t="s">
        <v>42443</v>
      </c>
      <c r="B33729" s="4" t="s">
        <v>42445</v>
      </c>
      <c r="C33729" s="5" t="str">
        <f>IFERROR(__xludf.DUMMYFUNCTION("GOOGLETRANSLATE(B33729,""en"",""de"")"),"Zwei Freunde reiten eine Rolltreppe hinunter.")</f>
        <v>Zwei Freunde reiten eine Rolltreppe hinunter.</v>
      </c>
    </row>
    <row r="33730">
      <c r="A33730" s="4" t="s">
        <v>42443</v>
      </c>
      <c r="B33730" s="4" t="s">
        <v>42446</v>
      </c>
      <c r="C33730" s="5" t="str">
        <f>IFERROR(__xludf.DUMMYFUNCTION("GOOGLETRANSLATE(B33730,""en"",""de"")"),"Die Freunde stehen an einem Kartentisch in einem Casino und spielen Hände.")</f>
        <v>Die Freunde stehen an einem Kartentisch in einem Casino und spielen Hände.</v>
      </c>
    </row>
    <row r="33731">
      <c r="A33731" s="4" t="s">
        <v>42443</v>
      </c>
      <c r="B33731" s="4" t="s">
        <v>42447</v>
      </c>
      <c r="C33731" s="5" t="str">
        <f>IFERROR(__xludf.DUMMYFUNCTION("GOOGLETRANSLATE(B33731,""en"",""de"")"),"Der Mann macht eine große Wette und setzt sich hin, um ein paar Hände am Tisch zu spielen.")</f>
        <v>Der Mann macht eine große Wette und setzt sich hin, um ein paar Hände am Tisch zu spielen.</v>
      </c>
    </row>
    <row r="33732">
      <c r="A33732" s="4" t="s">
        <v>42443</v>
      </c>
      <c r="B33732" s="4" t="s">
        <v>42448</v>
      </c>
      <c r="C33732" s="5" t="str">
        <f>IFERROR(__xludf.DUMMYFUNCTION("GOOGLETRANSLATE(B33732,""en"",""de"")"),"Der Mann sammelt eine große Anzahl von Chips.")</f>
        <v>Der Mann sammelt eine große Anzahl von Chips.</v>
      </c>
    </row>
    <row r="33733">
      <c r="A33733" s="4" t="s">
        <v>42443</v>
      </c>
      <c r="B33733" s="4" t="s">
        <v>42449</v>
      </c>
      <c r="C33733" s="5" t="str">
        <f>IFERROR(__xludf.DUMMYFUNCTION("GOOGLETRANSLATE(B33733,""en"",""de"")"),"Die Freunde des Mannes gewinnen eine Hand und das Paar feiert.")</f>
        <v>Die Freunde des Mannes gewinnen eine Hand und das Paar feiert.</v>
      </c>
    </row>
    <row r="33734">
      <c r="A33734" s="4" t="s">
        <v>42443</v>
      </c>
      <c r="B33734" s="4" t="s">
        <v>42450</v>
      </c>
      <c r="C33734" s="5" t="str">
        <f>IFERROR(__xludf.DUMMYFUNCTION("GOOGLETRANSLATE(B33734,""en"",""de"")"),"Der Mann wird von Sicherheitspersonal und Kameras verfolgt.")</f>
        <v>Der Mann wird von Sicherheitspersonal und Kameras verfolgt.</v>
      </c>
    </row>
    <row r="33735">
      <c r="A33735" s="4" t="s">
        <v>42443</v>
      </c>
      <c r="B33735" s="4" t="s">
        <v>42451</v>
      </c>
      <c r="C33735" s="5" t="str">
        <f>IFERROR(__xludf.DUMMYFUNCTION("GOOGLETRANSLATE(B33735,""en"",""de"")"),"Die Frau fällt zurück, wenn ihr Stuhl zu Boden und die Männer helfen.")</f>
        <v>Die Frau fällt zurück, wenn ihr Stuhl zu Boden und die Männer helfen.</v>
      </c>
    </row>
    <row r="33736">
      <c r="A33736" s="4" t="s">
        <v>42443</v>
      </c>
      <c r="B33736" s="4" t="s">
        <v>42452</v>
      </c>
      <c r="C33736" s="5" t="str">
        <f>IFERROR(__xludf.DUMMYFUNCTION("GOOGLETRANSLATE(B33736,""en"",""de"")"),"Der Freund, der spielt, ist weg und der Stuhl ist leer.")</f>
        <v>Der Freund, der spielt, ist weg und der Stuhl ist leer.</v>
      </c>
    </row>
    <row r="33737">
      <c r="A33737" s="4" t="s">
        <v>42453</v>
      </c>
      <c r="B33737" s="4" t="s">
        <v>42454</v>
      </c>
      <c r="C33737" s="5" t="str">
        <f>IFERROR(__xludf.DUMMYFUNCTION("GOOGLETRANSLATE(B33737,""en"",""de"")"),"Ein Paar befindet sich im fließenden Wasser eines Flusses.")</f>
        <v>Ein Paar befindet sich im fließenden Wasser eines Flusses.</v>
      </c>
    </row>
    <row r="33738">
      <c r="A33738" s="4" t="s">
        <v>42453</v>
      </c>
      <c r="B33738" s="4" t="s">
        <v>42455</v>
      </c>
      <c r="C33738" s="5" t="str">
        <f>IFERROR(__xludf.DUMMYFUNCTION("GOOGLETRANSLATE(B33738,""en"",""de"")"),"Sie sitzen neben mehreren Eimern.")</f>
        <v>Sie sitzen neben mehreren Eimern.</v>
      </c>
    </row>
    <row r="33739">
      <c r="A33739" s="4" t="s">
        <v>42453</v>
      </c>
      <c r="B33739" s="4" t="s">
        <v>42456</v>
      </c>
      <c r="C33739" s="5" t="str">
        <f>IFERROR(__xludf.DUMMYFUNCTION("GOOGLETRANSLATE(B33739,""en"",""de"")"),"Sie schrubben Kleidung gegen die Felsen und versuchen, sie zu reinigen.")</f>
        <v>Sie schrubben Kleidung gegen die Felsen und versuchen, sie zu reinigen.</v>
      </c>
    </row>
    <row r="33740">
      <c r="A33740" s="4" t="s">
        <v>42457</v>
      </c>
      <c r="B33740" s="4" t="s">
        <v>42458</v>
      </c>
      <c r="C33740" s="5" t="str">
        <f>IFERROR(__xludf.DUMMYFUNCTION("GOOGLETRANSLATE(B33740,""en"",""de"")"),"Eine Person helles Holz, um Feuer zu machen.")</f>
        <v>Eine Person helles Holz, um Feuer zu machen.</v>
      </c>
    </row>
    <row r="33741">
      <c r="A33741" s="4" t="s">
        <v>42457</v>
      </c>
      <c r="B33741" s="4" t="s">
        <v>42459</v>
      </c>
      <c r="C33741" s="5" t="str">
        <f>IFERROR(__xludf.DUMMYFUNCTION("GOOGLETRANSLATE(B33741,""en"",""de"")"),"Dann bläst ein Mann das Feuer, während die Person Stöcke auf das entstehende Feuer legt.")</f>
        <v>Dann bläst ein Mann das Feuer, während die Person Stöcke auf das entstehende Feuer legt.</v>
      </c>
    </row>
    <row r="33742">
      <c r="A33742" s="4" t="s">
        <v>42457</v>
      </c>
      <c r="B33742" s="4" t="s">
        <v>42460</v>
      </c>
      <c r="C33742" s="5" t="str">
        <f>IFERROR(__xludf.DUMMYFUNCTION("GOOGLETRANSLATE(B33742,""en"",""de"")"),"Danach beginnt das Feuer immer größer zu wachsen, während die Männer Stöcke darauf legten.")</f>
        <v>Danach beginnt das Feuer immer größer zu wachsen, während die Männer Stöcke darauf legten.</v>
      </c>
    </row>
    <row r="33743">
      <c r="A33743" s="4" t="s">
        <v>42461</v>
      </c>
      <c r="B33743" s="4" t="s">
        <v>42462</v>
      </c>
      <c r="C33743" s="5" t="str">
        <f>IFERROR(__xludf.DUMMYFUNCTION("GOOGLETRANSLATE(B33743,""en"",""de"")"),"Eine Gruppe von Männern hält Maracas in den Händen und spielt mit einigen Reggae -Musik.")</f>
        <v>Eine Gruppe von Männern hält Maracas in den Händen und spielt mit einigen Reggae -Musik.</v>
      </c>
    </row>
    <row r="33744">
      <c r="A33744" s="4" t="s">
        <v>42461</v>
      </c>
      <c r="B33744" s="4" t="s">
        <v>42463</v>
      </c>
      <c r="C33744" s="5" t="str">
        <f>IFERROR(__xludf.DUMMYFUNCTION("GOOGLETRANSLATE(B33744,""en"",""de"")"),"Einer der Männer beginnt im Mikrofon zu singen.")</f>
        <v>Einer der Männer beginnt im Mikrofon zu singen.</v>
      </c>
    </row>
    <row r="33745">
      <c r="A33745" s="4" t="s">
        <v>42461</v>
      </c>
      <c r="B33745" s="4" t="s">
        <v>42464</v>
      </c>
      <c r="C33745" s="5" t="str">
        <f>IFERROR(__xludf.DUMMYFUNCTION("GOOGLETRANSLATE(B33745,""en"",""de"")"),"Der Rest der Männer sang ihm mit ihm den Chor.")</f>
        <v>Der Rest der Männer sang ihm mit ihm den Chor.</v>
      </c>
    </row>
    <row r="33746">
      <c r="A33746" s="4" t="s">
        <v>42461</v>
      </c>
      <c r="B33746" s="4" t="s">
        <v>42465</v>
      </c>
      <c r="C33746" s="5" t="str">
        <f>IFERROR(__xludf.DUMMYFUNCTION("GOOGLETRANSLATE(B33746,""en"",""de"")"),"Sie spielen die Maracas, während sie das Lied singen.")</f>
        <v>Sie spielen die Maracas, während sie das Lied singen.</v>
      </c>
    </row>
    <row r="33747">
      <c r="A33747" s="4" t="s">
        <v>42461</v>
      </c>
      <c r="B33747" s="4" t="s">
        <v>42466</v>
      </c>
      <c r="C33747" s="5" t="str">
        <f>IFERROR(__xludf.DUMMYFUNCTION("GOOGLETRANSLATE(B33747,""en"",""de"")"),"Die Männer tanzen auch, während sie singen und die Maracas spielen, der Leadsänger singt einige Zeit Solo, während die anderen ihre Maracas spielen.")</f>
        <v>Die Männer tanzen auch, während sie singen und die Maracas spielen, der Leadsänger singt einige Zeit Solo, während die anderen ihre Maracas spielen.</v>
      </c>
    </row>
    <row r="33748">
      <c r="A33748" s="4" t="s">
        <v>42461</v>
      </c>
      <c r="B33748" s="4" t="s">
        <v>42467</v>
      </c>
      <c r="C33748" s="5" t="str">
        <f>IFERROR(__xludf.DUMMYFUNCTION("GOOGLETRANSLATE(B33748,""en"",""de"")"),"Dann singen alle Männer mit ihm das Lied, während sie ihre Maracas spielen.")</f>
        <v>Dann singen alle Männer mit ihm das Lied, während sie ihre Maracas spielen.</v>
      </c>
    </row>
    <row r="33749">
      <c r="A33749" s="4" t="s">
        <v>42468</v>
      </c>
      <c r="B33749" s="4" t="s">
        <v>42469</v>
      </c>
      <c r="C33749" s="5" t="str">
        <f>IFERROR(__xludf.DUMMYFUNCTION("GOOGLETRANSLATE(B33749,""en"",""de"")"),"Zwei Leute tanzen in einem Tanzstudio.")</f>
        <v>Zwei Leute tanzen in einem Tanzstudio.</v>
      </c>
    </row>
    <row r="33750">
      <c r="A33750" s="4" t="s">
        <v>42468</v>
      </c>
      <c r="B33750" s="4" t="s">
        <v>42470</v>
      </c>
      <c r="C33750" s="5" t="str">
        <f>IFERROR(__xludf.DUMMYFUNCTION("GOOGLETRANSLATE(B33750,""en"",""de"")"),"Zuerst schwankt die Frau ein bisschen ihre Hüften und bewegt sich einen Fuß hinter dem anderen.")</f>
        <v>Zuerst schwankt die Frau ein bisschen ihre Hüften und bewegt sich einen Fuß hinter dem anderen.</v>
      </c>
    </row>
    <row r="33751">
      <c r="A33751" s="4" t="s">
        <v>42468</v>
      </c>
      <c r="B33751" s="4" t="s">
        <v>42471</v>
      </c>
      <c r="C33751" s="5" t="str">
        <f>IFERROR(__xludf.DUMMYFUNCTION("GOOGLETRANSLATE(B33751,""en"",""de"")"),"Sie fordert die Zuschauer auch auf, Augenkontakt mit der Person aufzunehmen, um sicherzustellen, dass sie sich bequem sind, und irgendwann dreht sich der Mann in einem Kreis herum und sie kommt zurück, damit sie wieder normal tanzen.")</f>
        <v>Sie fordert die Zuschauer auch auf, Augenkontakt mit der Person aufzunehmen, um sicherzustellen, dass sie sich bequem sind, und irgendwann dreht sich der Mann in einem Kreis herum und sie kommt zurück, damit sie wieder normal tanzen.</v>
      </c>
    </row>
    <row r="33752">
      <c r="A33752" s="4" t="s">
        <v>42472</v>
      </c>
      <c r="B33752" s="4" t="s">
        <v>42473</v>
      </c>
      <c r="C33752" s="5" t="str">
        <f>IFERROR(__xludf.DUMMYFUNCTION("GOOGLETRANSLATE(B33752,""en"",""de"")"),"Drei Männer werden interviewt, von denen eines das Klavier spielt und für den Interviewer und seine Kameramannschaft in einem schmalen Flur singt.")</f>
        <v>Drei Männer werden interviewt, von denen eines das Klavier spielt und für den Interviewer und seine Kameramannschaft in einem schmalen Flur singt.</v>
      </c>
    </row>
    <row r="33753">
      <c r="A33753" s="4" t="s">
        <v>42472</v>
      </c>
      <c r="B33753" s="4" t="s">
        <v>42474</v>
      </c>
      <c r="C33753" s="5" t="str">
        <f>IFERROR(__xludf.DUMMYFUNCTION("GOOGLETRANSLATE(B33753,""en"",""de"")"),"Vier Männer befinden sich in einem Raum, von denen drei vom vierten Mann interviewt werden, der blonde Haare hat, eine Brille trägt und eine Kameramateamin bei sich hat.")</f>
        <v>Vier Männer befinden sich in einem Raum, von denen drei vom vierten Mann interviewt werden, der blonde Haare hat, eine Brille trägt und eine Kameramateamin bei sich hat.</v>
      </c>
    </row>
    <row r="33754">
      <c r="A33754" s="4" t="s">
        <v>42472</v>
      </c>
      <c r="B33754" s="4" t="s">
        <v>42475</v>
      </c>
      <c r="C33754" s="5" t="str">
        <f>IFERROR(__xludf.DUMMYFUNCTION("GOOGLETRANSLATE(B33754,""en"",""de"")"),"Der Interviewer führt einen der Männer in den Flur zu einem Klavier, wo der Mann einen Platz hat.")</f>
        <v>Der Interviewer führt einen der Männer in den Flur zu einem Klavier, wo der Mann einen Platz hat.</v>
      </c>
    </row>
    <row r="33755">
      <c r="A33755" s="4" t="s">
        <v>42472</v>
      </c>
      <c r="B33755" s="4" t="s">
        <v>42476</v>
      </c>
      <c r="C33755" s="5" t="str">
        <f>IFERROR(__xludf.DUMMYFUNCTION("GOOGLETRANSLATE(B33755,""en"",""de"")"),"Der Mann beginnt zu spielen und zu singen, wie die Kamera -Crew, der Interviewer und die Zuschauer zuschauen, bevor der Mann das Lied beendet, aufsteigt und weggeht.")</f>
        <v>Der Mann beginnt zu spielen und zu singen, wie die Kamera -Crew, der Interviewer und die Zuschauer zuschauen, bevor der Mann das Lied beendet, aufsteigt und weggeht.</v>
      </c>
    </row>
    <row r="33756">
      <c r="A33756" s="4" t="s">
        <v>42477</v>
      </c>
      <c r="B33756" s="4" t="s">
        <v>42478</v>
      </c>
      <c r="C33756" s="5" t="str">
        <f>IFERROR(__xludf.DUMMYFUNCTION("GOOGLETRANSLATE(B33756,""en"",""de"")"),"Wir sehen Männer in einem Zimmer, das in einem Turnier Pool spielt.")</f>
        <v>Wir sehen Männer in einem Zimmer, das in einem Turnier Pool spielt.</v>
      </c>
    </row>
    <row r="33757">
      <c r="A33757" s="4" t="s">
        <v>42477</v>
      </c>
      <c r="B33757" s="4" t="s">
        <v>42479</v>
      </c>
      <c r="C33757" s="5" t="str">
        <f>IFERROR(__xludf.DUMMYFUNCTION("GOOGLETRANSLATE(B33757,""en"",""de"")"),"Der Mann im blauen Hemd nähert sich zum Schießen.")</f>
        <v>Der Mann im blauen Hemd nähert sich zum Schießen.</v>
      </c>
    </row>
    <row r="33758">
      <c r="A33758" s="4" t="s">
        <v>42477</v>
      </c>
      <c r="B33758" s="4" t="s">
        <v>42480</v>
      </c>
      <c r="C33758" s="5" t="str">
        <f>IFERROR(__xludf.DUMMYFUNCTION("GOOGLETRANSLATE(B33758,""en"",""de"")"),"Der Mann geht weg, um seinen Poolstock auszutauschen.")</f>
        <v>Der Mann geht weg, um seinen Poolstock auszutauschen.</v>
      </c>
    </row>
    <row r="33759">
      <c r="A33759" s="4" t="s">
        <v>42477</v>
      </c>
      <c r="B33759" s="4" t="s">
        <v>42481</v>
      </c>
      <c r="C33759" s="5" t="str">
        <f>IFERROR(__xludf.DUMMYFUNCTION("GOOGLETRANSLATE(B33759,""en"",""de"")"),"Der Mann in Blau macht seinen Schuss.")</f>
        <v>Der Mann in Blau macht seinen Schuss.</v>
      </c>
    </row>
    <row r="33760">
      <c r="A33760" s="4" t="s">
        <v>42477</v>
      </c>
      <c r="B33760" s="4" t="s">
        <v>42482</v>
      </c>
      <c r="C33760" s="5" t="str">
        <f>IFERROR(__xludf.DUMMYFUNCTION("GOOGLETRANSLATE(B33760,""en"",""de"")"),"Der Mann macht dann noch einen Schuss.")</f>
        <v>Der Mann macht dann noch einen Schuss.</v>
      </c>
    </row>
    <row r="33761">
      <c r="A33761" s="4" t="s">
        <v>42477</v>
      </c>
      <c r="B33761" s="4" t="s">
        <v>42483</v>
      </c>
      <c r="C33761" s="5" t="str">
        <f>IFERROR(__xludf.DUMMYFUNCTION("GOOGLETRANSLATE(B33761,""en"",""de"")"),"Der Mann macht seinen dritten Schuss.")</f>
        <v>Der Mann macht seinen dritten Schuss.</v>
      </c>
    </row>
    <row r="33762">
      <c r="A33762" s="4" t="s">
        <v>42477</v>
      </c>
      <c r="B33762" s="4" t="s">
        <v>42484</v>
      </c>
      <c r="C33762" s="5" t="str">
        <f>IFERROR(__xludf.DUMMYFUNCTION("GOOGLETRANSLATE(B33762,""en"",""de"")"),"Der Mann macht seinen vierten Schuss.")</f>
        <v>Der Mann macht seinen vierten Schuss.</v>
      </c>
    </row>
    <row r="33763">
      <c r="A33763" s="4" t="s">
        <v>42477</v>
      </c>
      <c r="B33763" s="4" t="s">
        <v>42485</v>
      </c>
      <c r="C33763" s="5" t="str">
        <f>IFERROR(__xludf.DUMMYFUNCTION("GOOGLETRANSLATE(B33763,""en"",""de"")"),"Der Mann macht seinen letzten Schuss.")</f>
        <v>Der Mann macht seinen letzten Schuss.</v>
      </c>
    </row>
    <row r="33764">
      <c r="A33764" s="4" t="s">
        <v>42486</v>
      </c>
      <c r="B33764" s="4" t="s">
        <v>42487</v>
      </c>
      <c r="C33764" s="5" t="str">
        <f>IFERROR(__xludf.DUMMYFUNCTION("GOOGLETRANSLATE(B33764,""en"",""de"")"),"Ein Intro führt zu einer Frau, die mit der Kamera spricht, während mehrere Skiiers um sie herum fahren.")</f>
        <v>Ein Intro führt zu einer Frau, die mit der Kamera spricht, während mehrere Skiiers um sie herum fahren.</v>
      </c>
    </row>
    <row r="33765">
      <c r="A33765" s="4" t="s">
        <v>42486</v>
      </c>
      <c r="B33765" s="4" t="s">
        <v>42488</v>
      </c>
      <c r="C33765" s="5" t="str">
        <f>IFERROR(__xludf.DUMMYFUNCTION("GOOGLETRANSLATE(B33765,""en"",""de"")"),"Die Kamera folgt dem Mädchen, das einen schneebedeckten Hügel hinunterfährt, sowie die Skiglifte hinauf reitet und wieder mit der Kamera spricht.")</f>
        <v>Die Kamera folgt dem Mädchen, das einen schneebedeckten Hügel hinunterfährt, sowie die Skiglifte hinauf reitet und wieder mit der Kamera spricht.</v>
      </c>
    </row>
    <row r="33766">
      <c r="A33766" s="4" t="s">
        <v>42486</v>
      </c>
      <c r="B33766" s="4" t="s">
        <v>42489</v>
      </c>
      <c r="C33766" s="5" t="str">
        <f>IFERROR(__xludf.DUMMYFUNCTION("GOOGLETRANSLATE(B33766,""en"",""de"")"),"Es werden einige weitere Aufnahmen ihres Skifahrens gezeigt und endet mit ihrer Wedel zur Kamera und verschiedenen Bildern von Skifahrern.")</f>
        <v>Es werden einige weitere Aufnahmen ihres Skifahrens gezeigt und endet mit ihrer Wedel zur Kamera und verschiedenen Bildern von Skifahrern.</v>
      </c>
    </row>
    <row r="33767">
      <c r="A33767" s="4" t="s">
        <v>42490</v>
      </c>
      <c r="B33767" s="4" t="s">
        <v>42491</v>
      </c>
      <c r="C33767" s="5" t="str">
        <f>IFERROR(__xludf.DUMMYFUNCTION("GOOGLETRANSLATE(B33767,""en"",""de"")"),"Zwei Leute spielen miteinander ein Ping -Pong.")</f>
        <v>Zwei Leute spielen miteinander ein Ping -Pong.</v>
      </c>
    </row>
    <row r="33768">
      <c r="A33768" s="4" t="s">
        <v>42490</v>
      </c>
      <c r="B33768" s="4" t="s">
        <v>42492</v>
      </c>
      <c r="C33768" s="5" t="str">
        <f>IFERROR(__xludf.DUMMYFUNCTION("GOOGLETRANSLATE(B33768,""en"",""de"")"),"Sie schlugen den Ball zurück und den vierten Platz über den Tisch, während die Leute an den Seiten zuschauen.")</f>
        <v>Sie schlugen den Ball zurück und den vierten Platz über den Tisch, während die Leute an den Seiten zuschauen.</v>
      </c>
    </row>
    <row r="33769">
      <c r="A33769" s="4" t="s">
        <v>42490</v>
      </c>
      <c r="B33769" s="4" t="s">
        <v>42493</v>
      </c>
      <c r="C33769" s="5" t="str">
        <f>IFERROR(__xludf.DUMMYFUNCTION("GOOGLETRANSLATE(B33769,""en"",""de"")"),"Die Jungs spielen weiterhin zurück und vierten, während sie Plätze wechseln und zur Kamera schauen.")</f>
        <v>Die Jungs spielen weiterhin zurück und vierten, während sie Plätze wechseln und zur Kamera schauen.</v>
      </c>
    </row>
    <row r="33770">
      <c r="A33770" s="4" t="s">
        <v>42494</v>
      </c>
      <c r="B33770" s="4" t="s">
        <v>42495</v>
      </c>
      <c r="C33770" s="5" t="str">
        <f>IFERROR(__xludf.DUMMYFUNCTION("GOOGLETRANSLATE(B33770,""en"",""de"")"),"Eine Person steht hinter einem Fahrrad, der zur Kamera spricht und Nahaufnahmen des Fahrrads zeigt.")</f>
        <v>Eine Person steht hinter einem Fahrrad, der zur Kamera spricht und Nahaufnahmen des Fahrrads zeigt.</v>
      </c>
    </row>
    <row r="33771">
      <c r="A33771" s="4" t="s">
        <v>42494</v>
      </c>
      <c r="B33771" s="4" t="s">
        <v>42496</v>
      </c>
      <c r="C33771" s="5" t="str">
        <f>IFERROR(__xludf.DUMMYFUNCTION("GOOGLETRANSLATE(B33771,""en"",""de"")"),"Die Person spricht weiter, während er seine Ausrüstung zeigt und führt zu sich, um Einstellungen auf seinem Fahrrad anzupassen.")</f>
        <v>Die Person spricht weiter, während er seine Ausrüstung zeigt und führt zu sich, um Einstellungen auf seinem Fahrrad anzupassen.</v>
      </c>
    </row>
    <row r="33772">
      <c r="A33772" s="4" t="s">
        <v>42497</v>
      </c>
      <c r="B33772" s="4" t="s">
        <v>42498</v>
      </c>
      <c r="C33772" s="5" t="str">
        <f>IFERROR(__xludf.DUMMYFUNCTION("GOOGLETRANSLATE(B33772,""en"",""de"")"),"Eine Frau, die in schwarzem Top gekleidet ist, spricht über amerikanische Pflegedienste für Haustiere.")</f>
        <v>Eine Frau, die in schwarzem Top gekleidet ist, spricht über amerikanische Pflegedienste für Haustiere.</v>
      </c>
    </row>
    <row r="33773">
      <c r="A33773" s="4" t="s">
        <v>42497</v>
      </c>
      <c r="B33773" s="4" t="s">
        <v>42499</v>
      </c>
      <c r="C33773" s="5" t="str">
        <f>IFERROR(__xludf.DUMMYFUNCTION("GOOGLETRANSLATE(B33773,""en"",""de"")"),"Sie demonstriert all die verschiedenen Pflegedienste, die ihr Unternehmen für Haustiere anbietet.")</f>
        <v>Sie demonstriert all die verschiedenen Pflegedienste, die ihr Unternehmen für Haustiere anbietet.</v>
      </c>
    </row>
    <row r="33774">
      <c r="A33774" s="4" t="s">
        <v>42497</v>
      </c>
      <c r="B33774" s="4" t="s">
        <v>42500</v>
      </c>
      <c r="C33774" s="5" t="str">
        <f>IFERROR(__xludf.DUMMYFUNCTION("GOOGLETRANSLATE(B33774,""en"",""de"")"),"Es gibt mehrere Preamer, die an Hunden arbeiten, während sie Haustierhaare schneiden und scheren und ihre Nägel klappen.")</f>
        <v>Es gibt mehrere Preamer, die an Hunden arbeiten, während sie Haustierhaare schneiden und scheren und ihre Nägel klappen.</v>
      </c>
    </row>
    <row r="33775">
      <c r="A33775" s="4" t="s">
        <v>42497</v>
      </c>
      <c r="B33775" s="4" t="s">
        <v>42501</v>
      </c>
      <c r="C33775" s="5" t="str">
        <f>IFERROR(__xludf.DUMMYFUNCTION("GOOGLETRANSLATE(B33775,""en"",""de"")"),"Die Groomer sprechen darüber, wo sie ihren Abschluss gemacht haben und wie sie für den Job eingestellt wurden.")</f>
        <v>Die Groomer sprechen darüber, wo sie ihren Abschluss gemacht haben und wie sie für den Job eingestellt wurden.</v>
      </c>
    </row>
    <row r="33776">
      <c r="A33776" s="4" t="s">
        <v>42497</v>
      </c>
      <c r="B33776" s="4" t="s">
        <v>42502</v>
      </c>
      <c r="C33776" s="5" t="str">
        <f>IFERROR(__xludf.DUMMYFUNCTION("GOOGLETRANSLATE(B33776,""en"",""de"")"),"Das Video zeigt, wie unterschiedliche Hunde von professionellen Groomern gepflegt werden, die Qualitätsdienste anbieten.")</f>
        <v>Das Video zeigt, wie unterschiedliche Hunde von professionellen Groomern gepflegt werden, die Qualitätsdienste anbieten.</v>
      </c>
    </row>
    <row r="33777">
      <c r="A33777" s="4" t="s">
        <v>42503</v>
      </c>
      <c r="B33777" s="4" t="s">
        <v>42504</v>
      </c>
      <c r="C33777" s="5" t="str">
        <f>IFERROR(__xludf.DUMMYFUNCTION("GOOGLETRANSLATE(B33777,""en"",""de"")"),"Verschiedene Schüsse von Menschen, die um einen schneebedeckten Berg herumlaufen, werden von Personen gezeigt, die Spiele auf Pferden spielen.")</f>
        <v>Verschiedene Schüsse von Menschen, die um einen schneebedeckten Berg herumlaufen, werden von Personen gezeigt, die Spiele auf Pferden spielen.</v>
      </c>
    </row>
    <row r="33778">
      <c r="A33778" s="4" t="s">
        <v>42503</v>
      </c>
      <c r="B33778" s="4" t="s">
        <v>42505</v>
      </c>
      <c r="C33778" s="5" t="str">
        <f>IFERROR(__xludf.DUMMYFUNCTION("GOOGLETRANSLATE(B33778,""en"",""de"")"),"Viele gehobene Leute sehen am Rande gesehen, wie das Pferdesspiel weitergeht und ein Gewinner ausgewählt wird.")</f>
        <v>Viele gehobene Leute sehen am Rande gesehen, wie das Pferdesspiel weitergeht und ein Gewinner ausgewählt wird.</v>
      </c>
    </row>
    <row r="33779">
      <c r="A33779" s="4" t="s">
        <v>42503</v>
      </c>
      <c r="B33779" s="4" t="s">
        <v>42506</v>
      </c>
      <c r="C33779" s="5" t="str">
        <f>IFERROR(__xludf.DUMMYFUNCTION("GOOGLETRANSLATE(B33779,""en"",""de"")"),"Die Leute kommen dann spät abends angezogen und posieren für Bilder.")</f>
        <v>Die Leute kommen dann spät abends angezogen und posieren für Bilder.</v>
      </c>
    </row>
    <row r="33780">
      <c r="A33780" s="4" t="s">
        <v>42507</v>
      </c>
      <c r="B33780" s="4" t="s">
        <v>42508</v>
      </c>
      <c r="C33780" s="5" t="str">
        <f>IFERROR(__xludf.DUMMYFUNCTION("GOOGLETRANSLATE(B33780,""en"",""de"")"),"Eine kleine Gruppe von Menschen spielt alle verschiedene Spiele des Ping -Pongs miteinander über eine Reihe von Tischen.")</f>
        <v>Eine kleine Gruppe von Menschen spielt alle verschiedene Spiele des Ping -Pongs miteinander über eine Reihe von Tischen.</v>
      </c>
    </row>
    <row r="33781">
      <c r="A33781" s="4" t="s">
        <v>42507</v>
      </c>
      <c r="B33781" s="4" t="s">
        <v>42509</v>
      </c>
      <c r="C33781" s="5" t="str">
        <f>IFERROR(__xludf.DUMMYFUNCTION("GOOGLETRANSLATE(B33781,""en"",""de"")"),"Die Leute schlugen weiterhin den Ball zurück und vierten, während die Kamera sie aus verschiedenen Winkeln und einer Nahaufnahme eines Jungen am Ende erfasst.")</f>
        <v>Die Leute schlugen weiterhin den Ball zurück und vierten, während die Kamera sie aus verschiedenen Winkeln und einer Nahaufnahme eines Jungen am Ende erfasst.</v>
      </c>
    </row>
    <row r="33782">
      <c r="A33782" s="4" t="s">
        <v>42510</v>
      </c>
      <c r="B33782" s="4" t="s">
        <v>42511</v>
      </c>
      <c r="C33782" s="5" t="str">
        <f>IFERROR(__xludf.DUMMYFUNCTION("GOOGLETRANSLATE(B33782,""en"",""de"")"),"Eine Frau sitzt während des Essens an einem Tisch in einem Fast -Food -Restaurant.")</f>
        <v>Eine Frau sitzt während des Essens an einem Tisch in einem Fast -Food -Restaurant.</v>
      </c>
    </row>
    <row r="33783">
      <c r="A33783" s="4" t="s">
        <v>42510</v>
      </c>
      <c r="B33783" s="4" t="s">
        <v>42512</v>
      </c>
      <c r="C33783" s="5" t="str">
        <f>IFERROR(__xludf.DUMMYFUNCTION("GOOGLETRANSLATE(B33783,""en"",""de"")"),"Sie spricht ständig mit niemandem, während sie isst.")</f>
        <v>Sie spricht ständig mit niemandem, während sie isst.</v>
      </c>
    </row>
    <row r="33784">
      <c r="A33784" s="4" t="s">
        <v>42510</v>
      </c>
      <c r="B33784" s="4" t="s">
        <v>42513</v>
      </c>
      <c r="C33784" s="5" t="str">
        <f>IFERROR(__xludf.DUMMYFUNCTION("GOOGLETRANSLATE(B33784,""en"",""de"")"),"Sie steht auf und packt ihre Handtasche, redet weiter und lacht, als sie geht.")</f>
        <v>Sie steht auf und packt ihre Handtasche, redet weiter und lacht, als sie geht.</v>
      </c>
    </row>
    <row r="33785">
      <c r="A33785" s="4" t="s">
        <v>42514</v>
      </c>
      <c r="B33785" s="4" t="s">
        <v>42515</v>
      </c>
      <c r="C33785" s="5" t="str">
        <f>IFERROR(__xludf.DUMMYFUNCTION("GOOGLETRANSLATE(B33785,""en"",""de"")"),"Wir sehen ein Floß voller Menschen in einem rauen Fluss und sehen viele Stills.")</f>
        <v>Wir sehen ein Floß voller Menschen in einem rauen Fluss und sehen viele Stills.</v>
      </c>
    </row>
    <row r="33786">
      <c r="A33786" s="4" t="s">
        <v>42514</v>
      </c>
      <c r="B33786" s="4" t="s">
        <v>42516</v>
      </c>
      <c r="C33786" s="5" t="str">
        <f>IFERROR(__xludf.DUMMYFUNCTION("GOOGLETRANSLATE(B33786,""en"",""de"")"),"Wir sehen die Leute in Schüssen.")</f>
        <v>Wir sehen die Leute in Schüssen.</v>
      </c>
    </row>
    <row r="33787">
      <c r="A33787" s="4" t="s">
        <v>42514</v>
      </c>
      <c r="B33787" s="4" t="s">
        <v>42517</v>
      </c>
      <c r="C33787" s="5" t="str">
        <f>IFERROR(__xludf.DUMMYFUNCTION("GOOGLETRANSLATE(B33787,""en"",""de"")"),"Wir sehen den Titelbildschirm.")</f>
        <v>Wir sehen den Titelbildschirm.</v>
      </c>
    </row>
    <row r="33788">
      <c r="A33788" s="4" t="s">
        <v>42514</v>
      </c>
      <c r="B33788" s="4" t="s">
        <v>42518</v>
      </c>
      <c r="C33788" s="5" t="str">
        <f>IFERROR(__xludf.DUMMYFUNCTION("GOOGLETRANSLATE(B33788,""en"",""de"")"),"Wir sehen einen Hubschrauber über einem Fluss.")</f>
        <v>Wir sehen einen Hubschrauber über einem Fluss.</v>
      </c>
    </row>
    <row r="33789">
      <c r="A33789" s="4" t="s">
        <v>42514</v>
      </c>
      <c r="B33789" s="4" t="s">
        <v>42519</v>
      </c>
      <c r="C33789" s="5" t="str">
        <f>IFERROR(__xludf.DUMMYFUNCTION("GOOGLETRANSLATE(B33789,""en"",""de"")"),"Das Floß dreht sich um und eine Dame lacht.")</f>
        <v>Das Floß dreht sich um und eine Dame lacht.</v>
      </c>
    </row>
    <row r="33790">
      <c r="A33790" s="4" t="s">
        <v>42514</v>
      </c>
      <c r="B33790" s="4" t="s">
        <v>42520</v>
      </c>
      <c r="C33790" s="5" t="str">
        <f>IFERROR(__xludf.DUMMYFUNCTION("GOOGLETRANSLATE(B33790,""en"",""de"")"),"Wir sehen einen Bus auf der Straße.")</f>
        <v>Wir sehen einen Bus auf der Straße.</v>
      </c>
    </row>
    <row r="33791">
      <c r="A33791" s="4" t="s">
        <v>42514</v>
      </c>
      <c r="B33791" s="4" t="s">
        <v>42521</v>
      </c>
      <c r="C33791" s="5" t="str">
        <f>IFERROR(__xludf.DUMMYFUNCTION("GOOGLETRANSLATE(B33791,""en"",""de"")"),"Wir sehen den Canyon aus der Ferne.")</f>
        <v>Wir sehen den Canyon aus der Ferne.</v>
      </c>
    </row>
    <row r="33792">
      <c r="A33792" s="4" t="s">
        <v>42514</v>
      </c>
      <c r="B33792" s="4" t="s">
        <v>42522</v>
      </c>
      <c r="C33792" s="5" t="str">
        <f>IFERROR(__xludf.DUMMYFUNCTION("GOOGLETRANSLATE(B33792,""en"",""de"")"),"Wir sehen einen Tunnel und ein Schnellboot.")</f>
        <v>Wir sehen einen Tunnel und ein Schnellboot.</v>
      </c>
    </row>
    <row r="33793">
      <c r="A33793" s="4" t="s">
        <v>42514</v>
      </c>
      <c r="B33793" s="4" t="s">
        <v>42523</v>
      </c>
      <c r="C33793" s="5" t="str">
        <f>IFERROR(__xludf.DUMMYFUNCTION("GOOGLETRANSLATE(B33793,""en"",""de"")"),"Wir sehen immer noch Aufnahmen der Sparren.")</f>
        <v>Wir sehen immer noch Aufnahmen der Sparren.</v>
      </c>
    </row>
    <row r="33794">
      <c r="A33794" s="4" t="s">
        <v>42514</v>
      </c>
      <c r="B33794" s="4" t="s">
        <v>777</v>
      </c>
      <c r="C33794" s="5" t="str">
        <f>IFERROR(__xludf.DUMMYFUNCTION("GOOGLETRANSLATE(B33794,""en"",""de"")"),"Wir sehen den End -Titelbildschirm.")</f>
        <v>Wir sehen den End -Titelbildschirm.</v>
      </c>
    </row>
    <row r="33795">
      <c r="A33795" s="4" t="s">
        <v>42524</v>
      </c>
      <c r="B33795" s="4" t="s">
        <v>42525</v>
      </c>
      <c r="C33795" s="5" t="str">
        <f>IFERROR(__xludf.DUMMYFUNCTION("GOOGLETRANSLATE(B33795,""en"",""de"")"),"Ein Mann schiebt ein Brett in den Boden, um den Teppich nach unten zu schieben.")</f>
        <v>Ein Mann schiebt ein Brett in den Boden, um den Teppich nach unten zu schieben.</v>
      </c>
    </row>
    <row r="33796">
      <c r="A33796" s="4" t="s">
        <v>42524</v>
      </c>
      <c r="B33796" s="4" t="s">
        <v>42526</v>
      </c>
      <c r="C33796" s="5" t="str">
        <f>IFERROR(__xludf.DUMMYFUNCTION("GOOGLETRANSLATE(B33796,""en"",""de"")"),"Er schneidet weiter um den Teppich und schiebt ihn mit einem großen Strahl nach unten.")</f>
        <v>Er schneidet weiter um den Teppich und schiebt ihn mit einem großen Strahl nach unten.</v>
      </c>
    </row>
    <row r="33797">
      <c r="A33797" s="4" t="s">
        <v>42527</v>
      </c>
      <c r="B33797" s="4" t="s">
        <v>42528</v>
      </c>
      <c r="C33797" s="5" t="str">
        <f>IFERROR(__xludf.DUMMYFUNCTION("GOOGLETRANSLATE(B33797,""en"",""de"")"),"Ein Stier in einem Ring beginnt zwei Männer zu jagen.")</f>
        <v>Ein Stier in einem Ring beginnt zwei Männer zu jagen.</v>
      </c>
    </row>
    <row r="33798">
      <c r="A33798" s="4" t="s">
        <v>42527</v>
      </c>
      <c r="B33798" s="4" t="s">
        <v>42529</v>
      </c>
      <c r="C33798" s="5" t="str">
        <f>IFERROR(__xludf.DUMMYFUNCTION("GOOGLETRANSLATE(B33798,""en"",""de"")"),"Einige andere rennen auf den Ring, und der Bulle dreht sich, als sie seine Hörner und seinen Schwanz greifen.")</f>
        <v>Einige andere rennen auf den Ring, und der Bulle dreht sich, als sie seine Hörner und seinen Schwanz greifen.</v>
      </c>
    </row>
    <row r="33799">
      <c r="A33799" s="4" t="s">
        <v>42527</v>
      </c>
      <c r="B33799" s="4" t="s">
        <v>42530</v>
      </c>
      <c r="C33799" s="5" t="str">
        <f>IFERROR(__xludf.DUMMYFUNCTION("GOOGLETRANSLATE(B33799,""en"",""de"")"),"Sie öffnen das Tor, bringen aber den Stier nicht wieder hinein, während er sie berechnet.")</f>
        <v>Sie öffnen das Tor, bringen aber den Stier nicht wieder hinein, während er sie berechnet.</v>
      </c>
    </row>
    <row r="33800">
      <c r="A33800" s="4" t="s">
        <v>42531</v>
      </c>
      <c r="B33800" s="4" t="s">
        <v>42532</v>
      </c>
      <c r="C33800" s="5" t="str">
        <f>IFERROR(__xludf.DUMMYFUNCTION("GOOGLETRANSLATE(B33800,""en"",""de"")"),"Eine Person zeigt und erklärt einen Zitronen -Squeezer und zeigt, dass der Teil die Zitrone geht.")</f>
        <v>Eine Person zeigt und erklärt einen Zitronen -Squeezer und zeigt, dass der Teil die Zitrone geht.</v>
      </c>
    </row>
    <row r="33801">
      <c r="A33801" s="4" t="s">
        <v>42531</v>
      </c>
      <c r="B33801" s="4" t="s">
        <v>42533</v>
      </c>
      <c r="C33801" s="5" t="str">
        <f>IFERROR(__xludf.DUMMYFUNCTION("GOOGLETRANSLATE(B33801,""en"",""de"")"),"Dann zeigt die Person auf zwei Krüge auf einem Tisch.")</f>
        <v>Dann zeigt die Person auf zwei Krüge auf einem Tisch.</v>
      </c>
    </row>
    <row r="33802">
      <c r="A33802" s="4" t="s">
        <v>42531</v>
      </c>
      <c r="B33802" s="4" t="s">
        <v>42534</v>
      </c>
      <c r="C33802" s="5" t="str">
        <f>IFERROR(__xludf.DUMMYFUNCTION("GOOGLETRANSLATE(B33802,""en"",""de"")"),"Als nächstes steckt die Person Eis in eine Tasse und drückt dann eine Zitrone mit dem Zitronen -Squeezer, fügen Sie Sirup und Wasser aus Krügen hinzu.")</f>
        <v>Als nächstes steckt die Person Eis in eine Tasse und drückt dann eine Zitrone mit dem Zitronen -Squeezer, fügen Sie Sirup und Wasser aus Krügen hinzu.</v>
      </c>
    </row>
    <row r="33803">
      <c r="A33803" s="4" t="s">
        <v>42531</v>
      </c>
      <c r="B33803" s="4" t="s">
        <v>42535</v>
      </c>
      <c r="C33803" s="5" t="str">
        <f>IFERROR(__xludf.DUMMYFUNCTION("GOOGLETRANSLATE(B33803,""en"",""de"")"),"Dann legte die Person eine Abdeckung auf die Tasse und schüttelt die Mischung.")</f>
        <v>Dann legte die Person eine Abdeckung auf die Tasse und schüttelt die Mischung.</v>
      </c>
    </row>
    <row r="33804">
      <c r="A33804" s="4" t="s">
        <v>42536</v>
      </c>
      <c r="B33804" s="4" t="s">
        <v>42537</v>
      </c>
      <c r="C33804" s="5" t="str">
        <f>IFERROR(__xludf.DUMMYFUNCTION("GOOGLETRANSLATE(B33804,""en"",""de"")"),"Eine Frau arbeitet eine elliptische Maschine.")</f>
        <v>Eine Frau arbeitet eine elliptische Maschine.</v>
      </c>
    </row>
    <row r="33805">
      <c r="A33805" s="4" t="s">
        <v>42536</v>
      </c>
      <c r="B33805" s="4" t="s">
        <v>37573</v>
      </c>
      <c r="C33805" s="5" t="str">
        <f>IFERROR(__xludf.DUMMYFUNCTION("GOOGLETRANSLATE(B33805,""en"",""de"")"),"Ein Mann arbeitet an einer elliptischen Maschine.")</f>
        <v>Ein Mann arbeitet an einer elliptischen Maschine.</v>
      </c>
    </row>
    <row r="33806">
      <c r="A33806" s="4" t="s">
        <v>42536</v>
      </c>
      <c r="B33806" s="4" t="s">
        <v>42538</v>
      </c>
      <c r="C33806" s="5" t="str">
        <f>IFERROR(__xludf.DUMMYFUNCTION("GOOGLETRANSLATE(B33806,""en"",""de"")"),"Eine Person steckt ein Handy in den Computer.")</f>
        <v>Eine Person steckt ein Handy in den Computer.</v>
      </c>
    </row>
    <row r="33807">
      <c r="A33807" s="4" t="s">
        <v>42539</v>
      </c>
      <c r="B33807" s="4" t="s">
        <v>42540</v>
      </c>
      <c r="C33807" s="5" t="str">
        <f>IFERROR(__xludf.DUMMYFUNCTION("GOOGLETRANSLATE(B33807,""en"",""de"")"),"Stadt mit Gebäuden und Wolkenkratzern befinden sich im Rücken und eine Frau, die einen Kuchen mit dem Kuchen hält, geht und wird geschrieben, wie man Geschenke einpackt.")</f>
        <v>Stadt mit Gebäuden und Wolkenkratzern befinden sich im Rücken und eine Frau, die einen Kuchen mit dem Kuchen hält, geht und wird geschrieben, wie man Geschenke einpackt.</v>
      </c>
    </row>
    <row r="33808">
      <c r="A33808" s="4" t="s">
        <v>42539</v>
      </c>
      <c r="B33808" s="4" t="s">
        <v>42541</v>
      </c>
      <c r="C33808" s="5" t="str">
        <f>IFERROR(__xludf.DUMMYFUNCTION("GOOGLETRANSLATE(B33808,""en"",""de"")"),"WMOAN sitzt in einem Tisch und hat eine Schachtel und eine Geschenkverpackung darüber und zeigt, wie man das Geschenk einpackt und darüber spricht.")</f>
        <v>WMOAN sitzt in einem Tisch und hat eine Schachtel und eine Geschenkverpackung darüber und zeigt, wie man das Geschenk einpackt und darüber spricht.</v>
      </c>
    </row>
    <row r="33809">
      <c r="A33809" s="4" t="s">
        <v>42539</v>
      </c>
      <c r="B33809" s="4" t="s">
        <v>42542</v>
      </c>
      <c r="C33809" s="5" t="str">
        <f>IFERROR(__xludf.DUMMYFUNCTION("GOOGLETRANSLATE(B33809,""en"",""de"")"),"Decoative Bänder werden verwendet, um ein Band zum Geschenk zu machen, und zeigt, wie man Bänder mit unterschiedlichen Kleidung herstellt.")</f>
        <v>Decoative Bänder werden verwendet, um ein Band zum Geschenk zu machen, und zeigt, wie man Bänder mit unterschiedlichen Kleidung herstellt.</v>
      </c>
    </row>
    <row r="33810">
      <c r="A33810" s="4" t="s">
        <v>42543</v>
      </c>
      <c r="B33810" s="4" t="s">
        <v>42544</v>
      </c>
      <c r="C33810" s="5" t="str">
        <f>IFERROR(__xludf.DUMMYFUNCTION("GOOGLETRANSLATE(B33810,""en"",""de"")"),"Ein junges Mädchen spielt einen Akkordeianer.")</f>
        <v>Ein junges Mädchen spielt einen Akkordeianer.</v>
      </c>
    </row>
    <row r="33811">
      <c r="A33811" s="4" t="s">
        <v>42543</v>
      </c>
      <c r="B33811" s="4" t="s">
        <v>42545</v>
      </c>
      <c r="C33811" s="5" t="str">
        <f>IFERROR(__xludf.DUMMYFUNCTION("GOOGLETRANSLATE(B33811,""en"",""de"")"),"Das Mädchen dreht ihren Kopf nach rechts.")</f>
        <v>Das Mädchen dreht ihren Kopf nach rechts.</v>
      </c>
    </row>
    <row r="33812">
      <c r="A33812" s="4" t="s">
        <v>42543</v>
      </c>
      <c r="B33812" s="4" t="s">
        <v>42546</v>
      </c>
      <c r="C33812" s="5" t="str">
        <f>IFERROR(__xludf.DUMMYFUNCTION("GOOGLETRANSLATE(B33812,""en"",""de"")"),"Das Spiel des Mädchens verlangsamt sich.")</f>
        <v>Das Spiel des Mädchens verlangsamt sich.</v>
      </c>
    </row>
    <row r="33813">
      <c r="A33813" s="4" t="s">
        <v>42547</v>
      </c>
      <c r="B33813" s="4" t="s">
        <v>42548</v>
      </c>
      <c r="C33813" s="5" t="str">
        <f>IFERROR(__xludf.DUMMYFUNCTION("GOOGLETRANSLATE(B33813,""en"",""de"")"),"Eine Frau ist gesehen, wie sie sich ihre Haare zusammenrollt, während sie mit der Kamera spricht, und führt vor Richtern zu ihr Sprechen.")</f>
        <v>Eine Frau ist gesehen, wie sie sich ihre Haare zusammenrollt, während sie mit der Kamera spricht, und führt vor Richtern zu ihr Sprechen.</v>
      </c>
    </row>
    <row r="33814">
      <c r="A33814" s="4" t="s">
        <v>42547</v>
      </c>
      <c r="B33814" s="4" t="s">
        <v>42549</v>
      </c>
      <c r="C33814" s="5" t="str">
        <f>IFERROR(__xludf.DUMMYFUNCTION("GOOGLETRANSLATE(B33814,""en"",""de"")"),"Die Richter kritisieren sie und sie rennt glücklich weg und springt aus dem Gebäude.")</f>
        <v>Die Richter kritisieren sie und sie rennt glücklich weg und springt aus dem Gebäude.</v>
      </c>
    </row>
    <row r="33815">
      <c r="A33815" s="4" t="s">
        <v>42550</v>
      </c>
      <c r="B33815" s="4" t="s">
        <v>42551</v>
      </c>
      <c r="C33815" s="5" t="str">
        <f>IFERROR(__xludf.DUMMYFUNCTION("GOOGLETRANSLATE(B33815,""en"",""de"")"),"Zwei Männer sitzen mit ihren Schuhen im Blick.")</f>
        <v>Zwei Männer sitzen mit ihren Schuhen im Blick.</v>
      </c>
    </row>
    <row r="33816">
      <c r="A33816" s="4" t="s">
        <v>42550</v>
      </c>
      <c r="B33816" s="4" t="s">
        <v>42552</v>
      </c>
      <c r="C33816" s="5" t="str">
        <f>IFERROR(__xludf.DUMMYFUNCTION("GOOGLETRANSLATE(B33816,""en"",""de"")"),"Ein Mann nimmt einen Schuh und legt ihn auf seinen Fuß.")</f>
        <v>Ein Mann nimmt einen Schuh und legt ihn auf seinen Fuß.</v>
      </c>
    </row>
    <row r="33817">
      <c r="A33817" s="4" t="s">
        <v>42550</v>
      </c>
      <c r="B33817" s="4" t="s">
        <v>42553</v>
      </c>
      <c r="C33817" s="5" t="str">
        <f>IFERROR(__xludf.DUMMYFUNCTION("GOOGLETRANSLATE(B33817,""en"",""de"")"),"Er wendet dann den anderen Schuh an und bindet dann die Schnürsenkel.")</f>
        <v>Er wendet dann den anderen Schuh an und bindet dann die Schnürsenkel.</v>
      </c>
    </row>
    <row r="33818">
      <c r="A33818" s="4" t="s">
        <v>42554</v>
      </c>
      <c r="B33818" s="4" t="s">
        <v>42555</v>
      </c>
      <c r="C33818" s="5" t="str">
        <f>IFERROR(__xludf.DUMMYFUNCTION("GOOGLETRANSLATE(B33818,""en"",""de"")"),"Der Mann kaut Kaugummi auf den Noten.")</f>
        <v>Der Mann kaut Kaugummi auf den Noten.</v>
      </c>
    </row>
    <row r="33819">
      <c r="A33819" s="4" t="s">
        <v>42554</v>
      </c>
      <c r="B33819" s="4" t="s">
        <v>42556</v>
      </c>
      <c r="C33819" s="5" t="str">
        <f>IFERROR(__xludf.DUMMYFUNCTION("GOOGLETRANSLATE(B33819,""en"",""de"")"),"Der Mensch steht auf Racrack und hält einen großen Stangen und rennt, um einen Speerwurf zu machen.")</f>
        <v>Der Mensch steht auf Racrack und hält einen großen Stangen und rennt, um einen Speerwurf zu machen.</v>
      </c>
    </row>
    <row r="33820">
      <c r="A33820" s="4" t="s">
        <v>42554</v>
      </c>
      <c r="B33820" s="4" t="s">
        <v>42557</v>
      </c>
      <c r="C33820" s="5" t="str">
        <f>IFERROR(__xludf.DUMMYFUNCTION("GOOGLETRANSLATE(B33820,""en"",""de"")"),"Die Leute gehen die Treppe hinunter.")</f>
        <v>Die Leute gehen die Treppe hinunter.</v>
      </c>
    </row>
    <row r="33821">
      <c r="A33821" s="4" t="s">
        <v>42558</v>
      </c>
      <c r="B33821" s="4" t="s">
        <v>42559</v>
      </c>
      <c r="C33821" s="5" t="str">
        <f>IFERROR(__xludf.DUMMYFUNCTION("GOOGLETRANSLATE(B33821,""en"",""de"")"),"Eine Person rasiert ihre Beine.")</f>
        <v>Eine Person rasiert ihre Beine.</v>
      </c>
    </row>
    <row r="33822">
      <c r="A33822" s="4" t="s">
        <v>42558</v>
      </c>
      <c r="B33822" s="4" t="s">
        <v>42560</v>
      </c>
      <c r="C33822" s="5" t="str">
        <f>IFERROR(__xludf.DUMMYFUNCTION("GOOGLETRANSLATE(B33822,""en"",""de"")"),"Eine polierte Hand zeigt auf die Person, die sich rasiert.")</f>
        <v>Eine polierte Hand zeigt auf die Person, die sich rasiert.</v>
      </c>
    </row>
    <row r="33823">
      <c r="A33823" s="4" t="s">
        <v>42558</v>
      </c>
      <c r="B33823" s="4" t="s">
        <v>42561</v>
      </c>
      <c r="C33823" s="5" t="str">
        <f>IFERROR(__xludf.DUMMYFUNCTION("GOOGLETRANSLATE(B33823,""en"",""de"")"),"Die Person schlägt den Kopf, um unter ihrem Bein zu sehen.")</f>
        <v>Die Person schlägt den Kopf, um unter ihrem Bein zu sehen.</v>
      </c>
    </row>
    <row r="33824">
      <c r="A33824" s="4" t="s">
        <v>42562</v>
      </c>
      <c r="B33824" s="4" t="s">
        <v>42563</v>
      </c>
      <c r="C33824" s="5" t="str">
        <f>IFERROR(__xludf.DUMMYFUNCTION("GOOGLETRANSLATE(B33824,""en"",""de"")"),"Eine Frau wird vor einem großen Satz Gewichte herabgebogen und beginnt, sie an ihre Schultern zu heben.")</f>
        <v>Eine Frau wird vor einem großen Satz Gewichte herabgebogen und beginnt, sie an ihre Schultern zu heben.</v>
      </c>
    </row>
    <row r="33825">
      <c r="A33825" s="4" t="s">
        <v>42562</v>
      </c>
      <c r="B33825" s="4" t="s">
        <v>42564</v>
      </c>
      <c r="C33825" s="5" t="str">
        <f>IFERROR(__xludf.DUMMYFUNCTION("GOOGLETRANSLATE(B33825,""en"",""de"")"),"Sie beugt sich dann hin und legt die Gewichte wieder auf die Füße.")</f>
        <v>Sie beugt sich dann hin und legt die Gewichte wieder auf die Füße.</v>
      </c>
    </row>
    <row r="33826">
      <c r="A33826" s="4" t="s">
        <v>42565</v>
      </c>
      <c r="B33826" s="4" t="s">
        <v>42566</v>
      </c>
      <c r="C33826" s="5" t="str">
        <f>IFERROR(__xludf.DUMMYFUNCTION("GOOGLETRANSLATE(B33826,""en"",""de"")"),"Es werden mehrere Bilder aus Strand und Landschaften sowie Menschen angezeigt, die am Strand laufen.")</f>
        <v>Es werden mehrere Bilder aus Strand und Landschaften sowie Menschen angezeigt, die am Strand laufen.</v>
      </c>
    </row>
    <row r="33827">
      <c r="A33827" s="4" t="s">
        <v>42565</v>
      </c>
      <c r="B33827" s="4" t="s">
        <v>42567</v>
      </c>
      <c r="C33827" s="5" t="str">
        <f>IFERROR(__xludf.DUMMYFUNCTION("GOOGLETRANSLATE(B33827,""en"",""de"")"),"Dann werden mehrere Clips von Menschen gezeigt, die entlang des Wassers reiten und die Wellen surfen.")</f>
        <v>Dann werden mehrere Clips von Menschen gezeigt, die entlang des Wassers reiten und die Wellen surfen.</v>
      </c>
    </row>
    <row r="33828">
      <c r="A33828" s="4" t="s">
        <v>42565</v>
      </c>
      <c r="B33828" s="4" t="s">
        <v>42568</v>
      </c>
      <c r="C33828" s="5" t="str">
        <f>IFERROR(__xludf.DUMMYFUNCTION("GOOGLETRANSLATE(B33828,""en"",""de"")"),"Weitere Aufnahmen von Menschen, die im Wasser surfen.")</f>
        <v>Weitere Aufnahmen von Menschen, die im Wasser surfen.</v>
      </c>
    </row>
    <row r="33829">
      <c r="A33829" s="4" t="s">
        <v>42569</v>
      </c>
      <c r="B33829" s="4" t="s">
        <v>42570</v>
      </c>
      <c r="C33829" s="5" t="str">
        <f>IFERROR(__xludf.DUMMYFUNCTION("GOOGLETRANSLATE(B33829,""en"",""de"")"),"Ein Mann spricht mit einer Frau draußen, die zu einer Spiele aus Rockpapierschere führt.")</f>
        <v>Ein Mann spricht mit einer Frau draußen, die zu einer Spiele aus Rockpapierschere führt.</v>
      </c>
    </row>
    <row r="33830">
      <c r="A33830" s="4" t="s">
        <v>42569</v>
      </c>
      <c r="B33830" s="4" t="s">
        <v>42571</v>
      </c>
      <c r="C33830" s="5" t="str">
        <f>IFERROR(__xludf.DUMMYFUNCTION("GOOGLETRANSLATE(B33830,""en"",""de"")"),"Die Mädchen schlagen den Mann und er spielt das Spiel weiterhin mit mehreren anderen Mädchen auf der Straße an verschiedenen Orten.")</f>
        <v>Die Mädchen schlagen den Mann und er spielt das Spiel weiterhin mit mehreren anderen Mädchen auf der Straße an verschiedenen Orten.</v>
      </c>
    </row>
    <row r="33831">
      <c r="A33831" s="4" t="s">
        <v>42569</v>
      </c>
      <c r="B33831" s="4" t="s">
        <v>42572</v>
      </c>
      <c r="C33831" s="5" t="str">
        <f>IFERROR(__xludf.DUMMYFUNCTION("GOOGLETRANSLATE(B33831,""en"",""de"")"),"Wenn der Mann gewinnt, küssen ihn die Mädchen auf die Wange.")</f>
        <v>Wenn der Mann gewinnt, küssen ihn die Mädchen auf die Wange.</v>
      </c>
    </row>
    <row r="33832">
      <c r="A33832" s="4" t="s">
        <v>42573</v>
      </c>
      <c r="B33832" s="4" t="s">
        <v>42574</v>
      </c>
      <c r="C33832" s="5" t="str">
        <f>IFERROR(__xludf.DUMMYFUNCTION("GOOGLETRANSLATE(B33832,""en"",""de"")"),"Vier Personen befinden sich in einem Pool und schlagen den Ball über das Netz hin und her.")</f>
        <v>Vier Personen befinden sich in einem Pool und schlagen den Ball über das Netz hin und her.</v>
      </c>
    </row>
    <row r="33833">
      <c r="A33833" s="4" t="s">
        <v>42573</v>
      </c>
      <c r="B33833" s="4" t="s">
        <v>42575</v>
      </c>
      <c r="C33833" s="5" t="str">
        <f>IFERROR(__xludf.DUMMYFUNCTION("GOOGLETRANSLATE(B33833,""en"",""de"")"),"Während er spielt, geht jemand über die Kamera und dann wird ein Satz Jungen vergrenzt, während er den Ball serviert.")</f>
        <v>Während er spielt, geht jemand über die Kamera und dann wird ein Satz Jungen vergrenzt, während er den Ball serviert.</v>
      </c>
    </row>
    <row r="33834">
      <c r="A33834" s="4" t="s">
        <v>42573</v>
      </c>
      <c r="B33834" s="4" t="s">
        <v>42576</v>
      </c>
      <c r="C33834" s="5" t="str">
        <f>IFERROR(__xludf.DUMMYFUNCTION("GOOGLETRANSLATE(B33834,""en"",""de"")"),"Der Ball geht auf beiden Seiten aus und sie sind gezwungen, herauszukommen und ihn zu bekommen.")</f>
        <v>Der Ball geht auf beiden Seiten aus und sie sind gezwungen, herauszukommen und ihn zu bekommen.</v>
      </c>
    </row>
    <row r="33835">
      <c r="A33835" s="4" t="s">
        <v>42573</v>
      </c>
      <c r="B33835" s="4" t="s">
        <v>42577</v>
      </c>
      <c r="C33835" s="5" t="str">
        <f>IFERROR(__xludf.DUMMYFUNCTION("GOOGLETRANSLATE(B33835,""en"",""de"")"),"Sie bekommen den großen Strandball zurück und schlagen ihn weiter über das Netz zueinander.")</f>
        <v>Sie bekommen den großen Strandball zurück und schlagen ihn weiter über das Netz zueinander.</v>
      </c>
    </row>
    <row r="33836">
      <c r="A33836" s="4" t="s">
        <v>42578</v>
      </c>
      <c r="B33836" s="4" t="s">
        <v>42579</v>
      </c>
      <c r="C33836" s="5" t="str">
        <f>IFERROR(__xludf.DUMMYFUNCTION("GOOGLETRANSLATE(B33836,""en"",""de"")"),"Wir sehen eine Person, die im Meer kitesufe.")</f>
        <v>Wir sehen eine Person, die im Meer kitesufe.</v>
      </c>
    </row>
    <row r="33837">
      <c r="A33837" s="4" t="s">
        <v>42578</v>
      </c>
      <c r="B33837" s="4" t="s">
        <v>42580</v>
      </c>
      <c r="C33837" s="5" t="str">
        <f>IFERROR(__xludf.DUMMYFUNCTION("GOOGLETRANSLATE(B33837,""en"",""de"")"),"Die Person geht an uns vorbei und dreht sich um.")</f>
        <v>Die Person geht an uns vorbei und dreht sich um.</v>
      </c>
    </row>
    <row r="33838">
      <c r="A33838" s="4" t="s">
        <v>42578</v>
      </c>
      <c r="B33838" s="4" t="s">
        <v>42581</v>
      </c>
      <c r="C33838" s="5" t="str">
        <f>IFERROR(__xludf.DUMMYFUNCTION("GOOGLETRANSLATE(B33838,""en"",""de"")"),"Die Person hört auf, bevor er wieder abhebt.")</f>
        <v>Die Person hört auf, bevor er wieder abhebt.</v>
      </c>
    </row>
    <row r="33839">
      <c r="A33839" s="4" t="s">
        <v>42582</v>
      </c>
      <c r="B33839" s="4" t="s">
        <v>42583</v>
      </c>
      <c r="C33839" s="5" t="str">
        <f>IFERROR(__xludf.DUMMYFUNCTION("GOOGLETRANSLATE(B33839,""en"",""de"")"),"Fünf verschiedene Leute werfen ein Werbegeschenk in die Luft und ein Hund springt und fängt das Werbegeschenk in den Mund. Der Hund geht dann zur nächsten Person weiter und tut das Gleiche, wie viele Menschen aus einem Entfernungen beobachten.")</f>
        <v>Fünf verschiedene Leute werfen ein Werbegeschenk in die Luft und ein Hund springt und fängt das Werbegeschenk in den Mund. Der Hund geht dann zur nächsten Person weiter und tut das Gleiche, wie viele Menschen aus einem Entfernungen beobachten.</v>
      </c>
    </row>
    <row r="33840">
      <c r="A33840" s="4" t="s">
        <v>42582</v>
      </c>
      <c r="B33840" s="4" t="s">
        <v>42584</v>
      </c>
      <c r="C33840" s="5" t="str">
        <f>IFERROR(__xludf.DUMMYFUNCTION("GOOGLETRANSLATE(B33840,""en"",""de"")"),"Es gibt jetzt zwei Hunde, die die Luft fangen, während sie Tricks machen.")</f>
        <v>Es gibt jetzt zwei Hunde, die die Luft fangen, während sie Tricks machen.</v>
      </c>
    </row>
    <row r="33841">
      <c r="A33841" s="4" t="s">
        <v>42582</v>
      </c>
      <c r="B33841" s="4" t="s">
        <v>42585</v>
      </c>
      <c r="C33841" s="5" t="str">
        <f>IFERROR(__xludf.DUMMYFUNCTION("GOOGLETRANSLATE(B33841,""en"",""de"")"),"Jetzt gibt es eine Frau mit einem Hund, der Tricks macht, und der Hund fängt das Werbegeschenk, während die Dame ihn in die Luft wirft.")</f>
        <v>Jetzt gibt es eine Frau mit einem Hund, der Tricks macht, und der Hund fängt das Werbegeschenk, während die Dame ihn in die Luft wirft.</v>
      </c>
    </row>
    <row r="33842">
      <c r="A33842" s="4" t="s">
        <v>42586</v>
      </c>
      <c r="B33842" s="4" t="s">
        <v>42587</v>
      </c>
      <c r="C33842" s="5" t="str">
        <f>IFERROR(__xludf.DUMMYFUNCTION("GOOGLETRANSLATE(B33842,""en"",""de"")"),"Ein Mann mäht das Gras um einen Baum.")</f>
        <v>Ein Mann mäht das Gras um einen Baum.</v>
      </c>
    </row>
    <row r="33843">
      <c r="A33843" s="4" t="s">
        <v>42586</v>
      </c>
      <c r="B33843" s="4" t="s">
        <v>42588</v>
      </c>
      <c r="C33843" s="5" t="str">
        <f>IFERROR(__xludf.DUMMYFUNCTION("GOOGLETRANSLATE(B33843,""en"",""de"")"),"Der Mann bleibt stecken und der Mäher schaltet sich aus, und der Mann muss den Zünder ziehen.")</f>
        <v>Der Mann bleibt stecken und der Mäher schaltet sich aus, und der Mann muss den Zünder ziehen.</v>
      </c>
    </row>
    <row r="33844">
      <c r="A33844" s="4" t="s">
        <v>42586</v>
      </c>
      <c r="B33844" s="4" t="s">
        <v>42589</v>
      </c>
      <c r="C33844" s="5" t="str">
        <f>IFERROR(__xludf.DUMMYFUNCTION("GOOGLETRANSLATE(B33844,""en"",""de"")"),"Dann schneidet der Mann das Gras um den Baum weiter.")</f>
        <v>Dann schneidet der Mann das Gras um den Baum weiter.</v>
      </c>
    </row>
    <row r="33845">
      <c r="A33845" s="4" t="s">
        <v>42590</v>
      </c>
      <c r="B33845" s="4" t="s">
        <v>42591</v>
      </c>
      <c r="C33845" s="5" t="str">
        <f>IFERROR(__xludf.DUMMYFUNCTION("GOOGLETRANSLATE(B33845,""en"",""de"")"),"Ein Mann sitzt auf einem Stier in einem Tor.")</f>
        <v>Ein Mann sitzt auf einem Stier in einem Tor.</v>
      </c>
    </row>
    <row r="33846">
      <c r="A33846" s="4" t="s">
        <v>42590</v>
      </c>
      <c r="B33846" s="4" t="s">
        <v>42592</v>
      </c>
      <c r="C33846" s="5" t="str">
        <f>IFERROR(__xludf.DUMMYFUNCTION("GOOGLETRANSLATE(B33846,""en"",""de"")"),"Der Bulle wird freigelassen und ein Mann auf einem Pferd danach verfolgt.")</f>
        <v>Der Bulle wird freigelassen und ein Mann auf einem Pferd danach verfolgt.</v>
      </c>
    </row>
    <row r="33847">
      <c r="A33847" s="4" t="s">
        <v>42590</v>
      </c>
      <c r="B33847" s="4" t="s">
        <v>42593</v>
      </c>
      <c r="C33847" s="5" t="str">
        <f>IFERROR(__xludf.DUMMYFUNCTION("GOOGLETRANSLATE(B33847,""en"",""de"")"),"Der Mann springt vom Pferd und bindet den Stier.")</f>
        <v>Der Mann springt vom Pferd und bindet den Stier.</v>
      </c>
    </row>
    <row r="33848">
      <c r="A33848" s="4" t="s">
        <v>42590</v>
      </c>
      <c r="B33848" s="4" t="s">
        <v>42594</v>
      </c>
      <c r="C33848" s="5" t="str">
        <f>IFERROR(__xludf.DUMMYFUNCTION("GOOGLETRANSLATE(B33848,""en"",""de"")"),"Der Mann steht auf und geht zurück zu seinem Pferd.")</f>
        <v>Der Mann steht auf und geht zurück zu seinem Pferd.</v>
      </c>
    </row>
    <row r="33849">
      <c r="A33849" s="4" t="s">
        <v>42595</v>
      </c>
      <c r="B33849" s="4" t="s">
        <v>42596</v>
      </c>
      <c r="C33849" s="5" t="str">
        <f>IFERROR(__xludf.DUMMYFUNCTION("GOOGLETRANSLATE(B33849,""en"",""de"")"),"Ein Junge schwebt in einem Floß, als sein Vater ein Seil hält.")</f>
        <v>Ein Junge schwebt in einem Floß, als sein Vater ein Seil hält.</v>
      </c>
    </row>
    <row r="33850">
      <c r="A33850" s="4" t="s">
        <v>42595</v>
      </c>
      <c r="B33850" s="4" t="s">
        <v>42597</v>
      </c>
      <c r="C33850" s="5" t="str">
        <f>IFERROR(__xludf.DUMMYFUNCTION("GOOGLETRANSLATE(B33850,""en"",""de"")"),"Das Boot schwebt langsam weg und zieht das Kind, während es in seinem Floß steht.")</f>
        <v>Das Boot schwebt langsam weg und zieht das Kind, während es in seinem Floß steht.</v>
      </c>
    </row>
    <row r="33851">
      <c r="A33851" s="4" t="s">
        <v>42595</v>
      </c>
      <c r="B33851" s="4" t="s">
        <v>42598</v>
      </c>
      <c r="C33851" s="5" t="str">
        <f>IFERROR(__xludf.DUMMYFUNCTION("GOOGLETRANSLATE(B33851,""en"",""de"")"),"Er wird dann zu den beiden Männern im Boot gezogen.")</f>
        <v>Er wird dann zu den beiden Männern im Boot gezogen.</v>
      </c>
    </row>
    <row r="33852">
      <c r="A33852" s="4" t="s">
        <v>42599</v>
      </c>
      <c r="B33852" s="4" t="s">
        <v>42600</v>
      </c>
      <c r="C33852" s="5" t="str">
        <f>IFERROR(__xludf.DUMMYFUNCTION("GOOGLETRANSLATE(B33852,""en"",""de"")"),"Ein Junge steht mit einem anderen Jungen im Wald.")</f>
        <v>Ein Junge steht mit einem anderen Jungen im Wald.</v>
      </c>
    </row>
    <row r="33853">
      <c r="A33853" s="4" t="s">
        <v>42599</v>
      </c>
      <c r="B33853" s="4" t="s">
        <v>42601</v>
      </c>
      <c r="C33853" s="5" t="str">
        <f>IFERROR(__xludf.DUMMYFUNCTION("GOOGLETRANSLATE(B33853,""en"",""de"")"),"Er zündet ein Feuer an und wirft es dann auf einen Stapel.")</f>
        <v>Er zündet ein Feuer an und wirft es dann auf einen Stapel.</v>
      </c>
    </row>
    <row r="33854">
      <c r="A33854" s="4" t="s">
        <v>42599</v>
      </c>
      <c r="B33854" s="4" t="s">
        <v>42602</v>
      </c>
      <c r="C33854" s="5" t="str">
        <f>IFERROR(__xludf.DUMMYFUNCTION("GOOGLETRANSLATE(B33854,""en"",""de"")"),"Die beiden Jungen starren auf den Stapel, während er brennt.")</f>
        <v>Die beiden Jungen starren auf den Stapel, während er brennt.</v>
      </c>
    </row>
    <row r="33855">
      <c r="A33855" s="4" t="s">
        <v>42603</v>
      </c>
      <c r="B33855" s="4" t="s">
        <v>42604</v>
      </c>
      <c r="C33855" s="5" t="str">
        <f>IFERROR(__xludf.DUMMYFUNCTION("GOOGLETRANSLATE(B33855,""en"",""de"")"),"Chiopped Gemüse befindet sich in einer Schüssel am Tisch.")</f>
        <v>Chiopped Gemüse befindet sich in einer Schüssel am Tisch.</v>
      </c>
    </row>
    <row r="33856">
      <c r="A33856" s="4" t="s">
        <v>42603</v>
      </c>
      <c r="B33856" s="4" t="s">
        <v>42605</v>
      </c>
      <c r="C33856" s="5" t="str">
        <f>IFERROR(__xludf.DUMMYFUNCTION("GOOGLETRANSLATE(B33856,""en"",""de"")"),"Die Zutaten sind in einer Schüssel zusammen mit Öl, Pfeffer und Mayonnaise gemischt.")</f>
        <v>Die Zutaten sind in einer Schüssel zusammen mit Öl, Pfeffer und Mayonnaise gemischt.</v>
      </c>
    </row>
    <row r="33857">
      <c r="A33857" s="4" t="s">
        <v>42606</v>
      </c>
      <c r="B33857" s="4" t="s">
        <v>42607</v>
      </c>
      <c r="C33857" s="5" t="str">
        <f>IFERROR(__xludf.DUMMYFUNCTION("GOOGLETRANSLATE(B33857,""en"",""de"")"),"Ein Mann führt einen Hammerwurf in einem Außenbereich aus, der in die Menge von Menschen umgeben ist, die zuschauen.")</f>
        <v>Ein Mann führt einen Hammerwurf in einem Außenbereich aus, der in die Menge von Menschen umgeben ist, die zuschauen.</v>
      </c>
    </row>
    <row r="33858">
      <c r="A33858" s="4" t="s">
        <v>42606</v>
      </c>
      <c r="B33858" s="4" t="s">
        <v>42608</v>
      </c>
      <c r="C33858" s="5" t="str">
        <f>IFERROR(__xludf.DUMMYFUNCTION("GOOGLETRANSLATE(B33858,""en"",""de"")"),"Ein Mann in einem roten T-Shirt nähert sich einem Spielerkreis auf dem Boden in einem geschlossenen Metallzaunbereich.")</f>
        <v>Ein Mann in einem roten T-Shirt nähert sich einem Spielerkreis auf dem Boden in einem geschlossenen Metallzaunbereich.</v>
      </c>
    </row>
    <row r="33859">
      <c r="A33859" s="4" t="s">
        <v>42606</v>
      </c>
      <c r="B33859" s="4" t="s">
        <v>42609</v>
      </c>
      <c r="C33859" s="5" t="str">
        <f>IFERROR(__xludf.DUMMYFUNCTION("GOOGLETRANSLATE(B33859,""en"",""de"")"),"Der Mann dreht einen Ball, der an einem Seil befestigt ist, um und um.")</f>
        <v>Der Mann dreht einen Ball, der an einem Seil befestigt ist, um und um.</v>
      </c>
    </row>
    <row r="33860">
      <c r="A33860" s="4" t="s">
        <v>42606</v>
      </c>
      <c r="B33860" s="4" t="s">
        <v>42610</v>
      </c>
      <c r="C33860" s="5" t="str">
        <f>IFERROR(__xludf.DUMMYFUNCTION("GOOGLETRANSLATE(B33860,""en"",""de"")"),"Der Mann lässt den Ball gehen und beobachtet, wie er vom Bildschirm landet.")</f>
        <v>Der Mann lässt den Ball gehen und beobachtet, wie er vom Bildschirm landet.</v>
      </c>
    </row>
    <row r="33861">
      <c r="A33861" s="4" t="s">
        <v>42611</v>
      </c>
      <c r="B33861" s="4" t="s">
        <v>42612</v>
      </c>
      <c r="C33861" s="5" t="str">
        <f>IFERROR(__xludf.DUMMYFUNCTION("GOOGLETRANSLATE(B33861,""en"",""de"")"),"Eine junge Frau übt auf einer Leichtathletik, sprintet und hochspringt über eine hohe Bar und landet auf den Füßen, während drei Männer im Hintergrund ihre Übung beobachten.")</f>
        <v>Eine junge Frau übt auf einer Leichtathletik, sprintet und hochspringt über eine hohe Bar und landet auf den Füßen, während drei Männer im Hintergrund ihre Übung beobachten.</v>
      </c>
    </row>
    <row r="33862">
      <c r="A33862" s="4" t="s">
        <v>42611</v>
      </c>
      <c r="B33862" s="4" t="s">
        <v>42613</v>
      </c>
      <c r="C33862" s="5" t="str">
        <f>IFERROR(__xludf.DUMMYFUNCTION("GOOGLETRANSLATE(B33862,""en"",""de"")"),"Die Frau springt wieder und sprintet diesmal etwas schneller.")</f>
        <v>Die Frau springt wieder und sprintet diesmal etwas schneller.</v>
      </c>
    </row>
    <row r="33863">
      <c r="A33863" s="4" t="s">
        <v>42611</v>
      </c>
      <c r="B33863" s="4" t="s">
        <v>42614</v>
      </c>
      <c r="C33863" s="5" t="str">
        <f>IFERROR(__xludf.DUMMYFUNCTION("GOOGLETRANSLATE(B33863,""en"",""de"")"),"Die Frau springt wieder mit einem längeren Lauf hoch.")</f>
        <v>Die Frau springt wieder mit einem längeren Lauf hoch.</v>
      </c>
    </row>
    <row r="33864">
      <c r="A33864" s="4" t="s">
        <v>42611</v>
      </c>
      <c r="B33864" s="4" t="s">
        <v>42615</v>
      </c>
      <c r="C33864" s="5" t="str">
        <f>IFERROR(__xludf.DUMMYFUNCTION("GOOGLETRANSLATE(B33864,""en"",""de"")"),"Eine andere junge Frau im Hintergrund joggt sich vorbei.")</f>
        <v>Eine andere junge Frau im Hintergrund joggt sich vorbei.</v>
      </c>
    </row>
    <row r="33865">
      <c r="A33865" s="4" t="s">
        <v>42611</v>
      </c>
      <c r="B33865" s="4" t="s">
        <v>42616</v>
      </c>
      <c r="C33865" s="5" t="str">
        <f>IFERROR(__xludf.DUMMYFUNCTION("GOOGLETRANSLATE(B33865,""en"",""de"")"),"Die Frau springt wieder mit einem noch längeren Lauf und fügt ihrem ersten Lauf einen kleinen Sprung/Hop hinzu.")</f>
        <v>Die Frau springt wieder mit einem noch längeren Lauf und fügt ihrem ersten Lauf einen kleinen Sprung/Hop hinzu.</v>
      </c>
    </row>
    <row r="33866">
      <c r="A33866" s="4" t="s">
        <v>42611</v>
      </c>
      <c r="B33866" s="4" t="s">
        <v>42617</v>
      </c>
      <c r="C33866" s="5" t="str">
        <f>IFERROR(__xludf.DUMMYFUNCTION("GOOGLETRANSLATE(B33866,""en"",""de"")"),"Ein Mann im Hintergrund joggt auf dem Feld, während ein anderer Mann steht und seine Beine streckt.")</f>
        <v>Ein Mann im Hintergrund joggt auf dem Feld, während ein anderer Mann steht und seine Beine streckt.</v>
      </c>
    </row>
    <row r="33867">
      <c r="A33867" s="4" t="s">
        <v>42611</v>
      </c>
      <c r="B33867" s="4" t="s">
        <v>42618</v>
      </c>
      <c r="C33867" s="5" t="str">
        <f>IFERROR(__xludf.DUMMYFUNCTION("GOOGLETRANSLATE(B33867,""en"",""de"")"),"Die Frau klärt die Bar nicht perfekt und sie fällt von ihren Stangen.")</f>
        <v>Die Frau klärt die Bar nicht perfekt und sie fällt von ihren Stangen.</v>
      </c>
    </row>
    <row r="33868">
      <c r="A33868" s="4" t="s">
        <v>42611</v>
      </c>
      <c r="B33868" s="4" t="s">
        <v>42619</v>
      </c>
      <c r="C33868" s="5" t="str">
        <f>IFERROR(__xludf.DUMMYFUNCTION("GOOGLETRANSLATE(B33868,""en"",""de"")"),"Die Frau springt wieder mit einem noch längeren Lauf und einem stärkeren Skip/Hop, um ihren Lauf zu beginnen.")</f>
        <v>Die Frau springt wieder mit einem noch längeren Lauf und einem stärkeren Skip/Hop, um ihren Lauf zu beginnen.</v>
      </c>
    </row>
    <row r="33869">
      <c r="A33869" s="4" t="s">
        <v>42611</v>
      </c>
      <c r="B33869" s="4" t="s">
        <v>42620</v>
      </c>
      <c r="C33869" s="5" t="str">
        <f>IFERROR(__xludf.DUMMYFUNCTION("GOOGLETRANSLATE(B33869,""en"",""de"")"),"Die Frau springt am Anfang wieder mit langer Zeit und kraftvollem Übersprung.")</f>
        <v>Die Frau springt am Anfang wieder mit langer Zeit und kraftvollem Übersprung.</v>
      </c>
    </row>
    <row r="33870">
      <c r="A33870" s="4" t="s">
        <v>42621</v>
      </c>
      <c r="B33870" s="4" t="s">
        <v>42622</v>
      </c>
      <c r="C33870" s="5" t="str">
        <f>IFERROR(__xludf.DUMMYFUNCTION("GOOGLETRANSLATE(B33870,""en"",""de"")"),"Ein paar Leute befinden sich auf einem Tennisplatz in Indoor.")</f>
        <v>Ein paar Leute befinden sich auf einem Tennisplatz in Indoor.</v>
      </c>
    </row>
    <row r="33871">
      <c r="A33871" s="4" t="s">
        <v>42621</v>
      </c>
      <c r="B33871" s="4" t="s">
        <v>42623</v>
      </c>
      <c r="C33871" s="5" t="str">
        <f>IFERROR(__xludf.DUMMYFUNCTION("GOOGLETRANSLATE(B33871,""en"",""de"")"),"Sie lohen den Ball hin und her und spielen ein Tennisspiel.")</f>
        <v>Sie lohen den Ball hin und her und spielen ein Tennisspiel.</v>
      </c>
    </row>
    <row r="33872">
      <c r="A33872" s="4" t="s">
        <v>42621</v>
      </c>
      <c r="B33872" s="4" t="s">
        <v>42624</v>
      </c>
      <c r="C33872" s="5" t="str">
        <f>IFERROR(__xludf.DUMMYFUNCTION("GOOGLETRANSLATE(B33872,""en"",""de"")"),"Sie spielen weiter und versuchen, das Spiel zu gewinnen.")</f>
        <v>Sie spielen weiter und versuchen, das Spiel zu gewinnen.</v>
      </c>
    </row>
    <row r="33873">
      <c r="A33873" s="4" t="s">
        <v>42625</v>
      </c>
      <c r="B33873" s="4" t="s">
        <v>42626</v>
      </c>
      <c r="C33873" s="5" t="str">
        <f>IFERROR(__xludf.DUMMYFUNCTION("GOOGLETRANSLATE(B33873,""en"",""de"")"),"Der Bildschirm ist voller weißer Blasen und Wörter, während ein Paar Hände das Klavier spielt.")</f>
        <v>Der Bildschirm ist voller weißer Blasen und Wörter, während ein Paar Hände das Klavier spielt.</v>
      </c>
    </row>
    <row r="33874">
      <c r="A33874" s="4" t="s">
        <v>42625</v>
      </c>
      <c r="B33874" s="4" t="s">
        <v>42627</v>
      </c>
      <c r="C33874" s="5" t="str">
        <f>IFERROR(__xludf.DUMMYFUNCTION("GOOGLETRANSLATE(B33874,""en"",""de"")"),"Die Blasen und Worte verschwinden und es sind nur die Hände, die sich über die Tastatur bewegen.")</f>
        <v>Die Blasen und Worte verschwinden und es sind nur die Hände, die sich über die Tastatur bewegen.</v>
      </c>
    </row>
    <row r="33875">
      <c r="A33875" s="4" t="s">
        <v>42625</v>
      </c>
      <c r="B33875" s="4" t="s">
        <v>42628</v>
      </c>
      <c r="C33875" s="5" t="str">
        <f>IFERROR(__xludf.DUMMYFUNCTION("GOOGLETRANSLATE(B33875,""en"",""de"")"),"Die Hände verschwinden und es ist nur die Tastatur.")</f>
        <v>Die Hände verschwinden und es ist nur die Tastatur.</v>
      </c>
    </row>
    <row r="33876">
      <c r="A33876" s="4" t="s">
        <v>42625</v>
      </c>
      <c r="B33876" s="4" t="s">
        <v>34352</v>
      </c>
      <c r="C33876" s="5" t="str">
        <f>IFERROR(__xludf.DUMMYFUNCTION("GOOGLETRANSLATE(B33876,""en"",""de"")"),"Der Bildschirm verblasst schwarz.")</f>
        <v>Der Bildschirm verblasst schwarz.</v>
      </c>
    </row>
    <row r="33877">
      <c r="A33877" s="4" t="s">
        <v>42629</v>
      </c>
      <c r="B33877" s="4" t="s">
        <v>42630</v>
      </c>
      <c r="C33877" s="5" t="str">
        <f>IFERROR(__xludf.DUMMYFUNCTION("GOOGLETRANSLATE(B33877,""en"",""de"")"),"Ein Mann erscheint vor mehreren Zielen an einer Rückwand.")</f>
        <v>Ein Mann erscheint vor mehreren Zielen an einer Rückwand.</v>
      </c>
    </row>
    <row r="33878">
      <c r="A33878" s="4" t="s">
        <v>42629</v>
      </c>
      <c r="B33878" s="4" t="s">
        <v>42631</v>
      </c>
      <c r="C33878" s="5" t="str">
        <f>IFERROR(__xludf.DUMMYFUNCTION("GOOGLETRANSLATE(B33878,""en"",""de"")"),"Er spricht über die Grundlagen des Bogenschießens.")</f>
        <v>Er spricht über die Grundlagen des Bogenschießens.</v>
      </c>
    </row>
    <row r="33879">
      <c r="A33879" s="4" t="s">
        <v>42629</v>
      </c>
      <c r="B33879" s="4" t="s">
        <v>42632</v>
      </c>
      <c r="C33879" s="5" t="str">
        <f>IFERROR(__xludf.DUMMYFUNCTION("GOOGLETRANSLATE(B33879,""en"",""de"")"),"Eine Frau wird mit einem Bogenschießen angezeigt.")</f>
        <v>Eine Frau wird mit einem Bogenschießen angezeigt.</v>
      </c>
    </row>
    <row r="33880">
      <c r="A33880" s="4" t="s">
        <v>42629</v>
      </c>
      <c r="B33880" s="4" t="s">
        <v>42633</v>
      </c>
      <c r="C33880" s="5" t="str">
        <f>IFERROR(__xludf.DUMMYFUNCTION("GOOGLETRANSLATE(B33880,""en"",""de"")"),"Sie zieht den Pfeil zurück und schießt dann auf ihr Ziel, während er spricht.")</f>
        <v>Sie zieht den Pfeil zurück und schießt dann auf ihr Ziel, während er spricht.</v>
      </c>
    </row>
    <row r="33881">
      <c r="A33881" s="4" t="s">
        <v>42634</v>
      </c>
      <c r="B33881" s="4" t="s">
        <v>42635</v>
      </c>
      <c r="C33881" s="5" t="str">
        <f>IFERROR(__xludf.DUMMYFUNCTION("GOOGLETRANSLATE(B33881,""en"",""de"")"),"Eine Reihe von bunten Blüten werden gezeigt, einschließlich ihrer Identifikations -Tags.")</f>
        <v>Eine Reihe von bunten Blüten werden gezeigt, einschließlich ihrer Identifikations -Tags.</v>
      </c>
    </row>
    <row r="33882">
      <c r="A33882" s="4" t="s">
        <v>42634</v>
      </c>
      <c r="B33882" s="4" t="s">
        <v>42636</v>
      </c>
      <c r="C33882" s="5" t="str">
        <f>IFERROR(__xludf.DUMMYFUNCTION("GOOGLETRANSLATE(B33882,""en"",""de"")"),"Ein Mann zeigt Bienen und verschiedene Rassen, einschließlich eines Baumes.")</f>
        <v>Ein Mann zeigt Bienen und verschiedene Rassen, einschließlich eines Baumes.</v>
      </c>
    </row>
    <row r="33883">
      <c r="A33883" s="4" t="s">
        <v>42634</v>
      </c>
      <c r="B33883" s="4" t="s">
        <v>42637</v>
      </c>
      <c r="C33883" s="5" t="str">
        <f>IFERROR(__xludf.DUMMYFUNCTION("GOOGLETRANSLATE(B33883,""en"",""de"")"),"Er lehrt uns, wie man einen Baum richtig muliert.")</f>
        <v>Er lehrt uns, wie man einen Baum richtig muliert.</v>
      </c>
    </row>
    <row r="33884">
      <c r="A33884" s="4" t="s">
        <v>42638</v>
      </c>
      <c r="B33884" s="4" t="s">
        <v>42639</v>
      </c>
      <c r="C33884" s="5" t="str">
        <f>IFERROR(__xludf.DUMMYFUNCTION("GOOGLETRANSLATE(B33884,""en"",""de"")"),"Es wird eine klare Flasche Waschmittel gezeigt und eine Person beginnt, einen Tassen mit einem Tuch zu reinigen.")</f>
        <v>Es wird eine klare Flasche Waschmittel gezeigt und eine Person beginnt, einen Tassen mit einem Tuch zu reinigen.</v>
      </c>
    </row>
    <row r="33885">
      <c r="A33885" s="4" t="s">
        <v>42638</v>
      </c>
      <c r="B33885" s="4" t="s">
        <v>42640</v>
      </c>
      <c r="C33885" s="5" t="str">
        <f>IFERROR(__xludf.DUMMYFUNCTION("GOOGLETRANSLATE(B33885,""en"",""de"")"),"Die Person zeigt, wie sie den Handschuh anzieht und kehrt zurück, um den Becher zu waschen, bevor sie endlich ihr Buch über das Produkt zeigt.")</f>
        <v>Die Person zeigt, wie sie den Handschuh anzieht und kehrt zurück, um den Becher zu waschen, bevor sie endlich ihr Buch über das Produkt zeigt.</v>
      </c>
    </row>
    <row r="33886">
      <c r="A33886" s="4" t="s">
        <v>42641</v>
      </c>
      <c r="B33886" s="4" t="s">
        <v>42642</v>
      </c>
      <c r="C33886" s="5" t="str">
        <f>IFERROR(__xludf.DUMMYFUNCTION("GOOGLETRANSLATE(B33886,""en"",""de"")"),"Ein Magazin über Saxophone wird kurz bevor zwei Hände gezeigt werden, ein Saxophon spielen.")</f>
        <v>Ein Magazin über Saxophone wird kurz bevor zwei Hände gezeigt werden, ein Saxophon spielen.</v>
      </c>
    </row>
    <row r="33887">
      <c r="A33887" s="4" t="s">
        <v>42641</v>
      </c>
      <c r="B33887" s="4" t="s">
        <v>42643</v>
      </c>
      <c r="C33887" s="5" t="str">
        <f>IFERROR(__xludf.DUMMYFUNCTION("GOOGLETRANSLATE(B33887,""en"",""de"")"),"Es werden mehrere Bildschirme angezeigt und zeigen die Hände, die verschiedene Noten auf dem Bildschirm spielen.")</f>
        <v>Es werden mehrere Bildschirme angezeigt und zeigen die Hände, die verschiedene Noten auf dem Bildschirm spielen.</v>
      </c>
    </row>
    <row r="33888">
      <c r="A33888" s="4" t="s">
        <v>42641</v>
      </c>
      <c r="B33888" s="4" t="s">
        <v>42644</v>
      </c>
      <c r="C33888" s="5" t="str">
        <f>IFERROR(__xludf.DUMMYFUNCTION("GOOGLETRANSLATE(B33888,""en"",""de"")"),"Der Bildschirm geht rückwärts, bis das Video endet.")</f>
        <v>Der Bildschirm geht rückwärts, bis das Video endet.</v>
      </c>
    </row>
    <row r="33889">
      <c r="A33889" s="4" t="s">
        <v>42645</v>
      </c>
      <c r="B33889" s="4" t="s">
        <v>42646</v>
      </c>
      <c r="C33889" s="5" t="str">
        <f>IFERROR(__xludf.DUMMYFUNCTION("GOOGLETRANSLATE(B33889,""en"",""de"")"),"Titelbildschirme werden im Video angezeigt.")</f>
        <v>Titelbildschirme werden im Video angezeigt.</v>
      </c>
    </row>
    <row r="33890">
      <c r="A33890" s="4" t="s">
        <v>42645</v>
      </c>
      <c r="B33890" s="4" t="s">
        <v>42647</v>
      </c>
      <c r="C33890" s="5" t="str">
        <f>IFERROR(__xludf.DUMMYFUNCTION("GOOGLETRANSLATE(B33890,""en"",""de"")"),"Eine Frau hält ein Tuch in einer Küche.")</f>
        <v>Eine Frau hält ein Tuch in einer Küche.</v>
      </c>
    </row>
    <row r="33891">
      <c r="A33891" s="4" t="s">
        <v>42645</v>
      </c>
      <c r="B33891" s="4" t="s">
        <v>42648</v>
      </c>
      <c r="C33891" s="5" t="str">
        <f>IFERROR(__xludf.DUMMYFUNCTION("GOOGLETRANSLATE(B33891,""en"",""de"")"),"Die Frau fängt an, Wasser in einer Badewanne und einer Spüle zu fließen.")</f>
        <v>Die Frau fängt an, Wasser in einer Badewanne und einer Spüle zu fließen.</v>
      </c>
    </row>
    <row r="33892">
      <c r="A33892" s="4" t="s">
        <v>42645</v>
      </c>
      <c r="B33892" s="4" t="s">
        <v>42649</v>
      </c>
      <c r="C33892" s="5" t="str">
        <f>IFERROR(__xludf.DUMMYFUNCTION("GOOGLETRANSLATE(B33892,""en"",""de"")"),"Die Frau wäscht ein Tuch im Waschbecken.")</f>
        <v>Die Frau wäscht ein Tuch im Waschbecken.</v>
      </c>
    </row>
    <row r="33893">
      <c r="A33893" s="4" t="s">
        <v>42645</v>
      </c>
      <c r="B33893" s="4" t="s">
        <v>42650</v>
      </c>
      <c r="C33893" s="5" t="str">
        <f>IFERROR(__xludf.DUMMYFUNCTION("GOOGLETRANSLATE(B33893,""en"",""de"")"),"Die Frau legt das nasses Tuch auf einen trockenen und trocknet es aus.")</f>
        <v>Die Frau legt das nasses Tuch auf einen trockenen und trocknet es aus.</v>
      </c>
    </row>
    <row r="33894">
      <c r="A33894" s="4" t="s">
        <v>42645</v>
      </c>
      <c r="B33894" s="4" t="s">
        <v>42651</v>
      </c>
      <c r="C33894" s="5" t="str">
        <f>IFERROR(__xludf.DUMMYFUNCTION("GOOGLETRANSLATE(B33894,""en"",""de"")"),"Die Frau legt die Hose auf ein Bügelbrett.")</f>
        <v>Die Frau legt die Hose auf ein Bügelbrett.</v>
      </c>
    </row>
    <row r="33895">
      <c r="A33895" s="4" t="s">
        <v>42645</v>
      </c>
      <c r="B33895" s="4" t="s">
        <v>42652</v>
      </c>
      <c r="C33895" s="5" t="str">
        <f>IFERROR(__xludf.DUMMYFUNCTION("GOOGLETRANSLATE(B33895,""en"",""de"")"),"Die Endgutschrift erscheinen.")</f>
        <v>Die Endgutschrift erscheinen.</v>
      </c>
    </row>
    <row r="33896">
      <c r="A33896" s="4" t="s">
        <v>42653</v>
      </c>
      <c r="B33896" s="4" t="s">
        <v>42654</v>
      </c>
      <c r="C33896" s="5" t="str">
        <f>IFERROR(__xludf.DUMMYFUNCTION("GOOGLETRANSLATE(B33896,""en"",""de"")"),"Ein Turner ist zu sehen, wie sie mit ihren Armen fertig steht und in sie führt und eine Spur in eine Grube hinunterschleudert.")</f>
        <v>Ein Turner ist zu sehen, wie sie mit ihren Armen fertig steht und in sie führt und eine Spur in eine Grube hinunterschleudert.</v>
      </c>
    </row>
    <row r="33897">
      <c r="A33897" s="4" t="s">
        <v>42653</v>
      </c>
      <c r="B33897" s="4" t="s">
        <v>42655</v>
      </c>
      <c r="C33897" s="5" t="str">
        <f>IFERROR(__xludf.DUMMYFUNCTION("GOOGLETRANSLATE(B33897,""en"",""de"")"),"Sie setzt ihre Arme nach oben und ihre Sprünge werden noch mehrmals in Zeitlupe gezeigt.")</f>
        <v>Sie setzt ihre Arme nach oben und ihre Sprünge werden noch mehrmals in Zeitlupe gezeigt.</v>
      </c>
    </row>
    <row r="33898">
      <c r="A33898" s="4" t="s">
        <v>42656</v>
      </c>
      <c r="B33898" s="4" t="s">
        <v>42657</v>
      </c>
      <c r="C33898" s="5" t="str">
        <f>IFERROR(__xludf.DUMMYFUNCTION("GOOGLETRANSLATE(B33898,""en"",""de"")"),"Es werden mehrere Clips gezeigt, von denen viele Menschen auf einem Surfbrett stehen und sich mit einem Paddel über das Wasser schieben.")</f>
        <v>Es werden mehrere Clips gezeigt, von denen viele Menschen auf einem Surfbrett stehen und sich mit einem Paddel über das Wasser schieben.</v>
      </c>
    </row>
    <row r="33899">
      <c r="A33899" s="4" t="s">
        <v>42656</v>
      </c>
      <c r="B33899" s="4" t="s">
        <v>42658</v>
      </c>
      <c r="C33899" s="5" t="str">
        <f>IFERROR(__xludf.DUMMYFUNCTION("GOOGLETRANSLATE(B33899,""en"",""de"")"),"Die Menschen padeln weiter um das Wasser, während viele Menschen sitzen sehen.")</f>
        <v>Die Menschen padeln weiter um das Wasser, während viele Menschen sitzen sehen.</v>
      </c>
    </row>
    <row r="33900">
      <c r="A33900" s="4" t="s">
        <v>42659</v>
      </c>
      <c r="B33900" s="4" t="s">
        <v>42660</v>
      </c>
      <c r="C33900" s="5" t="str">
        <f>IFERROR(__xludf.DUMMYFUNCTION("GOOGLETRANSLATE(B33900,""en"",""de"")"),"Wir sehen eine Person, die mit einem Skiaufzug reitet.")</f>
        <v>Wir sehen eine Person, die mit einem Skiaufzug reitet.</v>
      </c>
    </row>
    <row r="33901">
      <c r="A33901" s="4" t="s">
        <v>42659</v>
      </c>
      <c r="B33901" s="4" t="s">
        <v>42661</v>
      </c>
      <c r="C33901" s="5" t="str">
        <f>IFERROR(__xludf.DUMMYFUNCTION("GOOGLETRANSLATE(B33901,""en"",""de"")"),"Die Person hebt die Stange auf dem Stuhl.")</f>
        <v>Die Person hebt die Stange auf dem Stuhl.</v>
      </c>
    </row>
    <row r="33902">
      <c r="A33902" s="4" t="s">
        <v>42659</v>
      </c>
      <c r="B33902" s="4" t="s">
        <v>42662</v>
      </c>
      <c r="C33902" s="5" t="str">
        <f>IFERROR(__xludf.DUMMYFUNCTION("GOOGLETRANSLATE(B33902,""en"",""de"")"),"Die Person hüpft vom Lift auf den Hang.")</f>
        <v>Die Person hüpft vom Lift auf den Hang.</v>
      </c>
    </row>
    <row r="33903">
      <c r="A33903" s="4" t="s">
        <v>42659</v>
      </c>
      <c r="B33903" s="4" t="s">
        <v>42663</v>
      </c>
      <c r="C33903" s="5" t="str">
        <f>IFERROR(__xludf.DUMMYFUNCTION("GOOGLETRANSLATE(B33903,""en"",""de"")"),"Die Person zieht ihre Skistangen an.")</f>
        <v>Die Person zieht ihre Skistangen an.</v>
      </c>
    </row>
    <row r="33904">
      <c r="A33904" s="4" t="s">
        <v>42659</v>
      </c>
      <c r="B33904" s="4" t="s">
        <v>42664</v>
      </c>
      <c r="C33904" s="5" t="str">
        <f>IFERROR(__xludf.DUMMYFUNCTION("GOOGLETRANSLATE(B33904,""en"",""de"")"),"Die Person fährt schnell den Skihang hinunter.")</f>
        <v>Die Person fährt schnell den Skihang hinunter.</v>
      </c>
    </row>
    <row r="33905">
      <c r="A33905" s="4" t="s">
        <v>42659</v>
      </c>
      <c r="B33905" s="4" t="s">
        <v>42665</v>
      </c>
      <c r="C33905" s="5" t="str">
        <f>IFERROR(__xludf.DUMMYFUNCTION("GOOGLETRANSLATE(B33905,""en"",""de"")"),"Die Person erreicht den Boden des Hangs und schaut nach.")</f>
        <v>Die Person erreicht den Boden des Hangs und schaut nach.</v>
      </c>
    </row>
    <row r="33906">
      <c r="A33906" s="4" t="s">
        <v>42659</v>
      </c>
      <c r="B33906" s="4" t="s">
        <v>42666</v>
      </c>
      <c r="C33906" s="5" t="str">
        <f>IFERROR(__xludf.DUMMYFUNCTION("GOOGLETRANSLATE(B33906,""en"",""de"")"),"320 Die Hand der Person kommt auf den Bildschirm, um die Kamera auszuschalten.")</f>
        <v>320 Die Hand der Person kommt auf den Bildschirm, um die Kamera auszuschalten.</v>
      </c>
    </row>
    <row r="33907">
      <c r="A33907" s="4" t="s">
        <v>42667</v>
      </c>
      <c r="B33907" s="4" t="s">
        <v>42668</v>
      </c>
      <c r="C33907" s="5" t="str">
        <f>IFERROR(__xludf.DUMMYFUNCTION("GOOGLETRANSLATE(B33907,""en"",""de"")"),"Ein Mann steht auf einem Skateboard.")</f>
        <v>Ein Mann steht auf einem Skateboard.</v>
      </c>
    </row>
    <row r="33908">
      <c r="A33908" s="4" t="s">
        <v>42667</v>
      </c>
      <c r="B33908" s="4" t="s">
        <v>42669</v>
      </c>
      <c r="C33908" s="5" t="str">
        <f>IFERROR(__xludf.DUMMYFUNCTION("GOOGLETRANSLATE(B33908,""en"",""de"")"),"Er nimmt das Skateboard auf und hält es in der Hand.")</f>
        <v>Er nimmt das Skateboard auf und hält es in der Hand.</v>
      </c>
    </row>
    <row r="33909">
      <c r="A33909" s="4" t="s">
        <v>42667</v>
      </c>
      <c r="B33909" s="4" t="s">
        <v>42670</v>
      </c>
      <c r="C33909" s="5" t="str">
        <f>IFERROR(__xludf.DUMMYFUNCTION("GOOGLETRANSLATE(B33909,""en"",""de"")"),"Er setzt das Skateboard wieder herunter und setzt das Skateboarding fort.")</f>
        <v>Er setzt das Skateboard wieder herunter und setzt das Skateboarding fort.</v>
      </c>
    </row>
    <row r="33910">
      <c r="A33910" s="4" t="s">
        <v>42671</v>
      </c>
      <c r="B33910" s="4" t="s">
        <v>42672</v>
      </c>
      <c r="C33910" s="5" t="str">
        <f>IFERROR(__xludf.DUMMYFUNCTION("GOOGLETRANSLATE(B33910,""en"",""de"")"),"Menschen tauchen im Wasser mit Tauchanzug, kleine und große Fische schwimmen in der Nähe der Taucher.")</f>
        <v>Menschen tauchen im Wasser mit Tauchanzug, kleine und große Fische schwimmen in der Nähe der Taucher.</v>
      </c>
    </row>
    <row r="33911">
      <c r="A33911" s="4" t="s">
        <v>42671</v>
      </c>
      <c r="B33911" s="4" t="s">
        <v>42673</v>
      </c>
      <c r="C33911" s="5" t="str">
        <f>IFERROR(__xludf.DUMMYFUNCTION("GOOGLETRANSLATE(B33911,""en"",""de"")"),"Der Taucher kniete auf dem Meeresboden mit den Händen.")</f>
        <v>Der Taucher kniete auf dem Meeresboden mit den Händen.</v>
      </c>
    </row>
    <row r="33912">
      <c r="A33912" s="4" t="s">
        <v>42671</v>
      </c>
      <c r="B33912" s="4" t="s">
        <v>42674</v>
      </c>
      <c r="C33912" s="5" t="str">
        <f>IFERROR(__xludf.DUMMYFUNCTION("GOOGLETRANSLATE(B33912,""en"",""de"")"),"Manta Fisch und ein großer Fisch schwimmen im Wasser.")</f>
        <v>Manta Fisch und ein großer Fisch schwimmen im Wasser.</v>
      </c>
    </row>
    <row r="33913">
      <c r="A33913" s="4" t="s">
        <v>42671</v>
      </c>
      <c r="B33913" s="4" t="s">
        <v>42675</v>
      </c>
      <c r="C33913" s="5" t="str">
        <f>IFERROR(__xludf.DUMMYFUNCTION("GOOGLETRANSLATE(B33913,""en"",""de"")"),"Die Taucher stehen stehen und schwimmen weiter im Wasser.")</f>
        <v>Die Taucher stehen stehen und schwimmen weiter im Wasser.</v>
      </c>
    </row>
    <row r="33914">
      <c r="A33914" s="4" t="s">
        <v>42676</v>
      </c>
      <c r="B33914" s="4" t="s">
        <v>42677</v>
      </c>
      <c r="C33914" s="5" t="str">
        <f>IFERROR(__xludf.DUMMYFUNCTION("GOOGLETRANSLATE(B33914,""en"",""de"")"),"Männer halten Schneeglieder vor einer Lagerstätte.")</f>
        <v>Männer halten Schneeglieder vor einer Lagerstätte.</v>
      </c>
    </row>
    <row r="33915">
      <c r="A33915" s="4" t="s">
        <v>42676</v>
      </c>
      <c r="B33915" s="4" t="s">
        <v>42678</v>
      </c>
      <c r="C33915" s="5" t="str">
        <f>IFERROR(__xludf.DUMMYFUNCTION("GOOGLETRANSLATE(B33915,""en"",""de"")"),"Die alte Frau sitzt auf einem Schneeschlag und es geht einen schneebedeckten Hang hinunter.")</f>
        <v>Die alte Frau sitzt auf einem Schneeschlag und es geht einen schneebedeckten Hang hinunter.</v>
      </c>
    </row>
    <row r="33916">
      <c r="A33916" s="4" t="s">
        <v>42676</v>
      </c>
      <c r="B33916" s="4" t="s">
        <v>42679</v>
      </c>
      <c r="C33916" s="5" t="str">
        <f>IFERROR(__xludf.DUMMYFUNCTION("GOOGLETRANSLATE(B33916,""en"",""de"")"),"Die alte Frau ist im Schneegleit und geht die Schneestrecke hinunter.")</f>
        <v>Die alte Frau ist im Schneegleit und geht die Schneestrecke hinunter.</v>
      </c>
    </row>
    <row r="33917">
      <c r="A33917" s="4" t="s">
        <v>42676</v>
      </c>
      <c r="B33917" s="4" t="s">
        <v>42680</v>
      </c>
      <c r="C33917" s="5" t="str">
        <f>IFERROR(__xludf.DUMMYFUNCTION("GOOGLETRANSLATE(B33917,""en"",""de"")"),"Ein Mann und eine Frau packt die alte Dame in einer Rutsche.")</f>
        <v>Ein Mann und eine Frau packt die alte Dame in einer Rutsche.</v>
      </c>
    </row>
    <row r="33918">
      <c r="A33918" s="4" t="s">
        <v>42676</v>
      </c>
      <c r="B33918" s="4" t="s">
        <v>42681</v>
      </c>
      <c r="C33918" s="5" t="str">
        <f>IFERROR(__xludf.DUMMYFUNCTION("GOOGLETRANSLATE(B33918,""en"",""de"")"),"Verschiedene Menschen gehen die Neigung hin und hält mit einem Seil einen Schneeglied.")</f>
        <v>Verschiedene Menschen gehen die Neigung hin und hält mit einem Seil einen Schneeglied.</v>
      </c>
    </row>
    <row r="33919">
      <c r="A33919" s="4" t="s">
        <v>42676</v>
      </c>
      <c r="B33919" s="4" t="s">
        <v>42682</v>
      </c>
      <c r="C33919" s="5" t="str">
        <f>IFERROR(__xludf.DUMMYFUNCTION("GOOGLETRANSLATE(B33919,""en"",""de"")"),"Alte Frauen sitzen auf Woodn Bank und sprechen mit der Kamera.")</f>
        <v>Alte Frauen sitzen auf Woodn Bank und sprechen mit der Kamera.</v>
      </c>
    </row>
    <row r="33920">
      <c r="A33920" s="4" t="s">
        <v>42676</v>
      </c>
      <c r="B33920" s="4" t="s">
        <v>42683</v>
      </c>
      <c r="C33920" s="5" t="str">
        <f>IFERROR(__xludf.DUMMYFUNCTION("GOOGLETRANSLATE(B33920,""en"",""de"")"),"Alte Menschen sitzen und stehen vor einer Kamera, die für ein Bild posiert.")</f>
        <v>Alte Menschen sitzen und stehen vor einer Kamera, die für ein Bild posiert.</v>
      </c>
    </row>
    <row r="33921">
      <c r="A33921" s="4" t="s">
        <v>42684</v>
      </c>
      <c r="B33921" s="4" t="s">
        <v>42685</v>
      </c>
      <c r="C33921" s="5" t="str">
        <f>IFERROR(__xludf.DUMMYFUNCTION("GOOGLETRANSLATE(B33921,""en"",""de"")"),"Der Text wird auf dem Bildschirm mit einem Link angezeigt.")</f>
        <v>Der Text wird auf dem Bildschirm mit einem Link angezeigt.</v>
      </c>
    </row>
    <row r="33922">
      <c r="A33922" s="4" t="s">
        <v>42684</v>
      </c>
      <c r="B33922" s="4" t="s">
        <v>42686</v>
      </c>
      <c r="C33922" s="5" t="str">
        <f>IFERROR(__xludf.DUMMYFUNCTION("GOOGLETRANSLATE(B33922,""en"",""de"")"),"Menschen in Uniform marschieren die Straße entlang.")</f>
        <v>Menschen in Uniform marschieren die Straße entlang.</v>
      </c>
    </row>
    <row r="33923">
      <c r="A33923" s="4" t="s">
        <v>42684</v>
      </c>
      <c r="B33923" s="4" t="s">
        <v>42687</v>
      </c>
      <c r="C33923" s="5" t="str">
        <f>IFERROR(__xludf.DUMMYFUNCTION("GOOGLETRANSLATE(B33923,""en"",""de"")"),"Es schneidet die Menge an, die zuschaut.")</f>
        <v>Es schneidet die Menge an, die zuschaut.</v>
      </c>
    </row>
    <row r="33924">
      <c r="A33924" s="4" t="s">
        <v>42684</v>
      </c>
      <c r="B33924" s="4" t="s">
        <v>42688</v>
      </c>
      <c r="C33924" s="5" t="str">
        <f>IFERROR(__xludf.DUMMYFUNCTION("GOOGLETRANSLATE(B33924,""en"",""de"")"),"Eine Marchign -Band beginnt die Straße entlang zu gehen.")</f>
        <v>Eine Marchign -Band beginnt die Straße entlang zu gehen.</v>
      </c>
    </row>
    <row r="33925">
      <c r="A33925" s="4" t="s">
        <v>42684</v>
      </c>
      <c r="B33925" s="4" t="s">
        <v>42689</v>
      </c>
      <c r="C33925" s="5" t="str">
        <f>IFERROR(__xludf.DUMMYFUNCTION("GOOGLETRANSLATE(B33925,""en"",""de"")"),"Ein weiterer Satz uniformierter Menschen geht die Straße entlang.")</f>
        <v>Ein weiterer Satz uniformierter Menschen geht die Straße entlang.</v>
      </c>
    </row>
    <row r="33926">
      <c r="A33926" s="4" t="s">
        <v>42684</v>
      </c>
      <c r="B33926" s="4" t="s">
        <v>42690</v>
      </c>
      <c r="C33926" s="5" t="str">
        <f>IFERROR(__xludf.DUMMYFUNCTION("GOOGLETRANSLATE(B33926,""en"",""de"")"),"Sie halten an und winken zur Menge.")</f>
        <v>Sie halten an und winken zur Menge.</v>
      </c>
    </row>
    <row r="33927">
      <c r="A33927" s="4" t="s">
        <v>42684</v>
      </c>
      <c r="B33927" s="4" t="s">
        <v>42691</v>
      </c>
      <c r="C33927" s="5" t="str">
        <f>IFERROR(__xludf.DUMMYFUNCTION("GOOGLETRANSLATE(B33927,""en"",""de"")"),"Es geht zurück auf die Blaskapelle.")</f>
        <v>Es geht zurück auf die Blaskapelle.</v>
      </c>
    </row>
    <row r="33928">
      <c r="A33928" s="4" t="s">
        <v>42684</v>
      </c>
      <c r="B33928" s="4" t="s">
        <v>42692</v>
      </c>
      <c r="C33928" s="5" t="str">
        <f>IFERROR(__xludf.DUMMYFUNCTION("GOOGLETRANSLATE(B33928,""en"",""de"")"),"Ein Pferd und eine Kutsche gehen die Straße entlang, gefolgt von den Menschen in Uniform.")</f>
        <v>Ein Pferd und eine Kutsche gehen die Straße entlang, gefolgt von den Menschen in Uniform.</v>
      </c>
    </row>
    <row r="33929">
      <c r="A33929" s="4" t="s">
        <v>42684</v>
      </c>
      <c r="B33929" s="4" t="s">
        <v>42693</v>
      </c>
      <c r="C33929" s="5" t="str">
        <f>IFERROR(__xludf.DUMMYFUNCTION("GOOGLETRANSLATE(B33929,""en"",""de"")"),"Zwei Frau wellen Flaggen herum.")</f>
        <v>Zwei Frau wellen Flaggen herum.</v>
      </c>
    </row>
    <row r="33930">
      <c r="A33930" s="4" t="s">
        <v>42684</v>
      </c>
      <c r="B33930" s="4" t="s">
        <v>42694</v>
      </c>
      <c r="C33930" s="5" t="str">
        <f>IFERROR(__xludf.DUMMYFUNCTION("GOOGLETRANSLATE(B33930,""en"",""de"")"),"Der Rest des Volkes marschiert weiter die Straße hinunter.")</f>
        <v>Der Rest des Volkes marschiert weiter die Straße hinunter.</v>
      </c>
    </row>
    <row r="33931">
      <c r="A33931" s="4" t="s">
        <v>42695</v>
      </c>
      <c r="B33931" s="4" t="s">
        <v>42696</v>
      </c>
      <c r="C33931" s="5" t="str">
        <f>IFERROR(__xludf.DUMMYFUNCTION("GOOGLETRANSLATE(B33931,""en"",""de"")"),"Ein Mädchen geht auf einem Spielplatz über Affenbars.")</f>
        <v>Ein Mädchen geht auf einem Spielplatz über Affenbars.</v>
      </c>
    </row>
    <row r="33932">
      <c r="A33932" s="4" t="s">
        <v>42695</v>
      </c>
      <c r="B33932" s="4" t="s">
        <v>42697</v>
      </c>
      <c r="C33932" s="5" t="str">
        <f>IFERROR(__xludf.DUMMYFUNCTION("GOOGLETRANSLATE(B33932,""en"",""de"")"),"Sie kommt zum Ende und springt auf den Boden.")</f>
        <v>Sie kommt zum Ende und springt auf den Boden.</v>
      </c>
    </row>
    <row r="33933">
      <c r="A33933" s="4" t="s">
        <v>42695</v>
      </c>
      <c r="B33933" s="4" t="s">
        <v>42698</v>
      </c>
      <c r="C33933" s="5" t="str">
        <f>IFERROR(__xludf.DUMMYFUNCTION("GOOGLETRANSLATE(B33933,""en"",""de"")"),"Sie legt ihre Hände in die Luft.")</f>
        <v>Sie legt ihre Hände in die Luft.</v>
      </c>
    </row>
    <row r="33934">
      <c r="A33934" s="4" t="s">
        <v>42699</v>
      </c>
      <c r="B33934" s="4" t="s">
        <v>42700</v>
      </c>
      <c r="C33934" s="5" t="str">
        <f>IFERROR(__xludf.DUMMYFUNCTION("GOOGLETRANSLATE(B33934,""en"",""de"")"),"Einige Frauen sind auf einem Boot und versuchen herauszufinden, wie man Shuffleboard spielt.")</f>
        <v>Einige Frauen sind auf einem Boot und versuchen herauszufinden, wie man Shuffleboard spielt.</v>
      </c>
    </row>
    <row r="33935">
      <c r="A33935" s="4" t="s">
        <v>42699</v>
      </c>
      <c r="B33935" s="4" t="s">
        <v>42701</v>
      </c>
      <c r="C33935" s="5" t="str">
        <f>IFERROR(__xludf.DUMMYFUNCTION("GOOGLETRANSLATE(B33935,""en"",""de"")"),"Das Mädchen macht einen Shuffleboard -Ahot und die Mädchen feiern alle zu feiern.")</f>
        <v>Das Mädchen macht einen Shuffleboard -Ahot und die Mädchen feiern alle zu feiern.</v>
      </c>
    </row>
    <row r="33936">
      <c r="A33936" s="4" t="s">
        <v>42699</v>
      </c>
      <c r="B33936" s="4" t="s">
        <v>42702</v>
      </c>
      <c r="C33936" s="5" t="str">
        <f>IFERROR(__xludf.DUMMYFUNCTION("GOOGLETRANSLATE(B33936,""en"",""de"")"),"Sie versucht weiterhin, Schüsse zu machen und albern zu handeln.")</f>
        <v>Sie versucht weiterhin, Schüsse zu machen und albern zu handeln.</v>
      </c>
    </row>
    <row r="33937">
      <c r="A33937" s="4" t="s">
        <v>42699</v>
      </c>
      <c r="B33937" s="4" t="s">
        <v>42703</v>
      </c>
      <c r="C33937" s="5" t="str">
        <f>IFERROR(__xludf.DUMMYFUNCTION("GOOGLETRANSLATE(B33937,""en"",""de"")"),"Sie legt den Shuffleboard -Stick ab und das Video endet.")</f>
        <v>Sie legt den Shuffleboard -Stick ab und das Video endet.</v>
      </c>
    </row>
    <row r="33938">
      <c r="A33938" s="4" t="s">
        <v>42704</v>
      </c>
      <c r="B33938" s="4" t="s">
        <v>42705</v>
      </c>
      <c r="C33938" s="5" t="str">
        <f>IFERROR(__xludf.DUMMYFUNCTION("GOOGLETRANSLATE(B33938,""en"",""de"")"),"Videos von mehreren Männern, die den Diskus werfen, werden wiederum gezeigt, wobei die Männer von Publikum und Richtern beobachtet werden und die Throws in Zeitlupe nachgegeben wurden.")</f>
        <v>Videos von mehreren Männern, die den Diskus werfen, werden wiederum gezeigt, wobei die Männer von Publikum und Richtern beobachtet werden und die Throws in Zeitlupe nachgegeben wurden.</v>
      </c>
    </row>
    <row r="33939">
      <c r="A33939" s="4" t="s">
        <v>42704</v>
      </c>
      <c r="B33939" s="4" t="s">
        <v>42706</v>
      </c>
      <c r="C33939" s="5" t="str">
        <f>IFERROR(__xludf.DUMMYFUNCTION("GOOGLETRANSLATE(B33939,""en"",""de"")"),"Die Richter werden gezeigt, wie man den Abstand der Würfe bewertet.")</f>
        <v>Die Richter werden gezeigt, wie man den Abstand der Würfe bewertet.</v>
      </c>
    </row>
    <row r="33940">
      <c r="A33940" s="4" t="s">
        <v>42704</v>
      </c>
      <c r="B33940" s="4" t="s">
        <v>42707</v>
      </c>
      <c r="C33940" s="5" t="str">
        <f>IFERROR(__xludf.DUMMYFUNCTION("GOOGLETRANSLATE(B33940,""en"",""de"")"),"Die Richter werden erneut angezeigt, als die Entfernung eines der Würfe bewertet wird.")</f>
        <v>Die Richter werden erneut angezeigt, als die Entfernung eines der Würfe bewertet wird.</v>
      </c>
    </row>
    <row r="33941">
      <c r="A33941" s="4" t="s">
        <v>42708</v>
      </c>
      <c r="B33941" s="4" t="s">
        <v>42709</v>
      </c>
      <c r="C33941" s="5" t="str">
        <f>IFERROR(__xludf.DUMMYFUNCTION("GOOGLETRANSLATE(B33941,""en"",""de"")"),"Ein Mann, der ein schwarzes Hemd trägt, steht in einem Wohnzimmer mit einem roten und schwarzen Akkordeon.")</f>
        <v>Ein Mann, der ein schwarzes Hemd trägt, steht in einem Wohnzimmer mit einem roten und schwarzen Akkordeon.</v>
      </c>
    </row>
    <row r="33942">
      <c r="A33942" s="4" t="s">
        <v>42708</v>
      </c>
      <c r="B33942" s="4" t="s">
        <v>42710</v>
      </c>
      <c r="C33942" s="5" t="str">
        <f>IFERROR(__xludf.DUMMYFUNCTION("GOOGLETRANSLATE(B33942,""en"",""de"")"),"Der Musiker, der auf einem Stuhl sitzt, der ein schwarzes Akkordeon hat, und bereitet sich darauf vor, wie man ein Akkordeon spielt.")</f>
        <v>Der Musiker, der auf einem Stuhl sitzt, der ein schwarzes Akkordeon hat, und bereitet sich darauf vor, wie man ein Akkordeon spielt.</v>
      </c>
    </row>
    <row r="33943">
      <c r="A33943" s="4" t="s">
        <v>42708</v>
      </c>
      <c r="B33943" s="4" t="s">
        <v>42711</v>
      </c>
      <c r="C33943" s="5" t="str">
        <f>IFERROR(__xludf.DUMMYFUNCTION("GOOGLETRANSLATE(B33943,""en"",""de"")"),"Der Mann demonstriert dann, wie ein Akkordeon mit einem braunen Akkordeon spielt.")</f>
        <v>Der Mann demonstriert dann, wie ein Akkordeon mit einem braunen Akkordeon spielt.</v>
      </c>
    </row>
    <row r="33944">
      <c r="A33944" s="4" t="s">
        <v>42712</v>
      </c>
      <c r="B33944" s="4" t="s">
        <v>42713</v>
      </c>
      <c r="C33944" s="5" t="str">
        <f>IFERROR(__xludf.DUMMYFUNCTION("GOOGLETRANSLATE(B33944,""en"",""de"")"),"Ein Drachen fliegt mit einer Person, die hinter dem Drachen im Sand fährt, um die Luft.")</f>
        <v>Ein Drachen fliegt mit einer Person, die hinter dem Drachen im Sand fährt, um die Luft.</v>
      </c>
    </row>
    <row r="33945">
      <c r="A33945" s="4" t="s">
        <v>42712</v>
      </c>
      <c r="B33945" s="4" t="s">
        <v>42714</v>
      </c>
      <c r="C33945" s="5" t="str">
        <f>IFERROR(__xludf.DUMMYFUNCTION("GOOGLETRANSLATE(B33945,""en"",""de"")"),"Die Kamera schwenkt weiter um den Strand und fängt die Person, die einen Drachen flog, und hält ihn fest und hält ihn.")</f>
        <v>Die Kamera schwenkt weiter um den Strand und fängt die Person, die einen Drachen flog, und hält ihn fest und hält ihn.</v>
      </c>
    </row>
    <row r="33946">
      <c r="A33946" s="4" t="s">
        <v>42715</v>
      </c>
      <c r="B33946" s="4" t="s">
        <v>42716</v>
      </c>
      <c r="C33946" s="5" t="str">
        <f>IFERROR(__xludf.DUMMYFUNCTION("GOOGLETRANSLATE(B33946,""en"",""de"")"),"Eine Person mit verrückten Haaren erscheint und führt sie auf einem Weltraumschiff mit Schwerkraft in sie im Wesentlichen aus.")</f>
        <v>Eine Person mit verrückten Haaren erscheint und führt sie auf einem Weltraumschiff mit Schwerkraft in sie im Wesentlichen aus.</v>
      </c>
    </row>
    <row r="33947">
      <c r="A33947" s="4" t="s">
        <v>42715</v>
      </c>
      <c r="B33947" s="4" t="s">
        <v>42717</v>
      </c>
      <c r="C33947" s="5" t="str">
        <f>IFERROR(__xludf.DUMMYFUNCTION("GOOGLETRANSLATE(B33947,""en"",""de"")"),"Sie zeigt die verschiedenen Gegenstände auf einem Raumfahrzeug und steckt eine Lotion in ihre Haare.")</f>
        <v>Sie zeigt die verschiedenen Gegenstände auf einem Raumfahrzeug und steckt eine Lotion in ihre Haare.</v>
      </c>
    </row>
    <row r="33948">
      <c r="A33948" s="4" t="s">
        <v>42715</v>
      </c>
      <c r="B33948" s="4" t="s">
        <v>42718</v>
      </c>
      <c r="C33948" s="5" t="str">
        <f>IFERROR(__xludf.DUMMYFUNCTION("GOOGLETRANSLATE(B33948,""en"",""de"")"),"Sie kämmt die Lotion gründlich ein und trocknet mit einem Handtuch von ihrem Kopf.")</f>
        <v>Sie kämmt die Lotion gründlich ein und trocknet mit einem Handtuch von ihrem Kopf.</v>
      </c>
    </row>
    <row r="33949">
      <c r="A33949" s="4" t="s">
        <v>42715</v>
      </c>
      <c r="B33949" s="4" t="s">
        <v>42719</v>
      </c>
      <c r="C33949" s="5" t="str">
        <f>IFERROR(__xludf.DUMMYFUNCTION("GOOGLETRANSLATE(B33949,""en"",""de"")"),"Sie zeigt auf die Kamera und kämmt sich ein letztes Mal durch ihre Haare.")</f>
        <v>Sie zeigt auf die Kamera und kämmt sich ein letztes Mal durch ihre Haare.</v>
      </c>
    </row>
    <row r="33950">
      <c r="A33950" s="4" t="s">
        <v>42720</v>
      </c>
      <c r="B33950" s="4" t="s">
        <v>42721</v>
      </c>
      <c r="C33950" s="5" t="str">
        <f>IFERROR(__xludf.DUMMYFUNCTION("GOOGLETRANSLATE(B33950,""en"",""de"")"),"Dieser Mann sitzt im Freien und poliert die Schuhe eines anderen Mannes und keines ihrer Gesichter wird gezeigt.")</f>
        <v>Dieser Mann sitzt im Freien und poliert die Schuhe eines anderen Mannes und keines ihrer Gesichter wird gezeigt.</v>
      </c>
    </row>
    <row r="33951">
      <c r="A33951" s="4" t="s">
        <v>42720</v>
      </c>
      <c r="B33951" s="4" t="s">
        <v>42722</v>
      </c>
      <c r="C33951" s="5" t="str">
        <f>IFERROR(__xludf.DUMMYFUNCTION("GOOGLETRANSLATE(B33951,""en"",""de"")"),"Der Mann sitzt auf dem Boden und benutzt ein braunes Handtuch, um die Schuhe des Mannes zu polieren.")</f>
        <v>Der Mann sitzt auf dem Boden und benutzt ein braunes Handtuch, um die Schuhe des Mannes zu polieren.</v>
      </c>
    </row>
    <row r="33952">
      <c r="A33952" s="4" t="s">
        <v>42720</v>
      </c>
      <c r="B33952" s="4" t="s">
        <v>42723</v>
      </c>
      <c r="C33952" s="5" t="str">
        <f>IFERROR(__xludf.DUMMYFUNCTION("GOOGLETRANSLATE(B33952,""en"",""de"")"),"Er legt auch Flüssigkeit auf einen kleinen Pinsel und legt sie auf die Schuhe des Mannes.")</f>
        <v>Er legt auch Flüssigkeit auf einen kleinen Pinsel und legt sie auf die Schuhe des Mannes.</v>
      </c>
    </row>
    <row r="33953">
      <c r="A33953" s="4" t="s">
        <v>42724</v>
      </c>
      <c r="B33953" s="4" t="s">
        <v>42725</v>
      </c>
      <c r="C33953" s="5" t="str">
        <f>IFERROR(__xludf.DUMMYFUNCTION("GOOGLETRANSLATE(B33953,""en"",""de"")"),"Ein Mädchen dreht vor einem Raum voller Kinder.")</f>
        <v>Ein Mädchen dreht vor einem Raum voller Kinder.</v>
      </c>
    </row>
    <row r="33954">
      <c r="A33954" s="4" t="s">
        <v>42724</v>
      </c>
      <c r="B33954" s="4" t="s">
        <v>42726</v>
      </c>
      <c r="C33954" s="5" t="str">
        <f>IFERROR(__xludf.DUMMYFUNCTION("GOOGLETRANSLATE(B33954,""en"",""de"")"),"Sie benutzt einen Hula -Reifen, um in Kreisen zu gehen.")</f>
        <v>Sie benutzt einen Hula -Reifen, um in Kreisen zu gehen.</v>
      </c>
    </row>
    <row r="33955">
      <c r="A33955" s="4" t="s">
        <v>42724</v>
      </c>
      <c r="B33955" s="4" t="s">
        <v>42727</v>
      </c>
      <c r="C33955" s="5" t="str">
        <f>IFERROR(__xludf.DUMMYFUNCTION("GOOGLETRANSLATE(B33955,""en"",""de"")"),"Sie handelt albern, als sie zeigt, wie sie den Hula Hoop benutzen kann.")</f>
        <v>Sie handelt albern, als sie zeigt, wie sie den Hula Hoop benutzen kann.</v>
      </c>
    </row>
    <row r="33956">
      <c r="A33956" s="4" t="s">
        <v>42728</v>
      </c>
      <c r="B33956" s="4" t="s">
        <v>42729</v>
      </c>
      <c r="C33956" s="5" t="str">
        <f>IFERROR(__xludf.DUMMYFUNCTION("GOOGLETRANSLATE(B33956,""en"",""de"")"),"Mehrere Spieler sind auf einer Eisbahn.")</f>
        <v>Mehrere Spieler sind auf einer Eisbahn.</v>
      </c>
    </row>
    <row r="33957">
      <c r="A33957" s="4" t="s">
        <v>42728</v>
      </c>
      <c r="B33957" s="4" t="s">
        <v>42730</v>
      </c>
      <c r="C33957" s="5" t="str">
        <f>IFERROR(__xludf.DUMMYFUNCTION("GOOGLETRANSLATE(B33957,""en"",""de"")"),"Sie spielen Hockey gegeneinander.")</f>
        <v>Sie spielen Hockey gegeneinander.</v>
      </c>
    </row>
    <row r="33958">
      <c r="A33958" s="4" t="s">
        <v>42728</v>
      </c>
      <c r="B33958" s="4" t="s">
        <v>42731</v>
      </c>
      <c r="C33958" s="5" t="str">
        <f>IFERROR(__xludf.DUMMYFUNCTION("GOOGLETRANSLATE(B33958,""en"",""de"")"),"Ein Team erzielt ein Ziel.")</f>
        <v>Ein Team erzielt ein Ziel.</v>
      </c>
    </row>
    <row r="33959">
      <c r="A33959" s="4" t="s">
        <v>42728</v>
      </c>
      <c r="B33959" s="4" t="s">
        <v>42732</v>
      </c>
      <c r="C33959" s="5" t="str">
        <f>IFERROR(__xludf.DUMMYFUNCTION("GOOGLETRANSLATE(B33959,""en"",""de"")"),"Alle jubeln über das Ziel.")</f>
        <v>Alle jubeln über das Ziel.</v>
      </c>
    </row>
    <row r="33960">
      <c r="A33960" s="4" t="s">
        <v>42733</v>
      </c>
      <c r="B33960" s="4" t="s">
        <v>42734</v>
      </c>
      <c r="C33960" s="5" t="str">
        <f>IFERROR(__xludf.DUMMYFUNCTION("GOOGLETRANSLATE(B33960,""en"",""de"")"),"Wir sehen, wie ein Mann in Blattgebläse reitet.")</f>
        <v>Wir sehen, wie ein Mann in Blattgebläse reitet.</v>
      </c>
    </row>
    <row r="33961">
      <c r="A33961" s="4" t="s">
        <v>42733</v>
      </c>
      <c r="B33961" s="4" t="s">
        <v>42735</v>
      </c>
      <c r="C33961" s="5" t="str">
        <f>IFERROR(__xludf.DUMMYFUNCTION("GOOGLETRANSLATE(B33961,""en"",""de"")"),"Wir sehen, dass die Blätter auf dem Boden geblasen werden.")</f>
        <v>Wir sehen, dass die Blätter auf dem Boden geblasen werden.</v>
      </c>
    </row>
    <row r="33962">
      <c r="A33962" s="4" t="s">
        <v>42733</v>
      </c>
      <c r="B33962" s="4" t="s">
        <v>42736</v>
      </c>
      <c r="C33962" s="5" t="str">
        <f>IFERROR(__xludf.DUMMYFUNCTION("GOOGLETRANSLATE(B33962,""en"",""de"")"),"Wir sehen ein Rohr auf der Maschine.")</f>
        <v>Wir sehen ein Rohr auf der Maschine.</v>
      </c>
    </row>
    <row r="33963">
      <c r="A33963" s="4" t="s">
        <v>42733</v>
      </c>
      <c r="B33963" s="4" t="s">
        <v>42737</v>
      </c>
      <c r="C33963" s="5" t="str">
        <f>IFERROR(__xludf.DUMMYFUNCTION("GOOGLETRANSLATE(B33963,""en"",""de"")"),"Wir kehren zurück, um zu sehen, wie die Blätter geblasen werden.")</f>
        <v>Wir kehren zurück, um zu sehen, wie die Blätter geblasen werden.</v>
      </c>
    </row>
    <row r="33964">
      <c r="A33964" s="4" t="s">
        <v>42733</v>
      </c>
      <c r="B33964" s="4" t="s">
        <v>42738</v>
      </c>
      <c r="C33964" s="5" t="str">
        <f>IFERROR(__xludf.DUMMYFUNCTION("GOOGLETRANSLATE(B33964,""en"",""de"")"),"Wir sehen, dass Blätter auf der Straße blasen.")</f>
        <v>Wir sehen, dass Blätter auf der Straße blasen.</v>
      </c>
    </row>
    <row r="33965">
      <c r="A33965" s="4" t="s">
        <v>42733</v>
      </c>
      <c r="B33965" s="4" t="s">
        <v>777</v>
      </c>
      <c r="C33965" s="5" t="str">
        <f>IFERROR(__xludf.DUMMYFUNCTION("GOOGLETRANSLATE(B33965,""en"",""de"")"),"Wir sehen den End -Titelbildschirm.")</f>
        <v>Wir sehen den End -Titelbildschirm.</v>
      </c>
    </row>
    <row r="33966">
      <c r="A33966" s="4" t="s">
        <v>42739</v>
      </c>
      <c r="B33966" s="4" t="s">
        <v>42740</v>
      </c>
      <c r="C33966" s="5" t="str">
        <f>IFERROR(__xludf.DUMMYFUNCTION("GOOGLETRANSLATE(B33966,""en"",""de"")"),"Aus dem Dach sehen wir die Straße, in der ein Auto geparkt ist, und ein Mann, der auf dem Raum steht, beginnt der Mann, Dachschindeln aufzusteuern.")</f>
        <v>Aus dem Dach sehen wir die Straße, in der ein Auto geparkt ist, und ein Mann, der auf dem Raum steht, beginnt der Mann, Dachschindeln aufzusteuern.</v>
      </c>
    </row>
    <row r="33967">
      <c r="A33967" s="4" t="s">
        <v>42739</v>
      </c>
      <c r="B33967" s="4" t="s">
        <v>42741</v>
      </c>
      <c r="C33967" s="5" t="str">
        <f>IFERROR(__xludf.DUMMYFUNCTION("GOOGLETRANSLATE(B33967,""en"",""de"")"),"Der Mann fügt ein festes Stück Schindeln und Nägel nach unten.")</f>
        <v>Der Mann fügt ein festes Stück Schindeln und Nägel nach unten.</v>
      </c>
    </row>
    <row r="33968">
      <c r="A33968" s="4" t="s">
        <v>42739</v>
      </c>
      <c r="B33968" s="4" t="s">
        <v>42742</v>
      </c>
      <c r="C33968" s="5" t="str">
        <f>IFERROR(__xludf.DUMMYFUNCTION("GOOGLETRANSLATE(B33968,""en"",""de"")"),"Der Mann endet und geht weg.")</f>
        <v>Der Mann endet und geht weg.</v>
      </c>
    </row>
    <row r="33969">
      <c r="A33969" s="4" t="s">
        <v>42739</v>
      </c>
      <c r="B33969" s="4" t="s">
        <v>42743</v>
      </c>
      <c r="C33969" s="5" t="str">
        <f>IFERROR(__xludf.DUMMYFUNCTION("GOOGLETRANSLATE(B33969,""en"",""de"")"),"Wir sehen den Ruck auf der Straße für die Dachdeckergesellschaft.")</f>
        <v>Wir sehen den Ruck auf der Straße für die Dachdeckergesellschaft.</v>
      </c>
    </row>
    <row r="33970">
      <c r="A33970" s="4" t="s">
        <v>42744</v>
      </c>
      <c r="B33970" s="4" t="s">
        <v>42745</v>
      </c>
      <c r="C33970" s="5" t="str">
        <f>IFERROR(__xludf.DUMMYFUNCTION("GOOGLETRANSLATE(B33970,""en"",""de"")"),"Dieser Mann steht im Wasser mit seiner Poolkappe und seine Schutzbrille steht auf seiner Stirn.")</f>
        <v>Dieser Mann steht im Wasser mit seiner Poolkappe und seine Schutzbrille steht auf seiner Stirn.</v>
      </c>
    </row>
    <row r="33971">
      <c r="A33971" s="4" t="s">
        <v>42744</v>
      </c>
      <c r="B33971" s="4" t="s">
        <v>42746</v>
      </c>
      <c r="C33971" s="5" t="str">
        <f>IFERROR(__xludf.DUMMYFUNCTION("GOOGLETRANSLATE(B33971,""en"",""de"")"),"Dann zieht er die Schutzbrille an und zeigt uns ein paar Schwimmtechniken im Wasser und er geht zurück zum Reden.")</f>
        <v>Dann zieht er die Schutzbrille an und zeigt uns ein paar Schwimmtechniken im Wasser und er geht zurück zum Reden.</v>
      </c>
    </row>
    <row r="33972">
      <c r="A33972" s="4" t="s">
        <v>42747</v>
      </c>
      <c r="B33972" s="4" t="s">
        <v>42748</v>
      </c>
      <c r="C33972" s="5" t="str">
        <f>IFERROR(__xludf.DUMMYFUNCTION("GOOGLETRANSLATE(B33972,""en"",""de"")"),"Eine Frau spricht in einem Garten und trägt lose Kleidung.")</f>
        <v>Eine Frau spricht in einem Garten und trägt lose Kleidung.</v>
      </c>
    </row>
    <row r="33973">
      <c r="A33973" s="4" t="s">
        <v>42747</v>
      </c>
      <c r="B33973" s="4" t="s">
        <v>42749</v>
      </c>
      <c r="C33973" s="5" t="str">
        <f>IFERROR(__xludf.DUMMYFUNCTION("GOOGLETRANSLATE(B33973,""en"",""de"")"),"Die Frau, die auf die Matte tritt.")</f>
        <v>Die Frau, die auf die Matte tritt.</v>
      </c>
    </row>
    <row r="33974">
      <c r="A33974" s="4" t="s">
        <v>42750</v>
      </c>
      <c r="B33974" s="4" t="s">
        <v>42751</v>
      </c>
      <c r="C33974" s="5" t="str">
        <f>IFERROR(__xludf.DUMMYFUNCTION("GOOGLETRANSLATE(B33974,""en"",""de"")"),"Zwei Männer sitzen vor einer Theke in einer Küche.")</f>
        <v>Zwei Männer sitzen vor einer Theke in einer Küche.</v>
      </c>
    </row>
    <row r="33975">
      <c r="A33975" s="4" t="s">
        <v>42750</v>
      </c>
      <c r="B33975" s="4" t="s">
        <v>42752</v>
      </c>
      <c r="C33975" s="5" t="str">
        <f>IFERROR(__xludf.DUMMYFUNCTION("GOOGLETRANSLATE(B33975,""en"",""de"")"),"Männer fangen an, einen Kuchen zu mischen.")</f>
        <v>Männer fangen an, einen Kuchen zu mischen.</v>
      </c>
    </row>
    <row r="33976">
      <c r="A33976" s="4" t="s">
        <v>42750</v>
      </c>
      <c r="B33976" s="4" t="s">
        <v>42753</v>
      </c>
      <c r="C33976" s="5" t="str">
        <f>IFERROR(__xludf.DUMMYFUNCTION("GOOGLETRANSLATE(B33976,""en"",""de"")"),"Der Mensch ist in der Küche und gießt einige Zutaten in einen Kochtopf und mischt sie, während er Wasser kocht und den Topf auf das gekochte Wasser legt.")</f>
        <v>Der Mensch ist in der Küche und gießt einige Zutaten in einen Kochtopf und mischt sie, während er Wasser kocht und den Topf auf das gekochte Wasser legt.</v>
      </c>
    </row>
    <row r="33977">
      <c r="A33977" s="4" t="s">
        <v>42750</v>
      </c>
      <c r="B33977" s="4" t="s">
        <v>42754</v>
      </c>
      <c r="C33977" s="5" t="str">
        <f>IFERROR(__xludf.DUMMYFUNCTION("GOOGLETRANSLATE(B33977,""en"",""de"")"),"Der Mann fängt an, eine Küchenhilfe zu mischen und eine weiße Creme zu kreieren.")</f>
        <v>Der Mann fängt an, eine Küchenhilfe zu mischen und eine weiße Creme zu kreieren.</v>
      </c>
    </row>
    <row r="33978">
      <c r="A33978" s="4" t="s">
        <v>42755</v>
      </c>
      <c r="B33978" s="4" t="s">
        <v>42756</v>
      </c>
      <c r="C33978" s="5" t="str">
        <f>IFERROR(__xludf.DUMMYFUNCTION("GOOGLETRANSLATE(B33978,""en"",""de"")"),"Eine große Gruppe von Menschen steht am Strand und mehrere Schüsse von Autos und Menschen, die Bullen fahren.")</f>
        <v>Eine große Gruppe von Menschen steht am Strand und mehrere Schüsse von Autos und Menschen, die Bullen fahren.</v>
      </c>
    </row>
    <row r="33979">
      <c r="A33979" s="4" t="s">
        <v>42755</v>
      </c>
      <c r="B33979" s="4" t="s">
        <v>42757</v>
      </c>
      <c r="C33979" s="5" t="str">
        <f>IFERROR(__xludf.DUMMYFUNCTION("GOOGLETRANSLATE(B33979,""en"",""de"")"),"Verschiedene Leute fahren mit den Bullen und sitzen in den Autos und enden mit einem Volleyballspiel und feiern.")</f>
        <v>Verschiedene Leute fahren mit den Bullen und sitzen in den Autos und enden mit einem Volleyballspiel und feiern.</v>
      </c>
    </row>
    <row r="33980">
      <c r="A33980" s="4" t="s">
        <v>42758</v>
      </c>
      <c r="B33980" s="4" t="s">
        <v>42759</v>
      </c>
      <c r="C33980" s="5" t="str">
        <f>IFERROR(__xludf.DUMMYFUNCTION("GOOGLETRANSLATE(B33980,""en"",""de"")"),"Ein Fahrrad mit einem entleerten Reifen geht durch den Schmutz.")</f>
        <v>Ein Fahrrad mit einem entleerten Reifen geht durch den Schmutz.</v>
      </c>
    </row>
    <row r="33981">
      <c r="A33981" s="4" t="s">
        <v>42758</v>
      </c>
      <c r="B33981" s="4" t="s">
        <v>42760</v>
      </c>
      <c r="C33981" s="5" t="str">
        <f>IFERROR(__xludf.DUMMYFUNCTION("GOOGLETRANSLATE(B33981,""en"",""de"")"),"Ein Mann steigt vom Fahrrad aus, um es anzusehen.")</f>
        <v>Ein Mann steigt vom Fahrrad aus, um es anzusehen.</v>
      </c>
    </row>
    <row r="33982">
      <c r="A33982" s="4" t="s">
        <v>42758</v>
      </c>
      <c r="B33982" s="4" t="s">
        <v>42761</v>
      </c>
      <c r="C33982" s="5" t="str">
        <f>IFERROR(__xludf.DUMMYFUNCTION("GOOGLETRANSLATE(B33982,""en"",""de"")"),"Er entfernt den Reifen aus dem Fahrrad.")</f>
        <v>Er entfernt den Reifen aus dem Fahrrad.</v>
      </c>
    </row>
    <row r="33983">
      <c r="A33983" s="4" t="s">
        <v>42758</v>
      </c>
      <c r="B33983" s="4" t="s">
        <v>42762</v>
      </c>
      <c r="C33983" s="5" t="str">
        <f>IFERROR(__xludf.DUMMYFUNCTION("GOOGLETRANSLATE(B33983,""en"",""de"")"),"Er ersetzt das Rohr des Reifens und repariert das Fahrrad.")</f>
        <v>Er ersetzt das Rohr des Reifens und repariert das Fahrrad.</v>
      </c>
    </row>
    <row r="33984">
      <c r="A33984" s="4" t="s">
        <v>42763</v>
      </c>
      <c r="B33984" s="4" t="s">
        <v>42764</v>
      </c>
      <c r="C33984" s="5" t="str">
        <f>IFERROR(__xludf.DUMMYFUNCTION("GOOGLETRANSLATE(B33984,""en"",""de"")"),"Ein Mann in einem roten nassen Anzug sitzt auf einem Schwimmer, der beiläufig spricht.")</f>
        <v>Ein Mann in einem roten nassen Anzug sitzt auf einem Schwimmer, der beiläufig spricht.</v>
      </c>
    </row>
    <row r="33985">
      <c r="A33985" s="4" t="s">
        <v>42763</v>
      </c>
      <c r="B33985" s="4" t="s">
        <v>42765</v>
      </c>
      <c r="C33985" s="5" t="str">
        <f>IFERROR(__xludf.DUMMYFUNCTION("GOOGLETRANSLATE(B33985,""en"",""de"")"),"Neben Hime befinden sich viele andere Menschen auf ihren eigenen Schwimmern, die sich nur entspannen.")</f>
        <v>Neben Hime befinden sich viele andere Menschen auf ihren eigenen Schwimmern, die sich nur entspannen.</v>
      </c>
    </row>
    <row r="33986">
      <c r="A33986" s="4" t="s">
        <v>42763</v>
      </c>
      <c r="B33986" s="4" t="s">
        <v>42766</v>
      </c>
      <c r="C33986" s="5" t="str">
        <f>IFERROR(__xludf.DUMMYFUNCTION("GOOGLETRANSLATE(B33986,""en"",""de"")"),"Sie schweben durch den Fluss, der alle grünen Landschaften vorbeikommt.")</f>
        <v>Sie schweben durch den Fluss, der alle grünen Landschaften vorbeikommt.</v>
      </c>
    </row>
    <row r="33987">
      <c r="A33987" s="4" t="s">
        <v>42763</v>
      </c>
      <c r="B33987" s="4" t="s">
        <v>42767</v>
      </c>
      <c r="C33987" s="5" t="str">
        <f>IFERROR(__xludf.DUMMYFUNCTION("GOOGLETRANSLATE(B33987,""en"",""de"")"),"Der Mann im roten nassen Anzug ist führend.")</f>
        <v>Der Mann im roten nassen Anzug ist führend.</v>
      </c>
    </row>
    <row r="33988">
      <c r="A33988" s="4" t="s">
        <v>42768</v>
      </c>
      <c r="B33988" s="4" t="s">
        <v>42769</v>
      </c>
      <c r="C33988" s="5" t="str">
        <f>IFERROR(__xludf.DUMMYFUNCTION("GOOGLETRANSLATE(B33988,""en"",""de"")"),"Ein Junge surft in einer großen Welle.")</f>
        <v>Ein Junge surft in einer großen Welle.</v>
      </c>
    </row>
    <row r="33989">
      <c r="A33989" s="4" t="s">
        <v>42768</v>
      </c>
      <c r="B33989" s="4" t="s">
        <v>42770</v>
      </c>
      <c r="C33989" s="5" t="str">
        <f>IFERROR(__xludf.DUMMYFUNCTION("GOOGLETRANSLATE(B33989,""en"",""de"")"),"Eine Gruppe von Menschen läuft in einer Welle auf Surfbretter.")</f>
        <v>Eine Gruppe von Menschen läuft in einer Welle auf Surfbretter.</v>
      </c>
    </row>
    <row r="33990">
      <c r="A33990" s="4" t="s">
        <v>42768</v>
      </c>
      <c r="B33990" s="4" t="s">
        <v>42771</v>
      </c>
      <c r="C33990" s="5" t="str">
        <f>IFERROR(__xludf.DUMMYFUNCTION("GOOGLETRANSLATE(B33990,""en"",""de"")"),"Plötzlich steht ein Junge eine Brandung unter der Welle.")</f>
        <v>Plötzlich steht ein Junge eine Brandung unter der Welle.</v>
      </c>
    </row>
    <row r="33991">
      <c r="A33991" s="4" t="s">
        <v>42768</v>
      </c>
      <c r="B33991" s="4" t="s">
        <v>42772</v>
      </c>
      <c r="C33991" s="5" t="str">
        <f>IFERROR(__xludf.DUMMYFUNCTION("GOOGLETRANSLATE(B33991,""en"",""de"")"),"Männer stehen am Strand und halten Surfbretter.")</f>
        <v>Männer stehen am Strand und halten Surfbretter.</v>
      </c>
    </row>
    <row r="33992">
      <c r="A33992" s="4" t="s">
        <v>42773</v>
      </c>
      <c r="B33992" s="4" t="s">
        <v>42774</v>
      </c>
      <c r="C33992" s="5" t="str">
        <f>IFERROR(__xludf.DUMMYFUNCTION("GOOGLETRANSLATE(B33992,""en"",""de"")"),"Ein Bild von einem Brötchen einer jungen Dame wird gezeigt und dann erscheint die Dame dann.")</f>
        <v>Ein Bild von einem Brötchen einer jungen Dame wird gezeigt und dann erscheint die Dame dann.</v>
      </c>
    </row>
    <row r="33993">
      <c r="A33993" s="4" t="s">
        <v>42773</v>
      </c>
      <c r="B33993" s="4" t="s">
        <v>42775</v>
      </c>
      <c r="C33993" s="5" t="str">
        <f>IFERROR(__xludf.DUMMYFUNCTION("GOOGLETRANSLATE(B33993,""en"",""de"")"),"Sie beginnt damit, eine Seite ihres Haares zu flechten, und dreht sie dann ab und tut das Gleiche auf der anderen Seite.")</f>
        <v>Sie beginnt damit, eine Seite ihres Haares zu flechten, und dreht sie dann ab und tut das Gleiche auf der anderen Seite.</v>
      </c>
    </row>
    <row r="33994">
      <c r="A33994" s="4" t="s">
        <v>42773</v>
      </c>
      <c r="B33994" s="4" t="s">
        <v>42776</v>
      </c>
      <c r="C33994" s="5" t="str">
        <f>IFERROR(__xludf.DUMMYFUNCTION("GOOGLETRANSLATE(B33994,""en"",""de"")"),"Mit einer Wendung zieht sie es hoch und Bobby nimmt es zusammen mit der anderen Seite.")</f>
        <v>Mit einer Wendung zieht sie es hoch und Bobby nimmt es zusammen mit der anderen Seite.</v>
      </c>
    </row>
    <row r="33995">
      <c r="A33995" s="4" t="s">
        <v>42773</v>
      </c>
      <c r="B33995" s="4" t="s">
        <v>42777</v>
      </c>
      <c r="C33995" s="5" t="str">
        <f>IFERROR(__xludf.DUMMYFUNCTION("GOOGLETRANSLATE(B33995,""en"",""de"")"),"Die Frisur ist dann abgeschlossen und sie werden erneut von dem Finish -Produkt angezeigt.")</f>
        <v>Die Frisur ist dann abgeschlossen und sie werden erneut von dem Finish -Produkt angezeigt.</v>
      </c>
    </row>
    <row r="33996">
      <c r="A33996" s="4" t="s">
        <v>42778</v>
      </c>
      <c r="B33996" s="4" t="s">
        <v>42779</v>
      </c>
      <c r="C33996" s="5" t="str">
        <f>IFERROR(__xludf.DUMMYFUNCTION("GOOGLETRANSLATE(B33996,""en"",""de"")"),"Ein Frauen links Bein und Fuß ist in einer Badewanne, als die Dame ihr Bein rasiert.")</f>
        <v>Ein Frauen links Bein und Fuß ist in einer Badewanne, als die Dame ihr Bein rasiert.</v>
      </c>
    </row>
    <row r="33997">
      <c r="A33997" s="4" t="s">
        <v>42778</v>
      </c>
      <c r="B33997" s="4" t="s">
        <v>42780</v>
      </c>
      <c r="C33997" s="5" t="str">
        <f>IFERROR(__xludf.DUMMYFUNCTION("GOOGLETRANSLATE(B33997,""en"",""de"")"),"Sobald sie mit der Vorderseite fertig ist, dreht sie ihre Beine nach links und rechts um und rasiert die Seiten in einer Aufwärtsbewegung.")</f>
        <v>Sobald sie mit der Vorderseite fertig ist, dreht sie ihre Beine nach links und rechts um und rasiert die Seiten in einer Aufwärtsbewegung.</v>
      </c>
    </row>
    <row r="33998">
      <c r="A33998" s="4" t="s">
        <v>42781</v>
      </c>
      <c r="B33998" s="4" t="s">
        <v>42782</v>
      </c>
      <c r="C33998" s="5" t="str">
        <f>IFERROR(__xludf.DUMMYFUNCTION("GOOGLETRANSLATE(B33998,""en"",""de"")"),"Eine große Gruppe von Männern in Uniform wird versammelt, um etwas Paintball zu spielen.")</f>
        <v>Eine große Gruppe von Männern in Uniform wird versammelt, um etwas Paintball zu spielen.</v>
      </c>
    </row>
    <row r="33999">
      <c r="A33999" s="4" t="s">
        <v>42781</v>
      </c>
      <c r="B33999" s="4" t="s">
        <v>42783</v>
      </c>
      <c r="C33999" s="5" t="str">
        <f>IFERROR(__xludf.DUMMYFUNCTION("GOOGLETRANSLATE(B33999,""en"",""de"")"),"Sie rennen weg und alle schleichen sich herum, um andere Leute zu fangen und zu erschießen, ohne erwischt zu werden.")</f>
        <v>Sie rennen weg und alle schleichen sich herum, um andere Leute zu fangen und zu erschießen, ohne erwischt zu werden.</v>
      </c>
    </row>
    <row r="34000">
      <c r="A34000" s="4" t="s">
        <v>42781</v>
      </c>
      <c r="B34000" s="4" t="s">
        <v>42784</v>
      </c>
      <c r="C34000" s="5" t="str">
        <f>IFERROR(__xludf.DUMMYFUNCTION("GOOGLETRANSLATE(B34000,""en"",""de"")"),"Das Feld, auf dem sie spielen, ist ziemlich cool, es hat viele verschiedene Versteckplätze.")</f>
        <v>Das Feld, auf dem sie spielen, ist ziemlich cool, es hat viele verschiedene Versteckplätze.</v>
      </c>
    </row>
    <row r="34001">
      <c r="A34001" s="4" t="s">
        <v>42781</v>
      </c>
      <c r="B34001" s="4" t="s">
        <v>42785</v>
      </c>
      <c r="C34001" s="5" t="str">
        <f>IFERROR(__xludf.DUMMYFUNCTION("GOOGLETRANSLATE(B34001,""en"",""de"")"),"Am Ende nehmen sie alle den größten Teil ihrer Kopfausrüstung und gehen wieder zusammen.")</f>
        <v>Am Ende nehmen sie alle den größten Teil ihrer Kopfausrüstung und gehen wieder zusammen.</v>
      </c>
    </row>
    <row r="34002">
      <c r="A34002" s="4" t="s">
        <v>42786</v>
      </c>
      <c r="B34002" s="4" t="s">
        <v>42787</v>
      </c>
      <c r="C34002" s="5" t="str">
        <f>IFERROR(__xludf.DUMMYFUNCTION("GOOGLETRANSLATE(B34002,""en"",""de"")"),"Ein Mann malt einen Schlauch vor einem Zaun in einem Garten.")</f>
        <v>Ein Mann malt einen Schlauch vor einem Zaun in einem Garten.</v>
      </c>
    </row>
    <row r="34003">
      <c r="A34003" s="4" t="s">
        <v>42786</v>
      </c>
      <c r="B34003" s="4" t="s">
        <v>42788</v>
      </c>
      <c r="C34003" s="5" t="str">
        <f>IFERROR(__xludf.DUMMYFUNCTION("GOOGLETRANSLATE(B34003,""en"",""de"")"),"Der Mann malt den Zaun von oben nach unten.")</f>
        <v>Der Mann malt den Zaun von oben nach unten.</v>
      </c>
    </row>
    <row r="34004">
      <c r="A34004" s="4" t="s">
        <v>42789</v>
      </c>
      <c r="B34004" s="4" t="s">
        <v>42790</v>
      </c>
      <c r="C34004" s="5" t="str">
        <f>IFERROR(__xludf.DUMMYFUNCTION("GOOGLETRANSLATE(B34004,""en"",""de"")"),"Es gibt eine Frau in einem funkelnden goldenen Kleid, das eine Magnum -Schokoladen -Trüffel -Eisbalken isst.")</f>
        <v>Es gibt eine Frau in einem funkelnden goldenen Kleid, das eine Magnum -Schokoladen -Trüffel -Eisbalken isst.</v>
      </c>
    </row>
    <row r="34005">
      <c r="A34005" s="4" t="s">
        <v>42789</v>
      </c>
      <c r="B34005" s="4" t="s">
        <v>42791</v>
      </c>
      <c r="C34005" s="5" t="str">
        <f>IFERROR(__xludf.DUMMYFUNCTION("GOOGLETRANSLATE(B34005,""en"",""de"")"),"Sie spricht über ihr Lieblingsgeschmack, der Schokolade ist.")</f>
        <v>Sie spricht über ihr Lieblingsgeschmack, der Schokolade ist.</v>
      </c>
    </row>
    <row r="34006">
      <c r="A34006" s="4" t="s">
        <v>42789</v>
      </c>
      <c r="B34006" s="4" t="s">
        <v>42792</v>
      </c>
      <c r="C34006" s="5" t="str">
        <f>IFERROR(__xludf.DUMMYFUNCTION("GOOGLETRANSLATE(B34006,""en"",""de"")"),"Sie nimmt die Eisbar ab, als sie den reichhaltigen Geschmack spart.")</f>
        <v>Sie nimmt die Eisbar ab, als sie den reichhaltigen Geschmack spart.</v>
      </c>
    </row>
    <row r="34007">
      <c r="A34007" s="4" t="s">
        <v>42789</v>
      </c>
      <c r="B34007" s="4" t="s">
        <v>42793</v>
      </c>
      <c r="C34007" s="5" t="str">
        <f>IFERROR(__xludf.DUMMYFUNCTION("GOOGLETRANSLATE(B34007,""en"",""de"")"),"Sie beantwortet Fragen, um als Schauspieler Ausfallzeiten zu haben und ihre Lieblingseisbar zu genießen.")</f>
        <v>Sie beantwortet Fragen, um als Schauspieler Ausfallzeiten zu haben und ihre Lieblingseisbar zu genießen.</v>
      </c>
    </row>
    <row r="34008">
      <c r="A34008" s="4" t="s">
        <v>42789</v>
      </c>
      <c r="B34008" s="4" t="s">
        <v>42794</v>
      </c>
      <c r="C34008" s="5" t="str">
        <f>IFERROR(__xludf.DUMMYFUNCTION("GOOGLETRANSLATE(B34008,""en"",""de"")"),"Das Video endet mit einer dekadenten Schokoladeneisbar, die mit reicher Schokolade beträufelt wird.")</f>
        <v>Das Video endet mit einer dekadenten Schokoladeneisbar, die mit reicher Schokolade beträufelt wird.</v>
      </c>
    </row>
    <row r="34009">
      <c r="A34009" s="4" t="s">
        <v>42795</v>
      </c>
      <c r="B34009" s="4" t="s">
        <v>42796</v>
      </c>
      <c r="C34009" s="5" t="str">
        <f>IFERROR(__xludf.DUMMYFUNCTION("GOOGLETRANSLATE(B34009,""en"",""de"")"),"Ein älterer Mann lacht in die Kamera und spielt ein großes Set Bongo -Schlagzeug.")</f>
        <v>Ein älterer Mann lacht in die Kamera und spielt ein großes Set Bongo -Schlagzeug.</v>
      </c>
    </row>
    <row r="34010">
      <c r="A34010" s="4" t="s">
        <v>42795</v>
      </c>
      <c r="B34010" s="4" t="s">
        <v>42797</v>
      </c>
      <c r="C34010" s="5" t="str">
        <f>IFERROR(__xludf.DUMMYFUNCTION("GOOGLETRANSLATE(B34010,""en"",""de"")"),"Er spielt weiterhin schneller und schneller mit und endet, indem er ein letztes Mal die Trommel schlägt.")</f>
        <v>Er spielt weiterhin schneller und schneller mit und endet, indem er ein letztes Mal die Trommel schlägt.</v>
      </c>
    </row>
    <row r="34011">
      <c r="A34011" s="4" t="s">
        <v>42798</v>
      </c>
      <c r="B34011" s="4" t="s">
        <v>42799</v>
      </c>
      <c r="C34011" s="5" t="str">
        <f>IFERROR(__xludf.DUMMYFUNCTION("GOOGLETRANSLATE(B34011,""en"",""de"")"),"Eine Person wird in der Nähe des Rückens eines Fahrrads in die Ferne fährt.")</f>
        <v>Eine Person wird in der Nähe des Rückens eines Fahrrads in die Ferne fährt.</v>
      </c>
    </row>
    <row r="34012">
      <c r="A34012" s="4" t="s">
        <v>42798</v>
      </c>
      <c r="B34012" s="4" t="s">
        <v>42800</v>
      </c>
      <c r="C34012" s="5" t="str">
        <f>IFERROR(__xludf.DUMMYFUNCTION("GOOGLETRANSLATE(B34012,""en"",""de"")"),"Es werden mehrere Schüsse gezeigt, wie Menschen in Autos herumfuhren, die Farbbälle aufeinander schießen.")</f>
        <v>Es werden mehrere Schüsse gezeigt, wie Menschen in Autos herumfuhren, die Farbbälle aufeinander schießen.</v>
      </c>
    </row>
    <row r="34013">
      <c r="A34013" s="4" t="s">
        <v>42798</v>
      </c>
      <c r="B34013" s="4" t="s">
        <v>42801</v>
      </c>
      <c r="C34013" s="5" t="str">
        <f>IFERROR(__xludf.DUMMYFUNCTION("GOOGLETRANSLATE(B34013,""en"",""de"")"),"Die Menschen reiten weiter mit Maschinen herum und springen über Hindernisse.")</f>
        <v>Die Menschen reiten weiter mit Maschinen herum und springen über Hindernisse.</v>
      </c>
    </row>
    <row r="34014">
      <c r="A34014" s="4" t="s">
        <v>42802</v>
      </c>
      <c r="B34014" s="4" t="s">
        <v>42803</v>
      </c>
      <c r="C34014" s="5" t="str">
        <f>IFERROR(__xludf.DUMMYFUNCTION("GOOGLETRANSLATE(B34014,""en"",""de"")"),"Eine Kamera schwenkt um das Innere eines Autos, das aussieht, wie andere Autos herumfahren.")</f>
        <v>Eine Kamera schwenkt um das Innere eines Autos, das aussieht, wie andere Autos herumfahren.</v>
      </c>
    </row>
    <row r="34015">
      <c r="A34015" s="4" t="s">
        <v>42802</v>
      </c>
      <c r="B34015" s="4" t="s">
        <v>42804</v>
      </c>
      <c r="C34015" s="5" t="str">
        <f>IFERROR(__xludf.DUMMYFUNCTION("GOOGLETRANSLATE(B34015,""en"",""de"")"),"Das Auto beginnt sich zu bewegen, während sie sich im sandigen Bereich umsieht und Menschen im Auto zeigt.")</f>
        <v>Das Auto beginnt sich zu bewegen, während sie sich im sandigen Bereich umsieht und Menschen im Auto zeigt.</v>
      </c>
    </row>
    <row r="34016">
      <c r="A34016" s="4" t="s">
        <v>42802</v>
      </c>
      <c r="B34016" s="4" t="s">
        <v>42805</v>
      </c>
      <c r="C34016" s="5" t="str">
        <f>IFERROR(__xludf.DUMMYFUNCTION("GOOGLETRANSLATE(B34016,""en"",""de"")"),"Die Kamera führt zu Schüssen von Menschen, die auf Kamele herumfahren und zu Schüssen von Menschen führt, die auf den Kamele reiten.")</f>
        <v>Die Kamera führt zu Schüssen von Menschen, die auf Kamele herumfahren und zu Schüssen von Menschen führt, die auf den Kamele reiten.</v>
      </c>
    </row>
    <row r="34017">
      <c r="A34017" s="4" t="s">
        <v>42806</v>
      </c>
      <c r="B34017" s="4" t="s">
        <v>42807</v>
      </c>
      <c r="C34017" s="5" t="str">
        <f>IFERROR(__xludf.DUMMYFUNCTION("GOOGLETRANSLATE(B34017,""en"",""de"")"),"Eine Person Skateboard bis zur Rampe, eine Frau wird auf dem Bildschirm des Telefons und dann ein Mann angezeigt.")</f>
        <v>Eine Person Skateboard bis zur Rampe, eine Frau wird auf dem Bildschirm des Telefons und dann ein Mann angezeigt.</v>
      </c>
    </row>
    <row r="34018">
      <c r="A34018" s="4" t="s">
        <v>42806</v>
      </c>
      <c r="B34018" s="4" t="s">
        <v>42808</v>
      </c>
      <c r="C34018" s="5" t="str">
        <f>IFERROR(__xludf.DUMMYFUNCTION("GOOGLETRANSLATE(B34018,""en"",""de"")"),"Ein Boy Rollerskate über die weißen Geländer hinunter, als zwei andere Männer auf ihn zuging, um ihm High Five zu geben.")</f>
        <v>Ein Boy Rollerskate über die weißen Geländer hinunter, als zwei andere Männer auf ihn zuging, um ihm High Five zu geben.</v>
      </c>
    </row>
    <row r="34019">
      <c r="A34019" s="4" t="s">
        <v>42806</v>
      </c>
      <c r="B34019" s="4" t="s">
        <v>42809</v>
      </c>
      <c r="C34019" s="5" t="str">
        <f>IFERROR(__xludf.DUMMYFUNCTION("GOOGLETRANSLATE(B34019,""en"",""de"")"),"Ein junger Mann in Blue Top Roller Blades im Geländer und gibt seinen Kollegen hohe Fünfer.")</f>
        <v>Ein junger Mann in Blue Top Roller Blades im Geländer und gibt seinen Kollegen hohe Fünfer.</v>
      </c>
    </row>
    <row r="34020">
      <c r="A34020" s="4" t="s">
        <v>42810</v>
      </c>
      <c r="B34020" s="4" t="s">
        <v>42811</v>
      </c>
      <c r="C34020" s="5" t="str">
        <f>IFERROR(__xludf.DUMMYFUNCTION("GOOGLETRANSLATE(B34020,""en"",""de"")"),"Eine kleine Gruppe von Menschen steht am Tisch, der sich gegenseitig spricht und lacht.")</f>
        <v>Eine kleine Gruppe von Menschen steht am Tisch, der sich gegenseitig spricht und lacht.</v>
      </c>
    </row>
    <row r="34021">
      <c r="A34021" s="4" t="s">
        <v>42810</v>
      </c>
      <c r="B34021" s="4" t="s">
        <v>42812</v>
      </c>
      <c r="C34021" s="5" t="str">
        <f>IFERROR(__xludf.DUMMYFUNCTION("GOOGLETRANSLATE(B34021,""en"",""de"")"),"Zwei Männer trinken dann aus Eiscontainern und führen zu mehr Menschen, die aus den Behältern trinken.")</f>
        <v>Zwei Männer trinken dann aus Eiscontainern und führen zu mehr Menschen, die aus den Behältern trinken.</v>
      </c>
    </row>
    <row r="34022">
      <c r="A34022" s="4" t="s">
        <v>42810</v>
      </c>
      <c r="B34022" s="4" t="s">
        <v>42813</v>
      </c>
      <c r="C34022" s="5" t="str">
        <f>IFERROR(__xludf.DUMMYFUNCTION("GOOGLETRANSLATE(B34022,""en"",""de"")"),"Ein Team endet vor dem anderen und alle feiern.")</f>
        <v>Ein Team endet vor dem anderen und alle feiern.</v>
      </c>
    </row>
    <row r="34023">
      <c r="A34023" s="4" t="s">
        <v>42814</v>
      </c>
      <c r="B34023" s="4" t="s">
        <v>42815</v>
      </c>
      <c r="C34023" s="5" t="str">
        <f>IFERROR(__xludf.DUMMYFUNCTION("GOOGLETRANSLATE(B34023,""en"",""de"")"),"Es gibt viele Frauen in einem Fitnessstudio, die Boxhandschuhe tragen und sportliche Ausrüstung auf hängende Taschen schlagen.")</f>
        <v>Es gibt viele Frauen in einem Fitnessstudio, die Boxhandschuhe tragen und sportliche Ausrüstung auf hängende Taschen schlagen.</v>
      </c>
    </row>
    <row r="34024">
      <c r="A34024" s="4" t="s">
        <v>42814</v>
      </c>
      <c r="B34024" s="4" t="s">
        <v>42816</v>
      </c>
      <c r="C34024" s="5" t="str">
        <f>IFERROR(__xludf.DUMMYFUNCTION("GOOGLETRANSLATE(B34024,""en"",""de"")"),"Die Kamera schwenkt, um eine Wand und die Wörter ""iLovekickboxing dot com"" zu zeigen, zusammen mit einem Logo, das ein Herz mit Flügeln und Boxhandschuhen enthält, die vom Boden des rechten Flügels hängen.")</f>
        <v>Die Kamera schwenkt, um eine Wand und die Wörter "iLovekickboxing dot com" zu zeigen, zusammen mit einem Logo, das ein Herz mit Flügeln und Boxhandschuhen enthält, die vom Boden des rechten Flügels hängen.</v>
      </c>
    </row>
    <row r="34025">
      <c r="A34025" s="4" t="s">
        <v>42814</v>
      </c>
      <c r="B34025" s="4" t="s">
        <v>42817</v>
      </c>
      <c r="C34025" s="5" t="str">
        <f>IFERROR(__xludf.DUMMYFUNCTION("GOOGLETRANSLATE(B34025,""en"",""de"")"),"Der Raum schwenkt zurück in den Rest des Raumes und zeigt weiterhin viele Frauen, die immer noch die hängenden Boxsäcke schlagen.")</f>
        <v>Der Raum schwenkt zurück in den Rest des Raumes und zeigt weiterhin viele Frauen, die immer noch die hängenden Boxsäcke schlagen.</v>
      </c>
    </row>
    <row r="34026">
      <c r="A34026" s="4" t="s">
        <v>42818</v>
      </c>
      <c r="B34026" s="4" t="s">
        <v>42819</v>
      </c>
      <c r="C34026" s="5" t="str">
        <f>IFERROR(__xludf.DUMMYFUNCTION("GOOGLETRANSLATE(B34026,""en"",""de"")"),"Kinder schwingt einen Besengriff in einem Pinata in einem Garten.")</f>
        <v>Kinder schwingt einen Besengriff in einem Pinata in einem Garten.</v>
      </c>
    </row>
    <row r="34027">
      <c r="A34027" s="4" t="s">
        <v>42818</v>
      </c>
      <c r="B34027" s="4" t="s">
        <v>42820</v>
      </c>
      <c r="C34027" s="5" t="str">
        <f>IFERROR(__xludf.DUMMYFUNCTION("GOOGLETRANSLATE(B34027,""en"",""de"")"),"Der Junge bricht die Pinata offen und Süßigkeiten verschütten auf dem Boden.")</f>
        <v>Der Junge bricht die Pinata offen und Süßigkeiten verschütten auf dem Boden.</v>
      </c>
    </row>
    <row r="34028">
      <c r="A34028" s="4" t="s">
        <v>42818</v>
      </c>
      <c r="B34028" s="4" t="s">
        <v>42821</v>
      </c>
      <c r="C34028" s="5" t="str">
        <f>IFERROR(__xludf.DUMMYFUNCTION("GOOGLETRANSLATE(B34028,""en"",""de"")"),"Eine Frau rennt auf und passt die Pinata an.")</f>
        <v>Eine Frau rennt auf und passt die Pinata an.</v>
      </c>
    </row>
    <row r="34029">
      <c r="A34029" s="4" t="s">
        <v>42818</v>
      </c>
      <c r="B34029" s="4" t="s">
        <v>42822</v>
      </c>
      <c r="C34029" s="5" t="str">
        <f>IFERROR(__xludf.DUMMYFUNCTION("GOOGLETRANSLATE(B34029,""en"",""de"")"),"Eine Frau rennt auf, um den Besenstock zu bekommen, weicht aber aus, um nicht vom Kind verbunden zu werden.")</f>
        <v>Eine Frau rennt auf, um den Besenstock zu bekommen, weicht aber aus, um nicht vom Kind verbunden zu werden.</v>
      </c>
    </row>
    <row r="34030">
      <c r="A34030" s="4" t="s">
        <v>42818</v>
      </c>
      <c r="B34030" s="4" t="s">
        <v>42823</v>
      </c>
      <c r="C34030" s="5" t="str">
        <f>IFERROR(__xludf.DUMMYFUNCTION("GOOGLETRANSLATE(B34030,""en"",""de"")"),"Die Frau führt den Jungen auf, der mit verbundenen Augen zum Baum verbunden ist.")</f>
        <v>Die Frau führt den Jungen auf, der mit verbundenen Augen zum Baum verbunden ist.</v>
      </c>
    </row>
    <row r="34031">
      <c r="A34031" s="4" t="s">
        <v>42824</v>
      </c>
      <c r="B34031" s="4" t="s">
        <v>42825</v>
      </c>
      <c r="C34031" s="5" t="str">
        <f>IFERROR(__xludf.DUMMYFUNCTION("GOOGLETRANSLATE(B34031,""en"",""de"")"),"Eine Frau steht hinter einer anderen Frau, die auf einem Stuhl sitzt, und beginnt ihre Haare zu stylen.")</f>
        <v>Eine Frau steht hinter einer anderen Frau, die auf einem Stuhl sitzt, und beginnt ihre Haare zu stylen.</v>
      </c>
    </row>
    <row r="34032">
      <c r="A34032" s="4" t="s">
        <v>42824</v>
      </c>
      <c r="B34032" s="4" t="s">
        <v>42826</v>
      </c>
      <c r="C34032" s="5" t="str">
        <f>IFERROR(__xludf.DUMMYFUNCTION("GOOGLETRANSLATE(B34032,""en"",""de"")"),"Die Frau bürstet und trifft ihre Haarwerbung, die Haare flechten und an mehreren Orten festhalten.")</f>
        <v>Die Frau bürstet und trifft ihre Haarwerbung, die Haare flechten und an mehreren Orten festhalten.</v>
      </c>
    </row>
    <row r="34033">
      <c r="A34033" s="4" t="s">
        <v>42824</v>
      </c>
      <c r="B34033" s="4" t="s">
        <v>42827</v>
      </c>
      <c r="C34033" s="5" t="str">
        <f>IFERROR(__xludf.DUMMYFUNCTION("GOOGLETRANSLATE(B34033,""en"",""de"")"),"Die Frau zeigt, dass ihre fertigen Haare beim Schauen und Lächeln zur Kamera schauen.")</f>
        <v>Die Frau zeigt, dass ihre fertigen Haare beim Schauen und Lächeln zur Kamera schauen.</v>
      </c>
    </row>
    <row r="34034">
      <c r="A34034" s="4" t="s">
        <v>42828</v>
      </c>
      <c r="B34034" s="4" t="s">
        <v>42829</v>
      </c>
      <c r="C34034" s="5" t="str">
        <f>IFERROR(__xludf.DUMMYFUNCTION("GOOGLETRANSLATE(B34034,""en"",""de"")"),"Ein junges Mädchen ist in einem Park und greift und hängt an Dreiecken, die hängen und sich auf den Weg und über 7 Dreiecke machen.")</f>
        <v>Ein junges Mädchen ist in einem Park und greift und hängt an Dreiecken, die hängen und sich auf den Weg und über 7 Dreiecke machen.</v>
      </c>
    </row>
    <row r="34035">
      <c r="A34035" s="4" t="s">
        <v>42828</v>
      </c>
      <c r="B34035" s="4" t="s">
        <v>42830</v>
      </c>
      <c r="C34035" s="5" t="str">
        <f>IFERROR(__xludf.DUMMYFUNCTION("GOOGLETRANSLATE(B34035,""en"",""de"")"),"Sobald sie das Ende erreicht, geht sie zurück 3 Dreiecke, ohne sich umzudrehen, und dreht sich dann am 4. Dreieck um und geht wieder dorthin, wo sie angefangen hat.")</f>
        <v>Sobald sie das Ende erreicht, geht sie zurück 3 Dreiecke, ohne sich umzudrehen, und dreht sich dann am 4. Dreieck um und geht wieder dorthin, wo sie angefangen hat.</v>
      </c>
    </row>
    <row r="34036">
      <c r="A34036" s="4" t="s">
        <v>42828</v>
      </c>
      <c r="B34036" s="4" t="s">
        <v>42831</v>
      </c>
      <c r="C34036" s="5" t="str">
        <f>IFERROR(__xludf.DUMMYFUNCTION("GOOGLETRANSLATE(B34036,""en"",""de"")"),"Das junge Mädchen springt auf die Plattform, lächelt und Wellen.")</f>
        <v>Das junge Mädchen springt auf die Plattform, lächelt und Wellen.</v>
      </c>
    </row>
    <row r="34037">
      <c r="A34037" s="4" t="s">
        <v>42832</v>
      </c>
      <c r="B34037" s="4" t="s">
        <v>42833</v>
      </c>
      <c r="C34037" s="5" t="str">
        <f>IFERROR(__xludf.DUMMYFUNCTION("GOOGLETRANSLATE(B34037,""en"",""de"")"),"Ein Mädchen mit zwei Zöpfen, die über ihren Rücken gehen, steht draußen.")</f>
        <v>Ein Mädchen mit zwei Zöpfen, die über ihren Rücken gehen, steht draußen.</v>
      </c>
    </row>
    <row r="34038">
      <c r="A34038" s="4" t="s">
        <v>42832</v>
      </c>
      <c r="B34038" s="4" t="s">
        <v>42834</v>
      </c>
      <c r="C34038" s="5" t="str">
        <f>IFERROR(__xludf.DUMMYFUNCTION("GOOGLETRANSLATE(B34038,""en"",""de"")"),"Sie dreht sich in Richtung Kamera und ihr Haar ist jetzt unten.")</f>
        <v>Sie dreht sich in Richtung Kamera und ihr Haar ist jetzt unten.</v>
      </c>
    </row>
    <row r="34039">
      <c r="A34039" s="4" t="s">
        <v>42832</v>
      </c>
      <c r="B34039" s="4" t="s">
        <v>42835</v>
      </c>
      <c r="C34039" s="5" t="str">
        <f>IFERROR(__xludf.DUMMYFUNCTION("GOOGLETRANSLATE(B34039,""en"",""de"")"),"Sie liegt in einem Stylistenstuhl und zeigt, wie der Stil gemacht wurde.")</f>
        <v>Sie liegt in einem Stylistenstuhl und zeigt, wie der Stil gemacht wurde.</v>
      </c>
    </row>
    <row r="34040">
      <c r="A34040" s="4" t="s">
        <v>42836</v>
      </c>
      <c r="B34040" s="4" t="s">
        <v>42837</v>
      </c>
      <c r="C34040" s="5" t="str">
        <f>IFERROR(__xludf.DUMMYFUNCTION("GOOGLETRANSLATE(B34040,""en"",""de"")"),"Diese Frau zeigt den Zuschauern, wie sie einen Käsekuchenschuss macht.")</f>
        <v>Diese Frau zeigt den Zuschauern, wie sie einen Käsekuchenschuss macht.</v>
      </c>
    </row>
    <row r="34041">
      <c r="A34041" s="4" t="s">
        <v>42836</v>
      </c>
      <c r="B34041" s="4" t="s">
        <v>42838</v>
      </c>
      <c r="C34041" s="5" t="str">
        <f>IFERROR(__xludf.DUMMYFUNCTION("GOOGLETRANSLATE(B34041,""en"",""de"")"),"Zuerst setzt sie 3 Viertel einer Unze Baileys und der gleichen Menge Ananasaft.")</f>
        <v>Zuerst setzt sie 3 Viertel einer Unze Baileys und der gleichen Menge Ananasaft.</v>
      </c>
    </row>
    <row r="34042">
      <c r="A34042" s="4" t="s">
        <v>42836</v>
      </c>
      <c r="B34042" s="4" t="s">
        <v>42839</v>
      </c>
      <c r="C34042" s="5" t="str">
        <f>IFERROR(__xludf.DUMMYFUNCTION("GOOGLETRANSLATE(B34042,""en"",""de"")"),"Dann legt sie eine Viertelunze einer anderen Flüssigkeit und bekommt ein 2 -Unzen -Schnapsglas und belastet das Getränk aus dem Eis im Shaker, um es in das Glas zu legen.")</f>
        <v>Dann legt sie eine Viertelunze einer anderen Flüssigkeit und bekommt ein 2 -Unzen -Schnapsglas und belastet das Getränk aus dem Eis im Shaker, um es in das Glas zu legen.</v>
      </c>
    </row>
    <row r="34043">
      <c r="A34043" s="4" t="s">
        <v>42840</v>
      </c>
      <c r="B34043" s="4" t="s">
        <v>42841</v>
      </c>
      <c r="C34043" s="5" t="str">
        <f>IFERROR(__xludf.DUMMYFUNCTION("GOOGLETRANSLATE(B34043,""en"",""de"")"),"Zwei Männer werden in einem Aufnahmestudio gezeigt, das Instrumente spielt.")</f>
        <v>Zwei Männer werden in einem Aufnahmestudio gezeigt, das Instrumente spielt.</v>
      </c>
    </row>
    <row r="34044">
      <c r="A34044" s="4" t="s">
        <v>42840</v>
      </c>
      <c r="B34044" s="4" t="s">
        <v>42842</v>
      </c>
      <c r="C34044" s="5" t="str">
        <f>IFERROR(__xludf.DUMMYFUNCTION("GOOGLETRANSLATE(B34044,""en"",""de"")"),"Einer spielt Gitarre, während der andere die Flöte zusammen spielt.")</f>
        <v>Einer spielt Gitarre, während der andere die Flöte zusammen spielt.</v>
      </c>
    </row>
    <row r="34045">
      <c r="A34045" s="4" t="s">
        <v>42840</v>
      </c>
      <c r="B34045" s="4" t="s">
        <v>42843</v>
      </c>
      <c r="C34045" s="5" t="str">
        <f>IFERROR(__xludf.DUMMYFUNCTION("GOOGLETRANSLATE(B34045,""en"",""de"")"),"Sie beenden ihren Song und einer gibt der Kamera eine Handgeste, während der andere lächelt.")</f>
        <v>Sie beenden ihren Song und einer gibt der Kamera eine Handgeste, während der andere lächelt.</v>
      </c>
    </row>
    <row r="34046">
      <c r="A34046" s="4" t="s">
        <v>42844</v>
      </c>
      <c r="B34046" s="4" t="s">
        <v>42845</v>
      </c>
      <c r="C34046" s="5" t="str">
        <f>IFERROR(__xludf.DUMMYFUNCTION("GOOGLETRANSLATE(B34046,""en"",""de"")"),"Ein Mann hält einen Rubiks -Würfel.")</f>
        <v>Ein Mann hält einen Rubiks -Würfel.</v>
      </c>
    </row>
    <row r="34047">
      <c r="A34047" s="4" t="s">
        <v>42844</v>
      </c>
      <c r="B34047" s="4" t="s">
        <v>42846</v>
      </c>
      <c r="C34047" s="5" t="str">
        <f>IFERROR(__xludf.DUMMYFUNCTION("GOOGLETRANSLATE(B34047,""en"",""de"")"),"Dann fängt er an, es zu drehen.")</f>
        <v>Dann fängt er an, es zu drehen.</v>
      </c>
    </row>
    <row r="34048">
      <c r="A34048" s="4" t="s">
        <v>42844</v>
      </c>
      <c r="B34048" s="4" t="s">
        <v>42847</v>
      </c>
      <c r="C34048" s="5" t="str">
        <f>IFERROR(__xludf.DUMMYFUNCTION("GOOGLETRANSLATE(B34048,""en"",""de"")"),"Er bleibt stehen und schaut es hinüber.")</f>
        <v>Er bleibt stehen und schaut es hinüber.</v>
      </c>
    </row>
    <row r="34049">
      <c r="A34049" s="4" t="s">
        <v>42844</v>
      </c>
      <c r="B34049" s="4" t="s">
        <v>42848</v>
      </c>
      <c r="C34049" s="5" t="str">
        <f>IFERROR(__xludf.DUMMYFUNCTION("GOOGLETRANSLATE(B34049,""en"",""de"")"),"Schließlich löst er es und zeigt seine Zeit.")</f>
        <v>Schließlich löst er es und zeigt seine Zeit.</v>
      </c>
    </row>
    <row r="34050">
      <c r="A34050" s="4" t="s">
        <v>42849</v>
      </c>
      <c r="B34050" s="4" t="s">
        <v>42850</v>
      </c>
      <c r="C34050" s="5" t="str">
        <f>IFERROR(__xludf.DUMMYFUNCTION("GOOGLETRANSLATE(B34050,""en"",""de"")"),"Ein Junge taucht auf dem Bildschirm auf und bekommt eine Tasse Wasser und gurgelt es.")</f>
        <v>Ein Junge taucht auf dem Bildschirm auf und bekommt eine Tasse Wasser und gurgelt es.</v>
      </c>
    </row>
    <row r="34051">
      <c r="A34051" s="4" t="s">
        <v>42849</v>
      </c>
      <c r="B34051" s="4" t="s">
        <v>42851</v>
      </c>
      <c r="C34051" s="5" t="str">
        <f>IFERROR(__xludf.DUMMYFUNCTION("GOOGLETRANSLATE(B34051,""en"",""de"")"),"Er lächelt und geht für einen Moment vom Bildschirm.")</f>
        <v>Er lächelt und geht für einen Moment vom Bildschirm.</v>
      </c>
    </row>
    <row r="34052">
      <c r="A34052" s="4" t="s">
        <v>42849</v>
      </c>
      <c r="B34052" s="4" t="s">
        <v>42852</v>
      </c>
      <c r="C34052" s="5" t="str">
        <f>IFERROR(__xludf.DUMMYFUNCTION("GOOGLETRANSLATE(B34052,""en"",""de"")"),"Er kehrt zurück und macht weiter und lacht.")</f>
        <v>Er kehrt zurück und macht weiter und lacht.</v>
      </c>
    </row>
    <row r="34053">
      <c r="A34053" s="4" t="s">
        <v>42849</v>
      </c>
      <c r="B34053" s="4" t="s">
        <v>42853</v>
      </c>
      <c r="C34053" s="5" t="str">
        <f>IFERROR(__xludf.DUMMYFUNCTION("GOOGLETRANSLATE(B34053,""en"",""de"")"),"Ein Mann kommt auf den Bildschirm und lädt die Leute ein, seine Videos zu abonnieren.")</f>
        <v>Ein Mann kommt auf den Bildschirm und lädt die Leute ein, seine Videos zu abonnieren.</v>
      </c>
    </row>
    <row r="34054">
      <c r="A34054" s="4" t="s">
        <v>42854</v>
      </c>
      <c r="B34054" s="4" t="s">
        <v>42855</v>
      </c>
      <c r="C34054" s="5" t="str">
        <f>IFERROR(__xludf.DUMMYFUNCTION("GOOGLETRANSLATE(B34054,""en"",""de"")"),"Frau spricht mit der Kamera.")</f>
        <v>Frau spricht mit der Kamera.</v>
      </c>
    </row>
    <row r="34055">
      <c r="A34055" s="4" t="s">
        <v>42854</v>
      </c>
      <c r="B34055" s="4" t="s">
        <v>42856</v>
      </c>
      <c r="C34055" s="5" t="str">
        <f>IFERROR(__xludf.DUMMYFUNCTION("GOOGLETRANSLATE(B34055,""en"",""de"")"),"Kinder rennen in der Bühne und springen über das Seil.")</f>
        <v>Kinder rennen in der Bühne und springen über das Seil.</v>
      </c>
    </row>
    <row r="34056">
      <c r="A34056" s="4" t="s">
        <v>42854</v>
      </c>
      <c r="B34056" s="4" t="s">
        <v>42857</v>
      </c>
      <c r="C34056" s="5" t="str">
        <f>IFERROR(__xludf.DUMMYFUNCTION("GOOGLETRANSLATE(B34056,""en"",""de"")"),"Kinder sitzen auf dem Gerichtshof und beobachten den Überspringen des Seilwettbewerbs.")</f>
        <v>Kinder sitzen auf dem Gerichtshof und beobachten den Überspringen des Seilwettbewerbs.</v>
      </c>
    </row>
    <row r="34057">
      <c r="A34057" s="4" t="s">
        <v>42858</v>
      </c>
      <c r="B34057" s="4" t="s">
        <v>42859</v>
      </c>
      <c r="C34057" s="5" t="str">
        <f>IFERROR(__xludf.DUMMYFUNCTION("GOOGLETRANSLATE(B34057,""en"",""de"")"),"Eine Frau steckt Eis in ein Glas.")</f>
        <v>Eine Frau steckt Eis in ein Glas.</v>
      </c>
    </row>
    <row r="34058">
      <c r="A34058" s="4" t="s">
        <v>42858</v>
      </c>
      <c r="B34058" s="4" t="s">
        <v>42860</v>
      </c>
      <c r="C34058" s="5" t="str">
        <f>IFERROR(__xludf.DUMMYFUNCTION("GOOGLETRANSLATE(B34058,""en"",""de"")"),"Sie wirft eine Flasche in das Glas und fügt Saft hinzu.")</f>
        <v>Sie wirft eine Flasche in das Glas und fügt Saft hinzu.</v>
      </c>
    </row>
    <row r="34059">
      <c r="A34059" s="4" t="s">
        <v>42858</v>
      </c>
      <c r="B34059" s="4" t="s">
        <v>42861</v>
      </c>
      <c r="C34059" s="5" t="str">
        <f>IFERROR(__xludf.DUMMYFUNCTION("GOOGLETRANSLATE(B34059,""en"",""de"")"),"Sie rührt das Getränk und setzt es auf die Theke.")</f>
        <v>Sie rührt das Getränk und setzt es auf die Theke.</v>
      </c>
    </row>
    <row r="34060">
      <c r="A34060" s="4" t="s">
        <v>42862</v>
      </c>
      <c r="B34060" s="4" t="s">
        <v>42863</v>
      </c>
      <c r="C34060" s="5" t="str">
        <f>IFERROR(__xludf.DUMMYFUNCTION("GOOGLETRANSLATE(B34060,""en"",""de"")"),"Ein Mann, der eine grüne Mütze trägt, sitzt in einem Auto mit einer Kaffeetasse, die spricht.")</f>
        <v>Ein Mann, der eine grüne Mütze trägt, sitzt in einem Auto mit einer Kaffeetasse, die spricht.</v>
      </c>
    </row>
    <row r="34061">
      <c r="A34061" s="4" t="s">
        <v>42862</v>
      </c>
      <c r="B34061" s="4" t="s">
        <v>42864</v>
      </c>
      <c r="C34061" s="5" t="str">
        <f>IFERROR(__xludf.DUMMYFUNCTION("GOOGLETRANSLATE(B34061,""en"",""de"")"),"Er setzt die Kamera auf sein Dashboard und redet weiter.")</f>
        <v>Er setzt die Kamera auf sein Dashboard und redet weiter.</v>
      </c>
    </row>
    <row r="34062">
      <c r="A34062" s="4" t="s">
        <v>42862</v>
      </c>
      <c r="B34062" s="4" t="s">
        <v>42865</v>
      </c>
      <c r="C34062" s="5" t="str">
        <f>IFERROR(__xludf.DUMMYFUNCTION("GOOGLETRANSLATE(B34062,""en"",""de"")"),"Er hält den Kaffee und nimmt mehrere Schlucke.")</f>
        <v>Er hält den Kaffee und nimmt mehrere Schlucke.</v>
      </c>
    </row>
    <row r="34063">
      <c r="A34063" s="4" t="s">
        <v>42862</v>
      </c>
      <c r="B34063" s="4" t="s">
        <v>42866</v>
      </c>
      <c r="C34063" s="5" t="str">
        <f>IFERROR(__xludf.DUMMYFUNCTION("GOOGLETRANSLATE(B34063,""en"",""de"")"),"Er redet weiter, während er die Tasse in der Hand hält.")</f>
        <v>Er redet weiter, während er die Tasse in der Hand hält.</v>
      </c>
    </row>
    <row r="34064">
      <c r="A34064" s="4" t="s">
        <v>42867</v>
      </c>
      <c r="B34064" s="4" t="s">
        <v>42868</v>
      </c>
      <c r="C34064" s="5" t="str">
        <f>IFERROR(__xludf.DUMMYFUNCTION("GOOGLETRANSLATE(B34064,""en"",""de"")"),"Eine Nahaufnahme eines Pferdes wird an einen Zaun gebunden, als ein Mann mit einem Riffgebläse hereinkommt und es zu den Pferden schiebt.")</f>
        <v>Eine Nahaufnahme eines Pferdes wird an einen Zaun gebunden, als ein Mann mit einem Riffgebläse hereinkommt und es zu den Pferden schiebt.</v>
      </c>
    </row>
    <row r="34065">
      <c r="A34065" s="4" t="s">
        <v>42867</v>
      </c>
      <c r="B34065" s="4" t="s">
        <v>42869</v>
      </c>
      <c r="C34065" s="5" t="str">
        <f>IFERROR(__xludf.DUMMYFUNCTION("GOOGLETRANSLATE(B34065,""en"",""de"")"),"Er bewegt sich überall um die Tiere, die die Luft auf ihr Fell fließen, während sich die Pferde herum bewegen.")</f>
        <v>Er bewegt sich überall um die Tiere, die die Luft auf ihr Fell fließen, während sich die Pferde herum bewegen.</v>
      </c>
    </row>
    <row r="34066">
      <c r="A34066" s="4" t="s">
        <v>42870</v>
      </c>
      <c r="B34066" s="4" t="s">
        <v>42871</v>
      </c>
      <c r="C34066" s="5" t="str">
        <f>IFERROR(__xludf.DUMMYFUNCTION("GOOGLETRANSLATE(B34066,""en"",""de"")"),"Ein Mann, der ein Kilt und ein weißes T-Shirt trägt, spielt die Dudelsack, während sie außerhalb eines Einkaufsstreifenparkplatzes stehen, während Autos vorbeikommen.")</f>
        <v>Ein Mann, der ein Kilt und ein weißes T-Shirt trägt, spielt die Dudelsack, während sie außerhalb eines Einkaufsstreifenparkplatzes stehen, während Autos vorbeikommen.</v>
      </c>
    </row>
    <row r="34067">
      <c r="A34067" s="4" t="s">
        <v>42870</v>
      </c>
      <c r="B34067" s="4" t="s">
        <v>42872</v>
      </c>
      <c r="C34067" s="5" t="str">
        <f>IFERROR(__xludf.DUMMYFUNCTION("GOOGLETRANSLATE(B34067,""en"",""de"")"),"Ein Mann steht draußen neben einem gelben Feuerhydranten und spielt die Dudelsack, wenn Autos vorbeikommen.")</f>
        <v>Ein Mann steht draußen neben einem gelben Feuerhydranten und spielt die Dudelsack, wenn Autos vorbeikommen.</v>
      </c>
    </row>
    <row r="34068">
      <c r="A34068" s="4" t="s">
        <v>42870</v>
      </c>
      <c r="B34068" s="4" t="s">
        <v>42873</v>
      </c>
      <c r="C34068" s="5" t="str">
        <f>IFERROR(__xludf.DUMMYFUNCTION("GOOGLETRANSLATE(B34068,""en"",""de"")"),"Der Mann nähert sich näher an die Autos oder den Rand des Bürgersteigs, während er spielt.")</f>
        <v>Der Mann nähert sich näher an die Autos oder den Rand des Bürgersteigs, während er spielt.</v>
      </c>
    </row>
    <row r="34069">
      <c r="A34069" s="4" t="s">
        <v>42870</v>
      </c>
      <c r="B34069" s="4" t="s">
        <v>42874</v>
      </c>
      <c r="C34069" s="5" t="str">
        <f>IFERROR(__xludf.DUMMYFUNCTION("GOOGLETRANSLATE(B34069,""en"",""de"")"),"Der Mann spielt weiterhin Dudelsack auf dem Bürgersteig, bis die Szene schwarz verblasst.")</f>
        <v>Der Mann spielt weiterhin Dudelsack auf dem Bürgersteig, bis die Szene schwarz verblasst.</v>
      </c>
    </row>
    <row r="34070">
      <c r="A34070" s="4" t="s">
        <v>42875</v>
      </c>
      <c r="B34070" s="4" t="s">
        <v>42876</v>
      </c>
      <c r="C34070" s="5" t="str">
        <f>IFERROR(__xludf.DUMMYFUNCTION("GOOGLETRANSLATE(B34070,""en"",""de"")"),"Eine Frau kämmt ihre Haare, während sie in die Kamera schaut.")</f>
        <v>Eine Frau kämmt ihre Haare, während sie in die Kamera schaut.</v>
      </c>
    </row>
    <row r="34071">
      <c r="A34071" s="4" t="s">
        <v>42875</v>
      </c>
      <c r="B34071" s="4" t="s">
        <v>42877</v>
      </c>
      <c r="C34071" s="5" t="str">
        <f>IFERROR(__xludf.DUMMYFUNCTION("GOOGLETRANSLATE(B34071,""en"",""de"")"),"Dann streift sie ihre Pony gerade.")</f>
        <v>Dann streift sie ihre Pony gerade.</v>
      </c>
    </row>
    <row r="34072">
      <c r="A34072" s="4" t="s">
        <v>42875</v>
      </c>
      <c r="B34072" s="4" t="s">
        <v>42878</v>
      </c>
      <c r="C34072" s="5" t="str">
        <f>IFERROR(__xludf.DUMMYFUNCTION("GOOGLETRANSLATE(B34072,""en"",""de"")"),"Sie streift weiter mit dem Kamm und ihrer Hand.")</f>
        <v>Sie streift weiter mit dem Kamm und ihrer Hand.</v>
      </c>
    </row>
    <row r="34073">
      <c r="A34073" s="4" t="s">
        <v>42879</v>
      </c>
      <c r="B34073" s="4" t="s">
        <v>42880</v>
      </c>
      <c r="C34073" s="5" t="str">
        <f>IFERROR(__xludf.DUMMYFUNCTION("GOOGLETRANSLATE(B34073,""en"",""de"")"),"Ein Mann steht außerhalb einer Wand mit einer Art Maschinenmaschine und beginnt zu reden.")</f>
        <v>Ein Mann steht außerhalb einer Wand mit einer Art Maschinenmaschine und beginnt zu reden.</v>
      </c>
    </row>
    <row r="34074">
      <c r="A34074" s="4" t="s">
        <v>42879</v>
      </c>
      <c r="B34074" s="4" t="s">
        <v>42881</v>
      </c>
      <c r="C34074" s="5" t="str">
        <f>IFERROR(__xludf.DUMMYFUNCTION("GOOGLETRANSLATE(B34074,""en"",""de"")"),"Der Mann nimmt den Schlauch und den Druck wäscht den Zaun, bevor er ihn kündigt.")</f>
        <v>Der Mann nimmt den Schlauch und den Druck wäscht den Zaun, bevor er ihn kündigt.</v>
      </c>
    </row>
    <row r="34075">
      <c r="A34075" s="4" t="s">
        <v>42879</v>
      </c>
      <c r="B34075" s="4" t="s">
        <v>42882</v>
      </c>
      <c r="C34075" s="5" t="str">
        <f>IFERROR(__xludf.DUMMYFUNCTION("GOOGLETRANSLATE(B34075,""en"",""de"")"),"Dann steigt er auf die Knie und fügt der Maschine Sprühfarbe hinzu und malt die Wand.")</f>
        <v>Dann steigt er auf die Knie und fügt der Maschine Sprühfarbe hinzu und malt die Wand.</v>
      </c>
    </row>
    <row r="34076">
      <c r="A34076" s="4" t="s">
        <v>42879</v>
      </c>
      <c r="B34076" s="4" t="s">
        <v>42883</v>
      </c>
      <c r="C34076" s="5" t="str">
        <f>IFERROR(__xludf.DUMMYFUNCTION("GOOGLETRANSLATE(B34076,""en"",""de"")"),"Schließlich kehrt er mit seinem Pinsel an die Wand zurück und füllt die fehlenden Räume aus.")</f>
        <v>Schließlich kehrt er mit seinem Pinsel an die Wand zurück und füllt die fehlenden Räume aus.</v>
      </c>
    </row>
    <row r="34077">
      <c r="A34077" s="4" t="s">
        <v>42884</v>
      </c>
      <c r="B34077" s="4" t="s">
        <v>42885</v>
      </c>
      <c r="C34077" s="5" t="str">
        <f>IFERROR(__xludf.DUMMYFUNCTION("GOOGLETRANSLATE(B34077,""en"",""de"")"),"Eine Frau wird durch farbenfrohe Banner tauchen.")</f>
        <v>Eine Frau wird durch farbenfrohe Banner tauchen.</v>
      </c>
    </row>
    <row r="34078">
      <c r="A34078" s="4" t="s">
        <v>42884</v>
      </c>
      <c r="B34078" s="4" t="s">
        <v>42886</v>
      </c>
      <c r="C34078" s="5" t="str">
        <f>IFERROR(__xludf.DUMMYFUNCTION("GOOGLETRANSLATE(B34078,""en"",""de"")"),"Die Außenseite eines Gebäudes wird gezeigt.")</f>
        <v>Die Außenseite eines Gebäudes wird gezeigt.</v>
      </c>
    </row>
    <row r="34079">
      <c r="A34079" s="4" t="s">
        <v>42884</v>
      </c>
      <c r="B34079" s="4" t="s">
        <v>42887</v>
      </c>
      <c r="C34079" s="5" t="str">
        <f>IFERROR(__xludf.DUMMYFUNCTION("GOOGLETRANSLATE(B34079,""en"",""de"")"),"Wir sehen eine Anzeigetafel, dann werden Frauen von ihren Trainern zum Schwimmen vorbereitet.")</f>
        <v>Wir sehen eine Anzeigetafel, dann werden Frauen von ihren Trainern zum Schwimmen vorbereitet.</v>
      </c>
    </row>
    <row r="34080">
      <c r="A34080" s="4" t="s">
        <v>42884</v>
      </c>
      <c r="B34080" s="4" t="s">
        <v>42888</v>
      </c>
      <c r="C34080" s="5" t="str">
        <f>IFERROR(__xludf.DUMMYFUNCTION("GOOGLETRANSLATE(B34080,""en"",""de"")"),"Die Frauen tauchen abwechselnd vom hohen Brett ab und drehen sich während der Zeit um.")</f>
        <v>Die Frauen tauchen abwechselnd vom hohen Brett ab und drehen sich während der Zeit um.</v>
      </c>
    </row>
    <row r="34081">
      <c r="A34081" s="4" t="s">
        <v>42884</v>
      </c>
      <c r="B34081" s="4" t="s">
        <v>42889</v>
      </c>
      <c r="C34081" s="5" t="str">
        <f>IFERROR(__xludf.DUMMYFUNCTION("GOOGLETRANSLATE(B34081,""en"",""de"")"),"Der Gewinner posiert mit einer Medaille, während jeder klatscht.")</f>
        <v>Der Gewinner posiert mit einer Medaille, während jeder klatscht.</v>
      </c>
    </row>
    <row r="34082">
      <c r="A34082" s="4" t="s">
        <v>42890</v>
      </c>
      <c r="B34082" s="4" t="s">
        <v>42891</v>
      </c>
      <c r="C34082" s="5" t="str">
        <f>IFERROR(__xludf.DUMMYFUNCTION("GOOGLETRANSLATE(B34082,""en"",""de"")"),"Eine Frau bekommt ihren Bauchnabel mit einer weißen Klemme.")</f>
        <v>Eine Frau bekommt ihren Bauchnabel mit einer weißen Klemme.</v>
      </c>
    </row>
    <row r="34083">
      <c r="A34083" s="4" t="s">
        <v>42890</v>
      </c>
      <c r="B34083" s="4" t="s">
        <v>42892</v>
      </c>
      <c r="C34083" s="5" t="str">
        <f>IFERROR(__xludf.DUMMYFUNCTION("GOOGLETRANSLATE(B34083,""en"",""de"")"),"Sie bekommt dann ihren Bauchnabel durchbohrt.")</f>
        <v>Sie bekommt dann ihren Bauchnabel durchbohrt.</v>
      </c>
    </row>
    <row r="34084">
      <c r="A34084" s="4" t="s">
        <v>42890</v>
      </c>
      <c r="B34084" s="4" t="s">
        <v>42893</v>
      </c>
      <c r="C34084" s="5" t="str">
        <f>IFERROR(__xludf.DUMMYFUNCTION("GOOGLETRANSLATE(B34084,""en"",""de"")"),"Die Person entfernt die Klemme und wischt sie mit einem Handtuch ab.")</f>
        <v>Die Person entfernt die Klemme und wischt sie mit einem Handtuch ab.</v>
      </c>
    </row>
    <row r="34085">
      <c r="A34085" s="4" t="s">
        <v>42894</v>
      </c>
      <c r="B34085" s="4" t="s">
        <v>38202</v>
      </c>
      <c r="C34085" s="5" t="str">
        <f>IFERROR(__xludf.DUMMYFUNCTION("GOOGLETRANSLATE(B34085,""en"",""de"")"),"Eine Gruppe von Menschen befindet sich in einem Fitnessstudio.")</f>
        <v>Eine Gruppe von Menschen befindet sich in einem Fitnessstudio.</v>
      </c>
    </row>
    <row r="34086">
      <c r="A34086" s="4" t="s">
        <v>42894</v>
      </c>
      <c r="B34086" s="4" t="s">
        <v>42895</v>
      </c>
      <c r="C34086" s="5" t="str">
        <f>IFERROR(__xludf.DUMMYFUNCTION("GOOGLETRANSLATE(B34086,""en"",""de"")"),"Sie verwenden Stepper zum Training.")</f>
        <v>Sie verwenden Stepper zum Training.</v>
      </c>
    </row>
    <row r="34087">
      <c r="A34087" s="4" t="s">
        <v>42894</v>
      </c>
      <c r="B34087" s="4" t="s">
        <v>42896</v>
      </c>
      <c r="C34087" s="5" t="str">
        <f>IFERROR(__xludf.DUMMYFUNCTION("GOOGLETRANSLATE(B34087,""en"",""de"")"),"Sie springen und klettern hin und her über die Stepper.")</f>
        <v>Sie springen und klettern hin und her über die Stepper.</v>
      </c>
    </row>
    <row r="34088">
      <c r="A34088" s="4" t="s">
        <v>42897</v>
      </c>
      <c r="B34088" s="4" t="s">
        <v>42898</v>
      </c>
      <c r="C34088" s="5" t="str">
        <f>IFERROR(__xludf.DUMMYFUNCTION("GOOGLETRANSLATE(B34088,""en"",""de"")"),"Eine Frau in einem weißen Hemd tanzt.")</f>
        <v>Eine Frau in einem weißen Hemd tanzt.</v>
      </c>
    </row>
    <row r="34089">
      <c r="A34089" s="4" t="s">
        <v>42897</v>
      </c>
      <c r="B34089" s="4" t="s">
        <v>42899</v>
      </c>
      <c r="C34089" s="5" t="str">
        <f>IFERROR(__xludf.DUMMYFUNCTION("GOOGLETRANSLATE(B34089,""en"",""de"")"),"Sie hält ein Lockeneisen in ihren Haaren.")</f>
        <v>Sie hält ein Lockeneisen in ihren Haaren.</v>
      </c>
    </row>
    <row r="34090">
      <c r="A34090" s="4" t="s">
        <v>42897</v>
      </c>
      <c r="B34090" s="4" t="s">
        <v>42900</v>
      </c>
      <c r="C34090" s="5" t="str">
        <f>IFERROR(__xludf.DUMMYFUNCTION("GOOGLETRANSLATE(B34090,""en"",""de"")"),"Sie nimmt das Bügeleisen aus ihren Haaren.")</f>
        <v>Sie nimmt das Bügeleisen aus ihren Haaren.</v>
      </c>
    </row>
    <row r="34091">
      <c r="A34091" s="4" t="s">
        <v>42901</v>
      </c>
      <c r="B34091" s="4" t="s">
        <v>42902</v>
      </c>
      <c r="C34091" s="5" t="str">
        <f>IFERROR(__xludf.DUMMYFUNCTION("GOOGLETRANSLATE(B34091,""en"",""de"")"),"Das Video zeigt ein Tutorial von Howcast zum Erstellen von Volumen in einem Haarschnitt.")</f>
        <v>Das Video zeigt ein Tutorial von Howcast zum Erstellen von Volumen in einem Haarschnitt.</v>
      </c>
    </row>
    <row r="34092">
      <c r="A34092" s="4" t="s">
        <v>42901</v>
      </c>
      <c r="B34092" s="4" t="s">
        <v>42903</v>
      </c>
      <c r="C34092" s="5" t="str">
        <f>IFERROR(__xludf.DUMMYFUNCTION("GOOGLETRANSLATE(B34092,""en"",""de"")"),"Eine Frady -Haarkommode, die ein grünes Hemd und eine Hose trägt, zeigt einen Haarschnitt auf einem Modell mit einem schwarzen Tanktop.")</f>
        <v>Eine Frady -Haarkommode, die ein grünes Hemd und eine Hose trägt, zeigt einen Haarschnitt auf einem Modell mit einem schwarzen Tanktop.</v>
      </c>
    </row>
    <row r="34093">
      <c r="A34093" s="4" t="s">
        <v>42901</v>
      </c>
      <c r="B34093" s="4" t="s">
        <v>42904</v>
      </c>
      <c r="C34093" s="5" t="str">
        <f>IFERROR(__xludf.DUMMYFUNCTION("GOOGLETRANSLATE(B34093,""en"",""de"")"),"Sie zeigt, wie man die Haare der Dame abteilt und das Haar auf schräge Weise schneidet.")</f>
        <v>Sie zeigt, wie man die Haare der Dame abteilt und das Haar auf schräge Weise schneidet.</v>
      </c>
    </row>
    <row r="34094">
      <c r="A34094" s="4" t="s">
        <v>42901</v>
      </c>
      <c r="B34094" s="4" t="s">
        <v>42905</v>
      </c>
      <c r="C34094" s="5" t="str">
        <f>IFERROR(__xludf.DUMMYFUNCTION("GOOGLETRANSLATE(B34094,""en"",""de"")"),"Sie erklärt, wie diese Technik dazu beiträgt, zusätzliches Volumen in der Krone des Kopfes zu schaffen.")</f>
        <v>Sie erklärt, wie diese Technik dazu beiträgt, zusätzliches Volumen in der Krone des Kopfes zu schaffen.</v>
      </c>
    </row>
    <row r="34095">
      <c r="A34095" s="4" t="s">
        <v>42906</v>
      </c>
      <c r="B34095" s="4" t="s">
        <v>42907</v>
      </c>
      <c r="C34095" s="5" t="str">
        <f>IFERROR(__xludf.DUMMYFUNCTION("GOOGLETRANSLATE(B34095,""en"",""de"")"),"Ein junges Mädchen und ein junges Gymnast spielen bei einem professionellen Sportereignis vor vielen Fotografen und einem Publikum auf der Tribüne eine Gymnastikübung auf dem Balancing Beam.")</f>
        <v>Ein junges Mädchen und ein junges Gymnast spielen bei einem professionellen Sportereignis vor vielen Fotografen und einem Publikum auf der Tribüne eine Gymnastikübung auf dem Balancing Beam.</v>
      </c>
    </row>
    <row r="34096">
      <c r="A34096" s="4" t="s">
        <v>42906</v>
      </c>
      <c r="B34096" s="4" t="s">
        <v>42908</v>
      </c>
      <c r="C34096" s="5" t="str">
        <f>IFERROR(__xludf.DUMMYFUNCTION("GOOGLETRANSLATE(B34096,""en"",""de"")"),"Ein junger Turner in einem blauen Outfit steht vor einem Balance -Strahl, springt darauf und beginnt eine Routine mit Flips durchzuführen.")</f>
        <v>Ein junger Turner in einem blauen Outfit steht vor einem Balance -Strahl, springt darauf und beginnt eine Routine mit Flips durchzuführen.</v>
      </c>
    </row>
    <row r="34097">
      <c r="A34097" s="4" t="s">
        <v>42906</v>
      </c>
      <c r="B34097" s="4" t="s">
        <v>42909</v>
      </c>
      <c r="C34097" s="5" t="str">
        <f>IFERROR(__xludf.DUMMYFUNCTION("GOOGLETRANSLATE(B34097,""en"",""de"")"),"Das Mädchen führt mehrere Flips auf dem Balancestrahl und hohen Sprüngen mit ihren Armen durch, um ihre Haltung auszugleichen, bevor sie einen letzten Abschnitt aus dem Strahl durchführt und die Landung steckt, nach der sie einen Trainer umarmt, bevor sie"&amp;" sich die Anzeigetafel ansieht und kurz mit einem Mann spricht sitzend in einem weißen Stuhl.")</f>
        <v>Das Mädchen führt mehrere Flips auf dem Balancestrahl und hohen Sprüngen mit ihren Armen durch, um ihre Haltung auszugleichen, bevor sie einen letzten Abschnitt aus dem Strahl durchführt und die Landung steckt, nach der sie einen Trainer umarmt, bevor sie sich die Anzeigetafel ansieht und kurz mit einem Mann spricht sitzend in einem weißen Stuhl.</v>
      </c>
    </row>
    <row r="34098">
      <c r="A34098" s="4" t="s">
        <v>42910</v>
      </c>
      <c r="B34098" s="4" t="s">
        <v>42911</v>
      </c>
      <c r="C34098" s="5" t="str">
        <f>IFERROR(__xludf.DUMMYFUNCTION("GOOGLETRANSLATE(B34098,""en"",""de"")"),"Mehrere Menschen Weißwasserfloß und Kajak in großen aufblasbaren Flößen und Kajaks auf einem gewalttätigen, schmalen Wasserkörper, der von großen Felsen umgeben ist.")</f>
        <v>Mehrere Menschen Weißwasserfloß und Kajak in großen aufblasbaren Flößen und Kajaks auf einem gewalttätigen, schmalen Wasserkörper, der von großen Felsen umgeben ist.</v>
      </c>
    </row>
    <row r="34099">
      <c r="A34099" s="4" t="s">
        <v>42910</v>
      </c>
      <c r="B34099" s="4" t="s">
        <v>42912</v>
      </c>
      <c r="C34099" s="5" t="str">
        <f>IFERROR(__xludf.DUMMYFUNCTION("GOOGLETRANSLATE(B34099,""en"",""de"")"),"Eine Gruppe von Menschen auf einem blauen Wasserfloßpaddel gegen einen gewalttätigen Strom/Gewässer.")</f>
        <v>Eine Gruppe von Menschen auf einem blauen Wasserfloßpaddel gegen einen gewalttätigen Strom/Gewässer.</v>
      </c>
    </row>
    <row r="34100">
      <c r="A34100" s="4" t="s">
        <v>42910</v>
      </c>
      <c r="B34100" s="4" t="s">
        <v>42913</v>
      </c>
      <c r="C34100" s="5" t="str">
        <f>IFERROR(__xludf.DUMMYFUNCTION("GOOGLETRANSLATE(B34100,""en"",""de"")"),"Mehrere einsame Menschen paddeln in kleinen Kajaks gegen dasselbe gewalttätige Wasser.")</f>
        <v>Mehrere einsame Menschen paddeln in kleinen Kajaks gegen dasselbe gewalttätige Wasser.</v>
      </c>
    </row>
    <row r="34101">
      <c r="A34101" s="4" t="s">
        <v>42910</v>
      </c>
      <c r="B34101" s="4" t="s">
        <v>42914</v>
      </c>
      <c r="C34101" s="5" t="str">
        <f>IFERROR(__xludf.DUMMYFUNCTION("GOOGLETRANSLATE(B34101,""en"",""de"")"),"Eine Person navigiert die felsigen Wellen in einem großen Wasserfloß.")</f>
        <v>Eine Person navigiert die felsigen Wellen in einem großen Wasserfloß.</v>
      </c>
    </row>
    <row r="34102">
      <c r="A34102" s="4" t="s">
        <v>42910</v>
      </c>
      <c r="B34102" s="4" t="s">
        <v>42915</v>
      </c>
      <c r="C34102" s="5" t="str">
        <f>IFERROR(__xludf.DUMMYFUNCTION("GOOGLETRANSLATE(B34102,""en"",""de"")"),"Die Sparren und Kajakhersteller bekämpfen weiterhin die Kraft des Wassers, wenn die Szene einem positiven Mantra und dann zu Schwarz gegenübersteht.")</f>
        <v>Die Sparren und Kajakhersteller bekämpfen weiterhin die Kraft des Wassers, wenn die Szene einem positiven Mantra und dann zu Schwarz gegenübersteht.</v>
      </c>
    </row>
    <row r="34103">
      <c r="A34103" s="4" t="s">
        <v>42916</v>
      </c>
      <c r="B34103" s="4" t="s">
        <v>42917</v>
      </c>
      <c r="C34103" s="5" t="str">
        <f>IFERROR(__xludf.DUMMYFUNCTION("GOOGLETRANSLATE(B34103,""en"",""de"")"),"Ein SUV voller Freunde fährt von einem Parkplatz auf ein Resort.")</f>
        <v>Ein SUV voller Freunde fährt von einem Parkplatz auf ein Resort.</v>
      </c>
    </row>
    <row r="34104">
      <c r="A34104" s="4" t="s">
        <v>42916</v>
      </c>
      <c r="B34104" s="4" t="s">
        <v>42918</v>
      </c>
      <c r="C34104" s="5" t="str">
        <f>IFERROR(__xludf.DUMMYFUNCTION("GOOGLETRANSLATE(B34104,""en"",""de"")"),"Ein junges Mädchen, das im Auto war, steigt aus dem Auto.")</f>
        <v>Ein junges Mädchen, das im Auto war, steigt aus dem Auto.</v>
      </c>
    </row>
    <row r="34105">
      <c r="A34105" s="4" t="s">
        <v>42916</v>
      </c>
      <c r="B34105" s="4" t="s">
        <v>42919</v>
      </c>
      <c r="C34105" s="5" t="str">
        <f>IFERROR(__xludf.DUMMYFUNCTION("GOOGLETRANSLATE(B34105,""en"",""de"")"),"Die Gruppe von Freunden taucht unter Fischen in einem großen Pool ein.")</f>
        <v>Die Gruppe von Freunden taucht unter Fischen in einem großen Pool ein.</v>
      </c>
    </row>
    <row r="34106">
      <c r="A34106" s="4" t="s">
        <v>42916</v>
      </c>
      <c r="B34106" s="4" t="s">
        <v>42920</v>
      </c>
      <c r="C34106" s="5" t="str">
        <f>IFERROR(__xludf.DUMMYFUNCTION("GOOGLETRANSLATE(B34106,""en"",""de"")"),"Sie lassen den Pool aufgeregt und glücklich.")</f>
        <v>Sie lassen den Pool aufgeregt und glücklich.</v>
      </c>
    </row>
    <row r="34107">
      <c r="A34107" s="4" t="s">
        <v>42916</v>
      </c>
      <c r="B34107" s="4" t="s">
        <v>42921</v>
      </c>
      <c r="C34107" s="5" t="str">
        <f>IFERROR(__xludf.DUMMYFUNCTION("GOOGLETRANSLATE(B34107,""en"",""de"")"),"Eines der Mädchen, die auf der Reise waren, gibt der Reise einen Daumen hoch.")</f>
        <v>Eines der Mädchen, die auf der Reise waren, gibt der Reise einen Daumen hoch.</v>
      </c>
    </row>
    <row r="34108">
      <c r="A34108" s="4" t="s">
        <v>42922</v>
      </c>
      <c r="B34108" s="4" t="s">
        <v>42923</v>
      </c>
      <c r="C34108" s="5" t="str">
        <f>IFERROR(__xludf.DUMMYFUNCTION("GOOGLETRANSLATE(B34108,""en"",""de"")"),"Ein Mann veranstaltet ein neues Segment, das zu einer großen Gruppe von Menschen führt, die auf einem Feld stehen und marschieren.")</f>
        <v>Ein Mann veranstaltet ein neues Segment, das zu einer großen Gruppe von Menschen führt, die auf einem Feld stehen und marschieren.</v>
      </c>
    </row>
    <row r="34109">
      <c r="A34109" s="4" t="s">
        <v>42922</v>
      </c>
      <c r="B34109" s="4" t="s">
        <v>42924</v>
      </c>
      <c r="C34109" s="5" t="str">
        <f>IFERROR(__xludf.DUMMYFUNCTION("GOOGLETRANSLATE(B34109,""en"",""de"")"),"Die Leute werden dann auf Pferden herumfahren, die ein Spiel miteinander spielen.")</f>
        <v>Die Leute werden dann auf Pferden herumfahren, die ein Spiel miteinander spielen.</v>
      </c>
    </row>
    <row r="34110">
      <c r="A34110" s="4" t="s">
        <v>42922</v>
      </c>
      <c r="B34110" s="4" t="s">
        <v>42925</v>
      </c>
      <c r="C34110" s="5" t="str">
        <f>IFERROR(__xludf.DUMMYFUNCTION("GOOGLETRANSLATE(B34110,""en"",""de"")"),"Spieler sprechen sowohl mit der Kamera als auch mit dem Publikum und endet damit, dass ein Team zusammen steht.")</f>
        <v>Spieler sprechen sowohl mit der Kamera als auch mit dem Publikum und endet damit, dass ein Team zusammen steht.</v>
      </c>
    </row>
    <row r="34111">
      <c r="A34111" s="4" t="s">
        <v>42926</v>
      </c>
      <c r="B34111" s="4" t="s">
        <v>42927</v>
      </c>
      <c r="C34111" s="5" t="str">
        <f>IFERROR(__xludf.DUMMYFUNCTION("GOOGLETRANSLATE(B34111,""en"",""de"")"),"Ein Mann gießt ein Ei in eine kleine Pfanne.")</f>
        <v>Ein Mann gießt ein Ei in eine kleine Pfanne.</v>
      </c>
    </row>
    <row r="34112">
      <c r="A34112" s="4" t="s">
        <v>42926</v>
      </c>
      <c r="B34112" s="4" t="s">
        <v>42928</v>
      </c>
      <c r="C34112" s="5" t="str">
        <f>IFERROR(__xludf.DUMMYFUNCTION("GOOGLETRANSLATE(B34112,""en"",""de"")"),"Er setzt die Pfanne auf einen Herd.")</f>
        <v>Er setzt die Pfanne auf einen Herd.</v>
      </c>
    </row>
    <row r="34113">
      <c r="A34113" s="4" t="s">
        <v>42926</v>
      </c>
      <c r="B34113" s="4" t="s">
        <v>42929</v>
      </c>
      <c r="C34113" s="5" t="str">
        <f>IFERROR(__xludf.DUMMYFUNCTION("GOOGLETRANSLATE(B34113,""en"",""de"")"),"Er wirft das Essen auf einen Teller.")</f>
        <v>Er wirft das Essen auf einen Teller.</v>
      </c>
    </row>
    <row r="34114">
      <c r="A34114" s="4" t="s">
        <v>42930</v>
      </c>
      <c r="B34114" s="4" t="s">
        <v>42931</v>
      </c>
      <c r="C34114" s="5" t="str">
        <f>IFERROR(__xludf.DUMMYFUNCTION("GOOGLETRANSLATE(B34114,""en"",""de"")"),"Ein Mann wölbt sich über ein Seil auf einer Spur eines Sportfeldes.")</f>
        <v>Ein Mann wölbt sich über ein Seil auf einer Spur eines Sportfeldes.</v>
      </c>
    </row>
    <row r="34115">
      <c r="A34115" s="4" t="s">
        <v>42930</v>
      </c>
      <c r="B34115" s="4" t="s">
        <v>42932</v>
      </c>
      <c r="C34115" s="5" t="str">
        <f>IFERROR(__xludf.DUMMYFUNCTION("GOOGLETRANSLATE(B34115,""en"",""de"")"),"Der Mann macht seinen Körper kaum über das Seil.")</f>
        <v>Der Mann macht seinen Körper kaum über das Seil.</v>
      </c>
    </row>
    <row r="34116">
      <c r="A34116" s="4" t="s">
        <v>42933</v>
      </c>
      <c r="B34116" s="4" t="s">
        <v>42934</v>
      </c>
      <c r="C34116" s="5" t="str">
        <f>IFERROR(__xludf.DUMMYFUNCTION("GOOGLETRANSLATE(B34116,""en"",""de"")"),"Ein Mann, der eine Brille trägt, spricht auf einem Parkplatz.")</f>
        <v>Ein Mann, der eine Brille trägt, spricht auf einem Parkplatz.</v>
      </c>
    </row>
    <row r="34117">
      <c r="A34117" s="4" t="s">
        <v>42933</v>
      </c>
      <c r="B34117" s="4" t="s">
        <v>42935</v>
      </c>
      <c r="C34117" s="5" t="str">
        <f>IFERROR(__xludf.DUMMYFUNCTION("GOOGLETRANSLATE(B34117,""en"",""de"")"),"Er geht in eine Autowäsche, wo eine grüne Substanz auf die Autos gesprüht wird.")</f>
        <v>Er geht in eine Autowäsche, wo eine grüne Substanz auf die Autos gesprüht wird.</v>
      </c>
    </row>
    <row r="34118">
      <c r="A34118" s="4" t="s">
        <v>42933</v>
      </c>
      <c r="B34118" s="4" t="s">
        <v>42936</v>
      </c>
      <c r="C34118" s="5" t="str">
        <f>IFERROR(__xludf.DUMMYFUNCTION("GOOGLETRANSLATE(B34118,""en"",""de"")"),"Die Seife wird dann mit Schläuchen abgespült.")</f>
        <v>Die Seife wird dann mit Schläuchen abgespült.</v>
      </c>
    </row>
    <row r="34119">
      <c r="A34119" s="4" t="s">
        <v>42937</v>
      </c>
      <c r="B34119" s="4" t="s">
        <v>42938</v>
      </c>
      <c r="C34119" s="5" t="str">
        <f>IFERROR(__xludf.DUMMYFUNCTION("GOOGLETRANSLATE(B34119,""en"",""de"")"),"Eine große Blaskapelle ist zu sehen, wie eine große Gruppe von Menschen herumsteht und zuschaut.")</f>
        <v>Eine große Blaskapelle ist zu sehen, wie eine große Gruppe von Menschen herumsteht und zuschaut.</v>
      </c>
    </row>
    <row r="34120">
      <c r="A34120" s="4" t="s">
        <v>42937</v>
      </c>
      <c r="B34120" s="4" t="s">
        <v>42939</v>
      </c>
      <c r="C34120" s="5" t="str">
        <f>IFERROR(__xludf.DUMMYFUNCTION("GOOGLETRANSLATE(B34120,""en"",""de"")"),"Die Leute marschieren weiter und die Kamera endet mit einer Kreditszene.")</f>
        <v>Die Leute marschieren weiter und die Kamera endet mit einer Kreditszene.</v>
      </c>
    </row>
    <row r="34121">
      <c r="A34121" s="4" t="s">
        <v>42940</v>
      </c>
      <c r="B34121" s="4" t="s">
        <v>42941</v>
      </c>
      <c r="C34121" s="5" t="str">
        <f>IFERROR(__xludf.DUMMYFUNCTION("GOOGLETRANSLATE(B34121,""en"",""de"")"),"Ein kleines Kind trägt Ohrstücke auf dem Kopf und bläst um das Gras.")</f>
        <v>Ein kleines Kind trägt Ohrstücke auf dem Kopf und bläst um das Gras.</v>
      </c>
    </row>
    <row r="34122">
      <c r="A34122" s="4" t="s">
        <v>42940</v>
      </c>
      <c r="B34122" s="4" t="s">
        <v>42942</v>
      </c>
      <c r="C34122" s="5" t="str">
        <f>IFERROR(__xludf.DUMMYFUNCTION("GOOGLETRANSLATE(B34122,""en"",""de"")"),"Er hält eine große Maschine und schiebt sie über den ganzen Hof.")</f>
        <v>Er hält eine große Maschine und schiebt sie über den ganzen Hof.</v>
      </c>
    </row>
    <row r="34123">
      <c r="A34123" s="4" t="s">
        <v>42940</v>
      </c>
      <c r="B34123" s="4" t="s">
        <v>42943</v>
      </c>
      <c r="C34123" s="5" t="str">
        <f>IFERROR(__xludf.DUMMYFUNCTION("GOOGLETRANSLATE(B34123,""en"",""de"")"),"Er macht einen Moment inne, um mit dem Gras zu spielen, gefolgt von ihm, der mehr arbeitete.")</f>
        <v>Er macht einen Moment inne, um mit dem Gras zu spielen, gefolgt von ihm, der mehr arbeitete.</v>
      </c>
    </row>
    <row r="34124">
      <c r="A34124" s="4" t="s">
        <v>42944</v>
      </c>
      <c r="B34124" s="4" t="s">
        <v>42945</v>
      </c>
      <c r="C34124" s="5" t="str">
        <f>IFERROR(__xludf.DUMMYFUNCTION("GOOGLETRANSLATE(B34124,""en"",""de"")"),"Eine Gruppe von Mädchen wird in einem Raum versammelt.")</f>
        <v>Eine Gruppe von Mädchen wird in einem Raum versammelt.</v>
      </c>
    </row>
    <row r="34125">
      <c r="A34125" s="4" t="s">
        <v>42944</v>
      </c>
      <c r="B34125" s="4" t="s">
        <v>42946</v>
      </c>
      <c r="C34125" s="5" t="str">
        <f>IFERROR(__xludf.DUMMYFUNCTION("GOOGLETRANSLATE(B34125,""en"",""de"")"),"Sie werden in einer Reihe von Bildern gezeigt, die zusammen posieren.")</f>
        <v>Sie werden in einer Reihe von Bildern gezeigt, die zusammen posieren.</v>
      </c>
    </row>
    <row r="34126">
      <c r="A34126" s="4" t="s">
        <v>42944</v>
      </c>
      <c r="B34126" s="4" t="s">
        <v>42947</v>
      </c>
      <c r="C34126" s="5" t="str">
        <f>IFERROR(__xludf.DUMMYFUNCTION("GOOGLETRANSLATE(B34126,""en"",""de"")"),"Wir posieren auch mehrere Jungen, bevor wir ein Foosballspiel spielen.")</f>
        <v>Wir posieren auch mehrere Jungen, bevor wir ein Foosballspiel spielen.</v>
      </c>
    </row>
    <row r="34127">
      <c r="A34127" s="4" t="s">
        <v>42948</v>
      </c>
      <c r="B34127" s="4" t="s">
        <v>42949</v>
      </c>
      <c r="C34127" s="5" t="str">
        <f>IFERROR(__xludf.DUMMYFUNCTION("GOOGLETRANSLATE(B34127,""en"",""de"")"),"Ein Mann geht zu einem Mikrofon, während er den Saxophon spielt.")</f>
        <v>Ein Mann geht zu einem Mikrofon, während er den Saxophon spielt.</v>
      </c>
    </row>
    <row r="34128">
      <c r="A34128" s="4" t="s">
        <v>42948</v>
      </c>
      <c r="B34128" s="4" t="s">
        <v>42950</v>
      </c>
      <c r="C34128" s="5" t="str">
        <f>IFERROR(__xludf.DUMMYFUNCTION("GOOGLETRANSLATE(B34128,""en"",""de"")"),"Eine Gruppe von Baseballspieler wartet auf dem Feld.")</f>
        <v>Eine Gruppe von Baseballspieler wartet auf dem Feld.</v>
      </c>
    </row>
    <row r="34129">
      <c r="A34129" s="4" t="s">
        <v>42948</v>
      </c>
      <c r="B34129" s="4" t="s">
        <v>42951</v>
      </c>
      <c r="C34129" s="5" t="str">
        <f>IFERROR(__xludf.DUMMYFUNCTION("GOOGLETRANSLATE(B34129,""en"",""de"")"),"Der Mann spielt weiterhin das Saxophon für die Menge.")</f>
        <v>Der Mann spielt weiterhin das Saxophon für die Menge.</v>
      </c>
    </row>
    <row r="34130">
      <c r="A34130" s="4" t="s">
        <v>42952</v>
      </c>
      <c r="B34130" s="4" t="s">
        <v>42953</v>
      </c>
      <c r="C34130" s="5" t="str">
        <f>IFERROR(__xludf.DUMMYFUNCTION("GOOGLETRANSLATE(B34130,""en"",""de"")"),"Es gibt ein junges Main in einem weißen Tank -Top und beige Shorts, die mit einer Frau tanzen, die ein graues Hemd und blaue Shorts trägt.")</f>
        <v>Es gibt ein junges Main in einem weißen Tank -Top und beige Shorts, die mit einer Frau tanzen, die ein graues Hemd und blaue Shorts trägt.</v>
      </c>
    </row>
    <row r="34131">
      <c r="A34131" s="4" t="s">
        <v>42952</v>
      </c>
      <c r="B34131" s="4" t="s">
        <v>42954</v>
      </c>
      <c r="C34131" s="5" t="str">
        <f>IFERROR(__xludf.DUMMYFUNCTION("GOOGLETRANSLATE(B34131,""en"",""de"")"),"Sie üben Tanzen in ihrem Wohnzimmer mit einem Flachbildfernseher, der an der Wand hängt.")</f>
        <v>Sie üben Tanzen in ihrem Wohnzimmer mit einem Flachbildfernseher, der an der Wand hängt.</v>
      </c>
    </row>
    <row r="34132">
      <c r="A34132" s="4" t="s">
        <v>42952</v>
      </c>
      <c r="B34132" s="4" t="s">
        <v>42955</v>
      </c>
      <c r="C34132" s="5" t="str">
        <f>IFERROR(__xludf.DUMMYFUNCTION("GOOGLETRANSLATE(B34132,""en"",""de"")"),"Sie halten die Hände, während sie herumwirbelten und tanzen.")</f>
        <v>Sie halten die Hände, während sie herumwirbelten und tanzen.</v>
      </c>
    </row>
    <row r="34133">
      <c r="A34133" s="4" t="s">
        <v>42956</v>
      </c>
      <c r="B34133" s="4" t="s">
        <v>16179</v>
      </c>
      <c r="C34133" s="5" t="str">
        <f>IFERROR(__xludf.DUMMYFUNCTION("GOOGLETRANSLATE(B34133,""en"",""de"")"),"Frauen tanzen auf einer Bühne.")</f>
        <v>Frauen tanzen auf einer Bühne.</v>
      </c>
    </row>
    <row r="34134">
      <c r="A34134" s="4" t="s">
        <v>42956</v>
      </c>
      <c r="B34134" s="4" t="s">
        <v>42957</v>
      </c>
      <c r="C34134" s="5" t="str">
        <f>IFERROR(__xludf.DUMMYFUNCTION("GOOGLETRANSLATE(B34134,""en"",""de"")"),"Sie schwingen ihre Hüften von einer Seite zur anderen.")</f>
        <v>Sie schwingen ihre Hüften von einer Seite zur anderen.</v>
      </c>
    </row>
    <row r="34135">
      <c r="A34135" s="4" t="s">
        <v>42956</v>
      </c>
      <c r="B34135" s="4" t="s">
        <v>42958</v>
      </c>
      <c r="C34135" s="5" t="str">
        <f>IFERROR(__xludf.DUMMYFUNCTION("GOOGLETRANSLATE(B34135,""en"",""de"")"),"Der Tanz soll sexy sein.")</f>
        <v>Der Tanz soll sexy sein.</v>
      </c>
    </row>
    <row r="34136">
      <c r="A34136" s="4" t="s">
        <v>42956</v>
      </c>
      <c r="B34136" s="4" t="s">
        <v>42959</v>
      </c>
      <c r="C34136" s="5" t="str">
        <f>IFERROR(__xludf.DUMMYFUNCTION("GOOGLETRANSLATE(B34136,""en"",""de"")"),"Sie bilden eine Linie, wenn sie tanzen.")</f>
        <v>Sie bilden eine Linie, wenn sie tanzen.</v>
      </c>
    </row>
    <row r="34137">
      <c r="A34137" s="4" t="s">
        <v>42956</v>
      </c>
      <c r="B34137" s="4" t="s">
        <v>42960</v>
      </c>
      <c r="C34137" s="5" t="str">
        <f>IFERROR(__xludf.DUMMYFUNCTION("GOOGLETRANSLATE(B34137,""en"",""de"")"),"Sie wenden dem Publikum den Rücken zu und tanzen.")</f>
        <v>Sie wenden dem Publikum den Rücken zu und tanzen.</v>
      </c>
    </row>
    <row r="34138">
      <c r="A34138" s="4" t="s">
        <v>42956</v>
      </c>
      <c r="B34138" s="4" t="s">
        <v>42961</v>
      </c>
      <c r="C34138" s="5" t="str">
        <f>IFERROR(__xludf.DUMMYFUNCTION("GOOGLETRANSLATE(B34138,""en"",""de"")"),"Die Lichter gehen runter.")</f>
        <v>Die Lichter gehen runter.</v>
      </c>
    </row>
    <row r="34139">
      <c r="A34139" s="4" t="s">
        <v>42956</v>
      </c>
      <c r="B34139" s="4" t="s">
        <v>42962</v>
      </c>
      <c r="C34139" s="5" t="str">
        <f>IFERROR(__xludf.DUMMYFUNCTION("GOOGLETRANSLATE(B34139,""en"",""de"")"),"Der Tanz ist vorbei.")</f>
        <v>Der Tanz ist vorbei.</v>
      </c>
    </row>
    <row r="34140">
      <c r="A34140" s="4" t="s">
        <v>42963</v>
      </c>
      <c r="B34140" s="4" t="s">
        <v>42964</v>
      </c>
      <c r="C34140" s="5" t="str">
        <f>IFERROR(__xludf.DUMMYFUNCTION("GOOGLETRANSLATE(B34140,""en"",""de"")"),"Die Leute stehen und reden an Tischen.")</f>
        <v>Die Leute stehen und reden an Tischen.</v>
      </c>
    </row>
    <row r="34141">
      <c r="A34141" s="4" t="s">
        <v>42963</v>
      </c>
      <c r="B34141" s="4" t="s">
        <v>42965</v>
      </c>
      <c r="C34141" s="5" t="str">
        <f>IFERROR(__xludf.DUMMYFUNCTION("GOOGLETRANSLATE(B34141,""en"",""de"")"),"Spielerteams spielen Strandfußball.")</f>
        <v>Spielerteams spielen Strandfußball.</v>
      </c>
    </row>
    <row r="34142">
      <c r="A34142" s="4" t="s">
        <v>42963</v>
      </c>
      <c r="B34142" s="4" t="s">
        <v>42966</v>
      </c>
      <c r="C34142" s="5" t="str">
        <f>IFERROR(__xludf.DUMMYFUNCTION("GOOGLETRANSLATE(B34142,""en"",""de"")"),"Ein Spieler erzielt ein Tor mit dem Fußball.")</f>
        <v>Ein Spieler erzielt ein Tor mit dem Fußball.</v>
      </c>
    </row>
    <row r="34143">
      <c r="A34143" s="4" t="s">
        <v>42967</v>
      </c>
      <c r="B34143" s="4" t="s">
        <v>42968</v>
      </c>
      <c r="C34143" s="5" t="str">
        <f>IFERROR(__xludf.DUMMYFUNCTION("GOOGLETRANSLATE(B34143,""en"",""de"")"),"Der Bildschirm ist schwarz und wir sehen einen Ballerina über die Bühne tanzen Federn.")</f>
        <v>Der Bildschirm ist schwarz und wir sehen einen Ballerina über die Bühne tanzen Federn.</v>
      </c>
    </row>
    <row r="34144">
      <c r="A34144" s="4" t="s">
        <v>42967</v>
      </c>
      <c r="B34144" s="4" t="s">
        <v>42969</v>
      </c>
      <c r="C34144" s="5" t="str">
        <f>IFERROR(__xludf.DUMMYFUNCTION("GOOGLETRANSLATE(B34144,""en"",""de"")"),"Die Person bewegt sich, es ist Kopf wie ein Huhn.")</f>
        <v>Die Person bewegt sich, es ist Kopf wie ein Huhn.</v>
      </c>
    </row>
    <row r="34145">
      <c r="A34145" s="4" t="s">
        <v>42967</v>
      </c>
      <c r="B34145" s="4" t="s">
        <v>42970</v>
      </c>
      <c r="C34145" s="5" t="str">
        <f>IFERROR(__xludf.DUMMYFUNCTION("GOOGLETRANSLATE(B34145,""en"",""de"")"),"Die Person mischt und tanzt und fällt dann zu Boden, bevor er aufsteht und mehr tanzt.")</f>
        <v>Die Person mischt und tanzt und fällt dann zu Boden, bevor er aufsteht und mehr tanzt.</v>
      </c>
    </row>
    <row r="34146">
      <c r="A34146" s="4" t="s">
        <v>42967</v>
      </c>
      <c r="B34146" s="4" t="s">
        <v>42971</v>
      </c>
      <c r="C34146" s="5" t="str">
        <f>IFERROR(__xludf.DUMMYFUNCTION("GOOGLETRANSLATE(B34146,""en"",""de"")"),"Die Person steckt ihre Hände in eine Gebetspose.")</f>
        <v>Die Person steckt ihre Hände in eine Gebetspose.</v>
      </c>
    </row>
    <row r="34147">
      <c r="A34147" s="4" t="s">
        <v>42967</v>
      </c>
      <c r="B34147" s="4" t="s">
        <v>42972</v>
      </c>
      <c r="C34147" s="5" t="str">
        <f>IFERROR(__xludf.DUMMYFUNCTION("GOOGLETRANSLATE(B34147,""en"",""de"")"),"Die Person nimmt Federn vom Boden auf und streut sie herum und tanzt und fällt zu Boden und die Szene endet.")</f>
        <v>Die Person nimmt Federn vom Boden auf und streut sie herum und tanzt und fällt zu Boden und die Szene endet.</v>
      </c>
    </row>
    <row r="34148">
      <c r="A34148" s="4" t="s">
        <v>42973</v>
      </c>
      <c r="B34148" s="4" t="s">
        <v>42974</v>
      </c>
      <c r="C34148" s="5" t="str">
        <f>IFERROR(__xludf.DUMMYFUNCTION("GOOGLETRANSLATE(B34148,""en"",""de"")"),"Eine Person sitzt hinter einem Tisch, der einen Rubix -Würfel löst, während ein Timer sie aufzeichnet.")</f>
        <v>Eine Person sitzt hinter einem Tisch, der einen Rubix -Würfel löst, während ein Timer sie aufzeichnet.</v>
      </c>
    </row>
    <row r="34149">
      <c r="A34149" s="4" t="s">
        <v>42973</v>
      </c>
      <c r="B34149" s="4" t="s">
        <v>42975</v>
      </c>
      <c r="C34149" s="5" t="str">
        <f>IFERROR(__xludf.DUMMYFUNCTION("GOOGLETRANSLATE(B34149,""en"",""de"")"),"Zwei Männer stehen um sie herum und schreiben Dinge auf, als das Mädchen schließlich fertig ist.")</f>
        <v>Zwei Männer stehen um sie herum und schreiben Dinge auf, als das Mädchen schließlich fertig ist.</v>
      </c>
    </row>
    <row r="34150">
      <c r="A34150" s="4" t="s">
        <v>42976</v>
      </c>
      <c r="B34150" s="4" t="s">
        <v>42977</v>
      </c>
      <c r="C34150" s="5" t="str">
        <f>IFERROR(__xludf.DUMMYFUNCTION("GOOGLETRANSLATE(B34150,""en"",""de"")"),"Die Leute sitzen und fahren in einer Reihe von Stoßstangenkarten auf einer Strecke.")</f>
        <v>Die Leute sitzen und fahren in einer Reihe von Stoßstangenkarten auf einer Strecke.</v>
      </c>
    </row>
    <row r="34151">
      <c r="A34151" s="4" t="s">
        <v>42976</v>
      </c>
      <c r="B34151" s="4" t="s">
        <v>42978</v>
      </c>
      <c r="C34151" s="5" t="str">
        <f>IFERROR(__xludf.DUMMYFUNCTION("GOOGLETRANSLATE(B34151,""en"",""de"")"),"Sie schlagen und stoßen gegeneinander und haben Spaß.")</f>
        <v>Sie schlagen und stoßen gegeneinander und haben Spaß.</v>
      </c>
    </row>
    <row r="34152">
      <c r="A34152" s="4" t="s">
        <v>42979</v>
      </c>
      <c r="B34152" s="4" t="s">
        <v>42980</v>
      </c>
      <c r="C34152" s="5" t="str">
        <f>IFERROR(__xludf.DUMMYFUNCTION("GOOGLETRANSLATE(B34152,""en"",""de"")"),"Ein großer mit knappem Bäumen bedeckter großer Berg ist sichtbar.")</f>
        <v>Ein großer mit knappem Bäumen bedeckter großer Berg ist sichtbar.</v>
      </c>
    </row>
    <row r="34153">
      <c r="A34153" s="4" t="s">
        <v>42979</v>
      </c>
      <c r="B34153" s="4" t="s">
        <v>42981</v>
      </c>
      <c r="C34153" s="5" t="str">
        <f>IFERROR(__xludf.DUMMYFUNCTION("GOOGLETRANSLATE(B34153,""en"",""de"")"),"Jemand beginnt mit dem Skifahren und dann beginnt ein Mann in einem orangefarbenen Schneeanzug zu reden.")</f>
        <v>Jemand beginnt mit dem Skifahren und dann beginnt ein Mann in einem orangefarbenen Schneeanzug zu reden.</v>
      </c>
    </row>
    <row r="34154">
      <c r="A34154" s="4" t="s">
        <v>42979</v>
      </c>
      <c r="B34154" s="4" t="s">
        <v>42982</v>
      </c>
      <c r="C34154" s="5" t="str">
        <f>IFERROR(__xludf.DUMMYFUNCTION("GOOGLETRANSLATE(B34154,""en"",""de"")"),"Die Person fährt fort und dann scheinen zwei Männer miteinander zu sprechen.")</f>
        <v>Die Person fährt fort und dann scheinen zwei Männer miteinander zu sprechen.</v>
      </c>
    </row>
    <row r="34155">
      <c r="A34155" s="4" t="s">
        <v>42979</v>
      </c>
      <c r="B34155" s="4" t="s">
        <v>42983</v>
      </c>
      <c r="C34155" s="5" t="str">
        <f>IFERROR(__xludf.DUMMYFUNCTION("GOOGLETRANSLATE(B34155,""en"",""de"")"),"Die Person, die Ski fahren, geht dann von der Oberseite des Berges nach unten und versteckt sich dann hinter einem Eisschock.")</f>
        <v>Die Person, die Ski fahren, geht dann von der Oberseite des Berges nach unten und versteckt sich dann hinter einem Eisschock.</v>
      </c>
    </row>
    <row r="34156">
      <c r="A34156" s="4" t="s">
        <v>42984</v>
      </c>
      <c r="B34156" s="4" t="s">
        <v>42985</v>
      </c>
      <c r="C34156" s="5" t="str">
        <f>IFERROR(__xludf.DUMMYFUNCTION("GOOGLETRANSLATE(B34156,""en"",""de"")"),"Zwei Reporter berichten über eine Geschichte über das Trinken von zu viel Kaffee auf einer Live -Nachrichtensendung.")</f>
        <v>Zwei Reporter berichten über eine Geschichte über das Trinken von zu viel Kaffee auf einer Live -Nachrichtensendung.</v>
      </c>
    </row>
    <row r="34157">
      <c r="A34157" s="4" t="s">
        <v>42984</v>
      </c>
      <c r="B34157" s="4" t="s">
        <v>42986</v>
      </c>
      <c r="C34157" s="5" t="str">
        <f>IFERROR(__xludf.DUMMYFUNCTION("GOOGLETRANSLATE(B34157,""en"",""de"")"),"Ein dunkelhaariger Frau Reporter spricht vor der Kamera, bevor die Kamera zu einem blonden Reporter ausschneidet, ebenfalls vor der Kamera.")</f>
        <v>Ein dunkelhaariger Frau Reporter spricht vor der Kamera, bevor die Kamera zu einem blonden Reporter ausschneidet, ebenfalls vor der Kamera.</v>
      </c>
    </row>
    <row r="34158">
      <c r="A34158" s="4" t="s">
        <v>42984</v>
      </c>
      <c r="B34158" s="4" t="s">
        <v>42987</v>
      </c>
      <c r="C34158" s="5" t="str">
        <f>IFERROR(__xludf.DUMMYFUNCTION("GOOGLETRANSLATE(B34158,""en"",""de"")"),"Die Kamera schneidet das Video einer Kaffeetasse mit Kaffee gefüllt, während eine geschriebene Vorlage erklärt, worum es in der Geschichte unter der Tasse erscheint.")</f>
        <v>Die Kamera schneidet das Video einer Kaffeetasse mit Kaffee gefüllt, während eine geschriebene Vorlage erklärt, worum es in der Geschichte unter der Tasse erscheint.</v>
      </c>
    </row>
    <row r="34159">
      <c r="A34159" s="4" t="s">
        <v>42984</v>
      </c>
      <c r="B34159" s="4" t="s">
        <v>42988</v>
      </c>
      <c r="C34159" s="5" t="str">
        <f>IFERROR(__xludf.DUMMYFUNCTION("GOOGLETRANSLATE(B34159,""en"",""de"")"),"Die Kamera schneidet dann an ein Nachrichtenfeld von vier Personen, die vor der Kamera sprechen.")</f>
        <v>Die Kamera schneidet dann an ein Nachrichtenfeld von vier Personen, die vor der Kamera sprechen.</v>
      </c>
    </row>
    <row r="34160">
      <c r="A34160" s="4" t="s">
        <v>42989</v>
      </c>
      <c r="B34160" s="4" t="s">
        <v>42990</v>
      </c>
      <c r="C34160" s="5" t="str">
        <f>IFERROR(__xludf.DUMMYFUNCTION("GOOGLETRANSLATE(B34160,""en"",""de"")"),"Das Segelboot ist in offenem Meer, wobei einige Leute darauf stehen.")</f>
        <v>Das Segelboot ist in offenem Meer, wobei einige Leute darauf stehen.</v>
      </c>
    </row>
    <row r="34161">
      <c r="A34161" s="4" t="s">
        <v>42989</v>
      </c>
      <c r="B34161" s="4" t="s">
        <v>42991</v>
      </c>
      <c r="C34161" s="5" t="str">
        <f>IFERROR(__xludf.DUMMYFUNCTION("GOOGLETRANSLATE(B34161,""en"",""de"")"),"Männer sitzen auf dem Segelboot und fahren es und reden miteinander.")</f>
        <v>Männer sitzen auf dem Segelboot und fahren es und reden miteinander.</v>
      </c>
    </row>
    <row r="34162">
      <c r="A34162" s="4" t="s">
        <v>42992</v>
      </c>
      <c r="B34162" s="4" t="s">
        <v>42993</v>
      </c>
      <c r="C34162" s="5" t="str">
        <f>IFERROR(__xludf.DUMMYFUNCTION("GOOGLETRANSLATE(B34162,""en"",""de"")"),"Eine Gruppe von Kindern spielt und übt Basketballwürfe und -techniken in einem Innenausstattung vor Trainern und anderen Kindern.")</f>
        <v>Eine Gruppe von Kindern spielt und übt Basketballwürfe und -techniken in einem Innenausstattung vor Trainern und anderen Kindern.</v>
      </c>
    </row>
    <row r="34163">
      <c r="A34163" s="4" t="s">
        <v>42992</v>
      </c>
      <c r="B34163" s="4" t="s">
        <v>42994</v>
      </c>
      <c r="C34163" s="5" t="str">
        <f>IFERROR(__xludf.DUMMYFUNCTION("GOOGLETRANSLATE(B34163,""en"",""de"")"),"Eine Gruppe von Kindern wirft abwechselnd orange und weiße Bälle ins Netz und rennt auch ins Netz.")</f>
        <v>Eine Gruppe von Kindern wirft abwechselnd orange und weiße Bälle ins Netz und rennt auch ins Netz.</v>
      </c>
    </row>
    <row r="34164">
      <c r="A34164" s="4" t="s">
        <v>42992</v>
      </c>
      <c r="B34164" s="4" t="s">
        <v>42995</v>
      </c>
      <c r="C34164" s="5" t="str">
        <f>IFERROR(__xludf.DUMMYFUNCTION("GOOGLETRANSLATE(B34164,""en"",""de"")"),"Die Trainer verfolgen sie, während sie zu der Zeit spielen und versuchen, die Würfe mit den Händen zu blockieren.")</f>
        <v>Die Trainer verfolgen sie, während sie zu der Zeit spielen und versuchen, die Würfe mit den Händen zu blockieren.</v>
      </c>
    </row>
    <row r="34165">
      <c r="A34165" s="4" t="s">
        <v>42996</v>
      </c>
      <c r="B34165" s="4" t="s">
        <v>42997</v>
      </c>
      <c r="C34165" s="5" t="str">
        <f>IFERROR(__xludf.DUMMYFUNCTION("GOOGLETRANSLATE(B34165,""en"",""de"")"),"Ein Mann wird gesehen, wie er mit der Kamera spricht, während er durch die Gegend schwenkt und er in eine Maschine steigt.")</f>
        <v>Ein Mann wird gesehen, wie er mit der Kamera spricht, während er durch die Gegend schwenkt und er in eine Maschine steigt.</v>
      </c>
    </row>
    <row r="34166">
      <c r="A34166" s="4" t="s">
        <v>42996</v>
      </c>
      <c r="B34166" s="4" t="s">
        <v>42998</v>
      </c>
      <c r="C34166" s="5" t="str">
        <f>IFERROR(__xludf.DUMMYFUNCTION("GOOGLETRANSLATE(B34166,""en"",""de"")"),"Er nutzt die Maschine, um das Dach aufzureißen und endet mit einer Nahaufnahme der Maschine.")</f>
        <v>Er nutzt die Maschine, um das Dach aufzureißen und endet mit einer Nahaufnahme der Maschine.</v>
      </c>
    </row>
    <row r="34167">
      <c r="A34167" s="4" t="s">
        <v>42999</v>
      </c>
      <c r="B34167" s="4" t="s">
        <v>43000</v>
      </c>
      <c r="C34167" s="5" t="str">
        <f>IFERROR(__xludf.DUMMYFUNCTION("GOOGLETRANSLATE(B34167,""en"",""de"")"),"Es werden mehrere Clips gezeigt, von denen Menschen im Wasser schwimmen, was zu einer Frau führt, die in die Kamera schaut und sich immer noch unter dem Wasser bewegt.")</f>
        <v>Es werden mehrere Clips gezeigt, von denen Menschen im Wasser schwimmen, was zu einer Frau führt, die in die Kamera schaut und sich immer noch unter dem Wasser bewegt.</v>
      </c>
    </row>
    <row r="34168">
      <c r="A34168" s="4" t="s">
        <v>42999</v>
      </c>
      <c r="B34168" s="4" t="s">
        <v>43001</v>
      </c>
      <c r="C34168" s="5" t="str">
        <f>IFERROR(__xludf.DUMMYFUNCTION("GOOGLETRANSLATE(B34168,""en"",""de"")"),"Die Frau schwebt weiter im Wasser, gefolgt von einem Boogie -Brett und führt verschiedene Bewegungen um das Wasser aus.")</f>
        <v>Die Frau schwebt weiter im Wasser, gefolgt von einem Boogie -Brett und führt verschiedene Bewegungen um das Wasser aus.</v>
      </c>
    </row>
    <row r="34169">
      <c r="A34169" s="4" t="s">
        <v>43002</v>
      </c>
      <c r="B34169" s="4" t="s">
        <v>43003</v>
      </c>
      <c r="C34169" s="5" t="str">
        <f>IFERROR(__xludf.DUMMYFUNCTION("GOOGLETRANSLATE(B34169,""en"",""de"")"),"Es werden mehrere Schüsse von Landschaften gezeigt, die von Menschen, die auf einer Brücke stehen, zurückblättern.")</f>
        <v>Es werden mehrere Schüsse von Landschaften gezeigt, die von Menschen, die auf einer Brücke stehen, zurückblättern.</v>
      </c>
    </row>
    <row r="34170">
      <c r="A34170" s="4" t="s">
        <v>43002</v>
      </c>
      <c r="B34170" s="4" t="s">
        <v>43004</v>
      </c>
      <c r="C34170" s="5" t="str">
        <f>IFERROR(__xludf.DUMMYFUNCTION("GOOGLETRANSLATE(B34170,""en"",""de"")"),"Es werden Aufnahmen von Menschen gezeigt, die von der Seite der Brücke springen, während die Kamera mehr Landschaften erfasst.")</f>
        <v>Es werden Aufnahmen von Menschen gezeigt, die von der Seite der Brücke springen, während die Kamera mehr Landschaften erfasst.</v>
      </c>
    </row>
    <row r="34171">
      <c r="A34171" s="4" t="s">
        <v>43002</v>
      </c>
      <c r="B34171" s="4" t="s">
        <v>43005</v>
      </c>
      <c r="C34171" s="5" t="str">
        <f>IFERROR(__xludf.DUMMYFUNCTION("GOOGLETRANSLATE(B34171,""en"",""de"")"),"Mehrere weitere Menschen sehen sich an, wie sie zu mehr Menschen führten, die von der Seite springen.")</f>
        <v>Mehrere weitere Menschen sehen sich an, wie sie zu mehr Menschen führten, die von der Seite springen.</v>
      </c>
    </row>
    <row r="34172">
      <c r="A34172" s="4" t="s">
        <v>43006</v>
      </c>
      <c r="B34172" s="4" t="s">
        <v>43007</v>
      </c>
      <c r="C34172" s="5" t="str">
        <f>IFERROR(__xludf.DUMMYFUNCTION("GOOGLETRANSLATE(B34172,""en"",""de"")"),"Ein kleines Mädchen sitzt mit geschlossenen Augen auf einem Bett.")</f>
        <v>Ein kleines Mädchen sitzt mit geschlossenen Augen auf einem Bett.</v>
      </c>
    </row>
    <row r="34173">
      <c r="A34173" s="4" t="s">
        <v>43006</v>
      </c>
      <c r="B34173" s="4" t="s">
        <v>43008</v>
      </c>
      <c r="C34173" s="5" t="str">
        <f>IFERROR(__xludf.DUMMYFUNCTION("GOOGLETRANSLATE(B34173,""en"",""de"")"),"Eine Frau kniet sich nieder und legt das Mädchen auf das Mädchen.")</f>
        <v>Eine Frau kniet sich nieder und legt das Mädchen auf das Mädchen.</v>
      </c>
    </row>
    <row r="34174">
      <c r="A34174" s="4" t="s">
        <v>43006</v>
      </c>
      <c r="B34174" s="4" t="s">
        <v>43009</v>
      </c>
      <c r="C34174" s="5" t="str">
        <f>IFERROR(__xludf.DUMMYFUNCTION("GOOGLETRANSLATE(B34174,""en"",""de"")"),"Das Mädchen öffnet ihr Auge und lächelt.")</f>
        <v>Das Mädchen öffnet ihr Auge und lächelt.</v>
      </c>
    </row>
    <row r="34175">
      <c r="A34175" s="4" t="s">
        <v>43010</v>
      </c>
      <c r="B34175" s="4" t="s">
        <v>43011</v>
      </c>
      <c r="C34175" s="5" t="str">
        <f>IFERROR(__xludf.DUMMYFUNCTION("GOOGLETRANSLATE(B34175,""en"",""de"")"),"Eine Person repariert eine Fahrradkette und installiert die Kette auf einem Fahrrad, das mit einem Bild einer Frau durchsetzt ist.")</f>
        <v>Eine Person repariert eine Fahrradkette und installiert die Kette auf einem Fahrrad, das mit einem Bild einer Frau durchsetzt ist.</v>
      </c>
    </row>
    <row r="34176">
      <c r="A34176" s="4" t="s">
        <v>43010</v>
      </c>
      <c r="B34176" s="4" t="s">
        <v>43012</v>
      </c>
      <c r="C34176" s="5" t="str">
        <f>IFERROR(__xludf.DUMMYFUNCTION("GOOGLETRANSLATE(B34176,""en"",""de"")"),"Eine Frau schaut in eine Kamera und lächelt, während sie spricht, bevor die Szene auf ein Paar Hände abschneidet, die an einer Radkette arbeiten.")</f>
        <v>Eine Frau schaut in eine Kamera und lächelt, während sie spricht, bevor die Szene auf ein Paar Hände abschneidet, die an einer Radkette arbeiten.</v>
      </c>
    </row>
    <row r="34177">
      <c r="A34177" s="4" t="s">
        <v>43010</v>
      </c>
      <c r="B34177" s="4" t="s">
        <v>43013</v>
      </c>
      <c r="C34177" s="5" t="str">
        <f>IFERROR(__xludf.DUMMYFUNCTION("GOOGLETRANSLATE(B34177,""en"",""de"")"),"Ein Paar Hände funktioniert an einer Fahrradkette mit Werkzeugen und Schrauben.")</f>
        <v>Ein Paar Hände funktioniert an einer Fahrradkette mit Werkzeugen und Schrauben.</v>
      </c>
    </row>
    <row r="34178">
      <c r="A34178" s="4" t="s">
        <v>43010</v>
      </c>
      <c r="B34178" s="4" t="s">
        <v>43014</v>
      </c>
      <c r="C34178" s="5" t="str">
        <f>IFERROR(__xludf.DUMMYFUNCTION("GOOGLETRANSLATE(B34178,""en"",""de"")"),"Die Hände installieren die Kette auf einem blauen Fahrrad auf einer Bodenoberfläche.")</f>
        <v>Die Hände installieren die Kette auf einem blauen Fahrrad auf einer Bodenoberfläche.</v>
      </c>
    </row>
    <row r="34179">
      <c r="A34179" s="4" t="s">
        <v>43015</v>
      </c>
      <c r="B34179" s="4" t="s">
        <v>43016</v>
      </c>
      <c r="C34179" s="5" t="str">
        <f>IFERROR(__xludf.DUMMYFUNCTION("GOOGLETRANSLATE(B34179,""en"",""de"")"),"Eine Frau, die Handtücher mit der Kamera hält.")</f>
        <v>Eine Frau, die Handtücher mit der Kamera hält.</v>
      </c>
    </row>
    <row r="34180">
      <c r="A34180" s="4" t="s">
        <v>43015</v>
      </c>
      <c r="B34180" s="4" t="s">
        <v>43017</v>
      </c>
      <c r="C34180" s="5" t="str">
        <f>IFERROR(__xludf.DUMMYFUNCTION("GOOGLETRANSLATE(B34180,""en"",""de"")"),"Die Frau wischt sich das Fenster hinter ihr mit einem Handtuch ab.")</f>
        <v>Die Frau wischt sich das Fenster hinter ihr mit einem Handtuch ab.</v>
      </c>
    </row>
    <row r="34181">
      <c r="A34181" s="4" t="s">
        <v>43015</v>
      </c>
      <c r="B34181" s="4" t="s">
        <v>43018</v>
      </c>
      <c r="C34181" s="5" t="str">
        <f>IFERROR(__xludf.DUMMYFUNCTION("GOOGLETRANSLATE(B34181,""en"",""de"")"),"Die Frau sprüht eine Flüssigkeit auf das Fenster.")</f>
        <v>Die Frau sprüht eine Flüssigkeit auf das Fenster.</v>
      </c>
    </row>
    <row r="34182">
      <c r="A34182" s="4" t="s">
        <v>43015</v>
      </c>
      <c r="B34182" s="4" t="s">
        <v>43019</v>
      </c>
      <c r="C34182" s="5" t="str">
        <f>IFERROR(__xludf.DUMMYFUNCTION("GOOGLETRANSLATE(B34182,""en"",""de"")"),"Die Frau wird fortgesetzt, das Fenster zu wischen.")</f>
        <v>Die Frau wird fortgesetzt, das Fenster zu wischen.</v>
      </c>
    </row>
    <row r="34183">
      <c r="A34183" s="4" t="s">
        <v>43015</v>
      </c>
      <c r="B34183" s="4" t="s">
        <v>43020</v>
      </c>
      <c r="C34183" s="5" t="str">
        <f>IFERROR(__xludf.DUMMYFUNCTION("GOOGLETRANSLATE(B34183,""en"",""de"")"),"Die Frau kehrt zum Gespräch mit der Kamera zurück.")</f>
        <v>Die Frau kehrt zum Gespräch mit der Kamera zurück.</v>
      </c>
    </row>
    <row r="34184">
      <c r="A34184" s="4" t="s">
        <v>43021</v>
      </c>
      <c r="B34184" s="4" t="s">
        <v>43022</v>
      </c>
      <c r="C34184" s="5" t="str">
        <f>IFERROR(__xludf.DUMMYFUNCTION("GOOGLETRANSLATE(B34184,""en"",""de"")"),"Zwei Jungen führen Armringen durch, während die Leute beobachten, plötzlich befreien die Jungs ihre Hände.")</f>
        <v>Zwei Jungen führen Armringen durch, während die Leute beobachten, plötzlich befreien die Jungs ihre Hände.</v>
      </c>
    </row>
    <row r="34185">
      <c r="A34185" s="4" t="s">
        <v>43021</v>
      </c>
      <c r="B34185" s="4" t="s">
        <v>43023</v>
      </c>
      <c r="C34185" s="5" t="str">
        <f>IFERROR(__xludf.DUMMYFUNCTION("GOOGLETRANSLATE(B34185,""en"",""de"")"),"Danach konkurrieren sie weiter, dann faltete der Junge, der lila T-Shirt trägt, die Hand seines Rivalen.")</f>
        <v>Danach konkurrieren sie weiter, dann faltete der Junge, der lila T-Shirt trägt, die Hand seines Rivalen.</v>
      </c>
    </row>
    <row r="34186">
      <c r="A34186" s="4" t="s">
        <v>43021</v>
      </c>
      <c r="B34186" s="4" t="s">
        <v>43024</v>
      </c>
      <c r="C34186" s="5" t="str">
        <f>IFERROR(__xludf.DUMMYFUNCTION("GOOGLETRANSLATE(B34186,""en"",""de"")"),"Danach ringen weiterhin Arm und befreit dann die Hände wieder.")</f>
        <v>Danach ringen weiterhin Arm und befreit dann die Hände wieder.</v>
      </c>
    </row>
    <row r="34187">
      <c r="A34187" s="4" t="s">
        <v>43025</v>
      </c>
      <c r="B34187" s="4" t="s">
        <v>43026</v>
      </c>
      <c r="C34187" s="5" t="str">
        <f>IFERROR(__xludf.DUMMYFUNCTION("GOOGLETRANSLATE(B34187,""en"",""de"")"),"Ein Mann in Blau steht in einem Auditorium.")</f>
        <v>Ein Mann in Blau steht in einem Auditorium.</v>
      </c>
    </row>
    <row r="34188">
      <c r="A34188" s="4" t="s">
        <v>43025</v>
      </c>
      <c r="B34188" s="4" t="s">
        <v>43027</v>
      </c>
      <c r="C34188" s="5" t="str">
        <f>IFERROR(__xludf.DUMMYFUNCTION("GOOGLETRANSLATE(B34188,""en"",""de"")"),"Er macht Gymnastik auf Ausrüstung.")</f>
        <v>Er macht Gymnastik auf Ausrüstung.</v>
      </c>
    </row>
    <row r="34189">
      <c r="A34189" s="4" t="s">
        <v>43025</v>
      </c>
      <c r="B34189" s="4" t="s">
        <v>43028</v>
      </c>
      <c r="C34189" s="5" t="str">
        <f>IFERROR(__xludf.DUMMYFUNCTION("GOOGLETRANSLATE(B34189,""en"",""de"")"),"Die Leute beobachten von den Tribünen.")</f>
        <v>Die Leute beobachten von den Tribünen.</v>
      </c>
    </row>
    <row r="34190">
      <c r="A34190" s="4" t="s">
        <v>43025</v>
      </c>
      <c r="B34190" s="4" t="s">
        <v>43029</v>
      </c>
      <c r="C34190" s="5" t="str">
        <f>IFERROR(__xludf.DUMMYFUNCTION("GOOGLETRANSLATE(B34190,""en"",""de"")"),"Er dreht seinen Körper herum.")</f>
        <v>Er dreht seinen Körper herum.</v>
      </c>
    </row>
    <row r="34191">
      <c r="A34191" s="4" t="s">
        <v>43030</v>
      </c>
      <c r="B34191" s="4" t="s">
        <v>43031</v>
      </c>
      <c r="C34191" s="5" t="str">
        <f>IFERROR(__xludf.DUMMYFUNCTION("GOOGLETRANSLATE(B34191,""en"",""de"")"),"Zwei Menschen Weißwasserfloß über einem felsigen, klimatischen, Wasserkörper in schmalen Kanus und mit Paddeln.")</f>
        <v>Zwei Menschen Weißwasserfloß über einem felsigen, klimatischen, Wasserkörper in schmalen Kanus und mit Paddeln.</v>
      </c>
    </row>
    <row r="34192">
      <c r="A34192" s="4" t="s">
        <v>43030</v>
      </c>
      <c r="B34192" s="4" t="s">
        <v>43032</v>
      </c>
      <c r="C34192" s="5" t="str">
        <f>IFERROR(__xludf.DUMMYFUNCTION("GOOGLETRANSLATE(B34192,""en"",""de"")"),"Eine Person, die in einem roten und schwarzen Outfit gekleidet ist, steht in einem roten Kanu und beginnt, ein schwarzes Gerät anzuziehen.")</f>
        <v>Eine Person, die in einem roten und schwarzen Outfit gekleidet ist, steht in einem roten Kanu und beginnt, ein schwarzes Gerät anzuziehen.</v>
      </c>
    </row>
    <row r="34193">
      <c r="A34193" s="4" t="s">
        <v>43030</v>
      </c>
      <c r="B34193" s="4" t="s">
        <v>43033</v>
      </c>
      <c r="C34193" s="5" t="str">
        <f>IFERROR(__xludf.DUMMYFUNCTION("GOOGLETRANSLATE(B34193,""en"",""de"")"),"Die Person im roten und schwarzen Outfit beginnt im roten Kanu über einem turbulenten Gewässer, der mit großen Felsen gefüllt ist.")</f>
        <v>Die Person im roten und schwarzen Outfit beginnt im roten Kanu über einem turbulenten Gewässer, der mit großen Felsen gefüllt ist.</v>
      </c>
    </row>
    <row r="34194">
      <c r="A34194" s="4" t="s">
        <v>43030</v>
      </c>
      <c r="B34194" s="4" t="s">
        <v>43034</v>
      </c>
      <c r="C34194" s="5" t="str">
        <f>IFERROR(__xludf.DUMMYFUNCTION("GOOGLETRANSLATE(B34194,""en"",""de"")"),"Die Person im roten Kanu nähert sich einem anderen Kanu im Wasser, diesem Blau, dem roten Kanu und dem blauen Kanu durch das Wasser hintereinander, während die Szene zu schwarz verblasst.")</f>
        <v>Die Person im roten Kanu nähert sich einem anderen Kanu im Wasser, diesem Blau, dem roten Kanu und dem blauen Kanu durch das Wasser hintereinander, während die Szene zu schwarz verblasst.</v>
      </c>
    </row>
    <row r="34195">
      <c r="A34195" s="4" t="s">
        <v>43035</v>
      </c>
      <c r="B34195" s="4" t="s">
        <v>43036</v>
      </c>
      <c r="C34195" s="5" t="str">
        <f>IFERROR(__xludf.DUMMYFUNCTION("GOOGLETRANSLATE(B34195,""en"",""de"")"),"Die Leute treten auf einer holprigen Straße mit dem Fahrrad an.")</f>
        <v>Die Leute treten auf einer holprigen Straße mit dem Fahrrad an.</v>
      </c>
    </row>
    <row r="34196">
      <c r="A34196" s="4" t="s">
        <v>43035</v>
      </c>
      <c r="B34196" s="4" t="s">
        <v>43037</v>
      </c>
      <c r="C34196" s="5" t="str">
        <f>IFERROR(__xludf.DUMMYFUNCTION("GOOGLETRANSLATE(B34196,""en"",""de"")"),"Eine Person sprüht Wasser auf die holprige Straße, an der die Biker vorbeikommen.")</f>
        <v>Eine Person sprüht Wasser auf die holprige Straße, an der die Biker vorbeikommen.</v>
      </c>
    </row>
    <row r="34197">
      <c r="A34197" s="4" t="s">
        <v>43035</v>
      </c>
      <c r="B34197" s="4" t="s">
        <v>43038</v>
      </c>
      <c r="C34197" s="5" t="str">
        <f>IFERROR(__xludf.DUMMYFUNCTION("GOOGLETRANSLATE(B34197,""en"",""de"")"),"Eine Gruppe von Bikern verlässt die Startlinie, um den Motocross-Wettbewerb zu starten, während andere Gruppen mit dem Fahrrad mit dem Fahrrad leiten.")</f>
        <v>Eine Gruppe von Bikern verlässt die Startlinie, um den Motocross-Wettbewerb zu starten, während andere Gruppen mit dem Fahrrad mit dem Fahrrad leiten.</v>
      </c>
    </row>
    <row r="34198">
      <c r="A34198" s="4" t="s">
        <v>43035</v>
      </c>
      <c r="B34198" s="4" t="s">
        <v>43039</v>
      </c>
      <c r="C34198" s="5" t="str">
        <f>IFERROR(__xludf.DUMMYFUNCTION("GOOGLETRANSLATE(B34198,""en"",""de"")"),"Eine Person, die weiße Oberseite trägt, fotografiert zu den Bikern.")</f>
        <v>Eine Person, die weiße Oberseite trägt, fotografiert zu den Bikern.</v>
      </c>
    </row>
    <row r="34199">
      <c r="A34199" s="4" t="s">
        <v>43035</v>
      </c>
      <c r="B34199" s="4" t="s">
        <v>43040</v>
      </c>
      <c r="C34199" s="5" t="str">
        <f>IFERROR(__xludf.DUMMYFUNCTION("GOOGLETRANSLATE(B34199,""en"",""de"")"),"Neue Gruppen von Bikern laufen auf der holprigen Straße, um mit dem Fahrrad zu konkurrieren.")</f>
        <v>Neue Gruppen von Bikern laufen auf der holprigen Straße, um mit dem Fahrrad zu konkurrieren.</v>
      </c>
    </row>
    <row r="34200">
      <c r="A34200" s="4" t="s">
        <v>43041</v>
      </c>
      <c r="B34200" s="4" t="s">
        <v>43042</v>
      </c>
      <c r="C34200" s="5" t="str">
        <f>IFERROR(__xludf.DUMMYFUNCTION("GOOGLETRANSLATE(B34200,""en"",""de"")"),"Ein Junge trägt Sprungschuhe, um vor einem Gebäude und auf einem Spielplatz zu springen.")</f>
        <v>Ein Junge trägt Sprungschuhe, um vor einem Gebäude und auf einem Spielplatz zu springen.</v>
      </c>
    </row>
    <row r="34201">
      <c r="A34201" s="4" t="s">
        <v>43041</v>
      </c>
      <c r="B34201" s="4" t="s">
        <v>43043</v>
      </c>
      <c r="C34201" s="5" t="str">
        <f>IFERROR(__xludf.DUMMYFUNCTION("GOOGLETRANSLATE(B34201,""en"",""de"")"),"Dann stellt der Junge die Stufen eines Gebäudes auf und unternimmt dann große Schritte und springt hoch.")</f>
        <v>Dann stellt der Junge die Stufen eines Gebäudes auf und unternimmt dann große Schritte und springt hoch.</v>
      </c>
    </row>
    <row r="34202">
      <c r="A34202" s="4" t="s">
        <v>43041</v>
      </c>
      <c r="B34202" s="4" t="s">
        <v>43044</v>
      </c>
      <c r="C34202" s="5" t="str">
        <f>IFERROR(__xludf.DUMMYFUNCTION("GOOGLETRANSLATE(B34202,""en"",""de"")"),"Eine vierköpfige Familie wartet auf den Jungen, um die Straße zu bestehen.")</f>
        <v>Eine vierköpfige Familie wartet auf den Jungen, um die Straße zu bestehen.</v>
      </c>
    </row>
    <row r="34203">
      <c r="A34203" s="4" t="s">
        <v>43041</v>
      </c>
      <c r="B34203" s="4" t="s">
        <v>43045</v>
      </c>
      <c r="C34203" s="5" t="str">
        <f>IFERROR(__xludf.DUMMYFUNCTION("GOOGLETRANSLATE(B34203,""en"",""de"")"),"Dann kehrt der Junge zum Spielplatz zurück und springt über einen Stein.")</f>
        <v>Dann kehrt der Junge zum Spielplatz zurück und springt über einen Stein.</v>
      </c>
    </row>
    <row r="34204">
      <c r="A34204" s="4" t="s">
        <v>43041</v>
      </c>
      <c r="B34204" s="4" t="s">
        <v>43046</v>
      </c>
      <c r="C34204" s="5" t="str">
        <f>IFERROR(__xludf.DUMMYFUNCTION("GOOGLETRANSLATE(B34204,""en"",""de"")"),"Danach springt der Junge hoch auf der Straße, bis er zu einem Parkplatz ankommt.")</f>
        <v>Danach springt der Junge hoch auf der Straße, bis er zu einem Parkplatz ankommt.</v>
      </c>
    </row>
    <row r="34205">
      <c r="A34205" s="4" t="s">
        <v>43047</v>
      </c>
      <c r="B34205" s="4" t="s">
        <v>20672</v>
      </c>
      <c r="C34205" s="5" t="str">
        <f>IFERROR(__xludf.DUMMYFUNCTION("GOOGLETRANSLATE(B34205,""en"",""de"")"),"Ein Mädchen springt auf einen Balancestrahl.")</f>
        <v>Ein Mädchen springt auf einen Balancestrahl.</v>
      </c>
    </row>
    <row r="34206">
      <c r="A34206" s="4" t="s">
        <v>43047</v>
      </c>
      <c r="B34206" s="4" t="s">
        <v>32035</v>
      </c>
      <c r="C34206" s="5" t="str">
        <f>IFERROR(__xludf.DUMMYFUNCTION("GOOGLETRANSLATE(B34206,""en"",""de"")"),"Sie macht eine Gymnastikroutine auf dem Balancestrahl.")</f>
        <v>Sie macht eine Gymnastikroutine auf dem Balancestrahl.</v>
      </c>
    </row>
    <row r="34207">
      <c r="A34207" s="4" t="s">
        <v>43047</v>
      </c>
      <c r="B34207" s="4" t="s">
        <v>43048</v>
      </c>
      <c r="C34207" s="5" t="str">
        <f>IFERROR(__xludf.DUMMYFUNCTION("GOOGLETRANSLATE(B34207,""en"",""de"")"),"Sie steigt und landet mit hochem Armen auf der Matte.")</f>
        <v>Sie steigt und landet mit hochem Armen auf der Matte.</v>
      </c>
    </row>
    <row r="34208">
      <c r="A34208" s="4" t="s">
        <v>43049</v>
      </c>
      <c r="B34208" s="4" t="s">
        <v>43050</v>
      </c>
      <c r="C34208" s="5" t="str">
        <f>IFERROR(__xludf.DUMMYFUNCTION("GOOGLETRANSLATE(B34208,""en"",""de"")"),"Wir sehen einen Mädchen treten und setzen.")</f>
        <v>Wir sehen einen Mädchen treten und setzen.</v>
      </c>
    </row>
    <row r="34209">
      <c r="A34209" s="4" t="s">
        <v>43049</v>
      </c>
      <c r="B34209" s="4" t="s">
        <v>43051</v>
      </c>
      <c r="C34209" s="5" t="str">
        <f>IFERROR(__xludf.DUMMYFUNCTION("GOOGLETRANSLATE(B34209,""en"",""de"")"),"Ein Junge schließt sich ihr an und sie essen Eis.")</f>
        <v>Ein Junge schließt sich ihr an und sie essen Eis.</v>
      </c>
    </row>
    <row r="34210">
      <c r="A34210" s="4" t="s">
        <v>43049</v>
      </c>
      <c r="B34210" s="4" t="s">
        <v>43052</v>
      </c>
      <c r="C34210" s="5" t="str">
        <f>IFERROR(__xludf.DUMMYFUNCTION("GOOGLETRANSLATE(B34210,""en"",""de"")"),"Der Junge stellt seinen Kegel vor die Kamera.")</f>
        <v>Der Junge stellt seinen Kegel vor die Kamera.</v>
      </c>
    </row>
    <row r="34211">
      <c r="A34211" s="4" t="s">
        <v>43049</v>
      </c>
      <c r="B34211" s="4" t="s">
        <v>43053</v>
      </c>
      <c r="C34211" s="5" t="str">
        <f>IFERROR(__xludf.DUMMYFUNCTION("GOOGLETRANSLATE(B34211,""en"",""de"")"),"Der Junge leckt sein Eis wild.")</f>
        <v>Der Junge leckt sein Eis wild.</v>
      </c>
    </row>
    <row r="34212">
      <c r="A34212" s="4" t="s">
        <v>43049</v>
      </c>
      <c r="B34212" s="4" t="s">
        <v>43054</v>
      </c>
      <c r="C34212" s="5" t="str">
        <f>IFERROR(__xludf.DUMMYFUNCTION("GOOGLETRANSLATE(B34212,""en"",""de"")"),"Ein Junge wirft etwas mit Eis auf den Jungen.")</f>
        <v>Ein Junge wirft etwas mit Eis auf den Jungen.</v>
      </c>
    </row>
    <row r="34213">
      <c r="A34213" s="4" t="s">
        <v>43055</v>
      </c>
      <c r="B34213" s="4" t="s">
        <v>43056</v>
      </c>
      <c r="C34213" s="5" t="str">
        <f>IFERROR(__xludf.DUMMYFUNCTION("GOOGLETRANSLATE(B34213,""en"",""de"")"),"Ein Junge trinkt etwas aus einer kleinen Tasse in einem Badezimmer.")</f>
        <v>Ein Junge trinkt etwas aus einer kleinen Tasse in einem Badezimmer.</v>
      </c>
    </row>
    <row r="34214">
      <c r="A34214" s="4" t="s">
        <v>43055</v>
      </c>
      <c r="B34214" s="4" t="s">
        <v>43057</v>
      </c>
      <c r="C34214" s="5" t="str">
        <f>IFERROR(__xludf.DUMMYFUNCTION("GOOGLETRANSLATE(B34214,""en"",""de"")"),"Der Junge rennt in den Raum und springt auf das Bett.")</f>
        <v>Der Junge rennt in den Raum und springt auf das Bett.</v>
      </c>
    </row>
    <row r="34215">
      <c r="A34215" s="4" t="s">
        <v>43055</v>
      </c>
      <c r="B34215" s="4" t="s">
        <v>43058</v>
      </c>
      <c r="C34215" s="5" t="str">
        <f>IFERROR(__xludf.DUMMYFUNCTION("GOOGLETRANSLATE(B34215,""en"",""de"")"),"Der Junge schluckt den Gegenstand in seinem Mund und bedeckt seinen Mund mit seinen Händen.")</f>
        <v>Der Junge schluckt den Gegenstand in seinem Mund und bedeckt seinen Mund mit seinen Händen.</v>
      </c>
    </row>
    <row r="34216">
      <c r="A34216" s="4" t="s">
        <v>43059</v>
      </c>
      <c r="B34216" s="4" t="s">
        <v>43060</v>
      </c>
      <c r="C34216" s="5" t="str">
        <f>IFERROR(__xludf.DUMMYFUNCTION("GOOGLETRANSLATE(B34216,""en"",""de"")"),"Eine Person sitzt am Wasser in einem Kajak mit einem Paddel am Wasser.")</f>
        <v>Eine Person sitzt am Wasser in einem Kajak mit einem Paddel am Wasser.</v>
      </c>
    </row>
    <row r="34217">
      <c r="A34217" s="4" t="s">
        <v>43059</v>
      </c>
      <c r="B34217" s="4" t="s">
        <v>43061</v>
      </c>
      <c r="C34217" s="5" t="str">
        <f>IFERROR(__xludf.DUMMYFUNCTION("GOOGLETRANSLATE(B34217,""en"",""de"")"),"Die Person bewegt sich dann am Wasser im Kajak.")</f>
        <v>Die Person bewegt sich dann am Wasser im Kajak.</v>
      </c>
    </row>
    <row r="34218">
      <c r="A34218" s="4" t="s">
        <v>43059</v>
      </c>
      <c r="B34218" s="4" t="s">
        <v>43062</v>
      </c>
      <c r="C34218" s="5" t="str">
        <f>IFERROR(__xludf.DUMMYFUNCTION("GOOGLETRANSLATE(B34218,""en"",""de"")"),"Die Person paddelt weiter und wird dann von einem Seil zurückgezogen und seine Arme jubeln hoch.")</f>
        <v>Die Person paddelt weiter und wird dann von einem Seil zurückgezogen und seine Arme jubeln hoch.</v>
      </c>
    </row>
    <row r="34219">
      <c r="A34219" s="4" t="s">
        <v>43063</v>
      </c>
      <c r="B34219" s="4" t="s">
        <v>43064</v>
      </c>
      <c r="C34219" s="5" t="str">
        <f>IFERROR(__xludf.DUMMYFUNCTION("GOOGLETRANSLATE(B34219,""en"",""de"")"),"Eine große Gruppe von Menschen ist in verschiedenen Bereichen eines Gebäudes zu sehen, während sich einige für ein Rennen anmelden.")</f>
        <v>Eine große Gruppe von Menschen ist in verschiedenen Bereichen eines Gebäudes zu sehen, während sich einige für ein Rennen anmelden.</v>
      </c>
    </row>
    <row r="34220">
      <c r="A34220" s="4" t="s">
        <v>43063</v>
      </c>
      <c r="B34220" s="4" t="s">
        <v>43065</v>
      </c>
      <c r="C34220" s="5" t="str">
        <f>IFERROR(__xludf.DUMMYFUNCTION("GOOGLETRANSLATE(B34220,""en"",""de"")"),"Die Leute sitzen in einer Strecke und führt zu kleinen Kindern, die mehrere Langstöcke spielen.")</f>
        <v>Die Leute sitzen in einer Strecke und führt zu kleinen Kindern, die mehrere Langstöcke spielen.</v>
      </c>
    </row>
    <row r="34221">
      <c r="A34221" s="4" t="s">
        <v>43063</v>
      </c>
      <c r="B34221" s="4" t="s">
        <v>43066</v>
      </c>
      <c r="C34221" s="5" t="str">
        <f>IFERROR(__xludf.DUMMYFUNCTION("GOOGLETRANSLATE(B34221,""en"",""de"")"),"Ein älterer Mann kündigt am Ende Preise an und die Gewinner stehen bereit und holen sich ihre Bänder.")</f>
        <v>Ein älterer Mann kündigt am Ende Preise an und die Gewinner stehen bereit und holen sich ihre Bänder.</v>
      </c>
    </row>
    <row r="34222">
      <c r="A34222" s="4" t="s">
        <v>43067</v>
      </c>
      <c r="B34222" s="4" t="s">
        <v>43068</v>
      </c>
      <c r="C34222" s="5" t="str">
        <f>IFERROR(__xludf.DUMMYFUNCTION("GOOGLETRANSLATE(B34222,""en"",""de"")"),"Ein weißer Breville -Toaster sitzt auf einer Theke, die angeschlossen ist.")</f>
        <v>Ein weißer Breville -Toaster sitzt auf einer Theke, die angeschlossen ist.</v>
      </c>
    </row>
    <row r="34223">
      <c r="A34223" s="4" t="s">
        <v>43067</v>
      </c>
      <c r="B34223" s="4" t="s">
        <v>43069</v>
      </c>
      <c r="C34223" s="5" t="str">
        <f>IFERROR(__xludf.DUMMYFUNCTION("GOOGLETRANSLATE(B34223,""en"",""de"")"),"Vor dem Toaster sitzt ein Block weißer Creme und eine Banane auf einem weißen Teller.")</f>
        <v>Vor dem Toaster sitzt ein Block weißer Creme und eine Banane auf einem weißen Teller.</v>
      </c>
    </row>
    <row r="34224">
      <c r="A34224" s="4" t="s">
        <v>43067</v>
      </c>
      <c r="B34224" s="4" t="s">
        <v>43070</v>
      </c>
      <c r="C34224" s="5" t="str">
        <f>IFERROR(__xludf.DUMMYFUNCTION("GOOGLETRANSLATE(B34224,""en"",""de"")"),"Als nächstes stehen zwei Brotscheiben im Toaster auf und ab.")</f>
        <v>Als nächstes stehen zwei Brotscheiben im Toaster auf und ab.</v>
      </c>
    </row>
    <row r="34225">
      <c r="A34225" s="4" t="s">
        <v>43067</v>
      </c>
      <c r="B34225" s="4" t="s">
        <v>43071</v>
      </c>
      <c r="C34225" s="5" t="str">
        <f>IFERROR(__xludf.DUMMYFUNCTION("GOOGLETRANSLATE(B34225,""en"",""de"")"),"Sobald das Brot fertig ist, wird es auf den Teller gelegt und die Ausbreitung wird auf beide Scheiben des Brads gelegt, dann wird die Banane geschnitten und auf das Brot auf die Bananen gelegt.")</f>
        <v>Sobald das Brot fertig ist, wird es auf den Teller gelegt und die Ausbreitung wird auf beide Scheiben des Brads gelegt, dann wird die Banane geschnitten und auf das Brot auf die Bananen gelegt.</v>
      </c>
    </row>
    <row r="34226">
      <c r="A34226" s="4" t="s">
        <v>43067</v>
      </c>
      <c r="B34226" s="4" t="s">
        <v>43072</v>
      </c>
      <c r="C34226" s="5" t="str">
        <f>IFERROR(__xludf.DUMMYFUNCTION("GOOGLETRANSLATE(B34226,""en"",""de"")"),"Jetzt ist das Sandwich halb geschnitten und die Person beginnt es zu essen.")</f>
        <v>Jetzt ist das Sandwich halb geschnitten und die Person beginnt es zu essen.</v>
      </c>
    </row>
    <row r="34227">
      <c r="A34227" s="4" t="s">
        <v>43073</v>
      </c>
      <c r="B34227" s="4" t="s">
        <v>43074</v>
      </c>
      <c r="C34227" s="5" t="str">
        <f>IFERROR(__xludf.DUMMYFUNCTION("GOOGLETRANSLATE(B34227,""en"",""de"")"),"Ein älterer Mann kniet in der Mitte eines Fitnessstudio mit mehreren Menschen um ihn herum.")</f>
        <v>Ein älterer Mann kniet in der Mitte eines Fitnessstudio mit mehreren Menschen um ihn herum.</v>
      </c>
    </row>
    <row r="34228">
      <c r="A34228" s="4" t="s">
        <v>43073</v>
      </c>
      <c r="B34228" s="4" t="s">
        <v>43075</v>
      </c>
      <c r="C34228" s="5" t="str">
        <f>IFERROR(__xludf.DUMMYFUNCTION("GOOGLETRANSLATE(B34228,""en"",""de"")"),"Der Mann zieht ein Übungsgerät an, das seine Oberarme nach hinten und viertes arbeitet.")</f>
        <v>Der Mann zieht ein Übungsgerät an, das seine Oberarme nach hinten und viertes arbeitet.</v>
      </c>
    </row>
    <row r="34229">
      <c r="A34229" s="4" t="s">
        <v>43076</v>
      </c>
      <c r="B34229" s="4" t="s">
        <v>43077</v>
      </c>
      <c r="C34229" s="5" t="str">
        <f>IFERROR(__xludf.DUMMYFUNCTION("GOOGLETRANSLATE(B34229,""en"",""de"")"),"Eine Frau sitzt in einer Arztpraxis mit einem Arzt, der mit ihr und der Kamera spricht.")</f>
        <v>Eine Frau sitzt in einer Arztpraxis mit einem Arzt, der mit ihr und der Kamera spricht.</v>
      </c>
    </row>
    <row r="34230">
      <c r="A34230" s="4" t="s">
        <v>43076</v>
      </c>
      <c r="B34230" s="4" t="s">
        <v>43078</v>
      </c>
      <c r="C34230" s="5" t="str">
        <f>IFERROR(__xludf.DUMMYFUNCTION("GOOGLETRANSLATE(B34230,""en"",""de"")"),"Der Arzt hält dann ein Objekt bis zur Lippe des Mädchens.")</f>
        <v>Der Arzt hält dann ein Objekt bis zur Lippe des Mädchens.</v>
      </c>
    </row>
    <row r="34231">
      <c r="A34231" s="4" t="s">
        <v>43076</v>
      </c>
      <c r="B34231" s="4" t="s">
        <v>43079</v>
      </c>
      <c r="C34231" s="5" t="str">
        <f>IFERROR(__xludf.DUMMYFUNCTION("GOOGLETRANSLATE(B34231,""en"",""de"")"),"Schließlich durchbohrt der Mann die Lippen der Mädchen und lächelt zu ihr.")</f>
        <v>Schließlich durchbohrt der Mann die Lippen der Mädchen und lächelt zu ihr.</v>
      </c>
    </row>
    <row r="34232">
      <c r="A34232" s="4" t="s">
        <v>43080</v>
      </c>
      <c r="B34232" s="4" t="s">
        <v>43081</v>
      </c>
      <c r="C34232" s="5" t="str">
        <f>IFERROR(__xludf.DUMMYFUNCTION("GOOGLETRANSLATE(B34232,""en"",""de"")"),"Ein Junge steht auf einem Podium und spricht in ein Mikrofon.")</f>
        <v>Ein Junge steht auf einem Podium und spricht in ein Mikrofon.</v>
      </c>
    </row>
    <row r="34233">
      <c r="A34233" s="4" t="s">
        <v>43080</v>
      </c>
      <c r="B34233" s="4" t="s">
        <v>43082</v>
      </c>
      <c r="C34233" s="5" t="str">
        <f>IFERROR(__xludf.DUMMYFUNCTION("GOOGLETRANSLATE(B34233,""en"",""de"")"),"Eine Gruppe von Mädchen ist zusammen auf der Bühne.")</f>
        <v>Eine Gruppe von Mädchen ist zusammen auf der Bühne.</v>
      </c>
    </row>
    <row r="34234">
      <c r="A34234" s="4" t="s">
        <v>43080</v>
      </c>
      <c r="B34234" s="4" t="s">
        <v>43083</v>
      </c>
      <c r="C34234" s="5" t="str">
        <f>IFERROR(__xludf.DUMMYFUNCTION("GOOGLETRANSLATE(B34234,""en"",""de"")"),"Sie beginnen zu tanzen, während sie Hula Hoops verwenden.")</f>
        <v>Sie beginnen zu tanzen, während sie Hula Hoops verwenden.</v>
      </c>
    </row>
    <row r="34235">
      <c r="A34235" s="4" t="s">
        <v>43080</v>
      </c>
      <c r="B34235" s="4" t="s">
        <v>43084</v>
      </c>
      <c r="C34235" s="5" t="str">
        <f>IFERROR(__xludf.DUMMYFUNCTION("GOOGLETRANSLATE(B34235,""en"",""de"")"),"Wenn sie fertig sind, sammelt ein Mädchen die Reifen und die Menge klatscht, wenn der Vorhang schließt.")</f>
        <v>Wenn sie fertig sind, sammelt ein Mädchen die Reifen und die Menge klatscht, wenn der Vorhang schließt.</v>
      </c>
    </row>
    <row r="34236">
      <c r="A34236" s="4" t="s">
        <v>43085</v>
      </c>
      <c r="B34236" s="4" t="s">
        <v>43086</v>
      </c>
      <c r="C34236" s="5" t="str">
        <f>IFERROR(__xludf.DUMMYFUNCTION("GOOGLETRANSLATE(B34236,""en"",""de"")"),"Eine Frau sitzt auf dem Boden, während sie eine Katze hält und ihre Krallen schneidet.")</f>
        <v>Eine Frau sitzt auf dem Boden, während sie eine Katze hält und ihre Krallen schneidet.</v>
      </c>
    </row>
    <row r="34237">
      <c r="A34237" s="4" t="s">
        <v>43085</v>
      </c>
      <c r="B34237" s="4" t="s">
        <v>43087</v>
      </c>
      <c r="C34237" s="5" t="str">
        <f>IFERROR(__xludf.DUMMYFUNCTION("GOOGLETRANSLATE(B34237,""en"",""de"")"),"Die Frau hält die Katze weiterhin fest, schneidet seine Krallen und steht dann auf und rennt am Ende weg.")</f>
        <v>Die Frau hält die Katze weiterhin fest, schneidet seine Krallen und steht dann auf und rennt am Ende weg.</v>
      </c>
    </row>
    <row r="34238">
      <c r="A34238" s="4" t="s">
        <v>43088</v>
      </c>
      <c r="B34238" s="4" t="s">
        <v>43089</v>
      </c>
      <c r="C34238" s="5" t="str">
        <f>IFERROR(__xludf.DUMMYFUNCTION("GOOGLETRANSLATE(B34238,""en"",""de"")"),"Die Worte ""Frauenkünstlerische Gymnastik (WAG)"" erscheinen auf einem roten Bildschirm.")</f>
        <v>Die Worte "Frauenkünstlerische Gymnastik (WAG)" erscheinen auf einem roten Bildschirm.</v>
      </c>
    </row>
    <row r="34239">
      <c r="A34239" s="4" t="s">
        <v>43088</v>
      </c>
      <c r="B34239" s="4" t="s">
        <v>43090</v>
      </c>
      <c r="C34239" s="5" t="str">
        <f>IFERROR(__xludf.DUMMYFUNCTION("GOOGLETRANSLATE(B34239,""en"",""de"")"),"""Code of Points 2013-2016"" erscheinen kurz.")</f>
        <v>"Code of Points 2013-2016" erscheinen kurz.</v>
      </c>
    </row>
    <row r="34240">
      <c r="A34240" s="4" t="s">
        <v>43088</v>
      </c>
      <c r="B34240" s="4" t="s">
        <v>43091</v>
      </c>
      <c r="C34240" s="5" t="str">
        <f>IFERROR(__xludf.DUMMYFUNCTION("GOOGLETRANSLATE(B34240,""en"",""de"")"),"Es werden Clips von Chellsie -Memmel -Turymnastikstudien gezeigt.")</f>
        <v>Es werden Clips von Chellsie -Memmel -Turymnastikstudien gezeigt.</v>
      </c>
    </row>
    <row r="34241">
      <c r="A34241" s="4" t="s">
        <v>43088</v>
      </c>
      <c r="B34241" s="4" t="s">
        <v>43092</v>
      </c>
      <c r="C34241" s="5" t="str">
        <f>IFERROR(__xludf.DUMMYFUNCTION("GOOGLETRANSLATE(B34241,""en"",""de"")"),"Verschiedene Statistiken aus ihrer Leistung werden auf dem Bildschirm angezeigt.")</f>
        <v>Verschiedene Statistiken aus ihrer Leistung werden auf dem Bildschirm angezeigt.</v>
      </c>
    </row>
    <row r="34242">
      <c r="A34242" s="4" t="s">
        <v>43093</v>
      </c>
      <c r="B34242" s="4" t="s">
        <v>43094</v>
      </c>
      <c r="C34242" s="5" t="str">
        <f>IFERROR(__xludf.DUMMYFUNCTION("GOOGLETRANSLATE(B34242,""en"",""de"")"),"Diese Frau macht ein Nagel -Tutorial für die Erstellung von Nyan -Katzennägeln.")</f>
        <v>Diese Frau macht ein Nagel -Tutorial für die Erstellung von Nyan -Katzennägeln.</v>
      </c>
    </row>
    <row r="34243">
      <c r="A34243" s="4" t="s">
        <v>43093</v>
      </c>
      <c r="B34243" s="4" t="s">
        <v>43095</v>
      </c>
      <c r="C34243" s="5" t="str">
        <f>IFERROR(__xludf.DUMMYFUNCTION("GOOGLETRANSLATE(B34243,""en"",""de"")"),"Malen Sie zuerst alle Ihre Nägel blau und machen Sie einen großen weißen Streifen über sie und punkten Sie kleine Sterne.")</f>
        <v>Malen Sie zuerst alle Ihre Nägel blau und machen Sie einen großen weißen Streifen über sie und punkten Sie kleine Sterne.</v>
      </c>
    </row>
    <row r="34244">
      <c r="A34244" s="4" t="s">
        <v>43093</v>
      </c>
      <c r="B34244" s="4" t="s">
        <v>43096</v>
      </c>
      <c r="C34244" s="5" t="str">
        <f>IFERROR(__xludf.DUMMYFUNCTION("GOOGLETRANSLATE(B34244,""en"",""de"")"),"Verwenden Sie dann einen winzigen Pinsel, um Regenbogenfarben zu setzen, und dann einen Plastikbeutel, um Nyan Cat zu machen, und sie schiebt sie auf ihren Nagel.")</f>
        <v>Verwenden Sie dann einen winzigen Pinsel, um Regenbogenfarben zu setzen, und dann einen Plastikbeutel, um Nyan Cat zu machen, und sie schiebt sie auf ihren Nagel.</v>
      </c>
    </row>
    <row r="34245">
      <c r="A34245" s="4" t="s">
        <v>43097</v>
      </c>
      <c r="B34245" s="4" t="s">
        <v>43098</v>
      </c>
      <c r="C34245" s="5" t="str">
        <f>IFERROR(__xludf.DUMMYFUNCTION("GOOGLETRANSLATE(B34245,""en"",""de"")"),"Eine Dame diskutiert und faltet ein Handtuch.")</f>
        <v>Eine Dame diskutiert und faltet ein Handtuch.</v>
      </c>
    </row>
    <row r="34246">
      <c r="A34246" s="4" t="s">
        <v>43097</v>
      </c>
      <c r="B34246" s="4" t="s">
        <v>43099</v>
      </c>
      <c r="C34246" s="5" t="str">
        <f>IFERROR(__xludf.DUMMYFUNCTION("GOOGLETRANSLATE(B34246,""en"",""de"")"),"Die Dame wäscht ihr Gesicht mit einem Pulver aus einer Schachtel.")</f>
        <v>Die Dame wäscht ihr Gesicht mit einem Pulver aus einer Schachtel.</v>
      </c>
    </row>
    <row r="34247">
      <c r="A34247" s="4" t="s">
        <v>43097</v>
      </c>
      <c r="B34247" s="4" t="s">
        <v>43100</v>
      </c>
      <c r="C34247" s="5" t="str">
        <f>IFERROR(__xludf.DUMMYFUNCTION("GOOGLETRANSLATE(B34247,""en"",""de"")"),"Die Dame spült ihr Gesicht und trocknet mit einem Handtuch aus.")</f>
        <v>Die Dame spült ihr Gesicht und trocknet mit einem Handtuch aus.</v>
      </c>
    </row>
    <row r="34248">
      <c r="A34248" s="4" t="s">
        <v>43101</v>
      </c>
      <c r="B34248" s="4" t="s">
        <v>43102</v>
      </c>
      <c r="C34248" s="5" t="str">
        <f>IFERROR(__xludf.DUMMYFUNCTION("GOOGLETRANSLATE(B34248,""en"",""de"")"),"Eine Frau, die versucht, die Art und Weise der Big Bang Theory zu unterweisen, Rockpapierschere zu spielen, Eidechse Spock.")</f>
        <v>Eine Frau, die versucht, die Art und Weise der Big Bang Theory zu unterweisen, Rockpapierschere zu spielen, Eidechse Spock.</v>
      </c>
    </row>
    <row r="34249">
      <c r="A34249" s="4" t="s">
        <v>43101</v>
      </c>
      <c r="B34249" s="4" t="s">
        <v>43103</v>
      </c>
      <c r="C34249" s="5" t="str">
        <f>IFERROR(__xludf.DUMMYFUNCTION("GOOGLETRANSLATE(B34249,""en"",""de"")"),"Es zeigt einen kurzen Clip von Sheldon von der Urknalltheorie, das es tatsächlich tut.")</f>
        <v>Es zeigt einen kurzen Clip von Sheldon von der Urknalltheorie, das es tatsächlich tut.</v>
      </c>
    </row>
    <row r="34250">
      <c r="A34250" s="4" t="s">
        <v>43101</v>
      </c>
      <c r="B34250" s="4" t="s">
        <v>43104</v>
      </c>
      <c r="C34250" s="5" t="str">
        <f>IFERROR(__xludf.DUMMYFUNCTION("GOOGLETRANSLATE(B34250,""en"",""de"")"),"Dann versucht sie es ein paar Mal für die Zuschauer zu demonstrieren.")</f>
        <v>Dann versucht sie es ein paar Mal für die Zuschauer zu demonstrieren.</v>
      </c>
    </row>
    <row r="34251">
      <c r="A34251" s="4" t="s">
        <v>43101</v>
      </c>
      <c r="B34251" s="4" t="s">
        <v>43105</v>
      </c>
      <c r="C34251" s="5" t="str">
        <f>IFERROR(__xludf.DUMMYFUNCTION("GOOGLETRANSLATE(B34251,""en"",""de"")"),"Am Ende lächelt sie und beendet es mit einem weiteren Bild der Urknalltheorie.")</f>
        <v>Am Ende lächelt sie und beendet es mit einem weiteren Bild der Urknalltheorie.</v>
      </c>
    </row>
    <row r="34252">
      <c r="A34252" s="4" t="s">
        <v>43106</v>
      </c>
      <c r="B34252" s="4" t="s">
        <v>1251</v>
      </c>
      <c r="C34252" s="5" t="str">
        <f>IFERROR(__xludf.DUMMYFUNCTION("GOOGLETRANSLATE(B34252,""en"",""de"")"),"Die Credits des Clips werden angezeigt.")</f>
        <v>Die Credits des Clips werden angezeigt.</v>
      </c>
    </row>
    <row r="34253">
      <c r="A34253" s="4" t="s">
        <v>43106</v>
      </c>
      <c r="B34253" s="4" t="s">
        <v>43107</v>
      </c>
      <c r="C34253" s="5" t="str">
        <f>IFERROR(__xludf.DUMMYFUNCTION("GOOGLETRANSLATE(B34253,""en"",""de"")"),"Ein Mann schwingt ein Metallobjekt von Hand zu Hand.")</f>
        <v>Ein Mann schwingt ein Metallobjekt von Hand zu Hand.</v>
      </c>
    </row>
    <row r="34254">
      <c r="A34254" s="4" t="s">
        <v>43106</v>
      </c>
      <c r="B34254" s="4" t="s">
        <v>43108</v>
      </c>
      <c r="C34254" s="5" t="str">
        <f>IFERROR(__xludf.DUMMYFUNCTION("GOOGLETRANSLATE(B34254,""en"",""de"")"),"Der Mann dreht und veröffentlicht ein Objekt hinter ihm, und die Credits des Videos werden gezeigt.")</f>
        <v>Der Mann dreht und veröffentlicht ein Objekt hinter ihm, und die Credits des Videos werden gezeigt.</v>
      </c>
    </row>
    <row r="34255">
      <c r="A34255" s="4" t="s">
        <v>43109</v>
      </c>
      <c r="B34255" s="4" t="s">
        <v>43110</v>
      </c>
      <c r="C34255" s="5" t="str">
        <f>IFERROR(__xludf.DUMMYFUNCTION("GOOGLETRANSLATE(B34255,""en"",""de"")"),"Ein Mann und eine Frau stehen in einer Küche hinter einer Insel mit Früchten.")</f>
        <v>Ein Mann und eine Frau stehen in einer Küche hinter einer Insel mit Früchten.</v>
      </c>
    </row>
    <row r="34256">
      <c r="A34256" s="4" t="s">
        <v>43109</v>
      </c>
      <c r="B34256" s="4" t="s">
        <v>43111</v>
      </c>
      <c r="C34256" s="5" t="str">
        <f>IFERROR(__xludf.DUMMYFUNCTION("GOOGLETRANSLATE(B34256,""en"",""de"")"),"Sobald das Mann gesprochen hat, beginnt die Frau, ein Gemüse zu streiten und eine Orange in zwei Hälften zu schneiden.")</f>
        <v>Sobald das Mann gesprochen hat, beginnt die Frau, ein Gemüse zu streiten und eine Orange in zwei Hälften zu schneiden.</v>
      </c>
    </row>
    <row r="34257">
      <c r="A34257" s="4" t="s">
        <v>43109</v>
      </c>
      <c r="B34257" s="4" t="s">
        <v>43112</v>
      </c>
      <c r="C34257" s="5" t="str">
        <f>IFERROR(__xludf.DUMMYFUNCTION("GOOGLETRANSLATE(B34257,""en"",""de"")"),"Sie drückt dann die Orange in eine klare Glasschale und würze und mischt sie mit den zuvor geschnittenen Zutaten.")</f>
        <v>Sie drückt dann die Orange in eine klare Glasschale und würze und mischt sie mit den zuvor geschnittenen Zutaten.</v>
      </c>
    </row>
    <row r="34258">
      <c r="A34258" s="4" t="s">
        <v>43113</v>
      </c>
      <c r="B34258" s="4" t="s">
        <v>43114</v>
      </c>
      <c r="C34258" s="5" t="str">
        <f>IFERROR(__xludf.DUMMYFUNCTION("GOOGLETRANSLATE(B34258,""en"",""de"")"),"Eine Person schaut in mehreren Aufnahmen sowie eine Nahaufnahme eines Dirt -Fahrrads zur Kamera.")</f>
        <v>Eine Person schaut in mehreren Aufnahmen sowie eine Nahaufnahme eines Dirt -Fahrrads zur Kamera.</v>
      </c>
    </row>
    <row r="34259">
      <c r="A34259" s="4" t="s">
        <v>43113</v>
      </c>
      <c r="B34259" s="4" t="s">
        <v>43115</v>
      </c>
      <c r="C34259" s="5" t="str">
        <f>IFERROR(__xludf.DUMMYFUNCTION("GOOGLETRANSLATE(B34259,""en"",""de"")"),"Die Leute werden dann in mehreren Schüssen gezeigt, die um eine Spur fahren und Tricks ausführen.")</f>
        <v>Die Leute werden dann in mehreren Schüssen gezeigt, die um eine Spur fahren und Tricks ausführen.</v>
      </c>
    </row>
    <row r="34260">
      <c r="A34260" s="4" t="s">
        <v>43113</v>
      </c>
      <c r="B34260" s="4" t="s">
        <v>43116</v>
      </c>
      <c r="C34260" s="5" t="str">
        <f>IFERROR(__xludf.DUMMYFUNCTION("GOOGLETRANSLATE(B34260,""en"",""de"")"),"Die Männer reiten in vielen Schüssen um bewaldete Bereiche sowie Spuren.")</f>
        <v>Die Männer reiten in vielen Schüssen um bewaldete Bereiche sowie Spuren.</v>
      </c>
    </row>
    <row r="34261">
      <c r="A34261" s="4" t="s">
        <v>43117</v>
      </c>
      <c r="B34261" s="4" t="s">
        <v>43118</v>
      </c>
      <c r="C34261" s="5" t="str">
        <f>IFERROR(__xludf.DUMMYFUNCTION("GOOGLETRANSLATE(B34261,""en"",""de"")"),"Es gibt viele verschiedene Menschen im Poolschwimmen und die Worte ""Speedo, wie man Serien wie man während Ihres offenen Wasserschwimms führt"" erscheinen auf dem Bildschirm.")</f>
        <v>Es gibt viele verschiedene Menschen im Poolschwimmen und die Worte "Speedo, wie man Serien wie man während Ihres offenen Wasserschwimms führt" erscheinen auf dem Bildschirm.</v>
      </c>
    </row>
    <row r="34262">
      <c r="A34262" s="4" t="s">
        <v>43117</v>
      </c>
      <c r="B34262" s="4" t="s">
        <v>43119</v>
      </c>
      <c r="C34262" s="5" t="str">
        <f>IFERROR(__xludf.DUMMYFUNCTION("GOOGLETRANSLATE(B34262,""en"",""de"")"),"Eine junge Dame in einem Badeanzug und eine Duschkappe sitzt an der Seite des Pools und redet, während ihre Schwimmen abgebildet sind, und ihr Name ist Keri-Anne Payne und der olympische Medaillengewinner von 10 km Open Water Silber.")</f>
        <v>Eine junge Dame in einem Badeanzug und eine Duschkappe sitzt an der Seite des Pools und redet, während ihre Schwimmen abgebildet sind, und ihr Name ist Keri-Anne Payne und der olympische Medaillengewinner von 10 km Open Water Silber.</v>
      </c>
    </row>
    <row r="34263">
      <c r="A34263" s="4" t="s">
        <v>43117</v>
      </c>
      <c r="B34263" s="4" t="s">
        <v>43120</v>
      </c>
      <c r="C34263" s="5" t="str">
        <f>IFERROR(__xludf.DUMMYFUNCTION("GOOGLETRANSLATE(B34263,""en"",""de"")"),"Das Outro erscheint und es ist ein schwarzer Bildschirm mit einem Speedo -Logo und dem Wort Speedo.")</f>
        <v>Das Outro erscheint und es ist ein schwarzer Bildschirm mit einem Speedo -Logo und dem Wort Speedo.</v>
      </c>
    </row>
    <row r="34264">
      <c r="A34264" s="4" t="s">
        <v>43121</v>
      </c>
      <c r="B34264" s="4" t="s">
        <v>43122</v>
      </c>
      <c r="C34264" s="5" t="str">
        <f>IFERROR(__xludf.DUMMYFUNCTION("GOOGLETRANSLATE(B34264,""en"",""de"")"),"Ein Intro führt zu mehreren Klammern von Menschen, die auf Pferden reiten, die ein Seil werfen und Waden mitten in einer Grube greifen.")</f>
        <v>Ein Intro führt zu mehreren Klammern von Menschen, die auf Pferden reiten, die ein Seil werfen und Waden mitten in einer Grube greifen.</v>
      </c>
    </row>
    <row r="34265">
      <c r="A34265" s="4" t="s">
        <v>43121</v>
      </c>
      <c r="B34265" s="4" t="s">
        <v>43123</v>
      </c>
      <c r="C34265" s="5" t="str">
        <f>IFERROR(__xludf.DUMMYFUNCTION("GOOGLETRANSLATE(B34265,""en"",""de"")"),"Weitere Clips werden von Menschen gezeigt, die Waden in der Grube absaugen und mit Bildern von Menschen enden, die auftreten.")</f>
        <v>Weitere Clips werden von Menschen gezeigt, die Waden in der Grube absaugen und mit Bildern von Menschen enden, die auftreten.</v>
      </c>
    </row>
    <row r="34266">
      <c r="A34266" s="4" t="s">
        <v>43124</v>
      </c>
      <c r="B34266" s="4" t="s">
        <v>43125</v>
      </c>
      <c r="C34266" s="5" t="str">
        <f>IFERROR(__xludf.DUMMYFUNCTION("GOOGLETRANSLATE(B34266,""en"",""de"")"),"Eine Gruppe von Frauen und ein Mann spielt Volleyball im Sand am Strand.")</f>
        <v>Eine Gruppe von Frauen und ein Mann spielt Volleyball im Sand am Strand.</v>
      </c>
    </row>
    <row r="34267">
      <c r="A34267" s="4" t="s">
        <v>43124</v>
      </c>
      <c r="B34267" s="4" t="s">
        <v>43126</v>
      </c>
      <c r="C34267" s="5" t="str">
        <f>IFERROR(__xludf.DUMMYFUNCTION("GOOGLETRANSLATE(B34267,""en"",""de"")"),"Sie lohen den rosa Ball über das Netz hin und her.")</f>
        <v>Sie lohen den rosa Ball über das Netz hin und her.</v>
      </c>
    </row>
    <row r="34268">
      <c r="A34268" s="4" t="s">
        <v>43124</v>
      </c>
      <c r="B34268" s="4" t="s">
        <v>43127</v>
      </c>
      <c r="C34268" s="5" t="str">
        <f>IFERROR(__xludf.DUMMYFUNCTION("GOOGLETRANSLATE(B34268,""en"",""de"")"),"Eine Frau geht hinter ein Gerät, um den Ball zu greifen.")</f>
        <v>Eine Frau geht hinter ein Gerät, um den Ball zu greifen.</v>
      </c>
    </row>
    <row r="34269">
      <c r="A34269" s="4" t="s">
        <v>43128</v>
      </c>
      <c r="B34269" s="4" t="s">
        <v>43129</v>
      </c>
      <c r="C34269" s="5" t="str">
        <f>IFERROR(__xludf.DUMMYFUNCTION("GOOGLETRANSLATE(B34269,""en"",""de"")"),"Eine große Gruppe von Frauen bewegt sich in einer Bühne und beginnt mit zwei Frauen, die eine Bauch -Tanzroutine durchführen.")</f>
        <v>Eine große Gruppe von Frauen bewegt sich in einer Bühne und beginnt mit zwei Frauen, die eine Bauch -Tanzroutine durchführen.</v>
      </c>
    </row>
    <row r="34270">
      <c r="A34270" s="4" t="s">
        <v>43128</v>
      </c>
      <c r="B34270" s="4" t="s">
        <v>43130</v>
      </c>
      <c r="C34270" s="5" t="str">
        <f>IFERROR(__xludf.DUMMYFUNCTION("GOOGLETRANSLATE(B34270,""en"",""de"")"),"Die Frauen tanzen weiter auf der Bühne und enden, indem sie eine Pose halten und gegenseitig stießen.")</f>
        <v>Die Frauen tanzen weiter auf der Bühne und enden, indem sie eine Pose halten und gegenseitig stießen.</v>
      </c>
    </row>
    <row r="34271">
      <c r="A34271" s="4" t="s">
        <v>43131</v>
      </c>
      <c r="B34271" s="4" t="s">
        <v>43132</v>
      </c>
      <c r="C34271" s="5" t="str">
        <f>IFERROR(__xludf.DUMMYFUNCTION("GOOGLETRANSLATE(B34271,""en"",""de"")"),"Mehrere Flaschen und Nagelwerkzeuge sitzen auf einem Tisch.")</f>
        <v>Mehrere Flaschen und Nagelwerkzeuge sitzen auf einem Tisch.</v>
      </c>
    </row>
    <row r="34272">
      <c r="A34272" s="4" t="s">
        <v>43131</v>
      </c>
      <c r="B34272" s="4" t="s">
        <v>43133</v>
      </c>
      <c r="C34272" s="5" t="str">
        <f>IFERROR(__xludf.DUMMYFUNCTION("GOOGLETRANSLATE(B34272,""en"",""de"")"),"Eine Frau legt ihre Nägel mit einer weißen Balken auf den Tisch.")</f>
        <v>Eine Frau legt ihre Nägel mit einer weißen Balken auf den Tisch.</v>
      </c>
    </row>
    <row r="34273">
      <c r="A34273" s="4" t="s">
        <v>43131</v>
      </c>
      <c r="B34273" s="4" t="s">
        <v>43134</v>
      </c>
      <c r="C34273" s="5" t="str">
        <f>IFERROR(__xludf.DUMMYFUNCTION("GOOGLETRANSLATE(B34273,""en"",""de"")"),"Sie malt dann ihre Nägel klar.")</f>
        <v>Sie malt dann ihre Nägel klar.</v>
      </c>
    </row>
    <row r="34274">
      <c r="A34274" s="4" t="s">
        <v>43131</v>
      </c>
      <c r="B34274" s="4" t="s">
        <v>43135</v>
      </c>
      <c r="C34274" s="5" t="str">
        <f>IFERROR(__xludf.DUMMYFUNCTION("GOOGLETRANSLATE(B34274,""en"",""de"")"),"Sie legt dann ihre Fingernägel in eine weiße Schachtel, die beleuchtet ist.")</f>
        <v>Sie legt dann ihre Fingernägel in eine weiße Schachtel, die beleuchtet ist.</v>
      </c>
    </row>
    <row r="34275">
      <c r="A34275" s="4" t="s">
        <v>43131</v>
      </c>
      <c r="B34275" s="4" t="s">
        <v>43136</v>
      </c>
      <c r="C34275" s="5" t="str">
        <f>IFERROR(__xludf.DUMMYFUNCTION("GOOGLETRANSLATE(B34275,""en"",""de"")"),"Das Licht schaltet sich aus und sie nimmt ihre Hand aus und legt es auf den Tisch.")</f>
        <v>Das Licht schaltet sich aus und sie nimmt ihre Hand aus und legt es auf den Tisch.</v>
      </c>
    </row>
    <row r="34276">
      <c r="A34276" s="4" t="s">
        <v>43131</v>
      </c>
      <c r="B34276" s="4" t="s">
        <v>43137</v>
      </c>
      <c r="C34276" s="5" t="str">
        <f>IFERROR(__xludf.DUMMYFUNCTION("GOOGLETRANSLATE(B34276,""en"",""de"")"),"Auf dem Bildschirm wird eine Nagellackflasche angezeigt.")</f>
        <v>Auf dem Bildschirm wird eine Nagellackflasche angezeigt.</v>
      </c>
    </row>
    <row r="34277">
      <c r="A34277" s="4" t="s">
        <v>43131</v>
      </c>
      <c r="B34277" s="4" t="s">
        <v>43138</v>
      </c>
      <c r="C34277" s="5" t="str">
        <f>IFERROR(__xludf.DUMMYFUNCTION("GOOGLETRANSLATE(B34277,""en"",""de"")"),"Sie malt ihre Nägel mit dieser Politur.")</f>
        <v>Sie malt ihre Nägel mit dieser Politur.</v>
      </c>
    </row>
    <row r="34278">
      <c r="A34278" s="4" t="s">
        <v>43131</v>
      </c>
      <c r="B34278" s="4" t="s">
        <v>43139</v>
      </c>
      <c r="C34278" s="5" t="str">
        <f>IFERROR(__xludf.DUMMYFUNCTION("GOOGLETRANSLATE(B34278,""en"",""de"")"),"Sie steckt ihre Hand wieder in die beleuchtete Schachtel auf dem Tisch.")</f>
        <v>Sie steckt ihre Hand wieder in die beleuchtete Schachtel auf dem Tisch.</v>
      </c>
    </row>
    <row r="34279">
      <c r="A34279" s="4" t="s">
        <v>43131</v>
      </c>
      <c r="B34279" s="4" t="s">
        <v>43140</v>
      </c>
      <c r="C34279" s="5" t="str">
        <f>IFERROR(__xludf.DUMMYFUNCTION("GOOGLETRANSLATE(B34279,""en"",""de"")"),"Sie macht einen weiteren Mantel des Nagellacks.")</f>
        <v>Sie macht einen weiteren Mantel des Nagellacks.</v>
      </c>
    </row>
    <row r="34280">
      <c r="A34280" s="4" t="s">
        <v>43131</v>
      </c>
      <c r="B34280" s="4" t="s">
        <v>43141</v>
      </c>
      <c r="C34280" s="5" t="str">
        <f>IFERROR(__xludf.DUMMYFUNCTION("GOOGLETRANSLATE(B34280,""en"",""de"")"),"Sie steckt ihre Hand wieder in die beleuchtete Schachtel.")</f>
        <v>Sie steckt ihre Hand wieder in die beleuchtete Schachtel.</v>
      </c>
    </row>
    <row r="34281">
      <c r="A34281" s="4" t="s">
        <v>43131</v>
      </c>
      <c r="B34281" s="4" t="s">
        <v>43142</v>
      </c>
      <c r="C34281" s="5" t="str">
        <f>IFERROR(__xludf.DUMMYFUNCTION("GOOGLETRANSLATE(B34281,""en"",""de"")"),"Eine Flasche wird auf dem Tisch angezeigt.")</f>
        <v>Eine Flasche wird auf dem Tisch angezeigt.</v>
      </c>
    </row>
    <row r="34282">
      <c r="A34282" s="4" t="s">
        <v>43131</v>
      </c>
      <c r="B34282" s="4" t="s">
        <v>43143</v>
      </c>
      <c r="C34282" s="5" t="str">
        <f>IFERROR(__xludf.DUMMYFUNCTION("GOOGLETRANSLATE(B34282,""en"",""de"")"),"Sie legt ihre Hände flach auf den Tisch.")</f>
        <v>Sie legt ihre Hände flach auf den Tisch.</v>
      </c>
    </row>
    <row r="34283">
      <c r="A34283" s="4" t="s">
        <v>43144</v>
      </c>
      <c r="B34283" s="4" t="s">
        <v>43145</v>
      </c>
      <c r="C34283" s="5" t="str">
        <f>IFERROR(__xludf.DUMMYFUNCTION("GOOGLETRANSLATE(B34283,""en"",""de"")"),"Zitronen werden auf eine Theke geworfen und mit Eis in Masongläser auf der Theke erscheinen auch eine Brille Zitronen.")</f>
        <v>Zitronen werden auf eine Theke geworfen und mit Eis in Masongläser auf der Theke erscheinen auch eine Brille Zitronen.</v>
      </c>
    </row>
    <row r="34284">
      <c r="A34284" s="4" t="s">
        <v>43144</v>
      </c>
      <c r="B34284" s="4" t="s">
        <v>43146</v>
      </c>
      <c r="C34284" s="5" t="str">
        <f>IFERROR(__xludf.DUMMYFUNCTION("GOOGLETRANSLATE(B34284,""en"",""de"")"),"Zitronen werden dann gleichmäßig gegen den Schalter hin und her gerollt, wobei die Handfläche mit festem Druck mit festem Druck ist.")</f>
        <v>Zitronen werden dann gleichmäßig gegen den Schalter hin und her gerollt, wobei die Handfläche mit festem Druck mit festem Druck ist.</v>
      </c>
    </row>
    <row r="34285">
      <c r="A34285" s="4" t="s">
        <v>43144</v>
      </c>
      <c r="B34285" s="4" t="s">
        <v>43147</v>
      </c>
      <c r="C34285" s="5" t="str">
        <f>IFERROR(__xludf.DUMMYFUNCTION("GOOGLETRANSLATE(B34285,""en"",""de"")"),"Die Zitronen werden gegen eine Metallfutterfahrer hin und her abgekratzt, um die Schale von ihnen zu bekommen, und die Haut der Zitrone in einer Schüssel lassen.")</f>
        <v>Die Zitronen werden gegen eine Metallfutterfahrer hin und her abgekratzt, um die Schale von ihnen zu bekommen, und die Haut der Zitrone in einer Schüssel lassen.</v>
      </c>
    </row>
    <row r="34286">
      <c r="A34286" s="4" t="s">
        <v>43144</v>
      </c>
      <c r="B34286" s="4" t="s">
        <v>43148</v>
      </c>
      <c r="C34286" s="5" t="str">
        <f>IFERROR(__xludf.DUMMYFUNCTION("GOOGLETRANSLATE(B34286,""en"",""de"")"),"Wasser wird zusammen mit Zucker in einen Topf gegeben, und dann wird auch die Zitronenschale, die mit dem Metallschredder extrahiert wurde, dem Wasser zugesetzt.")</f>
        <v>Wasser wird zusammen mit Zucker in einen Topf gegeben, und dann wird auch die Zitronenschale, die mit dem Metallschredder extrahiert wurde, dem Wasser zugesetzt.</v>
      </c>
    </row>
    <row r="34287">
      <c r="A34287" s="4" t="s">
        <v>43144</v>
      </c>
      <c r="B34287" s="4" t="s">
        <v>43149</v>
      </c>
      <c r="C34287" s="5" t="str">
        <f>IFERROR(__xludf.DUMMYFUNCTION("GOOGLETRANSLATE(B34287,""en"",""de"")"),"Die Zitronen werden geschnitten und über einer Glasschale entsaftet und dann wird der Saft zusammen mit dem Zuckerwasser mit der Schale durch ein Sieb gegossen, das zuvor im Topf gemischt wurde.")</f>
        <v>Die Zitronen werden geschnitten und über einer Glasschale entsaftet und dann wird der Saft zusammen mit dem Zuckerwasser mit der Schale durch ein Sieb gegossen, das zuvor im Topf gemischt wurde.</v>
      </c>
    </row>
    <row r="34288">
      <c r="A34288" s="4" t="s">
        <v>43144</v>
      </c>
      <c r="B34288" s="4" t="s">
        <v>43150</v>
      </c>
      <c r="C34288" s="5" t="str">
        <f>IFERROR(__xludf.DUMMYFUNCTION("GOOGLETRANSLATE(B34288,""en"",""de"")"),"Die Mischung wird mit zugesetztem Wasser gerührt und dann wird Eis hinzugefügt.")</f>
        <v>Die Mischung wird mit zugesetztem Wasser gerührt und dann wird Eis hinzugefügt.</v>
      </c>
    </row>
    <row r="34289">
      <c r="A34289" s="4" t="s">
        <v>43151</v>
      </c>
      <c r="B34289" s="4" t="s">
        <v>43152</v>
      </c>
      <c r="C34289" s="5" t="str">
        <f>IFERROR(__xludf.DUMMYFUNCTION("GOOGLETRANSLATE(B34289,""en"",""de"")"),"Ein Mann steht mit einem Mann in einem Schlafzimmer.")</f>
        <v>Ein Mann steht mit einem Mann in einem Schlafzimmer.</v>
      </c>
    </row>
    <row r="34290">
      <c r="A34290" s="4" t="s">
        <v>43151</v>
      </c>
      <c r="B34290" s="4" t="s">
        <v>43153</v>
      </c>
      <c r="C34290" s="5" t="str">
        <f>IFERROR(__xludf.DUMMYFUNCTION("GOOGLETRANSLATE(B34290,""en"",""de"")"),"Er beugt sich hin und beginnt den anderen Mann aufzunehmen.")</f>
        <v>Er beugt sich hin und beginnt den anderen Mann aufzunehmen.</v>
      </c>
    </row>
    <row r="34291">
      <c r="A34291" s="4" t="s">
        <v>43151</v>
      </c>
      <c r="B34291" s="4" t="s">
        <v>43154</v>
      </c>
      <c r="C34291" s="5" t="str">
        <f>IFERROR(__xludf.DUMMYFUNCTION("GOOGLETRANSLATE(B34291,""en"",""de"")"),"Er wirft schließlich den Mann auf das Bett.")</f>
        <v>Er wirft schließlich den Mann auf das Bett.</v>
      </c>
    </row>
    <row r="34292">
      <c r="A34292" s="4" t="s">
        <v>43155</v>
      </c>
      <c r="B34292" s="4" t="s">
        <v>43156</v>
      </c>
      <c r="C34292" s="5" t="str">
        <f>IFERROR(__xludf.DUMMYFUNCTION("GOOGLETRANSLATE(B34292,""en"",""de"")"),"Zwei Gruppen von Jungen treten an Tug of War -Seil an, während ein Mann das Spiel überwacht und andere Leute zuschauen.")</f>
        <v>Zwei Gruppen von Jungen treten an Tug of War -Seil an, während ein Mann das Spiel überwacht und andere Leute zuschauen.</v>
      </c>
    </row>
    <row r="34293">
      <c r="A34293" s="4" t="s">
        <v>43155</v>
      </c>
      <c r="B34293" s="4" t="s">
        <v>43157</v>
      </c>
      <c r="C34293" s="5" t="str">
        <f>IFERROR(__xludf.DUMMYFUNCTION("GOOGLETRANSLATE(B34293,""en"",""de"")"),"Eine Person macht ein Foto.")</f>
        <v>Eine Person macht ein Foto.</v>
      </c>
    </row>
    <row r="34294">
      <c r="A34294" s="4" t="s">
        <v>43155</v>
      </c>
      <c r="B34294" s="4" t="s">
        <v>43158</v>
      </c>
      <c r="C34294" s="5" t="str">
        <f>IFERROR(__xludf.DUMMYFUNCTION("GOOGLETRANSLATE(B34294,""en"",""de"")"),"Das Team auf der linken Seite gewinnt den Wettbewerb.")</f>
        <v>Das Team auf der linken Seite gewinnt den Wettbewerb.</v>
      </c>
    </row>
    <row r="34295">
      <c r="A34295" s="4" t="s">
        <v>43159</v>
      </c>
      <c r="B34295" s="4" t="s">
        <v>43160</v>
      </c>
      <c r="C34295" s="5" t="str">
        <f>IFERROR(__xludf.DUMMYFUNCTION("GOOGLETRANSLATE(B34295,""en"",""de"")"),"Das Video führt zu mehreren Schüssen von Menschen, die an einem Strand stehen und im Sand spielen.")</f>
        <v>Das Video führt zu mehreren Schüssen von Menschen, die an einem Strand stehen und im Sand spielen.</v>
      </c>
    </row>
    <row r="34296">
      <c r="A34296" s="4" t="s">
        <v>43159</v>
      </c>
      <c r="B34296" s="4" t="s">
        <v>43161</v>
      </c>
      <c r="C34296" s="5" t="str">
        <f>IFERROR(__xludf.DUMMYFUNCTION("GOOGLETRANSLATE(B34296,""en"",""de"")"),"Es werden einige weitere Bilder von Menschen gezeigt, die sich am Strand entlang bewegt und anderen und Aufnahmen der Landschaft helfen.")</f>
        <v>Es werden einige weitere Bilder von Menschen gezeigt, die sich am Strand entlang bewegt und anderen und Aufnahmen der Landschaft helfen.</v>
      </c>
    </row>
    <row r="34297">
      <c r="A34297" s="4" t="s">
        <v>43162</v>
      </c>
      <c r="B34297" s="4" t="s">
        <v>43163</v>
      </c>
      <c r="C34297" s="5" t="str">
        <f>IFERROR(__xludf.DUMMYFUNCTION("GOOGLETRANSLATE(B34297,""en"",""de"")"),"Wir sehen, wie sich die Rolling -Credits auf dem Bildschirm erheben.")</f>
        <v>Wir sehen, wie sich die Rolling -Credits auf dem Bildschirm erheben.</v>
      </c>
    </row>
    <row r="34298">
      <c r="A34298" s="4" t="s">
        <v>43162</v>
      </c>
      <c r="B34298" s="4" t="s">
        <v>43164</v>
      </c>
      <c r="C34298" s="5" t="str">
        <f>IFERROR(__xludf.DUMMYFUNCTION("GOOGLETRANSLATE(B34298,""en"",""de"")"),"Wir sehen drei Personen, die in einem Fitnessstudio stationäre Fahrräder fahren.")</f>
        <v>Wir sehen drei Personen, die in einem Fitnessstudio stationäre Fahrräder fahren.</v>
      </c>
    </row>
    <row r="34299">
      <c r="A34299" s="4" t="s">
        <v>43162</v>
      </c>
      <c r="B34299" s="4" t="s">
        <v>43165</v>
      </c>
      <c r="C34299" s="5" t="str">
        <f>IFERROR(__xludf.DUMMYFUNCTION("GOOGLETRANSLATE(B34299,""en"",""de"")"),"Die Kamera rückt näher an die Biker heran.")</f>
        <v>Die Kamera rückt näher an die Biker heran.</v>
      </c>
    </row>
    <row r="34300">
      <c r="A34300" s="4" t="s">
        <v>43162</v>
      </c>
      <c r="B34300" s="4" t="s">
        <v>43166</v>
      </c>
      <c r="C34300" s="5" t="str">
        <f>IFERROR(__xludf.DUMMYFUNCTION("GOOGLETRANSLATE(B34300,""en"",""de"")"),"Die Dame stoppt und passt etwas an ihrem Fahrrad an.")</f>
        <v>Die Dame stoppt und passt etwas an ihrem Fahrrad an.</v>
      </c>
    </row>
    <row r="34301">
      <c r="A34301" s="4" t="s">
        <v>43162</v>
      </c>
      <c r="B34301" s="4" t="s">
        <v>43167</v>
      </c>
      <c r="C34301" s="5" t="str">
        <f>IFERROR(__xludf.DUMMYFUNCTION("GOOGLETRANSLATE(B34301,""en"",""de"")"),"Wir haben den vierten Fahrer in der Szene.")</f>
        <v>Wir haben den vierten Fahrer in der Szene.</v>
      </c>
    </row>
    <row r="34302">
      <c r="A34302" s="4" t="s">
        <v>43162</v>
      </c>
      <c r="B34302" s="4" t="s">
        <v>43168</v>
      </c>
      <c r="C34302" s="5" t="str">
        <f>IFERROR(__xludf.DUMMYFUNCTION("GOOGLETRANSLATE(B34302,""en"",""de"")"),"Die Dame fährt mit dem Fahrrad langsamer.")</f>
        <v>Die Dame fährt mit dem Fahrrad langsamer.</v>
      </c>
    </row>
    <row r="34303">
      <c r="A34303" s="4" t="s">
        <v>43162</v>
      </c>
      <c r="B34303" s="4" t="s">
        <v>43169</v>
      </c>
      <c r="C34303" s="5" t="str">
        <f>IFERROR(__xludf.DUMMYFUNCTION("GOOGLETRANSLATE(B34303,""en"",""de"")"),"Die Dame fährt langsam mit dem Fahrrad.")</f>
        <v>Die Dame fährt langsam mit dem Fahrrad.</v>
      </c>
    </row>
    <row r="34304">
      <c r="A34304" s="4" t="s">
        <v>43162</v>
      </c>
      <c r="B34304" s="4" t="s">
        <v>43170</v>
      </c>
      <c r="C34304" s="5" t="str">
        <f>IFERROR(__xludf.DUMMYFUNCTION("GOOGLETRANSLATE(B34304,""en"",""de"")"),"Wir sehen den Schlussbildschirm auf blauem Hintergrund.")</f>
        <v>Wir sehen den Schlussbildschirm auf blauem Hintergrund.</v>
      </c>
    </row>
    <row r="34305">
      <c r="A34305" s="4" t="s">
        <v>43171</v>
      </c>
      <c r="B34305" s="4" t="s">
        <v>43172</v>
      </c>
      <c r="C34305" s="5" t="str">
        <f>IFERROR(__xludf.DUMMYFUNCTION("GOOGLETRANSLATE(B34305,""en"",""de"")"),"Auf einem Bett im Schlafzimmer sitzt ein kleiner Junge.")</f>
        <v>Auf einem Bett im Schlafzimmer sitzt ein kleiner Junge.</v>
      </c>
    </row>
    <row r="34306">
      <c r="A34306" s="4" t="s">
        <v>43171</v>
      </c>
      <c r="B34306" s="4" t="s">
        <v>43173</v>
      </c>
      <c r="C34306" s="5" t="str">
        <f>IFERROR(__xludf.DUMMYFUNCTION("GOOGLETRANSLATE(B34306,""en"",""de"")"),"Es gibt einen Wäschekorb und viel Kleidung auf dem Bett.")</f>
        <v>Es gibt einen Wäschekorb und viel Kleidung auf dem Bett.</v>
      </c>
    </row>
    <row r="34307">
      <c r="A34307" s="4" t="s">
        <v>43171</v>
      </c>
      <c r="B34307" s="4" t="s">
        <v>43174</v>
      </c>
      <c r="C34307" s="5" t="str">
        <f>IFERROR(__xludf.DUMMYFUNCTION("GOOGLETRANSLATE(B34307,""en"",""de"")"),"Die Mutter des Jungen, die das Video filmt, zeigt einen Staubsauger.")</f>
        <v>Die Mutter des Jungen, die das Video filmt, zeigt einen Staubsauger.</v>
      </c>
    </row>
    <row r="34308">
      <c r="A34308" s="4" t="s">
        <v>43171</v>
      </c>
      <c r="B34308" s="4" t="s">
        <v>43175</v>
      </c>
      <c r="C34308" s="5" t="str">
        <f>IFERROR(__xludf.DUMMYFUNCTION("GOOGLETRANSLATE(B34308,""en"",""de"")"),"Dann schaltet sie den Staubsauger ein und beginnt den Schlafzimmerboden zu saugen.")</f>
        <v>Dann schaltet sie den Staubsauger ein und beginnt den Schlafzimmerboden zu saugen.</v>
      </c>
    </row>
    <row r="34309">
      <c r="A34309" s="4" t="s">
        <v>43171</v>
      </c>
      <c r="B34309" s="4" t="s">
        <v>43176</v>
      </c>
      <c r="C34309" s="5" t="str">
        <f>IFERROR(__xludf.DUMMYFUNCTION("GOOGLETRANSLATE(B34309,""en"",""de"")"),"Der Junge beobachtet, wie seine Mutter staubsaugt, als er auf das Bett springt.")</f>
        <v>Der Junge beobachtet, wie seine Mutter staubsaugt, als er auf das Bett springt.</v>
      </c>
    </row>
    <row r="34310">
      <c r="A34310" s="4" t="s">
        <v>43171</v>
      </c>
      <c r="B34310" s="4" t="s">
        <v>43177</v>
      </c>
      <c r="C34310" s="5" t="str">
        <f>IFERROR(__xludf.DUMMYFUNCTION("GOOGLETRANSLATE(B34310,""en"",""de"")"),"Der Junge legt sich dann auf das Bett, als er sieht, wie seine Mutter den Job beendet.")</f>
        <v>Der Junge legt sich dann auf das Bett, als er sieht, wie seine Mutter den Job beendet.</v>
      </c>
    </row>
    <row r="34311">
      <c r="A34311" s="4" t="s">
        <v>43171</v>
      </c>
      <c r="B34311" s="4" t="s">
        <v>43178</v>
      </c>
      <c r="C34311" s="5" t="str">
        <f>IFERROR(__xludf.DUMMYFUNCTION("GOOGLETRANSLATE(B34311,""en"",""de"")"),"Dann steigt der Junge vom Bett und springt auf den Boden, um unter den Nachttisch zu schauen.")</f>
        <v>Dann steigt der Junge vom Bett und springt auf den Boden, um unter den Nachttisch zu schauen.</v>
      </c>
    </row>
    <row r="34312">
      <c r="A34312" s="4" t="s">
        <v>43179</v>
      </c>
      <c r="B34312" s="4" t="s">
        <v>43180</v>
      </c>
      <c r="C34312" s="5" t="str">
        <f>IFERROR(__xludf.DUMMYFUNCTION("GOOGLETRANSLATE(B34312,""en"",""de"")"),"Ein Mann spricht in einem Pool -Fitnessstudio.")</f>
        <v>Ein Mann spricht in einem Pool -Fitnessstudio.</v>
      </c>
    </row>
    <row r="34313">
      <c r="A34313" s="4" t="s">
        <v>43179</v>
      </c>
      <c r="B34313" s="4" t="s">
        <v>43181</v>
      </c>
      <c r="C34313" s="5" t="str">
        <f>IFERROR(__xludf.DUMMYFUNCTION("GOOGLETRANSLATE(B34313,""en"",""de"")"),"Eine Aussicht wird unter dem Wasser gezeigt, dann wird sie auf ihn redet.")</f>
        <v>Eine Aussicht wird unter dem Wasser gezeigt, dann wird sie auf ihn redet.</v>
      </c>
    </row>
    <row r="34314">
      <c r="A34314" s="4" t="s">
        <v>43182</v>
      </c>
      <c r="B34314" s="4" t="s">
        <v>43183</v>
      </c>
      <c r="C34314" s="5" t="str">
        <f>IFERROR(__xludf.DUMMYFUNCTION("GOOGLETRANSLATE(B34314,""en"",""de"")"),"Ein Mann macht sich bereit, Gewicht zu heben.")</f>
        <v>Ein Mann macht sich bereit, Gewicht zu heben.</v>
      </c>
    </row>
    <row r="34315">
      <c r="A34315" s="4" t="s">
        <v>43182</v>
      </c>
      <c r="B34315" s="4" t="s">
        <v>43184</v>
      </c>
      <c r="C34315" s="5" t="str">
        <f>IFERROR(__xludf.DUMMYFUNCTION("GOOGLETRANSLATE(B34315,""en"",""de"")"),"Der Typ hebt das Gewicht.")</f>
        <v>Der Typ hebt das Gewicht.</v>
      </c>
    </row>
    <row r="34316">
      <c r="A34316" s="4" t="s">
        <v>43182</v>
      </c>
      <c r="B34316" s="4" t="s">
        <v>43185</v>
      </c>
      <c r="C34316" s="5" t="str">
        <f>IFERROR(__xludf.DUMMYFUNCTION("GOOGLETRANSLATE(B34316,""en"",""de"")"),"Der Typ tanzt herum und verlässt dann die Bühne.")</f>
        <v>Der Typ tanzt herum und verlässt dann die Bühne.</v>
      </c>
    </row>
    <row r="34317">
      <c r="A34317" s="4" t="s">
        <v>43182</v>
      </c>
      <c r="B34317" s="4" t="s">
        <v>43186</v>
      </c>
      <c r="C34317" s="5" t="str">
        <f>IFERROR(__xludf.DUMMYFUNCTION("GOOGLETRANSLATE(B34317,""en"",""de"")"),"Ein Mann trägt eine Schachtel in die Bühne.")</f>
        <v>Ein Mann trägt eine Schachtel in die Bühne.</v>
      </c>
    </row>
    <row r="34318">
      <c r="A34318" s="4" t="s">
        <v>43187</v>
      </c>
      <c r="B34318" s="4" t="s">
        <v>43188</v>
      </c>
      <c r="C34318" s="5" t="str">
        <f>IFERROR(__xludf.DUMMYFUNCTION("GOOGLETRANSLATE(B34318,""en"",""de"")"),"Ein Junge lächelt den Mann an, dessen Schuh er scheint.")</f>
        <v>Ein Junge lächelt den Mann an, dessen Schuh er scheint.</v>
      </c>
    </row>
    <row r="34319">
      <c r="A34319" s="4" t="s">
        <v>43187</v>
      </c>
      <c r="B34319" s="4" t="s">
        <v>43189</v>
      </c>
      <c r="C34319" s="5" t="str">
        <f>IFERROR(__xludf.DUMMYFUNCTION("GOOGLETRANSLATE(B34319,""en"",""de"")"),"Der Mann schaut auf den Jungen hinunter.")</f>
        <v>Der Mann schaut auf den Jungen hinunter.</v>
      </c>
    </row>
    <row r="34320">
      <c r="A34320" s="4" t="s">
        <v>43187</v>
      </c>
      <c r="B34320" s="4" t="s">
        <v>43190</v>
      </c>
      <c r="C34320" s="5" t="str">
        <f>IFERROR(__xludf.DUMMYFUNCTION("GOOGLETRANSLATE(B34320,""en"",""de"")"),"Der Junge scheint die Schuhe der Mannes.")</f>
        <v>Der Junge scheint die Schuhe der Mannes.</v>
      </c>
    </row>
    <row r="34321">
      <c r="A34321" s="4" t="s">
        <v>43187</v>
      </c>
      <c r="B34321" s="4" t="s">
        <v>43191</v>
      </c>
      <c r="C34321" s="5" t="str">
        <f>IFERROR(__xludf.DUMMYFUNCTION("GOOGLETRANSLATE(B34321,""en"",""de"")"),"Der Junge spricht mit Passerbys und zeigt.")</f>
        <v>Der Junge spricht mit Passerbys und zeigt.</v>
      </c>
    </row>
    <row r="34322">
      <c r="A34322" s="4" t="s">
        <v>43187</v>
      </c>
      <c r="B34322" s="4" t="s">
        <v>43192</v>
      </c>
      <c r="C34322" s="5" t="str">
        <f>IFERROR(__xludf.DUMMYFUNCTION("GOOGLETRANSLATE(B34322,""en"",""de"")"),"Ein kleines Kind geht von der Wand weg.")</f>
        <v>Ein kleines Kind geht von der Wand weg.</v>
      </c>
    </row>
    <row r="34323">
      <c r="A34323" s="4" t="s">
        <v>43187</v>
      </c>
      <c r="B34323" s="4" t="s">
        <v>43193</v>
      </c>
      <c r="C34323" s="5" t="str">
        <f>IFERROR(__xludf.DUMMYFUNCTION("GOOGLETRANSLATE(B34323,""en"",""de"")"),"Der Junge wischt sich die Schuhe der Mannes mit einem Handtuch ab.")</f>
        <v>Der Junge wischt sich die Schuhe der Mannes mit einem Handtuch ab.</v>
      </c>
    </row>
    <row r="34324">
      <c r="A34324" s="4" t="s">
        <v>43187</v>
      </c>
      <c r="B34324" s="4" t="s">
        <v>43194</v>
      </c>
      <c r="C34324" s="5" t="str">
        <f>IFERROR(__xludf.DUMMYFUNCTION("GOOGLETRANSLATE(B34324,""en"",""de"")"),"Er hat angefangen, mit Block zu reiben.")</f>
        <v>Er hat angefangen, mit Block zu reiben.</v>
      </c>
    </row>
    <row r="34325">
      <c r="A34325" s="4" t="s">
        <v>43187</v>
      </c>
      <c r="B34325" s="4" t="s">
        <v>43195</v>
      </c>
      <c r="C34325" s="5" t="str">
        <f>IFERROR(__xludf.DUMMYFUNCTION("GOOGLETRANSLATE(B34325,""en"",""de"")"),"Der Junge gibt ein Friedenszeichen und grinst.")</f>
        <v>Der Junge gibt ein Friedenszeichen und grinst.</v>
      </c>
    </row>
    <row r="34326">
      <c r="A34326" s="4" t="s">
        <v>43196</v>
      </c>
      <c r="B34326" s="4" t="s">
        <v>43197</v>
      </c>
      <c r="C34326" s="5" t="str">
        <f>IFERROR(__xludf.DUMMYFUNCTION("GOOGLETRANSLATE(B34326,""en"",""de"")"),"Eine Dame liegt auf einem schwarzen Bett, eine Frau im schwarzen Pullover und schwarze Handschuhe rieb eine weiße Baumwolle auf dem Bauchnabel der Dame.")</f>
        <v>Eine Dame liegt auf einem schwarzen Bett, eine Frau im schwarzen Pullover und schwarze Handschuhe rieb eine weiße Baumwolle auf dem Bauchnabel der Dame.</v>
      </c>
    </row>
    <row r="34327">
      <c r="A34327" s="4" t="s">
        <v>43196</v>
      </c>
      <c r="B34327" s="4" t="s">
        <v>43198</v>
      </c>
      <c r="C34327" s="5" t="str">
        <f>IFERROR(__xludf.DUMMYFUNCTION("GOOGLETRANSLATE(B34327,""en"",""de"")"),"Dann zeichnet die Frau einen Punkt auf den Bauchnabel, durchbohrte den Nabel mit einem Tanga, dann steckte die Frau einen Metallstab ein, räumte dann den Pierce gereinigt.")</f>
        <v>Dann zeichnet die Frau einen Punkt auf den Bauchnabel, durchbohrte den Nabel mit einem Tanga, dann steckte die Frau einen Metallstab ein, räumte dann den Pierce gereinigt.</v>
      </c>
    </row>
    <row r="34328">
      <c r="A34328" s="4" t="s">
        <v>43199</v>
      </c>
      <c r="B34328" s="4" t="s">
        <v>43200</v>
      </c>
      <c r="C34328" s="5" t="str">
        <f>IFERROR(__xludf.DUMMYFUNCTION("GOOGLETRANSLATE(B34328,""en"",""de"")"),"Es gibt mehrere Menschen, die einen schneebedeckten Hang in runden Schneerohren rodeln.")</f>
        <v>Es gibt mehrere Menschen, die einen schneebedeckten Hang in runden Schneerohren rodeln.</v>
      </c>
    </row>
    <row r="34329">
      <c r="A34329" s="4" t="s">
        <v>43199</v>
      </c>
      <c r="B34329" s="4" t="s">
        <v>43201</v>
      </c>
      <c r="C34329" s="5" t="str">
        <f>IFERROR(__xludf.DUMMYFUNCTION("GOOGLETRANSLATE(B34329,""en"",""de"")"),"Sie gehen mit hoher Geschwindigkeit den steilen schneebedeckten Hang hinunter.")</f>
        <v>Sie gehen mit hoher Geschwindigkeit den steilen schneebedeckten Hang hinunter.</v>
      </c>
    </row>
    <row r="34330">
      <c r="A34330" s="4" t="s">
        <v>43199</v>
      </c>
      <c r="B34330" s="4" t="s">
        <v>43202</v>
      </c>
      <c r="C34330" s="5" t="str">
        <f>IFERROR(__xludf.DUMMYFUNCTION("GOOGLETRANSLATE(B34330,""en"",""de"")"),"Einer der Leute, die den Hang hinuntergehen, hebt seine Hand zu seinem Freund, als er bergab geht.")</f>
        <v>Einer der Leute, die den Hang hinuntergehen, hebt seine Hand zu seinem Freund, als er bergab geht.</v>
      </c>
    </row>
    <row r="34331">
      <c r="A34331" s="4" t="s">
        <v>43203</v>
      </c>
      <c r="B34331" s="4" t="s">
        <v>43204</v>
      </c>
      <c r="C34331" s="5" t="str">
        <f>IFERROR(__xludf.DUMMYFUNCTION("GOOGLETRANSLATE(B34331,""en"",""de"")"),"Ein Mann reinigt ein großes Fenster mit einem langen Griff.")</f>
        <v>Ein Mann reinigt ein großes Fenster mit einem langen Griff.</v>
      </c>
    </row>
    <row r="34332">
      <c r="A34332" s="4" t="s">
        <v>43203</v>
      </c>
      <c r="B34332" s="4" t="s">
        <v>43205</v>
      </c>
      <c r="C34332" s="5" t="str">
        <f>IFERROR(__xludf.DUMMYFUNCTION("GOOGLETRANSLATE(B34332,""en"",""de"")"),"Dann reinigt der Mann einen langen Stahlwischer, um das Fenster von rechts nach links zu reinigen.")</f>
        <v>Dann reinigt der Mann einen langen Stahlwischer, um das Fenster von rechts nach links zu reinigen.</v>
      </c>
    </row>
    <row r="34333">
      <c r="A34333" s="4" t="s">
        <v>43203</v>
      </c>
      <c r="B34333" s="4" t="s">
        <v>43206</v>
      </c>
      <c r="C34333" s="5" t="str">
        <f>IFERROR(__xludf.DUMMYFUNCTION("GOOGLETRANSLATE(B34333,""en"",""de"")"),"Danach nimmt der Mann ein Tuch und reinigt den unteren Teil des Fensters. Dann reinigt er weiterhin das mit einem Rakel und einem Stahlwisch.")</f>
        <v>Danach nimmt der Mann ein Tuch und reinigt den unteren Teil des Fensters. Dann reinigt er weiterhin das mit einem Rakel und einem Stahlwisch.</v>
      </c>
    </row>
    <row r="34334">
      <c r="A34334" s="4" t="s">
        <v>43207</v>
      </c>
      <c r="B34334" s="4" t="s">
        <v>43208</v>
      </c>
      <c r="C34334" s="5" t="str">
        <f>IFERROR(__xludf.DUMMYFUNCTION("GOOGLETRANSLATE(B34334,""en"",""de"")"),"Ein kahlköpfiger Mann führt ein Orchester an.")</f>
        <v>Ein kahlköpfiger Mann führt ein Orchester an.</v>
      </c>
    </row>
    <row r="34335">
      <c r="A34335" s="4" t="s">
        <v>43207</v>
      </c>
      <c r="B34335" s="4" t="s">
        <v>43209</v>
      </c>
      <c r="C34335" s="5" t="str">
        <f>IFERROR(__xludf.DUMMYFUNCTION("GOOGLETRANSLATE(B34335,""en"",""de"")"),"Mehrere Sänger singen, während ein Chor jüngerer Menschen Backup singt.")</f>
        <v>Mehrere Sänger singen, während ein Chor jüngerer Menschen Backup singt.</v>
      </c>
    </row>
    <row r="34336">
      <c r="A34336" s="4" t="s">
        <v>43207</v>
      </c>
      <c r="B34336" s="4" t="s">
        <v>43210</v>
      </c>
      <c r="C34336" s="5" t="str">
        <f>IFERROR(__xludf.DUMMYFUNCTION("GOOGLETRANSLATE(B34336,""en"",""de"")"),"Ein junger Schlagzeuger und ein Mann, der das Klavier spielt, sind in der Nähe, als sich der Junge umsah.")</f>
        <v>Ein junger Schlagzeuger und ein Mann, der das Klavier spielt, sind in der Nähe, als sich der Junge umsah.</v>
      </c>
    </row>
    <row r="34337">
      <c r="A34337" s="4" t="s">
        <v>43207</v>
      </c>
      <c r="B34337" s="4" t="s">
        <v>43211</v>
      </c>
      <c r="C34337" s="5" t="str">
        <f>IFERROR(__xludf.DUMMYFUNCTION("GOOGLETRANSLATE(B34337,""en"",""de"")"),"Während die Sänger und Musiker das Lied beenden, winkt der Dirigent seinen Zauberstab, um die Musik zu beenden.")</f>
        <v>Während die Sänger und Musiker das Lied beenden, winkt der Dirigent seinen Zauberstab, um die Musik zu beenden.</v>
      </c>
    </row>
    <row r="34338">
      <c r="A34338" s="4" t="s">
        <v>43212</v>
      </c>
      <c r="B34338" s="4" t="s">
        <v>43213</v>
      </c>
      <c r="C34338" s="5" t="str">
        <f>IFERROR(__xludf.DUMMYFUNCTION("GOOGLETRANSLATE(B34338,""en"",""de"")"),"Wir sehen Mädchen in einem roten Kostüm -Fitnessstudio, das eine Stabroutine ausführt.")</f>
        <v>Wir sehen Mädchen in einem roten Kostüm -Fitnessstudio, das eine Stabroutine ausführt.</v>
      </c>
    </row>
    <row r="34339">
      <c r="A34339" s="4" t="s">
        <v>43212</v>
      </c>
      <c r="B34339" s="4" t="s">
        <v>43214</v>
      </c>
      <c r="C34339" s="5" t="str">
        <f>IFERROR(__xludf.DUMMYFUNCTION("GOOGLETRANSLATE(B34339,""en"",""de"")"),"Drei Mädchen gehen im Hintergrund vorbei.")</f>
        <v>Drei Mädchen gehen im Hintergrund vorbei.</v>
      </c>
    </row>
    <row r="34340">
      <c r="A34340" s="4" t="s">
        <v>43212</v>
      </c>
      <c r="B34340" s="4" t="s">
        <v>43215</v>
      </c>
      <c r="C34340" s="5" t="str">
        <f>IFERROR(__xludf.DUMMYFUNCTION("GOOGLETRANSLATE(B34340,""en"",""de"")"),"Die Mädchen neben ihnen in Pink führen ihre Routine aus.")</f>
        <v>Die Mädchen neben ihnen in Pink führen ihre Routine aus.</v>
      </c>
    </row>
    <row r="34341">
      <c r="A34341" s="4" t="s">
        <v>43212</v>
      </c>
      <c r="B34341" s="4" t="s">
        <v>43216</v>
      </c>
      <c r="C34341" s="5" t="str">
        <f>IFERROR(__xludf.DUMMYFUNCTION("GOOGLETRANSLATE(B34341,""en"",""de"")"),"Die Mädchen in den roten Uniformen enden und gehen weg.")</f>
        <v>Die Mädchen in den roten Uniformen enden und gehen weg.</v>
      </c>
    </row>
    <row r="34342">
      <c r="A34342" s="4" t="s">
        <v>43212</v>
      </c>
      <c r="B34342" s="4" t="s">
        <v>43217</v>
      </c>
      <c r="C34342" s="5" t="str">
        <f>IFERROR(__xludf.DUMMYFUNCTION("GOOGLETRANSLATE(B34342,""en"",""de"")"),"Ein Team von Mädchen in Schwarz und Neon geht hinter den Mädchen vorbei.")</f>
        <v>Ein Team von Mädchen in Schwarz und Neon geht hinter den Mädchen vorbei.</v>
      </c>
    </row>
    <row r="34343">
      <c r="A34343" s="4" t="s">
        <v>43212</v>
      </c>
      <c r="B34343" s="4" t="s">
        <v>43218</v>
      </c>
      <c r="C34343" s="5" t="str">
        <f>IFERROR(__xludf.DUMMYFUNCTION("GOOGLETRANSLATE(B34343,""en"",""de"")"),"Die Mädchen in Pink beenden ihre Routine.")</f>
        <v>Die Mädchen in Pink beenden ihre Routine.</v>
      </c>
    </row>
    <row r="34344">
      <c r="A34344" s="4" t="s">
        <v>43219</v>
      </c>
      <c r="B34344" s="4" t="s">
        <v>43220</v>
      </c>
      <c r="C34344" s="5" t="str">
        <f>IFERROR(__xludf.DUMMYFUNCTION("GOOGLETRANSLATE(B34344,""en"",""de"")"),"Ein Intro führt in mehrere Clips von Menschen, die versuchen, Bulls aus vielen Generationen zu bekämpfen.")</f>
        <v>Ein Intro führt in mehrere Clips von Menschen, die versuchen, Bulls aus vielen Generationen zu bekämpfen.</v>
      </c>
    </row>
    <row r="34345">
      <c r="A34345" s="4" t="s">
        <v>43219</v>
      </c>
      <c r="B34345" s="4" t="s">
        <v>43221</v>
      </c>
      <c r="C34345" s="5" t="str">
        <f>IFERROR(__xludf.DUMMYFUNCTION("GOOGLETRANSLATE(B34345,""en"",""de"")"),"Es werden mehrere Clips gezeigt, von denen Menschen mit den Bullen interagieren und herumlaufen und Menschen beobachten.")</f>
        <v>Es werden mehrere Clips gezeigt, von denen Menschen mit den Bullen interagieren und herumlaufen und Menschen beobachten.</v>
      </c>
    </row>
    <row r="34346">
      <c r="A34346" s="4" t="s">
        <v>43222</v>
      </c>
      <c r="B34346" s="4" t="s">
        <v>43223</v>
      </c>
      <c r="C34346" s="5" t="str">
        <f>IFERROR(__xludf.DUMMYFUNCTION("GOOGLETRANSLATE(B34346,""en"",""de"")"),"Eine Frau kniet in einer alten TV -Show über einen Eimer.")</f>
        <v>Eine Frau kniet in einer alten TV -Show über einen Eimer.</v>
      </c>
    </row>
    <row r="34347">
      <c r="A34347" s="4" t="s">
        <v>43222</v>
      </c>
      <c r="B34347" s="4" t="s">
        <v>43224</v>
      </c>
      <c r="C34347" s="5" t="str">
        <f>IFERROR(__xludf.DUMMYFUNCTION("GOOGLETRANSLATE(B34347,""en"",""de"")"),"Sie ist gesehen, wie sie Kleidung im Eimer wäscht, während sie in die Ferne schaut.")</f>
        <v>Sie ist gesehen, wie sie Kleidung im Eimer wäscht, während sie in die Ferne schaut.</v>
      </c>
    </row>
    <row r="34348">
      <c r="A34348" s="4" t="s">
        <v>43222</v>
      </c>
      <c r="B34348" s="4" t="s">
        <v>43225</v>
      </c>
      <c r="C34348" s="5" t="str">
        <f>IFERROR(__xludf.DUMMYFUNCTION("GOOGLETRANSLATE(B34348,""en"",""de"")"),"Sie seufzt vor Erschöpfung vor sich und wäscht die Kleidung weiter, wenn ein Schuss einer Waschmaschine gezeigt wird.")</f>
        <v>Sie seufzt vor Erschöpfung vor sich und wäscht die Kleidung weiter, wenn ein Schuss einer Waschmaschine gezeigt wird.</v>
      </c>
    </row>
    <row r="34349">
      <c r="A34349" s="4" t="s">
        <v>43226</v>
      </c>
      <c r="B34349" s="4" t="s">
        <v>43227</v>
      </c>
      <c r="C34349" s="5" t="str">
        <f>IFERROR(__xludf.DUMMYFUNCTION("GOOGLETRANSLATE(B34349,""en"",""de"")"),"Ein Mann steht hinter einer Schuhzählung und beschreibt, wie man sie reinigt.")</f>
        <v>Ein Mann steht hinter einer Schuhzählung und beschreibt, wie man sie reinigt.</v>
      </c>
    </row>
    <row r="34350">
      <c r="A34350" s="4" t="s">
        <v>43226</v>
      </c>
      <c r="B34350" s="4" t="s">
        <v>43228</v>
      </c>
      <c r="C34350" s="5" t="str">
        <f>IFERROR(__xludf.DUMMYFUNCTION("GOOGLETRANSLATE(B34350,""en"",""de"")"),"Der Mann spricht über das dreistufige Programm und beantwortet häufig Fragen.")</f>
        <v>Der Mann spricht über das dreistufige Programm und beantwortet häufig Fragen.</v>
      </c>
    </row>
    <row r="34351">
      <c r="A34351" s="4" t="s">
        <v>43226</v>
      </c>
      <c r="B34351" s="4" t="s">
        <v>43229</v>
      </c>
      <c r="C34351" s="5" t="str">
        <f>IFERROR(__xludf.DUMMYFUNCTION("GOOGLETRANSLATE(B34351,""en"",""de"")"),"Der Mann schrubbt den Schuh und fügt etwas Politur hinzu, dann sprüht sie dann.")</f>
        <v>Der Mann schrubbt den Schuh und fügt etwas Politur hinzu, dann sprüht sie dann.</v>
      </c>
    </row>
    <row r="34352">
      <c r="A34352" s="4" t="s">
        <v>43230</v>
      </c>
      <c r="B34352" s="4" t="s">
        <v>43231</v>
      </c>
      <c r="C34352" s="5" t="str">
        <f>IFERROR(__xludf.DUMMYFUNCTION("GOOGLETRANSLATE(B34352,""en"",""de"")"),"Eine Person fährt mit einem Kajak entlang eines rauen Flusses und dreht sich um.")</f>
        <v>Eine Person fährt mit einem Kajak entlang eines rauen Flusses und dreht sich um.</v>
      </c>
    </row>
    <row r="34353">
      <c r="A34353" s="4" t="s">
        <v>43230</v>
      </c>
      <c r="B34353" s="4" t="s">
        <v>43232</v>
      </c>
      <c r="C34353" s="5" t="str">
        <f>IFERROR(__xludf.DUMMYFUNCTION("GOOGLETRANSLATE(B34353,""en"",""de"")"),"Weitere Aufnahmen von ihm, die herumfährt und er weiter im Wasser dreht.")</f>
        <v>Weitere Aufnahmen von ihm, die herumfährt und er weiter im Wasser dreht.</v>
      </c>
    </row>
    <row r="34354">
      <c r="A34354" s="4" t="s">
        <v>43233</v>
      </c>
      <c r="B34354" s="4" t="s">
        <v>43234</v>
      </c>
      <c r="C34354" s="5" t="str">
        <f>IFERROR(__xludf.DUMMYFUNCTION("GOOGLETRANSLATE(B34354,""en"",""de"")"),"Eine Gruppe von Menschen spricht neben einem Tisch mit roten Solo -Tassen und Bierdosen.")</f>
        <v>Eine Gruppe von Menschen spricht neben einem Tisch mit roten Solo -Tassen und Bierdosen.</v>
      </c>
    </row>
    <row r="34355">
      <c r="A34355" s="4" t="s">
        <v>43233</v>
      </c>
      <c r="B34355" s="4" t="s">
        <v>43235</v>
      </c>
      <c r="C34355" s="5" t="str">
        <f>IFERROR(__xludf.DUMMYFUNCTION("GOOGLETRANSLATE(B34355,""en"",""de"")"),"Eine Frau legt eine rote Solo -Tasse unter die Nase eines Mannes.")</f>
        <v>Eine Frau legt eine rote Solo -Tasse unter die Nase eines Mannes.</v>
      </c>
    </row>
    <row r="34356">
      <c r="A34356" s="4" t="s">
        <v>43233</v>
      </c>
      <c r="B34356" s="4" t="s">
        <v>43236</v>
      </c>
      <c r="C34356" s="5" t="str">
        <f>IFERROR(__xludf.DUMMYFUNCTION("GOOGLETRANSLATE(B34356,""en"",""de"")"),"Ein Mann wirft einen Ping -Pong -Ball in einen roten Solo -Tasse.")</f>
        <v>Ein Mann wirft einen Ping -Pong -Ball in einen roten Solo -Tasse.</v>
      </c>
    </row>
    <row r="34357">
      <c r="A34357" s="4" t="s">
        <v>43233</v>
      </c>
      <c r="B34357" s="4" t="s">
        <v>43237</v>
      </c>
      <c r="C34357" s="5" t="str">
        <f>IFERROR(__xludf.DUMMYFUNCTION("GOOGLETRANSLATE(B34357,""en"",""de"")"),"Der Boden wird zusammen mit dem Fuß einer Person gezeigt.")</f>
        <v>Der Boden wird zusammen mit dem Fuß einer Person gezeigt.</v>
      </c>
    </row>
    <row r="34358">
      <c r="A34358" s="4" t="s">
        <v>43238</v>
      </c>
      <c r="B34358" s="4" t="s">
        <v>43239</v>
      </c>
      <c r="C34358" s="5" t="str">
        <f>IFERROR(__xludf.DUMMYFUNCTION("GOOGLETRANSLATE(B34358,""en"",""de"")"),"Eine Nahaufnahme eines Fahrrads wird gezeigt, gefolgt von einer Person, die die Griffe am Fahrrad abschraubt und die Seiten einstellt.")</f>
        <v>Eine Nahaufnahme eines Fahrrads wird gezeigt, gefolgt von einer Person, die die Griffe am Fahrrad abschraubt und die Seiten einstellt.</v>
      </c>
    </row>
    <row r="34359">
      <c r="A34359" s="4" t="s">
        <v>43238</v>
      </c>
      <c r="B34359" s="4" t="s">
        <v>43240</v>
      </c>
      <c r="C34359" s="5" t="str">
        <f>IFERROR(__xludf.DUMMYFUNCTION("GOOGLETRANSLATE(B34359,""en"",""de"")"),"Die Person hat es dann ein Licht vor dem Lenker geschraubt und hält sie an Ort und Stelle.")</f>
        <v>Die Person hat es dann ein Licht vor dem Lenker geschraubt und hält sie an Ort und Stelle.</v>
      </c>
    </row>
    <row r="34360">
      <c r="A34360" s="4" t="s">
        <v>43241</v>
      </c>
      <c r="B34360" s="4" t="s">
        <v>43242</v>
      </c>
      <c r="C34360" s="5" t="str">
        <f>IFERROR(__xludf.DUMMYFUNCTION("GOOGLETRANSLATE(B34360,""en"",""de"")"),"Männer rennen eine Strecke hinunter und springen rückwärts über eine Bar.")</f>
        <v>Männer rennen eine Strecke hinunter und springen rückwärts über eine Bar.</v>
      </c>
    </row>
    <row r="34361">
      <c r="A34361" s="4" t="s">
        <v>43241</v>
      </c>
      <c r="B34361" s="4" t="s">
        <v>43243</v>
      </c>
      <c r="C34361" s="5" t="str">
        <f>IFERROR(__xludf.DUMMYFUNCTION("GOOGLETRANSLATE(B34361,""en"",""de"")"),"Ein Mann winkt eine weiße Flagge einmal das Land.")</f>
        <v>Ein Mann winkt eine weiße Flagge einmal das Land.</v>
      </c>
    </row>
    <row r="34362">
      <c r="A34362" s="4" t="s">
        <v>43241</v>
      </c>
      <c r="B34362" s="4" t="s">
        <v>43244</v>
      </c>
      <c r="C34362" s="5" t="str">
        <f>IFERROR(__xludf.DUMMYFUNCTION("GOOGLETRANSLATE(B34362,""en"",""de"")"),"Ein Publikum beobachtet sie springen.")</f>
        <v>Ein Publikum beobachtet sie springen.</v>
      </c>
    </row>
    <row r="34363">
      <c r="A34363" s="4" t="s">
        <v>43245</v>
      </c>
      <c r="B34363" s="4" t="s">
        <v>43246</v>
      </c>
      <c r="C34363" s="5" t="str">
        <f>IFERROR(__xludf.DUMMYFUNCTION("GOOGLETRANSLATE(B34363,""en"",""de"")"),"Ein Mann legte Farbe mit einem Schlauch an die Wand, während eine Person einen flachen Mopp benutzt, um die Farbe zu verteilen.")</f>
        <v>Ein Mann legte Farbe mit einem Schlauch an die Wand, während eine Person einen flachen Mopp benutzt, um die Farbe zu verteilen.</v>
      </c>
    </row>
    <row r="34364">
      <c r="A34364" s="4" t="s">
        <v>43245</v>
      </c>
      <c r="B34364" s="4" t="s">
        <v>43247</v>
      </c>
      <c r="C34364" s="5" t="str">
        <f>IFERROR(__xludf.DUMMYFUNCTION("GOOGLETRANSLATE(B34364,""en"",""de"")"),"Dann legt der Mann Farbe um das Fenster.")</f>
        <v>Dann legt der Mann Farbe um das Fenster.</v>
      </c>
    </row>
    <row r="34365">
      <c r="A34365" s="4" t="s">
        <v>43248</v>
      </c>
      <c r="B34365" s="4" t="s">
        <v>43249</v>
      </c>
      <c r="C34365" s="5" t="str">
        <f>IFERROR(__xludf.DUMMYFUNCTION("GOOGLETRANSLATE(B34365,""en"",""de"")"),"Eine Frau entfernt einen Bolzen aus einem Reifen.")</f>
        <v>Eine Frau entfernt einen Bolzen aus einem Reifen.</v>
      </c>
    </row>
    <row r="34366">
      <c r="A34366" s="4" t="s">
        <v>43248</v>
      </c>
      <c r="B34366" s="4" t="s">
        <v>43250</v>
      </c>
      <c r="C34366" s="5" t="str">
        <f>IFERROR(__xludf.DUMMYFUNCTION("GOOGLETRANSLATE(B34366,""en"",""de"")"),"Die Frau entfernt einen zweiten Bolzen.")</f>
        <v>Die Frau entfernt einen zweiten Bolzen.</v>
      </c>
    </row>
    <row r="34367">
      <c r="A34367" s="4" t="s">
        <v>43248</v>
      </c>
      <c r="B34367" s="4" t="s">
        <v>43251</v>
      </c>
      <c r="C34367" s="5" t="str">
        <f>IFERROR(__xludf.DUMMYFUNCTION("GOOGLETRANSLATE(B34367,""en"",""de"")"),"Die Frau entfernt einen dritten Bolzen.")</f>
        <v>Die Frau entfernt einen dritten Bolzen.</v>
      </c>
    </row>
    <row r="34368">
      <c r="A34368" s="4" t="s">
        <v>43248</v>
      </c>
      <c r="B34368" s="4" t="s">
        <v>43252</v>
      </c>
      <c r="C34368" s="5" t="str">
        <f>IFERROR(__xludf.DUMMYFUNCTION("GOOGLETRANSLATE(B34368,""en"",""de"")"),"Zuletzt entfernt die Frau einen vierten Bolzen.")</f>
        <v>Zuletzt entfernt die Frau einen vierten Bolzen.</v>
      </c>
    </row>
    <row r="34369">
      <c r="A34369" s="4" t="s">
        <v>43248</v>
      </c>
      <c r="B34369" s="4" t="s">
        <v>43253</v>
      </c>
      <c r="C34369" s="5" t="str">
        <f>IFERROR(__xludf.DUMMYFUNCTION("GOOGLETRANSLATE(B34369,""en"",""de"")"),"Die Frau nimmt den Reifen vom Auto.")</f>
        <v>Die Frau nimmt den Reifen vom Auto.</v>
      </c>
    </row>
    <row r="34370">
      <c r="A34370" s="4" t="s">
        <v>43254</v>
      </c>
      <c r="B34370" s="4" t="s">
        <v>43255</v>
      </c>
      <c r="C34370" s="5" t="str">
        <f>IFERROR(__xludf.DUMMYFUNCTION("GOOGLETRANSLATE(B34370,""en"",""de"")"),"Ein Mädchen in einer blauen und karierten Schuluniform steht in einem Schulbadezimmer, das ihre Zähne putzt und im Spiegel primiert.")</f>
        <v>Ein Mädchen in einer blauen und karierten Schuluniform steht in einem Schulbadezimmer, das ihre Zähne putzt und im Spiegel primiert.</v>
      </c>
    </row>
    <row r="34371">
      <c r="A34371" s="4" t="s">
        <v>43254</v>
      </c>
      <c r="B34371" s="4" t="s">
        <v>43256</v>
      </c>
      <c r="C34371" s="5" t="str">
        <f>IFERROR(__xludf.DUMMYFUNCTION("GOOGLETRANSLATE(B34371,""en"",""de"")"),"Das Mädchen beginnt mit der Kamera zugewandt und putzen sich die Zähne, lehnt sich an einem Punkt in die Kamera, bevor sie sich zurücklehnen, um die Zähne weiter zu putzen.")</f>
        <v>Das Mädchen beginnt mit der Kamera zugewandt und putzen sich die Zähne, lehnt sich an einem Punkt in die Kamera, bevor sie sich zurücklehnen, um die Zähne weiter zu putzen.</v>
      </c>
    </row>
    <row r="34372">
      <c r="A34372" s="4" t="s">
        <v>43254</v>
      </c>
      <c r="B34372" s="4" t="s">
        <v>43257</v>
      </c>
      <c r="C34372" s="5" t="str">
        <f>IFERROR(__xludf.DUMMYFUNCTION("GOOGLETRANSLATE(B34372,""en"",""de"")"),"Das Mädchen dreht sich dann in Richtung Badezimmerspiegel und spuckt in das Waschbecken aus. Dann kehrt sie zurück zum Zähneputzen und wieder der Kamera.")</f>
        <v>Das Mädchen dreht sich dann in Richtung Badezimmerspiegel und spuckt in das Waschbecken aus. Dann kehrt sie zurück zum Zähneputzen und wieder der Kamera.</v>
      </c>
    </row>
    <row r="34373">
      <c r="A34373" s="4" t="s">
        <v>43254</v>
      </c>
      <c r="B34373" s="4" t="s">
        <v>43258</v>
      </c>
      <c r="C34373" s="5" t="str">
        <f>IFERROR(__xludf.DUMMYFUNCTION("GOOGLETRANSLATE(B34373,""en"",""de"")"),"Das Mädchen bewegt sich dann zu einem anderen Waschbecken, der sich weiter im Badezimmer befindet, mit ihren Haaren spielt, Primps im Spiegel, während ein anderes Mädchen in einer Schuluniform das Badezimmer betritt und in einen Badezimmerstand geht.")</f>
        <v>Das Mädchen bewegt sich dann zu einem anderen Waschbecken, der sich weiter im Badezimmer befindet, mit ihren Haaren spielt, Primps im Spiegel, während ein anderes Mädchen in einer Schuluniform das Badezimmer betritt und in einen Badezimmerstand geht.</v>
      </c>
    </row>
    <row r="34374">
      <c r="A34374" s="4" t="s">
        <v>43259</v>
      </c>
      <c r="B34374" s="4" t="s">
        <v>43260</v>
      </c>
      <c r="C34374" s="5" t="str">
        <f>IFERROR(__xludf.DUMMYFUNCTION("GOOGLETRANSLATE(B34374,""en"",""de"")"),"Zwei Männer reden hitzig, bis ein Mann kommt und sie trennt.")</f>
        <v>Zwei Männer reden hitzig, bis ein Mann kommt und sie trennt.</v>
      </c>
    </row>
    <row r="34375">
      <c r="A34375" s="4" t="s">
        <v>43259</v>
      </c>
      <c r="B34375" s="4" t="s">
        <v>43261</v>
      </c>
      <c r="C34375" s="5" t="str">
        <f>IFERROR(__xludf.DUMMYFUNCTION("GOOGLETRANSLATE(B34375,""en"",""de"")"),"Nummer 99 Blätter geht dann zurück, um das Reden zu beenden.")</f>
        <v>Nummer 99 Blätter geht dann zurück, um das Reden zu beenden.</v>
      </c>
    </row>
    <row r="34376">
      <c r="A34376" s="4" t="s">
        <v>43259</v>
      </c>
      <c r="B34376" s="4" t="s">
        <v>43262</v>
      </c>
      <c r="C34376" s="5" t="str">
        <f>IFERROR(__xludf.DUMMYFUNCTION("GOOGLETRANSLATE(B34376,""en"",""de"")"),"Nummer 69 wandert über das Feld.")</f>
        <v>Nummer 69 wandert über das Feld.</v>
      </c>
    </row>
    <row r="34377">
      <c r="A34377" s="4" t="s">
        <v>43259</v>
      </c>
      <c r="B34377" s="4" t="s">
        <v>43263</v>
      </c>
      <c r="C34377" s="5" t="str">
        <f>IFERROR(__xludf.DUMMYFUNCTION("GOOGLETRANSLATE(B34377,""en"",""de"")"),"Wir sehen, wie Nummer 69 den Ball getroffen hat.")</f>
        <v>Wir sehen, wie Nummer 69 den Ball getroffen hat.</v>
      </c>
    </row>
    <row r="34378">
      <c r="A34378" s="4" t="s">
        <v>43259</v>
      </c>
      <c r="B34378" s="4" t="s">
        <v>43264</v>
      </c>
      <c r="C34378" s="5" t="str">
        <f>IFERROR(__xludf.DUMMYFUNCTION("GOOGLETRANSLATE(B34378,""en"",""de"")"),"Dann argumentiert er mit dem Fänger.")</f>
        <v>Dann argumentiert er mit dem Fänger.</v>
      </c>
    </row>
    <row r="34379">
      <c r="A34379" s="4" t="s">
        <v>43259</v>
      </c>
      <c r="B34379" s="4" t="s">
        <v>43265</v>
      </c>
      <c r="C34379" s="5" t="str">
        <f>IFERROR(__xludf.DUMMYFUNCTION("GOOGLETRANSLATE(B34379,""en"",""de"")"),"Ein Pitcher beginnt zu passen.")</f>
        <v>Ein Pitcher beginnt zu passen.</v>
      </c>
    </row>
    <row r="34380">
      <c r="A34380" s="4" t="s">
        <v>43266</v>
      </c>
      <c r="B34380" s="4" t="s">
        <v>43267</v>
      </c>
      <c r="C34380" s="5" t="str">
        <f>IFERROR(__xludf.DUMMYFUNCTION("GOOGLETRANSLATE(B34380,""en"",""de"")"),"Ein kleiner Junge geht zum Waschbecken.")</f>
        <v>Ein kleiner Junge geht zum Waschbecken.</v>
      </c>
    </row>
    <row r="34381">
      <c r="A34381" s="4" t="s">
        <v>43266</v>
      </c>
      <c r="B34381" s="4" t="s">
        <v>43268</v>
      </c>
      <c r="C34381" s="5" t="str">
        <f>IFERROR(__xludf.DUMMYFUNCTION("GOOGLETRANSLATE(B34381,""en"",""de"")"),"Der Junge steht auf der Spüle vorne und legt Zahnpasta auf die Bürste und putzte dann die Zähne.")</f>
        <v>Der Junge steht auf der Spüle vorne und legt Zahnpasta auf die Bürste und putzte dann die Zähne.</v>
      </c>
    </row>
    <row r="34382">
      <c r="A34382" s="4" t="s">
        <v>43266</v>
      </c>
      <c r="B34382" s="4" t="s">
        <v>43269</v>
      </c>
      <c r="C34382" s="5" t="str">
        <f>IFERROR(__xludf.DUMMYFUNCTION("GOOGLETRANSLATE(B34382,""en"",""de"")"),"Dann spügt der Junge den Mund aus und zeigt dann Zähne und trockener Mund.")</f>
        <v>Dann spügt der Junge den Mund aus und zeigt dann Zähne und trockener Mund.</v>
      </c>
    </row>
    <row r="34383">
      <c r="A34383" s="4" t="s">
        <v>43270</v>
      </c>
      <c r="B34383" s="4" t="s">
        <v>43271</v>
      </c>
      <c r="C34383" s="5" t="str">
        <f>IFERROR(__xludf.DUMMYFUNCTION("GOOGLETRANSLATE(B34383,""en"",""de"")"),"Eine Person macht auf einer Bühne vor Menschen.")</f>
        <v>Eine Person macht auf einer Bühne vor Menschen.</v>
      </c>
    </row>
    <row r="34384">
      <c r="A34384" s="4" t="s">
        <v>43270</v>
      </c>
      <c r="B34384" s="4" t="s">
        <v>43272</v>
      </c>
      <c r="C34384" s="5" t="str">
        <f>IFERROR(__xludf.DUMMYFUNCTION("GOOGLETRANSLATE(B34384,""en"",""de"")"),"Die Leute stehen in der Ecke und spielen Schlagzeug.")</f>
        <v>Die Leute stehen in der Ecke und spielen Schlagzeug.</v>
      </c>
    </row>
    <row r="34385">
      <c r="A34385" s="4" t="s">
        <v>43270</v>
      </c>
      <c r="B34385" s="4" t="s">
        <v>43273</v>
      </c>
      <c r="C34385" s="5" t="str">
        <f>IFERROR(__xludf.DUMMYFUNCTION("GOOGLETRANSLATE(B34385,""en"",""de"")"),"Ein Mann steht auf der Bühne.")</f>
        <v>Ein Mann steht auf der Bühne.</v>
      </c>
    </row>
    <row r="34386">
      <c r="A34386" s="4" t="s">
        <v>43274</v>
      </c>
      <c r="B34386" s="4" t="s">
        <v>43275</v>
      </c>
      <c r="C34386" s="5" t="str">
        <f>IFERROR(__xludf.DUMMYFUNCTION("GOOGLETRANSLATE(B34386,""en"",""de"")"),"Mehrere Fahrradrennfahrer, die in Motocross -Anzüge gekleidet sind und Helme tragen, stehen an der Startlinie und warten auf das Rennen.")</f>
        <v>Mehrere Fahrradrennfahrer, die in Motocross -Anzüge gekleidet sind und Helme tragen, stehen an der Startlinie und warten auf das Rennen.</v>
      </c>
    </row>
    <row r="34387">
      <c r="A34387" s="4" t="s">
        <v>43274</v>
      </c>
      <c r="B34387" s="4" t="s">
        <v>43276</v>
      </c>
      <c r="C34387" s="5" t="str">
        <f>IFERROR(__xludf.DUMMYFUNCTION("GOOGLETRANSLATE(B34387,""en"",""de"")"),"Das Rennen beginnt und alle Biker rennen einen Hügel hinunter in Richtung eines Sprunges.")</f>
        <v>Das Rennen beginnt und alle Biker rennen einen Hügel hinunter in Richtung eines Sprunges.</v>
      </c>
    </row>
    <row r="34388">
      <c r="A34388" s="4" t="s">
        <v>43274</v>
      </c>
      <c r="B34388" s="4" t="s">
        <v>43277</v>
      </c>
      <c r="C34388" s="5" t="str">
        <f>IFERROR(__xludf.DUMMYFUNCTION("GOOGLETRANSLATE(B34388,""en"",""de"")"),"Die Biker springen von einem Hügel, aber einer der Biker, der rot und schwarz gekleidet war, stürzt auf den Boden.")</f>
        <v>Die Biker springen von einem Hügel, aber einer der Biker, der rot und schwarz gekleidet war, stürzt auf den Boden.</v>
      </c>
    </row>
    <row r="34389">
      <c r="A34389" s="4" t="s">
        <v>43274</v>
      </c>
      <c r="B34389" s="4" t="s">
        <v>43278</v>
      </c>
      <c r="C34389" s="5" t="str">
        <f>IFERROR(__xludf.DUMMYFUNCTION("GOOGLETRANSLATE(B34389,""en"",""de"")"),"Der Biker unmittelbar hinter ihm, in rot, weiß und blau gekleidet, versucht den gefallenen Biker und fällt auch zu Boden.")</f>
        <v>Der Biker unmittelbar hinter ihm, in rot, weiß und blau gekleidet, versucht den gefallenen Biker und fällt auch zu Boden.</v>
      </c>
    </row>
    <row r="34390">
      <c r="A34390" s="4" t="s">
        <v>43274</v>
      </c>
      <c r="B34390" s="4" t="s">
        <v>43279</v>
      </c>
      <c r="C34390" s="5" t="str">
        <f>IFERROR(__xludf.DUMMYFUNCTION("GOOGLETRANSLATE(B34390,""en"",""de"")"),"Die anderen Biker rennen ab.")</f>
        <v>Die anderen Biker rennen ab.</v>
      </c>
    </row>
    <row r="34391">
      <c r="A34391" s="4" t="s">
        <v>43274</v>
      </c>
      <c r="B34391" s="4" t="s">
        <v>43280</v>
      </c>
      <c r="C34391" s="5" t="str">
        <f>IFERROR(__xludf.DUMMYFUNCTION("GOOGLETRANSLATE(B34391,""en"",""de"")"),"Der Biker in Schwarz und Rot trottet sofort von der Strecke, während der Biker in Rot, Weiß und Blau eindeutig verletzt ist und sich bemüht, auf die Knie zu gelangen.")</f>
        <v>Der Biker in Schwarz und Rot trottet sofort von der Strecke, während der Biker in Rot, Weiß und Blau eindeutig verletzt ist und sich bemüht, auf die Knie zu gelangen.</v>
      </c>
    </row>
    <row r="34392">
      <c r="A34392" s="4" t="s">
        <v>43274</v>
      </c>
      <c r="B34392" s="4" t="s">
        <v>43281</v>
      </c>
      <c r="C34392" s="5" t="str">
        <f>IFERROR(__xludf.DUMMYFUNCTION("GOOGLETRANSLATE(B34392,""en"",""de"")"),"Drei Männer in schwarzen Jacken kommen zu Hilfe des ersten Biker.")</f>
        <v>Drei Männer in schwarzen Jacken kommen zu Hilfe des ersten Biker.</v>
      </c>
    </row>
    <row r="34393">
      <c r="A34393" s="4" t="s">
        <v>43282</v>
      </c>
      <c r="B34393" s="4" t="s">
        <v>43283</v>
      </c>
      <c r="C34393" s="5" t="str">
        <f>IFERROR(__xludf.DUMMYFUNCTION("GOOGLETRANSLATE(B34393,""en"",""de"")"),"Es ist ein Freizeitgebäude abgebildet und Kinder, die verschiedene Aktivitäten durchführen, von Basketball bis zum Schwimmen, wird gezeigt.")</f>
        <v>Es ist ein Freizeitgebäude abgebildet und Kinder, die verschiedene Aktivitäten durchführen, von Basketball bis zum Schwimmen, wird gezeigt.</v>
      </c>
    </row>
    <row r="34394">
      <c r="A34394" s="4" t="s">
        <v>43282</v>
      </c>
      <c r="B34394" s="4" t="s">
        <v>43284</v>
      </c>
      <c r="C34394" s="5" t="str">
        <f>IFERROR(__xludf.DUMMYFUNCTION("GOOGLETRANSLATE(B34394,""en"",""de"")"),"Eine Reihe von Jungen ist ein Bild von Din im Wasser auf dem Rücken, der einen grünen Ball hochhält, und man wirft ihn in das Tor.")</f>
        <v>Eine Reihe von Jungen ist ein Bild von Din im Wasser auf dem Rücken, der einen grünen Ball hochhält, und man wirft ihn in das Tor.</v>
      </c>
    </row>
    <row r="34395">
      <c r="A34395" s="4" t="s">
        <v>43282</v>
      </c>
      <c r="B34395" s="4" t="s">
        <v>43285</v>
      </c>
      <c r="C34395" s="5" t="str">
        <f>IFERROR(__xludf.DUMMYFUNCTION("GOOGLETRANSLATE(B34395,""en"",""de"")"),"Die Außenseite des Gebäudes wird erneut gezeigt und ein Auto, das draußen auf dem Parkplatz geparkt ist, erscheint.")</f>
        <v>Die Außenseite des Gebäudes wird erneut gezeigt und ein Auto, das draußen auf dem Parkplatz geparkt ist, erscheint.</v>
      </c>
    </row>
    <row r="34396">
      <c r="A34396" s="4" t="s">
        <v>43286</v>
      </c>
      <c r="B34396" s="4" t="s">
        <v>43287</v>
      </c>
      <c r="C34396" s="5" t="str">
        <f>IFERROR(__xludf.DUMMYFUNCTION("GOOGLETRANSLATE(B34396,""en"",""de"")"),"Ein Mann in Overalls sitzt vor einem großen Metallrad.")</f>
        <v>Ein Mann in Overalls sitzt vor einem großen Metallrad.</v>
      </c>
    </row>
    <row r="34397">
      <c r="A34397" s="4" t="s">
        <v>43286</v>
      </c>
      <c r="B34397" s="4" t="s">
        <v>43288</v>
      </c>
      <c r="C34397" s="5" t="str">
        <f>IFERROR(__xludf.DUMMYFUNCTION("GOOGLETRANSLATE(B34397,""en"",""de"")"),"Er nimmt eine Taschenlampe auf und beginnt zu schweißen.")</f>
        <v>Er nimmt eine Taschenlampe auf und beginnt zu schweißen.</v>
      </c>
    </row>
    <row r="34398">
      <c r="A34398" s="4" t="s">
        <v>43286</v>
      </c>
      <c r="B34398" s="4" t="s">
        <v>43289</v>
      </c>
      <c r="C34398" s="5" t="str">
        <f>IFERROR(__xludf.DUMMYFUNCTION("GOOGLETRANSLATE(B34398,""en"",""de"")"),"Funken fliegen, als er seine Maske trägt und die Ausrüstung schweißt.")</f>
        <v>Funken fliegen, als er seine Maske trägt und die Ausrüstung schweißt.</v>
      </c>
    </row>
    <row r="34399">
      <c r="A34399" s="4" t="s">
        <v>43290</v>
      </c>
      <c r="B34399" s="4" t="s">
        <v>43291</v>
      </c>
      <c r="C34399" s="5" t="str">
        <f>IFERROR(__xludf.DUMMYFUNCTION("GOOGLETRANSLATE(B34399,""en"",""de"")"),"Das Video führt zu mehreren Schüssen von Speersportlern, die Stangen auf einer großen Strecke werfen.")</f>
        <v>Das Video führt zu mehreren Schüssen von Speersportlern, die Stangen auf einer großen Strecke werfen.</v>
      </c>
    </row>
    <row r="34400">
      <c r="A34400" s="4" t="s">
        <v>43290</v>
      </c>
      <c r="B34400" s="4" t="s">
        <v>43292</v>
      </c>
      <c r="C34400" s="5" t="str">
        <f>IFERROR(__xludf.DUMMYFUNCTION("GOOGLETRANSLATE(B34400,""en"",""de"")"),"Viele Menschen werden gezeigt, die die Strecke hinunter rennen und den Speer werfen und beobachten, wo ihre Stange landet.")</f>
        <v>Viele Menschen werden gezeigt, die die Strecke hinunter rennen und den Speer werfen und beobachten, wo ihre Stange landet.</v>
      </c>
    </row>
    <row r="34401">
      <c r="A34401" s="4" t="s">
        <v>43293</v>
      </c>
      <c r="B34401" s="4" t="s">
        <v>43294</v>
      </c>
      <c r="C34401" s="5" t="str">
        <f>IFERROR(__xludf.DUMMYFUNCTION("GOOGLETRANSLATE(B34401,""en"",""de"")"),"Männer machen Karatezüge in einem Fitnessstudio.")</f>
        <v>Männer machen Karatezüge in einem Fitnessstudio.</v>
      </c>
    </row>
    <row r="34402">
      <c r="A34402" s="4" t="s">
        <v>43293</v>
      </c>
      <c r="B34402" s="4" t="s">
        <v>43295</v>
      </c>
      <c r="C34402" s="5" t="str">
        <f>IFERROR(__xludf.DUMMYFUNCTION("GOOGLETRANSLATE(B34402,""en"",""de"")"),"Die Leute spielen neben ihnen Instrumente.")</f>
        <v>Die Leute spielen neben ihnen Instrumente.</v>
      </c>
    </row>
    <row r="34403">
      <c r="A34403" s="4" t="s">
        <v>43293</v>
      </c>
      <c r="B34403" s="4" t="s">
        <v>43296</v>
      </c>
      <c r="C34403" s="5" t="str">
        <f>IFERROR(__xludf.DUMMYFUNCTION("GOOGLETRANSLATE(B34403,""en"",""de"")"),"Ein Mann in einem weißen Hemd spielt vor ihm Schlagzeug.")</f>
        <v>Ein Mann in einem weißen Hemd spielt vor ihm Schlagzeug.</v>
      </c>
    </row>
    <row r="34404">
      <c r="A34404" s="4" t="s">
        <v>43297</v>
      </c>
      <c r="B34404" s="4" t="s">
        <v>43298</v>
      </c>
      <c r="C34404" s="5" t="str">
        <f>IFERROR(__xludf.DUMMYFUNCTION("GOOGLETRANSLATE(B34404,""en"",""de"")"),"Auf dem Bildschirm erscheint ein Intro -Bildschirm, der einen Mann zeigt, der die brasilianische Kampfkünste ausführt.")</f>
        <v>Auf dem Bildschirm erscheint ein Intro -Bildschirm, der einen Mann zeigt, der die brasilianische Kampfkünste ausführt.</v>
      </c>
    </row>
    <row r="34405">
      <c r="A34405" s="4" t="s">
        <v>43297</v>
      </c>
      <c r="B34405" s="4" t="s">
        <v>43299</v>
      </c>
      <c r="C34405" s="5" t="str">
        <f>IFERROR(__xludf.DUMMYFUNCTION("GOOGLETRANSLATE(B34405,""en"",""de"")"),"Es zeigt dann einen Mann, der die gleichen Kampfkünste in Zeitlupe auf etwas Gras in einem Park macht.")</f>
        <v>Es zeigt dann einen Mann, der die gleichen Kampfkünste in Zeitlupe auf etwas Gras in einem Park macht.</v>
      </c>
    </row>
    <row r="34406">
      <c r="A34406" s="4" t="s">
        <v>43297</v>
      </c>
      <c r="B34406" s="4" t="s">
        <v>43300</v>
      </c>
      <c r="C34406" s="5" t="str">
        <f>IFERROR(__xludf.DUMMYFUNCTION("GOOGLETRANSLATE(B34406,""en"",""de"")"),"Der Mann dreht und tritt kontinuierlich und ist hochqualifiziert.")</f>
        <v>Der Mann dreht und tritt kontinuierlich und ist hochqualifiziert.</v>
      </c>
    </row>
    <row r="34407">
      <c r="A34407" s="4" t="s">
        <v>43297</v>
      </c>
      <c r="B34407" s="4" t="s">
        <v>43301</v>
      </c>
      <c r="C34407" s="5" t="str">
        <f>IFERROR(__xludf.DUMMYFUNCTION("GOOGLETRANSLATE(B34407,""en"",""de"")"),"Das Video zeigt dann einen anderen Mann drinnen, der einen Daumen hoch gibt, bevor er zu zwei anderen Männern springt, die auf einer Bühne auftreten.")</f>
        <v>Das Video zeigt dann einen anderen Mann drinnen, der einen Daumen hoch gibt, bevor er zu zwei anderen Männern springt, die auf einer Bühne auftreten.</v>
      </c>
    </row>
    <row r="34408">
      <c r="A34408" s="4" t="s">
        <v>43297</v>
      </c>
      <c r="B34408" s="4" t="s">
        <v>43302</v>
      </c>
      <c r="C34408" s="5" t="str">
        <f>IFERROR(__xludf.DUMMYFUNCTION("GOOGLETRANSLATE(B34408,""en"",""de"")"),"Eine Reihe anderer Männer spielen Kampfkünste in einem Gymnasium und Klassenzimmer, während ein anderer Mann mit der Kamera spricht.")</f>
        <v>Eine Reihe anderer Männer spielen Kampfkünste in einem Gymnasium und Klassenzimmer, während ein anderer Mann mit der Kamera spricht.</v>
      </c>
    </row>
    <row r="34409">
      <c r="A34409" s="4" t="s">
        <v>43303</v>
      </c>
      <c r="B34409" s="4" t="s">
        <v>43304</v>
      </c>
      <c r="C34409" s="5" t="str">
        <f>IFERROR(__xludf.DUMMYFUNCTION("GOOGLETRANSLATE(B34409,""en"",""de"")"),"Ein Mann sitzt vor einer Kamera, die eine Mundharmonika in seinen Händen hält.")</f>
        <v>Ein Mann sitzt vor einer Kamera, die eine Mundharmonika in seinen Händen hält.</v>
      </c>
    </row>
    <row r="34410">
      <c r="A34410" s="4" t="s">
        <v>43303</v>
      </c>
      <c r="B34410" s="4" t="s">
        <v>43305</v>
      </c>
      <c r="C34410" s="5" t="str">
        <f>IFERROR(__xludf.DUMMYFUNCTION("GOOGLETRANSLATE(B34410,""en"",""de"")"),"Der Mann spielt dann mehrere Songs, während er dazwischen harnt.")</f>
        <v>Der Mann spielt dann mehrere Songs, während er dazwischen harnt.</v>
      </c>
    </row>
    <row r="34411">
      <c r="A34411" s="4" t="s">
        <v>43303</v>
      </c>
      <c r="B34411" s="4" t="s">
        <v>43306</v>
      </c>
      <c r="C34411" s="5" t="str">
        <f>IFERROR(__xludf.DUMMYFUNCTION("GOOGLETRANSLATE(B34411,""en"",""de"")"),"Er spielt weiterhin das Instrument, während er in die Ferne schaut.")</f>
        <v>Er spielt weiterhin das Instrument, während er in die Ferne schaut.</v>
      </c>
    </row>
    <row r="34412">
      <c r="A34412" s="4" t="s">
        <v>43307</v>
      </c>
      <c r="B34412" s="4" t="s">
        <v>43308</v>
      </c>
      <c r="C34412" s="5" t="str">
        <f>IFERROR(__xludf.DUMMYFUNCTION("GOOGLETRANSLATE(B34412,""en"",""de"")"),"Ein Bild von einer Person, die von einem Boot ins Wasser springt.")</f>
        <v>Ein Bild von einer Person, die von einem Boot ins Wasser springt.</v>
      </c>
    </row>
    <row r="34413">
      <c r="A34413" s="4" t="s">
        <v>43307</v>
      </c>
      <c r="B34413" s="4" t="s">
        <v>24164</v>
      </c>
      <c r="C34413" s="5" t="str">
        <f>IFERROR(__xludf.DUMMYFUNCTION("GOOGLETRANSLATE(B34413,""en"",""de"")"),"Ein Boot ist im Wasser.")</f>
        <v>Ein Boot ist im Wasser.</v>
      </c>
    </row>
    <row r="34414">
      <c r="A34414" s="4" t="s">
        <v>43307</v>
      </c>
      <c r="B34414" s="4" t="s">
        <v>43309</v>
      </c>
      <c r="C34414" s="5" t="str">
        <f>IFERROR(__xludf.DUMMYFUNCTION("GOOGLETRANSLATE(B34414,""en"",""de"")"),"Ein Segelboot befindet sich mit Menschen im Wasser.")</f>
        <v>Ein Segelboot befindet sich mit Menschen im Wasser.</v>
      </c>
    </row>
    <row r="34415">
      <c r="A34415" s="4" t="s">
        <v>43307</v>
      </c>
      <c r="B34415" s="4" t="s">
        <v>43310</v>
      </c>
      <c r="C34415" s="5" t="str">
        <f>IFERROR(__xludf.DUMMYFUNCTION("GOOGLETRANSLATE(B34415,""en"",""de"")"),"Die Leute sitzen auf dem Boot und reden.")</f>
        <v>Die Leute sitzen auf dem Boot und reden.</v>
      </c>
    </row>
    <row r="34416">
      <c r="A34416" s="4" t="s">
        <v>43307</v>
      </c>
      <c r="B34416" s="4" t="s">
        <v>43311</v>
      </c>
      <c r="C34416" s="5" t="str">
        <f>IFERROR(__xludf.DUMMYFUNCTION("GOOGLETRANSLATE(B34416,""en"",""de"")"),"Eine Frau in einem weißen Bikini steht am Bogen des Bootes und ein Mann steht hinter ihr.")</f>
        <v>Eine Frau in einem weißen Bikini steht am Bogen des Bootes und ein Mann steht hinter ihr.</v>
      </c>
    </row>
    <row r="34417">
      <c r="A34417" s="4" t="s">
        <v>43307</v>
      </c>
      <c r="B34417" s="4" t="s">
        <v>43312</v>
      </c>
      <c r="C34417" s="5" t="str">
        <f>IFERROR(__xludf.DUMMYFUNCTION("GOOGLETRANSLATE(B34417,""en"",""de"")"),"Die Leute sitzen am Bogen des Bootes.")</f>
        <v>Die Leute sitzen am Bogen des Bootes.</v>
      </c>
    </row>
    <row r="34418">
      <c r="A34418" s="4" t="s">
        <v>43307</v>
      </c>
      <c r="B34418" s="4" t="s">
        <v>43313</v>
      </c>
      <c r="C34418" s="5" t="str">
        <f>IFERROR(__xludf.DUMMYFUNCTION("GOOGLETRANSLATE(B34418,""en"",""de"")"),"Eine Frau liegt auf dem Rücken und trägt einen Bikini auf dem Boot.")</f>
        <v>Eine Frau liegt auf dem Rücken und trägt einen Bikini auf dem Boot.</v>
      </c>
    </row>
    <row r="34419">
      <c r="A34419" s="4" t="s">
        <v>43307</v>
      </c>
      <c r="B34419" s="4" t="s">
        <v>43314</v>
      </c>
      <c r="C34419" s="5" t="str">
        <f>IFERROR(__xludf.DUMMYFUNCTION("GOOGLETRANSLATE(B34419,""en"",""de"")"),"Die Leute gehen im Sand vor der Kamera.")</f>
        <v>Die Leute gehen im Sand vor der Kamera.</v>
      </c>
    </row>
    <row r="34420">
      <c r="A34420" s="4" t="s">
        <v>43307</v>
      </c>
      <c r="B34420" s="4" t="s">
        <v>43315</v>
      </c>
      <c r="C34420" s="5" t="str">
        <f>IFERROR(__xludf.DUMMYFUNCTION("GOOGLETRANSLATE(B34420,""en"",""de"")"),"Ein Blick auf Wasser und Strand wird gezeigt.")</f>
        <v>Ein Blick auf Wasser und Strand wird gezeigt.</v>
      </c>
    </row>
    <row r="34421">
      <c r="A34421" s="4" t="s">
        <v>43307</v>
      </c>
      <c r="B34421" s="4" t="s">
        <v>43316</v>
      </c>
      <c r="C34421" s="5" t="str">
        <f>IFERROR(__xludf.DUMMYFUNCTION("GOOGLETRANSLATE(B34421,""en"",""de"")"),"Die Leute gehen auf dem Sandsand des Strandes.")</f>
        <v>Die Leute gehen auf dem Sandsand des Strandes.</v>
      </c>
    </row>
    <row r="34422">
      <c r="A34422" s="4" t="s">
        <v>43307</v>
      </c>
      <c r="B34422" s="4" t="s">
        <v>43317</v>
      </c>
      <c r="C34422" s="5" t="str">
        <f>IFERROR(__xludf.DUMMYFUNCTION("GOOGLETRANSLATE(B34422,""en"",""de"")"),"Eine Gruppe von Menschen posiert für ein Bild.")</f>
        <v>Eine Gruppe von Menschen posiert für ein Bild.</v>
      </c>
    </row>
    <row r="34423">
      <c r="A34423" s="4" t="s">
        <v>43307</v>
      </c>
      <c r="B34423" s="4" t="s">
        <v>43318</v>
      </c>
      <c r="C34423" s="5" t="str">
        <f>IFERROR(__xludf.DUMMYFUNCTION("GOOGLETRANSLATE(B34423,""en"",""de"")"),"Die Leute machen Fotos auf dem Boot.")</f>
        <v>Die Leute machen Fotos auf dem Boot.</v>
      </c>
    </row>
    <row r="34424">
      <c r="A34424" s="4" t="s">
        <v>43319</v>
      </c>
      <c r="B34424" s="4" t="s">
        <v>43320</v>
      </c>
      <c r="C34424" s="5" t="str">
        <f>IFERROR(__xludf.DUMMYFUNCTION("GOOGLETRANSLATE(B34424,""en"",""de"")"),"Eine Nahaufnahme einer Frau zeigt sich mit der Kamera, die ein Eis vor ihrem Gesicht hält.")</f>
        <v>Eine Nahaufnahme einer Frau zeigt sich mit der Kamera, die ein Eis vor ihrem Gesicht hält.</v>
      </c>
    </row>
    <row r="34425">
      <c r="A34425" s="4" t="s">
        <v>43319</v>
      </c>
      <c r="B34425" s="4" t="s">
        <v>43321</v>
      </c>
      <c r="C34425" s="5" t="str">
        <f>IFERROR(__xludf.DUMMYFUNCTION("GOOGLETRANSLATE(B34425,""en"",""de"")"),"Sie nimmt mehrere Bissen des Eiss, während die Kamera um ihren Körper schwenkt und mehrere andere Menschen sie umgeben.")</f>
        <v>Sie nimmt mehrere Bissen des Eiss, während die Kamera um ihren Körper schwenkt und mehrere andere Menschen sie umgeben.</v>
      </c>
    </row>
    <row r="34426">
      <c r="A34426" s="4" t="s">
        <v>43322</v>
      </c>
      <c r="B34426" s="4" t="s">
        <v>43323</v>
      </c>
      <c r="C34426" s="5" t="str">
        <f>IFERROR(__xludf.DUMMYFUNCTION("GOOGLETRANSLATE(B34426,""en"",""de"")"),"Ein Mädchen hüpft über den Bürgersteig.")</f>
        <v>Ein Mädchen hüpft über den Bürgersteig.</v>
      </c>
    </row>
    <row r="34427">
      <c r="A34427" s="4" t="s">
        <v>43322</v>
      </c>
      <c r="B34427" s="4" t="s">
        <v>43324</v>
      </c>
      <c r="C34427" s="5" t="str">
        <f>IFERROR(__xludf.DUMMYFUNCTION("GOOGLETRANSLATE(B34427,""en"",""de"")"),"Ein jüngeres Mädchen beobachtet sie.")</f>
        <v>Ein jüngeres Mädchen beobachtet sie.</v>
      </c>
    </row>
    <row r="34428">
      <c r="A34428" s="4" t="s">
        <v>43322</v>
      </c>
      <c r="B34428" s="4" t="s">
        <v>43325</v>
      </c>
      <c r="C34428" s="5" t="str">
        <f>IFERROR(__xludf.DUMMYFUNCTION("GOOGLETRANSLATE(B34428,""en"",""de"")"),"Der Arm des Mannes steht im Vordergrund.")</f>
        <v>Der Arm des Mannes steht im Vordergrund.</v>
      </c>
    </row>
    <row r="34429">
      <c r="A34429" s="4" t="s">
        <v>43322</v>
      </c>
      <c r="B34429" s="4" t="s">
        <v>43326</v>
      </c>
      <c r="C34429" s="5" t="str">
        <f>IFERROR(__xludf.DUMMYFUNCTION("GOOGLETRANSLATE(B34429,""en"",""de"")"),"Es gibt auch ein Holzdeck.")</f>
        <v>Es gibt auch ein Holzdeck.</v>
      </c>
    </row>
    <row r="34430">
      <c r="A34430" s="4" t="s">
        <v>43327</v>
      </c>
      <c r="B34430" s="4" t="s">
        <v>43328</v>
      </c>
      <c r="C34430" s="5" t="str">
        <f>IFERROR(__xludf.DUMMYFUNCTION("GOOGLETRANSLATE(B34430,""en"",""de"")"),"Weißer Text sagt, dass es in dem Video darum geht, wie man einen Bauchkuchen macht.")</f>
        <v>Weißer Text sagt, dass es in dem Video darum geht, wie man einen Bauchkuchen macht.</v>
      </c>
    </row>
    <row r="34431">
      <c r="A34431" s="4" t="s">
        <v>43327</v>
      </c>
      <c r="B34431" s="4" t="s">
        <v>43329</v>
      </c>
      <c r="C34431" s="5" t="str">
        <f>IFERROR(__xludf.DUMMYFUNCTION("GOOGLETRANSLATE(B34431,""en"",""de"")"),"Zwei Stücke verpackter Schokoladenkuchen werden als Hand angepasst und berührt sie.")</f>
        <v>Zwei Stücke verpackter Schokoladenkuchen werden als Hand angepasst und berührt sie.</v>
      </c>
    </row>
    <row r="34432">
      <c r="A34432" s="4" t="s">
        <v>43327</v>
      </c>
      <c r="B34432" s="4" t="s">
        <v>43330</v>
      </c>
      <c r="C34432" s="5" t="str">
        <f>IFERROR(__xludf.DUMMYFUNCTION("GOOGLETRANSLATE(B34432,""en"",""de"")"),"Am unteren Rand des Bildschirms werden Anweisungen angezeigt, bevor der Fondant -Babyteile nach dem Kuchen platziert wird.")</f>
        <v>Am unteren Rand des Bildschirms werden Anweisungen angezeigt, bevor der Fondant -Babyteile nach dem Kuchen platziert wird.</v>
      </c>
    </row>
    <row r="34433">
      <c r="A34433" s="4" t="s">
        <v>43327</v>
      </c>
      <c r="B34433" s="4" t="s">
        <v>43331</v>
      </c>
      <c r="C34433" s="5" t="str">
        <f>IFERROR(__xludf.DUMMYFUNCTION("GOOGLETRANSLATE(B34433,""en"",""de"")"),"Der Kuchen ist komplett als Magen einer Frau mit einem Babyfuß, der aus ihrem Kleid ragt.")</f>
        <v>Der Kuchen ist komplett als Magen einer Frau mit einem Babyfuß, der aus ihrem Kleid ragt.</v>
      </c>
    </row>
    <row r="34434">
      <c r="A34434" s="4" t="s">
        <v>43332</v>
      </c>
      <c r="B34434" s="4" t="s">
        <v>43333</v>
      </c>
      <c r="C34434" s="5" t="str">
        <f>IFERROR(__xludf.DUMMYFUNCTION("GOOGLETRANSLATE(B34434,""en"",""de"")"),"Eine Frau veranstaltet ein Nachrichtensegment, das zu mehreren Klammern von Menschen führt, die sich selbst messen und mit der Kamera sprechen.")</f>
        <v>Eine Frau veranstaltet ein Nachrichtensegment, das zu mehreren Klammern von Menschen führt, die sich selbst messen und mit der Kamera sprechen.</v>
      </c>
    </row>
    <row r="34435">
      <c r="A34435" s="4" t="s">
        <v>43332</v>
      </c>
      <c r="B34435" s="4" t="s">
        <v>43334</v>
      </c>
      <c r="C34435" s="5" t="str">
        <f>IFERROR(__xludf.DUMMYFUNCTION("GOOGLETRANSLATE(B34435,""en"",""de"")"),"Viele Schüsse werden von Menschen gezeigt, die Kaffee trinken, während sie größere Hosen hochhalten und das Gewicht zeigen, das sie verloren hatten.")</f>
        <v>Viele Schüsse werden von Menschen gezeigt, die Kaffee trinken, während sie größere Hosen hochhalten und das Gewicht zeigen, das sie verloren hatten.</v>
      </c>
    </row>
    <row r="34436">
      <c r="A34436" s="4" t="s">
        <v>43332</v>
      </c>
      <c r="B34436" s="4" t="s">
        <v>43335</v>
      </c>
      <c r="C34436" s="5" t="str">
        <f>IFERROR(__xludf.DUMMYFUNCTION("GOOGLETRANSLATE(B34436,""en"",""de"")"),"Es werden mehr Menschen gesehen, die mit der Kamera sprechen, während mehr Produkte angezeigt werden, ebenso wie Lebensmittel und eine Frau, die ihren Schrank zeigt.")</f>
        <v>Es werden mehr Menschen gesehen, die mit der Kamera sprechen, während mehr Produkte angezeigt werden, ebenso wie Lebensmittel und eine Frau, die ihren Schrank zeigt.</v>
      </c>
    </row>
    <row r="34437">
      <c r="A34437" s="4" t="s">
        <v>43336</v>
      </c>
      <c r="B34437" s="4" t="s">
        <v>43337</v>
      </c>
      <c r="C34437" s="5" t="str">
        <f>IFERROR(__xludf.DUMMYFUNCTION("GOOGLETRANSLATE(B34437,""en"",""de"")"),"Ein Junge in einem weißen T -Shirt nimmt seinen Bruder über Kopf und Körper auf das Bett.")</f>
        <v>Ein Junge in einem weißen T -Shirt nimmt seinen Bruder über Kopf und Körper auf das Bett.</v>
      </c>
    </row>
    <row r="34438">
      <c r="A34438" s="4" t="s">
        <v>43336</v>
      </c>
      <c r="B34438" s="4" t="s">
        <v>43338</v>
      </c>
      <c r="C34438" s="5" t="str">
        <f>IFERROR(__xludf.DUMMYFUNCTION("GOOGLETRANSLATE(B34438,""en"",""de"")"),"Der Bruder im Armee -farbigem Hemd steht aus dem Bett.")</f>
        <v>Der Bruder im Armee -farbigem Hemd steht aus dem Bett.</v>
      </c>
    </row>
    <row r="34439">
      <c r="A34439" s="4" t="s">
        <v>43339</v>
      </c>
      <c r="B34439" s="4" t="s">
        <v>43340</v>
      </c>
      <c r="C34439" s="5" t="str">
        <f>IFERROR(__xludf.DUMMYFUNCTION("GOOGLETRANSLATE(B34439,""en"",""de"")"),"Wir sehen einen Skateboarder mit seinem Brett.")</f>
        <v>Wir sehen einen Skateboarder mit seinem Brett.</v>
      </c>
    </row>
    <row r="34440">
      <c r="A34440" s="4" t="s">
        <v>43339</v>
      </c>
      <c r="B34440" s="4" t="s">
        <v>43341</v>
      </c>
      <c r="C34440" s="5" t="str">
        <f>IFERROR(__xludf.DUMMYFUNCTION("GOOGLETRANSLATE(B34440,""en"",""de"")"),"Der Mann Skateboards eine belebte Straße hinunter.")</f>
        <v>Der Mann Skateboards eine belebte Straße hinunter.</v>
      </c>
    </row>
    <row r="34441">
      <c r="A34441" s="4" t="s">
        <v>43339</v>
      </c>
      <c r="B34441" s="4" t="s">
        <v>43342</v>
      </c>
      <c r="C34441" s="5" t="str">
        <f>IFERROR(__xludf.DUMMYFUNCTION("GOOGLETRANSLATE(B34441,""en"",""de"")"),"Die Boarder hat seine Hand auf dem Boden, als er schließt.")</f>
        <v>Die Boarder hat seine Hand auf dem Boden, als er schließt.</v>
      </c>
    </row>
    <row r="34442">
      <c r="A34442" s="4" t="s">
        <v>43339</v>
      </c>
      <c r="B34442" s="4" t="s">
        <v>43343</v>
      </c>
      <c r="C34442" s="5" t="str">
        <f>IFERROR(__xludf.DUMMYFUNCTION("GOOGLETRANSLATE(B34442,""en"",""de"")"),"Der Boarder bog rechts ab.")</f>
        <v>Der Boarder bog rechts ab.</v>
      </c>
    </row>
    <row r="34443">
      <c r="A34443" s="4" t="s">
        <v>43339</v>
      </c>
      <c r="B34443" s="4" t="s">
        <v>43344</v>
      </c>
      <c r="C34443" s="5" t="str">
        <f>IFERROR(__xludf.DUMMYFUNCTION("GOOGLETRANSLATE(B34443,""en"",""de"")"),"Die Autos fahren vorbei und die Szene endet.")</f>
        <v>Die Autos fahren vorbei und die Szene endet.</v>
      </c>
    </row>
    <row r="34444">
      <c r="A34444" s="4" t="s">
        <v>43345</v>
      </c>
      <c r="B34444" s="4" t="s">
        <v>43346</v>
      </c>
      <c r="C34444" s="5" t="str">
        <f>IFERROR(__xludf.DUMMYFUNCTION("GOOGLETRANSLATE(B34444,""en"",""de"")"),"Ein Motorradrennen wird auf Schmutz gezeigt.")</f>
        <v>Ein Motorradrennen wird auf Schmutz gezeigt.</v>
      </c>
    </row>
    <row r="34445">
      <c r="A34445" s="4" t="s">
        <v>43345</v>
      </c>
      <c r="B34445" s="4" t="s">
        <v>43347</v>
      </c>
      <c r="C34445" s="5" t="str">
        <f>IFERROR(__xludf.DUMMYFUNCTION("GOOGLETRANSLATE(B34445,""en"",""de"")"),"Die Vorbereitungen umfassen spärlich bekleidete Frauen.")</f>
        <v>Die Vorbereitungen umfassen spärlich bekleidete Frauen.</v>
      </c>
    </row>
    <row r="34446">
      <c r="A34446" s="4" t="s">
        <v>43345</v>
      </c>
      <c r="B34446" s="4" t="s">
        <v>43348</v>
      </c>
      <c r="C34446" s="5" t="str">
        <f>IFERROR(__xludf.DUMMYFUNCTION("GOOGLETRANSLATE(B34446,""en"",""de"")"),"Motorrad werden dann gezeigt, wie sie Springen und Beweglichkeitsdaten machen.")</f>
        <v>Motorrad werden dann gezeigt, wie sie Springen und Beweglichkeitsdaten machen.</v>
      </c>
    </row>
    <row r="34447">
      <c r="A34447" s="4" t="s">
        <v>43349</v>
      </c>
      <c r="B34447" s="4" t="s">
        <v>43350</v>
      </c>
      <c r="C34447" s="5" t="str">
        <f>IFERROR(__xludf.DUMMYFUNCTION("GOOGLETRANSLATE(B34447,""en"",""de"")"),"Ein Mann steigt auf eine rote Maschine.")</f>
        <v>Ein Mann steigt auf eine rote Maschine.</v>
      </c>
    </row>
    <row r="34448">
      <c r="A34448" s="4" t="s">
        <v>43349</v>
      </c>
      <c r="B34448" s="4" t="s">
        <v>43351</v>
      </c>
      <c r="C34448" s="5" t="str">
        <f>IFERROR(__xludf.DUMMYFUNCTION("GOOGLETRANSLATE(B34448,""en"",""de"")"),"Dann hält er sich zurück und beginnt damit Blätter zu blasen.")</f>
        <v>Dann hält er sich zurück und beginnt damit Blätter zu blasen.</v>
      </c>
    </row>
    <row r="34449">
      <c r="A34449" s="4" t="s">
        <v>43349</v>
      </c>
      <c r="B34449" s="4" t="s">
        <v>43352</v>
      </c>
      <c r="C34449" s="5" t="str">
        <f>IFERROR(__xludf.DUMMYFUNCTION("GOOGLETRANSLATE(B34449,""en"",""de"")"),"Die Blätter blasen über die Einfahrt.")</f>
        <v>Die Blätter blasen über die Einfahrt.</v>
      </c>
    </row>
    <row r="34450">
      <c r="A34450" s="4" t="s">
        <v>43349</v>
      </c>
      <c r="B34450" s="4" t="s">
        <v>43353</v>
      </c>
      <c r="C34450" s="5" t="str">
        <f>IFERROR(__xludf.DUMMYFUNCTION("GOOGLETRANSLATE(B34450,""en"",""de"")"),"Schließlich wird die Auffahrt von den Blättern geräumt.")</f>
        <v>Schließlich wird die Auffahrt von den Blättern geräumt.</v>
      </c>
    </row>
    <row r="34451">
      <c r="A34451" s="4" t="s">
        <v>43354</v>
      </c>
      <c r="B34451" s="4" t="s">
        <v>20672</v>
      </c>
      <c r="C34451" s="5" t="str">
        <f>IFERROR(__xludf.DUMMYFUNCTION("GOOGLETRANSLATE(B34451,""en"",""de"")"),"Ein Mädchen springt auf einen Balancestrahl.")</f>
        <v>Ein Mädchen springt auf einen Balancestrahl.</v>
      </c>
    </row>
    <row r="34452">
      <c r="A34452" s="4" t="s">
        <v>43354</v>
      </c>
      <c r="B34452" s="4" t="s">
        <v>32035</v>
      </c>
      <c r="C34452" s="5" t="str">
        <f>IFERROR(__xludf.DUMMYFUNCTION("GOOGLETRANSLATE(B34452,""en"",""de"")"),"Sie macht eine Gymnastikroutine auf dem Balancestrahl.")</f>
        <v>Sie macht eine Gymnastikroutine auf dem Balancestrahl.</v>
      </c>
    </row>
    <row r="34453">
      <c r="A34453" s="4" t="s">
        <v>43354</v>
      </c>
      <c r="B34453" s="4" t="s">
        <v>43355</v>
      </c>
      <c r="C34453" s="5" t="str">
        <f>IFERROR(__xludf.DUMMYFUNCTION("GOOGLETRANSLATE(B34453,""en"",""de"")"),"Sie steigt und landet auf der Matte neben dem Strahl.")</f>
        <v>Sie steigt und landet auf der Matte neben dem Strahl.</v>
      </c>
    </row>
    <row r="34454">
      <c r="A34454" s="4" t="s">
        <v>43356</v>
      </c>
      <c r="B34454" s="4" t="s">
        <v>43357</v>
      </c>
      <c r="C34454" s="5" t="str">
        <f>IFERROR(__xludf.DUMMYFUNCTION("GOOGLETRANSLATE(B34454,""en"",""de"")"),"Ein Mann sitzt auf einem Kamel.")</f>
        <v>Ein Mann sitzt auf einem Kamel.</v>
      </c>
    </row>
    <row r="34455">
      <c r="A34455" s="4" t="s">
        <v>43356</v>
      </c>
      <c r="B34455" s="4" t="s">
        <v>43358</v>
      </c>
      <c r="C34455" s="5" t="str">
        <f>IFERROR(__xludf.DUMMYFUNCTION("GOOGLETRANSLATE(B34455,""en"",""de"")"),"Das Kamel steht auf und ein Mann vorne führt es an.")</f>
        <v>Das Kamel steht auf und ein Mann vorne führt es an.</v>
      </c>
    </row>
    <row r="34456">
      <c r="A34456" s="4" t="s">
        <v>43356</v>
      </c>
      <c r="B34456" s="4" t="s">
        <v>43359</v>
      </c>
      <c r="C34456" s="5" t="str">
        <f>IFERROR(__xludf.DUMMYFUNCTION("GOOGLETRANSLATE(B34456,""en"",""de"")"),"Hinter ihnen ist eine rote Scheune zu sehen.")</f>
        <v>Hinter ihnen ist eine rote Scheune zu sehen.</v>
      </c>
    </row>
    <row r="34457">
      <c r="A34457" s="4" t="s">
        <v>43356</v>
      </c>
      <c r="B34457" s="4" t="s">
        <v>43360</v>
      </c>
      <c r="C34457" s="5" t="str">
        <f>IFERROR(__xludf.DUMMYFUNCTION("GOOGLETRANSLATE(B34457,""en"",""de"")"),"Das Kamel setzt sich wieder hin und der Mann steigt aus.")</f>
        <v>Das Kamel setzt sich wieder hin und der Mann steigt aus.</v>
      </c>
    </row>
    <row r="34458">
      <c r="A34458" s="4" t="s">
        <v>43361</v>
      </c>
      <c r="B34458" s="4" t="s">
        <v>43362</v>
      </c>
      <c r="C34458" s="5" t="str">
        <f>IFERROR(__xludf.DUMMYFUNCTION("GOOGLETRANSLATE(B34458,""en"",""de"")"),"Eine Frau steht vor Eimern und spricht mit der Kamera.")</f>
        <v>Eine Frau steht vor Eimern und spricht mit der Kamera.</v>
      </c>
    </row>
    <row r="34459">
      <c r="A34459" s="4" t="s">
        <v>43361</v>
      </c>
      <c r="B34459" s="4" t="s">
        <v>43363</v>
      </c>
      <c r="C34459" s="5" t="str">
        <f>IFERROR(__xludf.DUMMYFUNCTION("GOOGLETRANSLATE(B34459,""en"",""de"")"),"Sie gießt Wasser in einen Eimer, während sie es umzieht und die Reinigung einmischt und beginnt, Kleidung zu entsorgen.")</f>
        <v>Sie gießt Wasser in einen Eimer, während sie es umzieht und die Reinigung einmischt und beginnt, Kleidung zu entsorgen.</v>
      </c>
    </row>
    <row r="34460">
      <c r="A34460" s="4" t="s">
        <v>43361</v>
      </c>
      <c r="B34460" s="4" t="s">
        <v>43364</v>
      </c>
      <c r="C34460" s="5" t="str">
        <f>IFERROR(__xludf.DUMMYFUNCTION("GOOGLETRANSLATE(B34460,""en"",""de"")"),"Die Frau taucht die Kleidung in den Eimer und zeigt, wo sie sie hängt und zur Kamera winkt.")</f>
        <v>Die Frau taucht die Kleidung in den Eimer und zeigt, wo sie sie hängt und zur Kamera winkt.</v>
      </c>
    </row>
    <row r="34461">
      <c r="A34461" s="4" t="s">
        <v>43365</v>
      </c>
      <c r="B34461" s="4" t="s">
        <v>43366</v>
      </c>
      <c r="C34461" s="5" t="str">
        <f>IFERROR(__xludf.DUMMYFUNCTION("GOOGLETRANSLATE(B34461,""en"",""de"")"),"Ein Mann wäscht sorgfältig die Seite eines Autos mit einem Schwamm.")</f>
        <v>Ein Mann wäscht sorgfältig die Seite eines Autos mit einem Schwamm.</v>
      </c>
    </row>
    <row r="34462">
      <c r="A34462" s="4" t="s">
        <v>43365</v>
      </c>
      <c r="B34462" s="4" t="s">
        <v>43367</v>
      </c>
      <c r="C34462" s="5" t="str">
        <f>IFERROR(__xludf.DUMMYFUNCTION("GOOGLETRANSLATE(B34462,""en"",""de"")"),"Der Mann steht auf und wäscht die Windschutzscheibe.")</f>
        <v>Der Mann steht auf und wäscht die Windschutzscheibe.</v>
      </c>
    </row>
    <row r="34463">
      <c r="A34463" s="4" t="s">
        <v>43365</v>
      </c>
      <c r="B34463" s="4" t="s">
        <v>43368</v>
      </c>
      <c r="C34463" s="5" t="str">
        <f>IFERROR(__xludf.DUMMYFUNCTION("GOOGLETRANSLATE(B34463,""en"",""de"")"),"Dann bewegt er sich entlang der Rückseite des Autos wäscht den Spoiler.")</f>
        <v>Dann bewegt er sich entlang der Rückseite des Autos wäscht den Spoiler.</v>
      </c>
    </row>
    <row r="34464">
      <c r="A34464" s="4" t="s">
        <v>43369</v>
      </c>
      <c r="B34464" s="4" t="s">
        <v>43370</v>
      </c>
      <c r="C34464" s="5" t="str">
        <f>IFERROR(__xludf.DUMMYFUNCTION("GOOGLETRANSLATE(B34464,""en"",""de"")"),"Eine stehende asiatische Frau, die Make -up trägt, spricht mit einer Gruppe sitzender asiatischer Frauen, die kein Make -up an ihren Gesichtern haben.")</f>
        <v>Eine stehende asiatische Frau, die Make -up trägt, spricht mit einer Gruppe sitzender asiatischer Frauen, die kein Make -up an ihren Gesichtern haben.</v>
      </c>
    </row>
    <row r="34465">
      <c r="A34465" s="4" t="s">
        <v>43369</v>
      </c>
      <c r="B34465" s="4" t="s">
        <v>43371</v>
      </c>
      <c r="C34465" s="5" t="str">
        <f>IFERROR(__xludf.DUMMYFUNCTION("GOOGLETRANSLATE(B34465,""en"",""de"")"),"Die asiatische Frau mit den Make -up -Klatschen und dann auf eine Uhr mit einem Timer von 10 Sekunden trifft.")</f>
        <v>Die asiatische Frau mit den Make -up -Klatschen und dann auf eine Uhr mit einem Timer von 10 Sekunden trifft.</v>
      </c>
    </row>
    <row r="34466">
      <c r="A34466" s="4" t="s">
        <v>43369</v>
      </c>
      <c r="B34466" s="4" t="s">
        <v>43372</v>
      </c>
      <c r="C34466" s="5" t="str">
        <f>IFERROR(__xludf.DUMMYFUNCTION("GOOGLETRANSLATE(B34466,""en"",""de"")"),"Die Frauen ohne Make -up beginnen schnell, Make -up anzuwenden, bevor die Zeit abgelaufen ist.")</f>
        <v>Die Frauen ohne Make -up beginnen schnell, Make -up anzuwenden, bevor die Zeit abgelaufen ist.</v>
      </c>
    </row>
    <row r="34467">
      <c r="A34467" s="4" t="s">
        <v>43369</v>
      </c>
      <c r="B34467" s="4" t="s">
        <v>43373</v>
      </c>
      <c r="C34467" s="5" t="str">
        <f>IFERROR(__xludf.DUMMYFUNCTION("GOOGLETRANSLATE(B34467,""en"",""de"")"),"Zwei Frauen wenden schnell Make -up in ihre Gesichter an, aber wenn sie fertig sind, haben sie die Blicke auf ihre Gesichter verärgert.")</f>
        <v>Zwei Frauen wenden schnell Make -up in ihre Gesichter an, aber wenn sie fertig sind, haben sie die Blicke auf ihre Gesichter verärgert.</v>
      </c>
    </row>
    <row r="34468">
      <c r="A34468" s="4" t="s">
        <v>43369</v>
      </c>
      <c r="B34468" s="4" t="s">
        <v>43374</v>
      </c>
      <c r="C34468" s="5" t="str">
        <f>IFERROR(__xludf.DUMMYFUNCTION("GOOGLETRANSLATE(B34468,""en"",""de"")"),"Die dritte Frau legt Make -up und falsche Wimpern auf ein Tablett vor ihr und schlägt dann ihr Gesicht in das Tablett und rollt es Seite zur Seite.")</f>
        <v>Die dritte Frau legt Make -up und falsche Wimpern auf ein Tablett vor ihr und schlägt dann ihr Gesicht in das Tablett und rollt es Seite zur Seite.</v>
      </c>
    </row>
    <row r="34469">
      <c r="A34469" s="4" t="s">
        <v>43369</v>
      </c>
      <c r="B34469" s="4" t="s">
        <v>43375</v>
      </c>
      <c r="C34469" s="5" t="str">
        <f>IFERROR(__xludf.DUMMYFUNCTION("GOOGLETRANSLATE(B34469,""en"",""de"")"),"Wenn sie ihren Kopf hochhebt, ist ihr Make -up perfekt und gleichzeitig zieht sie ihr Haar aus einem Pferdeschwanz und schüttelt sich frei.")</f>
        <v>Wenn sie ihren Kopf hochhebt, ist ihr Make -up perfekt und gleichzeitig zieht sie ihr Haar aus einem Pferdeschwanz und schüttelt sich frei.</v>
      </c>
    </row>
    <row r="34470">
      <c r="A34470" s="4" t="s">
        <v>43369</v>
      </c>
      <c r="B34470" s="4" t="s">
        <v>43376</v>
      </c>
      <c r="C34470" s="5" t="str">
        <f>IFERROR(__xludf.DUMMYFUNCTION("GOOGLETRANSLATE(B34470,""en"",""de"")"),"Das Outro -Video ist ein lila Bildschirm mit weißen Wörtern mit der Aufschrift ""Beautiful and Fast"" und endet mit einem weißen Bildschirm mit lila Wörtern, die ""Windows 8"" und das Microsoft -Logo lesen.")</f>
        <v>Das Outro -Video ist ein lila Bildschirm mit weißen Wörtern mit der Aufschrift "Beautiful and Fast" und endet mit einem weißen Bildschirm mit lila Wörtern, die "Windows 8" und das Microsoft -Logo lesen.</v>
      </c>
    </row>
    <row r="34471">
      <c r="A34471" s="4" t="s">
        <v>43377</v>
      </c>
      <c r="B34471" s="4" t="s">
        <v>43378</v>
      </c>
      <c r="C34471" s="5" t="str">
        <f>IFERROR(__xludf.DUMMYFUNCTION("GOOGLETRANSLATE(B34471,""en"",""de"")"),"Ein Mann spricht in einem Racquetballplatz.")</f>
        <v>Ein Mann spricht in einem Racquetballplatz.</v>
      </c>
    </row>
    <row r="34472">
      <c r="A34472" s="4" t="s">
        <v>43377</v>
      </c>
      <c r="B34472" s="4" t="s">
        <v>43379</v>
      </c>
      <c r="C34472" s="5" t="str">
        <f>IFERROR(__xludf.DUMMYFUNCTION("GOOGLETRANSLATE(B34472,""en"",""de"")"),"Er spricht darüber, wie man den Schläger posiert und schwingt.")</f>
        <v>Er spricht darüber, wie man den Schläger posiert und schwingt.</v>
      </c>
    </row>
    <row r="34473">
      <c r="A34473" s="4" t="s">
        <v>43377</v>
      </c>
      <c r="B34473" s="4" t="s">
        <v>43380</v>
      </c>
      <c r="C34473" s="5" t="str">
        <f>IFERROR(__xludf.DUMMYFUNCTION("GOOGLETRANSLATE(B34473,""en"",""de"")"),"Er zeigt, indem er den Ball gegen die Wand hin und her schlägt.")</f>
        <v>Er zeigt, indem er den Ball gegen die Wand hin und her schlägt.</v>
      </c>
    </row>
    <row r="34474">
      <c r="A34474" s="4" t="s">
        <v>43381</v>
      </c>
      <c r="B34474" s="4" t="s">
        <v>43382</v>
      </c>
      <c r="C34474" s="5" t="str">
        <f>IFERROR(__xludf.DUMMYFUNCTION("GOOGLETRANSLATE(B34474,""en"",""de"")"),"Ein Mann und ein Frauenbiker stehen vor einer Veranstaltung.")</f>
        <v>Ein Mann und ein Frauenbiker stehen vor einer Veranstaltung.</v>
      </c>
    </row>
    <row r="34475">
      <c r="A34475" s="4" t="s">
        <v>43381</v>
      </c>
      <c r="B34475" s="4" t="s">
        <v>43383</v>
      </c>
      <c r="C34475" s="5" t="str">
        <f>IFERROR(__xludf.DUMMYFUNCTION("GOOGLETRANSLATE(B34475,""en"",""de"")"),"Sie geraten in ein Floß und schieben es in einen Fluss.")</f>
        <v>Sie geraten in ein Floß und schieben es in einen Fluss.</v>
      </c>
    </row>
    <row r="34476">
      <c r="A34476" s="4" t="s">
        <v>43381</v>
      </c>
      <c r="B34476" s="4" t="s">
        <v>43384</v>
      </c>
      <c r="C34476" s="5" t="str">
        <f>IFERROR(__xludf.DUMMYFUNCTION("GOOGLETRANSLATE(B34476,""en"",""de"")"),"Sie reiten mit den Stromschnellen, gehen über Stürze und paddeln, während sie gehen.")</f>
        <v>Sie reiten mit den Stromschnellen, gehen über Stürze und paddeln, während sie gehen.</v>
      </c>
    </row>
    <row r="34477">
      <c r="A34477" s="4" t="s">
        <v>43385</v>
      </c>
      <c r="B34477" s="4" t="s">
        <v>43386</v>
      </c>
      <c r="C34477" s="5" t="str">
        <f>IFERROR(__xludf.DUMMYFUNCTION("GOOGLETRANSLATE(B34477,""en"",""de"")"),"Der Mann steht in einem Raum, der die Flöte spielt.")</f>
        <v>Der Mann steht in einem Raum, der die Flöte spielt.</v>
      </c>
    </row>
    <row r="34478">
      <c r="A34478" s="4" t="s">
        <v>43385</v>
      </c>
      <c r="B34478" s="4" t="s">
        <v>43387</v>
      </c>
      <c r="C34478" s="5" t="str">
        <f>IFERROR(__xludf.DUMMYFUNCTION("GOOGLETRANSLATE(B34478,""en"",""de"")"),"Der Mann endet, um zu spielen und zu lachen und dank der Öffentlichkeit zu danken.")</f>
        <v>Der Mann endet, um zu spielen und zu lachen und dank der Öffentlichkeit zu danken.</v>
      </c>
    </row>
    <row r="34479">
      <c r="A34479" s="4" t="s">
        <v>43385</v>
      </c>
      <c r="B34479" s="4" t="s">
        <v>43388</v>
      </c>
      <c r="C34479" s="5" t="str">
        <f>IFERROR(__xludf.DUMMYFUNCTION("GOOGLETRANSLATE(B34479,""en"",""de"")"),"Der Mann trägt ein blaues Hemd und sitzt hinter dem Mann, der die Flöte spielt.")</f>
        <v>Der Mann trägt ein blaues Hemd und sitzt hinter dem Mann, der die Flöte spielt.</v>
      </c>
    </row>
    <row r="34480">
      <c r="A34480" s="4" t="s">
        <v>43389</v>
      </c>
      <c r="B34480" s="4" t="s">
        <v>43390</v>
      </c>
      <c r="C34480" s="5" t="str">
        <f>IFERROR(__xludf.DUMMYFUNCTION("GOOGLETRANSLATE(B34480,""en"",""de"")"),"Ein Mann spricht mit einer Kamera aus einer Outdoors -Szene an einem Hang.")</f>
        <v>Ein Mann spricht mit einer Kamera aus einer Outdoors -Szene an einem Hang.</v>
      </c>
    </row>
    <row r="34481">
      <c r="A34481" s="4" t="s">
        <v>43389</v>
      </c>
      <c r="B34481" s="4" t="s">
        <v>43391</v>
      </c>
      <c r="C34481" s="5" t="str">
        <f>IFERROR(__xludf.DUMMYFUNCTION("GOOGLETRANSLATE(B34481,""en"",""de"")"),"Es werden mehrere schnelle Schnitte gezeigt, in denen die Begriffe hinter dem Rückblick im Kontext des Kletterns erklären werden.")</f>
        <v>Es werden mehrere schnelle Schnitte gezeigt, in denen die Begriffe hinter dem Rückblick im Kontext des Kletterns erklären werden.</v>
      </c>
    </row>
    <row r="34482">
      <c r="A34482" s="4" t="s">
        <v>43389</v>
      </c>
      <c r="B34482" s="4" t="s">
        <v>22880</v>
      </c>
      <c r="C34482" s="5" t="str">
        <f>IFERROR(__xludf.DUMMYFUNCTION("GOOGLETRANSLATE(B34482,""en"",""de"")"),"Der Mann spricht wieder mit der Kamera.")</f>
        <v>Der Mann spricht wieder mit der Kamera.</v>
      </c>
    </row>
    <row r="34483">
      <c r="A34483" s="4" t="s">
        <v>43389</v>
      </c>
      <c r="B34483" s="4" t="s">
        <v>43392</v>
      </c>
      <c r="C34483" s="5" t="str">
        <f>IFERROR(__xludf.DUMMYFUNCTION("GOOGLETRANSLATE(B34483,""en"",""de"")"),"Weitere schnelle Szenen werden gezeigt, dass der Prozess hinter der Beleuchtung im Kontext des Kletterns erklärt wird.")</f>
        <v>Weitere schnelle Szenen werden gezeigt, dass der Prozess hinter der Beleuchtung im Kontext des Kletterns erklärt wird.</v>
      </c>
    </row>
    <row r="34484">
      <c r="A34484" s="4" t="s">
        <v>43389</v>
      </c>
      <c r="B34484" s="4" t="s">
        <v>43393</v>
      </c>
      <c r="C34484" s="5" t="str">
        <f>IFERROR(__xludf.DUMMYFUNCTION("GOOGLETRANSLATE(B34484,""en"",""de"")"),"Der Mann spricht noch einmal mit der Kamera.")</f>
        <v>Der Mann spricht noch einmal mit der Kamera.</v>
      </c>
    </row>
    <row r="34485">
      <c r="A34485" s="4" t="s">
        <v>43394</v>
      </c>
      <c r="B34485" s="4" t="s">
        <v>43395</v>
      </c>
      <c r="C34485" s="5" t="str">
        <f>IFERROR(__xludf.DUMMYFUNCTION("GOOGLETRANSLATE(B34485,""en"",""de"")"),"Der Turner nähert sich mit einem Sprung der Bar.")</f>
        <v>Der Turner nähert sich mit einem Sprung der Bar.</v>
      </c>
    </row>
    <row r="34486">
      <c r="A34486" s="4" t="s">
        <v>43394</v>
      </c>
      <c r="B34486" s="4" t="s">
        <v>43396</v>
      </c>
      <c r="C34486" s="5" t="str">
        <f>IFERROR(__xludf.DUMMYFUNCTION("GOOGLETRANSLATE(B34486,""en"",""de"")"),"Sie greift die Bar und beginnt sich um die Bar umzudrehen, bevor sie in die nächste Bar springt und sich wiederholt auf und durch.")</f>
        <v>Sie greift die Bar und beginnt sich um die Bar umzudrehen, bevor sie in die nächste Bar springt und sich wiederholt auf und durch.</v>
      </c>
    </row>
    <row r="34487">
      <c r="A34487" s="4" t="s">
        <v>43394</v>
      </c>
      <c r="B34487" s="4" t="s">
        <v>43397</v>
      </c>
      <c r="C34487" s="5" t="str">
        <f>IFERROR(__xludf.DUMMYFUNCTION("GOOGLETRANSLATE(B34487,""en"",""de"")"),"Sie startet sich in die Luft und landet auf der Matte.")</f>
        <v>Sie startet sich in die Luft und landet auf der Matte.</v>
      </c>
    </row>
    <row r="34488">
      <c r="A34488" s="4" t="s">
        <v>43398</v>
      </c>
      <c r="B34488" s="4" t="s">
        <v>43399</v>
      </c>
      <c r="C34488" s="5" t="str">
        <f>IFERROR(__xludf.DUMMYFUNCTION("GOOGLETRANSLATE(B34488,""en"",""de"")"),"Ein Haufen Autos fährt auf einer Seite geneigt.")</f>
        <v>Ein Haufen Autos fährt auf einer Seite geneigt.</v>
      </c>
    </row>
    <row r="34489">
      <c r="A34489" s="4" t="s">
        <v>43398</v>
      </c>
      <c r="B34489" s="4" t="s">
        <v>43400</v>
      </c>
      <c r="C34489" s="5" t="str">
        <f>IFERROR(__xludf.DUMMYFUNCTION("GOOGLETRANSLATE(B34489,""en"",""de"")"),"Die Reifen werden aus einem der Autos genommen.")</f>
        <v>Die Reifen werden aus einem der Autos genommen.</v>
      </c>
    </row>
    <row r="34490">
      <c r="A34490" s="4" t="s">
        <v>43401</v>
      </c>
      <c r="B34490" s="4" t="s">
        <v>43402</v>
      </c>
      <c r="C34490" s="5" t="str">
        <f>IFERROR(__xludf.DUMMYFUNCTION("GOOGLETRANSLATE(B34490,""en"",""de"")"),"Ein Mann spricht mit der Kamera und führt in einen Clip seines Fahrens und in den Menschen, die dahinter fahren.")</f>
        <v>Ein Mann spricht mit der Kamera und führt in einen Clip seines Fahrens und in den Menschen, die dahinter fahren.</v>
      </c>
    </row>
    <row r="34491">
      <c r="A34491" s="4" t="s">
        <v>43401</v>
      </c>
      <c r="B34491" s="4" t="s">
        <v>43403</v>
      </c>
      <c r="C34491" s="5" t="str">
        <f>IFERROR(__xludf.DUMMYFUNCTION("GOOGLETRANSLATE(B34491,""en"",""de"")"),"Ein Mann spricht mit einem Stock mit einem Stock mit dem Boden, während er in einem verlassenen Gebiet umwandelt und verschiedene Pflanzen und Wildtiere in der Gegend zeigt.")</f>
        <v>Ein Mann spricht mit einem Stock mit einem Stock mit dem Boden, während er in einem verlassenen Gebiet umwandelt und verschiedene Pflanzen und Wildtiere in der Gegend zeigt.</v>
      </c>
    </row>
    <row r="34492">
      <c r="A34492" s="4" t="s">
        <v>43401</v>
      </c>
      <c r="B34492" s="4" t="s">
        <v>43404</v>
      </c>
      <c r="C34492" s="5" t="str">
        <f>IFERROR(__xludf.DUMMYFUNCTION("GOOGLETRANSLATE(B34492,""en"",""de"")"),"Er setzt weiße Kleidung über seinen Körper und mehrere andere und führt in die Menschen, die Kamele reiten, wobei andere vorne führen.")</f>
        <v>Er setzt weiße Kleidung über seinen Körper und mehrere andere und führt in die Menschen, die Kamele reiten, wobei andere vorne führen.</v>
      </c>
    </row>
    <row r="34493">
      <c r="A34493" s="4" t="s">
        <v>43405</v>
      </c>
      <c r="B34493" s="4" t="s">
        <v>43406</v>
      </c>
      <c r="C34493" s="5" t="str">
        <f>IFERROR(__xludf.DUMMYFUNCTION("GOOGLETRANSLATE(B34493,""en"",""de"")"),"Eine Flagge wird gezeigt, wo es im Boden steckt.")</f>
        <v>Eine Flagge wird gezeigt, wo es im Boden steckt.</v>
      </c>
    </row>
    <row r="34494">
      <c r="A34494" s="4" t="s">
        <v>43405</v>
      </c>
      <c r="B34494" s="4" t="s">
        <v>43407</v>
      </c>
      <c r="C34494" s="5" t="str">
        <f>IFERROR(__xludf.DUMMYFUNCTION("GOOGLETRANSLATE(B34494,""en"",""de"")"),"Eine Gruppe von Menschen steht vor dem Gebäude, einige essen.")</f>
        <v>Eine Gruppe von Menschen steht vor dem Gebäude, einige essen.</v>
      </c>
    </row>
    <row r="34495">
      <c r="A34495" s="4" t="s">
        <v>43405</v>
      </c>
      <c r="B34495" s="4" t="s">
        <v>43408</v>
      </c>
      <c r="C34495" s="5" t="str">
        <f>IFERROR(__xludf.DUMMYFUNCTION("GOOGLETRANSLATE(B34495,""en"",""de"")"),"Ein Mann schenkt in der Kamera, als ein Spiel beginnt.")</f>
        <v>Ein Mann schenkt in der Kamera, als ein Spiel beginnt.</v>
      </c>
    </row>
    <row r="34496">
      <c r="A34496" s="4" t="s">
        <v>43409</v>
      </c>
      <c r="B34496" s="4" t="s">
        <v>43410</v>
      </c>
      <c r="C34496" s="5" t="str">
        <f>IFERROR(__xludf.DUMMYFUNCTION("GOOGLETRANSLATE(B34496,""en"",""de"")"),"Ein kleiner Junge wird in Poolwasser eingetaucht, als er sich umsieht.")</f>
        <v>Ein kleiner Junge wird in Poolwasser eingetaucht, als er sich umsieht.</v>
      </c>
    </row>
    <row r="34497">
      <c r="A34497" s="4" t="s">
        <v>43409</v>
      </c>
      <c r="B34497" s="4" t="s">
        <v>43411</v>
      </c>
      <c r="C34497" s="5" t="str">
        <f>IFERROR(__xludf.DUMMYFUNCTION("GOOGLETRANSLATE(B34497,""en"",""de"")"),"Er schwimmt und schwimmt mit der Hilfe seiner Mutter.")</f>
        <v>Er schwimmt und schwimmt mit der Hilfe seiner Mutter.</v>
      </c>
    </row>
    <row r="34498">
      <c r="A34498" s="4" t="s">
        <v>43409</v>
      </c>
      <c r="B34498" s="4" t="s">
        <v>43412</v>
      </c>
      <c r="C34498" s="5" t="str">
        <f>IFERROR(__xludf.DUMMYFUNCTION("GOOGLETRANSLATE(B34498,""en"",""de"")"),"Er bläst Blasen und sie entfernt ihn aus dem Wasser.")</f>
        <v>Er bläst Blasen und sie entfernt ihn aus dem Wasser.</v>
      </c>
    </row>
    <row r="34499">
      <c r="A34499" s="4" t="s">
        <v>43413</v>
      </c>
      <c r="B34499" s="4" t="s">
        <v>43414</v>
      </c>
      <c r="C34499" s="5" t="str">
        <f>IFERROR(__xludf.DUMMYFUNCTION("GOOGLETRANSLATE(B34499,""en"",""de"")"),"Eine Frau sitzt vor einer Kamera.")</f>
        <v>Eine Frau sitzt vor einer Kamera.</v>
      </c>
    </row>
    <row r="34500">
      <c r="A34500" s="4" t="s">
        <v>43413</v>
      </c>
      <c r="B34500" s="4" t="s">
        <v>43415</v>
      </c>
      <c r="C34500" s="5" t="str">
        <f>IFERROR(__xludf.DUMMYFUNCTION("GOOGLETRANSLATE(B34500,""en"",""de"")"),"Sie beginnt, ihr teilweise nasses Haar zu bürsten.")</f>
        <v>Sie beginnt, ihr teilweise nasses Haar zu bürsten.</v>
      </c>
    </row>
    <row r="34501">
      <c r="A34501" s="4" t="s">
        <v>43413</v>
      </c>
      <c r="B34501" s="4" t="s">
        <v>43416</v>
      </c>
      <c r="C34501" s="5" t="str">
        <f>IFERROR(__xludf.DUMMYFUNCTION("GOOGLETRANSLATE(B34501,""en"",""de"")"),"Sie bürstet weiter, hält dann an und starrt in die Kamera.")</f>
        <v>Sie bürstet weiter, hält dann an und starrt in die Kamera.</v>
      </c>
    </row>
    <row r="34502">
      <c r="A34502" s="4" t="s">
        <v>43417</v>
      </c>
      <c r="B34502" s="4" t="s">
        <v>43418</v>
      </c>
      <c r="C34502" s="5" t="str">
        <f>IFERROR(__xludf.DUMMYFUNCTION("GOOGLETRANSLATE(B34502,""en"",""de"")"),"Ein Mann steht auf einem Tennisplatz auf einer Seite des Zauns.")</f>
        <v>Ein Mann steht auf einem Tennisplatz auf einer Seite des Zauns.</v>
      </c>
    </row>
    <row r="34503">
      <c r="A34503" s="4" t="s">
        <v>43417</v>
      </c>
      <c r="B34503" s="4" t="s">
        <v>43419</v>
      </c>
      <c r="C34503" s="5" t="str">
        <f>IFERROR(__xludf.DUMMYFUNCTION("GOOGLETRANSLATE(B34503,""en"",""de"")"),"Eine andere Person steht auf der anderen Seite und schlägt dann einen Ball zueinander.")</f>
        <v>Eine andere Person steht auf der anderen Seite und schlägt dann einen Ball zueinander.</v>
      </c>
    </row>
    <row r="34504">
      <c r="A34504" s="4" t="s">
        <v>43417</v>
      </c>
      <c r="B34504" s="4" t="s">
        <v>43420</v>
      </c>
      <c r="C34504" s="5" t="str">
        <f>IFERROR(__xludf.DUMMYFUNCTION("GOOGLETRANSLATE(B34504,""en"",""de"")"),"Die Person vermisst den Birdie und geht darauf hinüber.")</f>
        <v>Die Person vermisst den Birdie und geht darauf hinüber.</v>
      </c>
    </row>
    <row r="34505">
      <c r="A34505" s="4" t="s">
        <v>43421</v>
      </c>
      <c r="B34505" s="4" t="s">
        <v>43422</v>
      </c>
      <c r="C34505" s="5" t="str">
        <f>IFERROR(__xludf.DUMMYFUNCTION("GOOGLETRANSLATE(B34505,""en"",""de"")"),"Ein Mann steht auf einem Dock mit einem grünen Hemd.")</f>
        <v>Ein Mann steht auf einem Dock mit einem grünen Hemd.</v>
      </c>
    </row>
    <row r="34506">
      <c r="A34506" s="4" t="s">
        <v>43421</v>
      </c>
      <c r="B34506" s="4" t="s">
        <v>43423</v>
      </c>
      <c r="C34506" s="5" t="str">
        <f>IFERROR(__xludf.DUMMYFUNCTION("GOOGLETRANSLATE(B34506,""en"",""de"")"),"Dann fährt er mit einem Segel ein Boot.")</f>
        <v>Dann fährt er mit einem Segel ein Boot.</v>
      </c>
    </row>
    <row r="34507">
      <c r="A34507" s="4" t="s">
        <v>43421</v>
      </c>
      <c r="B34507" s="4" t="s">
        <v>43424</v>
      </c>
      <c r="C34507" s="5" t="str">
        <f>IFERROR(__xludf.DUMMYFUNCTION("GOOGLETRANSLATE(B34507,""en"",""de"")"),"Er steuert es durch den See.")</f>
        <v>Er steuert es durch den See.</v>
      </c>
    </row>
    <row r="34508">
      <c r="A34508" s="4" t="s">
        <v>43421</v>
      </c>
      <c r="B34508" s="4" t="s">
        <v>43425</v>
      </c>
      <c r="C34508" s="5" t="str">
        <f>IFERROR(__xludf.DUMMYFUNCTION("GOOGLETRANSLATE(B34508,""en"",""de"")"),"Er steht am Ende wieder auf dem Dock.")</f>
        <v>Er steht am Ende wieder auf dem Dock.</v>
      </c>
    </row>
    <row r="34509">
      <c r="A34509" s="4" t="s">
        <v>43426</v>
      </c>
      <c r="B34509" s="4" t="s">
        <v>43427</v>
      </c>
      <c r="C34509" s="5" t="str">
        <f>IFERROR(__xludf.DUMMYFUNCTION("GOOGLETRANSLATE(B34509,""en"",""de"")"),"Ein Paar steht auf einem schneebedeckten Hügel.")</f>
        <v>Ein Paar steht auf einem schneebedeckten Hügel.</v>
      </c>
    </row>
    <row r="34510">
      <c r="A34510" s="4" t="s">
        <v>43426</v>
      </c>
      <c r="B34510" s="4" t="s">
        <v>43428</v>
      </c>
      <c r="C34510" s="5" t="str">
        <f>IFERROR(__xludf.DUMMYFUNCTION("GOOGLETRANSLATE(B34510,""en"",""de"")"),"Ein Mann geht zu einer kleinen roten Fahne.")</f>
        <v>Ein Mann geht zu einer kleinen roten Fahne.</v>
      </c>
    </row>
    <row r="34511">
      <c r="A34511" s="4" t="s">
        <v>43426</v>
      </c>
      <c r="B34511" s="4" t="s">
        <v>43429</v>
      </c>
      <c r="C34511" s="5" t="str">
        <f>IFERROR(__xludf.DUMMYFUNCTION("GOOGLETRANSLATE(B34511,""en"",""de"")"),"Er entfernt die Flagge und zieht dann eine Linie aus dem Boden.")</f>
        <v>Er entfernt die Flagge und zieht dann eine Linie aus dem Boden.</v>
      </c>
    </row>
    <row r="34512">
      <c r="A34512" s="4" t="s">
        <v>43426</v>
      </c>
      <c r="B34512" s="4" t="s">
        <v>43430</v>
      </c>
      <c r="C34512" s="5" t="str">
        <f>IFERROR(__xludf.DUMMYFUNCTION("GOOGLETRANSLATE(B34512,""en"",""de"")"),"Er zieht einen riesigen Fisch hoch, den er gefangen hat.")</f>
        <v>Er zieht einen riesigen Fisch hoch, den er gefangen hat.</v>
      </c>
    </row>
    <row r="34513">
      <c r="A34513" s="4" t="s">
        <v>43431</v>
      </c>
      <c r="B34513" s="4" t="s">
        <v>43432</v>
      </c>
      <c r="C34513" s="5" t="str">
        <f>IFERROR(__xludf.DUMMYFUNCTION("GOOGLETRANSLATE(B34513,""en"",""de"")"),"Wir sehen Leute, die mit einem Hund Volleyball in Sand spielen.")</f>
        <v>Wir sehen Leute, die mit einem Hund Volleyball in Sand spielen.</v>
      </c>
    </row>
    <row r="34514">
      <c r="A34514" s="4" t="s">
        <v>43431</v>
      </c>
      <c r="B34514" s="4" t="s">
        <v>43433</v>
      </c>
      <c r="C34514" s="5" t="str">
        <f>IFERROR(__xludf.DUMMYFUNCTION("GOOGLETRANSLATE(B34514,""en"",""de"")"),"Wir sehen einen Mann, der im Sand liegt.")</f>
        <v>Wir sehen einen Mann, der im Sand liegt.</v>
      </c>
    </row>
    <row r="34515">
      <c r="A34515" s="4" t="s">
        <v>43431</v>
      </c>
      <c r="B34515" s="4" t="s">
        <v>43434</v>
      </c>
      <c r="C34515" s="5" t="str">
        <f>IFERROR(__xludf.DUMMYFUNCTION("GOOGLETRANSLATE(B34515,""en"",""de"")"),"Der Hund rennt nach dem Ball.")</f>
        <v>Der Hund rennt nach dem Ball.</v>
      </c>
    </row>
    <row r="34516">
      <c r="A34516" s="4" t="s">
        <v>43431</v>
      </c>
      <c r="B34516" s="4" t="s">
        <v>43435</v>
      </c>
      <c r="C34516" s="5" t="str">
        <f>IFERROR(__xludf.DUMMYFUNCTION("GOOGLETRANSLATE(B34516,""en"",""de"")"),"Eine Person wirft den Ball zurück und der Hund kehrt zurück.")</f>
        <v>Eine Person wirft den Ball zurück und der Hund kehrt zurück.</v>
      </c>
    </row>
    <row r="34517">
      <c r="A34517" s="4" t="s">
        <v>43431</v>
      </c>
      <c r="B34517" s="4" t="s">
        <v>43436</v>
      </c>
      <c r="C34517" s="5" t="str">
        <f>IFERROR(__xludf.DUMMYFUNCTION("GOOGLETRANSLATE(B34517,""en"",""de"")"),"Der Hund versucht den Ball zu bekommen.")</f>
        <v>Der Hund versucht den Ball zu bekommen.</v>
      </c>
    </row>
    <row r="34518">
      <c r="A34518" s="4" t="s">
        <v>43431</v>
      </c>
      <c r="B34518" s="4" t="s">
        <v>43437</v>
      </c>
      <c r="C34518" s="5" t="str">
        <f>IFERROR(__xludf.DUMMYFUNCTION("GOOGLETRANSLATE(B34518,""en"",""de"")"),"Ein Mann tritt Sand auf und schuht den Hund.")</f>
        <v>Ein Mann tritt Sand auf und schuht den Hund.</v>
      </c>
    </row>
    <row r="34519">
      <c r="A34519" s="4" t="s">
        <v>43438</v>
      </c>
      <c r="B34519" s="4" t="s">
        <v>43439</v>
      </c>
      <c r="C34519" s="5" t="str">
        <f>IFERROR(__xludf.DUMMYFUNCTION("GOOGLETRANSLATE(B34519,""en"",""de"")"),"Ein Mann verzweigt einen Schuh auf der Straße, während eine andere Person sitzt und zuschaut.")</f>
        <v>Ein Mann verzweigt einen Schuh auf der Straße, während eine andere Person sitzt und zuschaut.</v>
      </c>
    </row>
    <row r="34520">
      <c r="A34520" s="4" t="s">
        <v>43438</v>
      </c>
      <c r="B34520" s="4" t="s">
        <v>43440</v>
      </c>
      <c r="C34520" s="5" t="str">
        <f>IFERROR(__xludf.DUMMYFUNCTION("GOOGLETRANSLATE(B34520,""en"",""de"")"),"Sie spricht mit dem Mann und bewegt ihre Hände, um seiner Bewegung zu folgen.")</f>
        <v>Sie spricht mit dem Mann und bewegt ihre Hände, um seiner Bewegung zu folgen.</v>
      </c>
    </row>
    <row r="34521">
      <c r="A34521" s="4" t="s">
        <v>43441</v>
      </c>
      <c r="B34521" s="4" t="s">
        <v>23870</v>
      </c>
      <c r="C34521" s="5" t="str">
        <f>IFERROR(__xludf.DUMMYFUNCTION("GOOGLETRANSLATE(B34521,""en"",""de"")"),"Ein Mann steht in einem Raum und redet.")</f>
        <v>Ein Mann steht in einem Raum und redet.</v>
      </c>
    </row>
    <row r="34522">
      <c r="A34522" s="4" t="s">
        <v>43441</v>
      </c>
      <c r="B34522" s="4" t="s">
        <v>43442</v>
      </c>
      <c r="C34522" s="5" t="str">
        <f>IFERROR(__xludf.DUMMYFUNCTION("GOOGLETRANSLATE(B34522,""en"",""de"")"),"Er zeigt ein Shuffleboard.")</f>
        <v>Er zeigt ein Shuffleboard.</v>
      </c>
    </row>
    <row r="34523">
      <c r="A34523" s="4" t="s">
        <v>43441</v>
      </c>
      <c r="B34523" s="4" t="s">
        <v>43443</v>
      </c>
      <c r="C34523" s="5" t="str">
        <f>IFERROR(__xludf.DUMMYFUNCTION("GOOGLETRANSLATE(B34523,""en"",""de"")"),"Er geht zum Ende des Shuffleboards und ein anderer Mann ist auf der anderen Seite.")</f>
        <v>Er geht zum Ende des Shuffleboards und ein anderer Mann ist auf der anderen Seite.</v>
      </c>
    </row>
    <row r="34524">
      <c r="A34524" s="4" t="s">
        <v>43441</v>
      </c>
      <c r="B34524" s="4" t="s">
        <v>43444</v>
      </c>
      <c r="C34524" s="5" t="str">
        <f>IFERROR(__xludf.DUMMYFUNCTION("GOOGLETRANSLATE(B34524,""en"",""de"")"),"Er beginnt zu spielen, indem er eines auf das Brett wirft.")</f>
        <v>Er beginnt zu spielen, indem er eines auf das Brett wirft.</v>
      </c>
    </row>
    <row r="34525">
      <c r="A34525" s="4" t="s">
        <v>43445</v>
      </c>
      <c r="B34525" s="4" t="s">
        <v>43446</v>
      </c>
      <c r="C34525" s="5" t="str">
        <f>IFERROR(__xludf.DUMMYFUNCTION("GOOGLETRANSLATE(B34525,""en"",""de"")"),"Wir sehen ein paar Öffnungsbildschirme.")</f>
        <v>Wir sehen ein paar Öffnungsbildschirme.</v>
      </c>
    </row>
    <row r="34526">
      <c r="A34526" s="4" t="s">
        <v>43445</v>
      </c>
      <c r="B34526" s="4" t="s">
        <v>43447</v>
      </c>
      <c r="C34526" s="5" t="str">
        <f>IFERROR(__xludf.DUMMYFUNCTION("GOOGLETRANSLATE(B34526,""en"",""de"")"),"Wir sehen, dass eine Dame eine Stabroutine in einer Arena durchführt.")</f>
        <v>Wir sehen, dass eine Dame eine Stabroutine in einer Arena durchführt.</v>
      </c>
    </row>
    <row r="34527">
      <c r="A34527" s="4" t="s">
        <v>43445</v>
      </c>
      <c r="B34527" s="4" t="s">
        <v>43448</v>
      </c>
      <c r="C34527" s="5" t="str">
        <f>IFERROR(__xludf.DUMMYFUNCTION("GOOGLETRANSLATE(B34527,""en"",""de"")"),"Die Dame dreht sich und fängt ihren Staffelstab.")</f>
        <v>Die Dame dreht sich und fängt ihren Staffelstab.</v>
      </c>
    </row>
    <row r="34528">
      <c r="A34528" s="4" t="s">
        <v>43445</v>
      </c>
      <c r="B34528" s="4" t="s">
        <v>43449</v>
      </c>
      <c r="C34528" s="5" t="str">
        <f>IFERROR(__xludf.DUMMYFUNCTION("GOOGLETRANSLATE(B34528,""en"",""de"")"),"Die Dame dreht nach vorne und rückwärts und fängt ihren Staffelstab.")</f>
        <v>Die Dame dreht nach vorne und rückwärts und fängt ihren Staffelstab.</v>
      </c>
    </row>
    <row r="34529">
      <c r="A34529" s="4" t="s">
        <v>43445</v>
      </c>
      <c r="B34529" s="4" t="s">
        <v>43450</v>
      </c>
      <c r="C34529" s="5" t="str">
        <f>IFERROR(__xludf.DUMMYFUNCTION("GOOGLETRANSLATE(B34529,""en"",""de"")"),"Die Dame dreht sich und fängt ihren Schlagstock wieder.")</f>
        <v>Die Dame dreht sich und fängt ihren Schlagstock wieder.</v>
      </c>
    </row>
    <row r="34530">
      <c r="A34530" s="4" t="s">
        <v>43445</v>
      </c>
      <c r="B34530" s="4" t="s">
        <v>43451</v>
      </c>
      <c r="C34530" s="5" t="str">
        <f>IFERROR(__xludf.DUMMYFUNCTION("GOOGLETRANSLATE(B34530,""en"",""de"")"),"Die Dame dreht sich mehrmals um und fängt ihren Staffelstab, bevor sie posiert.")</f>
        <v>Die Dame dreht sich mehrmals um und fängt ihren Staffelstab, bevor sie posiert.</v>
      </c>
    </row>
    <row r="34531">
      <c r="A34531" s="4" t="s">
        <v>43445</v>
      </c>
      <c r="B34531" s="4" t="s">
        <v>43452</v>
      </c>
      <c r="C34531" s="5" t="str">
        <f>IFERROR(__xludf.DUMMYFUNCTION("GOOGLETRANSLATE(B34531,""en"",""de"")"),"Die Menge klatscht und die Lady Waves.")</f>
        <v>Die Menge klatscht und die Lady Waves.</v>
      </c>
    </row>
    <row r="34532">
      <c r="A34532" s="4" t="s">
        <v>43453</v>
      </c>
      <c r="B34532" s="4" t="s">
        <v>43454</v>
      </c>
      <c r="C34532" s="5" t="str">
        <f>IFERROR(__xludf.DUMMYFUNCTION("GOOGLETRANSLATE(B34532,""en"",""de"")"),"Das Video beginnt mit einem Titelbildschirm und einem Intro, das verschiedene Kunstwerke zeigt.")</f>
        <v>Das Video beginnt mit einem Titelbildschirm und einem Intro, das verschiedene Kunstwerke zeigt.</v>
      </c>
    </row>
    <row r="34533">
      <c r="A34533" s="4" t="s">
        <v>43453</v>
      </c>
      <c r="B34533" s="4" t="s">
        <v>43455</v>
      </c>
      <c r="C34533" s="5" t="str">
        <f>IFERROR(__xludf.DUMMYFUNCTION("GOOGLETRANSLATE(B34533,""en"",""de"")"),"Das Thema handelt von chinesischen Gemälden von Wasserfällen und Felsen.")</f>
        <v>Das Thema handelt von chinesischen Gemälden von Wasserfällen und Felsen.</v>
      </c>
    </row>
    <row r="34534">
      <c r="A34534" s="4" t="s">
        <v>43453</v>
      </c>
      <c r="B34534" s="4" t="s">
        <v>43456</v>
      </c>
      <c r="C34534" s="5" t="str">
        <f>IFERROR(__xludf.DUMMYFUNCTION("GOOGLETRANSLATE(B34534,""en"",""de"")"),"Ein älterer chinesischer Mann spricht mit der Kamera.")</f>
        <v>Ein älterer chinesischer Mann spricht mit der Kamera.</v>
      </c>
    </row>
    <row r="34535">
      <c r="A34535" s="4" t="s">
        <v>43453</v>
      </c>
      <c r="B34535" s="4" t="s">
        <v>43457</v>
      </c>
      <c r="C34535" s="5" t="str">
        <f>IFERROR(__xludf.DUMMYFUNCTION("GOOGLETRANSLATE(B34535,""en"",""de"")"),"Dann beginnt er zu malen, wie die Kamera nach unten schwenkt, um zu sehen, wie er es macht.")</f>
        <v>Dann beginnt er zu malen, wie die Kamera nach unten schwenkt, um zu sehen, wie er es macht.</v>
      </c>
    </row>
    <row r="34536">
      <c r="A34536" s="4" t="s">
        <v>43453</v>
      </c>
      <c r="B34536" s="4" t="s">
        <v>43458</v>
      </c>
      <c r="C34536" s="5" t="str">
        <f>IFERROR(__xludf.DUMMYFUNCTION("GOOGLETRANSLATE(B34536,""en"",""de"")"),"Irgendwann konzentriert sich die Kamera für einen Moment wieder ins Gesicht.")</f>
        <v>Irgendwann konzentriert sich die Kamera für einen Moment wieder ins Gesicht.</v>
      </c>
    </row>
    <row r="34537">
      <c r="A34537" s="4" t="s">
        <v>43453</v>
      </c>
      <c r="B34537" s="4" t="s">
        <v>43459</v>
      </c>
      <c r="C34537" s="5" t="str">
        <f>IFERROR(__xludf.DUMMYFUNCTION("GOOGLETRANSLATE(B34537,""en"",""de"")"),"Das Video endet mit einem anderen Titelbildschirm.")</f>
        <v>Das Video endet mit einem anderen Titelbildschirm.</v>
      </c>
    </row>
    <row r="34538">
      <c r="A34538" s="4" t="s">
        <v>43460</v>
      </c>
      <c r="B34538" s="4" t="s">
        <v>43461</v>
      </c>
      <c r="C34538" s="5" t="str">
        <f>IFERROR(__xludf.DUMMYFUNCTION("GOOGLETRANSLATE(B34538,""en"",""de"")"),"Ein Drachen fliegt über einem Strand.")</f>
        <v>Ein Drachen fliegt über einem Strand.</v>
      </c>
    </row>
    <row r="34539">
      <c r="A34539" s="4" t="s">
        <v>43460</v>
      </c>
      <c r="B34539" s="4" t="s">
        <v>43462</v>
      </c>
      <c r="C34539" s="5" t="str">
        <f>IFERROR(__xludf.DUMMYFUNCTION("GOOGLETRANSLATE(B34539,""en"",""de"")"),"Mehrere Leute sitzen am Strand.")</f>
        <v>Mehrere Leute sitzen am Strand.</v>
      </c>
    </row>
    <row r="34540">
      <c r="A34540" s="4" t="s">
        <v>43460</v>
      </c>
      <c r="B34540" s="4" t="s">
        <v>43463</v>
      </c>
      <c r="C34540" s="5" t="str">
        <f>IFERROR(__xludf.DUMMYFUNCTION("GOOGLETRANSLATE(B34540,""en"",""de"")"),"Der Drachen fliegt durch den Himmel.")</f>
        <v>Der Drachen fliegt durch den Himmel.</v>
      </c>
    </row>
    <row r="34541">
      <c r="A34541" s="4" t="s">
        <v>43460</v>
      </c>
      <c r="B34541" s="4" t="s">
        <v>43464</v>
      </c>
      <c r="C34541" s="5" t="str">
        <f>IFERROR(__xludf.DUMMYFUNCTION("GOOGLETRANSLATE(B34541,""en"",""de"")"),"Mehrere Menschen sind im Wasser.")</f>
        <v>Mehrere Menschen sind im Wasser.</v>
      </c>
    </row>
    <row r="34542">
      <c r="A34542" s="4" t="s">
        <v>43465</v>
      </c>
      <c r="B34542" s="4" t="s">
        <v>43466</v>
      </c>
      <c r="C34542" s="5" t="str">
        <f>IFERROR(__xludf.DUMMYFUNCTION("GOOGLETRANSLATE(B34542,""en"",""de"")"),"Ein alter Mann spielt die Ukulele und ein Junge spielt die Tam-Tams auf der Straße.")</f>
        <v>Ein alter Mann spielt die Ukulele und ein Junge spielt die Tam-Tams auf der Straße.</v>
      </c>
    </row>
    <row r="34543">
      <c r="A34543" s="4" t="s">
        <v>43465</v>
      </c>
      <c r="B34543" s="4" t="s">
        <v>43467</v>
      </c>
      <c r="C34543" s="5" t="str">
        <f>IFERROR(__xludf.DUMMYFUNCTION("GOOGLETRANSLATE(B34543,""en"",""de"")"),"Eine Person gibt die Spieler vorne.")</f>
        <v>Eine Person gibt die Spieler vorne.</v>
      </c>
    </row>
    <row r="34544">
      <c r="A34544" s="4" t="s">
        <v>43468</v>
      </c>
      <c r="B34544" s="4" t="s">
        <v>43469</v>
      </c>
      <c r="C34544" s="5" t="str">
        <f>IFERROR(__xludf.DUMMYFUNCTION("GOOGLETRANSLATE(B34544,""en"",""de"")"),"Eine Reihe von Anweisungen werden nach hinten und vierten zwischen einem Mann gezeigt, der Teppich auf einer Treppe hinunterlegt.")</f>
        <v>Eine Reihe von Anweisungen werden nach hinten und vierten zwischen einem Mann gezeigt, der Teppich auf einer Treppe hinunterlegt.</v>
      </c>
    </row>
    <row r="34545">
      <c r="A34545" s="4" t="s">
        <v>43468</v>
      </c>
      <c r="B34545" s="4" t="s">
        <v>43470</v>
      </c>
      <c r="C34545" s="5" t="str">
        <f>IFERROR(__xludf.DUMMYFUNCTION("GOOGLETRANSLATE(B34545,""en"",""de"")"),"Der Text zeigt weiter, während der Mann Papier alle die Treppe hinunter legt.")</f>
        <v>Der Text zeigt weiter, während der Mann Papier alle die Treppe hinunter legt.</v>
      </c>
    </row>
    <row r="34546">
      <c r="A34546" s="4" t="s">
        <v>43471</v>
      </c>
      <c r="B34546" s="4" t="s">
        <v>43472</v>
      </c>
      <c r="C34546" s="5" t="str">
        <f>IFERROR(__xludf.DUMMYFUNCTION("GOOGLETRANSLATE(B34546,""en"",""de"")"),"Eine Frau ist gesehen, wie er ein Feld entlang geht und ein Sprungseil zu einem anderen wirft.")</f>
        <v>Eine Frau ist gesehen, wie er ein Feld entlang geht und ein Sprungseil zu einem anderen wirft.</v>
      </c>
    </row>
    <row r="34547">
      <c r="A34547" s="4" t="s">
        <v>43471</v>
      </c>
      <c r="B34547" s="4" t="s">
        <v>43473</v>
      </c>
      <c r="C34547" s="5" t="str">
        <f>IFERROR(__xludf.DUMMYFUNCTION("GOOGLETRANSLATE(B34547,""en"",""de"")"),"Auf verschiedenen Clips springen Menschen an verschiedenen Orten sowie miteinander.")</f>
        <v>Auf verschiedenen Clips springen Menschen an verschiedenen Orten sowie miteinander.</v>
      </c>
    </row>
    <row r="34548">
      <c r="A34548" s="4" t="s">
        <v>43471</v>
      </c>
      <c r="B34548" s="4" t="s">
        <v>43474</v>
      </c>
      <c r="C34548" s="5" t="str">
        <f>IFERROR(__xludf.DUMMYFUNCTION("GOOGLETRANSLATE(B34548,""en"",""de"")"),"Die Gruppe tanzt weiter und springt durch öffentliche Orte und endet mit einem Baby, das ein Seil hält.")</f>
        <v>Die Gruppe tanzt weiter und springt durch öffentliche Orte und endet mit einem Baby, das ein Seil hält.</v>
      </c>
    </row>
    <row r="34549">
      <c r="A34549" s="4" t="s">
        <v>43475</v>
      </c>
      <c r="B34549" s="4" t="s">
        <v>43476</v>
      </c>
      <c r="C34549" s="5" t="str">
        <f>IFERROR(__xludf.DUMMYFUNCTION("GOOGLETRANSLATE(B34549,""en"",""de"")"),"Wir sehen zwei Männer in einer Stadtstraße und den Titel lädt.")</f>
        <v>Wir sehen zwei Männer in einer Stadtstraße und den Titel lädt.</v>
      </c>
    </row>
    <row r="34550">
      <c r="A34550" s="4" t="s">
        <v>43475</v>
      </c>
      <c r="B34550" s="4" t="s">
        <v>43477</v>
      </c>
      <c r="C34550" s="5" t="str">
        <f>IFERROR(__xludf.DUMMYFUNCTION("GOOGLETRANSLATE(B34550,""en"",""de"")"),"Ein Mann nimmt seine Kapuze aus und spricht mit der Kamera.")</f>
        <v>Ein Mann nimmt seine Kapuze aus und spricht mit der Kamera.</v>
      </c>
    </row>
    <row r="34551">
      <c r="A34551" s="4" t="s">
        <v>43475</v>
      </c>
      <c r="B34551" s="4" t="s">
        <v>43478</v>
      </c>
      <c r="C34551" s="5" t="str">
        <f>IFERROR(__xludf.DUMMYFUNCTION("GOOGLETRANSLATE(B34551,""en"",""de"")"),"Wir sehen, wie Männer in Rollschaufeln fallen und dann ein Geländer hinunterfahren.")</f>
        <v>Wir sehen, wie Männer in Rollschaufeln fallen und dann ein Geländer hinunterfahren.</v>
      </c>
    </row>
    <row r="34552">
      <c r="A34552" s="4" t="s">
        <v>43475</v>
      </c>
      <c r="B34552" s="4" t="s">
        <v>43479</v>
      </c>
      <c r="C34552" s="5" t="str">
        <f>IFERROR(__xludf.DUMMYFUNCTION("GOOGLETRANSLATE(B34552,""en"",""de"")"),"Eine Person blitzt ein Licht in die Kamera.")</f>
        <v>Eine Person blitzt ein Licht in die Kamera.</v>
      </c>
    </row>
    <row r="34553">
      <c r="A34553" s="4" t="s">
        <v>43475</v>
      </c>
      <c r="B34553" s="4" t="s">
        <v>43480</v>
      </c>
      <c r="C34553" s="5" t="str">
        <f>IFERROR(__xludf.DUMMYFUNCTION("GOOGLETRANSLATE(B34553,""en"",""de"")"),"Ein Mann fällt auf das Geländer.")</f>
        <v>Ein Mann fällt auf das Geländer.</v>
      </c>
    </row>
    <row r="34554">
      <c r="A34554" s="4" t="s">
        <v>43475</v>
      </c>
      <c r="B34554" s="4" t="s">
        <v>43481</v>
      </c>
      <c r="C34554" s="5" t="str">
        <f>IFERROR(__xludf.DUMMYFUNCTION("GOOGLETRANSLATE(B34554,""en"",""de"")"),"Eine Person fällt auf den Boden der Treppe und dann blinkt das Licht wieder.")</f>
        <v>Eine Person fällt auf den Boden der Treppe und dann blinkt das Licht wieder.</v>
      </c>
    </row>
    <row r="34555">
      <c r="A34555" s="4" t="s">
        <v>43475</v>
      </c>
      <c r="B34555" s="4" t="s">
        <v>43482</v>
      </c>
      <c r="C34555" s="5" t="str">
        <f>IFERROR(__xludf.DUMMYFUNCTION("GOOGLETRANSLATE(B34555,""en"",""de"")"),"Wir sehen, wie ein Mann dreimal über das Geländer fallen.")</f>
        <v>Wir sehen, wie ein Mann dreimal über das Geländer fallen.</v>
      </c>
    </row>
    <row r="34556">
      <c r="A34556" s="4" t="s">
        <v>43475</v>
      </c>
      <c r="B34556" s="4" t="s">
        <v>43483</v>
      </c>
      <c r="C34556" s="5" t="str">
        <f>IFERROR(__xludf.DUMMYFUNCTION("GOOGLETRANSLATE(B34556,""en"",""de"")"),"Wir sehen die Männer reden und die Hand schütteln, bevor wir den Endbildschirm sehen.")</f>
        <v>Wir sehen die Männer reden und die Hand schütteln, bevor wir den Endbildschirm sehen.</v>
      </c>
    </row>
    <row r="34557">
      <c r="A34557" s="4" t="s">
        <v>43484</v>
      </c>
      <c r="B34557" s="4" t="s">
        <v>43485</v>
      </c>
      <c r="C34557" s="5" t="str">
        <f>IFERROR(__xludf.DUMMYFUNCTION("GOOGLETRANSLATE(B34557,""en"",""de"")"),"Ein Mann schlägt einen Ball mit einem Tennisschläger.")</f>
        <v>Ein Mann schlägt einen Ball mit einem Tennisschläger.</v>
      </c>
    </row>
    <row r="34558">
      <c r="A34558" s="4" t="s">
        <v>43484</v>
      </c>
      <c r="B34558" s="4" t="s">
        <v>43486</v>
      </c>
      <c r="C34558" s="5" t="str">
        <f>IFERROR(__xludf.DUMMYFUNCTION("GOOGLETRANSLATE(B34558,""en"",""de"")"),"Ein anderer Mann schließt sich ihm kurz darauf an.")</f>
        <v>Ein anderer Mann schließt sich ihm kurz darauf an.</v>
      </c>
    </row>
    <row r="34559">
      <c r="A34559" s="4" t="s">
        <v>43484</v>
      </c>
      <c r="B34559" s="4" t="s">
        <v>43487</v>
      </c>
      <c r="C34559" s="5" t="str">
        <f>IFERROR(__xludf.DUMMYFUNCTION("GOOGLETRANSLATE(B34559,""en"",""de"")"),"Als Gruppe von vier Spielen vor einem Publikum werden verschiedene Winkel gezeigt, die den Ball schnell hin und her schlagen.")</f>
        <v>Als Gruppe von vier Spielen vor einem Publikum werden verschiedene Winkel gezeigt, die den Ball schnell hin und her schlagen.</v>
      </c>
    </row>
    <row r="34560">
      <c r="A34560" s="4" t="s">
        <v>43484</v>
      </c>
      <c r="B34560" s="4" t="s">
        <v>43488</v>
      </c>
      <c r="C34560" s="5" t="str">
        <f>IFERROR(__xludf.DUMMYFUNCTION("GOOGLETRANSLATE(B34560,""en"",""de"")"),"Wenn sie fertig sind, gehen die Männer weg und tätscheln sich gegenseitig auf den Rücken.")</f>
        <v>Wenn sie fertig sind, gehen die Männer weg und tätscheln sich gegenseitig auf den Rücken.</v>
      </c>
    </row>
    <row r="34561">
      <c r="A34561" s="4" t="s">
        <v>43489</v>
      </c>
      <c r="B34561" s="4" t="s">
        <v>43490</v>
      </c>
      <c r="C34561" s="5" t="str">
        <f>IFERROR(__xludf.DUMMYFUNCTION("GOOGLETRANSLATE(B34561,""en"",""de"")"),"Eine Gruppe von Frauen tanzt in einer aeroben Klasse in einer Gruppe in einem Fitnessstudio.")</f>
        <v>Eine Gruppe von Frauen tanzt in einer aeroben Klasse in einer Gruppe in einem Fitnessstudio.</v>
      </c>
    </row>
    <row r="34562">
      <c r="A34562" s="4" t="s">
        <v>43489</v>
      </c>
      <c r="B34562" s="4" t="s">
        <v>43491</v>
      </c>
      <c r="C34562" s="5" t="str">
        <f>IFERROR(__xludf.DUMMYFUNCTION("GOOGLETRANSLATE(B34562,""en"",""de"")"),"Die Frauen springen auf alternierenden Füßen auf und ab.")</f>
        <v>Die Frauen springen auf alternierenden Füßen auf und ab.</v>
      </c>
    </row>
    <row r="34563">
      <c r="A34563" s="4" t="s">
        <v>43489</v>
      </c>
      <c r="B34563" s="4" t="s">
        <v>43492</v>
      </c>
      <c r="C34563" s="5" t="str">
        <f>IFERROR(__xludf.DUMMYFUNCTION("GOOGLETRANSLATE(B34563,""en"",""de"")"),"Die Frau geht in einen Weg, um ein paar Schritte zu unternehmen und während der Routine in die andere Richtung zurückzukehren.")</f>
        <v>Die Frau geht in einen Weg, um ein paar Schritte zu unternehmen und während der Routine in die andere Richtung zurückzukehren.</v>
      </c>
    </row>
    <row r="34564">
      <c r="A34564" s="4" t="s">
        <v>43493</v>
      </c>
      <c r="B34564" s="4" t="s">
        <v>43494</v>
      </c>
      <c r="C34564" s="5" t="str">
        <f>IFERROR(__xludf.DUMMYFUNCTION("GOOGLETRANSLATE(B34564,""en"",""de"")"),"Ein Mann steht hinter einer Bar, die mit der Kamera spricht.")</f>
        <v>Ein Mann steht hinter einer Bar, die mit der Kamera spricht.</v>
      </c>
    </row>
    <row r="34565">
      <c r="A34565" s="4" t="s">
        <v>43493</v>
      </c>
      <c r="B34565" s="4" t="s">
        <v>43495</v>
      </c>
      <c r="C34565" s="5" t="str">
        <f>IFERROR(__xludf.DUMMYFUNCTION("GOOGLETRANSLATE(B34565,""en"",""de"")"),"Der Mann hält einen Drink hoch und legt es nieder.")</f>
        <v>Der Mann hält einen Drink hoch und legt es nieder.</v>
      </c>
    </row>
    <row r="34566">
      <c r="A34566" s="4" t="s">
        <v>43493</v>
      </c>
      <c r="B34566" s="4" t="s">
        <v>43496</v>
      </c>
      <c r="C34566" s="5" t="str">
        <f>IFERROR(__xludf.DUMMYFUNCTION("GOOGLETRANSLATE(B34566,""en"",""de"")"),"Der Mann fügt einem Glas Eis und zwei Schüsse eines roten Alkohols zu einem anderen hinzu.")</f>
        <v>Der Mann fügt einem Glas Eis und zwei Schüsse eines roten Alkohols zu einem anderen hinzu.</v>
      </c>
    </row>
    <row r="34567">
      <c r="A34567" s="4" t="s">
        <v>43493</v>
      </c>
      <c r="B34567" s="4" t="s">
        <v>43497</v>
      </c>
      <c r="C34567" s="5" t="str">
        <f>IFERROR(__xludf.DUMMYFUNCTION("GOOGLETRANSLATE(B34567,""en"",""de"")"),"Der Mann legt ein Sieb auf das Glas und rührt das Glas mit einem langen Metallstab.")</f>
        <v>Der Mann legt ein Sieb auf das Glas und rührt das Glas mit einem langen Metallstab.</v>
      </c>
    </row>
    <row r="34568">
      <c r="A34568" s="4" t="s">
        <v>43493</v>
      </c>
      <c r="B34568" s="4" t="s">
        <v>43498</v>
      </c>
      <c r="C34568" s="5" t="str">
        <f>IFERROR(__xludf.DUMMYFUNCTION("GOOGLETRANSLATE(B34568,""en"",""de"")"),"Der Mann gießt es in ein Martini -Glas.")</f>
        <v>Der Mann gießt es in ein Martini -Glas.</v>
      </c>
    </row>
    <row r="34569">
      <c r="A34569" s="4" t="s">
        <v>43493</v>
      </c>
      <c r="B34569" s="4" t="s">
        <v>43499</v>
      </c>
      <c r="C34569" s="5" t="str">
        <f>IFERROR(__xludf.DUMMYFUNCTION("GOOGLETRANSLATE(B34569,""en"",""de"")"),"Der Mann lächelt und hält das Getränk in der Luft.")</f>
        <v>Der Mann lächelt und hält das Getränk in der Luft.</v>
      </c>
    </row>
    <row r="34570">
      <c r="A34570" s="4" t="s">
        <v>43500</v>
      </c>
      <c r="B34570" s="4" t="s">
        <v>43501</v>
      </c>
      <c r="C34570" s="5" t="str">
        <f>IFERROR(__xludf.DUMMYFUNCTION("GOOGLETRANSLATE(B34570,""en"",""de"")"),"Ein Mädchen demonstriert in einem extremen Nahaufnahme -Video auf ihre Augen auf ihre Augen.")</f>
        <v>Ein Mädchen demonstriert in einem extremen Nahaufnahme -Video auf ihre Augen auf ihre Augen.</v>
      </c>
    </row>
    <row r="34571">
      <c r="A34571" s="4" t="s">
        <v>43500</v>
      </c>
      <c r="B34571" s="4" t="s">
        <v>43502</v>
      </c>
      <c r="C34571" s="5" t="str">
        <f>IFERROR(__xludf.DUMMYFUNCTION("GOOGLETRANSLATE(B34571,""en"",""de"")"),"Eine rosa Folie scheint zu raten, dass die A -Person nicht gut darin ist, Kontaktlinsen anzuwenden.")</f>
        <v>Eine rosa Folie scheint zu raten, dass die A -Person nicht gut darin ist, Kontaktlinsen anzuwenden.</v>
      </c>
    </row>
    <row r="34572">
      <c r="A34572" s="4" t="s">
        <v>43500</v>
      </c>
      <c r="B34572" s="4" t="s">
        <v>43503</v>
      </c>
      <c r="C34572" s="5" t="str">
        <f>IFERROR(__xludf.DUMMYFUNCTION("GOOGLETRANSLATE(B34572,""en"",""de"")"),"Ein Mädchen mit blonden Haaren und langen rosa Nägeln weist in einem Nahaufnahme -Video, das das Objektiv und das Auge vor und nach und nach dem Auge fängt, Kontaktlinsen auf ihre Augen auf.")</f>
        <v>Ein Mädchen mit blonden Haaren und langen rosa Nägeln weist in einem Nahaufnahme -Video, das das Objektiv und das Auge vor und nach und nach dem Auge fängt, Kontaktlinsen auf ihre Augen auf.</v>
      </c>
    </row>
    <row r="34573">
      <c r="A34573" s="4" t="s">
        <v>43504</v>
      </c>
      <c r="B34573" s="4" t="s">
        <v>43505</v>
      </c>
      <c r="C34573" s="5" t="str">
        <f>IFERROR(__xludf.DUMMYFUNCTION("GOOGLETRANSLATE(B34573,""en"",""de"")"),"Zwei junge Mädchen sprechen mit der Kamera und spielen miteinander.")</f>
        <v>Zwei junge Mädchen sprechen mit der Kamera und spielen miteinander.</v>
      </c>
    </row>
    <row r="34574">
      <c r="A34574" s="4" t="s">
        <v>43504</v>
      </c>
      <c r="B34574" s="4" t="s">
        <v>43506</v>
      </c>
      <c r="C34574" s="5" t="str">
        <f>IFERROR(__xludf.DUMMYFUNCTION("GOOGLETRANSLATE(B34574,""en"",""de"")"),"Ein Mädchen zieht dann eine Flasche Nagellack heraus, während die andere zur Kamera winkt.")</f>
        <v>Ein Mädchen zieht dann eine Flasche Nagellack heraus, während die andere zur Kamera winkt.</v>
      </c>
    </row>
    <row r="34575">
      <c r="A34575" s="4" t="s">
        <v>43504</v>
      </c>
      <c r="B34575" s="4" t="s">
        <v>43507</v>
      </c>
      <c r="C34575" s="5" t="str">
        <f>IFERROR(__xludf.DUMMYFUNCTION("GOOGLETRANSLATE(B34575,""en"",""de"")"),"Weitere Clips werden von einem Mädchen gezeigt, das versucht, die Nägel des anderen zu malen, und endet, indem sie zur Kamera winken.")</f>
        <v>Weitere Clips werden von einem Mädchen gezeigt, das versucht, die Nägel des anderen zu malen, und endet, indem sie zur Kamera winken.</v>
      </c>
    </row>
    <row r="34576">
      <c r="A34576" s="4" t="s">
        <v>43508</v>
      </c>
      <c r="B34576" s="4" t="s">
        <v>43509</v>
      </c>
      <c r="C34576" s="5" t="str">
        <f>IFERROR(__xludf.DUMMYFUNCTION("GOOGLETRANSLATE(B34576,""en"",""de"")"),"Es wird ein schnelles Motion -Video aus verschiedenen Menschen gezeigt, die Blätter um einen Hof remt werden.")</f>
        <v>Es wird ein schnelles Motion -Video aus verschiedenen Menschen gezeigt, die Blätter um einen Hof remt werden.</v>
      </c>
    </row>
    <row r="34577">
      <c r="A34577" s="4" t="s">
        <v>43508</v>
      </c>
      <c r="B34577" s="4" t="s">
        <v>43510</v>
      </c>
      <c r="C34577" s="5" t="str">
        <f>IFERROR(__xludf.DUMMYFUNCTION("GOOGLETRANSLATE(B34577,""en"",""de"")"),"Zwei Jungen schauen sich zueinander um und fahren weiter mit den Lecks, bis der Hof fertig ist.")</f>
        <v>Zwei Jungen schauen sich zueinander um und fahren weiter mit den Lecks, bis der Hof fertig ist.</v>
      </c>
    </row>
    <row r="34578">
      <c r="A34578" s="4" t="s">
        <v>43511</v>
      </c>
      <c r="B34578" s="4" t="s">
        <v>43512</v>
      </c>
      <c r="C34578" s="5" t="str">
        <f>IFERROR(__xludf.DUMMYFUNCTION("GOOGLETRANSLATE(B34578,""en"",""de"")"),"Ein Mann dreht seinen Körper um und bereitet sich darauf vor, seinen Diskus zu werfen.")</f>
        <v>Ein Mann dreht seinen Körper um und bereitet sich darauf vor, seinen Diskus zu werfen.</v>
      </c>
    </row>
    <row r="34579">
      <c r="A34579" s="4" t="s">
        <v>43511</v>
      </c>
      <c r="B34579" s="4" t="s">
        <v>43513</v>
      </c>
      <c r="C34579" s="5" t="str">
        <f>IFERROR(__xludf.DUMMYFUNCTION("GOOGLETRANSLATE(B34579,""en"",""de"")"),"Der Mann wirft den Diskus sehr hart.")</f>
        <v>Der Mann wirft den Diskus sehr hart.</v>
      </c>
    </row>
    <row r="34580">
      <c r="A34580" s="4" t="s">
        <v>43511</v>
      </c>
      <c r="B34580" s="4" t="s">
        <v>43514</v>
      </c>
      <c r="C34580" s="5" t="str">
        <f>IFERROR(__xludf.DUMMYFUNCTION("GOOGLETRANSLATE(B34580,""en"",""de"")"),"Der Mann schaut nach seinem Diskus voraus.")</f>
        <v>Der Mann schaut nach seinem Diskus voraus.</v>
      </c>
    </row>
    <row r="34581">
      <c r="A34581" s="4" t="s">
        <v>43515</v>
      </c>
      <c r="B34581" s="4" t="s">
        <v>43516</v>
      </c>
      <c r="C34581" s="5" t="str">
        <f>IFERROR(__xludf.DUMMYFUNCTION("GOOGLETRANSLATE(B34581,""en"",""de"")"),"Ein junger Mann trägt eine Schutzbrille und spricht mit der Kamera, gefolgt von ihm, der in den Pool springt.")</f>
        <v>Ein junger Mann trägt eine Schutzbrille und spricht mit der Kamera, gefolgt von ihm, der in den Pool springt.</v>
      </c>
    </row>
    <row r="34582">
      <c r="A34582" s="4" t="s">
        <v>43515</v>
      </c>
      <c r="B34582" s="4" t="s">
        <v>43517</v>
      </c>
      <c r="C34582" s="5" t="str">
        <f>IFERROR(__xludf.DUMMYFUNCTION("GOOGLETRANSLATE(B34582,""en"",""de"")"),"Der Junge steigt aus und wird wieder in den Pool springen und zur Seite schwimmen, um ein Objekt zu präsentieren.")</f>
        <v>Der Junge steigt aus und wird wieder in den Pool springen und zur Seite schwimmen, um ein Objekt zu präsentieren.</v>
      </c>
    </row>
    <row r="34583">
      <c r="A34583" s="4" t="s">
        <v>43518</v>
      </c>
      <c r="B34583" s="4" t="s">
        <v>43519</v>
      </c>
      <c r="C34583" s="5" t="str">
        <f>IFERROR(__xludf.DUMMYFUNCTION("GOOGLETRANSLATE(B34583,""en"",""de"")"),"Ein Mann führt die Basketballkonzepte des Videos in die Kamera ein.")</f>
        <v>Ein Mann führt die Basketballkonzepte des Videos in die Kamera ein.</v>
      </c>
    </row>
    <row r="34584">
      <c r="A34584" s="4" t="s">
        <v>43518</v>
      </c>
      <c r="B34584" s="4" t="s">
        <v>43520</v>
      </c>
      <c r="C34584" s="5" t="str">
        <f>IFERROR(__xludf.DUMMYFUNCTION("GOOGLETRANSLATE(B34584,""en"",""de"")"),"Der Spieler startet von einer Seite des Spielfelds und rennt auf und legt den Basketball im Netz auf.")</f>
        <v>Der Spieler startet von einer Seite des Spielfelds und rennt auf und legt den Basketball im Netz auf.</v>
      </c>
    </row>
    <row r="34585">
      <c r="A34585" s="4" t="s">
        <v>43518</v>
      </c>
      <c r="B34585" s="4" t="s">
        <v>43521</v>
      </c>
      <c r="C34585" s="5" t="str">
        <f>IFERROR(__xludf.DUMMYFUNCTION("GOOGLETRANSLATE(B34585,""en"",""de"")"),"Er wiederholt den Hof aus jedem Blickwinkel.")</f>
        <v>Er wiederholt den Hof aus jedem Blickwinkel.</v>
      </c>
    </row>
    <row r="34586">
      <c r="A34586" s="4" t="s">
        <v>43518</v>
      </c>
      <c r="B34586" s="4" t="s">
        <v>43522</v>
      </c>
      <c r="C34586" s="5" t="str">
        <f>IFERROR(__xludf.DUMMYFUNCTION("GOOGLETRANSLATE(B34586,""en"",""de"")"),"Der Mann kehrt zurück, um die Konzepte erneut durchzugehen, wenn das Video schließt.")</f>
        <v>Der Mann kehrt zurück, um die Konzepte erneut durchzugehen, wenn das Video schließt.</v>
      </c>
    </row>
    <row r="34587">
      <c r="A34587" s="4" t="s">
        <v>43523</v>
      </c>
      <c r="B34587" s="4" t="s">
        <v>43524</v>
      </c>
      <c r="C34587" s="5" t="str">
        <f>IFERROR(__xludf.DUMMYFUNCTION("GOOGLETRANSLATE(B34587,""en"",""de"")"),"Der Athlet balanciert in der Bohne, als der Mann den Frühlingsspringer herausnahm.")</f>
        <v>Der Athlet balanciert in der Bohne, als der Mann den Frühlingsspringer herausnahm.</v>
      </c>
    </row>
    <row r="34588">
      <c r="A34588" s="4" t="s">
        <v>43523</v>
      </c>
      <c r="B34588" s="4" t="s">
        <v>43525</v>
      </c>
      <c r="C34588" s="5" t="str">
        <f>IFERROR(__xludf.DUMMYFUNCTION("GOOGLETRANSLATE(B34588,""en"",""de"")"),"Der Athlet machte auf dem Strahl mit dem Karren, als die Menge applaudierte.")</f>
        <v>Der Athlet machte auf dem Strahl mit dem Karren, als die Menge applaudierte.</v>
      </c>
    </row>
    <row r="34589">
      <c r="A34589" s="4" t="s">
        <v>43523</v>
      </c>
      <c r="B34589" s="4" t="s">
        <v>43526</v>
      </c>
      <c r="C34589" s="5" t="str">
        <f>IFERROR(__xludf.DUMMYFUNCTION("GOOGLETRANSLATE(B34589,""en"",""de"")"),"Als die Sportlerin ihre Nummer beendete, sprang sie vom Strahlwagen auf der blauen Matte.")</f>
        <v>Als die Sportlerin ihre Nummer beendete, sprang sie vom Strahlwagen auf der blauen Matte.</v>
      </c>
    </row>
    <row r="34590">
      <c r="A34590" s="4" t="s">
        <v>43527</v>
      </c>
      <c r="B34590" s="4" t="s">
        <v>43528</v>
      </c>
      <c r="C34590" s="5" t="str">
        <f>IFERROR(__xludf.DUMMYFUNCTION("GOOGLETRANSLATE(B34590,""en"",""de"")"),"Das Video zeigt Clips von Gymnastik -Spielern, die Tricks in einem gepolsterten Bereich ausführen, während Richter und Zuschauer zuschauen und jubeln.")</f>
        <v>Das Video zeigt Clips von Gymnastik -Spielern, die Tricks in einem gepolsterten Bereich ausführen, während Richter und Zuschauer zuschauen und jubeln.</v>
      </c>
    </row>
    <row r="34591">
      <c r="A34591" s="4" t="s">
        <v>43527</v>
      </c>
      <c r="B34591" s="4" t="s">
        <v>43529</v>
      </c>
      <c r="C34591" s="5" t="str">
        <f>IFERROR(__xludf.DUMMYFUNCTION("GOOGLETRANSLATE(B34591,""en"",""de"")"),"Die erste Spielerin schlägt am Ende ihrer Leistung den Kopf.")</f>
        <v>Die erste Spielerin schlägt am Ende ihrer Leistung den Kopf.</v>
      </c>
    </row>
    <row r="34592">
      <c r="A34592" s="4" t="s">
        <v>43527</v>
      </c>
      <c r="B34592" s="4" t="s">
        <v>43530</v>
      </c>
      <c r="C34592" s="5" t="str">
        <f>IFERROR(__xludf.DUMMYFUNCTION("GOOGLETRANSLATE(B34592,""en"",""de"")"),"Das Video zeigt weiterhin viele andere Turner, die an Wettkämpfen teilnehmen, wobei das Publikum nach Abschluss jeder Aufführung anfeuert.")</f>
        <v>Das Video zeigt weiterhin viele andere Turner, die an Wettkämpfen teilnehmen, wobei das Publikum nach Abschluss jeder Aufführung anfeuert.</v>
      </c>
    </row>
    <row r="34593">
      <c r="A34593" s="4" t="s">
        <v>43527</v>
      </c>
      <c r="B34593" s="4" t="s">
        <v>43531</v>
      </c>
      <c r="C34593" s="5" t="str">
        <f>IFERROR(__xludf.DUMMYFUNCTION("GOOGLETRANSLATE(B34593,""en"",""de"")"),"Das Video endet mit einem männlichen Darsteller.")</f>
        <v>Das Video endet mit einem männlichen Darsteller.</v>
      </c>
    </row>
    <row r="34594">
      <c r="A34594" s="4" t="s">
        <v>43532</v>
      </c>
      <c r="B34594" s="4" t="s">
        <v>43533</v>
      </c>
      <c r="C34594" s="5" t="str">
        <f>IFERROR(__xludf.DUMMYFUNCTION("GOOGLETRANSLATE(B34594,""en"",""de"")"),"Eine Frau erscheint und verschwindet unter dem Wasser, als sie in einem olympischen Pool schwimmt.")</f>
        <v>Eine Frau erscheint und verschwindet unter dem Wasser, als sie in einem olympischen Pool schwimmt.</v>
      </c>
    </row>
    <row r="34595">
      <c r="A34595" s="4" t="s">
        <v>43532</v>
      </c>
      <c r="B34595" s="4" t="s">
        <v>43534</v>
      </c>
      <c r="C34595" s="5" t="str">
        <f>IFERROR(__xludf.DUMMYFUNCTION("GOOGLETRANSLATE(B34595,""en"",""de"")"),"Sie wird auf fischartiger Weise unter dem Wasser schwimmen sehen.")</f>
        <v>Sie wird auf fischartiger Weise unter dem Wasser schwimmen sehen.</v>
      </c>
    </row>
    <row r="34596">
      <c r="A34596" s="4" t="s">
        <v>43532</v>
      </c>
      <c r="B34596" s="4" t="s">
        <v>43535</v>
      </c>
      <c r="C34596" s="5" t="str">
        <f>IFERROR(__xludf.DUMMYFUNCTION("GOOGLETRANSLATE(B34596,""en"",""de"")"),"Sie zeigt verschiedene Schwimmstile und -bewegungen.")</f>
        <v>Sie zeigt verschiedene Schwimmstile und -bewegungen.</v>
      </c>
    </row>
    <row r="34597">
      <c r="A34597" s="4" t="s">
        <v>43536</v>
      </c>
      <c r="B34597" s="4" t="s">
        <v>43537</v>
      </c>
      <c r="C34597" s="5" t="str">
        <f>IFERROR(__xludf.DUMMYFUNCTION("GOOGLETRANSLATE(B34597,""en"",""de"")"),"Ein Spezialeffekt -Intro, das wie ein Kreidebrett auf Holz erscheint, erscheint und die Wörter auf der Skigschule oben links, und die mittleren Wörter sagen ""Ski -Tipps: Fußrotation"" zusammen mit einer Website unten und einem Blue Circle -Symbol oben re"&amp;"chts.")</f>
        <v>Ein Spezialeffekt -Intro, das wie ein Kreidebrett auf Holz erscheint, erscheint und die Wörter auf der Skigschule oben links, und die mittleren Wörter sagen "Ski -Tipps: Fußrotation" zusammen mit einer Website unten und einem Blue Circle -Symbol oben rechts.</v>
      </c>
    </row>
    <row r="34598">
      <c r="A34598" s="4" t="s">
        <v>43536</v>
      </c>
      <c r="B34598" s="4" t="s">
        <v>43538</v>
      </c>
      <c r="C34598" s="5" t="str">
        <f>IFERROR(__xludf.DUMMYFUNCTION("GOOGLETRANSLATE(B34598,""en"",""de"")"),"Ein Mann sucht in Sicht und er steht mit vielen Bäumen auf einem schneebedeckten Berg und er redet und sieht aus, als würde er Tipps geben, wie er Skifahren gibt, wie er die ganze Zeit physisch demonstriert und weiter spricht.")</f>
        <v>Ein Mann sucht in Sicht und er steht mit vielen Bäumen auf einem schneebedeckten Berg und er redet und sieht aus, als würde er Tipps geben, wie er Skifahren gibt, wie er die ganze Zeit physisch demonstriert und weiter spricht.</v>
      </c>
    </row>
    <row r="34599">
      <c r="A34599" s="4" t="s">
        <v>43536</v>
      </c>
      <c r="B34599" s="4" t="s">
        <v>43539</v>
      </c>
      <c r="C34599" s="5" t="str">
        <f>IFERROR(__xludf.DUMMYFUNCTION("GOOGLETRANSLATE(B34599,""en"",""de"")"),"Der Mann ist jetzt wieder an seinem Ausgangspunkt, an dem er ursprünglich stand und redet wieder.")</f>
        <v>Der Mann ist jetzt wieder an seinem Ausgangspunkt, an dem er ursprünglich stand und redet wieder.</v>
      </c>
    </row>
    <row r="34600">
      <c r="A34600" s="4" t="s">
        <v>43536</v>
      </c>
      <c r="B34600" s="4" t="s">
        <v>43540</v>
      </c>
      <c r="C34600" s="5" t="str">
        <f>IFERROR(__xludf.DUMMYFUNCTION("GOOGLETRANSLATE(B34600,""en"",""de"")"),"Der spezielle Affektbildschirm erscheint mit einem hölzernen Hintergrund und 4 verschiedenen Bildern auf dem Bildschirm mit Wörtern darunter.")</f>
        <v>Der spezielle Affektbildschirm erscheint mit einem hölzernen Hintergrund und 4 verschiedenen Bildern auf dem Bildschirm mit Wörtern darunter.</v>
      </c>
    </row>
    <row r="34601">
      <c r="A34601" s="4" t="s">
        <v>43541</v>
      </c>
      <c r="B34601" s="4" t="s">
        <v>43542</v>
      </c>
      <c r="C34601" s="5" t="str">
        <f>IFERROR(__xludf.DUMMYFUNCTION("GOOGLETRANSLATE(B34601,""en"",""de"")"),"Zwei Männer stehen auf einem Basketball -Tor.")</f>
        <v>Zwei Männer stehen auf einem Basketball -Tor.</v>
      </c>
    </row>
    <row r="34602">
      <c r="A34602" s="4" t="s">
        <v>43541</v>
      </c>
      <c r="B34602" s="4" t="s">
        <v>43543</v>
      </c>
      <c r="C34602" s="5" t="str">
        <f>IFERROR(__xludf.DUMMYFUNCTION("GOOGLETRANSLATE(B34602,""en"",""de"")"),"Sie beginnen Layups und stehen dann wieder mit der Kamera.")</f>
        <v>Sie beginnen Layups und stehen dann wieder mit der Kamera.</v>
      </c>
    </row>
    <row r="34603">
      <c r="A34603" s="4" t="s">
        <v>43544</v>
      </c>
      <c r="B34603" s="4" t="s">
        <v>43545</v>
      </c>
      <c r="C34603" s="5" t="str">
        <f>IFERROR(__xludf.DUMMYFUNCTION("GOOGLETRANSLATE(B34603,""en"",""de"")"),"Der Mann spricht mit einem Video mit Kameraaufnahmen.")</f>
        <v>Der Mann spricht mit einem Video mit Kameraaufnahmen.</v>
      </c>
    </row>
    <row r="34604">
      <c r="A34604" s="4" t="s">
        <v>43544</v>
      </c>
      <c r="B34604" s="4" t="s">
        <v>43546</v>
      </c>
      <c r="C34604" s="5" t="str">
        <f>IFERROR(__xludf.DUMMYFUNCTION("GOOGLETRANSLATE(B34604,""en"",""de"")"),"Fußballspieler üben ihre Bewegungen.")</f>
        <v>Fußballspieler üben ihre Bewegungen.</v>
      </c>
    </row>
    <row r="34605">
      <c r="A34605" s="4" t="s">
        <v>43544</v>
      </c>
      <c r="B34605" s="4" t="s">
        <v>43547</v>
      </c>
      <c r="C34605" s="5" t="str">
        <f>IFERROR(__xludf.DUMMYFUNCTION("GOOGLETRANSLATE(B34605,""en"",""de"")"),"Fußballspieler machen Schüsse.")</f>
        <v>Fußballspieler machen Schüsse.</v>
      </c>
    </row>
    <row r="34606">
      <c r="A34606" s="4" t="s">
        <v>43544</v>
      </c>
      <c r="B34606" s="4" t="s">
        <v>43548</v>
      </c>
      <c r="C34606" s="5" t="str">
        <f>IFERROR(__xludf.DUMMYFUNCTION("GOOGLETRANSLATE(B34606,""en"",""de"")"),"Der Mensch wird vom Gericht geschoben.")</f>
        <v>Der Mensch wird vom Gericht geschoben.</v>
      </c>
    </row>
    <row r="34607">
      <c r="A34607" s="4" t="s">
        <v>43544</v>
      </c>
      <c r="B34607" s="4" t="s">
        <v>43549</v>
      </c>
      <c r="C34607" s="5" t="str">
        <f>IFERROR(__xludf.DUMMYFUNCTION("GOOGLETRANSLATE(B34607,""en"",""de"")"),"Der Mensch wird zu seinem Ziel beglückwünscht.")</f>
        <v>Der Mensch wird zu seinem Ziel beglückwünscht.</v>
      </c>
    </row>
    <row r="34608">
      <c r="A34608" s="4" t="s">
        <v>43544</v>
      </c>
      <c r="B34608" s="4" t="s">
        <v>43550</v>
      </c>
      <c r="C34608" s="5" t="str">
        <f>IFERROR(__xludf.DUMMYFUNCTION("GOOGLETRANSLATE(B34608,""en"",""de"")"),"Mann schüttelt seine Hand in die Kamera.")</f>
        <v>Mann schüttelt seine Hand in die Kamera.</v>
      </c>
    </row>
    <row r="34609">
      <c r="A34609" s="4" t="s">
        <v>43551</v>
      </c>
      <c r="B34609" s="4" t="s">
        <v>43552</v>
      </c>
      <c r="C34609" s="5" t="str">
        <f>IFERROR(__xludf.DUMMYFUNCTION("GOOGLETRANSLATE(B34609,""en"",""de"")"),"Diese Leute spielen Tauziehen gegen Sumo Wrestler, die mehr als das Vierfache ihrer Größe sind und die kleinen Leute gegen sie gewinnen.")</f>
        <v>Diese Leute spielen Tauziehen gegen Sumo Wrestler, die mehr als das Vierfache ihrer Größe sind und die kleinen Leute gegen sie gewinnen.</v>
      </c>
    </row>
    <row r="34610">
      <c r="A34610" s="4" t="s">
        <v>43551</v>
      </c>
      <c r="B34610" s="4" t="s">
        <v>43553</v>
      </c>
      <c r="C34610" s="5" t="str">
        <f>IFERROR(__xludf.DUMMYFUNCTION("GOOGLETRANSLATE(B34610,""en"",""de"")"),"Am Ende nehmen die Menschen und Sumo -Wrestler Selfies und die Sumo -Wrestler öffnen die Fanta und werfen sie gegenseitig auf.")</f>
        <v>Am Ende nehmen die Menschen und Sumo -Wrestler Selfies und die Sumo -Wrestler öffnen die Fanta und werfen sie gegenseitig auf.</v>
      </c>
    </row>
    <row r="34611">
      <c r="A34611" s="4" t="s">
        <v>43554</v>
      </c>
      <c r="B34611" s="4" t="s">
        <v>43555</v>
      </c>
      <c r="C34611" s="5" t="str">
        <f>IFERROR(__xludf.DUMMYFUNCTION("GOOGLETRANSLATE(B34611,""en"",""de"")"),"Ein Mann, der einen schwarzen Hut trägt, spricht.")</f>
        <v>Ein Mann, der einen schwarzen Hut trägt, spricht.</v>
      </c>
    </row>
    <row r="34612">
      <c r="A34612" s="4" t="s">
        <v>43554</v>
      </c>
      <c r="B34612" s="4" t="s">
        <v>43556</v>
      </c>
      <c r="C34612" s="5" t="str">
        <f>IFERROR(__xludf.DUMMYFUNCTION("GOOGLETRANSLATE(B34612,""en"",""de"")"),"Ein Mann dribbelt einen Basketball um ein paar Zapfen und schießt auf den Ball.")</f>
        <v>Ein Mann dribbelt einen Basketball um ein paar Zapfen und schießt auf den Ball.</v>
      </c>
    </row>
    <row r="34613">
      <c r="A34613" s="4" t="s">
        <v>43554</v>
      </c>
      <c r="B34613" s="4" t="s">
        <v>43557</v>
      </c>
      <c r="C34613" s="5" t="str">
        <f>IFERROR(__xludf.DUMMYFUNCTION("GOOGLETRANSLATE(B34613,""en"",""de"")"),"Zwei Leute spielen Basketball.")</f>
        <v>Zwei Leute spielen Basketball.</v>
      </c>
    </row>
    <row r="34614">
      <c r="A34614" s="4" t="s">
        <v>43554</v>
      </c>
      <c r="B34614" s="4" t="s">
        <v>43558</v>
      </c>
      <c r="C34614" s="5" t="str">
        <f>IFERROR(__xludf.DUMMYFUNCTION("GOOGLETRANSLATE(B34614,""en"",""de"")"),"Ein Mann dribiert einen Basketball auf einem Platz.")</f>
        <v>Ein Mann dribiert einen Basketball auf einem Platz.</v>
      </c>
    </row>
    <row r="34615">
      <c r="A34615" s="4" t="s">
        <v>43559</v>
      </c>
      <c r="B34615" s="4" t="s">
        <v>43560</v>
      </c>
      <c r="C34615" s="5" t="str">
        <f>IFERROR(__xludf.DUMMYFUNCTION("GOOGLETRANSLATE(B34615,""en"",""de"")"),"Ein Mann sitzt auf einem Hocker, während der Hund vor ihm steht, der Hund trägt eine rote Leine.")</f>
        <v>Ein Mann sitzt auf einem Hocker, während der Hund vor ihm steht, der Hund trägt eine rote Leine.</v>
      </c>
    </row>
    <row r="34616">
      <c r="A34616" s="4" t="s">
        <v>43559</v>
      </c>
      <c r="B34616" s="4" t="s">
        <v>43561</v>
      </c>
      <c r="C34616" s="5" t="str">
        <f>IFERROR(__xludf.DUMMYFUNCTION("GOOGLETRANSLATE(B34616,""en"",""de"")"),"Ein weißer Hund versteckt sich hinter der Wand.")</f>
        <v>Ein weißer Hund versteckt sich hinter der Wand.</v>
      </c>
    </row>
    <row r="34617">
      <c r="A34617" s="4" t="s">
        <v>43559</v>
      </c>
      <c r="B34617" s="4" t="s">
        <v>43562</v>
      </c>
      <c r="C34617" s="5" t="str">
        <f>IFERROR(__xludf.DUMMYFUNCTION("GOOGLETRANSLATE(B34617,""en"",""de"")"),"Ein Mann streift zuerst das Fell des Hundes auf seine Seite auf der Rückseite.")</f>
        <v>Ein Mann streift zuerst das Fell des Hundes auf seine Seite auf der Rückseite.</v>
      </c>
    </row>
    <row r="34618">
      <c r="A34618" s="4" t="s">
        <v>43559</v>
      </c>
      <c r="B34618" s="4" t="s">
        <v>43563</v>
      </c>
      <c r="C34618" s="5" t="str">
        <f>IFERROR(__xludf.DUMMYFUNCTION("GOOGLETRANSLATE(B34618,""en"",""de"")"),"Der Mann fing an, das Vorderbein des Hundes zu rasieren.")</f>
        <v>Der Mann fing an, das Vorderbein des Hundes zu rasieren.</v>
      </c>
    </row>
    <row r="34619">
      <c r="A34619" s="4" t="s">
        <v>43559</v>
      </c>
      <c r="B34619" s="4" t="s">
        <v>43564</v>
      </c>
      <c r="C34619" s="5" t="str">
        <f>IFERROR(__xludf.DUMMYFUNCTION("GOOGLETRANSLATE(B34619,""en"",""de"")"),"Ein weißer Hund liegt auf dem braunen Bett.")</f>
        <v>Ein weißer Hund liegt auf dem braunen Bett.</v>
      </c>
    </row>
    <row r="34620">
      <c r="A34620" s="4" t="s">
        <v>43559</v>
      </c>
      <c r="B34620" s="4" t="s">
        <v>43565</v>
      </c>
      <c r="C34620" s="5" t="str">
        <f>IFERROR(__xludf.DUMMYFUNCTION("GOOGLETRANSLATE(B34620,""en"",""de"")"),"Der beige Hund legt sich auf den Teppich, während der Mann den Beige rasiert.")</f>
        <v>Der beige Hund legt sich auf den Teppich, während der Mann den Beige rasiert.</v>
      </c>
    </row>
    <row r="34621">
      <c r="A34621" s="4" t="s">
        <v>43559</v>
      </c>
      <c r="B34621" s="4" t="s">
        <v>43566</v>
      </c>
      <c r="C34621" s="5" t="str">
        <f>IFERROR(__xludf.DUMMYFUNCTION("GOOGLETRANSLATE(B34621,""en"",""de"")"),"Der weiße Hund rieb sich das Gesicht auf dem Glas, dann steht der beige Hund auf dem Glas und saß dann auf dem Tisch, dann steht der weiße Hund neben dem beige Hund.")</f>
        <v>Der weiße Hund rieb sich das Gesicht auf dem Glas, dann steht der beige Hund auf dem Glas und saß dann auf dem Tisch, dann steht der weiße Hund neben dem beige Hund.</v>
      </c>
    </row>
    <row r="34622">
      <c r="A34622" s="4" t="s">
        <v>43567</v>
      </c>
      <c r="B34622" s="4" t="s">
        <v>43568</v>
      </c>
      <c r="C34622" s="5" t="str">
        <f>IFERROR(__xludf.DUMMYFUNCTION("GOOGLETRANSLATE(B34622,""en"",""de"")"),"Wir sehen eine Person im Hockeyausrüstung auf das Eis.")</f>
        <v>Wir sehen eine Person im Hockeyausrüstung auf das Eis.</v>
      </c>
    </row>
    <row r="34623">
      <c r="A34623" s="4" t="s">
        <v>43567</v>
      </c>
      <c r="B34623" s="4" t="s">
        <v>43569</v>
      </c>
      <c r="C34623" s="5" t="str">
        <f>IFERROR(__xludf.DUMMYFUNCTION("GOOGLETRANSLATE(B34623,""en"",""de"")"),"Eine andere Person tritt ein und wir sehen zwei Leute, die Hockey spielen.")</f>
        <v>Eine andere Person tritt ein und wir sehen zwei Leute, die Hockey spielen.</v>
      </c>
    </row>
    <row r="34624">
      <c r="A34624" s="4" t="s">
        <v>43567</v>
      </c>
      <c r="B34624" s="4" t="s">
        <v>43570</v>
      </c>
      <c r="C34624" s="5" t="str">
        <f>IFERROR(__xludf.DUMMYFUNCTION("GOOGLETRANSLATE(B34624,""en"",""de"")"),"Wir sehen den Puck vor der Kamera.")</f>
        <v>Wir sehen den Puck vor der Kamera.</v>
      </c>
    </row>
    <row r="34625">
      <c r="A34625" s="4" t="s">
        <v>43567</v>
      </c>
      <c r="B34625" s="4" t="s">
        <v>43571</v>
      </c>
      <c r="C34625" s="5" t="str">
        <f>IFERROR(__xludf.DUMMYFUNCTION("GOOGLETRANSLATE(B34625,""en"",""de"")"),"Die Person schlägt den Torwart zu Boden.")</f>
        <v>Die Person schlägt den Torwart zu Boden.</v>
      </c>
    </row>
    <row r="34626">
      <c r="A34626" s="4" t="s">
        <v>43567</v>
      </c>
      <c r="B34626" s="4" t="s">
        <v>43572</v>
      </c>
      <c r="C34626" s="5" t="str">
        <f>IFERROR(__xludf.DUMMYFUNCTION("GOOGLETRANSLATE(B34626,""en"",""de"")"),"Der Torwart setzt sich an die Kamera.")</f>
        <v>Der Torwart setzt sich an die Kamera.</v>
      </c>
    </row>
    <row r="34627">
      <c r="A34627" s="4" t="s">
        <v>43573</v>
      </c>
      <c r="B34627" s="4" t="s">
        <v>43574</v>
      </c>
      <c r="C34627" s="5" t="str">
        <f>IFERROR(__xludf.DUMMYFUNCTION("GOOGLETRANSLATE(B34627,""en"",""de"")"),"Ein Mann gibt eine Lektion über Schneebr sein, er legt eine große Reibmarke auf die Brett, um die Fußplatzierer an Ort und Stelle zu halten.")</f>
        <v>Ein Mann gibt eine Lektion über Schneebr sein, er legt eine große Reibmarke auf die Brett, um die Fußplatzierer an Ort und Stelle zu halten.</v>
      </c>
    </row>
    <row r="34628">
      <c r="A34628" s="4" t="s">
        <v>43573</v>
      </c>
      <c r="B34628" s="4" t="s">
        <v>43575</v>
      </c>
      <c r="C34628" s="5" t="str">
        <f>IFERROR(__xludf.DUMMYFUNCTION("GOOGLETRANSLATE(B34628,""en"",""de"")"),"Der Typ zeigt den Unterschied zwischen Schneebrettungen und setzt sie auf ein Objekt, um den Boden des Bretts für ein besseres Skifahren zu glätten.")</f>
        <v>Der Typ zeigt den Unterschied zwischen Schneebrettungen und setzt sie auf ein Objekt, um den Boden des Bretts für ein besseres Skifahren zu glätten.</v>
      </c>
    </row>
    <row r="34629">
      <c r="A34629" s="4" t="s">
        <v>43576</v>
      </c>
      <c r="B34629" s="4" t="s">
        <v>43577</v>
      </c>
      <c r="C34629" s="5" t="str">
        <f>IFERROR(__xludf.DUMMYFUNCTION("GOOGLETRANSLATE(B34629,""en"",""de"")"),"Eine Frau zeichnet in der Kreide ein Hopscotch -Brett auf den Boden.")</f>
        <v>Eine Frau zeichnet in der Kreide ein Hopscotch -Brett auf den Boden.</v>
      </c>
    </row>
    <row r="34630">
      <c r="A34630" s="4" t="s">
        <v>43576</v>
      </c>
      <c r="B34630" s="4" t="s">
        <v>43578</v>
      </c>
      <c r="C34630" s="5" t="str">
        <f>IFERROR(__xludf.DUMMYFUNCTION("GOOGLETRANSLATE(B34630,""en"",""de"")"),"Sie steht auf und geht zur Vorderseite des Hopscotch -Bretts.")</f>
        <v>Sie steht auf und geht zur Vorderseite des Hopscotch -Bretts.</v>
      </c>
    </row>
    <row r="34631">
      <c r="A34631" s="4" t="s">
        <v>43576</v>
      </c>
      <c r="B34631" s="4" t="s">
        <v>43579</v>
      </c>
      <c r="C34631" s="5" t="str">
        <f>IFERROR(__xludf.DUMMYFUNCTION("GOOGLETRANSLATE(B34631,""en"",""de"")"),"Sie beginnt auf das Brett zu springen.")</f>
        <v>Sie beginnt auf das Brett zu springen.</v>
      </c>
    </row>
    <row r="34632">
      <c r="A34632" s="4" t="s">
        <v>43580</v>
      </c>
      <c r="B34632" s="4" t="s">
        <v>43581</v>
      </c>
      <c r="C34632" s="5" t="str">
        <f>IFERROR(__xludf.DUMMYFUNCTION("GOOGLETRANSLATE(B34632,""en"",""de"")"),"Die Leute gehen um den Basketballplatz herum.")</f>
        <v>Die Leute gehen um den Basketballplatz herum.</v>
      </c>
    </row>
    <row r="34633">
      <c r="A34633" s="4" t="s">
        <v>43580</v>
      </c>
      <c r="B34633" s="4" t="s">
        <v>43582</v>
      </c>
      <c r="C34633" s="5" t="str">
        <f>IFERROR(__xludf.DUMMYFUNCTION("GOOGLETRANSLATE(B34633,""en"",""de"")"),"Ein Team von Tänzern betritt den Basketballplatz und steht auf.")</f>
        <v>Ein Team von Tänzern betritt den Basketballplatz und steht auf.</v>
      </c>
    </row>
    <row r="34634">
      <c r="A34634" s="4" t="s">
        <v>43580</v>
      </c>
      <c r="B34634" s="4" t="s">
        <v>43583</v>
      </c>
      <c r="C34634" s="5" t="str">
        <f>IFERROR(__xludf.DUMMYFUNCTION("GOOGLETRANSLATE(B34634,""en"",""de"")"),"Während die Zuschauer klatschen, dreht sich der Kader im Einklang.")</f>
        <v>Während die Zuschauer klatschen, dreht sich der Kader im Einklang.</v>
      </c>
    </row>
    <row r="34635">
      <c r="A34635" s="4" t="s">
        <v>43580</v>
      </c>
      <c r="B34635" s="4" t="s">
        <v>43584</v>
      </c>
      <c r="C34635" s="5" t="str">
        <f>IFERROR(__xludf.DUMMYFUNCTION("GOOGLETRANSLATE(B34635,""en"",""de"")"),"Der Kader macht ihre Routine.")</f>
        <v>Der Kader macht ihre Routine.</v>
      </c>
    </row>
    <row r="34636">
      <c r="A34636" s="4" t="s">
        <v>43580</v>
      </c>
      <c r="B34636" s="4" t="s">
        <v>43585</v>
      </c>
      <c r="C34636" s="5" t="str">
        <f>IFERROR(__xludf.DUMMYFUNCTION("GOOGLETRANSLATE(B34636,""en"",""de"")"),"Der Kader beendet ihre Routine und verlässt den Boden.")</f>
        <v>Der Kader beendet ihre Routine und verlässt den Boden.</v>
      </c>
    </row>
    <row r="34637">
      <c r="A34637" s="4" t="s">
        <v>43586</v>
      </c>
      <c r="B34637" s="4" t="s">
        <v>43587</v>
      </c>
      <c r="C34637" s="5" t="str">
        <f>IFERROR(__xludf.DUMMYFUNCTION("GOOGLETRANSLATE(B34637,""en"",""de"")"),"Ein Mann stützt sein Bein an der Seite einer Wanne.")</f>
        <v>Ein Mann stützt sein Bein an der Seite einer Wanne.</v>
      </c>
    </row>
    <row r="34638">
      <c r="A34638" s="4" t="s">
        <v>43586</v>
      </c>
      <c r="B34638" s="4" t="s">
        <v>43588</v>
      </c>
      <c r="C34638" s="5" t="str">
        <f>IFERROR(__xludf.DUMMYFUNCTION("GOOGLETRANSLATE(B34638,""en"",""de"")"),"Er rasiert sich mit einem Rasiermesser sein Bein und enthüllt ein Tattoo darunter.")</f>
        <v>Er rasiert sich mit einem Rasiermesser sein Bein und enthüllt ein Tattoo darunter.</v>
      </c>
    </row>
    <row r="34639">
      <c r="A34639" s="4" t="s">
        <v>43586</v>
      </c>
      <c r="B34639" s="4" t="s">
        <v>43589</v>
      </c>
      <c r="C34639" s="5" t="str">
        <f>IFERROR(__xludf.DUMMYFUNCTION("GOOGLETRANSLATE(B34639,""en"",""de"")"),"Wenn er fertig ist, wischt er die Haare ab und zeigt ein Tattoo von Homer Simpson als Sensenmut.")</f>
        <v>Wenn er fertig ist, wischt er die Haare ab und zeigt ein Tattoo von Homer Simpson als Sensenmut.</v>
      </c>
    </row>
    <row r="34640">
      <c r="A34640" s="4" t="s">
        <v>43590</v>
      </c>
      <c r="B34640" s="4" t="s">
        <v>43591</v>
      </c>
      <c r="C34640" s="5" t="str">
        <f>IFERROR(__xludf.DUMMYFUNCTION("GOOGLETRANSLATE(B34640,""en"",""de"")"),"Eine Schlauchwerbung ist auf dem Bildschirm.")</f>
        <v>Eine Schlauchwerbung ist auf dem Bildschirm.</v>
      </c>
    </row>
    <row r="34641">
      <c r="A34641" s="4" t="s">
        <v>43590</v>
      </c>
      <c r="B34641" s="4" t="s">
        <v>43592</v>
      </c>
      <c r="C34641" s="5" t="str">
        <f>IFERROR(__xludf.DUMMYFUNCTION("GOOGLETRANSLATE(B34641,""en"",""de"")"),"Knollen gehen den Fluss hinunter.")</f>
        <v>Knollen gehen den Fluss hinunter.</v>
      </c>
    </row>
    <row r="34642">
      <c r="A34642" s="4" t="s">
        <v>43590</v>
      </c>
      <c r="B34642" s="4" t="s">
        <v>43593</v>
      </c>
      <c r="C34642" s="5" t="str">
        <f>IFERROR(__xludf.DUMMYFUNCTION("GOOGLETRANSLATE(B34642,""en"",""de"")"),"West Virginia -Werbung ist auf dem Bildschirm.")</f>
        <v>West Virginia -Werbung ist auf dem Bildschirm.</v>
      </c>
    </row>
    <row r="34643">
      <c r="A34643" s="4" t="s">
        <v>43590</v>
      </c>
      <c r="B34643" s="4" t="s">
        <v>43594</v>
      </c>
      <c r="C34643" s="5" t="str">
        <f>IFERROR(__xludf.DUMMYFUNCTION("GOOGLETRANSLATE(B34643,""en"",""de"")"),"Eine Knolle geht mit einem Hund unter eine Planke.")</f>
        <v>Eine Knolle geht mit einem Hund unter eine Planke.</v>
      </c>
    </row>
    <row r="34644">
      <c r="A34644" s="4" t="s">
        <v>43590</v>
      </c>
      <c r="B34644" s="4" t="s">
        <v>43595</v>
      </c>
      <c r="C34644" s="5" t="str">
        <f>IFERROR(__xludf.DUMMYFUNCTION("GOOGLETRANSLATE(B34644,""en"",""de"")"),"Die Kamera ist auf Himmel und Bäume gerichtet.")</f>
        <v>Die Kamera ist auf Himmel und Bäume gerichtet.</v>
      </c>
    </row>
    <row r="34645">
      <c r="A34645" s="4" t="s">
        <v>43590</v>
      </c>
      <c r="B34645" s="4" t="s">
        <v>43596</v>
      </c>
      <c r="C34645" s="5" t="str">
        <f>IFERROR(__xludf.DUMMYFUNCTION("GOOGLETRANSLATE(B34645,""en"",""de"")"),"Eine Knolle rennt in Zweige, eine steht auf und fällt um.")</f>
        <v>Eine Knolle rennt in Zweige, eine steht auf und fällt um.</v>
      </c>
    </row>
    <row r="34646">
      <c r="A34646" s="4" t="s">
        <v>43590</v>
      </c>
      <c r="B34646" s="4" t="s">
        <v>43597</v>
      </c>
      <c r="C34646" s="5" t="str">
        <f>IFERROR(__xludf.DUMMYFUNCTION("GOOGLETRANSLATE(B34646,""en"",""de"")"),"Der Kameramann dreht Kreise in seiner Röhre und hat dann einen Snack.")</f>
        <v>Der Kameramann dreht Kreise in seiner Röhre und hat dann einen Snack.</v>
      </c>
    </row>
    <row r="34647">
      <c r="A34647" s="4" t="s">
        <v>43590</v>
      </c>
      <c r="B34647" s="4" t="s">
        <v>43598</v>
      </c>
      <c r="C34647" s="5" t="str">
        <f>IFERROR(__xludf.DUMMYFUNCTION("GOOGLETRANSLATE(B34647,""en"",""de"")"),"Ein Mann lässt seinen Kopf in Zweigen verheddert.")</f>
        <v>Ein Mann lässt seinen Kopf in Zweigen verheddert.</v>
      </c>
    </row>
    <row r="34648">
      <c r="A34648" s="4" t="s">
        <v>43590</v>
      </c>
      <c r="B34648" s="4" t="s">
        <v>43599</v>
      </c>
      <c r="C34648" s="5" t="str">
        <f>IFERROR(__xludf.DUMMYFUNCTION("GOOGLETRANSLATE(B34648,""en"",""de"")"),"Das Video endet mit Anzeigen.")</f>
        <v>Das Video endet mit Anzeigen.</v>
      </c>
    </row>
    <row r="34649">
      <c r="A34649" s="4" t="s">
        <v>43600</v>
      </c>
      <c r="B34649" s="4" t="s">
        <v>43601</v>
      </c>
      <c r="C34649" s="5" t="str">
        <f>IFERROR(__xludf.DUMMYFUNCTION("GOOGLETRANSLATE(B34649,""en"",""de"")"),"Ein Sportlogo blinkt auf dem Bildschirm.")</f>
        <v>Ein Sportlogo blinkt auf dem Bildschirm.</v>
      </c>
    </row>
    <row r="34650">
      <c r="A34650" s="4" t="s">
        <v>43600</v>
      </c>
      <c r="B34650" s="4" t="s">
        <v>43602</v>
      </c>
      <c r="C34650" s="5" t="str">
        <f>IFERROR(__xludf.DUMMYFUNCTION("GOOGLETRANSLATE(B34650,""en"",""de"")"),"Eine Frau, die mit einem weißen Hemd in ein Mikrofon spricht.")</f>
        <v>Eine Frau, die mit einem weißen Hemd in ein Mikrofon spricht.</v>
      </c>
    </row>
    <row r="34651">
      <c r="A34651" s="4" t="s">
        <v>43600</v>
      </c>
      <c r="B34651" s="4" t="s">
        <v>43603</v>
      </c>
      <c r="C34651" s="5" t="str">
        <f>IFERROR(__xludf.DUMMYFUNCTION("GOOGLETRANSLATE(B34651,""en"",""de"")"),"Ein Mann spielt Pool hinter einem blauen Billardtisch.")</f>
        <v>Ein Mann spielt Pool hinter einem blauen Billardtisch.</v>
      </c>
    </row>
    <row r="34652">
      <c r="A34652" s="4" t="s">
        <v>43600</v>
      </c>
      <c r="B34652" s="4" t="s">
        <v>43604</v>
      </c>
      <c r="C34652" s="5" t="str">
        <f>IFERROR(__xludf.DUMMYFUNCTION("GOOGLETRANSLATE(B34652,""en"",""de"")"),"Die Frau spricht weiter vor dem Billardtisch.")</f>
        <v>Die Frau spricht weiter vor dem Billardtisch.</v>
      </c>
    </row>
    <row r="34653">
      <c r="A34653" s="4" t="s">
        <v>43600</v>
      </c>
      <c r="B34653" s="4" t="s">
        <v>43605</v>
      </c>
      <c r="C34653" s="5" t="str">
        <f>IFERROR(__xludf.DUMMYFUNCTION("GOOGLETRANSLATE(B34653,""en"",""de"")"),"Die Frau und der Mann sprechen miteinander.")</f>
        <v>Die Frau und der Mann sprechen miteinander.</v>
      </c>
    </row>
    <row r="34654">
      <c r="A34654" s="4" t="s">
        <v>43600</v>
      </c>
      <c r="B34654" s="4" t="s">
        <v>43606</v>
      </c>
      <c r="C34654" s="5" t="str">
        <f>IFERROR(__xludf.DUMMYFUNCTION("GOOGLETRANSLATE(B34654,""en"",""de"")"),"Auf dem Bildschirm blitzt eine Trophäe.")</f>
        <v>Auf dem Bildschirm blitzt eine Trophäe.</v>
      </c>
    </row>
    <row r="34655">
      <c r="A34655" s="4" t="s">
        <v>43600</v>
      </c>
      <c r="B34655" s="4" t="s">
        <v>43607</v>
      </c>
      <c r="C34655" s="5" t="str">
        <f>IFERROR(__xludf.DUMMYFUNCTION("GOOGLETRANSLATE(B34655,""en"",""de"")"),"Der Mann und die Frau reden weiter.")</f>
        <v>Der Mann und die Frau reden weiter.</v>
      </c>
    </row>
    <row r="34656">
      <c r="A34656" s="4" t="s">
        <v>43600</v>
      </c>
      <c r="B34656" s="4" t="s">
        <v>43608</v>
      </c>
      <c r="C34656" s="5" t="str">
        <f>IFERROR(__xludf.DUMMYFUNCTION("GOOGLETRANSLATE(B34656,""en"",""de"")"),"Der Mann spielt wieder Pool.")</f>
        <v>Der Mann spielt wieder Pool.</v>
      </c>
    </row>
    <row r="34657">
      <c r="A34657" s="4" t="s">
        <v>43600</v>
      </c>
      <c r="B34657" s="4" t="s">
        <v>43609</v>
      </c>
      <c r="C34657" s="5" t="str">
        <f>IFERROR(__xludf.DUMMYFUNCTION("GOOGLETRANSLATE(B34657,""en"",""de"")"),"Der Mann und die Frau reden weiterhin miteinander.")</f>
        <v>Der Mann und die Frau reden weiterhin miteinander.</v>
      </c>
    </row>
    <row r="34658">
      <c r="A34658" s="4" t="s">
        <v>43600</v>
      </c>
      <c r="B34658" s="4" t="s">
        <v>43610</v>
      </c>
      <c r="C34658" s="5" t="str">
        <f>IFERROR(__xludf.DUMMYFUNCTION("GOOGLETRANSLATE(B34658,""en"",""de"")"),"Es blitzt zurück zum Billardtisch.")</f>
        <v>Es blitzt zurück zum Billardtisch.</v>
      </c>
    </row>
    <row r="34659">
      <c r="A34659" s="4" t="s">
        <v>43600</v>
      </c>
      <c r="B34659" s="4" t="s">
        <v>43611</v>
      </c>
      <c r="C34659" s="5" t="str">
        <f>IFERROR(__xludf.DUMMYFUNCTION("GOOGLETRANSLATE(B34659,""en"",""de"")"),"Der Mann und die Frau reden weiter und die Frau lacht über das, was der Mann sagt.")</f>
        <v>Der Mann und die Frau reden weiter und die Frau lacht über das, was der Mann sagt.</v>
      </c>
    </row>
    <row r="34660">
      <c r="A34660" s="4" t="s">
        <v>43600</v>
      </c>
      <c r="B34660" s="4" t="s">
        <v>43612</v>
      </c>
      <c r="C34660" s="5" t="str">
        <f>IFERROR(__xludf.DUMMYFUNCTION("GOOGLETRANSLATE(B34660,""en"",""de"")"),"Der Mann lehrt jetzt der Frau, wie man den Poolball schießt, während er hinter ihr steht.")</f>
        <v>Der Mann lehrt jetzt der Frau, wie man den Poolball schießt, während er hinter ihr steht.</v>
      </c>
    </row>
    <row r="34661">
      <c r="A34661" s="4" t="s">
        <v>43600</v>
      </c>
      <c r="B34661" s="4" t="s">
        <v>43613</v>
      </c>
      <c r="C34661" s="5" t="str">
        <f>IFERROR(__xludf.DUMMYFUNCTION("GOOGLETRANSLATE(B34661,""en"",""de"")"),"Die Frau macht den Schuss und sie feiern mit hohen fünf.")</f>
        <v>Die Frau macht den Schuss und sie feiern mit hohen fünf.</v>
      </c>
    </row>
    <row r="34662">
      <c r="A34662" s="4" t="s">
        <v>43600</v>
      </c>
      <c r="B34662" s="4" t="s">
        <v>43614</v>
      </c>
      <c r="C34662" s="5" t="str">
        <f>IFERROR(__xludf.DUMMYFUNCTION("GOOGLETRANSLATE(B34662,""en"",""de"")"),"Der Mann sagt der Frau, wie man einen weiteren Schuss macht.")</f>
        <v>Der Mann sagt der Frau, wie man einen weiteren Schuss macht.</v>
      </c>
    </row>
    <row r="34663">
      <c r="A34663" s="4" t="s">
        <v>43600</v>
      </c>
      <c r="B34663" s="4" t="s">
        <v>43615</v>
      </c>
      <c r="C34663" s="5" t="str">
        <f>IFERROR(__xludf.DUMMYFUNCTION("GOOGLETRANSLATE(B34663,""en"",""de"")"),"Sie versucht den Schuss und macht es und sie High Five wieder.")</f>
        <v>Sie versucht den Schuss und macht es und sie High Five wieder.</v>
      </c>
    </row>
    <row r="34664">
      <c r="A34664" s="4" t="s">
        <v>43600</v>
      </c>
      <c r="B34664" s="4" t="s">
        <v>43616</v>
      </c>
      <c r="C34664" s="5" t="str">
        <f>IFERROR(__xludf.DUMMYFUNCTION("GOOGLETRANSLATE(B34664,""en"",""de"")"),"Sie reden weiter und lachen.")</f>
        <v>Sie reden weiter und lachen.</v>
      </c>
    </row>
    <row r="34665">
      <c r="A34665" s="4" t="s">
        <v>43600</v>
      </c>
      <c r="B34665" s="4" t="s">
        <v>43617</v>
      </c>
      <c r="C34665" s="5" t="str">
        <f>IFERROR(__xludf.DUMMYFUNCTION("GOOGLETRANSLATE(B34665,""en"",""de"")"),"Die Frau legt sich auf den Billardtisch und er schießt aus ihrem Mund einen Ball.")</f>
        <v>Die Frau legt sich auf den Billardtisch und er schießt aus ihrem Mund einen Ball.</v>
      </c>
    </row>
    <row r="34666">
      <c r="A34666" s="4" t="s">
        <v>43600</v>
      </c>
      <c r="B34666" s="4" t="s">
        <v>43618</v>
      </c>
      <c r="C34666" s="5" t="str">
        <f>IFERROR(__xludf.DUMMYFUNCTION("GOOGLETRANSLATE(B34666,""en"",""de"")"),"Die Frau sitzt auf einem Stuhl neben dem Billardtisch und spricht in das Mikrofon.")</f>
        <v>Die Frau sitzt auf einem Stuhl neben dem Billardtisch und spricht in das Mikrofon.</v>
      </c>
    </row>
    <row r="34667">
      <c r="A34667" s="4" t="s">
        <v>43600</v>
      </c>
      <c r="B34667" s="4" t="s">
        <v>43619</v>
      </c>
      <c r="C34667" s="5" t="str">
        <f>IFERROR(__xludf.DUMMYFUNCTION("GOOGLETRANSLATE(B34667,""en"",""de"")"),"Ein Maxim -Logo blinkt auf dem Bildschirm.")</f>
        <v>Ein Maxim -Logo blinkt auf dem Bildschirm.</v>
      </c>
    </row>
    <row r="34668">
      <c r="A34668" s="4" t="s">
        <v>43620</v>
      </c>
      <c r="B34668" s="4" t="s">
        <v>43621</v>
      </c>
      <c r="C34668" s="5" t="str">
        <f>IFERROR(__xludf.DUMMYFUNCTION("GOOGLETRANSLATE(B34668,""en"",""de"")"),"Ein Mann zeigt, wie man Make -up auf ein Gesicht aufnimmt, indem er Make -up auf sein eigenes Gesicht in der Kamera aufnimmt.")</f>
        <v>Ein Mann zeigt, wie man Make -up auf ein Gesicht aufnimmt, indem er Make -up auf sein eigenes Gesicht in der Kamera aufnimmt.</v>
      </c>
    </row>
    <row r="34669">
      <c r="A34669" s="4" t="s">
        <v>43620</v>
      </c>
      <c r="B34669" s="4" t="s">
        <v>43622</v>
      </c>
      <c r="C34669" s="5" t="str">
        <f>IFERROR(__xludf.DUMMYFUNCTION("GOOGLETRANSLATE(B34669,""en"",""de"")"),"Ein Mann spricht mit der Kamera, nahauf, während er vor einem Spiegel steht.")</f>
        <v>Ein Mann spricht mit der Kamera, nahauf, während er vor einem Spiegel steht.</v>
      </c>
    </row>
    <row r="34670">
      <c r="A34670" s="4" t="s">
        <v>43620</v>
      </c>
      <c r="B34670" s="4" t="s">
        <v>43623</v>
      </c>
      <c r="C34670" s="5" t="str">
        <f>IFERROR(__xludf.DUMMYFUNCTION("GOOGLETRANSLATE(B34670,""en"",""de"")"),"Der Mann beginnt, mit einem Pinsel Make -up -Rouge aufzusetzen und über die Äpfel seiner Wangen zu bürsten.")</f>
        <v>Der Mann beginnt, mit einem Pinsel Make -up -Rouge aufzusetzen und über die Äpfel seiner Wangen zu bürsten.</v>
      </c>
    </row>
    <row r="34671">
      <c r="A34671" s="4" t="s">
        <v>43620</v>
      </c>
      <c r="B34671" s="4" t="s">
        <v>43624</v>
      </c>
      <c r="C34671" s="5" t="str">
        <f>IFERROR(__xludf.DUMMYFUNCTION("GOOGLETRANSLATE(B34671,""en"",""de"")"),"Der Mann betreibt dann ein Make -up -Werkzeug mit Make -up über seine Wangen, bevor er zurückkehrt, um Rouge auf seine Wangen und Stirn aufzutragen.")</f>
        <v>Der Mann betreibt dann ein Make -up -Werkzeug mit Make -up über seine Wangen, bevor er zurückkehrt, um Rouge auf seine Wangen und Stirn aufzutragen.</v>
      </c>
    </row>
    <row r="34672">
      <c r="A34672" s="4" t="s">
        <v>43620</v>
      </c>
      <c r="B34672" s="4" t="s">
        <v>43625</v>
      </c>
      <c r="C34672" s="5" t="str">
        <f>IFERROR(__xludf.DUMMYFUNCTION("GOOGLETRANSLATE(B34672,""en"",""de"")"),"Der Mann benutzt dann eine schmale und breite Bürste über seine Wangen und dann zurück zum normalen Pinsel für die gleichen Bereiche seines Gesichts.")</f>
        <v>Der Mann benutzt dann eine schmale und breite Bürste über seine Wangen und dann zurück zum normalen Pinsel für die gleichen Bereiche seines Gesichts.</v>
      </c>
    </row>
    <row r="34673">
      <c r="A34673" s="4" t="s">
        <v>43626</v>
      </c>
      <c r="B34673" s="4" t="s">
        <v>43627</v>
      </c>
      <c r="C34673" s="5" t="str">
        <f>IFERROR(__xludf.DUMMYFUNCTION("GOOGLETRANSLATE(B34673,""en"",""de"")"),"Ein Intro führt zu einem Mann, der eine Geige hält und mit seinen Händen spielt.")</f>
        <v>Ein Intro führt zu einem Mann, der eine Geige hält und mit seinen Händen spielt.</v>
      </c>
    </row>
    <row r="34674">
      <c r="A34674" s="4" t="s">
        <v>43626</v>
      </c>
      <c r="B34674" s="4" t="s">
        <v>43628</v>
      </c>
      <c r="C34674" s="5" t="str">
        <f>IFERROR(__xludf.DUMMYFUNCTION("GOOGLETRANSLATE(B34674,""en"",""de"")"),"Der Mann spielt weiter und macht dann eine Pause, um mit der Kamera zu sprechen und gleichzeitig zu demonstrieren, wie man richtig spielt.")</f>
        <v>Der Mann spielt weiter und macht dann eine Pause, um mit der Kamera zu sprechen und gleichzeitig zu demonstrieren, wie man richtig spielt.</v>
      </c>
    </row>
    <row r="34675">
      <c r="A34675" s="4" t="s">
        <v>43629</v>
      </c>
      <c r="B34675" s="4" t="s">
        <v>43630</v>
      </c>
      <c r="C34675" s="5" t="str">
        <f>IFERROR(__xludf.DUMMYFUNCTION("GOOGLETRANSLATE(B34675,""en"",""de"")"),"Ein Mann reinigt die Sohlen seiner Turnschuhe mit dem dünnen Metallende eines Schlauchs.")</f>
        <v>Ein Mann reinigt die Sohlen seiner Turnschuhe mit dem dünnen Metallende eines Schlauchs.</v>
      </c>
    </row>
    <row r="34676">
      <c r="A34676" s="4" t="s">
        <v>43629</v>
      </c>
      <c r="B34676" s="4" t="s">
        <v>43631</v>
      </c>
      <c r="C34676" s="5" t="str">
        <f>IFERROR(__xludf.DUMMYFUNCTION("GOOGLETRANSLATE(B34676,""en"",""de"")"),"Der Mann legt den Schlauch zurück und beginnt zu gehen.")</f>
        <v>Der Mann legt den Schlauch zurück und beginnt zu gehen.</v>
      </c>
    </row>
    <row r="34677">
      <c r="A34677" s="4" t="s">
        <v>43632</v>
      </c>
      <c r="B34677" s="4" t="s">
        <v>43633</v>
      </c>
      <c r="C34677" s="5" t="str">
        <f>IFERROR(__xludf.DUMMYFUNCTION("GOOGLETRANSLATE(B34677,""en"",""de"")"),"Ein Mann tanzt auf einer Bühne in weißen Hosen.")</f>
        <v>Ein Mann tanzt auf einer Bühne in weißen Hosen.</v>
      </c>
    </row>
    <row r="34678">
      <c r="A34678" s="4" t="s">
        <v>43632</v>
      </c>
      <c r="B34678" s="4" t="s">
        <v>43634</v>
      </c>
      <c r="C34678" s="5" t="str">
        <f>IFERROR(__xludf.DUMMYFUNCTION("GOOGLETRANSLATE(B34678,""en"",""de"")"),"Zwei Leute tanzen gemeinsam auf einer Bühne.")</f>
        <v>Zwei Leute tanzen gemeinsam auf einer Bühne.</v>
      </c>
    </row>
    <row r="34679">
      <c r="A34679" s="4" t="s">
        <v>43632</v>
      </c>
      <c r="B34679" s="4" t="s">
        <v>43635</v>
      </c>
      <c r="C34679" s="5" t="str">
        <f>IFERROR(__xludf.DUMMYFUNCTION("GOOGLETRANSLATE(B34679,""en"",""de"")"),"Ein Mann macht mehrere Rückenflips auf der Bühne.")</f>
        <v>Ein Mann macht mehrere Rückenflips auf der Bühne.</v>
      </c>
    </row>
    <row r="34680">
      <c r="A34680" s="4" t="s">
        <v>43632</v>
      </c>
      <c r="B34680" s="4" t="s">
        <v>43636</v>
      </c>
      <c r="C34680" s="5" t="str">
        <f>IFERROR(__xludf.DUMMYFUNCTION("GOOGLETRANSLATE(B34680,""en"",""de"")"),"Eine Person spielt eine Trommel.")</f>
        <v>Eine Person spielt eine Trommel.</v>
      </c>
    </row>
    <row r="34681">
      <c r="A34681" s="4" t="s">
        <v>43637</v>
      </c>
      <c r="B34681" s="4" t="s">
        <v>43638</v>
      </c>
      <c r="C34681" s="5" t="str">
        <f>IFERROR(__xludf.DUMMYFUNCTION("GOOGLETRANSLATE(B34681,""en"",""de"")"),"Mehrere Personen sind gesehen, wie sie einen Hügel auf Rollschaufeln reiten, während eine Person auf einem Polizeifahrrad vorne fährt.")</f>
        <v>Mehrere Personen sind gesehen, wie sie einen Hügel auf Rollschaufeln reiten, während eine Person auf einem Polizeifahrrad vorne fährt.</v>
      </c>
    </row>
    <row r="34682">
      <c r="A34682" s="4" t="s">
        <v>43637</v>
      </c>
      <c r="B34682" s="4" t="s">
        <v>43639</v>
      </c>
      <c r="C34682" s="5" t="str">
        <f>IFERROR(__xludf.DUMMYFUNCTION("GOOGLETRANSLATE(B34682,""en"",""de"")"),"Irgendwann fallen mehrere Menschen übereinander und fahren weiter mit ihren Klingen weiter.")</f>
        <v>Irgendwann fallen mehrere Menschen übereinander und fahren weiter mit ihren Klingen weiter.</v>
      </c>
    </row>
    <row r="34683">
      <c r="A34683" s="4" t="s">
        <v>43640</v>
      </c>
      <c r="B34683" s="4" t="s">
        <v>43641</v>
      </c>
      <c r="C34683" s="5" t="str">
        <f>IFERROR(__xludf.DUMMYFUNCTION("GOOGLETRANSLATE(B34683,""en"",""de"")"),"Ein Mann, der auf einem Pferd nach einer Kuh verfolgt.")</f>
        <v>Ein Mann, der auf einem Pferd nach einer Kuh verfolgt.</v>
      </c>
    </row>
    <row r="34684">
      <c r="A34684" s="4" t="s">
        <v>43640</v>
      </c>
      <c r="B34684" s="4" t="s">
        <v>43642</v>
      </c>
      <c r="C34684" s="5" t="str">
        <f>IFERROR(__xludf.DUMMYFUNCTION("GOOGLETRANSLATE(B34684,""en"",""de"")"),"Er fängt die Kuh mit einem Seil.")</f>
        <v>Er fängt die Kuh mit einem Seil.</v>
      </c>
    </row>
    <row r="34685">
      <c r="A34685" s="4" t="s">
        <v>43640</v>
      </c>
      <c r="B34685" s="4" t="s">
        <v>43643</v>
      </c>
      <c r="C34685" s="5" t="str">
        <f>IFERROR(__xludf.DUMMYFUNCTION("GOOGLETRANSLATE(B34685,""en"",""de"")"),"Er steigt vom Pferd ab und schlägt die Kuh mehrmals.")</f>
        <v>Er steigt vom Pferd ab und schlägt die Kuh mehrmals.</v>
      </c>
    </row>
    <row r="34686">
      <c r="A34686" s="4" t="s">
        <v>43644</v>
      </c>
      <c r="B34686" s="4" t="s">
        <v>43645</v>
      </c>
      <c r="C34686" s="5" t="str">
        <f>IFERROR(__xludf.DUMMYFUNCTION("GOOGLETRANSLATE(B34686,""en"",""de"")"),"Ein Mann steht um eine Feuerstelle und redet.")</f>
        <v>Ein Mann steht um eine Feuerstelle und redet.</v>
      </c>
    </row>
    <row r="34687">
      <c r="A34687" s="4" t="s">
        <v>43644</v>
      </c>
      <c r="B34687" s="4" t="s">
        <v>43646</v>
      </c>
      <c r="C34687" s="5" t="str">
        <f>IFERROR(__xludf.DUMMYFUNCTION("GOOGLETRANSLATE(B34687,""en"",""de"")"),"Der Mann zündet eine Fackel an.")</f>
        <v>Der Mann zündet eine Fackel an.</v>
      </c>
    </row>
    <row r="34688">
      <c r="A34688" s="4" t="s">
        <v>43644</v>
      </c>
      <c r="B34688" s="4" t="s">
        <v>43647</v>
      </c>
      <c r="C34688" s="5" t="str">
        <f>IFERROR(__xludf.DUMMYFUNCTION("GOOGLETRANSLATE(B34688,""en"",""de"")"),"Der Mann benutzt die Taschenlampe, um das Holz in der Feuerstelle anzuzünden.")</f>
        <v>Der Mann benutzt die Taschenlampe, um das Holz in der Feuerstelle anzuzünden.</v>
      </c>
    </row>
    <row r="34689">
      <c r="A34689" s="4" t="s">
        <v>43644</v>
      </c>
      <c r="B34689" s="4" t="s">
        <v>43648</v>
      </c>
      <c r="C34689" s="5" t="str">
        <f>IFERROR(__xludf.DUMMYFUNCTION("GOOGLETRANSLATE(B34689,""en"",""de"")"),"Der Mann sitzt an der Feuerstelle und genießt die Wärme.")</f>
        <v>Der Mann sitzt an der Feuerstelle und genießt die Wärme.</v>
      </c>
    </row>
    <row r="34690">
      <c r="A34690" s="4" t="s">
        <v>43649</v>
      </c>
      <c r="B34690" s="4" t="s">
        <v>43650</v>
      </c>
      <c r="C34690" s="5" t="str">
        <f>IFERROR(__xludf.DUMMYFUNCTION("GOOGLETRANSLATE(B34690,""en"",""de"")"),"Ein Mann in einem schwarzen Hemd prüft das Essen in einem Sandwichladen.")</f>
        <v>Ein Mann in einem schwarzen Hemd prüft das Essen in einem Sandwichladen.</v>
      </c>
    </row>
    <row r="34691">
      <c r="A34691" s="4" t="s">
        <v>43649</v>
      </c>
      <c r="B34691" s="4" t="s">
        <v>43651</v>
      </c>
      <c r="C34691" s="5" t="str">
        <f>IFERROR(__xludf.DUMMYFUNCTION("GOOGLETRANSLATE(B34691,""en"",""de"")"),"Der Mann bewegt sich dann schnell, um ein Hoagie -Sandwich zu machen, indem er Zutaten aus den Behältern hinzufügt.")</f>
        <v>Der Mann bewegt sich dann schnell, um ein Hoagie -Sandwich zu machen, indem er Zutaten aus den Behältern hinzufügt.</v>
      </c>
    </row>
    <row r="34692">
      <c r="A34692" s="4" t="s">
        <v>43649</v>
      </c>
      <c r="B34692" s="4" t="s">
        <v>43652</v>
      </c>
      <c r="C34692" s="5" t="str">
        <f>IFERROR(__xludf.DUMMYFUNCTION("GOOGLETRANSLATE(B34692,""en"",""de"")"),"Der Mann wickelt das Sandwich in Papier und steckt es in eine Plastiktüte.")</f>
        <v>Der Mann wickelt das Sandwich in Papier und steckt es in eine Plastiktüte.</v>
      </c>
    </row>
    <row r="34693">
      <c r="A34693" s="4" t="s">
        <v>43649</v>
      </c>
      <c r="B34693" s="4" t="s">
        <v>43653</v>
      </c>
      <c r="C34693" s="5" t="str">
        <f>IFERROR(__xludf.DUMMYFUNCTION("GOOGLETRANSLATE(B34693,""en"",""de"")"),"Wir sehen telefonisch, dass der Mann das Sandwich in 41 Sekunden gemacht hat.")</f>
        <v>Wir sehen telefonisch, dass der Mann das Sandwich in 41 Sekunden gemacht hat.</v>
      </c>
    </row>
    <row r="34694">
      <c r="A34694" s="4" t="s">
        <v>43649</v>
      </c>
      <c r="B34694" s="4" t="s">
        <v>43654</v>
      </c>
      <c r="C34694" s="5" t="str">
        <f>IFERROR(__xludf.DUMMYFUNCTION("GOOGLETRANSLATE(B34694,""en"",""de"")"),"Der Mann nimmt das Sandwich dann in den Rücken auseinander.")</f>
        <v>Der Mann nimmt das Sandwich dann in den Rücken auseinander.</v>
      </c>
    </row>
    <row r="34695">
      <c r="A34695" s="4" t="s">
        <v>43655</v>
      </c>
      <c r="B34695" s="4" t="s">
        <v>6935</v>
      </c>
      <c r="C34695" s="5" t="str">
        <f>IFERROR(__xludf.DUMMYFUNCTION("GOOGLETRANSLATE(B34695,""en"",""de"")"),"Der Text wird kurz auf dem Bildschirm angezeigt.")</f>
        <v>Der Text wird kurz auf dem Bildschirm angezeigt.</v>
      </c>
    </row>
    <row r="34696">
      <c r="A34696" s="4" t="s">
        <v>43655</v>
      </c>
      <c r="B34696" s="4" t="s">
        <v>43656</v>
      </c>
      <c r="C34696" s="5" t="str">
        <f>IFERROR(__xludf.DUMMYFUNCTION("GOOGLETRANSLATE(B34696,""en"",""de"")"),"Die Kamera schwenkt die Seite eines Zauns hinunter.")</f>
        <v>Die Kamera schwenkt die Seite eines Zauns hinunter.</v>
      </c>
    </row>
    <row r="34697">
      <c r="A34697" s="4" t="s">
        <v>43655</v>
      </c>
      <c r="B34697" s="4" t="s">
        <v>43657</v>
      </c>
      <c r="C34697" s="5" t="str">
        <f>IFERROR(__xludf.DUMMYFUNCTION("GOOGLETRANSLATE(B34697,""en"",""de"")"),"Es bleibt in einem kaputten Abschnitt stehen.")</f>
        <v>Es bleibt in einem kaputten Abschnitt stehen.</v>
      </c>
    </row>
    <row r="34698">
      <c r="A34698" s="4" t="s">
        <v>43655</v>
      </c>
      <c r="B34698" s="4" t="s">
        <v>43658</v>
      </c>
      <c r="C34698" s="5" t="str">
        <f>IFERROR(__xludf.DUMMYFUNCTION("GOOGLETRANSLATE(B34698,""en"",""de"")"),"Es schwenkt weiterhin den Zaun.")</f>
        <v>Es schwenkt weiterhin den Zaun.</v>
      </c>
    </row>
    <row r="34699">
      <c r="A34699" s="4" t="s">
        <v>43655</v>
      </c>
      <c r="B34699" s="4" t="s">
        <v>43659</v>
      </c>
      <c r="C34699" s="5" t="str">
        <f>IFERROR(__xludf.DUMMYFUNCTION("GOOGLETRANSLATE(B34699,""en"",""de"")"),"Nägel werden in den Zaun gehämmert.")</f>
        <v>Nägel werden in den Zaun gehämmert.</v>
      </c>
    </row>
    <row r="34700">
      <c r="A34700" s="4" t="s">
        <v>43655</v>
      </c>
      <c r="B34700" s="4" t="s">
        <v>43660</v>
      </c>
      <c r="C34700" s="5" t="str">
        <f>IFERROR(__xludf.DUMMYFUNCTION("GOOGLETRANSLATE(B34700,""en"",""de"")"),"Sie setzen den Zaun fort und entfernen einige tote Pflanzen.")</f>
        <v>Sie setzen den Zaun fort und entfernen einige tote Pflanzen.</v>
      </c>
    </row>
    <row r="34701">
      <c r="A34701" s="4" t="s">
        <v>43655</v>
      </c>
      <c r="B34701" s="4" t="s">
        <v>43661</v>
      </c>
      <c r="C34701" s="5" t="str">
        <f>IFERROR(__xludf.DUMMYFUNCTION("GOOGLETRANSLATE(B34701,""en"",""de"")"),"Sie zeigen ein Produkt, das zum Reinigen des Zauns verwendet wird.")</f>
        <v>Sie zeigen ein Produkt, das zum Reinigen des Zauns verwendet wird.</v>
      </c>
    </row>
    <row r="34702">
      <c r="A34702" s="4" t="s">
        <v>43655</v>
      </c>
      <c r="B34702" s="4" t="s">
        <v>43662</v>
      </c>
      <c r="C34702" s="5" t="str">
        <f>IFERROR(__xludf.DUMMYFUNCTION("GOOGLETRANSLATE(B34702,""en"",""de"")"),"Ein Mann sprüht den Zaun mit dem Produkt.")</f>
        <v>Ein Mann sprüht den Zaun mit dem Produkt.</v>
      </c>
    </row>
    <row r="34703">
      <c r="A34703" s="4" t="s">
        <v>43655</v>
      </c>
      <c r="B34703" s="4" t="s">
        <v>43663</v>
      </c>
      <c r="C34703" s="5" t="str">
        <f>IFERROR(__xludf.DUMMYFUNCTION("GOOGLETRANSLATE(B34703,""en"",""de"")"),"Er lässt es fallen und bekommt etwas Farbe.")</f>
        <v>Er lässt es fallen und bekommt etwas Farbe.</v>
      </c>
    </row>
    <row r="34704">
      <c r="A34704" s="4" t="s">
        <v>43655</v>
      </c>
      <c r="B34704" s="4" t="s">
        <v>43664</v>
      </c>
      <c r="C34704" s="5" t="str">
        <f>IFERROR(__xludf.DUMMYFUNCTION("GOOGLETRANSLATE(B34704,""en"",""de"")"),"Ein gemalter Abschnitt des Zauns wird gezeigt.")</f>
        <v>Ein gemalter Abschnitt des Zauns wird gezeigt.</v>
      </c>
    </row>
    <row r="34705">
      <c r="A34705" s="4" t="s">
        <v>43665</v>
      </c>
      <c r="B34705" s="4" t="s">
        <v>43666</v>
      </c>
      <c r="C34705" s="5" t="str">
        <f>IFERROR(__xludf.DUMMYFUNCTION("GOOGLETRANSLATE(B34705,""en"",""de"")"),"Ein wenig in einem rosa Hemd geht über die Affenbars.")</f>
        <v>Ein wenig in einem rosa Hemd geht über die Affenbars.</v>
      </c>
    </row>
    <row r="34706">
      <c r="A34706" s="4" t="s">
        <v>43665</v>
      </c>
      <c r="B34706" s="4" t="s">
        <v>43667</v>
      </c>
      <c r="C34706" s="5" t="str">
        <f>IFERROR(__xludf.DUMMYFUNCTION("GOOGLETRANSLATE(B34706,""en"",""de"")"),"Sie hängt kopfüber von den Bars.")</f>
        <v>Sie hängt kopfüber von den Bars.</v>
      </c>
    </row>
    <row r="34707">
      <c r="A34707" s="4" t="s">
        <v>43665</v>
      </c>
      <c r="B34707" s="4" t="s">
        <v>43668</v>
      </c>
      <c r="C34707" s="5" t="str">
        <f>IFERROR(__xludf.DUMMYFUNCTION("GOOGLETRANSLATE(B34707,""en"",""de"")"),"Sie lächelt in die Kamera.")</f>
        <v>Sie lächelt in die Kamera.</v>
      </c>
    </row>
    <row r="34708">
      <c r="A34708" s="4" t="s">
        <v>43669</v>
      </c>
      <c r="B34708" s="4" t="s">
        <v>43670</v>
      </c>
      <c r="C34708" s="5" t="str">
        <f>IFERROR(__xludf.DUMMYFUNCTION("GOOGLETRANSLATE(B34708,""en"",""de"")"),"Für ein Tutorial für Hockey Agility wird ein Titelbildschirm angezeigt.")</f>
        <v>Für ein Tutorial für Hockey Agility wird ein Titelbildschirm angezeigt.</v>
      </c>
    </row>
    <row r="34709">
      <c r="A34709" s="4" t="s">
        <v>43669</v>
      </c>
      <c r="B34709" s="4" t="s">
        <v>43671</v>
      </c>
      <c r="C34709" s="5" t="str">
        <f>IFERROR(__xludf.DUMMYFUNCTION("GOOGLETRANSLATE(B34709,""en"",""de"")"),"Ein Hockeyspieler durchläuft mehrere Routinen, in denen Agility Warm ups mit einem Hockeystock und einem Puck und Bohrungen mit Reifen, kleinen Zapfen und Bohrungen zeigt.")</f>
        <v>Ein Hockeyspieler durchläuft mehrere Routinen, in denen Agility Warm ups mit einem Hockeystock und einem Puck und Bohrungen mit Reifen, kleinen Zapfen und Bohrungen zeigt.</v>
      </c>
    </row>
    <row r="34710">
      <c r="A34710" s="4" t="s">
        <v>43669</v>
      </c>
      <c r="B34710" s="4" t="s">
        <v>43672</v>
      </c>
      <c r="C34710" s="5" t="str">
        <f>IFERROR(__xludf.DUMMYFUNCTION("GOOGLETRANSLATE(B34710,""en"",""de"")"),"Ein anderer Titelbildschirm wird mit einer Website direkt darunter angezeigt.")</f>
        <v>Ein anderer Titelbildschirm wird mit einer Website direkt darunter angezeigt.</v>
      </c>
    </row>
    <row r="34711">
      <c r="A34711" s="4" t="s">
        <v>43673</v>
      </c>
      <c r="B34711" s="4" t="s">
        <v>43674</v>
      </c>
      <c r="C34711" s="5" t="str">
        <f>IFERROR(__xludf.DUMMYFUNCTION("GOOGLETRANSLATE(B34711,""en"",""de"")"),"Eine Person beobachtet eine andere Person mit einem Blattgebläse in einem Hof ​​aus einem erhöhten Fenster.")</f>
        <v>Eine Person beobachtet eine andere Person mit einem Blattgebläse in einem Hof ​​aus einem erhöhten Fenster.</v>
      </c>
    </row>
    <row r="34712">
      <c r="A34712" s="4" t="s">
        <v>43673</v>
      </c>
      <c r="B34712" s="4" t="s">
        <v>43675</v>
      </c>
      <c r="C34712" s="5" t="str">
        <f>IFERROR(__xludf.DUMMYFUNCTION("GOOGLETRANSLATE(B34712,""en"",""de"")"),"Eine Person in dunkler Kleidung bläst Blätter auf einem Stück Grundstück vor zwei offenen Garagentüren.")</f>
        <v>Eine Person in dunkler Kleidung bläst Blätter auf einem Stück Grundstück vor zwei offenen Garagentüren.</v>
      </c>
    </row>
    <row r="34713">
      <c r="A34713" s="4" t="s">
        <v>43673</v>
      </c>
      <c r="B34713" s="4" t="s">
        <v>43676</v>
      </c>
      <c r="C34713" s="5" t="str">
        <f>IFERROR(__xludf.DUMMYFUNCTION("GOOGLETRANSLATE(B34713,""en"",""de"")"),"Eine andere Person bewegt sich mit der Kamera, während sie aus einem Fenster in einem erhöhten Raum gegen eine weiße Fensterleiste aus beobachtet.")</f>
        <v>Eine andere Person bewegt sich mit der Kamera, während sie aus einem Fenster in einem erhöhten Raum gegen eine weiße Fensterleiste aus beobachtet.</v>
      </c>
    </row>
    <row r="34714">
      <c r="A34714" s="4" t="s">
        <v>43673</v>
      </c>
      <c r="B34714" s="4" t="s">
        <v>43677</v>
      </c>
      <c r="C34714" s="5" t="str">
        <f>IFERROR(__xludf.DUMMYFUNCTION("GOOGLETRANSLATE(B34714,""en"",""de"")"),"Die Person, die die Blätter bläst, bewegt sich um den Hof und führt weiterhin Rasenpflege.")</f>
        <v>Die Person, die die Blätter bläst, bewegt sich um den Hof und führt weiterhin Rasenpflege.</v>
      </c>
    </row>
    <row r="34715">
      <c r="A34715" s="4" t="s">
        <v>43678</v>
      </c>
      <c r="B34715" s="4" t="s">
        <v>43679</v>
      </c>
      <c r="C34715" s="5" t="str">
        <f>IFERROR(__xludf.DUMMYFUNCTION("GOOGLETRANSLATE(B34715,""en"",""de"")"),"Eine Frau spricht in einer Treppenmaschine in einem Fitnessstudio und zeigt den richtigen Fuß.")</f>
        <v>Eine Frau spricht in einer Treppenmaschine in einem Fitnessstudio und zeigt den richtigen Fuß.</v>
      </c>
    </row>
    <row r="34716">
      <c r="A34716" s="4" t="s">
        <v>43678</v>
      </c>
      <c r="B34716" s="4" t="s">
        <v>43680</v>
      </c>
      <c r="C34716" s="5" t="str">
        <f>IFERROR(__xludf.DUMMYFUNCTION("GOOGLETRANSLATE(B34716,""en"",""de"")"),"Die Frau geht ohne die Griffe auf der Aerobic -Maschine im Fitnessstudio.")</f>
        <v>Die Frau geht ohne die Griffe auf der Aerobic -Maschine im Fitnessstudio.</v>
      </c>
    </row>
    <row r="34717">
      <c r="A34717" s="4" t="s">
        <v>43678</v>
      </c>
      <c r="B34717" s="4" t="s">
        <v>43681</v>
      </c>
      <c r="C34717" s="5" t="str">
        <f>IFERROR(__xludf.DUMMYFUNCTION("GOOGLETRANSLATE(B34717,""en"",""de"")"),"Die Frau benutzt die Armstangen, während sie auf der aeroben Maschine spazieren.")</f>
        <v>Die Frau benutzt die Armstangen, während sie auf der aeroben Maschine spazieren.</v>
      </c>
    </row>
    <row r="34718">
      <c r="A34718" s="4" t="s">
        <v>43678</v>
      </c>
      <c r="B34718" s="4" t="s">
        <v>43682</v>
      </c>
      <c r="C34718" s="5" t="str">
        <f>IFERROR(__xludf.DUMMYFUNCTION("GOOGLETRANSLATE(B34718,""en"",""de"")"),"Die Frau hält die Armgriffe, um aus der Maschine zu steigen.")</f>
        <v>Die Frau hält die Armgriffe, um aus der Maschine zu steigen.</v>
      </c>
    </row>
    <row r="34719">
      <c r="A34719" s="4" t="s">
        <v>43683</v>
      </c>
      <c r="B34719" s="4" t="s">
        <v>43684</v>
      </c>
      <c r="C34719" s="5" t="str">
        <f>IFERROR(__xludf.DUMMYFUNCTION("GOOGLETRANSLATE(B34719,""en"",""de"")"),"Die Hand einer Person hält einen Pinsel.")</f>
        <v>Die Hand einer Person hält einen Pinsel.</v>
      </c>
    </row>
    <row r="34720">
      <c r="A34720" s="4" t="s">
        <v>43683</v>
      </c>
      <c r="B34720" s="4" t="s">
        <v>43685</v>
      </c>
      <c r="C34720" s="5" t="str">
        <f>IFERROR(__xludf.DUMMYFUNCTION("GOOGLETRANSLATE(B34720,""en"",""de"")"),"Die Hand legt dann Tropfen Tinte auf Papier.")</f>
        <v>Die Hand legt dann Tropfen Tinte auf Papier.</v>
      </c>
    </row>
    <row r="34721">
      <c r="A34721" s="4" t="s">
        <v>43683</v>
      </c>
      <c r="B34721" s="4" t="s">
        <v>43686</v>
      </c>
      <c r="C34721" s="5" t="str">
        <f>IFERROR(__xludf.DUMMYFUNCTION("GOOGLETRANSLATE(B34721,""en"",""de"")"),"Die Hand der Person ist wieder mit dem Pinsel zu sehen.")</f>
        <v>Die Hand der Person ist wieder mit dem Pinsel zu sehen.</v>
      </c>
    </row>
    <row r="34722">
      <c r="A34722" s="4" t="s">
        <v>43683</v>
      </c>
      <c r="B34722" s="4" t="s">
        <v>43687</v>
      </c>
      <c r="C34722" s="5" t="str">
        <f>IFERROR(__xludf.DUMMYFUNCTION("GOOGLETRANSLATE(B34722,""en"",""de"")"),"Die Hand kehrt mit einem Tinten -Tropfen zurück und erstellt Bilder mit Tinte.")</f>
        <v>Die Hand kehrt mit einem Tinten -Tropfen zurück und erstellt Bilder mit Tinte.</v>
      </c>
    </row>
    <row r="34723">
      <c r="A34723" s="4" t="s">
        <v>43683</v>
      </c>
      <c r="B34723" s="4" t="s">
        <v>43688</v>
      </c>
      <c r="C34723" s="5" t="str">
        <f>IFERROR(__xludf.DUMMYFUNCTION("GOOGLETRANSLATE(B34723,""en"",""de"")"),"Die Hand berührt das Bild sanft mit einem Papiertuch.")</f>
        <v>Die Hand berührt das Bild sanft mit einem Papiertuch.</v>
      </c>
    </row>
    <row r="34724">
      <c r="A34724" s="4" t="s">
        <v>43689</v>
      </c>
      <c r="B34724" s="4" t="s">
        <v>43690</v>
      </c>
      <c r="C34724" s="5" t="str">
        <f>IFERROR(__xludf.DUMMYFUNCTION("GOOGLETRANSLATE(B34724,""en"",""de"")"),"Die Frau im schwarzen Hemd ist bewegt und schlägt mit Schläger den Ball.")</f>
        <v>Die Frau im schwarzen Hemd ist bewegt und schlägt mit Schläger den Ball.</v>
      </c>
    </row>
    <row r="34725">
      <c r="A34725" s="4" t="s">
        <v>43689</v>
      </c>
      <c r="B34725" s="4" t="s">
        <v>43691</v>
      </c>
      <c r="C34725" s="5" t="str">
        <f>IFERROR(__xludf.DUMMYFUNCTION("GOOGLETRANSLATE(B34725,""en"",""de"")"),"Die Frau schlug erneut den grünen Ball, der ihn auf den kleinen Stangen schlug.")</f>
        <v>Die Frau schlug erneut den grünen Ball, der ihn auf den kleinen Stangen schlug.</v>
      </c>
    </row>
    <row r="34726">
      <c r="A34726" s="4" t="s">
        <v>43689</v>
      </c>
      <c r="B34726" s="4" t="s">
        <v>43692</v>
      </c>
      <c r="C34726" s="5" t="str">
        <f>IFERROR(__xludf.DUMMYFUNCTION("GOOGLETRANSLATE(B34726,""en"",""de"")"),"Die Frau in Black jubelte und begann zu laufen.")</f>
        <v>Die Frau in Black jubelte und begann zu laufen.</v>
      </c>
    </row>
    <row r="34727">
      <c r="A34727" s="4" t="s">
        <v>43693</v>
      </c>
      <c r="B34727" s="4" t="s">
        <v>43694</v>
      </c>
      <c r="C34727" s="5" t="str">
        <f>IFERROR(__xludf.DUMMYFUNCTION("GOOGLETRANSLATE(B34727,""en"",""de"")"),"Es wird eine Stoppuhr gezeigt und eine Menge versammelt sich für ein Spielfeldhockey.")</f>
        <v>Es wird eine Stoppuhr gezeigt und eine Menge versammelt sich für ein Spielfeldhockey.</v>
      </c>
    </row>
    <row r="34728">
      <c r="A34728" s="4" t="s">
        <v>43693</v>
      </c>
      <c r="B34728" s="4" t="s">
        <v>43695</v>
      </c>
      <c r="C34728" s="5" t="str">
        <f>IFERROR(__xludf.DUMMYFUNCTION("GOOGLETRANSLATE(B34728,""en"",""de"")"),"Der Dokumentarfilm enthält die Stimme eines ehemaligen Spielers, da Archivmaterial in Farbe angezeigt wird.")</f>
        <v>Der Dokumentarfilm enthält die Stimme eines ehemaligen Spielers, da Archivmaterial in Farbe angezeigt wird.</v>
      </c>
    </row>
    <row r="34729">
      <c r="A34729" s="4" t="s">
        <v>43693</v>
      </c>
      <c r="B34729" s="4" t="s">
        <v>43696</v>
      </c>
      <c r="C34729" s="5" t="str">
        <f>IFERROR(__xludf.DUMMYFUNCTION("GOOGLETRANSLATE(B34729,""en"",""de"")"),"Fotos und Video in Schwarzweiß zeigen die Geschichte des Spiels.")</f>
        <v>Fotos und Video in Schwarzweiß zeigen die Geschichte des Spiels.</v>
      </c>
    </row>
    <row r="34730">
      <c r="A34730" s="4" t="s">
        <v>43693</v>
      </c>
      <c r="B34730" s="4" t="s">
        <v>43697</v>
      </c>
      <c r="C34730" s="5" t="str">
        <f>IFERROR(__xludf.DUMMYFUNCTION("GOOGLETRANSLATE(B34730,""en"",""de"")"),"Der Dokumentarfilm konzentriert sich dann auf einen berühmten Spieler.")</f>
        <v>Der Dokumentarfilm konzentriert sich dann auf einen berühmten Spieler.</v>
      </c>
    </row>
    <row r="34731">
      <c r="A34731" s="4" t="s">
        <v>43693</v>
      </c>
      <c r="B34731" s="4" t="s">
        <v>43698</v>
      </c>
      <c r="C34731" s="5" t="str">
        <f>IFERROR(__xludf.DUMMYFUNCTION("GOOGLETRANSLATE(B34731,""en"",""de"")"),"Danach wird ein berühmter Manager hervorgehoben und ehemalige Spieler sprechen über ihn.")</f>
        <v>Danach wird ein berühmter Manager hervorgehoben und ehemalige Spieler sprechen über ihn.</v>
      </c>
    </row>
    <row r="34732">
      <c r="A34732" s="4" t="s">
        <v>43699</v>
      </c>
      <c r="B34732" s="4" t="s">
        <v>43700</v>
      </c>
      <c r="C34732" s="5" t="str">
        <f>IFERROR(__xludf.DUMMYFUNCTION("GOOGLETRANSLATE(B34732,""en"",""de"")"),"Eine Frau spricht mit einer Kamera und demonstriert dann Übungen, die auf dem Spielplatz mit Spielplatzgeräten einschließlich Affenbars durchgeführt werden können.")</f>
        <v>Eine Frau spricht mit einer Kamera und demonstriert dann Übungen, die auf dem Spielplatz mit Spielplatzgeräten einschließlich Affenbars durchgeführt werden können.</v>
      </c>
    </row>
    <row r="34733">
      <c r="A34733" s="4" t="s">
        <v>43699</v>
      </c>
      <c r="B34733" s="4" t="s">
        <v>43701</v>
      </c>
      <c r="C34733" s="5" t="str">
        <f>IFERROR(__xludf.DUMMYFUNCTION("GOOGLETRANSLATE(B34733,""en"",""de"")"),"Eine Frau in einem roten Kurzarmhemd steht auf dem Sand eines Spielplatzes und spricht mit der Kamera, während sie neben einigen Affenstangen steht.")</f>
        <v>Eine Frau in einem roten Kurzarmhemd steht auf dem Sand eines Spielplatzes und spricht mit der Kamera, während sie neben einigen Affenstangen steht.</v>
      </c>
    </row>
    <row r="34734">
      <c r="A34734" s="4" t="s">
        <v>43699</v>
      </c>
      <c r="B34734" s="4" t="s">
        <v>43702</v>
      </c>
      <c r="C34734" s="5" t="str">
        <f>IFERROR(__xludf.DUMMYFUNCTION("GOOGLETRANSLATE(B34734,""en"",""de"")"),"Die Frau beginnt, die Affenstangen zu benutzen und zieht sich über die gesamte Weite der Stange, ohne Füße für den Antrieb von Balken zu Balken zu verwenden.")</f>
        <v>Die Frau beginnt, die Affenstangen zu benutzen und zieht sich über die gesamte Weite der Stange, ohne Füße für den Antrieb von Balken zu Balken zu verwenden.</v>
      </c>
    </row>
    <row r="34735">
      <c r="A34735" s="4" t="s">
        <v>43699</v>
      </c>
      <c r="B34735" s="4" t="s">
        <v>43703</v>
      </c>
      <c r="C34735" s="5" t="str">
        <f>IFERROR(__xludf.DUMMYFUNCTION("GOOGLETRANSLATE(B34735,""en"",""de"")"),"Die Frau klettert dann um eine Wand und springt davon in einem Gymnastic -Flip in den Sand und beginnt wieder mit der Kamera zu sprechen.")</f>
        <v>Die Frau klettert dann um eine Wand und springt davon in einem Gymnastic -Flip in den Sand und beginnt wieder mit der Kamera zu sprechen.</v>
      </c>
    </row>
    <row r="34736">
      <c r="A34736" s="4" t="s">
        <v>43704</v>
      </c>
      <c r="B34736" s="4" t="s">
        <v>43705</v>
      </c>
      <c r="C34736" s="5" t="str">
        <f>IFERROR(__xludf.DUMMYFUNCTION("GOOGLETRANSLATE(B34736,""en"",""de"")"),"Ein Mann sitzt am Rande, gefolgt von einer großen Gruppe von Menschen, die Lacrosse spielen.")</f>
        <v>Ein Mann sitzt am Rande, gefolgt von einer großen Gruppe von Menschen, die Lacrosse spielen.</v>
      </c>
    </row>
    <row r="34737">
      <c r="A34737" s="4" t="s">
        <v>43704</v>
      </c>
      <c r="B34737" s="4" t="s">
        <v>43706</v>
      </c>
      <c r="C34737" s="5" t="str">
        <f>IFERROR(__xludf.DUMMYFUNCTION("GOOGLETRANSLATE(B34737,""en"",""de"")"),"Die Spieler bewegen sich weiterhin auf dem Feld aneinander vorbei und viele beobachten an den Seiten.")</f>
        <v>Die Spieler bewegen sich weiterhin auf dem Feld aneinander vorbei und viele beobachten an den Seiten.</v>
      </c>
    </row>
    <row r="34738">
      <c r="A34738" s="4" t="s">
        <v>43704</v>
      </c>
      <c r="B34738" s="4" t="s">
        <v>43707</v>
      </c>
      <c r="C34738" s="5" t="str">
        <f>IFERROR(__xludf.DUMMYFUNCTION("GOOGLETRANSLATE(B34738,""en"",""de"")"),"Die Gruppe spielt und endet weiter, indem sie ein Tor erzielt und der Ref reagiert.")</f>
        <v>Die Gruppe spielt und endet weiter, indem sie ein Tor erzielt und der Ref reagiert.</v>
      </c>
    </row>
    <row r="34739">
      <c r="A34739" s="4" t="s">
        <v>43708</v>
      </c>
      <c r="B34739" s="4" t="s">
        <v>43709</v>
      </c>
      <c r="C34739" s="5" t="str">
        <f>IFERROR(__xludf.DUMMYFUNCTION("GOOGLETRANSLATE(B34739,""en"",""de"")"),"Eine marschierende Gruppe von Kadetten in dunkler Kleidung kommt in einem scheinbar in der Innenstadt von City Square zu sehen.")</f>
        <v>Eine marschierende Gruppe von Kadetten in dunkler Kleidung kommt in einem scheinbar in der Innenstadt von City Square zu sehen.</v>
      </c>
    </row>
    <row r="34740">
      <c r="A34740" s="4" t="s">
        <v>43708</v>
      </c>
      <c r="B34740" s="4" t="s">
        <v>43710</v>
      </c>
      <c r="C34740" s="5" t="str">
        <f>IFERROR(__xludf.DUMMYFUNCTION("GOOGLETRANSLATE(B34740,""en"",""de"")"),"Eine Drum Corp ist stolz zu hören, als die Kadetten die Straße entlang marschieren.")</f>
        <v>Eine Drum Corp ist stolz zu hören, als die Kadetten die Straße entlang marschieren.</v>
      </c>
    </row>
    <row r="34741">
      <c r="A34741" s="4" t="s">
        <v>43708</v>
      </c>
      <c r="B34741" s="4" t="s">
        <v>43711</v>
      </c>
      <c r="C34741" s="5" t="str">
        <f>IFERROR(__xludf.DUMMYFUNCTION("GOOGLETRANSLATE(B34741,""en"",""de"")"),"Die Marschierer winken der Menge zu und begrüßen die Zuschauer.")</f>
        <v>Die Marschierer winken der Menge zu und begrüßen die Zuschauer.</v>
      </c>
    </row>
    <row r="34742">
      <c r="A34742" s="4" t="s">
        <v>43708</v>
      </c>
      <c r="B34742" s="4" t="s">
        <v>43712</v>
      </c>
      <c r="C34742" s="5" t="str">
        <f>IFERROR(__xludf.DUMMYFUNCTION("GOOGLETRANSLATE(B34742,""en"",""de"")"),"Eine lange Zugpfeife ist zu hören, als die Kadetten weiterhin der Menge winken.")</f>
        <v>Eine lange Zugpfeife ist zu hören, als die Kadetten weiterhin der Menge winken.</v>
      </c>
    </row>
    <row r="34743">
      <c r="A34743" s="4" t="s">
        <v>43708</v>
      </c>
      <c r="B34743" s="4" t="s">
        <v>43713</v>
      </c>
      <c r="C34743" s="5" t="str">
        <f>IFERROR(__xludf.DUMMYFUNCTION("GOOGLETRANSLATE(B34743,""en"",""de"")"),"Hinter den Kadetten kommt eine Blaskapelle in Weiß in sich.")</f>
        <v>Hinter den Kadetten kommt eine Blaskapelle in Weiß in sich.</v>
      </c>
    </row>
    <row r="34744">
      <c r="A34744" s="4" t="s">
        <v>43708</v>
      </c>
      <c r="B34744" s="4" t="s">
        <v>43714</v>
      </c>
      <c r="C34744" s="5" t="str">
        <f>IFERROR(__xludf.DUMMYFUNCTION("GOOGLETRANSLATE(B34744,""en"",""de"")"),"Die Band marschiert vorbei, während sie Kadettenlieder spielt.")</f>
        <v>Die Band marschiert vorbei, während sie Kadettenlieder spielt.</v>
      </c>
    </row>
    <row r="34745">
      <c r="A34745" s="4" t="s">
        <v>43715</v>
      </c>
      <c r="B34745" s="4" t="s">
        <v>43716</v>
      </c>
      <c r="C34745" s="5" t="str">
        <f>IFERROR(__xludf.DUMMYFUNCTION("GOOGLETRANSLATE(B34745,""en"",""de"")"),"Spanische Buchstaben werden im Video angezeigt.")</f>
        <v>Spanische Buchstaben werden im Video angezeigt.</v>
      </c>
    </row>
    <row r="34746">
      <c r="A34746" s="4" t="s">
        <v>43715</v>
      </c>
      <c r="B34746" s="4" t="s">
        <v>43717</v>
      </c>
      <c r="C34746" s="5" t="str">
        <f>IFERROR(__xludf.DUMMYFUNCTION("GOOGLETRANSLATE(B34746,""en"",""de"")"),"Baby Kid tanzt in der Spitze eines Tisches und trägt eine weiße Windel in der Küche und eine Frau filmt es.")</f>
        <v>Baby Kid tanzt in der Spitze eines Tisches und trägt eine weiße Windel in der Küche und eine Frau filmt es.</v>
      </c>
    </row>
    <row r="34747">
      <c r="A34747" s="4" t="s">
        <v>43718</v>
      </c>
      <c r="B34747" s="4" t="s">
        <v>43719</v>
      </c>
      <c r="C34747" s="5" t="str">
        <f>IFERROR(__xludf.DUMMYFUNCTION("GOOGLETRANSLATE(B34747,""en"",""de"")"),"Eine Turnerin, um über seinen Kopf zu steigen, während andere Männer im Fitnessstudio sitzen.")</f>
        <v>Eine Turnerin, um über seinen Kopf zu steigen, während andere Männer im Fitnessstudio sitzen.</v>
      </c>
    </row>
    <row r="34748">
      <c r="A34748" s="4" t="s">
        <v>43718</v>
      </c>
      <c r="B34748" s="4" t="s">
        <v>43720</v>
      </c>
      <c r="C34748" s="5" t="str">
        <f>IFERROR(__xludf.DUMMYFUNCTION("GOOGLETRANSLATE(B34748,""en"",""de"")"),"Der Turner fällt das Gewicht auf den Boden.")</f>
        <v>Der Turner fällt das Gewicht auf den Boden.</v>
      </c>
    </row>
    <row r="34749">
      <c r="A34749" s="4" t="s">
        <v>43721</v>
      </c>
      <c r="B34749" s="4" t="s">
        <v>43722</v>
      </c>
      <c r="C34749" s="5" t="str">
        <f>IFERROR(__xludf.DUMMYFUNCTION("GOOGLETRANSLATE(B34749,""en"",""de"")"),"Ein Mann wird gezeigt, der auf einem Zaun sitzt und mit der Kamera spricht, während er auf Pferde zeigt.")</f>
        <v>Ein Mann wird gezeigt, der auf einem Zaun sitzt und mit der Kamera spricht, während er auf Pferde zeigt.</v>
      </c>
    </row>
    <row r="34750">
      <c r="A34750" s="4" t="s">
        <v>43721</v>
      </c>
      <c r="B34750" s="4" t="s">
        <v>43723</v>
      </c>
      <c r="C34750" s="5" t="str">
        <f>IFERROR(__xludf.DUMMYFUNCTION("GOOGLETRANSLATE(B34750,""en"",""de"")"),"Ein Mädchen wird gezeigt, wie ein Pferd reitet, während drei andere das Pferd festhalten und helfen.")</f>
        <v>Ein Mädchen wird gezeigt, wie ein Pferd reitet, während drei andere das Pferd festhalten und helfen.</v>
      </c>
    </row>
    <row r="34751">
      <c r="A34751" s="4" t="s">
        <v>43721</v>
      </c>
      <c r="B34751" s="4" t="s">
        <v>43724</v>
      </c>
      <c r="C34751" s="5" t="str">
        <f>IFERROR(__xludf.DUMMYFUNCTION("GOOGLETRANSLATE(B34751,""en"",""de"")"),"Diese Menschen helfen verschiedenen Menschen auf und neben den Pferden.")</f>
        <v>Diese Menschen helfen verschiedenen Menschen auf und neben den Pferden.</v>
      </c>
    </row>
    <row r="34752">
      <c r="A34752" s="4" t="s">
        <v>43721</v>
      </c>
      <c r="B34752" s="4" t="s">
        <v>43725</v>
      </c>
      <c r="C34752" s="5" t="str">
        <f>IFERROR(__xludf.DUMMYFUNCTION("GOOGLETRANSLATE(B34752,""en"",""de"")"),"Die Menschen gehen auch mit den Pferden durch Hinderniskurse und halten jederzeit eine Hand.")</f>
        <v>Die Menschen gehen auch mit den Pferden durch Hinderniskurse und halten jederzeit eine Hand.</v>
      </c>
    </row>
    <row r="34753">
      <c r="A34753" s="4" t="s">
        <v>43721</v>
      </c>
      <c r="B34753" s="4" t="s">
        <v>43726</v>
      </c>
      <c r="C34753" s="5" t="str">
        <f>IFERROR(__xludf.DUMMYFUNCTION("GOOGLETRANSLATE(B34753,""en"",""de"")"),"Der Mann steht in der Mitte und applaudiert die Fahrer und gibt den Pferden die Richtung.")</f>
        <v>Der Mann steht in der Mitte und applaudiert die Fahrer und gibt den Pferden die Richtung.</v>
      </c>
    </row>
    <row r="34754">
      <c r="A34754" s="4" t="s">
        <v>43721</v>
      </c>
      <c r="B34754" s="4" t="s">
        <v>43727</v>
      </c>
      <c r="C34754" s="5" t="str">
        <f>IFERROR(__xludf.DUMMYFUNCTION("GOOGLETRANSLATE(B34754,""en"",""de"")"),"Ein Junge lächelt, wenn er vom Pferd absteigt und mehrere Leute ihm gratulieren.")</f>
        <v>Ein Junge lächelt, wenn er vom Pferd absteigt und mehrere Leute ihm gratulieren.</v>
      </c>
    </row>
    <row r="34755">
      <c r="A34755" s="4" t="s">
        <v>43721</v>
      </c>
      <c r="B34755" s="4" t="s">
        <v>43728</v>
      </c>
      <c r="C34755" s="5" t="str">
        <f>IFERROR(__xludf.DUMMYFUNCTION("GOOGLETRANSLATE(B34755,""en"",""de"")"),"Der Mann endet, indem er über sein Lager spricht und warum Sie mitmachen sollten.")</f>
        <v>Der Mann endet, indem er über sein Lager spricht und warum Sie mitmachen sollten.</v>
      </c>
    </row>
    <row r="34756">
      <c r="A34756" s="4" t="s">
        <v>43729</v>
      </c>
      <c r="B34756" s="4" t="s">
        <v>43730</v>
      </c>
      <c r="C34756" s="5" t="str">
        <f>IFERROR(__xludf.DUMMYFUNCTION("GOOGLETRANSLATE(B34756,""en"",""de"")"),"Zwei Kinder sind gesehen, wie sie miteinander häkeln und nebenbei lachen.")</f>
        <v>Zwei Kinder sind gesehen, wie sie miteinander häkeln und nebenbei lachen.</v>
      </c>
    </row>
    <row r="34757">
      <c r="A34757" s="4" t="s">
        <v>43729</v>
      </c>
      <c r="B34757" s="4" t="s">
        <v>43731</v>
      </c>
      <c r="C34757" s="5" t="str">
        <f>IFERROR(__xludf.DUMMYFUNCTION("GOOGLETRANSLATE(B34757,""en"",""de"")"),"Die Kinder spielen weiterhin miteinander, während die Kamera rund um ihre Bewegungen schwenkt.")</f>
        <v>Die Kinder spielen weiterhin miteinander, während die Kamera rund um ihre Bewegungen schwenkt.</v>
      </c>
    </row>
    <row r="34758">
      <c r="A34758" s="4" t="s">
        <v>43732</v>
      </c>
      <c r="B34758" s="4" t="s">
        <v>43733</v>
      </c>
      <c r="C34758" s="5" t="str">
        <f>IFERROR(__xludf.DUMMYFUNCTION("GOOGLETRANSLATE(B34758,""en"",""de"")"),"Ein großer Hof wird gezeigt, gefolgt von einem kleinen Kind, das einen Rasenmäher herumschiebt.")</f>
        <v>Ein großer Hof wird gezeigt, gefolgt von einem kleinen Kind, das einen Rasenmäher herumschiebt.</v>
      </c>
    </row>
    <row r="34759">
      <c r="A34759" s="4" t="s">
        <v>43732</v>
      </c>
      <c r="B34759" s="4" t="s">
        <v>43734</v>
      </c>
      <c r="C34759" s="5" t="str">
        <f>IFERROR(__xludf.DUMMYFUNCTION("GOOGLETRANSLATE(B34759,""en"",""de"")"),"Der Junge schiebt den Rasenmäher weiter herum, während die Kamera von der Seite beobachtet.")</f>
        <v>Der Junge schiebt den Rasenmäher weiter herum, während die Kamera von der Seite beobachtet.</v>
      </c>
    </row>
    <row r="34760">
      <c r="A34760" s="4" t="s">
        <v>43732</v>
      </c>
      <c r="B34760" s="4" t="s">
        <v>43735</v>
      </c>
      <c r="C34760" s="5" t="str">
        <f>IFERROR(__xludf.DUMMYFUNCTION("GOOGLETRANSLATE(B34760,""en"",""de"")"),"Der Junge bewegt den Mäher entlang des Hofes.")</f>
        <v>Der Junge bewegt den Mäher entlang des Hofes.</v>
      </c>
    </row>
    <row r="34761">
      <c r="A34761" s="4" t="s">
        <v>43736</v>
      </c>
      <c r="B34761" s="4" t="s">
        <v>43737</v>
      </c>
      <c r="C34761" s="5" t="str">
        <f>IFERROR(__xludf.DUMMYFUNCTION("GOOGLETRANSLATE(B34761,""en"",""de"")"),"Eine Frau spricht mit der Kamera und führt in sie, um verschiedene Nagellackern hochzuhalten und zu einem Satz gefälschter Nägel zu beginnen.")</f>
        <v>Eine Frau spricht mit der Kamera und führt in sie, um verschiedene Nagellackern hochzuhalten und zu einem Satz gefälschter Nägel zu beginnen.</v>
      </c>
    </row>
    <row r="34762">
      <c r="A34762" s="4" t="s">
        <v>43736</v>
      </c>
      <c r="B34762" s="4" t="s">
        <v>43738</v>
      </c>
      <c r="C34762" s="5" t="str">
        <f>IFERROR(__xludf.DUMMYFUNCTION("GOOGLETRANSLATE(B34762,""en"",""de"")"),"Sie malt weiter auf den Nägeln, die verschiedene Farben verwenden und am Ende den Nagel an die Kamera präsentiert.")</f>
        <v>Sie malt weiter auf den Nägeln, die verschiedene Farben verwenden und am Ende den Nagel an die Kamera präsentiert.</v>
      </c>
    </row>
    <row r="34763">
      <c r="A34763" s="4" t="s">
        <v>43739</v>
      </c>
      <c r="B34763" s="4" t="s">
        <v>43740</v>
      </c>
      <c r="C34763" s="5" t="str">
        <f>IFERROR(__xludf.DUMMYFUNCTION("GOOGLETRANSLATE(B34763,""en"",""de"")"),"Eine Gruppe von Mädchen schaut zu einer Vergnügungsparkfahrt auf und winkte dort die Hände in Angst und Vorfreude.")</f>
        <v>Eine Gruppe von Mädchen schaut zu einer Vergnügungsparkfahrt auf und winkte dort die Hände in Angst und Vorfreude.</v>
      </c>
    </row>
    <row r="34764">
      <c r="A34764" s="4" t="s">
        <v>43739</v>
      </c>
      <c r="B34764" s="4" t="s">
        <v>43741</v>
      </c>
      <c r="C34764" s="5" t="str">
        <f>IFERROR(__xludf.DUMMYFUNCTION("GOOGLETRANSLATE(B34764,""en"",""de"")"),"Die Mädchen legten Sicherheitsgurte an.")</f>
        <v>Die Mädchen legten Sicherheitsgurte an.</v>
      </c>
    </row>
    <row r="34765">
      <c r="A34765" s="4" t="s">
        <v>43739</v>
      </c>
      <c r="B34765" s="4" t="s">
        <v>43742</v>
      </c>
      <c r="C34765" s="5" t="str">
        <f>IFERROR(__xludf.DUMMYFUNCTION("GOOGLETRANSLATE(B34765,""en"",""de"")"),"Die Gruppe klettern die Treppe hinauf zur Spitze der Plattform.")</f>
        <v>Die Gruppe klettern die Treppe hinauf zur Spitze der Plattform.</v>
      </c>
    </row>
    <row r="34766">
      <c r="A34766" s="4" t="s">
        <v>43739</v>
      </c>
      <c r="B34766" s="4" t="s">
        <v>43743</v>
      </c>
      <c r="C34766" s="5" t="str">
        <f>IFERROR(__xludf.DUMMYFUNCTION("GOOGLETRANSLATE(B34766,""en"",""de"")"),"Ein Mädchen steht mit einem Seil und einem Gurt auf der Plattform und bereitet sich auf zu springen vorbereitet.")</f>
        <v>Ein Mädchen steht mit einem Seil und einem Gurt auf der Plattform und bereitet sich auf zu springen vorbereitet.</v>
      </c>
    </row>
    <row r="34767">
      <c r="A34767" s="4" t="s">
        <v>43739</v>
      </c>
      <c r="B34767" s="4" t="s">
        <v>43744</v>
      </c>
      <c r="C34767" s="5" t="str">
        <f>IFERROR(__xludf.DUMMYFUNCTION("GOOGLETRANSLATE(B34767,""en"",""de"")"),"Eine Popband singt ein Lied und tanzt.")</f>
        <v>Eine Popband singt ein Lied und tanzt.</v>
      </c>
    </row>
    <row r="34768">
      <c r="A34768" s="4" t="s">
        <v>43739</v>
      </c>
      <c r="B34768" s="4" t="s">
        <v>43745</v>
      </c>
      <c r="C34768" s="5" t="str">
        <f>IFERROR(__xludf.DUMMYFUNCTION("GOOGLETRANSLATE(B34768,""en"",""de"")"),"Das Mädchen springt von der Plattform und springt auf dem Bungee -Kabel in der Luft.")</f>
        <v>Das Mädchen springt von der Plattform und springt auf dem Bungee -Kabel in der Luft.</v>
      </c>
    </row>
    <row r="34769">
      <c r="A34769" s="4" t="s">
        <v>43739</v>
      </c>
      <c r="B34769" s="4" t="s">
        <v>43746</v>
      </c>
      <c r="C34769" s="5" t="str">
        <f>IFERROR(__xludf.DUMMYFUNCTION("GOOGLETRANSLATE(B34769,""en"",""de"")"),"Das Mädchen wird von den Gruppenmitgliedern getroffen, die ihr zum Sprung gratulieren.")</f>
        <v>Das Mädchen wird von den Gruppenmitgliedern getroffen, die ihr zum Sprung gratulieren.</v>
      </c>
    </row>
    <row r="34770">
      <c r="A34770" s="4" t="s">
        <v>43747</v>
      </c>
      <c r="B34770" s="4" t="s">
        <v>43748</v>
      </c>
      <c r="C34770" s="5" t="str">
        <f>IFERROR(__xludf.DUMMYFUNCTION("GOOGLETRANSLATE(B34770,""en"",""de"")"),"Ein Mann in einem blauen Hemd fegt den Boden in einem Fitnessstudio.")</f>
        <v>Ein Mann in einem blauen Hemd fegt den Boden in einem Fitnessstudio.</v>
      </c>
    </row>
    <row r="34771">
      <c r="A34771" s="4" t="s">
        <v>43747</v>
      </c>
      <c r="B34771" s="4" t="s">
        <v>43749</v>
      </c>
      <c r="C34771" s="5" t="str">
        <f>IFERROR(__xludf.DUMMYFUNCTION("GOOGLETRANSLATE(B34771,""en"",""de"")"),"Er dreht den Besen um und legt ihn flach auf den Boden.")</f>
        <v>Er dreht den Besen um und legt ihn flach auf den Boden.</v>
      </c>
    </row>
    <row r="34772">
      <c r="A34772" s="4" t="s">
        <v>43747</v>
      </c>
      <c r="B34772" s="4" t="s">
        <v>43750</v>
      </c>
      <c r="C34772" s="5" t="str">
        <f>IFERROR(__xludf.DUMMYFUNCTION("GOOGLETRANSLATE(B34772,""en"",""de"")"),"Er fängt an, sich um den Boden zu saugen.")</f>
        <v>Er fängt an, sich um den Boden zu saugen.</v>
      </c>
    </row>
    <row r="34773">
      <c r="A34773" s="4" t="s">
        <v>43747</v>
      </c>
      <c r="B34773" s="4" t="s">
        <v>43751</v>
      </c>
      <c r="C34773" s="5" t="str">
        <f>IFERROR(__xludf.DUMMYFUNCTION("GOOGLETRANSLATE(B34773,""en"",""de"")"),"Er saugt den Boden des Besens.")</f>
        <v>Er saugt den Boden des Besens.</v>
      </c>
    </row>
    <row r="34774">
      <c r="A34774" s="4" t="s">
        <v>43752</v>
      </c>
      <c r="B34774" s="4" t="s">
        <v>43753</v>
      </c>
      <c r="C34774" s="5" t="str">
        <f>IFERROR(__xludf.DUMMYFUNCTION("GOOGLETRANSLATE(B34774,""en"",""de"")"),"Zwei Männer spielen eine Ping -Pong vor einer Menge.")</f>
        <v>Zwei Männer spielen eine Ping -Pong vor einer Menge.</v>
      </c>
    </row>
    <row r="34775">
      <c r="A34775" s="4" t="s">
        <v>43752</v>
      </c>
      <c r="B34775" s="4" t="s">
        <v>43754</v>
      </c>
      <c r="C34775" s="5" t="str">
        <f>IFERROR(__xludf.DUMMYFUNCTION("GOOGLETRANSLATE(B34775,""en"",""de"")"),"Wenn die Person mit schwarzer Jacke dient, landet der Ball im Netz, auch der junge Mann dient nicht gut und der Ball landet außerhalb des Tisches.")</f>
        <v>Wenn die Person mit schwarzer Jacke dient, landet der Ball im Netz, auch der junge Mann dient nicht gut und der Ball landet außerhalb des Tisches.</v>
      </c>
    </row>
    <row r="34776">
      <c r="A34776" s="4" t="s">
        <v>43752</v>
      </c>
      <c r="B34776" s="4" t="s">
        <v>43755</v>
      </c>
      <c r="C34776" s="5" t="str">
        <f>IFERROR(__xludf.DUMMYFUNCTION("GOOGLETRANSLATE(B34776,""en"",""de"")"),"Der junge Mann gewinnt und hebt seine Hände, während sein Gegner ihn umarmt.")</f>
        <v>Der junge Mann gewinnt und hebt seine Hände, während sein Gegner ihn umarmt.</v>
      </c>
    </row>
    <row r="34777">
      <c r="A34777" s="4" t="s">
        <v>43752</v>
      </c>
      <c r="B34777" s="4" t="s">
        <v>43756</v>
      </c>
      <c r="C34777" s="5" t="str">
        <f>IFERROR(__xludf.DUMMYFUNCTION("GOOGLETRANSLATE(B34777,""en"",""de"")"),"Die Leute machen den Männern ein Foto.")</f>
        <v>Die Leute machen den Männern ein Foto.</v>
      </c>
    </row>
    <row r="34778">
      <c r="A34778" s="4" t="s">
        <v>43757</v>
      </c>
      <c r="B34778" s="4" t="s">
        <v>43758</v>
      </c>
      <c r="C34778" s="5" t="str">
        <f>IFERROR(__xludf.DUMMYFUNCTION("GOOGLETRANSLATE(B34778,""en"",""de"")"),"Eine Kamera zeigt verschiedene Zutaten, die auf einem Tisch gelegt werden, gefolgt von jemandem, der die Zutaten zusammen mischt.")</f>
        <v>Eine Kamera zeigt verschiedene Zutaten, die auf einem Tisch gelegt werden, gefolgt von jemandem, der die Zutaten zusammen mischt.</v>
      </c>
    </row>
    <row r="34779">
      <c r="A34779" s="4" t="s">
        <v>43757</v>
      </c>
      <c r="B34779" s="4" t="s">
        <v>43759</v>
      </c>
      <c r="C34779" s="5" t="str">
        <f>IFERROR(__xludf.DUMMYFUNCTION("GOOGLETRANSLATE(B34779,""en"",""de"")"),"Sie legen die Mischung auf eine Pfanne, um Kekse im Ofen zu erstellen und die endgültigen Ergebnisse zu zeigen.")</f>
        <v>Sie legen die Mischung auf eine Pfanne, um Kekse im Ofen zu erstellen und die endgültigen Ergebnisse zu zeigen.</v>
      </c>
    </row>
    <row r="34780">
      <c r="A34780" s="4" t="s">
        <v>43760</v>
      </c>
      <c r="B34780" s="4" t="s">
        <v>43761</v>
      </c>
      <c r="C34780" s="5" t="str">
        <f>IFERROR(__xludf.DUMMYFUNCTION("GOOGLETRANSLATE(B34780,""en"",""de"")"),"Zwei Männer rennen um einen Kreis herum, der von Menschen umgeben ist und Kampfkunstbewegungen durchführen.")</f>
        <v>Zwei Männer rennen um einen Kreis herum, der von Menschen umgeben ist und Kampfkunstbewegungen durchführen.</v>
      </c>
    </row>
    <row r="34781">
      <c r="A34781" s="4" t="s">
        <v>43760</v>
      </c>
      <c r="B34781" s="4" t="s">
        <v>43762</v>
      </c>
      <c r="C34781" s="5" t="str">
        <f>IFERROR(__xludf.DUMMYFUNCTION("GOOGLETRANSLATE(B34781,""en"",""de"")"),"Weitere Menschen kommen in den Kreis und die Menschen drehen sich weiter umeinander und kämpfen miteinander.")</f>
        <v>Weitere Menschen kommen in den Kreis und die Menschen drehen sich weiter umeinander und kämpfen miteinander.</v>
      </c>
    </row>
    <row r="34782">
      <c r="A34782" s="4" t="s">
        <v>43763</v>
      </c>
      <c r="B34782" s="4" t="s">
        <v>43764</v>
      </c>
      <c r="C34782" s="5" t="str">
        <f>IFERROR(__xludf.DUMMYFUNCTION("GOOGLETRANSLATE(B34782,""en"",""de"")"),"Vier Jungs werfen Golfbälle über einen Tisch, um Plastikbecher zu treffen.")</f>
        <v>Vier Jungs werfen Golfbälle über einen Tisch, um Plastikbecher zu treffen.</v>
      </c>
    </row>
    <row r="34783">
      <c r="A34783" s="4" t="s">
        <v>43763</v>
      </c>
      <c r="B34783" s="4" t="s">
        <v>43765</v>
      </c>
      <c r="C34783" s="5" t="str">
        <f>IFERROR(__xludf.DUMMYFUNCTION("GOOGLETRANSLATE(B34783,""en"",""de"")"),"Zwei Jungs High Five, nachdem ein Mann den Golfball in den Plastikbecher bekommen hat.")</f>
        <v>Zwei Jungs High Five, nachdem ein Mann den Golfball in den Plastikbecher bekommen hat.</v>
      </c>
    </row>
    <row r="34784">
      <c r="A34784" s="4" t="s">
        <v>43763</v>
      </c>
      <c r="B34784" s="4" t="s">
        <v>43766</v>
      </c>
      <c r="C34784" s="5" t="str">
        <f>IFERROR(__xludf.DUMMYFUNCTION("GOOGLETRANSLATE(B34784,""en"",""de"")"),"Jungs zeigen auf die Kamera und lachen.")</f>
        <v>Jungs zeigen auf die Kamera und lachen.</v>
      </c>
    </row>
    <row r="34785">
      <c r="A34785" s="4" t="s">
        <v>43763</v>
      </c>
      <c r="B34785" s="4" t="s">
        <v>43767</v>
      </c>
      <c r="C34785" s="5" t="str">
        <f>IFERROR(__xludf.DUMMYFUNCTION("GOOGLETRANSLATE(B34785,""en"",""de"")"),"Ein Mann nimmt den Golfball aus der Tasse und versucht, die Flüssigkeit zu trinken.")</f>
        <v>Ein Mann nimmt den Golfball aus der Tasse und versucht, die Flüssigkeit zu trinken.</v>
      </c>
    </row>
    <row r="34786">
      <c r="A34786" s="4" t="s">
        <v>43763</v>
      </c>
      <c r="B34786" s="4" t="s">
        <v>43768</v>
      </c>
      <c r="C34786" s="5" t="str">
        <f>IFERROR(__xludf.DUMMYFUNCTION("GOOGLETRANSLATE(B34786,""en"",""de"")"),"Ein Mann wirft einen Golfball mit dem Rücken zum Tisch, landet ihn in die Tasse und verlässt den Raum.")</f>
        <v>Ein Mann wirft einen Golfball mit dem Rücken zum Tisch, landet ihn in die Tasse und verlässt den Raum.</v>
      </c>
    </row>
    <row r="34787">
      <c r="A34787" s="4" t="s">
        <v>43763</v>
      </c>
      <c r="B34787" s="4" t="s">
        <v>43769</v>
      </c>
      <c r="C34787" s="5" t="str">
        <f>IFERROR(__xludf.DUMMYFUNCTION("GOOGLETRANSLATE(B34787,""en"",""de"")"),"Die Jungs feiern und geben hohe Fünfer.")</f>
        <v>Die Jungs feiern und geben hohe Fünfer.</v>
      </c>
    </row>
    <row r="34788">
      <c r="A34788" s="4" t="s">
        <v>43770</v>
      </c>
      <c r="B34788" s="4" t="s">
        <v>43771</v>
      </c>
      <c r="C34788" s="5" t="str">
        <f>IFERROR(__xludf.DUMMYFUNCTION("GOOGLETRANSLATE(B34788,""en"",""de"")"),"Eine Person zeichnet sich an der Seite eines Kürbis und führt dann die Umrisse aus.")</f>
        <v>Eine Person zeichnet sich an der Seite eines Kürbis und führt dann die Umrisse aus.</v>
      </c>
    </row>
    <row r="34789">
      <c r="A34789" s="4" t="s">
        <v>43770</v>
      </c>
      <c r="B34789" s="4" t="s">
        <v>43772</v>
      </c>
      <c r="C34789" s="5" t="str">
        <f>IFERROR(__xludf.DUMMYFUNCTION("GOOGLETRANSLATE(B34789,""en"",""de"")"),"Die Person wischt dann einen Lappen über den Kürbis, der sich von den Seiten reinigt.")</f>
        <v>Die Person wischt dann einen Lappen über den Kürbis, der sich von den Seiten reinigt.</v>
      </c>
    </row>
    <row r="34790">
      <c r="A34790" s="4" t="s">
        <v>43773</v>
      </c>
      <c r="B34790" s="4" t="s">
        <v>43774</v>
      </c>
      <c r="C34790" s="5" t="str">
        <f>IFERROR(__xludf.DUMMYFUNCTION("GOOGLETRANSLATE(B34790,""en"",""de"")"),"Ein Mann geht langsam hinüber und nimmt etwas Ausrüstung von der Wand, während einige dramatische Musik spielen.")</f>
        <v>Ein Mann geht langsam hinüber und nimmt etwas Ausrüstung von der Wand, während einige dramatische Musik spielen.</v>
      </c>
    </row>
    <row r="34791">
      <c r="A34791" s="4" t="s">
        <v>43773</v>
      </c>
      <c r="B34791" s="4" t="s">
        <v>43775</v>
      </c>
      <c r="C34791" s="5" t="str">
        <f>IFERROR(__xludf.DUMMYFUNCTION("GOOGLETRANSLATE(B34791,""en"",""de"")"),"Er setzt den Bogen und bekommt seine Pfeile.")</f>
        <v>Er setzt den Bogen und bekommt seine Pfeile.</v>
      </c>
    </row>
    <row r="34792">
      <c r="A34792" s="4" t="s">
        <v>43773</v>
      </c>
      <c r="B34792" s="4" t="s">
        <v>43776</v>
      </c>
      <c r="C34792" s="5" t="str">
        <f>IFERROR(__xludf.DUMMYFUNCTION("GOOGLETRANSLATE(B34792,""en"",""de"")"),"Als nächstes sehen wir ihn draußen, als er über ein Gras zu einem Ziel geht.")</f>
        <v>Als nächstes sehen wir ihn draußen, als er über ein Gras zu einem Ziel geht.</v>
      </c>
    </row>
    <row r="34793">
      <c r="A34793" s="4" t="s">
        <v>43773</v>
      </c>
      <c r="B34793" s="4" t="s">
        <v>43777</v>
      </c>
      <c r="C34793" s="5" t="str">
        <f>IFERROR(__xludf.DUMMYFUNCTION("GOOGLETRANSLATE(B34793,""en"",""de"")"),"Er zieht einen Pfeil heraus und steckt ihn in seinen Bogen.")</f>
        <v>Er zieht einen Pfeil heraus und steckt ihn in seinen Bogen.</v>
      </c>
    </row>
    <row r="34794">
      <c r="A34794" s="4" t="s">
        <v>43773</v>
      </c>
      <c r="B34794" s="4" t="s">
        <v>43778</v>
      </c>
      <c r="C34794" s="5" t="str">
        <f>IFERROR(__xludf.DUMMYFUNCTION("GOOGLETRANSLATE(B34794,""en"",""de"")"),"Nach ein paar Versuchen bekommt er ein Bullenauge.")</f>
        <v>Nach ein paar Versuchen bekommt er ein Bullenauge.</v>
      </c>
    </row>
    <row r="34795">
      <c r="A34795" s="4" t="s">
        <v>43773</v>
      </c>
      <c r="B34795" s="4" t="s">
        <v>43779</v>
      </c>
      <c r="C34795" s="5" t="str">
        <f>IFERROR(__xludf.DUMMYFUNCTION("GOOGLETRANSLATE(B34795,""en"",""de"")"),"Er setzt seinen Bogen und seine Pfeile auf eine Holzplattform.")</f>
        <v>Er setzt seinen Bogen und seine Pfeile auf eine Holzplattform.</v>
      </c>
    </row>
    <row r="34796">
      <c r="A34796" s="4" t="s">
        <v>43780</v>
      </c>
      <c r="B34796" s="4" t="s">
        <v>43781</v>
      </c>
      <c r="C34796" s="5" t="str">
        <f>IFERROR(__xludf.DUMMYFUNCTION("GOOGLETRANSLATE(B34796,""en"",""de"")"),"Vier Leute spielen in Innenräumen Fußballtisch.")</f>
        <v>Vier Leute spielen in Innenräumen Fußballtisch.</v>
      </c>
    </row>
    <row r="34797">
      <c r="A34797" s="4" t="s">
        <v>43780</v>
      </c>
      <c r="B34797" s="4" t="s">
        <v>43782</v>
      </c>
      <c r="C34797" s="5" t="str">
        <f>IFERROR(__xludf.DUMMYFUNCTION("GOOGLETRANSLATE(B34797,""en"",""de"")"),"Ein Mann zeigt einen Ball auf einem Stock und demonstriert die Bewegung des Balls auf dem Fußballtisch.")</f>
        <v>Ein Mann zeigt einen Ball auf einem Stock und demonstriert die Bewegung des Balls auf dem Fußballtisch.</v>
      </c>
    </row>
    <row r="34798">
      <c r="A34798" s="4" t="s">
        <v>43780</v>
      </c>
      <c r="B34798" s="4" t="s">
        <v>43783</v>
      </c>
      <c r="C34798" s="5" t="str">
        <f>IFERROR(__xludf.DUMMYFUNCTION("GOOGLETRANSLATE(B34798,""en"",""de"")"),"Dann zeigt das Mann den Spielern den Ball und einer von ihnen schnappt sich den Ball und andere spielen.")</f>
        <v>Dann zeigt das Mann den Spielern den Ball und einer von ihnen schnappt sich den Ball und andere spielen.</v>
      </c>
    </row>
    <row r="34799">
      <c r="A34799" s="4" t="s">
        <v>43784</v>
      </c>
      <c r="B34799" s="4" t="s">
        <v>43785</v>
      </c>
      <c r="C34799" s="5" t="str">
        <f>IFERROR(__xludf.DUMMYFUNCTION("GOOGLETRANSLATE(B34799,""en"",""de"")"),"Ein Mann sitzt auf einer Bank, während andere sich mit Reinigern sein Ohr abweichen.")</f>
        <v>Ein Mann sitzt auf einer Bank, während andere sich mit Reinigern sein Ohr abweichen.</v>
      </c>
    </row>
    <row r="34800">
      <c r="A34800" s="4" t="s">
        <v>43784</v>
      </c>
      <c r="B34800" s="4" t="s">
        <v>43786</v>
      </c>
      <c r="C34800" s="5" t="str">
        <f>IFERROR(__xludf.DUMMYFUNCTION("GOOGLETRANSLATE(B34800,""en"",""de"")"),"Der Mann schaut auf sein Handy, während der andere dann seine Ohren durchdringt.")</f>
        <v>Der Mann schaut auf sein Handy, während der andere dann seine Ohren durchdringt.</v>
      </c>
    </row>
    <row r="34801">
      <c r="A34801" s="4" t="s">
        <v>43784</v>
      </c>
      <c r="B34801" s="4" t="s">
        <v>43787</v>
      </c>
      <c r="C34801" s="5" t="str">
        <f>IFERROR(__xludf.DUMMYFUNCTION("GOOGLETRANSLATE(B34801,""en"",""de"")"),"Der Mann steckt einen Ohrring in jedes Loch, während er dennoch mit dem Mann spricht und seinen Ohrring abschiebt.")</f>
        <v>Der Mann steckt einen Ohrring in jedes Loch, während er dennoch mit dem Mann spricht und seinen Ohrring abschiebt.</v>
      </c>
    </row>
    <row r="34802">
      <c r="A34802" s="4" t="s">
        <v>43788</v>
      </c>
      <c r="B34802" s="4" t="s">
        <v>43789</v>
      </c>
      <c r="C34802" s="5" t="str">
        <f>IFERROR(__xludf.DUMMYFUNCTION("GOOGLETRANSLATE(B34802,""en"",""de"")"),"Ein Mann feiert mit seinen Armen in der Luft.")</f>
        <v>Ein Mann feiert mit seinen Armen in der Luft.</v>
      </c>
    </row>
    <row r="34803">
      <c r="A34803" s="4" t="s">
        <v>43788</v>
      </c>
      <c r="B34803" s="4" t="s">
        <v>43790</v>
      </c>
      <c r="C34803" s="5" t="str">
        <f>IFERROR(__xludf.DUMMYFUNCTION("GOOGLETRANSLATE(B34803,""en"",""de"")"),"Er wird gezeigt, wie er sich auf einem Feld dreht.")</f>
        <v>Er wird gezeigt, wie er sich auf einem Feld dreht.</v>
      </c>
    </row>
    <row r="34804">
      <c r="A34804" s="4" t="s">
        <v>43788</v>
      </c>
      <c r="B34804" s="4" t="s">
        <v>43791</v>
      </c>
      <c r="C34804" s="5" t="str">
        <f>IFERROR(__xludf.DUMMYFUNCTION("GOOGLETRANSLATE(B34804,""en"",""de"")"),"Dann wirft er den Ball weit weg und er wird gemessen.")</f>
        <v>Dann wirft er den Ball weit weg und er wird gemessen.</v>
      </c>
    </row>
    <row r="34805">
      <c r="A34805" s="4" t="s">
        <v>43792</v>
      </c>
      <c r="B34805" s="4" t="s">
        <v>43793</v>
      </c>
      <c r="C34805" s="5" t="str">
        <f>IFERROR(__xludf.DUMMYFUNCTION("GOOGLETRANSLATE(B34805,""en"",""de"")"),"Eine Frau mittleren Alters spricht über ein Reinigungsprodukt.")</f>
        <v>Eine Frau mittleren Alters spricht über ein Reinigungsprodukt.</v>
      </c>
    </row>
    <row r="34806">
      <c r="A34806" s="4" t="s">
        <v>43792</v>
      </c>
      <c r="B34806" s="4" t="s">
        <v>43794</v>
      </c>
      <c r="C34806" s="5" t="str">
        <f>IFERROR(__xludf.DUMMYFUNCTION("GOOGLETRANSLATE(B34806,""en"",""de"")"),"Das Weibchen öffnet einen Container mit Reiniger und legt ihn auf einen Lappen.")</f>
        <v>Das Weibchen öffnet einen Container mit Reiniger und legt ihn auf einen Lappen.</v>
      </c>
    </row>
    <row r="34807">
      <c r="A34807" s="4" t="s">
        <v>43792</v>
      </c>
      <c r="B34807" s="4" t="s">
        <v>43795</v>
      </c>
      <c r="C34807" s="5" t="str">
        <f>IFERROR(__xludf.DUMMYFUNCTION("GOOGLETRANSLATE(B34807,""en"",""de"")"),"Das Weibchen benutzt dann den Lappen, um die Innenseite der Spüle zu reiben.")</f>
        <v>Das Weibchen benutzt dann den Lappen, um die Innenseite der Spüle zu reiben.</v>
      </c>
    </row>
    <row r="34808">
      <c r="A34808" s="4" t="s">
        <v>43792</v>
      </c>
      <c r="B34808" s="4" t="s">
        <v>43796</v>
      </c>
      <c r="C34808" s="5" t="str">
        <f>IFERROR(__xludf.DUMMYFUNCTION("GOOGLETRANSLATE(B34808,""en"",""de"")"),"Das gleiche Frau verwendet dann einen anderen Lappen, um die Sinkoberfläche zu reiben.")</f>
        <v>Das gleiche Frau verwendet dann einen anderen Lappen, um die Sinkoberfläche zu reiben.</v>
      </c>
    </row>
    <row r="34809">
      <c r="A34809" s="4" t="s">
        <v>43792</v>
      </c>
      <c r="B34809" s="4" t="s">
        <v>43797</v>
      </c>
      <c r="C34809" s="5" t="str">
        <f>IFERROR(__xludf.DUMMYFUNCTION("GOOGLETRANSLATE(B34809,""en"",""de"")"),"Das Weibchen setzt den Lappen auf den Lappen und reinigt die Theke.")</f>
        <v>Das Weibchen setzt den Lappen auf den Lappen und reinigt die Theke.</v>
      </c>
    </row>
    <row r="34810">
      <c r="A34810" s="4" t="s">
        <v>43798</v>
      </c>
      <c r="B34810" s="4" t="s">
        <v>43799</v>
      </c>
      <c r="C34810" s="5" t="str">
        <f>IFERROR(__xludf.DUMMYFUNCTION("GOOGLETRANSLATE(B34810,""en"",""de"")"),"Ein Mann spricht mit der Kamera und führt zu ihm, wobei er verschiedene Objekte präsentiert und ein Messer auf einem Brett schärft.")</f>
        <v>Ein Mann spricht mit der Kamera und führt zu ihm, wobei er verschiedene Objekte präsentiert und ein Messer auf einem Brett schärft.</v>
      </c>
    </row>
    <row r="34811">
      <c r="A34811" s="4" t="s">
        <v>43798</v>
      </c>
      <c r="B34811" s="4" t="s">
        <v>43800</v>
      </c>
      <c r="C34811" s="5" t="str">
        <f>IFERROR(__xludf.DUMMYFUNCTION("GOOGLETRANSLATE(B34811,""en"",""de"")"),"Der Mann zeigt, wie man das Messer mit den Werkzeugen und seinen Händen richtig schärft und das Messer weiterhin auf dem Brett schärft.")</f>
        <v>Der Mann zeigt, wie man das Messer mit den Werkzeugen und seinen Händen richtig schärft und das Messer weiterhin auf dem Brett schärft.</v>
      </c>
    </row>
    <row r="34812">
      <c r="A34812" s="4" t="s">
        <v>43801</v>
      </c>
      <c r="B34812" s="4" t="s">
        <v>43802</v>
      </c>
      <c r="C34812" s="5" t="str">
        <f>IFERROR(__xludf.DUMMYFUNCTION("GOOGLETRANSLATE(B34812,""en"",""de"")"),"Eine Frau spricht und zeigt eine kleine Flasche.")</f>
        <v>Eine Frau spricht und zeigt eine kleine Flasche.</v>
      </c>
    </row>
    <row r="34813">
      <c r="A34813" s="4" t="s">
        <v>43801</v>
      </c>
      <c r="B34813" s="4" t="s">
        <v>43803</v>
      </c>
      <c r="C34813" s="5" t="str">
        <f>IFERROR(__xludf.DUMMYFUNCTION("GOOGLETRANSLATE(B34813,""en"",""de"")"),"Dann zog die Frau weiße Kontaktlinsen an und erklärt weiter.")</f>
        <v>Dann zog die Frau weiße Kontaktlinsen an und erklärt weiter.</v>
      </c>
    </row>
    <row r="34814">
      <c r="A34814" s="4" t="s">
        <v>43804</v>
      </c>
      <c r="B34814" s="4" t="s">
        <v>43805</v>
      </c>
      <c r="C34814" s="5" t="str">
        <f>IFERROR(__xludf.DUMMYFUNCTION("GOOGLETRANSLATE(B34814,""en"",""de"")"),"Ein paar Spielsachen ringen auf einem Tisch neben einem Stapel DVDs.")</f>
        <v>Ein paar Spielsachen ringen auf einem Tisch neben einem Stapel DVDs.</v>
      </c>
    </row>
    <row r="34815">
      <c r="A34815" s="4" t="s">
        <v>43804</v>
      </c>
      <c r="B34815" s="4" t="s">
        <v>43806</v>
      </c>
      <c r="C34815" s="5" t="str">
        <f>IFERROR(__xludf.DUMMYFUNCTION("GOOGLETRANSLATE(B34815,""en"",""de"")"),"Sie treten und schieben sich gegenseitig nach unten.")</f>
        <v>Sie treten und schieben sich gegenseitig nach unten.</v>
      </c>
    </row>
    <row r="34816">
      <c r="A34816" s="4" t="s">
        <v>43804</v>
      </c>
      <c r="B34816" s="4" t="s">
        <v>43807</v>
      </c>
      <c r="C34816" s="5" t="str">
        <f>IFERROR(__xludf.DUMMYFUNCTION("GOOGLETRANSLATE(B34816,""en"",""de"")"),"Ein Bildschirm von Sternen in einem schwarzen Himmel wird gezeigt.")</f>
        <v>Ein Bildschirm von Sternen in einem schwarzen Himmel wird gezeigt.</v>
      </c>
    </row>
    <row r="34817">
      <c r="A34817" s="4" t="s">
        <v>43808</v>
      </c>
      <c r="B34817" s="4" t="s">
        <v>43809</v>
      </c>
      <c r="C34817" s="5" t="str">
        <f>IFERROR(__xludf.DUMMYFUNCTION("GOOGLETRANSLATE(B34817,""en"",""de"")"),"Ein Kalb und ein Pferd laufen aus einem Tor.")</f>
        <v>Ein Kalb und ein Pferd laufen aus einem Tor.</v>
      </c>
    </row>
    <row r="34818">
      <c r="A34818" s="4" t="s">
        <v>43808</v>
      </c>
      <c r="B34818" s="4" t="s">
        <v>43810</v>
      </c>
      <c r="C34818" s="5" t="str">
        <f>IFERROR(__xludf.DUMMYFUNCTION("GOOGLETRANSLATE(B34818,""en"",""de"")"),"Der Mann holt das Kalb und bindet es.")</f>
        <v>Der Mann holt das Kalb und bindet es.</v>
      </c>
    </row>
    <row r="34819">
      <c r="A34819" s="4" t="s">
        <v>43811</v>
      </c>
      <c r="B34819" s="4" t="s">
        <v>43812</v>
      </c>
      <c r="C34819" s="5" t="str">
        <f>IFERROR(__xludf.DUMMYFUNCTION("GOOGLETRANSLATE(B34819,""en"",""de"")"),"Ein Mann, der ein schwarzes Hemd trägt, zeigt, wie man Holz und andere Oberflächen mit flüssigem Politur und einem weißen Weichtuch poliert.")</f>
        <v>Ein Mann, der ein schwarzes Hemd trägt, zeigt, wie man Holz und andere Oberflächen mit flüssigem Politur und einem weißen Weichtuch poliert.</v>
      </c>
    </row>
    <row r="34820">
      <c r="A34820" s="4" t="s">
        <v>43811</v>
      </c>
      <c r="B34820" s="4" t="s">
        <v>43813</v>
      </c>
      <c r="C34820" s="5" t="str">
        <f>IFERROR(__xludf.DUMMYFUNCTION("GOOGLETRANSLATE(B34820,""en"",""de"")"),"Er gießt einen Teil der Politur aus der Flasche auf das Tuch und peuert sie sanft über die Möbel und Tischplatten.")</f>
        <v>Er gießt einen Teil der Politur aus der Flasche auf das Tuch und peuert sie sanft über die Möbel und Tischplatten.</v>
      </c>
    </row>
    <row r="34821">
      <c r="A34821" s="4" t="s">
        <v>43811</v>
      </c>
      <c r="B34821" s="4" t="s">
        <v>43814</v>
      </c>
      <c r="C34821" s="5" t="str">
        <f>IFERROR(__xludf.DUMMYFUNCTION("GOOGLETRANSLATE(B34821,""en"",""de"")"),"Er verwendet es über verschiedene Oberflächen, um die Oberflächen aus Holz, Vinyl und Leder zu reinigen und zu polieren.")</f>
        <v>Er verwendet es über verschiedene Oberflächen, um die Oberflächen aus Holz, Vinyl und Leder zu reinigen und zu polieren.</v>
      </c>
    </row>
    <row r="34822">
      <c r="A34822" s="4" t="s">
        <v>43815</v>
      </c>
      <c r="B34822" s="4" t="s">
        <v>43816</v>
      </c>
      <c r="C34822" s="5" t="str">
        <f>IFERROR(__xludf.DUMMYFUNCTION("GOOGLETRANSLATE(B34822,""en"",""de"")"),"Kinder sind an einem Holztisch in einer Küche versammelt.")</f>
        <v>Kinder sind an einem Holztisch in einer Küche versammelt.</v>
      </c>
    </row>
    <row r="34823">
      <c r="A34823" s="4" t="s">
        <v>43815</v>
      </c>
      <c r="B34823" s="4" t="s">
        <v>43817</v>
      </c>
      <c r="C34823" s="5" t="str">
        <f>IFERROR(__xludf.DUMMYFUNCTION("GOOGLETRANSLATE(B34823,""en"",""de"")"),"Frau schneidet Orangen und zeigt es Kindern und drückt es in einem Glas im Tisch.")</f>
        <v>Frau schneidet Orangen und zeigt es Kindern und drückt es in einem Glas im Tisch.</v>
      </c>
    </row>
    <row r="34824">
      <c r="A34824" s="4" t="s">
        <v>43818</v>
      </c>
      <c r="B34824" s="4" t="s">
        <v>43819</v>
      </c>
      <c r="C34824" s="5" t="str">
        <f>IFERROR(__xludf.DUMMYFUNCTION("GOOGLETRANSLATE(B34824,""en"",""de"")"),"Ein Mann macht mehrere Rückenflips auf einer roten Matte.")</f>
        <v>Ein Mann macht mehrere Rückenflips auf einer roten Matte.</v>
      </c>
    </row>
    <row r="34825">
      <c r="A34825" s="4" t="s">
        <v>43818</v>
      </c>
      <c r="B34825" s="4" t="s">
        <v>43820</v>
      </c>
      <c r="C34825" s="5" t="str">
        <f>IFERROR(__xludf.DUMMYFUNCTION("GOOGLETRANSLATE(B34825,""en"",""de"")"),"Eine Frau in einem schwarzen Hemd beobachtet ihn vorbei und klatscht.")</f>
        <v>Eine Frau in einem schwarzen Hemd beobachtet ihn vorbei und klatscht.</v>
      </c>
    </row>
    <row r="34826">
      <c r="A34826" s="4" t="s">
        <v>43818</v>
      </c>
      <c r="B34826" s="4" t="s">
        <v>43821</v>
      </c>
      <c r="C34826" s="5" t="str">
        <f>IFERROR(__xludf.DUMMYFUNCTION("GOOGLETRANSLATE(B34826,""en"",""de"")"),"Er steht auf und geht weg.")</f>
        <v>Er steht auf und geht weg.</v>
      </c>
    </row>
    <row r="34827">
      <c r="A34827" s="4" t="s">
        <v>43822</v>
      </c>
      <c r="B34827" s="4" t="s">
        <v>43823</v>
      </c>
      <c r="C34827" s="5" t="str">
        <f>IFERROR(__xludf.DUMMYFUNCTION("GOOGLETRANSLATE(B34827,""en"",""de"")"),"Auf dem Bildschirm wird verschiedene Text angezeigt, die zu einem Mann führt, der ein Nachrichtensegment veranstaltet.")</f>
        <v>Auf dem Bildschirm wird verschiedene Text angezeigt, die zu einem Mann führt, der ein Nachrichtensegment veranstaltet.</v>
      </c>
    </row>
    <row r="34828">
      <c r="A34828" s="4" t="s">
        <v>43822</v>
      </c>
      <c r="B34828" s="4" t="s">
        <v>43824</v>
      </c>
      <c r="C34828" s="5" t="str">
        <f>IFERROR(__xludf.DUMMYFUNCTION("GOOGLETRANSLATE(B34828,""en"",""de"")"),"Ein Athlet wird dann in Kreisen herumdrehen und ein Objekt in die Ferne werfen.")</f>
        <v>Ein Athlet wird dann in Kreisen herumdrehen und ein Objekt in die Ferne werfen.</v>
      </c>
    </row>
    <row r="34829">
      <c r="A34829" s="4" t="s">
        <v>43822</v>
      </c>
      <c r="B34829" s="4" t="s">
        <v>43825</v>
      </c>
      <c r="C34829" s="5" t="str">
        <f>IFERROR(__xludf.DUMMYFUNCTION("GOOGLETRANSLATE(B34829,""en"",""de"")"),"Weitere Text werden über dem Bildschirm angezeigt.")</f>
        <v>Weitere Text werden über dem Bildschirm angezeigt.</v>
      </c>
    </row>
    <row r="34830">
      <c r="A34830" s="4" t="s">
        <v>43826</v>
      </c>
      <c r="B34830" s="4" t="s">
        <v>43827</v>
      </c>
      <c r="C34830" s="5" t="str">
        <f>IFERROR(__xludf.DUMMYFUNCTION("GOOGLETRANSLATE(B34830,""en"",""de"")"),"Ein Kanal zeigt einige coole und unglaubliche Videos.")</f>
        <v>Ein Kanal zeigt einige coole und unglaubliche Videos.</v>
      </c>
    </row>
    <row r="34831">
      <c r="A34831" s="4" t="s">
        <v>43826</v>
      </c>
      <c r="B34831" s="4" t="s">
        <v>43828</v>
      </c>
      <c r="C34831" s="5" t="str">
        <f>IFERROR(__xludf.DUMMYFUNCTION("GOOGLETRANSLATE(B34831,""en"",""de"")"),"Ein kleiner Junge sitzt im Freien auf einer Holzbank und trommelt auf einem Drum -Set, das aus Stahlplatten, Dosen und Töpfen besteht.")</f>
        <v>Ein kleiner Junge sitzt im Freien auf einer Holzbank und trommelt auf einem Drum -Set, das aus Stahlplatten, Dosen und Töpfen besteht.</v>
      </c>
    </row>
    <row r="34832">
      <c r="A34832" s="4" t="s">
        <v>43826</v>
      </c>
      <c r="B34832" s="4" t="s">
        <v>43829</v>
      </c>
      <c r="C34832" s="5" t="str">
        <f>IFERROR(__xludf.DUMMYFUNCTION("GOOGLETRANSLATE(B34832,""en"",""de"")"),"Ein Mann ging einfach an ihm vorbei, während der Junge laut trommelte.")</f>
        <v>Ein Mann ging einfach an ihm vorbei, während der Junge laut trommelte.</v>
      </c>
    </row>
    <row r="34833">
      <c r="A34833" s="4" t="s">
        <v>43826</v>
      </c>
      <c r="B34833" s="4" t="s">
        <v>43830</v>
      </c>
      <c r="C34833" s="5" t="str">
        <f>IFERROR(__xludf.DUMMYFUNCTION("GOOGLETRANSLATE(B34833,""en"",""de"")"),"Er tritt rhythmisch auf dem handgefertigten Drum -Set.")</f>
        <v>Er tritt rhythmisch auf dem handgefertigten Drum -Set.</v>
      </c>
    </row>
    <row r="34834">
      <c r="A34834" s="4" t="s">
        <v>43826</v>
      </c>
      <c r="B34834" s="4" t="s">
        <v>43831</v>
      </c>
      <c r="C34834" s="5" t="str">
        <f>IFERROR(__xludf.DUMMYFUNCTION("GOOGLETRANSLATE(B34834,""en"",""de"")"),"Er spielt schnell, ohne anzuhalten.")</f>
        <v>Er spielt schnell, ohne anzuhalten.</v>
      </c>
    </row>
    <row r="34835">
      <c r="A34835" s="4" t="s">
        <v>43826</v>
      </c>
      <c r="B34835" s="4" t="s">
        <v>43832</v>
      </c>
      <c r="C34835" s="5" t="str">
        <f>IFERROR(__xludf.DUMMYFUNCTION("GOOGLETRANSLATE(B34835,""en"",""de"")"),"Der Bildschirm zeigt Details zum Abonnieren des Kanals an.")</f>
        <v>Der Bildschirm zeigt Details zum Abonnieren des Kanals an.</v>
      </c>
    </row>
    <row r="34836">
      <c r="A34836" s="4" t="s">
        <v>43833</v>
      </c>
      <c r="B34836" s="4" t="s">
        <v>43834</v>
      </c>
      <c r="C34836" s="5" t="str">
        <f>IFERROR(__xludf.DUMMYFUNCTION("GOOGLETRANSLATE(B34836,""en"",""de"")"),"Ein Zusammenstellung/Tributvideo für einen ungarischen Diskus, der Olympier wirft, beginnt mit einigen Bildern von ihm in Aktion.")</f>
        <v>Ein Zusammenstellung/Tributvideo für einen ungarischen Diskus, der Olympier wirft, beginnt mit einigen Bildern von ihm in Aktion.</v>
      </c>
    </row>
    <row r="34837">
      <c r="A34837" s="4" t="s">
        <v>43833</v>
      </c>
      <c r="B34837" s="4" t="s">
        <v>43835</v>
      </c>
      <c r="C34837" s="5" t="str">
        <f>IFERROR(__xludf.DUMMYFUNCTION("GOOGLETRANSLATE(B34837,""en"",""de"")"),"Ein Versuch mit ihm, schnell zu drehen, beginnt und der Diskus startet.")</f>
        <v>Ein Versuch mit ihm, schnell zu drehen, beginnt und der Diskus startet.</v>
      </c>
    </row>
    <row r="34838">
      <c r="A34838" s="4" t="s">
        <v>43833</v>
      </c>
      <c r="B34838" s="4" t="s">
        <v>43836</v>
      </c>
      <c r="C34838" s="5" t="str">
        <f>IFERROR(__xludf.DUMMYFUNCTION("GOOGLETRANSLATE(B34838,""en"",""de"")"),"Weitere Fotos spielen und zeigen den Konkurrenten in verschiedenen Positionen.")</f>
        <v>Weitere Fotos spielen und zeigen den Konkurrenten in verschiedenen Positionen.</v>
      </c>
    </row>
    <row r="34839">
      <c r="A34839" s="4" t="s">
        <v>43833</v>
      </c>
      <c r="B34839" s="4" t="s">
        <v>43837</v>
      </c>
      <c r="C34839" s="5" t="str">
        <f>IFERROR(__xludf.DUMMYFUNCTION("GOOGLETRANSLATE(B34839,""en"",""de"")"),"Zwei direkte Versuche mit einem starken Spin führen dazu, dass der Diskus beide Male weit fliegt.")</f>
        <v>Zwei direkte Versuche mit einem starken Spin führen dazu, dass der Diskus beide Male weit fliegt.</v>
      </c>
    </row>
    <row r="34840">
      <c r="A34840" s="4" t="s">
        <v>43833</v>
      </c>
      <c r="B34840" s="4" t="s">
        <v>43838</v>
      </c>
      <c r="C34840" s="5" t="str">
        <f>IFERROR(__xludf.DUMMYFUNCTION("GOOGLETRANSLATE(B34840,""en"",""de"")"),"Darauf folgen weitere Fotos.")</f>
        <v>Darauf folgen weitere Fotos.</v>
      </c>
    </row>
    <row r="34841">
      <c r="A34841" s="4" t="s">
        <v>43833</v>
      </c>
      <c r="B34841" s="4" t="s">
        <v>43839</v>
      </c>
      <c r="C34841" s="5" t="str">
        <f>IFERROR(__xludf.DUMMYFUNCTION("GOOGLETRANSLATE(B34841,""en"",""de"")"),"Ein weiterer Versuch spielt, gefolgt von einer weiteren Fotos.")</f>
        <v>Ein weiterer Versuch spielt, gefolgt von einer weiteren Fotos.</v>
      </c>
    </row>
    <row r="34842">
      <c r="A34842" s="4" t="s">
        <v>43833</v>
      </c>
      <c r="B34842" s="4" t="s">
        <v>43840</v>
      </c>
      <c r="C34842" s="5" t="str">
        <f>IFERROR(__xludf.DUMMYFUNCTION("GOOGLETRANSLATE(B34842,""en"",""de"")"),"Der nächste Versuch findet vor einem großen grünen Netz statt, der Diskus wird wie eine Rakete gestartet und der Werfer feiert.")</f>
        <v>Der nächste Versuch findet vor einem großen grünen Netz statt, der Diskus wird wie eine Rakete gestartet und der Werfer feiert.</v>
      </c>
    </row>
    <row r="34843">
      <c r="A34843" s="4" t="s">
        <v>43833</v>
      </c>
      <c r="B34843" s="4" t="s">
        <v>43841</v>
      </c>
      <c r="C34843" s="5" t="str">
        <f>IFERROR(__xludf.DUMMYFUNCTION("GOOGLETRANSLATE(B34843,""en"",""de"")"),"Ein weiterer Satz von Fotos schließt die Montage.")</f>
        <v>Ein weiterer Satz von Fotos schließt die Montage.</v>
      </c>
    </row>
    <row r="34844">
      <c r="A34844" s="4" t="s">
        <v>43842</v>
      </c>
      <c r="B34844" s="4" t="s">
        <v>43843</v>
      </c>
      <c r="C34844" s="5" t="str">
        <f>IFERROR(__xludf.DUMMYFUNCTION("GOOGLETRANSLATE(B34844,""en"",""de"")"),"Ein Mann steht in einem Hof ​​aus grünem Gras und wird gezeigt, wie er den Rasen mäht, und wenn er fertig ist, gibt es einen kurzen Austausch einer Hand, die seiner Hand einen Dollar -Rechnung gibt.")</f>
        <v>Ein Mann steht in einem Hof ​​aus grünem Gras und wird gezeigt, wie er den Rasen mäht, und wenn er fertig ist, gibt es einen kurzen Austausch einer Hand, die seiner Hand einen Dollar -Rechnung gibt.</v>
      </c>
    </row>
    <row r="34845">
      <c r="A34845" s="4" t="s">
        <v>43842</v>
      </c>
      <c r="B34845" s="4" t="s">
        <v>43844</v>
      </c>
      <c r="C34845" s="5" t="str">
        <f>IFERROR(__xludf.DUMMYFUNCTION("GOOGLETRANSLATE(B34845,""en"",""de"")"),"Dem Mann wird dann gezeigt, dass sich das Gras wieder bewegt und wenn er fertig ist, ist er wieder drinnen und diesmal drei Dollar -Rechnungen, die ihm übergeben werden.")</f>
        <v>Dem Mann wird dann gezeigt, dass sich das Gras wieder bewegt und wenn er fertig ist, ist er wieder drinnen und diesmal drei Dollar -Rechnungen, die ihm übergeben werden.</v>
      </c>
    </row>
    <row r="34846">
      <c r="A34846" s="4" t="s">
        <v>43842</v>
      </c>
      <c r="B34846" s="4" t="s">
        <v>43845</v>
      </c>
      <c r="C34846" s="5" t="str">
        <f>IFERROR(__xludf.DUMMYFUNCTION("GOOGLETRANSLATE(B34846,""en"",""de"")"),"Er ist wieder im Hof, aber diesmal hat er den Behälter mit geschnittenem Gras gefüllt, und ein Spezialeffekt lässt es so aussehen, als würde das geschnittene Gras in seinen Behälter springen.")</f>
        <v>Er ist wieder im Hof, aber diesmal hat er den Behälter mit geschnittenem Gras gefüllt, und ein Spezialeffekt lässt es so aussehen, als würde das geschnittene Gras in seinen Behälter springen.</v>
      </c>
    </row>
    <row r="34847">
      <c r="A34847" s="4" t="s">
        <v>43842</v>
      </c>
      <c r="B34847" s="4" t="s">
        <v>43846</v>
      </c>
      <c r="C34847" s="5" t="str">
        <f>IFERROR(__xludf.DUMMYFUNCTION("GOOGLETRANSLATE(B34847,""en"",""de"")"),"Ein Spezialeffekt zeigt den Mann schnell an einem Ort und dann an einer anderen Stelle, die im gesamten Hof sehr unterschiedlich ist.")</f>
        <v>Ein Spezialeffekt zeigt den Mann schnell an einem Ort und dann an einer anderen Stelle, die im gesamten Hof sehr unterschiedlich ist.</v>
      </c>
    </row>
    <row r="34848">
      <c r="A34848" s="4" t="s">
        <v>43842</v>
      </c>
      <c r="B34848" s="4" t="s">
        <v>43847</v>
      </c>
      <c r="C34848" s="5" t="str">
        <f>IFERROR(__xludf.DUMMYFUNCTION("GOOGLETRANSLATE(B34848,""en"",""de"")"),"Der Mann kehrt zurück, um den Hof zu mähen und dann nach drinnen zurück, um ihm einen weiteren Dollar zu bekommen.")</f>
        <v>Der Mann kehrt zurück, um den Hof zu mähen und dann nach drinnen zurück, um ihm einen weiteren Dollar zu bekommen.</v>
      </c>
    </row>
    <row r="34849">
      <c r="A34849" s="4" t="s">
        <v>43842</v>
      </c>
      <c r="B34849" s="4" t="s">
        <v>43848</v>
      </c>
      <c r="C34849" s="5" t="str">
        <f>IFERROR(__xludf.DUMMYFUNCTION("GOOGLETRANSLATE(B34849,""en"",""de"")"),"Der Mann freut sich sehr darüber und er feiert wieder im Hof, indem er ein bisschen mehr springt und den Hof mäht.")</f>
        <v>Der Mann freut sich sehr darüber und er feiert wieder im Hof, indem er ein bisschen mehr springt und den Hof mäht.</v>
      </c>
    </row>
    <row r="34850">
      <c r="A34850" s="4" t="s">
        <v>43842</v>
      </c>
      <c r="B34850" s="4" t="s">
        <v>43849</v>
      </c>
      <c r="C34850" s="5" t="str">
        <f>IFERROR(__xludf.DUMMYFUNCTION("GOOGLETRANSLATE(B34850,""en"",""de"")"),"Der Mann ist dann drinnen zurück und ein Spezialeffekt zeigt eine Reihe von Geld, die in die Luft fliegen und direkt in seine Hände fliegen und endet mit einem Mann, der ein Haufen Geld in seinen Händen hält, während sie sich bewegen.")</f>
        <v>Der Mann ist dann drinnen zurück und ein Spezialeffekt zeigt eine Reihe von Geld, die in die Luft fliegen und direkt in seine Hände fliegen und endet mit einem Mann, der ein Haufen Geld in seinen Händen hält, während sie sich bewegen.</v>
      </c>
    </row>
    <row r="34851">
      <c r="A34851" s="4" t="s">
        <v>43850</v>
      </c>
      <c r="B34851" s="4" t="s">
        <v>43851</v>
      </c>
      <c r="C34851" s="5" t="str">
        <f>IFERROR(__xludf.DUMMYFUNCTION("GOOGLETRANSLATE(B34851,""en"",""de"")"),"Wir sehen einen Mann in einem Fahrradschiff.")</f>
        <v>Wir sehen einen Mann in einem Fahrradschiff.</v>
      </c>
    </row>
    <row r="34852">
      <c r="A34852" s="4" t="s">
        <v>43850</v>
      </c>
      <c r="B34852" s="4" t="s">
        <v>43852</v>
      </c>
      <c r="C34852" s="5" t="str">
        <f>IFERROR(__xludf.DUMMYFUNCTION("GOOGLETRANSLATE(B34852,""en"",""de"")"),"Der Mann zeigt auf ein Fahrrad.")</f>
        <v>Der Mann zeigt auf ein Fahrrad.</v>
      </c>
    </row>
    <row r="34853">
      <c r="A34853" s="4" t="s">
        <v>43850</v>
      </c>
      <c r="B34853" s="4" t="s">
        <v>43853</v>
      </c>
      <c r="C34853" s="5" t="str">
        <f>IFERROR(__xludf.DUMMYFUNCTION("GOOGLETRANSLATE(B34853,""en"",""de"")"),"Der Mann nimmt den Lenker auf einem Fahrrad ab und passt sie an.")</f>
        <v>Der Mann nimmt den Lenker auf einem Fahrrad ab und passt sie an.</v>
      </c>
    </row>
    <row r="34854">
      <c r="A34854" s="4" t="s">
        <v>43850</v>
      </c>
      <c r="B34854" s="4" t="s">
        <v>43854</v>
      </c>
      <c r="C34854" s="5" t="str">
        <f>IFERROR(__xludf.DUMMYFUNCTION("GOOGLETRANSLATE(B34854,""en"",""de"")"),"Der Mann legt den Lenker wieder ein.")</f>
        <v>Der Mann legt den Lenker wieder ein.</v>
      </c>
    </row>
    <row r="34855">
      <c r="A34855" s="4" t="s">
        <v>43850</v>
      </c>
      <c r="B34855" s="4" t="s">
        <v>43855</v>
      </c>
      <c r="C34855" s="5" t="str">
        <f>IFERROR(__xludf.DUMMYFUNCTION("GOOGLETRANSLATE(B34855,""en"",""de"")"),"Der Mann bewegt sich zur Vorderseite des Fahrrads, um den Lenker anzupassen.")</f>
        <v>Der Mann bewegt sich zur Vorderseite des Fahrrads, um den Lenker anzupassen.</v>
      </c>
    </row>
    <row r="34856">
      <c r="A34856" s="4" t="s">
        <v>43850</v>
      </c>
      <c r="B34856" s="4" t="s">
        <v>43856</v>
      </c>
      <c r="C34856" s="5" t="str">
        <f>IFERROR(__xludf.DUMMYFUNCTION("GOOGLETRANSLATE(B34856,""en"",""de"")"),"Der Mann beendet dann den Anziehen des Bolzens am Lenker.")</f>
        <v>Der Mann beendet dann den Anziehen des Bolzens am Lenker.</v>
      </c>
    </row>
    <row r="34857">
      <c r="A34857" s="4" t="s">
        <v>43850</v>
      </c>
      <c r="B34857" s="4" t="s">
        <v>43857</v>
      </c>
      <c r="C34857" s="5" t="str">
        <f>IFERROR(__xludf.DUMMYFUNCTION("GOOGLETRANSLATE(B34857,""en"",""de"")"),"Der Mann tritt zurück, wenn er fertig ist.")</f>
        <v>Der Mann tritt zurück, wenn er fertig ist.</v>
      </c>
    </row>
    <row r="34858">
      <c r="A34858" s="4" t="s">
        <v>43858</v>
      </c>
      <c r="B34858" s="4" t="s">
        <v>43859</v>
      </c>
      <c r="C34858" s="5" t="str">
        <f>IFERROR(__xludf.DUMMYFUNCTION("GOOGLETRANSLATE(B34858,""en"",""de"")"),"Zwei Männer sprechen mit der Kamera und durchsetzt mit Action -Filmmaterial von ihnen Lacrosse.")</f>
        <v>Zwei Männer sprechen mit der Kamera und durchsetzt mit Action -Filmmaterial von ihnen Lacrosse.</v>
      </c>
    </row>
    <row r="34859">
      <c r="A34859" s="4" t="s">
        <v>43858</v>
      </c>
      <c r="B34859" s="4" t="s">
        <v>43860</v>
      </c>
      <c r="C34859" s="5" t="str">
        <f>IFERROR(__xludf.DUMMYFUNCTION("GOOGLETRANSLATE(B34859,""en"",""de"")"),"Der Mann, der in Orange gekleidet war, spricht an die Kamera.")</f>
        <v>Der Mann, der in Orange gekleidet war, spricht an die Kamera.</v>
      </c>
    </row>
    <row r="34860">
      <c r="A34860" s="4" t="s">
        <v>43858</v>
      </c>
      <c r="B34860" s="4" t="s">
        <v>43861</v>
      </c>
      <c r="C34860" s="5" t="str">
        <f>IFERROR(__xludf.DUMMYFUNCTION("GOOGLETRANSLATE(B34860,""en"",""de"")"),"Der Mann in Orange zeigt den Lacrosse -Ball gegen die Wand.")</f>
        <v>Der Mann in Orange zeigt den Lacrosse -Ball gegen die Wand.</v>
      </c>
    </row>
    <row r="34861">
      <c r="A34861" s="4" t="s">
        <v>43858</v>
      </c>
      <c r="B34861" s="4" t="s">
        <v>43862</v>
      </c>
      <c r="C34861" s="5" t="str">
        <f>IFERROR(__xludf.DUMMYFUNCTION("GOOGLETRANSLATE(B34861,""en"",""de"")"),"Der Mann in Orange spricht wieder mit der Kamera.")</f>
        <v>Der Mann in Orange spricht wieder mit der Kamera.</v>
      </c>
    </row>
    <row r="34862">
      <c r="A34862" s="4" t="s">
        <v>43858</v>
      </c>
      <c r="B34862" s="4" t="s">
        <v>43863</v>
      </c>
      <c r="C34862" s="5" t="str">
        <f>IFERROR(__xludf.DUMMYFUNCTION("GOOGLETRANSLATE(B34862,""en"",""de"")"),"Beide Männer zeigen den Lacrosse -Ball gegen die Wand.")</f>
        <v>Beide Männer zeigen den Lacrosse -Ball gegen die Wand.</v>
      </c>
    </row>
    <row r="34863">
      <c r="A34863" s="4" t="s">
        <v>43858</v>
      </c>
      <c r="B34863" s="4" t="s">
        <v>43864</v>
      </c>
      <c r="C34863" s="5" t="str">
        <f>IFERROR(__xludf.DUMMYFUNCTION("GOOGLETRANSLATE(B34863,""en"",""de"")"),"Der Mann in Orange spricht ein drittes Mal mit der Kamera, während er mit seinem Lacrosse -Stick demonstriert.")</f>
        <v>Der Mann in Orange spricht ein drittes Mal mit der Kamera, während er mit seinem Lacrosse -Stick demonstriert.</v>
      </c>
    </row>
    <row r="34864">
      <c r="A34864" s="4" t="s">
        <v>43858</v>
      </c>
      <c r="B34864" s="4" t="s">
        <v>43865</v>
      </c>
      <c r="C34864" s="5" t="str">
        <f>IFERROR(__xludf.DUMMYFUNCTION("GOOGLETRANSLATE(B34864,""en"",""de"")"),"Der Mann wird kurz von einer Szene unterbrochen, in der er den Ball gegen die Wand verläuft.")</f>
        <v>Der Mann wird kurz von einer Szene unterbrochen, in der er den Ball gegen die Wand verläuft.</v>
      </c>
    </row>
    <row r="34865">
      <c r="A34865" s="4" t="s">
        <v>43858</v>
      </c>
      <c r="B34865" s="4" t="s">
        <v>43866</v>
      </c>
      <c r="C34865" s="5" t="str">
        <f>IFERROR(__xludf.DUMMYFUNCTION("GOOGLETRANSLATE(B34865,""en"",""de"")"),"Die beiden Mann üben den Ball mit der Wand aneinander.")</f>
        <v>Die beiden Mann üben den Ball mit der Wand aneinander.</v>
      </c>
    </row>
    <row r="34866">
      <c r="A34866" s="4" t="s">
        <v>43858</v>
      </c>
      <c r="B34866" s="4" t="s">
        <v>43867</v>
      </c>
      <c r="C34866" s="5" t="str">
        <f>IFERROR(__xludf.DUMMYFUNCTION("GOOGLETRANSLATE(B34866,""en"",""de"")"),"Der Mann in Orange spricht ein letztes Mal mit der Kamera.")</f>
        <v>Der Mann in Orange spricht ein letztes Mal mit der Kamera.</v>
      </c>
    </row>
    <row r="34867">
      <c r="A34867" s="4" t="s">
        <v>43868</v>
      </c>
      <c r="B34867" s="4" t="s">
        <v>43869</v>
      </c>
      <c r="C34867" s="5" t="str">
        <f>IFERROR(__xludf.DUMMYFUNCTION("GOOGLETRANSLATE(B34867,""en"",""de"")"),"Eine Frau sitzt auf einer Schnur, während andere um sie herum zuschauen.")</f>
        <v>Eine Frau sitzt auf einer Schnur, während andere um sie herum zuschauen.</v>
      </c>
    </row>
    <row r="34868">
      <c r="A34868" s="4" t="s">
        <v>43868</v>
      </c>
      <c r="B34868" s="4" t="s">
        <v>43870</v>
      </c>
      <c r="C34868" s="5" t="str">
        <f>IFERROR(__xludf.DUMMYFUNCTION("GOOGLETRANSLATE(B34868,""en"",""de"")"),"Ein Mann wird gezeigt, der mit der Kamera spricht, während andere das Gleichgewicht auf dem Seil nutzen.")</f>
        <v>Ein Mann wird gezeigt, der mit der Kamera spricht, während andere das Gleichgewicht auf dem Seil nutzen.</v>
      </c>
    </row>
    <row r="34869">
      <c r="A34869" s="4" t="s">
        <v>43868</v>
      </c>
      <c r="B34869" s="4" t="s">
        <v>43871</v>
      </c>
      <c r="C34869" s="5" t="str">
        <f>IFERROR(__xludf.DUMMYFUNCTION("GOOGLETRANSLATE(B34869,""en"",""de"")"),"Es werden mehr Aufnahmen von den Menschen gezeigt, die gegeneinander entlang gehen.")</f>
        <v>Es werden mehr Aufnahmen von den Menschen gezeigt, die gegeneinander entlang gehen.</v>
      </c>
    </row>
    <row r="34870">
      <c r="A34870" s="4" t="s">
        <v>43872</v>
      </c>
      <c r="B34870" s="4" t="s">
        <v>43873</v>
      </c>
      <c r="C34870" s="5" t="str">
        <f>IFERROR(__xludf.DUMMYFUNCTION("GOOGLETRANSLATE(B34870,""en"",""de"")"),"Eine Frau geht zu einer Tür und lächelt zur Kamera, während sie ihren Mantel hin hängt.")</f>
        <v>Eine Frau geht zu einer Tür und lächelt zur Kamera, während sie ihren Mantel hin hängt.</v>
      </c>
    </row>
    <row r="34871">
      <c r="A34871" s="4" t="s">
        <v>43872</v>
      </c>
      <c r="B34871" s="4" t="s">
        <v>43874</v>
      </c>
      <c r="C34871" s="5" t="str">
        <f>IFERROR(__xludf.DUMMYFUNCTION("GOOGLETRANSLATE(B34871,""en"",""de"")"),"Sie legt eine Schürze an und gießt Farbe in einen Eimer, während sie mit der Kamera spricht.")</f>
        <v>Sie legt eine Schürze an und gießt Farbe in einen Eimer, während sie mit der Kamera spricht.</v>
      </c>
    </row>
    <row r="34872">
      <c r="A34872" s="4" t="s">
        <v>43872</v>
      </c>
      <c r="B34872" s="4" t="s">
        <v>43875</v>
      </c>
      <c r="C34872" s="5" t="str">
        <f>IFERROR(__xludf.DUMMYFUNCTION("GOOGLETRANSLATE(B34872,""en"",""de"")"),"Sie zeigt verschiedene Möbel und zeigt sie am Ende.")</f>
        <v>Sie zeigt verschiedene Möbel und zeigt sie am Ende.</v>
      </c>
    </row>
    <row r="34873">
      <c r="A34873" s="4" t="s">
        <v>43876</v>
      </c>
      <c r="B34873" s="4" t="s">
        <v>43877</v>
      </c>
      <c r="C34873" s="5" t="str">
        <f>IFERROR(__xludf.DUMMYFUNCTION("GOOGLETRANSLATE(B34873,""en"",""de"")"),"Eine Frau sitzt auf einem Stuhl, während er mit der Kamera spricht, und führt in eine Nahaufnahme eines Baumes und die Frau, die Ornamente anlegt.")</f>
        <v>Eine Frau sitzt auf einem Stuhl, während er mit der Kamera spricht, und führt in eine Nahaufnahme eines Baumes und die Frau, die Ornamente anlegt.</v>
      </c>
    </row>
    <row r="34874">
      <c r="A34874" s="4" t="s">
        <v>43876</v>
      </c>
      <c r="B34874" s="4" t="s">
        <v>43878</v>
      </c>
      <c r="C34874" s="5" t="str">
        <f>IFERROR(__xludf.DUMMYFUNCTION("GOOGLETRANSLATE(B34874,""en"",""de"")"),"Die Frau verbindet den ganzen Baum, während die Kamera herum schwenkt und endet, wobei sie das Endergebnis zeigt und mit der Kamera spricht.")</f>
        <v>Die Frau verbindet den ganzen Baum, während die Kamera herum schwenkt und endet, wobei sie das Endergebnis zeigt und mit der Kamera spricht.</v>
      </c>
    </row>
    <row r="34875">
      <c r="A34875" s="4" t="s">
        <v>43879</v>
      </c>
      <c r="B34875" s="4" t="s">
        <v>43880</v>
      </c>
      <c r="C34875" s="5" t="str">
        <f>IFERROR(__xludf.DUMMYFUNCTION("GOOGLETRANSLATE(B34875,""en"",""de"")"),"Ein Junge sitzt auf einer Rampe mit den Klappen auf seinem Dirt -Fahrrad, der darauf wartet, auf dem Kurs zu gehen.")</f>
        <v>Ein Junge sitzt auf einer Rampe mit den Klappen auf seinem Dirt -Fahrrad, der darauf wartet, auf dem Kurs zu gehen.</v>
      </c>
    </row>
    <row r="34876">
      <c r="A34876" s="4" t="s">
        <v>43879</v>
      </c>
      <c r="B34876" s="4" t="s">
        <v>43881</v>
      </c>
      <c r="C34876" s="5" t="str">
        <f>IFERROR(__xludf.DUMMYFUNCTION("GOOGLETRANSLATE(B34876,""en"",""de"")"),"Der Junge kommt dann zurück und beginnt die Pedale auf dem Fahrrad zu bewegen und steht dann auf dem Fahrrad auf.")</f>
        <v>Der Junge kommt dann zurück und beginnt die Pedale auf dem Fahrrad zu bewegen und steht dann auf dem Fahrrad auf.</v>
      </c>
    </row>
    <row r="34877">
      <c r="A34877" s="4" t="s">
        <v>43879</v>
      </c>
      <c r="B34877" s="4" t="s">
        <v>43882</v>
      </c>
      <c r="C34877" s="5" t="str">
        <f>IFERROR(__xludf.DUMMYFUNCTION("GOOGLETRANSLATE(B34877,""en"",""de"")"),"Ein weiterer Winkel wird gezeigt und die Rampen werden enttäuscht und der Junge beginnt den Bürgersteig hinunter zu reiten.")</f>
        <v>Ein weiterer Winkel wird gezeigt und die Rampen werden enttäuscht und der Junge beginnt den Bürgersteig hinunter zu reiten.</v>
      </c>
    </row>
    <row r="34878">
      <c r="A34878" s="4" t="s">
        <v>43883</v>
      </c>
      <c r="B34878" s="4" t="s">
        <v>43884</v>
      </c>
      <c r="C34878" s="5" t="str">
        <f>IFERROR(__xludf.DUMMYFUNCTION("GOOGLETRANSLATE(B34878,""en"",""de"")"),"Ein Teenager sitzt auf einem Stuhl.")</f>
        <v>Ein Teenager sitzt auf einem Stuhl.</v>
      </c>
    </row>
    <row r="34879">
      <c r="A34879" s="4" t="s">
        <v>43883</v>
      </c>
      <c r="B34879" s="4" t="s">
        <v>43885</v>
      </c>
      <c r="C34879" s="5" t="str">
        <f>IFERROR(__xludf.DUMMYFUNCTION("GOOGLETRANSLATE(B34879,""en"",""de"")"),"Der Junge steht und wir sehen, wie er an verschiedenen Orten auf einer Slackline hüpft.")</f>
        <v>Der Junge steht und wir sehen, wie er an verschiedenen Orten auf einer Slackline hüpft.</v>
      </c>
    </row>
    <row r="34880">
      <c r="A34880" s="4" t="s">
        <v>43883</v>
      </c>
      <c r="B34880" s="4" t="s">
        <v>43886</v>
      </c>
      <c r="C34880" s="5" t="str">
        <f>IFERROR(__xludf.DUMMYFUNCTION("GOOGLETRANSLATE(B34880,""en"",""de"")"),"Es gibt einen zweiten Jungen in einer anderen Linie, der weggeht.")</f>
        <v>Es gibt einen zweiten Jungen in einer anderen Linie, der weggeht.</v>
      </c>
    </row>
    <row r="34881">
      <c r="A34881" s="4" t="s">
        <v>43883</v>
      </c>
      <c r="B34881" s="4" t="s">
        <v>43887</v>
      </c>
      <c r="C34881" s="5" t="str">
        <f>IFERROR(__xludf.DUMMYFUNCTION("GOOGLETRANSLATE(B34881,""en"",""de"")"),"Der Junge fällt fast und stellt selbst fest.")</f>
        <v>Der Junge fällt fast und stellt selbst fest.</v>
      </c>
    </row>
    <row r="34882">
      <c r="A34882" s="4" t="s">
        <v>43883</v>
      </c>
      <c r="B34882" s="4" t="s">
        <v>43888</v>
      </c>
      <c r="C34882" s="5" t="str">
        <f>IFERROR(__xludf.DUMMYFUNCTION("GOOGLETRANSLATE(B34882,""en"",""de"")"),"Der Junge steigt aus und geht weg.")</f>
        <v>Der Junge steigt aus und geht weg.</v>
      </c>
    </row>
    <row r="34883">
      <c r="A34883" s="4" t="s">
        <v>43883</v>
      </c>
      <c r="B34883" s="4" t="s">
        <v>43889</v>
      </c>
      <c r="C34883" s="5" t="str">
        <f>IFERROR(__xludf.DUMMYFUNCTION("GOOGLETRANSLATE(B34883,""en"",""de"")"),"Der Junge geht zur Kamera und gestikuliert mit seinen Händen.")</f>
        <v>Der Junge geht zur Kamera und gestikuliert mit seinen Händen.</v>
      </c>
    </row>
    <row r="34884">
      <c r="A34884" s="4" t="s">
        <v>43890</v>
      </c>
      <c r="B34884" s="4" t="s">
        <v>43891</v>
      </c>
      <c r="C34884" s="5" t="str">
        <f>IFERROR(__xludf.DUMMYFUNCTION("GOOGLETRANSLATE(B34884,""en"",""de"")"),"Ein schwarzer Intro -Bildschirm erscheint mit weißen Wörtern und Buchstaben ""Eric Bristows einzigartiger Fernseher"" Robin Hood ""Darts erschossen 1983 gegen J Wilson"".")</f>
        <v>Ein schwarzer Intro -Bildschirm erscheint mit weißen Wörtern und Buchstaben "Eric Bristows einzigartiger Fernseher" Robin Hood "Darts erschossen 1983 gegen J Wilson".</v>
      </c>
    </row>
    <row r="34885">
      <c r="A34885" s="4" t="s">
        <v>43890</v>
      </c>
      <c r="B34885" s="4" t="s">
        <v>43892</v>
      </c>
      <c r="C34885" s="5" t="str">
        <f>IFERROR(__xludf.DUMMYFUNCTION("GOOGLETRANSLATE(B34885,""en"",""de"")"),"Ein älter aussehendes Video beginnt und zwei verschiedene Männer werfen Pfeile in ein Dartboard.")</f>
        <v>Ein älter aussehendes Video beginnt und zwei verschiedene Männer werfen Pfeile in ein Dartboard.</v>
      </c>
    </row>
    <row r="34886">
      <c r="A34886" s="4" t="s">
        <v>43890</v>
      </c>
      <c r="B34886" s="4" t="s">
        <v>43893</v>
      </c>
      <c r="C34886" s="5" t="str">
        <f>IFERROR(__xludf.DUMMYFUNCTION("GOOGLETRANSLATE(B34886,""en"",""de"")"),"Wenn die Männer fertig sind, um Darts zu werfen, wird ein Dartboard angezeigt und blaue Buchstaben scrollen von unten nach oben nach oben.")</f>
        <v>Wenn die Männer fertig sind, um Darts zu werfen, wird ein Dartboard angezeigt und blaue Buchstaben scrollen von unten nach oben nach oben.</v>
      </c>
    </row>
    <row r="34887">
      <c r="A34887" s="4" t="s">
        <v>43894</v>
      </c>
      <c r="B34887" s="4" t="s">
        <v>43895</v>
      </c>
      <c r="C34887" s="5" t="str">
        <f>IFERROR(__xludf.DUMMYFUNCTION("GOOGLETRANSLATE(B34887,""en"",""de"")"),"Eine Einführung kommt auf den Bildschirm, um ein Video über die Herstellung von Linguine mit Muschelsauce zu machen.")</f>
        <v>Eine Einführung kommt auf den Bildschirm, um ein Video über die Herstellung von Linguine mit Muschelsauce zu machen.</v>
      </c>
    </row>
    <row r="34888">
      <c r="A34888" s="4" t="s">
        <v>43894</v>
      </c>
      <c r="B34888" s="4" t="s">
        <v>43896</v>
      </c>
      <c r="C34888" s="5" t="str">
        <f>IFERROR(__xludf.DUMMYFUNCTION("GOOGLETRANSLATE(B34888,""en"",""de"")"),"Wasser wird in einem Topf zum Kochen gebracht und die Pasta wird dem Topf hinzugefügt.")</f>
        <v>Wasser wird in einem Topf zum Kochen gebracht und die Pasta wird dem Topf hinzugefügt.</v>
      </c>
    </row>
    <row r="34889">
      <c r="A34889" s="4" t="s">
        <v>43894</v>
      </c>
      <c r="B34889" s="4" t="s">
        <v>43897</v>
      </c>
      <c r="C34889" s="5" t="str">
        <f>IFERROR(__xludf.DUMMYFUNCTION("GOOGLETRANSLATE(B34889,""en"",""de"")"),"Petersilie wird zusammen mit etwas Knoblauch fein gehackt, und die Muscheln werden in eine Schüssel gestreckt, um sie vom Saft zu trennen.")</f>
        <v>Petersilie wird zusammen mit etwas Knoblauch fein gehackt, und die Muscheln werden in eine Schüssel gestreckt, um sie vom Saft zu trennen.</v>
      </c>
    </row>
    <row r="34890">
      <c r="A34890" s="4" t="s">
        <v>43894</v>
      </c>
      <c r="B34890" s="4" t="s">
        <v>43898</v>
      </c>
      <c r="C34890" s="5" t="str">
        <f>IFERROR(__xludf.DUMMYFUNCTION("GOOGLETRANSLATE(B34890,""en"",""de"")"),"Olivenöl geht in die Pfanne mit Knoblauch, rotem Pepper, Petersilie, Weißwein, Basilikum, Salz und Muschelsaft zum Kochen, und die Muscheln werden am Ende der Mischung hinzugefügt.")</f>
        <v>Olivenöl geht in die Pfanne mit Knoblauch, rotem Pepper, Petersilie, Weißwein, Basilikum, Salz und Muschelsaft zum Kochen, und die Muscheln werden am Ende der Mischung hinzugefügt.</v>
      </c>
    </row>
    <row r="34891">
      <c r="A34891" s="4" t="s">
        <v>43894</v>
      </c>
      <c r="B34891" s="4" t="s">
        <v>43899</v>
      </c>
      <c r="C34891" s="5" t="str">
        <f>IFERROR(__xludf.DUMMYFUNCTION("GOOGLETRANSLATE(B34891,""en"",""de"")"),"Die Pasta wird mit der Sauce ausgelaugt und in die Pfanne hinzugefügt.")</f>
        <v>Die Pasta wird mit der Sauce ausgelaugt und in die Pfanne hinzugefügt.</v>
      </c>
    </row>
    <row r="34892">
      <c r="A34892" s="4" t="s">
        <v>43894</v>
      </c>
      <c r="B34892" s="4" t="s">
        <v>43900</v>
      </c>
      <c r="C34892" s="5" t="str">
        <f>IFERROR(__xludf.DUMMYFUNCTION("GOOGLETRANSLATE(B34892,""en"",""de"")"),"Die Pasta wird dann mit zerkleinertem Käse serviert.")</f>
        <v>Die Pasta wird dann mit zerkleinertem Käse serviert.</v>
      </c>
    </row>
    <row r="34893">
      <c r="A34893" s="4" t="s">
        <v>43901</v>
      </c>
      <c r="B34893" s="4" t="s">
        <v>43902</v>
      </c>
      <c r="C34893" s="5" t="str">
        <f>IFERROR(__xludf.DUMMYFUNCTION("GOOGLETRANSLATE(B34893,""en"",""de"")"),"Eine Frau mit langen Haaren spricht mit der Kamera, während sie ihre Arme herum bewegt und lächelt, während sie spricht.")</f>
        <v>Eine Frau mit langen Haaren spricht mit der Kamera, während sie ihre Arme herum bewegt und lächelt, während sie spricht.</v>
      </c>
    </row>
    <row r="34894">
      <c r="A34894" s="4" t="s">
        <v>43901</v>
      </c>
      <c r="B34894" s="4" t="s">
        <v>43903</v>
      </c>
      <c r="C34894" s="5" t="str">
        <f>IFERROR(__xludf.DUMMYFUNCTION("GOOGLETRANSLATE(B34894,""en"",""de"")"),"Sie beginnt dann, ihr langes Haar auszustürmen und zurück in die Kamera zu lächeln und zu winken.")</f>
        <v>Sie beginnt dann, ihr langes Haar auszustürmen und zurück in die Kamera zu lächeln und zu winken.</v>
      </c>
    </row>
    <row r="34895">
      <c r="A34895" s="4" t="s">
        <v>43904</v>
      </c>
      <c r="B34895" s="4" t="s">
        <v>43905</v>
      </c>
      <c r="C34895" s="5" t="str">
        <f>IFERROR(__xludf.DUMMYFUNCTION("GOOGLETRANSLATE(B34895,""en"",""de"")"),"Ein Mädchen geht die Mitte der Bühne hinauf und macht mit ihren Füßen und kommt in Position.")</f>
        <v>Ein Mädchen geht die Mitte der Bühne hinauf und macht mit ihren Füßen und kommt in Position.</v>
      </c>
    </row>
    <row r="34896">
      <c r="A34896" s="4" t="s">
        <v>43904</v>
      </c>
      <c r="B34896" s="4" t="s">
        <v>43906</v>
      </c>
      <c r="C34896" s="5" t="str">
        <f>IFERROR(__xludf.DUMMYFUNCTION("GOOGLETRANSLATE(B34896,""en"",""de"")"),"Sie macht in dieser Position eine Pause, bevor sie anfängt zu tanzen.")</f>
        <v>Sie macht in dieser Position eine Pause, bevor sie anfängt zu tanzen.</v>
      </c>
    </row>
    <row r="34897">
      <c r="A34897" s="4" t="s">
        <v>43904</v>
      </c>
      <c r="B34897" s="4" t="s">
        <v>43907</v>
      </c>
      <c r="C34897" s="5" t="str">
        <f>IFERROR(__xludf.DUMMYFUNCTION("GOOGLETRANSLATE(B34897,""en"",""de"")"),"Sie macht eine Spaltung und einige Posen rundum.")</f>
        <v>Sie macht eine Spaltung und einige Posen rundum.</v>
      </c>
    </row>
    <row r="34898">
      <c r="A34898" s="4" t="s">
        <v>43904</v>
      </c>
      <c r="B34898" s="4" t="s">
        <v>43908</v>
      </c>
      <c r="C34898" s="5" t="str">
        <f>IFERROR(__xludf.DUMMYFUNCTION("GOOGLETRANSLATE(B34898,""en"",""de"")"),"Sie macht ein paar Wagenräder und tanzt überall auf dem Platz und schließlich endet sie.")</f>
        <v>Sie macht ein paar Wagenräder und tanzt überall auf dem Platz und schließlich endet sie.</v>
      </c>
    </row>
    <row r="34899">
      <c r="A34899" s="4" t="s">
        <v>43909</v>
      </c>
      <c r="B34899" s="4" t="s">
        <v>43910</v>
      </c>
      <c r="C34899" s="5" t="str">
        <f>IFERROR(__xludf.DUMMYFUNCTION("GOOGLETRANSLATE(B34899,""en"",""de"")"),"Eine große Gruppe von Menschen wird gezeigt, dass sie in Bögen und Pfeilen gehen und eine Schuss machen.")</f>
        <v>Eine große Gruppe von Menschen wird gezeigt, dass sie in Bögen und Pfeilen gehen und eine Schuss machen.</v>
      </c>
    </row>
    <row r="34900">
      <c r="A34900" s="4" t="s">
        <v>43909</v>
      </c>
      <c r="B34900" s="4" t="s">
        <v>43911</v>
      </c>
      <c r="C34900" s="5" t="str">
        <f>IFERROR(__xludf.DUMMYFUNCTION("GOOGLETRANSLATE(B34900,""en"",""de"")"),"Mehrere weitere Menschen werden gezeigt, dass sie mit ihren Bögen und Pfeilen Aufnahmen machen und am Ende feiern und auf einem Podiumswinken stehen.")</f>
        <v>Mehrere weitere Menschen werden gezeigt, dass sie mit ihren Bögen und Pfeilen Aufnahmen machen und am Ende feiern und auf einem Podiumswinken stehen.</v>
      </c>
    </row>
    <row r="34901">
      <c r="A34901" s="4" t="s">
        <v>43912</v>
      </c>
      <c r="B34901" s="4" t="s">
        <v>43913</v>
      </c>
      <c r="C34901" s="5" t="str">
        <f>IFERROR(__xludf.DUMMYFUNCTION("GOOGLETRANSLATE(B34901,""en"",""de"")"),"Wir sehen einen Mann mit Wasserski.")</f>
        <v>Wir sehen einen Mann mit Wasserski.</v>
      </c>
    </row>
    <row r="34902">
      <c r="A34902" s="4" t="s">
        <v>43912</v>
      </c>
      <c r="B34902" s="4" t="s">
        <v>43914</v>
      </c>
      <c r="C34902" s="5" t="str">
        <f>IFERROR(__xludf.DUMMYFUNCTION("GOOGLETRANSLATE(B34902,""en"",""de"")"),"Wir sehen, wie das Wasser links sprüht.")</f>
        <v>Wir sehen, wie das Wasser links sprüht.</v>
      </c>
    </row>
    <row r="34903">
      <c r="A34903" s="4" t="s">
        <v>43912</v>
      </c>
      <c r="B34903" s="4" t="s">
        <v>43915</v>
      </c>
      <c r="C34903" s="5" t="str">
        <f>IFERROR(__xludf.DUMMYFUNCTION("GOOGLETRANSLATE(B34903,""en"",""de"")"),"Der Mann springt nach rechts.")</f>
        <v>Der Mann springt nach rechts.</v>
      </c>
    </row>
    <row r="34904">
      <c r="A34904" s="4" t="s">
        <v>43912</v>
      </c>
      <c r="B34904" s="4" t="s">
        <v>43916</v>
      </c>
      <c r="C34904" s="5" t="str">
        <f>IFERROR(__xludf.DUMMYFUNCTION("GOOGLETRANSLATE(B34904,""en"",""de"")"),"Der Mann biegt sich auf das Surfbrett.")</f>
        <v>Der Mann biegt sich auf das Surfbrett.</v>
      </c>
    </row>
    <row r="34905">
      <c r="A34905" s="4" t="s">
        <v>43912</v>
      </c>
      <c r="B34905" s="4" t="s">
        <v>43917</v>
      </c>
      <c r="C34905" s="5" t="str">
        <f>IFERROR(__xludf.DUMMYFUNCTION("GOOGLETRANSLATE(B34905,""en"",""de"")"),"Der Mann führt einen Flip durch.")</f>
        <v>Der Mann führt einen Flip durch.</v>
      </c>
    </row>
    <row r="34906">
      <c r="A34906" s="4" t="s">
        <v>43918</v>
      </c>
      <c r="B34906" s="4" t="s">
        <v>43919</v>
      </c>
      <c r="C34906" s="5" t="str">
        <f>IFERROR(__xludf.DUMMYFUNCTION("GOOGLETRANSLATE(B34906,""en"",""de"")"),"Ein Paar weiblicher Hände verwendet ein Eisen auf einem Stück Babykleidung.")</f>
        <v>Ein Paar weiblicher Hände verwendet ein Eisen auf einem Stück Babykleidung.</v>
      </c>
    </row>
    <row r="34907">
      <c r="A34907" s="4" t="s">
        <v>43918</v>
      </c>
      <c r="B34907" s="4" t="s">
        <v>43920</v>
      </c>
      <c r="C34907" s="5" t="str">
        <f>IFERROR(__xludf.DUMMYFUNCTION("GOOGLETRANSLATE(B34907,""en"",""de"")"),"Die Frau legt das Eisen beiseite und dreht die Kleidung um.")</f>
        <v>Die Frau legt das Eisen beiseite und dreht die Kleidung um.</v>
      </c>
    </row>
    <row r="34908">
      <c r="A34908" s="4" t="s">
        <v>43918</v>
      </c>
      <c r="B34908" s="4" t="s">
        <v>43921</v>
      </c>
      <c r="C34908" s="5" t="str">
        <f>IFERROR(__xludf.DUMMYFUNCTION("GOOGLETRANSLATE(B34908,""en"",""de"")"),"Die Frau benutzt das Eisen auf der anderen Seite der Kleidung.")</f>
        <v>Die Frau benutzt das Eisen auf der anderen Seite der Kleidung.</v>
      </c>
    </row>
    <row r="34909">
      <c r="A34909" s="4" t="s">
        <v>43918</v>
      </c>
      <c r="B34909" s="4" t="s">
        <v>43922</v>
      </c>
      <c r="C34909" s="5" t="str">
        <f>IFERROR(__xludf.DUMMYFUNCTION("GOOGLETRANSLATE(B34909,""en"",""de"")"),"Die Frau legt das Eisen beiseite.")</f>
        <v>Die Frau legt das Eisen beiseite.</v>
      </c>
    </row>
    <row r="34910">
      <c r="A34910" s="4" t="s">
        <v>43923</v>
      </c>
      <c r="B34910" s="4" t="s">
        <v>43924</v>
      </c>
      <c r="C34910" s="5" t="str">
        <f>IFERROR(__xludf.DUMMYFUNCTION("GOOGLETRANSLATE(B34910,""en"",""de"")"),"Ein Mann nippt am Strand an einem Getränk.")</f>
        <v>Ein Mann nippt am Strand an einem Getränk.</v>
      </c>
    </row>
    <row r="34911">
      <c r="A34911" s="4" t="s">
        <v>43923</v>
      </c>
      <c r="B34911" s="4" t="s">
        <v>43925</v>
      </c>
      <c r="C34911" s="5" t="str">
        <f>IFERROR(__xludf.DUMMYFUNCTION("GOOGLETRANSLATE(B34911,""en"",""de"")"),"Ein Mädchen wendet Spritzer der Suntan -Lotion auf seinen Körper.")</f>
        <v>Ein Mädchen wendet Spritzer der Suntan -Lotion auf seinen Körper.</v>
      </c>
    </row>
    <row r="34912">
      <c r="A34912" s="4" t="s">
        <v>43923</v>
      </c>
      <c r="B34912" s="4" t="s">
        <v>43926</v>
      </c>
      <c r="C34912" s="5" t="str">
        <f>IFERROR(__xludf.DUMMYFUNCTION("GOOGLETRANSLATE(B34912,""en"",""de"")"),"Dann gehen Sie ins Wasser, schwimmen und gehen in der Brandung.")</f>
        <v>Dann gehen Sie ins Wasser, schwimmen und gehen in der Brandung.</v>
      </c>
    </row>
    <row r="34913">
      <c r="A34913" s="4" t="s">
        <v>43927</v>
      </c>
      <c r="B34913" s="4" t="s">
        <v>43928</v>
      </c>
      <c r="C34913" s="5" t="str">
        <f>IFERROR(__xludf.DUMMYFUNCTION("GOOGLETRANSLATE(B34913,""en"",""de"")"),"Ein Mann spricht mit der Kamera, während er eine Schaumgummi -Matte hochhält.")</f>
        <v>Ein Mann spricht mit der Kamera, während er eine Schaumgummi -Matte hochhält.</v>
      </c>
    </row>
    <row r="34914">
      <c r="A34914" s="4" t="s">
        <v>43927</v>
      </c>
      <c r="B34914" s="4" t="s">
        <v>43929</v>
      </c>
      <c r="C34914" s="5" t="str">
        <f>IFERROR(__xludf.DUMMYFUNCTION("GOOGLETRANSLATE(B34914,""en"",""de"")"),"Die Kamera schwenkt um mehr Matten herum, während der Mann immer noch mit der Kamera spricht.")</f>
        <v>Die Kamera schwenkt um mehr Matten herum, während der Mann immer noch mit der Kamera spricht.</v>
      </c>
    </row>
    <row r="34915">
      <c r="A34915" s="4" t="s">
        <v>43930</v>
      </c>
      <c r="B34915" s="4" t="s">
        <v>43931</v>
      </c>
      <c r="C34915" s="5" t="str">
        <f>IFERROR(__xludf.DUMMYFUNCTION("GOOGLETRANSLATE(B34915,""en"",""de"")"),"Eine Frau spricht mit lächelnd mit der Kamera und führt in ihre Haare einer anderen Frau.")</f>
        <v>Eine Frau spricht mit lächelnd mit der Kamera und führt in ihre Haare einer anderen Frau.</v>
      </c>
    </row>
    <row r="34916">
      <c r="A34916" s="4" t="s">
        <v>43930</v>
      </c>
      <c r="B34916" s="4" t="s">
        <v>43932</v>
      </c>
      <c r="C34916" s="5" t="str">
        <f>IFERROR(__xludf.DUMMYFUNCTION("GOOGLETRANSLATE(B34916,""en"",""de"")"),"Sie teilt die Haare in Abschnitte und legt Rollen in die Haare der Frau und spricht mit der Kamera.")</f>
        <v>Sie teilt die Haare in Abschnitte und legt Rollen in die Haare der Frau und spricht mit der Kamera.</v>
      </c>
    </row>
    <row r="34917">
      <c r="A34917" s="4" t="s">
        <v>43933</v>
      </c>
      <c r="B34917" s="4" t="s">
        <v>43934</v>
      </c>
      <c r="C34917" s="5" t="str">
        <f>IFERROR(__xludf.DUMMYFUNCTION("GOOGLETRANSLATE(B34917,""en"",""de"")"),"Zwei Menschen heben ein großes Gewicht über ihren Köpfen.")</f>
        <v>Zwei Menschen heben ein großes Gewicht über ihren Köpfen.</v>
      </c>
    </row>
    <row r="34918">
      <c r="A34918" s="4" t="s">
        <v>43933</v>
      </c>
      <c r="B34918" s="4" t="s">
        <v>43935</v>
      </c>
      <c r="C34918" s="5" t="str">
        <f>IFERROR(__xludf.DUMMYFUNCTION("GOOGLETRANSLATE(B34918,""en"",""de"")"),"Sie fallen das Gewicht auf den Boden.")</f>
        <v>Sie fallen das Gewicht auf den Boden.</v>
      </c>
    </row>
    <row r="34919">
      <c r="A34919" s="4" t="s">
        <v>43933</v>
      </c>
      <c r="B34919" s="4" t="s">
        <v>43936</v>
      </c>
      <c r="C34919" s="5" t="str">
        <f>IFERROR(__xludf.DUMMYFUNCTION("GOOGLETRANSLATE(B34919,""en"",""de"")"),"Die Gewichte sind auf jeder Seite gezeigt.")</f>
        <v>Die Gewichte sind auf jeder Seite gezeigt.</v>
      </c>
    </row>
    <row r="34920">
      <c r="A34920" s="4" t="s">
        <v>43937</v>
      </c>
      <c r="B34920" s="4" t="s">
        <v>43938</v>
      </c>
      <c r="C34920" s="5" t="str">
        <f>IFERROR(__xludf.DUMMYFUNCTION("GOOGLETRANSLATE(B34920,""en"",""de"")"),"Zwei Autos werden außerhalb einer Garage geparkt, als ein Mann seine Kamera konzentriert.")</f>
        <v>Zwei Autos werden außerhalb einer Garage geparkt, als ein Mann seine Kamera konzentriert.</v>
      </c>
    </row>
    <row r="34921">
      <c r="A34921" s="4" t="s">
        <v>43937</v>
      </c>
      <c r="B34921" s="4" t="s">
        <v>43939</v>
      </c>
      <c r="C34921" s="5" t="str">
        <f>IFERROR(__xludf.DUMMYFUNCTION("GOOGLETRANSLATE(B34921,""en"",""de"")"),"Sobald die Kamera eine Sünde ist, wird ein Mann mit einer Stahlmaske angezeigt, als er ein Stück auf einem Beton schlägt.")</f>
        <v>Sobald die Kamera eine Sünde ist, wird ein Mann mit einer Stahlmaske angezeigt, als er ein Stück auf einem Beton schlägt.</v>
      </c>
    </row>
    <row r="34922">
      <c r="A34922" s="4" t="s">
        <v>43937</v>
      </c>
      <c r="B34922" s="4" t="s">
        <v>43940</v>
      </c>
      <c r="C34922" s="5" t="str">
        <f>IFERROR(__xludf.DUMMYFUNCTION("GOOGLETRANSLATE(B34922,""en"",""de"")"),"Das Stück befindet sich auf dem Beton und er legt den Boden der Maske an und verbrennt das Metall.")</f>
        <v>Das Stück befindet sich auf dem Beton und er legt den Boden der Maske an und verbrennt das Metall.</v>
      </c>
    </row>
    <row r="34923">
      <c r="A34923" s="4" t="s">
        <v>43941</v>
      </c>
      <c r="B34923" s="4" t="s">
        <v>43942</v>
      </c>
      <c r="C34923" s="5" t="str">
        <f>IFERROR(__xludf.DUMMYFUNCTION("GOOGLETRANSLATE(B34923,""en"",""de"")"),"Eine Frau in einem Bauchtänzer -Outfit ist auf der Bühne.")</f>
        <v>Eine Frau in einem Bauchtänzer -Outfit ist auf der Bühne.</v>
      </c>
    </row>
    <row r="34924">
      <c r="A34924" s="4" t="s">
        <v>43941</v>
      </c>
      <c r="B34924" s="4" t="s">
        <v>43943</v>
      </c>
      <c r="C34924" s="5" t="str">
        <f>IFERROR(__xludf.DUMMYFUNCTION("GOOGLETRANSLATE(B34924,""en"",""de"")"),"Sie geht die Gasse hinunter, während sie tanzt und singt.")</f>
        <v>Sie geht die Gasse hinunter, während sie tanzt und singt.</v>
      </c>
    </row>
    <row r="34925">
      <c r="A34925" s="4" t="s">
        <v>43941</v>
      </c>
      <c r="B34925" s="4" t="s">
        <v>43944</v>
      </c>
      <c r="C34925" s="5" t="str">
        <f>IFERROR(__xludf.DUMMYFUNCTION("GOOGLETRANSLATE(B34925,""en"",""de"")"),"Sie kreiert ihre Hüften und Arme, als sie auftritt.")</f>
        <v>Sie kreiert ihre Hüften und Arme, als sie auftritt.</v>
      </c>
    </row>
    <row r="34926">
      <c r="A34926" s="4" t="s">
        <v>43945</v>
      </c>
      <c r="B34926" s="4" t="s">
        <v>43946</v>
      </c>
      <c r="C34926" s="5" t="str">
        <f>IFERROR(__xludf.DUMMYFUNCTION("GOOGLETRANSLATE(B34926,""en"",""de"")"),"Ein Video wird gezeigt, wie man einen frizzfreien Blowout macht.")</f>
        <v>Ein Video wird gezeigt, wie man einen frizzfreien Blowout macht.</v>
      </c>
    </row>
    <row r="34927">
      <c r="A34927" s="4" t="s">
        <v>43945</v>
      </c>
      <c r="B34927" s="4" t="s">
        <v>43947</v>
      </c>
      <c r="C34927" s="5" t="str">
        <f>IFERROR(__xludf.DUMMYFUNCTION("GOOGLETRANSLATE(B34927,""en"",""de"")"),"Nach dem Waschen und Konditionieren wird das Produkt angewendet und getrocknet.")</f>
        <v>Nach dem Waschen und Konditionieren wird das Produkt angewendet und getrocknet.</v>
      </c>
    </row>
    <row r="34928">
      <c r="A34928" s="4" t="s">
        <v>43945</v>
      </c>
      <c r="B34928" s="4" t="s">
        <v>43948</v>
      </c>
      <c r="C34928" s="5" t="str">
        <f>IFERROR(__xludf.DUMMYFUNCTION("GOOGLETRANSLATE(B34928,""en"",""de"")"),"Dann ist der Rest des Verfahrens abgeschlossen.")</f>
        <v>Dann ist der Rest des Verfahrens abgeschlossen.</v>
      </c>
    </row>
    <row r="34929">
      <c r="A34929" s="4" t="s">
        <v>43949</v>
      </c>
      <c r="B34929" s="4" t="s">
        <v>43950</v>
      </c>
      <c r="C34929" s="5" t="str">
        <f>IFERROR(__xludf.DUMMYFUNCTION("GOOGLETRANSLATE(B34929,""en"",""de"")"),"Ein Mann hilft einem kleinen Mädchen, eine Rutsche hinunter zu gehen.")</f>
        <v>Ein Mann hilft einem kleinen Mädchen, eine Rutsche hinunter zu gehen.</v>
      </c>
    </row>
    <row r="34930">
      <c r="A34930" s="4" t="s">
        <v>43949</v>
      </c>
      <c r="B34930" s="4" t="s">
        <v>43951</v>
      </c>
      <c r="C34930" s="5" t="str">
        <f>IFERROR(__xludf.DUMMYFUNCTION("GOOGLETRANSLATE(B34930,""en"",""de"")"),"Sie geht die Rutsche auf ihrem Bauch hinunter.")</f>
        <v>Sie geht die Rutsche auf ihrem Bauch hinunter.</v>
      </c>
    </row>
    <row r="34931">
      <c r="A34931" s="4" t="s">
        <v>43949</v>
      </c>
      <c r="B34931" s="4" t="s">
        <v>43952</v>
      </c>
      <c r="C34931" s="5" t="str">
        <f>IFERROR(__xludf.DUMMYFUNCTION("GOOGLETRANSLATE(B34931,""en"",""de"")"),"Sie klettert an der Seite des Spielplatzes hinauf und geht wieder über die Rutsche.")</f>
        <v>Sie klettert an der Seite des Spielplatzes hinauf und geht wieder über die Rutsche.</v>
      </c>
    </row>
    <row r="34932">
      <c r="A34932" s="4" t="s">
        <v>43953</v>
      </c>
      <c r="B34932" s="4" t="s">
        <v>43954</v>
      </c>
      <c r="C34932" s="5" t="str">
        <f>IFERROR(__xludf.DUMMYFUNCTION("GOOGLETRANSLATE(B34932,""en"",""de"")"),"Eine große Gruppe von Sportlern steht in einer Strecke, während einige ihre Arme hoch halten, um zu klatschen.")</f>
        <v>Eine große Gruppe von Sportlern steht in einer Strecke, während einige ihre Arme hoch halten, um zu klatschen.</v>
      </c>
    </row>
    <row r="34933">
      <c r="A34933" s="4" t="s">
        <v>43953</v>
      </c>
      <c r="B34933" s="4" t="s">
        <v>43955</v>
      </c>
      <c r="C34933" s="5" t="str">
        <f>IFERROR(__xludf.DUMMYFUNCTION("GOOGLETRANSLATE(B34933,""en"",""de"")"),"Ein Läufer macht sich auf den Weg die Strecke und springt in eine große Sandgrube und geht weg.")</f>
        <v>Ein Läufer macht sich auf den Weg die Strecke und springt in eine große Sandgrube und geht weg.</v>
      </c>
    </row>
    <row r="34934">
      <c r="A34934" s="4" t="s">
        <v>43956</v>
      </c>
      <c r="B34934" s="4" t="s">
        <v>43957</v>
      </c>
      <c r="C34934" s="5" t="str">
        <f>IFERROR(__xludf.DUMMYFUNCTION("GOOGLETRANSLATE(B34934,""en"",""de"")"),"Ein Mann in roten Läufen springt und dreht über ein Hindernis.")</f>
        <v>Ein Mann in roten Läufen springt und dreht über ein Hindernis.</v>
      </c>
    </row>
    <row r="34935">
      <c r="A34935" s="4" t="s">
        <v>43956</v>
      </c>
      <c r="B34935" s="4" t="s">
        <v>43958</v>
      </c>
      <c r="C34935" s="5" t="str">
        <f>IFERROR(__xludf.DUMMYFUNCTION("GOOGLETRANSLATE(B34935,""en"",""de"")"),"Es wird in Zeitlupe immer wieder gemacht.")</f>
        <v>Es wird in Zeitlupe immer wieder gemacht.</v>
      </c>
    </row>
    <row r="34936">
      <c r="A34936" s="4" t="s">
        <v>43956</v>
      </c>
      <c r="B34936" s="4" t="s">
        <v>43959</v>
      </c>
      <c r="C34936" s="5" t="str">
        <f>IFERROR(__xludf.DUMMYFUNCTION("GOOGLETRANSLATE(B34936,""en"",""de"")"),"Er macht es dann zum letzten Mal wieder.")</f>
        <v>Er macht es dann zum letzten Mal wieder.</v>
      </c>
    </row>
    <row r="34937">
      <c r="A34937" s="4" t="s">
        <v>43956</v>
      </c>
      <c r="B34937" s="4" t="s">
        <v>43960</v>
      </c>
      <c r="C34937" s="5" t="str">
        <f>IFERROR(__xludf.DUMMYFUNCTION("GOOGLETRANSLATE(B34937,""en"",""de"")"),"Dann beginnen sie schließlich ein Rennen auf einem Feld, einen Mann, der Schwarze trägt, zuerst die Ziellinie.")</f>
        <v>Dann beginnen sie schließlich ein Rennen auf einem Feld, einen Mann, der Schwarze trägt, zuerst die Ziellinie.</v>
      </c>
    </row>
    <row r="34938">
      <c r="A34938" s="4" t="s">
        <v>43961</v>
      </c>
      <c r="B34938" s="4" t="s">
        <v>43962</v>
      </c>
      <c r="C34938" s="5" t="str">
        <f>IFERROR(__xludf.DUMMYFUNCTION("GOOGLETRANSLATE(B34938,""en"",""de"")"),"Eine Frau, die Nummer 177 trägt, steht an Ort und Stelle, sie überquert ihr Herz und bereitet sich darauf vor, zu rennen.")</f>
        <v>Eine Frau, die Nummer 177 trägt, steht an Ort und Stelle, sie überquert ihr Herz und bereitet sich darauf vor, zu rennen.</v>
      </c>
    </row>
    <row r="34939">
      <c r="A34939" s="4" t="s">
        <v>43961</v>
      </c>
      <c r="B34939" s="4" t="s">
        <v>43963</v>
      </c>
      <c r="C34939" s="5" t="str">
        <f>IFERROR(__xludf.DUMMYFUNCTION("GOOGLETRANSLATE(B34939,""en"",""de"")"),"Sie atmet tief ein und beginnt sehr schnell auf dem Feld zu laufen.")</f>
        <v>Sie atmet tief ein und beginnt sehr schnell auf dem Feld zu laufen.</v>
      </c>
    </row>
    <row r="34940">
      <c r="A34940" s="4" t="s">
        <v>43961</v>
      </c>
      <c r="B34940" s="4" t="s">
        <v>43964</v>
      </c>
      <c r="C34940" s="5" t="str">
        <f>IFERROR(__xludf.DUMMYFUNCTION("GOOGLETRANSLATE(B34940,""en"",""de"")"),"Sie springt hoch und landet direkt im Sand auf ihren Hintern. Sie zeigen mulitple Wiederholungen ihrer Leistung.")</f>
        <v>Sie springt hoch und landet direkt im Sand auf ihren Hintern. Sie zeigen mulitple Wiederholungen ihrer Leistung.</v>
      </c>
    </row>
    <row r="34941">
      <c r="A34941" s="4" t="s">
        <v>43961</v>
      </c>
      <c r="B34941" s="4" t="s">
        <v>43965</v>
      </c>
      <c r="C34941" s="5" t="str">
        <f>IFERROR(__xludf.DUMMYFUNCTION("GOOGLETRANSLATE(B34941,""en"",""de"")"),"Sie beugt sich und repariert ihre Uniform, wobei sie ihren Hintern abstaubt, während sie weggeht.")</f>
        <v>Sie beugt sich und repariert ihre Uniform, wobei sie ihren Hintern abstaubt, während sie weggeht.</v>
      </c>
    </row>
    <row r="34942">
      <c r="A34942" s="4" t="s">
        <v>43966</v>
      </c>
      <c r="B34942" s="4" t="s">
        <v>43967</v>
      </c>
      <c r="C34942" s="5" t="str">
        <f>IFERROR(__xludf.DUMMYFUNCTION("GOOGLETRANSLATE(B34942,""en"",""de"")"),"Die Leute klingen vor einem Gebäude herum.")</f>
        <v>Die Leute klingen vor einem Gebäude herum.</v>
      </c>
    </row>
    <row r="34943">
      <c r="A34943" s="4" t="s">
        <v>43966</v>
      </c>
      <c r="B34943" s="4" t="s">
        <v>43968</v>
      </c>
      <c r="C34943" s="5" t="str">
        <f>IFERROR(__xludf.DUMMYFUNCTION("GOOGLETRANSLATE(B34943,""en"",""de"")"),"Ein Mann Roller Blades schnell.")</f>
        <v>Ein Mann Roller Blades schnell.</v>
      </c>
    </row>
    <row r="34944">
      <c r="A34944" s="4" t="s">
        <v>43966</v>
      </c>
      <c r="B34944" s="4" t="s">
        <v>43969</v>
      </c>
      <c r="C34944" s="5" t="str">
        <f>IFERROR(__xludf.DUMMYFUNCTION("GOOGLETRANSLATE(B34944,""en"",""de"")"),"Der Mann hebt seine Hände in der Luft und beginnt seine Rollschaufel zu stoppen.")</f>
        <v>Der Mann hebt seine Hände in der Luft und beginnt seine Rollschaufel zu stoppen.</v>
      </c>
    </row>
    <row r="34945">
      <c r="A34945" s="4" t="s">
        <v>43970</v>
      </c>
      <c r="B34945" s="4" t="s">
        <v>43971</v>
      </c>
      <c r="C34945" s="5" t="str">
        <f>IFERROR(__xludf.DUMMYFUNCTION("GOOGLETRANSLATE(B34945,""en"",""de"")"),"Menschen winden sich auf einem großen Gewässer.")</f>
        <v>Menschen winden sich auf einem großen Gewässer.</v>
      </c>
    </row>
    <row r="34946">
      <c r="A34946" s="4" t="s">
        <v>43970</v>
      </c>
      <c r="B34946" s="4" t="s">
        <v>43972</v>
      </c>
      <c r="C34946" s="5" t="str">
        <f>IFERROR(__xludf.DUMMYFUNCTION("GOOGLETRANSLATE(B34946,""en"",""de"")"),"Ein Parkschild mit der Aufschrift ""Willkommen im Kanaha Beach Park"" wird gezeigt.")</f>
        <v>Ein Parkschild mit der Aufschrift "Willkommen im Kanaha Beach Park" wird gezeigt.</v>
      </c>
    </row>
    <row r="34947">
      <c r="A34947" s="4" t="s">
        <v>43970</v>
      </c>
      <c r="B34947" s="4" t="s">
        <v>43973</v>
      </c>
      <c r="C34947" s="5" t="str">
        <f>IFERROR(__xludf.DUMMYFUNCTION("GOOGLETRANSLATE(B34947,""en"",""de"")"),"Weitere Windsurfer werden über das Wasser rennen.")</f>
        <v>Weitere Windsurfer werden über das Wasser rennen.</v>
      </c>
    </row>
    <row r="34948">
      <c r="A34948" s="4" t="s">
        <v>43974</v>
      </c>
      <c r="B34948" s="4" t="s">
        <v>43975</v>
      </c>
      <c r="C34948" s="5" t="str">
        <f>IFERROR(__xludf.DUMMYFUNCTION("GOOGLETRANSLATE(B34948,""en"",""de"")"),"Der Mann in der Ecke schießt den Ball direkt ins Netz.")</f>
        <v>Der Mann in der Ecke schießt den Ball direkt ins Netz.</v>
      </c>
    </row>
    <row r="34949">
      <c r="A34949" s="4" t="s">
        <v>43974</v>
      </c>
      <c r="B34949" s="4" t="s">
        <v>43976</v>
      </c>
      <c r="C34949" s="5" t="str">
        <f>IFERROR(__xludf.DUMMYFUNCTION("GOOGLETRANSLATE(B34949,""en"",""de"")"),"Das Team feiert das Spielfeld.")</f>
        <v>Das Team feiert das Spielfeld.</v>
      </c>
    </row>
    <row r="34950">
      <c r="A34950" s="4" t="s">
        <v>43974</v>
      </c>
      <c r="B34950" s="4" t="s">
        <v>43977</v>
      </c>
      <c r="C34950" s="5" t="str">
        <f>IFERROR(__xludf.DUMMYFUNCTION("GOOGLETRANSLATE(B34950,""en"",""de"")"),"Ein Mann auf der Tribüne klettert über das Geländer und rennt auf das Gericht, das feiert.")</f>
        <v>Ein Mann auf der Tribüne klettert über das Geländer und rennt auf das Gericht, das feiert.</v>
      </c>
    </row>
    <row r="34951">
      <c r="A34951" s="4" t="s">
        <v>43974</v>
      </c>
      <c r="B34951" s="4" t="s">
        <v>43978</v>
      </c>
      <c r="C34951" s="5" t="str">
        <f>IFERROR(__xludf.DUMMYFUNCTION("GOOGLETRANSLATE(B34951,""en"",""de"")"),"Die Gruppe ist in einem Haufen, das auf dem Platz feiert.")</f>
        <v>Die Gruppe ist in einem Haufen, das auf dem Platz feiert.</v>
      </c>
    </row>
    <row r="34952">
      <c r="A34952" s="4" t="s">
        <v>43974</v>
      </c>
      <c r="B34952" s="4" t="s">
        <v>43979</v>
      </c>
      <c r="C34952" s="5" t="str">
        <f>IFERROR(__xludf.DUMMYFUNCTION("GOOGLETRANSLATE(B34952,""en"",""de"")"),"Einer der Spieler tritt den Ball in die Tribüne und geht mit unten mit dem Kopf ab.")</f>
        <v>Einer der Spieler tritt den Ball in die Tribüne und geht mit unten mit dem Kopf ab.</v>
      </c>
    </row>
    <row r="34953">
      <c r="A34953" s="4" t="s">
        <v>43974</v>
      </c>
      <c r="B34953" s="4" t="s">
        <v>43980</v>
      </c>
      <c r="C34953" s="5" t="str">
        <f>IFERROR(__xludf.DUMMYFUNCTION("GOOGLETRANSLATE(B34953,""en"",""de"")"),"Ein paar Spieler stehen in der Ecke und sehen aus, als würden sie sich streiten.")</f>
        <v>Ein paar Spieler stehen in der Ecke und sehen aus, als würden sie sich streiten.</v>
      </c>
    </row>
    <row r="34954">
      <c r="A34954" s="4" t="s">
        <v>43974</v>
      </c>
      <c r="B34954" s="4" t="s">
        <v>43981</v>
      </c>
      <c r="C34954" s="5" t="str">
        <f>IFERROR(__xludf.DUMMYFUNCTION("GOOGLETRANSLATE(B34954,""en"",""de"")"),"Ein paar Spieler und Zuschauer fahren den Platz zum Nahkampf.")</f>
        <v>Ein paar Spieler und Zuschauer fahren den Platz zum Nahkampf.</v>
      </c>
    </row>
    <row r="34955">
      <c r="A34955" s="4" t="s">
        <v>43974</v>
      </c>
      <c r="B34955" s="4" t="s">
        <v>43982</v>
      </c>
      <c r="C34955" s="5" t="str">
        <f>IFERROR(__xludf.DUMMYFUNCTION("GOOGLETRANSLATE(B34955,""en"",""de"")"),"Männer rennen am Rande des Hofes.")</f>
        <v>Männer rennen am Rande des Hofes.</v>
      </c>
    </row>
    <row r="34956">
      <c r="A34956" s="4" t="s">
        <v>43974</v>
      </c>
      <c r="B34956" s="4" t="s">
        <v>43983</v>
      </c>
      <c r="C34956" s="5" t="str">
        <f>IFERROR(__xludf.DUMMYFUNCTION("GOOGLETRANSLATE(B34956,""en"",""de"")"),"Die kleine Gruppe streitet immer noch und hält Kämpfe zurück.")</f>
        <v>Die kleine Gruppe streitet immer noch und hält Kämpfe zurück.</v>
      </c>
    </row>
    <row r="34957">
      <c r="A34957" s="4" t="s">
        <v>43974</v>
      </c>
      <c r="B34957" s="4" t="s">
        <v>43984</v>
      </c>
      <c r="C34957" s="5" t="str">
        <f>IFERROR(__xludf.DUMMYFUNCTION("GOOGLETRANSLATE(B34957,""en"",""de"")"),"Eine kleine Gruppe führt eine animierte Diskussion.")</f>
        <v>Eine kleine Gruppe führt eine animierte Diskussion.</v>
      </c>
    </row>
    <row r="34958">
      <c r="A34958" s="4" t="s">
        <v>43974</v>
      </c>
      <c r="B34958" s="4" t="s">
        <v>43985</v>
      </c>
      <c r="C34958" s="5" t="str">
        <f>IFERROR(__xludf.DUMMYFUNCTION("GOOGLETRANSLATE(B34958,""en"",""de"")"),"Die beiden Männer gehen zurück zum Platz, als die Gruppe wieder über den Hofboden und die Kante spricht.")</f>
        <v>Die beiden Männer gehen zurück zum Platz, als die Gruppe wieder über den Hofboden und die Kante spricht.</v>
      </c>
    </row>
    <row r="34959">
      <c r="A34959" s="4" t="s">
        <v>43986</v>
      </c>
      <c r="B34959" s="4" t="s">
        <v>43987</v>
      </c>
      <c r="C34959" s="5" t="str">
        <f>IFERROR(__xludf.DUMMYFUNCTION("GOOGLETRANSLATE(B34959,""en"",""de"")"),"Eine Frau spricht, während sie auf dem Boden sitzt.")</f>
        <v>Eine Frau spricht, während sie auf dem Boden sitzt.</v>
      </c>
    </row>
    <row r="34960">
      <c r="A34960" s="4" t="s">
        <v>43986</v>
      </c>
      <c r="B34960" s="4" t="s">
        <v>43988</v>
      </c>
      <c r="C34960" s="5" t="str">
        <f>IFERROR(__xludf.DUMMYFUNCTION("GOOGLETRANSLATE(B34960,""en"",""de"")"),"Sie zeigt eine Schere aus der Klimperson.")</f>
        <v>Sie zeigt eine Schere aus der Klimperson.</v>
      </c>
    </row>
    <row r="34961">
      <c r="A34961" s="4" t="s">
        <v>43986</v>
      </c>
      <c r="B34961" s="4" t="s">
        <v>43989</v>
      </c>
      <c r="C34961" s="5" t="str">
        <f>IFERROR(__xludf.DUMMYFUNCTION("GOOGLETRANSLATE(B34961,""en"",""de"")"),"Sie benutzt sie dann, um die Nägel einer Katze sanft, aber schnell zu schneiden, während eine andere Frau sie hilft.")</f>
        <v>Sie benutzt sie dann, um die Nägel einer Katze sanft, aber schnell zu schneiden, während eine andere Frau sie hilft.</v>
      </c>
    </row>
    <row r="34962">
      <c r="A34962" s="4" t="s">
        <v>43990</v>
      </c>
      <c r="B34962" s="4" t="s">
        <v>43991</v>
      </c>
      <c r="C34962" s="5" t="str">
        <f>IFERROR(__xludf.DUMMYFUNCTION("GOOGLETRANSLATE(B34962,""en"",""de"")"),"Die Menschen rufen einen schmalen Fluss zwischen zwei Bergen hinunter.")</f>
        <v>Die Menschen rufen einen schmalen Fluss zwischen zwei Bergen hinunter.</v>
      </c>
    </row>
    <row r="34963">
      <c r="A34963" s="4" t="s">
        <v>43990</v>
      </c>
      <c r="B34963" s="4" t="s">
        <v>43992</v>
      </c>
      <c r="C34963" s="5" t="str">
        <f>IFERROR(__xludf.DUMMYFUNCTION("GOOGLETRANSLATE(B34963,""en"",""de"")"),"Menschen rafting in Schwierigkeiten im schmalen Fluss.")</f>
        <v>Menschen rafting in Schwierigkeiten im schmalen Fluss.</v>
      </c>
    </row>
    <row r="34964">
      <c r="A34964" s="4" t="s">
        <v>43990</v>
      </c>
      <c r="B34964" s="4" t="s">
        <v>43993</v>
      </c>
      <c r="C34964" s="5" t="str">
        <f>IFERROR(__xludf.DUMMYFUNCTION("GOOGLETRANSLATE(B34964,""en"",""de"")"),"Die Leute segeln in einem offenen Raum den felsigen Fluss hinunter.")</f>
        <v>Die Leute segeln in einem offenen Raum den felsigen Fluss hinunter.</v>
      </c>
    </row>
    <row r="34965">
      <c r="A34965" s="4" t="s">
        <v>43994</v>
      </c>
      <c r="B34965" s="4" t="s">
        <v>43995</v>
      </c>
      <c r="C34965" s="5" t="str">
        <f>IFERROR(__xludf.DUMMYFUNCTION("GOOGLETRANSLATE(B34965,""en"",""de"")"),"Ein Mann sitzt vor einer Kirche und spielt ein Lied auf einem Akkordeon.")</f>
        <v>Ein Mann sitzt vor einer Kirche und spielt ein Lied auf einem Akkordeon.</v>
      </c>
    </row>
    <row r="34966">
      <c r="A34966" s="4" t="s">
        <v>43994</v>
      </c>
      <c r="B34966" s="4" t="s">
        <v>43996</v>
      </c>
      <c r="C34966" s="5" t="str">
        <f>IFERROR(__xludf.DUMMYFUNCTION("GOOGLETRANSLATE(B34966,""en"",""de"")"),"Der Mann geht die Skala hinunter als am Ende des Songs.")</f>
        <v>Der Mann geht die Skala hinunter als am Ende des Songs.</v>
      </c>
    </row>
    <row r="34967">
      <c r="A34967" s="4" t="s">
        <v>43994</v>
      </c>
      <c r="B34967" s="4" t="s">
        <v>43997</v>
      </c>
      <c r="C34967" s="5" t="str">
        <f>IFERROR(__xludf.DUMMYFUNCTION("GOOGLETRANSLATE(B34967,""en"",""de"")"),"Der Mann beendet das Lied und lächelt.")</f>
        <v>Der Mann beendet das Lied und lächelt.</v>
      </c>
    </row>
    <row r="34968">
      <c r="A34968" s="4" t="s">
        <v>43998</v>
      </c>
      <c r="B34968" s="4" t="s">
        <v>43999</v>
      </c>
      <c r="C34968" s="5" t="str">
        <f>IFERROR(__xludf.DUMMYFUNCTION("GOOGLETRANSLATE(B34968,""en"",""de"")"),"Ein Mann fährt auf einem Skateboard einen Hügel auf seinem Kopf hinunter.")</f>
        <v>Ein Mann fährt auf einem Skateboard einen Hügel auf seinem Kopf hinunter.</v>
      </c>
    </row>
    <row r="34969">
      <c r="A34969" s="4" t="s">
        <v>43998</v>
      </c>
      <c r="B34969" s="4" t="s">
        <v>44000</v>
      </c>
      <c r="C34969" s="5" t="str">
        <f>IFERROR(__xludf.DUMMYFUNCTION("GOOGLETRANSLATE(B34969,""en"",""de"")"),"Es werden mehr Aufnahmen von Menschen gezeigt, die Tricks auf Skateboards rund um einen Bereich durchführen.")</f>
        <v>Es werden mehr Aufnahmen von Menschen gezeigt, die Tricks auf Skateboards rund um einen Bereich durchführen.</v>
      </c>
    </row>
    <row r="34970">
      <c r="A34970" s="4" t="s">
        <v>43998</v>
      </c>
      <c r="B34970" s="4" t="s">
        <v>44001</v>
      </c>
      <c r="C34970" s="5" t="str">
        <f>IFERROR(__xludf.DUMMYFUNCTION("GOOGLETRANSLATE(B34970,""en"",""de"")"),"Die Leute führen weiterhin Tricks durch und fahren herum, während andere Leute nebenbei zuschauen.")</f>
        <v>Die Leute führen weiterhin Tricks durch und fahren herum, während andere Leute nebenbei zuschauen.</v>
      </c>
    </row>
    <row r="34971">
      <c r="A34971" s="4" t="s">
        <v>44002</v>
      </c>
      <c r="B34971" s="4" t="s">
        <v>44003</v>
      </c>
      <c r="C34971" s="5" t="str">
        <f>IFERROR(__xludf.DUMMYFUNCTION("GOOGLETRANSLATE(B34971,""en"",""de"")"),"Eine Gruppe von Bandkollegen befindet sich draußen in einem Park.")</f>
        <v>Eine Gruppe von Bandkollegen befindet sich draußen in einem Park.</v>
      </c>
    </row>
    <row r="34972">
      <c r="A34972" s="4" t="s">
        <v>44002</v>
      </c>
      <c r="B34972" s="4" t="s">
        <v>44004</v>
      </c>
      <c r="C34972" s="5" t="str">
        <f>IFERROR(__xludf.DUMMYFUNCTION("GOOGLETRANSLATE(B34972,""en"",""de"")"),"Sie tragen Outfits der Unabhängigkeitskriegszeit.")</f>
        <v>Sie tragen Outfits der Unabhängigkeitskriegszeit.</v>
      </c>
    </row>
    <row r="34973">
      <c r="A34973" s="4" t="s">
        <v>44002</v>
      </c>
      <c r="B34973" s="4" t="s">
        <v>44005</v>
      </c>
      <c r="C34973" s="5" t="str">
        <f>IFERROR(__xludf.DUMMYFUNCTION("GOOGLETRANSLATE(B34973,""en"",""de"")"),"Sie spielen im Einklang im Takt die Trommeln.")</f>
        <v>Sie spielen im Einklang im Takt die Trommeln.</v>
      </c>
    </row>
    <row r="34974">
      <c r="A34974" s="4" t="s">
        <v>44006</v>
      </c>
      <c r="B34974" s="4" t="s">
        <v>44007</v>
      </c>
      <c r="C34974" s="5" t="str">
        <f>IFERROR(__xludf.DUMMYFUNCTION("GOOGLETRANSLATE(B34974,""en"",""de"")"),"Ein Mann kniet auf einem Boden, der etwas Teppich hält und mit der Kamera spricht.")</f>
        <v>Ein Mann kniet auf einem Boden, der etwas Teppich hält und mit der Kamera spricht.</v>
      </c>
    </row>
    <row r="34975">
      <c r="A34975" s="4" t="s">
        <v>44006</v>
      </c>
      <c r="B34975" s="4" t="s">
        <v>44008</v>
      </c>
      <c r="C34975" s="5" t="str">
        <f>IFERROR(__xludf.DUMMYFUNCTION("GOOGLETRANSLATE(B34975,""en"",""de"")"),"Er schaltet die Schichten ab und rieb den Teppich hinunter.")</f>
        <v>Er schaltet die Schichten ab und rieb den Teppich hinunter.</v>
      </c>
    </row>
    <row r="34976">
      <c r="A34976" s="4" t="s">
        <v>44006</v>
      </c>
      <c r="B34976" s="4" t="s">
        <v>44009</v>
      </c>
      <c r="C34976" s="5" t="str">
        <f>IFERROR(__xludf.DUMMYFUNCTION("GOOGLETRANSLATE(B34976,""en"",""de"")"),"Er gießt Flüssigkeit auf den Teppich und kippt sie mit einem Papiertuch.")</f>
        <v>Er gießt Flüssigkeit auf den Teppich und kippt sie mit einem Papiertuch.</v>
      </c>
    </row>
    <row r="34977">
      <c r="A34977" s="4" t="s">
        <v>44006</v>
      </c>
      <c r="B34977" s="4" t="s">
        <v>44010</v>
      </c>
      <c r="C34977" s="5" t="str">
        <f>IFERROR(__xludf.DUMMYFUNCTION("GOOGLETRANSLATE(B34977,""en"",""de"")"),"Schließlich steckt die Person den Teppich hinauf und steht neben dem Vakuum.")</f>
        <v>Schließlich steckt die Person den Teppich hinauf und steht neben dem Vakuum.</v>
      </c>
    </row>
    <row r="34978">
      <c r="A34978" s="4" t="s">
        <v>44011</v>
      </c>
      <c r="B34978" s="4" t="s">
        <v>44012</v>
      </c>
      <c r="C34978" s="5" t="str">
        <f>IFERROR(__xludf.DUMMYFUNCTION("GOOGLETRANSLATE(B34978,""en"",""de"")"),"Drei Menschen sind im Fitnessstudio, einer der Männer kniet nieder und ruckelt eine Bar, während der andere einer Frau eine Massage gibt.")</f>
        <v>Drei Menschen sind im Fitnessstudio, einer der Männer kniet nieder und ruckelt eine Bar, während der andere einer Frau eine Massage gibt.</v>
      </c>
    </row>
    <row r="34979">
      <c r="A34979" s="4" t="s">
        <v>44011</v>
      </c>
      <c r="B34979" s="4" t="s">
        <v>44013</v>
      </c>
      <c r="C34979" s="5" t="str">
        <f>IFERROR(__xludf.DUMMYFUNCTION("GOOGLETRANSLATE(B34979,""en"",""de"")"),"Der Mann mit der Stange hebt die Gewichte, lässt sie fallen und springt dann vor Freude, dass er das Gewicht erhöht hat, seinen Gürtel fallen und geht ab.")</f>
        <v>Der Mann mit der Stange hebt die Gewichte, lässt sie fallen und springt dann vor Freude, dass er das Gewicht erhöht hat, seinen Gürtel fallen und geht ab.</v>
      </c>
    </row>
    <row r="34980">
      <c r="A34980" s="4" t="s">
        <v>44014</v>
      </c>
      <c r="B34980" s="4" t="s">
        <v>44015</v>
      </c>
      <c r="C34980" s="5" t="str">
        <f>IFERROR(__xludf.DUMMYFUNCTION("GOOGLETRANSLATE(B34980,""en"",""de"")"),"Ein kleines Kind wird gesehen, wie ein kleines Kind die Kamera anpasst und ihr Gesicht zeigt.")</f>
        <v>Ein kleines Kind wird gesehen, wie ein kleines Kind die Kamera anpasst und ihr Gesicht zeigt.</v>
      </c>
    </row>
    <row r="34981">
      <c r="A34981" s="4" t="s">
        <v>44014</v>
      </c>
      <c r="B34981" s="4" t="s">
        <v>44016</v>
      </c>
      <c r="C34981" s="5" t="str">
        <f>IFERROR(__xludf.DUMMYFUNCTION("GOOGLETRANSLATE(B34981,""en"",""de"")"),"Sie schnappt sich etwas Make -up und legt es ganz auf ihr Gesicht.")</f>
        <v>Sie schnappt sich etwas Make -up und legt es ganz auf ihr Gesicht.</v>
      </c>
    </row>
    <row r="34982">
      <c r="A34982" s="4" t="s">
        <v>44014</v>
      </c>
      <c r="B34982" s="4" t="s">
        <v>44017</v>
      </c>
      <c r="C34982" s="5" t="str">
        <f>IFERROR(__xludf.DUMMYFUNCTION("GOOGLETRANSLATE(B34982,""en"",""de"")"),"Sie macht weiter mehr Make -up und zeigt es der Kamera.")</f>
        <v>Sie macht weiter mehr Make -up und zeigt es der Kamera.</v>
      </c>
    </row>
    <row r="34983">
      <c r="A34983" s="4" t="s">
        <v>44018</v>
      </c>
      <c r="B34983" s="4" t="s">
        <v>44019</v>
      </c>
      <c r="C34983" s="5" t="str">
        <f>IFERROR(__xludf.DUMMYFUNCTION("GOOGLETRANSLATE(B34983,""en"",""de"")"),"Ein Mann sprintet eine Strecke hinunter.")</f>
        <v>Ein Mann sprintet eine Strecke hinunter.</v>
      </c>
    </row>
    <row r="34984">
      <c r="A34984" s="4" t="s">
        <v>44018</v>
      </c>
      <c r="B34984" s="4" t="s">
        <v>44020</v>
      </c>
      <c r="C34984" s="5" t="str">
        <f>IFERROR(__xludf.DUMMYFUNCTION("GOOGLETRANSLATE(B34984,""en"",""de"")"),"Der Mann springt am Ende der Strecke.")</f>
        <v>Der Mann springt am Ende der Strecke.</v>
      </c>
    </row>
    <row r="34985">
      <c r="A34985" s="4" t="s">
        <v>44018</v>
      </c>
      <c r="B34985" s="4" t="s">
        <v>44021</v>
      </c>
      <c r="C34985" s="5" t="str">
        <f>IFERROR(__xludf.DUMMYFUNCTION("GOOGLETRANSLATE(B34985,""en"",""de"")"),"Der Sprung des Mannes wird aus verschiedenen Winkeln in Zeitlupe gezeigt.")</f>
        <v>Der Sprung des Mannes wird aus verschiedenen Winkeln in Zeitlupe gezeigt.</v>
      </c>
    </row>
    <row r="34986">
      <c r="A34986" s="4" t="s">
        <v>44022</v>
      </c>
      <c r="B34986" s="4" t="s">
        <v>44023</v>
      </c>
      <c r="C34986" s="5" t="str">
        <f>IFERROR(__xludf.DUMMYFUNCTION("GOOGLETRANSLATE(B34986,""en"",""de"")"),"Eine Kamera schwenkt in großen Stadtgebäuden und führt zu Menschen, die Motocross -Motorräder fahren.")</f>
        <v>Eine Kamera schwenkt in großen Stadtgebäuden und führt zu Menschen, die Motocross -Motorräder fahren.</v>
      </c>
    </row>
    <row r="34987">
      <c r="A34987" s="4" t="s">
        <v>44022</v>
      </c>
      <c r="B34987" s="4" t="s">
        <v>44024</v>
      </c>
      <c r="C34987" s="5" t="str">
        <f>IFERROR(__xludf.DUMMYFUNCTION("GOOGLETRANSLATE(B34987,""en"",""de"")"),"Weitere Clips sind von Menschen zu sehen, die Tricks auf dem Fahrrad durchführen, während Hunderte am Rande zuschauen.")</f>
        <v>Weitere Clips sind von Menschen zu sehen, die Tricks auf dem Fahrrad durchführen, während Hunderte am Rande zuschauen.</v>
      </c>
    </row>
    <row r="34988">
      <c r="A34988" s="4" t="s">
        <v>44022</v>
      </c>
      <c r="B34988" s="4" t="s">
        <v>44025</v>
      </c>
      <c r="C34988" s="5" t="str">
        <f>IFERROR(__xludf.DUMMYFUNCTION("GOOGLETRANSLATE(B34988,""en"",""de"")"),"Weitere Menschen reiten herum und winken am Ende mit den Händen.")</f>
        <v>Weitere Menschen reiten herum und winken am Ende mit den Händen.</v>
      </c>
    </row>
    <row r="34989">
      <c r="A34989" s="4" t="s">
        <v>44026</v>
      </c>
      <c r="B34989" s="4" t="s">
        <v>44027</v>
      </c>
      <c r="C34989" s="5" t="str">
        <f>IFERROR(__xludf.DUMMYFUNCTION("GOOGLETRANSLATE(B34989,""en"",""de"")"),"Die Leute spielen ein Poolspiel.")</f>
        <v>Die Leute spielen ein Poolspiel.</v>
      </c>
    </row>
    <row r="34990">
      <c r="A34990" s="4" t="s">
        <v>44026</v>
      </c>
      <c r="B34990" s="4" t="s">
        <v>44028</v>
      </c>
      <c r="C34990" s="5" t="str">
        <f>IFERROR(__xludf.DUMMYFUNCTION("GOOGLETRANSLATE(B34990,""en"",""de"")"),"Ein Mann spricht mit der Kamera und lacht.")</f>
        <v>Ein Mann spricht mit der Kamera und lacht.</v>
      </c>
    </row>
    <row r="34991">
      <c r="A34991" s="4" t="s">
        <v>44026</v>
      </c>
      <c r="B34991" s="4" t="s">
        <v>1599</v>
      </c>
      <c r="C34991" s="5" t="str">
        <f>IFERROR(__xludf.DUMMYFUNCTION("GOOGLETRANSLATE(B34991,""en"",""de"")"),"Wörter werden auf dem Bildschirm angezeigt.")</f>
        <v>Wörter werden auf dem Bildschirm angezeigt.</v>
      </c>
    </row>
    <row r="34992">
      <c r="A34992" s="4" t="s">
        <v>44029</v>
      </c>
      <c r="B34992" s="4" t="s">
        <v>44030</v>
      </c>
      <c r="C34992" s="5" t="str">
        <f>IFERROR(__xludf.DUMMYFUNCTION("GOOGLETRANSLATE(B34992,""en"",""de"")"),"Vier Personen machen Situps vor Ort.")</f>
        <v>Vier Personen machen Situps vor Ort.</v>
      </c>
    </row>
    <row r="34993">
      <c r="A34993" s="4" t="s">
        <v>44029</v>
      </c>
      <c r="B34993" s="4" t="s">
        <v>44031</v>
      </c>
      <c r="C34993" s="5" t="str">
        <f>IFERROR(__xludf.DUMMYFUNCTION("GOOGLETRANSLATE(B34993,""en"",""de"")"),"Die dritte Person wird angehalten.")</f>
        <v>Die dritte Person wird angehalten.</v>
      </c>
    </row>
    <row r="34994">
      <c r="A34994" s="4" t="s">
        <v>44029</v>
      </c>
      <c r="B34994" s="4" t="s">
        <v>44032</v>
      </c>
      <c r="C34994" s="5" t="str">
        <f>IFERROR(__xludf.DUMMYFUNCTION("GOOGLETRANSLATE(B34994,""en"",""de"")"),"Die am weitesten entfernte Person ist kaum sichtbar.")</f>
        <v>Die am weitesten entfernte Person ist kaum sichtbar.</v>
      </c>
    </row>
    <row r="34995">
      <c r="A34995" s="4" t="s">
        <v>44033</v>
      </c>
      <c r="B34995" s="4" t="s">
        <v>44034</v>
      </c>
      <c r="C34995" s="5" t="str">
        <f>IFERROR(__xludf.DUMMYFUNCTION("GOOGLETRANSLATE(B34995,""en"",""de"")"),"Die Leute stehen in einer Arena mit Cowboyhüte herum.")</f>
        <v>Die Leute stehen in einer Arena mit Cowboyhüte herum.</v>
      </c>
    </row>
    <row r="34996">
      <c r="A34996" s="4" t="s">
        <v>44033</v>
      </c>
      <c r="B34996" s="4" t="s">
        <v>44035</v>
      </c>
      <c r="C34996" s="5" t="str">
        <f>IFERROR(__xludf.DUMMYFUNCTION("GOOGLETRANSLATE(B34996,""en"",""de"")"),"Sie veröffentlichen ein Kalb aus einer Box.")</f>
        <v>Sie veröffentlichen ein Kalb aus einer Box.</v>
      </c>
    </row>
    <row r="34997">
      <c r="A34997" s="4" t="s">
        <v>44033</v>
      </c>
      <c r="B34997" s="4" t="s">
        <v>44036</v>
      </c>
      <c r="C34997" s="5" t="str">
        <f>IFERROR(__xludf.DUMMYFUNCTION("GOOGLETRANSLATE(B34997,""en"",""de"")"),"Ein Mann auf einem Pferd läuft nach dem Kalb.")</f>
        <v>Ein Mann auf einem Pferd läuft nach dem Kalb.</v>
      </c>
    </row>
    <row r="34998">
      <c r="A34998" s="4" t="s">
        <v>44033</v>
      </c>
      <c r="B34998" s="4" t="s">
        <v>44037</v>
      </c>
      <c r="C34998" s="5" t="str">
        <f>IFERROR(__xludf.DUMMYFUNCTION("GOOGLETRANSLATE(B34998,""en"",""de"")"),"Er bindet die Beine des Kalbs und steht auf und geht weg.")</f>
        <v>Er bindet die Beine des Kalbs und steht auf und geht weg.</v>
      </c>
    </row>
    <row r="34999">
      <c r="A34999" s="4" t="s">
        <v>44038</v>
      </c>
      <c r="B34999" s="4" t="s">
        <v>44039</v>
      </c>
      <c r="C34999" s="5" t="str">
        <f>IFERROR(__xludf.DUMMYFUNCTION("GOOGLETRANSLATE(B34999,""en"",""de"")"),"Ein Mann steht über einem Waschbecken und mit seiner rechten Hand hält er einen Bohrer mit einer Kartoffel am Ende, und die rechte Hand hält die Handschäler, während der Bohrer die Kartoffel bewegt und die Schäler ihn schält.")</f>
        <v>Ein Mann steht über einem Waschbecken und mit seiner rechten Hand hält er einen Bohrer mit einer Kartoffel am Ende, und die rechte Hand hält die Handschäler, während der Bohrer die Kartoffel bewegt und die Schäler ihn schält.</v>
      </c>
    </row>
    <row r="35000">
      <c r="A35000" s="4" t="s">
        <v>44038</v>
      </c>
      <c r="B35000" s="4" t="s">
        <v>44040</v>
      </c>
      <c r="C35000" s="5" t="str">
        <f>IFERROR(__xludf.DUMMYFUNCTION("GOOGLETRANSLATE(B35000,""en"",""de"")"),"Der Mann stoppt den Bohrer vorübergehend, um ein kleines Stück Kartoffel abzuziehen, und ein langes Stück Metall wird gezeigt, das aus dem Bohrer ragt.")</f>
        <v>Der Mann stoppt den Bohrer vorübergehend, um ein kleines Stück Kartoffel abzuziehen, und ein langes Stück Metall wird gezeigt, das aus dem Bohrer ragt.</v>
      </c>
    </row>
    <row r="35001">
      <c r="A35001" s="4" t="s">
        <v>44038</v>
      </c>
      <c r="B35001" s="4" t="s">
        <v>44041</v>
      </c>
      <c r="C35001" s="5" t="str">
        <f>IFERROR(__xludf.DUMMYFUNCTION("GOOGLETRANSLATE(B35001,""en"",""de"")"),"Der Mann legt dann eine weitere Kartoffel auf das spitze Metallstück und schält die Kartoffel weiter.")</f>
        <v>Der Mann legt dann eine weitere Kartoffel auf das spitze Metallstück und schält die Kartoffel weiter.</v>
      </c>
    </row>
    <row r="35002">
      <c r="A35002" s="4" t="s">
        <v>44038</v>
      </c>
      <c r="B35002" s="4" t="s">
        <v>44042</v>
      </c>
      <c r="C35002" s="5" t="str">
        <f>IFERROR(__xludf.DUMMYFUNCTION("GOOGLETRANSLATE(B35002,""en"",""de"")"),"Noch einmal hält er stehen und reinigt dann seinen Schäler und kehrt dann zurück, um den Rest der Kartoffel zu schälen.")</f>
        <v>Noch einmal hält er stehen und reinigt dann seinen Schäler und kehrt dann zurück, um den Rest der Kartoffel zu schälen.</v>
      </c>
    </row>
    <row r="35003">
      <c r="A35003" s="4" t="s">
        <v>44038</v>
      </c>
      <c r="B35003" s="4" t="s">
        <v>44043</v>
      </c>
      <c r="C35003" s="5" t="str">
        <f>IFERROR(__xludf.DUMMYFUNCTION("GOOGLETRANSLATE(B35003,""en"",""de"")"),"Der Mann stoppt den Bohrer zum letzten Mal, lasst ihn los und reinigt den Schäler noch einmal mit beiden Händen, während er den Inhalt in das Waschbecken wirft und.")</f>
        <v>Der Mann stoppt den Bohrer zum letzten Mal, lasst ihn los und reinigt den Schäler noch einmal mit beiden Händen, während er den Inhalt in das Waschbecken wirft und.</v>
      </c>
    </row>
    <row r="35004">
      <c r="A35004" s="4" t="s">
        <v>44044</v>
      </c>
      <c r="B35004" s="4" t="s">
        <v>44045</v>
      </c>
      <c r="C35004" s="5" t="str">
        <f>IFERROR(__xludf.DUMMYFUNCTION("GOOGLETRANSLATE(B35004,""en"",""de"")"),"Eine Dame steht von ihrem Platz auf und wir sehen das Orchester Musik spielen.")</f>
        <v>Eine Dame steht von ihrem Platz auf und wir sehen das Orchester Musik spielen.</v>
      </c>
    </row>
    <row r="35005">
      <c r="A35005" s="4" t="s">
        <v>44044</v>
      </c>
      <c r="B35005" s="4" t="s">
        <v>44046</v>
      </c>
      <c r="C35005" s="5" t="str">
        <f>IFERROR(__xludf.DUMMYFUNCTION("GOOGLETRANSLATE(B35005,""en"",""de"")"),"Die Frau macht auf der Bühne eine Routine für Bauchtanz.")</f>
        <v>Die Frau macht auf der Bühne eine Routine für Bauchtanz.</v>
      </c>
    </row>
    <row r="35006">
      <c r="A35006" s="4" t="s">
        <v>44044</v>
      </c>
      <c r="B35006" s="4" t="s">
        <v>44047</v>
      </c>
      <c r="C35006" s="5" t="str">
        <f>IFERROR(__xludf.DUMMYFUNCTION("GOOGLETRANSLATE(B35006,""en"",""de"")"),"Wir sehen, wie eine Kamera die Szene rechts eindringt.")</f>
        <v>Wir sehen, wie eine Kamera die Szene rechts eindringt.</v>
      </c>
    </row>
    <row r="35007">
      <c r="A35007" s="4" t="s">
        <v>44044</v>
      </c>
      <c r="B35007" s="4" t="s">
        <v>44048</v>
      </c>
      <c r="C35007" s="5" t="str">
        <f>IFERROR(__xludf.DUMMYFUNCTION("GOOGLETRANSLATE(B35007,""en"",""de"")"),"Wir sehen den Hinterkopf eines Mannes.")</f>
        <v>Wir sehen den Hinterkopf eines Mannes.</v>
      </c>
    </row>
    <row r="35008">
      <c r="A35008" s="4" t="s">
        <v>44044</v>
      </c>
      <c r="B35008" s="4" t="s">
        <v>44049</v>
      </c>
      <c r="C35008" s="5" t="str">
        <f>IFERROR(__xludf.DUMMYFUNCTION("GOOGLETRANSLATE(B35008,""en"",""de"")"),"Wir sehen dann die Frau neben dem Mann.")</f>
        <v>Wir sehen dann die Frau neben dem Mann.</v>
      </c>
    </row>
    <row r="35009">
      <c r="A35009" s="4" t="s">
        <v>44044</v>
      </c>
      <c r="B35009" s="4" t="s">
        <v>44050</v>
      </c>
      <c r="C35009" s="5" t="str">
        <f>IFERROR(__xludf.DUMMYFUNCTION("GOOGLETRANSLATE(B35009,""en"",""de"")"),"Die Frau beendet ihren Tanz und nimmt ihren Wrap auf.")</f>
        <v>Die Frau beendet ihren Tanz und nimmt ihren Wrap auf.</v>
      </c>
    </row>
    <row r="35010">
      <c r="A35010" s="4" t="s">
        <v>44044</v>
      </c>
      <c r="B35010" s="4" t="s">
        <v>44051</v>
      </c>
      <c r="C35010" s="5" t="str">
        <f>IFERROR(__xludf.DUMMYFUNCTION("GOOGLETRANSLATE(B35010,""en"",""de"")"),"Wir sehen eine düstere Dame, die ein Mikrofon hält.")</f>
        <v>Wir sehen eine düstere Dame, die ein Mikrofon hält.</v>
      </c>
    </row>
    <row r="35011">
      <c r="A35011" s="4" t="s">
        <v>44052</v>
      </c>
      <c r="B35011" s="4" t="s">
        <v>44053</v>
      </c>
      <c r="C35011" s="5" t="str">
        <f>IFERROR(__xludf.DUMMYFUNCTION("GOOGLETRANSLATE(B35011,""en"",""de"")"),"Ein Mann wischt einen schmutzigen öffentlichen Badezimmerboden.")</f>
        <v>Ein Mann wischt einen schmutzigen öffentlichen Badezimmerboden.</v>
      </c>
    </row>
    <row r="35012">
      <c r="A35012" s="4" t="s">
        <v>44052</v>
      </c>
      <c r="B35012" s="4" t="s">
        <v>44054</v>
      </c>
      <c r="C35012" s="5" t="str">
        <f>IFERROR(__xludf.DUMMYFUNCTION("GOOGLETRANSLATE(B35012,""en"",""de"")"),"Er schiebt den Mopp hin und her und macht den Boden sauber und glänzend.")</f>
        <v>Er schiebt den Mopp hin und her und macht den Boden sauber und glänzend.</v>
      </c>
    </row>
    <row r="35013">
      <c r="A35013" s="4" t="s">
        <v>44055</v>
      </c>
      <c r="B35013" s="4" t="s">
        <v>44056</v>
      </c>
      <c r="C35013" s="5" t="str">
        <f>IFERROR(__xludf.DUMMYFUNCTION("GOOGLETRANSLATE(B35013,""en"",""de"")"),"Ein großer Mann, der als Batman gekleidet ist, macht seltsame unsinnige Sachen.")</f>
        <v>Ein großer Mann, der als Batman gekleidet ist, macht seltsame unsinnige Sachen.</v>
      </c>
    </row>
    <row r="35014">
      <c r="A35014" s="4" t="s">
        <v>44055</v>
      </c>
      <c r="B35014" s="4" t="s">
        <v>44057</v>
      </c>
      <c r="C35014" s="5" t="str">
        <f>IFERROR(__xludf.DUMMYFUNCTION("GOOGLETRANSLATE(B35014,""en"",""de"")"),"Er rennt im Haus und beginnt Anweisungen zu geben, wie man das perfekte Batman -Sandwich macht.")</f>
        <v>Er rennt im Haus und beginnt Anweisungen zu geben, wie man das perfekte Batman -Sandwich macht.</v>
      </c>
    </row>
    <row r="35015">
      <c r="A35015" s="4" t="s">
        <v>44055</v>
      </c>
      <c r="B35015" s="4" t="s">
        <v>44058</v>
      </c>
      <c r="C35015" s="5" t="str">
        <f>IFERROR(__xludf.DUMMYFUNCTION("GOOGLETRANSLATE(B35015,""en"",""de"")"),"Er schneidet Käse auf und fügt dem Sandwich Schinken hinzu.")</f>
        <v>Er schneidet Käse auf und fügt dem Sandwich Schinken hinzu.</v>
      </c>
    </row>
    <row r="35016">
      <c r="A35016" s="4" t="s">
        <v>44055</v>
      </c>
      <c r="B35016" s="4" t="s">
        <v>44059</v>
      </c>
      <c r="C35016" s="5" t="str">
        <f>IFERROR(__xludf.DUMMYFUNCTION("GOOGLETRANSLATE(B35016,""en"",""de"")"),"Er schneidet das Brot sogar in eine Batman -Form, bevor er schließlich fertig ist.")</f>
        <v>Er schneidet das Brot sogar in eine Batman -Form, bevor er schließlich fertig ist.</v>
      </c>
    </row>
    <row r="35017">
      <c r="A35017" s="4" t="s">
        <v>44060</v>
      </c>
      <c r="B35017" s="4" t="s">
        <v>44061</v>
      </c>
      <c r="C35017" s="5" t="str">
        <f>IFERROR(__xludf.DUMMYFUNCTION("GOOGLETRANSLATE(B35017,""en"",""de"")"),"Zwei Männer sind in einem kleinen Fitnessboxen und kämpfen gegeneinander.")</f>
        <v>Zwei Männer sind in einem kleinen Fitnessboxen und kämpfen gegeneinander.</v>
      </c>
    </row>
    <row r="35018">
      <c r="A35018" s="4" t="s">
        <v>44060</v>
      </c>
      <c r="B35018" s="4" t="s">
        <v>44062</v>
      </c>
      <c r="C35018" s="5" t="str">
        <f>IFERROR(__xludf.DUMMYFUNCTION("GOOGLETRANSLATE(B35018,""en"",""de"")"),"Sie kämpfen weiter und schlagen sich gegenseitig, als eine Person in der Ecke steht und sie zeigt.")</f>
        <v>Sie kämpfen weiter und schlagen sich gegenseitig, als eine Person in der Ecke steht und sie zeigt.</v>
      </c>
    </row>
    <row r="35019">
      <c r="A35019" s="4" t="s">
        <v>44060</v>
      </c>
      <c r="B35019" s="4" t="s">
        <v>44063</v>
      </c>
      <c r="C35019" s="5" t="str">
        <f>IFERROR(__xludf.DUMMYFUNCTION("GOOGLETRANSLATE(B35019,""en"",""de"")"),"Nach einiger Zeit beenden sie Kämpfe und stehen im Fitnessstudio immer noch gegenüber.")</f>
        <v>Nach einiger Zeit beenden sie Kämpfe und stehen im Fitnessstudio immer noch gegenüber.</v>
      </c>
    </row>
    <row r="35020">
      <c r="A35020" s="4" t="s">
        <v>44064</v>
      </c>
      <c r="B35020" s="4" t="s">
        <v>44065</v>
      </c>
      <c r="C35020" s="5" t="str">
        <f>IFERROR(__xludf.DUMMYFUNCTION("GOOGLETRANSLATE(B35020,""en"",""de"")"),"Ein Mann in einem Anzug liest eine Zeitung ab.")</f>
        <v>Ein Mann in einem Anzug liest eine Zeitung ab.</v>
      </c>
    </row>
    <row r="35021">
      <c r="A35021" s="4" t="s">
        <v>44064</v>
      </c>
      <c r="B35021" s="4" t="s">
        <v>44066</v>
      </c>
      <c r="C35021" s="5" t="str">
        <f>IFERROR(__xludf.DUMMYFUNCTION("GOOGLETRANSLATE(B35021,""en"",""de"")"),"Eine Frau meldet dann eine Nachricht.")</f>
        <v>Eine Frau meldet dann eine Nachricht.</v>
      </c>
    </row>
    <row r="35022">
      <c r="A35022" s="4" t="s">
        <v>44064</v>
      </c>
      <c r="B35022" s="4" t="s">
        <v>44067</v>
      </c>
      <c r="C35022" s="5" t="str">
        <f>IFERROR(__xludf.DUMMYFUNCTION("GOOGLETRANSLATE(B35022,""en"",""de"")"),"Ein kleiner Junge spielt die Mundharmonika auf der Straße.")</f>
        <v>Ein kleiner Junge spielt die Mundharmonika auf der Straße.</v>
      </c>
    </row>
    <row r="35023">
      <c r="A35023" s="4" t="s">
        <v>44064</v>
      </c>
      <c r="B35023" s="4" t="s">
        <v>44068</v>
      </c>
      <c r="C35023" s="5" t="str">
        <f>IFERROR(__xludf.DUMMYFUNCTION("GOOGLETRANSLATE(B35023,""en"",""de"")"),"Er steht auf einem Dock, das seine Geschichte erzählt.")</f>
        <v>Er steht auf einem Dock, das seine Geschichte erzählt.</v>
      </c>
    </row>
    <row r="35024">
      <c r="A35024" s="4" t="s">
        <v>44069</v>
      </c>
      <c r="B35024" s="4" t="s">
        <v>44070</v>
      </c>
      <c r="C35024" s="5" t="str">
        <f>IFERROR(__xludf.DUMMYFUNCTION("GOOGLETRANSLATE(B35024,""en"",""de"")"),"Ein Mann wird vor der Kamera gezeigt, die mehrere Bewegungen mit seinen Armen und Beinen durchliegt, während er in die Kamera lächelt.")</f>
        <v>Ein Mann wird vor der Kamera gezeigt, die mehrere Bewegungen mit seinen Armen und Beinen durchliegt, während er in die Kamera lächelt.</v>
      </c>
    </row>
    <row r="35025">
      <c r="A35025" s="4" t="s">
        <v>44069</v>
      </c>
      <c r="B35025" s="4" t="s">
        <v>44071</v>
      </c>
      <c r="C35025" s="5" t="str">
        <f>IFERROR(__xludf.DUMMYFUNCTION("GOOGLETRANSLATE(B35025,""en"",""de"")"),"Er führt mehrere weitere Bewegungen langsam durch und spricht weiter und lächelt zur Kamera.")</f>
        <v>Er führt mehrere weitere Bewegungen langsam durch und spricht weiter und lächelt zur Kamera.</v>
      </c>
    </row>
    <row r="35026">
      <c r="A35026" s="4" t="s">
        <v>44072</v>
      </c>
      <c r="B35026" s="4" t="s">
        <v>44073</v>
      </c>
      <c r="C35026" s="5" t="str">
        <f>IFERROR(__xludf.DUMMYFUNCTION("GOOGLETRANSLATE(B35026,""en"",""de"")"),"Eine Frau badet einen weißen und braunen Welpenhund in einer Badewanne.")</f>
        <v>Eine Frau badet einen weißen und braunen Welpenhund in einer Badewanne.</v>
      </c>
    </row>
    <row r="35027">
      <c r="A35027" s="4" t="s">
        <v>44072</v>
      </c>
      <c r="B35027" s="4" t="s">
        <v>44074</v>
      </c>
      <c r="C35027" s="5" t="str">
        <f>IFERROR(__xludf.DUMMYFUNCTION("GOOGLETRANSLATE(B35027,""en"",""de"")"),"Die Frau benutzt eine handgehaltene Dusche, um den Hund zu waschen.")</f>
        <v>Die Frau benutzt eine handgehaltene Dusche, um den Hund zu waschen.</v>
      </c>
    </row>
    <row r="35028">
      <c r="A35028" s="4" t="s">
        <v>44072</v>
      </c>
      <c r="B35028" s="4" t="s">
        <v>44075</v>
      </c>
      <c r="C35028" s="5" t="str">
        <f>IFERROR(__xludf.DUMMYFUNCTION("GOOGLETRANSLATE(B35028,""en"",""de"")"),"Die Frau hält den Hund mit seinen zwei Vorderbeinen.")</f>
        <v>Die Frau hält den Hund mit seinen zwei Vorderbeinen.</v>
      </c>
    </row>
    <row r="35029">
      <c r="A35029" s="4" t="s">
        <v>44072</v>
      </c>
      <c r="B35029" s="4" t="s">
        <v>44076</v>
      </c>
      <c r="C35029" s="5" t="str">
        <f>IFERROR(__xludf.DUMMYFUNCTION("GOOGLETRANSLATE(B35029,""en"",""de"")"),"Sie wäscht den Hund weiter mit der Dusche.")</f>
        <v>Sie wäscht den Hund weiter mit der Dusche.</v>
      </c>
    </row>
    <row r="35030">
      <c r="A35030" s="4" t="s">
        <v>44077</v>
      </c>
      <c r="B35030" s="4" t="s">
        <v>44078</v>
      </c>
      <c r="C35030" s="5" t="str">
        <f>IFERROR(__xludf.DUMMYFUNCTION("GOOGLETRANSLATE(B35030,""en"",""de"")"),"Mehrere Menschen sind auf einer Party.")</f>
        <v>Mehrere Menschen sind auf einer Party.</v>
      </c>
    </row>
    <row r="35031">
      <c r="A35031" s="4" t="s">
        <v>44077</v>
      </c>
      <c r="B35031" s="4" t="s">
        <v>44079</v>
      </c>
      <c r="C35031" s="5" t="str">
        <f>IFERROR(__xludf.DUMMYFUNCTION("GOOGLETRANSLATE(B35031,""en"",""de"")"),"Sie trinken und spielen Bierpong.")</f>
        <v>Sie trinken und spielen Bierpong.</v>
      </c>
    </row>
    <row r="35032">
      <c r="A35032" s="4" t="s">
        <v>44077</v>
      </c>
      <c r="B35032" s="4" t="s">
        <v>44080</v>
      </c>
      <c r="C35032" s="5" t="str">
        <f>IFERROR(__xludf.DUMMYFUNCTION("GOOGLETRANSLATE(B35032,""en"",""de"")"),"Es gibt Menschen, die tanzen und ihre Telefone betrachten.")</f>
        <v>Es gibt Menschen, die tanzen und ihre Telefone betrachten.</v>
      </c>
    </row>
    <row r="35033">
      <c r="A35033" s="4" t="s">
        <v>44081</v>
      </c>
      <c r="B35033" s="4" t="s">
        <v>44082</v>
      </c>
      <c r="C35033" s="5" t="str">
        <f>IFERROR(__xludf.DUMMYFUNCTION("GOOGLETRANSLATE(B35033,""en"",""de"")"),"Der Name Seppe SMITs erscheint auf dem Bildschirm, gefolgt von ""Snow Boarding 2400 Stunden am Tag"".")</f>
        <v>Der Name Seppe SMITs erscheint auf dem Bildschirm, gefolgt von "Snow Boarding 2400 Stunden am Tag".</v>
      </c>
    </row>
    <row r="35034">
      <c r="A35034" s="4" t="s">
        <v>44081</v>
      </c>
      <c r="B35034" s="4" t="s">
        <v>44083</v>
      </c>
      <c r="C35034" s="5" t="str">
        <f>IFERROR(__xludf.DUMMYFUNCTION("GOOGLETRANSLATE(B35034,""en"",""de"")"),"Das Video von Smits ab seinem Tag ist mit Schüssen von ihm Snowboarden gemischt.")</f>
        <v>Das Video von Smits ab seinem Tag ist mit Schüssen von ihm Snowboarden gemischt.</v>
      </c>
    </row>
    <row r="35035">
      <c r="A35035" s="4" t="s">
        <v>44081</v>
      </c>
      <c r="B35035" s="4" t="s">
        <v>44084</v>
      </c>
      <c r="C35035" s="5" t="str">
        <f>IFERROR(__xludf.DUMMYFUNCTION("GOOGLETRANSLATE(B35035,""en"",""de"")"),"Social -Media -Hashtags auf werden auf dem Bildschirm angezeigt.")</f>
        <v>Social -Media -Hashtags auf werden auf dem Bildschirm angezeigt.</v>
      </c>
    </row>
    <row r="35036">
      <c r="A35036" s="4" t="s">
        <v>44085</v>
      </c>
      <c r="B35036" s="4" t="s">
        <v>44086</v>
      </c>
      <c r="C35036" s="5" t="str">
        <f>IFERROR(__xludf.DUMMYFUNCTION("GOOGLETRANSLATE(B35036,""en"",""de"")"),"Frau steht in einer Küche, die mit der Kamera spricht und eine Tüte Nudeln mit Nudeln hält.")</f>
        <v>Frau steht in einer Küche, die mit der Kamera spricht und eine Tüte Nudeln mit Nudeln hält.</v>
      </c>
    </row>
    <row r="35037">
      <c r="A35037" s="4" t="s">
        <v>44085</v>
      </c>
      <c r="B35037" s="4" t="s">
        <v>44087</v>
      </c>
      <c r="C35037" s="5" t="str">
        <f>IFERROR(__xludf.DUMMYFUNCTION("GOOGLETRANSLATE(B35037,""en"",""de"")"),"Frau schnappt sich Nudeln und steckte sie in gekochtes Wasser.")</f>
        <v>Frau schnappt sich Nudeln und steckte sie in gekochtes Wasser.</v>
      </c>
    </row>
    <row r="35038">
      <c r="A35038" s="4" t="s">
        <v>44085</v>
      </c>
      <c r="B35038" s="4" t="s">
        <v>44088</v>
      </c>
      <c r="C35038" s="5" t="str">
        <f>IFERROR(__xludf.DUMMYFUNCTION("GOOGLETRANSLATE(B35038,""en"",""de"")"),"Frau schnappt sich einen Spaghetti und isst es, um zu sehen, ob es gekocht wird, und erklären, wie man es weiß.")</f>
        <v>Frau schnappt sich einen Spaghetti und isst es, um zu sehen, ob es gekocht wird, und erklären, wie man es weiß.</v>
      </c>
    </row>
    <row r="35039">
      <c r="A35039" s="4" t="s">
        <v>44085</v>
      </c>
      <c r="B35039" s="4" t="s">
        <v>44089</v>
      </c>
      <c r="C35039" s="5" t="str">
        <f>IFERROR(__xludf.DUMMYFUNCTION("GOOGLETRANSLATE(B35039,""en"",""de"")"),"Werfen Sie das Wasser in die Spüle und rauen Sie Käse in Nudeln und ein wenig Oegano ein und servieren Sie es in einem weißen Teller.")</f>
        <v>Werfen Sie das Wasser in die Spüle und rauen Sie Käse in Nudeln und ein wenig Oegano ein und servieren Sie es in einem weißen Teller.</v>
      </c>
    </row>
    <row r="35040">
      <c r="A35040" s="4" t="s">
        <v>44090</v>
      </c>
      <c r="B35040" s="4" t="s">
        <v>44091</v>
      </c>
      <c r="C35040" s="5" t="str">
        <f>IFERROR(__xludf.DUMMYFUNCTION("GOOGLETRANSLATE(B35040,""en"",""de"")"),"Eine Gruppe von Männern befindet sich an einem Sandstrand, der Fußball spielt, während viele Leute zuschauen.")</f>
        <v>Eine Gruppe von Männern befindet sich an einem Sandstrand, der Fußball spielt, während viele Leute zuschauen.</v>
      </c>
    </row>
    <row r="35041">
      <c r="A35041" s="4" t="s">
        <v>44090</v>
      </c>
      <c r="B35041" s="4" t="s">
        <v>44092</v>
      </c>
      <c r="C35041" s="5" t="str">
        <f>IFERROR(__xludf.DUMMYFUNCTION("GOOGLETRANSLATE(B35041,""en"",""de"")"),"Ein Mann tritt sehr hart in den Ball, schafft es im Tor und er wirft seine zwei Arme in die Luft und gibt einem Teamkollegen einen High Five und sie rennen zurück, um für das nächste Spiel einzusteigen.")</f>
        <v>Ein Mann tritt sehr hart in den Ball, schafft es im Tor und er wirft seine zwei Arme in die Luft und gibt einem Teamkollegen einen High Five und sie rennen zurück, um für das nächste Spiel einzusteigen.</v>
      </c>
    </row>
    <row r="35042">
      <c r="A35042" s="4" t="s">
        <v>44090</v>
      </c>
      <c r="B35042" s="4" t="s">
        <v>44093</v>
      </c>
      <c r="C35042" s="5" t="str">
        <f>IFERROR(__xludf.DUMMYFUNCTION("GOOGLETRANSLATE(B35042,""en"",""de"")"),"Die Wiederholung des Tores, das geteilt wurde, wird wiederholt, aber in Zeitlupe.")</f>
        <v>Die Wiederholung des Tores, das geteilt wurde, wird wiederholt, aber in Zeitlupe.</v>
      </c>
    </row>
    <row r="35043">
      <c r="A35043" s="4" t="s">
        <v>44094</v>
      </c>
      <c r="B35043" s="4" t="s">
        <v>44095</v>
      </c>
      <c r="C35043" s="5" t="str">
        <f>IFERROR(__xludf.DUMMYFUNCTION("GOOGLETRANSLATE(B35043,""en"",""de"")"),"Ein Mann hält eine Kamera, während er neben einem See steht.")</f>
        <v>Ein Mann hält eine Kamera, während er neben einem See steht.</v>
      </c>
    </row>
    <row r="35044">
      <c r="A35044" s="4" t="s">
        <v>44094</v>
      </c>
      <c r="B35044" s="4" t="s">
        <v>44096</v>
      </c>
      <c r="C35044" s="5" t="str">
        <f>IFERROR(__xludf.DUMMYFUNCTION("GOOGLETRANSLATE(B35044,""en"",""de"")"),"Er geht durch Tunnel, geht über Brücken und steht über Klippen.")</f>
        <v>Er geht durch Tunnel, geht über Brücken und steht über Klippen.</v>
      </c>
    </row>
    <row r="35045">
      <c r="A35045" s="4" t="s">
        <v>44094</v>
      </c>
      <c r="B35045" s="4" t="s">
        <v>44097</v>
      </c>
      <c r="C35045" s="5" t="str">
        <f>IFERROR(__xludf.DUMMYFUNCTION("GOOGLETRANSLATE(B35045,""en"",""de"")"),"Er fährt eine Straße hinunter und verzeichnet Rafting auf einem White Water River.")</f>
        <v>Er fährt eine Straße hinunter und verzeichnet Rafting auf einem White Water River.</v>
      </c>
    </row>
    <row r="35046">
      <c r="A35046" s="4" t="s">
        <v>44094</v>
      </c>
      <c r="B35046" s="4" t="s">
        <v>44098</v>
      </c>
      <c r="C35046" s="5" t="str">
        <f>IFERROR(__xludf.DUMMYFUNCTION("GOOGLETRANSLATE(B35046,""en"",""de"")"),"Die Menschen werden vor dem Rafting wieder in tiefe Gewässer von Klippen tauchen.")</f>
        <v>Die Menschen werden vor dem Rafting wieder in tiefe Gewässer von Klippen tauchen.</v>
      </c>
    </row>
    <row r="35047">
      <c r="A35047" s="4" t="s">
        <v>44099</v>
      </c>
      <c r="B35047" s="4" t="s">
        <v>44100</v>
      </c>
      <c r="C35047" s="5" t="str">
        <f>IFERROR(__xludf.DUMMYFUNCTION("GOOGLETRANSLATE(B35047,""en"",""de"")"),"Eine Kamera schwenkt auf dem Rücken eines Mannes, gefolgt von einem Mann, der einen Umtauchung in einen Pool aufführt.")</f>
        <v>Eine Kamera schwenkt auf dem Rücken eines Mannes, gefolgt von einem Mann, der einen Umtauchung in einen Pool aufführt.</v>
      </c>
    </row>
    <row r="35048">
      <c r="A35048" s="4" t="s">
        <v>44099</v>
      </c>
      <c r="B35048" s="4" t="s">
        <v>44101</v>
      </c>
      <c r="C35048" s="5" t="str">
        <f>IFERROR(__xludf.DUMMYFUNCTION("GOOGLETRANSLATE(B35048,""en"",""de"")"),"Er wird zweimal gezeigt, wie er sich zweimal mit beeindruckenden Tauchgängen vom Tauchbrett und in den Pool auswirkt.")</f>
        <v>Er wird zweimal gezeigt, wie er sich zweimal mit beeindruckenden Tauchgängen vom Tauchbrett und in den Pool auswirkt.</v>
      </c>
    </row>
    <row r="35049">
      <c r="A35049" s="4" t="s">
        <v>44102</v>
      </c>
      <c r="B35049" s="4" t="s">
        <v>44103</v>
      </c>
      <c r="C35049" s="5" t="str">
        <f>IFERROR(__xludf.DUMMYFUNCTION("GOOGLETRANSLATE(B35049,""en"",""de"")"),"Eine Person steigt aus einem Auto und geht zum Kofferraum, um sich ein Surfbrett zu schnappen.")</f>
        <v>Eine Person steigt aus einem Auto und geht zum Kofferraum, um sich ein Surfbrett zu schnappen.</v>
      </c>
    </row>
    <row r="35050">
      <c r="A35050" s="4" t="s">
        <v>44102</v>
      </c>
      <c r="B35050" s="4" t="s">
        <v>44104</v>
      </c>
      <c r="C35050" s="5" t="str">
        <f>IFERROR(__xludf.DUMMYFUNCTION("GOOGLETRANSLATE(B35050,""en"",""de"")"),"Die Person wird dann gesehen, wie er einen Anzug trägt und eine Promenade entlang rennt, gefolgt von ihm surfen.")</f>
        <v>Die Person wird dann gesehen, wie er einen Anzug trägt und eine Promenade entlang rennt, gefolgt von ihm surfen.</v>
      </c>
    </row>
    <row r="35051">
      <c r="A35051" s="4" t="s">
        <v>44102</v>
      </c>
      <c r="B35051" s="4" t="s">
        <v>44105</v>
      </c>
      <c r="C35051" s="5" t="str">
        <f>IFERROR(__xludf.DUMMYFUNCTION("GOOGLETRANSLATE(B35051,""en"",""de"")"),"Der Mann gleitet in Zeitlupe über das Wasser und wird dann gesehen, wie sie mit der Kamera spricht.")</f>
        <v>Der Mann gleitet in Zeitlupe über das Wasser und wird dann gesehen, wie sie mit der Kamera spricht.</v>
      </c>
    </row>
    <row r="35052">
      <c r="A35052" s="4" t="s">
        <v>44106</v>
      </c>
      <c r="B35052" s="4" t="s">
        <v>44107</v>
      </c>
      <c r="C35052" s="5" t="str">
        <f>IFERROR(__xludf.DUMMYFUNCTION("GOOGLETRANSLATE(B35052,""en"",""de"")"),"Eine blonde Frau sitzt auf einem Bett in einem Hotelzimmer, das sich in einem Spiegel mit einem weißen Handy auf Videozimmer aufnahm und mit der Kamera spricht.")</f>
        <v>Eine blonde Frau sitzt auf einem Bett in einem Hotelzimmer, das sich in einem Spiegel mit einem weißen Handy auf Videozimmer aufnahm und mit der Kamera spricht.</v>
      </c>
    </row>
    <row r="35053">
      <c r="A35053" s="4" t="s">
        <v>44106</v>
      </c>
      <c r="B35053" s="4" t="s">
        <v>44108</v>
      </c>
      <c r="C35053" s="5" t="str">
        <f>IFERROR(__xludf.DUMMYFUNCTION("GOOGLETRANSLATE(B35053,""en"",""de"")"),"Die Frau steht auf und zeigt die Kamera zur Tür ins Badezimmer, wo ein Mann seine Turnschuhe mit einem Pinsel im Waschbecken wäscht.")</f>
        <v>Die Frau steht auf und zeigt die Kamera zur Tür ins Badezimmer, wo ein Mann seine Turnschuhe mit einem Pinsel im Waschbecken wäscht.</v>
      </c>
    </row>
    <row r="35054">
      <c r="A35054" s="4" t="s">
        <v>44106</v>
      </c>
      <c r="B35054" s="4" t="s">
        <v>44109</v>
      </c>
      <c r="C35054" s="5" t="str">
        <f>IFERROR(__xludf.DUMMYFUNCTION("GOOGLETRANSLATE(B35054,""en"",""de"")"),"Die blonde Frau geht zurück in den Raum und zeigt all die verschiedenen Turnschuhe, die der Mann überall im Hotelzimmer liegt.")</f>
        <v>Die blonde Frau geht zurück in den Raum und zeigt all die verschiedenen Turnschuhe, die der Mann überall im Hotelzimmer liegt.</v>
      </c>
    </row>
    <row r="35055">
      <c r="A35055" s="4" t="s">
        <v>44106</v>
      </c>
      <c r="B35055" s="4" t="s">
        <v>44110</v>
      </c>
      <c r="C35055" s="5" t="str">
        <f>IFERROR(__xludf.DUMMYFUNCTION("GOOGLETRANSLATE(B35055,""en"",""de"")"),"Die blonde Frau geht zurück ins Badezimmer und Video -Bänder, die der Mann die weißen Turnschuhe hält.")</f>
        <v>Die blonde Frau geht zurück ins Badezimmer und Video -Bänder, die der Mann die weißen Turnschuhe hält.</v>
      </c>
    </row>
    <row r="35056">
      <c r="A35056" s="4" t="s">
        <v>44106</v>
      </c>
      <c r="B35056" s="4" t="s">
        <v>44111</v>
      </c>
      <c r="C35056" s="5" t="str">
        <f>IFERROR(__xludf.DUMMYFUNCTION("GOOGLETRANSLATE(B35056,""en"",""de"")"),"Der Mann ist jetzt draußen, indem er Polnisch und Plastikband auf die Turnschuhe macht und sie mit einer Zahnbürste beschreibt.")</f>
        <v>Der Mann ist jetzt draußen, indem er Polnisch und Plastikband auf die Turnschuhe macht und sie mit einer Zahnbürste beschreibt.</v>
      </c>
    </row>
    <row r="35057">
      <c r="A35057" s="4" t="s">
        <v>44106</v>
      </c>
      <c r="B35057" s="4" t="s">
        <v>44112</v>
      </c>
      <c r="C35057" s="5" t="str">
        <f>IFERROR(__xludf.DUMMYFUNCTION("GOOGLETRANSLATE(B35057,""en"",""de"")"),"Es gibt verschiedene Bilder des Endprodukts von sauberen Turnschuhen.")</f>
        <v>Es gibt verschiedene Bilder des Endprodukts von sauberen Turnschuhen.</v>
      </c>
    </row>
    <row r="35058">
      <c r="A35058" s="4" t="s">
        <v>44113</v>
      </c>
      <c r="B35058" s="4" t="s">
        <v>44114</v>
      </c>
      <c r="C35058" s="5" t="str">
        <f>IFERROR(__xludf.DUMMYFUNCTION("GOOGLETRANSLATE(B35058,""en"",""de"")"),"Eine große Gruppe von Menschen steht in einem Kreis, der mit einer Person in der Mitte Schlagzeug spielt und sie anweist.")</f>
        <v>Eine große Gruppe von Menschen steht in einem Kreis, der mit einer Person in der Mitte Schlagzeug spielt und sie anweist.</v>
      </c>
    </row>
    <row r="35059">
      <c r="A35059" s="4" t="s">
        <v>44113</v>
      </c>
      <c r="B35059" s="4" t="s">
        <v>44115</v>
      </c>
      <c r="C35059" s="5" t="str">
        <f>IFERROR(__xludf.DUMMYFUNCTION("GOOGLETRANSLATE(B35059,""en"",""de"")"),"Die Kamera schwenkt um die Gruppe und spielt Schlagzeug, während sie nebenbei Leute sind.")</f>
        <v>Die Kamera schwenkt um die Gruppe und spielt Schlagzeug, während sie nebenbei Leute sind.</v>
      </c>
    </row>
    <row r="35060">
      <c r="A35060" s="4" t="s">
        <v>44116</v>
      </c>
      <c r="B35060" s="4" t="s">
        <v>44117</v>
      </c>
      <c r="C35060" s="5" t="str">
        <f>IFERROR(__xludf.DUMMYFUNCTION("GOOGLETRANSLATE(B35060,""en"",""de"")"),"Eine Frau hackt Holz mit einer Axt auf einen Block.")</f>
        <v>Eine Frau hackt Holz mit einer Axt auf einen Block.</v>
      </c>
    </row>
    <row r="35061">
      <c r="A35061" s="4" t="s">
        <v>44116</v>
      </c>
      <c r="B35061" s="4" t="s">
        <v>44118</v>
      </c>
      <c r="C35061" s="5" t="str">
        <f>IFERROR(__xludf.DUMMYFUNCTION("GOOGLETRANSLATE(B35061,""en"",""de"")"),"Es fällt ihnen schwer, die Axt aus dem Holz zu holen.")</f>
        <v>Es fällt ihnen schwer, die Axt aus dem Holz zu holen.</v>
      </c>
    </row>
    <row r="35062">
      <c r="A35062" s="4" t="s">
        <v>44116</v>
      </c>
      <c r="B35062" s="4" t="s">
        <v>44119</v>
      </c>
      <c r="C35062" s="5" t="str">
        <f>IFERROR(__xludf.DUMMYFUNCTION("GOOGLETRANSLATE(B35062,""en"",""de"")"),"Jemand anderes kommt und versucht es herauszuholen, aber sie können nicht.")</f>
        <v>Jemand anderes kommt und versucht es herauszuholen, aber sie können nicht.</v>
      </c>
    </row>
    <row r="35063">
      <c r="A35063" s="4" t="s">
        <v>44116</v>
      </c>
      <c r="B35063" s="4" t="s">
        <v>44120</v>
      </c>
      <c r="C35063" s="5" t="str">
        <f>IFERROR(__xludf.DUMMYFUNCTION("GOOGLETRANSLATE(B35063,""en"",""de"")"),"Das erste Mädchen kommt zurück und versucht weiter, die Axt aus dem Holz zu ziehen.")</f>
        <v>Das erste Mädchen kommt zurück und versucht weiter, die Axt aus dem Holz zu ziehen.</v>
      </c>
    </row>
    <row r="35064">
      <c r="A35064" s="4" t="s">
        <v>44121</v>
      </c>
      <c r="B35064" s="4" t="s">
        <v>44122</v>
      </c>
      <c r="C35064" s="5" t="str">
        <f>IFERROR(__xludf.DUMMYFUNCTION("GOOGLETRANSLATE(B35064,""en"",""de"")"),"Ein junger Mann steckt die Haare mehrerer älterer Männer in einem Friseurstuhl im Freien.")</f>
        <v>Ein junger Mann steckt die Haare mehrerer älterer Männer in einem Friseurstuhl im Freien.</v>
      </c>
    </row>
    <row r="35065">
      <c r="A35065" s="4" t="s">
        <v>44121</v>
      </c>
      <c r="B35065" s="4" t="s">
        <v>44123</v>
      </c>
      <c r="C35065" s="5" t="str">
        <f>IFERROR(__xludf.DUMMYFUNCTION("GOOGLETRANSLATE(B35065,""en"",""de"")"),"Der Mann, der Haare schneidet, befindet sich in einem Friseurladen.")</f>
        <v>Der Mann, der Haare schneidet, befindet sich in einem Friseurladen.</v>
      </c>
    </row>
    <row r="35066">
      <c r="A35066" s="4" t="s">
        <v>44121</v>
      </c>
      <c r="B35066" s="4" t="s">
        <v>44124</v>
      </c>
      <c r="C35066" s="5" t="str">
        <f>IFERROR(__xludf.DUMMYFUNCTION("GOOGLETRANSLATE(B35066,""en"",""de"")"),"Einige immer noch Aufnahmen des Mannes, das Haare schneidet, werden gezeigt.")</f>
        <v>Einige immer noch Aufnahmen des Mannes, das Haare schneidet, werden gezeigt.</v>
      </c>
    </row>
    <row r="35067">
      <c r="A35067" s="4" t="s">
        <v>44121</v>
      </c>
      <c r="B35067" s="4" t="s">
        <v>44125</v>
      </c>
      <c r="C35067" s="5" t="str">
        <f>IFERROR(__xludf.DUMMYFUNCTION("GOOGLETRANSLATE(B35067,""en"",""de"")"),"Der Mann wird wieder gesehen, wie er das Haar im Outdoor -Friseurstuhl ein Mannes Haar schneidet.")</f>
        <v>Der Mann wird wieder gesehen, wie er das Haar im Outdoor -Friseurstuhl ein Mannes Haar schneidet.</v>
      </c>
    </row>
    <row r="35068">
      <c r="A35068" s="4" t="s">
        <v>44126</v>
      </c>
      <c r="B35068" s="4" t="s">
        <v>44127</v>
      </c>
      <c r="C35068" s="5" t="str">
        <f>IFERROR(__xludf.DUMMYFUNCTION("GOOGLETRANSLATE(B35068,""en"",""de"")"),"Ein Mann schüttet Alkohol in einen Mixer.")</f>
        <v>Ein Mann schüttet Alkohol in einen Mixer.</v>
      </c>
    </row>
    <row r="35069">
      <c r="A35069" s="4" t="s">
        <v>44126</v>
      </c>
      <c r="B35069" s="4" t="s">
        <v>44128</v>
      </c>
      <c r="C35069" s="5" t="str">
        <f>IFERROR(__xludf.DUMMYFUNCTION("GOOGLETRANSLATE(B35069,""en"",""de"")"),"Er mischt das Getränk zusammen.")</f>
        <v>Er mischt das Getränk zusammen.</v>
      </c>
    </row>
    <row r="35070">
      <c r="A35070" s="4" t="s">
        <v>44126</v>
      </c>
      <c r="B35070" s="4" t="s">
        <v>44129</v>
      </c>
      <c r="C35070" s="5" t="str">
        <f>IFERROR(__xludf.DUMMYFUNCTION("GOOGLETRANSLATE(B35070,""en"",""de"")"),"Er legt Orangenscheiben auf zwei Brillen.")</f>
        <v>Er legt Orangenscheiben auf zwei Brillen.</v>
      </c>
    </row>
    <row r="35071">
      <c r="A35071" s="4" t="s">
        <v>44126</v>
      </c>
      <c r="B35071" s="4" t="s">
        <v>44130</v>
      </c>
      <c r="C35071" s="5" t="str">
        <f>IFERROR(__xludf.DUMMYFUNCTION("GOOGLETRANSLATE(B35071,""en"",""de"")"),"Er gießt das Getränk aus dem Mixer in die Brille und fügt Strohhalme hinzu.")</f>
        <v>Er gießt das Getränk aus dem Mixer in die Brille und fügt Strohhalme hinzu.</v>
      </c>
    </row>
    <row r="35072">
      <c r="A35072" s="4" t="s">
        <v>44131</v>
      </c>
      <c r="B35072" s="4" t="s">
        <v>44132</v>
      </c>
      <c r="C35072" s="5" t="str">
        <f>IFERROR(__xludf.DUMMYFUNCTION("GOOGLETRANSLATE(B35072,""en"",""de"")"),"Ein Mann schnitzt einen Kürbis.")</f>
        <v>Ein Mann schnitzt einen Kürbis.</v>
      </c>
    </row>
    <row r="35073">
      <c r="A35073" s="4" t="s">
        <v>44131</v>
      </c>
      <c r="B35073" s="4" t="s">
        <v>44133</v>
      </c>
      <c r="C35073" s="5" t="str">
        <f>IFERROR(__xludf.DUMMYFUNCTION("GOOGLETRANSLATE(B35073,""en"",""de"")"),"Ein Mann in einem Batman -Kostüm wird gezeigt.")</f>
        <v>Ein Mann in einem Batman -Kostüm wird gezeigt.</v>
      </c>
    </row>
    <row r="35074">
      <c r="A35074" s="4" t="s">
        <v>44131</v>
      </c>
      <c r="B35074" s="4" t="s">
        <v>44134</v>
      </c>
      <c r="C35074" s="5" t="str">
        <f>IFERROR(__xludf.DUMMYFUNCTION("GOOGLETRANSLATE(B35074,""en"",""de"")"),"Der Mann schnitzt den Kürbis weiter.")</f>
        <v>Der Mann schnitzt den Kürbis weiter.</v>
      </c>
    </row>
    <row r="35075">
      <c r="A35075" s="4" t="s">
        <v>44131</v>
      </c>
      <c r="B35075" s="4" t="s">
        <v>44135</v>
      </c>
      <c r="C35075" s="5" t="str">
        <f>IFERROR(__xludf.DUMMYFUNCTION("GOOGLETRANSLATE(B35075,""en"",""de"")"),"Ein Hund kaut auf einem blauen Ball.")</f>
        <v>Ein Hund kaut auf einem blauen Ball.</v>
      </c>
    </row>
    <row r="35076">
      <c r="A35076" s="4" t="s">
        <v>44136</v>
      </c>
      <c r="B35076" s="4" t="s">
        <v>44137</v>
      </c>
      <c r="C35076" s="5" t="str">
        <f>IFERROR(__xludf.DUMMYFUNCTION("GOOGLETRANSLATE(B35076,""en"",""de"")"),"Eine Gruppe junger Jungen ist gesehen, wie sie an einem großen Sandstrand an Fußballbällen vorbeikommen.")</f>
        <v>Eine Gruppe junger Jungen ist gesehen, wie sie an einem großen Sandstrand an Fußballbällen vorbeikommen.</v>
      </c>
    </row>
    <row r="35077">
      <c r="A35077" s="4" t="s">
        <v>44136</v>
      </c>
      <c r="B35077" s="4" t="s">
        <v>44138</v>
      </c>
      <c r="C35077" s="5" t="str">
        <f>IFERROR(__xludf.DUMMYFUNCTION("GOOGLETRANSLATE(B35077,""en"",""de"")"),"Sie rennen weiterhin zurück und vierten im Sand und geben den Ball zueinander.")</f>
        <v>Sie rennen weiterhin zurück und vierten im Sand und geben den Ball zueinander.</v>
      </c>
    </row>
    <row r="35078">
      <c r="A35078" s="4" t="s">
        <v>44139</v>
      </c>
      <c r="B35078" s="4" t="s">
        <v>44140</v>
      </c>
      <c r="C35078" s="5" t="str">
        <f>IFERROR(__xludf.DUMMYFUNCTION("GOOGLETRANSLATE(B35078,""en"",""de"")"),"Ein Mann sitzt an einer Straße, die einen Schuh poliert.")</f>
        <v>Ein Mann sitzt an einer Straße, die einen Schuh poliert.</v>
      </c>
    </row>
    <row r="35079">
      <c r="A35079" s="4" t="s">
        <v>44139</v>
      </c>
      <c r="B35079" s="4" t="s">
        <v>44141</v>
      </c>
      <c r="C35079" s="5" t="str">
        <f>IFERROR(__xludf.DUMMYFUNCTION("GOOGLETRANSLATE(B35079,""en"",""de"")"),"Einige andere Leute sitzen in der Nähe und viele Menschen gehen an ihm vorbei.")</f>
        <v>Einige andere Leute sitzen in der Nähe und viele Menschen gehen an ihm vorbei.</v>
      </c>
    </row>
    <row r="35080">
      <c r="A35080" s="4" t="s">
        <v>44139</v>
      </c>
      <c r="B35080" s="4" t="s">
        <v>44142</v>
      </c>
      <c r="C35080" s="5" t="str">
        <f>IFERROR(__xludf.DUMMYFUNCTION("GOOGLETRANSLATE(B35080,""en"",""de"")"),"Ein Motorrad fährt auf der Straße vorbei.")</f>
        <v>Ein Motorrad fährt auf der Straße vorbei.</v>
      </c>
    </row>
    <row r="35081">
      <c r="A35081" s="4" t="s">
        <v>44139</v>
      </c>
      <c r="B35081" s="4" t="s">
        <v>44143</v>
      </c>
      <c r="C35081" s="5" t="str">
        <f>IFERROR(__xludf.DUMMYFUNCTION("GOOGLETRANSLATE(B35081,""en"",""de"")"),"Der Mann legt den Schuh ab und nimmt einen anderen zum Polieren auf.")</f>
        <v>Der Mann legt den Schuh ab und nimmt einen anderen zum Polieren auf.</v>
      </c>
    </row>
    <row r="35082">
      <c r="A35082" s="4" t="s">
        <v>44144</v>
      </c>
      <c r="B35082" s="4" t="s">
        <v>44145</v>
      </c>
      <c r="C35082" s="5" t="str">
        <f>IFERROR(__xludf.DUMMYFUNCTION("GOOGLETRANSLATE(B35082,""en"",""de"")"),"Ein Mann in einem roten Polohemd demonstriert den Kleva Sharp Spitzer.")</f>
        <v>Ein Mann in einem roten Polohemd demonstriert den Kleva Sharp Spitzer.</v>
      </c>
    </row>
    <row r="35083">
      <c r="A35083" s="4" t="s">
        <v>44144</v>
      </c>
      <c r="B35083" s="4" t="s">
        <v>44146</v>
      </c>
      <c r="C35083" s="5" t="str">
        <f>IFERROR(__xludf.DUMMYFUNCTION("GOOGLETRANSLATE(B35083,""en"",""de"")"),"Er schärft ein stumpfes Metzgermesser und schneidet eine Tomate.")</f>
        <v>Er schärft ein stumpfes Metzgermesser und schneidet eine Tomate.</v>
      </c>
    </row>
    <row r="35084">
      <c r="A35084" s="4" t="s">
        <v>44144</v>
      </c>
      <c r="B35084" s="4" t="s">
        <v>44147</v>
      </c>
      <c r="C35084" s="5" t="str">
        <f>IFERROR(__xludf.DUMMYFUNCTION("GOOGLETRANSLATE(B35084,""en"",""de"")"),"Der Mann im roten Polohemd schärft dann ein stumpfes Steakmesser und schneidet eine Tomate in Scheiben und schneidet dann eine Gurke in Scheiben.")</f>
        <v>Der Mann im roten Polohemd schärft dann ein stumpfes Steakmesser und schneidet eine Tomate in Scheiben und schneidet dann eine Gurke in Scheiben.</v>
      </c>
    </row>
    <row r="35085">
      <c r="A35085" s="4" t="s">
        <v>44144</v>
      </c>
      <c r="B35085" s="4" t="s">
        <v>44148</v>
      </c>
      <c r="C35085" s="5" t="str">
        <f>IFERROR(__xludf.DUMMYFUNCTION("GOOGLETRANSLATE(B35085,""en"",""de"")"),"Der Mann, der den Kleva -Spitzer demonstriert, schärft einen Gartenschneider und schneidet eine Karotte.")</f>
        <v>Der Mann, der den Kleva -Spitzer demonstriert, schärft einen Gartenschneider und schneidet eine Karotte.</v>
      </c>
    </row>
    <row r="35086">
      <c r="A35086" s="4" t="s">
        <v>44144</v>
      </c>
      <c r="B35086" s="4" t="s">
        <v>44149</v>
      </c>
      <c r="C35086" s="5" t="str">
        <f>IFERROR(__xludf.DUMMYFUNCTION("GOOGLETRANSLATE(B35086,""en"",""de"")"),"Der Demonstrator schärft dann ein Seriertes Brotmesser und schneidet ein Laib Brot.")</f>
        <v>Der Demonstrator schärft dann ein Seriertes Brotmesser und schneidet ein Laib Brot.</v>
      </c>
    </row>
    <row r="35087">
      <c r="A35087" s="4" t="s">
        <v>44144</v>
      </c>
      <c r="B35087" s="4" t="s">
        <v>44150</v>
      </c>
      <c r="C35087" s="5" t="str">
        <f>IFERROR(__xludf.DUMMYFUNCTION("GOOGLETRANSLATE(B35087,""en"",""de"")"),"Eine Reihe von Demonstrationen verschiedener Messer, die unterschiedliche Lebensmittel schneiden.")</f>
        <v>Eine Reihe von Demonstrationen verschiedener Messer, die unterschiedliche Lebensmittel schneiden.</v>
      </c>
    </row>
    <row r="35088">
      <c r="A35088" s="4" t="s">
        <v>44144</v>
      </c>
      <c r="B35088" s="4" t="s">
        <v>44151</v>
      </c>
      <c r="C35088" s="5" t="str">
        <f>IFERROR(__xludf.DUMMYFUNCTION("GOOGLETRANSLATE(B35088,""en"",""de"")"),"Der Kleva -Schärfer wird vom Tisch abgestiegen und in einer Schrankschublade aufbewahrt.")</f>
        <v>Der Kleva -Schärfer wird vom Tisch abgestiegen und in einer Schrankschublade aufbewahrt.</v>
      </c>
    </row>
    <row r="35089">
      <c r="A35089" s="4" t="s">
        <v>44144</v>
      </c>
      <c r="B35089" s="4" t="s">
        <v>44152</v>
      </c>
      <c r="C35089" s="5" t="str">
        <f>IFERROR(__xludf.DUMMYFUNCTION("GOOGLETRANSLATE(B35089,""en"",""de"")"),"Der Kleva -Schärfer ist am Kühlschrank an einer Wand und auf dem Tisch montiert.")</f>
        <v>Der Kleva -Schärfer ist am Kühlschrank an einer Wand und auf dem Tisch montiert.</v>
      </c>
    </row>
    <row r="35090">
      <c r="A35090" s="4" t="s">
        <v>44144</v>
      </c>
      <c r="B35090" s="4" t="s">
        <v>44153</v>
      </c>
      <c r="C35090" s="5" t="str">
        <f>IFERROR(__xludf.DUMMYFUNCTION("GOOGLETRANSLATE(B35090,""en"",""de"")"),"Er demonstriert den Sperrmechanismus.")</f>
        <v>Er demonstriert den Sperrmechanismus.</v>
      </c>
    </row>
    <row r="35091">
      <c r="A35091" s="4" t="s">
        <v>44154</v>
      </c>
      <c r="B35091" s="4" t="s">
        <v>44155</v>
      </c>
      <c r="C35091" s="5" t="str">
        <f>IFERROR(__xludf.DUMMYFUNCTION("GOOGLETRANSLATE(B35091,""en"",""de"")"),"Eine Frau spricht, während er neben einem elliptischen Trainer steht.")</f>
        <v>Eine Frau spricht, während er neben einem elliptischen Trainer steht.</v>
      </c>
    </row>
    <row r="35092">
      <c r="A35092" s="4" t="s">
        <v>44154</v>
      </c>
      <c r="B35092" s="4" t="s">
        <v>44156</v>
      </c>
      <c r="C35092" s="5" t="str">
        <f>IFERROR(__xludf.DUMMYFUNCTION("GOOGLETRANSLATE(B35092,""en"",""de"")"),"Die Mechanik der elliptischen Maschine wird gezeigt.")</f>
        <v>Die Mechanik der elliptischen Maschine wird gezeigt.</v>
      </c>
    </row>
    <row r="35093">
      <c r="A35093" s="4" t="s">
        <v>44154</v>
      </c>
      <c r="B35093" s="4" t="s">
        <v>44157</v>
      </c>
      <c r="C35093" s="5" t="str">
        <f>IFERROR(__xludf.DUMMYFUNCTION("GOOGLETRANSLATE(B35093,""en"",""de"")"),"Wir sehen dann die Frau auf der Maschine und zeigen, wie sie funktioniert.")</f>
        <v>Wir sehen dann die Frau auf der Maschine und zeigen, wie sie funktioniert.</v>
      </c>
    </row>
    <row r="35094">
      <c r="A35094" s="4" t="s">
        <v>44158</v>
      </c>
      <c r="B35094" s="4" t="s">
        <v>44159</v>
      </c>
      <c r="C35094" s="5" t="str">
        <f>IFERROR(__xludf.DUMMYFUNCTION("GOOGLETRANSLATE(B35094,""en"",""de"")"),"Ein Mann wird auf einem Fahrrad über den Schnee gezeigt.")</f>
        <v>Ein Mann wird auf einem Fahrrad über den Schnee gezeigt.</v>
      </c>
    </row>
    <row r="35095">
      <c r="A35095" s="4" t="s">
        <v>44158</v>
      </c>
      <c r="B35095" s="4" t="s">
        <v>44160</v>
      </c>
      <c r="C35095" s="5" t="str">
        <f>IFERROR(__xludf.DUMMYFUNCTION("GOOGLETRANSLATE(B35095,""en"",""de"")"),"Dann reitet eine andere Gruppe von Menschen in einem Wagen durch den Schnee.")</f>
        <v>Dann reitet eine andere Gruppe von Menschen in einem Wagen durch den Schnee.</v>
      </c>
    </row>
    <row r="35096">
      <c r="A35096" s="4" t="s">
        <v>44158</v>
      </c>
      <c r="B35096" s="4" t="s">
        <v>44161</v>
      </c>
      <c r="C35096" s="5" t="str">
        <f>IFERROR(__xludf.DUMMYFUNCTION("GOOGLETRANSLATE(B35096,""en"",""de"")"),"Drei Skifahrer sind auf einem Schneebergberg abgebildet und beginnen mit dem Skifahren.")</f>
        <v>Drei Skifahrer sind auf einem Schneebergberg abgebildet und beginnen mit dem Skifahren.</v>
      </c>
    </row>
    <row r="35097">
      <c r="A35097" s="4" t="s">
        <v>44158</v>
      </c>
      <c r="B35097" s="4" t="s">
        <v>44162</v>
      </c>
      <c r="C35097" s="5" t="str">
        <f>IFERROR(__xludf.DUMMYFUNCTION("GOOGLETRANSLATE(B35097,""en"",""de"")"),"Ein Skifahrer wird dann auf und ab und findet ein Satz Skiis sowie Menschen auf Bergbikes und beginnen mit dem Rennen.")</f>
        <v>Ein Skifahrer wird dann auf und ab und findet ein Satz Skiis sowie Menschen auf Bergbikes und beginnen mit dem Rennen.</v>
      </c>
    </row>
    <row r="35098">
      <c r="A35098" s="4" t="s">
        <v>44163</v>
      </c>
      <c r="B35098" s="4" t="s">
        <v>44164</v>
      </c>
      <c r="C35098" s="5" t="str">
        <f>IFERROR(__xludf.DUMMYFUNCTION("GOOGLETRANSLATE(B35098,""en"",""de"")"),"Eine Frau setzt eine junge Dame Rollen, kämmt eine Portion des Haares und wickelt dann auf einer Walze.")</f>
        <v>Eine Frau setzt eine junge Dame Rollen, kämmt eine Portion des Haares und wickelt dann auf einer Walze.</v>
      </c>
    </row>
    <row r="35099">
      <c r="A35099" s="4" t="s">
        <v>44163</v>
      </c>
      <c r="B35099" s="4" t="s">
        <v>44165</v>
      </c>
      <c r="C35099" s="5" t="str">
        <f>IFERROR(__xludf.DUMMYFUNCTION("GOOGLETRANSLATE(B35099,""en"",""de"")"),"Die junge Dame hebt ihre linke Hand, um eine Rolle an die Frau zu übergeben, während sie sich nimmt.")</f>
        <v>Die junge Dame hebt ihre linke Hand, um eine Rolle an die Frau zu übergeben, während sie sich nimmt.</v>
      </c>
    </row>
    <row r="35100">
      <c r="A35100" s="4" t="s">
        <v>44163</v>
      </c>
      <c r="B35100" s="4" t="s">
        <v>44166</v>
      </c>
      <c r="C35100" s="5" t="str">
        <f>IFERROR(__xludf.DUMMYFUNCTION("GOOGLETRANSLATE(B35100,""en"",""de"")"),"Die junge Dame legte ein Handtuch auf das Gesicht.")</f>
        <v>Die junge Dame legte ein Handtuch auf das Gesicht.</v>
      </c>
    </row>
    <row r="35101">
      <c r="A35101" s="4" t="s">
        <v>44167</v>
      </c>
      <c r="B35101" s="4" t="s">
        <v>44168</v>
      </c>
      <c r="C35101" s="5" t="str">
        <f>IFERROR(__xludf.DUMMYFUNCTION("GOOGLETRANSLATE(B35101,""en"",""de"")"),"Es werden verschiedene Ansichten von einer Maschine aus verschiedenen Winkeln angezeigt.")</f>
        <v>Es werden verschiedene Ansichten von einer Maschine aus verschiedenen Winkeln angezeigt.</v>
      </c>
    </row>
    <row r="35102">
      <c r="A35102" s="4" t="s">
        <v>44167</v>
      </c>
      <c r="B35102" s="4" t="s">
        <v>44169</v>
      </c>
      <c r="C35102" s="5" t="str">
        <f>IFERROR(__xludf.DUMMYFUNCTION("GOOGLETRANSLATE(B35102,""en"",""de"")"),"Eine Frau benutzt eine Bindung, um die Falten aus einem Hemd zu saugen.")</f>
        <v>Eine Frau benutzt eine Bindung, um die Falten aus einem Hemd zu saugen.</v>
      </c>
    </row>
    <row r="35103">
      <c r="A35103" s="4" t="s">
        <v>44167</v>
      </c>
      <c r="B35103" s="4" t="s">
        <v>44170</v>
      </c>
      <c r="C35103" s="5" t="str">
        <f>IFERROR(__xludf.DUMMYFUNCTION("GOOGLETRANSLATE(B35103,""en"",""de"")"),"Sie hängt dann ein Paar Hosen und Irons glatt und erzeugt eine Falte.")</f>
        <v>Sie hängt dann ein Paar Hosen und Irons glatt und erzeugt eine Falte.</v>
      </c>
    </row>
    <row r="35104">
      <c r="A35104" s="4" t="s">
        <v>44171</v>
      </c>
      <c r="B35104" s="4" t="s">
        <v>44172</v>
      </c>
      <c r="C35104" s="5" t="str">
        <f>IFERROR(__xludf.DUMMYFUNCTION("GOOGLETRANSLATE(B35104,""en"",""de"")"),"Wir sehen einen Mann in der oberen Ecke und über die Kapuze eines Autos während des Fahrens.")</f>
        <v>Wir sehen einen Mann in der oberen Ecke und über die Kapuze eines Autos während des Fahrens.</v>
      </c>
    </row>
    <row r="35105">
      <c r="A35105" s="4" t="s">
        <v>44171</v>
      </c>
      <c r="B35105" s="4" t="s">
        <v>44173</v>
      </c>
      <c r="C35105" s="5" t="str">
        <f>IFERROR(__xludf.DUMMYFUNCTION("GOOGLETRANSLATE(B35105,""en"",""de"")"),"Das Auto hält an einer Kreuzung an.")</f>
        <v>Das Auto hält an einer Kreuzung an.</v>
      </c>
    </row>
    <row r="35106">
      <c r="A35106" s="4" t="s">
        <v>44171</v>
      </c>
      <c r="B35106" s="4" t="s">
        <v>44174</v>
      </c>
      <c r="C35106" s="5" t="str">
        <f>IFERROR(__xludf.DUMMYFUNCTION("GOOGLETRANSLATE(B35106,""en"",""de"")"),"Das Auto macht eine Kehrtwende.")</f>
        <v>Das Auto macht eine Kehrtwende.</v>
      </c>
    </row>
    <row r="35107">
      <c r="A35107" s="4" t="s">
        <v>44171</v>
      </c>
      <c r="B35107" s="4" t="s">
        <v>44175</v>
      </c>
      <c r="C35107" s="5" t="str">
        <f>IFERROR(__xludf.DUMMYFUNCTION("GOOGLETRANSLATE(B35107,""en"",""de"")"),"Der Mann fährt in eine Autowäsche und steigt aus.")</f>
        <v>Der Mann fährt in eine Autowäsche und steigt aus.</v>
      </c>
    </row>
    <row r="35108">
      <c r="A35108" s="4" t="s">
        <v>44171</v>
      </c>
      <c r="B35108" s="4" t="s">
        <v>44176</v>
      </c>
      <c r="C35108" s="5" t="str">
        <f>IFERROR(__xludf.DUMMYFUNCTION("GOOGLETRANSLATE(B35108,""en"",""de"")"),"Der Mann des Mannes wäscht das Eis von seinem Auto und spült weiter sein Auto.")</f>
        <v>Der Mann des Mannes wäscht das Eis von seinem Auto und spült weiter sein Auto.</v>
      </c>
    </row>
    <row r="35109">
      <c r="A35109" s="4" t="s">
        <v>44171</v>
      </c>
      <c r="B35109" s="4" t="s">
        <v>44177</v>
      </c>
      <c r="C35109" s="5" t="str">
        <f>IFERROR(__xludf.DUMMYFUNCTION("GOOGLETRANSLATE(B35109,""en"",""de"")"),"Der Mann zeigt sein nasses Auto.")</f>
        <v>Der Mann zeigt sein nasses Auto.</v>
      </c>
    </row>
    <row r="35110">
      <c r="A35110" s="4" t="s">
        <v>44178</v>
      </c>
      <c r="B35110" s="4" t="s">
        <v>44179</v>
      </c>
      <c r="C35110" s="5" t="str">
        <f>IFERROR(__xludf.DUMMYFUNCTION("GOOGLETRANSLATE(B35110,""en"",""de"")"),"Der Mann spricht mit der Kamera, ist ein schneebedeckter Tag vor einem Haus.")</f>
        <v>Der Mann spricht mit der Kamera, ist ein schneebedeckter Tag vor einem Haus.</v>
      </c>
    </row>
    <row r="35111">
      <c r="A35111" s="4" t="s">
        <v>44178</v>
      </c>
      <c r="B35111" s="4" t="s">
        <v>44180</v>
      </c>
      <c r="C35111" s="5" t="str">
        <f>IFERROR(__xludf.DUMMYFUNCTION("GOOGLETRANSLATE(B35111,""en"",""de"")"),"Der Mensch hält eine Schaufel und putzt den Weg vom Schnee.")</f>
        <v>Der Mensch hält eine Schaufel und putzt den Weg vom Schnee.</v>
      </c>
    </row>
    <row r="35112">
      <c r="A35112" s="4" t="s">
        <v>44178</v>
      </c>
      <c r="B35112" s="4" t="s">
        <v>44181</v>
      </c>
      <c r="C35112" s="5" t="str">
        <f>IFERROR(__xludf.DUMMYFUNCTION("GOOGLETRANSLATE(B35112,""en"",""de"")"),"Little Kid trägt rote Schneekleidung und steht NXT zu einem Auto.")</f>
        <v>Little Kid trägt rote Schneekleidung und steht NXT zu einem Auto.</v>
      </c>
    </row>
    <row r="35113">
      <c r="A35113" s="4" t="s">
        <v>44178</v>
      </c>
      <c r="B35113" s="4" t="s">
        <v>44182</v>
      </c>
      <c r="C35113" s="5" t="str">
        <f>IFERROR(__xludf.DUMMYFUNCTION("GOOGLETRANSLATE(B35113,""en"",""de"")"),"Der Mann bleibt stehen und spricht erneut mit der Schaufel an den Händen mit der Kamera.")</f>
        <v>Der Mann bleibt stehen und spricht erneut mit der Schaufel an den Händen mit der Kamera.</v>
      </c>
    </row>
    <row r="35114">
      <c r="A35114" s="4" t="s">
        <v>44183</v>
      </c>
      <c r="B35114" s="4" t="s">
        <v>44184</v>
      </c>
      <c r="C35114" s="5" t="str">
        <f>IFERROR(__xludf.DUMMYFUNCTION("GOOGLETRANSLATE(B35114,""en"",""de"")"),"Eine Dame in einem schwarzen Tanktop enthält Anweisungen, wie man das Haar eines Mädchens mit einem blauen T-Shirt trocknen kann.")</f>
        <v>Eine Dame in einem schwarzen Tanktop enthält Anweisungen, wie man das Haar eines Mädchens mit einem blauen T-Shirt trocknen kann.</v>
      </c>
    </row>
    <row r="35115">
      <c r="A35115" s="4" t="s">
        <v>44183</v>
      </c>
      <c r="B35115" s="4" t="s">
        <v>44185</v>
      </c>
      <c r="C35115" s="5" t="str">
        <f>IFERROR(__xludf.DUMMYFUNCTION("GOOGLETRANSLATE(B35115,""en"",""de"")"),"Der Friseur stellt zuerst eine Flüssigkeit in die Hand und reibt sie in das Haar der Modelle und putzt dann das Haar der Kunden.")</f>
        <v>Der Friseur stellt zuerst eine Flüssigkeit in die Hand und reibt sie in das Haar der Modelle und putzt dann das Haar der Kunden.</v>
      </c>
    </row>
    <row r="35116">
      <c r="A35116" s="4" t="s">
        <v>44183</v>
      </c>
      <c r="B35116" s="4" t="s">
        <v>44186</v>
      </c>
      <c r="C35116" s="5" t="str">
        <f>IFERROR(__xludf.DUMMYFUNCTION("GOOGLETRANSLATE(B35116,""en"",""de"")"),"Die Dame im schwarzen Tanktop benutzt den Blow trockener beim Kämmen des Haares mit einer Bürste.")</f>
        <v>Die Dame im schwarzen Tanktop benutzt den Blow trockener beim Kämmen des Haares mit einer Bürste.</v>
      </c>
    </row>
    <row r="35117">
      <c r="A35117" s="4" t="s">
        <v>44183</v>
      </c>
      <c r="B35117" s="4" t="s">
        <v>44187</v>
      </c>
      <c r="C35117" s="5" t="str">
        <f>IFERROR(__xludf.DUMMYFUNCTION("GOOGLETRANSLATE(B35117,""en"",""de"")"),"Szenen des fertigen Produkts, das Seitenansichten und die Rückseite mit den Modellen Haare zeigt.")</f>
        <v>Szenen des fertigen Produkts, das Seitenansichten und die Rückseite mit den Modellen Haare zeigt.</v>
      </c>
    </row>
    <row r="35118">
      <c r="A35118" s="4" t="s">
        <v>44188</v>
      </c>
      <c r="B35118" s="4" t="s">
        <v>44189</v>
      </c>
      <c r="C35118" s="5" t="str">
        <f>IFERROR(__xludf.DUMMYFUNCTION("GOOGLETRANSLATE(B35118,""en"",""de"")"),"Eine Frau bewegt sich in einer Übungsstange auf und ab, während sie mehrere Schüsse von ihrem Training gezeigt haben.")</f>
        <v>Eine Frau bewegt sich in einer Übungsstange auf und ab, während sie mehrere Schüsse von ihrem Training gezeigt haben.</v>
      </c>
    </row>
    <row r="35119">
      <c r="A35119" s="4" t="s">
        <v>44188</v>
      </c>
      <c r="B35119" s="4" t="s">
        <v>44190</v>
      </c>
      <c r="C35119" s="5" t="str">
        <f>IFERROR(__xludf.DUMMYFUNCTION("GOOGLETRANSLATE(B35119,""en"",""de"")"),"Sie hat wieder gezeigt, wie sie Gewichte hält und Übungen macht, während sie auf dem Strahl steht und legt.")</f>
        <v>Sie hat wieder gezeigt, wie sie Gewichte hält und Übungen macht, während sie auf dem Strahl steht und legt.</v>
      </c>
    </row>
    <row r="35120">
      <c r="A35120" s="4" t="s">
        <v>44191</v>
      </c>
      <c r="B35120" s="4" t="s">
        <v>44192</v>
      </c>
      <c r="C35120" s="5" t="str">
        <f>IFERROR(__xludf.DUMMYFUNCTION("GOOGLETRANSLATE(B35120,""en"",""de"")"),"Der Mann sitzt auf einem Sitz des Autos am Fenster.")</f>
        <v>Der Mann sitzt auf einem Sitz des Autos am Fenster.</v>
      </c>
    </row>
    <row r="35121">
      <c r="A35121" s="4" t="s">
        <v>44191</v>
      </c>
      <c r="B35121" s="4" t="s">
        <v>44193</v>
      </c>
      <c r="C35121" s="5" t="str">
        <f>IFERROR(__xludf.DUMMYFUNCTION("GOOGLETRANSLATE(B35121,""en"",""de"")"),"Der Mann snowboarden am schneebedeckten Hang und machen Hochsprung.")</f>
        <v>Der Mann snowboarden am schneebedeckten Hang und machen Hochsprung.</v>
      </c>
    </row>
    <row r="35122">
      <c r="A35122" s="4" t="s">
        <v>44191</v>
      </c>
      <c r="B35122" s="4" t="s">
        <v>44194</v>
      </c>
      <c r="C35122" s="5" t="str">
        <f>IFERROR(__xludf.DUMMYFUNCTION("GOOGLETRANSLATE(B35122,""en"",""de"")"),"Männer sind in einem dunklen Raum mit Töpfen.")</f>
        <v>Männer sind in einem dunklen Raum mit Töpfen.</v>
      </c>
    </row>
    <row r="35123">
      <c r="A35123" s="4" t="s">
        <v>44195</v>
      </c>
      <c r="B35123" s="4" t="s">
        <v>25249</v>
      </c>
      <c r="C35123" s="5" t="str">
        <f>IFERROR(__xludf.DUMMYFUNCTION("GOOGLETRANSLATE(B35123,""en"",""de"")"),"Die Credits der Clips werden angezeigt.")</f>
        <v>Die Credits der Clips werden angezeigt.</v>
      </c>
    </row>
    <row r="35124">
      <c r="A35124" s="4" t="s">
        <v>44195</v>
      </c>
      <c r="B35124" s="4" t="s">
        <v>44196</v>
      </c>
      <c r="C35124" s="5" t="str">
        <f>IFERROR(__xludf.DUMMYFUNCTION("GOOGLETRANSLATE(B35124,""en"",""de"")"),"Jungs spielen Polo Sport in einer Dirt Arena.")</f>
        <v>Jungs spielen Polo Sport in einer Dirt Arena.</v>
      </c>
    </row>
    <row r="35125">
      <c r="A35125" s="4" t="s">
        <v>44195</v>
      </c>
      <c r="B35125" s="4" t="s">
        <v>573</v>
      </c>
      <c r="C35125" s="5" t="str">
        <f>IFERROR(__xludf.DUMMYFUNCTION("GOOGLETRANSLATE(B35125,""en"",""de"")"),"Die Credits des Videos werden angezeigt.")</f>
        <v>Die Credits des Videos werden angezeigt.</v>
      </c>
    </row>
    <row r="35126">
      <c r="A35126" s="4" t="s">
        <v>44197</v>
      </c>
      <c r="B35126" s="4" t="s">
        <v>44198</v>
      </c>
      <c r="C35126" s="5" t="str">
        <f>IFERROR(__xludf.DUMMYFUNCTION("GOOGLETRANSLATE(B35126,""en"",""de"")"),"Ein Intro führt in ein Fox News -Segment mit zwei Ankern.")</f>
        <v>Ein Intro führt in ein Fox News -Segment mit zwei Ankern.</v>
      </c>
    </row>
    <row r="35127">
      <c r="A35127" s="4" t="s">
        <v>44197</v>
      </c>
      <c r="B35127" s="4" t="s">
        <v>44199</v>
      </c>
      <c r="C35127" s="5" t="str">
        <f>IFERROR(__xludf.DUMMYFUNCTION("GOOGLETRANSLATE(B35127,""en"",""de"")"),"Eine Frau wird dann interviewt, gefolgt von mehreren Bildern von Pilzen und Menschen, die miteinander sprechen.")</f>
        <v>Eine Frau wird dann interviewt, gefolgt von mehreren Bildern von Pilzen und Menschen, die miteinander sprechen.</v>
      </c>
    </row>
    <row r="35128">
      <c r="A35128" s="4" t="s">
        <v>44197</v>
      </c>
      <c r="B35128" s="4" t="s">
        <v>44200</v>
      </c>
      <c r="C35128" s="5" t="str">
        <f>IFERROR(__xludf.DUMMYFUNCTION("GOOGLETRANSLATE(B35128,""en"",""de"")"),"Ein Arzt untersucht einen Mann und interviewt die Kamera, gefolgt von Personen, die Haushaltsprodukte verwenden und den Reporter interviewt.")</f>
        <v>Ein Arzt untersucht einen Mann und interviewt die Kamera, gefolgt von Personen, die Haushaltsprodukte verwenden und den Reporter interviewt.</v>
      </c>
    </row>
    <row r="35129">
      <c r="A35129" s="4" t="s">
        <v>44201</v>
      </c>
      <c r="B35129" s="4" t="s">
        <v>1828</v>
      </c>
      <c r="C35129" s="5" t="str">
        <f>IFERROR(__xludf.DUMMYFUNCTION("GOOGLETRANSLATE(B35129,""en"",""de"")"),"Wir sehen einen Öffnungsbildschirm auf Weiß.")</f>
        <v>Wir sehen einen Öffnungsbildschirm auf Weiß.</v>
      </c>
    </row>
    <row r="35130">
      <c r="A35130" s="4" t="s">
        <v>44201</v>
      </c>
      <c r="B35130" s="4" t="s">
        <v>44202</v>
      </c>
      <c r="C35130" s="5" t="str">
        <f>IFERROR(__xludf.DUMMYFUNCTION("GOOGLETRANSLATE(B35130,""en"",""de"")"),"Wir sehen eine Dame mit einem Schuh, einem Eimer Wasser, Bürsten und Seife auf dem Boden sitzen.")</f>
        <v>Wir sehen eine Dame mit einem Schuh, einem Eimer Wasser, Bürsten und Seife auf dem Boden sitzen.</v>
      </c>
    </row>
    <row r="35131">
      <c r="A35131" s="4" t="s">
        <v>44201</v>
      </c>
      <c r="B35131" s="4" t="s">
        <v>44203</v>
      </c>
      <c r="C35131" s="5" t="str">
        <f>IFERROR(__xludf.DUMMYFUNCTION("GOOGLETRANSLATE(B35131,""en"",""de"")"),"Die Dame zeigt uns die Gegenstände einzeln.")</f>
        <v>Die Dame zeigt uns die Gegenstände einzeln.</v>
      </c>
    </row>
    <row r="35132">
      <c r="A35132" s="4" t="s">
        <v>44201</v>
      </c>
      <c r="B35132" s="4" t="s">
        <v>44204</v>
      </c>
      <c r="C35132" s="5" t="str">
        <f>IFERROR(__xludf.DUMMYFUNCTION("GOOGLETRANSLATE(B35132,""en"",""de"")"),"Wir sehen eine Illustration eines Thermometers.")</f>
        <v>Wir sehen eine Illustration eines Thermometers.</v>
      </c>
    </row>
    <row r="35133">
      <c r="A35133" s="4" t="s">
        <v>44201</v>
      </c>
      <c r="B35133" s="4" t="s">
        <v>44205</v>
      </c>
      <c r="C35133" s="5" t="str">
        <f>IFERROR(__xludf.DUMMYFUNCTION("GOOGLETRANSLATE(B35133,""en"",""de"")"),"Wir sehen eine Illustration einer Waschmaschine.")</f>
        <v>Wir sehen eine Illustration einer Waschmaschine.</v>
      </c>
    </row>
    <row r="35134">
      <c r="A35134" s="4" t="s">
        <v>44201</v>
      </c>
      <c r="B35134" s="4" t="s">
        <v>44206</v>
      </c>
      <c r="C35134" s="5" t="str">
        <f>IFERROR(__xludf.DUMMYFUNCTION("GOOGLETRANSLATE(B35134,""en"",""de"")"),"Die Dame steckt ihren Schuh in den Eimer und schrubbt ihn mit einem Pinsel.")</f>
        <v>Die Dame steckt ihren Schuh in den Eimer und schrubbt ihn mit einem Pinsel.</v>
      </c>
    </row>
    <row r="35135">
      <c r="A35135" s="4" t="s">
        <v>44201</v>
      </c>
      <c r="B35135" s="4" t="s">
        <v>44207</v>
      </c>
      <c r="C35135" s="5" t="str">
        <f>IFERROR(__xludf.DUMMYFUNCTION("GOOGLETRANSLATE(B35135,""en"",""de"")"),"Sie zeigt uns den bereits gereinigten Schuh.")</f>
        <v>Sie zeigt uns den bereits gereinigten Schuh.</v>
      </c>
    </row>
    <row r="35136">
      <c r="A35136" s="4" t="s">
        <v>44201</v>
      </c>
      <c r="B35136" s="4" t="s">
        <v>44208</v>
      </c>
      <c r="C35136" s="5" t="str">
        <f>IFERROR(__xludf.DUMMYFUNCTION("GOOGLETRANSLATE(B35136,""en"",""de"")"),"Wir sehen eine Kühlerabbildung.")</f>
        <v>Wir sehen eine Kühlerabbildung.</v>
      </c>
    </row>
    <row r="35137">
      <c r="A35137" s="4" t="s">
        <v>44201</v>
      </c>
      <c r="B35137" s="4" t="s">
        <v>44209</v>
      </c>
      <c r="C35137" s="5" t="str">
        <f>IFERROR(__xludf.DUMMYFUNCTION("GOOGLETRANSLATE(B35137,""en"",""de"")"),"Die Dame nimmt die Seife auf und wir sehen eine Illustration eines Regals.")</f>
        <v>Die Dame nimmt die Seife auf und wir sehen eine Illustration eines Regals.</v>
      </c>
    </row>
    <row r="35138">
      <c r="A35138" s="4" t="s">
        <v>44201</v>
      </c>
      <c r="B35138" s="4" t="s">
        <v>44210</v>
      </c>
      <c r="C35138" s="5" t="str">
        <f>IFERROR(__xludf.DUMMYFUNCTION("GOOGLETRANSLATE(B35138,""en"",""de"")"),"Der Endtitelbildschirm spielt.")</f>
        <v>Der Endtitelbildschirm spielt.</v>
      </c>
    </row>
    <row r="35139">
      <c r="A35139" s="4" t="s">
        <v>44211</v>
      </c>
      <c r="B35139" s="4" t="s">
        <v>44212</v>
      </c>
      <c r="C35139" s="5" t="str">
        <f>IFERROR(__xludf.DUMMYFUNCTION("GOOGLETRANSLATE(B35139,""en"",""de"")"),"Eine Frau und ihr Kind sind außerhalb einer Kabine, die auf einem Holztisch sitzt und miteinander spricht.")</f>
        <v>Eine Frau und ihr Kind sind außerhalb einer Kabine, die auf einem Holztisch sitzt und miteinander spricht.</v>
      </c>
    </row>
    <row r="35140">
      <c r="A35140" s="4" t="s">
        <v>44211</v>
      </c>
      <c r="B35140" s="4" t="s">
        <v>44213</v>
      </c>
      <c r="C35140" s="5" t="str">
        <f>IFERROR(__xludf.DUMMYFUNCTION("GOOGLETRANSLATE(B35140,""en"",""de"")"),"Die Kamera schwenkt dann die Kabine und ein großer Schneeberg beruht.")</f>
        <v>Die Kamera schwenkt dann die Kabine und ein großer Schneeberg beruht.</v>
      </c>
    </row>
    <row r="35141">
      <c r="A35141" s="4" t="s">
        <v>44211</v>
      </c>
      <c r="B35141" s="4" t="s">
        <v>44214</v>
      </c>
      <c r="C35141" s="5" t="str">
        <f>IFERROR(__xludf.DUMMYFUNCTION("GOOGLETRANSLATE(B35141,""en"",""de"")"),"Danach werden die Frau und ihre Tochter auf einem flachen stehenden Skiaufzug mit großen Donut -Röhren gesehen, die hinter ihnen folgen.")</f>
        <v>Danach werden die Frau und ihre Tochter auf einem flachen stehenden Skiaufzug mit großen Donut -Röhren gesehen, die hinter ihnen folgen.</v>
      </c>
    </row>
    <row r="35142">
      <c r="A35142" s="4" t="s">
        <v>44211</v>
      </c>
      <c r="B35142" s="4" t="s">
        <v>44215</v>
      </c>
      <c r="C35142" s="5" t="str">
        <f>IFERROR(__xludf.DUMMYFUNCTION("GOOGLETRANSLATE(B35142,""en"",""de"")"),"Sobald sie oben sind, gelangen sie in die Röhren und rennen zusammen mit mehreren anderen Personen, die ebenfalls am Ort sind, nach unten.")</f>
        <v>Sobald sie oben sind, gelangen sie in die Röhren und rennen zusammen mit mehreren anderen Personen, die ebenfalls am Ort sind, nach unten.</v>
      </c>
    </row>
    <row r="35143">
      <c r="A35143" s="4" t="s">
        <v>44216</v>
      </c>
      <c r="B35143" s="4" t="s">
        <v>44217</v>
      </c>
      <c r="C35143" s="5" t="str">
        <f>IFERROR(__xludf.DUMMYFUNCTION("GOOGLETRANSLATE(B35143,""en"",""de"")"),"Ein Mann steht vor einem Kreidebrett, der ein Musikinstrument hält und ab und zu zum Kreidebrett übergeht.")</f>
        <v>Ein Mann steht vor einem Kreidebrett, der ein Musikinstrument hält und ab und zu zum Kreidebrett übergeht.</v>
      </c>
    </row>
    <row r="35144">
      <c r="A35144" s="4" t="s">
        <v>44216</v>
      </c>
      <c r="B35144" s="4" t="s">
        <v>44218</v>
      </c>
      <c r="C35144" s="5" t="str">
        <f>IFERROR(__xludf.DUMMYFUNCTION("GOOGLETRANSLATE(B35144,""en"",""de"")"),"Die Hand einer Person wird mit einem iPod gesehen, gefolgt von mehr Aufnahmen der Person, die auf einer Zeitung spricht und schreibt.")</f>
        <v>Die Hand einer Person wird mit einem iPod gesehen, gefolgt von mehr Aufnahmen der Person, die auf einer Zeitung spricht und schreibt.</v>
      </c>
    </row>
    <row r="35145">
      <c r="A35145" s="4" t="s">
        <v>44216</v>
      </c>
      <c r="B35145" s="4" t="s">
        <v>44219</v>
      </c>
      <c r="C35145" s="5" t="str">
        <f>IFERROR(__xludf.DUMMYFUNCTION("GOOGLETRANSLATE(B35145,""en"",""de"")"),"Der Mann spielt dann das Instrument, als die Kamera ihn aus mehreren Winkeln einfängt, während er in der Pause hielt, um zu sprechen.")</f>
        <v>Der Mann spielt dann das Instrument, als die Kamera ihn aus mehreren Winkeln einfängt, während er in der Pause hielt, um zu sprechen.</v>
      </c>
    </row>
    <row r="35146">
      <c r="A35146" s="4" t="s">
        <v>44220</v>
      </c>
      <c r="B35146" s="4" t="s">
        <v>44221</v>
      </c>
      <c r="C35146" s="5" t="str">
        <f>IFERROR(__xludf.DUMMYFUNCTION("GOOGLETRANSLATE(B35146,""en"",""de"")"),"Ein Mann in weißem Hemd und grauen Shorts steht in der Mitte des Platzes, während junge Menschen in schwarzen Oberteilen und schwarzen Shorts hinter ihm stehen.")</f>
        <v>Ein Mann in weißem Hemd und grauen Shorts steht in der Mitte des Platzes, während junge Menschen in schwarzen Oberteilen und schwarzen Shorts hinter ihm stehen.</v>
      </c>
    </row>
    <row r="35147">
      <c r="A35147" s="4" t="s">
        <v>44220</v>
      </c>
      <c r="B35147" s="4" t="s">
        <v>44222</v>
      </c>
      <c r="C35147" s="5" t="str">
        <f>IFERROR(__xludf.DUMMYFUNCTION("GOOGLETRANSLATE(B35147,""en"",""de"")"),"Die jungen Leute, die in einer Dreiecksform stehen, der junge Mann in der Mitte beginnt zu spielen, indem er seine Arme hochspringt und es wieder tat, und einige der Mädchen folgten dem, was er tut.")</f>
        <v>Die jungen Leute, die in einer Dreiecksform stehen, der junge Mann in der Mitte beginnt zu spielen, indem er seine Arme hochspringt und es wieder tat, und einige der Mädchen folgten dem, was er tut.</v>
      </c>
    </row>
    <row r="35148">
      <c r="A35148" s="4" t="s">
        <v>44223</v>
      </c>
      <c r="B35148" s="4" t="s">
        <v>44224</v>
      </c>
      <c r="C35148" s="5" t="str">
        <f>IFERROR(__xludf.DUMMYFUNCTION("GOOGLETRANSLATE(B35148,""en"",""de"")"),"Eine Frau setzt sich hin und hält eine Geige.")</f>
        <v>Eine Frau setzt sich hin und hält eine Geige.</v>
      </c>
    </row>
    <row r="35149">
      <c r="A35149" s="4" t="s">
        <v>44223</v>
      </c>
      <c r="B35149" s="4" t="s">
        <v>44225</v>
      </c>
      <c r="C35149" s="5" t="str">
        <f>IFERROR(__xludf.DUMMYFUNCTION("GOOGLETRANSLATE(B35149,""en"",""de"")"),"Sie hebt die Geige hoch und beginnt sie zu spielen.")</f>
        <v>Sie hebt die Geige hoch und beginnt sie zu spielen.</v>
      </c>
    </row>
    <row r="35150">
      <c r="A35150" s="4" t="s">
        <v>44223</v>
      </c>
      <c r="B35150" s="4" t="s">
        <v>44226</v>
      </c>
      <c r="C35150" s="5" t="str">
        <f>IFERROR(__xludf.DUMMYFUNCTION("GOOGLETRANSLATE(B35150,""en"",""de"")"),"Sie endet und senkt die Geige.")</f>
        <v>Sie endet und senkt die Geige.</v>
      </c>
    </row>
    <row r="35151">
      <c r="A35151" s="4" t="s">
        <v>44227</v>
      </c>
      <c r="B35151" s="4" t="s">
        <v>44228</v>
      </c>
      <c r="C35151" s="5" t="str">
        <f>IFERROR(__xludf.DUMMYFUNCTION("GOOGLETRANSLATE(B35151,""en"",""de"")"),"Eine große Gruppe von Menschen ist gesehen, wie sie in ein Büro gehen und einen Mann im Fernsehen interviewt.")</f>
        <v>Eine große Gruppe von Menschen ist gesehen, wie sie in ein Büro gehen und einen Mann im Fernsehen interviewt.</v>
      </c>
    </row>
    <row r="35152">
      <c r="A35152" s="4" t="s">
        <v>44227</v>
      </c>
      <c r="B35152" s="4" t="s">
        <v>44229</v>
      </c>
      <c r="C35152" s="5" t="str">
        <f>IFERROR(__xludf.DUMMYFUNCTION("GOOGLETRANSLATE(B35152,""en"",""de"")"),"Viele Leute sehen das Interview an und ein Mann spricht wütend zu einer Frau.")</f>
        <v>Viele Leute sehen das Interview an und ein Mann spricht wütend zu einer Frau.</v>
      </c>
    </row>
    <row r="35153">
      <c r="A35153" s="4" t="s">
        <v>44227</v>
      </c>
      <c r="B35153" s="4" t="s">
        <v>44230</v>
      </c>
      <c r="C35153" s="5" t="str">
        <f>IFERROR(__xludf.DUMMYFUNCTION("GOOGLETRANSLATE(B35153,""en"",""de"")"),"Die Frau schlägt den Mann und mehr Menschen werden herumlaufen und reden.")</f>
        <v>Die Frau schlägt den Mann und mehr Menschen werden herumlaufen und reden.</v>
      </c>
    </row>
    <row r="35154">
      <c r="A35154" s="4" t="s">
        <v>44227</v>
      </c>
      <c r="B35154" s="4" t="s">
        <v>44231</v>
      </c>
      <c r="C35154" s="5" t="str">
        <f>IFERROR(__xludf.DUMMYFUNCTION("GOOGLETRANSLATE(B35154,""en"",""de"")"),"Die Leute gehen in eine Bar und beginnen, Pool zu spielen und zu sprechen.")</f>
        <v>Die Leute gehen in eine Bar und beginnen, Pool zu spielen und zu sprechen.</v>
      </c>
    </row>
    <row r="35155">
      <c r="A35155" s="4" t="s">
        <v>44232</v>
      </c>
      <c r="B35155" s="4" t="s">
        <v>44233</v>
      </c>
      <c r="C35155" s="5" t="str">
        <f>IFERROR(__xludf.DUMMYFUNCTION("GOOGLETRANSLATE(B35155,""en"",""de"")"),"Eine kleine Gruppe von Frauen steht in einer Küche mit einem rührenden Zutaten in einen großen Topf.")</f>
        <v>Eine kleine Gruppe von Frauen steht in einer Küche mit einem rührenden Zutaten in einen großen Topf.</v>
      </c>
    </row>
    <row r="35156">
      <c r="A35156" s="4" t="s">
        <v>44232</v>
      </c>
      <c r="B35156" s="4" t="s">
        <v>44234</v>
      </c>
      <c r="C35156" s="5" t="str">
        <f>IFERROR(__xludf.DUMMYFUNCTION("GOOGLETRANSLATE(B35156,""en"",""de"")"),"Eine andere Frau betritt den Rahmen, wenn eine Frau mehr in die Schüssel gießt und sie herum mischt.")</f>
        <v>Eine andere Frau betritt den Rahmen, wenn eine Frau mehr in die Schüssel gießt und sie herum mischt.</v>
      </c>
    </row>
    <row r="35157">
      <c r="A35157" s="4" t="s">
        <v>44232</v>
      </c>
      <c r="B35157" s="4" t="s">
        <v>44235</v>
      </c>
      <c r="C35157" s="5" t="str">
        <f>IFERROR(__xludf.DUMMYFUNCTION("GOOGLETRANSLATE(B35157,""en"",""de"")"),"Sie gibt einem Mädchen einen Löffel, damit ein Mädchen es versuchen kann und eine andere die Schüssel vom Tisch wegnimmt.")</f>
        <v>Sie gibt einem Mädchen einen Löffel, damit ein Mädchen es versuchen kann und eine andere die Schüssel vom Tisch wegnimmt.</v>
      </c>
    </row>
    <row r="35158">
      <c r="A35158" s="4" t="s">
        <v>44236</v>
      </c>
      <c r="B35158" s="4" t="s">
        <v>44237</v>
      </c>
      <c r="C35158" s="5" t="str">
        <f>IFERROR(__xludf.DUMMYFUNCTION("GOOGLETRANSLATE(B35158,""en"",""de"")"),"Ein Mann wird mit verbundenen Augen gesehen, während er einen Stock und zwei andere um ihn herum hält.")</f>
        <v>Ein Mann wird mit verbundenen Augen gesehen, während er einen Stock und zwei andere um ihn herum hält.</v>
      </c>
    </row>
    <row r="35159">
      <c r="A35159" s="4" t="s">
        <v>44236</v>
      </c>
      <c r="B35159" s="4" t="s">
        <v>44238</v>
      </c>
      <c r="C35159" s="5" t="str">
        <f>IFERROR(__xludf.DUMMYFUNCTION("GOOGLETRANSLATE(B35159,""en"",""de"")"),"Der Mann schwingt dann heftig an die Pinata, während jemand ihn höher bewegt und dann die Pinata direkt über seinen Kopf fallen lässt.")</f>
        <v>Der Mann schwingt dann heftig an die Pinata, während jemand ihn höher bewegt und dann die Pinata direkt über seinen Kopf fallen lässt.</v>
      </c>
    </row>
    <row r="35160">
      <c r="A35160" s="4" t="s">
        <v>44239</v>
      </c>
      <c r="B35160" s="4" t="s">
        <v>44240</v>
      </c>
      <c r="C35160" s="5" t="str">
        <f>IFERROR(__xludf.DUMMYFUNCTION("GOOGLETRANSLATE(B35160,""en"",""de"")"),"Das Video handelt von einem Tennis -Tutorial und einem Drill von Edgar Giffenig.")</f>
        <v>Das Video handelt von einem Tennis -Tutorial und einem Drill von Edgar Giffenig.</v>
      </c>
    </row>
    <row r="35161">
      <c r="A35161" s="4" t="s">
        <v>44239</v>
      </c>
      <c r="B35161" s="4" t="s">
        <v>44241</v>
      </c>
      <c r="C35161" s="5" t="str">
        <f>IFERROR(__xludf.DUMMYFUNCTION("GOOGLETRANSLATE(B35161,""en"",""de"")"),"Es gibt zwei Lady Tennis -Spieler auf einem Clay Court, die demonstrieren, wie man den Ball hoch zum Partner wirft.")</f>
        <v>Es gibt zwei Lady Tennis -Spieler auf einem Clay Court, die demonstrieren, wie man den Ball hoch zum Partner wirft.</v>
      </c>
    </row>
    <row r="35162">
      <c r="A35162" s="4" t="s">
        <v>44239</v>
      </c>
      <c r="B35162" s="4" t="s">
        <v>44242</v>
      </c>
      <c r="C35162" s="5" t="str">
        <f>IFERROR(__xludf.DUMMYFUNCTION("GOOGLETRANSLATE(B35162,""en"",""de"")"),"Der Spieler schlurft hinter dem Netz und dreht den Schläger zwischen den Schüssen auf den Kopf.")</f>
        <v>Der Spieler schlurft hinter dem Netz und dreht den Schläger zwischen den Schüssen auf den Kopf.</v>
      </c>
    </row>
    <row r="35163">
      <c r="A35163" s="4" t="s">
        <v>44239</v>
      </c>
      <c r="B35163" s="4" t="s">
        <v>44243</v>
      </c>
      <c r="C35163" s="5" t="str">
        <f>IFERROR(__xludf.DUMMYFUNCTION("GOOGLETRANSLATE(B35163,""en"",""de"")"),"Dann zeigen die Spieler einen weiteren Drill, als sie zwischen den Schüssen auf dem Tennisplatz mischen und die Bälle zurückgeben.")</f>
        <v>Dann zeigen die Spieler einen weiteren Drill, als sie zwischen den Schüssen auf dem Tennisplatz mischen und die Bälle zurückgeben.</v>
      </c>
    </row>
    <row r="35164">
      <c r="A35164" s="4" t="s">
        <v>44239</v>
      </c>
      <c r="B35164" s="4" t="s">
        <v>44244</v>
      </c>
      <c r="C35164" s="5" t="str">
        <f>IFERROR(__xludf.DUMMYFUNCTION("GOOGLETRANSLATE(B35164,""en"",""de"")"),"Der Spieler springt den Ball mit der Spitze des Schlägergriffs zurück.")</f>
        <v>Der Spieler springt den Ball mit der Spitze des Schlägergriffs zurück.</v>
      </c>
    </row>
    <row r="35165">
      <c r="A35165" s="4" t="s">
        <v>44239</v>
      </c>
      <c r="B35165" s="4" t="s">
        <v>44245</v>
      </c>
      <c r="C35165" s="5" t="str">
        <f>IFERROR(__xludf.DUMMYFUNCTION("GOOGLETRANSLATE(B35165,""en"",""de"")"),"Sie spielen weiter und demonstrieren die Tennisübung.")</f>
        <v>Sie spielen weiter und demonstrieren die Tennisübung.</v>
      </c>
    </row>
    <row r="35166">
      <c r="A35166" s="4" t="s">
        <v>44246</v>
      </c>
      <c r="B35166" s="4" t="s">
        <v>44247</v>
      </c>
      <c r="C35166" s="5" t="str">
        <f>IFERROR(__xludf.DUMMYFUNCTION("GOOGLETRANSLATE(B35166,""en"",""de"")"),"Eine Person lässt sich von Kartoffeln in eine Schachtel mit einer Pause abziehen, um mit der Kamera zu sprechen.")</f>
        <v>Eine Person lässt sich von Kartoffeln in eine Schachtel mit einer Pause abziehen, um mit der Kamera zu sprechen.</v>
      </c>
    </row>
    <row r="35167">
      <c r="A35167" s="4" t="s">
        <v>44246</v>
      </c>
      <c r="B35167" s="4" t="s">
        <v>44248</v>
      </c>
      <c r="C35167" s="5" t="str">
        <f>IFERROR(__xludf.DUMMYFUNCTION("GOOGLETRANSLATE(B35167,""en"",""de"")"),"Die Person schält mehrere Kartoffeln und Shows einer Schüssel voller Kartoffeln, während sie sich noch mehr schälen.")</f>
        <v>Die Person schält mehrere Kartoffeln und Shows einer Schüssel voller Kartoffeln, während sie sich noch mehr schälen.</v>
      </c>
    </row>
    <row r="35168">
      <c r="A35168" s="4" t="s">
        <v>44249</v>
      </c>
      <c r="B35168" s="4" t="s">
        <v>44250</v>
      </c>
      <c r="C35168" s="5" t="str">
        <f>IFERROR(__xludf.DUMMYFUNCTION("GOOGLETRANSLATE(B35168,""en"",""de"")"),"Ein Mann hockt auf dem Boden und putzt etwas.")</f>
        <v>Ein Mann hockt auf dem Boden und putzt etwas.</v>
      </c>
    </row>
    <row r="35169">
      <c r="A35169" s="4" t="s">
        <v>44249</v>
      </c>
      <c r="B35169" s="4" t="s">
        <v>44251</v>
      </c>
      <c r="C35169" s="5" t="str">
        <f>IFERROR(__xludf.DUMMYFUNCTION("GOOGLETRANSLATE(B35169,""en"",""de"")"),"Mehrere Autos werden auf einem Parkplatz geparkt.")</f>
        <v>Mehrere Autos werden auf einem Parkplatz geparkt.</v>
      </c>
    </row>
    <row r="35170">
      <c r="A35170" s="4" t="s">
        <v>44249</v>
      </c>
      <c r="B35170" s="4" t="s">
        <v>44252</v>
      </c>
      <c r="C35170" s="5" t="str">
        <f>IFERROR(__xludf.DUMMYFUNCTION("GOOGLETRANSLATE(B35170,""en"",""de"")"),"Die Leute sehen, wie sie die Autos mit Seife und Wasser waschen.")</f>
        <v>Die Leute sehen, wie sie die Autos mit Seife und Wasser waschen.</v>
      </c>
    </row>
    <row r="35171">
      <c r="A35171" s="4" t="s">
        <v>44253</v>
      </c>
      <c r="B35171" s="4" t="s">
        <v>44254</v>
      </c>
      <c r="C35171" s="5" t="str">
        <f>IFERROR(__xludf.DUMMYFUNCTION("GOOGLETRANSLATE(B35171,""en"",""de"")"),"Drei Personen fliegen in einem Feld einen Drachen und Text erscheint auf dem Bildschirm.")</f>
        <v>Drei Personen fliegen in einem Feld einen Drachen und Text erscheint auf dem Bildschirm.</v>
      </c>
    </row>
    <row r="35172">
      <c r="A35172" s="4" t="s">
        <v>44253</v>
      </c>
      <c r="B35172" s="4" t="s">
        <v>44255</v>
      </c>
      <c r="C35172" s="5" t="str">
        <f>IFERROR(__xludf.DUMMYFUNCTION("GOOGLETRANSLATE(B35172,""en"",""de"")"),"Ein gruseliges Mädchen erscheint dann in Bilder von Kindern, die Drachen fliegen.")</f>
        <v>Ein gruseliges Mädchen erscheint dann in Bilder von Kindern, die Drachen fliegen.</v>
      </c>
    </row>
    <row r="35173">
      <c r="A35173" s="4" t="s">
        <v>44256</v>
      </c>
      <c r="B35173" s="4" t="s">
        <v>44257</v>
      </c>
      <c r="C35173" s="5" t="str">
        <f>IFERROR(__xludf.DUMMYFUNCTION("GOOGLETRANSLATE(B35173,""en"",""de"")"),"Ein Buff -Mann tritt in einen Kreis und legt den Schuss auf diese Schulter.")</f>
        <v>Ein Buff -Mann tritt in einen Kreis und legt den Schuss auf diese Schulter.</v>
      </c>
    </row>
    <row r="35174">
      <c r="A35174" s="4" t="s">
        <v>44256</v>
      </c>
      <c r="B35174" s="4" t="s">
        <v>44258</v>
      </c>
      <c r="C35174" s="5" t="str">
        <f>IFERROR(__xludf.DUMMYFUNCTION("GOOGLETRANSLATE(B35174,""en"",""de"")"),"Der Mann dreht sich dann herum und wirft den Ball ins Feld.")</f>
        <v>Der Mann dreht sich dann herum und wirft den Ball ins Feld.</v>
      </c>
    </row>
    <row r="35175">
      <c r="A35175" s="4" t="s">
        <v>44256</v>
      </c>
      <c r="B35175" s="4" t="s">
        <v>44259</v>
      </c>
      <c r="C35175" s="5" t="str">
        <f>IFERROR(__xludf.DUMMYFUNCTION("GOOGLETRANSLATE(B35175,""en"",""de"")"),"Sobald er fertig ist, zieht er ein großes Neonhemd an.")</f>
        <v>Sobald er fertig ist, zieht er ein großes Neonhemd an.</v>
      </c>
    </row>
    <row r="35176">
      <c r="A35176" s="4" t="s">
        <v>44256</v>
      </c>
      <c r="B35176" s="4" t="s">
        <v>44260</v>
      </c>
      <c r="C35176" s="5" t="str">
        <f>IFERROR(__xludf.DUMMYFUNCTION("GOOGLETRANSLATE(B35176,""en"",""de"")"),"Ein anderer Mann nähert sich dem Cirle und tut das Sameting, wenn jemand auf das Feld kommt und misst, wie weit der Ball gegangen ist.")</f>
        <v>Ein anderer Mann nähert sich dem Cirle und tut das Sameting, wenn jemand auf das Feld kommt und misst, wie weit der Ball gegangen ist.</v>
      </c>
    </row>
    <row r="35177">
      <c r="A35177" s="4" t="s">
        <v>44256</v>
      </c>
      <c r="B35177" s="4" t="s">
        <v>44261</v>
      </c>
      <c r="C35177" s="5" t="str">
        <f>IFERROR(__xludf.DUMMYFUNCTION("GOOGLETRANSLATE(B35177,""en"",""de"")"),"Die Teilnehmer kommen dann zurück und beginnen miteinander zu sprechen, bevor ihre Punktzahlen angezeigt werden.")</f>
        <v>Die Teilnehmer kommen dann zurück und beginnen miteinander zu sprechen, bevor ihre Punktzahlen angezeigt werden.</v>
      </c>
    </row>
    <row r="35178">
      <c r="A35178" s="4" t="s">
        <v>44256</v>
      </c>
      <c r="B35178" s="4" t="s">
        <v>44262</v>
      </c>
      <c r="C35178" s="5" t="str">
        <f>IFERROR(__xludf.DUMMYFUNCTION("GOOGLETRANSLATE(B35178,""en"",""de"")"),"Anschließend wird eine Luftansicht bereitgestellt, dann schwenkt die Kamera die Menge.")</f>
        <v>Anschließend wird eine Luftansicht bereitgestellt, dann schwenkt die Kamera die Menge.</v>
      </c>
    </row>
    <row r="35179">
      <c r="A35179" s="4" t="s">
        <v>44263</v>
      </c>
      <c r="B35179" s="4" t="s">
        <v>44264</v>
      </c>
      <c r="C35179" s="5" t="str">
        <f>IFERROR(__xludf.DUMMYFUNCTION("GOOGLETRANSLATE(B35179,""en"",""de"")"),"Eine Nahaufnahme eines Pokertisches wird angezeigt, gefolgt von der Kamera, die sich an andere Tische in der Region sowie an Personen spielen.")</f>
        <v>Eine Nahaufnahme eines Pokertisches wird angezeigt, gefolgt von der Kamera, die sich an andere Tische in der Region sowie an Personen spielen.</v>
      </c>
    </row>
    <row r="35180">
      <c r="A35180" s="4" t="s">
        <v>44263</v>
      </c>
      <c r="B35180" s="4" t="s">
        <v>44265</v>
      </c>
      <c r="C35180" s="5" t="str">
        <f>IFERROR(__xludf.DUMMYFUNCTION("GOOGLETRANSLATE(B35180,""en"",""de"")"),"Es werden mehrere Clips angezeigt, von denen Menschen an Tischen spielen und gegen die Kamera lachen.")</f>
        <v>Es werden mehrere Clips angezeigt, von denen Menschen an Tischen spielen und gegen die Kamera lachen.</v>
      </c>
    </row>
    <row r="35181">
      <c r="A35181" s="4" t="s">
        <v>44263</v>
      </c>
      <c r="B35181" s="4" t="s">
        <v>44266</v>
      </c>
      <c r="C35181" s="5" t="str">
        <f>IFERROR(__xludf.DUMMYFUNCTION("GOOGLETRANSLATE(B35181,""en"",""de"")"),"Weitere Bilder werden von Menschen im Casino sowie von Videos von ihnen gezeigt, die durch die Gegend wandern.")</f>
        <v>Weitere Bilder werden von Menschen im Casino sowie von Videos von ihnen gezeigt, die durch die Gegend wandern.</v>
      </c>
    </row>
    <row r="35182">
      <c r="A35182" s="4" t="s">
        <v>44267</v>
      </c>
      <c r="B35182" s="4" t="s">
        <v>44268</v>
      </c>
      <c r="C35182" s="5" t="str">
        <f>IFERROR(__xludf.DUMMYFUNCTION("GOOGLETRANSLATE(B35182,""en"",""de"")"),"Dieses Mädchen zoomt in den Zähnen, Augen und anderen Dingen der Menschen in ihrem Gesicht.")</f>
        <v>Dieses Mädchen zoomt in den Zähnen, Augen und anderen Dingen der Menschen in ihrem Gesicht.</v>
      </c>
    </row>
    <row r="35183">
      <c r="A35183" s="4" t="s">
        <v>44267</v>
      </c>
      <c r="B35183" s="4" t="s">
        <v>44269</v>
      </c>
      <c r="C35183" s="5" t="str">
        <f>IFERROR(__xludf.DUMMYFUNCTION("GOOGLETRANSLATE(B35183,""en"",""de"")"),"Dann zeigt sie uns das Spiel von Dodge Ball.")</f>
        <v>Dann zeigt sie uns das Spiel von Dodge Ball.</v>
      </c>
    </row>
    <row r="35184">
      <c r="A35184" s="4" t="s">
        <v>44270</v>
      </c>
      <c r="B35184" s="4" t="s">
        <v>44271</v>
      </c>
      <c r="C35184" s="5" t="str">
        <f>IFERROR(__xludf.DUMMYFUNCTION("GOOGLETRANSLATE(B35184,""en"",""de"")"),"Ein Mann geht vor einer Menge auf ein Feld und hält einen schweren Ball in die Luft.")</f>
        <v>Ein Mann geht vor einer Menge auf ein Feld und hält einen schweren Ball in die Luft.</v>
      </c>
    </row>
    <row r="35185">
      <c r="A35185" s="4" t="s">
        <v>44270</v>
      </c>
      <c r="B35185" s="4" t="s">
        <v>44272</v>
      </c>
      <c r="C35185" s="5" t="str">
        <f>IFERROR(__xludf.DUMMYFUNCTION("GOOGLETRANSLATE(B35185,""en"",""de"")"),"Er dreht sich und wirft dann den Ball so weit er kann.")</f>
        <v>Er dreht sich und wirft dann den Ball so weit er kann.</v>
      </c>
    </row>
    <row r="35186">
      <c r="A35186" s="4" t="s">
        <v>44270</v>
      </c>
      <c r="B35186" s="4" t="s">
        <v>44273</v>
      </c>
      <c r="C35186" s="5" t="str">
        <f>IFERROR(__xludf.DUMMYFUNCTION("GOOGLETRANSLATE(B35186,""en"",""de"")"),"Eine Frau und mehrere andere folgen dasselbe.")</f>
        <v>Eine Frau und mehrere andere folgen dasselbe.</v>
      </c>
    </row>
    <row r="35187">
      <c r="A35187" s="4" t="s">
        <v>44270</v>
      </c>
      <c r="B35187" s="4" t="s">
        <v>44274</v>
      </c>
      <c r="C35187" s="5" t="str">
        <f>IFERROR(__xludf.DUMMYFUNCTION("GOOGLETRANSLATE(B35187,""en"",""de"")"),"Die Gewinner feiern, halten Flaggen hoch und umarmten sich freudig.")</f>
        <v>Die Gewinner feiern, halten Flaggen hoch und umarmten sich freudig.</v>
      </c>
    </row>
    <row r="35188">
      <c r="A35188" s="4" t="s">
        <v>44275</v>
      </c>
      <c r="B35188" s="4" t="s">
        <v>44276</v>
      </c>
      <c r="C35188" s="5" t="str">
        <f>IFERROR(__xludf.DUMMYFUNCTION("GOOGLETRANSLATE(B35188,""en"",""de"")"),"Ein Mann wird in einem Pool schwimmen, der verschiedene Gegenstände in seinen Händen hält und zeigt, wie man sie anzieht.")</f>
        <v>Ein Mann wird in einem Pool schwimmen, der verschiedene Gegenstände in seinen Händen hält und zeigt, wie man sie anzieht.</v>
      </c>
    </row>
    <row r="35189">
      <c r="A35189" s="4" t="s">
        <v>44275</v>
      </c>
      <c r="B35189" s="4" t="s">
        <v>44277</v>
      </c>
      <c r="C35189" s="5" t="str">
        <f>IFERROR(__xludf.DUMMYFUNCTION("GOOGLETRANSLATE(B35189,""en"",""de"")"),"Dann schwimmt er mit einem Brustschlag bis zum Ende den Pool hinunter und arbeitet sich zurück.")</f>
        <v>Dann schwimmt er mit einem Brustschlag bis zum Ende den Pool hinunter und arbeitet sich zurück.</v>
      </c>
    </row>
    <row r="35190">
      <c r="A35190" s="4" t="s">
        <v>44278</v>
      </c>
      <c r="B35190" s="4" t="s">
        <v>44279</v>
      </c>
      <c r="C35190" s="5" t="str">
        <f>IFERROR(__xludf.DUMMYFUNCTION("GOOGLETRANSLATE(B35190,""en"",""de"")"),"Ein Mädchen, das eine Gitarre in der Kamera hält.")</f>
        <v>Ein Mädchen, das eine Gitarre in der Kamera hält.</v>
      </c>
    </row>
    <row r="35191">
      <c r="A35191" s="4" t="s">
        <v>44278</v>
      </c>
      <c r="B35191" s="4" t="s">
        <v>44280</v>
      </c>
      <c r="C35191" s="5" t="str">
        <f>IFERROR(__xludf.DUMMYFUNCTION("GOOGLETRANSLATE(B35191,""en"",""de"")"),"Das Mädchen spielt die Gitarre, als sie auf dem Sofa sitzt.")</f>
        <v>Das Mädchen spielt die Gitarre, als sie auf dem Sofa sitzt.</v>
      </c>
    </row>
    <row r="35192">
      <c r="A35192" s="4" t="s">
        <v>44278</v>
      </c>
      <c r="B35192" s="4" t="s">
        <v>44281</v>
      </c>
      <c r="C35192" s="5" t="str">
        <f>IFERROR(__xludf.DUMMYFUNCTION("GOOGLETRANSLATE(B35192,""en"",""de"")"),"Das Mädchen hört auf zu spielen und spricht wieder mit der Kamera, während er demonstriert.")</f>
        <v>Das Mädchen hört auf zu spielen und spricht wieder mit der Kamera, während er demonstriert.</v>
      </c>
    </row>
    <row r="35193">
      <c r="A35193" s="4" t="s">
        <v>44282</v>
      </c>
      <c r="B35193" s="4" t="s">
        <v>44283</v>
      </c>
      <c r="C35193" s="5" t="str">
        <f>IFERROR(__xludf.DUMMYFUNCTION("GOOGLETRANSLATE(B35193,""en"",""de"")"),"Das Video spielt in einer Gymnastikarena.")</f>
        <v>Das Video spielt in einer Gymnastikarena.</v>
      </c>
    </row>
    <row r="35194">
      <c r="A35194" s="4" t="s">
        <v>44282</v>
      </c>
      <c r="B35194" s="4" t="s">
        <v>44284</v>
      </c>
      <c r="C35194" s="5" t="str">
        <f>IFERROR(__xludf.DUMMYFUNCTION("GOOGLETRANSLATE(B35194,""en"",""de"")"),"Ein Mann spielt Gymnastik auf einem Strahl, während mehrere andere zuschauen.")</f>
        <v>Ein Mann spielt Gymnastik auf einem Strahl, während mehrere andere zuschauen.</v>
      </c>
    </row>
    <row r="35195">
      <c r="A35195" s="4" t="s">
        <v>44282</v>
      </c>
      <c r="B35195" s="4" t="s">
        <v>44285</v>
      </c>
      <c r="C35195" s="5" t="str">
        <f>IFERROR(__xludf.DUMMYFUNCTION("GOOGLETRANSLATE(B35195,""en"",""de"")"),"Der Mann beginnt auf dem Strahl verkehrt herum.")</f>
        <v>Der Mann beginnt auf dem Strahl verkehrt herum.</v>
      </c>
    </row>
    <row r="35196">
      <c r="A35196" s="4" t="s">
        <v>44282</v>
      </c>
      <c r="B35196" s="4" t="s">
        <v>44286</v>
      </c>
      <c r="C35196" s="5" t="str">
        <f>IFERROR(__xludf.DUMMYFUNCTION("GOOGLETRANSLATE(B35196,""en"",""de"")"),"Dann macht er mehrere Flips.")</f>
        <v>Dann macht er mehrere Flips.</v>
      </c>
    </row>
    <row r="35197">
      <c r="A35197" s="4" t="s">
        <v>44282</v>
      </c>
      <c r="B35197" s="4" t="s">
        <v>44287</v>
      </c>
      <c r="C35197" s="5" t="str">
        <f>IFERROR(__xludf.DUMMYFUNCTION("GOOGLETRANSLATE(B35197,""en"",""de"")"),"Das Video endet, als er einen endgültigen Flip durchführt und vom Strahl hüpft.")</f>
        <v>Das Video endet, als er einen endgültigen Flip durchführt und vom Strahl hüpft.</v>
      </c>
    </row>
    <row r="35198">
      <c r="A35198" s="4" t="s">
        <v>44288</v>
      </c>
      <c r="B35198" s="4" t="s">
        <v>44289</v>
      </c>
      <c r="C35198" s="5" t="str">
        <f>IFERROR(__xludf.DUMMYFUNCTION("GOOGLETRANSLATE(B35198,""en"",""de"")"),"Es werden mehrere Cricketspieler -Clips gezeigt.")</f>
        <v>Es werden mehrere Cricketspieler -Clips gezeigt.</v>
      </c>
    </row>
    <row r="35199">
      <c r="A35199" s="4" t="s">
        <v>44288</v>
      </c>
      <c r="B35199" s="4" t="s">
        <v>44290</v>
      </c>
      <c r="C35199" s="5" t="str">
        <f>IFERROR(__xludf.DUMMYFUNCTION("GOOGLETRANSLATE(B35199,""en"",""de"")"),"In ihnen wirft jemand einen Ball auf einen Spieler.")</f>
        <v>In ihnen wirft jemand einen Ball auf einen Spieler.</v>
      </c>
    </row>
    <row r="35200">
      <c r="A35200" s="4" t="s">
        <v>44288</v>
      </c>
      <c r="B35200" s="4" t="s">
        <v>44291</v>
      </c>
      <c r="C35200" s="5" t="str">
        <f>IFERROR(__xludf.DUMMYFUNCTION("GOOGLETRANSLATE(B35200,""en"",""de"")"),"Ein anderer Spieler schlägt den Ball mit seinem Fledermaus.")</f>
        <v>Ein anderer Spieler schlägt den Ball mit seinem Fledermaus.</v>
      </c>
    </row>
    <row r="35201">
      <c r="A35201" s="4" t="s">
        <v>44288</v>
      </c>
      <c r="B35201" s="4" t="s">
        <v>44292</v>
      </c>
      <c r="C35201" s="5" t="str">
        <f>IFERROR(__xludf.DUMMYFUNCTION("GOOGLETRANSLATE(B35201,""en"",""de"")"),"Ein anderer Spieler fängt dann den Ball.")</f>
        <v>Ein anderer Spieler fängt dann den Ball.</v>
      </c>
    </row>
    <row r="35202">
      <c r="A35202" s="4" t="s">
        <v>44293</v>
      </c>
      <c r="B35202" s="4" t="s">
        <v>44294</v>
      </c>
      <c r="C35202" s="5" t="str">
        <f>IFERROR(__xludf.DUMMYFUNCTION("GOOGLETRANSLATE(B35202,""en"",""de"")"),"Eine Frau spricht mit der Kamera und führt an mehreren Orten in ihr Schleifen in ein Brett.")</f>
        <v>Eine Frau spricht mit der Kamera und führt an mehreren Orten in ihr Schleifen in ein Brett.</v>
      </c>
    </row>
    <row r="35203">
      <c r="A35203" s="4" t="s">
        <v>44293</v>
      </c>
      <c r="B35203" s="4" t="s">
        <v>44295</v>
      </c>
      <c r="C35203" s="5" t="str">
        <f>IFERROR(__xludf.DUMMYFUNCTION("GOOGLETRANSLATE(B35203,""en"",""de"")"),"Sie schleift dann mehr Objekte und zeigt eine große Auswahl an Werkzeugen, die sie hat.")</f>
        <v>Sie schleift dann mehr Objekte und zeigt eine große Auswahl an Werkzeugen, die sie hat.</v>
      </c>
    </row>
    <row r="35204">
      <c r="A35204" s="4" t="s">
        <v>44293</v>
      </c>
      <c r="B35204" s="4" t="s">
        <v>44296</v>
      </c>
      <c r="C35204" s="5" t="str">
        <f>IFERROR(__xludf.DUMMYFUNCTION("GOOGLETRANSLATE(B35204,""en"",""de"")"),"Sie hämmert die Seiten des Bretts hinunter und endet mit ihrem Mal die Brett.")</f>
        <v>Sie hämmert die Seiten des Bretts hinunter und endet mit ihrem Mal die Brett.</v>
      </c>
    </row>
    <row r="35205">
      <c r="A35205" s="4" t="s">
        <v>44297</v>
      </c>
      <c r="B35205" s="4" t="s">
        <v>44298</v>
      </c>
      <c r="C35205" s="5" t="str">
        <f>IFERROR(__xludf.DUMMYFUNCTION("GOOGLETRANSLATE(B35205,""en"",""de"")"),"Das jubelnde führende Team ging auf die Bühne zu, während im Publikum ihre Teamkollegen, die rote und weiße Uniformen tragen, jubeln.")</f>
        <v>Das jubelnde führende Team ging auf die Bühne zu, während im Publikum ihre Teamkollegen, die rote und weiße Uniformen tragen, jubeln.</v>
      </c>
    </row>
    <row r="35206">
      <c r="A35206" s="4" t="s">
        <v>44297</v>
      </c>
      <c r="B35206" s="4" t="s">
        <v>44299</v>
      </c>
      <c r="C35206" s="5" t="str">
        <f>IFERROR(__xludf.DUMMYFUNCTION("GOOGLETRANSLATE(B35206,""en"",""de"")"),"Das Team begann ihren Jubeltanz, bei dem Frauen auf den Händen der Männer aufgestanden sind, sie steckten, sprangen in die Luft, hielten einige Banner in die Luft, sprangen hoch in die Luft und fielen auf die Arme ihres Teamkollegen.")</f>
        <v>Das Team begann ihren Jubeltanz, bei dem Frauen auf den Händen der Männer aufgestanden sind, sie steckten, sprangen in die Luft, hielten einige Banner in die Luft, sprangen hoch in die Luft und fielen auf die Arme ihres Teamkollegen.</v>
      </c>
    </row>
    <row r="35207">
      <c r="A35207" s="4" t="s">
        <v>44300</v>
      </c>
      <c r="B35207" s="4" t="s">
        <v>44301</v>
      </c>
      <c r="C35207" s="5" t="str">
        <f>IFERROR(__xludf.DUMMYFUNCTION("GOOGLETRANSLATE(B35207,""en"",""de"")"),"Video aus den 1980er Jahren wird gezeigt.")</f>
        <v>Video aus den 1980er Jahren wird gezeigt.</v>
      </c>
    </row>
    <row r="35208">
      <c r="A35208" s="4" t="s">
        <v>44300</v>
      </c>
      <c r="B35208" s="4" t="s">
        <v>44302</v>
      </c>
      <c r="C35208" s="5" t="str">
        <f>IFERROR(__xludf.DUMMYFUNCTION("GOOGLETRANSLATE(B35208,""en"",""de"")"),"Prominente spielen im Freien ein Tauziehen.")</f>
        <v>Prominente spielen im Freien ein Tauziehen.</v>
      </c>
    </row>
    <row r="35209">
      <c r="A35209" s="4" t="s">
        <v>44300</v>
      </c>
      <c r="B35209" s="4" t="s">
        <v>44303</v>
      </c>
      <c r="C35209" s="5" t="str">
        <f>IFERROR(__xludf.DUMMYFUNCTION("GOOGLETRANSLATE(B35209,""en"",""de"")"),"Das Team mit Lou Ferrigno spielt darauf den Wettbewerb.")</f>
        <v>Das Team mit Lou Ferrigno spielt darauf den Wettbewerb.</v>
      </c>
    </row>
    <row r="35210">
      <c r="A35210" s="4" t="s">
        <v>44300</v>
      </c>
      <c r="B35210" s="4" t="s">
        <v>44304</v>
      </c>
      <c r="C35210" s="5" t="str">
        <f>IFERROR(__xludf.DUMMYFUNCTION("GOOGLETRANSLATE(B35210,""en"",""de"")"),"Ferrigno und andere Prominente werden interviewt.")</f>
        <v>Ferrigno und andere Prominente werden interviewt.</v>
      </c>
    </row>
    <row r="35211">
      <c r="A35211" s="4" t="s">
        <v>44305</v>
      </c>
      <c r="B35211" s="4" t="s">
        <v>44306</v>
      </c>
      <c r="C35211" s="5" t="str">
        <f>IFERROR(__xludf.DUMMYFUNCTION("GOOGLETRANSLATE(B35211,""en"",""de"")"),"Eine Gruppe von Mädchen liegt draußen unter einem Zelt.")</f>
        <v>Eine Gruppe von Mädchen liegt draußen unter einem Zelt.</v>
      </c>
    </row>
    <row r="35212">
      <c r="A35212" s="4" t="s">
        <v>44305</v>
      </c>
      <c r="B35212" s="4" t="s">
        <v>44307</v>
      </c>
      <c r="C35212" s="5" t="str">
        <f>IFERROR(__xludf.DUMMYFUNCTION("GOOGLETRANSLATE(B35212,""en"",""de"")"),"Ein Mädchen wischt sich mit einem Handtuch von einem gelben Teller ab.")</f>
        <v>Ein Mädchen wischt sich mit einem Handtuch von einem gelben Teller ab.</v>
      </c>
    </row>
    <row r="35213">
      <c r="A35213" s="4" t="s">
        <v>44305</v>
      </c>
      <c r="B35213" s="4" t="s">
        <v>44308</v>
      </c>
      <c r="C35213" s="5" t="str">
        <f>IFERROR(__xludf.DUMMYFUNCTION("GOOGLETRANSLATE(B35213,""en"",""de"")"),"Drei Mädchen waschen Geschirr in großen Wannen.")</f>
        <v>Drei Mädchen waschen Geschirr in großen Wannen.</v>
      </c>
    </row>
    <row r="35214">
      <c r="A35214" s="4" t="s">
        <v>44309</v>
      </c>
      <c r="B35214" s="4" t="s">
        <v>44310</v>
      </c>
      <c r="C35214" s="5" t="str">
        <f>IFERROR(__xludf.DUMMYFUNCTION("GOOGLETRANSLATE(B35214,""en"",""de"")"),"Eine Frau spricht mit der Kamera und führt in sie mehrere Zutaten in ein Masonglas.")</f>
        <v>Eine Frau spricht mit der Kamera und führt in sie mehrere Zutaten in ein Masonglas.</v>
      </c>
    </row>
    <row r="35215">
      <c r="A35215" s="4" t="s">
        <v>44309</v>
      </c>
      <c r="B35215" s="4" t="s">
        <v>44311</v>
      </c>
      <c r="C35215" s="5" t="str">
        <f>IFERROR(__xludf.DUMMYFUNCTION("GOOGLETRANSLATE(B35215,""en"",""de"")"),"Die Frau verwendet Zangen, um Gegenstände in das Glas zu schichten, und legt dann einen Deckel darauf.")</f>
        <v>Die Frau verwendet Zangen, um Gegenstände in das Glas zu schichten, und legt dann einen Deckel darauf.</v>
      </c>
    </row>
    <row r="35216">
      <c r="A35216" s="4" t="s">
        <v>44309</v>
      </c>
      <c r="B35216" s="4" t="s">
        <v>44312</v>
      </c>
      <c r="C35216" s="5" t="str">
        <f>IFERROR(__xludf.DUMMYFUNCTION("GOOGLETRANSLATE(B35216,""en"",""de"")"),"Die Frau legt ein Band um die Seite sowie ein Etikett und lächelt zur Kamera.")</f>
        <v>Die Frau legt ein Band um die Seite sowie ein Etikett und lächelt zur Kamera.</v>
      </c>
    </row>
    <row r="35217">
      <c r="A35217" s="4" t="s">
        <v>44313</v>
      </c>
      <c r="B35217" s="4" t="s">
        <v>44314</v>
      </c>
      <c r="C35217" s="5" t="str">
        <f>IFERROR(__xludf.DUMMYFUNCTION("GOOGLETRANSLATE(B35217,""en"",""de"")"),"Einzelpersonen trainieren auf verschiedenen Geräten.")</f>
        <v>Einzelpersonen trainieren auf verschiedenen Geräten.</v>
      </c>
    </row>
    <row r="35218">
      <c r="A35218" s="4" t="s">
        <v>44313</v>
      </c>
      <c r="B35218" s="4" t="s">
        <v>44315</v>
      </c>
      <c r="C35218" s="5" t="str">
        <f>IFERROR(__xludf.DUMMYFUNCTION("GOOGLETRANSLATE(B35218,""en"",""de"")"),"Ein Mann und eine Frau bewegen sich hin und her.")</f>
        <v>Ein Mann und eine Frau bewegen sich hin und her.</v>
      </c>
    </row>
    <row r="35219">
      <c r="A35219" s="4" t="s">
        <v>44316</v>
      </c>
      <c r="B35219" s="4" t="s">
        <v>44317</v>
      </c>
      <c r="C35219" s="5" t="str">
        <f>IFERROR(__xludf.DUMMYFUNCTION("GOOGLETRANSLATE(B35219,""en"",""de"")"),"Es gibt ein Paar mittleren Alters, das demonstriert, wie man Ballzimmer tanzt.")</f>
        <v>Es gibt ein Paar mittleren Alters, das demonstriert, wie man Ballzimmer tanzt.</v>
      </c>
    </row>
    <row r="35220">
      <c r="A35220" s="4" t="s">
        <v>44316</v>
      </c>
      <c r="B35220" s="4" t="s">
        <v>44318</v>
      </c>
      <c r="C35220" s="5" t="str">
        <f>IFERROR(__xludf.DUMMYFUNCTION("GOOGLETRANSLATE(B35220,""en"",""de"")"),"Sie befinden sich in einem Raum mit großen Spiegeln an einer Wand und Holzböden.")</f>
        <v>Sie befinden sich in einem Raum mit großen Spiegeln an einer Wand und Holzböden.</v>
      </c>
    </row>
    <row r="35221">
      <c r="A35221" s="4" t="s">
        <v>44316</v>
      </c>
      <c r="B35221" s="4" t="s">
        <v>44319</v>
      </c>
      <c r="C35221" s="5" t="str">
        <f>IFERROR(__xludf.DUMMYFUNCTION("GOOGLETRANSLATE(B35221,""en"",""de"")"),"Sie zeigen, wie man den Fuß im Rhythmus hin und her bewegt, während sie ihre Hüften drehen.")</f>
        <v>Sie zeigen, wie man den Fuß im Rhythmus hin und her bewegt, während sie ihre Hüften drehen.</v>
      </c>
    </row>
    <row r="35222">
      <c r="A35222" s="4" t="s">
        <v>44320</v>
      </c>
      <c r="B35222" s="4" t="s">
        <v>44321</v>
      </c>
      <c r="C35222" s="5" t="str">
        <f>IFERROR(__xludf.DUMMYFUNCTION("GOOGLETRANSLATE(B35222,""en"",""de"")"),"Ein Cowboy geht aus einem Tor auf einem Pferd.")</f>
        <v>Ein Cowboy geht aus einem Tor auf einem Pferd.</v>
      </c>
    </row>
    <row r="35223">
      <c r="A35223" s="4" t="s">
        <v>44320</v>
      </c>
      <c r="B35223" s="4" t="s">
        <v>44322</v>
      </c>
      <c r="C35223" s="5" t="str">
        <f>IFERROR(__xludf.DUMMYFUNCTION("GOOGLETRANSLATE(B35223,""en"",""de"")"),"Er benutzt ein Lasso, um ein Kalb zu fesseln.")</f>
        <v>Er benutzt ein Lasso, um ein Kalb zu fesseln.</v>
      </c>
    </row>
    <row r="35224">
      <c r="A35224" s="4" t="s">
        <v>44320</v>
      </c>
      <c r="B35224" s="4" t="s">
        <v>44323</v>
      </c>
      <c r="C35224" s="5" t="str">
        <f>IFERROR(__xludf.DUMMYFUNCTION("GOOGLETRANSLATE(B35224,""en"",""de"")"),"Er versucht, das Kalb zu binden und sein Seil zu verlieren.")</f>
        <v>Er versucht, das Kalb zu binden und sein Seil zu verlieren.</v>
      </c>
    </row>
    <row r="35225">
      <c r="A35225" s="4" t="s">
        <v>44324</v>
      </c>
      <c r="B35225" s="4" t="s">
        <v>44325</v>
      </c>
      <c r="C35225" s="5" t="str">
        <f>IFERROR(__xludf.DUMMYFUNCTION("GOOGLETRANSLATE(B35225,""en"",""de"")"),"Ein Mädchen, das eine schwarze Bluse trägt, beschreibt, wie man in einer Küche backt.")</f>
        <v>Ein Mädchen, das eine schwarze Bluse trägt, beschreibt, wie man in einer Küche backt.</v>
      </c>
    </row>
    <row r="35226">
      <c r="A35226" s="4" t="s">
        <v>44324</v>
      </c>
      <c r="B35226" s="4" t="s">
        <v>44326</v>
      </c>
      <c r="C35226" s="5" t="str">
        <f>IFERROR(__xludf.DUMMYFUNCTION("GOOGLETRANSLATE(B35226,""en"",""de"")"),"Der Bäcker gießt Mehl in eine klare Schüssel mit einem Messbecher.")</f>
        <v>Der Bäcker gießt Mehl in eine klare Schüssel mit einem Messbecher.</v>
      </c>
    </row>
    <row r="35227">
      <c r="A35227" s="4" t="s">
        <v>44324</v>
      </c>
      <c r="B35227" s="4" t="s">
        <v>44327</v>
      </c>
      <c r="C35227" s="5" t="str">
        <f>IFERROR(__xludf.DUMMYFUNCTION("GOOGLETRANSLATE(B35227,""en"",""de"")"),"Der Bäcker schöscht dann vier Ebenen von Esslöffeln aus einem gelben Behälter mit Maisstärke und adressiert es in die Schüssel mit Mehl.")</f>
        <v>Der Bäcker schöscht dann vier Ebenen von Esslöffeln aus einem gelben Behälter mit Maisstärke und adressiert es in die Schüssel mit Mehl.</v>
      </c>
    </row>
    <row r="35228">
      <c r="A35228" s="4" t="s">
        <v>44324</v>
      </c>
      <c r="B35228" s="4" t="s">
        <v>44328</v>
      </c>
      <c r="C35228" s="5" t="str">
        <f>IFERROR(__xludf.DUMMYFUNCTION("GOOGLETRANSLATE(B35228,""en"",""de"")"),"Der Bäcker gießt die Mehl- und Maisstärke -Mischung in einen Sifter und beginnt dreimal mit dem Sieben der Zutaten.")</f>
        <v>Der Bäcker gießt die Mehl- und Maisstärke -Mischung in einen Sifter und beginnt dreimal mit dem Sieben der Zutaten.</v>
      </c>
    </row>
    <row r="35229">
      <c r="A35229" s="4" t="s">
        <v>44329</v>
      </c>
      <c r="B35229" s="4" t="s">
        <v>44330</v>
      </c>
      <c r="C35229" s="5" t="str">
        <f>IFERROR(__xludf.DUMMYFUNCTION("GOOGLETRANSLATE(B35229,""en"",""de"")"),"Eine Person ist gesehen, wie sie eine lange Strecke hinuntergeführt wird, während sie eine Stange hält.")</f>
        <v>Eine Person ist gesehen, wie sie eine lange Strecke hinuntergeführt wird, während sie eine Stange hält.</v>
      </c>
    </row>
    <row r="35230">
      <c r="A35230" s="4" t="s">
        <v>44329</v>
      </c>
      <c r="B35230" s="4" t="s">
        <v>44331</v>
      </c>
      <c r="C35230" s="5" t="str">
        <f>IFERROR(__xludf.DUMMYFUNCTION("GOOGLETRANSLATE(B35230,""en"",""de"")"),"Die Person läuft über den Strahl auf einer Matte und wird in Zeitlupe erneut angezeigt.")</f>
        <v>Die Person läuft über den Strahl auf einer Matte und wird in Zeitlupe erneut angezeigt.</v>
      </c>
    </row>
    <row r="35231">
      <c r="A35231" s="4" t="s">
        <v>44332</v>
      </c>
      <c r="B35231" s="4" t="s">
        <v>44333</v>
      </c>
      <c r="C35231" s="5" t="str">
        <f>IFERROR(__xludf.DUMMYFUNCTION("GOOGLETRANSLATE(B35231,""en"",""de"")"),"Ein junger Mann legt Lippenstift auf die Lippen.")</f>
        <v>Ein junger Mann legt Lippenstift auf die Lippen.</v>
      </c>
    </row>
    <row r="35232">
      <c r="A35232" s="4" t="s">
        <v>44332</v>
      </c>
      <c r="B35232" s="4" t="s">
        <v>44334</v>
      </c>
      <c r="C35232" s="5" t="str">
        <f>IFERROR(__xludf.DUMMYFUNCTION("GOOGLETRANSLATE(B35232,""en"",""de"")"),"Zwei Reporter sprechen in einem Fernsehset mit dem Publikum.")</f>
        <v>Zwei Reporter sprechen in einem Fernsehset mit dem Publikum.</v>
      </c>
    </row>
    <row r="35233">
      <c r="A35233" s="4" t="s">
        <v>44332</v>
      </c>
      <c r="B35233" s="4" t="s">
        <v>44335</v>
      </c>
      <c r="C35233" s="5" t="str">
        <f>IFERROR(__xludf.DUMMYFUNCTION("GOOGLETRANSLATE(B35233,""en"",""de"")"),"Dann streift der junge Mann sein Gesicht, dann reden die Leute im Publikum.")</f>
        <v>Dann streift der junge Mann sein Gesicht, dann reden die Leute im Publikum.</v>
      </c>
    </row>
    <row r="35234">
      <c r="A35234" s="4" t="s">
        <v>44332</v>
      </c>
      <c r="B35234" s="4" t="s">
        <v>44336</v>
      </c>
      <c r="C35234" s="5" t="str">
        <f>IFERROR(__xludf.DUMMYFUNCTION("GOOGLETRANSLATE(B35234,""en"",""de"")"),"Danach zeigt die jungen Männer sein Gesicht mit Make -up.")</f>
        <v>Danach zeigt die jungen Männer sein Gesicht mit Make -up.</v>
      </c>
    </row>
    <row r="35235">
      <c r="A35235" s="4" t="s">
        <v>44337</v>
      </c>
      <c r="B35235" s="4" t="s">
        <v>44338</v>
      </c>
      <c r="C35235" s="5" t="str">
        <f>IFERROR(__xludf.DUMMYFUNCTION("GOOGLETRANSLATE(B35235,""en"",""de"")"),"Ein Mann, der in Armeermüdung gekleidet ist, spielt Dudelsack, während andere Leute zuschauen.")</f>
        <v>Ein Mann, der in Armeermüdung gekleidet ist, spielt Dudelsack, während andere Leute zuschauen.</v>
      </c>
    </row>
    <row r="35236">
      <c r="A35236" s="4" t="s">
        <v>44337</v>
      </c>
      <c r="B35236" s="4" t="s">
        <v>44339</v>
      </c>
      <c r="C35236" s="5" t="str">
        <f>IFERROR(__xludf.DUMMYFUNCTION("GOOGLETRANSLATE(B35236,""en"",""de"")"),"Eine Frau wird im Hintergrund gezeigt, wenn er herumtanzt, während er spielt.")</f>
        <v>Eine Frau wird im Hintergrund gezeigt, wenn er herumtanzt, während er spielt.</v>
      </c>
    </row>
    <row r="35237">
      <c r="A35237" s="4" t="s">
        <v>44337</v>
      </c>
      <c r="B35237" s="4" t="s">
        <v>44340</v>
      </c>
      <c r="C35237" s="5" t="str">
        <f>IFERROR(__xludf.DUMMYFUNCTION("GOOGLETRANSLATE(B35237,""en"",""de"")"),"Wenn er beendet ist, lacht er und scherzt mit den anderen Leuten.")</f>
        <v>Wenn er beendet ist, lacht er und scherzt mit den anderen Leuten.</v>
      </c>
    </row>
    <row r="35238">
      <c r="A35238" s="4" t="s">
        <v>44341</v>
      </c>
      <c r="B35238" s="4" t="s">
        <v>44342</v>
      </c>
      <c r="C35238" s="5" t="str">
        <f>IFERROR(__xludf.DUMMYFUNCTION("GOOGLETRANSLATE(B35238,""en"",""de"")"),"Ein Mann macht ein Tattoo im Taillenbereich einer Frau, die eine Nadel benutzt.")</f>
        <v>Ein Mann macht ein Tattoo im Taillenbereich einer Frau, die eine Nadel benutzt.</v>
      </c>
    </row>
    <row r="35239">
      <c r="A35239" s="4" t="s">
        <v>44341</v>
      </c>
      <c r="B35239" s="4" t="s">
        <v>44343</v>
      </c>
      <c r="C35239" s="5" t="str">
        <f>IFERROR(__xludf.DUMMYFUNCTION("GOOGLETRANSLATE(B35239,""en"",""de"")"),"Der Mann reinigt den Bereich des Tattoo mit einem Gewebe.")</f>
        <v>Der Mann reinigt den Bereich des Tattoo mit einem Gewebe.</v>
      </c>
    </row>
    <row r="35240">
      <c r="A35240" s="4" t="s">
        <v>44341</v>
      </c>
      <c r="B35240" s="4" t="s">
        <v>44344</v>
      </c>
      <c r="C35240" s="5" t="str">
        <f>IFERROR(__xludf.DUMMYFUNCTION("GOOGLETRANSLATE(B35240,""en"",""de"")"),"Der Mann macht weiterhin Tattoo und Reinigung.")</f>
        <v>Der Mann macht weiterhin Tattoo und Reinigung.</v>
      </c>
    </row>
    <row r="35241">
      <c r="A35241" s="4" t="s">
        <v>44345</v>
      </c>
      <c r="B35241" s="4" t="s">
        <v>44346</v>
      </c>
      <c r="C35241" s="5" t="str">
        <f>IFERROR(__xludf.DUMMYFUNCTION("GOOGLETRANSLATE(B35241,""en"",""de"")"),"Das Bild und das Etikett des Präsentators oder Stylisten werden angezeigt.")</f>
        <v>Das Bild und das Etikett des Präsentators oder Stylisten werden angezeigt.</v>
      </c>
    </row>
    <row r="35242">
      <c r="A35242" s="4" t="s">
        <v>44345</v>
      </c>
      <c r="B35242" s="4" t="s">
        <v>44347</v>
      </c>
      <c r="C35242" s="5" t="str">
        <f>IFERROR(__xludf.DUMMYFUNCTION("GOOGLETRANSLATE(B35242,""en"",""de"")"),"Der Moderator stilft die Haare einer weiblichen Klientin.")</f>
        <v>Der Moderator stilft die Haare einer weiblichen Klientin.</v>
      </c>
    </row>
    <row r="35243">
      <c r="A35243" s="4" t="s">
        <v>44345</v>
      </c>
      <c r="B35243" s="4" t="s">
        <v>44348</v>
      </c>
      <c r="C35243" s="5" t="str">
        <f>IFERROR(__xludf.DUMMYFUNCTION("GOOGLETRANSLATE(B35243,""en"",""de"")"),"Der Moderator spricht direkt in die Kamera.")</f>
        <v>Der Moderator spricht direkt in die Kamera.</v>
      </c>
    </row>
    <row r="35244">
      <c r="A35244" s="4" t="s">
        <v>44345</v>
      </c>
      <c r="B35244" s="4" t="s">
        <v>44349</v>
      </c>
      <c r="C35244" s="5" t="str">
        <f>IFERROR(__xludf.DUMMYFUNCTION("GOOGLETRANSLATE(B35244,""en"",""de"")"),"Der Klient dreht sich langsam auf einen Stuhl, um ihre Haare zu präsentieren.")</f>
        <v>Der Klient dreht sich langsam auf einen Stuhl, um ihre Haare zu präsentieren.</v>
      </c>
    </row>
    <row r="35245">
      <c r="A35245" s="4" t="s">
        <v>44345</v>
      </c>
      <c r="B35245" s="4" t="s">
        <v>44350</v>
      </c>
      <c r="C35245" s="5" t="str">
        <f>IFERROR(__xludf.DUMMYFUNCTION("GOOGLETRANSLATE(B35245,""en"",""de"")"),"Die Stylistin hat das Haar des Kunden verringert.")</f>
        <v>Die Stylistin hat das Haar des Kunden verringert.</v>
      </c>
    </row>
    <row r="35246">
      <c r="A35246" s="4" t="s">
        <v>44345</v>
      </c>
      <c r="B35246" s="4" t="s">
        <v>44351</v>
      </c>
      <c r="C35246" s="5" t="str">
        <f>IFERROR(__xludf.DUMMYFUNCTION("GOOGLETRANSLATE(B35246,""en"",""de"")"),"Der Stylist enthält die Clients Haare.")</f>
        <v>Der Stylist enthält die Clients Haare.</v>
      </c>
    </row>
    <row r="35247">
      <c r="A35247" s="4" t="s">
        <v>44345</v>
      </c>
      <c r="B35247" s="4" t="s">
        <v>44352</v>
      </c>
      <c r="C35247" s="5" t="str">
        <f>IFERROR(__xludf.DUMMYFUNCTION("GOOGLETRANSLATE(B35247,""en"",""de"")"),"Der Stylist verwendet einen Pinsel und einen Föhn, um dem Haar des Kunden Volumen, Textur und Locken zu verleihen.")</f>
        <v>Der Stylist verwendet einen Pinsel und einen Föhn, um dem Haar des Kunden Volumen, Textur und Locken zu verleihen.</v>
      </c>
    </row>
    <row r="35248">
      <c r="A35248" s="4" t="s">
        <v>44345</v>
      </c>
      <c r="B35248" s="4" t="s">
        <v>44353</v>
      </c>
      <c r="C35248" s="5" t="str">
        <f>IFERROR(__xludf.DUMMYFUNCTION("GOOGLETRANSLATE(B35248,""en"",""de"")"),"Die Stylistin sprüht das Haar der Clients.")</f>
        <v>Die Stylistin sprüht das Haar der Clients.</v>
      </c>
    </row>
    <row r="35249">
      <c r="A35249" s="4" t="s">
        <v>44345</v>
      </c>
      <c r="B35249" s="4" t="s">
        <v>44354</v>
      </c>
      <c r="C35249" s="5" t="str">
        <f>IFERROR(__xludf.DUMMYFUNCTION("GOOGLETRANSLATE(B35249,""en"",""de"")"),"Der Stylist benutzt seine Hand, um die Pony zu positionieren.")</f>
        <v>Der Stylist benutzt seine Hand, um die Pony zu positionieren.</v>
      </c>
    </row>
    <row r="35250">
      <c r="A35250" s="4" t="s">
        <v>44345</v>
      </c>
      <c r="B35250" s="4" t="s">
        <v>44355</v>
      </c>
      <c r="C35250" s="5" t="str">
        <f>IFERROR(__xludf.DUMMYFUNCTION("GOOGLETRANSLATE(B35250,""en"",""de"")"),"Der Stylist nutzt seine Hand, um dem Kundenhaar ein Gelprodukt hinzuzufügen.")</f>
        <v>Der Stylist nutzt seine Hand, um dem Kundenhaar ein Gelprodukt hinzuzufügen.</v>
      </c>
    </row>
    <row r="35251">
      <c r="A35251" s="4" t="s">
        <v>44345</v>
      </c>
      <c r="B35251" s="4" t="s">
        <v>44356</v>
      </c>
      <c r="C35251" s="5" t="str">
        <f>IFERROR(__xludf.DUMMYFUNCTION("GOOGLETRANSLATE(B35251,""en"",""de"")"),"Der Kunde dreht sich langsam auf den Stuhl, um ihre Frisur zu zeigen.")</f>
        <v>Der Kunde dreht sich langsam auf den Stuhl, um ihre Frisur zu zeigen.</v>
      </c>
    </row>
    <row r="35252">
      <c r="A35252" s="4" t="s">
        <v>44345</v>
      </c>
      <c r="B35252" s="4" t="s">
        <v>44357</v>
      </c>
      <c r="C35252" s="5" t="str">
        <f>IFERROR(__xludf.DUMMYFUNCTION("GOOGLETRANSLATE(B35252,""en"",""de"")"),"Der Stylistenname und die Credits werden angezeigt.")</f>
        <v>Der Stylistenname und die Credits werden angezeigt.</v>
      </c>
    </row>
    <row r="35253">
      <c r="A35253" s="4" t="s">
        <v>44358</v>
      </c>
      <c r="B35253" s="4" t="s">
        <v>44359</v>
      </c>
      <c r="C35253" s="5" t="str">
        <f>IFERROR(__xludf.DUMMYFUNCTION("GOOGLETRANSLATE(B35253,""en"",""de"")"),"Ein Mann in einer schwarzen Weste steht in einem Raum.")</f>
        <v>Ein Mann in einer schwarzen Weste steht in einem Raum.</v>
      </c>
    </row>
    <row r="35254">
      <c r="A35254" s="4" t="s">
        <v>44358</v>
      </c>
      <c r="B35254" s="4" t="s">
        <v>44360</v>
      </c>
      <c r="C35254" s="5" t="str">
        <f>IFERROR(__xludf.DUMMYFUNCTION("GOOGLETRANSLATE(B35254,""en"",""de"")"),"Er wirft Darts auf ein Pfeilbrett an die Wand.")</f>
        <v>Er wirft Darts auf ein Pfeilbrett an die Wand.</v>
      </c>
    </row>
    <row r="35255">
      <c r="A35255" s="4" t="s">
        <v>44358</v>
      </c>
      <c r="B35255" s="4" t="s">
        <v>44361</v>
      </c>
      <c r="C35255" s="5" t="str">
        <f>IFERROR(__xludf.DUMMYFUNCTION("GOOGLETRANSLATE(B35255,""en"",""de"")"),"Eine Frau steht neben ihm und beobachtet.")</f>
        <v>Eine Frau steht neben ihm und beobachtet.</v>
      </c>
    </row>
    <row r="35256">
      <c r="A35256" s="4" t="s">
        <v>44358</v>
      </c>
      <c r="B35256" s="4" t="s">
        <v>44362</v>
      </c>
      <c r="C35256" s="5" t="str">
        <f>IFERROR(__xludf.DUMMYFUNCTION("GOOGLETRANSLATE(B35256,""en"",""de"")"),"Ein Mann geht auf und zieht den Pfeil aus dem Brett.")</f>
        <v>Ein Mann geht auf und zieht den Pfeil aus dem Brett.</v>
      </c>
    </row>
    <row r="35257">
      <c r="A35257" s="4" t="s">
        <v>44363</v>
      </c>
      <c r="B35257" s="4" t="s">
        <v>44364</v>
      </c>
      <c r="C35257" s="5" t="str">
        <f>IFERROR(__xludf.DUMMYFUNCTION("GOOGLETRANSLATE(B35257,""en"",""de"")"),"Ein ""Finale Coppa Italia"" Beach Soccer -Titelbildschirm mit Sambenedettese und Catania erscheint.")</f>
        <v>Ein "Finale Coppa Italia" Beach Soccer -Titelbildschirm mit Sambenedettese und Catania erscheint.</v>
      </c>
    </row>
    <row r="35258">
      <c r="A35258" s="4" t="s">
        <v>44363</v>
      </c>
      <c r="B35258" s="4" t="s">
        <v>44365</v>
      </c>
      <c r="C35258" s="5" t="str">
        <f>IFERROR(__xludf.DUMMYFUNCTION("GOOGLETRANSLATE(B35258,""en"",""de"")"),"Männer spielen an einem Strand in der Nähe des Wassers professionell Fußball.")</f>
        <v>Männer spielen an einem Strand in der Nähe des Wassers professionell Fußball.</v>
      </c>
    </row>
    <row r="35259">
      <c r="A35259" s="4" t="s">
        <v>44363</v>
      </c>
      <c r="B35259" s="4" t="s">
        <v>44366</v>
      </c>
      <c r="C35259" s="5" t="str">
        <f>IFERROR(__xludf.DUMMYFUNCTION("GOOGLETRANSLATE(B35259,""en"",""de"")"),"Spieler auf dem Feld feiern einen Sieg und stellen für ein Foto auf.")</f>
        <v>Spieler auf dem Feld feiern einen Sieg und stellen für ein Foto auf.</v>
      </c>
    </row>
    <row r="35260">
      <c r="A35260" s="4" t="s">
        <v>44367</v>
      </c>
      <c r="B35260" s="4" t="s">
        <v>44368</v>
      </c>
      <c r="C35260" s="5" t="str">
        <f>IFERROR(__xludf.DUMMYFUNCTION("GOOGLETRANSLATE(B35260,""en"",""de"")"),"Ein Rasenmäher wird am Boden gezeigt.")</f>
        <v>Ein Rasenmäher wird am Boden gezeigt.</v>
      </c>
    </row>
    <row r="35261">
      <c r="A35261" s="4" t="s">
        <v>44367</v>
      </c>
      <c r="B35261" s="4" t="s">
        <v>44369</v>
      </c>
      <c r="C35261" s="5" t="str">
        <f>IFERROR(__xludf.DUMMYFUNCTION("GOOGLETRANSLATE(B35261,""en"",""de"")"),"Ein Mann beginnt den Rasenmäher und beginnt den Rasen zu mähen.")</f>
        <v>Ein Mann beginnt den Rasenmäher und beginnt den Rasen zu mähen.</v>
      </c>
    </row>
    <row r="35262">
      <c r="A35262" s="4" t="s">
        <v>44367</v>
      </c>
      <c r="B35262" s="4" t="s">
        <v>44370</v>
      </c>
      <c r="C35262" s="5" t="str">
        <f>IFERROR(__xludf.DUMMYFUNCTION("GOOGLETRANSLATE(B35262,""en"",""de"")"),"Sie mähen den Rasen und der Rasen wird gezeigt.")</f>
        <v>Sie mähen den Rasen und der Rasen wird gezeigt.</v>
      </c>
    </row>
    <row r="35263">
      <c r="A35263" s="4" t="s">
        <v>44371</v>
      </c>
      <c r="B35263" s="4" t="s">
        <v>44372</v>
      </c>
      <c r="C35263" s="5" t="str">
        <f>IFERROR(__xludf.DUMMYFUNCTION("GOOGLETRANSLATE(B35263,""en"",""de"")"),"Ein Mann hält einen Stock in seinen Händen und spricht mit der Kamera.")</f>
        <v>Ein Mann hält einen Stock in seinen Händen und spricht mit der Kamera.</v>
      </c>
    </row>
    <row r="35264">
      <c r="A35264" s="4" t="s">
        <v>44371</v>
      </c>
      <c r="B35264" s="4" t="s">
        <v>44373</v>
      </c>
      <c r="C35264" s="5" t="str">
        <f>IFERROR(__xludf.DUMMYFUNCTION("GOOGLETRANSLATE(B35264,""en"",""de"")"),"Der Mann versucht mehrmals, den Ball zu schlagen, gefolgt von ihm, und schlägt ihn in die Ferne.")</f>
        <v>Der Mann versucht mehrmals, den Ball zu schlagen, gefolgt von ihm, und schlägt ihn in die Ferne.</v>
      </c>
    </row>
    <row r="35265">
      <c r="A35265" s="4" t="s">
        <v>44374</v>
      </c>
      <c r="B35265" s="4" t="s">
        <v>44375</v>
      </c>
      <c r="C35265" s="5" t="str">
        <f>IFERROR(__xludf.DUMMYFUNCTION("GOOGLETRANSLATE(B35265,""en"",""de"")"),"Eine Gruppe von Männern steht in einem Raum, der angezogen wird.")</f>
        <v>Eine Gruppe von Männern steht in einem Raum, der angezogen wird.</v>
      </c>
    </row>
    <row r="35266">
      <c r="A35266" s="4" t="s">
        <v>44374</v>
      </c>
      <c r="B35266" s="4" t="s">
        <v>44376</v>
      </c>
      <c r="C35266" s="5" t="str">
        <f>IFERROR(__xludf.DUMMYFUNCTION("GOOGLETRANSLATE(B35266,""en"",""de"")"),"Plötzlich werden viele Frauen und Strandaktivitäten wie Schwimmen, Volleyball und Trinken gezeigt.")</f>
        <v>Plötzlich werden viele Frauen und Strandaktivitäten wie Schwimmen, Volleyball und Trinken gezeigt.</v>
      </c>
    </row>
    <row r="35267">
      <c r="A35267" s="4" t="s">
        <v>44374</v>
      </c>
      <c r="B35267" s="4" t="s">
        <v>44377</v>
      </c>
      <c r="C35267" s="5" t="str">
        <f>IFERROR(__xludf.DUMMYFUNCTION("GOOGLETRANSLATE(B35267,""en"",""de"")"),"Als nächstes taucht der Mann wieder auf, aber er wird von Teamkollegen begleitet, die ein Strandfußballspiel in einem von Menschen umgebenen Stadion spielen.")</f>
        <v>Als nächstes taucht der Mann wieder auf, aber er wird von Teamkollegen begleitet, die ein Strandfußballspiel in einem von Menschen umgebenen Stadion spielen.</v>
      </c>
    </row>
    <row r="35268">
      <c r="A35268" s="4" t="s">
        <v>44374</v>
      </c>
      <c r="B35268" s="4" t="s">
        <v>44378</v>
      </c>
      <c r="C35268" s="5" t="str">
        <f>IFERROR(__xludf.DUMMYFUNCTION("GOOGLETRANSLATE(B35268,""en"",""de"")"),"Ein Team gewinnt und sie werden gezeigt, dass sie ihre Trophäe und Jubel nach Hause bringen, und dann geht es zurück, um den Rest des Teams zu zeigen, der an Wettkämpfen teilnimmt.")</f>
        <v>Ein Team gewinnt und sie werden gezeigt, dass sie ihre Trophäe und Jubel nach Hause bringen, und dann geht es zurück, um den Rest des Teams zu zeigen, der an Wettkämpfen teilnimmt.</v>
      </c>
    </row>
    <row r="35269">
      <c r="A35269" s="4" t="s">
        <v>44379</v>
      </c>
      <c r="B35269" s="4" t="s">
        <v>44380</v>
      </c>
      <c r="C35269" s="5" t="str">
        <f>IFERROR(__xludf.DUMMYFUNCTION("GOOGLETRANSLATE(B35269,""en"",""de"")"),"Eine Frau trägt einen Schneegebläse und schiebt ihn auf einen Weg.")</f>
        <v>Eine Frau trägt einen Schneegebläse und schiebt ihn auf einen Weg.</v>
      </c>
    </row>
    <row r="35270">
      <c r="A35270" s="4" t="s">
        <v>44379</v>
      </c>
      <c r="B35270" s="4" t="s">
        <v>44381</v>
      </c>
      <c r="C35270" s="5" t="str">
        <f>IFERROR(__xludf.DUMMYFUNCTION("GOOGLETRANSLATE(B35270,""en"",""de"")"),"Die Frau schiebt den Schnee weiter und drückt mit der Kamera nach ihren Bewegungen über den Schnee.")</f>
        <v>Die Frau schiebt den Schnee weiter und drückt mit der Kamera nach ihren Bewegungen über den Schnee.</v>
      </c>
    </row>
    <row r="35271">
      <c r="A35271" s="4" t="s">
        <v>44379</v>
      </c>
      <c r="B35271" s="4" t="s">
        <v>44382</v>
      </c>
      <c r="C35271" s="5" t="str">
        <f>IFERROR(__xludf.DUMMYFUNCTION("GOOGLETRANSLATE(B35271,""en"",""de"")"),"Sie bewegt sich zurück und viertens, während sie anhält, um mit der Kamera zu sprechen und sich weiter zu bewegen.")</f>
        <v>Sie bewegt sich zurück und viertens, während sie anhält, um mit der Kamera zu sprechen und sich weiter zu bewegen.</v>
      </c>
    </row>
    <row r="35272">
      <c r="A35272" s="4" t="s">
        <v>44383</v>
      </c>
      <c r="B35272" s="4" t="s">
        <v>44384</v>
      </c>
      <c r="C35272" s="5" t="str">
        <f>IFERROR(__xludf.DUMMYFUNCTION("GOOGLETRANSLATE(B35272,""en"",""de"")"),"Eine Gruppe von Skifahrern reitet einen Hügel hinunter.")</f>
        <v>Eine Gruppe von Skifahrern reitet einen Hügel hinunter.</v>
      </c>
    </row>
    <row r="35273">
      <c r="A35273" s="4" t="s">
        <v>44383</v>
      </c>
      <c r="B35273" s="4" t="s">
        <v>44385</v>
      </c>
      <c r="C35273" s="5" t="str">
        <f>IFERROR(__xludf.DUMMYFUNCTION("GOOGLETRANSLATE(B35273,""en"",""de"")"),"Sie teilen ihre Linie auf und erstellen mehrere Zeilen.")</f>
        <v>Sie teilen ihre Linie auf und erstellen mehrere Zeilen.</v>
      </c>
    </row>
    <row r="35274">
      <c r="A35274" s="4" t="s">
        <v>44383</v>
      </c>
      <c r="B35274" s="4" t="s">
        <v>44386</v>
      </c>
      <c r="C35274" s="5" t="str">
        <f>IFERROR(__xludf.DUMMYFUNCTION("GOOGLETRANSLATE(B35274,""en"",""de"")"),"Sie trennten sich erneut, um 4 verschiedene Linien zu machen.")</f>
        <v>Sie trennten sich erneut, um 4 verschiedene Linien zu machen.</v>
      </c>
    </row>
    <row r="35275">
      <c r="A35275" s="4" t="s">
        <v>44383</v>
      </c>
      <c r="B35275" s="4" t="s">
        <v>44387</v>
      </c>
      <c r="C35275" s="5" t="str">
        <f>IFERROR(__xludf.DUMMYFUNCTION("GOOGLETRANSLATE(B35275,""en"",""de"")"),"Das alles wesen und enden gleichzeitig.")</f>
        <v>Das alles wesen und enden gleichzeitig.</v>
      </c>
    </row>
    <row r="35276">
      <c r="A35276" s="4" t="s">
        <v>44388</v>
      </c>
      <c r="B35276" s="4" t="s">
        <v>44389</v>
      </c>
      <c r="C35276" s="5" t="str">
        <f>IFERROR(__xludf.DUMMYFUNCTION("GOOGLETRANSLATE(B35276,""en"",""de"")"),"Eine Person wirft ein Schweres in ein Stadion voller Menschen, dann messen die Menschen, wo der Ball gelandet ist.")</f>
        <v>Eine Person wirft ein Schweres in ein Stadion voller Menschen, dann messen die Menschen, wo der Ball gelandet ist.</v>
      </c>
    </row>
    <row r="35277">
      <c r="A35277" s="4" t="s">
        <v>44388</v>
      </c>
      <c r="B35277" s="4" t="s">
        <v>44390</v>
      </c>
      <c r="C35277" s="5" t="str">
        <f>IFERROR(__xludf.DUMMYFUNCTION("GOOGLETRANSLATE(B35277,""en"",""de"")"),"Dann geht der Mann, während Reporter und Kameramänner ihm auf dem Feld folgen.")</f>
        <v>Dann geht der Mann, während Reporter und Kameramänner ihm auf dem Feld folgen.</v>
      </c>
    </row>
    <row r="35278">
      <c r="A35278" s="4" t="s">
        <v>44388</v>
      </c>
      <c r="B35278" s="4" t="s">
        <v>44391</v>
      </c>
      <c r="C35278" s="5" t="str">
        <f>IFERROR(__xludf.DUMMYFUNCTION("GOOGLETRANSLATE(B35278,""en"",""de"")"),"Danach zieht der Mann ein Langarmhemd an, während ein Kameramann ihn filmte.")</f>
        <v>Danach zieht der Mann ein Langarmhemd an, während ein Kameramann ihn filmte.</v>
      </c>
    </row>
    <row r="35279">
      <c r="A35279" s="4" t="s">
        <v>44392</v>
      </c>
      <c r="B35279" s="4" t="s">
        <v>44393</v>
      </c>
      <c r="C35279" s="5" t="str">
        <f>IFERROR(__xludf.DUMMYFUNCTION("GOOGLETRANSLATE(B35279,""en"",""de"")"),"Eine Frau steht an einem Tisch mit einem Haufen Schere und Vorräte.")</f>
        <v>Eine Frau steht an einem Tisch mit einem Haufen Schere und Vorräte.</v>
      </c>
    </row>
    <row r="35280">
      <c r="A35280" s="4" t="s">
        <v>44392</v>
      </c>
      <c r="B35280" s="4" t="s">
        <v>44394</v>
      </c>
      <c r="C35280" s="5" t="str">
        <f>IFERROR(__xludf.DUMMYFUNCTION("GOOGLETRANSLATE(B35280,""en"",""de"")"),"Sie zeigt, wie man Cellophan schneidet und es um ein Geschenk wickelt.")</f>
        <v>Sie zeigt, wie man Cellophan schneidet und es um ein Geschenk wickelt.</v>
      </c>
    </row>
    <row r="35281">
      <c r="A35281" s="4" t="s">
        <v>44392</v>
      </c>
      <c r="B35281" s="4" t="s">
        <v>44395</v>
      </c>
      <c r="C35281" s="5" t="str">
        <f>IFERROR(__xludf.DUMMYFUNCTION("GOOGLETRANSLATE(B35281,""en"",""de"")"),"Sie bindet eine Schnur um das Geschenk und zeigt das Endprodukt.")</f>
        <v>Sie bindet eine Schnur um das Geschenk und zeigt das Endprodukt.</v>
      </c>
    </row>
    <row r="35282">
      <c r="A35282" s="4" t="s">
        <v>44396</v>
      </c>
      <c r="B35282" s="4" t="s">
        <v>1251</v>
      </c>
      <c r="C35282" s="5" t="str">
        <f>IFERROR(__xludf.DUMMYFUNCTION("GOOGLETRANSLATE(B35282,""en"",""de"")"),"Die Credits des Clips werden angezeigt.")</f>
        <v>Die Credits des Clips werden angezeigt.</v>
      </c>
    </row>
    <row r="35283">
      <c r="A35283" s="4" t="s">
        <v>44396</v>
      </c>
      <c r="B35283" s="4" t="s">
        <v>44397</v>
      </c>
      <c r="C35283" s="5" t="str">
        <f>IFERROR(__xludf.DUMMYFUNCTION("GOOGLETRANSLATE(B35283,""en"",""de"")"),"Ein Mädchen in einem Pferdeschwanz spricht.")</f>
        <v>Ein Mädchen in einem Pferdeschwanz spricht.</v>
      </c>
    </row>
    <row r="35284">
      <c r="A35284" s="4" t="s">
        <v>44396</v>
      </c>
      <c r="B35284" s="4" t="s">
        <v>44398</v>
      </c>
      <c r="C35284" s="5" t="str">
        <f>IFERROR(__xludf.DUMMYFUNCTION("GOOGLETRANSLATE(B35284,""en"",""de"")"),"Das Mädchen mit den Haaren spricht in einem Badezimmer und legt ihre Hand auf das Waschbecken.")</f>
        <v>Das Mädchen mit den Haaren spricht in einem Badezimmer und legt ihre Hand auf das Waschbecken.</v>
      </c>
    </row>
    <row r="35285">
      <c r="A35285" s="4" t="s">
        <v>44396</v>
      </c>
      <c r="B35285" s="4" t="s">
        <v>44399</v>
      </c>
      <c r="C35285" s="5" t="str">
        <f>IFERROR(__xludf.DUMMYFUNCTION("GOOGLETRANSLATE(B35285,""en"",""de"")"),"Das Mädchen dreht den Wasserhahn ein, um ihre Zahnbürste zu nass.")</f>
        <v>Das Mädchen dreht den Wasserhahn ein, um ihre Zahnbürste zu nass.</v>
      </c>
    </row>
    <row r="35286">
      <c r="A35286" s="4" t="s">
        <v>44396</v>
      </c>
      <c r="B35286" s="4" t="s">
        <v>44400</v>
      </c>
      <c r="C35286" s="5" t="str">
        <f>IFERROR(__xludf.DUMMYFUNCTION("GOOGLETRANSLATE(B35286,""en"",""de"")"),"Das Mädchen schaltet den Wasserhahn aus, schraubt die Zahnpasta und legt etwas Zahnpasta auf ihre Zahnbürste.")</f>
        <v>Das Mädchen schaltet den Wasserhahn aus, schraubt die Zahnpasta und legt etwas Zahnpasta auf ihre Zahnbürste.</v>
      </c>
    </row>
    <row r="35287">
      <c r="A35287" s="4" t="s">
        <v>44396</v>
      </c>
      <c r="B35287" s="4" t="s">
        <v>44401</v>
      </c>
      <c r="C35287" s="5" t="str">
        <f>IFERROR(__xludf.DUMMYFUNCTION("GOOGLETRANSLATE(B35287,""en"",""de"")"),"Das Mädchen putzt die Zähne und spuckt in die Spüle.")</f>
        <v>Das Mädchen putzt die Zähne und spuckt in die Spüle.</v>
      </c>
    </row>
    <row r="35288">
      <c r="A35288" s="4" t="s">
        <v>44396</v>
      </c>
      <c r="B35288" s="4" t="s">
        <v>44402</v>
      </c>
      <c r="C35288" s="5" t="str">
        <f>IFERROR(__xludf.DUMMYFUNCTION("GOOGLETRANSLATE(B35288,""en"",""de"")"),"Das Mädchen spüelt ihre Zahnbürste aus und stellt sich auf die Seite des Waschbeckens.")</f>
        <v>Das Mädchen spüelt ihre Zahnbürste aus und stellt sich auf die Seite des Waschbeckens.</v>
      </c>
    </row>
    <row r="35289">
      <c r="A35289" s="4" t="s">
        <v>44396</v>
      </c>
      <c r="B35289" s="4" t="s">
        <v>44403</v>
      </c>
      <c r="C35289" s="5" t="str">
        <f>IFERROR(__xludf.DUMMYFUNCTION("GOOGLETRANSLATE(B35289,""en"",""de"")"),"Die Credits des Videos werden auf den Bildern des Videos angezeigt.")</f>
        <v>Die Credits des Videos werden auf den Bildern des Videos angezeigt.</v>
      </c>
    </row>
    <row r="35290">
      <c r="A35290" s="4" t="s">
        <v>44404</v>
      </c>
      <c r="B35290" s="4" t="s">
        <v>33402</v>
      </c>
      <c r="C35290" s="5" t="str">
        <f>IFERROR(__xludf.DUMMYFUNCTION("GOOGLETRANSLATE(B35290,""en"",""de"")"),"Eine große Welle kracht zum Ufer.")</f>
        <v>Eine große Welle kracht zum Ufer.</v>
      </c>
    </row>
    <row r="35291">
      <c r="A35291" s="4" t="s">
        <v>44404</v>
      </c>
      <c r="B35291" s="4" t="s">
        <v>44405</v>
      </c>
      <c r="C35291" s="5" t="str">
        <f>IFERROR(__xludf.DUMMYFUNCTION("GOOGLETRANSLATE(B35291,""en"",""de"")"),"Die Menschen surfen hinter der riesigen Welle.")</f>
        <v>Die Menschen surfen hinter der riesigen Welle.</v>
      </c>
    </row>
    <row r="35292">
      <c r="A35292" s="4" t="s">
        <v>44404</v>
      </c>
      <c r="B35292" s="4" t="s">
        <v>44406</v>
      </c>
      <c r="C35292" s="5" t="str">
        <f>IFERROR(__xludf.DUMMYFUNCTION("GOOGLETRANSLATE(B35292,""en"",""de"")"),"Der Surfer behält sein Gleichgewicht beim Surfen bei und geht unter eine zweite Welle.")</f>
        <v>Der Surfer behält sein Gleichgewicht beim Surfen bei und geht unter eine zweite Welle.</v>
      </c>
    </row>
    <row r="35293">
      <c r="A35293" s="4" t="s">
        <v>44407</v>
      </c>
      <c r="B35293" s="4" t="s">
        <v>44408</v>
      </c>
      <c r="C35293" s="5" t="str">
        <f>IFERROR(__xludf.DUMMYFUNCTION("GOOGLETRANSLATE(B35293,""en"",""de"")"),"Wir sehen den Eröffnungsbildschirm und sehen Landschaften und ein Schwert.")</f>
        <v>Wir sehen den Eröffnungsbildschirm und sehen Landschaften und ein Schwert.</v>
      </c>
    </row>
    <row r="35294">
      <c r="A35294" s="4" t="s">
        <v>44407</v>
      </c>
      <c r="B35294" s="4" t="s">
        <v>44409</v>
      </c>
      <c r="C35294" s="5" t="str">
        <f>IFERROR(__xludf.DUMMYFUNCTION("GOOGLETRANSLATE(B35294,""en"",""de"")"),"Wir sehen eine Dame reden, dann einen Mann.")</f>
        <v>Wir sehen eine Dame reden, dann einen Mann.</v>
      </c>
    </row>
    <row r="35295">
      <c r="A35295" s="4" t="s">
        <v>44407</v>
      </c>
      <c r="B35295" s="4" t="s">
        <v>44410</v>
      </c>
      <c r="C35295" s="5" t="str">
        <f>IFERROR(__xludf.DUMMYFUNCTION("GOOGLETRANSLATE(B35295,""en"",""de"")"),"Wir sehen viele Menschen Snowboarden.")</f>
        <v>Wir sehen viele Menschen Snowboarden.</v>
      </c>
    </row>
    <row r="35296">
      <c r="A35296" s="4" t="s">
        <v>44407</v>
      </c>
      <c r="B35296" s="4" t="s">
        <v>44411</v>
      </c>
      <c r="C35296" s="5" t="str">
        <f>IFERROR(__xludf.DUMMYFUNCTION("GOOGLETRANSLATE(B35296,""en"",""de"")"),"Zwei Leute schütteln die Landung den Hand.")</f>
        <v>Zwei Leute schütteln die Landung den Hand.</v>
      </c>
    </row>
    <row r="35297">
      <c r="A35297" s="4" t="s">
        <v>44407</v>
      </c>
      <c r="B35297" s="4" t="s">
        <v>44412</v>
      </c>
      <c r="C35297" s="5" t="str">
        <f>IFERROR(__xludf.DUMMYFUNCTION("GOOGLETRANSLATE(B35297,""en"",""de"")"),"Ein Mann in einem schwarzen Raum wird interviewt, dann sehen wir einen Mann draußen reden.")</f>
        <v>Ein Mann in einem schwarzen Raum wird interviewt, dann sehen wir einen Mann draußen reden.</v>
      </c>
    </row>
    <row r="35298">
      <c r="A35298" s="4" t="s">
        <v>44407</v>
      </c>
      <c r="B35298" s="4" t="s">
        <v>44413</v>
      </c>
      <c r="C35298" s="5" t="str">
        <f>IFERROR(__xludf.DUMMYFUNCTION("GOOGLETRANSLATE(B35298,""en"",""de"")"),"Leute High Five und wir sehen eine Dame reden.")</f>
        <v>Leute High Five und wir sehen eine Dame reden.</v>
      </c>
    </row>
    <row r="35299">
      <c r="A35299" s="4" t="s">
        <v>44407</v>
      </c>
      <c r="B35299" s="4" t="s">
        <v>44414</v>
      </c>
      <c r="C35299" s="5" t="str">
        <f>IFERROR(__xludf.DUMMYFUNCTION("GOOGLETRANSLATE(B35299,""en"",""de"")"),"Eine Dame wirft die Arme in die Luft, die Leute, die besprüht werden, und ein Mann mit einem Schwert.")</f>
        <v>Eine Dame wirft die Arme in die Luft, die Leute, die besprüht werden, und ein Mann mit einem Schwert.</v>
      </c>
    </row>
    <row r="35300">
      <c r="A35300" s="4" t="s">
        <v>44415</v>
      </c>
      <c r="B35300" s="4" t="s">
        <v>44416</v>
      </c>
      <c r="C35300" s="5" t="str">
        <f>IFERROR(__xludf.DUMMYFUNCTION("GOOGLETRANSLATE(B35300,""en"",""de"")"),"Eine Frau spricht mit einer Kamera in einer Küche.")</f>
        <v>Eine Frau spricht mit einer Kamera in einer Küche.</v>
      </c>
    </row>
    <row r="35301">
      <c r="A35301" s="4" t="s">
        <v>44415</v>
      </c>
      <c r="B35301" s="4" t="s">
        <v>44417</v>
      </c>
      <c r="C35301" s="5" t="str">
        <f>IFERROR(__xludf.DUMMYFUNCTION("GOOGLETRANSLATE(B35301,""en"",""de"")"),"Sie schaltet Wasser ein und zeigt, wie man ihre Hände richtig seift.")</f>
        <v>Sie schaltet Wasser ein und zeigt, wie man ihre Hände richtig seift.</v>
      </c>
    </row>
    <row r="35302">
      <c r="A35302" s="4" t="s">
        <v>44415</v>
      </c>
      <c r="B35302" s="4" t="s">
        <v>44418</v>
      </c>
      <c r="C35302" s="5" t="str">
        <f>IFERROR(__xludf.DUMMYFUNCTION("GOOGLETRANSLATE(B35302,""en"",""de"")"),"Sie spült dann und trocknet sie.")</f>
        <v>Sie spült dann und trocknet sie.</v>
      </c>
    </row>
    <row r="35303">
      <c r="A35303" s="4" t="s">
        <v>44419</v>
      </c>
      <c r="B35303" s="4" t="s">
        <v>44420</v>
      </c>
      <c r="C35303" s="5" t="str">
        <f>IFERROR(__xludf.DUMMYFUNCTION("GOOGLETRANSLATE(B35303,""en"",""de"")"),"Der Biker radelt und springt über die großen Rampen.")</f>
        <v>Der Biker radelt und springt über die großen Rampen.</v>
      </c>
    </row>
    <row r="35304">
      <c r="A35304" s="4" t="s">
        <v>44419</v>
      </c>
      <c r="B35304" s="4" t="s">
        <v>44421</v>
      </c>
      <c r="C35304" s="5" t="str">
        <f>IFERROR(__xludf.DUMMYFUNCTION("GOOGLETRANSLATE(B35304,""en"",""de"")"),"Der Biker springt mit seinem Fahrrad vorne in die Rampe.")</f>
        <v>Der Biker springt mit seinem Fahrrad vorne in die Rampe.</v>
      </c>
    </row>
    <row r="35305">
      <c r="A35305" s="4" t="s">
        <v>44419</v>
      </c>
      <c r="B35305" s="4" t="s">
        <v>44422</v>
      </c>
      <c r="C35305" s="5" t="str">
        <f>IFERROR(__xludf.DUMMYFUNCTION("GOOGLETRANSLATE(B35305,""en"",""de"")"),"Vier Biker fuhren und sprangen über die Rampen, der Biker in White führt im Rennen an.")</f>
        <v>Vier Biker fuhren und sprangen über die Rampen, der Biker in White führt im Rennen an.</v>
      </c>
    </row>
    <row r="35306">
      <c r="A35306" s="4" t="s">
        <v>44423</v>
      </c>
      <c r="B35306" s="4" t="s">
        <v>44424</v>
      </c>
      <c r="C35306" s="5" t="str">
        <f>IFERROR(__xludf.DUMMYFUNCTION("GOOGLETRANSLATE(B35306,""en"",""de"")"),"Ein Mann und eine Frau stehen vor der Kamera und eine Frau zeigt, wie man den Tango richtig ausführt.")</f>
        <v>Ein Mann und eine Frau stehen vor der Kamera und eine Frau zeigt, wie man den Tango richtig ausführt.</v>
      </c>
    </row>
    <row r="35307">
      <c r="A35307" s="4" t="s">
        <v>44423</v>
      </c>
      <c r="B35307" s="4" t="s">
        <v>44425</v>
      </c>
      <c r="C35307" s="5" t="str">
        <f>IFERROR(__xludf.DUMMYFUNCTION("GOOGLETRANSLATE(B35307,""en"",""de"")"),"Sie bewegt ihre Füße in einer bestimmten Bewegung mit ihren Füßen, während der Mann dasselbe aus einem anderen Winkel tut.")</f>
        <v>Sie bewegt ihre Füße in einer bestimmten Bewegung mit ihren Füßen, während der Mann dasselbe aus einem anderen Winkel tut.</v>
      </c>
    </row>
    <row r="35308">
      <c r="A35308" s="4" t="s">
        <v>44423</v>
      </c>
      <c r="B35308" s="4" t="s">
        <v>44426</v>
      </c>
      <c r="C35308" s="5" t="str">
        <f>IFERROR(__xludf.DUMMYFUNCTION("GOOGLETRANSLATE(B35308,""en"",""de"")"),"Der Mann und die Frau treten endlich ihre Anweisungen zusammen und führen die Tango zusammen.")</f>
        <v>Der Mann und die Frau treten endlich ihre Anweisungen zusammen und führen die Tango zusammen.</v>
      </c>
    </row>
    <row r="35309">
      <c r="A35309" s="4" t="s">
        <v>44427</v>
      </c>
      <c r="B35309" s="4" t="s">
        <v>44428</v>
      </c>
      <c r="C35309" s="5" t="str">
        <f>IFERROR(__xludf.DUMMYFUNCTION("GOOGLETRANSLATE(B35309,""en"",""de"")"),"Die Spieler halten eine flache Schlampe und rennen auf die Bälle zu.")</f>
        <v>Die Spieler halten eine flache Schlampe und rennen auf die Bälle zu.</v>
      </c>
    </row>
    <row r="35310">
      <c r="A35310" s="4" t="s">
        <v>44427</v>
      </c>
      <c r="B35310" s="4" t="s">
        <v>44429</v>
      </c>
      <c r="C35310" s="5" t="str">
        <f>IFERROR(__xludf.DUMMYFUNCTION("GOOGLETRANSLATE(B35310,""en"",""de"")"),"Die Spieler prallten die Bälle auf der Fledermaus, einige von ihnen nahmen die Bälle mit der Fledermaus vom Boden auf.")</f>
        <v>Die Spieler prallten die Bälle auf der Fledermaus, einige von ihnen nahmen die Bälle mit der Fledermaus vom Boden auf.</v>
      </c>
    </row>
    <row r="35311">
      <c r="A35311" s="4" t="s">
        <v>44427</v>
      </c>
      <c r="B35311" s="4" t="s">
        <v>44430</v>
      </c>
      <c r="C35311" s="5" t="str">
        <f>IFERROR(__xludf.DUMMYFUNCTION("GOOGLETRANSLATE(B35311,""en"",""de"")"),"Das Mädchen in blauer Jacke sprang den Ball auf ihren Schläger und sie ging vorwärts, aber der Ball fällt auf den Boden.")</f>
        <v>Das Mädchen in blauer Jacke sprang den Ball auf ihren Schläger und sie ging vorwärts, aber der Ball fällt auf den Boden.</v>
      </c>
    </row>
    <row r="35312">
      <c r="A35312" s="4" t="s">
        <v>44427</v>
      </c>
      <c r="B35312" s="4" t="s">
        <v>44431</v>
      </c>
      <c r="C35312" s="5" t="str">
        <f>IFERROR(__xludf.DUMMYFUNCTION("GOOGLETRANSLATE(B35312,""en"",""de"")"),"Ein Mädchen in der schwarzen Weste nimmt den Ball mit ihrer Fledermaus vom Boden aus.")</f>
        <v>Ein Mädchen in der schwarzen Weste nimmt den Ball mit ihrer Fledermaus vom Boden aus.</v>
      </c>
    </row>
    <row r="35313">
      <c r="A35313" s="4" t="s">
        <v>44427</v>
      </c>
      <c r="B35313" s="4" t="s">
        <v>44432</v>
      </c>
      <c r="C35313" s="5" t="str">
        <f>IFERROR(__xludf.DUMMYFUNCTION("GOOGLETRANSLATE(B35313,""en"",""de"")"),"Zwei Mädchen gingen normal, ohne die Bälle zu jagen.")</f>
        <v>Zwei Mädchen gingen normal, ohne die Bälle zu jagen.</v>
      </c>
    </row>
    <row r="35314">
      <c r="A35314" s="4" t="s">
        <v>44427</v>
      </c>
      <c r="B35314" s="4" t="s">
        <v>44433</v>
      </c>
      <c r="C35314" s="5" t="str">
        <f>IFERROR(__xludf.DUMMYFUNCTION("GOOGLETRANSLATE(B35314,""en"",""de"")"),"Ein Mädchen auf dem Feld versucht, den Ball aufzunehmen.")</f>
        <v>Ein Mädchen auf dem Feld versucht, den Ball aufzunehmen.</v>
      </c>
    </row>
    <row r="35315">
      <c r="A35315" s="4" t="s">
        <v>44427</v>
      </c>
      <c r="B35315" s="4" t="s">
        <v>44434</v>
      </c>
      <c r="C35315" s="5" t="str">
        <f>IFERROR(__xludf.DUMMYFUNCTION("GOOGLETRANSLATE(B35315,""en"",""de"")"),"Die Spieler sind aufgereiht und bereit, die Bälle mit ihren Fledermäusen vom Boden aufzunehmen.")</f>
        <v>Die Spieler sind aufgereiht und bereit, die Bälle mit ihren Fledermäusen vom Boden aufzunehmen.</v>
      </c>
    </row>
    <row r="35316">
      <c r="A35316" s="4" t="s">
        <v>44427</v>
      </c>
      <c r="B35316" s="4" t="s">
        <v>44435</v>
      </c>
      <c r="C35316" s="5" t="str">
        <f>IFERROR(__xludf.DUMMYFUNCTION("GOOGLETRANSLATE(B35316,""en"",""de"")"),"Die Spieler fingen an, ihre Bälle auf ihren Schläger zu springen, während sie vorwärts rannten, einige der Bälle fielen auf den Boden und die Spieler müssen sie mit dem Schläger abholen.")</f>
        <v>Die Spieler fingen an, ihre Bälle auf ihren Schläger zu springen, während sie vorwärts rannten, einige der Bälle fielen auf den Boden und die Spieler müssen sie mit dem Schläger abholen.</v>
      </c>
    </row>
    <row r="35317">
      <c r="A35317" s="4" t="s">
        <v>44436</v>
      </c>
      <c r="B35317" s="4" t="s">
        <v>44437</v>
      </c>
      <c r="C35317" s="5" t="str">
        <f>IFERROR(__xludf.DUMMYFUNCTION("GOOGLETRANSLATE(B35317,""en"",""de"")"),"Ein Mann ist auf einem galoppierenden Pferd zurück, um für Sport zu reiten.")</f>
        <v>Ein Mann ist auf einem galoppierenden Pferd zurück, um für Sport zu reiten.</v>
      </c>
    </row>
    <row r="35318">
      <c r="A35318" s="4" t="s">
        <v>44436</v>
      </c>
      <c r="B35318" s="4" t="s">
        <v>44438</v>
      </c>
      <c r="C35318" s="5" t="str">
        <f>IFERROR(__xludf.DUMMYFUNCTION("GOOGLETRANSLATE(B35318,""en"",""de"")"),"Das Reiten des Reites gilt als Sport, eine lustige, funktioniert aber trotzdem.")</f>
        <v>Das Reiten des Reites gilt als Sport, eine lustige, funktioniert aber trotzdem.</v>
      </c>
    </row>
    <row r="35319">
      <c r="A35319" s="4" t="s">
        <v>44436</v>
      </c>
      <c r="B35319" s="4" t="s">
        <v>44439</v>
      </c>
      <c r="C35319" s="5" t="str">
        <f>IFERROR(__xludf.DUMMYFUNCTION("GOOGLETRANSLATE(B35319,""en"",""de"")"),"Als wenn man mit einem Team zusammenarbeitet, muss man auch mit einem Pferd arbeiten, müssen Sie mit einem Pferd kommunizieren, das nicht spricht.")</f>
        <v>Als wenn man mit einem Team zusammenarbeitet, muss man auch mit einem Pferd arbeiten, müssen Sie mit einem Pferd kommunizieren, das nicht spricht.</v>
      </c>
    </row>
    <row r="35320">
      <c r="A35320" s="4" t="s">
        <v>44436</v>
      </c>
      <c r="B35320" s="4" t="s">
        <v>44440</v>
      </c>
      <c r="C35320" s="5" t="str">
        <f>IFERROR(__xludf.DUMMYFUNCTION("GOOGLETRANSLATE(B35320,""en"",""de"")"),"Lassen Sie es wissen, wann Sie schneller gehen müssen, wann es springen muss und so.")</f>
        <v>Lassen Sie es wissen, wann Sie schneller gehen müssen, wann es springen muss und so.</v>
      </c>
    </row>
    <row r="35321">
      <c r="A35321" s="4" t="s">
        <v>44441</v>
      </c>
      <c r="B35321" s="4" t="s">
        <v>44442</v>
      </c>
      <c r="C35321" s="5" t="str">
        <f>IFERROR(__xludf.DUMMYFUNCTION("GOOGLETRANSLATE(B35321,""en"",""de"")"),"Eine kleine Gruppe von Menschen wird gesehen, wie er einen Ball über das Wasser drückt und das Tor erzielt.")</f>
        <v>Eine kleine Gruppe von Menschen wird gesehen, wie er einen Ball über das Wasser drückt und das Tor erzielt.</v>
      </c>
    </row>
    <row r="35322">
      <c r="A35322" s="4" t="s">
        <v>44441</v>
      </c>
      <c r="B35322" s="4" t="s">
        <v>44443</v>
      </c>
      <c r="C35322" s="5" t="str">
        <f>IFERROR(__xludf.DUMMYFUNCTION("GOOGLETRANSLATE(B35322,""en"",""de"")"),"Die Leute spielen weiter mit dem Ball und schwimmen entlang des Wassers.")</f>
        <v>Die Leute spielen weiter mit dem Ball und schwimmen entlang des Wassers.</v>
      </c>
    </row>
    <row r="35323">
      <c r="A35323" s="4" t="s">
        <v>44441</v>
      </c>
      <c r="B35323" s="4" t="s">
        <v>44444</v>
      </c>
      <c r="C35323" s="5" t="str">
        <f>IFERROR(__xludf.DUMMYFUNCTION("GOOGLETRANSLATE(B35323,""en"",""de"")"),"Der Ball wird ein weiteres verabschiedet, um ein Tor zu erzielen, und dann geht das Spiel weiter.")</f>
        <v>Der Ball wird ein weiteres verabschiedet, um ein Tor zu erzielen, und dann geht das Spiel weiter.</v>
      </c>
    </row>
    <row r="35324">
      <c r="A35324" s="4" t="s">
        <v>44445</v>
      </c>
      <c r="B35324" s="4" t="s">
        <v>44446</v>
      </c>
      <c r="C35324" s="5" t="str">
        <f>IFERROR(__xludf.DUMMYFUNCTION("GOOGLETRANSLATE(B35324,""en"",""de"")"),"Eine Frau wird gesehen, wie er sich auf eine Yogamatte niederschlägt, während sie sich vorwärts beugt.")</f>
        <v>Eine Frau wird gesehen, wie er sich auf eine Yogamatte niederschlägt, während sie sich vorwärts beugt.</v>
      </c>
    </row>
    <row r="35325">
      <c r="A35325" s="4" t="s">
        <v>44445</v>
      </c>
      <c r="B35325" s="4" t="s">
        <v>44447</v>
      </c>
      <c r="C35325" s="5" t="str">
        <f>IFERROR(__xludf.DUMMYFUNCTION("GOOGLETRANSLATE(B35325,""en"",""de"")"),"Die Frau bewegt dann ihr Bein vor sie heraus und beugt sich weiter und erzeugt eine Strecke.")</f>
        <v>Die Frau bewegt dann ihr Bein vor sie heraus und beugt sich weiter und erzeugt eine Strecke.</v>
      </c>
    </row>
    <row r="35326">
      <c r="A35326" s="4" t="s">
        <v>44448</v>
      </c>
      <c r="B35326" s="4" t="s">
        <v>44449</v>
      </c>
      <c r="C35326" s="5" t="str">
        <f>IFERROR(__xludf.DUMMYFUNCTION("GOOGLETRANSLATE(B35326,""en"",""de"")"),"Ein Athlet wird gesehen, wie er sich dreht und einen Diskussion wirft, während Männer auf dem Feld seine Punktzahl verfolgen.")</f>
        <v>Ein Athlet wird gesehen, wie er sich dreht und einen Diskussion wirft, während Männer auf dem Feld seine Punktzahl verfolgen.</v>
      </c>
    </row>
    <row r="35327">
      <c r="A35327" s="4" t="s">
        <v>44448</v>
      </c>
      <c r="B35327" s="4" t="s">
        <v>44450</v>
      </c>
      <c r="C35327" s="5" t="str">
        <f>IFERROR(__xludf.DUMMYFUNCTION("GOOGLETRANSLATE(B35327,""en"",""de"")"),"Der Athlet geht weg und ein anderer steigt hoch und wirft den Diskussion.")</f>
        <v>Der Athlet geht weg und ein anderer steigt hoch und wirft den Diskussion.</v>
      </c>
    </row>
    <row r="35328">
      <c r="A35328" s="4" t="s">
        <v>44448</v>
      </c>
      <c r="B35328" s="4" t="s">
        <v>44451</v>
      </c>
      <c r="C35328" s="5" t="str">
        <f>IFERROR(__xludf.DUMMYFUNCTION("GOOGLETRANSLATE(B35328,""en"",""de"")"),"Einige weitere Leute steigen auf, um das Objekt zu werfen, und endet mit einem Athleten, der gewinnt und weggeht.")</f>
        <v>Einige weitere Leute steigen auf, um das Objekt zu werfen, und endet mit einem Athleten, der gewinnt und weggeht.</v>
      </c>
    </row>
    <row r="35329">
      <c r="A35329" s="4" t="s">
        <v>44452</v>
      </c>
      <c r="B35329" s="4" t="s">
        <v>44453</v>
      </c>
      <c r="C35329" s="5" t="str">
        <f>IFERROR(__xludf.DUMMYFUNCTION("GOOGLETRANSLATE(B35329,""en"",""de"")"),"Es gibt zwei Kinder auf dem Schaukelset, während zwei alte Damen neben ihnen stehen, die sie schwingen.")</f>
        <v>Es gibt zwei Kinder auf dem Schaukelset, während zwei alte Damen neben ihnen stehen, die sie schwingen.</v>
      </c>
    </row>
    <row r="35330">
      <c r="A35330" s="4" t="s">
        <v>44452</v>
      </c>
      <c r="B35330" s="4" t="s">
        <v>44454</v>
      </c>
      <c r="C35330" s="5" t="str">
        <f>IFERROR(__xludf.DUMMYFUNCTION("GOOGLETRANSLATE(B35330,""en"",""de"")"),"Die alte Dame in Pink Top ging weg, während die andere alte Frau in Lila den Jungen weiter schwingt.")</f>
        <v>Die alte Dame in Pink Top ging weg, während die andere alte Frau in Lila den Jungen weiter schwingt.</v>
      </c>
    </row>
    <row r="35331">
      <c r="A35331" s="4" t="s">
        <v>44452</v>
      </c>
      <c r="B35331" s="4" t="s">
        <v>44455</v>
      </c>
      <c r="C35331" s="5" t="str">
        <f>IFERROR(__xludf.DUMMYFUNCTION("GOOGLETRANSLATE(B35331,""en"",""de"")"),"Die alte Dame im rosa Hemd ging mit einem Stück Papier zurück, um etwas Luft auf sie zu fan, während ein kleines Kind zur Vorderseite der Bank geht.")</f>
        <v>Die alte Dame im rosa Hemd ging mit einem Stück Papier zurück, um etwas Luft auf sie zu fan, während ein kleines Kind zur Vorderseite der Bank geht.</v>
      </c>
    </row>
    <row r="35332">
      <c r="A35332" s="4" t="s">
        <v>44452</v>
      </c>
      <c r="B35332" s="4" t="s">
        <v>44456</v>
      </c>
      <c r="C35332" s="5" t="str">
        <f>IFERROR(__xludf.DUMMYFUNCTION("GOOGLETRANSLATE(B35332,""en"",""de"")"),"Die alte Dame in Lila schwingt den Jungen weiter, während die alte Dame in rosa Oberseite auf der roten Bar der Schaukel stand.")</f>
        <v>Die alte Dame in Lila schwingt den Jungen weiter, während die alte Dame in rosa Oberseite auf der roten Bar der Schaukel stand.</v>
      </c>
    </row>
    <row r="35333">
      <c r="A35333" s="4" t="s">
        <v>44452</v>
      </c>
      <c r="B35333" s="4" t="s">
        <v>44457</v>
      </c>
      <c r="C35333" s="5" t="str">
        <f>IFERROR(__xludf.DUMMYFUNCTION("GOOGLETRANSLATE(B35333,""en"",""de"")"),"Die Dame in Pink Top kam mit weißem Hemd vor den anderen Jungen und sprach mit ihm, schob ihn auf die Schaukel, gab ihm einen Kuss und schwang ihn weiterhin von der Seite der Schwung.")</f>
        <v>Die Dame in Pink Top kam mit weißem Hemd vor den anderen Jungen und sprach mit ihm, schob ihn auf die Schaukel, gab ihm einen Kuss und schwang ihn weiterhin von der Seite der Schwung.</v>
      </c>
    </row>
    <row r="35334">
      <c r="A35334" s="4" t="s">
        <v>44452</v>
      </c>
      <c r="B35334" s="4" t="s">
        <v>44458</v>
      </c>
      <c r="C35334" s="5" t="str">
        <f>IFERROR(__xludf.DUMMYFUNCTION("GOOGLETRANSLATE(B35334,""en"",""de"")"),"Das Littler -Mädchen in der Nähe der Bank saß und sammelte etwas von dem blauen Boden.")</f>
        <v>Das Littler -Mädchen in der Nähe der Bank saß und sammelte etwas von dem blauen Boden.</v>
      </c>
    </row>
    <row r="35335">
      <c r="A35335" s="4" t="s">
        <v>44459</v>
      </c>
      <c r="B35335" s="4" t="s">
        <v>44460</v>
      </c>
      <c r="C35335" s="5" t="str">
        <f>IFERROR(__xludf.DUMMYFUNCTION("GOOGLETRANSLATE(B35335,""en"",""de"")"),"Ein Mann, der eine Brille trägt, befindet sich auf einer Bühne.")</f>
        <v>Ein Mann, der eine Brille trägt, befindet sich auf einer Bühne.</v>
      </c>
    </row>
    <row r="35336">
      <c r="A35336" s="4" t="s">
        <v>44459</v>
      </c>
      <c r="B35336" s="4" t="s">
        <v>44461</v>
      </c>
      <c r="C35336" s="5" t="str">
        <f>IFERROR(__xludf.DUMMYFUNCTION("GOOGLETRANSLATE(B35336,""en"",""de"")"),"Er wirft Darts auf ein Brett und versucht, das Ziel zu erreichen, während die Menge klatscht.")</f>
        <v>Er wirft Darts auf ein Brett und versucht, das Ziel zu erreichen, während die Menge klatscht.</v>
      </c>
    </row>
    <row r="35337">
      <c r="A35337" s="4" t="s">
        <v>44459</v>
      </c>
      <c r="B35337" s="4" t="s">
        <v>44462</v>
      </c>
      <c r="C35337" s="5" t="str">
        <f>IFERROR(__xludf.DUMMYFUNCTION("GOOGLETRANSLATE(B35337,""en"",""de"")"),"Ein anderer Wettbewerber erscheint, der dasselbe tut.")</f>
        <v>Ein anderer Wettbewerber erscheint, der dasselbe tut.</v>
      </c>
    </row>
    <row r="35338">
      <c r="A35338" s="4" t="s">
        <v>44459</v>
      </c>
      <c r="B35338" s="4" t="s">
        <v>44463</v>
      </c>
      <c r="C35338" s="5" t="str">
        <f>IFERROR(__xludf.DUMMYFUNCTION("GOOGLETRANSLATE(B35338,""en"",""de"")"),"Der Gewinner betritt die Bühne als Kamera und feiert und feiert.")</f>
        <v>Der Gewinner betritt die Bühne als Kamera und feiert und feiert.</v>
      </c>
    </row>
    <row r="35339">
      <c r="A35339" s="4" t="s">
        <v>44464</v>
      </c>
      <c r="B35339" s="4" t="s">
        <v>44465</v>
      </c>
      <c r="C35339" s="5" t="str">
        <f>IFERROR(__xludf.DUMMYFUNCTION("GOOGLETRANSLATE(B35339,""en"",""de"")"),"Zwei Kinder spielen ein Spiel Shuffleboard auf der Seite eines Bootes, während die Kamera zuschaut.")</f>
        <v>Zwei Kinder spielen ein Spiel Shuffleboard auf der Seite eines Bootes, während die Kamera zuschaut.</v>
      </c>
    </row>
    <row r="35340">
      <c r="A35340" s="4" t="s">
        <v>44464</v>
      </c>
      <c r="B35340" s="4" t="s">
        <v>44466</v>
      </c>
      <c r="C35340" s="5" t="str">
        <f>IFERROR(__xludf.DUMMYFUNCTION("GOOGLETRANSLATE(B35340,""en"",""de"")"),"Die Kinder wechseln sich abwechselnd weiter, während sie den Weg auf dem Boot auf und ab rennen.")</f>
        <v>Die Kinder wechseln sich abwechselnd weiter, während sie den Weg auf dem Boot auf und ab rennen.</v>
      </c>
    </row>
    <row r="35341">
      <c r="A35341" s="4" t="s">
        <v>44467</v>
      </c>
      <c r="B35341" s="4" t="s">
        <v>44468</v>
      </c>
      <c r="C35341" s="5" t="str">
        <f>IFERROR(__xludf.DUMMYFUNCTION("GOOGLETRANSLATE(B35341,""en"",""de"")"),"Ein Arzt spricht, während eine Krankenschwester neben ihm in einer Arztpraxis sitzt.")</f>
        <v>Ein Arzt spricht, während eine Krankenschwester neben ihm in einer Arztpraxis sitzt.</v>
      </c>
    </row>
    <row r="35342">
      <c r="A35342" s="4" t="s">
        <v>44467</v>
      </c>
      <c r="B35342" s="4" t="s">
        <v>44469</v>
      </c>
      <c r="C35342" s="5" t="str">
        <f>IFERROR(__xludf.DUMMYFUNCTION("GOOGLETRANSLATE(B35342,""en"",""de"")"),"Er hält eine Flasche Reinigungsmittel und benutzt einen Lappen, um sie auf das Gesicht der Frau abzuwischen, bevor er ihn wieder sauber wischt.")</f>
        <v>Er hält eine Flasche Reinigungsmittel und benutzt einen Lappen, um sie auf das Gesicht der Frau abzuwischen, bevor er ihn wieder sauber wischt.</v>
      </c>
    </row>
    <row r="35343">
      <c r="A35343" s="4" t="s">
        <v>44467</v>
      </c>
      <c r="B35343" s="4" t="s">
        <v>44470</v>
      </c>
      <c r="C35343" s="5" t="str">
        <f>IFERROR(__xludf.DUMMYFUNCTION("GOOGLETRANSLATE(B35343,""en"",""de"")"),"Es wird auch in ihre Hände gerieben.")</f>
        <v>Es wird auch in ihre Hände gerieben.</v>
      </c>
    </row>
    <row r="35344">
      <c r="A35344" s="4" t="s">
        <v>44471</v>
      </c>
      <c r="B35344" s="4" t="s">
        <v>44472</v>
      </c>
      <c r="C35344" s="5" t="str">
        <f>IFERROR(__xludf.DUMMYFUNCTION("GOOGLETRANSLATE(B35344,""en"",""de"")"),"Ein Koch steht vor einem Tisch und schaltet sich mit einer Pfanne ein.")</f>
        <v>Ein Koch steht vor einem Tisch und schaltet sich mit einer Pfanne ein.</v>
      </c>
    </row>
    <row r="35345">
      <c r="A35345" s="4" t="s">
        <v>44471</v>
      </c>
      <c r="B35345" s="4" t="s">
        <v>44473</v>
      </c>
      <c r="C35345" s="5" t="str">
        <f>IFERROR(__xludf.DUMMYFUNCTION("GOOGLETRANSLATE(B35345,""en"",""de"")"),"Der Mann mischt dann verschiedene Zutaten zusammen und legt schließlich die Zutaten auf den Herd.")</f>
        <v>Der Mann mischt dann verschiedene Zutaten zusammen und legt schließlich die Zutaten auf den Herd.</v>
      </c>
    </row>
    <row r="35346">
      <c r="A35346" s="4" t="s">
        <v>44471</v>
      </c>
      <c r="B35346" s="4" t="s">
        <v>44474</v>
      </c>
      <c r="C35346" s="5" t="str">
        <f>IFERROR(__xludf.DUMMYFUNCTION("GOOGLETRANSLATE(B35346,""en"",""de"")"),"Er beendet den Teller, indem er ein Omelett macht, serviert ihn auf einem Teller und schneidet ihn auf.")</f>
        <v>Er beendet den Teller, indem er ein Omelett macht, serviert ihn auf einem Teller und schneidet ihn auf.</v>
      </c>
    </row>
    <row r="35347">
      <c r="A35347" s="4" t="s">
        <v>44475</v>
      </c>
      <c r="B35347" s="4" t="s">
        <v>44476</v>
      </c>
      <c r="C35347" s="5" t="str">
        <f>IFERROR(__xludf.DUMMYFUNCTION("GOOGLETRANSLATE(B35347,""en"",""de"")"),"Die Leute sind in einem Lager mit vielen Kamele auf dem Boden.")</f>
        <v>Die Leute sind in einem Lager mit vielen Kamele auf dem Boden.</v>
      </c>
    </row>
    <row r="35348">
      <c r="A35348" s="4" t="s">
        <v>44475</v>
      </c>
      <c r="B35348" s="4" t="s">
        <v>44477</v>
      </c>
      <c r="C35348" s="5" t="str">
        <f>IFERROR(__xludf.DUMMYFUNCTION("GOOGLETRANSLATE(B35348,""en"",""de"")"),"Ein Männer fährt mit einem Kamel und geht im Dessert an den Piramiden, während ein Mann sie mit einem Seil führt.")</f>
        <v>Ein Männer fährt mit einem Kamel und geht im Dessert an den Piramiden, während ein Mann sie mit einem Seil führt.</v>
      </c>
    </row>
    <row r="35349">
      <c r="A35349" s="4" t="s">
        <v>44475</v>
      </c>
      <c r="B35349" s="4" t="s">
        <v>44478</v>
      </c>
      <c r="C35349" s="5" t="str">
        <f>IFERROR(__xludf.DUMMYFUNCTION("GOOGLETRANSLATE(B35349,""en"",""de"")"),"Die Kamele stoppen und ein Mann macht ein Foto.")</f>
        <v>Die Kamele stoppen und ein Mann macht ein Foto.</v>
      </c>
    </row>
    <row r="35350">
      <c r="A35350" s="4" t="s">
        <v>44475</v>
      </c>
      <c r="B35350" s="4" t="s">
        <v>44479</v>
      </c>
      <c r="C35350" s="5" t="str">
        <f>IFERROR(__xludf.DUMMYFUNCTION("GOOGLETRANSLATE(B35350,""en"",""de"")"),"Männer fahren Kamele im Dessert.")</f>
        <v>Männer fahren Kamele im Dessert.</v>
      </c>
    </row>
    <row r="35351">
      <c r="A35351" s="4" t="s">
        <v>44480</v>
      </c>
      <c r="B35351" s="4" t="s">
        <v>44481</v>
      </c>
      <c r="C35351" s="5" t="str">
        <f>IFERROR(__xludf.DUMMYFUNCTION("GOOGLETRANSLATE(B35351,""en"",""de"")"),"Wir sehen einen kleinen Hund in einer Badewanne mit dem Titel darüber.")</f>
        <v>Wir sehen einen kleinen Hund in einer Badewanne mit dem Titel darüber.</v>
      </c>
    </row>
    <row r="35352">
      <c r="A35352" s="4" t="s">
        <v>44480</v>
      </c>
      <c r="B35352" s="4" t="s">
        <v>44482</v>
      </c>
      <c r="C35352" s="5" t="str">
        <f>IFERROR(__xludf.DUMMYFUNCTION("GOOGLETRANSLATE(B35352,""en"",""de"")"),"Eine Person benimmt den Hund und setzt Shampoo darauf.")</f>
        <v>Eine Person benimmt den Hund und setzt Shampoo darauf.</v>
      </c>
    </row>
    <row r="35353">
      <c r="A35353" s="4" t="s">
        <v>44480</v>
      </c>
      <c r="B35353" s="4" t="s">
        <v>44483</v>
      </c>
      <c r="C35353" s="5" t="str">
        <f>IFERROR(__xludf.DUMMYFUNCTION("GOOGLETRANSLATE(B35353,""en"",""de"")"),"Die Person wäscht den Hund mit ihren Händen.")</f>
        <v>Die Person wäscht den Hund mit ihren Händen.</v>
      </c>
    </row>
    <row r="35354">
      <c r="A35354" s="4" t="s">
        <v>44480</v>
      </c>
      <c r="B35354" s="4" t="s">
        <v>44484</v>
      </c>
      <c r="C35354" s="5" t="str">
        <f>IFERROR(__xludf.DUMMYFUNCTION("GOOGLETRANSLATE(B35354,""en"",""de"")"),"Sie stehen den Hund auf und waschen ihn.")</f>
        <v>Sie stehen den Hund auf und waschen ihn.</v>
      </c>
    </row>
    <row r="35355">
      <c r="A35355" s="4" t="s">
        <v>44480</v>
      </c>
      <c r="B35355" s="4" t="s">
        <v>44485</v>
      </c>
      <c r="C35355" s="5" t="str">
        <f>IFERROR(__xludf.DUMMYFUNCTION("GOOGLETRANSLATE(B35355,""en"",""de"")"),"Sie spülen die Seife vom Hund ab.")</f>
        <v>Sie spülen die Seife vom Hund ab.</v>
      </c>
    </row>
    <row r="35356">
      <c r="A35356" s="4" t="s">
        <v>44480</v>
      </c>
      <c r="B35356" s="4" t="s">
        <v>44486</v>
      </c>
      <c r="C35356" s="5" t="str">
        <f>IFERROR(__xludf.DUMMYFUNCTION("GOOGLETRANSLATE(B35356,""en"",""de"")"),"Wir sehen den nassen kleinen Hund von oben.")</f>
        <v>Wir sehen den nassen kleinen Hund von oben.</v>
      </c>
    </row>
    <row r="35357">
      <c r="A35357" s="4" t="s">
        <v>44487</v>
      </c>
      <c r="B35357" s="4" t="s">
        <v>44488</v>
      </c>
      <c r="C35357" s="5" t="str">
        <f>IFERROR(__xludf.DUMMYFUNCTION("GOOGLETRANSLATE(B35357,""en"",""de"")"),"Eine Frau putzt Kleidung auf einem Tisch.")</f>
        <v>Eine Frau putzt Kleidung auf einem Tisch.</v>
      </c>
    </row>
    <row r="35358">
      <c r="A35358" s="4" t="s">
        <v>44487</v>
      </c>
      <c r="B35358" s="4" t="s">
        <v>44489</v>
      </c>
      <c r="C35358" s="5" t="str">
        <f>IFERROR(__xludf.DUMMYFUNCTION("GOOGLETRANSLATE(B35358,""en"",""de"")"),"Sie gießt einen Eimer Wasser auf die Kleidung.")</f>
        <v>Sie gießt einen Eimer Wasser auf die Kleidung.</v>
      </c>
    </row>
    <row r="35359">
      <c r="A35359" s="4" t="s">
        <v>44487</v>
      </c>
      <c r="B35359" s="4" t="s">
        <v>44490</v>
      </c>
      <c r="C35359" s="5" t="str">
        <f>IFERROR(__xludf.DUMMYFUNCTION("GOOGLETRANSLATE(B35359,""en"",""de"")"),"Sie nimmt eine Bürste auf und schrubbt die Kleidung.")</f>
        <v>Sie nimmt eine Bürste auf und schrubbt die Kleidung.</v>
      </c>
    </row>
    <row r="35360">
      <c r="A35360" s="4" t="s">
        <v>44487</v>
      </c>
      <c r="B35360" s="4" t="s">
        <v>44491</v>
      </c>
      <c r="C35360" s="5" t="str">
        <f>IFERROR(__xludf.DUMMYFUNCTION("GOOGLETRANSLATE(B35360,""en"",""de"")"),"Sie gießt mehr Wasser auf die Kleidung.")</f>
        <v>Sie gießt mehr Wasser auf die Kleidung.</v>
      </c>
    </row>
    <row r="35361">
      <c r="A35361" s="4" t="s">
        <v>44487</v>
      </c>
      <c r="B35361" s="4" t="s">
        <v>44492</v>
      </c>
      <c r="C35361" s="5" t="str">
        <f>IFERROR(__xludf.DUMMYFUNCTION("GOOGLETRANSLATE(B35361,""en"",""de"")"),"Sie nimmt die Kleidung auf und setzt sie neben sie.")</f>
        <v>Sie nimmt die Kleidung auf und setzt sie neben sie.</v>
      </c>
    </row>
    <row r="35362">
      <c r="A35362" s="4" t="s">
        <v>44493</v>
      </c>
      <c r="B35362" s="4" t="s">
        <v>44494</v>
      </c>
      <c r="C35362" s="5" t="str">
        <f>IFERROR(__xludf.DUMMYFUNCTION("GOOGLETRANSLATE(B35362,""en"",""de"")"),"Wir sehen, dass sich ein männlicher Turner auf die Verwendung des Pommel -Pferdes vorbereitet.")</f>
        <v>Wir sehen, dass sich ein männlicher Turner auf die Verwendung des Pommel -Pferdes vorbereitet.</v>
      </c>
    </row>
    <row r="35363">
      <c r="A35363" s="4" t="s">
        <v>44493</v>
      </c>
      <c r="B35363" s="4" t="s">
        <v>44495</v>
      </c>
      <c r="C35363" s="5" t="str">
        <f>IFERROR(__xludf.DUMMYFUNCTION("GOOGLETRANSLATE(B35363,""en"",""de"")"),"Der Mann montiert das Pommel -Pferd und dreht seine Beine um es herum.")</f>
        <v>Der Mann montiert das Pommel -Pferd und dreht seine Beine um es herum.</v>
      </c>
    </row>
    <row r="35364">
      <c r="A35364" s="4" t="s">
        <v>44493</v>
      </c>
      <c r="B35364" s="4" t="s">
        <v>859</v>
      </c>
      <c r="C35364" s="5" t="str">
        <f>IFERROR(__xludf.DUMMYFUNCTION("GOOGLETRANSLATE(B35364,""en"",""de"")"),"Der Mann macht einen Handstand und steigt ab.")</f>
        <v>Der Mann macht einen Handstand und steigt ab.</v>
      </c>
    </row>
    <row r="35365">
      <c r="A35365" s="4" t="s">
        <v>44493</v>
      </c>
      <c r="B35365" s="4" t="s">
        <v>44496</v>
      </c>
      <c r="C35365" s="5" t="str">
        <f>IFERROR(__xludf.DUMMYFUNCTION("GOOGLETRANSLATE(B35365,""en"",""de"")"),"Der Mann nimmt sich verbeugt und geht weg.")</f>
        <v>Der Mann nimmt sich verbeugt und geht weg.</v>
      </c>
    </row>
    <row r="35366">
      <c r="A35366" s="4" t="s">
        <v>44497</v>
      </c>
      <c r="B35366" s="4" t="s">
        <v>44498</v>
      </c>
      <c r="C35366" s="5" t="str">
        <f>IFERROR(__xludf.DUMMYFUNCTION("GOOGLETRANSLATE(B35366,""en"",""de"")"),"Ein Mädchen steht in einem Hof ​​mit einem Rechen.")</f>
        <v>Ein Mädchen steht in einem Hof ​​mit einem Rechen.</v>
      </c>
    </row>
    <row r="35367">
      <c r="A35367" s="4" t="s">
        <v>44497</v>
      </c>
      <c r="B35367" s="4" t="s">
        <v>44499</v>
      </c>
      <c r="C35367" s="5" t="str">
        <f>IFERROR(__xludf.DUMMYFUNCTION("GOOGLETRANSLATE(B35367,""en"",""de"")"),"Das Mädchen retelt die Blätter auf einem Stapel.")</f>
        <v>Das Mädchen retelt die Blätter auf einem Stapel.</v>
      </c>
    </row>
    <row r="35368">
      <c r="A35368" s="4" t="s">
        <v>44497</v>
      </c>
      <c r="B35368" s="4" t="s">
        <v>44500</v>
      </c>
      <c r="C35368" s="5" t="str">
        <f>IFERROR(__xludf.DUMMYFUNCTION("GOOGLETRANSLATE(B35368,""en"",""de"")"),"Das Mädchen geht zu einem Trampolin und bekommt einen anderen Rechen und retelt die Blätter in einem Kreis.")</f>
        <v>Das Mädchen geht zu einem Trampolin und bekommt einen anderen Rechen und retelt die Blätter in einem Kreis.</v>
      </c>
    </row>
    <row r="35369">
      <c r="A35369" s="4" t="s">
        <v>44497</v>
      </c>
      <c r="B35369" s="4" t="s">
        <v>44501</v>
      </c>
      <c r="C35369" s="5" t="str">
        <f>IFERROR(__xludf.DUMMYFUNCTION("GOOGLETRANSLATE(B35369,""en"",""de"")"),"Das Mädchen legte den Rake wieder auf das Trampolin und spricht mit der Kamera.")</f>
        <v>Das Mädchen legte den Rake wieder auf das Trampolin und spricht mit der Kamera.</v>
      </c>
    </row>
    <row r="35370">
      <c r="A35370" s="4" t="s">
        <v>44497</v>
      </c>
      <c r="B35370" s="4" t="s">
        <v>44502</v>
      </c>
      <c r="C35370" s="5" t="str">
        <f>IFERROR(__xludf.DUMMYFUNCTION("GOOGLETRANSLATE(B35370,""en"",""de"")"),"Das Mädchen springt hinein, rollt herum und wirft die Blätter herum, bevor sie stehen und mit der Kamera sprechen.")</f>
        <v>Das Mädchen springt hinein, rollt herum und wirft die Blätter herum, bevor sie stehen und mit der Kamera sprechen.</v>
      </c>
    </row>
    <row r="35371">
      <c r="A35371" s="4" t="s">
        <v>44503</v>
      </c>
      <c r="B35371" s="4" t="s">
        <v>44504</v>
      </c>
      <c r="C35371" s="5" t="str">
        <f>IFERROR(__xludf.DUMMYFUNCTION("GOOGLETRANSLATE(B35371,""en"",""de"")"),"Ein Mann in einem Anzug spricht in ein Mikrofon.")</f>
        <v>Ein Mann in einem Anzug spricht in ein Mikrofon.</v>
      </c>
    </row>
    <row r="35372">
      <c r="A35372" s="4" t="s">
        <v>44503</v>
      </c>
      <c r="B35372" s="4" t="s">
        <v>44505</v>
      </c>
      <c r="C35372" s="5" t="str">
        <f>IFERROR(__xludf.DUMMYFUNCTION("GOOGLETRANSLATE(B35372,""en"",""de"")"),"Menschen Ski Ski im Wasser.")</f>
        <v>Menschen Ski Ski im Wasser.</v>
      </c>
    </row>
    <row r="35373">
      <c r="A35373" s="4" t="s">
        <v>44503</v>
      </c>
      <c r="B35373" s="4" t="s">
        <v>44506</v>
      </c>
      <c r="C35373" s="5" t="str">
        <f>IFERROR(__xludf.DUMMYFUNCTION("GOOGLETRANSLATE(B35373,""en"",""de"")"),"Ein Mann fällt herunter und wird vom Boot durch das Wasser gezogen.")</f>
        <v>Ein Mann fällt herunter und wird vom Boot durch das Wasser gezogen.</v>
      </c>
    </row>
    <row r="35374">
      <c r="A35374" s="4" t="s">
        <v>44503</v>
      </c>
      <c r="B35374" s="4" t="s">
        <v>44507</v>
      </c>
      <c r="C35374" s="5" t="str">
        <f>IFERROR(__xludf.DUMMYFUNCTION("GOOGLETRANSLATE(B35374,""en"",""de"")"),"Ein Mann dreht sich beim Wasserski und hält das Seil mit seinem Fuß.")</f>
        <v>Ein Mann dreht sich beim Wasserski und hält das Seil mit seinem Fuß.</v>
      </c>
    </row>
    <row r="35375">
      <c r="A35375" s="4" t="s">
        <v>44503</v>
      </c>
      <c r="B35375" s="4" t="s">
        <v>44508</v>
      </c>
      <c r="C35375" s="5" t="str">
        <f>IFERROR(__xludf.DUMMYFUNCTION("GOOGLETRANSLATE(B35375,""en"",""de"")"),"Er stürzt ab und fällt ins Wasser.")</f>
        <v>Er stürzt ab und fällt ins Wasser.</v>
      </c>
    </row>
    <row r="35376">
      <c r="A35376" s="4" t="s">
        <v>44509</v>
      </c>
      <c r="B35376" s="4" t="s">
        <v>44510</v>
      </c>
      <c r="C35376" s="5" t="str">
        <f>IFERROR(__xludf.DUMMYFUNCTION("GOOGLETRANSLATE(B35376,""en"",""de"")"),"Zwei Männer machen Capoeira umgeben von einem Menschenkreis.")</f>
        <v>Zwei Männer machen Capoeira umgeben von einem Menschenkreis.</v>
      </c>
    </row>
    <row r="35377">
      <c r="A35377" s="4" t="s">
        <v>44509</v>
      </c>
      <c r="B35377" s="4" t="s">
        <v>44511</v>
      </c>
      <c r="C35377" s="5" t="str">
        <f>IFERROR(__xludf.DUMMYFUNCTION("GOOGLETRANSLATE(B35377,""en"",""de"")"),"Die Männer machen eine Pause und sind wieder für die Menschen aufzutreten.")</f>
        <v>Die Männer machen eine Pause und sind wieder für die Menschen aufzutreten.</v>
      </c>
    </row>
    <row r="35378">
      <c r="A35378" s="4" t="s">
        <v>44509</v>
      </c>
      <c r="B35378" s="4" t="s">
        <v>44512</v>
      </c>
      <c r="C35378" s="5" t="str">
        <f>IFERROR(__xludf.DUMMYFUNCTION("GOOGLETRANSLATE(B35378,""en"",""de"")"),"Sie schütteln die Hand und lassen den Kreis, so dass zwei andere Männer in den Kreis eintreten können.")</f>
        <v>Sie schütteln die Hand und lassen den Kreis, so dass zwei andere Männer in den Kreis eintreten können.</v>
      </c>
    </row>
    <row r="35379">
      <c r="A35379" s="4" t="s">
        <v>44509</v>
      </c>
      <c r="B35379" s="4" t="s">
        <v>44513</v>
      </c>
      <c r="C35379" s="5" t="str">
        <f>IFERROR(__xludf.DUMMYFUNCTION("GOOGLETRANSLATE(B35379,""en"",""de"")"),"Ein Mann in Blau und ein Mann in Grau begrüßen sich in der Mitte des Kreises.")</f>
        <v>Ein Mann in Blau und ein Mann in Grau begrüßen sich in der Mitte des Kreises.</v>
      </c>
    </row>
    <row r="35380">
      <c r="A35380" s="4" t="s">
        <v>44509</v>
      </c>
      <c r="B35380" s="4" t="s">
        <v>44514</v>
      </c>
      <c r="C35380" s="5" t="str">
        <f>IFERROR(__xludf.DUMMYFUNCTION("GOOGLETRANSLATE(B35380,""en"",""de"")"),"Die anderen beiden Männer beginnen, Capoeira für die Menge auszuführen.")</f>
        <v>Die anderen beiden Männer beginnen, Capoeira für die Menge auszuführen.</v>
      </c>
    </row>
    <row r="35381">
      <c r="A35381" s="4" t="s">
        <v>44515</v>
      </c>
      <c r="B35381" s="4" t="s">
        <v>3714</v>
      </c>
      <c r="C35381" s="5" t="str">
        <f>IFERROR(__xludf.DUMMYFUNCTION("GOOGLETRANSLATE(B35381,""en"",""de"")"),"Wir sehen einen dunklen Öffnungsbildschirm.")</f>
        <v>Wir sehen einen dunklen Öffnungsbildschirm.</v>
      </c>
    </row>
    <row r="35382">
      <c r="A35382" s="4" t="s">
        <v>44515</v>
      </c>
      <c r="B35382" s="4" t="s">
        <v>44516</v>
      </c>
      <c r="C35382" s="5" t="str">
        <f>IFERROR(__xludf.DUMMYFUNCTION("GOOGLETRANSLATE(B35382,""en"",""de"")"),"Wir sehen Menschen, die verschiedene Hunde pflegen.")</f>
        <v>Wir sehen Menschen, die verschiedene Hunde pflegen.</v>
      </c>
    </row>
    <row r="35383">
      <c r="A35383" s="4" t="s">
        <v>44515</v>
      </c>
      <c r="B35383" s="4" t="s">
        <v>44517</v>
      </c>
      <c r="C35383" s="5" t="str">
        <f>IFERROR(__xludf.DUMMYFUNCTION("GOOGLETRANSLATE(B35383,""en"",""de"")"),"Wir sehen, wie ein Mann das Fell auf einen großen Hund flaumt.")</f>
        <v>Wir sehen, wie ein Mann das Fell auf einen großen Hund flaumt.</v>
      </c>
    </row>
    <row r="35384">
      <c r="A35384" s="4" t="s">
        <v>44515</v>
      </c>
      <c r="B35384" s="4" t="s">
        <v>44518</v>
      </c>
      <c r="C35384" s="5" t="str">
        <f>IFERROR(__xludf.DUMMYFUNCTION("GOOGLETRANSLATE(B35384,""en"",""de"")"),"Wir sehen, wie ein Mann einen Hund föhnt.")</f>
        <v>Wir sehen, wie ein Mann einen Hund föhnt.</v>
      </c>
    </row>
    <row r="35385">
      <c r="A35385" s="4" t="s">
        <v>44515</v>
      </c>
      <c r="B35385" s="4" t="s">
        <v>44519</v>
      </c>
      <c r="C35385" s="5" t="str">
        <f>IFERROR(__xludf.DUMMYFUNCTION("GOOGLETRANSLATE(B35385,""en"",""de"")"),"Wir sehen, dass ein großer schwarzer Hund getrocknet wird.")</f>
        <v>Wir sehen, dass ein großer schwarzer Hund getrocknet wird.</v>
      </c>
    </row>
    <row r="35386">
      <c r="A35386" s="4" t="s">
        <v>44515</v>
      </c>
      <c r="B35386" s="4" t="s">
        <v>44520</v>
      </c>
      <c r="C35386" s="5" t="str">
        <f>IFERROR(__xludf.DUMMYFUNCTION("GOOGLETRANSLATE(B35386,""en"",""de"")"),"Ein Mann kämmt ein Hunde Haar direkt.")</f>
        <v>Ein Mann kämmt ein Hunde Haar direkt.</v>
      </c>
    </row>
    <row r="35387">
      <c r="A35387" s="4" t="s">
        <v>44515</v>
      </c>
      <c r="B35387" s="4" t="s">
        <v>44521</v>
      </c>
      <c r="C35387" s="5" t="str">
        <f>IFERROR(__xludf.DUMMYFUNCTION("GOOGLETRANSLATE(B35387,""en"",""de"")"),"Wir sehen zwei dunkle Endbildschirme.")</f>
        <v>Wir sehen zwei dunkle Endbildschirme.</v>
      </c>
    </row>
    <row r="35388">
      <c r="A35388" s="4" t="s">
        <v>44522</v>
      </c>
      <c r="B35388" s="4" t="s">
        <v>44523</v>
      </c>
      <c r="C35388" s="5" t="str">
        <f>IFERROR(__xludf.DUMMYFUNCTION("GOOGLETRANSLATE(B35388,""en"",""de"")"),"`Ein Keks wird auf einem Teller gezeigt.")</f>
        <v>`Ein Keks wird auf einem Teller gezeigt.</v>
      </c>
    </row>
    <row r="35389">
      <c r="A35389" s="4" t="s">
        <v>44522</v>
      </c>
      <c r="B35389" s="4" t="s">
        <v>44524</v>
      </c>
      <c r="C35389" s="5" t="str">
        <f>IFERROR(__xludf.DUMMYFUNCTION("GOOGLETRANSLATE(B35389,""en"",""de"")"),"Zutaten werden in eine Glasschüssel und zusammengemischt.")</f>
        <v>Zutaten werden in eine Glasschüssel und zusammengemischt.</v>
      </c>
    </row>
    <row r="35390">
      <c r="A35390" s="4" t="s">
        <v>44522</v>
      </c>
      <c r="B35390" s="4" t="s">
        <v>44525</v>
      </c>
      <c r="C35390" s="5" t="str">
        <f>IFERROR(__xludf.DUMMYFUNCTION("GOOGLETRANSLATE(B35390,""en"",""de"")"),"Schokoladenchips werden dem Teig hinzugefügt.")</f>
        <v>Schokoladenchips werden dem Teig hinzugefügt.</v>
      </c>
    </row>
    <row r="35391">
      <c r="A35391" s="4" t="s">
        <v>44522</v>
      </c>
      <c r="B35391" s="4" t="s">
        <v>44526</v>
      </c>
      <c r="C35391" s="5" t="str">
        <f>IFERROR(__xludf.DUMMYFUNCTION("GOOGLETRANSLATE(B35391,""en"",""de"")"),"Der Teig wird auf ein Keksblatt abgeflacht.")</f>
        <v>Der Teig wird auf ein Keksblatt abgeflacht.</v>
      </c>
    </row>
    <row r="35392">
      <c r="A35392" s="4" t="s">
        <v>44522</v>
      </c>
      <c r="B35392" s="4" t="s">
        <v>44527</v>
      </c>
      <c r="C35392" s="5" t="str">
        <f>IFERROR(__xludf.DUMMYFUNCTION("GOOGLETRANSLATE(B35392,""en"",""de"")"),"Schokolade wird übertrieben.")</f>
        <v>Schokolade wird übertrieben.</v>
      </c>
    </row>
    <row r="35393">
      <c r="A35393" s="4" t="s">
        <v>44522</v>
      </c>
      <c r="B35393" s="4" t="s">
        <v>44528</v>
      </c>
      <c r="C35393" s="5" t="str">
        <f>IFERROR(__xludf.DUMMYFUNCTION("GOOGLETRANSLATE(B35393,""en"",""de"")"),"Süßigkeiten werden auf dem Keks gelegt.")</f>
        <v>Süßigkeiten werden auf dem Keks gelegt.</v>
      </c>
    </row>
    <row r="35394">
      <c r="A35394" s="4" t="s">
        <v>44522</v>
      </c>
      <c r="B35394" s="4" t="s">
        <v>44529</v>
      </c>
      <c r="C35394" s="5" t="str">
        <f>IFERROR(__xludf.DUMMYFUNCTION("GOOGLETRANSLATE(B35394,""en"",""de"")"),"Der Keks wird geschnitten und auf einen Teller gelegt.")</f>
        <v>Der Keks wird geschnitten und auf einen Teller gelegt.</v>
      </c>
    </row>
    <row r="35395">
      <c r="A35395" s="4" t="s">
        <v>44522</v>
      </c>
      <c r="B35395" s="4" t="s">
        <v>44530</v>
      </c>
      <c r="C35395" s="5" t="str">
        <f>IFERROR(__xludf.DUMMYFUNCTION("GOOGLETRANSLATE(B35395,""en"",""de"")"),"Es wird gezeigt, dass eine Gabel den Keks isst.")</f>
        <v>Es wird gezeigt, dass eine Gabel den Keks isst.</v>
      </c>
    </row>
    <row r="35396">
      <c r="A35396" s="4" t="s">
        <v>44531</v>
      </c>
      <c r="B35396" s="4" t="s">
        <v>44532</v>
      </c>
      <c r="C35396" s="5" t="str">
        <f>IFERROR(__xludf.DUMMYFUNCTION("GOOGLETRANSLATE(B35396,""en"",""de"")"),"Eine Frau sitzt in einer Kabine.")</f>
        <v>Eine Frau sitzt in einer Kabine.</v>
      </c>
    </row>
    <row r="35397">
      <c r="A35397" s="4" t="s">
        <v>44531</v>
      </c>
      <c r="B35397" s="4" t="s">
        <v>44533</v>
      </c>
      <c r="C35397" s="5" t="str">
        <f>IFERROR(__xludf.DUMMYFUNCTION("GOOGLETRANSLATE(B35397,""en"",""de"")"),"Ihr kleines Mädchen schiebt eine Vanilleeiskegel ins Gesicht und lacht.")</f>
        <v>Ihr kleines Mädchen schiebt eine Vanilleeiskegel ins Gesicht und lacht.</v>
      </c>
    </row>
    <row r="35398">
      <c r="A35398" s="4" t="s">
        <v>44531</v>
      </c>
      <c r="B35398" s="4" t="s">
        <v>44534</v>
      </c>
      <c r="C35398" s="5" t="str">
        <f>IFERROR(__xludf.DUMMYFUNCTION("GOOGLETRANSLATE(B35398,""en"",""de"")"),"Das Mädchen macht es weiter und die Frau muss mehrmals Mund und Nase wischen.")</f>
        <v>Das Mädchen macht es weiter und die Frau muss mehrmals Mund und Nase wischen.</v>
      </c>
    </row>
    <row r="35399">
      <c r="A35399" s="4" t="s">
        <v>44535</v>
      </c>
      <c r="B35399" s="4" t="s">
        <v>44536</v>
      </c>
      <c r="C35399" s="5" t="str">
        <f>IFERROR(__xludf.DUMMYFUNCTION("GOOGLETRANSLATE(B35399,""en"",""de"")"),"Der Spieler dient dem Birdie, das Match zu beginnen.")</f>
        <v>Der Spieler dient dem Birdie, das Match zu beginnen.</v>
      </c>
    </row>
    <row r="35400">
      <c r="A35400" s="4" t="s">
        <v>44535</v>
      </c>
      <c r="B35400" s="4" t="s">
        <v>44537</v>
      </c>
      <c r="C35400" s="5" t="str">
        <f>IFERROR(__xludf.DUMMYFUNCTION("GOOGLETRANSLATE(B35400,""en"",""de"")"),"Zwei Teams treten in einem Badminton -Spiel im Gymnasium an.")</f>
        <v>Zwei Teams treten in einem Badminton -Spiel im Gymnasium an.</v>
      </c>
    </row>
    <row r="35401">
      <c r="A35401" s="4" t="s">
        <v>44535</v>
      </c>
      <c r="B35401" s="4" t="s">
        <v>44538</v>
      </c>
      <c r="C35401" s="5" t="str">
        <f>IFERROR(__xludf.DUMMYFUNCTION("GOOGLETRANSLATE(B35401,""en"",""de"")"),"Die Teams haben während des Spiels eine lange Salve.")</f>
        <v>Die Teams haben während des Spiels eine lange Salve.</v>
      </c>
    </row>
    <row r="35402">
      <c r="A35402" s="4" t="s">
        <v>44535</v>
      </c>
      <c r="B35402" s="4" t="s">
        <v>44539</v>
      </c>
      <c r="C35402" s="5" t="str">
        <f>IFERROR(__xludf.DUMMYFUNCTION("GOOGLETRANSLATE(B35402,""en"",""de"")"),"Der Spieler spikiert den Birdie hart und erzielt einen Punkt.")</f>
        <v>Der Spieler spikiert den Birdie hart und erzielt einen Punkt.</v>
      </c>
    </row>
    <row r="35403">
      <c r="A35403" s="4" t="s">
        <v>44540</v>
      </c>
      <c r="B35403" s="4" t="s">
        <v>44541</v>
      </c>
      <c r="C35403" s="5" t="str">
        <f>IFERROR(__xludf.DUMMYFUNCTION("GOOGLETRANSLATE(B35403,""en"",""de"")"),"Ein Sumo -Krieger hält einen Pager.")</f>
        <v>Ein Sumo -Krieger hält einen Pager.</v>
      </c>
    </row>
    <row r="35404">
      <c r="A35404" s="4" t="s">
        <v>44540</v>
      </c>
      <c r="B35404" s="4" t="s">
        <v>44542</v>
      </c>
      <c r="C35404" s="5" t="str">
        <f>IFERROR(__xludf.DUMMYFUNCTION("GOOGLETRANSLATE(B35404,""en"",""de"")"),"Ein größerer Sumo -Krieger hält einen anderen Pager.")</f>
        <v>Ein größerer Sumo -Krieger hält einen anderen Pager.</v>
      </c>
    </row>
    <row r="35405">
      <c r="A35405" s="4" t="s">
        <v>44540</v>
      </c>
      <c r="B35405" s="4" t="s">
        <v>44543</v>
      </c>
      <c r="C35405" s="5" t="str">
        <f>IFERROR(__xludf.DUMMYFUNCTION("GOOGLETRANSLATE(B35405,""en"",""de"")"),"Die Sumo -Krieger stehen vor und der größere sitzt ein und lässt den kleineren verschwinden.")</f>
        <v>Die Sumo -Krieger stehen vor und der größere sitzt ein und lässt den kleineren verschwinden.</v>
      </c>
    </row>
    <row r="35406">
      <c r="A35406" s="4" t="s">
        <v>44544</v>
      </c>
      <c r="B35406" s="4" t="s">
        <v>44545</v>
      </c>
      <c r="C35406" s="5" t="str">
        <f>IFERROR(__xludf.DUMMYFUNCTION("GOOGLETRANSLATE(B35406,""en"",""de"")"),"Eine Kamera schwenkt um ein Bild eines Pferdes, gefolgt von einer Person, die Haare von einem Pferd streift und staubsaugert.")</f>
        <v>Eine Kamera schwenkt um ein Bild eines Pferdes, gefolgt von einer Person, die Haare von einem Pferd streift und staubsaugert.</v>
      </c>
    </row>
    <row r="35407">
      <c r="A35407" s="4" t="s">
        <v>44544</v>
      </c>
      <c r="B35407" s="4" t="s">
        <v>44546</v>
      </c>
      <c r="C35407" s="5" t="str">
        <f>IFERROR(__xludf.DUMMYFUNCTION("GOOGLETRANSLATE(B35407,""en"",""de"")"),"Die Person bürstet und saugte das Haar weiter und endet mit dem Bild der beiden zusammen.")</f>
        <v>Die Person bürstet und saugte das Haar weiter und endet mit dem Bild der beiden zusammen.</v>
      </c>
    </row>
    <row r="35408">
      <c r="A35408" s="4" t="s">
        <v>44547</v>
      </c>
      <c r="B35408" s="4" t="s">
        <v>44548</v>
      </c>
      <c r="C35408" s="5" t="str">
        <f>IFERROR(__xludf.DUMMYFUNCTION("GOOGLETRANSLATE(B35408,""en"",""de"")"),"Ein Mann und eine Frau sitzen vor einem Klavier, der es zusammen spielt.")</f>
        <v>Ein Mann und eine Frau sitzen vor einem Klavier, der es zusammen spielt.</v>
      </c>
    </row>
    <row r="35409">
      <c r="A35409" s="4" t="s">
        <v>44547</v>
      </c>
      <c r="B35409" s="4" t="s">
        <v>44549</v>
      </c>
      <c r="C35409" s="5" t="str">
        <f>IFERROR(__xludf.DUMMYFUNCTION("GOOGLETRANSLATE(B35409,""en"",""de"")"),"Die Leute sind am Klavier versammelt und beobachten die Leute, die auf dem Klavier sitzen.")</f>
        <v>Die Leute sind am Klavier versammelt und beobachten die Leute, die auf dem Klavier sitzen.</v>
      </c>
    </row>
    <row r="35410">
      <c r="A35410" s="4" t="s">
        <v>44547</v>
      </c>
      <c r="B35410" s="4" t="s">
        <v>44550</v>
      </c>
      <c r="C35410" s="5" t="str">
        <f>IFERROR(__xludf.DUMMYFUNCTION("GOOGLETRANSLATE(B35410,""en"",""de"")"),"Menschen auf dem Klavier stehen und verändern die Position in Fornt of the Piano.")</f>
        <v>Menschen auf dem Klavier stehen und verändern die Position in Fornt of the Piano.</v>
      </c>
    </row>
    <row r="35411">
      <c r="A35411" s="4" t="s">
        <v>44551</v>
      </c>
      <c r="B35411" s="4" t="s">
        <v>44552</v>
      </c>
      <c r="C35411" s="5" t="str">
        <f>IFERROR(__xludf.DUMMYFUNCTION("GOOGLETRANSLATE(B35411,""en"",""de"")"),"Ein Mann, der in der Winterausrüstung gekleidet ist, sitzt im Winter auf einem gefrorenen See.")</f>
        <v>Ein Mann, der in der Winterausrüstung gekleidet ist, sitzt im Winter auf einem gefrorenen See.</v>
      </c>
    </row>
    <row r="35412">
      <c r="A35412" s="4" t="s">
        <v>44551</v>
      </c>
      <c r="B35412" s="4" t="s">
        <v>44553</v>
      </c>
      <c r="C35412" s="5" t="str">
        <f>IFERROR(__xludf.DUMMYFUNCTION("GOOGLETRANSLATE(B35412,""en"",""de"")"),"Er sitzt dort mit Angelausrüstung, die auf dem gefrorenen See fischt.")</f>
        <v>Er sitzt dort mit Angelausrüstung, die auf dem gefrorenen See fischt.</v>
      </c>
    </row>
    <row r="35413">
      <c r="A35413" s="4" t="s">
        <v>44551</v>
      </c>
      <c r="B35413" s="4" t="s">
        <v>44554</v>
      </c>
      <c r="C35413" s="5" t="str">
        <f>IFERROR(__xludf.DUMMYFUNCTION("GOOGLETRANSLATE(B35413,""en"",""de"")"),"Er benutzt einen Köder, um einen grauen Fisch mit mittlerer Größe zu fischen.")</f>
        <v>Er benutzt einen Köder, um einen grauen Fisch mit mittlerer Größe zu fischen.</v>
      </c>
    </row>
    <row r="35414">
      <c r="A35414" s="4" t="s">
        <v>44551</v>
      </c>
      <c r="B35414" s="4" t="s">
        <v>44555</v>
      </c>
      <c r="C35414" s="5" t="str">
        <f>IFERROR(__xludf.DUMMYFUNCTION("GOOGLETRANSLATE(B35414,""en"",""de"")"),"Er zeigt die beiden Fische, die er gefangen hat.")</f>
        <v>Er zeigt die beiden Fische, die er gefangen hat.</v>
      </c>
    </row>
    <row r="35415">
      <c r="A35415" s="4" t="s">
        <v>44551</v>
      </c>
      <c r="B35415" s="4" t="s">
        <v>44556</v>
      </c>
      <c r="C35415" s="5" t="str">
        <f>IFERROR(__xludf.DUMMYFUNCTION("GOOGLETRANSLATE(B35415,""en"",""de"")"),"Dann steckt er sein Fischereietz in ein Loch im See und fischt weiter.")</f>
        <v>Dann steckt er sein Fischereietz in ein Loch im See und fischt weiter.</v>
      </c>
    </row>
    <row r="35416">
      <c r="A35416" s="4" t="s">
        <v>44551</v>
      </c>
      <c r="B35416" s="4" t="s">
        <v>44557</v>
      </c>
      <c r="C35416" s="5" t="str">
        <f>IFERROR(__xludf.DUMMYFUNCTION("GOOGLETRANSLATE(B35416,""en"",""de"")"),"Er fängt einen weiteren dunkelgrauen Fisch und wirft ihn in seine Schachtel.")</f>
        <v>Er fängt einen weiteren dunkelgrauen Fisch und wirft ihn in seine Schachtel.</v>
      </c>
    </row>
    <row r="35417">
      <c r="A35417" s="4" t="s">
        <v>44551</v>
      </c>
      <c r="B35417" s="4" t="s">
        <v>44558</v>
      </c>
      <c r="C35417" s="5" t="str">
        <f>IFERROR(__xludf.DUMMYFUNCTION("GOOGLETRANSLATE(B35417,""en"",""de"")"),"Er fischt weiter und fängt mehr Fische in demselben Loch.")</f>
        <v>Er fischt weiter und fängt mehr Fische in demselben Loch.</v>
      </c>
    </row>
    <row r="35418">
      <c r="A35418" s="4" t="s">
        <v>44551</v>
      </c>
      <c r="B35418" s="4" t="s">
        <v>44559</v>
      </c>
      <c r="C35418" s="5" t="str">
        <f>IFERROR(__xludf.DUMMYFUNCTION("GOOGLETRANSLATE(B35418,""en"",""de"")"),"Er sammelt den Fisch in einem weißen Eimer.")</f>
        <v>Er sammelt den Fisch in einem weißen Eimer.</v>
      </c>
    </row>
    <row r="35419">
      <c r="A35419" s="4" t="s">
        <v>44560</v>
      </c>
      <c r="B35419" s="4" t="s">
        <v>44561</v>
      </c>
      <c r="C35419" s="5" t="str">
        <f>IFERROR(__xludf.DUMMYFUNCTION("GOOGLETRANSLATE(B35419,""en"",""de"")"),"Eine Frau steht auf einer Strecke.")</f>
        <v>Eine Frau steht auf einer Strecke.</v>
      </c>
    </row>
    <row r="35420">
      <c r="A35420" s="4" t="s">
        <v>44560</v>
      </c>
      <c r="B35420" s="4" t="s">
        <v>44562</v>
      </c>
      <c r="C35420" s="5" t="str">
        <f>IFERROR(__xludf.DUMMYFUNCTION("GOOGLETRANSLATE(B35420,""en"",""de"")"),"Sie beugt sich auf der Strecke.")</f>
        <v>Sie beugt sich auf der Strecke.</v>
      </c>
    </row>
    <row r="35421">
      <c r="A35421" s="4" t="s">
        <v>44560</v>
      </c>
      <c r="B35421" s="4" t="s">
        <v>44563</v>
      </c>
      <c r="C35421" s="5" t="str">
        <f>IFERROR(__xludf.DUMMYFUNCTION("GOOGLETRANSLATE(B35421,""en"",""de"")"),"Sie rennt dann die Strecke hinunter.")</f>
        <v>Sie rennt dann die Strecke hinunter.</v>
      </c>
    </row>
    <row r="35422">
      <c r="A35422" s="4" t="s">
        <v>44560</v>
      </c>
      <c r="B35422" s="4" t="s">
        <v>44564</v>
      </c>
      <c r="C35422" s="5" t="str">
        <f>IFERROR(__xludf.DUMMYFUNCTION("GOOGLETRANSLATE(B35422,""en"",""de"")"),"Sie springt und landet im Sand.")</f>
        <v>Sie springt und landet im Sand.</v>
      </c>
    </row>
    <row r="35423">
      <c r="A35423" s="4" t="s">
        <v>44565</v>
      </c>
      <c r="B35423" s="4" t="s">
        <v>44566</v>
      </c>
      <c r="C35423" s="5" t="str">
        <f>IFERROR(__xludf.DUMMYFUNCTION("GOOGLETRANSLATE(B35423,""en"",""de"")"),"Ein Mann sitzt auf einem Wellenläufer im Wasser.")</f>
        <v>Ein Mann sitzt auf einem Wellenläufer im Wasser.</v>
      </c>
    </row>
    <row r="35424">
      <c r="A35424" s="4" t="s">
        <v>44565</v>
      </c>
      <c r="B35424" s="4" t="s">
        <v>44567</v>
      </c>
      <c r="C35424" s="5" t="str">
        <f>IFERROR(__xludf.DUMMYFUNCTION("GOOGLETRANSLATE(B35424,""en"",""de"")"),"Eine Person surft auf einer großen Welle im Wasser.")</f>
        <v>Eine Person surft auf einer großen Welle im Wasser.</v>
      </c>
    </row>
    <row r="35425">
      <c r="A35425" s="4" t="s">
        <v>44565</v>
      </c>
      <c r="B35425" s="4" t="s">
        <v>44568</v>
      </c>
      <c r="C35425" s="5" t="str">
        <f>IFERROR(__xludf.DUMMYFUNCTION("GOOGLETRANSLATE(B35425,""en"",""de"")"),"Die Welle stürzt über den Surfer ab.")</f>
        <v>Die Welle stürzt über den Surfer ab.</v>
      </c>
    </row>
    <row r="35426">
      <c r="A35426" s="4" t="s">
        <v>44569</v>
      </c>
      <c r="B35426" s="4" t="s">
        <v>44570</v>
      </c>
      <c r="C35426" s="5" t="str">
        <f>IFERROR(__xludf.DUMMYFUNCTION("GOOGLETRANSLATE(B35426,""en"",""de"")"),"Eine Frau und ein Mann, der provokativ außerhalb eines Restaurants tanzt.")</f>
        <v>Eine Frau und ein Mann, der provokativ außerhalb eines Restaurants tanzt.</v>
      </c>
    </row>
    <row r="35427">
      <c r="A35427" s="4" t="s">
        <v>44569</v>
      </c>
      <c r="B35427" s="4" t="s">
        <v>44571</v>
      </c>
      <c r="C35427" s="5" t="str">
        <f>IFERROR(__xludf.DUMMYFUNCTION("GOOGLETRANSLATE(B35427,""en"",""de"")"),"Sie trägt ein sehr sexy Kleid und tritt ihre Beine in Fersen auf und ab.")</f>
        <v>Sie trägt ein sehr sexy Kleid und tritt ihre Beine in Fersen auf und ab.</v>
      </c>
    </row>
    <row r="35428">
      <c r="A35428" s="4" t="s">
        <v>44569</v>
      </c>
      <c r="B35428" s="4" t="s">
        <v>44572</v>
      </c>
      <c r="C35428" s="5" t="str">
        <f>IFERROR(__xludf.DUMMYFUNCTION("GOOGLETRANSLATE(B35428,""en"",""de"")"),"Die Leute gehen das Restaurant aus.")</f>
        <v>Die Leute gehen das Restaurant aus.</v>
      </c>
    </row>
    <row r="35429">
      <c r="A35429" s="4" t="s">
        <v>44569</v>
      </c>
      <c r="B35429" s="4" t="s">
        <v>44573</v>
      </c>
      <c r="C35429" s="5" t="str">
        <f>IFERROR(__xludf.DUMMYFUNCTION("GOOGLETRANSLATE(B35429,""en"",""de"")"),"Einer der Arbeiter sitzt auf einem Hocker, der raucht, bis sie ihren Tanz auf dem Boden beenden.")</f>
        <v>Einer der Arbeiter sitzt auf einem Hocker, der raucht, bis sie ihren Tanz auf dem Boden beenden.</v>
      </c>
    </row>
    <row r="35430">
      <c r="A35430" s="4" t="s">
        <v>44574</v>
      </c>
      <c r="B35430" s="4" t="s">
        <v>44575</v>
      </c>
      <c r="C35430" s="5" t="str">
        <f>IFERROR(__xludf.DUMMYFUNCTION("GOOGLETRANSLATE(B35430,""en"",""de"")"),"Mehrere Personen treffen ein Instrument mit Stöcken.")</f>
        <v>Mehrere Personen treffen ein Instrument mit Stöcken.</v>
      </c>
    </row>
    <row r="35431">
      <c r="A35431" s="4" t="s">
        <v>44574</v>
      </c>
      <c r="B35431" s="4" t="s">
        <v>44576</v>
      </c>
      <c r="C35431" s="5" t="str">
        <f>IFERROR(__xludf.DUMMYFUNCTION("GOOGLETRANSLATE(B35431,""en"",""de"")"),"Zwei Männer fließen voreinander.")</f>
        <v>Zwei Männer fließen voreinander.</v>
      </c>
    </row>
    <row r="35432">
      <c r="A35432" s="4" t="s">
        <v>44574</v>
      </c>
      <c r="B35432" s="4" t="s">
        <v>44577</v>
      </c>
      <c r="C35432" s="5" t="str">
        <f>IFERROR(__xludf.DUMMYFUNCTION("GOOGLETRANSLATE(B35432,""en"",""de"")"),"Mehrere weitere Gruppen von Menschen scheinen eine Art Kampfkunsttanz zu machen.")</f>
        <v>Mehrere weitere Gruppen von Menschen scheinen eine Art Kampfkunsttanz zu machen.</v>
      </c>
    </row>
    <row r="35433">
      <c r="A35433" s="4" t="s">
        <v>44574</v>
      </c>
      <c r="B35433" s="4" t="s">
        <v>44578</v>
      </c>
      <c r="C35433" s="5" t="str">
        <f>IFERROR(__xludf.DUMMYFUNCTION("GOOGLETRANSLATE(B35433,""en"",""de"")"),"Sie werden durch Klatschen der Zuschauer aufgegeben.")</f>
        <v>Sie werden durch Klatschen der Zuschauer aufgegeben.</v>
      </c>
    </row>
    <row r="35434">
      <c r="A35434" s="4" t="s">
        <v>44579</v>
      </c>
      <c r="B35434" s="4" t="s">
        <v>44580</v>
      </c>
      <c r="C35434" s="5" t="str">
        <f>IFERROR(__xludf.DUMMYFUNCTION("GOOGLETRANSLATE(B35434,""en"",""de"")"),"Ein Mann steht vor einem Tor, das einen Stock hält und mit der Kamera spricht.")</f>
        <v>Ein Mann steht vor einem Tor, das einen Stock hält und mit der Kamera spricht.</v>
      </c>
    </row>
    <row r="35435">
      <c r="A35435" s="4" t="s">
        <v>44579</v>
      </c>
      <c r="B35435" s="4" t="s">
        <v>44581</v>
      </c>
      <c r="C35435" s="5" t="str">
        <f>IFERROR(__xludf.DUMMYFUNCTION("GOOGLETRANSLATE(B35435,""en"",""de"")"),"Es werden mehrere Aufnahmen von ihm sprechen und er zeigt, wie man ein Torwart ist.")</f>
        <v>Es werden mehrere Aufnahmen von ihm sprechen und er zeigt, wie man ein Torwart ist.</v>
      </c>
    </row>
    <row r="35436">
      <c r="A35436" s="4" t="s">
        <v>44579</v>
      </c>
      <c r="B35436" s="4" t="s">
        <v>44582</v>
      </c>
      <c r="C35436" s="5" t="str">
        <f>IFERROR(__xludf.DUMMYFUNCTION("GOOGLETRANSLATE(B35436,""en"",""de"")"),"Er bewegt sich ein wenig zurück und vierten, während er den Stock bewegt, während er trotzdem seine Arme hochhält und mit der Kamera spricht.")</f>
        <v>Er bewegt sich ein wenig zurück und vierten, während er den Stock bewegt, während er trotzdem seine Arme hochhält und mit der Kamera spricht.</v>
      </c>
    </row>
    <row r="35437">
      <c r="A35437" s="4" t="s">
        <v>44583</v>
      </c>
      <c r="B35437" s="4" t="s">
        <v>44584</v>
      </c>
      <c r="C35437" s="5" t="str">
        <f>IFERROR(__xludf.DUMMYFUNCTION("GOOGLETRANSLATE(B35437,""en"",""de"")"),"Ein kleiner Junge spielt Hop Scotch auf dem Bürgersteig.")</f>
        <v>Ein kleiner Junge spielt Hop Scotch auf dem Bürgersteig.</v>
      </c>
    </row>
    <row r="35438">
      <c r="A35438" s="4" t="s">
        <v>44583</v>
      </c>
      <c r="B35438" s="4" t="s">
        <v>44585</v>
      </c>
      <c r="C35438" s="5" t="str">
        <f>IFERROR(__xludf.DUMMYFUNCTION("GOOGLETRANSLATE(B35438,""en"",""de"")"),"Es gibt einen Lastwagen hinter ihm.")</f>
        <v>Es gibt einen Lastwagen hinter ihm.</v>
      </c>
    </row>
    <row r="35439">
      <c r="A35439" s="4" t="s">
        <v>44583</v>
      </c>
      <c r="B35439" s="4" t="s">
        <v>44586</v>
      </c>
      <c r="C35439" s="5" t="str">
        <f>IFERROR(__xludf.DUMMYFUNCTION("GOOGLETRANSLATE(B35439,""en"",""de"")"),"Er spielt es nicht wirklich richtig.")</f>
        <v>Er spielt es nicht wirklich richtig.</v>
      </c>
    </row>
    <row r="35440">
      <c r="A35440" s="4" t="s">
        <v>44583</v>
      </c>
      <c r="B35440" s="4" t="s">
        <v>44587</v>
      </c>
      <c r="C35440" s="5" t="str">
        <f>IFERROR(__xludf.DUMMYFUNCTION("GOOGLETRANSLATE(B35440,""en"",""de"")"),"Er springt auf alle Zahlen.")</f>
        <v>Er springt auf alle Zahlen.</v>
      </c>
    </row>
    <row r="35441">
      <c r="A35441" s="4" t="s">
        <v>44583</v>
      </c>
      <c r="B35441" s="4" t="s">
        <v>44588</v>
      </c>
      <c r="C35441" s="5" t="str">
        <f>IFERROR(__xludf.DUMMYFUNCTION("GOOGLETRANSLATE(B35441,""en"",""de"")"),"Er durchläuft das Spiel.")</f>
        <v>Er durchläuft das Spiel.</v>
      </c>
    </row>
    <row r="35442">
      <c r="A35442" s="4" t="s">
        <v>44589</v>
      </c>
      <c r="B35442" s="4" t="s">
        <v>44590</v>
      </c>
      <c r="C35442" s="5" t="str">
        <f>IFERROR(__xludf.DUMMYFUNCTION("GOOGLETRANSLATE(B35442,""en"",""de"")"),"Ein Athlet steht bereit, einen Speer zu halten und ihn in die Ferne zu werfen.")</f>
        <v>Ein Athlet steht bereit, einen Speer zu halten und ihn in die Ferne zu werfen.</v>
      </c>
    </row>
    <row r="35443">
      <c r="A35443" s="4" t="s">
        <v>44589</v>
      </c>
      <c r="B35443" s="4" t="s">
        <v>44591</v>
      </c>
      <c r="C35443" s="5" t="str">
        <f>IFERROR(__xludf.DUMMYFUNCTION("GOOGLETRANSLATE(B35443,""en"",""de"")"),"Mehrere weitere Menschen werfen einen Speer mit, wobei ihr Wurf danach wieder gezeigt wird.")</f>
        <v>Mehrere weitere Menschen werfen einen Speer mit, wobei ihr Wurf danach wieder gezeigt wird.</v>
      </c>
    </row>
    <row r="35444">
      <c r="A35444" s="4" t="s">
        <v>44589</v>
      </c>
      <c r="B35444" s="4" t="s">
        <v>44592</v>
      </c>
      <c r="C35444" s="5" t="str">
        <f>IFERROR(__xludf.DUMMYFUNCTION("GOOGLETRANSLATE(B35444,""en"",""de"")"),"Die Kamera schwenkt am Ende um die Frau und zeigt ihre Punktzahl.")</f>
        <v>Die Kamera schwenkt am Ende um die Frau und zeigt ihre Punktzahl.</v>
      </c>
    </row>
    <row r="35445">
      <c r="A35445" s="4" t="s">
        <v>44593</v>
      </c>
      <c r="B35445" s="4" t="s">
        <v>44594</v>
      </c>
      <c r="C35445" s="5" t="str">
        <f>IFERROR(__xludf.DUMMYFUNCTION("GOOGLETRANSLATE(B35445,""en"",""de"")"),"Ein Mann spricht über das Coaching -Gymnastik.")</f>
        <v>Ein Mann spricht über das Coaching -Gymnastik.</v>
      </c>
    </row>
    <row r="35446">
      <c r="A35446" s="4" t="s">
        <v>44593</v>
      </c>
      <c r="B35446" s="4" t="s">
        <v>44595</v>
      </c>
      <c r="C35446" s="5" t="str">
        <f>IFERROR(__xludf.DUMMYFUNCTION("GOOGLETRANSLATE(B35446,""en"",""de"")"),"Ein Mädchen beginnt eine Routine auf den ungleichmäßigen Bars.")</f>
        <v>Ein Mädchen beginnt eine Routine auf den ungleichmäßigen Bars.</v>
      </c>
    </row>
    <row r="35447">
      <c r="A35447" s="4" t="s">
        <v>44596</v>
      </c>
      <c r="B35447" s="4" t="s">
        <v>44597</v>
      </c>
      <c r="C35447" s="5" t="str">
        <f>IFERROR(__xludf.DUMMYFUNCTION("GOOGLETRANSLATE(B35447,""en"",""de"")"),"Ein Mann kniet auf dem Boden und spricht mit der Kamera.")</f>
        <v>Ein Mann kniet auf dem Boden und spricht mit der Kamera.</v>
      </c>
    </row>
    <row r="35448">
      <c r="A35448" s="4" t="s">
        <v>44596</v>
      </c>
      <c r="B35448" s="4" t="s">
        <v>44598</v>
      </c>
      <c r="C35448" s="5" t="str">
        <f>IFERROR(__xludf.DUMMYFUNCTION("GOOGLETRANSLATE(B35448,""en"",""de"")"),"Der Mann dreht sich dann um und macht Beinübungen.")</f>
        <v>Der Mann dreht sich dann um und macht Beinübungen.</v>
      </c>
    </row>
    <row r="35449">
      <c r="A35449" s="4" t="s">
        <v>44596</v>
      </c>
      <c r="B35449" s="4" t="s">
        <v>44599</v>
      </c>
      <c r="C35449" s="5" t="str">
        <f>IFERROR(__xludf.DUMMYFUNCTION("GOOGLETRANSLATE(B35449,""en"",""de"")"),"Sein Körper bewegt seinen Körper rundum und demonstriert die richtigen Übungen, während er immer noch hinübersieht und mit der Kamera spricht.")</f>
        <v>Sein Körper bewegt seinen Körper rundum und demonstriert die richtigen Übungen, während er immer noch hinübersieht und mit der Kamera spricht.</v>
      </c>
    </row>
    <row r="35450">
      <c r="A35450" s="4" t="s">
        <v>44600</v>
      </c>
      <c r="B35450" s="4" t="s">
        <v>44601</v>
      </c>
      <c r="C35450" s="5" t="str">
        <f>IFERROR(__xludf.DUMMYFUNCTION("GOOGLETRANSLATE(B35450,""en"",""de"")"),"Ein Mann stellt eine Kamera in einer Bar ein.")</f>
        <v>Ein Mann stellt eine Kamera in einer Bar ein.</v>
      </c>
    </row>
    <row r="35451">
      <c r="A35451" s="4" t="s">
        <v>44600</v>
      </c>
      <c r="B35451" s="4" t="s">
        <v>44602</v>
      </c>
      <c r="C35451" s="5" t="str">
        <f>IFERROR(__xludf.DUMMYFUNCTION("GOOGLETRANSLATE(B35451,""en"",""de"")"),"Der Mann spricht dann mit der Kamera.")</f>
        <v>Der Mann spricht dann mit der Kamera.</v>
      </c>
    </row>
    <row r="35452">
      <c r="A35452" s="4" t="s">
        <v>44600</v>
      </c>
      <c r="B35452" s="4" t="s">
        <v>44603</v>
      </c>
      <c r="C35452" s="5" t="str">
        <f>IFERROR(__xludf.DUMMYFUNCTION("GOOGLETRANSLATE(B35452,""en"",""de"")"),"Der Mann schießt allein den Pool.")</f>
        <v>Der Mann schießt allein den Pool.</v>
      </c>
    </row>
    <row r="35453">
      <c r="A35453" s="4" t="s">
        <v>44600</v>
      </c>
      <c r="B35453" s="4" t="s">
        <v>44604</v>
      </c>
      <c r="C35453" s="5" t="str">
        <f>IFERROR(__xludf.DUMMYFUNCTION("GOOGLETRANSLATE(B35453,""en"",""de"")"),"Der bärtige Mann geht am Tisch vorbei.")</f>
        <v>Der bärtige Mann geht am Tisch vorbei.</v>
      </c>
    </row>
    <row r="35454">
      <c r="A35454" s="4" t="s">
        <v>44600</v>
      </c>
      <c r="B35454" s="4" t="s">
        <v>44605</v>
      </c>
      <c r="C35454" s="5" t="str">
        <f>IFERROR(__xludf.DUMMYFUNCTION("GOOGLETRANSLATE(B35454,""en"",""de"")"),"Der Mann endet und spricht mit der Kamera, bevor er sie ausschaltet.")</f>
        <v>Der Mann endet und spricht mit der Kamera, bevor er sie ausschaltet.</v>
      </c>
    </row>
    <row r="35455">
      <c r="A35455" s="4" t="s">
        <v>44606</v>
      </c>
      <c r="B35455" s="4" t="s">
        <v>44607</v>
      </c>
      <c r="C35455" s="5" t="str">
        <f>IFERROR(__xludf.DUMMYFUNCTION("GOOGLETRANSLATE(B35455,""en"",""de"")"),"Eine Person gießt Wasser in eine Tasse.")</f>
        <v>Eine Person gießt Wasser in eine Tasse.</v>
      </c>
    </row>
    <row r="35456">
      <c r="A35456" s="4" t="s">
        <v>44606</v>
      </c>
      <c r="B35456" s="4" t="s">
        <v>44608</v>
      </c>
      <c r="C35456" s="5" t="str">
        <f>IFERROR(__xludf.DUMMYFUNCTION("GOOGLETRANSLATE(B35456,""en"",""de"")"),"Eine Frau spricht in einer Bar, die Spirituosenflaschen zeigt.")</f>
        <v>Eine Frau spricht in einer Bar, die Spirituosenflaschen zeigt.</v>
      </c>
    </row>
    <row r="35457">
      <c r="A35457" s="4" t="s">
        <v>44606</v>
      </c>
      <c r="B35457" s="4" t="s">
        <v>44609</v>
      </c>
      <c r="C35457" s="5" t="str">
        <f>IFERROR(__xludf.DUMMYFUNCTION("GOOGLETRANSLATE(B35457,""en"",""de"")"),"Dann steckte die Frau Eis in ein Glas, dann fügt sie Flüssigkeiten aus drei Flaschen hinzu.")</f>
        <v>Dann steckte die Frau Eis in ein Glas, dann fügt sie Flüssigkeiten aus drei Flaschen hinzu.</v>
      </c>
    </row>
    <row r="35458">
      <c r="A35458" s="4" t="s">
        <v>44606</v>
      </c>
      <c r="B35458" s="4" t="s">
        <v>44610</v>
      </c>
      <c r="C35458" s="5" t="str">
        <f>IFERROR(__xludf.DUMMYFUNCTION("GOOGLETRANSLATE(B35458,""en"",""de"")"),"Danach fügt die Frau Soda hinzu und legte einen Strohhalm.")</f>
        <v>Danach fügt die Frau Soda hinzu und legte einen Strohhalm.</v>
      </c>
    </row>
    <row r="35459">
      <c r="A35459" s="4" t="s">
        <v>44611</v>
      </c>
      <c r="B35459" s="4" t="s">
        <v>44612</v>
      </c>
      <c r="C35459" s="5" t="str">
        <f>IFERROR(__xludf.DUMMYFUNCTION("GOOGLETRANSLATE(B35459,""en"",""de"")"),"Ein Taucher befindet sich im Meer in den Schlüssel Floridas, er hat einen Kürbis in der Hand.")</f>
        <v>Ein Taucher befindet sich im Meer in den Schlüssel Floridas, er hat einen Kürbis in der Hand.</v>
      </c>
    </row>
    <row r="35460">
      <c r="A35460" s="4" t="s">
        <v>44611</v>
      </c>
      <c r="B35460" s="4" t="s">
        <v>44613</v>
      </c>
      <c r="C35460" s="5" t="str">
        <f>IFERROR(__xludf.DUMMYFUNCTION("GOOGLETRANSLATE(B35460,""en"",""de"")"),"Er geht mit einem weiteren Taucher hinunter und sie fangen an, die Kürbisse unter dem Wasser zu schnitzen.")</f>
        <v>Er geht mit einem weiteren Taucher hinunter und sie fangen an, die Kürbisse unter dem Wasser zu schnitzen.</v>
      </c>
    </row>
    <row r="35461">
      <c r="A35461" s="4" t="s">
        <v>44611</v>
      </c>
      <c r="B35461" s="4" t="s">
        <v>44614</v>
      </c>
      <c r="C35461" s="5" t="str">
        <f>IFERROR(__xludf.DUMMYFUNCTION("GOOGLETRANSLATE(B35461,""en"",""de"")"),"Sie sehnen sich nach fünf oder sechs von ihnen, die unterschiedliche Gesichter machen.")</f>
        <v>Sie sehnen sich nach fünf oder sechs von ihnen, die unterschiedliche Gesichter machen.</v>
      </c>
    </row>
    <row r="35462">
      <c r="A35462" s="4" t="s">
        <v>44611</v>
      </c>
      <c r="B35462" s="4" t="s">
        <v>44615</v>
      </c>
      <c r="C35462" s="5" t="str">
        <f>IFERROR(__xludf.DUMMYFUNCTION("GOOGLETRANSLATE(B35462,""en"",""de"")"),"Dann richten sie sie aus und legen etwas Licht hinein oder etwas, während Fische beiläufig um sie herum schwimmen.")</f>
        <v>Dann richten sie sie aus und legen etwas Licht hinein oder etwas, während Fische beiläufig um sie herum schwimmen.</v>
      </c>
    </row>
    <row r="35463">
      <c r="A35463" s="4" t="s">
        <v>44616</v>
      </c>
      <c r="B35463" s="4" t="s">
        <v>44617</v>
      </c>
      <c r="C35463" s="5" t="str">
        <f>IFERROR(__xludf.DUMMYFUNCTION("GOOGLETRANSLATE(B35463,""en"",""de"")"),"Die Hände einer Person halten eine Rube und drehen sie herum.")</f>
        <v>Die Hände einer Person halten eine Rube und drehen sie herum.</v>
      </c>
    </row>
    <row r="35464">
      <c r="A35464" s="4" t="s">
        <v>44616</v>
      </c>
      <c r="B35464" s="4" t="s">
        <v>44618</v>
      </c>
      <c r="C35464" s="5" t="str">
        <f>IFERROR(__xludf.DUMMYFUNCTION("GOOGLETRANSLATE(B35464,""en"",""de"")"),"Die Person dreht den Würfel über ihre Seiten, während sie versucht, das Rätsel zu lösen.")</f>
        <v>Die Person dreht den Würfel über ihre Seiten, während sie versucht, das Rätsel zu lösen.</v>
      </c>
    </row>
    <row r="35465">
      <c r="A35465" s="4" t="s">
        <v>44616</v>
      </c>
      <c r="B35465" s="4" t="s">
        <v>44619</v>
      </c>
      <c r="C35465" s="5" t="str">
        <f>IFERROR(__xludf.DUMMYFUNCTION("GOOGLETRANSLATE(B35465,""en"",""de"")"),"Der Mann verbindet alle Seiten und zeigt es mit der Kamera.")</f>
        <v>Der Mann verbindet alle Seiten und zeigt es mit der Kamera.</v>
      </c>
    </row>
    <row r="35466">
      <c r="A35466" s="4" t="s">
        <v>44620</v>
      </c>
      <c r="B35466" s="4" t="s">
        <v>44621</v>
      </c>
      <c r="C35466" s="5" t="str">
        <f>IFERROR(__xludf.DUMMYFUNCTION("GOOGLETRANSLATE(B35466,""en"",""de"")"),"Eine Nahaufnahme eines Fooseball -Tisches wird von Menschen gesehen, die sich an den Seiten festhalten.")</f>
        <v>Eine Nahaufnahme eines Fooseball -Tisches wird von Menschen gesehen, die sich an den Seiten festhalten.</v>
      </c>
    </row>
    <row r="35467">
      <c r="A35467" s="4" t="s">
        <v>44620</v>
      </c>
      <c r="B35467" s="4" t="s">
        <v>44622</v>
      </c>
      <c r="C35467" s="5" t="str">
        <f>IFERROR(__xludf.DUMMYFUNCTION("GOOGLETRANSLATE(B35467,""en"",""de"")"),"Die Leute spielen das Spiel zurück und vierten, während die Kamera ihre Bewegungen einfängt.")</f>
        <v>Die Leute spielen das Spiel zurück und vierten, während die Kamera ihre Bewegungen einfängt.</v>
      </c>
    </row>
    <row r="35468">
      <c r="A35468" s="4" t="s">
        <v>44620</v>
      </c>
      <c r="B35468" s="4" t="s">
        <v>44623</v>
      </c>
      <c r="C35468" s="5" t="str">
        <f>IFERROR(__xludf.DUMMYFUNCTION("GOOGLETRANSLATE(B35468,""en"",""de"")"),"Die Männer spielen weiter auf dem Tisch und das Video verblasst zu Weiß.")</f>
        <v>Die Männer spielen weiter auf dem Tisch und das Video verblasst zu Weiß.</v>
      </c>
    </row>
    <row r="35469">
      <c r="A35469" s="4" t="s">
        <v>44624</v>
      </c>
      <c r="B35469" s="4" t="s">
        <v>44625</v>
      </c>
      <c r="C35469" s="5" t="str">
        <f>IFERROR(__xludf.DUMMYFUNCTION("GOOGLETRANSLATE(B35469,""en"",""de"")"),"Ein Mann und eine Frau stehen an der Theke einer Küche.")</f>
        <v>Ein Mann und eine Frau stehen an der Theke einer Küche.</v>
      </c>
    </row>
    <row r="35470">
      <c r="A35470" s="4" t="s">
        <v>44624</v>
      </c>
      <c r="B35470" s="4" t="s">
        <v>44626</v>
      </c>
      <c r="C35470" s="5" t="str">
        <f>IFERROR(__xludf.DUMMYFUNCTION("GOOGLETRANSLATE(B35470,""en"",""de"")"),"Sie gießen Zutaten in eine große Schüssel und mischen sie zusammen.")</f>
        <v>Sie gießen Zutaten in eine große Schüssel und mischen sie zusammen.</v>
      </c>
    </row>
    <row r="35471">
      <c r="A35471" s="4" t="s">
        <v>44624</v>
      </c>
      <c r="B35471" s="4" t="s">
        <v>44627</v>
      </c>
      <c r="C35471" s="5" t="str">
        <f>IFERROR(__xludf.DUMMYFUNCTION("GOOGLETRANSLATE(B35471,""en"",""de"")"),"Sie gießen die Mischung in zwei runde Pfannen.")</f>
        <v>Sie gießen die Mischung in zwei runde Pfannen.</v>
      </c>
    </row>
    <row r="35472">
      <c r="A35472" s="4" t="s">
        <v>44624</v>
      </c>
      <c r="B35472" s="4" t="s">
        <v>44628</v>
      </c>
      <c r="C35472" s="5" t="str">
        <f>IFERROR(__xludf.DUMMYFUNCTION("GOOGLETRANSLATE(B35472,""en"",""de"")"),"Sie nehmen dann die Kuchen und stapeln sie zusammen mit Zuckerguss dazwischen.")</f>
        <v>Sie nehmen dann die Kuchen und stapeln sie zusammen mit Zuckerguss dazwischen.</v>
      </c>
    </row>
    <row r="35473">
      <c r="A35473" s="4" t="s">
        <v>44624</v>
      </c>
      <c r="B35473" s="4" t="s">
        <v>44629</v>
      </c>
      <c r="C35473" s="5" t="str">
        <f>IFERROR(__xludf.DUMMYFUNCTION("GOOGLETRANSLATE(B35473,""en"",""de"")"),"Sie essen den Kuchen am Ende.")</f>
        <v>Sie essen den Kuchen am Ende.</v>
      </c>
    </row>
    <row r="35474">
      <c r="A35474" s="4" t="s">
        <v>44630</v>
      </c>
      <c r="B35474" s="4" t="s">
        <v>44631</v>
      </c>
      <c r="C35474" s="5" t="str">
        <f>IFERROR(__xludf.DUMMYFUNCTION("GOOGLETRANSLATE(B35474,""en"",""de"")"),"Ein junger Mann spielt Schlagzeug auf einer Bühne mit Lichtern, die im Hintergrund tanzen.")</f>
        <v>Ein junger Mann spielt Schlagzeug auf einer Bühne mit Lichtern, die im Hintergrund tanzen.</v>
      </c>
    </row>
    <row r="35475">
      <c r="A35475" s="4" t="s">
        <v>44630</v>
      </c>
      <c r="B35475" s="4" t="s">
        <v>44632</v>
      </c>
      <c r="C35475" s="5" t="str">
        <f>IFERROR(__xludf.DUMMYFUNCTION("GOOGLETRANSLATE(B35475,""en"",""de"")"),"Er beendet und steht auf, um Lufttrommeln zu spielen.")</f>
        <v>Er beendet und steht auf, um Lufttrommeln zu spielen.</v>
      </c>
    </row>
    <row r="35476">
      <c r="A35476" s="4" t="s">
        <v>44633</v>
      </c>
      <c r="B35476" s="4" t="s">
        <v>44634</v>
      </c>
      <c r="C35476" s="5" t="str">
        <f>IFERROR(__xludf.DUMMYFUNCTION("GOOGLETRANSLATE(B35476,""en"",""de"")"),"Ein junges Mädchen wird gesehen, wie er einen kleinen Hund mit Seife neben einer Wanne voller Wasser schrubbt.")</f>
        <v>Ein junges Mädchen wird gesehen, wie er einen kleinen Hund mit Seife neben einer Wanne voller Wasser schrubbt.</v>
      </c>
    </row>
    <row r="35477">
      <c r="A35477" s="4" t="s">
        <v>44633</v>
      </c>
      <c r="B35477" s="4" t="s">
        <v>44635</v>
      </c>
      <c r="C35477" s="5" t="str">
        <f>IFERROR(__xludf.DUMMYFUNCTION("GOOGLETRANSLATE(B35477,""en"",""de"")"),"Sie gießt mehr Seife auf den Hund und zieht ihn um und führt in Bilder des Hundes, das alle gereinigt werden.")</f>
        <v>Sie gießt mehr Seife auf den Hund und zieht ihn um und führt in Bilder des Hundes, das alle gereinigt werden.</v>
      </c>
    </row>
    <row r="35478">
      <c r="A35478" s="4" t="s">
        <v>44636</v>
      </c>
      <c r="B35478" s="4" t="s">
        <v>44637</v>
      </c>
      <c r="C35478" s="5" t="str">
        <f>IFERROR(__xludf.DUMMYFUNCTION("GOOGLETRANSLATE(B35478,""en"",""de"")"),"Eine Person wendet Farbdesigns auf einen roten Fingernagel auf einer Plastikhand mit einem flexiblen schwarzen Glied, der mit ""Nagel Trainer"" gekennzeichnet ist.")</f>
        <v>Eine Person wendet Farbdesigns auf einen roten Fingernagel auf einer Plastikhand mit einem flexiblen schwarzen Glied, der mit "Nagel Trainer" gekennzeichnet ist.</v>
      </c>
    </row>
    <row r="35479">
      <c r="A35479" s="4" t="s">
        <v>44636</v>
      </c>
      <c r="B35479" s="4" t="s">
        <v>44638</v>
      </c>
      <c r="C35479" s="5" t="str">
        <f>IFERROR(__xludf.DUMMYFUNCTION("GOOGLETRANSLATE(B35479,""en"",""de"")"),"Eine braune Kunststoffhand mit einem schwarzen Plastikarm erscheint mit weißen Fingernagel -Spitzen und roten Fingernägeln.")</f>
        <v>Eine braune Kunststoffhand mit einem schwarzen Plastikarm erscheint mit weißen Fingernagel -Spitzen und roten Fingernägeln.</v>
      </c>
    </row>
    <row r="35480">
      <c r="A35480" s="4" t="s">
        <v>44636</v>
      </c>
      <c r="B35480" s="4" t="s">
        <v>44639</v>
      </c>
      <c r="C35480" s="5" t="str">
        <f>IFERROR(__xludf.DUMMYFUNCTION("GOOGLETRANSLATE(B35480,""en"",""de"")"),"Die wahre Hand einer Person erscheint und beginnt, weiße Designs auf einen der roten Fingernägel auf der Kunststoffhand aufzutragen.")</f>
        <v>Die wahre Hand einer Person erscheint und beginnt, weiße Designs auf einen der roten Fingernägel auf der Kunststoffhand aufzutragen.</v>
      </c>
    </row>
    <row r="35481">
      <c r="A35481" s="4" t="s">
        <v>44636</v>
      </c>
      <c r="B35481" s="4" t="s">
        <v>44640</v>
      </c>
      <c r="C35481" s="5" t="str">
        <f>IFERROR(__xludf.DUMMYFUNCTION("GOOGLETRANSLATE(B35481,""en"",""de"")"),"Die Szene verblasst dann zu einer Nahaufnahme eines fertigen roten Fingernagels mit einem vollständigen weißen Design aus der Kunststoffhand.")</f>
        <v>Die Szene verblasst dann zu einer Nahaufnahme eines fertigen roten Fingernagels mit einem vollständigen weißen Design aus der Kunststoffhand.</v>
      </c>
    </row>
    <row r="35482">
      <c r="A35482" s="4" t="s">
        <v>44641</v>
      </c>
      <c r="B35482" s="4" t="s">
        <v>44642</v>
      </c>
      <c r="C35482" s="5" t="str">
        <f>IFERROR(__xludf.DUMMYFUNCTION("GOOGLETRANSLATE(B35482,""en"",""de"")"),"Autos fahren auf einer Straße.")</f>
        <v>Autos fahren auf einer Straße.</v>
      </c>
    </row>
    <row r="35483">
      <c r="A35483" s="4" t="s">
        <v>44641</v>
      </c>
      <c r="B35483" s="4" t="s">
        <v>4423</v>
      </c>
      <c r="C35483" s="5" t="str">
        <f>IFERROR(__xludf.DUMMYFUNCTION("GOOGLETRANSLATE(B35483,""en"",""de"")"),"Die Menschen snowboarden einen Schneehügel hinunter.")</f>
        <v>Die Menschen snowboarden einen Schneehügel hinunter.</v>
      </c>
    </row>
    <row r="35484">
      <c r="A35484" s="4" t="s">
        <v>44641</v>
      </c>
      <c r="B35484" s="4" t="s">
        <v>44643</v>
      </c>
      <c r="C35484" s="5" t="str">
        <f>IFERROR(__xludf.DUMMYFUNCTION("GOOGLETRANSLATE(B35484,""en"",""de"")"),"Die Leute steigen wieder in ihr Auto und legen das Snowboard auf das Auto.")</f>
        <v>Die Leute steigen wieder in ihr Auto und legen das Snowboard auf das Auto.</v>
      </c>
    </row>
    <row r="35485">
      <c r="A35485" s="4" t="s">
        <v>44644</v>
      </c>
      <c r="B35485" s="4" t="s">
        <v>44645</v>
      </c>
      <c r="C35485" s="5" t="str">
        <f>IFERROR(__xludf.DUMMYFUNCTION("GOOGLETRANSLATE(B35485,""en"",""de"")"),"Ein Mann steht vor einer Reihe ungleichmäßiger Riegel mit hochem Armen.")</f>
        <v>Ein Mann steht vor einer Reihe ungleichmäßiger Riegel mit hochem Armen.</v>
      </c>
    </row>
    <row r="35486">
      <c r="A35486" s="4" t="s">
        <v>44644</v>
      </c>
      <c r="B35486" s="4" t="s">
        <v>44646</v>
      </c>
      <c r="C35486" s="5" t="str">
        <f>IFERROR(__xludf.DUMMYFUNCTION("GOOGLETRANSLATE(B35486,""en"",""de"")"),"Dann springt er auf den Strahl und schwingt sich herum.")</f>
        <v>Dann springt er auf den Strahl und schwingt sich herum.</v>
      </c>
    </row>
    <row r="35487">
      <c r="A35487" s="4" t="s">
        <v>44644</v>
      </c>
      <c r="B35487" s="4" t="s">
        <v>44647</v>
      </c>
      <c r="C35487" s="5" t="str">
        <f>IFERROR(__xludf.DUMMYFUNCTION("GOOGLETRANSLATE(B35487,""en"",""de"")"),"Der Mann schwingt weiter auf den Bars herum und endet, indem er von der Seite springt und weggeht.")</f>
        <v>Der Mann schwingt weiter auf den Bars herum und endet, indem er von der Seite springt und weggeht.</v>
      </c>
    </row>
    <row r="35488">
      <c r="A35488" s="4" t="s">
        <v>44648</v>
      </c>
      <c r="B35488" s="4" t="s">
        <v>44649</v>
      </c>
      <c r="C35488" s="5" t="str">
        <f>IFERROR(__xludf.DUMMYFUNCTION("GOOGLETRANSLATE(B35488,""en"",""de"")"),"Sie wird dann gezeigt, dass sie mehrere verschiedene Übungen durchführt und auf einem Fahrrad fährt und eine Klasse führt.")</f>
        <v>Sie wird dann gezeigt, dass sie mehrere verschiedene Übungen durchführt und auf einem Fahrrad fährt und eine Klasse führt.</v>
      </c>
    </row>
    <row r="35489">
      <c r="A35489" s="4" t="s">
        <v>44648</v>
      </c>
      <c r="B35489" s="4" t="s">
        <v>44650</v>
      </c>
      <c r="C35489" s="5" t="str">
        <f>IFERROR(__xludf.DUMMYFUNCTION("GOOGLETRANSLATE(B35489,""en"",""de"")"),"Weitere Aufnahmen von ihr werden auf dem Fahrrad fahren und ein Headset tragen, um mit anderen zu sprechen.")</f>
        <v>Weitere Aufnahmen von ihr werden auf dem Fahrrad fahren und ein Headset tragen, um mit anderen zu sprechen.</v>
      </c>
    </row>
    <row r="35490">
      <c r="A35490" s="4" t="s">
        <v>44651</v>
      </c>
      <c r="B35490" s="4" t="s">
        <v>44652</v>
      </c>
      <c r="C35490" s="5" t="str">
        <f>IFERROR(__xludf.DUMMYFUNCTION("GOOGLETRANSLATE(B35490,""en"",""de"")"),"Ein Mann in einem rosa Hemd hält eine Schnur in der Hand.")</f>
        <v>Ein Mann in einem rosa Hemd hält eine Schnur in der Hand.</v>
      </c>
    </row>
    <row r="35491">
      <c r="A35491" s="4" t="s">
        <v>44651</v>
      </c>
      <c r="B35491" s="4" t="s">
        <v>44653</v>
      </c>
      <c r="C35491" s="5" t="str">
        <f>IFERROR(__xludf.DUMMYFUNCTION("GOOGLETRANSLATE(B35491,""en"",""de"")"),"Er beginnt den Teppich vor ihm zu saugen.")</f>
        <v>Er beginnt den Teppich vor ihm zu saugen.</v>
      </c>
    </row>
    <row r="35492">
      <c r="A35492" s="4" t="s">
        <v>44654</v>
      </c>
      <c r="B35492" s="4" t="s">
        <v>44655</v>
      </c>
      <c r="C35492" s="5" t="str">
        <f>IFERROR(__xludf.DUMMYFUNCTION("GOOGLETRANSLATE(B35492,""en"",""de"")"),"Eine Frau macht ein Tutorial, wie man Wassermarmornägel mit Wasser macht.")</f>
        <v>Eine Frau macht ein Tutorial, wie man Wassermarmornägel mit Wasser macht.</v>
      </c>
    </row>
    <row r="35493">
      <c r="A35493" s="4" t="s">
        <v>44654</v>
      </c>
      <c r="B35493" s="4" t="s">
        <v>44656</v>
      </c>
      <c r="C35493" s="5" t="str">
        <f>IFERROR(__xludf.DUMMYFUNCTION("GOOGLETRANSLATE(B35493,""en"",""de"")"),"Sie benutzt eine Nagellackpinsel und taucht sie in Wasser ab.")</f>
        <v>Sie benutzt eine Nagellackpinsel und taucht sie in Wasser ab.</v>
      </c>
    </row>
    <row r="35494">
      <c r="A35494" s="4" t="s">
        <v>44654</v>
      </c>
      <c r="B35494" s="4" t="s">
        <v>44657</v>
      </c>
      <c r="C35494" s="5" t="str">
        <f>IFERROR(__xludf.DUMMYFUNCTION("GOOGLETRANSLATE(B35494,""en"",""de"")"),"Sie gibt die Anweisungen, wie man mit einem Basismantel Nagellacks beginnt.")</f>
        <v>Sie gibt die Anweisungen, wie man mit einem Basismantel Nagellacks beginnt.</v>
      </c>
    </row>
    <row r="35495">
      <c r="A35495" s="4" t="s">
        <v>44654</v>
      </c>
      <c r="B35495" s="4" t="s">
        <v>44658</v>
      </c>
      <c r="C35495" s="5" t="str">
        <f>IFERROR(__xludf.DUMMYFUNCTION("GOOGLETRANSLATE(B35495,""en"",""de"")"),"Dann legt sie Tropfen aus verschiedenen farbigen Nagellack auf die Wasseroberfläche.")</f>
        <v>Dann legt sie Tropfen aus verschiedenen farbigen Nagellack auf die Wasseroberfläche.</v>
      </c>
    </row>
    <row r="35496">
      <c r="A35496" s="4" t="s">
        <v>44654</v>
      </c>
      <c r="B35496" s="4" t="s">
        <v>44659</v>
      </c>
      <c r="C35496" s="5" t="str">
        <f>IFERROR(__xludf.DUMMYFUNCTION("GOOGLETRANSLATE(B35496,""en"",""de"")"),"Dann taucht sie ihren Nagel in diese Farbe.")</f>
        <v>Dann taucht sie ihren Nagel in diese Farbe.</v>
      </c>
    </row>
    <row r="35497">
      <c r="A35497" s="4" t="s">
        <v>44654</v>
      </c>
      <c r="B35497" s="4" t="s">
        <v>44660</v>
      </c>
      <c r="C35497" s="5" t="str">
        <f>IFERROR(__xludf.DUMMYFUNCTION("GOOGLETRANSLATE(B35497,""en"",""de"")"),"Sie reinigt überschüssigen Nagellack, der mit einem Pinsel und einem Q-Tip an der Seite der Nägel verschmiert ist.")</f>
        <v>Sie reinigt überschüssigen Nagellack, der mit einem Pinsel und einem Q-Tip an der Seite der Nägel verschmiert ist.</v>
      </c>
    </row>
    <row r="35498">
      <c r="A35498" s="4" t="s">
        <v>44654</v>
      </c>
      <c r="B35498" s="4" t="s">
        <v>44661</v>
      </c>
      <c r="C35498" s="5" t="str">
        <f>IFERROR(__xludf.DUMMYFUNCTION("GOOGLETRANSLATE(B35498,""en"",""de"")"),"Sie teilt schließlich Informationen über sich und ihre Social -Media -Konten.")</f>
        <v>Sie teilt schließlich Informationen über sich und ihre Social -Media -Konten.</v>
      </c>
    </row>
    <row r="35499">
      <c r="A35499" s="4" t="s">
        <v>44662</v>
      </c>
      <c r="B35499" s="4" t="s">
        <v>44663</v>
      </c>
      <c r="C35499" s="5" t="str">
        <f>IFERROR(__xludf.DUMMYFUNCTION("GOOGLETRANSLATE(B35499,""en"",""de"")"),"Eine Frau ist in einer Küche, trägt ein Kleid und schwanger.")</f>
        <v>Eine Frau ist in einer Küche, trägt ein Kleid und schwanger.</v>
      </c>
    </row>
    <row r="35500">
      <c r="A35500" s="4" t="s">
        <v>44662</v>
      </c>
      <c r="B35500" s="4" t="s">
        <v>44664</v>
      </c>
      <c r="C35500" s="5" t="str">
        <f>IFERROR(__xludf.DUMMYFUNCTION("GOOGLETRANSLATE(B35500,""en"",""de"")"),"Sie wäscht Geschirr im Waschbecken und spricht mit der Kamera mit der Person.")</f>
        <v>Sie wäscht Geschirr im Waschbecken und spricht mit der Kamera mit der Person.</v>
      </c>
    </row>
    <row r="35501">
      <c r="A35501" s="4" t="s">
        <v>44662</v>
      </c>
      <c r="B35501" s="4" t="s">
        <v>44665</v>
      </c>
      <c r="C35501" s="5" t="str">
        <f>IFERROR(__xludf.DUMMYFUNCTION("GOOGLETRANSLATE(B35501,""en"",""de"")"),"Sie lächelt, als die Kamera auf ihrem rechten Auge zoomt.")</f>
        <v>Sie lächelt, als die Kamera auf ihrem rechten Auge zoomt.</v>
      </c>
    </row>
    <row r="35502">
      <c r="A35502" s="4" t="s">
        <v>44666</v>
      </c>
      <c r="B35502" s="4" t="s">
        <v>44667</v>
      </c>
      <c r="C35502" s="5" t="str">
        <f>IFERROR(__xludf.DUMMYFUNCTION("GOOGLETRANSLATE(B35502,""en"",""de"")"),"Eine Frau schwingt mit einem Schwung.")</f>
        <v>Eine Frau schwingt mit einem Schwung.</v>
      </c>
    </row>
    <row r="35503">
      <c r="A35503" s="4" t="s">
        <v>44666</v>
      </c>
      <c r="B35503" s="4" t="s">
        <v>44668</v>
      </c>
      <c r="C35503" s="5" t="str">
        <f>IFERROR(__xludf.DUMMYFUNCTION("GOOGLETRANSLATE(B35503,""en"",""de"")"),"Ein Baby schwingt neben ihr.")</f>
        <v>Ein Baby schwingt neben ihr.</v>
      </c>
    </row>
    <row r="35504">
      <c r="A35504" s="4" t="s">
        <v>44666</v>
      </c>
      <c r="B35504" s="4" t="s">
        <v>44669</v>
      </c>
      <c r="C35504" s="5" t="str">
        <f>IFERROR(__xludf.DUMMYFUNCTION("GOOGLETRANSLATE(B35504,""en"",""de"")"),"Sie tragen beide rot.")</f>
        <v>Sie tragen beide rot.</v>
      </c>
    </row>
    <row r="35505">
      <c r="A35505" s="4" t="s">
        <v>44666</v>
      </c>
      <c r="B35505" s="4" t="s">
        <v>44670</v>
      </c>
      <c r="C35505" s="5" t="str">
        <f>IFERROR(__xludf.DUMMYFUNCTION("GOOGLETRANSLATE(B35505,""en"",""de"")"),"Die Frau sieht glücklich aus zu schwingen.")</f>
        <v>Die Frau sieht glücklich aus zu schwingen.</v>
      </c>
    </row>
    <row r="35506">
      <c r="A35506" s="4" t="s">
        <v>44671</v>
      </c>
      <c r="B35506" s="4" t="s">
        <v>44672</v>
      </c>
      <c r="C35506" s="5" t="str">
        <f>IFERROR(__xludf.DUMMYFUNCTION("GOOGLETRANSLATE(B35506,""en"",""de"")"),"Zwei Jungen stehen in einem Wohnzimmer neben einem Baum und nehmen Ornamente aus zwei Plastikbehältern und dekorieren den Baum.")</f>
        <v>Zwei Jungen stehen in einem Wohnzimmer neben einem Baum und nehmen Ornamente aus zwei Plastikbehältern und dekorieren den Baum.</v>
      </c>
    </row>
    <row r="35507">
      <c r="A35507" s="4" t="s">
        <v>44671</v>
      </c>
      <c r="B35507" s="4" t="s">
        <v>44673</v>
      </c>
      <c r="C35507" s="5" t="str">
        <f>IFERROR(__xludf.DUMMYFUNCTION("GOOGLETRANSLATE(B35507,""en"",""de"")"),"Während die Jungen weitergehen, wird die Außenseite des Hauses gezeigt, wenn der Regen donnern.")</f>
        <v>Während die Jungen weitergehen, wird die Außenseite des Hauses gezeigt, wenn der Regen donnern.</v>
      </c>
    </row>
    <row r="35508">
      <c r="A35508" s="4" t="s">
        <v>44671</v>
      </c>
      <c r="B35508" s="4" t="s">
        <v>44674</v>
      </c>
      <c r="C35508" s="5" t="str">
        <f>IFERROR(__xludf.DUMMYFUNCTION("GOOGLETRANSLATE(B35508,""en"",""de"")"),"Danach erhalten die Jungen Hilfe von einem Mann und setzen den Baum -Topper an.")</f>
        <v>Danach erhalten die Jungen Hilfe von einem Mann und setzen den Baum -Topper an.</v>
      </c>
    </row>
    <row r="35509">
      <c r="A35509" s="4" t="s">
        <v>44671</v>
      </c>
      <c r="B35509" s="4" t="s">
        <v>44675</v>
      </c>
      <c r="C35509" s="5" t="str">
        <f>IFERROR(__xludf.DUMMYFUNCTION("GOOGLETRANSLATE(B35509,""en"",""de"")"),"Sobald das fertig ist, umarmen und küssen sich die Jungen gegenseitig und das Finish -Produkt des Baumes wird gezeigt.")</f>
        <v>Sobald das fertig ist, umarmen und küssen sich die Jungen gegenseitig und das Finish -Produkt des Baumes wird gezeigt.</v>
      </c>
    </row>
    <row r="35510">
      <c r="A35510" s="4" t="s">
        <v>44676</v>
      </c>
      <c r="B35510" s="4" t="s">
        <v>44677</v>
      </c>
      <c r="C35510" s="5" t="str">
        <f>IFERROR(__xludf.DUMMYFUNCTION("GOOGLETRANSLATE(B35510,""en"",""de"")"),"Mehrere animierte Personen sind im Wasser.")</f>
        <v>Mehrere animierte Personen sind im Wasser.</v>
      </c>
    </row>
    <row r="35511">
      <c r="A35511" s="4" t="s">
        <v>44676</v>
      </c>
      <c r="B35511" s="4" t="s">
        <v>44678</v>
      </c>
      <c r="C35511" s="5" t="str">
        <f>IFERROR(__xludf.DUMMYFUNCTION("GOOGLETRANSLATE(B35511,""en"",""de"")"),"Zwei Personen in Scuba Gear stehen auf der Kante einer Plattform, während zwei andere Personen von einer Plattform oben zuschauen.")</f>
        <v>Zwei Personen in Scuba Gear stehen auf der Kante einer Plattform, während zwei andere Personen von einer Plattform oben zuschauen.</v>
      </c>
    </row>
    <row r="35512">
      <c r="A35512" s="4" t="s">
        <v>44676</v>
      </c>
      <c r="B35512" s="4" t="s">
        <v>44679</v>
      </c>
      <c r="C35512" s="5" t="str">
        <f>IFERROR(__xludf.DUMMYFUNCTION("GOOGLETRANSLATE(B35512,""en"",""de"")"),"Die beiden Personen in Tauchgeräten springen ins Wasser.")</f>
        <v>Die beiden Personen in Tauchgeräten springen ins Wasser.</v>
      </c>
    </row>
    <row r="35513">
      <c r="A35513" s="4" t="s">
        <v>44676</v>
      </c>
      <c r="B35513" s="4" t="s">
        <v>44680</v>
      </c>
      <c r="C35513" s="5" t="str">
        <f>IFERROR(__xludf.DUMMYFUNCTION("GOOGLETRANSLATE(B35513,""en"",""de"")"),"Eine Person in Scuba -Ausrüstung hält die andere Person in Tauchausrüstung an und tut etwas mit ihrem Tank.")</f>
        <v>Eine Person in Scuba -Ausrüstung hält die andere Person in Tauchausrüstung an und tut etwas mit ihrem Tank.</v>
      </c>
    </row>
    <row r="35514">
      <c r="A35514" s="4" t="s">
        <v>44676</v>
      </c>
      <c r="B35514" s="4" t="s">
        <v>44681</v>
      </c>
      <c r="C35514" s="5" t="str">
        <f>IFERROR(__xludf.DUMMYFUNCTION("GOOGLETRANSLATE(B35514,""en"",""de"")"),"Eine Person schiebt die andere weg.")</f>
        <v>Eine Person schiebt die andere weg.</v>
      </c>
    </row>
    <row r="35515">
      <c r="A35515" s="4" t="s">
        <v>44676</v>
      </c>
      <c r="B35515" s="4" t="s">
        <v>44682</v>
      </c>
      <c r="C35515" s="5" t="str">
        <f>IFERROR(__xludf.DUMMYFUNCTION("GOOGLETRANSLATE(B35515,""en"",""de"")"),"Mehrere Personen in Tauchausrüstung versammeln sich mit einer Person, die noch im Hintergrund ist.")</f>
        <v>Mehrere Personen in Tauchausrüstung versammeln sich mit einer Person, die noch im Hintergrund ist.</v>
      </c>
    </row>
    <row r="35516">
      <c r="A35516" s="4" t="s">
        <v>44676</v>
      </c>
      <c r="B35516" s="4" t="s">
        <v>44683</v>
      </c>
      <c r="C35516" s="5" t="str">
        <f>IFERROR(__xludf.DUMMYFUNCTION("GOOGLETRANSLATE(B35516,""en"",""de"")"),"Die Menschen in Tauchausrüstung kämpfen und eine Person maskiert weg.")</f>
        <v>Die Menschen in Tauchausrüstung kämpfen und eine Person maskiert weg.</v>
      </c>
    </row>
    <row r="35517">
      <c r="A35517" s="4" t="s">
        <v>44684</v>
      </c>
      <c r="B35517" s="4" t="s">
        <v>44685</v>
      </c>
      <c r="C35517" s="5" t="str">
        <f>IFERROR(__xludf.DUMMYFUNCTION("GOOGLETRANSLATE(B35517,""en"",""de"")"),"Ein großer schwarzer Hund und ein kleines Mädchen in einer weißen Bluse trägt zwei Hoolahoops im Wohnzimmer.")</f>
        <v>Ein großer schwarzer Hund und ein kleines Mädchen in einer weißen Bluse trägt zwei Hoolahoops im Wohnzimmer.</v>
      </c>
    </row>
    <row r="35518">
      <c r="A35518" s="4" t="s">
        <v>44684</v>
      </c>
      <c r="B35518" s="4" t="s">
        <v>44686</v>
      </c>
      <c r="C35518" s="5" t="str">
        <f>IFERROR(__xludf.DUMMYFUNCTION("GOOGLETRANSLATE(B35518,""en"",""de"")"),"Das kleine Mädchen hält einen Hoola -Reifen vor dem Hund und der Hund geht durch die Hoolahoop.")</f>
        <v>Das kleine Mädchen hält einen Hoola -Reifen vor dem Hund und der Hund geht durch die Hoolahoop.</v>
      </c>
    </row>
    <row r="35519">
      <c r="A35519" s="4" t="s">
        <v>44684</v>
      </c>
      <c r="B35519" s="4" t="s">
        <v>44687</v>
      </c>
      <c r="C35519" s="5" t="str">
        <f>IFERROR(__xludf.DUMMYFUNCTION("GOOGLETRANSLATE(B35519,""en"",""de"")"),"Das kleine Mädchen dreht den anderen Hoola -Hoop um ihren Abfall und dreht sie 10- oder 12 Mal.")</f>
        <v>Das kleine Mädchen dreht den anderen Hoola -Hoop um ihren Abfall und dreht sie 10- oder 12 Mal.</v>
      </c>
    </row>
    <row r="35520">
      <c r="A35520" s="4" t="s">
        <v>44684</v>
      </c>
      <c r="B35520" s="4" t="s">
        <v>44688</v>
      </c>
      <c r="C35520" s="5" t="str">
        <f>IFERROR(__xludf.DUMMYFUNCTION("GOOGLETRANSLATE(B35520,""en"",""de"")"),"Das kleine Mädchen geht zum schwarzen Hund und lässt den Hund ihre Hand lecken.")</f>
        <v>Das kleine Mädchen geht zum schwarzen Hund und lässt den Hund ihre Hand lecken.</v>
      </c>
    </row>
    <row r="35521">
      <c r="A35521" s="4" t="s">
        <v>44689</v>
      </c>
      <c r="B35521" s="4" t="s">
        <v>44690</v>
      </c>
      <c r="C35521" s="5" t="str">
        <f>IFERROR(__xludf.DUMMYFUNCTION("GOOGLETRANSLATE(B35521,""en"",""de"")"),"Fünf Jungen werden auf einem Spielplatz laufen.")</f>
        <v>Fünf Jungen werden auf einem Spielplatz laufen.</v>
      </c>
    </row>
    <row r="35522">
      <c r="A35522" s="4" t="s">
        <v>44689</v>
      </c>
      <c r="B35522" s="4" t="s">
        <v>44691</v>
      </c>
      <c r="C35522" s="5" t="str">
        <f>IFERROR(__xludf.DUMMYFUNCTION("GOOGLETRANSLATE(B35522,""en"",""de"")"),"Die Jungs gehen in die Schaukeln und zeigen, wie man Tricks macht.")</f>
        <v>Die Jungs gehen in die Schaukeln und zeigen, wie man Tricks macht.</v>
      </c>
    </row>
    <row r="35523">
      <c r="A35523" s="4" t="s">
        <v>44689</v>
      </c>
      <c r="B35523" s="4" t="s">
        <v>44692</v>
      </c>
      <c r="C35523" s="5" t="str">
        <f>IFERROR(__xludf.DUMMYFUNCTION("GOOGLETRANSLATE(B35523,""en"",""de"")"),"Für das Finale kommen alle fünf Jungs in die Schaukeln und führen einen Rückenflip durch.")</f>
        <v>Für das Finale kommen alle fünf Jungs in die Schaukeln und führen einen Rückenflip durch.</v>
      </c>
    </row>
    <row r="35524">
      <c r="A35524" s="4" t="s">
        <v>44693</v>
      </c>
      <c r="B35524" s="4" t="s">
        <v>44694</v>
      </c>
      <c r="C35524" s="5" t="str">
        <f>IFERROR(__xludf.DUMMYFUNCTION("GOOGLETRANSLATE(B35524,""en"",""de"")"),"Eine junge Frau kommt in die Position, um mit einem Schlagstock aufzutreten.")</f>
        <v>Eine junge Frau kommt in die Position, um mit einem Schlagstock aufzutreten.</v>
      </c>
    </row>
    <row r="35525">
      <c r="A35525" s="4" t="s">
        <v>44693</v>
      </c>
      <c r="B35525" s="4" t="s">
        <v>44695</v>
      </c>
      <c r="C35525" s="5" t="str">
        <f>IFERROR(__xludf.DUMMYFUNCTION("GOOGLETRANSLATE(B35525,""en"",""de"")"),"Sie führt eine Gymnastik und eine Wirbelnde durch.")</f>
        <v>Sie führt eine Gymnastik und eine Wirbelnde durch.</v>
      </c>
    </row>
    <row r="35526">
      <c r="A35526" s="4" t="s">
        <v>44693</v>
      </c>
      <c r="B35526" s="4" t="s">
        <v>44696</v>
      </c>
      <c r="C35526" s="5" t="str">
        <f>IFERROR(__xludf.DUMMYFUNCTION("GOOGLETRANSLATE(B35526,""en"",""de"")"),"Sie macht Wagenräder als Teil ihrer Routine.")</f>
        <v>Sie macht Wagenräder als Teil ihrer Routine.</v>
      </c>
    </row>
    <row r="35527">
      <c r="A35527" s="4" t="s">
        <v>44693</v>
      </c>
      <c r="B35527" s="4" t="s">
        <v>44697</v>
      </c>
      <c r="C35527" s="5" t="str">
        <f>IFERROR(__xludf.DUMMYFUNCTION("GOOGLETRANSLATE(B35527,""en"",""de"")"),"Sie lässt den Staffelstab fallen, nimmt sie aber wieder auf und setzt die Routine fort.")</f>
        <v>Sie lässt den Staffelstab fallen, nimmt sie aber wieder auf und setzt die Routine fort.</v>
      </c>
    </row>
    <row r="35528">
      <c r="A35528" s="4" t="s">
        <v>44693</v>
      </c>
      <c r="B35528" s="4" t="s">
        <v>44698</v>
      </c>
      <c r="C35528" s="5" t="str">
        <f>IFERROR(__xludf.DUMMYFUNCTION("GOOGLETRANSLATE(B35528,""en"",""de"")"),"Sie verliert ihr Gleichgewicht, kann sich aber erholen.")</f>
        <v>Sie verliert ihr Gleichgewicht, kann sich aber erholen.</v>
      </c>
    </row>
    <row r="35529">
      <c r="A35529" s="4" t="s">
        <v>44699</v>
      </c>
      <c r="B35529" s="4" t="s">
        <v>44700</v>
      </c>
      <c r="C35529" s="5" t="str">
        <f>IFERROR(__xludf.DUMMYFUNCTION("GOOGLETRANSLATE(B35529,""en"",""de"")"),"Eine Frau schiebt einen Rasenmäher über Gras, während er mit der Kamera spricht.")</f>
        <v>Eine Frau schiebt einen Rasenmäher über Gras, während er mit der Kamera spricht.</v>
      </c>
    </row>
    <row r="35530">
      <c r="A35530" s="4" t="s">
        <v>44699</v>
      </c>
      <c r="B35530" s="4" t="s">
        <v>44701</v>
      </c>
      <c r="C35530" s="5" t="str">
        <f>IFERROR(__xludf.DUMMYFUNCTION("GOOGLETRANSLATE(B35530,""en"",""de"")"),"Die Kamera zoomt auf Pflanzen im Hof ​​und folgt der Frau weiter, wenn sie das Gras schneidet.")</f>
        <v>Die Kamera zoomt auf Pflanzen im Hof ​​und folgt der Frau weiter, wenn sie das Gras schneidet.</v>
      </c>
    </row>
    <row r="35531">
      <c r="A35531" s="4" t="s">
        <v>44699</v>
      </c>
      <c r="B35531" s="4" t="s">
        <v>44702</v>
      </c>
      <c r="C35531" s="5" t="str">
        <f>IFERROR(__xludf.DUMMYFUNCTION("GOOGLETRANSLATE(B35531,""en"",""de"")"),"Die Kamera wandert am Ende durch ein paar Pflanzen und Bäume.")</f>
        <v>Die Kamera wandert am Ende durch ein paar Pflanzen und Bäume.</v>
      </c>
    </row>
    <row r="35532">
      <c r="A35532" s="4" t="s">
        <v>44703</v>
      </c>
      <c r="B35532" s="4" t="s">
        <v>44704</v>
      </c>
      <c r="C35532" s="5" t="str">
        <f>IFERROR(__xludf.DUMMYFUNCTION("GOOGLETRANSLATE(B35532,""en"",""de"")"),"Ein Mann in Skiausrüstung steht auf einem schneebedeckten Hügel.")</f>
        <v>Ein Mann in Skiausrüstung steht auf einem schneebedeckten Hügel.</v>
      </c>
    </row>
    <row r="35533">
      <c r="A35533" s="4" t="s">
        <v>44703</v>
      </c>
      <c r="B35533" s="4" t="s">
        <v>44705</v>
      </c>
      <c r="C35533" s="5" t="str">
        <f>IFERROR(__xludf.DUMMYFUNCTION("GOOGLETRANSLATE(B35533,""en"",""de"")"),"Er und andere fangen an, die Hänge hinunter zu fahren, Schnee auf Schnee zu treten und durch Tunnel zu reisen.")</f>
        <v>Er und andere fangen an, die Hänge hinunter zu fahren, Schnee auf Schnee zu treten und durch Tunnel zu reisen.</v>
      </c>
    </row>
    <row r="35534">
      <c r="A35534" s="4" t="s">
        <v>44706</v>
      </c>
      <c r="B35534" s="4" t="s">
        <v>44707</v>
      </c>
      <c r="C35534" s="5" t="str">
        <f>IFERROR(__xludf.DUMMYFUNCTION("GOOGLETRANSLATE(B35534,""en"",""de"")"),"Männer arbeiten in einem Tisch im Hintergrund, ein Mann in der Mitte des Raumes beginnt im Kreis zu laufen und break tanzt, ein Bildschirm hängt ein Rap -Video.")</f>
        <v>Männer arbeiten in einem Tisch im Hintergrund, ein Mann in der Mitte des Raumes beginnt im Kreis zu laufen und break tanzt, ein Bildschirm hängt ein Rap -Video.</v>
      </c>
    </row>
    <row r="35535">
      <c r="A35535" s="4" t="s">
        <v>44706</v>
      </c>
      <c r="B35535" s="4" t="s">
        <v>44708</v>
      </c>
      <c r="C35535" s="5" t="str">
        <f>IFERROR(__xludf.DUMMYFUNCTION("GOOGLETRANSLATE(B35535,""en"",""de"")"),"Der Bildschirm spielt ein Video und die Credits sind auf der rechten Seite.")</f>
        <v>Der Bildschirm spielt ein Video und die Credits sind auf der rechten Seite.</v>
      </c>
    </row>
    <row r="35536">
      <c r="A35536" s="4" t="s">
        <v>44709</v>
      </c>
      <c r="B35536" s="4" t="s">
        <v>44710</v>
      </c>
      <c r="C35536" s="5" t="str">
        <f>IFERROR(__xludf.DUMMYFUNCTION("GOOGLETRANSLATE(B35536,""en"",""de"")"),"Ein Hockeyspieler wird verletzt und vom Trainer vom Eis geholfen.")</f>
        <v>Ein Hockeyspieler wird verletzt und vom Trainer vom Eis geholfen.</v>
      </c>
    </row>
    <row r="35537">
      <c r="A35537" s="4" t="s">
        <v>44709</v>
      </c>
      <c r="B35537" s="4" t="s">
        <v>44711</v>
      </c>
      <c r="C35537" s="5" t="str">
        <f>IFERROR(__xludf.DUMMYFUNCTION("GOOGLETRANSLATE(B35537,""en"",""de"")"),"Der Hockeyspieler wird vom Trainer aus dem Eis begleitet.")</f>
        <v>Der Hockeyspieler wird vom Trainer aus dem Eis begleitet.</v>
      </c>
    </row>
    <row r="35538">
      <c r="A35538" s="4" t="s">
        <v>44709</v>
      </c>
      <c r="B35538" s="4" t="s">
        <v>44712</v>
      </c>
      <c r="C35538" s="5" t="str">
        <f>IFERROR(__xludf.DUMMYFUNCTION("GOOGLETRANSLATE(B35538,""en"",""de"")"),"Eine Wiederholung zeigt, dass der Hockeyspieler vom Puck ins Gesicht getroffen wird und er zum Eis fällt.")</f>
        <v>Eine Wiederholung zeigt, dass der Hockeyspieler vom Puck ins Gesicht getroffen wird und er zum Eis fällt.</v>
      </c>
    </row>
    <row r="35539">
      <c r="A35539" s="4" t="s">
        <v>44709</v>
      </c>
      <c r="B35539" s="4" t="s">
        <v>44713</v>
      </c>
      <c r="C35539" s="5" t="str">
        <f>IFERROR(__xludf.DUMMYFUNCTION("GOOGLETRANSLATE(B35539,""en"",""de"")"),"Die Teams stehen zusammen um einen Kreis und stellen sich aus, um das Match zu starten.")</f>
        <v>Die Teams stehen zusammen um einen Kreis und stellen sich aus, um das Match zu starten.</v>
      </c>
    </row>
    <row r="35540">
      <c r="A35540" s="4" t="s">
        <v>44709</v>
      </c>
      <c r="B35540" s="4" t="s">
        <v>44714</v>
      </c>
      <c r="C35540" s="5" t="str">
        <f>IFERROR(__xludf.DUMMYFUNCTION("GOOGLETRANSLATE(B35540,""en"",""de"")"),"Hockeyspieler spielt ein Spiel und fährt um das Eis hin und her.")</f>
        <v>Hockeyspieler spielt ein Spiel und fährt um das Eis hin und her.</v>
      </c>
    </row>
    <row r="35541">
      <c r="A35541" s="4" t="s">
        <v>44715</v>
      </c>
      <c r="B35541" s="4" t="s">
        <v>44716</v>
      </c>
      <c r="C35541" s="5" t="str">
        <f>IFERROR(__xludf.DUMMYFUNCTION("GOOGLETRANSLATE(B35541,""en"",""de"")"),"Wir sehen Wasser auf einem Öffnungsbildschirm.")</f>
        <v>Wir sehen Wasser auf einem Öffnungsbildschirm.</v>
      </c>
    </row>
    <row r="35542">
      <c r="A35542" s="4" t="s">
        <v>44715</v>
      </c>
      <c r="B35542" s="4" t="s">
        <v>44717</v>
      </c>
      <c r="C35542" s="5" t="str">
        <f>IFERROR(__xludf.DUMMYFUNCTION("GOOGLETRANSLATE(B35542,""en"",""de"")"),"Ein Mann misst und schneidet Teppich beim Knien.")</f>
        <v>Ein Mann misst und schneidet Teppich beim Knien.</v>
      </c>
    </row>
    <row r="35543">
      <c r="A35543" s="4" t="s">
        <v>44715</v>
      </c>
      <c r="B35543" s="4" t="s">
        <v>44718</v>
      </c>
      <c r="C35543" s="5" t="str">
        <f>IFERROR(__xludf.DUMMYFUNCTION("GOOGLETRANSLATE(B35543,""en"",""de"")"),"Der Mann fügt einen Streifen hinzu und legt ein Werkzeug in die Naht.")</f>
        <v>Der Mann fügt einen Streifen hinzu und legt ein Werkzeug in die Naht.</v>
      </c>
    </row>
    <row r="35544">
      <c r="A35544" s="4" t="s">
        <v>44715</v>
      </c>
      <c r="B35544" s="4" t="s">
        <v>44719</v>
      </c>
      <c r="C35544" s="5" t="str">
        <f>IFERROR(__xludf.DUMMYFUNCTION("GOOGLETRANSLATE(B35544,""en"",""de"")"),"Der Mann führt ein schwarzes Gegenstand wiederholt über die Naht und steht dann auf.")</f>
        <v>Der Mann führt ein schwarzes Gegenstand wiederholt über die Naht und steht dann auf.</v>
      </c>
    </row>
    <row r="35545">
      <c r="A35545" s="4" t="s">
        <v>44715</v>
      </c>
      <c r="B35545" s="4" t="s">
        <v>2892</v>
      </c>
      <c r="C35545" s="5" t="str">
        <f>IFERROR(__xludf.DUMMYFUNCTION("GOOGLETRANSLATE(B35545,""en"",""de"")"),"Wir sehen den Schluss -Titelbildschirm.")</f>
        <v>Wir sehen den Schluss -Titelbildschirm.</v>
      </c>
    </row>
    <row r="35546">
      <c r="A35546" s="4" t="s">
        <v>44720</v>
      </c>
      <c r="B35546" s="4" t="s">
        <v>44721</v>
      </c>
      <c r="C35546" s="5" t="str">
        <f>IFERROR(__xludf.DUMMYFUNCTION("GOOGLETRANSLATE(B35546,""en"",""de"")"),"Zwei Männer laufen in einem geschlossenen Raum herum, der Tennisschläger hält und einen Ball durch den Raum schlägt.")</f>
        <v>Zwei Männer laufen in einem geschlossenen Raum herum, der Tennisschläger hält und einen Ball durch den Raum schlägt.</v>
      </c>
    </row>
    <row r="35547">
      <c r="A35547" s="4" t="s">
        <v>44720</v>
      </c>
      <c r="B35547" s="4" t="s">
        <v>44722</v>
      </c>
      <c r="C35547" s="5" t="str">
        <f>IFERROR(__xludf.DUMMYFUNCTION("GOOGLETRANSLATE(B35547,""en"",""de"")"),"Die Männer schlagen den Ball weiter im Raum, während die Kamera ihren Bewegungen weiter folgt.")</f>
        <v>Die Männer schlagen den Ball weiter im Raum, während die Kamera ihren Bewegungen weiter folgt.</v>
      </c>
    </row>
    <row r="35548">
      <c r="A35548" s="4" t="s">
        <v>44723</v>
      </c>
      <c r="B35548" s="4" t="s">
        <v>44724</v>
      </c>
      <c r="C35548" s="5" t="str">
        <f>IFERROR(__xludf.DUMMYFUNCTION("GOOGLETRANSLATE(B35548,""en"",""de"")"),"Männer schwimmen mehr oder weniger synchron mit den Volleyballs.")</f>
        <v>Männer schwimmen mehr oder weniger synchron mit den Volleyballs.</v>
      </c>
    </row>
    <row r="35549">
      <c r="A35549" s="4" t="s">
        <v>44723</v>
      </c>
      <c r="B35549" s="4" t="s">
        <v>44725</v>
      </c>
      <c r="C35549" s="5" t="str">
        <f>IFERROR(__xludf.DUMMYFUNCTION("GOOGLETRANSLATE(B35549,""en"",""de"")"),"Sie halten an und bekommen einen Kreis im Pool und werfen den Ball untereinander.")</f>
        <v>Sie halten an und bekommen einen Kreis im Pool und werfen den Ball untereinander.</v>
      </c>
    </row>
    <row r="35550">
      <c r="A35550" s="4" t="s">
        <v>44723</v>
      </c>
      <c r="B35550" s="4" t="s">
        <v>44726</v>
      </c>
      <c r="C35550" s="5" t="str">
        <f>IFERROR(__xludf.DUMMYFUNCTION("GOOGLETRANSLATE(B35550,""en"",""de"")"),"Danach fangen sie an zu schwimmen und werfen ein bisschen.")</f>
        <v>Danach fangen sie an zu schwimmen und werfen ein bisschen.</v>
      </c>
    </row>
    <row r="35551">
      <c r="A35551" s="4" t="s">
        <v>44723</v>
      </c>
      <c r="B35551" s="4" t="s">
        <v>44727</v>
      </c>
      <c r="C35551" s="5" t="str">
        <f>IFERROR(__xludf.DUMMYFUNCTION("GOOGLETRANSLATE(B35551,""en"",""de"")"),"Danach stellten sie alles zusammen und jeder tritt ein, um zu spielen.")</f>
        <v>Danach stellten sie alles zusammen und jeder tritt ein, um zu spielen.</v>
      </c>
    </row>
    <row r="35552">
      <c r="A35552" s="4" t="s">
        <v>44728</v>
      </c>
      <c r="B35552" s="4" t="s">
        <v>44729</v>
      </c>
      <c r="C35552" s="5" t="str">
        <f>IFERROR(__xludf.DUMMYFUNCTION("GOOGLETRANSLATE(B35552,""en"",""de"")"),"Ein Kind, das am Restauranttisch sitzt, setzt seine Hände in ein Dessert.")</f>
        <v>Ein Kind, das am Restauranttisch sitzt, setzt seine Hände in ein Dessert.</v>
      </c>
    </row>
    <row r="35553">
      <c r="A35553" s="4" t="s">
        <v>44728</v>
      </c>
      <c r="B35553" s="4" t="s">
        <v>44730</v>
      </c>
      <c r="C35553" s="5" t="str">
        <f>IFERROR(__xludf.DUMMYFUNCTION("GOOGLETRANSLATE(B35553,""en"",""de"")"),"Das Kind benutzt seine Hände, um das Essen zu essen.")</f>
        <v>Das Kind benutzt seine Hände, um das Essen zu essen.</v>
      </c>
    </row>
    <row r="35554">
      <c r="A35554" s="4" t="s">
        <v>44728</v>
      </c>
      <c r="B35554" s="4" t="s">
        <v>44731</v>
      </c>
      <c r="C35554" s="5" t="str">
        <f>IFERROR(__xludf.DUMMYFUNCTION("GOOGLETRANSLATE(B35554,""en"",""de"")"),"Der Erwachsene hält das Kind davon ab, das Essen auf den Boden zu verschütten, und hilft ihm, es zu ernähren.")</f>
        <v>Der Erwachsene hält das Kind davon ab, das Essen auf den Boden zu verschütten, und hilft ihm, es zu ernähren.</v>
      </c>
    </row>
    <row r="35555">
      <c r="A35555" s="4" t="s">
        <v>44732</v>
      </c>
      <c r="B35555" s="4" t="s">
        <v>44733</v>
      </c>
      <c r="C35555" s="5" t="str">
        <f>IFERROR(__xludf.DUMMYFUNCTION("GOOGLETRANSLATE(B35555,""en"",""de"")"),"Das Video zeigt das Firmenlogo für eine Dachdeckerfirma.")</f>
        <v>Das Video zeigt das Firmenlogo für eine Dachdeckerfirma.</v>
      </c>
    </row>
    <row r="35556">
      <c r="A35556" s="4" t="s">
        <v>44732</v>
      </c>
      <c r="B35556" s="4" t="s">
        <v>44734</v>
      </c>
      <c r="C35556" s="5" t="str">
        <f>IFERROR(__xludf.DUMMYFUNCTION("GOOGLETRANSLATE(B35556,""en"",""de"")"),"Eine Stimme ist zu hören, die die Schritte zum Auftragen von Kämmen auf ein Dach rezitiert.")</f>
        <v>Eine Stimme ist zu hören, die die Schritte zum Auftragen von Kämmen auf ein Dach rezitiert.</v>
      </c>
    </row>
    <row r="35557">
      <c r="A35557" s="4" t="s">
        <v>44732</v>
      </c>
      <c r="B35557" s="4" t="s">
        <v>44735</v>
      </c>
      <c r="C35557" s="5" t="str">
        <f>IFERROR(__xludf.DUMMYFUNCTION("GOOGLETRANSLATE(B35557,""en"",""de"")"),"Wenn die Stimme die Schritte rezitiert, wird ein älterer Mann auf Video angezeigt, das diese Schritte auf einem Dach ausführt.")</f>
        <v>Wenn die Stimme die Schritte rezitiert, wird ein älterer Mann auf Video angezeigt, das diese Schritte auf einem Dach ausführt.</v>
      </c>
    </row>
    <row r="35558">
      <c r="A35558" s="4" t="s">
        <v>44732</v>
      </c>
      <c r="B35558" s="4" t="s">
        <v>44736</v>
      </c>
      <c r="C35558" s="5" t="str">
        <f>IFERROR(__xludf.DUMMYFUNCTION("GOOGLETRANSLATE(B35558,""en"",""de"")"),"Wie die Stimme sagt, dass die Schritte abgeschlossen sind, zeigt der letzte Schuss eine Nahaufnahme der fertigen Kämme.")</f>
        <v>Wie die Stimme sagt, dass die Schritte abgeschlossen sind, zeigt der letzte Schuss eine Nahaufnahme der fertigen Kämme.</v>
      </c>
    </row>
    <row r="35559">
      <c r="A35559" s="4" t="s">
        <v>44732</v>
      </c>
      <c r="B35559" s="4" t="s">
        <v>44737</v>
      </c>
      <c r="C35559" s="5" t="str">
        <f>IFERROR(__xludf.DUMMYFUNCTION("GOOGLETRANSLATE(B35559,""en"",""de"")"),"Das Video endet mit dem Firmenlogo.")</f>
        <v>Das Video endet mit dem Firmenlogo.</v>
      </c>
    </row>
    <row r="35560">
      <c r="A35560" s="4" t="s">
        <v>44738</v>
      </c>
      <c r="B35560" s="4" t="s">
        <v>44739</v>
      </c>
      <c r="C35560" s="5" t="str">
        <f>IFERROR(__xludf.DUMMYFUNCTION("GOOGLETRANSLATE(B35560,""en"",""de"")"),"Ein junger Mann wäscht Kleidung in einem Waschbecken, als er mit der Kamera spricht.")</f>
        <v>Ein junger Mann wäscht Kleidung in einem Waschbecken, als er mit der Kamera spricht.</v>
      </c>
    </row>
    <row r="35561">
      <c r="A35561" s="4" t="s">
        <v>44738</v>
      </c>
      <c r="B35561" s="4" t="s">
        <v>44740</v>
      </c>
      <c r="C35561" s="5" t="str">
        <f>IFERROR(__xludf.DUMMYFUNCTION("GOOGLETRANSLATE(B35561,""en"",""de"")"),"Anfangs beginnt er, die Kleidung mit beiden Händen zu waschen.")</f>
        <v>Anfangs beginnt er, die Kleidung mit beiden Händen zu waschen.</v>
      </c>
    </row>
    <row r="35562">
      <c r="A35562" s="4" t="s">
        <v>44738</v>
      </c>
      <c r="B35562" s="4" t="s">
        <v>44741</v>
      </c>
      <c r="C35562" s="5" t="str">
        <f>IFERROR(__xludf.DUMMYFUNCTION("GOOGLETRANSLATE(B35562,""en"",""de"")"),"Danach fügt er mehr Seife mit zwei verschiedenen Flaschen in die Spüle hinzu.")</f>
        <v>Danach fügt er mehr Seife mit zwei verschiedenen Flaschen in die Spüle hinzu.</v>
      </c>
    </row>
    <row r="35563">
      <c r="A35563" s="4" t="s">
        <v>44738</v>
      </c>
      <c r="B35563" s="4" t="s">
        <v>44742</v>
      </c>
      <c r="C35563" s="5" t="str">
        <f>IFERROR(__xludf.DUMMYFUNCTION("GOOGLETRANSLATE(B35563,""en"",""de"")"),"Anschließend wäscht er die Kleidung, als er mit der Kamera spricht.")</f>
        <v>Anschließend wäscht er die Kleidung, als er mit der Kamera spricht.</v>
      </c>
    </row>
    <row r="35564">
      <c r="A35564" s="4" t="s">
        <v>44743</v>
      </c>
      <c r="B35564" s="4" t="s">
        <v>44744</v>
      </c>
      <c r="C35564" s="5" t="str">
        <f>IFERROR(__xludf.DUMMYFUNCTION("GOOGLETRANSLATE(B35564,""en"",""de"")"),"Ein Mann, der schwarze Hemden mit einem Grafikdesign trägt, sitzt in der Nähe eines Tisches mit Spirituosenflaschen und einem Shaker.")</f>
        <v>Ein Mann, der schwarze Hemden mit einem Grafikdesign trägt, sitzt in der Nähe eines Tisches mit Spirituosenflaschen und einem Shaker.</v>
      </c>
    </row>
    <row r="35565">
      <c r="A35565" s="4" t="s">
        <v>44743</v>
      </c>
      <c r="B35565" s="4" t="s">
        <v>44745</v>
      </c>
      <c r="C35565" s="5" t="str">
        <f>IFERROR(__xludf.DUMMYFUNCTION("GOOGLETRANSLATE(B35565,""en"",""de"")"),"Er zeigt, wie man ein saisonales alkoholisches Getränk macht.")</f>
        <v>Er zeigt, wie man ein saisonales alkoholisches Getränk macht.</v>
      </c>
    </row>
    <row r="35566">
      <c r="A35566" s="4" t="s">
        <v>44743</v>
      </c>
      <c r="B35566" s="4" t="s">
        <v>44746</v>
      </c>
      <c r="C35566" s="5" t="str">
        <f>IFERROR(__xludf.DUMMYFUNCTION("GOOGLETRANSLATE(B35566,""en"",""de"")"),"Er nimmt die Schnapsflaschen auf, die er für die Getränke verwenden wird.")</f>
        <v>Er nimmt die Schnapsflaschen auf, die er für die Getränke verwenden wird.</v>
      </c>
    </row>
    <row r="35567">
      <c r="A35567" s="4" t="s">
        <v>44743</v>
      </c>
      <c r="B35567" s="4" t="s">
        <v>44747</v>
      </c>
      <c r="C35567" s="5" t="str">
        <f>IFERROR(__xludf.DUMMYFUNCTION("GOOGLETRANSLATE(B35567,""en"",""de"")"),"Er verwendet den Jigger, um die erforderlichen Zutaten in den Shaker zu messen und dann zu gießen.")</f>
        <v>Er verwendet den Jigger, um die erforderlichen Zutaten in den Shaker zu messen und dann zu gießen.</v>
      </c>
    </row>
    <row r="35568">
      <c r="A35568" s="4" t="s">
        <v>44743</v>
      </c>
      <c r="B35568" s="4" t="s">
        <v>44748</v>
      </c>
      <c r="C35568" s="5" t="str">
        <f>IFERROR(__xludf.DUMMYFUNCTION("GOOGLETRANSLATE(B35568,""en"",""de"")"),"Dann fügt er der Mischung etwas Creme hinzu.")</f>
        <v>Dann fügt er der Mischung etwas Creme hinzu.</v>
      </c>
    </row>
    <row r="35569">
      <c r="A35569" s="4" t="s">
        <v>44743</v>
      </c>
      <c r="B35569" s="4" t="s">
        <v>44749</v>
      </c>
      <c r="C35569" s="5" t="str">
        <f>IFERROR(__xludf.DUMMYFUNCTION("GOOGLETRANSLATE(B35569,""en"",""de"")"),"Er fügt ein paar Eiswürfel in den Schüttler hinzu.")</f>
        <v>Er fügt ein paar Eiswürfel in den Schüttler hinzu.</v>
      </c>
    </row>
    <row r="35570">
      <c r="A35570" s="4" t="s">
        <v>44743</v>
      </c>
      <c r="B35570" s="4" t="s">
        <v>44750</v>
      </c>
      <c r="C35570" s="5" t="str">
        <f>IFERROR(__xludf.DUMMYFUNCTION("GOOGLETRANSLATE(B35570,""en"",""de"")"),"Dann schüttelt er kräftig das Getränk und gießt in ein konisches Glas.")</f>
        <v>Dann schüttelt er kräftig das Getränk und gießt in ein konisches Glas.</v>
      </c>
    </row>
    <row r="35571">
      <c r="A35571" s="4" t="s">
        <v>44743</v>
      </c>
      <c r="B35571" s="4" t="s">
        <v>44751</v>
      </c>
      <c r="C35571" s="5" t="str">
        <f>IFERROR(__xludf.DUMMYFUNCTION("GOOGLETRANSLATE(B35571,""en"",""de"")"),"Dann taucht er das Getränk mit Schlagsahne aus einer Dose an und legt eine Kirsche auf die Oberseite.")</f>
        <v>Dann taucht er das Getränk mit Schlagsahne aus einer Dose an und legt eine Kirsche auf die Oberseite.</v>
      </c>
    </row>
    <row r="35572">
      <c r="A35572" s="4" t="s">
        <v>44743</v>
      </c>
      <c r="B35572" s="4" t="s">
        <v>44752</v>
      </c>
      <c r="C35572" s="5" t="str">
        <f>IFERROR(__xludf.DUMMYFUNCTION("GOOGLETRANSLATE(B35572,""en"",""de"")"),"Er gibt Informationen über seine Facebook -Seite und andere Details.")</f>
        <v>Er gibt Informationen über seine Facebook -Seite und andere Details.</v>
      </c>
    </row>
    <row r="35573">
      <c r="A35573" s="4" t="s">
        <v>44753</v>
      </c>
      <c r="B35573" s="4" t="s">
        <v>44754</v>
      </c>
      <c r="C35573" s="5" t="str">
        <f>IFERROR(__xludf.DUMMYFUNCTION("GOOGLETRANSLATE(B35573,""en"",""de"")"),"Eine Frau verwendet ein Eisen auf einem Brett.")</f>
        <v>Eine Frau verwendet ein Eisen auf einem Brett.</v>
      </c>
    </row>
    <row r="35574">
      <c r="A35574" s="4" t="s">
        <v>44753</v>
      </c>
      <c r="B35574" s="4" t="s">
        <v>44755</v>
      </c>
      <c r="C35574" s="5" t="str">
        <f>IFERROR(__xludf.DUMMYFUNCTION("GOOGLETRANSLATE(B35574,""en"",""de"")"),"Sie zeigt, wie man Babykleidung bügelt.")</f>
        <v>Sie zeigt, wie man Babykleidung bügelt.</v>
      </c>
    </row>
    <row r="35575">
      <c r="A35575" s="4" t="s">
        <v>44753</v>
      </c>
      <c r="B35575" s="4" t="s">
        <v>44756</v>
      </c>
      <c r="C35575" s="5" t="str">
        <f>IFERROR(__xludf.DUMMYFUNCTION("GOOGLETRANSLATE(B35575,""en"",""de"")"),"Sie dreht die Kleidung um und bastelt sie auf, während sie geht.")</f>
        <v>Sie dreht die Kleidung um und bastelt sie auf, während sie geht.</v>
      </c>
    </row>
    <row r="35576">
      <c r="A35576" s="4" t="s">
        <v>44757</v>
      </c>
      <c r="B35576" s="4" t="s">
        <v>44758</v>
      </c>
      <c r="C35576" s="5" t="str">
        <f>IFERROR(__xludf.DUMMYFUNCTION("GOOGLETRANSLATE(B35576,""en"",""de"")"),"Ein Mann steckt eine Mähmaschine, dann drängt er den Mäher, das Gras in einem Garten zu schneiden.")</f>
        <v>Ein Mann steckt eine Mähmaschine, dann drängt er den Mäher, das Gras in einem Garten zu schneiden.</v>
      </c>
    </row>
    <row r="35577">
      <c r="A35577" s="4" t="s">
        <v>44757</v>
      </c>
      <c r="B35577" s="4" t="s">
        <v>44759</v>
      </c>
      <c r="C35577" s="5" t="str">
        <f>IFERROR(__xludf.DUMMYFUNCTION("GOOGLETRANSLATE(B35577,""en"",""de"")"),"Danach schneidet der Mann das Gras an den Grenzen mit Gartenschere.")</f>
        <v>Danach schneidet der Mann das Gras an den Grenzen mit Gartenschere.</v>
      </c>
    </row>
    <row r="35578">
      <c r="A35578" s="4" t="s">
        <v>44760</v>
      </c>
      <c r="B35578" s="4" t="s">
        <v>44761</v>
      </c>
      <c r="C35578" s="5" t="str">
        <f>IFERROR(__xludf.DUMMYFUNCTION("GOOGLETRANSLATE(B35578,""en"",""de"")"),"Zwei Wrestler sind auf einem Ring auf und streiten sich.")</f>
        <v>Zwei Wrestler sind auf einem Ring auf und streiten sich.</v>
      </c>
    </row>
    <row r="35579">
      <c r="A35579" s="4" t="s">
        <v>44760</v>
      </c>
      <c r="B35579" s="4" t="s">
        <v>44762</v>
      </c>
      <c r="C35579" s="5" t="str">
        <f>IFERROR(__xludf.DUMMYFUNCTION("GOOGLETRANSLATE(B35579,""en"",""de"")"),"Der Schiedsrichter steht bereit und weist sie an, was zu tun ist.")</f>
        <v>Der Schiedsrichter steht bereit und weist sie an, was zu tun ist.</v>
      </c>
    </row>
    <row r="35580">
      <c r="A35580" s="4" t="s">
        <v>44760</v>
      </c>
      <c r="B35580" s="4" t="s">
        <v>44763</v>
      </c>
      <c r="C35580" s="5" t="str">
        <f>IFERROR(__xludf.DUMMYFUNCTION("GOOGLETRANSLATE(B35580,""en"",""de"")"),"Sie kommen endlich zum Arm, der ringen.")</f>
        <v>Sie kommen endlich zum Arm, der ringen.</v>
      </c>
    </row>
    <row r="35581">
      <c r="A35581" s="4" t="s">
        <v>44760</v>
      </c>
      <c r="B35581" s="4" t="s">
        <v>44764</v>
      </c>
      <c r="C35581" s="5" t="str">
        <f>IFERROR(__xludf.DUMMYFUNCTION("GOOGLETRANSLATE(B35581,""en"",""de"")"),"Die Menge um sie herum jubelt weiter.")</f>
        <v>Die Menge um sie herum jubelt weiter.</v>
      </c>
    </row>
    <row r="35582">
      <c r="A35582" s="4" t="s">
        <v>44760</v>
      </c>
      <c r="B35582" s="4" t="s">
        <v>44765</v>
      </c>
      <c r="C35582" s="5" t="str">
        <f>IFERROR(__xludf.DUMMYFUNCTION("GOOGLETRANSLATE(B35582,""en"",""de"")"),"Ein Mann springt auf den Ring und beginnt mit einem der Wrestler zu kämpfen.")</f>
        <v>Ein Mann springt auf den Ring und beginnt mit einem der Wrestler zu kämpfen.</v>
      </c>
    </row>
    <row r="35583">
      <c r="A35583" s="4" t="s">
        <v>44760</v>
      </c>
      <c r="B35583" s="4" t="s">
        <v>44766</v>
      </c>
      <c r="C35583" s="5" t="str">
        <f>IFERROR(__xludf.DUMMYFUNCTION("GOOGLETRANSLATE(B35583,""en"",""de"")"),"Der Mann verlässt den Ring und der Wrestler nähert sich dem anderen Wrestler und schlägt ihn zu Boden.")</f>
        <v>Der Mann verlässt den Ring und der Wrestler nähert sich dem anderen Wrestler und schlägt ihn zu Boden.</v>
      </c>
    </row>
    <row r="35584">
      <c r="A35584" s="4" t="s">
        <v>44760</v>
      </c>
      <c r="B35584" s="4" t="s">
        <v>44767</v>
      </c>
      <c r="C35584" s="5" t="str">
        <f>IFERROR(__xludf.DUMMYFUNCTION("GOOGLETRANSLATE(B35584,""en"",""de"")"),"Der Wrestler feiert seinen Sieg.")</f>
        <v>Der Wrestler feiert seinen Sieg.</v>
      </c>
    </row>
    <row r="35585">
      <c r="A35585" s="4" t="s">
        <v>44768</v>
      </c>
      <c r="B35585" s="4" t="s">
        <v>44769</v>
      </c>
      <c r="C35585" s="5" t="str">
        <f>IFERROR(__xludf.DUMMYFUNCTION("GOOGLETRANSLATE(B35585,""en"",""de"")"),"Zwei kleine Jungen retten in einem Garten, während ein kleines Mädchen mit ihnen zuschaut und geht, während sie retten.")</f>
        <v>Zwei kleine Jungen retten in einem Garten, während ein kleines Mädchen mit ihnen zuschaut und geht, während sie retten.</v>
      </c>
    </row>
    <row r="35586">
      <c r="A35586" s="4" t="s">
        <v>44768</v>
      </c>
      <c r="B35586" s="4" t="s">
        <v>44770</v>
      </c>
      <c r="C35586" s="5" t="str">
        <f>IFERROR(__xludf.DUMMYFUNCTION("GOOGLETRANSLATE(B35586,""en"",""de"")"),"Die beiden kleinen Jungen rauen Blätter mit roten Rechen und ein kleines Mädchen beobachtet sie und hängt herum, während sie retten.")</f>
        <v>Die beiden kleinen Jungen rauen Blätter mit roten Rechen und ein kleines Mädchen beobachtet sie und hängt herum, während sie retten.</v>
      </c>
    </row>
    <row r="35587">
      <c r="A35587" s="4" t="s">
        <v>44768</v>
      </c>
      <c r="B35587" s="4" t="s">
        <v>44771</v>
      </c>
      <c r="C35587" s="5" t="str">
        <f>IFERROR(__xludf.DUMMYFUNCTION("GOOGLETRANSLATE(B35587,""en"",""de"")"),"Die beiden Jungen fangen rechts vom Rasen an und das kleine Mädchen rennt hinter ihnen.")</f>
        <v>Die beiden Jungen fangen rechts vom Rasen an und das kleine Mädchen rennt hinter ihnen.</v>
      </c>
    </row>
    <row r="35588">
      <c r="A35588" s="4" t="s">
        <v>44768</v>
      </c>
      <c r="B35588" s="4" t="s">
        <v>44772</v>
      </c>
      <c r="C35588" s="5" t="str">
        <f>IFERROR(__xludf.DUMMYFUNCTION("GOOGLETRANSLATE(B35588,""en"",""de"")"),"Die Jungen drehen sich dann um und beginnen auf die rechte Seite des Rasens.")</f>
        <v>Die Jungen drehen sich dann um und beginnen auf die rechte Seite des Rasens.</v>
      </c>
    </row>
    <row r="35589">
      <c r="A35589" s="4" t="s">
        <v>44773</v>
      </c>
      <c r="B35589" s="4" t="s">
        <v>44774</v>
      </c>
      <c r="C35589" s="5" t="str">
        <f>IFERROR(__xludf.DUMMYFUNCTION("GOOGLETRANSLATE(B35589,""en"",""de"")"),"Little Kid steht in einem Pool, der einen gelben Eimer im Wasser herausstreicht, und andere Peolpe sitzen in Bänken um den Pool.")</f>
        <v>Little Kid steht in einem Pool, der einen gelben Eimer im Wasser herausstreicht, und andere Peolpe sitzen in Bänken um den Pool.</v>
      </c>
    </row>
    <row r="35590">
      <c r="A35590" s="4" t="s">
        <v>44773</v>
      </c>
      <c r="B35590" s="4" t="s">
        <v>44775</v>
      </c>
      <c r="C35590" s="5" t="str">
        <f>IFERROR(__xludf.DUMMYFUNCTION("GOOGLETRANSLATE(B35590,""en"",""de"")"),"Frau trägt das Kind auf dem Rücken und dann ist sie mit einem Mann und dem Kind, das Fahrräder im Park reitet.")</f>
        <v>Frau trägt das Kind auf dem Rücken und dann ist sie mit einem Mann und dem Kind, das Fahrräder im Park reitet.</v>
      </c>
    </row>
    <row r="35591">
      <c r="A35591" s="4" t="s">
        <v>44773</v>
      </c>
      <c r="B35591" s="4" t="s">
        <v>44776</v>
      </c>
      <c r="C35591" s="5" t="str">
        <f>IFERROR(__xludf.DUMMYFUNCTION("GOOGLETRANSLATE(B35591,""en"",""de"")"),"Kid rennt in einem überdachten Korbgericht.")</f>
        <v>Kid rennt in einem überdachten Korbgericht.</v>
      </c>
    </row>
    <row r="35592">
      <c r="A35592" s="4" t="s">
        <v>44773</v>
      </c>
      <c r="B35592" s="4" t="s">
        <v>44777</v>
      </c>
      <c r="C35592" s="5" t="str">
        <f>IFERROR(__xludf.DUMMYFUNCTION("GOOGLETRANSLATE(B35592,""en"",""de"")"),"Das Kind legt mit einem Tennisschläger.")</f>
        <v>Das Kind legt mit einem Tennisschläger.</v>
      </c>
    </row>
    <row r="35593">
      <c r="A35593" s="4" t="s">
        <v>44778</v>
      </c>
      <c r="B35593" s="4" t="s">
        <v>44779</v>
      </c>
      <c r="C35593" s="5" t="str">
        <f>IFERROR(__xludf.DUMMYFUNCTION("GOOGLETRANSLATE(B35593,""en"",""de"")"),"Ein Junge steht neben einem Spielplatz -Sprungseil.")</f>
        <v>Ein Junge steht neben einem Spielplatz -Sprungseil.</v>
      </c>
    </row>
    <row r="35594">
      <c r="A35594" s="4" t="s">
        <v>44778</v>
      </c>
      <c r="B35594" s="4" t="s">
        <v>44780</v>
      </c>
      <c r="C35594" s="5" t="str">
        <f>IFERROR(__xludf.DUMMYFUNCTION("GOOGLETRANSLATE(B35594,""en"",""de"")"),"Eine Person springt Seil auf einer weißen Matte.")</f>
        <v>Eine Person springt Seil auf einer weißen Matte.</v>
      </c>
    </row>
    <row r="35595">
      <c r="A35595" s="4" t="s">
        <v>44778</v>
      </c>
      <c r="B35595" s="4" t="s">
        <v>44781</v>
      </c>
      <c r="C35595" s="5" t="str">
        <f>IFERROR(__xludf.DUMMYFUNCTION("GOOGLETRANSLATE(B35595,""en"",""de"")"),"Ein Mann kniet vor einem roten Tisch auf dem Boden.")</f>
        <v>Ein Mann kniet vor einem roten Tisch auf dem Boden.</v>
      </c>
    </row>
    <row r="35596">
      <c r="A35596" s="4" t="s">
        <v>44778</v>
      </c>
      <c r="B35596" s="4" t="s">
        <v>44782</v>
      </c>
      <c r="C35596" s="5" t="str">
        <f>IFERROR(__xludf.DUMMYFUNCTION("GOOGLETRANSLATE(B35596,""en"",""de"")"),"Er steht auf und beginnt Seil zu springen.")</f>
        <v>Er steht auf und beginnt Seil zu springen.</v>
      </c>
    </row>
    <row r="35597">
      <c r="A35597" s="4" t="s">
        <v>44783</v>
      </c>
      <c r="B35597" s="4" t="s">
        <v>44784</v>
      </c>
      <c r="C35597" s="5" t="str">
        <f>IFERROR(__xludf.DUMMYFUNCTION("GOOGLETRANSLATE(B35597,""en"",""de"")"),"Ein Kind tritt auf den doppelten ungleichmäßigen Stangen auf, während sie um die Stangen umdreht.")</f>
        <v>Ein Kind tritt auf den doppelten ungleichmäßigen Stangen auf, während sie um die Stangen umdreht.</v>
      </c>
    </row>
    <row r="35598">
      <c r="A35598" s="4" t="s">
        <v>44783</v>
      </c>
      <c r="B35598" s="4" t="s">
        <v>44785</v>
      </c>
      <c r="C35598" s="5" t="str">
        <f>IFERROR(__xludf.DUMMYFUNCTION("GOOGLETRANSLATE(B35598,""en"",""de"")"),"Dann flippt das Kind und Land stehen auf dem Boden und geht dann.")</f>
        <v>Dann flippt das Kind und Land stehen auf dem Boden und geht dann.</v>
      </c>
    </row>
    <row r="35599">
      <c r="A35599" s="4" t="s">
        <v>44786</v>
      </c>
      <c r="B35599" s="4" t="s">
        <v>44787</v>
      </c>
      <c r="C35599" s="5" t="str">
        <f>IFERROR(__xludf.DUMMYFUNCTION("GOOGLETRANSLATE(B35599,""en"",""de"")"),"Das Video führt zu mehreren Clips von Track -Läufern, die über eine Bar springen, wobei der Sprung wieder in Zeitlupe gezeigt wird.")</f>
        <v>Das Video führt zu mehreren Clips von Track -Läufern, die über eine Bar springen, wobei der Sprung wieder in Zeitlupe gezeigt wird.</v>
      </c>
    </row>
    <row r="35600">
      <c r="A35600" s="4" t="s">
        <v>44786</v>
      </c>
      <c r="B35600" s="4" t="s">
        <v>44788</v>
      </c>
      <c r="C35600" s="5" t="str">
        <f>IFERROR(__xludf.DUMMYFUNCTION("GOOGLETRANSLATE(B35600,""en"",""de"")"),"Mehrere weitere Leute werden gezeigt, wie sie über die Bar springen, wobei einer die Bar schlägt und nicht überspringt.")</f>
        <v>Mehrere weitere Leute werden gezeigt, wie sie über die Bar springen, wobei einer die Bar schlägt und nicht überspringt.</v>
      </c>
    </row>
    <row r="35601">
      <c r="A35601" s="4" t="s">
        <v>44789</v>
      </c>
      <c r="B35601" s="4" t="s">
        <v>44790</v>
      </c>
      <c r="C35601" s="5" t="str">
        <f>IFERROR(__xludf.DUMMYFUNCTION("GOOGLETRANSLATE(B35601,""en"",""de"")"),"Ein Junge sitzt hinter dem Autorad, fährt und spricht mit den anderen Passagieren im Auto.")</f>
        <v>Ein Junge sitzt hinter dem Autorad, fährt und spricht mit den anderen Passagieren im Auto.</v>
      </c>
    </row>
    <row r="35602">
      <c r="A35602" s="4" t="s">
        <v>44789</v>
      </c>
      <c r="B35602" s="4" t="s">
        <v>44791</v>
      </c>
      <c r="C35602" s="5" t="str">
        <f>IFERROR(__xludf.DUMMYFUNCTION("GOOGLETRANSLATE(B35602,""en"",""de"")"),"Das Auto fährt eine kurvenreiche Autobahn hinunter, während die Kamera zwischen den Menschen zu der Zeit schwenkt.")</f>
        <v>Das Auto fährt eine kurvenreiche Autobahn hinunter, während die Kamera zwischen den Menschen zu der Zeit schwenkt.</v>
      </c>
    </row>
    <row r="35603">
      <c r="A35603" s="4" t="s">
        <v>44789</v>
      </c>
      <c r="B35603" s="4" t="s">
        <v>44792</v>
      </c>
      <c r="C35603" s="5" t="str">
        <f>IFERROR(__xludf.DUMMYFUNCTION("GOOGLETRANSLATE(B35603,""en"",""de"")"),"Die Leute im Auto kommen schließlich zu einem schneebedeckten Hang, an dem sie nicht Skikleidung anziehen und mit dem Skifahren mit den Hängen Ski fahren, Hügel hinuntergehen und von erhöhten Plattformen springen.")</f>
        <v>Die Leute im Auto kommen schließlich zu einem schneebedeckten Hang, an dem sie nicht Skikleidung anziehen und mit dem Skifahren mit den Hängen Ski fahren, Hügel hinuntergehen und von erhöhten Plattformen springen.</v>
      </c>
    </row>
    <row r="35604">
      <c r="A35604" s="4" t="s">
        <v>44789</v>
      </c>
      <c r="B35604" s="4" t="s">
        <v>44793</v>
      </c>
      <c r="C35604" s="5" t="str">
        <f>IFERROR(__xludf.DUMMYFUNCTION("GOOGLETRANSLATE(B35604,""en"",""de"")"),"An einem Punkt der Jungen fällt auf den Boden und hasst sich in der fetalen Position am Schnee.")</f>
        <v>An einem Punkt der Jungen fällt auf den Boden und hasst sich in der fetalen Position am Schnee.</v>
      </c>
    </row>
    <row r="35605">
      <c r="A35605" s="4" t="s">
        <v>44789</v>
      </c>
      <c r="B35605" s="4" t="s">
        <v>44794</v>
      </c>
      <c r="C35605" s="5" t="str">
        <f>IFERROR(__xludf.DUMMYFUNCTION("GOOGLETRANSLATE(B35605,""en"",""de"")"),"Die Szene schneidet dann zu den Jungs zu Hause in der Küche, die Dinge mit einem letzten Bild eines Jungen, der im schneebedeckten Wald steht, mit der Kamera stand.")</f>
        <v>Die Szene schneidet dann zu den Jungs zu Hause in der Küche, die Dinge mit einem letzten Bild eines Jungen, der im schneebedeckten Wald steht, mit der Kamera stand.</v>
      </c>
    </row>
    <row r="35606">
      <c r="A35606" s="4" t="s">
        <v>44795</v>
      </c>
      <c r="B35606" s="4" t="s">
        <v>44796</v>
      </c>
      <c r="C35606" s="5" t="str">
        <f>IFERROR(__xludf.DUMMYFUNCTION("GOOGLETRANSLATE(B35606,""en"",""de"")"),"Eine kleine Gruppe von Menschen steht in einem Fitnessstudio mit einem Mann vor, der vorne führt.")</f>
        <v>Eine kleine Gruppe von Menschen steht in einem Fitnessstudio mit einem Mann vor, der vorne führt.</v>
      </c>
    </row>
    <row r="35607">
      <c r="A35607" s="4" t="s">
        <v>44795</v>
      </c>
      <c r="B35607" s="4" t="s">
        <v>44797</v>
      </c>
      <c r="C35607" s="5" t="str">
        <f>IFERROR(__xludf.DUMMYFUNCTION("GOOGLETRANSLATE(B35607,""en"",""de"")"),"Der Mann führt die Gruppe in einer Übungsklasse an, die einen Strahl auf dem Boden beinhaltet.")</f>
        <v>Der Mann führt die Gruppe in einer Übungsklasse an, die einen Strahl auf dem Boden beinhaltet.</v>
      </c>
    </row>
    <row r="35608">
      <c r="A35608" s="4" t="s">
        <v>44795</v>
      </c>
      <c r="B35608" s="4" t="s">
        <v>44798</v>
      </c>
      <c r="C35608" s="5" t="str">
        <f>IFERROR(__xludf.DUMMYFUNCTION("GOOGLETRANSLATE(B35608,""en"",""de"")"),"Die Leute bewegen sich den Strahl auf und ab, während der Mann die Gruppe anklatscht und lächelt.")</f>
        <v>Die Leute bewegen sich den Strahl auf und ab, während der Mann die Gruppe anklatscht und lächelt.</v>
      </c>
    </row>
    <row r="35609">
      <c r="A35609" s="4" t="s">
        <v>44799</v>
      </c>
      <c r="B35609" s="4" t="s">
        <v>44800</v>
      </c>
      <c r="C35609" s="5" t="str">
        <f>IFERROR(__xludf.DUMMYFUNCTION("GOOGLETRANSLATE(B35609,""en"",""de"")"),"Ein Turner läuft und dreht sich dann mehrmals auf einer Innenstrecke.")</f>
        <v>Ein Turner läuft und dreht sich dann mehrmals auf einer Innenstrecke.</v>
      </c>
    </row>
    <row r="35610">
      <c r="A35610" s="4" t="s">
        <v>44799</v>
      </c>
      <c r="B35610" s="4" t="s">
        <v>44801</v>
      </c>
      <c r="C35610" s="5" t="str">
        <f>IFERROR(__xludf.DUMMYFUNCTION("GOOGLETRANSLATE(B35610,""en"",""de"")"),"Andere Mädchen folgen nach, wenn sie gehen, während sie gehen.")</f>
        <v>Andere Mädchen folgen nach, wenn sie gehen, während sie gehen.</v>
      </c>
    </row>
    <row r="35611">
      <c r="A35611" s="4" t="s">
        <v>44799</v>
      </c>
      <c r="B35611" s="4" t="s">
        <v>44802</v>
      </c>
      <c r="C35611" s="5" t="str">
        <f>IFERROR(__xludf.DUMMYFUNCTION("GOOGLETRANSLATE(B35611,""en"",""de"")"),"Sie steigen am Ende ab, Arme in der Luft.")</f>
        <v>Sie steigen am Ende ab, Arme in der Luft.</v>
      </c>
    </row>
    <row r="35612">
      <c r="A35612" s="4" t="s">
        <v>44803</v>
      </c>
      <c r="B35612" s="4" t="s">
        <v>44804</v>
      </c>
      <c r="C35612" s="5" t="str">
        <f>IFERROR(__xludf.DUMMYFUNCTION("GOOGLETRANSLATE(B35612,""en"",""de"")"),"Ein blondes kleines Kind mit großem Haar sitzt in einem Tisch und hält ein Kontaktauge und legt die Kontakte auf seine Augen.")</f>
        <v>Ein blondes kleines Kind mit großem Haar sitzt in einem Tisch und hält ein Kontaktauge und legt die Kontakte auf seine Augen.</v>
      </c>
    </row>
    <row r="35613">
      <c r="A35613" s="4" t="s">
        <v>44803</v>
      </c>
      <c r="B35613" s="4" t="s">
        <v>44805</v>
      </c>
      <c r="C35613" s="5" t="str">
        <f>IFERROR(__xludf.DUMMYFUNCTION("GOOGLETRANSLATE(B35613,""en"",""de"")"),"Little Kid spricht mit der Kamera und befindet sich in einem Tisch mit einer roten Uniform, die Kontaktlinsen auf ihre Augen legt.")</f>
        <v>Little Kid spricht mit der Kamera und befindet sich in einem Tisch mit einer roten Uniform, die Kontaktlinsen auf ihre Augen legt.</v>
      </c>
    </row>
    <row r="35614">
      <c r="A35614" s="4" t="s">
        <v>44806</v>
      </c>
      <c r="B35614" s="4" t="s">
        <v>44807</v>
      </c>
      <c r="C35614" s="5" t="str">
        <f>IFERROR(__xludf.DUMMYFUNCTION("GOOGLETRANSLATE(B35614,""en"",""de"")"),"Der Mann rennt in einem überdachten Fitnessstudio und macht einen Hochsprung.")</f>
        <v>Der Mann rennt in einem überdachten Fitnessstudio und macht einen Hochsprung.</v>
      </c>
    </row>
    <row r="35615">
      <c r="A35615" s="4" t="s">
        <v>44806</v>
      </c>
      <c r="B35615" s="4" t="s">
        <v>44808</v>
      </c>
      <c r="C35615" s="5" t="str">
        <f>IFERROR(__xludf.DUMMYFUNCTION("GOOGLETRANSLATE(B35615,""en"",""de"")"),"Der Mensch macht einen Salto in einem überdachten Fitnessstudio.")</f>
        <v>Der Mensch macht einen Salto in einem überdachten Fitnessstudio.</v>
      </c>
    </row>
    <row r="35616">
      <c r="A35616" s="4" t="s">
        <v>44806</v>
      </c>
      <c r="B35616" s="4" t="s">
        <v>44809</v>
      </c>
      <c r="C35616" s="5" t="str">
        <f>IFERROR(__xludf.DUMMYFUNCTION("GOOGLETRANSLATE(B35616,""en"",""de"")"),"Zwei Frau stehen im Fitnessstudio am springenden Mann.")</f>
        <v>Zwei Frau stehen im Fitnessstudio am springenden Mann.</v>
      </c>
    </row>
    <row r="35617">
      <c r="A35617" s="4" t="s">
        <v>44806</v>
      </c>
      <c r="B35617" s="4" t="s">
        <v>44810</v>
      </c>
      <c r="C35617" s="5" t="str">
        <f>IFERROR(__xludf.DUMMYFUNCTION("GOOGLETRANSLATE(B35617,""en"",""de"")"),"Der Mensch macht in einem überdachten Fitnessstudio in einer Rennstrecke einen Teil.")</f>
        <v>Der Mensch macht in einem überdachten Fitnessstudio in einer Rennstrecke einen Teil.</v>
      </c>
    </row>
    <row r="35618">
      <c r="A35618" s="4" t="s">
        <v>44811</v>
      </c>
      <c r="B35618" s="4" t="s">
        <v>44812</v>
      </c>
      <c r="C35618" s="5" t="str">
        <f>IFERROR(__xludf.DUMMYFUNCTION("GOOGLETRANSLATE(B35618,""en"",""de"")"),"Es gibt ein Mädchen -Gymnast, das in lila Trikots gekleidet ist, die auf einer Pferdestange in einem großen Innenstadion mit Zuschauern gefüllt sind.")</f>
        <v>Es gibt ein Mädchen -Gymnast, das in lila Trikots gekleidet ist, die auf einer Pferdestange in einem großen Innenstadion mit Zuschauern gefüllt sind.</v>
      </c>
    </row>
    <row r="35619">
      <c r="A35619" s="4" t="s">
        <v>44811</v>
      </c>
      <c r="B35619" s="4" t="s">
        <v>44813</v>
      </c>
      <c r="C35619" s="5" t="str">
        <f>IFERROR(__xludf.DUMMYFUNCTION("GOOGLETRANSLATE(B35619,""en"",""de"")"),"Sie macht weiter vorne und dreht ihren Körper auf der Pferdestange herum.")</f>
        <v>Sie macht weiter vorne und dreht ihren Körper auf der Pferdestange herum.</v>
      </c>
    </row>
    <row r="35620">
      <c r="A35620" s="4" t="s">
        <v>44811</v>
      </c>
      <c r="B35620" s="4" t="s">
        <v>44814</v>
      </c>
      <c r="C35620" s="5" t="str">
        <f>IFERROR(__xludf.DUMMYFUNCTION("GOOGLETRANSLATE(B35620,""en"",""de"")"),"Sie geht die gesamte Pferdestange und springt schließlich von der Pferdestange, um ihre Runde erfolgreich zu beenden.")</f>
        <v>Sie geht die gesamte Pferdestange und springt schließlich von der Pferdestange, um ihre Runde erfolgreich zu beenden.</v>
      </c>
    </row>
    <row r="35621">
      <c r="A35621" s="4" t="s">
        <v>44811</v>
      </c>
      <c r="B35621" s="4" t="s">
        <v>44815</v>
      </c>
      <c r="C35621" s="5" t="str">
        <f>IFERROR(__xludf.DUMMYFUNCTION("GOOGLETRANSLATE(B35621,""en"",""de"")"),"Als sie runterspringt und weggeht, jubelt die Menge und applaudiert laut.")</f>
        <v>Als sie runterspringt und weggeht, jubelt die Menge und applaudiert laut.</v>
      </c>
    </row>
    <row r="35622">
      <c r="A35622" s="4" t="s">
        <v>44816</v>
      </c>
      <c r="B35622" s="4" t="s">
        <v>44817</v>
      </c>
      <c r="C35622" s="5" t="str">
        <f>IFERROR(__xludf.DUMMYFUNCTION("GOOGLETRANSLATE(B35622,""en"",""de"")"),"Es wird ein blaues Floß gezeigt und eine Gruppe von Menschen wird gezeigt, die sie auf einen Stapel werfen.")</f>
        <v>Es wird ein blaues Floß gezeigt und eine Gruppe von Menschen wird gezeigt, die sie auf einen Stapel werfen.</v>
      </c>
    </row>
    <row r="35623">
      <c r="A35623" s="4" t="s">
        <v>44816</v>
      </c>
      <c r="B35623" s="4" t="s">
        <v>44818</v>
      </c>
      <c r="C35623" s="5" t="str">
        <f>IFERROR(__xludf.DUMMYFUNCTION("GOOGLETRANSLATE(B35623,""en"",""de"")"),"Schließlich sind sie am Wasser und ungefähr acht von ihnen sitzen auf dem Floß, das das Wasser entlang fährt.")</f>
        <v>Schließlich sind sie am Wasser und ungefähr acht von ihnen sitzen auf dem Floß, das das Wasser entlang fährt.</v>
      </c>
    </row>
    <row r="35624">
      <c r="A35624" s="4" t="s">
        <v>44816</v>
      </c>
      <c r="B35624" s="4" t="s">
        <v>44819</v>
      </c>
      <c r="C35624" s="5" t="str">
        <f>IFERROR(__xludf.DUMMYFUNCTION("GOOGLETRANSLATE(B35624,""en"",""de"")"),"Nach einer bestimmten Entfernung begegnen sie auf einen Felsen und eine große Welle und alle flippen aus dem Floß.")</f>
        <v>Nach einer bestimmten Entfernung begegnen sie auf einen Felsen und eine große Welle und alle flippen aus dem Floß.</v>
      </c>
    </row>
    <row r="35625">
      <c r="A35625" s="4" t="s">
        <v>44816</v>
      </c>
      <c r="B35625" s="4" t="s">
        <v>44820</v>
      </c>
      <c r="C35625" s="5" t="str">
        <f>IFERROR(__xludf.DUMMYFUNCTION("GOOGLETRANSLATE(B35625,""en"",""de"")"),"Das Rafting geht weiter und schließlich werden sie alle gezeigt, dass sie draußen auf einem Feld in einem großen Kreis stehen und über eine gut gemachte Arbeit trinken und trinken.")</f>
        <v>Das Rafting geht weiter und schließlich werden sie alle gezeigt, dass sie draußen auf einem Feld in einem großen Kreis stehen und über eine gut gemachte Arbeit trinken und trinken.</v>
      </c>
    </row>
    <row r="35626">
      <c r="A35626" s="4" t="s">
        <v>44821</v>
      </c>
      <c r="B35626" s="4" t="s">
        <v>44822</v>
      </c>
      <c r="C35626" s="5" t="str">
        <f>IFERROR(__xludf.DUMMYFUNCTION("GOOGLETRANSLATE(B35626,""en"",""de"")"),"Damen spielen draußen Volleyball.")</f>
        <v>Damen spielen draußen Volleyball.</v>
      </c>
    </row>
    <row r="35627">
      <c r="A35627" s="4" t="s">
        <v>44821</v>
      </c>
      <c r="B35627" s="4" t="s">
        <v>44823</v>
      </c>
      <c r="C35627" s="5" t="str">
        <f>IFERROR(__xludf.DUMMYFUNCTION("GOOGLETRANSLATE(B35627,""en"",""de"")"),"Eine Frau schlägt zweimal den Ball.")</f>
        <v>Eine Frau schlägt zweimal den Ball.</v>
      </c>
    </row>
    <row r="35628">
      <c r="A35628" s="4" t="s">
        <v>44821</v>
      </c>
      <c r="B35628" s="4" t="s">
        <v>44824</v>
      </c>
      <c r="C35628" s="5" t="str">
        <f>IFERROR(__xludf.DUMMYFUNCTION("GOOGLETRANSLATE(B35628,""en"",""de"")"),"Eine Dame berührt den Arm eines Teamkollegen.")</f>
        <v>Eine Dame berührt den Arm eines Teamkollegen.</v>
      </c>
    </row>
    <row r="35629">
      <c r="A35629" s="4" t="s">
        <v>44825</v>
      </c>
      <c r="B35629" s="4" t="s">
        <v>44826</v>
      </c>
      <c r="C35629" s="5" t="str">
        <f>IFERROR(__xludf.DUMMYFUNCTION("GOOGLETRANSLATE(B35629,""en"",""de"")"),"Ein Trainer richtet eine Gruppe von Teenagern in einem Basketballplatz aus, der Teenager an der Front hält einen Basketballball.")</f>
        <v>Ein Trainer richtet eine Gruppe von Teenagern in einem Basketballplatz aus, der Teenager an der Front hält einen Basketballball.</v>
      </c>
    </row>
    <row r="35630">
      <c r="A35630" s="4" t="s">
        <v>44825</v>
      </c>
      <c r="B35630" s="4" t="s">
        <v>44827</v>
      </c>
      <c r="C35630" s="5" t="str">
        <f>IFERROR(__xludf.DUMMYFUNCTION("GOOGLETRANSLATE(B35630,""en"",""de"")"),"Drei Teenager rennen und ein Junge wirft den Basketball in den Korb, dann packt der zweite Teenager den Ball und gibt den Ball zu zwei Teenagern, um den Ball zu haben.")</f>
        <v>Drei Teenager rennen und ein Junge wirft den Basketball in den Korb, dann packt der zweite Teenager den Ball und gibt den Ball zu zwei Teenagern, um den Ball zu haben.</v>
      </c>
    </row>
    <row r="35631">
      <c r="A35631" s="4" t="s">
        <v>44825</v>
      </c>
      <c r="B35631" s="4" t="s">
        <v>44828</v>
      </c>
      <c r="C35631" s="5" t="str">
        <f>IFERROR(__xludf.DUMMYFUNCTION("GOOGLETRANSLATE(B35631,""en"",""de"")"),"Dann rennen drei weitere Jungen, um dieselben Schritte zu üben.")</f>
        <v>Dann rennen drei weitere Jungen, um dieselben Schritte zu üben.</v>
      </c>
    </row>
    <row r="35632">
      <c r="A35632" s="4" t="s">
        <v>44825</v>
      </c>
      <c r="B35632" s="4" t="s">
        <v>44829</v>
      </c>
      <c r="C35632" s="5" t="str">
        <f>IFERROR(__xludf.DUMMYFUNCTION("GOOGLETRANSLATE(B35632,""en"",""de"")"),"Ein junger Mann, der ein gelbes T-Shirt trägt, übt auf dem anderen Basketball-Tor Basketball.")</f>
        <v>Ein junger Mann, der ein gelbes T-Shirt trägt, übt auf dem anderen Basketball-Tor Basketball.</v>
      </c>
    </row>
    <row r="35633">
      <c r="A35633" s="4" t="s">
        <v>44825</v>
      </c>
      <c r="B35633" s="4" t="s">
        <v>44830</v>
      </c>
      <c r="C35633" s="5" t="str">
        <f>IFERROR(__xludf.DUMMYFUNCTION("GOOGLETRANSLATE(B35633,""en"",""de"")"),"Danach rennt eine Gruppe von drei Jungen, um Basketball zu schießen und zu blockieren.")</f>
        <v>Danach rennt eine Gruppe von drei Jungen, um Basketball zu schießen und zu blockieren.</v>
      </c>
    </row>
    <row r="35634">
      <c r="A35634" s="4" t="s">
        <v>44831</v>
      </c>
      <c r="B35634" s="4" t="s">
        <v>44832</v>
      </c>
      <c r="C35634" s="5" t="str">
        <f>IFERROR(__xludf.DUMMYFUNCTION("GOOGLETRANSLATE(B35634,""en"",""de"")"),"Ein Athlet steht auf einem Feld.")</f>
        <v>Ein Athlet steht auf einem Feld.</v>
      </c>
    </row>
    <row r="35635">
      <c r="A35635" s="4" t="s">
        <v>44831</v>
      </c>
      <c r="B35635" s="4" t="s">
        <v>44833</v>
      </c>
      <c r="C35635" s="5" t="str">
        <f>IFERROR(__xludf.DUMMYFUNCTION("GOOGLETRANSLATE(B35635,""en"",""de"")"),"Er hält eine große Stahlkugel.")</f>
        <v>Er hält eine große Stahlkugel.</v>
      </c>
    </row>
    <row r="35636">
      <c r="A35636" s="4" t="s">
        <v>44831</v>
      </c>
      <c r="B35636" s="4" t="s">
        <v>44834</v>
      </c>
      <c r="C35636" s="5" t="str">
        <f>IFERROR(__xludf.DUMMYFUNCTION("GOOGLETRANSLATE(B35636,""en"",""de"")"),"Er dreht sich und wirft den Ball, dann geht er um die Strecke und wartet auf seine nächste Runde.")</f>
        <v>Er dreht sich und wirft den Ball, dann geht er um die Strecke und wartet auf seine nächste Runde.</v>
      </c>
    </row>
    <row r="35637">
      <c r="A35637" s="4" t="s">
        <v>44835</v>
      </c>
      <c r="B35637" s="4" t="s">
        <v>44836</v>
      </c>
      <c r="C35637" s="5" t="str">
        <f>IFERROR(__xludf.DUMMYFUNCTION("GOOGLETRANSLATE(B35637,""en"",""de"")"),"Es gibt einige Leute, die in ihrem Hinterhof Krocket spielen, der mit Herbstblättern bedeckt ist.")</f>
        <v>Es gibt einige Leute, die in ihrem Hinterhof Krocket spielen, der mit Herbstblättern bedeckt ist.</v>
      </c>
    </row>
    <row r="35638">
      <c r="A35638" s="4" t="s">
        <v>44835</v>
      </c>
      <c r="B35638" s="4" t="s">
        <v>44837</v>
      </c>
      <c r="C35638" s="5" t="str">
        <f>IFERROR(__xludf.DUMMYFUNCTION("GOOGLETRANSLATE(B35638,""en"",""de"")"),"Es gibt einen Teenager und ein Teenager -Mädchen, das auf einigen Holzbrettern Krocket spielt.")</f>
        <v>Es gibt einen Teenager und ein Teenager -Mädchen, das auf einigen Holzbrettern Krocket spielt.</v>
      </c>
    </row>
    <row r="35639">
      <c r="A35639" s="4" t="s">
        <v>44835</v>
      </c>
      <c r="B35639" s="4" t="s">
        <v>44838</v>
      </c>
      <c r="C35639" s="5" t="str">
        <f>IFERROR(__xludf.DUMMYFUNCTION("GOOGLETRANSLATE(B35639,""en"",""de"")"),"Sie benutzen ihren Holzhammer, um den Ball die Holzbretter hinunter zu schlagen.")</f>
        <v>Sie benutzen ihren Holzhammer, um den Ball die Holzbretter hinunter zu schlagen.</v>
      </c>
    </row>
    <row r="35640">
      <c r="A35640" s="4" t="s">
        <v>44835</v>
      </c>
      <c r="B35640" s="4" t="s">
        <v>44839</v>
      </c>
      <c r="C35640" s="5" t="str">
        <f>IFERROR(__xludf.DUMMYFUNCTION("GOOGLETRANSLATE(B35640,""en"",""de"")"),"Eine andere Gruppe junger Teenager spielt auch Krocket im Hof.")</f>
        <v>Eine andere Gruppe junger Teenager spielt auch Krocket im Hof.</v>
      </c>
    </row>
    <row r="35641">
      <c r="A35641" s="4" t="s">
        <v>44835</v>
      </c>
      <c r="B35641" s="4" t="s">
        <v>44840</v>
      </c>
      <c r="C35641" s="5" t="str">
        <f>IFERROR(__xludf.DUMMYFUNCTION("GOOGLETRANSLATE(B35641,""en"",""de"")"),"Eines der Teenager, die ein gelbes Hemd tragen, tat vor, sein Schläger sei eine Gitarre und spielt sie.")</f>
        <v>Eines der Teenager, die ein gelbes Hemd tragen, tat vor, sein Schläger sei eine Gitarre und spielt sie.</v>
      </c>
    </row>
    <row r="35642">
      <c r="A35642" s="4" t="s">
        <v>44835</v>
      </c>
      <c r="B35642" s="4" t="s">
        <v>44841</v>
      </c>
      <c r="C35642" s="5" t="str">
        <f>IFERROR(__xludf.DUMMYFUNCTION("GOOGLETRANSLATE(B35642,""en"",""de"")"),"Die Teenager spielen weiter Krocket, während sie abwechselnd mit dem Schläger den Ball schlagen, während ein anderer Junge mit einer schwarzen und weißen Katze spielt.")</f>
        <v>Die Teenager spielen weiter Krocket, während sie abwechselnd mit dem Schläger den Ball schlagen, während ein anderer Junge mit einer schwarzen und weißen Katze spielt.</v>
      </c>
    </row>
    <row r="35643">
      <c r="A35643" s="4" t="s">
        <v>44835</v>
      </c>
      <c r="B35643" s="4" t="s">
        <v>44842</v>
      </c>
      <c r="C35643" s="5" t="str">
        <f>IFERROR(__xludf.DUMMYFUNCTION("GOOGLETRANSLATE(B35643,""en"",""de"")"),"Die Teenager spielen weiter, während die Katze sie beobachtet.")</f>
        <v>Die Teenager spielen weiter, während die Katze sie beobachtet.</v>
      </c>
    </row>
    <row r="35644">
      <c r="A35644" s="4" t="s">
        <v>44835</v>
      </c>
      <c r="B35644" s="4" t="s">
        <v>44843</v>
      </c>
      <c r="C35644" s="5" t="str">
        <f>IFERROR(__xludf.DUMMYFUNCTION("GOOGLETRANSLATE(B35644,""en"",""de"")"),"Der Teenager im gelben Hemd spielt mit der schwarzen und weißen Katze.")</f>
        <v>Der Teenager im gelben Hemd spielt mit der schwarzen und weißen Katze.</v>
      </c>
    </row>
    <row r="35645">
      <c r="A35645" s="4" t="s">
        <v>44835</v>
      </c>
      <c r="B35645" s="4" t="s">
        <v>44844</v>
      </c>
      <c r="C35645" s="5" t="str">
        <f>IFERROR(__xludf.DUMMYFUNCTION("GOOGLETRANSLATE(B35645,""en"",""de"")"),"Eine der Teenager -Posen und zielt darauf ab, mit seinem Schläger den Ball zu schlagen, während die beiden anderen Teenager ihn beobachten.")</f>
        <v>Eine der Teenager -Posen und zielt darauf ab, mit seinem Schläger den Ball zu schlagen, während die beiden anderen Teenager ihn beobachten.</v>
      </c>
    </row>
    <row r="35646">
      <c r="A35646" s="4" t="s">
        <v>44835</v>
      </c>
      <c r="B35646" s="4" t="s">
        <v>44845</v>
      </c>
      <c r="C35646" s="5" t="str">
        <f>IFERROR(__xludf.DUMMYFUNCTION("GOOGLETRANSLATE(B35646,""en"",""de"")"),"Sie spielen weiter Krocket, als sie abwechselnd die Bälle eins nach dem anderen mit den Schläger schlagen.")</f>
        <v>Sie spielen weiter Krocket, als sie abwechselnd die Bälle eins nach dem anderen mit den Schläger schlagen.</v>
      </c>
    </row>
    <row r="35647">
      <c r="A35647" s="4" t="s">
        <v>44835</v>
      </c>
      <c r="B35647" s="4" t="s">
        <v>44846</v>
      </c>
      <c r="C35647" s="5" t="str">
        <f>IFERROR(__xludf.DUMMYFUNCTION("GOOGLETRANSLATE(B35647,""en"",""de"")"),"Einer der Teenager lässt dann nur seinen Mallet herunterfallen, während sich die beiden anderen Teenager gegenseitig hohe Fünfer geben.")</f>
        <v>Einer der Teenager lässt dann nur seinen Mallet herunterfallen, während sich die beiden anderen Teenager gegenseitig hohe Fünfer geben.</v>
      </c>
    </row>
    <row r="35648">
      <c r="A35648" s="4" t="s">
        <v>44847</v>
      </c>
      <c r="B35648" s="4" t="s">
        <v>44848</v>
      </c>
      <c r="C35648" s="5" t="str">
        <f>IFERROR(__xludf.DUMMYFUNCTION("GOOGLETRANSLATE(B35648,""en"",""de"")"),"Eine Frau legt Handpapier an eine Wand.")</f>
        <v>Eine Frau legt Handpapier an eine Wand.</v>
      </c>
    </row>
    <row r="35649">
      <c r="A35649" s="4" t="s">
        <v>44847</v>
      </c>
      <c r="B35649" s="4" t="s">
        <v>44849</v>
      </c>
      <c r="C35649" s="5" t="str">
        <f>IFERROR(__xludf.DUMMYFUNCTION("GOOGLETRANSLATE(B35649,""en"",""de"")"),"Sie glättet die Handpapier mit ihren Händen.")</f>
        <v>Sie glättet die Handpapier mit ihren Händen.</v>
      </c>
    </row>
    <row r="35650">
      <c r="A35650" s="4" t="s">
        <v>44847</v>
      </c>
      <c r="B35650" s="4" t="s">
        <v>44850</v>
      </c>
      <c r="C35650" s="5" t="str">
        <f>IFERROR(__xludf.DUMMYFUNCTION("GOOGLETRANSLATE(B35650,""en"",""de"")"),"Sie rollt die Handpapier an die Wand.")</f>
        <v>Sie rollt die Handpapier an die Wand.</v>
      </c>
    </row>
    <row r="35651">
      <c r="A35651" s="4" t="s">
        <v>44851</v>
      </c>
      <c r="B35651" s="4" t="s">
        <v>44852</v>
      </c>
      <c r="C35651" s="5" t="str">
        <f>IFERROR(__xludf.DUMMYFUNCTION("GOOGLETRANSLATE(B35651,""en"",""de"")"),"Ein Mann sitzt an einem Tisch und hält einen Schraubendreher, den er gegen die Tischplatte drückt.")</f>
        <v>Ein Mann sitzt an einem Tisch und hält einen Schraubendreher, den er gegen die Tischplatte drückt.</v>
      </c>
    </row>
    <row r="35652">
      <c r="A35652" s="4" t="s">
        <v>44851</v>
      </c>
      <c r="B35652" s="4" t="s">
        <v>44853</v>
      </c>
      <c r="C35652" s="5" t="str">
        <f>IFERROR(__xludf.DUMMYFUNCTION("GOOGLETRANSLATE(B35652,""en"",""de"")"),"Der Mann greift an, sich selbst zu zitieren und benutzt das Schraubendreherwerkzeug, um ein Loch in einer vollen Bierdose zu durchstechen, die einen Teil seiner Inhalte sprüht.")</f>
        <v>Der Mann greift an, sich selbst zu zitieren und benutzt das Schraubendreherwerkzeug, um ein Loch in einer vollen Bierdose zu durchstechen, die einen Teil seiner Inhalte sprüht.</v>
      </c>
    </row>
    <row r="35653">
      <c r="A35653" s="4" t="s">
        <v>44851</v>
      </c>
      <c r="B35653" s="4" t="s">
        <v>44854</v>
      </c>
      <c r="C35653" s="5" t="str">
        <f>IFERROR(__xludf.DUMMYFUNCTION("GOOGLETRANSLATE(B35653,""en"",""de"")"),"Der Mann hält die Dose mit dem Loch nach oben.")</f>
        <v>Der Mann hält die Dose mit dem Loch nach oben.</v>
      </c>
    </row>
    <row r="35654">
      <c r="A35654" s="4" t="s">
        <v>44851</v>
      </c>
      <c r="B35654" s="4" t="s">
        <v>44855</v>
      </c>
      <c r="C35654" s="5" t="str">
        <f>IFERROR(__xludf.DUMMYFUNCTION("GOOGLETRANSLATE(B35654,""en"",""de"")"),"Der Mann trinkt den Inhalt der Bierdose aus dem Loch, nachdem er die Oberseite geöffnet hat.")</f>
        <v>Der Mann trinkt den Inhalt der Bierdose aus dem Loch, nachdem er die Oberseite geöffnet hat.</v>
      </c>
    </row>
    <row r="35655">
      <c r="A35655" s="4" t="s">
        <v>44856</v>
      </c>
      <c r="B35655" s="4" t="s">
        <v>44857</v>
      </c>
      <c r="C35655" s="5" t="str">
        <f>IFERROR(__xludf.DUMMYFUNCTION("GOOGLETRANSLATE(B35655,""en"",""de"")"),"Eine Gruppe von Menschen befindet sich auf einem ordentlich gemähten Feld.")</f>
        <v>Eine Gruppe von Menschen befindet sich auf einem ordentlich gemähten Feld.</v>
      </c>
    </row>
    <row r="35656">
      <c r="A35656" s="4" t="s">
        <v>44856</v>
      </c>
      <c r="B35656" s="4" t="s">
        <v>44858</v>
      </c>
      <c r="C35656" s="5" t="str">
        <f>IFERROR(__xludf.DUMMYFUNCTION("GOOGLETRANSLATE(B35656,""en"",""de"")"),"Sie spielen ein Krokettenspiel.")</f>
        <v>Sie spielen ein Krokettenspiel.</v>
      </c>
    </row>
    <row r="35657">
      <c r="A35657" s="4" t="s">
        <v>44856</v>
      </c>
      <c r="B35657" s="4" t="s">
        <v>44859</v>
      </c>
      <c r="C35657" s="5" t="str">
        <f>IFERROR(__xludf.DUMMYFUNCTION("GOOGLETRANSLATE(B35657,""en"",""de"")"),"Sie schlugen die Eier durch die Reifen mit Schlägel.")</f>
        <v>Sie schlugen die Eier durch die Reifen mit Schlägel.</v>
      </c>
    </row>
    <row r="35658">
      <c r="A35658" s="4" t="s">
        <v>44860</v>
      </c>
      <c r="B35658" s="4" t="s">
        <v>44861</v>
      </c>
      <c r="C35658" s="5" t="str">
        <f>IFERROR(__xludf.DUMMYFUNCTION("GOOGLETRANSLATE(B35658,""en"",""de"")"),"Ein kleiner Junge trägt ein Bandana und mäht einen großen Hof.")</f>
        <v>Ein kleiner Junge trägt ein Bandana und mäht einen großen Hof.</v>
      </c>
    </row>
    <row r="35659">
      <c r="A35659" s="4" t="s">
        <v>44860</v>
      </c>
      <c r="B35659" s="4" t="s">
        <v>44862</v>
      </c>
      <c r="C35659" s="5" t="str">
        <f>IFERROR(__xludf.DUMMYFUNCTION("GOOGLETRANSLATE(B35659,""en"",""de"")"),"Er geht von der Kamera weg, als er den Mäher schiebt.")</f>
        <v>Er geht von der Kamera weg, als er den Mäher schiebt.</v>
      </c>
    </row>
    <row r="35660">
      <c r="A35660" s="4" t="s">
        <v>44860</v>
      </c>
      <c r="B35660" s="4" t="s">
        <v>44863</v>
      </c>
      <c r="C35660" s="5" t="str">
        <f>IFERROR(__xludf.DUMMYFUNCTION("GOOGLETRANSLATE(B35660,""en"",""de"")"),"Dann hört er plötzlich auf, jagt die Person mit der Kamera und schlägt sie um.")</f>
        <v>Dann hört er plötzlich auf, jagt die Person mit der Kamera und schlägt sie um.</v>
      </c>
    </row>
    <row r="35661">
      <c r="A35661" s="4" t="s">
        <v>44864</v>
      </c>
      <c r="B35661" s="4" t="s">
        <v>44865</v>
      </c>
      <c r="C35661" s="5" t="str">
        <f>IFERROR(__xludf.DUMMYFUNCTION("GOOGLETRANSLATE(B35661,""en"",""de"")"),"Wir sehen eine Animation auf dem Eröffnungs -Titelbildschirm.")</f>
        <v>Wir sehen eine Animation auf dem Eröffnungs -Titelbildschirm.</v>
      </c>
    </row>
    <row r="35662">
      <c r="A35662" s="4" t="s">
        <v>44864</v>
      </c>
      <c r="B35662" s="4" t="s">
        <v>44866</v>
      </c>
      <c r="C35662" s="5" t="str">
        <f>IFERROR(__xludf.DUMMYFUNCTION("GOOGLETRANSLATE(B35662,""en"",""de"")"),"Eine Person wäscht und schält eine Kartoffel.")</f>
        <v>Eine Person wäscht und schält eine Kartoffel.</v>
      </c>
    </row>
    <row r="35663">
      <c r="A35663" s="4" t="s">
        <v>44864</v>
      </c>
      <c r="B35663" s="4" t="s">
        <v>44867</v>
      </c>
      <c r="C35663" s="5" t="str">
        <f>IFERROR(__xludf.DUMMYFUNCTION("GOOGLETRANSLATE(B35663,""en"",""de"")"),"Die Person spült die Person spüelt die geschälte Kartoffel in einer Schüssel.")</f>
        <v>Die Person spült die Person spüelt die geschälte Kartoffel in einer Schüssel.</v>
      </c>
    </row>
    <row r="35664">
      <c r="A35664" s="4" t="s">
        <v>44864</v>
      </c>
      <c r="B35664" s="4" t="s">
        <v>44868</v>
      </c>
      <c r="C35664" s="5" t="str">
        <f>IFERROR(__xludf.DUMMYFUNCTION("GOOGLETRANSLATE(B35664,""en"",""de"")"),"Die Person zieht dann die Kartoffel an.")</f>
        <v>Die Person zieht dann die Kartoffel an.</v>
      </c>
    </row>
    <row r="35665">
      <c r="A35665" s="4" t="s">
        <v>44864</v>
      </c>
      <c r="B35665" s="4" t="s">
        <v>5107</v>
      </c>
      <c r="C35665" s="5" t="str">
        <f>IFERROR(__xludf.DUMMYFUNCTION("GOOGLETRANSLATE(B35665,""en"",""de"")"),"Wir sehen dann den Ende des Endtitels.")</f>
        <v>Wir sehen dann den Ende des Endtitels.</v>
      </c>
    </row>
    <row r="35666">
      <c r="A35666" s="4" t="s">
        <v>44869</v>
      </c>
      <c r="B35666" s="4" t="s">
        <v>44870</v>
      </c>
      <c r="C35666" s="5" t="str">
        <f>IFERROR(__xludf.DUMMYFUNCTION("GOOGLETRANSLATE(B35666,""en"",""de"")"),"Ein kleines Kind sitzt eine Spitze einer Rutsche, wobei seine Zunge herausragt.")</f>
        <v>Ein kleines Kind sitzt eine Spitze einer Rutsche, wobei seine Zunge herausragt.</v>
      </c>
    </row>
    <row r="35667">
      <c r="A35667" s="4" t="s">
        <v>44869</v>
      </c>
      <c r="B35667" s="4" t="s">
        <v>44871</v>
      </c>
      <c r="C35667" s="5" t="str">
        <f>IFERROR(__xludf.DUMMYFUNCTION("GOOGLETRANSLATE(B35667,""en"",""de"")"),"Er beginnt die Rutsche runter, fällt aber von der Seite und legt sich auf dem Boden.")</f>
        <v>Er beginnt die Rutsche runter, fällt aber von der Seite und legt sich auf dem Boden.</v>
      </c>
    </row>
    <row r="35668">
      <c r="A35668" s="4" t="s">
        <v>44872</v>
      </c>
      <c r="B35668" s="4" t="s">
        <v>44873</v>
      </c>
      <c r="C35668" s="5" t="str">
        <f>IFERROR(__xludf.DUMMYFUNCTION("GOOGLETRANSLATE(B35668,""en"",""de"")"),"Die allgemeine Technik wird zum Werfen von Speeren gezeigt.")</f>
        <v>Die allgemeine Technik wird zum Werfen von Speeren gezeigt.</v>
      </c>
    </row>
    <row r="35669">
      <c r="A35669" s="4" t="s">
        <v>44872</v>
      </c>
      <c r="B35669" s="4" t="s">
        <v>44874</v>
      </c>
      <c r="C35669" s="5" t="str">
        <f>IFERROR(__xludf.DUMMYFUNCTION("GOOGLETRANSLATE(B35669,""en"",""de"")"),"Dann zeigt er, wie man es mit Crossovers macht.")</f>
        <v>Dann zeigt er, wie man es mit Crossovers macht.</v>
      </c>
    </row>
    <row r="35670">
      <c r="A35670" s="4" t="s">
        <v>44875</v>
      </c>
      <c r="B35670" s="4" t="s">
        <v>44876</v>
      </c>
      <c r="C35670" s="5" t="str">
        <f>IFERROR(__xludf.DUMMYFUNCTION("GOOGLETRANSLATE(B35670,""en"",""de"")"),"Eine Nahaufnahme eines Billardtisches wird von einem Mann gesehen, der einen Ball schlägt.")</f>
        <v>Eine Nahaufnahme eines Billardtisches wird von einem Mann gesehen, der einen Ball schlägt.</v>
      </c>
    </row>
    <row r="35671">
      <c r="A35671" s="4" t="s">
        <v>44875</v>
      </c>
      <c r="B35671" s="4" t="s">
        <v>44877</v>
      </c>
      <c r="C35671" s="5" t="str">
        <f>IFERROR(__xludf.DUMMYFUNCTION("GOOGLETRANSLATE(B35671,""en"",""de"")"),"Ein anderer Mann tritt mit dem Pool -Stick auf, um seinen Schuss zu zielen, und trifft die Bälle.")</f>
        <v>Ein anderer Mann tritt mit dem Pool -Stick auf, um seinen Schuss zu zielen, und trifft die Bälle.</v>
      </c>
    </row>
    <row r="35672">
      <c r="A35672" s="4" t="s">
        <v>44875</v>
      </c>
      <c r="B35672" s="4" t="s">
        <v>44878</v>
      </c>
      <c r="C35672" s="5" t="str">
        <f>IFERROR(__xludf.DUMMYFUNCTION("GOOGLETRANSLATE(B35672,""en"",""de"")"),"Die Männer wechseln sich zurück und spielen den vierten Pool, bis man gewinnt und die Kamera zu einem Mann schwenkt.")</f>
        <v>Die Männer wechseln sich zurück und spielen den vierten Pool, bis man gewinnt und die Kamera zu einem Mann schwenkt.</v>
      </c>
    </row>
    <row r="35673">
      <c r="A35673" s="4" t="s">
        <v>44879</v>
      </c>
      <c r="B35673" s="4" t="s">
        <v>44880</v>
      </c>
      <c r="C35673" s="5" t="str">
        <f>IFERROR(__xludf.DUMMYFUNCTION("GOOGLETRANSLATE(B35673,""en"",""de"")"),"Ein junger Mann sitzt vor einem Instrument mit einem weiteren Sitzen auf einem Schlagzeug.")</f>
        <v>Ein junger Mann sitzt vor einem Instrument mit einem weiteren Sitzen auf einem Schlagzeug.</v>
      </c>
    </row>
    <row r="35674">
      <c r="A35674" s="4" t="s">
        <v>44879</v>
      </c>
      <c r="B35674" s="4" t="s">
        <v>44881</v>
      </c>
      <c r="C35674" s="5" t="str">
        <f>IFERROR(__xludf.DUMMYFUNCTION("GOOGLETRANSLATE(B35674,""en"",""de"")"),"Der Mann bewegt sich und schaut in die Ferne und beginnt zu spielen.")</f>
        <v>Der Mann bewegt sich und schaut in die Ferne und beginnt zu spielen.</v>
      </c>
    </row>
    <row r="35675">
      <c r="A35675" s="4" t="s">
        <v>44879</v>
      </c>
      <c r="B35675" s="4" t="s">
        <v>44882</v>
      </c>
      <c r="C35675" s="5" t="str">
        <f>IFERROR(__xludf.DUMMYFUNCTION("GOOGLETRANSLATE(B35675,""en"",""de"")"),"Ein anderer Junge geht in und aus dem Rahmen und sang in ein Mikrofon.")</f>
        <v>Ein anderer Junge geht in und aus dem Rahmen und sang in ein Mikrofon.</v>
      </c>
    </row>
    <row r="35676">
      <c r="A35676" s="4" t="s">
        <v>44883</v>
      </c>
      <c r="B35676" s="4" t="s">
        <v>44884</v>
      </c>
      <c r="C35676" s="5" t="str">
        <f>IFERROR(__xludf.DUMMYFUNCTION("GOOGLETRANSLATE(B35676,""en"",""de"")"),"Ein Skifahrer hält einen Skistock in der linken Hand und einen Stangen in seiner rechten Hand.")</f>
        <v>Ein Skifahrer hält einen Skistock in der linken Hand und einen Stangen in seiner rechten Hand.</v>
      </c>
    </row>
    <row r="35677">
      <c r="A35677" s="4" t="s">
        <v>44883</v>
      </c>
      <c r="B35677" s="4" t="s">
        <v>44885</v>
      </c>
      <c r="C35677" s="5" t="str">
        <f>IFERROR(__xludf.DUMMYFUNCTION("GOOGLETRANSLATE(B35677,""en"",""de"")"),"Dann fährt der Mann den mit Schnee bedeckten Hügel hinunter.")</f>
        <v>Dann fährt der Mann den mit Schnee bedeckten Hügel hinunter.</v>
      </c>
    </row>
    <row r="35678">
      <c r="A35678" s="4" t="s">
        <v>44883</v>
      </c>
      <c r="B35678" s="4" t="s">
        <v>44886</v>
      </c>
      <c r="C35678" s="5" t="str">
        <f>IFERROR(__xludf.DUMMYFUNCTION("GOOGLETRANSLATE(B35678,""en"",""de"")"),"Der Mann hält mitten im Hügel an.")</f>
        <v>Der Mann hält mitten im Hügel an.</v>
      </c>
    </row>
    <row r="35679">
      <c r="A35679" s="4" t="s">
        <v>44883</v>
      </c>
      <c r="B35679" s="4" t="s">
        <v>44887</v>
      </c>
      <c r="C35679" s="5" t="str">
        <f>IFERROR(__xludf.DUMMYFUNCTION("GOOGLETRANSLATE(B35679,""en"",""de"")"),"Dann fährt der Mann fort, bis in eine Stadt ankommt.")</f>
        <v>Dann fährt der Mann fort, bis in eine Stadt ankommt.</v>
      </c>
    </row>
    <row r="35680">
      <c r="A35680" s="4" t="s">
        <v>44888</v>
      </c>
      <c r="B35680" s="4" t="s">
        <v>44889</v>
      </c>
      <c r="C35680" s="5" t="str">
        <f>IFERROR(__xludf.DUMMYFUNCTION("GOOGLETRANSLATE(B35680,""en"",""de"")"),"Ein Mann ist im Kreis auf einem Feld.")</f>
        <v>Ein Mann ist im Kreis auf einem Feld.</v>
      </c>
    </row>
    <row r="35681">
      <c r="A35681" s="4" t="s">
        <v>44888</v>
      </c>
      <c r="B35681" s="4" t="s">
        <v>44890</v>
      </c>
      <c r="C35681" s="5" t="str">
        <f>IFERROR(__xludf.DUMMYFUNCTION("GOOGLETRANSLATE(B35681,""en"",""de"")"),"Er beginnt im Kreis einen Ball herumzudrehen.")</f>
        <v>Er beginnt im Kreis einen Ball herumzudrehen.</v>
      </c>
    </row>
    <row r="35682">
      <c r="A35682" s="4" t="s">
        <v>44888</v>
      </c>
      <c r="B35682" s="4" t="s">
        <v>44891</v>
      </c>
      <c r="C35682" s="5" t="str">
        <f>IFERROR(__xludf.DUMMYFUNCTION("GOOGLETRANSLATE(B35682,""en"",""de"")"),"Dann wirft er den Ball so weit er kann, fällt aber hin.")</f>
        <v>Dann wirft er den Ball so weit er kann, fällt aber hin.</v>
      </c>
    </row>
    <row r="35683">
      <c r="A35683" s="4" t="s">
        <v>44892</v>
      </c>
      <c r="B35683" s="4" t="s">
        <v>44893</v>
      </c>
      <c r="C35683" s="5" t="str">
        <f>IFERROR(__xludf.DUMMYFUNCTION("GOOGLETRANSLATE(B35683,""en"",""de"")"),"Ein junger Mann, der auf einem gefliesten Boden mit diesen Händen hinter seinem Kopf und den Knien versuchte, vor ein paar Freunden ein Sit-up durchzuführen.")</f>
        <v>Ein junger Mann, der auf einem gefliesten Boden mit diesen Händen hinter seinem Kopf und den Knien versuchte, vor ein paar Freunden ein Sit-up durchzuführen.</v>
      </c>
    </row>
    <row r="35684">
      <c r="A35684" s="4" t="s">
        <v>44892</v>
      </c>
      <c r="B35684" s="4" t="s">
        <v>44894</v>
      </c>
      <c r="C35684" s="5" t="str">
        <f>IFERROR(__xludf.DUMMYFUNCTION("GOOGLETRANSLATE(B35684,""en"",""de"")"),"Als er seine Ellbogen auf die Knie bringt, ist ein lautes Knacken zu hören, als der Mann lacht, ""das verletzt meinen Arsch.")</f>
        <v>Als er seine Ellbogen auf die Knie bringt, ist ein lautes Knacken zu hören, als der Mann lacht, "das verletzt meinen Arsch.</v>
      </c>
    </row>
    <row r="35685">
      <c r="A35685" s="4" t="s">
        <v>44892</v>
      </c>
      <c r="B35685" s="4" t="s">
        <v>44895</v>
      </c>
      <c r="C35685" s="5" t="str">
        <f>IFERROR(__xludf.DUMMYFUNCTION("GOOGLETRANSLATE(B35685,""en"",""de"")"),"""Er versucht ein zweites Sit-up und ruft mit einem weiteren knackenden Geräusch aus und schnappt sich sein Gesäß.")</f>
        <v>"Er versucht ein zweites Sit-up und ruft mit einem weiteren knackenden Geräusch aus und schnappt sich sein Gesäß.</v>
      </c>
    </row>
    <row r="35686">
      <c r="A35686" s="4" t="s">
        <v>44892</v>
      </c>
      <c r="B35686" s="4" t="s">
        <v>44896</v>
      </c>
      <c r="C35686" s="5" t="str">
        <f>IFERROR(__xludf.DUMMYFUNCTION("GOOGLETRANSLATE(B35686,""en"",""de"")"),"Der Mann sagt ""noch einmal"" und versucht ein anderes Mal, woraufhin er sagt: ""Das fühlte sich schrecklich an.")</f>
        <v>Der Mann sagt "noch einmal" und versucht ein anderes Mal, woraufhin er sagt: "Das fühlte sich schrecklich an.</v>
      </c>
    </row>
    <row r="35687">
      <c r="A35687" s="4" t="s">
        <v>44892</v>
      </c>
      <c r="B35687" s="4" t="s">
        <v>44897</v>
      </c>
      <c r="C35687" s="5" t="str">
        <f>IFERROR(__xludf.DUMMYFUNCTION("GOOGLETRANSLATE(B35687,""en"",""de"")"),"""Der Mann kämpft durch neun weitere Versuche, bevor er die Belustigung seiner Freunde aufgibt.")</f>
        <v>"Der Mann kämpft durch neun weitere Versuche, bevor er die Belustigung seiner Freunde aufgibt.</v>
      </c>
    </row>
    <row r="35688">
      <c r="A35688" s="4" t="s">
        <v>44898</v>
      </c>
      <c r="B35688" s="4" t="s">
        <v>44899</v>
      </c>
      <c r="C35688" s="5" t="str">
        <f>IFERROR(__xludf.DUMMYFUNCTION("GOOGLETRANSLATE(B35688,""en"",""de"")"),"Eine Nahaufnahme einer Hecke wird ebenso angezeigt wie ein Mann, der ein Werkzeug verwendet, um die Hecke zu schneiden.")</f>
        <v>Eine Nahaufnahme einer Hecke wird ebenso angezeigt wie ein Mann, der ein Werkzeug verwendet, um die Hecke zu schneiden.</v>
      </c>
    </row>
    <row r="35689">
      <c r="A35689" s="4" t="s">
        <v>44898</v>
      </c>
      <c r="B35689" s="4" t="s">
        <v>44900</v>
      </c>
      <c r="C35689" s="5" t="str">
        <f>IFERROR(__xludf.DUMMYFUNCTION("GOOGLETRANSLATE(B35689,""en"",""de"")"),"Der Mann spricht mit der Kamera und nutzt das Werkzeug auf der Hecke weiter.")</f>
        <v>Der Mann spricht mit der Kamera und nutzt das Werkzeug auf der Hecke weiter.</v>
      </c>
    </row>
    <row r="35690">
      <c r="A35690" s="4" t="s">
        <v>44898</v>
      </c>
      <c r="B35690" s="4" t="s">
        <v>44901</v>
      </c>
      <c r="C35690" s="5" t="str">
        <f>IFERROR(__xludf.DUMMYFUNCTION("GOOGLETRANSLATE(B35690,""en"",""de"")"),"Es werden mehrere Aufnahmen von seiner Umgebung sowie anderen Werkzeugen gezeigt, die Sie verwenden können, und mehr Gras wird geschnitten.")</f>
        <v>Es werden mehrere Aufnahmen von seiner Umgebung sowie anderen Werkzeugen gezeigt, die Sie verwenden können, und mehr Gras wird geschnitten.</v>
      </c>
    </row>
    <row r="35691">
      <c r="A35691" s="4" t="s">
        <v>44902</v>
      </c>
      <c r="B35691" s="4" t="s">
        <v>44903</v>
      </c>
      <c r="C35691" s="5" t="str">
        <f>IFERROR(__xludf.DUMMYFUNCTION("GOOGLETRANSLATE(B35691,""en"",""de"")"),"Ein Intro führt zu einem jungen Mann, der eine rückwärts gerichtete Baseballkappe trägt, die Gitarre auf einem Bett spielt.")</f>
        <v>Ein Intro führt zu einem jungen Mann, der eine rückwärts gerichtete Baseballkappe trägt, die Gitarre auf einem Bett spielt.</v>
      </c>
    </row>
    <row r="35692">
      <c r="A35692" s="4" t="s">
        <v>44902</v>
      </c>
      <c r="B35692" s="4" t="s">
        <v>44904</v>
      </c>
      <c r="C35692" s="5" t="str">
        <f>IFERROR(__xludf.DUMMYFUNCTION("GOOGLETRANSLATE(B35692,""en"",""de"")"),"Der Mann streichelt seine Finger auf und ab den Hals der Gitarre, während er über die Schnur schlägt und auf den Hals hinunter schaut.")</f>
        <v>Der Mann streichelt seine Finger auf und ab den Hals der Gitarre, während er über die Schnur schlägt und auf den Hals hinunter schaut.</v>
      </c>
    </row>
    <row r="35693">
      <c r="A35693" s="4" t="s">
        <v>44905</v>
      </c>
      <c r="B35693" s="4" t="s">
        <v>44906</v>
      </c>
      <c r="C35693" s="5" t="str">
        <f>IFERROR(__xludf.DUMMYFUNCTION("GOOGLETRANSLATE(B35693,""en"",""de"")"),"Ein Mann steht an einer Theke.")</f>
        <v>Ein Mann steht an einer Theke.</v>
      </c>
    </row>
    <row r="35694">
      <c r="A35694" s="4" t="s">
        <v>44905</v>
      </c>
      <c r="B35694" s="4" t="s">
        <v>44907</v>
      </c>
      <c r="C35694" s="5" t="str">
        <f>IFERROR(__xludf.DUMMYFUNCTION("GOOGLETRANSLATE(B35694,""en"",""de"")"),"Die Ladenfront wird an der Tür angezeigt.")</f>
        <v>Die Ladenfront wird an der Tür angezeigt.</v>
      </c>
    </row>
    <row r="35695">
      <c r="A35695" s="4" t="s">
        <v>44905</v>
      </c>
      <c r="B35695" s="4" t="s">
        <v>44908</v>
      </c>
      <c r="C35695" s="5" t="str">
        <f>IFERROR(__xludf.DUMMYFUNCTION("GOOGLETRANSLATE(B35695,""en"",""de"")"),"Der Mann ist immer noch am Schalter und redet.")</f>
        <v>Der Mann ist immer noch am Schalter und redet.</v>
      </c>
    </row>
    <row r="35696">
      <c r="A35696" s="4" t="s">
        <v>44905</v>
      </c>
      <c r="B35696" s="4" t="s">
        <v>44909</v>
      </c>
      <c r="C35696" s="5" t="str">
        <f>IFERROR(__xludf.DUMMYFUNCTION("GOOGLETRANSLATE(B35696,""en"",""de"")"),"Ein Mann wird mit einer Waffe um einen Kurs umgelegt.")</f>
        <v>Ein Mann wird mit einer Waffe um einen Kurs umgelegt.</v>
      </c>
    </row>
    <row r="35697">
      <c r="A35697" s="4" t="s">
        <v>44905</v>
      </c>
      <c r="B35697" s="4" t="s">
        <v>44910</v>
      </c>
      <c r="C35697" s="5" t="str">
        <f>IFERROR(__xludf.DUMMYFUNCTION("GOOGLETRANSLATE(B35697,""en"",""de"")"),"Der Mann wird immer noch am Schalter gesprächig.")</f>
        <v>Der Mann wird immer noch am Schalter gesprächig.</v>
      </c>
    </row>
    <row r="35698">
      <c r="A35698" s="4" t="s">
        <v>44905</v>
      </c>
      <c r="B35698" s="4" t="s">
        <v>44911</v>
      </c>
      <c r="C35698" s="5" t="str">
        <f>IFERROR(__xludf.DUMMYFUNCTION("GOOGLETRANSLATE(B35698,""en"",""de"")"),"Ein Mann im Kurs richtet sich auf seine Waffe.")</f>
        <v>Ein Mann im Kurs richtet sich auf seine Waffe.</v>
      </c>
    </row>
    <row r="35699">
      <c r="A35699" s="4" t="s">
        <v>44905</v>
      </c>
      <c r="B35699" s="4" t="s">
        <v>44912</v>
      </c>
      <c r="C35699" s="5" t="str">
        <f>IFERROR(__xludf.DUMMYFUNCTION("GOOGLETRANSLATE(B35699,""en"",""de"")"),"Der Mann an der Theke zeigt eine bestimmte Waffe.")</f>
        <v>Der Mann an der Theke zeigt eine bestimmte Waffe.</v>
      </c>
    </row>
    <row r="35700">
      <c r="A35700" s="4" t="s">
        <v>44905</v>
      </c>
      <c r="B35700" s="4" t="s">
        <v>44913</v>
      </c>
      <c r="C35700" s="5" t="str">
        <f>IFERROR(__xludf.DUMMYFUNCTION("GOOGLETRANSLATE(B35700,""en"",""de"")"),"Ein Mann auf dem Kurs rennt herum und schießt mit seiner Waffe.")</f>
        <v>Ein Mann auf dem Kurs rennt herum und schießt mit seiner Waffe.</v>
      </c>
    </row>
    <row r="35701">
      <c r="A35701" s="4" t="s">
        <v>44905</v>
      </c>
      <c r="B35701" s="4" t="s">
        <v>44914</v>
      </c>
      <c r="C35701" s="5" t="str">
        <f>IFERROR(__xludf.DUMMYFUNCTION("GOOGLETRANSLATE(B35701,""en"",""de"")"),"Der Mann an der Theke hält immer noch die Waffe.")</f>
        <v>Der Mann an der Theke hält immer noch die Waffe.</v>
      </c>
    </row>
    <row r="35702">
      <c r="A35702" s="4" t="s">
        <v>44905</v>
      </c>
      <c r="B35702" s="4" t="s">
        <v>44915</v>
      </c>
      <c r="C35702" s="5" t="str">
        <f>IFERROR(__xludf.DUMMYFUNCTION("GOOGLETRANSLATE(B35702,""en"",""de"")"),"Der Mann auf dem Kurs läuft herum und schießt.")</f>
        <v>Der Mann auf dem Kurs läuft herum und schießt.</v>
      </c>
    </row>
    <row r="35703">
      <c r="A35703" s="4" t="s">
        <v>44905</v>
      </c>
      <c r="B35703" s="4" t="s">
        <v>44916</v>
      </c>
      <c r="C35703" s="5" t="str">
        <f>IFERROR(__xludf.DUMMYFUNCTION("GOOGLETRANSLATE(B35703,""en"",""de"")"),"Der Mann an der Theke spricht weiterhin mit der Waffe in der Hand.")</f>
        <v>Der Mann an der Theke spricht weiterhin mit der Waffe in der Hand.</v>
      </c>
    </row>
    <row r="35704">
      <c r="A35704" s="4" t="s">
        <v>44905</v>
      </c>
      <c r="B35704" s="4" t="s">
        <v>44917</v>
      </c>
      <c r="C35704" s="5" t="str">
        <f>IFERROR(__xludf.DUMMYFUNCTION("GOOGLETRANSLATE(B35704,""en"",""de"")"),"Der Mann auf der Strecke schaut um eine Ecke und zielt auf seine Waffe.")</f>
        <v>Der Mann auf der Strecke schaut um eine Ecke und zielt auf seine Waffe.</v>
      </c>
    </row>
    <row r="35705">
      <c r="A35705" s="4" t="s">
        <v>44905</v>
      </c>
      <c r="B35705" s="4" t="s">
        <v>44918</v>
      </c>
      <c r="C35705" s="5" t="str">
        <f>IFERROR(__xludf.DUMMYFUNCTION("GOOGLETRANSLATE(B35705,""en"",""de"")"),"Der Mann an der Theke spricht und zeigt mit der Waffe in der Hand.")</f>
        <v>Der Mann an der Theke spricht und zeigt mit der Waffe in der Hand.</v>
      </c>
    </row>
    <row r="35706">
      <c r="A35706" s="4" t="s">
        <v>44919</v>
      </c>
      <c r="B35706" s="4" t="s">
        <v>44920</v>
      </c>
      <c r="C35706" s="5" t="str">
        <f>IFERROR(__xludf.DUMMYFUNCTION("GOOGLETRANSLATE(B35706,""en"",""de"")"),"Männer stehen gegen den Zaun, die Tore sind auf und ein Fahrer wartet darauf, zu beginnen.")</f>
        <v>Männer stehen gegen den Zaun, die Tore sind auf und ein Fahrer wartet darauf, zu beginnen.</v>
      </c>
    </row>
    <row r="35707">
      <c r="A35707" s="4" t="s">
        <v>44919</v>
      </c>
      <c r="B35707" s="4" t="s">
        <v>44921</v>
      </c>
      <c r="C35707" s="5" t="str">
        <f>IFERROR(__xludf.DUMMYFUNCTION("GOOGLETRANSLATE(B35707,""en"",""de"")"),"Sobald das Tor öffnet, rennt ein wenig Kuh heraus und das Pferd jagt danach.")</f>
        <v>Sobald das Tor öffnet, rennt ein wenig Kuh heraus und das Pferd jagt danach.</v>
      </c>
    </row>
    <row r="35708">
      <c r="A35708" s="4" t="s">
        <v>44919</v>
      </c>
      <c r="B35708" s="4" t="s">
        <v>44922</v>
      </c>
      <c r="C35708" s="5" t="str">
        <f>IFERROR(__xludf.DUMMYFUNCTION("GOOGLETRANSLATE(B35708,""en"",""de"")"),"Der Fahrer wirft ein Seil auf die Kuh und versucht es zu fangen und springt dann vom Pferd.")</f>
        <v>Der Fahrer wirft ein Seil auf die Kuh und versucht es zu fangen und springt dann vom Pferd.</v>
      </c>
    </row>
    <row r="35709">
      <c r="A35709" s="4" t="s">
        <v>44919</v>
      </c>
      <c r="B35709" s="4" t="s">
        <v>44923</v>
      </c>
      <c r="C35709" s="5" t="str">
        <f>IFERROR(__xludf.DUMMYFUNCTION("GOOGLETRANSLATE(B35709,""en"",""de"")"),"Nachdem er vom Pferd gesprungen war, fängt er an, die Kuh zu festzuhalten und das Seil sehr grob um die Beine zu binden.")</f>
        <v>Nachdem er vom Pferd gesprungen war, fängt er an, die Kuh zu festzuhalten und das Seil sehr grob um die Beine zu binden.</v>
      </c>
    </row>
    <row r="35710">
      <c r="A35710" s="4" t="s">
        <v>44924</v>
      </c>
      <c r="B35710" s="4" t="s">
        <v>44925</v>
      </c>
      <c r="C35710" s="5" t="str">
        <f>IFERROR(__xludf.DUMMYFUNCTION("GOOGLETRANSLATE(B35710,""en"",""de"")"),"Ein kleiner Junge hält sich an einem Rasenmäher fest und schiebt ihn entlang des Hofes.")</f>
        <v>Ein kleiner Junge hält sich an einem Rasenmäher fest und schiebt ihn entlang des Hofes.</v>
      </c>
    </row>
    <row r="35711">
      <c r="A35711" s="4" t="s">
        <v>44924</v>
      </c>
      <c r="B35711" s="4" t="s">
        <v>44926</v>
      </c>
      <c r="C35711" s="5" t="str">
        <f>IFERROR(__xludf.DUMMYFUNCTION("GOOGLETRANSLATE(B35711,""en"",""de"")"),"Der Junge schiebt den Mäher weiter herum, während die Kamera seine Bewegungen einfängt.")</f>
        <v>Der Junge schiebt den Mäher weiter herum, während die Kamera seine Bewegungen einfängt.</v>
      </c>
    </row>
    <row r="35712">
      <c r="A35712" s="4" t="s">
        <v>44924</v>
      </c>
      <c r="B35712" s="4" t="s">
        <v>44927</v>
      </c>
      <c r="C35712" s="5" t="str">
        <f>IFERROR(__xludf.DUMMYFUNCTION("GOOGLETRANSLATE(B35712,""en"",""de"")"),"Er schiebt den Mäher zurück, wo er angefangen hat und zurück zur Kamera schaut.")</f>
        <v>Er schiebt den Mäher zurück, wo er angefangen hat und zurück zur Kamera schaut.</v>
      </c>
    </row>
    <row r="35713">
      <c r="A35713" s="4" t="s">
        <v>44928</v>
      </c>
      <c r="B35713" s="4" t="s">
        <v>1251</v>
      </c>
      <c r="C35713" s="5" t="str">
        <f>IFERROR(__xludf.DUMMYFUNCTION("GOOGLETRANSLATE(B35713,""en"",""de"")"),"Die Credits des Clips werden angezeigt.")</f>
        <v>Die Credits des Clips werden angezeigt.</v>
      </c>
    </row>
    <row r="35714">
      <c r="A35714" s="4" t="s">
        <v>44928</v>
      </c>
      <c r="B35714" s="4" t="s">
        <v>44929</v>
      </c>
      <c r="C35714" s="5" t="str">
        <f>IFERROR(__xludf.DUMMYFUNCTION("GOOGLETRANSLATE(B35714,""en"",""de"")"),"Fahrzeuge bewegen sich eine Straße hinunter.")</f>
        <v>Fahrzeuge bewegen sich eine Straße hinunter.</v>
      </c>
    </row>
    <row r="35715">
      <c r="A35715" s="4" t="s">
        <v>44928</v>
      </c>
      <c r="B35715" s="4" t="s">
        <v>44930</v>
      </c>
      <c r="C35715" s="5" t="str">
        <f>IFERROR(__xludf.DUMMYFUNCTION("GOOGLETRANSLATE(B35715,""en"",""de"")"),"Eine Dame steht und diskutiert.")</f>
        <v>Eine Dame steht und diskutiert.</v>
      </c>
    </row>
    <row r="35716">
      <c r="A35716" s="4" t="s">
        <v>44928</v>
      </c>
      <c r="B35716" s="4" t="s">
        <v>44931</v>
      </c>
      <c r="C35716" s="5" t="str">
        <f>IFERROR(__xludf.DUMMYFUNCTION("GOOGLETRANSLATE(B35716,""en"",""de"")"),"Die Menschen paddeln einen felsigen Gewässer.")</f>
        <v>Die Menschen paddeln einen felsigen Gewässer.</v>
      </c>
    </row>
    <row r="35717">
      <c r="A35717" s="4" t="s">
        <v>44928</v>
      </c>
      <c r="B35717" s="4" t="s">
        <v>44932</v>
      </c>
      <c r="C35717" s="5" t="str">
        <f>IFERROR(__xludf.DUMMYFUNCTION("GOOGLETRANSLATE(B35717,""en"",""de"")"),"Eine Person versucht, eine Person zurück in das aufgeblasene Boot zu heben.")</f>
        <v>Eine Person versucht, eine Person zurück in das aufgeblasene Boot zu heben.</v>
      </c>
    </row>
    <row r="35718">
      <c r="A35718" s="4" t="s">
        <v>44928</v>
      </c>
      <c r="B35718" s="4" t="s">
        <v>44933</v>
      </c>
      <c r="C35718" s="5" t="str">
        <f>IFERROR(__xludf.DUMMYFUNCTION("GOOGLETRANSLATE(B35718,""en"",""de"")"),"Eine Dame geht vom aufgeblasenen Boot weg.")</f>
        <v>Eine Dame geht vom aufgeblasenen Boot weg.</v>
      </c>
    </row>
    <row r="35719">
      <c r="A35719" s="4" t="s">
        <v>44928</v>
      </c>
      <c r="B35719" s="4" t="s">
        <v>44934</v>
      </c>
      <c r="C35719" s="5" t="str">
        <f>IFERROR(__xludf.DUMMYFUNCTION("GOOGLETRANSLATE(B35719,""en"",""de"")"),"Die Dame benutzte ihre Hände über ihr Gesicht.")</f>
        <v>Die Dame benutzte ihre Hände über ihr Gesicht.</v>
      </c>
    </row>
    <row r="35720">
      <c r="A35720" s="4" t="s">
        <v>44928</v>
      </c>
      <c r="B35720" s="4" t="s">
        <v>44935</v>
      </c>
      <c r="C35720" s="5" t="str">
        <f>IFERROR(__xludf.DUMMYFUNCTION("GOOGLETRANSLATE(B35720,""en"",""de"")"),"Menschen, die auf einem aufgeblasenen Boot sitzen, erheben ihre Paddel.")</f>
        <v>Menschen, die auf einem aufgeblasenen Boot sitzen, erheben ihre Paddel.</v>
      </c>
    </row>
    <row r="35721">
      <c r="A35721" s="4" t="s">
        <v>44928</v>
      </c>
      <c r="B35721" s="4" t="s">
        <v>44936</v>
      </c>
      <c r="C35721" s="5" t="str">
        <f>IFERROR(__xludf.DUMMYFUNCTION("GOOGLETRANSLATE(B35721,""en"",""de"")"),"Ein aufgeblasenes Boot dreht sich um und die Insassen fällt über Bord.")</f>
        <v>Ein aufgeblasenes Boot dreht sich um und die Insassen fällt über Bord.</v>
      </c>
    </row>
    <row r="35722">
      <c r="A35722" s="4" t="s">
        <v>44928</v>
      </c>
      <c r="B35722" s="4" t="s">
        <v>44937</v>
      </c>
      <c r="C35722" s="5" t="str">
        <f>IFERROR(__xludf.DUMMYFUNCTION("GOOGLETRANSLATE(B35722,""en"",""de"")"),"Die Dame nimmt ihren Helm aus.")</f>
        <v>Die Dame nimmt ihren Helm aus.</v>
      </c>
    </row>
    <row r="35723">
      <c r="A35723" s="4" t="s">
        <v>44928</v>
      </c>
      <c r="B35723" s="4" t="s">
        <v>44938</v>
      </c>
      <c r="C35723" s="5" t="str">
        <f>IFERROR(__xludf.DUMMYFUNCTION("GOOGLETRANSLATE(B35723,""en"",""de"")"),"Ein Mann gibt der Dame ihre weißen Sandalen.")</f>
        <v>Ein Mann gibt der Dame ihre weißen Sandalen.</v>
      </c>
    </row>
    <row r="35724">
      <c r="A35724" s="4" t="s">
        <v>44928</v>
      </c>
      <c r="B35724" s="4" t="s">
        <v>44939</v>
      </c>
      <c r="C35724" s="5" t="str">
        <f>IFERROR(__xludf.DUMMYFUNCTION("GOOGLETRANSLATE(B35724,""en"",""de"")"),"Die Dame bläst einen Kuss.")</f>
        <v>Die Dame bläst einen Kuss.</v>
      </c>
    </row>
    <row r="35725">
      <c r="A35725" s="4" t="s">
        <v>44928</v>
      </c>
      <c r="B35725" s="4" t="s">
        <v>44940</v>
      </c>
      <c r="C35725" s="5" t="str">
        <f>IFERROR(__xludf.DUMMYFUNCTION("GOOGLETRANSLATE(B35725,""en"",""de"")"),"Jungs spielen draußen Fußball.")</f>
        <v>Jungs spielen draußen Fußball.</v>
      </c>
    </row>
    <row r="35726">
      <c r="A35726" s="4" t="s">
        <v>44928</v>
      </c>
      <c r="B35726" s="4" t="s">
        <v>44941</v>
      </c>
      <c r="C35726" s="5" t="str">
        <f>IFERROR(__xludf.DUMMYFUNCTION("GOOGLETRANSLATE(B35726,""en"",""de"")"),"Zwei rote Teamspieler Brustbump.")</f>
        <v>Zwei rote Teamspieler Brustbump.</v>
      </c>
    </row>
    <row r="35727">
      <c r="A35727" s="4" t="s">
        <v>44928</v>
      </c>
      <c r="B35727" s="4" t="s">
        <v>1251</v>
      </c>
      <c r="C35727" s="5" t="str">
        <f>IFERROR(__xludf.DUMMYFUNCTION("GOOGLETRANSLATE(B35727,""en"",""de"")"),"Die Credits des Clips werden angezeigt.")</f>
        <v>Die Credits des Clips werden angezeigt.</v>
      </c>
    </row>
    <row r="35728">
      <c r="A35728" s="4" t="s">
        <v>44942</v>
      </c>
      <c r="B35728" s="4" t="s">
        <v>44943</v>
      </c>
      <c r="C35728" s="5" t="str">
        <f>IFERROR(__xludf.DUMMYFUNCTION("GOOGLETRANSLATE(B35728,""en"",""de"")"),"Ein Intro führt in Schüsse außerhalb eines Hundes Groomers und innen, wo mehrere Hunde gebunden sind.")</f>
        <v>Ein Intro führt in Schüsse außerhalb eines Hundes Groomers und innen, wo mehrere Hunde gebunden sind.</v>
      </c>
    </row>
    <row r="35729">
      <c r="A35729" s="4" t="s">
        <v>44942</v>
      </c>
      <c r="B35729" s="4" t="s">
        <v>44944</v>
      </c>
      <c r="C35729" s="5" t="str">
        <f>IFERROR(__xludf.DUMMYFUNCTION("GOOGLETRANSLATE(B35729,""en"",""de"")"),"Viele Frauen werden gezeigt, die die Hunde bürsten und ihr Fell abschneiden, während sie ihnen Kopfkratzer dazwischen geben.")</f>
        <v>Viele Frauen werden gezeigt, die die Hunde bürsten und ihr Fell abschneiden, während sie ihnen Kopfkratzer dazwischen geben.</v>
      </c>
    </row>
    <row r="35730">
      <c r="A35730" s="4" t="s">
        <v>44942</v>
      </c>
      <c r="B35730" s="4" t="s">
        <v>44945</v>
      </c>
      <c r="C35730" s="5" t="str">
        <f>IFERROR(__xludf.DUMMYFUNCTION("GOOGLETRANSLATE(B35730,""en"",""de"")"),"Weitere Hunde sitzen in Kisten und bellen in der Kamera, während der Wind darauf weht.")</f>
        <v>Weitere Hunde sitzen in Kisten und bellen in der Kamera, während der Wind darauf weht.</v>
      </c>
    </row>
    <row r="35731">
      <c r="A35731" s="4" t="s">
        <v>44946</v>
      </c>
      <c r="B35731" s="4" t="s">
        <v>44947</v>
      </c>
      <c r="C35731" s="5" t="str">
        <f>IFERROR(__xludf.DUMMYFUNCTION("GOOGLETRANSLATE(B35731,""en"",""de"")"),"Teamkollegen sind gesehen, die auf ein Feld gehen, das von Dutzenden von Menschen umgeben ist, und stehen bereit über ein Seil, das ihre Arme hochhält.")</f>
        <v>Teamkollegen sind gesehen, die auf ein Feld gehen, das von Dutzenden von Menschen umgeben ist, und stehen bereit über ein Seil, das ihre Arme hochhält.</v>
      </c>
    </row>
    <row r="35732">
      <c r="A35732" s="4" t="s">
        <v>44946</v>
      </c>
      <c r="B35732" s="4" t="s">
        <v>44948</v>
      </c>
      <c r="C35732" s="5" t="str">
        <f>IFERROR(__xludf.DUMMYFUNCTION("GOOGLETRANSLATE(B35732,""en"",""de"")"),"Die Männer ziehen dann das Seil gegen ein anderes Team und enden, indem sie herunterfallen.")</f>
        <v>Die Männer ziehen dann das Seil gegen ein anderes Team und enden, indem sie herunterfallen.</v>
      </c>
    </row>
    <row r="35733">
      <c r="A35733" s="4" t="s">
        <v>44949</v>
      </c>
      <c r="B35733" s="4" t="s">
        <v>44950</v>
      </c>
      <c r="C35733" s="5" t="str">
        <f>IFERROR(__xludf.DUMMYFUNCTION("GOOGLETRANSLATE(B35733,""en"",""de"")"),"Ein Mann hält eine Axt und schaut zurück, um in die Kamera zu lächeln.")</f>
        <v>Ein Mann hält eine Axt und schaut zurück, um in die Kamera zu lächeln.</v>
      </c>
    </row>
    <row r="35734">
      <c r="A35734" s="4" t="s">
        <v>44949</v>
      </c>
      <c r="B35734" s="4" t="s">
        <v>44951</v>
      </c>
      <c r="C35734" s="5" t="str">
        <f>IFERROR(__xludf.DUMMYFUNCTION("GOOGLETRANSLATE(B35734,""en"",""de"")"),"Der Mann schwingt dann die Axt nach unten und trifft einen Holzstamm, der immer noch in die Kamera lächelt.")</f>
        <v>Der Mann schwingt dann die Axt nach unten und trifft einen Holzstamm, der immer noch in die Kamera lächelt.</v>
      </c>
    </row>
    <row r="35735">
      <c r="A35735" s="4" t="s">
        <v>44952</v>
      </c>
      <c r="B35735" s="4" t="s">
        <v>44953</v>
      </c>
      <c r="C35735" s="5" t="str">
        <f>IFERROR(__xludf.DUMMYFUNCTION("GOOGLETRANSLATE(B35735,""en"",""de"")"),"Die Farbe wird auf einer Styroporplatte gemischt.")</f>
        <v>Die Farbe wird auf einer Styroporplatte gemischt.</v>
      </c>
    </row>
    <row r="35736">
      <c r="A35736" s="4" t="s">
        <v>44952</v>
      </c>
      <c r="B35736" s="4" t="s">
        <v>44954</v>
      </c>
      <c r="C35736" s="5" t="str">
        <f>IFERROR(__xludf.DUMMYFUNCTION("GOOGLETRANSLATE(B35736,""en"",""de"")"),"Eine Hand zeichnet mit einem Pinsel und der gemischten Farbe auf ein Stück Papier.")</f>
        <v>Eine Hand zeichnet mit einem Pinsel und der gemischten Farbe auf ein Stück Papier.</v>
      </c>
    </row>
    <row r="35737">
      <c r="A35737" s="4" t="s">
        <v>44955</v>
      </c>
      <c r="B35737" s="4" t="s">
        <v>44956</v>
      </c>
      <c r="C35737" s="5" t="str">
        <f>IFERROR(__xludf.DUMMYFUNCTION("GOOGLETRANSLATE(B35737,""en"",""de"")"),"Ein Koch wird gesehen, wie er mit einer Frau spricht und führt in ihn, um Messer zu halten und die Seiten zu schärfen.")</f>
        <v>Ein Koch wird gesehen, wie er mit einer Frau spricht und führt in ihn, um Messer zu halten und die Seiten zu schärfen.</v>
      </c>
    </row>
    <row r="35738">
      <c r="A35738" s="4" t="s">
        <v>44955</v>
      </c>
      <c r="B35738" s="4" t="s">
        <v>44957</v>
      </c>
      <c r="C35738" s="5" t="str">
        <f>IFERROR(__xludf.DUMMYFUNCTION("GOOGLETRANSLATE(B35738,""en"",""de"")"),"Dann wischt er das Messer mit einem Lappen ab und schärft die Messer weiter.")</f>
        <v>Dann wischt er das Messer mit einem Lappen ab und schärft die Messer weiter.</v>
      </c>
    </row>
    <row r="35739">
      <c r="A35739" s="4" t="s">
        <v>44958</v>
      </c>
      <c r="B35739" s="4" t="s">
        <v>7239</v>
      </c>
      <c r="C35739" s="5" t="str">
        <f>IFERROR(__xludf.DUMMYFUNCTION("GOOGLETRANSLATE(B35739,""en"",""de"")"),"Wir sehen einen schwarzen Titelbildschirm.")</f>
        <v>Wir sehen einen schwarzen Titelbildschirm.</v>
      </c>
    </row>
    <row r="35740">
      <c r="A35740" s="4" t="s">
        <v>44958</v>
      </c>
      <c r="B35740" s="4" t="s">
        <v>44959</v>
      </c>
      <c r="C35740" s="5" t="str">
        <f>IFERROR(__xludf.DUMMYFUNCTION("GOOGLETRANSLATE(B35740,""en"",""de"")"),"Wir sehen, dass sie die Straße entlang fahren, dann sehen wir den Mann im Auto.")</f>
        <v>Wir sehen, dass sie die Straße entlang fahren, dann sehen wir den Mann im Auto.</v>
      </c>
    </row>
    <row r="35741">
      <c r="A35741" s="4" t="s">
        <v>44958</v>
      </c>
      <c r="B35741" s="4" t="s">
        <v>44960</v>
      </c>
      <c r="C35741" s="5" t="str">
        <f>IFERROR(__xludf.DUMMYFUNCTION("GOOGLETRANSLATE(B35741,""en"",""de"")"),"Der Mann steigt aus und schnappt sich flache Reifenvorräte.")</f>
        <v>Der Mann steigt aus und schnappt sich flache Reifenvorräte.</v>
      </c>
    </row>
    <row r="35742">
      <c r="A35742" s="4" t="s">
        <v>44958</v>
      </c>
      <c r="B35742" s="4" t="s">
        <v>44961</v>
      </c>
      <c r="C35742" s="5" t="str">
        <f>IFERROR(__xludf.DUMMYFUNCTION("GOOGLETRANSLATE(B35742,""en"",""de"")"),"Der Mann sitzt im Auto und denkt darüber nach, wie man einen Reifen verändert.")</f>
        <v>Der Mann sitzt im Auto und denkt darüber nach, wie man einen Reifen verändert.</v>
      </c>
    </row>
    <row r="35743">
      <c r="A35743" s="4" t="s">
        <v>44958</v>
      </c>
      <c r="B35743" s="4" t="s">
        <v>44962</v>
      </c>
      <c r="C35743" s="5" t="str">
        <f>IFERROR(__xludf.DUMMYFUNCTION("GOOGLETRANSLATE(B35743,""en"",""de"")"),"Der Typ lockert die Schrauben, baute das Auto auf und nimmt die Wohnung aus.")</f>
        <v>Der Typ lockert die Schrauben, baute das Auto auf und nimmt die Wohnung aus.</v>
      </c>
    </row>
    <row r="35744">
      <c r="A35744" s="4" t="s">
        <v>44958</v>
      </c>
      <c r="B35744" s="4" t="s">
        <v>44963</v>
      </c>
      <c r="C35744" s="5" t="str">
        <f>IFERROR(__xludf.DUMMYFUNCTION("GOOGLETRANSLATE(B35744,""en"",""de"")"),"Der Typ legt dann das Ersatzreifen auf das Auto.")</f>
        <v>Der Typ legt dann das Ersatzreifen auf das Auto.</v>
      </c>
    </row>
    <row r="35745">
      <c r="A35745" s="4" t="s">
        <v>44958</v>
      </c>
      <c r="B35745" s="4" t="s">
        <v>44964</v>
      </c>
      <c r="C35745" s="5" t="str">
        <f>IFERROR(__xludf.DUMMYFUNCTION("GOOGLETRANSLATE(B35745,""en"",""de"")"),"Wir sehen die Schrauben in einer Linie aus der Nähe.")</f>
        <v>Wir sehen die Schrauben in einer Linie aus der Nähe.</v>
      </c>
    </row>
    <row r="35746">
      <c r="A35746" s="4" t="s">
        <v>44958</v>
      </c>
      <c r="B35746" s="4" t="s">
        <v>44965</v>
      </c>
      <c r="C35746" s="5" t="str">
        <f>IFERROR(__xludf.DUMMYFUNCTION("GOOGLETRANSLATE(B35746,""en"",""de"")"),"Der Mann legt den Ersatzreifen ins Auto und steigt ins Auto.")</f>
        <v>Der Mann legt den Ersatzreifen ins Auto und steigt ins Auto.</v>
      </c>
    </row>
    <row r="35747">
      <c r="A35747" s="4" t="s">
        <v>44958</v>
      </c>
      <c r="B35747" s="4" t="s">
        <v>44966</v>
      </c>
      <c r="C35747" s="5" t="str">
        <f>IFERROR(__xludf.DUMMYFUNCTION("GOOGLETRANSLATE(B35747,""en"",""de"")"),"Er ruft an und schaltet Radio ein.")</f>
        <v>Er ruft an und schaltet Radio ein.</v>
      </c>
    </row>
    <row r="35748">
      <c r="A35748" s="4" t="s">
        <v>44958</v>
      </c>
      <c r="B35748" s="4" t="s">
        <v>44967</v>
      </c>
      <c r="C35748" s="5" t="str">
        <f>IFERROR(__xludf.DUMMYFUNCTION("GOOGLETRANSLATE(B35748,""en"",""de"")"),"Der Mann macht eine Kehrtwende und geht.")</f>
        <v>Der Mann macht eine Kehrtwende und geht.</v>
      </c>
    </row>
    <row r="35749">
      <c r="A35749" s="4" t="s">
        <v>44958</v>
      </c>
      <c r="B35749" s="4" t="s">
        <v>44968</v>
      </c>
      <c r="C35749" s="5" t="str">
        <f>IFERROR(__xludf.DUMMYFUNCTION("GOOGLETRANSLATE(B35749,""en"",""de"")"),"Wir sehen den Endtitel.")</f>
        <v>Wir sehen den Endtitel.</v>
      </c>
    </row>
    <row r="35750">
      <c r="A35750" s="4" t="s">
        <v>44969</v>
      </c>
      <c r="B35750" s="4" t="s">
        <v>44970</v>
      </c>
      <c r="C35750" s="5" t="str">
        <f>IFERROR(__xludf.DUMMYFUNCTION("GOOGLETRANSLATE(B35750,""en"",""de"")"),"Ein Behälter mit Friseurcreme wird von einem Stylisten gezeigt.")</f>
        <v>Ein Behälter mit Friseurcreme wird von einem Stylisten gezeigt.</v>
      </c>
    </row>
    <row r="35751">
      <c r="A35751" s="4" t="s">
        <v>44969</v>
      </c>
      <c r="B35751" s="4" t="s">
        <v>44971</v>
      </c>
      <c r="C35751" s="5" t="str">
        <f>IFERROR(__xludf.DUMMYFUNCTION("GOOGLETRANSLATE(B35751,""en"",""de"")"),"Sie wendet es auf die Haut einer sitzenden Brünetten.")</f>
        <v>Sie wendet es auf die Haut einer sitzenden Brünetten.</v>
      </c>
    </row>
    <row r="35752">
      <c r="A35752" s="4" t="s">
        <v>44969</v>
      </c>
      <c r="B35752" s="4" t="s">
        <v>44972</v>
      </c>
      <c r="C35752" s="5" t="str">
        <f>IFERROR(__xludf.DUMMYFUNCTION("GOOGLETRANSLATE(B35752,""en"",""de"")"),"Sie zeigt dann, wie es funktioniert.")</f>
        <v>Sie zeigt dann, wie es funktioniert.</v>
      </c>
    </row>
    <row r="35753">
      <c r="A35753" s="4" t="s">
        <v>44973</v>
      </c>
      <c r="B35753" s="4" t="s">
        <v>44974</v>
      </c>
      <c r="C35753" s="5" t="str">
        <f>IFERROR(__xludf.DUMMYFUNCTION("GOOGLETRANSLATE(B35753,""en"",""de"")"),"Ein Mann wird gesehen, wie er mit der Kamera spricht und zu einem Dach kommt, das auseinanderbricht.")</f>
        <v>Ein Mann wird gesehen, wie er mit der Kamera spricht und zu einem Dach kommt, das auseinanderbricht.</v>
      </c>
    </row>
    <row r="35754">
      <c r="A35754" s="4" t="s">
        <v>44973</v>
      </c>
      <c r="B35754" s="4" t="s">
        <v>44975</v>
      </c>
      <c r="C35754" s="5" t="str">
        <f>IFERROR(__xludf.DUMMYFUNCTION("GOOGLETRANSLATE(B35754,""en"",""de"")"),"Er zeigt über das Dach und zeigt einen Mann, der auf dem Dach arbeitet, während er wieder herumschwen.")</f>
        <v>Er zeigt über das Dach und zeigt einen Mann, der auf dem Dach arbeitet, während er wieder herumschwen.</v>
      </c>
    </row>
    <row r="35755">
      <c r="A35755" s="4" t="s">
        <v>44976</v>
      </c>
      <c r="B35755" s="4" t="s">
        <v>44977</v>
      </c>
      <c r="C35755" s="5" t="str">
        <f>IFERROR(__xludf.DUMMYFUNCTION("GOOGLETRANSLATE(B35755,""en"",""de"")"),"Eine Frau legt ihre Haare in einen Ponyschwanz mit einem Mann, der sie nebenbei beobachtet.")</f>
        <v>Eine Frau legt ihre Haare in einen Ponyschwanz mit einem Mann, der sie nebenbei beobachtet.</v>
      </c>
    </row>
    <row r="35756">
      <c r="A35756" s="4" t="s">
        <v>44976</v>
      </c>
      <c r="B35756" s="4" t="s">
        <v>44978</v>
      </c>
      <c r="C35756" s="5" t="str">
        <f>IFERROR(__xludf.DUMMYFUNCTION("GOOGLETRANSLATE(B35756,""en"",""de"")"),"Sie spielt dann das Klavier, während sie lächelt und der Mann beobachtet sie weiter.")</f>
        <v>Sie spielt dann das Klavier, während sie lächelt und der Mann beobachtet sie weiter.</v>
      </c>
    </row>
    <row r="35757">
      <c r="A35757" s="4" t="s">
        <v>44979</v>
      </c>
      <c r="B35757" s="4" t="s">
        <v>44980</v>
      </c>
      <c r="C35757" s="5" t="str">
        <f>IFERROR(__xludf.DUMMYFUNCTION("GOOGLETRANSLATE(B35757,""en"",""de"")"),"Die Menschen paddeln in Kajaks in einem Gewässer.")</f>
        <v>Die Menschen paddeln in Kajaks in einem Gewässer.</v>
      </c>
    </row>
    <row r="35758">
      <c r="A35758" s="4" t="s">
        <v>44979</v>
      </c>
      <c r="B35758" s="4" t="s">
        <v>44981</v>
      </c>
      <c r="C35758" s="5" t="str">
        <f>IFERROR(__xludf.DUMMYFUNCTION("GOOGLETRANSLATE(B35758,""en"",""de"")"),"Ein Mann nimmt in einem grünen Kajak ab.")</f>
        <v>Ein Mann nimmt in einem grünen Kajak ab.</v>
      </c>
    </row>
    <row r="35759">
      <c r="A35759" s="4" t="s">
        <v>44979</v>
      </c>
      <c r="B35759" s="4" t="s">
        <v>44982</v>
      </c>
      <c r="C35759" s="5" t="str">
        <f>IFERROR(__xludf.DUMMYFUNCTION("GOOGLETRANSLATE(B35759,""en"",""de"")"),"Ein Mann in einer roten Jacke spricht mit der Kamera.")</f>
        <v>Ein Mann in einer roten Jacke spricht mit der Kamera.</v>
      </c>
    </row>
    <row r="35760">
      <c r="A35760" s="4" t="s">
        <v>44983</v>
      </c>
      <c r="B35760" s="4" t="s">
        <v>44984</v>
      </c>
      <c r="C35760" s="5" t="str">
        <f>IFERROR(__xludf.DUMMYFUNCTION("GOOGLETRANSLATE(B35760,""en"",""de"")"),"Eine Frau und ein Hund spielen mit einer Frisbee auf dem Gras.")</f>
        <v>Eine Frau und ein Hund spielen mit einer Frisbee auf dem Gras.</v>
      </c>
    </row>
    <row r="35761">
      <c r="A35761" s="4" t="s">
        <v>44983</v>
      </c>
      <c r="B35761" s="4" t="s">
        <v>44985</v>
      </c>
      <c r="C35761" s="5" t="str">
        <f>IFERROR(__xludf.DUMMYFUNCTION("GOOGLETRANSLATE(B35761,""en"",""de"")"),"Der Hund hat die Frisbee im Mund.")</f>
        <v>Der Hund hat die Frisbee im Mund.</v>
      </c>
    </row>
    <row r="35762">
      <c r="A35762" s="4" t="s">
        <v>44983</v>
      </c>
      <c r="B35762" s="4" t="s">
        <v>44986</v>
      </c>
      <c r="C35762" s="5" t="str">
        <f>IFERROR(__xludf.DUMMYFUNCTION("GOOGLETRANSLATE(B35762,""en"",""de"")"),"Die Frau und der Hund spielen mit einem Seil.")</f>
        <v>Die Frau und der Hund spielen mit einem Seil.</v>
      </c>
    </row>
    <row r="35763">
      <c r="A35763" s="4" t="s">
        <v>44987</v>
      </c>
      <c r="B35763" s="4" t="s">
        <v>44988</v>
      </c>
      <c r="C35763" s="5" t="str">
        <f>IFERROR(__xludf.DUMMYFUNCTION("GOOGLETRANSLATE(B35763,""en"",""de"")"),"Am Strand liegt eine Gruppe von Fußballbällen neben einem Mann, der sie beim Tor tritt, geschützt von einem Torhüter.")</f>
        <v>Am Strand liegt eine Gruppe von Fußballbällen neben einem Mann, der sie beim Tor tritt, geschützt von einem Torhüter.</v>
      </c>
    </row>
    <row r="35764">
      <c r="A35764" s="4" t="s">
        <v>44987</v>
      </c>
      <c r="B35764" s="4" t="s">
        <v>44989</v>
      </c>
      <c r="C35764" s="5" t="str">
        <f>IFERROR(__xludf.DUMMYFUNCTION("GOOGLETRANSLATE(B35764,""en"",""de"")"),"Er stirbt sie auf und von seinem Knie, bevor er weit schießt.")</f>
        <v>Er stirbt sie auf und von seinem Knie, bevor er weit schießt.</v>
      </c>
    </row>
    <row r="35765">
      <c r="A35765" s="4" t="s">
        <v>44987</v>
      </c>
      <c r="B35765" s="4" t="s">
        <v>44990</v>
      </c>
      <c r="C35765" s="5" t="str">
        <f>IFERROR(__xludf.DUMMYFUNCTION("GOOGLETRANSLATE(B35765,""en"",""de"")"),"Er trifft schließlich über den Torhüter.")</f>
        <v>Er trifft schließlich über den Torhüter.</v>
      </c>
    </row>
    <row r="35766">
      <c r="A35766" s="4" t="s">
        <v>44987</v>
      </c>
      <c r="B35766" s="4" t="s">
        <v>44991</v>
      </c>
      <c r="C35766" s="5" t="str">
        <f>IFERROR(__xludf.DUMMYFUNCTION("GOOGLETRANSLATE(B35766,""en"",""de"")"),"Sein letzter Ball wird vom Torhüter erneut gerettet.")</f>
        <v>Sein letzter Ball wird vom Torhüter erneut gerettet.</v>
      </c>
    </row>
    <row r="35767">
      <c r="A35767" s="4" t="s">
        <v>44992</v>
      </c>
      <c r="B35767" s="4" t="s">
        <v>44993</v>
      </c>
      <c r="C35767" s="5" t="str">
        <f>IFERROR(__xludf.DUMMYFUNCTION("GOOGLETRANSLATE(B35767,""en"",""de"")"),"Eine Frau, die Trainingsausrüstung trägt, wird mit der Kamera gesprochen und auf mehrere Bereiche auf ihrem Körper hinweist.")</f>
        <v>Eine Frau, die Trainingsausrüstung trägt, wird mit der Kamera gesprochen und auf mehrere Bereiche auf ihrem Körper hinweist.</v>
      </c>
    </row>
    <row r="35768">
      <c r="A35768" s="4" t="s">
        <v>44992</v>
      </c>
      <c r="B35768" s="4" t="s">
        <v>44994</v>
      </c>
      <c r="C35768" s="5" t="str">
        <f>IFERROR(__xludf.DUMMYFUNCTION("GOOGLETRANSLATE(B35768,""en"",""de"")"),"Sie spricht weiterhin mit der Kamera, während sie mehrere AB -Crunches durchführt, um Ihren Kern zu bearbeiten.")</f>
        <v>Sie spricht weiterhin mit der Kamera, während sie mehrere AB -Crunches durchführt, um Ihren Kern zu bearbeiten.</v>
      </c>
    </row>
    <row r="35769">
      <c r="A35769" s="4" t="s">
        <v>44992</v>
      </c>
      <c r="B35769" s="4" t="s">
        <v>44995</v>
      </c>
      <c r="C35769" s="5" t="str">
        <f>IFERROR(__xludf.DUMMYFUNCTION("GOOGLETRANSLATE(B35769,""en"",""de"")"),"Sie schnappt sich dann ein Gewicht in beiden Händen sowie als Katze, um sie als Gewicht für die Übung zu verwenden.")</f>
        <v>Sie schnappt sich dann ein Gewicht in beiden Händen sowie als Katze, um sie als Gewicht für die Übung zu verwenden.</v>
      </c>
    </row>
    <row r="35770">
      <c r="A35770" s="4" t="s">
        <v>44992</v>
      </c>
      <c r="B35770" s="4" t="s">
        <v>44996</v>
      </c>
      <c r="C35770" s="5" t="str">
        <f>IFERROR(__xludf.DUMMYFUNCTION("GOOGLETRANSLATE(B35770,""en"",""de"")"),"Sie beugt sich vor und spricht weiter mit der Kamera.")</f>
        <v>Sie beugt sich vor und spricht weiter mit der Kamera.</v>
      </c>
    </row>
    <row r="35771">
      <c r="A35771" s="4" t="s">
        <v>44997</v>
      </c>
      <c r="B35771" s="4" t="s">
        <v>44998</v>
      </c>
      <c r="C35771" s="5" t="str">
        <f>IFERROR(__xludf.DUMMYFUNCTION("GOOGLETRANSLATE(B35771,""en"",""de"")"),"Ein Mann sitzt an einem Drum -Set.")</f>
        <v>Ein Mann sitzt an einem Drum -Set.</v>
      </c>
    </row>
    <row r="35772">
      <c r="A35772" s="4" t="s">
        <v>44997</v>
      </c>
      <c r="B35772" s="4" t="s">
        <v>44999</v>
      </c>
      <c r="C35772" s="5" t="str">
        <f>IFERROR(__xludf.DUMMYFUNCTION("GOOGLETRANSLATE(B35772,""en"",""de"")"),"Er spielt Schlagzeug und Becken und spricht mit der Kamera.")</f>
        <v>Er spielt Schlagzeug und Becken und spricht mit der Kamera.</v>
      </c>
    </row>
    <row r="35773">
      <c r="A35773" s="4" t="s">
        <v>44997</v>
      </c>
      <c r="B35773" s="4" t="s">
        <v>45000</v>
      </c>
      <c r="C35773" s="5" t="str">
        <f>IFERROR(__xludf.DUMMYFUNCTION("GOOGLETRANSLATE(B35773,""en"",""de"")"),"Er zeigt die Mechanik der Pedale und die Auswirkungen auf das Drums, während er sie verwendet.")</f>
        <v>Er zeigt die Mechanik der Pedale und die Auswirkungen auf das Drums, während er sie verwendet.</v>
      </c>
    </row>
    <row r="35774">
      <c r="A35774" s="4" t="s">
        <v>45001</v>
      </c>
      <c r="B35774" s="4" t="s">
        <v>45002</v>
      </c>
      <c r="C35774" s="5" t="str">
        <f>IFERROR(__xludf.DUMMYFUNCTION("GOOGLETRANSLATE(B35774,""en"",""de"")"),"Eine Gruppe von Menschen, die BMX -Dirtbikes fahren, kommt zusammen einen Weg.")</f>
        <v>Eine Gruppe von Menschen, die BMX -Dirtbikes fahren, kommt zusammen einen Weg.</v>
      </c>
    </row>
    <row r="35775">
      <c r="A35775" s="4" t="s">
        <v>45001</v>
      </c>
      <c r="B35775" s="4" t="s">
        <v>45003</v>
      </c>
      <c r="C35775" s="5" t="str">
        <f>IFERROR(__xludf.DUMMYFUNCTION("GOOGLETRANSLATE(B35775,""en"",""de"")"),"Dann drehen Sie sich herum und nehmen Sie scharfe Kurven und Kurven auf der Strecke.")</f>
        <v>Dann drehen Sie sich herum und nehmen Sie scharfe Kurven und Kurven auf der Strecke.</v>
      </c>
    </row>
    <row r="35776">
      <c r="A35776" s="4" t="s">
        <v>45001</v>
      </c>
      <c r="B35776" s="4" t="s">
        <v>45004</v>
      </c>
      <c r="C35776" s="5" t="str">
        <f>IFERROR(__xludf.DUMMYFUNCTION("GOOGLETRANSLATE(B35776,""en"",""de"")"),"Wenn das Rennen vorbei ist, gehen sie herum, um Medaillen auszugeben und für Fotos zu posieren.")</f>
        <v>Wenn das Rennen vorbei ist, gehen sie herum, um Medaillen auszugeben und für Fotos zu posieren.</v>
      </c>
    </row>
    <row r="35777">
      <c r="A35777" s="4" t="s">
        <v>45005</v>
      </c>
      <c r="B35777" s="4" t="s">
        <v>45006</v>
      </c>
      <c r="C35777" s="5" t="str">
        <f>IFERROR(__xludf.DUMMYFUNCTION("GOOGLETRANSLATE(B35777,""en"",""de"")"),"Eine Dame steht am Ende eines Hopscotch -Hofes.")</f>
        <v>Eine Dame steht am Ende eines Hopscotch -Hofes.</v>
      </c>
    </row>
    <row r="35778">
      <c r="A35778" s="4" t="s">
        <v>45005</v>
      </c>
      <c r="B35778" s="4" t="s">
        <v>45007</v>
      </c>
      <c r="C35778" s="5" t="str">
        <f>IFERROR(__xludf.DUMMYFUNCTION("GOOGLETRANSLATE(B35778,""en"",""de"")"),"Die Dame springt dann nach rechts über den Hopscotch Court.")</f>
        <v>Die Dame springt dann nach rechts über den Hopscotch Court.</v>
      </c>
    </row>
    <row r="35779">
      <c r="A35779" s="4" t="s">
        <v>45005</v>
      </c>
      <c r="B35779" s="4" t="s">
        <v>45008</v>
      </c>
      <c r="C35779" s="5" t="str">
        <f>IFERROR(__xludf.DUMMYFUNCTION("GOOGLETRANSLATE(B35779,""en"",""de"")"),"Die Dame hüpft dann zurück, wo sie angefangen hat.")</f>
        <v>Die Dame hüpft dann zurück, wo sie angefangen hat.</v>
      </c>
    </row>
    <row r="35780">
      <c r="A35780" s="4" t="s">
        <v>45009</v>
      </c>
      <c r="B35780" s="4" t="s">
        <v>45010</v>
      </c>
      <c r="C35780" s="5" t="str">
        <f>IFERROR(__xludf.DUMMYFUNCTION("GOOGLETRANSLATE(B35780,""en"",""de"")"),"Frau spricht mit der Kamera vor einem großen Fitnessstudio mit vielen estatischen Fahrrädern im Hintergrund und Menschen, die Sport treiben.")</f>
        <v>Frau spricht mit der Kamera vor einem großen Fitnessstudio mit vielen estatischen Fahrrädern im Hintergrund und Menschen, die Sport treiben.</v>
      </c>
    </row>
    <row r="35781">
      <c r="A35781" s="4" t="s">
        <v>45009</v>
      </c>
      <c r="B35781" s="4" t="s">
        <v>45011</v>
      </c>
      <c r="C35781" s="5" t="str">
        <f>IFERROR(__xludf.DUMMYFUNCTION("GOOGLETRANSLATE(B35781,""en"",""de"")"),"Mädchen fängt an, im elliptischen Fahrrad zu trainieren.")</f>
        <v>Mädchen fängt an, im elliptischen Fahrrad zu trainieren.</v>
      </c>
    </row>
    <row r="35782">
      <c r="A35782" s="4" t="s">
        <v>45012</v>
      </c>
      <c r="B35782" s="4" t="s">
        <v>45013</v>
      </c>
      <c r="C35782" s="5" t="str">
        <f>IFERROR(__xludf.DUMMYFUNCTION("GOOGLETRANSLATE(B35782,""en"",""de"")"),"Es werden mehrere Bauchnabel -Schmuckstücke angezeigt.")</f>
        <v>Es werden mehrere Bauchnabel -Schmuckstücke angezeigt.</v>
      </c>
    </row>
    <row r="35783">
      <c r="A35783" s="4" t="s">
        <v>45012</v>
      </c>
      <c r="B35783" s="4" t="s">
        <v>45014</v>
      </c>
      <c r="C35783" s="5" t="str">
        <f>IFERROR(__xludf.DUMMYFUNCTION("GOOGLETRANSLATE(B35783,""en"",""de"")"),"Darauf folgt ein Mann, der den Bauchnabel einer Frau desinfiziert.")</f>
        <v>Darauf folgt ein Mann, der den Bauchnabel einer Frau desinfiziert.</v>
      </c>
    </row>
    <row r="35784">
      <c r="A35784" s="4" t="s">
        <v>45012</v>
      </c>
      <c r="B35784" s="4" t="s">
        <v>45015</v>
      </c>
      <c r="C35784" s="5" t="str">
        <f>IFERROR(__xludf.DUMMYFUNCTION("GOOGLETRANSLATE(B35784,""en"",""de"")"),"Dann fügt er ein Piercing mit einer Klemme und einer Stange ein.")</f>
        <v>Dann fügt er ein Piercing mit einer Klemme und einer Stange ein.</v>
      </c>
    </row>
    <row r="35785">
      <c r="A35785" s="4" t="s">
        <v>45012</v>
      </c>
      <c r="B35785" s="4" t="s">
        <v>45016</v>
      </c>
      <c r="C35785" s="5" t="str">
        <f>IFERROR(__xludf.DUMMYFUNCTION("GOOGLETRANSLATE(B35785,""en"",""de"")"),"Die Frau beobachtet, wie die letzten Bolzen vorhanden sind.")</f>
        <v>Die Frau beobachtet, wie die letzten Bolzen vorhanden sind.</v>
      </c>
    </row>
    <row r="35786">
      <c r="A35786" s="4" t="s">
        <v>45017</v>
      </c>
      <c r="B35786" s="4" t="s">
        <v>45018</v>
      </c>
      <c r="C35786" s="5" t="str">
        <f>IFERROR(__xludf.DUMMYFUNCTION("GOOGLETRANSLATE(B35786,""en"",""de"")"),"Eine große Gruppe von Menschen ist gesehen, wie sie auf einem Fußballfeld herumläuft und ein Fußballspiel spielt.")</f>
        <v>Eine große Gruppe von Menschen ist gesehen, wie sie auf einem Fußballfeld herumläuft und ein Fußballspiel spielt.</v>
      </c>
    </row>
    <row r="35787">
      <c r="A35787" s="4" t="s">
        <v>45017</v>
      </c>
      <c r="B35787" s="4" t="s">
        <v>45019</v>
      </c>
      <c r="C35787" s="5" t="str">
        <f>IFERROR(__xludf.DUMMYFUNCTION("GOOGLETRANSLATE(B35787,""en"",""de"")"),"Die Kinder treten weiterhin den Ball umeinander, während andere nebenbei zuschauen.")</f>
        <v>Die Kinder treten weiterhin den Ball umeinander, während andere nebenbei zuschauen.</v>
      </c>
    </row>
    <row r="35788">
      <c r="A35788" s="4" t="s">
        <v>45017</v>
      </c>
      <c r="B35788" s="4" t="s">
        <v>45020</v>
      </c>
      <c r="C35788" s="5" t="str">
        <f>IFERROR(__xludf.DUMMYFUNCTION("GOOGLETRANSLATE(B35788,""en"",""de"")"),"Es werden mehr Schüsse des Spiels und den Leuten gezeigt, die miteinander spielen.")</f>
        <v>Es werden mehr Schüsse des Spiels und den Leuten gezeigt, die miteinander spielen.</v>
      </c>
    </row>
    <row r="35789">
      <c r="A35789" s="4" t="s">
        <v>45021</v>
      </c>
      <c r="B35789" s="4" t="s">
        <v>45022</v>
      </c>
      <c r="C35789" s="5" t="str">
        <f>IFERROR(__xludf.DUMMYFUNCTION("GOOGLETRANSLATE(B35789,""en"",""de"")"),"Ein Mann in einem weißen Hemd sitzt eine Gitarre.")</f>
        <v>Ein Mann in einem weißen Hemd sitzt eine Gitarre.</v>
      </c>
    </row>
    <row r="35790">
      <c r="A35790" s="4" t="s">
        <v>45021</v>
      </c>
      <c r="B35790" s="4" t="s">
        <v>45023</v>
      </c>
      <c r="C35790" s="5" t="str">
        <f>IFERROR(__xludf.DUMMYFUNCTION("GOOGLETRANSLATE(B35790,""en"",""de"")"),"Neben dem Mann befindet sich ein kleinerer Bildschirm eines schwarzen und weißen Videos eines Mannes, der singt, und einer Frau.")</f>
        <v>Neben dem Mann befindet sich ein kleinerer Bildschirm eines schwarzen und weißen Videos eines Mannes, der singt, und einer Frau.</v>
      </c>
    </row>
    <row r="35791">
      <c r="A35791" s="4" t="s">
        <v>45024</v>
      </c>
      <c r="B35791" s="4" t="s">
        <v>45025</v>
      </c>
      <c r="C35791" s="5" t="str">
        <f>IFERROR(__xludf.DUMMYFUNCTION("GOOGLETRANSLATE(B35791,""en"",""de"")"),"Eine Nahaufnahme eines Mädchens, das lächelt und auf ihr Gesicht zeigt, wird gezeigt, gefolgt von einer Zange, die ihre innere Lippe durchbohrt.")</f>
        <v>Eine Nahaufnahme eines Mädchens, das lächelt und auf ihr Gesicht zeigt, wird gezeigt, gefolgt von einer Zange, die ihre innere Lippe durchbohrt.</v>
      </c>
    </row>
    <row r="35792">
      <c r="A35792" s="4" t="s">
        <v>45024</v>
      </c>
      <c r="B35792" s="4" t="s">
        <v>45026</v>
      </c>
      <c r="C35792" s="5" t="str">
        <f>IFERROR(__xludf.DUMMYFUNCTION("GOOGLETRANSLATE(B35792,""en"",""de"")"),"Der Piercer schiebt die Schere durch ihre Lippe, während sie sie hält und das Piercing am Ende präsentiert.")</f>
        <v>Der Piercer schiebt die Schere durch ihre Lippe, während sie sie hält und das Piercing am Ende präsentiert.</v>
      </c>
    </row>
    <row r="35793">
      <c r="A35793" s="4" t="s">
        <v>45027</v>
      </c>
      <c r="B35793" s="4" t="s">
        <v>45028</v>
      </c>
      <c r="C35793" s="5" t="str">
        <f>IFERROR(__xludf.DUMMYFUNCTION("GOOGLETRANSLATE(B35793,""en"",""de"")"),"Eine Frau gibt Anweisungen zur Installation und Einstellung eines Sattels auf einem Fahrrad.")</f>
        <v>Eine Frau gibt Anweisungen zur Installation und Einstellung eines Sattels auf einem Fahrrad.</v>
      </c>
    </row>
    <row r="35794">
      <c r="A35794" s="4" t="s">
        <v>45027</v>
      </c>
      <c r="B35794" s="4" t="s">
        <v>45029</v>
      </c>
      <c r="C35794" s="5" t="str">
        <f>IFERROR(__xludf.DUMMYFUNCTION("GOOGLETRANSLATE(B35794,""en"",""de"")"),"Sie benutzt einen Allen -Schlüsselschlüssel, um den Bolzen zu lockern.")</f>
        <v>Sie benutzt einen Allen -Schlüsselschlüssel, um den Bolzen zu lockern.</v>
      </c>
    </row>
    <row r="35795">
      <c r="A35795" s="4" t="s">
        <v>45027</v>
      </c>
      <c r="B35795" s="4" t="s">
        <v>45030</v>
      </c>
      <c r="C35795" s="5" t="str">
        <f>IFERROR(__xludf.DUMMYFUNCTION("GOOGLETRANSLATE(B35795,""en"",""de"")"),"Dann zeigt sie, wie sie den Sattel bewegen kann, nachdem sie ihn gelöst hat.")</f>
        <v>Dann zeigt sie, wie sie den Sattel bewegen kann, nachdem sie ihn gelöst hat.</v>
      </c>
    </row>
    <row r="35796">
      <c r="A35796" s="4" t="s">
        <v>45027</v>
      </c>
      <c r="B35796" s="4" t="s">
        <v>45031</v>
      </c>
      <c r="C35796" s="5" t="str">
        <f>IFERROR(__xludf.DUMMYFUNCTION("GOOGLETRANSLATE(B35796,""en"",""de"")"),"Sie schlägt es mit ihrer Hand, um den verklemmten Sattel zu schieben.")</f>
        <v>Sie schlägt es mit ihrer Hand, um den verklemmten Sattel zu schieben.</v>
      </c>
    </row>
    <row r="35797">
      <c r="A35797" s="4" t="s">
        <v>45027</v>
      </c>
      <c r="B35797" s="4" t="s">
        <v>45032</v>
      </c>
      <c r="C35797" s="5" t="str">
        <f>IFERROR(__xludf.DUMMYFUNCTION("GOOGLETRANSLATE(B35797,""en"",""de"")"),"Dann zeigt sie, wie man den Sattel anpasst, indem sie ihn hin und her bewegt.")</f>
        <v>Dann zeigt sie, wie man den Sattel anpasst, indem sie ihn hin und her bewegt.</v>
      </c>
    </row>
    <row r="35798">
      <c r="A35798" s="4" t="s">
        <v>45027</v>
      </c>
      <c r="B35798" s="4" t="s">
        <v>45033</v>
      </c>
      <c r="C35798" s="5" t="str">
        <f>IFERROR(__xludf.DUMMYFUNCTION("GOOGLETRANSLATE(B35798,""en"",""de"")"),"Sie zeigt später, wie man den Sattel auszieht.")</f>
        <v>Sie zeigt später, wie man den Sattel auszieht.</v>
      </c>
    </row>
    <row r="35799">
      <c r="A35799" s="4" t="s">
        <v>45027</v>
      </c>
      <c r="B35799" s="4" t="s">
        <v>45034</v>
      </c>
      <c r="C35799" s="5" t="str">
        <f>IFERROR(__xludf.DUMMYFUNCTION("GOOGLETRANSLATE(B35799,""en"",""de"")"),"Sie setzt das neue an und verwendet dann Werkzeuge, um sie wieder festzuziehen.")</f>
        <v>Sie setzt das neue an und verwendet dann Werkzeuge, um sie wieder festzuziehen.</v>
      </c>
    </row>
    <row r="35800">
      <c r="A35800" s="4" t="s">
        <v>45027</v>
      </c>
      <c r="B35800" s="4" t="s">
        <v>45035</v>
      </c>
      <c r="C35800" s="5" t="str">
        <f>IFERROR(__xludf.DUMMYFUNCTION("GOOGLETRANSLATE(B35800,""en"",""de"")"),"Sie verwendet einen Schraubendreher, um die Schrauben festzuziehen und den Level einzustellen.")</f>
        <v>Sie verwendet einen Schraubendreher, um die Schrauben festzuziehen und den Level einzustellen.</v>
      </c>
    </row>
    <row r="35801">
      <c r="A35801" s="4" t="s">
        <v>45027</v>
      </c>
      <c r="B35801" s="4" t="s">
        <v>45036</v>
      </c>
      <c r="C35801" s="5" t="str">
        <f>IFERROR(__xludf.DUMMYFUNCTION("GOOGLETRANSLATE(B35801,""en"",""de"")"),"Sie zeigt dann einen anderen Sattel und zeigt, wie die Schrauben festgezogen werden können, um den Niveau des Sattels anzupassen.")</f>
        <v>Sie zeigt dann einen anderen Sattel und zeigt, wie die Schrauben festgezogen werden können, um den Niveau des Sattels anzupassen.</v>
      </c>
    </row>
    <row r="35802">
      <c r="A35802" s="4" t="s">
        <v>45027</v>
      </c>
      <c r="B35802" s="4" t="s">
        <v>45037</v>
      </c>
      <c r="C35802" s="5" t="str">
        <f>IFERROR(__xludf.DUMMYFUNCTION("GOOGLETRANSLATE(B35802,""en"",""de"")"),"Sie zeigt, wie man den Bolzen festzieht, um sicherzustellen, dass der Sattel fest passt.")</f>
        <v>Sie zeigt, wie man den Bolzen festzieht, um sicherzustellen, dass der Sattel fest passt.</v>
      </c>
    </row>
    <row r="35803">
      <c r="A35803" s="4" t="s">
        <v>45038</v>
      </c>
      <c r="B35803" s="4" t="s">
        <v>45039</v>
      </c>
      <c r="C35803" s="5" t="str">
        <f>IFERROR(__xludf.DUMMYFUNCTION("GOOGLETRANSLATE(B35803,""en"",""de"")"),"Ein Junge in Grey wirft einen Ball auf ein Kind auf der anderen Seite des Platzes.")</f>
        <v>Ein Junge in Grey wirft einen Ball auf ein Kind auf der anderen Seite des Platzes.</v>
      </c>
    </row>
    <row r="35804">
      <c r="A35804" s="4" t="s">
        <v>45038</v>
      </c>
      <c r="B35804" s="4" t="s">
        <v>45040</v>
      </c>
      <c r="C35804" s="5" t="str">
        <f>IFERROR(__xludf.DUMMYFUNCTION("GOOGLETRANSLATE(B35804,""en"",""de"")"),"Ein Junge in Blau macht einen außergewöhnlichen Flip in der Luft, nachdem er den Ball und Land gefangen hat.")</f>
        <v>Ein Junge in Blau macht einen außergewöhnlichen Flip in der Luft, nachdem er den Ball und Land gefangen hat.</v>
      </c>
    </row>
    <row r="35805">
      <c r="A35805" s="4" t="s">
        <v>45038</v>
      </c>
      <c r="B35805" s="4" t="s">
        <v>45041</v>
      </c>
      <c r="C35805" s="5" t="str">
        <f>IFERROR(__xludf.DUMMYFUNCTION("GOOGLETRANSLATE(B35805,""en"",""de"")"),"Er wirft den Ball nach der Landung nach dem anderen Kind zurück.")</f>
        <v>Er wirft den Ball nach der Landung nach dem anderen Kind zurück.</v>
      </c>
    </row>
    <row r="35806">
      <c r="A35806" s="4" t="s">
        <v>45038</v>
      </c>
      <c r="B35806" s="4" t="s">
        <v>45042</v>
      </c>
      <c r="C35806" s="5" t="str">
        <f>IFERROR(__xludf.DUMMYFUNCTION("GOOGLETRANSLATE(B35806,""en"",""de"")"),"Sie werden von einer Gruppe von Kindern beobachtet, die hinter ihnen stehen.")</f>
        <v>Sie werden von einer Gruppe von Kindern beobachtet, die hinter ihnen stehen.</v>
      </c>
    </row>
    <row r="35807">
      <c r="A35807" s="4" t="s">
        <v>45043</v>
      </c>
      <c r="B35807" s="4" t="s">
        <v>45044</v>
      </c>
      <c r="C35807" s="5" t="str">
        <f>IFERROR(__xludf.DUMMYFUNCTION("GOOGLETRANSLATE(B35807,""en"",""de"")"),"Vier Männer arbeiten auf dem Dach eines Hauses.")</f>
        <v>Vier Männer arbeiten auf dem Dach eines Hauses.</v>
      </c>
    </row>
    <row r="35808">
      <c r="A35808" s="4" t="s">
        <v>45043</v>
      </c>
      <c r="B35808" s="4" t="s">
        <v>45045</v>
      </c>
      <c r="C35808" s="5" t="str">
        <f>IFERROR(__xludf.DUMMYFUNCTION("GOOGLETRANSLATE(B35808,""en"",""de"")"),"Sie kratzen die Schindeln mit Schaufeln ab und klopfen Trümmer auf den Boden, während sie funktionieren.")</f>
        <v>Sie kratzen die Schindeln mit Schaufeln ab und klopfen Trümmer auf den Boden, während sie funktionieren.</v>
      </c>
    </row>
    <row r="35809">
      <c r="A35809" s="4" t="s">
        <v>45046</v>
      </c>
      <c r="B35809" s="4" t="s">
        <v>15882</v>
      </c>
      <c r="C35809" s="5" t="str">
        <f>IFERROR(__xludf.DUMMYFUNCTION("GOOGLETRANSLATE(B35809,""en"",""de"")"),"Wir sehen die Eröffnungs -Titelbildschirme.")</f>
        <v>Wir sehen die Eröffnungs -Titelbildschirme.</v>
      </c>
    </row>
    <row r="35810">
      <c r="A35810" s="4" t="s">
        <v>45046</v>
      </c>
      <c r="B35810" s="4" t="s">
        <v>45047</v>
      </c>
      <c r="C35810" s="5" t="str">
        <f>IFERROR(__xludf.DUMMYFUNCTION("GOOGLETRANSLATE(B35810,""en"",""de"")"),"Wir sehen dann Männer, die sich auf dem Pommel Horse drehen, mit Titelbildschirmen dazwischen geschnitten.")</f>
        <v>Wir sehen dann Männer, die sich auf dem Pommel Horse drehen, mit Titelbildschirmen dazwischen geschnitten.</v>
      </c>
    </row>
    <row r="35811">
      <c r="A35811" s="4" t="s">
        <v>45046</v>
      </c>
      <c r="B35811" s="4" t="s">
        <v>45048</v>
      </c>
      <c r="C35811" s="5" t="str">
        <f>IFERROR(__xludf.DUMMYFUNCTION("GOOGLETRANSLATE(B35811,""en"",""de"")"),"Wir sehen einen Mann, der seine Beine über das Pommel -Pferd wirft.")</f>
        <v>Wir sehen einen Mann, der seine Beine über das Pommel -Pferd wirft.</v>
      </c>
    </row>
    <row r="35812">
      <c r="A35812" s="4" t="s">
        <v>45046</v>
      </c>
      <c r="B35812" s="4" t="s">
        <v>45049</v>
      </c>
      <c r="C35812" s="5" t="str">
        <f>IFERROR(__xludf.DUMMYFUNCTION("GOOGLETRANSLATE(B35812,""en"",""de"")"),"Wir sehen einen Mann, der sich schnell um das Pommel -Pferd dreht.")</f>
        <v>Wir sehen einen Mann, der sich schnell um das Pommel -Pferd dreht.</v>
      </c>
    </row>
    <row r="35813">
      <c r="A35813" s="4" t="s">
        <v>45046</v>
      </c>
      <c r="B35813" s="4" t="s">
        <v>45050</v>
      </c>
      <c r="C35813" s="5" t="str">
        <f>IFERROR(__xludf.DUMMYFUNCTION("GOOGLETRANSLATE(B35813,""en"",""de"")"),"Ein Mann in rot und gelb dreht sich schnell auf dem Pommel.")</f>
        <v>Ein Mann in rot und gelb dreht sich schnell auf dem Pommel.</v>
      </c>
    </row>
    <row r="35814">
      <c r="A35814" s="4" t="s">
        <v>45046</v>
      </c>
      <c r="B35814" s="4" t="s">
        <v>45051</v>
      </c>
      <c r="C35814" s="5" t="str">
        <f>IFERROR(__xludf.DUMMYFUNCTION("GOOGLETRANSLATE(B35814,""en"",""de"")"),"Wir sehen, dass ein Mann den Pommel abnimmt und seine Arme in die Luft wirft.")</f>
        <v>Wir sehen, dass ein Mann den Pommel abnimmt und seine Arme in die Luft wirft.</v>
      </c>
    </row>
    <row r="35815">
      <c r="A35815" s="4" t="s">
        <v>45046</v>
      </c>
      <c r="B35815" s="4" t="s">
        <v>45052</v>
      </c>
      <c r="C35815" s="5" t="str">
        <f>IFERROR(__xludf.DUMMYFUNCTION("GOOGLETRANSLATE(B35815,""en"",""de"")"),"Wir sehen dann die Schließszenen.")</f>
        <v>Wir sehen dann die Schließszenen.</v>
      </c>
    </row>
    <row r="35816">
      <c r="A35816" s="4" t="s">
        <v>45053</v>
      </c>
      <c r="B35816" s="4" t="s">
        <v>45054</v>
      </c>
      <c r="C35816" s="5" t="str">
        <f>IFERROR(__xludf.DUMMYFUNCTION("GOOGLETRANSLATE(B35816,""en"",""de"")"),"Eine Frau hält eine Schachtel mit UV -Licht, um den Griff des Kühlschranks, ihre Hand, den Mikrowellenofen und die Utensilien anzündeten.")</f>
        <v>Eine Frau hält eine Schachtel mit UV -Licht, um den Griff des Kühlschranks, ihre Hand, den Mikrowellenofen und die Utensilien anzündeten.</v>
      </c>
    </row>
    <row r="35817">
      <c r="A35817" s="4" t="s">
        <v>45053</v>
      </c>
      <c r="B35817" s="4" t="s">
        <v>45055</v>
      </c>
      <c r="C35817" s="5" t="str">
        <f>IFERROR(__xludf.DUMMYFUNCTION("GOOGLETRANSLATE(B35817,""en"",""de"")"),"Dann waschen und trocknen die Frau ihre Hände und leuchten eine Hand mit dem UV -Licht.")</f>
        <v>Dann waschen und trocknen die Frau ihre Hände und leuchten eine Hand mit dem UV -Licht.</v>
      </c>
    </row>
    <row r="35818">
      <c r="A35818" s="4" t="s">
        <v>45053</v>
      </c>
      <c r="B35818" s="4" t="s">
        <v>45056</v>
      </c>
      <c r="C35818" s="5" t="str">
        <f>IFERROR(__xludf.DUMMYFUNCTION("GOOGLETRANSLATE(B35818,""en"",""de"")"),"Danach nimmt die Frau ihren Ring aus, wäscht und wäscht ihre Hände mit Seife und spüelt mit Wasser aus.")</f>
        <v>Danach nimmt die Frau ihren Ring aus, wäscht und wäscht ihre Hände mit Seife und spüelt mit Wasser aus.</v>
      </c>
    </row>
    <row r="35819">
      <c r="A35819" s="4" t="s">
        <v>45057</v>
      </c>
      <c r="B35819" s="4" t="s">
        <v>45058</v>
      </c>
      <c r="C35819" s="5" t="str">
        <f>IFERROR(__xludf.DUMMYFUNCTION("GOOGLETRANSLATE(B35819,""en"",""de"")"),"Ein Mann hält Clips gegen eine Halterung auf einem Holzschreibtisch.")</f>
        <v>Ein Mann hält Clips gegen eine Halterung auf einem Holzschreibtisch.</v>
      </c>
    </row>
    <row r="35820">
      <c r="A35820" s="4" t="s">
        <v>45057</v>
      </c>
      <c r="B35820" s="4" t="s">
        <v>45059</v>
      </c>
      <c r="C35820" s="5" t="str">
        <f>IFERROR(__xludf.DUMMYFUNCTION("GOOGLETRANSLATE(B35820,""en"",""de"")"),"Er beschützt die Metallhalterung.")</f>
        <v>Er beschützt die Metallhalterung.</v>
      </c>
    </row>
    <row r="35821">
      <c r="A35821" s="4" t="s">
        <v>45057</v>
      </c>
      <c r="B35821" s="4" t="s">
        <v>45060</v>
      </c>
      <c r="C35821" s="5" t="str">
        <f>IFERROR(__xludf.DUMMYFUNCTION("GOOGLETRANSLATE(B35821,""en"",""de"")"),"Der Mann beendet das Schweißen und nimmt einen Stock vom Holzschreibtisch auf.")</f>
        <v>Der Mann beendet das Schweißen und nimmt einen Stock vom Holzschreibtisch auf.</v>
      </c>
    </row>
    <row r="35822">
      <c r="A35822" s="4" t="s">
        <v>45061</v>
      </c>
      <c r="B35822" s="4" t="s">
        <v>45062</v>
      </c>
      <c r="C35822" s="5" t="str">
        <f>IFERROR(__xludf.DUMMYFUNCTION("GOOGLETRANSLATE(B35822,""en"",""de"")"),"Ein molliger Mann steht draußen auf einem Feld und wirft einen gelben Medizinball, der das Training demonstriert, um Sportler für den Schuss zu stärken.")</f>
        <v>Ein molliger Mann steht draußen auf einem Feld und wirft einen gelben Medizinball, der das Training demonstriert, um Sportler für den Schuss zu stärken.</v>
      </c>
    </row>
    <row r="35823">
      <c r="A35823" s="4" t="s">
        <v>45061</v>
      </c>
      <c r="B35823" s="4" t="s">
        <v>45063</v>
      </c>
      <c r="C35823" s="5" t="str">
        <f>IFERROR(__xludf.DUMMYFUNCTION("GOOGLETRANSLATE(B35823,""en"",""de"")"),"Der Mann wird dann in einem Fitnessstudio abgebildet, um Wiederholungen mit der Bar zu machen, und beginnt dann einen Ball gegen den Baum zu werfen.")</f>
        <v>Der Mann wird dann in einem Fitnessstudio abgebildet, um Wiederholungen mit der Bar zu machen, und beginnt dann einen Ball gegen den Baum zu werfen.</v>
      </c>
    </row>
    <row r="35824">
      <c r="A35824" s="4" t="s">
        <v>45061</v>
      </c>
      <c r="B35824" s="4" t="s">
        <v>45064</v>
      </c>
      <c r="C35824" s="5" t="str">
        <f>IFERROR(__xludf.DUMMYFUNCTION("GOOGLETRANSLATE(B35824,""en"",""de"")"),"Ein anderer Junge wirft dann eine Tüte Sand, bevor der vorherige Mann zurückkommt und elliptische Maschinen benutzt.")</f>
        <v>Ein anderer Junge wirft dann eine Tüte Sand, bevor der vorherige Mann zurückkommt und elliptische Maschinen benutzt.</v>
      </c>
    </row>
    <row r="35825">
      <c r="A35825" s="4" t="s">
        <v>45061</v>
      </c>
      <c r="B35825" s="4" t="s">
        <v>45065</v>
      </c>
      <c r="C35825" s="5" t="str">
        <f>IFERROR(__xludf.DUMMYFUNCTION("GOOGLETRANSLATE(B35825,""en"",""de"")"),"Sobald er fertig ist, kehrt er zurück zu einem Feld und zieht die Kette über das Feld und wirft Kesselkugeln.")</f>
        <v>Sobald er fertig ist, kehrt er zurück zu einem Feld und zieht die Kette über das Feld und wirft Kesselkugeln.</v>
      </c>
    </row>
    <row r="35826">
      <c r="A35826" s="4" t="s">
        <v>45066</v>
      </c>
      <c r="B35826" s="4" t="s">
        <v>45067</v>
      </c>
      <c r="C35826" s="5" t="str">
        <f>IFERROR(__xludf.DUMMYFUNCTION("GOOGLETRANSLATE(B35826,""en"",""de"")"),"Ein Mann in einem Hut steht draußen und redet.")</f>
        <v>Ein Mann in einem Hut steht draußen und redet.</v>
      </c>
    </row>
    <row r="35827">
      <c r="A35827" s="4" t="s">
        <v>45066</v>
      </c>
      <c r="B35827" s="4" t="s">
        <v>45068</v>
      </c>
      <c r="C35827" s="5" t="str">
        <f>IFERROR(__xludf.DUMMYFUNCTION("GOOGLETRANSLATE(B35827,""en"",""de"")"),"Menschen praktizieren Pole -Gewölbe auf einer blauen Matte.")</f>
        <v>Menschen praktizieren Pole -Gewölbe auf einer blauen Matte.</v>
      </c>
    </row>
    <row r="35828">
      <c r="A35828" s="4" t="s">
        <v>45066</v>
      </c>
      <c r="B35828" s="4" t="s">
        <v>45069</v>
      </c>
      <c r="C35828" s="5" t="str">
        <f>IFERROR(__xludf.DUMMYFUNCTION("GOOGLETRANSLATE(B35828,""en"",""de"")"),"Eine Person springt auf einer Strecke über Hürden.")</f>
        <v>Eine Person springt auf einer Strecke über Hürden.</v>
      </c>
    </row>
    <row r="35829">
      <c r="A35829" s="4" t="s">
        <v>45066</v>
      </c>
      <c r="B35829" s="4" t="s">
        <v>45070</v>
      </c>
      <c r="C35829" s="5" t="str">
        <f>IFERROR(__xludf.DUMMYFUNCTION("GOOGLETRANSLATE(B35829,""en"",""de"")"),"Die Leute liegen auf einer blauen Matte.")</f>
        <v>Die Leute liegen auf einer blauen Matte.</v>
      </c>
    </row>
    <row r="35830">
      <c r="A35830" s="4" t="s">
        <v>45071</v>
      </c>
      <c r="B35830" s="4" t="s">
        <v>45072</v>
      </c>
      <c r="C35830" s="5" t="str">
        <f>IFERROR(__xludf.DUMMYFUNCTION("GOOGLETRANSLATE(B35830,""en"",""de"")"),"Eine Gruppe ist am Strand und spielt Volleyball.")</f>
        <v>Eine Gruppe ist am Strand und spielt Volleyball.</v>
      </c>
    </row>
    <row r="35831">
      <c r="A35831" s="4" t="s">
        <v>45071</v>
      </c>
      <c r="B35831" s="4" t="s">
        <v>37395</v>
      </c>
      <c r="C35831" s="5" t="str">
        <f>IFERROR(__xludf.DUMMYFUNCTION("GOOGLETRANSLATE(B35831,""en"",""de"")"),"Sie lohen den Ball über das Netz hin und her.")</f>
        <v>Sie lohen den Ball über das Netz hin und her.</v>
      </c>
    </row>
    <row r="35832">
      <c r="A35832" s="4" t="s">
        <v>45071</v>
      </c>
      <c r="B35832" s="4" t="s">
        <v>45073</v>
      </c>
      <c r="C35832" s="5" t="str">
        <f>IFERROR(__xludf.DUMMYFUNCTION("GOOGLETRANSLATE(B35832,""en"",""de"")"),"Die Menge jubelt sie an, während sie die Konkurrenz fortsetzen.")</f>
        <v>Die Menge jubelt sie an, während sie die Konkurrenz fortsetzen.</v>
      </c>
    </row>
    <row r="35833">
      <c r="A35833" s="4" t="s">
        <v>45074</v>
      </c>
      <c r="B35833" s="4" t="s">
        <v>45075</v>
      </c>
      <c r="C35833" s="5" t="str">
        <f>IFERROR(__xludf.DUMMYFUNCTION("GOOGLETRANSLATE(B35833,""en"",""de"")"),"Wir sehen Männer, die in einer Eisbahn Hockey spielen.")</f>
        <v>Wir sehen Männer, die in einer Eisbahn Hockey spielen.</v>
      </c>
    </row>
    <row r="35834">
      <c r="A35834" s="4" t="s">
        <v>45074</v>
      </c>
      <c r="B35834" s="4" t="s">
        <v>45076</v>
      </c>
      <c r="C35834" s="5" t="str">
        <f>IFERROR(__xludf.DUMMYFUNCTION("GOOGLETRANSLATE(B35834,""en"",""de"")"),"Ein Player in Blue läuft hinter das Tor in der Nähe der Kamera.")</f>
        <v>Ein Player in Blue läuft hinter das Tor in der Nähe der Kamera.</v>
      </c>
    </row>
    <row r="35835">
      <c r="A35835" s="4" t="s">
        <v>45074</v>
      </c>
      <c r="B35835" s="4" t="s">
        <v>45077</v>
      </c>
      <c r="C35835" s="5" t="str">
        <f>IFERROR(__xludf.DUMMYFUNCTION("GOOGLETRANSLATE(B35835,""en"",""de"")"),"Der Hockey -Puck rutscht am Torwart vorbei und ins Tor -Netz.")</f>
        <v>Der Hockey -Puck rutscht am Torwart vorbei und ins Tor -Netz.</v>
      </c>
    </row>
    <row r="35836">
      <c r="A35836" s="4" t="s">
        <v>45074</v>
      </c>
      <c r="B35836" s="4" t="s">
        <v>45078</v>
      </c>
      <c r="C35836" s="5" t="str">
        <f>IFERROR(__xludf.DUMMYFUNCTION("GOOGLETRANSLATE(B35836,""en"",""de"")"),"Der Torwart steht auf dem Boden.")</f>
        <v>Der Torwart steht auf dem Boden.</v>
      </c>
    </row>
    <row r="35837">
      <c r="A35837" s="4" t="s">
        <v>45079</v>
      </c>
      <c r="B35837" s="4" t="s">
        <v>45080</v>
      </c>
      <c r="C35837" s="5" t="str">
        <f>IFERROR(__xludf.DUMMYFUNCTION("GOOGLETRANSLATE(B35837,""en"",""de"")"),"Eine Dame geht zu einer Langhantel.")</f>
        <v>Eine Dame geht zu einer Langhantel.</v>
      </c>
    </row>
    <row r="35838">
      <c r="A35838" s="4" t="s">
        <v>45079</v>
      </c>
      <c r="B35838" s="4" t="s">
        <v>45081</v>
      </c>
      <c r="C35838" s="5" t="str">
        <f>IFERROR(__xludf.DUMMYFUNCTION("GOOGLETRANSLATE(B35838,""en"",""de"")"),"Sie beugt sich hin und packt die Stange.")</f>
        <v>Sie beugt sich hin und packt die Stange.</v>
      </c>
    </row>
    <row r="35839">
      <c r="A35839" s="4" t="s">
        <v>45079</v>
      </c>
      <c r="B35839" s="4" t="s">
        <v>45082</v>
      </c>
      <c r="C35839" s="5" t="str">
        <f>IFERROR(__xludf.DUMMYFUNCTION("GOOGLETRANSLATE(B35839,""en"",""de"")"),"Die Dame steht und hebt das Gewicht über ihren Kopf.")</f>
        <v>Die Dame steht und hebt das Gewicht über ihren Kopf.</v>
      </c>
    </row>
    <row r="35840">
      <c r="A35840" s="4" t="s">
        <v>45079</v>
      </c>
      <c r="B35840" s="4" t="s">
        <v>45083</v>
      </c>
      <c r="C35840" s="5" t="str">
        <f>IFERROR(__xludf.DUMMYFUNCTION("GOOGLETRANSLATE(B35840,""en"",""de"")"),"Die Dame lässt die Langhantel fallen und lächelt.")</f>
        <v>Die Dame lässt die Langhantel fallen und lächelt.</v>
      </c>
    </row>
    <row r="35841">
      <c r="A35841" s="4" t="s">
        <v>45084</v>
      </c>
      <c r="B35841" s="4" t="s">
        <v>45085</v>
      </c>
      <c r="C35841" s="5" t="str">
        <f>IFERROR(__xludf.DUMMYFUNCTION("GOOGLETRANSLATE(B35841,""en"",""de"")"),"Eine Frau steht in einer dunklen Küche und redet.")</f>
        <v>Eine Frau steht in einer dunklen Küche und redet.</v>
      </c>
    </row>
    <row r="35842">
      <c r="A35842" s="4" t="s">
        <v>45084</v>
      </c>
      <c r="B35842" s="4" t="s">
        <v>45086</v>
      </c>
      <c r="C35842" s="5" t="str">
        <f>IFERROR(__xludf.DUMMYFUNCTION("GOOGLETRANSLATE(B35842,""en"",""de"")"),"Sie zeigt eine Kuchenkühlung auf einem Metallregal.")</f>
        <v>Sie zeigt eine Kuchenkühlung auf einem Metallregal.</v>
      </c>
    </row>
    <row r="35843">
      <c r="A35843" s="4" t="s">
        <v>45084</v>
      </c>
      <c r="B35843" s="4" t="s">
        <v>45087</v>
      </c>
      <c r="C35843" s="5" t="str">
        <f>IFERROR(__xludf.DUMMYFUNCTION("GOOGLETRANSLATE(B35843,""en"",""de"")"),"Sie zeigt, wie man die Zutaten in einem Mixer mischt und dann den Kuchen backt.")</f>
        <v>Sie zeigt, wie man die Zutaten in einem Mixer mischt und dann den Kuchen backt.</v>
      </c>
    </row>
    <row r="35844">
      <c r="A35844" s="4" t="s">
        <v>45084</v>
      </c>
      <c r="B35844" s="4" t="s">
        <v>45088</v>
      </c>
      <c r="C35844" s="5" t="str">
        <f>IFERROR(__xludf.DUMMYFUNCTION("GOOGLETRANSLATE(B35844,""en"",""de"")"),"Wenn es fertig ist, dreht sie es auf das Rack zum Abkühlen.")</f>
        <v>Wenn es fertig ist, dreht sie es auf das Rack zum Abkühlen.</v>
      </c>
    </row>
    <row r="35845">
      <c r="A35845" s="4" t="s">
        <v>45089</v>
      </c>
      <c r="B35845" s="4" t="s">
        <v>45090</v>
      </c>
      <c r="C35845" s="5" t="str">
        <f>IFERROR(__xludf.DUMMYFUNCTION("GOOGLETRANSLATE(B35845,""en"",""de"")"),"Frau ist mit zwei Kindern im Schnee in einem offenen Land und sie haben einen aufblasbaren Berg hinunter.")</f>
        <v>Frau ist mit zwei Kindern im Schnee in einem offenen Land und sie haben einen aufblasbaren Berg hinunter.</v>
      </c>
    </row>
    <row r="35846">
      <c r="A35846" s="4" t="s">
        <v>45089</v>
      </c>
      <c r="B35846" s="4" t="s">
        <v>45091</v>
      </c>
      <c r="C35846" s="5" t="str">
        <f>IFERROR(__xludf.DUMMYFUNCTION("GOOGLETRANSLATE(B35846,""en"",""de"")"),"Kinder gehen mit dem aufblasbaren auf ihren Händen durch das Feld und rennen wieder zum Berg.")</f>
        <v>Kinder gehen mit dem aufblasbaren auf ihren Händen durch das Feld und rennen wieder zum Berg.</v>
      </c>
    </row>
    <row r="35847">
      <c r="A35847" s="4" t="s">
        <v>45092</v>
      </c>
      <c r="B35847" s="4" t="s">
        <v>45093</v>
      </c>
      <c r="C35847" s="5" t="str">
        <f>IFERROR(__xludf.DUMMYFUNCTION("GOOGLETRANSLATE(B35847,""en"",""de"")"),"Ein kleiner Junge hat ein schwarz -weißes Fußballtrikot und sitzt auf dem Boden neben einem Bett und beginnt eine lange schwarze Fußballsocke anzuziehen.")</f>
        <v>Ein kleiner Junge hat ein schwarz -weißes Fußballtrikot und sitzt auf dem Boden neben einem Bett und beginnt eine lange schwarze Fußballsocke anzuziehen.</v>
      </c>
    </row>
    <row r="35848">
      <c r="A35848" s="4" t="s">
        <v>45092</v>
      </c>
      <c r="B35848" s="4" t="s">
        <v>45094</v>
      </c>
      <c r="C35848" s="5" t="str">
        <f>IFERROR(__xludf.DUMMYFUNCTION("GOOGLETRANSLATE(B35848,""en"",""de"")"),"Der Junge greift dann nach seiner Schienbeinwache und legt es über sein rechtes Bein und faltet dann seine Socke darüber ab.")</f>
        <v>Der Junge greift dann nach seiner Schienbeinwache und legt es über sein rechtes Bein und faltet dann seine Socke darüber ab.</v>
      </c>
    </row>
    <row r="35849">
      <c r="A35849" s="4" t="s">
        <v>45092</v>
      </c>
      <c r="B35849" s="4" t="s">
        <v>45095</v>
      </c>
      <c r="C35849" s="5" t="str">
        <f>IFERROR(__xludf.DUMMYFUNCTION("GOOGLETRANSLATE(B35849,""en"",""de"")"),"Sobald das fertig ist, greift er nach seiner anderen Socke und beginnt das Gleiche am linken Bein zu tun.")</f>
        <v>Sobald das fertig ist, greift er nach seiner anderen Socke und beginnt das Gleiche am linken Bein zu tun.</v>
      </c>
    </row>
    <row r="35850">
      <c r="A35850" s="4" t="s">
        <v>45092</v>
      </c>
      <c r="B35850" s="4" t="s">
        <v>45096</v>
      </c>
      <c r="C35850" s="5" t="str">
        <f>IFERROR(__xludf.DUMMYFUNCTION("GOOGLETRANSLATE(B35850,""en"",""de"")"),"Schließlich bewegt er sich zu seinen Stollen und schnappt sich ein Paar orangefarbener Adidas -Fußball -Stollen und verbindet sie.")</f>
        <v>Schließlich bewegt er sich zu seinen Stollen und schnappt sich ein Paar orangefarbener Adidas -Fußball -Stollen und verbindet sie.</v>
      </c>
    </row>
    <row r="35851">
      <c r="A35851" s="4" t="s">
        <v>45092</v>
      </c>
      <c r="B35851" s="4" t="s">
        <v>45097</v>
      </c>
      <c r="C35851" s="5" t="str">
        <f>IFERROR(__xludf.DUMMYFUNCTION("GOOGLETRANSLATE(B35851,""en"",""de"")"),"Alles ist abgeschlossen und das Kind sitzt kreuz und spricht mit der Kamera.")</f>
        <v>Alles ist abgeschlossen und das Kind sitzt kreuz und spricht mit der Kamera.</v>
      </c>
    </row>
    <row r="35852">
      <c r="A35852" s="4" t="s">
        <v>45098</v>
      </c>
      <c r="B35852" s="4" t="s">
        <v>45099</v>
      </c>
      <c r="C35852" s="5" t="str">
        <f>IFERROR(__xludf.DUMMYFUNCTION("GOOGLETRANSLATE(B35852,""en"",""de"")"),"Eine Nahaufnahme zoomt auf einem Bildschirm.")</f>
        <v>Eine Nahaufnahme zoomt auf einem Bildschirm.</v>
      </c>
    </row>
    <row r="35853">
      <c r="A35853" s="4" t="s">
        <v>45098</v>
      </c>
      <c r="B35853" s="4" t="s">
        <v>45100</v>
      </c>
      <c r="C35853" s="5" t="str">
        <f>IFERROR(__xludf.DUMMYFUNCTION("GOOGLETRANSLATE(B35853,""en"",""de"")"),"Mehrere Erwachsene und Kinder sind im Freien.")</f>
        <v>Mehrere Erwachsene und Kinder sind im Freien.</v>
      </c>
    </row>
    <row r="35854">
      <c r="A35854" s="4" t="s">
        <v>45098</v>
      </c>
      <c r="B35854" s="4" t="s">
        <v>45101</v>
      </c>
      <c r="C35854" s="5" t="str">
        <f>IFERROR(__xludf.DUMMYFUNCTION("GOOGLETRANSLATE(B35854,""en"",""de"")"),"Die Kinder fahren in einem Wettbewerb Dirtbikes.")</f>
        <v>Die Kinder fahren in einem Wettbewerb Dirtbikes.</v>
      </c>
    </row>
    <row r="35855">
      <c r="A35855" s="4" t="s">
        <v>45098</v>
      </c>
      <c r="B35855" s="4" t="s">
        <v>45102</v>
      </c>
      <c r="C35855" s="5" t="str">
        <f>IFERROR(__xludf.DUMMYFUNCTION("GOOGLETRANSLATE(B35855,""en"",""de"")"),"Sie werden gezeigt, wie sie um einen Kurs und über Hügel rennen und sich scharfe Kurven nutzen.")</f>
        <v>Sie werden gezeigt, wie sie um einen Kurs und über Hügel rennen und sich scharfe Kurven nutzen.</v>
      </c>
    </row>
    <row r="35856">
      <c r="A35856" s="4" t="s">
        <v>45098</v>
      </c>
      <c r="B35856" s="4" t="s">
        <v>45103</v>
      </c>
      <c r="C35856" s="5" t="str">
        <f>IFERROR(__xludf.DUMMYFUNCTION("GOOGLETRANSLATE(B35856,""en"",""de"")"),"Ein Junge auf einem Fahrrad bleibt in der Kamera stehen und schaut aufmerksam aus.")</f>
        <v>Ein Junge auf einem Fahrrad bleibt in der Kamera stehen und schaut aufmerksam aus.</v>
      </c>
    </row>
    <row r="35857">
      <c r="A35857" s="4" t="s">
        <v>45104</v>
      </c>
      <c r="B35857" s="4" t="s">
        <v>45105</v>
      </c>
      <c r="C35857" s="5" t="str">
        <f>IFERROR(__xludf.DUMMYFUNCTION("GOOGLETRANSLATE(B35857,""en"",""de"")"),"Ein Mann beugt sich über die Kamera, die er auf einen Hund gelegt hat.")</f>
        <v>Ein Mann beugt sich über die Kamera, die er auf einen Hund gelegt hat.</v>
      </c>
    </row>
    <row r="35858">
      <c r="A35858" s="4" t="s">
        <v>45104</v>
      </c>
      <c r="B35858" s="4" t="s">
        <v>45106</v>
      </c>
      <c r="C35858" s="5" t="str">
        <f>IFERROR(__xludf.DUMMYFUNCTION("GOOGLETRANSLATE(B35858,""en"",""de"")"),"Der Hund rennt durch verschiedene Räume des Hauses, dann zur Tür und nach draußen.")</f>
        <v>Der Hund rennt durch verschiedene Räume des Hauses, dann zur Tür und nach draußen.</v>
      </c>
    </row>
    <row r="35859">
      <c r="A35859" s="4" t="s">
        <v>45104</v>
      </c>
      <c r="B35859" s="4" t="s">
        <v>45107</v>
      </c>
      <c r="C35859" s="5" t="str">
        <f>IFERROR(__xludf.DUMMYFUNCTION("GOOGLETRANSLATE(B35859,""en"",""de"")"),"Sie gehen mit den Menschen und anderen Hunden nach draußen spazieren.")</f>
        <v>Sie gehen mit den Menschen und anderen Hunden nach draußen spazieren.</v>
      </c>
    </row>
    <row r="35860">
      <c r="A35860" s="4" t="s">
        <v>45104</v>
      </c>
      <c r="B35860" s="4" t="s">
        <v>45108</v>
      </c>
      <c r="C35860" s="5" t="str">
        <f>IFERROR(__xludf.DUMMYFUNCTION("GOOGLETRANSLATE(B35860,""en"",""de"")"),"Er kehrt nach Hause zurück und schaut in seine Wasserschale.")</f>
        <v>Er kehrt nach Hause zurück und schaut in seine Wasserschale.</v>
      </c>
    </row>
    <row r="35861">
      <c r="A35861" s="4" t="s">
        <v>45109</v>
      </c>
      <c r="B35861" s="4" t="s">
        <v>45110</v>
      </c>
      <c r="C35861" s="5" t="str">
        <f>IFERROR(__xludf.DUMMYFUNCTION("GOOGLETRANSLATE(B35861,""en"",""de"")"),"Eine Frau, die auf dem Boden sitzt, spricht mit der Kamera und streichelt einen Hund.")</f>
        <v>Eine Frau, die auf dem Boden sitzt, spricht mit der Kamera und streichelt einen Hund.</v>
      </c>
    </row>
    <row r="35862">
      <c r="A35862" s="4" t="s">
        <v>45109</v>
      </c>
      <c r="B35862" s="4" t="s">
        <v>45111</v>
      </c>
      <c r="C35862" s="5" t="str">
        <f>IFERROR(__xludf.DUMMYFUNCTION("GOOGLETRANSLATE(B35862,""en"",""de"")"),"Die Frau hält eine Art Werkzeug, während sie mit der Kamera spricht.")</f>
        <v>Die Frau hält eine Art Werkzeug, während sie mit der Kamera spricht.</v>
      </c>
    </row>
    <row r="35863">
      <c r="A35863" s="4" t="s">
        <v>45109</v>
      </c>
      <c r="B35863" s="4" t="s">
        <v>45112</v>
      </c>
      <c r="C35863" s="5" t="str">
        <f>IFERROR(__xludf.DUMMYFUNCTION("GOOGLETRANSLATE(B35863,""en"",""de"")"),"Die Frau nutzt das Werkzeug, um den Hund während des Redens zu bürsten.")</f>
        <v>Die Frau nutzt das Werkzeug, um den Hund während des Redens zu bürsten.</v>
      </c>
    </row>
    <row r="35864">
      <c r="A35864" s="4" t="s">
        <v>45109</v>
      </c>
      <c r="B35864" s="4" t="s">
        <v>45113</v>
      </c>
      <c r="C35864" s="5" t="str">
        <f>IFERROR(__xludf.DUMMYFUNCTION("GOOGLETRANSLATE(B35864,""en"",""de"")"),"Die Frau legt das Werkzeug ab und streichelt den Hund, während er mit der Kamera spricht.")</f>
        <v>Die Frau legt das Werkzeug ab und streichelt den Hund, während er mit der Kamera spricht.</v>
      </c>
    </row>
    <row r="35865">
      <c r="A35865" s="4" t="s">
        <v>45109</v>
      </c>
      <c r="B35865" s="4" t="s">
        <v>45114</v>
      </c>
      <c r="C35865" s="5" t="str">
        <f>IFERROR(__xludf.DUMMYFUNCTION("GOOGLETRANSLATE(B35865,""en"",""de"")"),"Die Frau spricht mit der Kamera über das Werkzeug.")</f>
        <v>Die Frau spricht mit der Kamera über das Werkzeug.</v>
      </c>
    </row>
    <row r="35866">
      <c r="A35866" s="4" t="s">
        <v>45109</v>
      </c>
      <c r="B35866" s="4" t="s">
        <v>45115</v>
      </c>
      <c r="C35866" s="5" t="str">
        <f>IFERROR(__xludf.DUMMYFUNCTION("GOOGLETRANSLATE(B35866,""en"",""de"")"),"Der Hund und die Frauen stehen vom Boden auf.")</f>
        <v>Der Hund und die Frauen stehen vom Boden auf.</v>
      </c>
    </row>
    <row r="35867">
      <c r="A35867" s="4" t="s">
        <v>45109</v>
      </c>
      <c r="B35867" s="4" t="s">
        <v>45116</v>
      </c>
      <c r="C35867" s="5" t="str">
        <f>IFERROR(__xludf.DUMMYFUNCTION("GOOGLETRANSLATE(B35867,""en"",""de"")"),"Es wird ein Sped -up -Prozess des Zeichnens eines Eulen -Emblems gezeigt.")</f>
        <v>Es wird ein Sped -up -Prozess des Zeichnens eines Eulen -Emblems gezeigt.</v>
      </c>
    </row>
    <row r="35868">
      <c r="A35868" s="4" t="s">
        <v>45117</v>
      </c>
      <c r="B35868" s="4" t="s">
        <v>45118</v>
      </c>
      <c r="C35868" s="5" t="str">
        <f>IFERROR(__xludf.DUMMYFUNCTION("GOOGLETRANSLATE(B35868,""en"",""de"")"),"Ein Skifahrer benutzt eine Winddrohne, um ihn über einen flachen Hang zu treiben.")</f>
        <v>Ein Skifahrer benutzt eine Winddrohne, um ihn über einen flachen Hang zu treiben.</v>
      </c>
    </row>
    <row r="35869">
      <c r="A35869" s="4" t="s">
        <v>45117</v>
      </c>
      <c r="B35869" s="4" t="s">
        <v>45119</v>
      </c>
      <c r="C35869" s="5" t="str">
        <f>IFERROR(__xludf.DUMMYFUNCTION("GOOGLETRANSLATE(B35869,""en"",""de"")"),"Der Skifahrer verwendet die Wind Drohne, um ein paar Pässe in einem flachen Bereich eines Skigebiets zu machen.")</f>
        <v>Der Skifahrer verwendet die Wind Drohne, um ein paar Pässe in einem flachen Bereich eines Skigebiets zu machen.</v>
      </c>
    </row>
    <row r="35870">
      <c r="A35870" s="4" t="s">
        <v>45117</v>
      </c>
      <c r="B35870" s="4" t="s">
        <v>45120</v>
      </c>
      <c r="C35870" s="5" t="str">
        <f>IFERROR(__xludf.DUMMYFUNCTION("GOOGLETRANSLATE(B35870,""en"",""de"")"),"Die Kamera schwenkt über den Skigebiet und einen Blick auf die umliegenden Berge.")</f>
        <v>Die Kamera schwenkt über den Skigebiet und einen Blick auf die umliegenden Berge.</v>
      </c>
    </row>
    <row r="35871">
      <c r="A35871" s="4" t="s">
        <v>45117</v>
      </c>
      <c r="B35871" s="4" t="s">
        <v>45121</v>
      </c>
      <c r="C35871" s="5" t="str">
        <f>IFERROR(__xludf.DUMMYFUNCTION("GOOGLETRANSLATE(B35871,""en"",""de"")"),"Der Skifahrer fährt auf einem großen flachen Bereich, der sehr schnell geht.")</f>
        <v>Der Skifahrer fährt auf einem großen flachen Bereich, der sehr schnell geht.</v>
      </c>
    </row>
    <row r="35872">
      <c r="A35872" s="4" t="s">
        <v>45122</v>
      </c>
      <c r="B35872" s="4" t="s">
        <v>45123</v>
      </c>
      <c r="C35872" s="5" t="str">
        <f>IFERROR(__xludf.DUMMYFUNCTION("GOOGLETRANSLATE(B35872,""en"",""de"")"),"Ein Mann hockt in einem Fitnessstudio und hebt eine Stange Gewichte.")</f>
        <v>Ein Mann hockt in einem Fitnessstudio und hebt eine Stange Gewichte.</v>
      </c>
    </row>
    <row r="35873">
      <c r="A35873" s="4" t="s">
        <v>45122</v>
      </c>
      <c r="B35873" s="4" t="s">
        <v>45124</v>
      </c>
      <c r="C35873" s="5" t="str">
        <f>IFERROR(__xludf.DUMMYFUNCTION("GOOGLETRANSLATE(B35873,""en"",""de"")"),"Er wirft die Stange nach unten und sie stürzt in den Boden und atme tief ein.")</f>
        <v>Er wirft die Stange nach unten und sie stürzt in den Boden und atme tief ein.</v>
      </c>
    </row>
    <row r="35874">
      <c r="A35874" s="4" t="s">
        <v>45125</v>
      </c>
      <c r="B35874" s="4" t="s">
        <v>45126</v>
      </c>
      <c r="C35874" s="5" t="str">
        <f>IFERROR(__xludf.DUMMYFUNCTION("GOOGLETRANSLATE(B35874,""en"",""de"")"),"Ein Kind schwingt auf Affenbars.")</f>
        <v>Ein Kind schwingt auf Affenbars.</v>
      </c>
    </row>
    <row r="35875">
      <c r="A35875" s="4" t="s">
        <v>45125</v>
      </c>
      <c r="B35875" s="4" t="s">
        <v>45127</v>
      </c>
      <c r="C35875" s="5" t="str">
        <f>IFERROR(__xludf.DUMMYFUNCTION("GOOGLETRANSLATE(B35875,""en"",""de"")"),"Das Kind steigt von den Affenbars ab.")</f>
        <v>Das Kind steigt von den Affenbars ab.</v>
      </c>
    </row>
    <row r="35876">
      <c r="A35876" s="4" t="s">
        <v>45125</v>
      </c>
      <c r="B35876" s="4" t="s">
        <v>45128</v>
      </c>
      <c r="C35876" s="5" t="str">
        <f>IFERROR(__xludf.DUMMYFUNCTION("GOOGLETRANSLATE(B35876,""en"",""de"")"),"Das Kind geht zur Kamera.")</f>
        <v>Das Kind geht zur Kamera.</v>
      </c>
    </row>
    <row r="35877">
      <c r="A35877" s="4" t="s">
        <v>45129</v>
      </c>
      <c r="B35877" s="4" t="s">
        <v>45130</v>
      </c>
      <c r="C35877" s="5" t="str">
        <f>IFERROR(__xludf.DUMMYFUNCTION("GOOGLETRANSLATE(B35877,""en"",""de"")"),"Das Video zeigt verschiedene Clips von Sumo -Wrestlern, die in einem Ring kämpfen, während ein Schiedsrichter und ein Publikum zu sehen sind.")</f>
        <v>Das Video zeigt verschiedene Clips von Sumo -Wrestlern, die in einem Ring kämpfen, während ein Schiedsrichter und ein Publikum zu sehen sind.</v>
      </c>
    </row>
    <row r="35878">
      <c r="A35878" s="4" t="s">
        <v>45129</v>
      </c>
      <c r="B35878" s="4" t="s">
        <v>45131</v>
      </c>
      <c r="C35878" s="5" t="str">
        <f>IFERROR(__xludf.DUMMYFUNCTION("GOOGLETRANSLATE(B35878,""en"",""de"")"),"Im ersten Clip ringt ein viel größerer Wrestler einen kleineren Mann, der am Ende gewinnt.")</f>
        <v>Im ersten Clip ringt ein viel größerer Wrestler einen kleineren Mann, der am Ende gewinnt.</v>
      </c>
    </row>
    <row r="35879">
      <c r="A35879" s="4" t="s">
        <v>45129</v>
      </c>
      <c r="B35879" s="4" t="s">
        <v>45132</v>
      </c>
      <c r="C35879" s="5" t="str">
        <f>IFERROR(__xludf.DUMMYFUNCTION("GOOGLETRANSLATE(B35879,""en"",""de"")"),"Das Video setzt sich mit mehreren anderen Wrestlern fort und wie jeder Wrestler die Runde gewinnt.")</f>
        <v>Das Video setzt sich mit mehreren anderen Wrestlern fort und wie jeder Wrestler die Runde gewinnt.</v>
      </c>
    </row>
    <row r="35880">
      <c r="A35880" s="4" t="s">
        <v>45129</v>
      </c>
      <c r="B35880" s="4" t="s">
        <v>45133</v>
      </c>
      <c r="C35880" s="5" t="str">
        <f>IFERROR(__xludf.DUMMYFUNCTION("GOOGLETRANSLATE(B35880,""en"",""de"")"),"Das Video endet mit einem Comedy -Werbespot, in dem ein kleinerer Sumo -Wrestler unter einem anderen sehr großen kriecht und in seinem Sumo -Outfit steckt.")</f>
        <v>Das Video endet mit einem Comedy -Werbespot, in dem ein kleinerer Sumo -Wrestler unter einem anderen sehr großen kriecht und in seinem Sumo -Outfit steckt.</v>
      </c>
    </row>
    <row r="35881">
      <c r="A35881" s="4" t="s">
        <v>45134</v>
      </c>
      <c r="B35881" s="4" t="s">
        <v>45135</v>
      </c>
      <c r="C35881" s="5" t="str">
        <f>IFERROR(__xludf.DUMMYFUNCTION("GOOGLETRANSLATE(B35881,""en"",""de"")"),"Ein Maskottchen läuft um ein Feld, während die Kamera um ein großes Publikum schwenkt.")</f>
        <v>Ein Maskottchen läuft um ein Feld, während die Kamera um ein großes Publikum schwenkt.</v>
      </c>
    </row>
    <row r="35882">
      <c r="A35882" s="4" t="s">
        <v>45134</v>
      </c>
      <c r="B35882" s="4" t="s">
        <v>45136</v>
      </c>
      <c r="C35882" s="5" t="str">
        <f>IFERROR(__xludf.DUMMYFUNCTION("GOOGLETRANSLATE(B35882,""en"",""de"")"),"Mehrere Maskottchen sind zu sehen, wie Stöcke auf einem Feld umeinander herumlaufen, und führt in sie, die einen Ball jagen.")</f>
        <v>Mehrere Maskottchen sind zu sehen, wie Stöcke auf einem Feld umeinander herumlaufen, und führt in sie, die einen Ball jagen.</v>
      </c>
    </row>
    <row r="35883">
      <c r="A35883" s="4" t="s">
        <v>45134</v>
      </c>
      <c r="B35883" s="4" t="s">
        <v>45137</v>
      </c>
      <c r="C35883" s="5" t="str">
        <f>IFERROR(__xludf.DUMMYFUNCTION("GOOGLETRANSLATE(B35883,""en"",""de"")"),"Die Gruppe rennt weiter durch das Feld, während die Maskottchen weiter nacheinander den Ball jagen.")</f>
        <v>Die Gruppe rennt weiter durch das Feld, während die Maskottchen weiter nacheinander den Ball jagen.</v>
      </c>
    </row>
    <row r="35884">
      <c r="A35884" s="4" t="s">
        <v>45138</v>
      </c>
      <c r="B35884" s="4" t="s">
        <v>45139</v>
      </c>
      <c r="C35884" s="5" t="str">
        <f>IFERROR(__xludf.DUMMYFUNCTION("GOOGLETRANSLATE(B35884,""en"",""de"")"),"Es gibt 3 Personen in einem Geschäft in einer Schuhabteilung und zwei Personen am Boden probieren Stiefel an.")</f>
        <v>Es gibt 3 Personen in einem Geschäft in einer Schuhabteilung und zwei Personen am Boden probieren Stiefel an.</v>
      </c>
    </row>
    <row r="35885">
      <c r="A35885" s="4" t="s">
        <v>45138</v>
      </c>
      <c r="B35885" s="4" t="s">
        <v>45140</v>
      </c>
      <c r="C35885" s="5" t="str">
        <f>IFERROR(__xludf.DUMMYFUNCTION("GOOGLETRANSLATE(B35885,""en"",""de"")"),"Der Mann auf dem Boden entfernt seinen rosa Stiefel, wirft ihn auf die Seite und steht lächelnd auf.")</f>
        <v>Der Mann auf dem Boden entfernt seinen rosa Stiefel, wirft ihn auf die Seite und steht lächelnd auf.</v>
      </c>
    </row>
    <row r="35886">
      <c r="A35886" s="4" t="s">
        <v>45138</v>
      </c>
      <c r="B35886" s="4" t="s">
        <v>45141</v>
      </c>
      <c r="C35886" s="5" t="str">
        <f>IFERROR(__xludf.DUMMYFUNCTION("GOOGLETRANSLATE(B35886,""en"",""de"")"),"Das Mädchen schnappt sich seinen rosa Stiefel, versucht ihn auf ihrem rechten Fuß und sitzt dort und modelliert ihn, während er mit den Menschen um sie herum spricht.")</f>
        <v>Das Mädchen schnappt sich seinen rosa Stiefel, versucht ihn auf ihrem rechten Fuß und sitzt dort und modelliert ihn, während er mit den Menschen um sie herum spricht.</v>
      </c>
    </row>
    <row r="35887">
      <c r="A35887" s="4" t="s">
        <v>45138</v>
      </c>
      <c r="B35887" s="4" t="s">
        <v>45142</v>
      </c>
      <c r="C35887" s="5" t="str">
        <f>IFERROR(__xludf.DUMMYFUNCTION("GOOGLETRANSLATE(B35887,""en"",""de"")"),"Das Mädchen schnappt sich dann den linken Stiefel, entfernt das Zeug darin, versucht es weiter und steht auf, um sie zu modellieren.")</f>
        <v>Das Mädchen schnappt sich dann den linken Stiefel, entfernt das Zeug darin, versucht es weiter und steht auf, um sie zu modellieren.</v>
      </c>
    </row>
    <row r="35888">
      <c r="A35888" s="4" t="s">
        <v>45138</v>
      </c>
      <c r="B35888" s="4" t="s">
        <v>45143</v>
      </c>
      <c r="C35888" s="5" t="str">
        <f>IFERROR(__xludf.DUMMYFUNCTION("GOOGLETRANSLATE(B35888,""en"",""de"")"),"Das Mädchen steht neben dem Kerl und sie lächeln, sie legt einen Daumen hoch und er umarmt sie von hinten.")</f>
        <v>Das Mädchen steht neben dem Kerl und sie lächeln, sie legt einen Daumen hoch und er umarmt sie von hinten.</v>
      </c>
    </row>
    <row r="35889">
      <c r="A35889" s="4" t="s">
        <v>45144</v>
      </c>
      <c r="B35889" s="4" t="s">
        <v>45145</v>
      </c>
      <c r="C35889" s="5" t="str">
        <f>IFERROR(__xludf.DUMMYFUNCTION("GOOGLETRANSLATE(B35889,""en"",""de"")"),"Ein stilles Bild eines Mannes, der in einem Underpanzerhemd und einem Paar Hosen gekleidet ist, steht an einer Stelle in einer Kegelbahn.")</f>
        <v>Ein stilles Bild eines Mannes, der in einem Underpanzerhemd und einem Paar Hosen gekleidet ist, steht an einer Stelle in einer Kegelbahn.</v>
      </c>
    </row>
    <row r="35890">
      <c r="A35890" s="4" t="s">
        <v>45144</v>
      </c>
      <c r="B35890" s="4" t="s">
        <v>45146</v>
      </c>
      <c r="C35890" s="5" t="str">
        <f>IFERROR(__xludf.DUMMYFUNCTION("GOOGLETRANSLATE(B35890,""en"",""de"")"),"Der Mann bewegt sich schließlich und wirft den Ball die Gasse hinunter.")</f>
        <v>Der Mann bewegt sich schließlich und wirft den Ball die Gasse hinunter.</v>
      </c>
    </row>
    <row r="35891">
      <c r="A35891" s="4" t="s">
        <v>45144</v>
      </c>
      <c r="B35891" s="4" t="s">
        <v>45147</v>
      </c>
      <c r="C35891" s="5" t="str">
        <f>IFERROR(__xludf.DUMMYFUNCTION("GOOGLETRANSLATE(B35891,""en"",""de"")"),"Danach wird eine sofortige Wiederholung gezeigt, dass das Video mit einem Kreis gehackt und geschraubt wird, der den Ball hervorhebt, bevor er die Fahrspur hinuntergeworfen wird.")</f>
        <v>Danach wird eine sofortige Wiederholung gezeigt, dass das Video mit einem Kreis gehackt und geschraubt wird, der den Ball hervorhebt, bevor er die Fahrspur hinuntergeworfen wird.</v>
      </c>
    </row>
    <row r="35892">
      <c r="A35892" s="4" t="s">
        <v>45148</v>
      </c>
      <c r="B35892" s="4" t="s">
        <v>45149</v>
      </c>
      <c r="C35892" s="5" t="str">
        <f>IFERROR(__xludf.DUMMYFUNCTION("GOOGLETRANSLATE(B35892,""en"",""de"")"),"Eine Frau demonstriert, wie man Sit -Ups in einem Fitnessraum macht und eine Frau verwendet, die die Übung als Beispiel simuliert.")</f>
        <v>Eine Frau demonstriert, wie man Sit -Ups in einem Fitnessraum macht und eine Frau verwendet, die die Übung als Beispiel simuliert.</v>
      </c>
    </row>
    <row r="35893">
      <c r="A35893" s="4" t="s">
        <v>45148</v>
      </c>
      <c r="B35893" s="4" t="s">
        <v>45150</v>
      </c>
      <c r="C35893" s="5" t="str">
        <f>IFERROR(__xludf.DUMMYFUNCTION("GOOGLETRANSLATE(B35893,""en"",""de"")"),"Eine Frau kniet auf den Holzböden eines Fitnessraums und spricht mit der Kamera.")</f>
        <v>Eine Frau kniet auf den Holzböden eines Fitnessraums und spricht mit der Kamera.</v>
      </c>
    </row>
    <row r="35894">
      <c r="A35894" s="4" t="s">
        <v>45148</v>
      </c>
      <c r="B35894" s="4" t="s">
        <v>45151</v>
      </c>
      <c r="C35894" s="5" t="str">
        <f>IFERROR(__xludf.DUMMYFUNCTION("GOOGLETRANSLATE(B35894,""en"",""de"")"),"Die Kamera schwenkt aus und eine andere Frau wird offenbart, dass auf einer Fitnessmatte auf dem Rücken liegt, während die Frau über ihr kniend weiter spricht.")</f>
        <v>Die Kamera schwenkt aus und eine andere Frau wird offenbart, dass auf einer Fitnessmatte auf dem Rücken liegt, während die Frau über ihr kniend weiter spricht.</v>
      </c>
    </row>
    <row r="35895">
      <c r="A35895" s="4" t="s">
        <v>45148</v>
      </c>
      <c r="B35895" s="4" t="s">
        <v>45152</v>
      </c>
      <c r="C35895" s="5" t="str">
        <f>IFERROR(__xludf.DUMMYFUNCTION("GOOGLETRANSLATE(B35895,""en"",""de"")"),"Die sich im Liegen liegende Frau zeigt, wie man sich aufsetzt und die andere Frau redet manchmal weiterhin den Magen der anderen Frau.")</f>
        <v>Die sich im Liegen liegende Frau zeigt, wie man sich aufsetzt und die andere Frau redet manchmal weiterhin den Magen der anderen Frau.</v>
      </c>
    </row>
    <row r="35896">
      <c r="A35896" s="4" t="s">
        <v>45153</v>
      </c>
      <c r="B35896" s="4" t="s">
        <v>45154</v>
      </c>
      <c r="C35896" s="5" t="str">
        <f>IFERROR(__xludf.DUMMYFUNCTION("GOOGLETRANSLATE(B35896,""en"",""de"")"),"Eine Person wird in der Mitte eines Kreises stehen und einen Diskussion in die Ferne werfen.")</f>
        <v>Eine Person wird in der Mitte eines Kreises stehen und einen Diskussion in die Ferne werfen.</v>
      </c>
    </row>
    <row r="35897">
      <c r="A35897" s="4" t="s">
        <v>45153</v>
      </c>
      <c r="B35897" s="4" t="s">
        <v>45155</v>
      </c>
      <c r="C35897" s="5" t="str">
        <f>IFERROR(__xludf.DUMMYFUNCTION("GOOGLETRANSLATE(B35897,""en"",""de"")"),"Der Mann geht mehrmals zurück und wirft das Objekt weiterhin.")</f>
        <v>Der Mann geht mehrmals zurück und wirft das Objekt weiterhin.</v>
      </c>
    </row>
    <row r="35898">
      <c r="A35898" s="4" t="s">
        <v>45153</v>
      </c>
      <c r="B35898" s="4" t="s">
        <v>45156</v>
      </c>
      <c r="C35898" s="5" t="str">
        <f>IFERROR(__xludf.DUMMYFUNCTION("GOOGLETRANSLATE(B35898,""en"",""de"")"),"Der Mann dreht sich weiter herum und wirft das Objekt in die Ferne.")</f>
        <v>Der Mann dreht sich weiter herum und wirft das Objekt in die Ferne.</v>
      </c>
    </row>
    <row r="35899">
      <c r="A35899" s="4" t="s">
        <v>45157</v>
      </c>
      <c r="B35899" s="4" t="s">
        <v>45158</v>
      </c>
      <c r="C35899" s="5" t="str">
        <f>IFERROR(__xludf.DUMMYFUNCTION("GOOGLETRANSLATE(B35899,""en"",""de"")"),"Zwei Männer stehen in einem Gerichtsraum, der Kürbis spielt.")</f>
        <v>Zwei Männer stehen in einem Gerichtsraum, der Kürbis spielt.</v>
      </c>
    </row>
    <row r="35900">
      <c r="A35900" s="4" t="s">
        <v>45157</v>
      </c>
      <c r="B35900" s="4" t="s">
        <v>45159</v>
      </c>
      <c r="C35900" s="5" t="str">
        <f>IFERROR(__xludf.DUMMYFUNCTION("GOOGLETRANSLATE(B35900,""en"",""de"")"),"Der Mann trägt ein weißes Hemd in einem Gerichtssaal.")</f>
        <v>Der Mann trägt ein weißes Hemd in einem Gerichtssaal.</v>
      </c>
    </row>
    <row r="35901">
      <c r="A35901" s="4" t="s">
        <v>45157</v>
      </c>
      <c r="B35901" s="4" t="s">
        <v>45160</v>
      </c>
      <c r="C35901" s="5" t="str">
        <f>IFERROR(__xludf.DUMMYFUNCTION("GOOGLETRANSLATE(B35901,""en"",""de"")"),"Männer stehen in einem Gerichtsraum hinter transparenten Türen.")</f>
        <v>Männer stehen in einem Gerichtsraum hinter transparenten Türen.</v>
      </c>
    </row>
    <row r="35902">
      <c r="A35902" s="4" t="s">
        <v>45161</v>
      </c>
      <c r="B35902" s="4" t="s">
        <v>45162</v>
      </c>
      <c r="C35902" s="5" t="str">
        <f>IFERROR(__xludf.DUMMYFUNCTION("GOOGLETRANSLATE(B35902,""en"",""de"")"),"Ein kleiner Junge steht draußen auf dem Bürgersteig und hat seine Arme hinter seinem Rücken und hält etwas und hält etwas.")</f>
        <v>Ein kleiner Junge steht draußen auf dem Bürgersteig und hat seine Arme hinter seinem Rücken und hält etwas und hält etwas.</v>
      </c>
    </row>
    <row r="35903">
      <c r="A35903" s="4" t="s">
        <v>45161</v>
      </c>
      <c r="B35903" s="4" t="s">
        <v>45163</v>
      </c>
      <c r="C35903" s="5" t="str">
        <f>IFERROR(__xludf.DUMMYFUNCTION("GOOGLETRANSLATE(B35903,""en"",""de"")"),"Dann aus dem Nichts beginnt es, das Ding in seiner Hand zu drehen, es sieht wirklich gefährlich aus.")</f>
        <v>Dann aus dem Nichts beginnt es, das Ding in seiner Hand zu drehen, es sieht wirklich gefährlich aus.</v>
      </c>
    </row>
    <row r="35904">
      <c r="A35904" s="4" t="s">
        <v>45161</v>
      </c>
      <c r="B35904" s="4" t="s">
        <v>45164</v>
      </c>
      <c r="C35904" s="5" t="str">
        <f>IFERROR(__xludf.DUMMYFUNCTION("GOOGLETRANSLATE(B35904,""en"",""de"")"),"Er fängt an, sich daran zu machen, wenn er viel Geschwindigkeit erwischt.")</f>
        <v>Er fängt an, sich daran zu machen, wenn er viel Geschwindigkeit erwischt.</v>
      </c>
    </row>
    <row r="35905">
      <c r="A35905" s="4" t="s">
        <v>45161</v>
      </c>
      <c r="B35905" s="4" t="s">
        <v>45165</v>
      </c>
      <c r="C35905" s="5" t="str">
        <f>IFERROR(__xludf.DUMMYFUNCTION("GOOGLETRANSLATE(B35905,""en"",""de"")"),"Dann verliert er plötzlich die Kontrolle darüber und fällt am Ende zu Boden.")</f>
        <v>Dann verliert er plötzlich die Kontrolle darüber und fällt am Ende zu Boden.</v>
      </c>
    </row>
    <row r="35906">
      <c r="A35906" s="4" t="s">
        <v>45166</v>
      </c>
      <c r="B35906" s="4" t="s">
        <v>45167</v>
      </c>
      <c r="C35906" s="5" t="str">
        <f>IFERROR(__xludf.DUMMYFUNCTION("GOOGLETRANSLATE(B35906,""en"",""de"")"),"Ein Mann, der ein rotes Hemd trägt, dekoriert einen Weihnachtsbaum.")</f>
        <v>Ein Mann, der ein rotes Hemd trägt, dekoriert einen Weihnachtsbaum.</v>
      </c>
    </row>
    <row r="35907">
      <c r="A35907" s="4" t="s">
        <v>45166</v>
      </c>
      <c r="B35907" s="4" t="s">
        <v>45168</v>
      </c>
      <c r="C35907" s="5" t="str">
        <f>IFERROR(__xludf.DUMMYFUNCTION("GOOGLETRANSLATE(B35907,""en"",""de"")"),"Er benutzt weiße Lichter, um den Baum umzuwickeln, um ihn zu dekorieren.")</f>
        <v>Er benutzt weiße Lichter, um den Baum umzuwickeln, um ihn zu dekorieren.</v>
      </c>
    </row>
    <row r="35908">
      <c r="A35908" s="4" t="s">
        <v>45166</v>
      </c>
      <c r="B35908" s="4" t="s">
        <v>45169</v>
      </c>
      <c r="C35908" s="5" t="str">
        <f>IFERROR(__xludf.DUMMYFUNCTION("GOOGLETRANSLATE(B35908,""en"",""de"")"),"Er geht mehrmals um den Baum.")</f>
        <v>Er geht mehrmals um den Baum.</v>
      </c>
    </row>
    <row r="35909">
      <c r="A35909" s="4" t="s">
        <v>45166</v>
      </c>
      <c r="B35909" s="4" t="s">
        <v>45170</v>
      </c>
      <c r="C35909" s="5" t="str">
        <f>IFERROR(__xludf.DUMMYFUNCTION("GOOGLETRANSLATE(B35909,""en"",""de"")"),"Dann nimmt er eine goldfarbene Girlande und wickelt den Baum.")</f>
        <v>Dann nimmt er eine goldfarbene Girlande und wickelt den Baum.</v>
      </c>
    </row>
    <row r="35910">
      <c r="A35910" s="4" t="s">
        <v>45166</v>
      </c>
      <c r="B35910" s="4" t="s">
        <v>45171</v>
      </c>
      <c r="C35910" s="5" t="str">
        <f>IFERROR(__xludf.DUMMYFUNCTION("GOOGLETRANSLATE(B35910,""en"",""de"")"),"Dann schaltet er die Lichter an, um den Baum zu beleuchten.")</f>
        <v>Dann schaltet er die Lichter an, um den Baum zu beleuchten.</v>
      </c>
    </row>
    <row r="35911">
      <c r="A35911" s="4" t="s">
        <v>45166</v>
      </c>
      <c r="B35911" s="4" t="s">
        <v>45172</v>
      </c>
      <c r="C35911" s="5" t="str">
        <f>IFERROR(__xludf.DUMMYFUNCTION("GOOGLETRANSLATE(B35911,""en"",""de"")"),"Dann steht er neben dem Baum und zeigt darauf, nachdem die Lichter eingeschaltet wurden.")</f>
        <v>Dann steht er neben dem Baum und zeigt darauf, nachdem die Lichter eingeschaltet wurden.</v>
      </c>
    </row>
    <row r="35912">
      <c r="A35912" s="4" t="s">
        <v>45173</v>
      </c>
      <c r="B35912" s="4" t="s">
        <v>45174</v>
      </c>
      <c r="C35912" s="5" t="str">
        <f>IFERROR(__xludf.DUMMYFUNCTION("GOOGLETRANSLATE(B35912,""en"",""de"")"),"Ein Mann benutzt einen Schlauch, um etwas vertikal auf eine Holzwand zu sprühen.")</f>
        <v>Ein Mann benutzt einen Schlauch, um etwas vertikal auf eine Holzwand zu sprühen.</v>
      </c>
    </row>
    <row r="35913">
      <c r="A35913" s="4" t="s">
        <v>45173</v>
      </c>
      <c r="B35913" s="4" t="s">
        <v>45175</v>
      </c>
      <c r="C35913" s="5" t="str">
        <f>IFERROR(__xludf.DUMMYFUNCTION("GOOGLETRANSLATE(B35913,""en"",""de"")"),"Der Mann wechselt horizontal an die Wand.")</f>
        <v>Der Mann wechselt horizontal an die Wand.</v>
      </c>
    </row>
    <row r="35914">
      <c r="A35914" s="4" t="s">
        <v>45173</v>
      </c>
      <c r="B35914" s="4" t="s">
        <v>45176</v>
      </c>
      <c r="C35914" s="5" t="str">
        <f>IFERROR(__xludf.DUMMYFUNCTION("GOOGLETRANSLATE(B35914,""en"",""de"")"),"Der Mann manipuliert die Spitze der Sprühdüse.")</f>
        <v>Der Mann manipuliert die Spitze der Sprühdüse.</v>
      </c>
    </row>
    <row r="35915">
      <c r="A35915" s="4" t="s">
        <v>45177</v>
      </c>
      <c r="B35915" s="4" t="s">
        <v>45178</v>
      </c>
      <c r="C35915" s="5" t="str">
        <f>IFERROR(__xludf.DUMMYFUNCTION("GOOGLETRANSLATE(B35915,""en"",""de"")"),"Es gibt ein Mädchen -Gymnast in glänzenden blauen Trikots, die Gymnastik auf einer Pferdestange vor vielen Zuschauern in einer großen Turnhalle spielen.")</f>
        <v>Es gibt ein Mädchen -Gymnast in glänzenden blauen Trikots, die Gymnastik auf einer Pferdestange vor vielen Zuschauern in einer großen Turnhalle spielen.</v>
      </c>
    </row>
    <row r="35916">
      <c r="A35916" s="4" t="s">
        <v>45177</v>
      </c>
      <c r="B35916" s="4" t="s">
        <v>45179</v>
      </c>
      <c r="C35916" s="5" t="str">
        <f>IFERROR(__xludf.DUMMYFUNCTION("GOOGLETRANSLATE(B35916,""en"",""de"")"),"Sie steigt in die Pferdestange und beginnt vorne Flips und Rückenflips zu machen.")</f>
        <v>Sie steigt in die Pferdestange und beginnt vorne Flips und Rückenflips zu machen.</v>
      </c>
    </row>
    <row r="35917">
      <c r="A35917" s="4" t="s">
        <v>45177</v>
      </c>
      <c r="B35917" s="4" t="s">
        <v>45180</v>
      </c>
      <c r="C35917" s="5" t="str">
        <f>IFERROR(__xludf.DUMMYFUNCTION("GOOGLETRANSLATE(B35917,""en"",""de"")"),"Dann drehte sie Rücken, während sie sicher auf der Pferdestange zurück landet.")</f>
        <v>Dann drehte sie Rücken, während sie sicher auf der Pferdestange zurück landet.</v>
      </c>
    </row>
    <row r="35918">
      <c r="A35918" s="4" t="s">
        <v>45177</v>
      </c>
      <c r="B35918" s="4" t="s">
        <v>45181</v>
      </c>
      <c r="C35918" s="5" t="str">
        <f>IFERROR(__xludf.DUMMYFUNCTION("GOOGLETRANSLATE(B35918,""en"",""de"")"),"Sie setzt ihre Gymnastikbewegungen fort und springt dann sicher von der Pferdestange und landet auf dem Boden.")</f>
        <v>Sie setzt ihre Gymnastikbewegungen fort und springt dann sicher von der Pferdestange und landet auf dem Boden.</v>
      </c>
    </row>
    <row r="35919">
      <c r="A35919" s="4" t="s">
        <v>45177</v>
      </c>
      <c r="B35919" s="4" t="s">
        <v>45182</v>
      </c>
      <c r="C35919" s="5" t="str">
        <f>IFERROR(__xludf.DUMMYFUNCTION("GOOGLETRANSLATE(B35919,""en"",""de"")"),"Nachdem sie aus der Bar gekommen war, geht sie und umarmt ihren Trainer.")</f>
        <v>Nachdem sie aus der Bar gekommen war, geht sie und umarmt ihren Trainer.</v>
      </c>
    </row>
    <row r="35920">
      <c r="A35920" s="4" t="s">
        <v>45177</v>
      </c>
      <c r="B35920" s="4" t="s">
        <v>45183</v>
      </c>
      <c r="C35920" s="5" t="str">
        <f>IFERROR(__xludf.DUMMYFUNCTION("GOOGLETRANSLATE(B35920,""en"",""de"")"),"Zeitlupe ihrer Gymnastikzüge werden wiedergegeben, um zu zeigen, wie sie aus der Pferdestange auf dem Boden landete.")</f>
        <v>Zeitlupe ihrer Gymnastikzüge werden wiedergegeben, um zu zeigen, wie sie aus der Pferdestange auf dem Boden landete.</v>
      </c>
    </row>
    <row r="35921">
      <c r="A35921" s="4" t="s">
        <v>45177</v>
      </c>
      <c r="B35921" s="4" t="s">
        <v>45184</v>
      </c>
      <c r="C35921" s="5" t="str">
        <f>IFERROR(__xludf.DUMMYFUNCTION("GOOGLETRANSLATE(B35921,""en"",""de"")"),"Dann geht der Turner an der Stelle, an der die Jury sitzt.")</f>
        <v>Dann geht der Turner an der Stelle, an der die Jury sitzt.</v>
      </c>
    </row>
    <row r="35922">
      <c r="A35922" s="4" t="s">
        <v>45185</v>
      </c>
      <c r="B35922" s="4" t="s">
        <v>45186</v>
      </c>
      <c r="C35922" s="5" t="str">
        <f>IFERROR(__xludf.DUMMYFUNCTION("GOOGLETRANSLATE(B35922,""en"",""de"")"),"Eine Frau sitzt auf einem Felsen und greift aus einem Eimer Wäsche.")</f>
        <v>Eine Frau sitzt auf einem Felsen und greift aus einem Eimer Wäsche.</v>
      </c>
    </row>
    <row r="35923">
      <c r="A35923" s="4" t="s">
        <v>45185</v>
      </c>
      <c r="B35923" s="4" t="s">
        <v>45187</v>
      </c>
      <c r="C35923" s="5" t="str">
        <f>IFERROR(__xludf.DUMMYFUNCTION("GOOGLETRANSLATE(B35923,""en"",""de"")"),"Dann reibt sie die Kleidung mit einem Lappen ab, während sie zur Kamera lächelt.")</f>
        <v>Dann reibt sie die Kleidung mit einem Lappen ab, während sie zur Kamera lächelt.</v>
      </c>
    </row>
    <row r="35924">
      <c r="A35924" s="4" t="s">
        <v>45185</v>
      </c>
      <c r="B35924" s="4" t="s">
        <v>45188</v>
      </c>
      <c r="C35924" s="5" t="str">
        <f>IFERROR(__xludf.DUMMYFUNCTION("GOOGLETRANSLATE(B35924,""en"",""de"")"),"Sie reinigt das Tuch weiter, indem sie es auf Zement schlägt und mit Wasser abweist.")</f>
        <v>Sie reinigt das Tuch weiter, indem sie es auf Zement schlägt und mit Wasser abweist.</v>
      </c>
    </row>
    <row r="35925">
      <c r="A35925" s="4" t="s">
        <v>45189</v>
      </c>
      <c r="B35925" s="4" t="s">
        <v>45190</v>
      </c>
      <c r="C35925" s="5" t="str">
        <f>IFERROR(__xludf.DUMMYFUNCTION("GOOGLETRANSLATE(B35925,""en"",""de"")"),"Ein Hubschrauber fährt über einen Ozean, in dem Menschen surfen.")</f>
        <v>Ein Hubschrauber fährt über einen Ozean, in dem Menschen surfen.</v>
      </c>
    </row>
    <row r="35926">
      <c r="A35926" s="4" t="s">
        <v>45189</v>
      </c>
      <c r="B35926" s="4" t="s">
        <v>45191</v>
      </c>
      <c r="C35926" s="5" t="str">
        <f>IFERROR(__xludf.DUMMYFUNCTION("GOOGLETRANSLATE(B35926,""en"",""de"")"),"Es werden mehrere Schüsse von Menschen gezeigt, die am Wasser entlang und andere sitzen.")</f>
        <v>Es werden mehrere Schüsse von Menschen gezeigt, die am Wasser entlang und andere sitzen.</v>
      </c>
    </row>
    <row r="35927">
      <c r="A35927" s="4" t="s">
        <v>45189</v>
      </c>
      <c r="B35927" s="4" t="s">
        <v>45192</v>
      </c>
      <c r="C35927" s="5" t="str">
        <f>IFERROR(__xludf.DUMMYFUNCTION("GOOGLETRANSLATE(B35927,""en"",""de"")"),"Die Menschen reiten weiter am Wasser, während der Hubschrauber herumfährt.")</f>
        <v>Die Menschen reiten weiter am Wasser, während der Hubschrauber herumfährt.</v>
      </c>
    </row>
    <row r="35928">
      <c r="A35928" s="4" t="s">
        <v>45193</v>
      </c>
      <c r="B35928" s="4" t="s">
        <v>45194</v>
      </c>
      <c r="C35928" s="5" t="str">
        <f>IFERROR(__xludf.DUMMYFUNCTION("GOOGLETRANSLATE(B35928,""en"",""de"")"),"Jungen werden gezeigt, wie sie in einer großen Turnhalle nacheinander Ping -Pong spielen, die nacheinander dient.")</f>
        <v>Jungen werden gezeigt, wie sie in einer großen Turnhalle nacheinander Ping -Pong spielen, die nacheinander dient.</v>
      </c>
    </row>
    <row r="35929">
      <c r="A35929" s="4" t="s">
        <v>45193</v>
      </c>
      <c r="B35929" s="4" t="s">
        <v>45195</v>
      </c>
      <c r="C35929" s="5" t="str">
        <f>IFERROR(__xludf.DUMMYFUNCTION("GOOGLETRANSLATE(B35929,""en"",""de"")"),"Ein anderer Junge geht zum Tisch und spielt mit den anderen Jungen, was sich dann in zwei gegen zwei Spiele der Ping -Pong verwandelt.")</f>
        <v>Ein anderer Junge geht zum Tisch und spielt mit den anderen Jungen, was sich dann in zwei gegen zwei Spiele der Ping -Pong verwandelt.</v>
      </c>
    </row>
    <row r="35930">
      <c r="A35930" s="4" t="s">
        <v>45193</v>
      </c>
      <c r="B35930" s="4" t="s">
        <v>45196</v>
      </c>
      <c r="C35930" s="5" t="str">
        <f>IFERROR(__xludf.DUMMYFUNCTION("GOOGLETRANSLATE(B35930,""en"",""de"")"),"Die Jungs wechseln sich nach dem Zufallsprinzip abwechselnd Punkte.")</f>
        <v>Die Jungs wechseln sich nach dem Zufallsprinzip abwechselnd Punkte.</v>
      </c>
    </row>
    <row r="35931">
      <c r="A35931" s="4" t="s">
        <v>45193</v>
      </c>
      <c r="B35931" s="4" t="s">
        <v>45197</v>
      </c>
      <c r="C35931" s="5" t="str">
        <f>IFERROR(__xludf.DUMMYFUNCTION("GOOGLETRANSLATE(B35931,""en"",""de"")"),"Der Junge, der zum ersten Mal gezeigt wurde, spielt jetzt ein drittes Spiel, das von einem Beamten erzielt wird und die ersten 4 Punkte erzielt.")</f>
        <v>Der Junge, der zum ersten Mal gezeigt wurde, spielt jetzt ein drittes Spiel, das von einem Beamten erzielt wird und die ersten 4 Punkte erzielt.</v>
      </c>
    </row>
    <row r="35932">
      <c r="A35932" s="4" t="s">
        <v>45193</v>
      </c>
      <c r="B35932" s="4" t="s">
        <v>45198</v>
      </c>
      <c r="C35932" s="5" t="str">
        <f>IFERROR(__xludf.DUMMYFUNCTION("GOOGLETRANSLATE(B35932,""en"",""de"")"),"Der Junge spielt ein weiteres Turnier mit einem anderen Kind in der Ping -Pong und scheint möglicherweise ein wenig in Punkten zurückzufallen.")</f>
        <v>Der Junge spielt ein weiteres Turnier mit einem anderen Kind in der Ping -Pong und scheint möglicherweise ein wenig in Punkten zurückzufallen.</v>
      </c>
    </row>
    <row r="35933">
      <c r="A35933" s="4" t="s">
        <v>45199</v>
      </c>
      <c r="B35933" s="4" t="s">
        <v>45200</v>
      </c>
      <c r="C35933" s="5" t="str">
        <f>IFERROR(__xludf.DUMMYFUNCTION("GOOGLETRANSLATE(B35933,""en"",""de"")"),"Ein Mann zeigt sein Motorrad.")</f>
        <v>Ein Mann zeigt sein Motorrad.</v>
      </c>
    </row>
    <row r="35934">
      <c r="A35934" s="4" t="s">
        <v>45199</v>
      </c>
      <c r="B35934" s="4" t="s">
        <v>45201</v>
      </c>
      <c r="C35934" s="5" t="str">
        <f>IFERROR(__xludf.DUMMYFUNCTION("GOOGLETRANSLATE(B35934,""en"",""de"")"),"Er gibt zuerst ein kleines Gespräch über sein Fahrrad.")</f>
        <v>Er gibt zuerst ein kleines Gespräch über sein Fahrrad.</v>
      </c>
    </row>
    <row r="35935">
      <c r="A35935" s="4" t="s">
        <v>45199</v>
      </c>
      <c r="B35935" s="4" t="s">
        <v>45202</v>
      </c>
      <c r="C35935" s="5" t="str">
        <f>IFERROR(__xludf.DUMMYFUNCTION("GOOGLETRANSLATE(B35935,""en"",""de"")"),"Dann fährt er sein Fahrrad auf der Strecke.")</f>
        <v>Dann fährt er sein Fahrrad auf der Strecke.</v>
      </c>
    </row>
    <row r="35936">
      <c r="A35936" s="4" t="s">
        <v>45199</v>
      </c>
      <c r="B35936" s="4" t="s">
        <v>45203</v>
      </c>
      <c r="C35936" s="5" t="str">
        <f>IFERROR(__xludf.DUMMYFUNCTION("GOOGLETRANSLATE(B35936,""en"",""de"")"),"Dann führt er schnelle Demonstrationen darüber, wie sich sein Fahrrad bewegt und wie es sitzt.")</f>
        <v>Dann führt er schnelle Demonstrationen darüber, wie sich sein Fahrrad bewegt und wie es sitzt.</v>
      </c>
    </row>
    <row r="35937">
      <c r="A35937" s="4" t="s">
        <v>45199</v>
      </c>
      <c r="B35937" s="4" t="s">
        <v>45204</v>
      </c>
      <c r="C35937" s="5" t="str">
        <f>IFERROR(__xludf.DUMMYFUNCTION("GOOGLETRANSLATE(B35937,""en"",""de"")"),"Dann spricht er mehr über sein Fahrrad, während er auf seinem Fahrrad sitzt.")</f>
        <v>Dann spricht er mehr über sein Fahrrad, während er auf seinem Fahrrad sitzt.</v>
      </c>
    </row>
    <row r="35938">
      <c r="A35938" s="4" t="s">
        <v>45199</v>
      </c>
      <c r="B35938" s="4" t="s">
        <v>45205</v>
      </c>
      <c r="C35938" s="5" t="str">
        <f>IFERROR(__xludf.DUMMYFUNCTION("GOOGLETRANSLATE(B35938,""en"",""de"")"),"Dann fährt er um eine flache Schmutzstrecke herum und schneidet ein paar Mal zu seinen Gesprächen und beschreibt seine Techniken.")</f>
        <v>Dann fährt er um eine flache Schmutzstrecke herum und schneidet ein paar Mal zu seinen Gesprächen und beschreibt seine Techniken.</v>
      </c>
    </row>
    <row r="35939">
      <c r="A35939" s="4" t="s">
        <v>45199</v>
      </c>
      <c r="B35939" s="4" t="s">
        <v>45206</v>
      </c>
      <c r="C35939" s="5" t="str">
        <f>IFERROR(__xludf.DUMMYFUNCTION("GOOGLETRANSLATE(B35939,""en"",""de"")"),"Er endet mit einem weiteren Fahrrad über sein Fahrrad.")</f>
        <v>Er endet mit einem weiteren Fahrrad über sein Fahrrad.</v>
      </c>
    </row>
    <row r="35940">
      <c r="A35940" s="4" t="s">
        <v>45207</v>
      </c>
      <c r="B35940" s="4" t="s">
        <v>45208</v>
      </c>
      <c r="C35940" s="5" t="str">
        <f>IFERROR(__xludf.DUMMYFUNCTION("GOOGLETRANSLATE(B35940,""en"",""de"")"),"Ein Schwimmer zieht eine Brille an, die fertig ist.")</f>
        <v>Ein Schwimmer zieht eine Brille an, die fertig ist.</v>
      </c>
    </row>
    <row r="35941">
      <c r="A35941" s="4" t="s">
        <v>45207</v>
      </c>
      <c r="B35941" s="4" t="s">
        <v>45209</v>
      </c>
      <c r="C35941" s="5" t="str">
        <f>IFERROR(__xludf.DUMMYFUNCTION("GOOGLETRANSLATE(B35941,""en"",""de"")"),"Der Schwimmer zieht einen Muskel in den Pool und springt auf das Pooldeck und streckt sein Bein aus.")</f>
        <v>Der Schwimmer zieht einen Muskel in den Pool und springt auf das Pooldeck und streckt sein Bein aus.</v>
      </c>
    </row>
    <row r="35942">
      <c r="A35942" s="4" t="s">
        <v>45207</v>
      </c>
      <c r="B35942" s="4" t="s">
        <v>45210</v>
      </c>
      <c r="C35942" s="5" t="str">
        <f>IFERROR(__xludf.DUMMYFUNCTION("GOOGLETRANSLATE(B35942,""en"",""de"")"),"Ein Schwimmer taucht mit einem Schuss von einem Brett ins Wasser ab.")</f>
        <v>Ein Schwimmer taucht mit einem Schuss von einem Brett ins Wasser ab.</v>
      </c>
    </row>
    <row r="35943">
      <c r="A35943" s="4" t="s">
        <v>45207</v>
      </c>
      <c r="B35943" s="4" t="s">
        <v>45211</v>
      </c>
      <c r="C35943" s="5" t="str">
        <f>IFERROR(__xludf.DUMMYFUNCTION("GOOGLETRANSLATE(B35943,""en"",""de"")"),"Der Athlet schwimmt in einer Fahrspur und zieht sich zusammen mit der Float -Linie.")</f>
        <v>Der Athlet schwimmt in einer Fahrspur und zieht sich zusammen mit der Float -Linie.</v>
      </c>
    </row>
    <row r="35944">
      <c r="A35944" s="4" t="s">
        <v>45207</v>
      </c>
      <c r="B35944" s="4" t="s">
        <v>45212</v>
      </c>
      <c r="C35944" s="5" t="str">
        <f>IFERROR(__xludf.DUMMYFUNCTION("GOOGLETRANSLATE(B35944,""en"",""de"")"),"Der Schwimmer schwimmt unter Wasser und schiebt den Poolboden ab.")</f>
        <v>Der Schwimmer schwimmt unter Wasser und schiebt den Poolboden ab.</v>
      </c>
    </row>
    <row r="35945">
      <c r="A35945" s="4" t="s">
        <v>45207</v>
      </c>
      <c r="B35945" s="4" t="s">
        <v>45213</v>
      </c>
      <c r="C35945" s="5" t="str">
        <f>IFERROR(__xludf.DUMMYFUNCTION("GOOGLETRANSLATE(B35945,""en"",""de"")"),"Der Schwimmer macht einen Schmetterlingsschlag in der Pool -Spur.")</f>
        <v>Der Schwimmer macht einen Schmetterlingsschlag in der Pool -Spur.</v>
      </c>
    </row>
    <row r="35946">
      <c r="A35946" s="4" t="s">
        <v>45214</v>
      </c>
      <c r="B35946" s="4" t="s">
        <v>45215</v>
      </c>
      <c r="C35946" s="5" t="str">
        <f>IFERROR(__xludf.DUMMYFUNCTION("GOOGLETRANSLATE(B35946,""en"",""de"")"),"Ein Turner springt auf ein Pummel -Pferd.")</f>
        <v>Ein Turner springt auf ein Pummel -Pferd.</v>
      </c>
    </row>
    <row r="35947">
      <c r="A35947" s="4" t="s">
        <v>45214</v>
      </c>
      <c r="B35947" s="4" t="s">
        <v>45216</v>
      </c>
      <c r="C35947" s="5" t="str">
        <f>IFERROR(__xludf.DUMMYFUNCTION("GOOGLETRANSLATE(B35947,""en"",""de"")"),"Der Turner spielt viele Drehungen um das Pferd, als er die beiden Bars auf dem Pummel -Pferd festhält.")</f>
        <v>Der Turner spielt viele Drehungen um das Pferd, als er die beiden Bars auf dem Pummel -Pferd festhält.</v>
      </c>
    </row>
    <row r="35948">
      <c r="A35948" s="4" t="s">
        <v>45214</v>
      </c>
      <c r="B35948" s="4" t="s">
        <v>45217</v>
      </c>
      <c r="C35948" s="5" t="str">
        <f>IFERROR(__xludf.DUMMYFUNCTION("GOOGLETRANSLATE(B35948,""en"",""de"")"),"Ein paar Richter sehen zu.")</f>
        <v>Ein paar Richter sehen zu.</v>
      </c>
    </row>
    <row r="35949">
      <c r="A35949" s="4" t="s">
        <v>45214</v>
      </c>
      <c r="B35949" s="4" t="s">
        <v>45218</v>
      </c>
      <c r="C35949" s="5" t="str">
        <f>IFERROR(__xludf.DUMMYFUNCTION("GOOGLETRANSLATE(B35949,""en"",""de"")"),"Der Turner springt vom Pummel -Pferd.")</f>
        <v>Der Turner springt vom Pummel -Pferd.</v>
      </c>
    </row>
    <row r="35950">
      <c r="A35950" s="4" t="s">
        <v>45219</v>
      </c>
      <c r="B35950" s="4" t="s">
        <v>45220</v>
      </c>
      <c r="C35950" s="5" t="str">
        <f>IFERROR(__xludf.DUMMYFUNCTION("GOOGLETRANSLATE(B35950,""en"",""de"")"),"Ein Turner ist zu sehen, wie er auf eine Reihe von ungleichmäßigen Bars springt und vor einer großen Menge eine Gymnastikroutine durchführt.")</f>
        <v>Ein Turner ist zu sehen, wie er auf eine Reihe von ungleichmäßigen Bars springt und vor einer großen Menge eine Gymnastikroutine durchführt.</v>
      </c>
    </row>
    <row r="35951">
      <c r="A35951" s="4" t="s">
        <v>45219</v>
      </c>
      <c r="B35951" s="4" t="s">
        <v>45221</v>
      </c>
      <c r="C35951" s="5" t="str">
        <f>IFERROR(__xludf.DUMMYFUNCTION("GOOGLETRANSLATE(B35951,""en"",""de"")"),"Der Mann dreht sich um die Balken und endet, wenn er mit den Armen runterspringt und der Menge winkte.")</f>
        <v>Der Mann dreht sich um die Balken und endet, wenn er mit den Armen runterspringt und der Menge winkte.</v>
      </c>
    </row>
    <row r="35952">
      <c r="A35952" s="4" t="s">
        <v>45222</v>
      </c>
      <c r="B35952" s="4" t="s">
        <v>45223</v>
      </c>
      <c r="C35952" s="5" t="str">
        <f>IFERROR(__xludf.DUMMYFUNCTION("GOOGLETRANSLATE(B35952,""en"",""de"")"),"Eine Frau, die einen Hut trägt, sitzt hinter einem großen Set Bongo -Trommeln.")</f>
        <v>Eine Frau, die einen Hut trägt, sitzt hinter einem großen Set Bongo -Trommeln.</v>
      </c>
    </row>
    <row r="35953">
      <c r="A35953" s="4" t="s">
        <v>45222</v>
      </c>
      <c r="B35953" s="4" t="s">
        <v>45224</v>
      </c>
      <c r="C35953" s="5" t="str">
        <f>IFERROR(__xludf.DUMMYFUNCTION("GOOGLETRANSLATE(B35953,""en"",""de"")"),"Die Frau spielt kontinuierlich am Schlagzeug.")</f>
        <v>Die Frau spielt kontinuierlich am Schlagzeug.</v>
      </c>
    </row>
    <row r="35954">
      <c r="A35954" s="4" t="s">
        <v>45222</v>
      </c>
      <c r="B35954" s="4" t="s">
        <v>45225</v>
      </c>
      <c r="C35954" s="5" t="str">
        <f>IFERROR(__xludf.DUMMYFUNCTION("GOOGLETRANSLATE(B35954,""en"",""de"")"),"Die Frau schlägt weiterhin zum Schlagzeug und endet, indem sie auf die Kamera zeigt und aufsteht.")</f>
        <v>Die Frau schlägt weiterhin zum Schlagzeug und endet, indem sie auf die Kamera zeigt und aufsteht.</v>
      </c>
    </row>
    <row r="35955">
      <c r="A35955" s="4" t="s">
        <v>45226</v>
      </c>
      <c r="B35955" s="4" t="s">
        <v>45227</v>
      </c>
      <c r="C35955" s="5" t="str">
        <f>IFERROR(__xludf.DUMMYFUNCTION("GOOGLETRANSLATE(B35955,""en"",""de"")"),"Ein Mädchen geht über eine Reihe von Affenbars.")</f>
        <v>Ein Mädchen geht über eine Reihe von Affenbars.</v>
      </c>
    </row>
    <row r="35956">
      <c r="A35956" s="4" t="s">
        <v>45226</v>
      </c>
      <c r="B35956" s="4" t="s">
        <v>45228</v>
      </c>
      <c r="C35956" s="5" t="str">
        <f>IFERROR(__xludf.DUMMYFUNCTION("GOOGLETRANSLATE(B35956,""en"",""de"")"),"Sie kommt zum Ende und steht auf einer Holzplanke.")</f>
        <v>Sie kommt zum Ende und steht auf einer Holzplanke.</v>
      </c>
    </row>
    <row r="35957">
      <c r="A35957" s="4" t="s">
        <v>45226</v>
      </c>
      <c r="B35957" s="4" t="s">
        <v>45229</v>
      </c>
      <c r="C35957" s="5" t="str">
        <f>IFERROR(__xludf.DUMMYFUNCTION("GOOGLETRANSLATE(B35957,""en"",""de"")"),"Sie geht dann in die andere Richtung über die Affenstangen zurück.")</f>
        <v>Sie geht dann in die andere Richtung über die Affenstangen zurück.</v>
      </c>
    </row>
    <row r="35958">
      <c r="A35958" s="4" t="s">
        <v>45226</v>
      </c>
      <c r="B35958" s="4" t="s">
        <v>45230</v>
      </c>
      <c r="C35958" s="5" t="str">
        <f>IFERROR(__xludf.DUMMYFUNCTION("GOOGLETRANSLATE(B35958,""en"",""de"")"),"Sie geht zu einem anderen Teil des Spielplatzes und springt auf und ab.")</f>
        <v>Sie geht zu einem anderen Teil des Spielplatzes und springt auf und ab.</v>
      </c>
    </row>
    <row r="35959">
      <c r="A35959" s="4" t="s">
        <v>45231</v>
      </c>
      <c r="B35959" s="4" t="s">
        <v>45232</v>
      </c>
      <c r="C35959" s="5" t="str">
        <f>IFERROR(__xludf.DUMMYFUNCTION("GOOGLETRANSLATE(B35959,""en"",""de"")"),"Der Mensch ist vor einem Kassierer von Automaik und nimmt etwas Geld davon und spreche mit einigen Männern in einem Raum voller Menschen.")</f>
        <v>Der Mensch ist vor einem Kassierer von Automaik und nimmt etwas Geld davon und spreche mit einigen Männern in einem Raum voller Menschen.</v>
      </c>
    </row>
    <row r="35960">
      <c r="A35960" s="4" t="s">
        <v>45231</v>
      </c>
      <c r="B35960" s="4" t="s">
        <v>45233</v>
      </c>
      <c r="C35960" s="5" t="str">
        <f>IFERROR(__xludf.DUMMYFUNCTION("GOOGLETRANSLATE(B35960,""en"",""de"")"),"Männer sitzen in einem Blackjack -Tisch und spielen in einem Casino und reden miteinander, während die Leute das Spiel schauen und um den Tisch laufen.")</f>
        <v>Männer sitzen in einem Blackjack -Tisch und spielen in einem Casino und reden miteinander, während die Leute das Spiel schauen und um den Tisch laufen.</v>
      </c>
    </row>
    <row r="35961">
      <c r="A35961" s="4" t="s">
        <v>45231</v>
      </c>
      <c r="B35961" s="4" t="s">
        <v>45234</v>
      </c>
      <c r="C35961" s="5" t="str">
        <f>IFERROR(__xludf.DUMMYFUNCTION("GOOGLETRANSLATE(B35961,""en"",""de"")"),"Der Handel verbreitet die Karten und Männer starten einen Tabak.")</f>
        <v>Der Handel verbreitet die Karten und Männer starten einen Tabak.</v>
      </c>
    </row>
    <row r="35962">
      <c r="A35962" s="4" t="s">
        <v>45235</v>
      </c>
      <c r="B35962" s="4" t="s">
        <v>45236</v>
      </c>
      <c r="C35962" s="5" t="str">
        <f>IFERROR(__xludf.DUMMYFUNCTION("GOOGLETRANSLATE(B35962,""en"",""de"")"),"Eine Frau wäscht einen Topf mit Seifenwasser, während sie mit dem Rücken zur Kamera am Spülbecken steht.")</f>
        <v>Eine Frau wäscht einen Topf mit Seifenwasser, während sie mit dem Rücken zur Kamera am Spülbecken steht.</v>
      </c>
    </row>
    <row r="35963">
      <c r="A35963" s="4" t="s">
        <v>45235</v>
      </c>
      <c r="B35963" s="4" t="s">
        <v>45237</v>
      </c>
      <c r="C35963" s="5" t="str">
        <f>IFERROR(__xludf.DUMMYFUNCTION("GOOGLETRANSLATE(B35963,""en"",""de"")"),"Die Frau dreht sich um und spricht mit der Kamera, während sie den Topf wäscht und ein wenig lächelt, während die Kamera die Aktivität wackelig fängt.")</f>
        <v>Die Frau dreht sich um und spricht mit der Kamera, während sie den Topf wäscht und ein wenig lächelt, während die Kamera die Aktivität wackelig fängt.</v>
      </c>
    </row>
    <row r="35964">
      <c r="A35964" s="4" t="s">
        <v>45235</v>
      </c>
      <c r="B35964" s="4" t="s">
        <v>45238</v>
      </c>
      <c r="C35964" s="5" t="str">
        <f>IFERROR(__xludf.DUMMYFUNCTION("GOOGLETRANSLATE(B35964,""en"",""de"")"),"Die Frau spüelt den Topf aus und dreht sich dann um und hält ihn in der Luft, tropft Wasser, macht ein gruseliges Gesicht, als würde sie den Kameramann damit angreifen, sich dann vom Kameramann weg und in Richtung des Waschbeckens abweist Zähler.")</f>
        <v>Die Frau spüelt den Topf aus und dreht sich dann um und hält ihn in der Luft, tropft Wasser, macht ein gruseliges Gesicht, als würde sie den Kameramann damit angreifen, sich dann vom Kameramann weg und in Richtung des Waschbeckens abweist Zähler.</v>
      </c>
    </row>
    <row r="35965">
      <c r="A35965" s="4" t="s">
        <v>45239</v>
      </c>
      <c r="B35965" s="4" t="s">
        <v>45240</v>
      </c>
      <c r="C35965" s="5" t="str">
        <f>IFERROR(__xludf.DUMMYFUNCTION("GOOGLETRANSLATE(B35965,""en"",""de"")"),"Zwei Personen sind im Raum Malerei und renovieren neu.")</f>
        <v>Zwei Personen sind im Raum Malerei und renovieren neu.</v>
      </c>
    </row>
    <row r="35966">
      <c r="A35966" s="4" t="s">
        <v>45239</v>
      </c>
      <c r="B35966" s="4" t="s">
        <v>45241</v>
      </c>
      <c r="C35966" s="5" t="str">
        <f>IFERROR(__xludf.DUMMYFUNCTION("GOOGLETRANSLATE(B35966,""en"",""de"")"),"Zwei Männer wechseln sich auf und ab auf einer Leiter, die Paste an die Wand für das Handlittpapier legt.")</f>
        <v>Zwei Männer wechseln sich auf und ab auf einer Leiter, die Paste an die Wand für das Handlittpapier legt.</v>
      </c>
    </row>
    <row r="35967">
      <c r="A35967" s="4" t="s">
        <v>45239</v>
      </c>
      <c r="B35967" s="4" t="s">
        <v>45242</v>
      </c>
      <c r="C35967" s="5" t="str">
        <f>IFERROR(__xludf.DUMMYFUNCTION("GOOGLETRANSLATE(B35967,""en"",""de"")"),"Diese Aktionen finden weiterhin statt, bis die gesamte Wand mit weißem Handy mit großen blauen Blumen bedeckt ist, während ein Mädchen hinter einer Reihe von Büchern setzt.")</f>
        <v>Diese Aktionen finden weiterhin statt, bis die gesamte Wand mit weißem Handy mit großen blauen Blumen bedeckt ist, während ein Mädchen hinter einer Reihe von Büchern setzt.</v>
      </c>
    </row>
    <row r="35968">
      <c r="A35968" s="4" t="s">
        <v>45243</v>
      </c>
      <c r="B35968" s="4" t="s">
        <v>45244</v>
      </c>
      <c r="C35968" s="5" t="str">
        <f>IFERROR(__xludf.DUMMYFUNCTION("GOOGLETRANSLATE(B35968,""en"",""de"")"),"Eine Frau in einem roten Hemd steht in einem Raum.")</f>
        <v>Eine Frau in einem roten Hemd steht in einem Raum.</v>
      </c>
    </row>
    <row r="35969">
      <c r="A35969" s="4" t="s">
        <v>45243</v>
      </c>
      <c r="B35969" s="4" t="s">
        <v>45245</v>
      </c>
      <c r="C35969" s="5" t="str">
        <f>IFERROR(__xludf.DUMMYFUNCTION("GOOGLETRANSLATE(B35969,""en"",""de"")"),"Sie beginnt auf einer blauen Matte zu trainieren.")</f>
        <v>Sie beginnt auf einer blauen Matte zu trainieren.</v>
      </c>
    </row>
    <row r="35970">
      <c r="A35970" s="4" t="s">
        <v>45243</v>
      </c>
      <c r="B35970" s="4" t="s">
        <v>45246</v>
      </c>
      <c r="C35970" s="5" t="str">
        <f>IFERROR(__xludf.DUMMYFUNCTION("GOOGLETRANSLATE(B35970,""en"",""de"")"),"Sie stoppt und spricht mit der Kamera.")</f>
        <v>Sie stoppt und spricht mit der Kamera.</v>
      </c>
    </row>
    <row r="35971">
      <c r="A35971" s="4" t="s">
        <v>45247</v>
      </c>
      <c r="B35971" s="4" t="s">
        <v>45248</v>
      </c>
      <c r="C35971" s="5" t="str">
        <f>IFERROR(__xludf.DUMMYFUNCTION("GOOGLETRANSLATE(B35971,""en"",""de"")"),"Ein Turner streckt sich aus und steigt auf eine Reihe paralleler Doppelbalken.")</f>
        <v>Ein Turner streckt sich aus und steigt auf eine Reihe paralleler Doppelbalken.</v>
      </c>
    </row>
    <row r="35972">
      <c r="A35972" s="4" t="s">
        <v>45247</v>
      </c>
      <c r="B35972" s="4" t="s">
        <v>45249</v>
      </c>
      <c r="C35972" s="5" t="str">
        <f>IFERROR(__xludf.DUMMYFUNCTION("GOOGLETRANSLATE(B35972,""en"",""de"")"),"Der Turner führt eine Routine in einem Wettbewerb auf den Doppelbalken mit Flips und Kurven durch.")</f>
        <v>Der Turner führt eine Routine in einem Wettbewerb auf den Doppelbalken mit Flips und Kurven durch.</v>
      </c>
    </row>
    <row r="35973">
      <c r="A35973" s="4" t="s">
        <v>45247</v>
      </c>
      <c r="B35973" s="4" t="s">
        <v>45250</v>
      </c>
      <c r="C35973" s="5" t="str">
        <f>IFERROR(__xludf.DUMMYFUNCTION("GOOGLETRANSLATE(B35973,""en"",""de"")"),"Der Turner steigt von der Ausrüstung ab und landet auf der Matte.")</f>
        <v>Der Turner steigt von der Ausrüstung ab und landet auf der Matte.</v>
      </c>
    </row>
    <row r="35974">
      <c r="A35974" s="4" t="s">
        <v>45251</v>
      </c>
      <c r="B35974" s="4" t="s">
        <v>1251</v>
      </c>
      <c r="C35974" s="5" t="str">
        <f>IFERROR(__xludf.DUMMYFUNCTION("GOOGLETRANSLATE(B35974,""en"",""de"")"),"Die Credits des Clips werden angezeigt.")</f>
        <v>Die Credits des Clips werden angezeigt.</v>
      </c>
    </row>
    <row r="35975">
      <c r="A35975" s="4" t="s">
        <v>45251</v>
      </c>
      <c r="B35975" s="4" t="s">
        <v>45252</v>
      </c>
      <c r="C35975" s="5" t="str">
        <f>IFERROR(__xludf.DUMMYFUNCTION("GOOGLETRANSLATE(B35975,""en"",""de"")"),"Ein Typ kniegt halb auf einem Fitnessstudio.")</f>
        <v>Ein Typ kniegt halb auf einem Fitnessstudio.</v>
      </c>
    </row>
    <row r="35976">
      <c r="A35976" s="4" t="s">
        <v>45251</v>
      </c>
      <c r="B35976" s="4" t="s">
        <v>45253</v>
      </c>
      <c r="C35976" s="5" t="str">
        <f>IFERROR(__xludf.DUMMYFUNCTION("GOOGLETRANSLATE(B35976,""en"",""de"")"),"Der Typ beginnt ein Gewicht in einer Hand zu drücken.")</f>
        <v>Der Typ beginnt ein Gewicht in einer Hand zu drücken.</v>
      </c>
    </row>
    <row r="35977">
      <c r="A35977" s="4" t="s">
        <v>45254</v>
      </c>
      <c r="B35977" s="4" t="s">
        <v>45255</v>
      </c>
      <c r="C35977" s="5" t="str">
        <f>IFERROR(__xludf.DUMMYFUNCTION("GOOGLETRANSLATE(B35977,""en"",""de"")"),"Auf einem sandigen Boden, der von Bergen umgeben ist, gibt es mehrere Männer.")</f>
        <v>Auf einem sandigen Boden, der von Bergen umgeben ist, gibt es mehrere Männer.</v>
      </c>
    </row>
    <row r="35978">
      <c r="A35978" s="4" t="s">
        <v>45254</v>
      </c>
      <c r="B35978" s="4" t="s">
        <v>45256</v>
      </c>
      <c r="C35978" s="5" t="str">
        <f>IFERROR(__xludf.DUMMYFUNCTION("GOOGLETRANSLATE(B35978,""en"",""de"")"),"Sie ziehen weiter mit Kraft das Seil.")</f>
        <v>Sie ziehen weiter mit Kraft das Seil.</v>
      </c>
    </row>
    <row r="35979">
      <c r="A35979" s="4" t="s">
        <v>45254</v>
      </c>
      <c r="B35979" s="4" t="s">
        <v>45257</v>
      </c>
      <c r="C35979" s="5" t="str">
        <f>IFERROR(__xludf.DUMMYFUNCTION("GOOGLETRANSLATE(B35979,""en"",""de"")"),"Mehrere Zuschauer beobachten sie und jubeln sie, während sie weiter spielen.")</f>
        <v>Mehrere Zuschauer beobachten sie und jubeln sie, während sie weiter spielen.</v>
      </c>
    </row>
    <row r="35980">
      <c r="A35980" s="4" t="s">
        <v>45254</v>
      </c>
      <c r="B35980" s="4" t="s">
        <v>45258</v>
      </c>
      <c r="C35980" s="5" t="str">
        <f>IFERROR(__xludf.DUMMYFUNCTION("GOOGLETRANSLATE(B35980,""en"",""de"")"),"Die Spieler ziehen weiterhin mit Konzentration das Seil.")</f>
        <v>Die Spieler ziehen weiterhin mit Konzentration das Seil.</v>
      </c>
    </row>
    <row r="35981">
      <c r="A35981" s="4" t="s">
        <v>45254</v>
      </c>
      <c r="B35981" s="4" t="s">
        <v>45259</v>
      </c>
      <c r="C35981" s="5" t="str">
        <f>IFERROR(__xludf.DUMMYFUNCTION("GOOGLETRANSLATE(B35981,""en"",""de"")"),"Schließlich hebt das siegreiche Team ihre Hände hoch und jubelt und tanzt im Kreis herum.")</f>
        <v>Schließlich hebt das siegreiche Team ihre Hände hoch und jubelt und tanzt im Kreis herum.</v>
      </c>
    </row>
    <row r="35982">
      <c r="A35982" s="4" t="s">
        <v>45260</v>
      </c>
      <c r="B35982" s="4" t="s">
        <v>45261</v>
      </c>
      <c r="C35982" s="5" t="str">
        <f>IFERROR(__xludf.DUMMYFUNCTION("GOOGLETRANSLATE(B35982,""en"",""de"")"),"Eine junge jugendliche Frau steht in der Ecke eines Raums und redet.")</f>
        <v>Eine junge jugendliche Frau steht in der Ecke eines Raums und redet.</v>
      </c>
    </row>
    <row r="35983">
      <c r="A35983" s="4" t="s">
        <v>45260</v>
      </c>
      <c r="B35983" s="4" t="s">
        <v>45262</v>
      </c>
      <c r="C35983" s="5" t="str">
        <f>IFERROR(__xludf.DUMMYFUNCTION("GOOGLETRANSLATE(B35983,""en"",""de"")"),"Das Mädchen wird dann in einem funkelnden Trikot in einem Gymnasium gezeigt.")</f>
        <v>Das Mädchen wird dann in einem funkelnden Trikot in einem Gymnasium gezeigt.</v>
      </c>
    </row>
    <row r="35984">
      <c r="A35984" s="4" t="s">
        <v>45260</v>
      </c>
      <c r="B35984" s="4" t="s">
        <v>45263</v>
      </c>
      <c r="C35984" s="5" t="str">
        <f>IFERROR(__xludf.DUMMYFUNCTION("GOOGLETRANSLATE(B35984,""en"",""de"")"),"Danach hüpft sie auf den Balancestrahl und beginnt, Tricks zu machen, bevor sie den Balancestrahl abfließt.")</f>
        <v>Danach hüpft sie auf den Balancestrahl und beginnt, Tricks zu machen, bevor sie den Balancestrahl abfließt.</v>
      </c>
    </row>
    <row r="35985">
      <c r="A35985" s="4" t="s">
        <v>45260</v>
      </c>
      <c r="B35985" s="4" t="s">
        <v>45264</v>
      </c>
      <c r="C35985" s="5" t="str">
        <f>IFERROR(__xludf.DUMMYFUNCTION("GOOGLETRANSLATE(B35985,""en"",""de"")"),"Sie zieht sich dann zurück in die Kamera, sagt ein paar kurze Wörter und Wellen auf Wiedersehen.")</f>
        <v>Sie zieht sich dann zurück in die Kamera, sagt ein paar kurze Wörter und Wellen auf Wiedersehen.</v>
      </c>
    </row>
    <row r="35986">
      <c r="A35986" s="4" t="s">
        <v>45265</v>
      </c>
      <c r="B35986" s="4" t="s">
        <v>45266</v>
      </c>
      <c r="C35986" s="5" t="str">
        <f>IFERROR(__xludf.DUMMYFUNCTION("GOOGLETRANSLATE(B35986,""en"",""de"")"),"Die Leute spielen Shuffleboard im Inneren und draußen.")</f>
        <v>Die Leute spielen Shuffleboard im Inneren und draußen.</v>
      </c>
    </row>
    <row r="35987">
      <c r="A35987" s="4" t="s">
        <v>45265</v>
      </c>
      <c r="B35987" s="4" t="s">
        <v>45267</v>
      </c>
      <c r="C35987" s="5" t="str">
        <f>IFERROR(__xludf.DUMMYFUNCTION("GOOGLETRANSLATE(B35987,""en"",""de"")"),"Eine Person beobachtet, wenn Menschen Shuffleboard auf der Straße spielen.")</f>
        <v>Eine Person beobachtet, wenn Menschen Shuffleboard auf der Straße spielen.</v>
      </c>
    </row>
    <row r="35988">
      <c r="A35988" s="4" t="s">
        <v>45265</v>
      </c>
      <c r="B35988" s="4" t="s">
        <v>45268</v>
      </c>
      <c r="C35988" s="5" t="str">
        <f>IFERROR(__xludf.DUMMYFUNCTION("GOOGLETRANSLATE(B35988,""en"",""de"")"),"Ein paar alte Leute spielen im Freien.")</f>
        <v>Ein paar alte Leute spielen im Freien.</v>
      </c>
    </row>
    <row r="35989">
      <c r="A35989" s="4" t="s">
        <v>45265</v>
      </c>
      <c r="B35989" s="4" t="s">
        <v>45269</v>
      </c>
      <c r="C35989" s="5" t="str">
        <f>IFERROR(__xludf.DUMMYFUNCTION("GOOGLETRANSLATE(B35989,""en"",""de"")"),"Andere Leute spielen Shuffleboard und schieben die Bälle im Dreieck.")</f>
        <v>Andere Leute spielen Shuffleboard und schieben die Bälle im Dreieck.</v>
      </c>
    </row>
    <row r="35990">
      <c r="A35990" s="4" t="s">
        <v>45270</v>
      </c>
      <c r="B35990" s="4" t="s">
        <v>45271</v>
      </c>
      <c r="C35990" s="5" t="str">
        <f>IFERROR(__xludf.DUMMYFUNCTION("GOOGLETRANSLATE(B35990,""en"",""de"")"),"Ein Mann zeigt, wie man den Unterkassen eines Autos wäscht.")</f>
        <v>Ein Mann zeigt, wie man den Unterkassen eines Autos wäscht.</v>
      </c>
    </row>
    <row r="35991">
      <c r="A35991" s="4" t="s">
        <v>45270</v>
      </c>
      <c r="B35991" s="4" t="s">
        <v>45272</v>
      </c>
      <c r="C35991" s="5" t="str">
        <f>IFERROR(__xludf.DUMMYFUNCTION("GOOGLETRANSLATE(B35991,""en"",""de"")"),"Es wird gezeigt, dass ein Auto eine kommerzielle Wäsche durchläuft.")</f>
        <v>Es wird gezeigt, dass ein Auto eine kommerzielle Wäsche durchläuft.</v>
      </c>
    </row>
    <row r="35992">
      <c r="A35992" s="4" t="s">
        <v>45270</v>
      </c>
      <c r="B35992" s="4" t="s">
        <v>45273</v>
      </c>
      <c r="C35992" s="5" t="str">
        <f>IFERROR(__xludf.DUMMYFUNCTION("GOOGLETRANSLATE(B35992,""en"",""de"")"),"Sie werben für ihr Fachwissen im Waschen von Autos.")</f>
        <v>Sie werben für ihr Fachwissen im Waschen von Autos.</v>
      </c>
    </row>
    <row r="35993">
      <c r="A35993" s="4" t="s">
        <v>45274</v>
      </c>
      <c r="B35993" s="4" t="s">
        <v>45275</v>
      </c>
      <c r="C35993" s="5" t="str">
        <f>IFERROR(__xludf.DUMMYFUNCTION("GOOGLETRANSLATE(B35993,""en"",""de"")"),"Eine alte Frau spricht in einem Kostümgeschäft.")</f>
        <v>Eine alte Frau spricht in einem Kostümgeschäft.</v>
      </c>
    </row>
    <row r="35994">
      <c r="A35994" s="4" t="s">
        <v>45274</v>
      </c>
      <c r="B35994" s="4" t="s">
        <v>45276</v>
      </c>
      <c r="C35994" s="5" t="str">
        <f>IFERROR(__xludf.DUMMYFUNCTION("GOOGLETRANSLATE(B35994,""en"",""de"")"),"Dann legt sie ein Kleidungsstück auf das Eisenbrett, sprüht Wasser und bügelt den Kragen.")</f>
        <v>Dann legt sie ein Kleidungsstück auf das Eisenbrett, sprüht Wasser und bügelt den Kragen.</v>
      </c>
    </row>
    <row r="35995">
      <c r="A35995" s="4" t="s">
        <v>45274</v>
      </c>
      <c r="B35995" s="4" t="s">
        <v>45277</v>
      </c>
      <c r="C35995" s="5" t="str">
        <f>IFERROR(__xludf.DUMMYFUNCTION("GOOGLETRANSLATE(B35995,""en"",""de"")"),"Danach feiern die Frau die Ärmel des Kleidungsstücks und den Körperteil.")</f>
        <v>Danach feiern die Frau die Ärmel des Kleidungsstücks und den Körperteil.</v>
      </c>
    </row>
    <row r="35996">
      <c r="A35996" s="4" t="s">
        <v>45274</v>
      </c>
      <c r="B35996" s="4" t="s">
        <v>45278</v>
      </c>
      <c r="C35996" s="5" t="str">
        <f>IFERROR(__xludf.DUMMYFUNCTION("GOOGLETRANSLATE(B35996,""en"",""de"")"),"Als nächstes zeigt die Frau das gebügelte Kleidungsstück.")</f>
        <v>Als nächstes zeigt die Frau das gebügelte Kleidungsstück.</v>
      </c>
    </row>
    <row r="35997">
      <c r="A35997" s="4" t="s">
        <v>45279</v>
      </c>
      <c r="B35997" s="4" t="s">
        <v>45280</v>
      </c>
      <c r="C35997" s="5" t="str">
        <f>IFERROR(__xludf.DUMMYFUNCTION("GOOGLETRANSLATE(B35997,""en"",""de"")"),"Ein Mann hängt Tapete an einer Wand.")</f>
        <v>Ein Mann hängt Tapete an einer Wand.</v>
      </c>
    </row>
    <row r="35998">
      <c r="A35998" s="4" t="s">
        <v>45279</v>
      </c>
      <c r="B35998" s="4" t="s">
        <v>45281</v>
      </c>
      <c r="C35998" s="5" t="str">
        <f>IFERROR(__xludf.DUMMYFUNCTION("GOOGLETRANSLATE(B35998,""en"",""de"")"),"Er schält die klebrige Seite aus dem Hintergrundpapier.")</f>
        <v>Er schält die klebrige Seite aus dem Hintergrundpapier.</v>
      </c>
    </row>
    <row r="35999">
      <c r="A35999" s="4" t="s">
        <v>45279</v>
      </c>
      <c r="B35999" s="4" t="s">
        <v>45282</v>
      </c>
      <c r="C35999" s="5" t="str">
        <f>IFERROR(__xludf.DUMMYFUNCTION("GOOGLETRANSLATE(B35999,""en"",""de"")"),"Er trägt jetzt die klebrige Seite des Papiers auf die Wand.")</f>
        <v>Er trägt jetzt die klebrige Seite des Papiers auf die Wand.</v>
      </c>
    </row>
    <row r="36000">
      <c r="A36000" s="4" t="s">
        <v>45279</v>
      </c>
      <c r="B36000" s="4" t="s">
        <v>45283</v>
      </c>
      <c r="C36000" s="5" t="str">
        <f>IFERROR(__xludf.DUMMYFUNCTION("GOOGLETRANSLATE(B36000,""en"",""de"")"),"Er wiederholt dies noch mehrmals an verschiedenen Teilen der Wand.")</f>
        <v>Er wiederholt dies noch mehrmals an verschiedenen Teilen der Wand.</v>
      </c>
    </row>
    <row r="36001">
      <c r="A36001" s="4" t="s">
        <v>45284</v>
      </c>
      <c r="B36001" s="4" t="s">
        <v>45285</v>
      </c>
      <c r="C36001" s="5" t="str">
        <f>IFERROR(__xludf.DUMMYFUNCTION("GOOGLETRANSLATE(B36001,""en"",""de"")"),"Eine Nachrichtenfrau spricht aus einem Nachrichtenzimmer.")</f>
        <v>Eine Nachrichtenfrau spricht aus einem Nachrichtenzimmer.</v>
      </c>
    </row>
    <row r="36002">
      <c r="A36002" s="4" t="s">
        <v>45284</v>
      </c>
      <c r="B36002" s="4" t="s">
        <v>45286</v>
      </c>
      <c r="C36002" s="5" t="str">
        <f>IFERROR(__xludf.DUMMYFUNCTION("GOOGLETRANSLATE(B36002,""en"",""de"")"),"Dann sehen wir Breaking News -Videos auf dem Bildschirm.")</f>
        <v>Dann sehen wir Breaking News -Videos auf dem Bildschirm.</v>
      </c>
    </row>
    <row r="36003">
      <c r="A36003" s="4" t="s">
        <v>45284</v>
      </c>
      <c r="B36003" s="4" t="s">
        <v>45287</v>
      </c>
      <c r="C36003" s="5" t="str">
        <f>IFERROR(__xludf.DUMMYFUNCTION("GOOGLETRANSLATE(B36003,""en"",""de"")"),"Es wird gezeigt, dass eine Frau eine Art Flüssigkeit auf einem Wagen trinkt, und die Frauen trinken abwechselnd die Flüssigkeit.")</f>
        <v>Es wird gezeigt, dass eine Frau eine Art Flüssigkeit auf einem Wagen trinkt, und die Frauen trinken abwechselnd die Flüssigkeit.</v>
      </c>
    </row>
    <row r="36004">
      <c r="A36004" s="4" t="s">
        <v>45288</v>
      </c>
      <c r="B36004" s="4" t="s">
        <v>45289</v>
      </c>
      <c r="C36004" s="5" t="str">
        <f>IFERROR(__xludf.DUMMYFUNCTION("GOOGLETRANSLATE(B36004,""en"",""de"")"),"Ein Mann und eine Frau, die schwarz und roter steht, stehen mitten in einem Raum, umgeben von einer sehr großen Anzahl von Menschen, die sie sitzen und sie beobachten.")</f>
        <v>Ein Mann und eine Frau, die schwarz und roter steht, stehen mitten in einem Raum, umgeben von einer sehr großen Anzahl von Menschen, die sie sitzen und sie beobachten.</v>
      </c>
    </row>
    <row r="36005">
      <c r="A36005" s="4" t="s">
        <v>45288</v>
      </c>
      <c r="B36005" s="4" t="s">
        <v>45290</v>
      </c>
      <c r="C36005" s="5" t="str">
        <f>IFERROR(__xludf.DUMMYFUNCTION("GOOGLETRANSLATE(B36005,""en"",""de"")"),"Sie tanzen und tanzen sehr gut zusammen.")</f>
        <v>Sie tanzen und tanzen sehr gut zusammen.</v>
      </c>
    </row>
    <row r="36006">
      <c r="A36006" s="4" t="s">
        <v>45288</v>
      </c>
      <c r="B36006" s="4" t="s">
        <v>45291</v>
      </c>
      <c r="C36006" s="5" t="str">
        <f>IFERROR(__xludf.DUMMYFUNCTION("GOOGLETRANSLATE(B36006,""en"",""de"")"),"Sie drehen und drehen sich und machen sogar alle möglichen schönen Bewegungen zusammen.")</f>
        <v>Sie drehen und drehen sich und machen sogar alle möglichen schönen Bewegungen zusammen.</v>
      </c>
    </row>
    <row r="36007">
      <c r="A36007" s="4" t="s">
        <v>45288</v>
      </c>
      <c r="B36007" s="4" t="s">
        <v>45292</v>
      </c>
      <c r="C36007" s="5" t="str">
        <f>IFERROR(__xludf.DUMMYFUNCTION("GOOGLETRANSLATE(B36007,""en"",""de"")"),"Der Mann beugt sich und schwingt die Frau über den Rücken, wo sie umdreht und den Tanz endet.")</f>
        <v>Der Mann beugt sich und schwingt die Frau über den Rücken, wo sie umdreht und den Tanz endet.</v>
      </c>
    </row>
    <row r="36008">
      <c r="A36008" s="4" t="s">
        <v>45293</v>
      </c>
      <c r="B36008" s="4" t="s">
        <v>45294</v>
      </c>
      <c r="C36008" s="5" t="str">
        <f>IFERROR(__xludf.DUMMYFUNCTION("GOOGLETRANSLATE(B36008,""en"",""de"")"),"Ein Mädchen sitzt mit der Kamera.")</f>
        <v>Ein Mädchen sitzt mit der Kamera.</v>
      </c>
    </row>
    <row r="36009">
      <c r="A36009" s="4" t="s">
        <v>45293</v>
      </c>
      <c r="B36009" s="4" t="s">
        <v>45295</v>
      </c>
      <c r="C36009" s="5" t="str">
        <f>IFERROR(__xludf.DUMMYFUNCTION("GOOGLETRANSLATE(B36009,""en"",""de"")"),"Das Mädchen zeigt die Kamera auf den Boden.")</f>
        <v>Das Mädchen zeigt die Kamera auf den Boden.</v>
      </c>
    </row>
    <row r="36010">
      <c r="A36010" s="4" t="s">
        <v>45293</v>
      </c>
      <c r="B36010" s="4" t="s">
        <v>45296</v>
      </c>
      <c r="C36010" s="5" t="str">
        <f>IFERROR(__xludf.DUMMYFUNCTION("GOOGLETRANSLATE(B36010,""en"",""de"")"),"Eine halbe Maniküre Hand eines anderen Mädchens ist auf dem Boden zu sehen.")</f>
        <v>Eine halbe Maniküre Hand eines anderen Mädchens ist auf dem Boden zu sehen.</v>
      </c>
    </row>
    <row r="36011">
      <c r="A36011" s="4" t="s">
        <v>45293</v>
      </c>
      <c r="B36011" s="4" t="s">
        <v>45297</v>
      </c>
      <c r="C36011" s="5" t="str">
        <f>IFERROR(__xludf.DUMMYFUNCTION("GOOGLETRANSLATE(B36011,""en"",""de"")"),"Das erste Mädchen poliert die Fingernägel des zweiten Mädchens.")</f>
        <v>Das erste Mädchen poliert die Fingernägel des zweiten Mädchens.</v>
      </c>
    </row>
    <row r="36012">
      <c r="A36012" s="4" t="s">
        <v>45298</v>
      </c>
      <c r="B36012" s="4" t="s">
        <v>45299</v>
      </c>
      <c r="C36012" s="5" t="str">
        <f>IFERROR(__xludf.DUMMYFUNCTION("GOOGLETRANSLATE(B36012,""en"",""de"")"),"Eine Cheerleaderin spielt gnädig mit einer Stange, die sich in der rechten Hand dreht.")</f>
        <v>Eine Cheerleaderin spielt gnädig mit einer Stange, die sich in der rechten Hand dreht.</v>
      </c>
    </row>
    <row r="36013">
      <c r="A36013" s="4" t="s">
        <v>45298</v>
      </c>
      <c r="B36013" s="4" t="s">
        <v>45300</v>
      </c>
      <c r="C36013" s="5" t="str">
        <f>IFERROR(__xludf.DUMMYFUNCTION("GOOGLETRANSLATE(B36013,""en"",""de"")"),"Dann nimmt sie eine andere Stange, um aufzutreten und dreht gleichzeitig die Stangen.")</f>
        <v>Dann nimmt sie eine andere Stange, um aufzutreten und dreht gleichzeitig die Stangen.</v>
      </c>
    </row>
    <row r="36014">
      <c r="A36014" s="4" t="s">
        <v>45298</v>
      </c>
      <c r="B36014" s="4" t="s">
        <v>45301</v>
      </c>
      <c r="C36014" s="5" t="str">
        <f>IFERROR(__xludf.DUMMYFUNCTION("GOOGLETRANSLATE(B36014,""en"",""de"")"),"Danach legte der Cheerleader eine Stange auf den Boden und tritt weiter mit einer Stange auf.")</f>
        <v>Danach legte der Cheerleader eine Stange auf den Boden und tritt weiter mit einer Stange auf.</v>
      </c>
    </row>
    <row r="36015">
      <c r="A36015" s="4" t="s">
        <v>45302</v>
      </c>
      <c r="B36015" s="4" t="s">
        <v>45303</v>
      </c>
      <c r="C36015" s="5" t="str">
        <f>IFERROR(__xludf.DUMMYFUNCTION("GOOGLETRANSLATE(B36015,""en"",""de"")"),"Eine Klasse von Kindern befindet sich in der Schule in Uniformen mit ihrem Lehrer, der neben ihnen steht.")</f>
        <v>Eine Klasse von Kindern befindet sich in der Schule in Uniformen mit ihrem Lehrer, der neben ihnen steht.</v>
      </c>
    </row>
    <row r="36016">
      <c r="A36016" s="4" t="s">
        <v>45302</v>
      </c>
      <c r="B36016" s="4" t="s">
        <v>45304</v>
      </c>
      <c r="C36016" s="5" t="str">
        <f>IFERROR(__xludf.DUMMYFUNCTION("GOOGLETRANSLATE(B36016,""en"",""de"")"),"Da sie in der Schlange stehen, befindet sich ein Mädchen in der Mitte eines Hop -Scotch -Spiels, dreht sich um, beendet sich und steigt wieder in die Schlange.")</f>
        <v>Da sie in der Schlange stehen, befindet sich ein Mädchen in der Mitte eines Hop -Scotch -Spiels, dreht sich um, beendet sich und steigt wieder in die Schlange.</v>
      </c>
    </row>
    <row r="36017">
      <c r="A36017" s="4" t="s">
        <v>45302</v>
      </c>
      <c r="B36017" s="4" t="s">
        <v>45305</v>
      </c>
      <c r="C36017" s="5" t="str">
        <f>IFERROR(__xludf.DUMMYFUNCTION("GOOGLETRANSLATE(B36017,""en"",""de"")"),"Sobald sie beendet ist, nimmt alle anderen Kinder die Runde nacheinander an.")</f>
        <v>Sobald sie beendet ist, nimmt alle anderen Kinder die Runde nacheinander an.</v>
      </c>
    </row>
    <row r="36018">
      <c r="A36018" s="4" t="s">
        <v>45306</v>
      </c>
      <c r="B36018" s="4" t="s">
        <v>45307</v>
      </c>
      <c r="C36018" s="5" t="str">
        <f>IFERROR(__xludf.DUMMYFUNCTION("GOOGLETRANSLATE(B36018,""en"",""de"")"),"Ein asiatischer Mann, der eine Brille trägt, ein grünes Hemd mit gelben Streifen setzt sich in einem Raum zusammen.")</f>
        <v>Ein asiatischer Mann, der eine Brille trägt, ein grünes Hemd mit gelben Streifen setzt sich in einem Raum zusammen.</v>
      </c>
    </row>
    <row r="36019">
      <c r="A36019" s="4" t="s">
        <v>45306</v>
      </c>
      <c r="B36019" s="4" t="s">
        <v>45308</v>
      </c>
      <c r="C36019" s="5" t="str">
        <f>IFERROR(__xludf.DUMMYFUNCTION("GOOGLETRANSLATE(B36019,""en"",""de"")"),"Immer noch gedrehte Bilder eines Buches erscheinen, und der Mann scheint wieder zu sprechen, und dann wird mehr schwarzer Text auf einem weißen Bildschirm angezeigt.")</f>
        <v>Immer noch gedrehte Bilder eines Buches erscheinen, und der Mann scheint wieder zu sprechen, und dann wird mehr schwarzer Text auf einem weißen Bildschirm angezeigt.</v>
      </c>
    </row>
    <row r="36020">
      <c r="A36020" s="4" t="s">
        <v>45306</v>
      </c>
      <c r="B36020" s="4" t="s">
        <v>45309</v>
      </c>
      <c r="C36020" s="5" t="str">
        <f>IFERROR(__xludf.DUMMYFUNCTION("GOOGLETRANSLATE(B36020,""en"",""de"")"),"Der Mann erscheint wieder, aber diesmal ist er im Freien und er hält ein sehr großes Bogenschießen und zeigt das Recht und den falschen Weg, seine Schnur zurückzuziehen.")</f>
        <v>Der Mann erscheint wieder, aber diesmal ist er im Freien und er hält ein sehr großes Bogenschießen und zeigt das Recht und den falschen Weg, seine Schnur zurückzuziehen.</v>
      </c>
    </row>
    <row r="36021">
      <c r="A36021" s="4" t="s">
        <v>45306</v>
      </c>
      <c r="B36021" s="4" t="s">
        <v>45310</v>
      </c>
      <c r="C36021" s="5" t="str">
        <f>IFERROR(__xludf.DUMMYFUNCTION("GOOGLETRANSLATE(B36021,""en"",""de"")"),"Der Mann bewegt dann eine Pflanze und steht so, dass er zwischen zwei von ihnen am Boden steht und beginnt, sein Bogenschießen zu halten, und zeigt verschiedene Wege, um sie zu halten.")</f>
        <v>Der Mann bewegt dann eine Pflanze und steht so, dass er zwischen zwei von ihnen am Boden steht und beginnt, sein Bogenschießen zu halten, und zeigt verschiedene Wege, um sie zu halten.</v>
      </c>
    </row>
    <row r="36022">
      <c r="A36022" s="4" t="s">
        <v>45306</v>
      </c>
      <c r="B36022" s="4" t="s">
        <v>45311</v>
      </c>
      <c r="C36022" s="5" t="str">
        <f>IFERROR(__xludf.DUMMYFUNCTION("GOOGLETRANSLATE(B36022,""en"",""de"")"),"Der Mann erscheint wieder drinnen zurück und setzt sich hin und redet.")</f>
        <v>Der Mann erscheint wieder drinnen zurück und setzt sich hin und redet.</v>
      </c>
    </row>
    <row r="36023">
      <c r="A36023" s="4" t="s">
        <v>45312</v>
      </c>
      <c r="B36023" s="4" t="s">
        <v>45313</v>
      </c>
      <c r="C36023" s="5" t="str">
        <f>IFERROR(__xludf.DUMMYFUNCTION("GOOGLETRANSLATE(B36023,""en"",""de"")"),"Ein junger Mann schaut in die Kamera, die eine Zahnbürste hält.")</f>
        <v>Ein junger Mann schaut in die Kamera, die eine Zahnbürste hält.</v>
      </c>
    </row>
    <row r="36024">
      <c r="A36024" s="4" t="s">
        <v>45312</v>
      </c>
      <c r="B36024" s="4" t="s">
        <v>45314</v>
      </c>
      <c r="C36024" s="5" t="str">
        <f>IFERROR(__xludf.DUMMYFUNCTION("GOOGLETRANSLATE(B36024,""en"",""de"")"),"Der Mann beginnt dann, seine Zähne in mehreren Schüssen zu putzen.")</f>
        <v>Der Mann beginnt dann, seine Zähne in mehreren Schüssen zu putzen.</v>
      </c>
    </row>
    <row r="36025">
      <c r="A36025" s="4" t="s">
        <v>45312</v>
      </c>
      <c r="B36025" s="4" t="s">
        <v>45315</v>
      </c>
      <c r="C36025" s="5" t="str">
        <f>IFERROR(__xludf.DUMMYFUNCTION("GOOGLETRANSLATE(B36025,""en"",""de"")"),"Er putzt weiter seine Zähne und zeigt am Ende seinen Mund.")</f>
        <v>Er putzt weiter seine Zähne und zeigt am Ende seinen Mund.</v>
      </c>
    </row>
    <row r="36026">
      <c r="A36026" s="4" t="s">
        <v>45316</v>
      </c>
      <c r="B36026" s="4" t="s">
        <v>45317</v>
      </c>
      <c r="C36026" s="5" t="str">
        <f>IFERROR(__xludf.DUMMYFUNCTION("GOOGLETRANSLATE(B36026,""en"",""de"")"),"Ein Athlet steht gespannt auf seinen Zug, während sich die Richter auf seine Routine vorbereiten.")</f>
        <v>Ein Athlet steht gespannt auf seinen Zug, während sich die Richter auf seine Routine vorbereiten.</v>
      </c>
    </row>
    <row r="36027">
      <c r="A36027" s="4" t="s">
        <v>45316</v>
      </c>
      <c r="B36027" s="4" t="s">
        <v>45318</v>
      </c>
      <c r="C36027" s="5" t="str">
        <f>IFERROR(__xludf.DUMMYFUNCTION("GOOGLETRANSLATE(B36027,""en"",""de"")"),"Ein ausländischer Kommentator kommentiert seine Routine, während er sich durch die Luft dreht.")</f>
        <v>Ein ausländischer Kommentator kommentiert seine Routine, während er sich durch die Luft dreht.</v>
      </c>
    </row>
    <row r="36028">
      <c r="A36028" s="4" t="s">
        <v>45316</v>
      </c>
      <c r="B36028" s="4" t="s">
        <v>45319</v>
      </c>
      <c r="C36028" s="5" t="str">
        <f>IFERROR(__xludf.DUMMYFUNCTION("GOOGLETRANSLATE(B36028,""en"",""de"")"),"Der Mann wirbeln weiter und dreht die Bars für seine Gymnastik, während die Zuschauer laut anfeuern.")</f>
        <v>Der Mann wirbeln weiter und dreht die Bars für seine Gymnastik, während die Zuschauer laut anfeuern.</v>
      </c>
    </row>
    <row r="36029">
      <c r="A36029" s="4" t="s">
        <v>45316</v>
      </c>
      <c r="B36029" s="4" t="s">
        <v>45320</v>
      </c>
      <c r="C36029" s="5" t="str">
        <f>IFERROR(__xludf.DUMMYFUNCTION("GOOGLETRANSLATE(B36029,""en"",""de"")"),"Das Video verlangsamt sich und zeigt die Höhepunkte der Routine in Zeitlupe.")</f>
        <v>Das Video verlangsamt sich und zeigt die Höhepunkte der Routine in Zeitlupe.</v>
      </c>
    </row>
    <row r="36030">
      <c r="A36030" s="4" t="s">
        <v>45316</v>
      </c>
      <c r="B36030" s="4" t="s">
        <v>45321</v>
      </c>
      <c r="C36030" s="5" t="str">
        <f>IFERROR(__xludf.DUMMYFUNCTION("GOOGLETRANSLATE(B36030,""en"",""de"")"),"Der Athlet ruht auf der Couch, während die Richter ihre Kritik beenden.")</f>
        <v>Der Athlet ruht auf der Couch, während die Richter ihre Kritik beenden.</v>
      </c>
    </row>
    <row r="36031">
      <c r="A36031" s="4" t="s">
        <v>45316</v>
      </c>
      <c r="B36031" s="4" t="s">
        <v>45322</v>
      </c>
      <c r="C36031" s="5" t="str">
        <f>IFERROR(__xludf.DUMMYFUNCTION("GOOGLETRANSLATE(B36031,""en"",""de"")"),"Schließlich hört der Mann seine Punktzahl und lächelt angenehm.")</f>
        <v>Schließlich hört der Mann seine Punktzahl und lächelt angenehm.</v>
      </c>
    </row>
    <row r="36032">
      <c r="A36032" s="4" t="s">
        <v>45323</v>
      </c>
      <c r="B36032" s="4" t="s">
        <v>45324</v>
      </c>
      <c r="C36032" s="5" t="str">
        <f>IFERROR(__xludf.DUMMYFUNCTION("GOOGLETRANSLATE(B36032,""en"",""de"")"),"Ein junges Mädchen sitzt vor der Kamera mit mehreren Objekten, die vor ihrem Gesicht gehalten werden.")</f>
        <v>Ein junges Mädchen sitzt vor der Kamera mit mehreren Objekten, die vor ihrem Gesicht gehalten werden.</v>
      </c>
    </row>
    <row r="36033">
      <c r="A36033" s="4" t="s">
        <v>45323</v>
      </c>
      <c r="B36033" s="4" t="s">
        <v>45325</v>
      </c>
      <c r="C36033" s="5" t="str">
        <f>IFERROR(__xludf.DUMMYFUNCTION("GOOGLETRANSLATE(B36033,""en"",""de"")"),"Zwei Hand zieht eine Röhre neben sie und die Frau steckt dann die Röhren in die Haare des Mädchens.")</f>
        <v>Zwei Hand zieht eine Röhre neben sie und die Frau steckt dann die Röhren in die Haare des Mädchens.</v>
      </c>
    </row>
    <row r="36034">
      <c r="A36034" s="4" t="s">
        <v>45323</v>
      </c>
      <c r="B36034" s="4" t="s">
        <v>45326</v>
      </c>
      <c r="C36034" s="5" t="str">
        <f>IFERROR(__xludf.DUMMYFUNCTION("GOOGLETRANSLATE(B36034,""en"",""de"")"),"Am Ende nimmt die Frau die Röhren heraus und das Mädchen schaut weiter in die Kamera.")</f>
        <v>Am Ende nimmt die Frau die Röhren heraus und das Mädchen schaut weiter in die Kamera.</v>
      </c>
    </row>
    <row r="36035">
      <c r="A36035" s="4" t="s">
        <v>45327</v>
      </c>
      <c r="B36035" s="4" t="s">
        <v>45328</v>
      </c>
      <c r="C36035" s="5" t="str">
        <f>IFERROR(__xludf.DUMMYFUNCTION("GOOGLETRANSLATE(B36035,""en"",""de"")"),"Ein Mädchen beginnt, die Affenbars zu besteigen.")</f>
        <v>Ein Mädchen beginnt, die Affenbars zu besteigen.</v>
      </c>
    </row>
    <row r="36036">
      <c r="A36036" s="4" t="s">
        <v>45327</v>
      </c>
      <c r="B36036" s="4" t="s">
        <v>45329</v>
      </c>
      <c r="C36036" s="5" t="str">
        <f>IFERROR(__xludf.DUMMYFUNCTION("GOOGLETRANSLATE(B36036,""en"",""de"")"),"Sie fängt an, bis zum Ende vorwärts zu klettern.")</f>
        <v>Sie fängt an, bis zum Ende vorwärts zu klettern.</v>
      </c>
    </row>
    <row r="36037">
      <c r="A36037" s="4" t="s">
        <v>45327</v>
      </c>
      <c r="B36037" s="4" t="s">
        <v>45330</v>
      </c>
      <c r="C36037" s="5" t="str">
        <f>IFERROR(__xludf.DUMMYFUNCTION("GOOGLETRANSLATE(B36037,""en"",""de"")"),"Sie hat Schwierigkeiten in der Mitte der Bars.")</f>
        <v>Sie hat Schwierigkeiten in der Mitte der Bars.</v>
      </c>
    </row>
    <row r="36038">
      <c r="A36038" s="4" t="s">
        <v>45327</v>
      </c>
      <c r="B36038" s="4" t="s">
        <v>45331</v>
      </c>
      <c r="C36038" s="5" t="str">
        <f>IFERROR(__xludf.DUMMYFUNCTION("GOOGLETRANSLATE(B36038,""en"",""de"")"),"Eine Frau scheint zu helfen.")</f>
        <v>Eine Frau scheint zu helfen.</v>
      </c>
    </row>
    <row r="36039">
      <c r="A36039" s="4" t="s">
        <v>45327</v>
      </c>
      <c r="B36039" s="4" t="s">
        <v>45332</v>
      </c>
      <c r="C36039" s="5" t="str">
        <f>IFERROR(__xludf.DUMMYFUNCTION("GOOGLETRANSLATE(B36039,""en"",""de"")"),"Sie beendet den Aufstieg sehr glücklich.")</f>
        <v>Sie beendet den Aufstieg sehr glücklich.</v>
      </c>
    </row>
    <row r="36040">
      <c r="A36040" s="4" t="s">
        <v>45333</v>
      </c>
      <c r="B36040" s="4" t="s">
        <v>45334</v>
      </c>
      <c r="C36040" s="5" t="str">
        <f>IFERROR(__xludf.DUMMYFUNCTION("GOOGLETRANSLATE(B36040,""en"",""de"")"),"Eine Person filmt ein Haus und einen Hund, der in den Rahmen geht.")</f>
        <v>Eine Person filmt ein Haus und einen Hund, der in den Rahmen geht.</v>
      </c>
    </row>
    <row r="36041">
      <c r="A36041" s="4" t="s">
        <v>45333</v>
      </c>
      <c r="B36041" s="4" t="s">
        <v>45335</v>
      </c>
      <c r="C36041" s="5" t="str">
        <f>IFERROR(__xludf.DUMMYFUNCTION("GOOGLETRANSLATE(B36041,""en"",""de"")"),"Ein kleines Mädchen wäscht den Boden mit einem Mopp und spricht mit dem Kameramann.")</f>
        <v>Ein kleines Mädchen wäscht den Boden mit einem Mopp und spricht mit dem Kameramann.</v>
      </c>
    </row>
    <row r="36042">
      <c r="A36042" s="4" t="s">
        <v>45333</v>
      </c>
      <c r="B36042" s="4" t="s">
        <v>45336</v>
      </c>
      <c r="C36042" s="5" t="str">
        <f>IFERROR(__xludf.DUMMYFUNCTION("GOOGLETRANSLATE(B36042,""en"",""de"")"),"Der Kameramann spricht mit dem Mädchen über die Reinigung und warum sie es mag.")</f>
        <v>Der Kameramann spricht mit dem Mädchen über die Reinigung und warum sie es mag.</v>
      </c>
    </row>
    <row r="36043">
      <c r="A36043" s="4" t="s">
        <v>45333</v>
      </c>
      <c r="B36043" s="4" t="s">
        <v>45337</v>
      </c>
      <c r="C36043" s="5" t="str">
        <f>IFERROR(__xludf.DUMMYFUNCTION("GOOGLETRANSLATE(B36043,""en"",""de"")"),"Das Mädchen beendet den Boden.")</f>
        <v>Das Mädchen beendet den Boden.</v>
      </c>
    </row>
    <row r="36044">
      <c r="A36044" s="4" t="s">
        <v>45338</v>
      </c>
      <c r="B36044" s="4" t="s">
        <v>45339</v>
      </c>
      <c r="C36044" s="5" t="str">
        <f>IFERROR(__xludf.DUMMYFUNCTION("GOOGLETRANSLATE(B36044,""en"",""de"")"),"Eine Einführung kommt auf den Bildschirm für ein Video über einen Sprungseilwettbewerb.")</f>
        <v>Eine Einführung kommt auf den Bildschirm für ein Video über einen Sprungseilwettbewerb.</v>
      </c>
    </row>
    <row r="36045">
      <c r="A36045" s="4" t="s">
        <v>45338</v>
      </c>
      <c r="B36045" s="4" t="s">
        <v>45340</v>
      </c>
      <c r="C36045" s="5" t="str">
        <f>IFERROR(__xludf.DUMMYFUNCTION("GOOGLETRANSLATE(B36045,""en"",""de"")"),"Es wird gezeigt, dass eine Person eine Reihe von Sprungseiltricks macht.")</f>
        <v>Es wird gezeigt, dass eine Person eine Reihe von Sprungseiltricks macht.</v>
      </c>
    </row>
    <row r="36046">
      <c r="A36046" s="4" t="s">
        <v>45338</v>
      </c>
      <c r="B36046" s="4" t="s">
        <v>45341</v>
      </c>
      <c r="C36046" s="5" t="str">
        <f>IFERROR(__xludf.DUMMYFUNCTION("GOOGLETRANSLATE(B36046,""en"",""de"")"),"Zwei Personen werden dann gezeigt, die mehr Sprungseiltricks machen.")</f>
        <v>Zwei Personen werden dann gezeigt, die mehr Sprungseiltricks machen.</v>
      </c>
    </row>
    <row r="36047">
      <c r="A36047" s="4" t="s">
        <v>45338</v>
      </c>
      <c r="B36047" s="4" t="s">
        <v>45342</v>
      </c>
      <c r="C36047" s="5" t="str">
        <f>IFERROR(__xludf.DUMMYFUNCTION("GOOGLETRANSLATE(B36047,""en"",""de"")"),"Als nächstes werden vier Personen gezeigt, die Sprungseiltricks im Gymnasium machen.")</f>
        <v>Als nächstes werden vier Personen gezeigt, die Sprungseiltricks im Gymnasium machen.</v>
      </c>
    </row>
    <row r="36048">
      <c r="A36048" s="4" t="s">
        <v>45338</v>
      </c>
      <c r="B36048" s="4" t="s">
        <v>45343</v>
      </c>
      <c r="C36048" s="5" t="str">
        <f>IFERROR(__xludf.DUMMYFUNCTION("GOOGLETRANSLATE(B36048,""en"",""de"")"),"Als nächstes wird eine Vielzahl von Tricks von mehreren verschiedenen Personen auf dem Boden im Gymnasium gezeigt.")</f>
        <v>Als nächstes wird eine Vielzahl von Tricks von mehreren verschiedenen Personen auf dem Boden im Gymnasium gezeigt.</v>
      </c>
    </row>
    <row r="36049">
      <c r="A36049" s="4" t="s">
        <v>45338</v>
      </c>
      <c r="B36049" s="4" t="s">
        <v>45344</v>
      </c>
      <c r="C36049" s="5" t="str">
        <f>IFERROR(__xludf.DUMMYFUNCTION("GOOGLETRANSLATE(B36049,""en"",""de"")"),"Das Video endet dann mit den Schlusskrediten.")</f>
        <v>Das Video endet dann mit den Schlusskrediten.</v>
      </c>
    </row>
    <row r="36050">
      <c r="A36050" s="4" t="s">
        <v>45345</v>
      </c>
      <c r="B36050" s="4" t="s">
        <v>45346</v>
      </c>
      <c r="C36050" s="5" t="str">
        <f>IFERROR(__xludf.DUMMYFUNCTION("GOOGLETRANSLATE(B36050,""en"",""de"")"),"Wir sehen einen roten Eröffnungsbildschirm.")</f>
        <v>Wir sehen einen roten Eröffnungsbildschirm.</v>
      </c>
    </row>
    <row r="36051">
      <c r="A36051" s="4" t="s">
        <v>45345</v>
      </c>
      <c r="B36051" s="4" t="s">
        <v>45347</v>
      </c>
      <c r="C36051" s="5" t="str">
        <f>IFERROR(__xludf.DUMMYFUNCTION("GOOGLETRANSLATE(B36051,""en"",""de"")"),"Männer Stabhochsprung in einem Feld im Freien.")</f>
        <v>Männer Stabhochsprung in einem Feld im Freien.</v>
      </c>
    </row>
    <row r="36052">
      <c r="A36052" s="4" t="s">
        <v>45345</v>
      </c>
      <c r="B36052" s="4" t="s">
        <v>45348</v>
      </c>
      <c r="C36052" s="5" t="str">
        <f>IFERROR(__xludf.DUMMYFUNCTION("GOOGLETRANSLATE(B36052,""en"",""de"")"),"Das Gesicht eines Mannes links vom Bildschirm bewegt sich zurück und aus dem Schuss heraus.")</f>
        <v>Das Gesicht eines Mannes links vom Bildschirm bewegt sich zurück und aus dem Schuss heraus.</v>
      </c>
    </row>
    <row r="36053">
      <c r="A36053" s="4" t="s">
        <v>45345</v>
      </c>
      <c r="B36053" s="4" t="s">
        <v>45349</v>
      </c>
      <c r="C36053" s="5" t="str">
        <f>IFERROR(__xludf.DUMMYFUNCTION("GOOGLETRANSLATE(B36053,""en"",""de"")"),"Der Kamerawinkel ändert sich und wir beobachten weiterhin das Stabhochsprung des Männer.")</f>
        <v>Der Kamerawinkel ändert sich und wir beobachten weiterhin das Stabhochsprung des Männer.</v>
      </c>
    </row>
    <row r="36054">
      <c r="A36054" s="4" t="s">
        <v>45350</v>
      </c>
      <c r="B36054" s="4" t="s">
        <v>45351</v>
      </c>
      <c r="C36054" s="5" t="str">
        <f>IFERROR(__xludf.DUMMYFUNCTION("GOOGLETRANSLATE(B36054,""en"",""de"")"),"Ein Mann wird gesehen, der eine Menge vorliegt, während er mehrere grüne Frisbees in der Hand hält.")</f>
        <v>Ein Mann wird gesehen, der eine Menge vorliegt, während er mehrere grüne Frisbees in der Hand hält.</v>
      </c>
    </row>
    <row r="36055">
      <c r="A36055" s="4" t="s">
        <v>45350</v>
      </c>
      <c r="B36055" s="4" t="s">
        <v>45352</v>
      </c>
      <c r="C36055" s="5" t="str">
        <f>IFERROR(__xludf.DUMMYFUNCTION("GOOGLETRANSLATE(B36055,""en"",""de"")"),"Nachdem er mit der Menge gesprochen hat, die er ruft, und ein Hund auf der Bühne zu ihm rennt.")</f>
        <v>Nachdem er mit der Menge gesprochen hat, die er ruft, und ein Hund auf der Bühne zu ihm rennt.</v>
      </c>
    </row>
    <row r="36056">
      <c r="A36056" s="4" t="s">
        <v>45350</v>
      </c>
      <c r="B36056" s="4" t="s">
        <v>45353</v>
      </c>
      <c r="C36056" s="5" t="str">
        <f>IFERROR(__xludf.DUMMYFUNCTION("GOOGLETRANSLATE(B36056,""en"",""de"")"),"Zunächst beginnt er mit dem Hund zu spielen und der Hund versuchte immer wieder, die Frisbees zu schnappen, als der Mann die Frisbees auf den Boden wirft und beginnt, mit dem Hund abzurufen.")</f>
        <v>Zunächst beginnt er mit dem Hund zu spielen und der Hund versuchte immer wieder, die Frisbees zu schnappen, als der Mann die Frisbees auf den Boden wirft und beginnt, mit dem Hund abzurufen.</v>
      </c>
    </row>
    <row r="36057">
      <c r="A36057" s="4" t="s">
        <v>45350</v>
      </c>
      <c r="B36057" s="4" t="s">
        <v>45354</v>
      </c>
      <c r="C36057" s="5" t="str">
        <f>IFERROR(__xludf.DUMMYFUNCTION("GOOGLETRANSLATE(B36057,""en"",""de"")"),"Irgendwann springt der Hund von den Mähnen zurück, als er nach Frisbees jagt.")</f>
        <v>Irgendwann springt der Hund von den Mähnen zurück, als er nach Frisbees jagt.</v>
      </c>
    </row>
    <row r="36058">
      <c r="A36058" s="4" t="s">
        <v>45350</v>
      </c>
      <c r="B36058" s="4" t="s">
        <v>45355</v>
      </c>
      <c r="C36058" s="5" t="str">
        <f>IFERROR(__xludf.DUMMYFUNCTION("GOOGLETRANSLATE(B36058,""en"",""de"")"),"Auch an einem anderen Punkt greift der Mann an einem Ende an einem Frisbee und einem Hund am anderen Ende an und er beginnt den Hund herumzudrehen.")</f>
        <v>Auch an einem anderen Punkt greift der Mann an einem Ende an einem Frisbee und einem Hund am anderen Ende an und er beginnt den Hund herumzudrehen.</v>
      </c>
    </row>
    <row r="36059">
      <c r="A36059" s="4" t="s">
        <v>45350</v>
      </c>
      <c r="B36059" s="4" t="s">
        <v>45356</v>
      </c>
      <c r="C36059" s="5" t="str">
        <f>IFERROR(__xludf.DUMMYFUNCTION("GOOGLETRANSLATE(B36059,""en"",""de"")"),"Am Ende führt der Mann einen Trick mit dem Hund durch und bringt ihn dazu, einen Rücken zu machen, packt ihn und nimmt ihn von der Bühne.")</f>
        <v>Am Ende führt der Mann einen Trick mit dem Hund durch und bringt ihn dazu, einen Rücken zu machen, packt ihn und nimmt ihn von der Bühne.</v>
      </c>
    </row>
    <row r="36060">
      <c r="A36060" s="4" t="s">
        <v>45357</v>
      </c>
      <c r="B36060" s="4" t="s">
        <v>45358</v>
      </c>
      <c r="C36060" s="5" t="str">
        <f>IFERROR(__xludf.DUMMYFUNCTION("GOOGLETRANSLATE(B36060,""en"",""de"")"),"Ein Baby sitzt auf einem Hochstuhl.")</f>
        <v>Ein Baby sitzt auf einem Hochstuhl.</v>
      </c>
    </row>
    <row r="36061">
      <c r="A36061" s="4" t="s">
        <v>45357</v>
      </c>
      <c r="B36061" s="4" t="s">
        <v>45359</v>
      </c>
      <c r="C36061" s="5" t="str">
        <f>IFERROR(__xludf.DUMMYFUNCTION("GOOGLETRANSLATE(B36061,""en"",""de"")"),"Ein Eispop geht in ihren Mund und sie kaut einen Bissen daraus.")</f>
        <v>Ein Eispop geht in ihren Mund und sie kaut einen Bissen daraus.</v>
      </c>
    </row>
    <row r="36062">
      <c r="A36062" s="4" t="s">
        <v>45357</v>
      </c>
      <c r="B36062" s="4" t="s">
        <v>45360</v>
      </c>
      <c r="C36062" s="5" t="str">
        <f>IFERROR(__xludf.DUMMYFUNCTION("GOOGLETRANSLATE(B36062,""en"",""de"")"),"Sie streckt ihre Zunge nach jedem Bissen heraus und leckt die Luft.")</f>
        <v>Sie streckt ihre Zunge nach jedem Bissen heraus und leckt die Luft.</v>
      </c>
    </row>
    <row r="36063">
      <c r="A36063" s="4" t="s">
        <v>45361</v>
      </c>
      <c r="B36063" s="4" t="s">
        <v>45362</v>
      </c>
      <c r="C36063" s="5" t="str">
        <f>IFERROR(__xludf.DUMMYFUNCTION("GOOGLETRANSLATE(B36063,""en"",""de"")"),"Ein Mann hält einen gelben Kanister, während er ein Holzbrett räumt.")</f>
        <v>Ein Mann hält einen gelben Kanister, während er ein Holzbrett räumt.</v>
      </c>
    </row>
    <row r="36064">
      <c r="A36064" s="4" t="s">
        <v>45361</v>
      </c>
      <c r="B36064" s="4" t="s">
        <v>45363</v>
      </c>
      <c r="C36064" s="5" t="str">
        <f>IFERROR(__xludf.DUMMYFUNCTION("GOOGLETRANSLATE(B36064,""en"",""de"")"),"Er sprüht das Holz mit dem gelben Kanister.")</f>
        <v>Er sprüht das Holz mit dem gelben Kanister.</v>
      </c>
    </row>
    <row r="36065">
      <c r="A36065" s="4" t="s">
        <v>45361</v>
      </c>
      <c r="B36065" s="4" t="s">
        <v>45364</v>
      </c>
      <c r="C36065" s="5" t="str">
        <f>IFERROR(__xludf.DUMMYFUNCTION("GOOGLETRANSLATE(B36065,""en"",""de"")"),"Er nimmt einen Lappen und reinigt das Holz.")</f>
        <v>Er nimmt einen Lappen und reinigt das Holz.</v>
      </c>
    </row>
    <row r="36066">
      <c r="A36066" s="4" t="s">
        <v>45361</v>
      </c>
      <c r="B36066" s="4" t="s">
        <v>45365</v>
      </c>
      <c r="C36066" s="5" t="str">
        <f>IFERROR(__xludf.DUMMYFUNCTION("GOOGLETRANSLATE(B36066,""en"",""de"")"),"Er spricht, als er das Holz zeigt und seine Finger auf das Brett drückt.")</f>
        <v>Er spricht, als er das Holz zeigt und seine Finger auf das Brett drückt.</v>
      </c>
    </row>
    <row r="36067">
      <c r="A36067" s="4" t="s">
        <v>45366</v>
      </c>
      <c r="B36067" s="4" t="s">
        <v>45367</v>
      </c>
      <c r="C36067" s="5" t="str">
        <f>IFERROR(__xludf.DUMMYFUNCTION("GOOGLETRANSLATE(B36067,""en"",""de"")"),"Das Äußere eines Gebäudes wird gezeigt, einschließlich einer wehenden amerikanischen Flagge in der Nähe der Haustür.")</f>
        <v>Das Äußere eines Gebäudes wird gezeigt, einschließlich einer wehenden amerikanischen Flagge in der Nähe der Haustür.</v>
      </c>
    </row>
    <row r="36068">
      <c r="A36068" s="4" t="s">
        <v>45366</v>
      </c>
      <c r="B36068" s="4" t="s">
        <v>45368</v>
      </c>
      <c r="C36068" s="5" t="str">
        <f>IFERROR(__xludf.DUMMYFUNCTION("GOOGLETRANSLATE(B36068,""en"",""de"")"),"Ein Mann erscheint und spricht über einen Baum in der Nähe der Vorderseite des Gebäudes.")</f>
        <v>Ein Mann erscheint und spricht über einen Baum in der Nähe der Vorderseite des Gebäudes.</v>
      </c>
    </row>
    <row r="36069">
      <c r="A36069" s="4" t="s">
        <v>45366</v>
      </c>
      <c r="B36069" s="4" t="s">
        <v>45369</v>
      </c>
      <c r="C36069" s="5" t="str">
        <f>IFERROR(__xludf.DUMMYFUNCTION("GOOGLETRANSLATE(B36069,""en"",""de"")"),"Anschließend zeigt er, wie man den Baum schneidet, Äste auf Augenhöhe abnimmt und ein Werkzeug für größere Zweige verwendet.")</f>
        <v>Anschließend zeigt er, wie man den Baum schneidet, Äste auf Augenhöhe abnimmt und ein Werkzeug für größere Zweige verwendet.</v>
      </c>
    </row>
    <row r="36070">
      <c r="A36070" s="4" t="s">
        <v>45366</v>
      </c>
      <c r="B36070" s="4" t="s">
        <v>45370</v>
      </c>
      <c r="C36070" s="5" t="str">
        <f>IFERROR(__xludf.DUMMYFUNCTION("GOOGLETRANSLATE(B36070,""en"",""de"")"),"Der Firmenhut wird dann auf dem Schritt angezeigt, umgeben von Blättern.")</f>
        <v>Der Firmenhut wird dann auf dem Schritt angezeigt, umgeben von Blättern.</v>
      </c>
    </row>
    <row r="36071">
      <c r="A36071" s="4" t="s">
        <v>45371</v>
      </c>
      <c r="B36071" s="4" t="s">
        <v>45372</v>
      </c>
      <c r="C36071" s="5" t="str">
        <f>IFERROR(__xludf.DUMMYFUNCTION("GOOGLETRANSLATE(B36071,""en"",""de"")"),"Im Zentrum von Sandy Field kämpfen die Kühe in der Mitte, während das Publikum an den Seiten zuschaut und auf dem Boden sitzt.")</f>
        <v>Im Zentrum von Sandy Field kämpfen die Kühe in der Mitte, während das Publikum an den Seiten zuschaut und auf dem Boden sitzt.</v>
      </c>
    </row>
    <row r="36072">
      <c r="A36072" s="4" t="s">
        <v>45371</v>
      </c>
      <c r="B36072" s="4" t="s">
        <v>45373</v>
      </c>
      <c r="C36072" s="5" t="str">
        <f>IFERROR(__xludf.DUMMYFUNCTION("GOOGLETRANSLATE(B36072,""en"",""de"")"),"Drei Männer beaufsichtigen den Stierkampf, der Stier schiebt sich mit ihren Hörnern.")</f>
        <v>Drei Männer beaufsichtigen den Stierkampf, der Stier schiebt sich mit ihren Hörnern.</v>
      </c>
    </row>
    <row r="36073">
      <c r="A36073" s="4" t="s">
        <v>45371</v>
      </c>
      <c r="B36073" s="4" t="s">
        <v>45374</v>
      </c>
      <c r="C36073" s="5" t="str">
        <f>IFERROR(__xludf.DUMMYFUNCTION("GOOGLETRANSLATE(B36073,""en"",""de"")"),"Ein Mann stieg von seinem Lastwagen aus, der andere Mann zog den Stier von seinem Lastwagen, der Stier ist an einer Stange gebunden.")</f>
        <v>Ein Mann stieg von seinem Lastwagen aus, der andere Mann zog den Stier von seinem Lastwagen, der Stier ist an einer Stange gebunden.</v>
      </c>
    </row>
    <row r="36074">
      <c r="A36074" s="4" t="s">
        <v>45371</v>
      </c>
      <c r="B36074" s="4" t="s">
        <v>45375</v>
      </c>
      <c r="C36074" s="5" t="str">
        <f>IFERROR(__xludf.DUMMYFUNCTION("GOOGLETRANSLATE(B36074,""en"",""de"")"),"Zwei Männer halten jedes Ende des Seils, als der schwarze Bulle auf dem Boden stolpte.")</f>
        <v>Zwei Männer halten jedes Ende des Seils, als der schwarze Bulle auf dem Boden stolpte.</v>
      </c>
    </row>
    <row r="36075">
      <c r="A36075" s="4" t="s">
        <v>45371</v>
      </c>
      <c r="B36075" s="4" t="s">
        <v>45376</v>
      </c>
      <c r="C36075" s="5" t="str">
        <f>IFERROR(__xludf.DUMMYFUNCTION("GOOGLETRANSLATE(B36075,""en"",""de"")"),"Die Bullen kämpfen in der Mitte des Feldes, und die Leute beobachten, ein Bulle rannte auf das Publikum zu.")</f>
        <v>Die Bullen kämpfen in der Mitte des Feldes, und die Leute beobachten, ein Bulle rannte auf das Publikum zu.</v>
      </c>
    </row>
    <row r="36076">
      <c r="A36076" s="4" t="s">
        <v>45377</v>
      </c>
      <c r="B36076" s="4" t="s">
        <v>45378</v>
      </c>
      <c r="C36076" s="5" t="str">
        <f>IFERROR(__xludf.DUMMYFUNCTION("GOOGLETRANSLATE(B36076,""en"",""de"")"),"Ein Blick auf einen breiten Ozean aus einem Boot erscheint, und verschiedene Männer werden auf dem Boot sowohl auf der Innenseite als auch auf der Außenseite unterschiedliche Dinge tun und das Lenkrad mit dem Lenkrad oder beim Sitzen auf Computern, die Di"&amp;"nge überwachen.")</f>
        <v>Ein Blick auf einen breiten Ozean aus einem Boot erscheint, und verschiedene Männer werden auf dem Boot sowohl auf der Innenseite als auch auf der Außenseite unterschiedliche Dinge tun und das Lenkrad mit dem Lenkrad oder beim Sitzen auf Computern, die Dinge überwachen.</v>
      </c>
    </row>
    <row r="36077">
      <c r="A36077" s="4" t="s">
        <v>45377</v>
      </c>
      <c r="B36077" s="4" t="s">
        <v>45379</v>
      </c>
      <c r="C36077" s="5" t="str">
        <f>IFERROR(__xludf.DUMMYFUNCTION("GOOGLETRANSLATE(B36077,""en"",""de"")"),"Ein Mann, der auf dem Deck des Bootes sitzt, spricht mit der Kamera, während ein Mann hinter ihm steht und der Mann neben dem stehenden Mann das Lenkrad des Bootes kontrolliert.")</f>
        <v>Ein Mann, der auf dem Deck des Bootes sitzt, spricht mit der Kamera, während ein Mann hinter ihm steht und der Mann neben dem stehenden Mann das Lenkrad des Bootes kontrolliert.</v>
      </c>
    </row>
    <row r="36078">
      <c r="A36078" s="4" t="s">
        <v>45377</v>
      </c>
      <c r="B36078" s="4" t="s">
        <v>45380</v>
      </c>
      <c r="C36078" s="5" t="str">
        <f>IFERROR(__xludf.DUMMYFUNCTION("GOOGLETRANSLATE(B36078,""en"",""de"")"),"Der Fokus ändert sich für einen anderen Mann auf dem Boot und er spricht auch mit der Kamera.")</f>
        <v>Der Fokus ändert sich für einen anderen Mann auf dem Boot und er spricht auch mit der Kamera.</v>
      </c>
    </row>
    <row r="36079">
      <c r="A36079" s="4" t="s">
        <v>45381</v>
      </c>
      <c r="B36079" s="4" t="s">
        <v>45382</v>
      </c>
      <c r="C36079" s="5" t="str">
        <f>IFERROR(__xludf.DUMMYFUNCTION("GOOGLETRANSLATE(B36079,""en"",""de"")"),"Eine asiatische Frau steht draußen in einem großen Feld und trägt ein rosa lockeres Leinen wie Outfit.")</f>
        <v>Eine asiatische Frau steht draußen in einem großen Feld und trägt ein rosa lockeres Leinen wie Outfit.</v>
      </c>
    </row>
    <row r="36080">
      <c r="A36080" s="4" t="s">
        <v>45381</v>
      </c>
      <c r="B36080" s="4" t="s">
        <v>45383</v>
      </c>
      <c r="C36080" s="5" t="str">
        <f>IFERROR(__xludf.DUMMYFUNCTION("GOOGLETRANSLATE(B36080,""en"",""de"")"),"Sie legt dann ihre Beine und verteilt sich und beginnt sich wie ein Ninja im Feld zu bewegen.")</f>
        <v>Sie legt dann ihre Beine und verteilt sich und beginnt sich wie ein Ninja im Feld zu bewegen.</v>
      </c>
    </row>
    <row r="36081">
      <c r="A36081" s="4" t="s">
        <v>45381</v>
      </c>
      <c r="B36081" s="4" t="s">
        <v>45384</v>
      </c>
      <c r="C36081" s="5" t="str">
        <f>IFERROR(__xludf.DUMMYFUNCTION("GOOGLETRANSLATE(B36081,""en"",""de"")"),"Nachdem sie nach links und rechts über das Feld gezogen ist, kommt sie dann in die Mitte des Feldes zurück und steht noch, um ihre Routine zu vervollständigen.")</f>
        <v>Nachdem sie nach links und rechts über das Feld gezogen ist, kommt sie dann in die Mitte des Feldes zurück und steht noch, um ihre Routine zu vervollständigen.</v>
      </c>
    </row>
    <row r="36082">
      <c r="A36082" s="4" t="s">
        <v>45385</v>
      </c>
      <c r="B36082" s="4" t="s">
        <v>45386</v>
      </c>
      <c r="C36082" s="5" t="str">
        <f>IFERROR(__xludf.DUMMYFUNCTION("GOOGLETRANSLATE(B36082,""en"",""de"")"),"Eine Frau in einem orangefarbenen Hemd trinkt ein Glas Bier.")</f>
        <v>Eine Frau in einem orangefarbenen Hemd trinkt ein Glas Bier.</v>
      </c>
    </row>
    <row r="36083">
      <c r="A36083" s="4" t="s">
        <v>45385</v>
      </c>
      <c r="B36083" s="4" t="s">
        <v>45387</v>
      </c>
      <c r="C36083" s="5" t="str">
        <f>IFERROR(__xludf.DUMMYFUNCTION("GOOGLETRANSLATE(B36083,""en"",""de"")"),"Das Bier strömt die Vorderseite ihres Hemdes hinunter.")</f>
        <v>Das Bier strömt die Vorderseite ihres Hemdes hinunter.</v>
      </c>
    </row>
    <row r="36084">
      <c r="A36084" s="4" t="s">
        <v>45385</v>
      </c>
      <c r="B36084" s="4" t="s">
        <v>45388</v>
      </c>
      <c r="C36084" s="5" t="str">
        <f>IFERROR(__xludf.DUMMYFUNCTION("GOOGLETRANSLATE(B36084,""en"",""de"")"),"Die Leute hinter ihr tanzen.")</f>
        <v>Die Leute hinter ihr tanzen.</v>
      </c>
    </row>
    <row r="36085">
      <c r="A36085" s="4" t="s">
        <v>45385</v>
      </c>
      <c r="B36085" s="4" t="s">
        <v>45389</v>
      </c>
      <c r="C36085" s="5" t="str">
        <f>IFERROR(__xludf.DUMMYFUNCTION("GOOGLETRANSLATE(B36085,""en"",""de"")"),"Sie beendet das Getränk und setzt es ab.")</f>
        <v>Sie beendet das Getränk und setzt es ab.</v>
      </c>
    </row>
    <row r="36086">
      <c r="A36086" s="4" t="s">
        <v>45390</v>
      </c>
      <c r="B36086" s="4" t="s">
        <v>45391</v>
      </c>
      <c r="C36086" s="5" t="str">
        <f>IFERROR(__xludf.DUMMYFUNCTION("GOOGLETRANSLATE(B36086,""en"",""de"")"),"Ein Mann in einem braunen Hemd redet.")</f>
        <v>Ein Mann in einem braunen Hemd redet.</v>
      </c>
    </row>
    <row r="36087">
      <c r="A36087" s="4" t="s">
        <v>45390</v>
      </c>
      <c r="B36087" s="4" t="s">
        <v>45392</v>
      </c>
      <c r="C36087" s="5" t="str">
        <f>IFERROR(__xludf.DUMMYFUNCTION("GOOGLETRANSLATE(B36087,""en"",""de"")"),"Er legt seinen Tennisschläger auf den Boden.")</f>
        <v>Er legt seinen Tennisschläger auf den Boden.</v>
      </c>
    </row>
    <row r="36088">
      <c r="A36088" s="4" t="s">
        <v>45390</v>
      </c>
      <c r="B36088" s="4" t="s">
        <v>45393</v>
      </c>
      <c r="C36088" s="5" t="str">
        <f>IFERROR(__xludf.DUMMYFUNCTION("GOOGLETRANSLATE(B36088,""en"",""de"")"),"Ein anderer Mann läuft vor einem Tennisplatz herum.")</f>
        <v>Ein anderer Mann läuft vor einem Tennisplatz herum.</v>
      </c>
    </row>
    <row r="36089">
      <c r="A36089" s="4" t="s">
        <v>45394</v>
      </c>
      <c r="B36089" s="4" t="s">
        <v>45395</v>
      </c>
      <c r="C36089" s="5" t="str">
        <f>IFERROR(__xludf.DUMMYFUNCTION("GOOGLETRANSLATE(B36089,""en"",""de"")"),"Ein schwarzer und weißer Hund steht in der Nähe der Haupttür eines Hauses, als er dem Hubschraubergeschäft hört.")</f>
        <v>Ein schwarzer und weißer Hund steht in der Nähe der Haupttür eines Hauses, als er dem Hubschraubergeschäft hört.</v>
      </c>
    </row>
    <row r="36090">
      <c r="A36090" s="4" t="s">
        <v>45394</v>
      </c>
      <c r="B36090" s="4" t="s">
        <v>45396</v>
      </c>
      <c r="C36090" s="5" t="str">
        <f>IFERROR(__xludf.DUMMYFUNCTION("GOOGLETRANSLATE(B36090,""en"",""de"")"),"Dann öffnet sich die Haupttür und der Hund tritt zurück.")</f>
        <v>Dann öffnet sich die Haupttür und der Hund tritt zurück.</v>
      </c>
    </row>
    <row r="36091">
      <c r="A36091" s="4" t="s">
        <v>45394</v>
      </c>
      <c r="B36091" s="4" t="s">
        <v>45397</v>
      </c>
      <c r="C36091" s="5" t="str">
        <f>IFERROR(__xludf.DUMMYFUNCTION("GOOGLETRANSLATE(B36091,""en"",""de"")"),"Es gibt zwei Hundetrainer in einem geschlossenen Raumtraining, der einen Hund trainiert, um zu springen und mehrere Frisbee zu fangen.")</f>
        <v>Es gibt zwei Hundetrainer in einem geschlossenen Raumtraining, der einen Hund trainiert, um zu springen und mehrere Frisbee zu fangen.</v>
      </c>
    </row>
    <row r="36092">
      <c r="A36092" s="4" t="s">
        <v>45394</v>
      </c>
      <c r="B36092" s="4" t="s">
        <v>45398</v>
      </c>
      <c r="C36092" s="5" t="str">
        <f>IFERROR(__xludf.DUMMYFUNCTION("GOOGLETRANSLATE(B36092,""en"",""de"")"),"Der männliche Trainer wirft die Frisbee auf den Hund und der Hund springt und holt ihn für ihn.")</f>
        <v>Der männliche Trainer wirft die Frisbee auf den Hund und der Hund springt und holt ihn für ihn.</v>
      </c>
    </row>
    <row r="36093">
      <c r="A36093" s="4" t="s">
        <v>45394</v>
      </c>
      <c r="B36093" s="4" t="s">
        <v>45399</v>
      </c>
      <c r="C36093" s="5" t="str">
        <f>IFERROR(__xludf.DUMMYFUNCTION("GOOGLETRANSLATE(B36093,""en"",""de"")"),"Der Trainer wirft kontinuierlich die Frisbee und der Hund springt jedes Mal die Frisbee.")</f>
        <v>Der Trainer wirft kontinuierlich die Frisbee und der Hund springt jedes Mal die Frisbee.</v>
      </c>
    </row>
    <row r="36094">
      <c r="A36094" s="4" t="s">
        <v>45394</v>
      </c>
      <c r="B36094" s="4" t="s">
        <v>45400</v>
      </c>
      <c r="C36094" s="5" t="str">
        <f>IFERROR(__xludf.DUMMYFUNCTION("GOOGLETRANSLATE(B36094,""en"",""de"")"),"Es gibt mehrere verschiedene Trainer, die Ausbildung und Unterricht ihrer Hunde -Tricks gezeigt haben.")</f>
        <v>Es gibt mehrere verschiedene Trainer, die Ausbildung und Unterricht ihrer Hunde -Tricks gezeigt haben.</v>
      </c>
    </row>
    <row r="36095">
      <c r="A36095" s="4" t="s">
        <v>45401</v>
      </c>
      <c r="B36095" s="4" t="s">
        <v>45402</v>
      </c>
      <c r="C36095" s="5" t="str">
        <f>IFERROR(__xludf.DUMMYFUNCTION("GOOGLETRANSLATE(B36095,""en"",""de"")"),"Eine Einführung für eine Vakuum -Demo wird auf dem Bildschirm angezeigt.")</f>
        <v>Eine Einführung für eine Vakuum -Demo wird auf dem Bildschirm angezeigt.</v>
      </c>
    </row>
    <row r="36096">
      <c r="A36096" s="4" t="s">
        <v>45401</v>
      </c>
      <c r="B36096" s="4" t="s">
        <v>45403</v>
      </c>
      <c r="C36096" s="5" t="str">
        <f>IFERROR(__xludf.DUMMYFUNCTION("GOOGLETRANSLATE(B36096,""en"",""de"")"),"Das Video zeigt das Vakuum, das von einem Jungen und seinem Vater gegen verschiedene Herausforderungen getestet wird.")</f>
        <v>Das Video zeigt das Vakuum, das von einem Jungen und seinem Vater gegen verschiedene Herausforderungen getestet wird.</v>
      </c>
    </row>
    <row r="36097">
      <c r="A36097" s="4" t="s">
        <v>45401</v>
      </c>
      <c r="B36097" s="4" t="s">
        <v>45404</v>
      </c>
      <c r="C36097" s="5" t="str">
        <f>IFERROR(__xludf.DUMMYFUNCTION("GOOGLETRANSLATE(B36097,""en"",""de"")"),"Das Video endet mit einem Bildschirm, das das Logo für die Vakuumfirma zeigt.")</f>
        <v>Das Video endet mit einem Bildschirm, das das Logo für die Vakuumfirma zeigt.</v>
      </c>
    </row>
    <row r="36098">
      <c r="A36098" s="4" t="s">
        <v>45405</v>
      </c>
      <c r="B36098" s="4" t="s">
        <v>45406</v>
      </c>
      <c r="C36098" s="5" t="str">
        <f>IFERROR(__xludf.DUMMYFUNCTION("GOOGLETRANSLATE(B36098,""en"",""de"")"),"Zwei Frauen, die passende Outfits tragen, sind auf ihren Mikrofonen und eine Art, die einen Jungen mit einem Rubix -Würfel spielen.")</f>
        <v>Zwei Frauen, die passende Outfits tragen, sind auf ihren Mikrofonen und eine Art, die einen Jungen mit einem Rubix -Würfel spielen.</v>
      </c>
    </row>
    <row r="36099">
      <c r="A36099" s="4" t="s">
        <v>45405</v>
      </c>
      <c r="B36099" s="4" t="s">
        <v>45407</v>
      </c>
      <c r="C36099" s="5" t="str">
        <f>IFERROR(__xludf.DUMMYFUNCTION("GOOGLETRANSLATE(B36099,""en"",""de"")"),"Der Junge löst den Würfel ziemlich schnell, das Mädchen scheint ziemlich schockiert zu sein.")</f>
        <v>Der Junge löst den Würfel ziemlich schnell, das Mädchen scheint ziemlich schockiert zu sein.</v>
      </c>
    </row>
    <row r="36100">
      <c r="A36100" s="4" t="s">
        <v>45405</v>
      </c>
      <c r="B36100" s="4" t="s">
        <v>45408</v>
      </c>
      <c r="C36100" s="5" t="str">
        <f>IFERROR(__xludf.DUMMYFUNCTION("GOOGLETRANSLATE(B36100,""en"",""de"")"),"Dann versucht eine Gruppe von Menschen zu einem Puzzle, um zu sehen, wer am schnellsten ist.")</f>
        <v>Dann versucht eine Gruppe von Menschen zu einem Puzzle, um zu sehen, wer am schnellsten ist.</v>
      </c>
    </row>
    <row r="36101">
      <c r="A36101" s="4" t="s">
        <v>45405</v>
      </c>
      <c r="B36101" s="4" t="s">
        <v>45409</v>
      </c>
      <c r="C36101" s="5" t="str">
        <f>IFERROR(__xludf.DUMMYFUNCTION("GOOGLETRANSLATE(B36101,""en"",""de"")"),"Ein anderer Junge in einem blauen Hemd kommt auf und beginnt es zu lösen, und wenn er tut, geben die Mädchen ihm einen Preis.")</f>
        <v>Ein anderer Junge in einem blauen Hemd kommt auf und beginnt es zu lösen, und wenn er tut, geben die Mädchen ihm einen Preis.</v>
      </c>
    </row>
    <row r="36102">
      <c r="A36102" s="4" t="s">
        <v>45410</v>
      </c>
      <c r="B36102" s="4" t="s">
        <v>45411</v>
      </c>
      <c r="C36102" s="5" t="str">
        <f>IFERROR(__xludf.DUMMYFUNCTION("GOOGLETRANSLATE(B36102,""en"",""de"")"),"Eine Person beobachtet einen alten Samurai -Tempel.")</f>
        <v>Eine Person beobachtet einen alten Samurai -Tempel.</v>
      </c>
    </row>
    <row r="36103">
      <c r="A36103" s="4" t="s">
        <v>45410</v>
      </c>
      <c r="B36103" s="4" t="s">
        <v>45412</v>
      </c>
      <c r="C36103" s="5" t="str">
        <f>IFERROR(__xludf.DUMMYFUNCTION("GOOGLETRANSLATE(B36103,""en"",""de"")"),"Ein Mann hält einen Bogen und schießt Pfeile, während Männer auf der Straße sortieren Pfeile.")</f>
        <v>Ein Mann hält einen Bogen und schießt Pfeile, während Männer auf der Straße sortieren Pfeile.</v>
      </c>
    </row>
    <row r="36104">
      <c r="A36104" s="4" t="s">
        <v>45410</v>
      </c>
      <c r="B36104" s="4" t="s">
        <v>45413</v>
      </c>
      <c r="C36104" s="5" t="str">
        <f>IFERROR(__xludf.DUMMYFUNCTION("GOOGLETRANSLATE(B36104,""en"",""de"")"),"Drei kleine Boards sind plötzlich auf dem Boden repariert und Pfeil trifft eine Brett.")</f>
        <v>Drei kleine Boards sind plötzlich auf dem Boden repariert und Pfeil trifft eine Brett.</v>
      </c>
    </row>
    <row r="36105">
      <c r="A36105" s="4" t="s">
        <v>45410</v>
      </c>
      <c r="B36105" s="4" t="s">
        <v>45414</v>
      </c>
      <c r="C36105" s="5" t="str">
        <f>IFERROR(__xludf.DUMMYFUNCTION("GOOGLETRANSLATE(B36105,""en"",""de"")"),"Die Leute versammeln sich auf einer Straße, dann gibt ein alter Mann einem Mann, der in weiße Kleidung gekleidet ist, eine weiße Schachtel.")</f>
        <v>Die Leute versammeln sich auf einer Straße, dann gibt ein alter Mann einem Mann, der in weiße Kleidung gekleidet ist, eine weiße Schachtel.</v>
      </c>
    </row>
    <row r="36106">
      <c r="A36106" s="4" t="s">
        <v>45415</v>
      </c>
      <c r="B36106" s="4" t="s">
        <v>45416</v>
      </c>
      <c r="C36106" s="5" t="str">
        <f>IFERROR(__xludf.DUMMYFUNCTION("GOOGLETRANSLATE(B36106,""en"",""de"")"),"Ein Junge macht Wagenräder und Rücken, die auf dem Gras springt, während ein Freund zusucht und aufzeichnet.")</f>
        <v>Ein Junge macht Wagenräder und Rücken, die auf dem Gras springt, während ein Freund zusucht und aufzeichnet.</v>
      </c>
    </row>
    <row r="36107">
      <c r="A36107" s="4" t="s">
        <v>45415</v>
      </c>
      <c r="B36107" s="4" t="s">
        <v>45417</v>
      </c>
      <c r="C36107" s="5" t="str">
        <f>IFERROR(__xludf.DUMMYFUNCTION("GOOGLETRANSLATE(B36107,""en"",""de"")"),"Er hält einen Moment an und macht eine Pause, dann macht er weiterhin mehr Flips.")</f>
        <v>Er hält einen Moment an und macht eine Pause, dann macht er weiterhin mehr Flips.</v>
      </c>
    </row>
    <row r="36108">
      <c r="A36108" s="4" t="s">
        <v>45415</v>
      </c>
      <c r="B36108" s="4" t="s">
        <v>45418</v>
      </c>
      <c r="C36108" s="5" t="str">
        <f>IFERROR(__xludf.DUMMYFUNCTION("GOOGLETRANSLATE(B36108,""en"",""de"")"),"Ein anderer Mann kommt auf den Bildschirm und versucht, einige Flips auf dem Gras zu machen.")</f>
        <v>Ein anderer Mann kommt auf den Bildschirm und versucht, einige Flips auf dem Gras zu machen.</v>
      </c>
    </row>
    <row r="36109">
      <c r="A36109" s="4" t="s">
        <v>45419</v>
      </c>
      <c r="B36109" s="4" t="s">
        <v>45420</v>
      </c>
      <c r="C36109" s="5" t="str">
        <f>IFERROR(__xludf.DUMMYFUNCTION("GOOGLETRANSLATE(B36109,""en"",""de"")"),"Ein Mädchen geht aus einem Raum und in einer Halle hinunter.")</f>
        <v>Ein Mädchen geht aus einem Raum und in einer Halle hinunter.</v>
      </c>
    </row>
    <row r="36110">
      <c r="A36110" s="4" t="s">
        <v>45419</v>
      </c>
      <c r="B36110" s="4" t="s">
        <v>45421</v>
      </c>
      <c r="C36110" s="5" t="str">
        <f>IFERROR(__xludf.DUMMYFUNCTION("GOOGLETRANSLATE(B36110,""en"",""de"")"),"Sie legt ihre Reisetasche nieder, bevor sie sich auf einen Tisch lag.")</f>
        <v>Sie legt ihre Reisetasche nieder, bevor sie sich auf einen Tisch lag.</v>
      </c>
    </row>
    <row r="36111">
      <c r="A36111" s="4" t="s">
        <v>45419</v>
      </c>
      <c r="B36111" s="4" t="s">
        <v>45422</v>
      </c>
      <c r="C36111" s="5" t="str">
        <f>IFERROR(__xludf.DUMMYFUNCTION("GOOGLETRANSLATE(B36111,""en"",""de"")"),"Jemand gibt ihr eine Tasse und sie trinkt sie, dann arbeiten sie daran, ihre Zunge zu tätowieren.")</f>
        <v>Jemand gibt ihr eine Tasse und sie trinkt sie, dann arbeiten sie daran, ihre Zunge zu tätowieren.</v>
      </c>
    </row>
    <row r="36112">
      <c r="A36112" s="4" t="s">
        <v>45419</v>
      </c>
      <c r="B36112" s="4" t="s">
        <v>45423</v>
      </c>
      <c r="C36112" s="5" t="str">
        <f>IFERROR(__xludf.DUMMYFUNCTION("GOOGLETRANSLATE(B36112,""en"",""de"")"),"Eine Stange wird in ihre Tonne eingeführt und abgeschnitten, wodurch ein Piercing erzeugt wird.")</f>
        <v>Eine Stange wird in ihre Tonne eingeführt und abgeschnitten, wodurch ein Piercing erzeugt wird.</v>
      </c>
    </row>
    <row r="36113">
      <c r="A36113" s="4" t="s">
        <v>45419</v>
      </c>
      <c r="B36113" s="4" t="s">
        <v>45424</v>
      </c>
      <c r="C36113" s="5" t="str">
        <f>IFERROR(__xludf.DUMMYFUNCTION("GOOGLETRANSLATE(B36113,""en"",""de"")"),"Sie streckt ihre Zunge in die Kamera und zeigt ihr Piercing.")</f>
        <v>Sie streckt ihre Zunge in die Kamera und zeigt ihr Piercing.</v>
      </c>
    </row>
    <row r="36114">
      <c r="A36114" s="4" t="s">
        <v>45425</v>
      </c>
      <c r="B36114" s="4" t="s">
        <v>45426</v>
      </c>
      <c r="C36114" s="5" t="str">
        <f>IFERROR(__xludf.DUMMYFUNCTION("GOOGLETRANSLATE(B36114,""en"",""de"")"),"Ein Depotbank spricht den Schalter einer Spüle mit einer Sprühflasche.")</f>
        <v>Ein Depotbank spricht den Schalter einer Spüle mit einer Sprühflasche.</v>
      </c>
    </row>
    <row r="36115">
      <c r="A36115" s="4" t="s">
        <v>45425</v>
      </c>
      <c r="B36115" s="4" t="s">
        <v>45427</v>
      </c>
      <c r="C36115" s="5" t="str">
        <f>IFERROR(__xludf.DUMMYFUNCTION("GOOGLETRANSLATE(B36115,""en"",""de"")"),"Der Arbeiter putzt eine Bürste, um das Waschbecken zu reinigen.")</f>
        <v>Der Arbeiter putzt eine Bürste, um das Waschbecken zu reinigen.</v>
      </c>
    </row>
    <row r="36116">
      <c r="A36116" s="4" t="s">
        <v>45425</v>
      </c>
      <c r="B36116" s="4" t="s">
        <v>45428</v>
      </c>
      <c r="C36116" s="5" t="str">
        <f>IFERROR(__xludf.DUMMYFUNCTION("GOOGLETRANSLATE(B36116,""en"",""de"")"),"Der Arbeiter reinigt ein Handtuch, um die Flüssigkeit in der Spüle zu reinigen.")</f>
        <v>Der Arbeiter reinigt ein Handtuch, um die Flüssigkeit in der Spüle zu reinigen.</v>
      </c>
    </row>
    <row r="36117">
      <c r="A36117" s="4" t="s">
        <v>45429</v>
      </c>
      <c r="B36117" s="4" t="s">
        <v>45430</v>
      </c>
      <c r="C36117" s="5" t="str">
        <f>IFERROR(__xludf.DUMMYFUNCTION("GOOGLETRANSLATE(B36117,""en"",""de"")"),"Ein Mann spricht über das, was im Fernsehen hinter ihm als Nachrichtengeschichte vor sich geht.")</f>
        <v>Ein Mann spricht über das, was im Fernsehen hinter ihm als Nachrichtengeschichte vor sich geht.</v>
      </c>
    </row>
    <row r="36118">
      <c r="A36118" s="4" t="s">
        <v>45429</v>
      </c>
      <c r="B36118" s="4" t="s">
        <v>45431</v>
      </c>
      <c r="C36118" s="5" t="str">
        <f>IFERROR(__xludf.DUMMYFUNCTION("GOOGLETRANSLATE(B36118,""en"",""de"")"),"Eine Gruppe von Menschen ist im Feld und spielt ein Spiel, das rundum läuft.")</f>
        <v>Eine Gruppe von Menschen ist im Feld und spielt ein Spiel, das rundum läuft.</v>
      </c>
    </row>
    <row r="36119">
      <c r="A36119" s="4" t="s">
        <v>45429</v>
      </c>
      <c r="B36119" s="4" t="s">
        <v>45432</v>
      </c>
      <c r="C36119" s="5" t="str">
        <f>IFERROR(__xludf.DUMMYFUNCTION("GOOGLETRANSLATE(B36119,""en"",""de"")"),"Viele der Spieler können die Chance haben, über das Team und die Dinge zu sprechen.")</f>
        <v>Viele der Spieler können die Chance haben, über das Team und die Dinge zu sprechen.</v>
      </c>
    </row>
    <row r="36120">
      <c r="A36120" s="4" t="s">
        <v>45429</v>
      </c>
      <c r="B36120" s="4" t="s">
        <v>45433</v>
      </c>
      <c r="C36120" s="5" t="str">
        <f>IFERROR(__xludf.DUMMYFUNCTION("GOOGLETRANSLATE(B36120,""en"",""de"")"),"Sie zeigen die Übung und die Spieler und kehren dann zu den Nachrichtenankern zurück, die weiterhin ein bisschen mehr darüber sprechen.")</f>
        <v>Sie zeigen die Übung und die Spieler und kehren dann zu den Nachrichtenankern zurück, die weiterhin ein bisschen mehr darüber sprechen.</v>
      </c>
    </row>
    <row r="36121">
      <c r="A36121" s="4" t="s">
        <v>45434</v>
      </c>
      <c r="B36121" s="4" t="s">
        <v>45435</v>
      </c>
      <c r="C36121" s="5" t="str">
        <f>IFERROR(__xludf.DUMMYFUNCTION("GOOGLETRANSLATE(B36121,""en"",""de"")"),"Eine Frau steht in einer Küche, während sie redet.")</f>
        <v>Eine Frau steht in einer Küche, während sie redet.</v>
      </c>
    </row>
    <row r="36122">
      <c r="A36122" s="4" t="s">
        <v>45434</v>
      </c>
      <c r="B36122" s="4" t="s">
        <v>45436</v>
      </c>
      <c r="C36122" s="5" t="str">
        <f>IFERROR(__xludf.DUMMYFUNCTION("GOOGLETRANSLATE(B36122,""en"",""de"")"),"Sie zeigt eine Tasche und drückt sie mit ihrer Faust darauf.")</f>
        <v>Sie zeigt eine Tasche und drückt sie mit ihrer Faust darauf.</v>
      </c>
    </row>
    <row r="36123">
      <c r="A36123" s="4" t="s">
        <v>45434</v>
      </c>
      <c r="B36123" s="4" t="s">
        <v>45437</v>
      </c>
      <c r="C36123" s="5" t="str">
        <f>IFERROR(__xludf.DUMMYFUNCTION("GOOGLETRANSLATE(B36123,""en"",""de"")"),"Sie schließt es auf und zeigt, wie es in Form bleibt.")</f>
        <v>Sie schließt es auf und zeigt, wie es in Form bleibt.</v>
      </c>
    </row>
    <row r="36124">
      <c r="A36124" s="4" t="s">
        <v>45438</v>
      </c>
      <c r="B36124" s="4" t="s">
        <v>6759</v>
      </c>
      <c r="C36124" s="5" t="str">
        <f>IFERROR(__xludf.DUMMYFUNCTION("GOOGLETRANSLATE(B36124,""en"",""de"")"),"Die Menschen stehen auf einem Grasfeld.")</f>
        <v>Die Menschen stehen auf einem Grasfeld.</v>
      </c>
    </row>
    <row r="36125">
      <c r="A36125" s="4" t="s">
        <v>45438</v>
      </c>
      <c r="B36125" s="4" t="s">
        <v>45439</v>
      </c>
      <c r="C36125" s="5" t="str">
        <f>IFERROR(__xludf.DUMMYFUNCTION("GOOGLETRANSLATE(B36125,""en"",""de"")"),"Ein Mann nimmt eine lange Stange auf und rennt eine Strecke hinunter.")</f>
        <v>Ein Mann nimmt eine lange Stange auf und rennt eine Strecke hinunter.</v>
      </c>
    </row>
    <row r="36126">
      <c r="A36126" s="4" t="s">
        <v>45438</v>
      </c>
      <c r="B36126" s="4" t="s">
        <v>45440</v>
      </c>
      <c r="C36126" s="5" t="str">
        <f>IFERROR(__xludf.DUMMYFUNCTION("GOOGLETRANSLATE(B36126,""en"",""de"")"),"Er springt über eine hohe Bar und landet auf einer Matte.")</f>
        <v>Er springt über eine hohe Bar und landet auf einer Matte.</v>
      </c>
    </row>
    <row r="36127">
      <c r="A36127" s="4" t="s">
        <v>45441</v>
      </c>
      <c r="B36127" s="4" t="s">
        <v>45442</v>
      </c>
      <c r="C36127" s="5" t="str">
        <f>IFERROR(__xludf.DUMMYFUNCTION("GOOGLETRANSLATE(B36127,""en"",""de"")"),"Mehrere Personen werden auf Übungsausrüstung gefahren, während sie mit der Kamera sprechen.")</f>
        <v>Mehrere Personen werden auf Übungsausrüstung gefahren, während sie mit der Kamera sprechen.</v>
      </c>
    </row>
    <row r="36128">
      <c r="A36128" s="4" t="s">
        <v>45441</v>
      </c>
      <c r="B36128" s="4" t="s">
        <v>45443</v>
      </c>
      <c r="C36128" s="5" t="str">
        <f>IFERROR(__xludf.DUMMYFUNCTION("GOOGLETRANSLATE(B36128,""en"",""de"")"),"Ein Mann spricht mit der Kamera, während mehr Aufnahmen der Ausrüstung gezeigt werden.")</f>
        <v>Ein Mann spricht mit der Kamera, während mehr Aufnahmen der Ausrüstung gezeigt werden.</v>
      </c>
    </row>
    <row r="36129">
      <c r="A36129" s="4" t="s">
        <v>45441</v>
      </c>
      <c r="B36129" s="4" t="s">
        <v>45444</v>
      </c>
      <c r="C36129" s="5" t="str">
        <f>IFERROR(__xludf.DUMMYFUNCTION("GOOGLETRANSLATE(B36129,""en"",""de"")"),"Die Leute bewegen sich rund um die Maschine und führen mit dem Mann, der mehr spricht und zeigen, wie die Maschine angepasst werden kann.")</f>
        <v>Die Leute bewegen sich rund um die Maschine und führen mit dem Mann, der mehr spricht und zeigen, wie die Maschine angepasst werden kann.</v>
      </c>
    </row>
    <row r="36130">
      <c r="A36130" s="4" t="s">
        <v>45445</v>
      </c>
      <c r="B36130" s="4" t="s">
        <v>45446</v>
      </c>
      <c r="C36130" s="5" t="str">
        <f>IFERROR(__xludf.DUMMYFUNCTION("GOOGLETRANSLATE(B36130,""en"",""de"")"),"Einige Leute spielen Bier Bong und haben eine gute Zeit, der Mann wirft Faust und er schafft es in den Girls Cup.")</f>
        <v>Einige Leute spielen Bier Bong und haben eine gute Zeit, der Mann wirft Faust und er schafft es in den Girls Cup.</v>
      </c>
    </row>
    <row r="36131">
      <c r="A36131" s="4" t="s">
        <v>45445</v>
      </c>
      <c r="B36131" s="4" t="s">
        <v>45447</v>
      </c>
      <c r="C36131" s="5" t="str">
        <f>IFERROR(__xludf.DUMMYFUNCTION("GOOGLETRANSLATE(B36131,""en"",""de"")"),"Sie trinkt ihr Getränk und benimmt dann ihren Ball in Wasser, bevor sie ihren Ball wirft.")</f>
        <v>Sie trinkt ihr Getränk und benimmt dann ihren Ball in Wasser, bevor sie ihren Ball wirft.</v>
      </c>
    </row>
    <row r="36132">
      <c r="A36132" s="4" t="s">
        <v>45445</v>
      </c>
      <c r="B36132" s="4" t="s">
        <v>45448</v>
      </c>
      <c r="C36132" s="5" t="str">
        <f>IFERROR(__xludf.DUMMYFUNCTION("GOOGLETRANSLATE(B36132,""en"",""de"")"),"Dann nimmt sie Platz und der andere Mann nimmt an der Reihe.")</f>
        <v>Dann nimmt sie Platz und der andere Mann nimmt an der Reihe.</v>
      </c>
    </row>
    <row r="36133">
      <c r="A36133" s="4" t="s">
        <v>45445</v>
      </c>
      <c r="B36133" s="4" t="s">
        <v>45449</v>
      </c>
      <c r="C36133" s="5" t="str">
        <f>IFERROR(__xludf.DUMMYFUNCTION("GOOGLETRANSLATE(B36133,""en"",""de"")"),"Dann ist es das Mädchen in den anderen Teams, sie wenden sich weiter und trinken weg, haben eine gute Zeit.")</f>
        <v>Dann ist es das Mädchen in den anderen Teams, sie wenden sich weiter und trinken weg, haben eine gute Zeit.</v>
      </c>
    </row>
    <row r="36134">
      <c r="A36134" s="4" t="s">
        <v>45450</v>
      </c>
      <c r="B36134" s="4" t="s">
        <v>45451</v>
      </c>
      <c r="C36134" s="5" t="str">
        <f>IFERROR(__xludf.DUMMYFUNCTION("GOOGLETRANSLATE(B36134,""en"",""de"")"),"Wir sehen eine Frau hinter einer Bar reden.")</f>
        <v>Wir sehen eine Frau hinter einer Bar reden.</v>
      </c>
    </row>
    <row r="36135">
      <c r="A36135" s="4" t="s">
        <v>45450</v>
      </c>
      <c r="B36135" s="4" t="s">
        <v>45452</v>
      </c>
      <c r="C36135" s="5" t="str">
        <f>IFERROR(__xludf.DUMMYFUNCTION("GOOGLETRANSLATE(B36135,""en"",""de"")"),"Die Dame gießt Eis in Glas.")</f>
        <v>Die Dame gießt Eis in Glas.</v>
      </c>
    </row>
    <row r="36136">
      <c r="A36136" s="4" t="s">
        <v>45450</v>
      </c>
      <c r="B36136" s="4" t="s">
        <v>45453</v>
      </c>
      <c r="C36136" s="5" t="str">
        <f>IFERROR(__xludf.DUMMYFUNCTION("GOOGLETRANSLATE(B36136,""en"",""de"")"),"Die Dame gießt drei Schüsse Alkohol in eine Tasse.")</f>
        <v>Die Dame gießt drei Schüsse Alkohol in eine Tasse.</v>
      </c>
    </row>
    <row r="36137">
      <c r="A36137" s="4" t="s">
        <v>45450</v>
      </c>
      <c r="B36137" s="4" t="s">
        <v>45454</v>
      </c>
      <c r="C36137" s="5" t="str">
        <f>IFERROR(__xludf.DUMMYFUNCTION("GOOGLETRANSLATE(B36137,""en"",""de"")"),"Die Dame gießt andere Sachen hinein und schüttelt es.")</f>
        <v>Die Dame gießt andere Sachen hinein und schüttelt es.</v>
      </c>
    </row>
    <row r="36138">
      <c r="A36138" s="4" t="s">
        <v>45450</v>
      </c>
      <c r="B36138" s="4" t="s">
        <v>45455</v>
      </c>
      <c r="C36138" s="5" t="str">
        <f>IFERROR(__xludf.DUMMYFUNCTION("GOOGLETRANSLATE(B36138,""en"",""de"")"),"Die Dame gießt das Getränk in ein Glas.")</f>
        <v>Die Dame gießt das Getränk in ein Glas.</v>
      </c>
    </row>
    <row r="36139">
      <c r="A36139" s="4" t="s">
        <v>45450</v>
      </c>
      <c r="B36139" s="4" t="s">
        <v>45456</v>
      </c>
      <c r="C36139" s="5" t="str">
        <f>IFERROR(__xludf.DUMMYFUNCTION("GOOGLETRANSLATE(B36139,""en"",""de"")"),"Die Dame fügt ein paar rote Sachen hinzu.")</f>
        <v>Die Dame fügt ein paar rote Sachen hinzu.</v>
      </c>
    </row>
    <row r="36140">
      <c r="A36140" s="4" t="s">
        <v>45450</v>
      </c>
      <c r="B36140" s="4" t="s">
        <v>45457</v>
      </c>
      <c r="C36140" s="5" t="str">
        <f>IFERROR(__xludf.DUMMYFUNCTION("GOOGLETRANSLATE(B36140,""en"",""de"")"),"Die Dame hält das Glas und lächelt.")</f>
        <v>Die Dame hält das Glas und lächelt.</v>
      </c>
    </row>
    <row r="36141">
      <c r="A36141" s="4" t="s">
        <v>45458</v>
      </c>
      <c r="B36141" s="4" t="s">
        <v>45459</v>
      </c>
      <c r="C36141" s="5" t="str">
        <f>IFERROR(__xludf.DUMMYFUNCTION("GOOGLETRANSLATE(B36141,""en"",""de"")"),"Kinder spielen in einem großen grünen Feld.")</f>
        <v>Kinder spielen in einem großen grünen Feld.</v>
      </c>
    </row>
    <row r="36142">
      <c r="A36142" s="4" t="s">
        <v>45458</v>
      </c>
      <c r="B36142" s="4" t="s">
        <v>45460</v>
      </c>
      <c r="C36142" s="5" t="str">
        <f>IFERROR(__xludf.DUMMYFUNCTION("GOOGLETRANSLATE(B36142,""en"",""de"")"),"Kinder schleifen Al vor dem Ziel, einen freien Schuss zu machen.")</f>
        <v>Kinder schleifen Al vor dem Ziel, einen freien Schuss zu machen.</v>
      </c>
    </row>
    <row r="36143">
      <c r="A36143" s="4" t="s">
        <v>45458</v>
      </c>
      <c r="B36143" s="4" t="s">
        <v>45461</v>
      </c>
      <c r="C36143" s="5" t="str">
        <f>IFERROR(__xludf.DUMMYFUNCTION("GOOGLETRANSLATE(B36143,""en"",""de"")"),"Kinder posieren für ein Bild im grünen Feld.")</f>
        <v>Kinder posieren für ein Bild im grünen Feld.</v>
      </c>
    </row>
    <row r="36144">
      <c r="A36144" s="4" t="s">
        <v>45462</v>
      </c>
      <c r="B36144" s="4" t="s">
        <v>45463</v>
      </c>
      <c r="C36144" s="5" t="str">
        <f>IFERROR(__xludf.DUMMYFUNCTION("GOOGLETRANSLATE(B36144,""en"",""de"")"),"Ein großer Hund steht in einer Badewanne.")</f>
        <v>Ein großer Hund steht in einer Badewanne.</v>
      </c>
    </row>
    <row r="36145">
      <c r="A36145" s="4" t="s">
        <v>45462</v>
      </c>
      <c r="B36145" s="4" t="s">
        <v>45464</v>
      </c>
      <c r="C36145" s="5" t="str">
        <f>IFERROR(__xludf.DUMMYFUNCTION("GOOGLETRANSLATE(B36145,""en"",""de"")"),"Eine Frau in einem rosa Hemd schrubbt den Hund mit Seife.")</f>
        <v>Eine Frau in einem rosa Hemd schrubbt den Hund mit Seife.</v>
      </c>
    </row>
    <row r="36146">
      <c r="A36146" s="4" t="s">
        <v>45462</v>
      </c>
      <c r="B36146" s="4" t="s">
        <v>45465</v>
      </c>
      <c r="C36146" s="5" t="str">
        <f>IFERROR(__xludf.DUMMYFUNCTION("GOOGLETRANSLATE(B36146,""en"",""de"")"),"Sie beginnt dann, den Hund mit einem Schlauch zu waschen.")</f>
        <v>Sie beginnt dann, den Hund mit einem Schlauch zu waschen.</v>
      </c>
    </row>
    <row r="36147">
      <c r="A36147" s="4" t="s">
        <v>45466</v>
      </c>
      <c r="B36147" s="4" t="s">
        <v>45467</v>
      </c>
      <c r="C36147" s="5" t="str">
        <f>IFERROR(__xludf.DUMMYFUNCTION("GOOGLETRANSLATE(B36147,""en"",""de"")"),"Eine Frau sitzt mit ausgeschalteten Schuhen auf dem Boden.")</f>
        <v>Eine Frau sitzt mit ausgeschalteten Schuhen auf dem Boden.</v>
      </c>
    </row>
    <row r="36148">
      <c r="A36148" s="4" t="s">
        <v>45466</v>
      </c>
      <c r="B36148" s="4" t="s">
        <v>45468</v>
      </c>
      <c r="C36148" s="5" t="str">
        <f>IFERROR(__xludf.DUMMYFUNCTION("GOOGLETRANSLATE(B36148,""en"",""de"")"),"Die Frau zieht einen Schuh an.")</f>
        <v>Die Frau zieht einen Schuh an.</v>
      </c>
    </row>
    <row r="36149">
      <c r="A36149" s="4" t="s">
        <v>45466</v>
      </c>
      <c r="B36149" s="4" t="s">
        <v>45469</v>
      </c>
      <c r="C36149" s="5" t="str">
        <f>IFERROR(__xludf.DUMMYFUNCTION("GOOGLETRANSLATE(B36149,""en"",""de"")"),"Etwas wird auf die Frau geworfen und sie versucht es zu fangen.")</f>
        <v>Etwas wird auf die Frau geworfen und sie versucht es zu fangen.</v>
      </c>
    </row>
    <row r="36150">
      <c r="A36150" s="4" t="s">
        <v>45466</v>
      </c>
      <c r="B36150" s="4" t="s">
        <v>45470</v>
      </c>
      <c r="C36150" s="5" t="str">
        <f>IFERROR(__xludf.DUMMYFUNCTION("GOOGLETRANSLATE(B36150,""en"",""de"")"),"Die Kamera verschiebt kurz nach rechts, um eine andere Person zu zeigen.")</f>
        <v>Die Kamera verschiebt kurz nach rechts, um eine andere Person zu zeigen.</v>
      </c>
    </row>
    <row r="36151">
      <c r="A36151" s="4" t="s">
        <v>45466</v>
      </c>
      <c r="B36151" s="4" t="s">
        <v>45471</v>
      </c>
      <c r="C36151" s="5" t="str">
        <f>IFERROR(__xludf.DUMMYFUNCTION("GOOGLETRANSLATE(B36151,""en"",""de"")"),"Die Kamera kehrt zu der Frau zurück, die den Schuh immer noch anzieht.")</f>
        <v>Die Kamera kehrt zu der Frau zurück, die den Schuh immer noch anzieht.</v>
      </c>
    </row>
    <row r="36152">
      <c r="A36152" s="4" t="s">
        <v>45466</v>
      </c>
      <c r="B36152" s="4" t="s">
        <v>45472</v>
      </c>
      <c r="C36152" s="5" t="str">
        <f>IFERROR(__xludf.DUMMYFUNCTION("GOOGLETRANSLATE(B36152,""en"",""de"")"),"Die Kamera verschiebt sich direkt auf mehrere Personen im Raum und wartet darauf, dass die Frau ihre Schuhe anzieht.")</f>
        <v>Die Kamera verschiebt sich direkt auf mehrere Personen im Raum und wartet darauf, dass die Frau ihre Schuhe anzieht.</v>
      </c>
    </row>
    <row r="36153">
      <c r="A36153" s="4" t="s">
        <v>45466</v>
      </c>
      <c r="B36153" s="4" t="s">
        <v>45473</v>
      </c>
      <c r="C36153" s="5" t="str">
        <f>IFERROR(__xludf.DUMMYFUNCTION("GOOGLETRANSLATE(B36153,""en"",""de"")"),"Die Kamera wechselt zurück in die Frau und zieht ihren Schuh immer noch an.")</f>
        <v>Die Kamera wechselt zurück in die Frau und zieht ihren Schuh immer noch an.</v>
      </c>
    </row>
    <row r="36154">
      <c r="A36154" s="4" t="s">
        <v>45466</v>
      </c>
      <c r="B36154" s="4" t="s">
        <v>45474</v>
      </c>
      <c r="C36154" s="5" t="str">
        <f>IFERROR(__xludf.DUMMYFUNCTION("GOOGLETRANSLATE(B36154,""en"",""de"")"),"Die Frau beginnt den anderen Schuh anzuziehen.")</f>
        <v>Die Frau beginnt den anderen Schuh anzuziehen.</v>
      </c>
    </row>
    <row r="36155">
      <c r="A36155" s="4" t="s">
        <v>45475</v>
      </c>
      <c r="B36155" s="4" t="s">
        <v>45476</v>
      </c>
      <c r="C36155" s="5" t="str">
        <f>IFERROR(__xludf.DUMMYFUNCTION("GOOGLETRANSLATE(B36155,""en"",""de"")"),"Eine Folie von Bildern zeigt, dass eine Blaskapelle und Mädchen sich bewegen.")</f>
        <v>Eine Folie von Bildern zeigt, dass eine Blaskapelle und Mädchen sich bewegen.</v>
      </c>
    </row>
    <row r="36156">
      <c r="A36156" s="4" t="s">
        <v>45475</v>
      </c>
      <c r="B36156" s="4" t="s">
        <v>45477</v>
      </c>
      <c r="C36156" s="5" t="str">
        <f>IFERROR(__xludf.DUMMYFUNCTION("GOOGLETRANSLATE(B36156,""en"",""de"")"),"Dann spielen die Marschbands und Mädchen Haltebühne.")</f>
        <v>Dann spielen die Marschbands und Mädchen Haltebühne.</v>
      </c>
    </row>
    <row r="36157">
      <c r="A36157" s="4" t="s">
        <v>45478</v>
      </c>
      <c r="B36157" s="4" t="s">
        <v>45479</v>
      </c>
      <c r="C36157" s="5" t="str">
        <f>IFERROR(__xludf.DUMMYFUNCTION("GOOGLETRANSLATE(B36157,""en"",""de"")"),"Eine junge Dame steht in einem Schmutzfeld mit einer Axt in der Hand, die versucht, einen Baumstamm abzuschneiden.")</f>
        <v>Eine junge Dame steht in einem Schmutzfeld mit einer Axt in der Hand, die versucht, einen Baumstamm abzuschneiden.</v>
      </c>
    </row>
    <row r="36158">
      <c r="A36158" s="4" t="s">
        <v>45478</v>
      </c>
      <c r="B36158" s="4" t="s">
        <v>45480</v>
      </c>
      <c r="C36158" s="5" t="str">
        <f>IFERROR(__xludf.DUMMYFUNCTION("GOOGLETRANSLATE(B36158,""en"",""de"")"),"Das Mädchen ist bei ihrem ersten Versuch nicht erfolgreich, also nimmt sie das Protokoll zurück und versucht erneut.")</f>
        <v>Das Mädchen ist bei ihrem ersten Versuch nicht erfolgreich, also nimmt sie das Protokoll zurück und versucht erneut.</v>
      </c>
    </row>
    <row r="36159">
      <c r="A36159" s="4" t="s">
        <v>45481</v>
      </c>
      <c r="B36159" s="4" t="s">
        <v>45482</v>
      </c>
      <c r="C36159" s="5" t="str">
        <f>IFERROR(__xludf.DUMMYFUNCTION("GOOGLETRANSLATE(B36159,""en"",""de"")"),"Eine Gruppe von Menschen wird gesehen, wie sie in Röhren herumfährt und sich einen Taucher hinunterschieben.")</f>
        <v>Eine Gruppe von Menschen wird gesehen, wie sie in Röhren herumfährt und sich einen Taucher hinunterschieben.</v>
      </c>
    </row>
    <row r="36160">
      <c r="A36160" s="4" t="s">
        <v>45481</v>
      </c>
      <c r="B36160" s="4" t="s">
        <v>45483</v>
      </c>
      <c r="C36160" s="5" t="str">
        <f>IFERROR(__xludf.DUMMYFUNCTION("GOOGLETRANSLATE(B36160,""en"",""de"")"),"Die Leute fahren weiter in den Röhren den Fluss hinunter, während sie in Richtung Kamera blicken und lachen und lächeln.")</f>
        <v>Die Leute fahren weiter in den Röhren den Fluss hinunter, während sie in Richtung Kamera blicken und lachen und lächeln.</v>
      </c>
    </row>
    <row r="36161">
      <c r="A36161" s="4" t="s">
        <v>45484</v>
      </c>
      <c r="B36161" s="4" t="s">
        <v>45485</v>
      </c>
      <c r="C36161" s="5" t="str">
        <f>IFERROR(__xludf.DUMMYFUNCTION("GOOGLETRANSLATE(B36161,""en"",""de"")"),"Ein Mann, der Schwarz trägt, ist in einem Fitnessstudio.")</f>
        <v>Ein Mann, der Schwarz trägt, ist in einem Fitnessstudio.</v>
      </c>
    </row>
    <row r="36162">
      <c r="A36162" s="4" t="s">
        <v>45484</v>
      </c>
      <c r="B36162" s="4" t="s">
        <v>45486</v>
      </c>
      <c r="C36162" s="5" t="str">
        <f>IFERROR(__xludf.DUMMYFUNCTION("GOOGLETRANSLATE(B36162,""en"",""de"")"),"Er nimmt einige schwere Langhanteln auf.")</f>
        <v>Er nimmt einige schwere Langhanteln auf.</v>
      </c>
    </row>
    <row r="36163">
      <c r="A36163" s="4" t="s">
        <v>45484</v>
      </c>
      <c r="B36163" s="4" t="s">
        <v>45487</v>
      </c>
      <c r="C36163" s="5" t="str">
        <f>IFERROR(__xludf.DUMMYFUNCTION("GOOGLETRANSLATE(B36163,""en"",""de"")"),"Er hebt die Langhantel über seinen Kopf.")</f>
        <v>Er hebt die Langhantel über seinen Kopf.</v>
      </c>
    </row>
    <row r="36164">
      <c r="A36164" s="4" t="s">
        <v>45484</v>
      </c>
      <c r="B36164" s="4" t="s">
        <v>45488</v>
      </c>
      <c r="C36164" s="5" t="str">
        <f>IFERROR(__xludf.DUMMYFUNCTION("GOOGLETRANSLATE(B36164,""en"",""de"")"),"Dann lässt er die Langhantel auf den Boden fallen.")</f>
        <v>Dann lässt er die Langhantel auf den Boden fallen.</v>
      </c>
    </row>
    <row r="36165">
      <c r="A36165" s="4" t="s">
        <v>45489</v>
      </c>
      <c r="B36165" s="4" t="s">
        <v>45490</v>
      </c>
      <c r="C36165" s="5" t="str">
        <f>IFERROR(__xludf.DUMMYFUNCTION("GOOGLETRANSLATE(B36165,""en"",""de"")"),"Ein Mann geht aus einem Gebäude und beginnt mit dem Skateboarding.")</f>
        <v>Ein Mann geht aus einem Gebäude und beginnt mit dem Skateboarding.</v>
      </c>
    </row>
    <row r="36166">
      <c r="A36166" s="4" t="s">
        <v>45489</v>
      </c>
      <c r="B36166" s="4" t="s">
        <v>45491</v>
      </c>
      <c r="C36166" s="5" t="str">
        <f>IFERROR(__xludf.DUMMYFUNCTION("GOOGLETRANSLATE(B36166,""en"",""de"")"),"Er skateboarden zwischen Autos.")</f>
        <v>Er skateboarden zwischen Autos.</v>
      </c>
    </row>
    <row r="36167">
      <c r="A36167" s="4" t="s">
        <v>45489</v>
      </c>
      <c r="B36167" s="4" t="s">
        <v>45492</v>
      </c>
      <c r="C36167" s="5" t="str">
        <f>IFERROR(__xludf.DUMMYFUNCTION("GOOGLETRANSLATE(B36167,""en"",""de"")"),"Er geht in ein Gebäude und setzt sich an einen Computer.")</f>
        <v>Er geht in ein Gebäude und setzt sich an einen Computer.</v>
      </c>
    </row>
    <row r="36168">
      <c r="A36168" s="4" t="s">
        <v>45493</v>
      </c>
      <c r="B36168" s="4" t="s">
        <v>45494</v>
      </c>
      <c r="C36168" s="5" t="str">
        <f>IFERROR(__xludf.DUMMYFUNCTION("GOOGLETRANSLATE(B36168,""en"",""de"")"),"Wir sehen eine Dame stricken und singen.")</f>
        <v>Wir sehen eine Dame stricken und singen.</v>
      </c>
    </row>
    <row r="36169">
      <c r="A36169" s="4" t="s">
        <v>45493</v>
      </c>
      <c r="B36169" s="4" t="s">
        <v>45495</v>
      </c>
      <c r="C36169" s="5" t="str">
        <f>IFERROR(__xludf.DUMMYFUNCTION("GOOGLETRANSLATE(B36169,""en"",""de"")"),"Wir sehen dann eine Anzeige für ein Bier.")</f>
        <v>Wir sehen dann eine Anzeige für ein Bier.</v>
      </c>
    </row>
    <row r="36170">
      <c r="A36170" s="4" t="s">
        <v>45496</v>
      </c>
      <c r="B36170" s="4" t="s">
        <v>45497</v>
      </c>
      <c r="C36170" s="5" t="str">
        <f>IFERROR(__xludf.DUMMYFUNCTION("GOOGLETRANSLATE(B36170,""en"",""de"")"),"Zwei Personen befinden sich in einem Raum und tragen Zaunausrüstung.")</f>
        <v>Zwei Personen befinden sich in einem Raum und tragen Zaunausrüstung.</v>
      </c>
    </row>
    <row r="36171">
      <c r="A36171" s="4" t="s">
        <v>45496</v>
      </c>
      <c r="B36171" s="4" t="s">
        <v>45498</v>
      </c>
      <c r="C36171" s="5" t="str">
        <f>IFERROR(__xludf.DUMMYFUNCTION("GOOGLETRANSLATE(B36171,""en"",""de"")"),"Sie kämpfen mit Schwertern und gehen hin und her, während sie sich gegenseitig anspringen.")</f>
        <v>Sie kämpfen mit Schwertern und gehen hin und her, während sie sich gegenseitig anspringen.</v>
      </c>
    </row>
    <row r="36172">
      <c r="A36172" s="4" t="s">
        <v>45499</v>
      </c>
      <c r="B36172" s="4" t="s">
        <v>45500</v>
      </c>
      <c r="C36172" s="5" t="str">
        <f>IFERROR(__xludf.DUMMYFUNCTION("GOOGLETRANSLATE(B36172,""en"",""de"")"),"Eine Kamera zeigt eine Gruppe von Menschen, die mit ein paar Stellung und einer Arme in einem Gymnasienboden herum sitzen.")</f>
        <v>Eine Kamera zeigt eine Gruppe von Menschen, die mit ein paar Stellung und einer Arme in einem Gymnasienboden herum sitzen.</v>
      </c>
    </row>
    <row r="36173">
      <c r="A36173" s="4" t="s">
        <v>45499</v>
      </c>
      <c r="B36173" s="4" t="s">
        <v>45501</v>
      </c>
      <c r="C36173" s="5" t="str">
        <f>IFERROR(__xludf.DUMMYFUNCTION("GOOGLETRANSLATE(B36173,""en"",""de"")"),"Plötzlich kommt ein Schüler in einen Rahmen und springt über eine Stange in eine Matte.")</f>
        <v>Plötzlich kommt ein Schüler in einen Rahmen und springt über eine Stange in eine Matte.</v>
      </c>
    </row>
    <row r="36174">
      <c r="A36174" s="4" t="s">
        <v>45502</v>
      </c>
      <c r="B36174" s="4" t="s">
        <v>45503</v>
      </c>
      <c r="C36174" s="5" t="str">
        <f>IFERROR(__xludf.DUMMYFUNCTION("GOOGLETRANSLATE(B36174,""en"",""de"")"),"Ein Mann beginnt verschiedene Dinge zu tun, wie zum Beispiel Niesen, Kochen, mit der Toilette und sein Gesicht, um anzuzeigen, wann Sie Ihre Hände waschen müssen.")</f>
        <v>Ein Mann beginnt verschiedene Dinge zu tun, wie zum Beispiel Niesen, Kochen, mit der Toilette und sein Gesicht, um anzuzeigen, wann Sie Ihre Hände waschen müssen.</v>
      </c>
    </row>
    <row r="36175">
      <c r="A36175" s="4" t="s">
        <v>45502</v>
      </c>
      <c r="B36175" s="4" t="s">
        <v>45504</v>
      </c>
      <c r="C36175" s="5" t="str">
        <f>IFERROR(__xludf.DUMMYFUNCTION("GOOGLETRANSLATE(B36175,""en"",""de"")"),"Eine Frau kommt dann vorbei und geht zu einem Waschbecken in der Küche und beginnt ihre Hände zu schädigt.")</f>
        <v>Eine Frau kommt dann vorbei und geht zu einem Waschbecken in der Küche und beginnt ihre Hände zu schädigt.</v>
      </c>
    </row>
    <row r="36176">
      <c r="A36176" s="4" t="s">
        <v>45502</v>
      </c>
      <c r="B36176" s="4" t="s">
        <v>45505</v>
      </c>
      <c r="C36176" s="5" t="str">
        <f>IFERROR(__xludf.DUMMYFUNCTION("GOOGLETRANSLATE(B36176,""en"",""de"")"),"Sie schaltet dann den Wasserhahn ein und spült ihre Hände, trocknet sie und steckt die Serviette in die Mülldose.")</f>
        <v>Sie schaltet dann den Wasserhahn ein und spült ihre Hände, trocknet sie und steckt die Serviette in die Mülldose.</v>
      </c>
    </row>
    <row r="36177">
      <c r="A36177" s="4" t="s">
        <v>45506</v>
      </c>
      <c r="B36177" s="4" t="s">
        <v>45507</v>
      </c>
      <c r="C36177" s="5" t="str">
        <f>IFERROR(__xludf.DUMMYFUNCTION("GOOGLETRANSLATE(B36177,""en"",""de"")"),"Eine Person trägt einen Rackpack und reitet von der Kamera auf Rollschaufeln weg.")</f>
        <v>Eine Person trägt einen Rackpack und reitet von der Kamera auf Rollschaufeln weg.</v>
      </c>
    </row>
    <row r="36178">
      <c r="A36178" s="4" t="s">
        <v>45506</v>
      </c>
      <c r="B36178" s="4" t="s">
        <v>45508</v>
      </c>
      <c r="C36178" s="5" t="str">
        <f>IFERROR(__xludf.DUMMYFUNCTION("GOOGLETRANSLATE(B36178,""en"",""de"")"),"Die Person reitet dann zurück und hängt an einem Schild, das sich herumschwingt und dann in die Kamera lächelt.")</f>
        <v>Die Person reitet dann zurück und hängt an einem Schild, das sich herumschwingt und dann in die Kamera lächelt.</v>
      </c>
    </row>
    <row r="36179">
      <c r="A36179" s="4" t="s">
        <v>45509</v>
      </c>
      <c r="B36179" s="4" t="s">
        <v>45510</v>
      </c>
      <c r="C36179" s="5" t="str">
        <f>IFERROR(__xludf.DUMMYFUNCTION("GOOGLETRANSLATE(B36179,""en"",""de"")"),"Ein Mann trägt eine Sicherheitsweste.")</f>
        <v>Ein Mann trägt eine Sicherheitsweste.</v>
      </c>
    </row>
    <row r="36180">
      <c r="A36180" s="4" t="s">
        <v>45509</v>
      </c>
      <c r="B36180" s="4" t="s">
        <v>45511</v>
      </c>
      <c r="C36180" s="5" t="str">
        <f>IFERROR(__xludf.DUMMYFUNCTION("GOOGLETRANSLATE(B36180,""en"",""de"")"),"Er arbeitet mit Werkzeugen und Sand.")</f>
        <v>Er arbeitet mit Werkzeugen und Sand.</v>
      </c>
    </row>
    <row r="36181">
      <c r="A36181" s="4" t="s">
        <v>45509</v>
      </c>
      <c r="B36181" s="4" t="s">
        <v>45512</v>
      </c>
      <c r="C36181" s="5" t="str">
        <f>IFERROR(__xludf.DUMMYFUNCTION("GOOGLETRANSLATE(B36181,""en"",""de"")"),"Er benutzt den Sand, um sich gleichmäßig gegen die Wände auszubreiten.")</f>
        <v>Er benutzt den Sand, um sich gleichmäßig gegen die Wände auszubreiten.</v>
      </c>
    </row>
    <row r="36182">
      <c r="A36182" s="4" t="s">
        <v>45513</v>
      </c>
      <c r="B36182" s="4" t="s">
        <v>45514</v>
      </c>
      <c r="C36182" s="5" t="str">
        <f>IFERROR(__xludf.DUMMYFUNCTION("GOOGLETRANSLATE(B36182,""en"",""de"")"),"Wir sehen eine Person im Dunkeln.")</f>
        <v>Wir sehen eine Person im Dunkeln.</v>
      </c>
    </row>
    <row r="36183">
      <c r="A36183" s="4" t="s">
        <v>45513</v>
      </c>
      <c r="B36183" s="4" t="s">
        <v>45515</v>
      </c>
      <c r="C36183" s="5" t="str">
        <f>IFERROR(__xludf.DUMMYFUNCTION("GOOGLETRANSLATE(B36183,""en"",""de"")"),"Die Person macht eine Pause und passt ihren Helm an.")</f>
        <v>Die Person macht eine Pause und passt ihren Helm an.</v>
      </c>
    </row>
    <row r="36184">
      <c r="A36184" s="4" t="s">
        <v>45513</v>
      </c>
      <c r="B36184" s="4" t="s">
        <v>45516</v>
      </c>
      <c r="C36184" s="5" t="str">
        <f>IFERROR(__xludf.DUMMYFUNCTION("GOOGLETRANSLATE(B36184,""en"",""de"")"),"Der Mann hebt seinen Helm kurz.")</f>
        <v>Der Mann hebt seinen Helm kurz.</v>
      </c>
    </row>
    <row r="36185">
      <c r="A36185" s="4" t="s">
        <v>45513</v>
      </c>
      <c r="B36185" s="4" t="s">
        <v>45517</v>
      </c>
      <c r="C36185" s="5" t="str">
        <f>IFERROR(__xludf.DUMMYFUNCTION("GOOGLETRANSLATE(B36185,""en"",""de"")"),"Der Mann hebt und senkt seinen Helm.")</f>
        <v>Der Mann hebt und senkt seinen Helm.</v>
      </c>
    </row>
    <row r="36186">
      <c r="A36186" s="4" t="s">
        <v>45513</v>
      </c>
      <c r="B36186" s="4" t="s">
        <v>45518</v>
      </c>
      <c r="C36186" s="5" t="str">
        <f>IFERROR(__xludf.DUMMYFUNCTION("GOOGLETRANSLATE(B36186,""en"",""de"")"),"Der Mann schaut unter seinem Helm hervor.")</f>
        <v>Der Mann schaut unter seinem Helm hervor.</v>
      </c>
    </row>
    <row r="36187">
      <c r="A36187" s="4" t="s">
        <v>45513</v>
      </c>
      <c r="B36187" s="4" t="s">
        <v>45519</v>
      </c>
      <c r="C36187" s="5" t="str">
        <f>IFERROR(__xludf.DUMMYFUNCTION("GOOGLETRANSLATE(B36187,""en"",""de"")"),"Der Mann beendet und hebt seinen Helm.")</f>
        <v>Der Mann beendet und hebt seinen Helm.</v>
      </c>
    </row>
    <row r="36188">
      <c r="A36188" s="4" t="s">
        <v>45520</v>
      </c>
      <c r="B36188" s="4" t="s">
        <v>45521</v>
      </c>
      <c r="C36188" s="5" t="str">
        <f>IFERROR(__xludf.DUMMYFUNCTION("GOOGLETRANSLATE(B36188,""en"",""de"")"),"Ein Mann befestigt einen hohlen Stock an einem Bullen, der ihn verfolgt.")</f>
        <v>Ein Mann befestigt einen hohlen Stock an einem Bullen, der ihn verfolgt.</v>
      </c>
    </row>
    <row r="36189">
      <c r="A36189" s="4" t="s">
        <v>45520</v>
      </c>
      <c r="B36189" s="4" t="s">
        <v>45522</v>
      </c>
      <c r="C36189" s="5" t="str">
        <f>IFERROR(__xludf.DUMMYFUNCTION("GOOGLETRANSLATE(B36189,""en"",""de"")"),"Ein Typ macht mit einem Stier.")</f>
        <v>Ein Typ macht mit einem Stier.</v>
      </c>
    </row>
    <row r="36190">
      <c r="A36190" s="4" t="s">
        <v>45520</v>
      </c>
      <c r="B36190" s="4" t="s">
        <v>45523</v>
      </c>
      <c r="C36190" s="5" t="str">
        <f>IFERROR(__xludf.DUMMYFUNCTION("GOOGLETRANSLATE(B36190,""en"",""de"")"),"Ein Stier drückt einen Mann nach unten.")</f>
        <v>Ein Stier drückt einen Mann nach unten.</v>
      </c>
    </row>
    <row r="36191">
      <c r="A36191" s="4" t="s">
        <v>45520</v>
      </c>
      <c r="B36191" s="4" t="s">
        <v>45524</v>
      </c>
      <c r="C36191" s="5" t="str">
        <f>IFERROR(__xludf.DUMMYFUNCTION("GOOGLETRANSLATE(B36191,""en"",""de"")"),"Das Publikum klatscht im Stehen.")</f>
        <v>Das Publikum klatscht im Stehen.</v>
      </c>
    </row>
    <row r="36192">
      <c r="A36192" s="4" t="s">
        <v>45520</v>
      </c>
      <c r="B36192" s="4" t="s">
        <v>45525</v>
      </c>
      <c r="C36192" s="5" t="str">
        <f>IFERROR(__xludf.DUMMYFUNCTION("GOOGLETRANSLATE(B36192,""en"",""de"")"),"Der Stier wird in einen Stift gelockt und die Tore sind nahe.")</f>
        <v>Der Stier wird in einen Stift gelockt und die Tore sind nahe.</v>
      </c>
    </row>
    <row r="36193">
      <c r="A36193" s="4" t="s">
        <v>45520</v>
      </c>
      <c r="B36193" s="4" t="s">
        <v>45526</v>
      </c>
      <c r="C36193" s="5" t="str">
        <f>IFERROR(__xludf.DUMMYFUNCTION("GOOGLETRANSLATE(B36193,""en"",""de"")"),"Der Mann gibt einen Daumen hoch und lächelt.")</f>
        <v>Der Mann gibt einen Daumen hoch und lächelt.</v>
      </c>
    </row>
    <row r="36194">
      <c r="A36194" s="4" t="s">
        <v>45520</v>
      </c>
      <c r="B36194" s="4" t="s">
        <v>45527</v>
      </c>
      <c r="C36194" s="5" t="str">
        <f>IFERROR(__xludf.DUMMYFUNCTION("GOOGLETRANSLATE(B36194,""en"",""de"")"),"Ein Mann befestigt zwei hohle Sticks an einem Bullen und rennt ab.")</f>
        <v>Ein Mann befestigt zwei hohle Sticks an einem Bullen und rennt ab.</v>
      </c>
    </row>
    <row r="36195">
      <c r="A36195" s="4" t="s">
        <v>45520</v>
      </c>
      <c r="B36195" s="4" t="s">
        <v>45528</v>
      </c>
      <c r="C36195" s="5" t="str">
        <f>IFERROR(__xludf.DUMMYFUNCTION("GOOGLETRANSLATE(B36195,""en"",""de"")"),"Der Bulle packt den Mann an.")</f>
        <v>Der Bulle packt den Mann an.</v>
      </c>
    </row>
    <row r="36196">
      <c r="A36196" s="4" t="s">
        <v>45520</v>
      </c>
      <c r="B36196" s="4" t="s">
        <v>45529</v>
      </c>
      <c r="C36196" s="5" t="str">
        <f>IFERROR(__xludf.DUMMYFUNCTION("GOOGLETRANSLATE(B36196,""en"",""de"")"),"Der Mann steht auf und sein Gesicht ist blutig.")</f>
        <v>Der Mann steht auf und sein Gesicht ist blutig.</v>
      </c>
    </row>
    <row r="36197">
      <c r="A36197" s="4" t="s">
        <v>45520</v>
      </c>
      <c r="B36197" s="4" t="s">
        <v>45530</v>
      </c>
      <c r="C36197" s="5" t="str">
        <f>IFERROR(__xludf.DUMMYFUNCTION("GOOGLETRANSLATE(B36197,""en"",""de"")"),"Die Leute helfen dem Männchen und tragen ihn weg.")</f>
        <v>Die Leute helfen dem Männchen und tragen ihn weg.</v>
      </c>
    </row>
    <row r="36198">
      <c r="A36198" s="4" t="s">
        <v>45520</v>
      </c>
      <c r="B36198" s="4" t="s">
        <v>45531</v>
      </c>
      <c r="C36198" s="5" t="str">
        <f>IFERROR(__xludf.DUMMYFUNCTION("GOOGLETRANSLATE(B36198,""en"",""de"")"),"Der männliche hinterlässt einen schwarzen Schuh dahinter.")</f>
        <v>Der männliche hinterlässt einen schwarzen Schuh dahinter.</v>
      </c>
    </row>
    <row r="36199">
      <c r="A36199" s="4" t="s">
        <v>45520</v>
      </c>
      <c r="B36199" s="4" t="s">
        <v>45532</v>
      </c>
      <c r="C36199" s="5" t="str">
        <f>IFERROR(__xludf.DUMMYFUNCTION("GOOGLETRANSLATE(B36199,""en"",""de"")"),"Menschen diskutieren im Kreis.")</f>
        <v>Menschen diskutieren im Kreis.</v>
      </c>
    </row>
    <row r="36200">
      <c r="A36200" s="4" t="s">
        <v>45520</v>
      </c>
      <c r="B36200" s="4" t="s">
        <v>45533</v>
      </c>
      <c r="C36200" s="5" t="str">
        <f>IFERROR(__xludf.DUMMYFUNCTION("GOOGLETRANSLATE(B36200,""en"",""de"")"),"Der Mann nickt mit dem Kopf.")</f>
        <v>Der Mann nickt mit dem Kopf.</v>
      </c>
    </row>
    <row r="36201">
      <c r="A36201" s="4" t="s">
        <v>45520</v>
      </c>
      <c r="B36201" s="4" t="s">
        <v>45534</v>
      </c>
      <c r="C36201" s="5" t="str">
        <f>IFERROR(__xludf.DUMMYFUNCTION("GOOGLETRANSLATE(B36201,""en"",""de"")"),"Die Leute gehen vom Rodeo Dreck ab und der Mann bedeckt seine Nase.")</f>
        <v>Die Leute gehen vom Rodeo Dreck ab und der Mann bedeckt seine Nase.</v>
      </c>
    </row>
    <row r="36202">
      <c r="A36202" s="4" t="s">
        <v>45535</v>
      </c>
      <c r="B36202" s="4" t="s">
        <v>45536</v>
      </c>
      <c r="C36202" s="5" t="str">
        <f>IFERROR(__xludf.DUMMYFUNCTION("GOOGLETRANSLATE(B36202,""en"",""de"")"),"Ein Team von Wettbewerbsprüfern kommt auf das Feld und geht in die Bildung.")</f>
        <v>Ein Team von Wettbewerbsprüfern kommt auf das Feld und geht in die Bildung.</v>
      </c>
    </row>
    <row r="36203">
      <c r="A36203" s="4" t="s">
        <v>45535</v>
      </c>
      <c r="B36203" s="4" t="s">
        <v>45537</v>
      </c>
      <c r="C36203" s="5" t="str">
        <f>IFERROR(__xludf.DUMMYFUNCTION("GOOGLETRANSLATE(B36203,""en"",""de"")"),"Die Mädchen hocken runter und sie beginnen ihren Jubel, der aus mehreren Stunts, Tricks und Springen über die Matte besteht.")</f>
        <v>Die Mädchen hocken runter und sie beginnen ihren Jubel, der aus mehreren Stunts, Tricks und Springen über die Matte besteht.</v>
      </c>
    </row>
    <row r="36204">
      <c r="A36204" s="4" t="s">
        <v>45535</v>
      </c>
      <c r="B36204" s="4" t="s">
        <v>45538</v>
      </c>
      <c r="C36204" s="5" t="str">
        <f>IFERROR(__xludf.DUMMYFUNCTION("GOOGLETRANSLATE(B36204,""en"",""de"")"),"Sobald sie fertig sind, enden die Mädchen in einem Stunt und der Stunt -Mann rennt zur Gruppe.")</f>
        <v>Sobald sie fertig sind, enden die Mädchen in einem Stunt und der Stunt -Mann rennt zur Gruppe.</v>
      </c>
    </row>
    <row r="36205">
      <c r="A36205" s="4" t="s">
        <v>45539</v>
      </c>
      <c r="B36205" s="4" t="s">
        <v>45540</v>
      </c>
      <c r="C36205" s="5" t="str">
        <f>IFERROR(__xludf.DUMMYFUNCTION("GOOGLETRANSLATE(B36205,""en"",""de"")"),"Little Kind hängt in einem Spielplatz an einer Stange.")</f>
        <v>Little Kind hängt in einem Spielplatz an einer Stange.</v>
      </c>
    </row>
    <row r="36206">
      <c r="A36206" s="4" t="s">
        <v>45539</v>
      </c>
      <c r="B36206" s="4" t="s">
        <v>45541</v>
      </c>
      <c r="C36206" s="5" t="str">
        <f>IFERROR(__xludf.DUMMYFUNCTION("GOOGLETRANSLATE(B36206,""en"",""de"")"),"Der Spielplatz wird in einem staubigen Feld in einem großen Park gezeigt.")</f>
        <v>Der Spielplatz wird in einem staubigen Feld in einem großen Park gezeigt.</v>
      </c>
    </row>
    <row r="36207">
      <c r="A36207" s="4" t="s">
        <v>45539</v>
      </c>
      <c r="B36207" s="4" t="s">
        <v>45542</v>
      </c>
      <c r="C36207" s="5" t="str">
        <f>IFERROR(__xludf.DUMMYFUNCTION("GOOGLETRANSLATE(B36207,""en"",""de"")"),"Little Kid ist ein rosa Hemd von Wearng und hängt von einer Seite zur Seite.")</f>
        <v>Little Kid ist ein rosa Hemd von Wearng und hängt von einer Seite zur Seite.</v>
      </c>
    </row>
    <row r="36208">
      <c r="A36208" s="4" t="s">
        <v>45543</v>
      </c>
      <c r="B36208" s="4" t="s">
        <v>45544</v>
      </c>
      <c r="C36208" s="5" t="str">
        <f>IFERROR(__xludf.DUMMYFUNCTION("GOOGLETRANSLATE(B36208,""en"",""de"")"),"Joe Morin von Titan Alloy spricht über Schweißaluminium.")</f>
        <v>Joe Morin von Titan Alloy spricht über Schweißaluminium.</v>
      </c>
    </row>
    <row r="36209">
      <c r="A36209" s="4" t="s">
        <v>45543</v>
      </c>
      <c r="B36209" s="4" t="s">
        <v>45545</v>
      </c>
      <c r="C36209" s="5" t="str">
        <f>IFERROR(__xludf.DUMMYFUNCTION("GOOGLETRANSLATE(B36209,""en"",""de"")"),"Er macht ein Tutorial zum Reparieren von Aluminium.")</f>
        <v>Er macht ein Tutorial zum Reparieren von Aluminium.</v>
      </c>
    </row>
    <row r="36210">
      <c r="A36210" s="4" t="s">
        <v>45543</v>
      </c>
      <c r="B36210" s="4" t="s">
        <v>45546</v>
      </c>
      <c r="C36210" s="5" t="str">
        <f>IFERROR(__xludf.DUMMYFUNCTION("GOOGLETRANSLATE(B36210,""en"",""de"")"),"Er zeigt ein neues Produkt namens Nova, eine Elektrode zum Reinigen von schmutzigem Aluminium.")</f>
        <v>Er zeigt ein neues Produkt namens Nova, eine Elektrode zum Reinigen von schmutzigem Aluminium.</v>
      </c>
    </row>
    <row r="36211">
      <c r="A36211" s="4" t="s">
        <v>45543</v>
      </c>
      <c r="B36211" s="4" t="s">
        <v>45547</v>
      </c>
      <c r="C36211" s="5" t="str">
        <f>IFERROR(__xludf.DUMMYFUNCTION("GOOGLETRANSLATE(B36211,""en"",""de"")"),"Er zeigt zwei Aluminiumplatten, die zu Demonstrationszwecken miteinander verbunden sind.")</f>
        <v>Er zeigt zwei Aluminiumplatten, die zu Demonstrationszwecken miteinander verbunden sind.</v>
      </c>
    </row>
    <row r="36212">
      <c r="A36212" s="4" t="s">
        <v>45543</v>
      </c>
      <c r="B36212" s="4" t="s">
        <v>45548</v>
      </c>
      <c r="C36212" s="5" t="str">
        <f>IFERROR(__xludf.DUMMYFUNCTION("GOOGLETRANSLATE(B36212,""en"",""de"")"),"Er nimmt die Nova Rod und zeigt, wie er die beiden Teile zusammen schweißen kann.")</f>
        <v>Er nimmt die Nova Rod und zeigt, wie er die beiden Teile zusammen schweißen kann.</v>
      </c>
    </row>
    <row r="36213">
      <c r="A36213" s="4" t="s">
        <v>45543</v>
      </c>
      <c r="B36213" s="4" t="s">
        <v>45549</v>
      </c>
      <c r="C36213" s="5" t="str">
        <f>IFERROR(__xludf.DUMMYFUNCTION("GOOGLETRANSLATE(B36213,""en"",""de"")"),"Er beginnt, die beiden Aluminiumplatten zu schweißen.")</f>
        <v>Er beginnt, die beiden Aluminiumplatten zu schweißen.</v>
      </c>
    </row>
    <row r="36214">
      <c r="A36214" s="4" t="s">
        <v>45543</v>
      </c>
      <c r="B36214" s="4" t="s">
        <v>45550</v>
      </c>
      <c r="C36214" s="5" t="str">
        <f>IFERROR(__xludf.DUMMYFUNCTION("GOOGLETRANSLATE(B36214,""en"",""de"")"),"Dann trifft er die Teller mit einem Hammer und schrubbt vom Staub.")</f>
        <v>Dann trifft er die Teller mit einem Hammer und schrubbt vom Staub.</v>
      </c>
    </row>
    <row r="36215">
      <c r="A36215" s="4" t="s">
        <v>45543</v>
      </c>
      <c r="B36215" s="4" t="s">
        <v>45551</v>
      </c>
      <c r="C36215" s="5" t="str">
        <f>IFERROR(__xludf.DUMMYFUNCTION("GOOGLETRANSLATE(B36215,""en"",""de"")"),"Er zeigt die Rückseite der Teller und wie sie zusammengeschweißt wird.")</f>
        <v>Er zeigt die Rückseite der Teller und wie sie zusammengeschweißt wird.</v>
      </c>
    </row>
    <row r="36216">
      <c r="A36216" s="4" t="s">
        <v>45552</v>
      </c>
      <c r="B36216" s="4" t="s">
        <v>45553</v>
      </c>
      <c r="C36216" s="5" t="str">
        <f>IFERROR(__xludf.DUMMYFUNCTION("GOOGLETRANSLATE(B36216,""en"",""de"")"),"Ein Mann bei einem professionellen Sportereignis erhebt ein großes und schweres Gewicht mit Knie-, Rücken- und Armstärke, während eine Frau in einem Anzug aus der Seitenlinie beobachtet.")</f>
        <v>Ein Mann bei einem professionellen Sportereignis erhebt ein großes und schweres Gewicht mit Knie-, Rücken- und Armstärke, während eine Frau in einem Anzug aus der Seitenlinie beobachtet.</v>
      </c>
    </row>
    <row r="36217">
      <c r="A36217" s="4" t="s">
        <v>45552</v>
      </c>
      <c r="B36217" s="4" t="s">
        <v>45554</v>
      </c>
      <c r="C36217" s="5" t="str">
        <f>IFERROR(__xludf.DUMMYFUNCTION("GOOGLETRANSLATE(B36217,""en"",""de"")"),"Ein Mann, der ein ""USA"" -Shirt oder Teamuniform trägt, nähert sich einem zweiseitigen Gewicht, während eine Frau von der Seite in der Nähe einer Tür zusieht.")</f>
        <v>Ein Mann, der ein "USA" -Shirt oder Teamuniform trägt, nähert sich einem zweiseitigen Gewicht, während eine Frau von der Seite in der Nähe einer Tür zusieht.</v>
      </c>
    </row>
    <row r="36218">
      <c r="A36218" s="4" t="s">
        <v>45552</v>
      </c>
      <c r="B36218" s="4" t="s">
        <v>45555</v>
      </c>
      <c r="C36218" s="5" t="str">
        <f>IFERROR(__xludf.DUMMYFUNCTION("GOOGLETRANSLATE(B36218,""en"",""de"")"),"Der Mann hebt das Gewicht und die Kamera zeigt den Prozess in Zeitlupe.")</f>
        <v>Der Mann hebt das Gewicht und die Kamera zeigt den Prozess in Zeitlupe.</v>
      </c>
    </row>
    <row r="36219">
      <c r="A36219" s="4" t="s">
        <v>45552</v>
      </c>
      <c r="B36219" s="4" t="s">
        <v>45556</v>
      </c>
      <c r="C36219" s="5" t="str">
        <f>IFERROR(__xludf.DUMMYFUNCTION("GOOGLETRANSLATE(B36219,""en"",""de"")"),"Der Mann hebt das Gewicht über seinen Kopf und lässt ihn dann auf den mittleren Körper fallen, bevor er es auf den Boden fallen lässt.")</f>
        <v>Der Mann hebt das Gewicht über seinen Kopf und lässt ihn dann auf den mittleren Körper fallen, bevor er es auf den Boden fallen lässt.</v>
      </c>
    </row>
    <row r="36220">
      <c r="A36220" s="4" t="s">
        <v>45557</v>
      </c>
      <c r="B36220" s="4" t="s">
        <v>45558</v>
      </c>
      <c r="C36220" s="5" t="str">
        <f>IFERROR(__xludf.DUMMYFUNCTION("GOOGLETRANSLATE(B36220,""en"",""de"")"),"Ein Junge in einem blauen T-Shirt springt in einem Fitnessstudio zwei Basketballs, während er einen anderen Basketballspieler blockiert und mit dem Ball ein Tor erzielt.")</f>
        <v>Ein Junge in einem blauen T-Shirt springt in einem Fitnessstudio zwei Basketballs, während er einen anderen Basketballspieler blockiert und mit dem Ball ein Tor erzielt.</v>
      </c>
    </row>
    <row r="36221">
      <c r="A36221" s="4" t="s">
        <v>45557</v>
      </c>
      <c r="B36221" s="4" t="s">
        <v>45559</v>
      </c>
      <c r="C36221" s="5" t="str">
        <f>IFERROR(__xludf.DUMMYFUNCTION("GOOGLETRANSLATE(B36221,""en"",""de"")"),"Ein Junge springt zwei Basketbälle zwischen seinen Beinen.")</f>
        <v>Ein Junge springt zwei Basketbälle zwischen seinen Beinen.</v>
      </c>
    </row>
    <row r="36222">
      <c r="A36222" s="4" t="s">
        <v>45557</v>
      </c>
      <c r="B36222" s="4" t="s">
        <v>45560</v>
      </c>
      <c r="C36222" s="5" t="str">
        <f>IFERROR(__xludf.DUMMYFUNCTION("GOOGLETRANSLATE(B36222,""en"",""de"")"),"Ein anderer Basketballspieler nähert sich ihm und versucht, ihm den Ball zu nehmen.")</f>
        <v>Ein anderer Basketballspieler nähert sich ihm und versucht, ihm den Ball zu nehmen.</v>
      </c>
    </row>
    <row r="36223">
      <c r="A36223" s="4" t="s">
        <v>45557</v>
      </c>
      <c r="B36223" s="4" t="s">
        <v>45561</v>
      </c>
      <c r="C36223" s="5" t="str">
        <f>IFERROR(__xludf.DUMMYFUNCTION("GOOGLETRANSLATE(B36223,""en"",""de"")"),"Der Spieler im blauen Hemd blockiert ihn und macht das Ziel und macht es dann zweimal wieder.")</f>
        <v>Der Spieler im blauen Hemd blockiert ihn und macht das Ziel und macht es dann zweimal wieder.</v>
      </c>
    </row>
    <row r="36224">
      <c r="A36224" s="4" t="s">
        <v>45562</v>
      </c>
      <c r="B36224" s="4" t="s">
        <v>45563</v>
      </c>
      <c r="C36224" s="5" t="str">
        <f>IFERROR(__xludf.DUMMYFUNCTION("GOOGLETRANSLATE(B36224,""en"",""de"")"),"Der Mann spielt Klavier mit vielen Menschen, die um ihn herum versammelt sind.")</f>
        <v>Der Mann spielt Klavier mit vielen Menschen, die um ihn herum versammelt sind.</v>
      </c>
    </row>
    <row r="36225">
      <c r="A36225" s="4" t="s">
        <v>45562</v>
      </c>
      <c r="B36225" s="4" t="s">
        <v>45564</v>
      </c>
      <c r="C36225" s="5" t="str">
        <f>IFERROR(__xludf.DUMMYFUNCTION("GOOGLETRANSLATE(B36225,""en"",""de"")"),"Der Mensch hält ein Handy und nimmt den Mann im Klavier auf.")</f>
        <v>Der Mensch hält ein Handy und nimmt den Mann im Klavier auf.</v>
      </c>
    </row>
    <row r="36226">
      <c r="A36226" s="4" t="s">
        <v>45565</v>
      </c>
      <c r="B36226" s="4" t="s">
        <v>45566</v>
      </c>
      <c r="C36226" s="5" t="str">
        <f>IFERROR(__xludf.DUMMYFUNCTION("GOOGLETRANSLATE(B36226,""en"",""de"")"),"Ein Mann steht vor der Kamera und spricht und es werden verschiedene Reisen von Menschen und Websites gezeigt.")</f>
        <v>Ein Mann steht vor der Kamera und spricht und es werden verschiedene Reisen von Menschen und Websites gezeigt.</v>
      </c>
    </row>
    <row r="36227">
      <c r="A36227" s="4" t="s">
        <v>45565</v>
      </c>
      <c r="B36227" s="4" t="s">
        <v>45567</v>
      </c>
      <c r="C36227" s="5" t="str">
        <f>IFERROR(__xludf.DUMMYFUNCTION("GOOGLETRANSLATE(B36227,""en"",""de"")"),"Ein anderer Mann wird interviewt, gefolgt von mehreren weiteren Schüssen des Gebiets.")</f>
        <v>Ein anderer Mann wird interviewt, gefolgt von mehreren weiteren Schüssen des Gebiets.</v>
      </c>
    </row>
    <row r="36228">
      <c r="A36228" s="4" t="s">
        <v>45565</v>
      </c>
      <c r="B36228" s="4" t="s">
        <v>45568</v>
      </c>
      <c r="C36228" s="5" t="str">
        <f>IFERROR(__xludf.DUMMYFUNCTION("GOOGLETRANSLATE(B36228,""en"",""de"")"),"Eine Gruppe von Menschen spricht miteinander und die Leute machen sich bereit für ein Rennen.")</f>
        <v>Eine Gruppe von Menschen spricht miteinander und die Leute machen sich bereit für ein Rennen.</v>
      </c>
    </row>
    <row r="36229">
      <c r="A36229" s="4" t="s">
        <v>45565</v>
      </c>
      <c r="B36229" s="4" t="s">
        <v>45569</v>
      </c>
      <c r="C36229" s="5" t="str">
        <f>IFERROR(__xludf.DUMMYFUNCTION("GOOGLETRANSLATE(B36229,""en"",""de"")"),"Dutzende von Menschen richten sich an und schwimmen im Meer, um zu fahren.")</f>
        <v>Dutzende von Menschen richten sich an und schwimmen im Meer, um zu fahren.</v>
      </c>
    </row>
    <row r="36230">
      <c r="A36230" s="4" t="s">
        <v>45565</v>
      </c>
      <c r="B36230" s="4" t="s">
        <v>45570</v>
      </c>
      <c r="C36230" s="5" t="str">
        <f>IFERROR(__xludf.DUMMYFUNCTION("GOOGLETRANSLATE(B36230,""en"",""de"")"),"Während des Rennens werden viel mehr Menschen interviewt, und viele Menschen beobachten und diskutieren die Ereignisse.")</f>
        <v>Während des Rennens werden viel mehr Menschen interviewt, und viele Menschen beobachten und diskutieren die Ereignisse.</v>
      </c>
    </row>
    <row r="36231">
      <c r="A36231" s="4" t="s">
        <v>45571</v>
      </c>
      <c r="B36231" s="4" t="s">
        <v>45572</v>
      </c>
      <c r="C36231" s="5" t="str">
        <f>IFERROR(__xludf.DUMMYFUNCTION("GOOGLETRANSLATE(B36231,""en"",""de"")"),"Ein junges Mädchen sitzt auf einem Bett mit zwei Stricknadeln und Faden in den Händen.")</f>
        <v>Ein junges Mädchen sitzt auf einem Bett mit zwei Stricknadeln und Faden in den Händen.</v>
      </c>
    </row>
    <row r="36232">
      <c r="A36232" s="4" t="s">
        <v>45571</v>
      </c>
      <c r="B36232" s="4" t="s">
        <v>45573</v>
      </c>
      <c r="C36232" s="5" t="str">
        <f>IFERROR(__xludf.DUMMYFUNCTION("GOOGLETRANSLATE(B36232,""en"",""de"")"),"Die Kamera schwenkt um sie herum und beobachtet ihren Strick, während sie spricht und in die Ferne schaut.")</f>
        <v>Die Kamera schwenkt um sie herum und beobachtet ihren Strick, während sie spricht und in die Ferne schaut.</v>
      </c>
    </row>
    <row r="36233">
      <c r="A36233" s="4" t="s">
        <v>45574</v>
      </c>
      <c r="B36233" s="4" t="s">
        <v>45575</v>
      </c>
      <c r="C36233" s="5" t="str">
        <f>IFERROR(__xludf.DUMMYFUNCTION("GOOGLETRANSLATE(B36233,""en"",""de"")"),"Ein Junge in der roten Jacke hält ein Fensterschaberwerkzeug und entzieht Schnee aus einer Autowindschutzscheibe.")</f>
        <v>Ein Junge in der roten Jacke hält ein Fensterschaberwerkzeug und entzieht Schnee aus einer Autowindschutzscheibe.</v>
      </c>
    </row>
    <row r="36234">
      <c r="A36234" s="4" t="s">
        <v>45574</v>
      </c>
      <c r="B36234" s="4" t="s">
        <v>45576</v>
      </c>
      <c r="C36234" s="5" t="str">
        <f>IFERROR(__xludf.DUMMYFUNCTION("GOOGLETRANSLATE(B36234,""en"",""de"")"),"Der Junge dreht das Werkzeug und verwendet kurz die Kantenkante.")</f>
        <v>Der Junge dreht das Werkzeug und verwendet kurz die Kantenkante.</v>
      </c>
    </row>
    <row r="36235">
      <c r="A36235" s="4" t="s">
        <v>45574</v>
      </c>
      <c r="B36235" s="4" t="s">
        <v>45577</v>
      </c>
      <c r="C36235" s="5" t="str">
        <f>IFERROR(__xludf.DUMMYFUNCTION("GOOGLETRANSLATE(B36235,""en"",""de"")"),"Der Junge kratzt weiterhin die Windschutzscheibe wie zuvor mit der breiten Seite des Werkzeugs.")</f>
        <v>Der Junge kratzt weiterhin die Windschutzscheibe wie zuvor mit der breiten Seite des Werkzeugs.</v>
      </c>
    </row>
    <row r="36236">
      <c r="A36236" s="4" t="s">
        <v>45578</v>
      </c>
      <c r="B36236" s="4" t="s">
        <v>45579</v>
      </c>
      <c r="C36236" s="5" t="str">
        <f>IFERROR(__xludf.DUMMYFUNCTION("GOOGLETRANSLATE(B36236,""en"",""de"")"),"Wir sehen die farbenfrohe Titelkarte.")</f>
        <v>Wir sehen die farbenfrohe Titelkarte.</v>
      </c>
    </row>
    <row r="36237">
      <c r="A36237" s="4" t="s">
        <v>45578</v>
      </c>
      <c r="B36237" s="4" t="s">
        <v>45580</v>
      </c>
      <c r="C36237" s="5" t="str">
        <f>IFERROR(__xludf.DUMMYFUNCTION("GOOGLETRANSLATE(B36237,""en"",""de"")"),"Wir sehen Kinder auf dem Spielplatz spielen.")</f>
        <v>Wir sehen Kinder auf dem Spielplatz spielen.</v>
      </c>
    </row>
    <row r="36238">
      <c r="A36238" s="4" t="s">
        <v>45578</v>
      </c>
      <c r="B36238" s="4" t="s">
        <v>45581</v>
      </c>
      <c r="C36238" s="5" t="str">
        <f>IFERROR(__xludf.DUMMYFUNCTION("GOOGLETRANSLATE(B36238,""en"",""de"")"),"Der Junge steigt aus der Schaukel und wir folgen ihm zur Folie.")</f>
        <v>Der Junge steigt aus der Schaukel und wir folgen ihm zur Folie.</v>
      </c>
    </row>
    <row r="36239">
      <c r="A36239" s="4" t="s">
        <v>45578</v>
      </c>
      <c r="B36239" s="4" t="s">
        <v>45582</v>
      </c>
      <c r="C36239" s="5" t="str">
        <f>IFERROR(__xludf.DUMMYFUNCTION("GOOGLETRANSLATE(B36239,""en"",""de"")"),"Der Junge beendet das Gleiten und geht zu einem anderen Teil des Parks und spielt herum.")</f>
        <v>Der Junge beendet das Gleiten und geht zu einem anderen Teil des Parks und spielt herum.</v>
      </c>
    </row>
    <row r="36240">
      <c r="A36240" s="4" t="s">
        <v>45578</v>
      </c>
      <c r="B36240" s="4" t="s">
        <v>45583</v>
      </c>
      <c r="C36240" s="5" t="str">
        <f>IFERROR(__xludf.DUMMYFUNCTION("GOOGLETRANSLATE(B36240,""en"",""de"")"),"Der Junge gleitet und fällt auf die Brücke, bevor er nach unten rutscht.")</f>
        <v>Der Junge gleitet und fällt auf die Brücke, bevor er nach unten rutscht.</v>
      </c>
    </row>
    <row r="36241">
      <c r="A36241" s="4" t="s">
        <v>45578</v>
      </c>
      <c r="B36241" s="4" t="s">
        <v>45584</v>
      </c>
      <c r="C36241" s="5" t="str">
        <f>IFERROR(__xludf.DUMMYFUNCTION("GOOGLETRANSLATE(B36241,""en"",""de"")"),"Er spielt mit dem großen Schaukel mit einem anderen Kind.")</f>
        <v>Er spielt mit dem großen Schaukel mit einem anderen Kind.</v>
      </c>
    </row>
    <row r="36242">
      <c r="A36242" s="4" t="s">
        <v>45578</v>
      </c>
      <c r="B36242" s="4" t="s">
        <v>45585</v>
      </c>
      <c r="C36242" s="5" t="str">
        <f>IFERROR(__xludf.DUMMYFUNCTION("GOOGLETRANSLATE(B36242,""en"",""de"")"),"Wir sehen den Endbildschirm.")</f>
        <v>Wir sehen den Endbildschirm.</v>
      </c>
    </row>
    <row r="36243">
      <c r="A36243" s="4" t="s">
        <v>45586</v>
      </c>
      <c r="B36243" s="4" t="s">
        <v>45587</v>
      </c>
      <c r="C36243" s="5" t="str">
        <f>IFERROR(__xludf.DUMMYFUNCTION("GOOGLETRANSLATE(B36243,""en"",""de"")"),"Eine Person hält jemanden auf ihren Schultern.")</f>
        <v>Eine Person hält jemanden auf ihren Schultern.</v>
      </c>
    </row>
    <row r="36244">
      <c r="A36244" s="4" t="s">
        <v>45586</v>
      </c>
      <c r="B36244" s="4" t="s">
        <v>45588</v>
      </c>
      <c r="C36244" s="5" t="str">
        <f>IFERROR(__xludf.DUMMYFUNCTION("GOOGLETRANSLATE(B36244,""en"",""de"")"),"Sie drehen sich mehrmals herum und fallen auf den Boden.")</f>
        <v>Sie drehen sich mehrmals herum und fallen auf den Boden.</v>
      </c>
    </row>
    <row r="36245">
      <c r="A36245" s="4" t="s">
        <v>45586</v>
      </c>
      <c r="B36245" s="4" t="s">
        <v>45589</v>
      </c>
      <c r="C36245" s="5" t="str">
        <f>IFERROR(__xludf.DUMMYFUNCTION("GOOGLETRANSLATE(B36245,""en"",""de"")"),"Der Mann steht auf und sitzt auf dem Bett.")</f>
        <v>Der Mann steht auf und sitzt auf dem Bett.</v>
      </c>
    </row>
    <row r="36246">
      <c r="A36246" s="4" t="s">
        <v>45590</v>
      </c>
      <c r="B36246" s="4" t="s">
        <v>45591</v>
      </c>
      <c r="C36246" s="5" t="str">
        <f>IFERROR(__xludf.DUMMYFUNCTION("GOOGLETRANSLATE(B36246,""en"",""de"")"),"Diese Mädchen werden gezeigt, wie sie auf den Boden knien und ein Mädchen mit einem Mädchen -Put -Chap -Stick auf ihren Lippen, Wangen, Stirn und unter ihren Augen spielen.")</f>
        <v>Diese Mädchen werden gezeigt, wie sie auf den Boden knien und ein Mädchen mit einem Mädchen -Put -Chap -Stick auf ihren Lippen, Wangen, Stirn und unter ihren Augen spielen.</v>
      </c>
    </row>
    <row r="36247">
      <c r="A36247" s="4" t="s">
        <v>45590</v>
      </c>
      <c r="B36247" s="4" t="s">
        <v>45592</v>
      </c>
      <c r="C36247" s="5" t="str">
        <f>IFERROR(__xludf.DUMMYFUNCTION("GOOGLETRANSLATE(B36247,""en"",""de"")"),"Dann legt ein anderer ein wenig Make -up auf die Augen.")</f>
        <v>Dann legt ein anderer ein wenig Make -up auf die Augen.</v>
      </c>
    </row>
    <row r="36248">
      <c r="A36248" s="4" t="s">
        <v>45593</v>
      </c>
      <c r="B36248" s="4" t="s">
        <v>45594</v>
      </c>
      <c r="C36248" s="5" t="str">
        <f>IFERROR(__xludf.DUMMYFUNCTION("GOOGLETRANSLATE(B36248,""en"",""de"")"),"Ein kleines Kind steht vor einem Auto, das einen Lappen hält und in die Kamera schaut.")</f>
        <v>Ein kleines Kind steht vor einem Auto, das einen Lappen hält und in die Kamera schaut.</v>
      </c>
    </row>
    <row r="36249">
      <c r="A36249" s="4" t="s">
        <v>45593</v>
      </c>
      <c r="B36249" s="4" t="s">
        <v>45595</v>
      </c>
      <c r="C36249" s="5" t="str">
        <f>IFERROR(__xludf.DUMMYFUNCTION("GOOGLETRANSLATE(B36249,""en"",""de"")"),"Der Junge benutzt den Lappen über das Auto, während die Kamera seinen Bewegungen folgt.")</f>
        <v>Der Junge benutzt den Lappen über das Auto, während die Kamera seinen Bewegungen folgt.</v>
      </c>
    </row>
    <row r="36250">
      <c r="A36250" s="4" t="s">
        <v>45593</v>
      </c>
      <c r="B36250" s="4" t="s">
        <v>45596</v>
      </c>
      <c r="C36250" s="5" t="str">
        <f>IFERROR(__xludf.DUMMYFUNCTION("GOOGLETRANSLATE(B36250,""en"",""de"")"),"Er bewegt sich weiter im Auto, während ein anderer Mann einen Schlauch sprüht und der Junge ihn abweist.")</f>
        <v>Er bewegt sich weiter im Auto, während ein anderer Mann einen Schlauch sprüht und der Junge ihn abweist.</v>
      </c>
    </row>
    <row r="36251">
      <c r="A36251" s="4" t="s">
        <v>45597</v>
      </c>
      <c r="B36251" s="4" t="s">
        <v>45598</v>
      </c>
      <c r="C36251" s="5" t="str">
        <f>IFERROR(__xludf.DUMMYFUNCTION("GOOGLETRANSLATE(B36251,""en"",""de"")"),"Mehrere Menschen bohren Löcher in das Eis, während sie nach unten schauen und mit der Kamera sprechen.")</f>
        <v>Mehrere Menschen bohren Löcher in das Eis, während sie nach unten schauen und mit der Kamera sprechen.</v>
      </c>
    </row>
    <row r="36252">
      <c r="A36252" s="4" t="s">
        <v>45597</v>
      </c>
      <c r="B36252" s="4" t="s">
        <v>45599</v>
      </c>
      <c r="C36252" s="5" t="str">
        <f>IFERROR(__xludf.DUMMYFUNCTION("GOOGLETRANSLATE(B36252,""en"",""de"")"),"Viele Bilder werden von den Menschen gezeigt, die angeln und Fische aus einem Loch ziehen.")</f>
        <v>Viele Bilder werden von den Menschen gezeigt, die angeln und Fische aus einem Loch ziehen.</v>
      </c>
    </row>
    <row r="36253">
      <c r="A36253" s="4" t="s">
        <v>45597</v>
      </c>
      <c r="B36253" s="4" t="s">
        <v>45600</v>
      </c>
      <c r="C36253" s="5" t="str">
        <f>IFERROR(__xludf.DUMMYFUNCTION("GOOGLETRANSLATE(B36253,""en"",""de"")"),"Weitere Menschen sitzen an den Löchern und ziehen weiterhin Fische heraus.")</f>
        <v>Weitere Menschen sitzen an den Löchern und ziehen weiterhin Fische heraus.</v>
      </c>
    </row>
    <row r="36254">
      <c r="A36254" s="4" t="s">
        <v>45601</v>
      </c>
      <c r="B36254" s="4" t="s">
        <v>45602</v>
      </c>
      <c r="C36254" s="5" t="str">
        <f>IFERROR(__xludf.DUMMYFUNCTION("GOOGLETRANSLATE(B36254,""en"",""de"")"),"Eine Gruppe von Menschen ist zusammen auf einem Hindernisparcours.")</f>
        <v>Eine Gruppe von Menschen ist zusammen auf einem Hindernisparcours.</v>
      </c>
    </row>
    <row r="36255">
      <c r="A36255" s="4" t="s">
        <v>45601</v>
      </c>
      <c r="B36255" s="4" t="s">
        <v>45603</v>
      </c>
      <c r="C36255" s="5" t="str">
        <f>IFERROR(__xludf.DUMMYFUNCTION("GOOGLETRANSLATE(B36255,""en"",""de"")"),"Sie verstecken sich hinter den Hindernissen und schießen sich mit Farbpistolen aufeinander.")</f>
        <v>Sie verstecken sich hinter den Hindernissen und schießen sich mit Farbpistolen aufeinander.</v>
      </c>
    </row>
    <row r="36256">
      <c r="A36256" s="4" t="s">
        <v>45601</v>
      </c>
      <c r="B36256" s="4" t="s">
        <v>45604</v>
      </c>
      <c r="C36256" s="5" t="str">
        <f>IFERROR(__xludf.DUMMYFUNCTION("GOOGLETRANSLATE(B36256,""en"",""de"")"),"Sie rennen herum, versammeln sich und umarmen sich dann, wenn sie fertig sind.")</f>
        <v>Sie rennen herum, versammeln sich und umarmen sich dann, wenn sie fertig sind.</v>
      </c>
    </row>
    <row r="36257">
      <c r="A36257" s="4" t="s">
        <v>45605</v>
      </c>
      <c r="B36257" s="4" t="s">
        <v>45606</v>
      </c>
      <c r="C36257" s="5" t="str">
        <f>IFERROR(__xludf.DUMMYFUNCTION("GOOGLETRANSLATE(B36257,""en"",""de"")"),"Zutaten werden in einer silbernen Schüssel zusammengemischt.")</f>
        <v>Zutaten werden in einer silbernen Schüssel zusammengemischt.</v>
      </c>
    </row>
    <row r="36258">
      <c r="A36258" s="4" t="s">
        <v>45605</v>
      </c>
      <c r="B36258" s="4" t="s">
        <v>45607</v>
      </c>
      <c r="C36258" s="5" t="str">
        <f>IFERROR(__xludf.DUMMYFUNCTION("GOOGLETRANSLATE(B36258,""en"",""de"")"),"Es wird dann auf ein Keksblatt gelegt.")</f>
        <v>Es wird dann auf ein Keksblatt gelegt.</v>
      </c>
    </row>
    <row r="36259">
      <c r="A36259" s="4" t="s">
        <v>45605</v>
      </c>
      <c r="B36259" s="4" t="s">
        <v>45608</v>
      </c>
      <c r="C36259" s="5" t="str">
        <f>IFERROR(__xludf.DUMMYFUNCTION("GOOGLETRANSLATE(B36259,""en"",""de"")"),"Das gekochte Essen wird dann gezeigt und in zwei Hälften zerbrochen.")</f>
        <v>Das gekochte Essen wird dann gezeigt und in zwei Hälften zerbrochen.</v>
      </c>
    </row>
    <row r="36260">
      <c r="A36260" s="4" t="s">
        <v>45609</v>
      </c>
      <c r="B36260" s="4" t="s">
        <v>45610</v>
      </c>
      <c r="C36260" s="5" t="str">
        <f>IFERROR(__xludf.DUMMYFUNCTION("GOOGLETRANSLATE(B36260,""en"",""de"")"),"Ein Feld wird zusammen mit einigen Bergen gezeigt, als eine Person eine Straße hinunterfahren.")</f>
        <v>Ein Feld wird zusammen mit einigen Bergen gezeigt, als eine Person eine Straße hinunterfahren.</v>
      </c>
    </row>
    <row r="36261">
      <c r="A36261" s="4" t="s">
        <v>45609</v>
      </c>
      <c r="B36261" s="4" t="s">
        <v>45611</v>
      </c>
      <c r="C36261" s="5" t="str">
        <f>IFERROR(__xludf.DUMMYFUNCTION("GOOGLETRANSLATE(B36261,""en"",""de"")"),"Danach werden Männer gezeigt und sie steigen aus und beginnen mit dem Skateboard eine Straße im Land.")</f>
        <v>Danach werden Männer gezeigt und sie steigen aus und beginnen mit dem Skateboard eine Straße im Land.</v>
      </c>
    </row>
    <row r="36262">
      <c r="A36262" s="4" t="s">
        <v>45609</v>
      </c>
      <c r="B36262" s="4" t="s">
        <v>45612</v>
      </c>
      <c r="C36262" s="5" t="str">
        <f>IFERROR(__xludf.DUMMYFUNCTION("GOOGLETRANSLATE(B36262,""en"",""de"")"),"Als weiterhin befindet sich ein großer Heustand mitten auf der Straße und alle gehen durch ihn und sie schließen die Straße hinunter.")</f>
        <v>Als weiterhin befindet sich ein großer Heustand mitten auf der Straße und alle gehen durch ihn und sie schließen die Straße hinunter.</v>
      </c>
    </row>
    <row r="36263">
      <c r="A36263" s="4" t="s">
        <v>45613</v>
      </c>
      <c r="B36263" s="4" t="s">
        <v>45614</v>
      </c>
      <c r="C36263" s="5" t="str">
        <f>IFERROR(__xludf.DUMMYFUNCTION("GOOGLETRANSLATE(B36263,""en"",""de"")"),"Ein Stapel von Bäumen wird auf einem Kopfsteinpflasterweg außerhalb eines Gebäudes draußen aufblasen.")</f>
        <v>Ein Stapel von Bäumen wird auf einem Kopfsteinpflasterweg außerhalb eines Gebäudes draußen aufblasen.</v>
      </c>
    </row>
    <row r="36264">
      <c r="A36264" s="4" t="s">
        <v>45613</v>
      </c>
      <c r="B36264" s="4" t="s">
        <v>45615</v>
      </c>
      <c r="C36264" s="5" t="str">
        <f>IFERROR(__xludf.DUMMYFUNCTION("GOOGLETRANSLATE(B36264,""en"",""de"")"),"Während die Blätter weiterhin blasen, geht ein kleiner Junge in die Szene, die den Weg mit seinem Blattgebläse räumen.")</f>
        <v>Während die Blätter weiterhin blasen, geht ein kleiner Junge in die Szene, die den Weg mit seinem Blattgebläse räumen.</v>
      </c>
    </row>
    <row r="36265">
      <c r="A36265" s="4" t="s">
        <v>45616</v>
      </c>
      <c r="B36265" s="4" t="s">
        <v>45617</v>
      </c>
      <c r="C36265" s="5" t="str">
        <f>IFERROR(__xludf.DUMMYFUNCTION("GOOGLETRANSLATE(B36265,""en"",""de"")"),"Ein Mann in einem Anzug spielt eine Flöte auf der Bühne vor einem Mann, der ein Klavier spielt.")</f>
        <v>Ein Mann in einem Anzug spielt eine Flöte auf der Bühne vor einem Mann, der ein Klavier spielt.</v>
      </c>
    </row>
    <row r="36266">
      <c r="A36266" s="4" t="s">
        <v>45616</v>
      </c>
      <c r="B36266" s="4" t="s">
        <v>45618</v>
      </c>
      <c r="C36266" s="5" t="str">
        <f>IFERROR(__xludf.DUMMYFUNCTION("GOOGLETRANSLATE(B36266,""en"",""de"")"),"Sie spielen das Spielen und der Mann, der das Klavier spielt, steht auf.")</f>
        <v>Sie spielen das Spielen und der Mann, der das Klavier spielt, steht auf.</v>
      </c>
    </row>
    <row r="36267">
      <c r="A36267" s="4" t="s">
        <v>45619</v>
      </c>
      <c r="B36267" s="4" t="s">
        <v>45620</v>
      </c>
      <c r="C36267" s="5" t="str">
        <f>IFERROR(__xludf.DUMMYFUNCTION("GOOGLETRANSLATE(B36267,""en"",""de"")"),"Ein Taucher befindet sich unter dem Wasser, der Sauerstoff im Mund ist.")</f>
        <v>Ein Taucher befindet sich unter dem Wasser, der Sauerstoff im Mund ist.</v>
      </c>
    </row>
    <row r="36268">
      <c r="A36268" s="4" t="s">
        <v>45619</v>
      </c>
      <c r="B36268" s="4" t="s">
        <v>45621</v>
      </c>
      <c r="C36268" s="5" t="str">
        <f>IFERROR(__xludf.DUMMYFUNCTION("GOOGLETRANSLATE(B36268,""en"",""de"")"),"Der Taucher hält seine Augenmaske und zieht sie an.")</f>
        <v>Der Taucher hält seine Augenmaske und zieht sie an.</v>
      </c>
    </row>
    <row r="36269">
      <c r="A36269" s="4" t="s">
        <v>45619</v>
      </c>
      <c r="B36269" s="4" t="s">
        <v>45622</v>
      </c>
      <c r="C36269" s="5" t="str">
        <f>IFERROR(__xludf.DUMMYFUNCTION("GOOGLETRANSLATE(B36269,""en"",""de"")"),"Ein anderer Taucher zog seine Augenmasken aus, während hinter ihm andere Taucher schwimmen, dann wird er wieder maskiert und geben mit seinen Fingern ein gutes Zeichen.")</f>
        <v>Ein anderer Taucher zog seine Augenmasken aus, während hinter ihm andere Taucher schwimmen, dann wird er wieder maskiert und geben mit seinen Fingern ein gutes Zeichen.</v>
      </c>
    </row>
    <row r="36270">
      <c r="A36270" s="4" t="s">
        <v>45623</v>
      </c>
      <c r="B36270" s="4" t="s">
        <v>45624</v>
      </c>
      <c r="C36270" s="5" t="str">
        <f>IFERROR(__xludf.DUMMYFUNCTION("GOOGLETRANSLATE(B36270,""en"",""de"")"),"Ein Mann schleppt einen Busch in einem Hof.")</f>
        <v>Ein Mann schleppt einen Busch in einem Hof.</v>
      </c>
    </row>
    <row r="36271">
      <c r="A36271" s="4" t="s">
        <v>45623</v>
      </c>
      <c r="B36271" s="4" t="s">
        <v>45625</v>
      </c>
      <c r="C36271" s="5" t="str">
        <f>IFERROR(__xludf.DUMMYFUNCTION("GOOGLETRANSLATE(B36271,""en"",""de"")"),"Er schneidet den dicken Bürsten auf und ab.")</f>
        <v>Er schneidet den dicken Bürsten auf und ab.</v>
      </c>
    </row>
    <row r="36272">
      <c r="A36272" s="4" t="s">
        <v>45623</v>
      </c>
      <c r="B36272" s="4" t="s">
        <v>45626</v>
      </c>
      <c r="C36272" s="5" t="str">
        <f>IFERROR(__xludf.DUMMYFUNCTION("GOOGLETRANSLATE(B36272,""en"",""de"")"),"Er beendet die Hecke und zeigt seine Fähigkeiten.")</f>
        <v>Er beendet die Hecke und zeigt seine Fähigkeiten.</v>
      </c>
    </row>
    <row r="36273">
      <c r="A36273" s="4" t="s">
        <v>45627</v>
      </c>
      <c r="B36273" s="4" t="s">
        <v>45628</v>
      </c>
      <c r="C36273" s="5" t="str">
        <f>IFERROR(__xludf.DUMMYFUNCTION("GOOGLETRANSLATE(B36273,""en"",""de"")"),"Ein Bullen läuft in der Straße, die Menschen bocken und sie auf den Boden werfen, während die Bullen an einem Seil befestigt sind.")</f>
        <v>Ein Bullen läuft in der Straße, die Menschen bocken und sie auf den Boden werfen, während die Bullen an einem Seil befestigt sind.</v>
      </c>
    </row>
    <row r="36274">
      <c r="A36274" s="4" t="s">
        <v>45627</v>
      </c>
      <c r="B36274" s="4" t="s">
        <v>45629</v>
      </c>
      <c r="C36274" s="5" t="str">
        <f>IFERROR(__xludf.DUMMYFUNCTION("GOOGLETRANSLATE(B36274,""en"",""de"")"),"Der Bulle betritt ein Haus, dann setzt der Stier die Menschen auf der Straße weiter.")</f>
        <v>Der Bulle betritt ein Haus, dann setzt der Stier die Menschen auf der Straße weiter.</v>
      </c>
    </row>
    <row r="36275">
      <c r="A36275" s="4" t="s">
        <v>45627</v>
      </c>
      <c r="B36275" s="4" t="s">
        <v>45630</v>
      </c>
      <c r="C36275" s="5" t="str">
        <f>IFERROR(__xludf.DUMMYFUNCTION("GOOGLETRANSLATE(B36275,""en"",""de"")"),"Der Bulle betritt einen Korral und greift eine Person hinter dem Zaun an, dann wird der Stier weiterhin heftige Menschen auf der Straße.")</f>
        <v>Der Bulle betritt einen Korral und greift eine Person hinter dem Zaun an, dann wird der Stier weiterhin heftige Menschen auf der Straße.</v>
      </c>
    </row>
    <row r="36276">
      <c r="A36276" s="4" t="s">
        <v>45627</v>
      </c>
      <c r="B36276" s="4" t="s">
        <v>45631</v>
      </c>
      <c r="C36276" s="5" t="str">
        <f>IFERROR(__xludf.DUMMYFUNCTION("GOOGLETRANSLATE(B36276,""en"",""de"")"),"Eine Person streichelt den Stier durch ein Fenster, nachdem der Bulle mit einem anderen Stier auf den Boden fällt.")</f>
        <v>Eine Person streichelt den Stier durch ein Fenster, nachdem der Bulle mit einem anderen Stier auf den Boden fällt.</v>
      </c>
    </row>
    <row r="36277">
      <c r="A36277" s="4" t="s">
        <v>45627</v>
      </c>
      <c r="B36277" s="4" t="s">
        <v>45632</v>
      </c>
      <c r="C36277" s="5" t="str">
        <f>IFERROR(__xludf.DUMMYFUNCTION("GOOGLETRANSLATE(B36277,""en"",""de"")"),"Der Bulle greift einen Hund an, sitzt auf einer Tür.")</f>
        <v>Der Bulle greift einen Hund an, sitzt auf einer Tür.</v>
      </c>
    </row>
    <row r="36278">
      <c r="A36278" s="4" t="s">
        <v>45627</v>
      </c>
      <c r="B36278" s="4" t="s">
        <v>45633</v>
      </c>
      <c r="C36278" s="5" t="str">
        <f>IFERROR(__xludf.DUMMYFUNCTION("GOOGLETRANSLATE(B36278,""en"",""de"")"),"Die Bull Gores -Leute und auch Menschen auf dem Bürgersteig angreift.")</f>
        <v>Die Bull Gores -Leute und auch Menschen auf dem Bürgersteig angreift.</v>
      </c>
    </row>
    <row r="36279">
      <c r="A36279" s="4" t="s">
        <v>45627</v>
      </c>
      <c r="B36279" s="4" t="s">
        <v>45634</v>
      </c>
      <c r="C36279" s="5" t="str">
        <f>IFERROR(__xludf.DUMMYFUNCTION("GOOGLETRANSLATE(B36279,""en"",""de"")"),"Der Stier setzt die Goring -Leute fort.")</f>
        <v>Der Stier setzt die Goring -Leute fort.</v>
      </c>
    </row>
    <row r="36280">
      <c r="A36280" s="4" t="s">
        <v>45635</v>
      </c>
      <c r="B36280" s="4" t="s">
        <v>45636</v>
      </c>
      <c r="C36280" s="5" t="str">
        <f>IFERROR(__xludf.DUMMYFUNCTION("GOOGLETRANSLATE(B36280,""en"",""de"")"),"Zuerst geht der Mann die Frau mit verbundenen Augen in der Nähe der Pinata und sie schwingt den Besen, um ihn zu treffen.")</f>
        <v>Zuerst geht der Mann die Frau mit verbundenen Augen in der Nähe der Pinata und sie schwingt den Besen, um ihn zu treffen.</v>
      </c>
    </row>
    <row r="36281">
      <c r="A36281" s="4" t="s">
        <v>45635</v>
      </c>
      <c r="B36281" s="4" t="s">
        <v>45637</v>
      </c>
      <c r="C36281" s="5" t="str">
        <f>IFERROR(__xludf.DUMMYFUNCTION("GOOGLETRANSLATE(B36281,""en"",""de"")"),"Aber sie vermisst ein paar Mal, weil die Pinata in die Luft auf und ab bewegt.")</f>
        <v>Aber sie vermisst ein paar Mal, weil die Pinata in die Luft auf und ab bewegt.</v>
      </c>
    </row>
    <row r="36282">
      <c r="A36282" s="4" t="s">
        <v>45635</v>
      </c>
      <c r="B36282" s="4" t="s">
        <v>45638</v>
      </c>
      <c r="C36282" s="5" t="str">
        <f>IFERROR(__xludf.DUMMYFUNCTION("GOOGLETRANSLATE(B36282,""en"",""de"")"),"Nach einer Weile des Versuchs trifft sie die Schnur, an der die Pinata hängt und die Pinata niederschlägt, aber kaum Süßigkeiten herausgeholt hat.")</f>
        <v>Nach einer Weile des Versuchs trifft sie die Schnur, an der die Pinata hängt und die Pinata niederschlägt, aber kaum Süßigkeiten herausgeholt hat.</v>
      </c>
    </row>
    <row r="36283">
      <c r="A36283" s="4" t="s">
        <v>45639</v>
      </c>
      <c r="B36283" s="4" t="s">
        <v>45640</v>
      </c>
      <c r="C36283" s="5" t="str">
        <f>IFERROR(__xludf.DUMMYFUNCTION("GOOGLETRANSLATE(B36283,""en"",""de"")"),"Eine kleine Gruppe von Menschen, die im Wasser sitzen sahen, gefolgt von einem hinter einem Hubschrauber auf einem Brett und einer Frau, die mit der Kamera spricht.")</f>
        <v>Eine kleine Gruppe von Menschen, die im Wasser sitzen sahen, gefolgt von einem hinter einem Hubschrauber auf einem Brett und einer Frau, die mit der Kamera spricht.</v>
      </c>
    </row>
    <row r="36284">
      <c r="A36284" s="4" t="s">
        <v>45639</v>
      </c>
      <c r="B36284" s="4" t="s">
        <v>45641</v>
      </c>
      <c r="C36284" s="5" t="str">
        <f>IFERROR(__xludf.DUMMYFUNCTION("GOOGLETRANSLATE(B36284,""en"",""de"")"),"Der Mann fährt weiter und wird dann mit dem Hubschrauber und den Piloten in der Luft gesehen.")</f>
        <v>Der Mann fährt weiter und wird dann mit dem Hubschrauber und den Piloten in der Luft gesehen.</v>
      </c>
    </row>
    <row r="36285">
      <c r="A36285" s="4" t="s">
        <v>45639</v>
      </c>
      <c r="B36285" s="4" t="s">
        <v>45642</v>
      </c>
      <c r="C36285" s="5" t="str">
        <f>IFERROR(__xludf.DUMMYFUNCTION("GOOGLETRANSLATE(B36285,""en"",""de"")"),"Der Mann lässt dann den Hubschrauber los, reitet auf einen Fallschirm und landen sicher zurück ins Wasser.")</f>
        <v>Der Mann lässt dann den Hubschrauber los, reitet auf einen Fallschirm und landen sicher zurück ins Wasser.</v>
      </c>
    </row>
    <row r="36286">
      <c r="A36286" s="4" t="s">
        <v>45639</v>
      </c>
      <c r="B36286" s="4" t="s">
        <v>45643</v>
      </c>
      <c r="C36286" s="5" t="str">
        <f>IFERROR(__xludf.DUMMYFUNCTION("GOOGLETRANSLATE(B36286,""en"",""de"")"),"Der Mann legte sich dann hin, während sein Schuss wieder gezeigt wird und die Frau spricht zu ihm.")</f>
        <v>Der Mann legte sich dann hin, während sein Schuss wieder gezeigt wird und die Frau spricht zu ihm.</v>
      </c>
    </row>
    <row r="36287">
      <c r="A36287" s="4" t="s">
        <v>45644</v>
      </c>
      <c r="B36287" s="4" t="s">
        <v>45645</v>
      </c>
      <c r="C36287" s="5" t="str">
        <f>IFERROR(__xludf.DUMMYFUNCTION("GOOGLETRANSLATE(B36287,""en"",""de"")"),"Zwei Frauen stehen an einem Strand, tragen Bikinis und halten ein Surfbrett.")</f>
        <v>Zwei Frauen stehen an einem Strand, tragen Bikinis und halten ein Surfbrett.</v>
      </c>
    </row>
    <row r="36288">
      <c r="A36288" s="4" t="s">
        <v>45644</v>
      </c>
      <c r="B36288" s="4" t="s">
        <v>45646</v>
      </c>
      <c r="C36288" s="5" t="str">
        <f>IFERROR(__xludf.DUMMYFUNCTION("GOOGLETRANSLATE(B36288,""en"",""de"")"),"Sie werden dann gezeigt, wie sie auf den Strand gehen und für Bilder zwischen dem Surfen auf den Wellen posieren.")</f>
        <v>Sie werden dann gezeigt, wie sie auf den Strand gehen und für Bilder zwischen dem Surfen auf den Wellen posieren.</v>
      </c>
    </row>
    <row r="36289">
      <c r="A36289" s="4" t="s">
        <v>45644</v>
      </c>
      <c r="B36289" s="4" t="s">
        <v>45647</v>
      </c>
      <c r="C36289" s="5" t="str">
        <f>IFERROR(__xludf.DUMMYFUNCTION("GOOGLETRANSLATE(B36289,""en"",""de"")"),"Sie zeigen, wie man verschiedene Surfzüge macht.")</f>
        <v>Sie zeigen, wie man verschiedene Surfzüge macht.</v>
      </c>
    </row>
    <row r="36290">
      <c r="A36290" s="4" t="s">
        <v>45644</v>
      </c>
      <c r="B36290" s="4" t="s">
        <v>45648</v>
      </c>
      <c r="C36290" s="5" t="str">
        <f>IFERROR(__xludf.DUMMYFUNCTION("GOOGLETRANSLATE(B36290,""en"",""de"")"),"Sie werden dann am Strand gezeigt und setzen sich beim Reden hin.")</f>
        <v>Sie werden dann am Strand gezeigt und setzen sich beim Reden hin.</v>
      </c>
    </row>
    <row r="36291">
      <c r="A36291" s="4" t="s">
        <v>45649</v>
      </c>
      <c r="B36291" s="4" t="s">
        <v>45650</v>
      </c>
      <c r="C36291" s="5" t="str">
        <f>IFERROR(__xludf.DUMMYFUNCTION("GOOGLETRANSLATE(B36291,""en"",""de"")"),"Mehrere Männer veranstalten ein Nachrichtensegment, das in Clips von Menschen führt, die gemeinsam ein Spiel spielen und miteinander streiten.")</f>
        <v>Mehrere Männer veranstalten ein Nachrichtensegment, das in Clips von Menschen führt, die gemeinsam ein Spiel spielen und miteinander streiten.</v>
      </c>
    </row>
    <row r="36292">
      <c r="A36292" s="4" t="s">
        <v>45649</v>
      </c>
      <c r="B36292" s="4" t="s">
        <v>45651</v>
      </c>
      <c r="C36292" s="5" t="str">
        <f>IFERROR(__xludf.DUMMYFUNCTION("GOOGLETRANSLATE(B36292,""en"",""de"")"),"Es werden mehr Aufnahmen von Menschen gespielt wie Menschen, die feiern und weggehen.")</f>
        <v>Es werden mehr Aufnahmen von Menschen gespielt wie Menschen, die feiern und weggehen.</v>
      </c>
    </row>
    <row r="36293">
      <c r="A36293" s="4" t="s">
        <v>45649</v>
      </c>
      <c r="B36293" s="4" t="s">
        <v>45652</v>
      </c>
      <c r="C36293" s="5" t="str">
        <f>IFERROR(__xludf.DUMMYFUNCTION("GOOGLETRANSLATE(B36293,""en"",""de"")"),"Es werden weitere Schüsse von den Gastgebern gezeigt, die miteinander sprechen und die Leute den Ball schlagen und weggehen.")</f>
        <v>Es werden weitere Schüsse von den Gastgebern gezeigt, die miteinander sprechen und die Leute den Ball schlagen und weggehen.</v>
      </c>
    </row>
    <row r="36294">
      <c r="A36294" s="4" t="s">
        <v>45653</v>
      </c>
      <c r="B36294" s="4" t="s">
        <v>45654</v>
      </c>
      <c r="C36294" s="5" t="str">
        <f>IFERROR(__xludf.DUMMYFUNCTION("GOOGLETRANSLATE(B36294,""en"",""de"")"),"Eine Frau und eine andere Person paddeln in einem orangefarbenen Kanu in einem ruhigen Gewässer, das von Bergen, Bäumen und Büschen umgeben ist.")</f>
        <v>Eine Frau und eine andere Person paddeln in einem orangefarbenen Kanu in einem ruhigen Gewässer, das von Bergen, Bäumen und Büschen umgeben ist.</v>
      </c>
    </row>
    <row r="36295">
      <c r="A36295" s="4" t="s">
        <v>45653</v>
      </c>
      <c r="B36295" s="4" t="s">
        <v>45655</v>
      </c>
      <c r="C36295" s="5" t="str">
        <f>IFERROR(__xludf.DUMMYFUNCTION("GOOGLETRANSLATE(B36295,""en"",""de"")"),"Die Frau befindet sich vor dem Kanu, und die andere Person, die einen Gesichtshut trägt, sitzt hinter der Frau.")</f>
        <v>Die Frau befindet sich vor dem Kanu, und die andere Person, die einen Gesichtshut trägt, sitzt hinter der Frau.</v>
      </c>
    </row>
    <row r="36296">
      <c r="A36296" s="4" t="s">
        <v>45653</v>
      </c>
      <c r="B36296" s="4" t="s">
        <v>45656</v>
      </c>
      <c r="C36296" s="5" t="str">
        <f>IFERROR(__xludf.DUMMYFUNCTION("GOOGLETRANSLATE(B36296,""en"",""de"")"),"Die beiden Menschen paddeln von links und passieren eine Büschenlinie vor einem Berg.")</f>
        <v>Die beiden Menschen paddeln von links und passieren eine Büschenlinie vor einem Berg.</v>
      </c>
    </row>
    <row r="36297">
      <c r="A36297" s="4" t="s">
        <v>45653</v>
      </c>
      <c r="B36297" s="4" t="s">
        <v>45657</v>
      </c>
      <c r="C36297" s="5" t="str">
        <f>IFERROR(__xludf.DUMMYFUNCTION("GOOGLETRANSLATE(B36297,""en"",""de"")"),"Die beiden Menschen padeln dann weiter vom Berg entfernt und näher an die Mitte des Wassers.")</f>
        <v>Die beiden Menschen padeln dann weiter vom Berg entfernt und näher an die Mitte des Wassers.</v>
      </c>
    </row>
    <row r="36298">
      <c r="A36298" s="4" t="s">
        <v>45658</v>
      </c>
      <c r="B36298" s="4" t="s">
        <v>45659</v>
      </c>
      <c r="C36298" s="5" t="str">
        <f>IFERROR(__xludf.DUMMYFUNCTION("GOOGLETRANSLATE(B36298,""en"",""de"")"),"Das Video führt zu mehreren Aufnahmen von Menschen, die beeindruckende Sprünge durchführen und einen hohen Tauchgang abgeben.")</f>
        <v>Das Video führt zu mehreren Aufnahmen von Menschen, die beeindruckende Sprünge durchführen und einen hohen Tauchgang abgeben.</v>
      </c>
    </row>
    <row r="36299">
      <c r="A36299" s="4" t="s">
        <v>45658</v>
      </c>
      <c r="B36299" s="4" t="s">
        <v>45660</v>
      </c>
      <c r="C36299" s="5" t="str">
        <f>IFERROR(__xludf.DUMMYFUNCTION("GOOGLETRANSLATE(B36299,""en"",""de"")"),"Immer mehr Menschen springen von den verschiedenen Höhen der Tauchgänge und zwei werden am Ende gleichzeitig gezeigt.")</f>
        <v>Immer mehr Menschen springen von den verschiedenen Höhen der Tauchgänge und zwei werden am Ende gleichzeitig gezeigt.</v>
      </c>
    </row>
    <row r="36300">
      <c r="A36300" s="4" t="s">
        <v>45661</v>
      </c>
      <c r="B36300" s="4" t="s">
        <v>45662</v>
      </c>
      <c r="C36300" s="5" t="str">
        <f>IFERROR(__xludf.DUMMYFUNCTION("GOOGLETRANSLATE(B36300,""en"",""de"")"),"Ein Mann spricht mit der Kamera, während die Menschen hinter ihm herumstehen und üben.")</f>
        <v>Ein Mann spricht mit der Kamera, während die Menschen hinter ihm herumstehen und üben.</v>
      </c>
    </row>
    <row r="36301">
      <c r="A36301" s="4" t="s">
        <v>45661</v>
      </c>
      <c r="B36301" s="4" t="s">
        <v>45663</v>
      </c>
      <c r="C36301" s="5" t="str">
        <f>IFERROR(__xludf.DUMMYFUNCTION("GOOGLETRANSLATE(B36301,""en"",""de"")"),"Die Männer schlugen den Badminton zurück und den vierten, während die älteren Herren weiter sprechen und auf dem Platz zeigen.")</f>
        <v>Die Männer schlugen den Badminton zurück und den vierten, während die älteren Herren weiter sprechen und auf dem Platz zeigen.</v>
      </c>
    </row>
    <row r="36302">
      <c r="A36302" s="4" t="s">
        <v>45664</v>
      </c>
      <c r="B36302" s="4" t="s">
        <v>45665</v>
      </c>
      <c r="C36302" s="5" t="str">
        <f>IFERROR(__xludf.DUMMYFUNCTION("GOOGLETRANSLATE(B36302,""en"",""de"")"),"Eine Nahaufnahme von Werkzeugen und Objekten wird dargestellt, die in mehrere Clips eines mittleren Messens einer Wand und dem Ablegen des Gips führen.")</f>
        <v>Eine Nahaufnahme von Werkzeugen und Objekten wird dargestellt, die in mehrere Clips eines mittleren Messens einer Wand und dem Ablegen des Gips führen.</v>
      </c>
    </row>
    <row r="36303">
      <c r="A36303" s="4" t="s">
        <v>45664</v>
      </c>
      <c r="B36303" s="4" t="s">
        <v>45666</v>
      </c>
      <c r="C36303" s="5" t="str">
        <f>IFERROR(__xludf.DUMMYFUNCTION("GOOGLETRANSLATE(B36303,""en"",""de"")"),"Der Mann zeigt, wie man Putz macht, während er mit ihm wechselt, und zeigt weiterhin mehr Clips von ihm, die es niederlegen.")</f>
        <v>Der Mann zeigt, wie man Putz macht, während er mit ihm wechselt, und zeigt weiterhin mehr Clips von ihm, die es niederlegen.</v>
      </c>
    </row>
    <row r="36304">
      <c r="A36304" s="4" t="s">
        <v>45667</v>
      </c>
      <c r="B36304" s="4" t="s">
        <v>45668</v>
      </c>
      <c r="C36304" s="5" t="str">
        <f>IFERROR(__xludf.DUMMYFUNCTION("GOOGLETRANSLATE(B36304,""en"",""de"")"),"Ein Fahrrad wird in einem Raum angezeigt, der sich gegen einen braunen Tisch lehnt.")</f>
        <v>Ein Fahrrad wird in einem Raum angezeigt, der sich gegen einen braunen Tisch lehnt.</v>
      </c>
    </row>
    <row r="36305">
      <c r="A36305" s="4" t="s">
        <v>45667</v>
      </c>
      <c r="B36305" s="4" t="s">
        <v>45669</v>
      </c>
      <c r="C36305" s="5" t="str">
        <f>IFERROR(__xludf.DUMMYFUNCTION("GOOGLETRANSLATE(B36305,""en"",""de"")"),"Eine Person geht dann in den Raum und beginnt, Stücke vom Fahrrad zu nehmen.")</f>
        <v>Eine Person geht dann in den Raum und beginnt, Stücke vom Fahrrad zu nehmen.</v>
      </c>
    </row>
    <row r="36306">
      <c r="A36306" s="4" t="s">
        <v>45667</v>
      </c>
      <c r="B36306" s="4" t="s">
        <v>45670</v>
      </c>
      <c r="C36306" s="5" t="str">
        <f>IFERROR(__xludf.DUMMYFUNCTION("GOOGLETRANSLATE(B36306,""en"",""de"")"),"Die Teile werden dann wieder auf das Fahrrad hinzugefügt und um das Rad festgezogen.")</f>
        <v>Die Teile werden dann wieder auf das Fahrrad hinzugefügt und um das Rad festgezogen.</v>
      </c>
    </row>
    <row r="36307">
      <c r="A36307" s="4" t="s">
        <v>45671</v>
      </c>
      <c r="B36307" s="4" t="s">
        <v>45672</v>
      </c>
      <c r="C36307" s="5" t="str">
        <f>IFERROR(__xludf.DUMMYFUNCTION("GOOGLETRANSLATE(B36307,""en"",""de"")"),"Ein Mann steht in der Veranda eines Hauses um und lächelt.")</f>
        <v>Ein Mann steht in der Veranda eines Hauses um und lächelt.</v>
      </c>
    </row>
    <row r="36308">
      <c r="A36308" s="4" t="s">
        <v>45671</v>
      </c>
      <c r="B36308" s="4" t="s">
        <v>45673</v>
      </c>
      <c r="C36308" s="5" t="str">
        <f>IFERROR(__xludf.DUMMYFUNCTION("GOOGLETRANSLATE(B36308,""en"",""de"")"),"Dann greift der Mann eine Tasse und trinkt, nachdem er gegangen ist.")</f>
        <v>Dann greift der Mann eine Tasse und trinkt, nachdem er gegangen ist.</v>
      </c>
    </row>
    <row r="36309">
      <c r="A36309" s="4" t="s">
        <v>45674</v>
      </c>
      <c r="B36309" s="4" t="s">
        <v>45675</v>
      </c>
      <c r="C36309" s="5" t="str">
        <f>IFERROR(__xludf.DUMMYFUNCTION("GOOGLETRANSLATE(B36309,""en"",""de"")"),"Eine Frau berührte ein schwarzes Telefon, und ein Bildschirm aus lila Kapsel wie Bakterien zeigte sich.")</f>
        <v>Eine Frau berührte ein schwarzes Telefon, und ein Bildschirm aus lila Kapsel wie Bakterien zeigte sich.</v>
      </c>
    </row>
    <row r="36310">
      <c r="A36310" s="4" t="s">
        <v>45674</v>
      </c>
      <c r="B36310" s="4" t="s">
        <v>45676</v>
      </c>
      <c r="C36310" s="5" t="str">
        <f>IFERROR(__xludf.DUMMYFUNCTION("GOOGLETRANSLATE(B36310,""en"",""de"")"),"Die Person legte das Telefon zurück und begann auf der schwarzen Tastatur zu tippen.")</f>
        <v>Die Person legte das Telefon zurück und begann auf der schwarzen Tastatur zu tippen.</v>
      </c>
    </row>
    <row r="36311">
      <c r="A36311" s="4" t="s">
        <v>45674</v>
      </c>
      <c r="B36311" s="4" t="s">
        <v>45677</v>
      </c>
      <c r="C36311" s="5" t="str">
        <f>IFERROR(__xludf.DUMMYFUNCTION("GOOGLETRANSLATE(B36311,""en"",""de"")"),"Die Bakterienaufnahme wird in die Szene gesteckt.")</f>
        <v>Die Bakterienaufnahme wird in die Szene gesteckt.</v>
      </c>
    </row>
    <row r="36312">
      <c r="A36312" s="4" t="s">
        <v>45674</v>
      </c>
      <c r="B36312" s="4" t="s">
        <v>45678</v>
      </c>
      <c r="C36312" s="5" t="str">
        <f>IFERROR(__xludf.DUMMYFUNCTION("GOOGLETRANSLATE(B36312,""en"",""de"")"),"Die Frau legte ihre Hand auf die Maus.")</f>
        <v>Die Frau legte ihre Hand auf die Maus.</v>
      </c>
    </row>
    <row r="36313">
      <c r="A36313" s="4" t="s">
        <v>45674</v>
      </c>
      <c r="B36313" s="4" t="s">
        <v>45679</v>
      </c>
      <c r="C36313" s="5" t="str">
        <f>IFERROR(__xludf.DUMMYFUNCTION("GOOGLETRANSLATE(B36313,""en"",""de"")"),"Sie legte ihre Hand auf den Holzdesktop.")</f>
        <v>Sie legte ihre Hand auf den Holzdesktop.</v>
      </c>
    </row>
    <row r="36314">
      <c r="A36314" s="4" t="s">
        <v>45674</v>
      </c>
      <c r="B36314" s="4" t="s">
        <v>45680</v>
      </c>
      <c r="C36314" s="5" t="str">
        <f>IFERROR(__xludf.DUMMYFUNCTION("GOOGLETRANSLATE(B36314,""en"",""de"")"),"Die Frau stand auf und ging zum Flur.")</f>
        <v>Die Frau stand auf und ging zum Flur.</v>
      </c>
    </row>
    <row r="36315">
      <c r="A36315" s="4" t="s">
        <v>45674</v>
      </c>
      <c r="B36315" s="4" t="s">
        <v>45681</v>
      </c>
      <c r="C36315" s="5" t="str">
        <f>IFERROR(__xludf.DUMMYFUNCTION("GOOGLETRANSLATE(B36315,""en"",""de"")"),"Die Frau sah einen Mann und schüttelte sich die Hand.")</f>
        <v>Die Frau sah einen Mann und schüttelte sich die Hand.</v>
      </c>
    </row>
    <row r="36316">
      <c r="A36316" s="4" t="s">
        <v>45674</v>
      </c>
      <c r="B36316" s="4" t="s">
        <v>45682</v>
      </c>
      <c r="C36316" s="5" t="str">
        <f>IFERROR(__xludf.DUMMYFUNCTION("GOOGLETRANSLATE(B36316,""en"",""de"")"),"Die Frau ging auf die Toilette.")</f>
        <v>Die Frau ging auf die Toilette.</v>
      </c>
    </row>
    <row r="36317">
      <c r="A36317" s="4" t="s">
        <v>45674</v>
      </c>
      <c r="B36317" s="4" t="s">
        <v>45683</v>
      </c>
      <c r="C36317" s="5" t="str">
        <f>IFERROR(__xludf.DUMMYFUNCTION("GOOGLETRANSLATE(B36317,""en"",""de"")"),"Die Frau zog ihren Ring aus, wasche ihre Hand, kam nach Hause und reiste sie gründlich an der Hand und spüle sie aus.")</f>
        <v>Die Frau zog ihren Ring aus, wasche ihre Hand, kam nach Hause und reiste sie gründlich an der Hand und spüle sie aus.</v>
      </c>
    </row>
    <row r="36318">
      <c r="A36318" s="4" t="s">
        <v>45674</v>
      </c>
      <c r="B36318" s="4" t="s">
        <v>45684</v>
      </c>
      <c r="C36318" s="5" t="str">
        <f>IFERROR(__xludf.DUMMYFUNCTION("GOOGLETRANSLATE(B36318,""en"",""de"")"),"Die Frau niest an ihrer Hand.")</f>
        <v>Die Frau niest an ihrer Hand.</v>
      </c>
    </row>
    <row r="36319">
      <c r="A36319" s="4" t="s">
        <v>45674</v>
      </c>
      <c r="B36319" s="4" t="s">
        <v>45685</v>
      </c>
      <c r="C36319" s="5" t="str">
        <f>IFERROR(__xludf.DUMMYFUNCTION("GOOGLETRANSLATE(B36319,""en"",""de"")"),"Sie geht zu ihrem Büro, legte ihre Hand auf den Schreibtisch und Telefon.")</f>
        <v>Sie geht zu ihrem Büro, legte ihre Hand auf den Schreibtisch und Telefon.</v>
      </c>
    </row>
    <row r="36320">
      <c r="A36320" s="4" t="s">
        <v>45686</v>
      </c>
      <c r="B36320" s="4" t="s">
        <v>45687</v>
      </c>
      <c r="C36320" s="5" t="str">
        <f>IFERROR(__xludf.DUMMYFUNCTION("GOOGLETRANSLATE(B36320,""en"",""de"")"),"Diese beiden hier gezeigten Personen fahren mit ihren Fahrrädern über schneebedeckte Buckel nach draußen.")</f>
        <v>Diese beiden hier gezeigten Personen fahren mit ihren Fahrrädern über schneebedeckte Buckel nach draußen.</v>
      </c>
    </row>
    <row r="36321">
      <c r="A36321" s="4" t="s">
        <v>45686</v>
      </c>
      <c r="B36321" s="4" t="s">
        <v>45688</v>
      </c>
      <c r="C36321" s="5" t="str">
        <f>IFERROR(__xludf.DUMMYFUNCTION("GOOGLETRANSLATE(B36321,""en"",""de"")"),"Sie sind über Dirt Bucks gefahren.")</f>
        <v>Sie sind über Dirt Bucks gefahren.</v>
      </c>
    </row>
    <row r="36322">
      <c r="A36322" s="4" t="s">
        <v>45686</v>
      </c>
      <c r="B36322" s="4" t="s">
        <v>45689</v>
      </c>
      <c r="C36322" s="5" t="str">
        <f>IFERROR(__xludf.DUMMYFUNCTION("GOOGLETRANSLATE(B36322,""en"",""de"")"),"Sie sind auch über Sandbuckeln im Gebäude und in anderen Buckeln in einem Rennen gefahren.")</f>
        <v>Sie sind auch über Sandbuckeln im Gebäude und in anderen Buckeln in einem Rennen gefahren.</v>
      </c>
    </row>
    <row r="36323">
      <c r="A36323" s="4" t="s">
        <v>45690</v>
      </c>
      <c r="B36323" s="4" t="s">
        <v>45691</v>
      </c>
      <c r="C36323" s="5" t="str">
        <f>IFERROR(__xludf.DUMMYFUNCTION("GOOGLETRANSLATE(B36323,""en"",""de"")"),"Ein Mann hält Objekte hoch, während er mit einer Frau spricht und das Objekt entlang der Wand reist.")</f>
        <v>Ein Mann hält Objekte hoch, während er mit einer Frau spricht und das Objekt entlang der Wand reist.</v>
      </c>
    </row>
    <row r="36324">
      <c r="A36324" s="4" t="s">
        <v>45690</v>
      </c>
      <c r="B36324" s="4" t="s">
        <v>45692</v>
      </c>
      <c r="C36324" s="5" t="str">
        <f>IFERROR(__xludf.DUMMYFUNCTION("GOOGLETRANSLATE(B36324,""en"",""de"")"),"Dann taucht er Papier in Wasser und hängt es an den Wänden auf.")</f>
        <v>Dann taucht er Papier in Wasser und hängt es an den Wänden auf.</v>
      </c>
    </row>
    <row r="36325">
      <c r="A36325" s="4" t="s">
        <v>45690</v>
      </c>
      <c r="B36325" s="4" t="s">
        <v>45693</v>
      </c>
      <c r="C36325" s="5" t="str">
        <f>IFERROR(__xludf.DUMMYFUNCTION("GOOGLETRANSLATE(B36325,""en"",""de"")"),"Er hält eine Sprühflasche hoch, um die Wände zu sprühen, während die anderen helfen.")</f>
        <v>Er hält eine Sprühflasche hoch, um die Wände zu sprühen, während die anderen helfen.</v>
      </c>
    </row>
    <row r="36326">
      <c r="A36326" s="4" t="s">
        <v>45690</v>
      </c>
      <c r="B36326" s="4" t="s">
        <v>45694</v>
      </c>
      <c r="C36326" s="5" t="str">
        <f>IFERROR(__xludf.DUMMYFUNCTION("GOOGLETRANSLATE(B36326,""en"",""de"")"),"Die Leute überprüfen die Wand und nehmen das Papier aus, gefolgt von der tatsächlichen Tapete ab und reiben Sie die Wand.")</f>
        <v>Die Leute überprüfen die Wand und nehmen das Papier aus, gefolgt von der tatsächlichen Tapete ab und reiben Sie die Wand.</v>
      </c>
    </row>
    <row r="36327">
      <c r="A36327" s="4" t="s">
        <v>45695</v>
      </c>
      <c r="B36327" s="4" t="s">
        <v>45696</v>
      </c>
      <c r="C36327" s="5" t="str">
        <f>IFERROR(__xludf.DUMMYFUNCTION("GOOGLETRANSLATE(B36327,""en"",""de"")"),"Ein Baby wird gezeigt, der im Bett liegt, während ein Kamm seine Haare sanft putzt.")</f>
        <v>Ein Baby wird gezeigt, der im Bett liegt, während ein Kamm seine Haare sanft putzt.</v>
      </c>
    </row>
    <row r="36328">
      <c r="A36328" s="4" t="s">
        <v>45695</v>
      </c>
      <c r="B36328" s="4" t="s">
        <v>45697</v>
      </c>
      <c r="C36328" s="5" t="str">
        <f>IFERROR(__xludf.DUMMYFUNCTION("GOOGLETRANSLATE(B36328,""en"",""de"")"),"Das Baby lächelt schließlich, während die Hand den Kopf des Babys weiter streift.")</f>
        <v>Das Baby lächelt schließlich, während die Hand den Kopf des Babys weiter streift.</v>
      </c>
    </row>
    <row r="36329">
      <c r="A36329" s="4" t="s">
        <v>45695</v>
      </c>
      <c r="B36329" s="4" t="s">
        <v>45698</v>
      </c>
      <c r="C36329" s="5" t="str">
        <f>IFERROR(__xludf.DUMMYFUNCTION("GOOGLETRANSLATE(B36329,""en"",""de"")"),"Das Baby schließt sanft seine Augen und Gähnen, während der Pinsel weiter kämmt.")</f>
        <v>Das Baby schließt sanft seine Augen und Gähnen, während der Pinsel weiter kämmt.</v>
      </c>
    </row>
    <row r="36330">
      <c r="A36330" s="4" t="s">
        <v>45699</v>
      </c>
      <c r="B36330" s="4" t="s">
        <v>45700</v>
      </c>
      <c r="C36330" s="5" t="str">
        <f>IFERROR(__xludf.DUMMYFUNCTION("GOOGLETRANSLATE(B36330,""en"",""de"")"),"Eine Frau demonstriert, wie man das Gesicht waschen, indem sie ihr Gesicht im Waschbecken wäscht.")</f>
        <v>Eine Frau demonstriert, wie man das Gesicht waschen, indem sie ihr Gesicht im Waschbecken wäscht.</v>
      </c>
    </row>
    <row r="36331">
      <c r="A36331" s="4" t="s">
        <v>45699</v>
      </c>
      <c r="B36331" s="4" t="s">
        <v>45701</v>
      </c>
      <c r="C36331" s="5" t="str">
        <f>IFERROR(__xludf.DUMMYFUNCTION("GOOGLETRANSLATE(B36331,""en"",""de"")"),"Eine Frau steht über einem Waschbecken und spritzt Wasser auf ihr Gesicht.")</f>
        <v>Eine Frau steht über einem Waschbecken und spritzt Wasser auf ihr Gesicht.</v>
      </c>
    </row>
    <row r="36332">
      <c r="A36332" s="4" t="s">
        <v>45699</v>
      </c>
      <c r="B36332" s="4" t="s">
        <v>45702</v>
      </c>
      <c r="C36332" s="5" t="str">
        <f>IFERROR(__xludf.DUMMYFUNCTION("GOOGLETRANSLATE(B36332,""en"",""de"")"),"Die Frau arbeitet dann einen Schaum mit flüssiger Seife auf, die sie auf ihre Hände gegossen hat.")</f>
        <v>Die Frau arbeitet dann einen Schaum mit flüssiger Seife auf, die sie auf ihre Hände gegossen hat.</v>
      </c>
    </row>
    <row r="36333">
      <c r="A36333" s="4" t="s">
        <v>45699</v>
      </c>
      <c r="B36333" s="4" t="s">
        <v>45703</v>
      </c>
      <c r="C36333" s="5" t="str">
        <f>IFERROR(__xludf.DUMMYFUNCTION("GOOGLETRANSLATE(B36333,""en"",""de"")"),"Die Frau wäscht dann ihr Gesicht in kreisförmigen Bewegungen, die die Frau dann ein Handtuch benutzte, um ihr Gesicht zu trocknen.")</f>
        <v>Die Frau wäscht dann ihr Gesicht in kreisförmigen Bewegungen, die die Frau dann ein Handtuch benutzte, um ihr Gesicht zu trocknen.</v>
      </c>
    </row>
    <row r="36334">
      <c r="A36334" s="4" t="s">
        <v>45704</v>
      </c>
      <c r="B36334" s="4" t="s">
        <v>45705</v>
      </c>
      <c r="C36334" s="5" t="str">
        <f>IFERROR(__xludf.DUMMYFUNCTION("GOOGLETRANSLATE(B36334,""en"",""de"")"),"Ein Dachwerbung zeigt, wie ein Schieferdach auf einem Haus repariert wird.")</f>
        <v>Ein Dachwerbung zeigt, wie ein Schieferdach auf einem Haus repariert wird.</v>
      </c>
    </row>
    <row r="36335">
      <c r="A36335" s="4" t="s">
        <v>45704</v>
      </c>
      <c r="B36335" s="4" t="s">
        <v>45706</v>
      </c>
      <c r="C36335" s="5" t="str">
        <f>IFERROR(__xludf.DUMMYFUNCTION("GOOGLETRANSLATE(B36335,""en"",""de"")"),"Ein Mann schneidet Teile auf einem Klapptisch draußen und installiert dann einen Schiefer auf einem Dach mit Elektrowerkzeugen und Werkzeugen aus seinem Werkzeuggürtel.")</f>
        <v>Ein Mann schneidet Teile auf einem Klapptisch draußen und installiert dann einen Schiefer auf einem Dach mit Elektrowerkzeugen und Werkzeugen aus seinem Werkzeuggürtel.</v>
      </c>
    </row>
    <row r="36336">
      <c r="A36336" s="4" t="s">
        <v>45704</v>
      </c>
      <c r="B36336" s="4" t="s">
        <v>45707</v>
      </c>
      <c r="C36336" s="5" t="str">
        <f>IFERROR(__xludf.DUMMYFUNCTION("GOOGLETRANSLATE(B36336,""en"",""de"")"),"Der Mann installiert Kupferstücke auf dem Schieferdach, das vom Dach herausragt.")</f>
        <v>Der Mann installiert Kupferstücke auf dem Schieferdach, das vom Dach herausragt.</v>
      </c>
    </row>
    <row r="36337">
      <c r="A36337" s="4" t="s">
        <v>45704</v>
      </c>
      <c r="B36337" s="4" t="s">
        <v>45708</v>
      </c>
      <c r="C36337" s="5" t="str">
        <f>IFERROR(__xludf.DUMMYFUNCTION("GOOGLETRANSLATE(B36337,""en"",""de"")"),"Der Mann schneidet dann ein Kupferrohr und lötet an den Rändern eines Lochs in der Kupferrohr, bevor die Kamera erneut auf das Dach und dann eine Marketinggrafik schneidet.")</f>
        <v>Der Mann schneidet dann ein Kupferrohr und lötet an den Rändern eines Lochs in der Kupferrohr, bevor die Kamera erneut auf das Dach und dann eine Marketinggrafik schneidet.</v>
      </c>
    </row>
    <row r="36338">
      <c r="A36338" s="4" t="s">
        <v>45709</v>
      </c>
      <c r="B36338" s="4" t="s">
        <v>45710</v>
      </c>
      <c r="C36338" s="5" t="str">
        <f>IFERROR(__xludf.DUMMYFUNCTION("GOOGLETRANSLATE(B36338,""en"",""de"")"),"Ein Mann mit Saxophon spielt in der Mitte des Parks, während eine Frau am Brunnen sitzt.")</f>
        <v>Ein Mann mit Saxophon spielt in der Mitte des Parks, während eine Frau am Brunnen sitzt.</v>
      </c>
    </row>
    <row r="36339">
      <c r="A36339" s="4" t="s">
        <v>45709</v>
      </c>
      <c r="B36339" s="4" t="s">
        <v>45711</v>
      </c>
      <c r="C36339" s="5" t="str">
        <f>IFERROR(__xludf.DUMMYFUNCTION("GOOGLETRANSLATE(B36339,""en"",""de"")"),"Der Mann spielt das Saxophon.")</f>
        <v>Der Mann spielt das Saxophon.</v>
      </c>
    </row>
    <row r="36340">
      <c r="A36340" s="4" t="s">
        <v>45709</v>
      </c>
      <c r="B36340" s="4" t="s">
        <v>45712</v>
      </c>
      <c r="C36340" s="5" t="str">
        <f>IFERROR(__xludf.DUMMYFUNCTION("GOOGLETRANSLATE(B36340,""en"",""de"")"),"Hinter ihm stehen Menschen am Geldautomaten.")</f>
        <v>Hinter ihm stehen Menschen am Geldautomaten.</v>
      </c>
    </row>
    <row r="36341">
      <c r="A36341" s="4" t="s">
        <v>45709</v>
      </c>
      <c r="B36341" s="4" t="s">
        <v>45713</v>
      </c>
      <c r="C36341" s="5" t="str">
        <f>IFERROR(__xludf.DUMMYFUNCTION("GOOGLETRANSLATE(B36341,""en"",""de"")"),"Die Kamera kam näher an das Goldsaxophon.")</f>
        <v>Die Kamera kam näher an das Goldsaxophon.</v>
      </c>
    </row>
    <row r="36342">
      <c r="A36342" s="4" t="s">
        <v>45709</v>
      </c>
      <c r="B36342" s="4" t="s">
        <v>45714</v>
      </c>
      <c r="C36342" s="5" t="str">
        <f>IFERROR(__xludf.DUMMYFUNCTION("GOOGLETRANSLATE(B36342,""en"",""de"")"),"Der Mann spielt weiter, während Leute an ihm vorbeigehen.")</f>
        <v>Der Mann spielt weiter, während Leute an ihm vorbeigehen.</v>
      </c>
    </row>
    <row r="36343">
      <c r="A36343" s="4" t="s">
        <v>45709</v>
      </c>
      <c r="B36343" s="4" t="s">
        <v>45715</v>
      </c>
      <c r="C36343" s="5" t="str">
        <f>IFERROR(__xludf.DUMMYFUNCTION("GOOGLETRANSLATE(B36343,""en"",""de"")"),"Der Mann bläst so hart auf seinem Saxophon.")</f>
        <v>Der Mann bläst so hart auf seinem Saxophon.</v>
      </c>
    </row>
    <row r="36344">
      <c r="A36344" s="4" t="s">
        <v>45709</v>
      </c>
      <c r="B36344" s="4" t="s">
        <v>45716</v>
      </c>
      <c r="C36344" s="5" t="str">
        <f>IFERROR(__xludf.DUMMYFUNCTION("GOOGLETRANSLATE(B36344,""en"",""de"")"),"Ein weißer Vogel, der hinter dem Mann steht.")</f>
        <v>Ein weißer Vogel, der hinter dem Mann steht.</v>
      </c>
    </row>
    <row r="36345">
      <c r="A36345" s="4" t="s">
        <v>45717</v>
      </c>
      <c r="B36345" s="4" t="s">
        <v>45718</v>
      </c>
      <c r="C36345" s="5" t="str">
        <f>IFERROR(__xludf.DUMMYFUNCTION("GOOGLETRANSLATE(B36345,""en"",""de"")"),"Ein Mann steht neben einem Fahrrad.")</f>
        <v>Ein Mann steht neben einem Fahrrad.</v>
      </c>
    </row>
    <row r="36346">
      <c r="A36346" s="4" t="s">
        <v>45717</v>
      </c>
      <c r="B36346" s="4" t="s">
        <v>45719</v>
      </c>
      <c r="C36346" s="5" t="str">
        <f>IFERROR(__xludf.DUMMYFUNCTION("GOOGLETRANSLATE(B36346,""en"",""de"")"),"Er hält eine neue Röhre für einen Reifen.")</f>
        <v>Er hält eine neue Röhre für einen Reifen.</v>
      </c>
    </row>
    <row r="36347">
      <c r="A36347" s="4" t="s">
        <v>45717</v>
      </c>
      <c r="B36347" s="4" t="s">
        <v>45720</v>
      </c>
      <c r="C36347" s="5" t="str">
        <f>IFERROR(__xludf.DUMMYFUNCTION("GOOGLETRANSLATE(B36347,""en"",""de"")"),"Er schnappt sich eine Luftpumpe und befestigt sie am Reifen.")</f>
        <v>Er schnappt sich eine Luftpumpe und befestigt sie am Reifen.</v>
      </c>
    </row>
    <row r="36348">
      <c r="A36348" s="4" t="s">
        <v>45717</v>
      </c>
      <c r="B36348" s="4" t="s">
        <v>45721</v>
      </c>
      <c r="C36348" s="5" t="str">
        <f>IFERROR(__xludf.DUMMYFUNCTION("GOOGLETRANSLATE(B36348,""en"",""de"")"),"Er pumpt den Reifen mit Luft.")</f>
        <v>Er pumpt den Reifen mit Luft.</v>
      </c>
    </row>
    <row r="36349">
      <c r="A36349" s="4" t="s">
        <v>45717</v>
      </c>
      <c r="B36349" s="4" t="s">
        <v>45722</v>
      </c>
      <c r="C36349" s="5" t="str">
        <f>IFERROR(__xludf.DUMMYFUNCTION("GOOGLETRANSLATE(B36349,""en"",""de"")"),"Er befestigt die Pumpe am flachen Reifen und pumpt sie hoch.")</f>
        <v>Er befestigt die Pumpe am flachen Reifen und pumpt sie hoch.</v>
      </c>
    </row>
    <row r="36350">
      <c r="A36350" s="4" t="s">
        <v>45723</v>
      </c>
      <c r="B36350" s="4" t="s">
        <v>45724</v>
      </c>
      <c r="C36350" s="5" t="str">
        <f>IFERROR(__xludf.DUMMYFUNCTION("GOOGLETRANSLATE(B36350,""en"",""de"")"),"Die Hand einer Person zeigt einen Stift in etwas Wasser, gefolgt von etwas Nagellack.")</f>
        <v>Die Hand einer Person zeigt einen Stift in etwas Wasser, gefolgt von etwas Nagellack.</v>
      </c>
    </row>
    <row r="36351">
      <c r="A36351" s="4" t="s">
        <v>45723</v>
      </c>
      <c r="B36351" s="4" t="s">
        <v>45725</v>
      </c>
      <c r="C36351" s="5" t="str">
        <f>IFERROR(__xludf.DUMMYFUNCTION("GOOGLETRANSLATE(B36351,""en"",""de"")"),"Das Wasser verändert die Farben, wenn die verschiedenen Farben gezeigt werden und die Person ein wirbelnder Muster ins Wasser erzeugt.")</f>
        <v>Das Wasser verändert die Farben, wenn die verschiedenen Farben gezeigt werden und die Person ein wirbelnder Muster ins Wasser erzeugt.</v>
      </c>
    </row>
    <row r="36352">
      <c r="A36352" s="4" t="s">
        <v>45726</v>
      </c>
      <c r="B36352" s="4" t="s">
        <v>45727</v>
      </c>
      <c r="C36352" s="5" t="str">
        <f>IFERROR(__xludf.DUMMYFUNCTION("GOOGLETRANSLATE(B36352,""en"",""de"")"),"Wir sehen drei Männer auf einem Feld, das großes Gras mit einer Sense schneidet.")</f>
        <v>Wir sehen drei Männer auf einem Feld, das großes Gras mit einer Sense schneidet.</v>
      </c>
    </row>
    <row r="36353">
      <c r="A36353" s="4" t="s">
        <v>45726</v>
      </c>
      <c r="B36353" s="4" t="s">
        <v>45728</v>
      </c>
      <c r="C36353" s="5" t="str">
        <f>IFERROR(__xludf.DUMMYFUNCTION("GOOGLETRANSLATE(B36353,""en"",""de"")"),"Wir sehen, dass der Mann eine Handvoll Gras nehmen und den Kopf mit dem Kopf wischen.")</f>
        <v>Wir sehen, dass der Mann eine Handvoll Gras nehmen und den Kopf mit dem Kopf wischen.</v>
      </c>
    </row>
    <row r="36354">
      <c r="A36354" s="4" t="s">
        <v>45726</v>
      </c>
      <c r="B36354" s="4" t="s">
        <v>45729</v>
      </c>
      <c r="C36354" s="5" t="str">
        <f>IFERROR(__xludf.DUMMYFUNCTION("GOOGLETRANSLATE(B36354,""en"",""de"")"),"Der Mann zieht etwas aus seiner Tasche und reibt es auf die Sense.")</f>
        <v>Der Mann zieht etwas aus seiner Tasche und reibt es auf die Sense.</v>
      </c>
    </row>
    <row r="36355">
      <c r="A36355" s="4" t="s">
        <v>45726</v>
      </c>
      <c r="B36355" s="4" t="s">
        <v>45730</v>
      </c>
      <c r="C36355" s="5" t="str">
        <f>IFERROR(__xludf.DUMMYFUNCTION("GOOGLETRANSLATE(B36355,""en"",""de"")"),"Die Männer kehren dann zurück, um das Gras zu schneiden.")</f>
        <v>Die Männer kehren dann zurück, um das Gras zu schneiden.</v>
      </c>
    </row>
    <row r="36356">
      <c r="A36356" s="4" t="s">
        <v>45731</v>
      </c>
      <c r="B36356" s="4" t="s">
        <v>45732</v>
      </c>
      <c r="C36356" s="5" t="str">
        <f>IFERROR(__xludf.DUMMYFUNCTION("GOOGLETRANSLATE(B36356,""en"",""de"")"),"Die Leute stehen auf einem Volleyballplatz.")</f>
        <v>Die Leute stehen auf einem Volleyballplatz.</v>
      </c>
    </row>
    <row r="36357">
      <c r="A36357" s="4" t="s">
        <v>45731</v>
      </c>
      <c r="B36357" s="4" t="s">
        <v>45733</v>
      </c>
      <c r="C36357" s="5" t="str">
        <f>IFERROR(__xludf.DUMMYFUNCTION("GOOGLETRANSLATE(B36357,""en"",""de"")"),"Ein Mann in einem weißen Hut steht im Sand.")</f>
        <v>Ein Mann in einem weißen Hut steht im Sand.</v>
      </c>
    </row>
    <row r="36358">
      <c r="A36358" s="4" t="s">
        <v>45731</v>
      </c>
      <c r="B36358" s="4" t="s">
        <v>45734</v>
      </c>
      <c r="C36358" s="5" t="str">
        <f>IFERROR(__xludf.DUMMYFUNCTION("GOOGLETRANSLATE(B36358,""en"",""de"")"),"Eine Person in einem schwarzen Hemd serviert den Volleyball, aber es schafft es nicht über das Netz.")</f>
        <v>Eine Person in einem schwarzen Hemd serviert den Volleyball, aber es schafft es nicht über das Netz.</v>
      </c>
    </row>
    <row r="36359">
      <c r="A36359" s="4" t="s">
        <v>45735</v>
      </c>
      <c r="B36359" s="4" t="s">
        <v>45736</v>
      </c>
      <c r="C36359" s="5" t="str">
        <f>IFERROR(__xludf.DUMMYFUNCTION("GOOGLETRANSLATE(B36359,""en"",""de"")"),"Eine Frau sitzt am Klavier und spielt vor einem kleinen Publikum.")</f>
        <v>Eine Frau sitzt am Klavier und spielt vor einem kleinen Publikum.</v>
      </c>
    </row>
    <row r="36360">
      <c r="A36360" s="4" t="s">
        <v>45735</v>
      </c>
      <c r="B36360" s="4" t="s">
        <v>45737</v>
      </c>
      <c r="C36360" s="5" t="str">
        <f>IFERROR(__xludf.DUMMYFUNCTION("GOOGLETRANSLATE(B36360,""en"",""de"")"),"Die Kamera konzentriert sich auf mehrere Männer, die sie beobachten.")</f>
        <v>Die Kamera konzentriert sich auf mehrere Männer, die sie beobachten.</v>
      </c>
    </row>
    <row r="36361">
      <c r="A36361" s="4" t="s">
        <v>45735</v>
      </c>
      <c r="B36361" s="4" t="s">
        <v>45738</v>
      </c>
      <c r="C36361" s="5" t="str">
        <f>IFERROR(__xludf.DUMMYFUNCTION("GOOGLETRANSLATE(B36361,""en"",""de"")"),"Die Frau singt mit dem Klavier.")</f>
        <v>Die Frau singt mit dem Klavier.</v>
      </c>
    </row>
    <row r="36362">
      <c r="A36362" s="4" t="s">
        <v>45735</v>
      </c>
      <c r="B36362" s="4" t="s">
        <v>45739</v>
      </c>
      <c r="C36362" s="5" t="str">
        <f>IFERROR(__xludf.DUMMYFUNCTION("GOOGLETRANSLATE(B36362,""en"",""de"")"),"Die Kamera erfasst die Reaktion der Mitglieder des Publikums.")</f>
        <v>Die Kamera erfasst die Reaktion der Mitglieder des Publikums.</v>
      </c>
    </row>
    <row r="36363">
      <c r="A36363" s="4" t="s">
        <v>45735</v>
      </c>
      <c r="B36363" s="4" t="s">
        <v>45740</v>
      </c>
      <c r="C36363" s="5" t="str">
        <f>IFERROR(__xludf.DUMMYFUNCTION("GOOGLETRANSLATE(B36363,""en"",""de"")"),"Die Kamera fängt mehr Reaktionsaufnahmen vom Publikum ein.")</f>
        <v>Die Kamera fängt mehr Reaktionsaufnahmen vom Publikum ein.</v>
      </c>
    </row>
    <row r="36364">
      <c r="A36364" s="4" t="s">
        <v>45741</v>
      </c>
      <c r="B36364" s="4" t="s">
        <v>45742</v>
      </c>
      <c r="C36364" s="5" t="str">
        <f>IFERROR(__xludf.DUMMYFUNCTION("GOOGLETRANSLATE(B36364,""en"",""de"")"),"Es wird ein Paar Gartenschere gezeigt.")</f>
        <v>Es wird ein Paar Gartenschere gezeigt.</v>
      </c>
    </row>
    <row r="36365">
      <c r="A36365" s="4" t="s">
        <v>45741</v>
      </c>
      <c r="B36365" s="4" t="s">
        <v>45743</v>
      </c>
      <c r="C36365" s="5" t="str">
        <f>IFERROR(__xludf.DUMMYFUNCTION("GOOGLETRANSLATE(B36365,""en"",""de"")"),"Eine Frau zeigt, wie man die Gartenschere in verschiedenen Situationen benutzt.")</f>
        <v>Eine Frau zeigt, wie man die Gartenschere in verschiedenen Situationen benutzt.</v>
      </c>
    </row>
    <row r="36366">
      <c r="A36366" s="4" t="s">
        <v>45741</v>
      </c>
      <c r="B36366" s="4" t="s">
        <v>45744</v>
      </c>
      <c r="C36366" s="5" t="str">
        <f>IFERROR(__xludf.DUMMYFUNCTION("GOOGLETRANSLATE(B36366,""en"",""de"")"),"Ein jüngeres Mädchen zeigt, wie man die Scheren benutzt.")</f>
        <v>Ein jüngeres Mädchen zeigt, wie man die Scheren benutzt.</v>
      </c>
    </row>
    <row r="36367">
      <c r="A36367" s="4" t="s">
        <v>45741</v>
      </c>
      <c r="B36367" s="4" t="s">
        <v>45745</v>
      </c>
      <c r="C36367" s="5" t="str">
        <f>IFERROR(__xludf.DUMMYFUNCTION("GOOGLETRANSLATE(B36367,""en"",""de"")"),"Ein älterer Mann zeigt, wie er die Scheren verwendet.")</f>
        <v>Ein älterer Mann zeigt, wie er die Scheren verwendet.</v>
      </c>
    </row>
    <row r="36368">
      <c r="A36368" s="4" t="s">
        <v>45741</v>
      </c>
      <c r="B36368" s="4" t="s">
        <v>45746</v>
      </c>
      <c r="C36368" s="5" t="str">
        <f>IFERROR(__xludf.DUMMYFUNCTION("GOOGLETRANSLATE(B36368,""en"",""de"")"),"Ein junger Mann wird mit der Schere gezeigt, um etwas über seinem Kopf zu erreichen.")</f>
        <v>Ein junger Mann wird mit der Schere gezeigt, um etwas über seinem Kopf zu erreichen.</v>
      </c>
    </row>
    <row r="36369">
      <c r="A36369" s="4" t="s">
        <v>45741</v>
      </c>
      <c r="B36369" s="4" t="s">
        <v>45747</v>
      </c>
      <c r="C36369" s="5" t="str">
        <f>IFERROR(__xludf.DUMMYFUNCTION("GOOGLETRANSLATE(B36369,""en"",""de"")"),"Die gezeigte ursprüngliche Frau zeigt die Verwendung der Scheren an verschiedenen Pflanzenarten.")</f>
        <v>Die gezeigte ursprüngliche Frau zeigt die Verwendung der Scheren an verschiedenen Pflanzenarten.</v>
      </c>
    </row>
    <row r="36370">
      <c r="A36370" s="4" t="s">
        <v>45741</v>
      </c>
      <c r="B36370" s="4" t="s">
        <v>45748</v>
      </c>
      <c r="C36370" s="5" t="str">
        <f>IFERROR(__xludf.DUMMYFUNCTION("GOOGLETRANSLATE(B36370,""en"",""de"")"),"Dieselbe Frau zeigt, wie man den Teleskopgriff der Scheren und Schnittpflanzen benutzt, die unerreichbar wären.")</f>
        <v>Dieselbe Frau zeigt, wie man den Teleskopgriff der Scheren und Schnittpflanzen benutzt, die unerreichbar wären.</v>
      </c>
    </row>
    <row r="36371">
      <c r="A36371" s="4" t="s">
        <v>45741</v>
      </c>
      <c r="B36371" s="4" t="s">
        <v>45749</v>
      </c>
      <c r="C36371" s="5" t="str">
        <f>IFERROR(__xludf.DUMMYFUNCTION("GOOGLETRANSLATE(B36371,""en"",""de"")"),"Die gleiche Frau geht mit der Schere einen Weg hinunter.")</f>
        <v>Die gleiche Frau geht mit der Schere einen Weg hinunter.</v>
      </c>
    </row>
    <row r="36372">
      <c r="A36372" s="4" t="s">
        <v>45741</v>
      </c>
      <c r="B36372" s="4" t="s">
        <v>45750</v>
      </c>
      <c r="C36372" s="5" t="str">
        <f>IFERROR(__xludf.DUMMYFUNCTION("GOOGLETRANSLATE(B36372,""en"",""de"")"),"Die Frau zeigt dann, wie die Schere auf mehreren anderen Pflanzen zeigt.")</f>
        <v>Die Frau zeigt dann, wie die Schere auf mehreren anderen Pflanzen zeigt.</v>
      </c>
    </row>
    <row r="36373">
      <c r="A36373" s="4" t="s">
        <v>45741</v>
      </c>
      <c r="B36373" s="4" t="s">
        <v>45751</v>
      </c>
      <c r="C36373" s="5" t="str">
        <f>IFERROR(__xludf.DUMMYFUNCTION("GOOGLETRANSLATE(B36373,""en"",""de"")"),"Eine junge Frau wird mit der Schere gezeigt.")</f>
        <v>Eine junge Frau wird mit der Schere gezeigt.</v>
      </c>
    </row>
    <row r="36374">
      <c r="A36374" s="4" t="s">
        <v>45741</v>
      </c>
      <c r="B36374" s="4" t="s">
        <v>45752</v>
      </c>
      <c r="C36374" s="5" t="str">
        <f>IFERROR(__xludf.DUMMYFUNCTION("GOOGLETRANSLATE(B36374,""en"",""de"")"),"Ein älterer Mann benutzt die Schere.")</f>
        <v>Ein älterer Mann benutzt die Schere.</v>
      </c>
    </row>
    <row r="36375">
      <c r="A36375" s="4" t="s">
        <v>45741</v>
      </c>
      <c r="B36375" s="4" t="s">
        <v>45753</v>
      </c>
      <c r="C36375" s="5" t="str">
        <f>IFERROR(__xludf.DUMMYFUNCTION("GOOGLETRANSLATE(B36375,""en"",""de"")"),"Ein anderer Mann wird mit den Scheren gezeigt, um Baumglieder zu erreichen.")</f>
        <v>Ein anderer Mann wird mit den Scheren gezeigt, um Baumglieder zu erreichen.</v>
      </c>
    </row>
    <row r="36376">
      <c r="A36376" s="4" t="s">
        <v>45741</v>
      </c>
      <c r="B36376" s="4" t="s">
        <v>45754</v>
      </c>
      <c r="C36376" s="5" t="str">
        <f>IFERROR(__xludf.DUMMYFUNCTION("GOOGLETRANSLATE(B36376,""en"",""de"")"),"Die erste Frau zeigt zusätzliche Merkmale der Scheren und dieselben Beispiele für andere Personen, die die Schere verwenden, werden erneut angezeigt.")</f>
        <v>Die erste Frau zeigt zusätzliche Merkmale der Scheren und dieselben Beispiele für andere Personen, die die Schere verwenden, werden erneut angezeigt.</v>
      </c>
    </row>
    <row r="36377">
      <c r="A36377" s="4" t="s">
        <v>45741</v>
      </c>
      <c r="B36377" s="4" t="s">
        <v>45755</v>
      </c>
      <c r="C36377" s="5" t="str">
        <f>IFERROR(__xludf.DUMMYFUNCTION("GOOGLETRANSLATE(B36377,""en"",""de"")"),"Die Frau geht mit der Schere eine Treppe hinauf.")</f>
        <v>Die Frau geht mit der Schere eine Treppe hinauf.</v>
      </c>
    </row>
    <row r="36378">
      <c r="A36378" s="4" t="s">
        <v>45741</v>
      </c>
      <c r="B36378" s="4" t="s">
        <v>45756</v>
      </c>
      <c r="C36378" s="5" t="str">
        <f>IFERROR(__xludf.DUMMYFUNCTION("GOOGLETRANSLATE(B36378,""en"",""de"")"),"Dieselbe Frau wird im Laden gezeigt und kauft die Schere.")</f>
        <v>Dieselbe Frau wird im Laden gezeigt und kauft die Schere.</v>
      </c>
    </row>
    <row r="36379">
      <c r="A36379" s="4" t="s">
        <v>45757</v>
      </c>
      <c r="B36379" s="4" t="s">
        <v>45758</v>
      </c>
      <c r="C36379" s="5" t="str">
        <f>IFERROR(__xludf.DUMMYFUNCTION("GOOGLETRANSLATE(B36379,""en"",""de"")"),"Zwei Männer sind in einem Fitnessstudio.")</f>
        <v>Zwei Männer sind in einem Fitnessstudio.</v>
      </c>
    </row>
    <row r="36380">
      <c r="A36380" s="4" t="s">
        <v>45757</v>
      </c>
      <c r="B36380" s="4" t="s">
        <v>45759</v>
      </c>
      <c r="C36380" s="5" t="str">
        <f>IFERROR(__xludf.DUMMYFUNCTION("GOOGLETRANSLATE(B36380,""en"",""de"")"),"Einer ist in Boxhandschuhen und der andere trägt Armwächter.")</f>
        <v>Einer ist in Boxhandschuhen und der andere trägt Armwächter.</v>
      </c>
    </row>
    <row r="36381">
      <c r="A36381" s="4" t="s">
        <v>45757</v>
      </c>
      <c r="B36381" s="4" t="s">
        <v>45760</v>
      </c>
      <c r="C36381" s="5" t="str">
        <f>IFERROR(__xludf.DUMMYFUNCTION("GOOGLETRANSLATE(B36381,""en"",""de"")"),"Sie zeigen die verschiedenen Bewegungen beim Schlagen und Treten.")</f>
        <v>Sie zeigen die verschiedenen Bewegungen beim Schlagen und Treten.</v>
      </c>
    </row>
    <row r="36382">
      <c r="A36382" s="4" t="s">
        <v>45761</v>
      </c>
      <c r="B36382" s="4" t="s">
        <v>45762</v>
      </c>
      <c r="C36382" s="5" t="str">
        <f>IFERROR(__xludf.DUMMYFUNCTION("GOOGLETRANSLATE(B36382,""en"",""de"")"),"Eine Kamera schwenkt um ein sportliches Feld mit verschiedenen Leuten, die sich aufwärmen und Stöcke halten.")</f>
        <v>Eine Kamera schwenkt um ein sportliches Feld mit verschiedenen Leuten, die sich aufwärmen und Stöcke halten.</v>
      </c>
    </row>
    <row r="36383">
      <c r="A36383" s="4" t="s">
        <v>45761</v>
      </c>
      <c r="B36383" s="4" t="s">
        <v>45763</v>
      </c>
      <c r="C36383" s="5" t="str">
        <f>IFERROR(__xludf.DUMMYFUNCTION("GOOGLETRANSLATE(B36383,""en"",""de"")"),"Ein Mädchen, das einen Stock hält, wird von einem Ausbilder gesprochen und sie rennt durch und wirft die Stange.")</f>
        <v>Ein Mädchen, das einen Stock hält, wird von einem Ausbilder gesprochen und sie rennt durch und wirft die Stange.</v>
      </c>
    </row>
    <row r="36384">
      <c r="A36384" s="4" t="s">
        <v>45761</v>
      </c>
      <c r="B36384" s="4" t="s">
        <v>45764</v>
      </c>
      <c r="C36384" s="5" t="str">
        <f>IFERROR(__xludf.DUMMYFUNCTION("GOOGLETRANSLATE(B36384,""en"",""de"")"),"Sie geht zurück, während ein anderer ein Seil schnappt, um ihre Entfernung abzuschätzen.")</f>
        <v>Sie geht zurück, während ein anderer ein Seil schnappt, um ihre Entfernung abzuschätzen.</v>
      </c>
    </row>
    <row r="36385">
      <c r="A36385" s="4" t="s">
        <v>45765</v>
      </c>
      <c r="B36385" s="4" t="s">
        <v>45766</v>
      </c>
      <c r="C36385" s="5" t="str">
        <f>IFERROR(__xludf.DUMMYFUNCTION("GOOGLETRANSLATE(B36385,""en"",""de"")"),"Ein junger Mann in einer weißen Karate -Uniform übt einige Bewegungen aus.")</f>
        <v>Ein junger Mann in einer weißen Karate -Uniform übt einige Bewegungen aus.</v>
      </c>
    </row>
    <row r="36386">
      <c r="A36386" s="4" t="s">
        <v>45765</v>
      </c>
      <c r="B36386" s="4" t="s">
        <v>45767</v>
      </c>
      <c r="C36386" s="5" t="str">
        <f>IFERROR(__xludf.DUMMYFUNCTION("GOOGLETRANSLATE(B36386,""en"",""de"")"),"Er beugt am Ende und rennt zur Kamera.")</f>
        <v>Er beugt am Ende und rennt zur Kamera.</v>
      </c>
    </row>
    <row r="36387">
      <c r="A36387" s="4" t="s">
        <v>45768</v>
      </c>
      <c r="B36387" s="4" t="s">
        <v>45769</v>
      </c>
      <c r="C36387" s="5" t="str">
        <f>IFERROR(__xludf.DUMMYFUNCTION("GOOGLETRANSLATE(B36387,""en"",""de"")"),"Männer stehen auf einem Feld und spielen ein kleines Stück Essen in den Mund eines anderen Mannes.")</f>
        <v>Männer stehen auf einem Feld und spielen ein kleines Stück Essen in den Mund eines anderen Mannes.</v>
      </c>
    </row>
    <row r="36388">
      <c r="A36388" s="4" t="s">
        <v>45768</v>
      </c>
      <c r="B36388" s="4" t="s">
        <v>45770</v>
      </c>
      <c r="C36388" s="5" t="str">
        <f>IFERROR(__xludf.DUMMYFUNCTION("GOOGLETRANSLATE(B36388,""en"",""de"")"),"Der Mensch spricht vor der Kamera und das Team steht in einem großen grünen Grasfeld.")</f>
        <v>Der Mensch spricht vor der Kamera und das Team steht in einem großen grünen Grasfeld.</v>
      </c>
    </row>
    <row r="36389">
      <c r="A36389" s="4" t="s">
        <v>45768</v>
      </c>
      <c r="B36389" s="4" t="s">
        <v>45771</v>
      </c>
      <c r="C36389" s="5" t="str">
        <f>IFERROR(__xludf.DUMMYFUNCTION("GOOGLETRANSLATE(B36389,""en"",""de"")"),"Der Mann beginnt Cricket auf dem Feld zu spielen.")</f>
        <v>Der Mann beginnt Cricket auf dem Feld zu spielen.</v>
      </c>
    </row>
    <row r="36390">
      <c r="A36390" s="4" t="s">
        <v>45768</v>
      </c>
      <c r="B36390" s="4" t="s">
        <v>45772</v>
      </c>
      <c r="C36390" s="5" t="str">
        <f>IFERROR(__xludf.DUMMYFUNCTION("GOOGLETRANSLATE(B36390,""en"",""de"")"),"Frau spricht in Nachrichten mit der Kamera.")</f>
        <v>Frau spricht in Nachrichten mit der Kamera.</v>
      </c>
    </row>
    <row r="36391">
      <c r="A36391" s="4" t="s">
        <v>45773</v>
      </c>
      <c r="B36391" s="4" t="s">
        <v>45774</v>
      </c>
      <c r="C36391" s="5" t="str">
        <f>IFERROR(__xludf.DUMMYFUNCTION("GOOGLETRANSLATE(B36391,""en"",""de"")"),"Ein Mädchen fährt auf dem Rücksitz eines Autos und spielt Lippenstift mit einem kleinen Mädchen in einem Autositz.")</f>
        <v>Ein Mädchen fährt auf dem Rücksitz eines Autos und spielt Lippenstift mit einem kleinen Mädchen in einem Autositz.</v>
      </c>
    </row>
    <row r="36392">
      <c r="A36392" s="4" t="s">
        <v>45773</v>
      </c>
      <c r="B36392" s="4" t="s">
        <v>45775</v>
      </c>
      <c r="C36392" s="5" t="str">
        <f>IFERROR(__xludf.DUMMYFUNCTION("GOOGLETRANSLATE(B36392,""en"",""de"")"),"Das Mädchen nimmt den Zauberstab und versucht, ihn auf ihre eigenen Lippen zu legen.")</f>
        <v>Das Mädchen nimmt den Zauberstab und versucht, ihn auf ihre eigenen Lippen zu legen.</v>
      </c>
    </row>
    <row r="36393">
      <c r="A36393" s="4" t="s">
        <v>45773</v>
      </c>
      <c r="B36393" s="4" t="s">
        <v>45776</v>
      </c>
      <c r="C36393" s="5" t="str">
        <f>IFERROR(__xludf.DUMMYFUNCTION("GOOGLETRANSLATE(B36393,""en"",""de"")"),"Sie lächelt breit für die Kamera.")</f>
        <v>Sie lächelt breit für die Kamera.</v>
      </c>
    </row>
    <row r="36394">
      <c r="A36394" s="4" t="s">
        <v>45777</v>
      </c>
      <c r="B36394" s="4" t="s">
        <v>45778</v>
      </c>
      <c r="C36394" s="5" t="str">
        <f>IFERROR(__xludf.DUMMYFUNCTION("GOOGLETRANSLATE(B36394,""en"",""de"")"),"Ein Mann spricht in einem Laden.")</f>
        <v>Ein Mann spricht in einem Laden.</v>
      </c>
    </row>
    <row r="36395">
      <c r="A36395" s="4" t="s">
        <v>45777</v>
      </c>
      <c r="B36395" s="4" t="s">
        <v>45779</v>
      </c>
      <c r="C36395" s="5" t="str">
        <f>IFERROR(__xludf.DUMMYFUNCTION("GOOGLETRANSLATE(B36395,""en"",""de"")"),"Er zeigt ein Eisen und verwendet es dann, um ein Stück Plastik zu schmelzen.")</f>
        <v>Er zeigt ein Eisen und verwendet es dann, um ein Stück Plastik zu schmelzen.</v>
      </c>
    </row>
    <row r="36396">
      <c r="A36396" s="4" t="s">
        <v>45777</v>
      </c>
      <c r="B36396" s="4" t="s">
        <v>45780</v>
      </c>
      <c r="C36396" s="5" t="str">
        <f>IFERROR(__xludf.DUMMYFUNCTION("GOOGLETRANSLATE(B36396,""en"",""de"")"),"Die Manneisen bürsten dann ein langes Stück Metall.")</f>
        <v>Die Manneisen bürsten dann ein langes Stück Metall.</v>
      </c>
    </row>
    <row r="36397">
      <c r="A36397" s="4" t="s">
        <v>45781</v>
      </c>
      <c r="B36397" s="4" t="s">
        <v>45782</v>
      </c>
      <c r="C36397" s="5" t="str">
        <f>IFERROR(__xludf.DUMMYFUNCTION("GOOGLETRANSLATE(B36397,""en"",""de"")"),"Eine Person räumt Schnee mit einem roten Schneepflug.")</f>
        <v>Eine Person räumt Schnee mit einem roten Schneepflug.</v>
      </c>
    </row>
    <row r="36398">
      <c r="A36398" s="4" t="s">
        <v>45781</v>
      </c>
      <c r="B36398" s="4" t="s">
        <v>45783</v>
      </c>
      <c r="C36398" s="5" t="str">
        <f>IFERROR(__xludf.DUMMYFUNCTION("GOOGLETRANSLATE(B36398,""en"",""de"")"),"Sie schieben den Schnee in einem Stapel zur Seite.")</f>
        <v>Sie schieben den Schnee in einem Stapel zur Seite.</v>
      </c>
    </row>
    <row r="36399">
      <c r="A36399" s="4" t="s">
        <v>45781</v>
      </c>
      <c r="B36399" s="4" t="s">
        <v>45784</v>
      </c>
      <c r="C36399" s="5" t="str">
        <f>IFERROR(__xludf.DUMMYFUNCTION("GOOGLETRANSLATE(B36399,""en"",""de"")"),"Sie pflügeln die Einfahrt ab.")</f>
        <v>Sie pflügeln die Einfahrt ab.</v>
      </c>
    </row>
    <row r="36400">
      <c r="A36400" s="4" t="s">
        <v>45785</v>
      </c>
      <c r="B36400" s="4" t="s">
        <v>45786</v>
      </c>
      <c r="C36400" s="5" t="str">
        <f>IFERROR(__xludf.DUMMYFUNCTION("GOOGLETRANSLATE(B36400,""en"",""de"")"),"Ein Mann in einem schwarzen Pullover führt schnell eine Rubik Cube -Herausforderung durch, während der Timer tickt.")</f>
        <v>Ein Mann in einem schwarzen Pullover führt schnell eine Rubik Cube -Herausforderung durch, während der Timer tickt.</v>
      </c>
    </row>
    <row r="36401">
      <c r="A36401" s="4" t="s">
        <v>45785</v>
      </c>
      <c r="B36401" s="4" t="s">
        <v>45787</v>
      </c>
      <c r="C36401" s="5" t="str">
        <f>IFERROR(__xludf.DUMMYFUNCTION("GOOGLETRANSLATE(B36401,""en"",""de"")"),"Ein Mann sitzt neben ihm und beobachtet.")</f>
        <v>Ein Mann sitzt neben ihm und beobachtet.</v>
      </c>
    </row>
    <row r="36402">
      <c r="A36402" s="4" t="s">
        <v>45785</v>
      </c>
      <c r="B36402" s="4" t="s">
        <v>45788</v>
      </c>
      <c r="C36402" s="5" t="str">
        <f>IFERROR(__xludf.DUMMYFUNCTION("GOOGLETRANSLATE(B36402,""en"",""de"")"),"Der Mann im schwarzen Pullover endet und springt vor Aufregung hoch.")</f>
        <v>Der Mann im schwarzen Pullover endet und springt vor Aufregung hoch.</v>
      </c>
    </row>
    <row r="36403">
      <c r="A36403" s="4" t="s">
        <v>45785</v>
      </c>
      <c r="B36403" s="4" t="s">
        <v>45789</v>
      </c>
      <c r="C36403" s="5" t="str">
        <f>IFERROR(__xludf.DUMMYFUNCTION("GOOGLETRANSLATE(B36403,""en"",""de"")"),"Der Mann, der neben ihm saß, steht auf und wird von anderen jungen Männern begleitet.")</f>
        <v>Der Mann, der neben ihm saß, steht auf und wird von anderen jungen Männern begleitet.</v>
      </c>
    </row>
    <row r="36404">
      <c r="A36404" s="4" t="s">
        <v>45790</v>
      </c>
      <c r="B36404" s="4" t="s">
        <v>45791</v>
      </c>
      <c r="C36404" s="5" t="str">
        <f>IFERROR(__xludf.DUMMYFUNCTION("GOOGLETRANSLATE(B36404,""en"",""de"")"),"Eine Gruppe von Cheerleadern posiert auf einer Bühne.")</f>
        <v>Eine Gruppe von Cheerleadern posiert auf einer Bühne.</v>
      </c>
    </row>
    <row r="36405">
      <c r="A36405" s="4" t="s">
        <v>45790</v>
      </c>
      <c r="B36405" s="4" t="s">
        <v>45792</v>
      </c>
      <c r="C36405" s="5" t="str">
        <f>IFERROR(__xludf.DUMMYFUNCTION("GOOGLETRANSLATE(B36405,""en"",""de"")"),"Sie brechen auseinander und gehen in eine aufwändige Tanzroutine.")</f>
        <v>Sie brechen auseinander und gehen in eine aufwändige Tanzroutine.</v>
      </c>
    </row>
    <row r="36406">
      <c r="A36406" s="4" t="s">
        <v>45790</v>
      </c>
      <c r="B36406" s="4" t="s">
        <v>45793</v>
      </c>
      <c r="C36406" s="5" t="str">
        <f>IFERROR(__xludf.DUMMYFUNCTION("GOOGLETRANSLATE(B36406,""en"",""de"")"),"Sie drehen, werfen und werfen sich gegenseitig und springen dann aufgeregt auf und ab.")</f>
        <v>Sie drehen, werfen und werfen sich gegenseitig und springen dann aufgeregt auf und ab.</v>
      </c>
    </row>
    <row r="36407">
      <c r="A36407" s="4" t="s">
        <v>45794</v>
      </c>
      <c r="B36407" s="4" t="s">
        <v>45795</v>
      </c>
      <c r="C36407" s="5" t="str">
        <f>IFERROR(__xludf.DUMMYFUNCTION("GOOGLETRANSLATE(B36407,""en"",""de"")"),"Zwei Männer kochen Omeletts auf langen Pfannen auf der Straße.")</f>
        <v>Zwei Männer kochen Omeletts auf langen Pfannen auf der Straße.</v>
      </c>
    </row>
    <row r="36408">
      <c r="A36408" s="4" t="s">
        <v>45794</v>
      </c>
      <c r="B36408" s="4" t="s">
        <v>45796</v>
      </c>
      <c r="C36408" s="5" t="str">
        <f>IFERROR(__xludf.DUMMYFUNCTION("GOOGLETRANSLATE(B36408,""en"",""de"")"),"Die Leute gehen vor den Männern an.")</f>
        <v>Die Leute gehen vor den Männern an.</v>
      </c>
    </row>
    <row r="36409">
      <c r="A36409" s="4" t="s">
        <v>45794</v>
      </c>
      <c r="B36409" s="4" t="s">
        <v>45797</v>
      </c>
      <c r="C36409" s="5" t="str">
        <f>IFERROR(__xludf.DUMMYFUNCTION("GOOGLETRANSLATE(B36409,""en"",""de"")"),"Ein Mann steckt mit zwei Sticks in der heißen Pfanne Eier in die Eier, um die Eier zu drehen.")</f>
        <v>Ein Mann steckt mit zwei Sticks in der heißen Pfanne Eier in die Eier, um die Eier zu drehen.</v>
      </c>
    </row>
    <row r="36410">
      <c r="A36410" s="4" t="s">
        <v>45794</v>
      </c>
      <c r="B36410" s="4" t="s">
        <v>45798</v>
      </c>
      <c r="C36410" s="5" t="str">
        <f>IFERROR(__xludf.DUMMYFUNCTION("GOOGLETRANSLATE(B36410,""en"",""de"")"),"Dann fügt der Mann mehr Rühreier hinzu, während er das Omelett dreht, um es größer zu machen.")</f>
        <v>Dann fügt der Mann mehr Rühreier hinzu, während er das Omelett dreht, um es größer zu machen.</v>
      </c>
    </row>
    <row r="36411">
      <c r="A36411" s="4" t="s">
        <v>45794</v>
      </c>
      <c r="B36411" s="4" t="s">
        <v>45799</v>
      </c>
      <c r="C36411" s="5" t="str">
        <f>IFERROR(__xludf.DUMMYFUNCTION("GOOGLETRANSLATE(B36411,""en"",""de"")"),"Danach wickelt er das Omelett.")</f>
        <v>Danach wickelt er das Omelett.</v>
      </c>
    </row>
    <row r="36412">
      <c r="A36412" s="4" t="s">
        <v>45800</v>
      </c>
      <c r="B36412" s="4" t="s">
        <v>45801</v>
      </c>
      <c r="C36412" s="5" t="str">
        <f>IFERROR(__xludf.DUMMYFUNCTION("GOOGLETRANSLATE(B36412,""en"",""de"")"),"Ein Mann springt auf parallele Balken.")</f>
        <v>Ein Mann springt auf parallele Balken.</v>
      </c>
    </row>
    <row r="36413">
      <c r="A36413" s="4" t="s">
        <v>45800</v>
      </c>
      <c r="B36413" s="4" t="s">
        <v>45802</v>
      </c>
      <c r="C36413" s="5" t="str">
        <f>IFERROR(__xludf.DUMMYFUNCTION("GOOGLETRANSLATE(B36413,""en"",""de"")"),"Er beginnt eine Gymnastikroutine auf den parallelen Bars.")</f>
        <v>Er beginnt eine Gymnastikroutine auf den parallelen Bars.</v>
      </c>
    </row>
    <row r="36414">
      <c r="A36414" s="4" t="s">
        <v>45800</v>
      </c>
      <c r="B36414" s="4" t="s">
        <v>45803</v>
      </c>
      <c r="C36414" s="5" t="str">
        <f>IFERROR(__xludf.DUMMYFUNCTION("GOOGLETRANSLATE(B36414,""en"",""de"")"),"Er macht einen Sprung und landet auf der Matte.")</f>
        <v>Er macht einen Sprung und landet auf der Matte.</v>
      </c>
    </row>
    <row r="36415">
      <c r="A36415" s="4" t="s">
        <v>45804</v>
      </c>
      <c r="B36415" s="4" t="s">
        <v>45805</v>
      </c>
      <c r="C36415" s="5" t="str">
        <f>IFERROR(__xludf.DUMMYFUNCTION("GOOGLETRANSLATE(B36415,""en"",""de"")"),"Ein Mädchen macht Hula Hoop, der einen Hula -Ring um ihren Hals, ihren Körper und ihre Hände dreht.")</f>
        <v>Ein Mädchen macht Hula Hoop, der einen Hula -Ring um ihren Hals, ihren Körper und ihre Hände dreht.</v>
      </c>
    </row>
    <row r="36416">
      <c r="A36416" s="4" t="s">
        <v>45804</v>
      </c>
      <c r="B36416" s="4" t="s">
        <v>45806</v>
      </c>
      <c r="C36416" s="5" t="str">
        <f>IFERROR(__xludf.DUMMYFUNCTION("GOOGLETRANSLATE(B36416,""en"",""de"")"),"Dann gibt eine Person dem Mädchen, das gleichzeitig die beiden Hula -Ringe dreht, einen Hula.")</f>
        <v>Dann gibt eine Person dem Mädchen, das gleichzeitig die beiden Hula -Ringe dreht, einen Hula.</v>
      </c>
    </row>
    <row r="36417">
      <c r="A36417" s="4" t="s">
        <v>45804</v>
      </c>
      <c r="B36417" s="4" t="s">
        <v>45807</v>
      </c>
      <c r="C36417" s="5" t="str">
        <f>IFERROR(__xludf.DUMMYFUNCTION("GOOGLETRANSLATE(B36417,""en"",""de"")"),"Danach gibt eine Person dem Mädchen einen anderen Hula -Ring, um Hula mit drei Ringen zu reifen.")</f>
        <v>Danach gibt eine Person dem Mädchen einen anderen Hula -Ring, um Hula mit drei Ringen zu reifen.</v>
      </c>
    </row>
    <row r="36418">
      <c r="A36418" s="4" t="s">
        <v>45804</v>
      </c>
      <c r="B36418" s="4" t="s">
        <v>45808</v>
      </c>
      <c r="C36418" s="5" t="str">
        <f>IFERROR(__xludf.DUMMYFUNCTION("GOOGLETRANSLATE(B36418,""en"",""de"")"),"Am Ende umarmt das Mädchen der Person und einem Moderator spricht.")</f>
        <v>Am Ende umarmt das Mädchen der Person und einem Moderator spricht.</v>
      </c>
    </row>
    <row r="36419">
      <c r="A36419" s="4" t="s">
        <v>45809</v>
      </c>
      <c r="B36419" s="4" t="s">
        <v>45810</v>
      </c>
      <c r="C36419" s="5" t="str">
        <f>IFERROR(__xludf.DUMMYFUNCTION("GOOGLETRANSLATE(B36419,""en"",""de"")"),"Eine große Menge von Menschen steht mitten auf der Straße und führt zu einer Tanzperformance sowie einer Musikaufführung.")</f>
        <v>Eine große Menge von Menschen steht mitten auf der Straße und führt zu einer Tanzperformance sowie einer Musikaufführung.</v>
      </c>
    </row>
    <row r="36420">
      <c r="A36420" s="4" t="s">
        <v>45809</v>
      </c>
      <c r="B36420" s="4" t="s">
        <v>45811</v>
      </c>
      <c r="C36420" s="5" t="str">
        <f>IFERROR(__xludf.DUMMYFUNCTION("GOOGLETRANSLATE(B36420,""en"",""de"")"),"Die Menschen bewegen sich weiterhin auf der Straße und enden mit einer Finishing -Pose.")</f>
        <v>Die Menschen bewegen sich weiterhin auf der Straße und enden mit einer Finishing -Pose.</v>
      </c>
    </row>
    <row r="36421">
      <c r="A36421" s="4" t="s">
        <v>45812</v>
      </c>
      <c r="B36421" s="4" t="s">
        <v>45813</v>
      </c>
      <c r="C36421" s="5" t="str">
        <f>IFERROR(__xludf.DUMMYFUNCTION("GOOGLETRANSLATE(B36421,""en"",""de"")"),"Eine Kamera schwenkt außerhalb eines Gebäudes und schaut in einen dunklen Raum, in dem ein Mann trainiert und mit der Kamera spricht.")</f>
        <v>Eine Kamera schwenkt außerhalb eines Gebäudes und schaut in einen dunklen Raum, in dem ein Mann trainiert und mit der Kamera spricht.</v>
      </c>
    </row>
    <row r="36422">
      <c r="A36422" s="4" t="s">
        <v>45812</v>
      </c>
      <c r="B36422" s="4" t="s">
        <v>45814</v>
      </c>
      <c r="C36422" s="5" t="str">
        <f>IFERROR(__xludf.DUMMYFUNCTION("GOOGLETRANSLATE(B36422,""en"",""de"")"),"Der Mann fährt weiter auf der Ausrüstung, während er sich schneller und langsamer bewegt und die Kamera um seine Bewegungen schwenkt.")</f>
        <v>Der Mann fährt weiter auf der Ausrüstung, während er sich schneller und langsamer bewegt und die Kamera um seine Bewegungen schwenkt.</v>
      </c>
    </row>
    <row r="36423">
      <c r="A36423" s="4" t="s">
        <v>45815</v>
      </c>
      <c r="B36423" s="4" t="s">
        <v>45816</v>
      </c>
      <c r="C36423" s="5" t="str">
        <f>IFERROR(__xludf.DUMMYFUNCTION("GOOGLETRANSLATE(B36423,""en"",""de"")"),"Wir sehen einen Stuhl mit einem Kissen darauf.")</f>
        <v>Wir sehen einen Stuhl mit einem Kissen darauf.</v>
      </c>
    </row>
    <row r="36424">
      <c r="A36424" s="4" t="s">
        <v>45815</v>
      </c>
      <c r="B36424" s="4" t="s">
        <v>45817</v>
      </c>
      <c r="C36424" s="5" t="str">
        <f>IFERROR(__xludf.DUMMYFUNCTION("GOOGLETRANSLATE(B36424,""en"",""de"")"),"Ein Mann, der eine Katze hält, setzt sich auf den Stuhl.")</f>
        <v>Ein Mann, der eine Katze hält, setzt sich auf den Stuhl.</v>
      </c>
    </row>
    <row r="36425">
      <c r="A36425" s="4" t="s">
        <v>45815</v>
      </c>
      <c r="B36425" s="4" t="s">
        <v>45818</v>
      </c>
      <c r="C36425" s="5" t="str">
        <f>IFERROR(__xludf.DUMMYFUNCTION("GOOGLETRANSLATE(B36425,""en"",""de"")"),"Der Mann klammert die Katzen -Fingernägel.")</f>
        <v>Der Mann klammert die Katzen -Fingernägel.</v>
      </c>
    </row>
    <row r="36426">
      <c r="A36426" s="4" t="s">
        <v>45815</v>
      </c>
      <c r="B36426" s="4" t="s">
        <v>45819</v>
      </c>
      <c r="C36426" s="5" t="str">
        <f>IFERROR(__xludf.DUMMYFUNCTION("GOOGLETRANSLATE(B36426,""en"",""de"")"),"Der Mann streichelt den Kopf der Katze.")</f>
        <v>Der Mann streichelt den Kopf der Katze.</v>
      </c>
    </row>
    <row r="36427">
      <c r="A36427" s="4" t="s">
        <v>45815</v>
      </c>
      <c r="B36427" s="4" t="s">
        <v>45820</v>
      </c>
      <c r="C36427" s="5" t="str">
        <f>IFERROR(__xludf.DUMMYFUNCTION("GOOGLETRANSLATE(B36427,""en"",""de"")"),"Der Mann spielt mit der Katze, die es hin und her schaukelt.")</f>
        <v>Der Mann spielt mit der Katze, die es hin und her schaukelt.</v>
      </c>
    </row>
    <row r="36428">
      <c r="A36428" s="4" t="s">
        <v>45815</v>
      </c>
      <c r="B36428" s="4" t="s">
        <v>45821</v>
      </c>
      <c r="C36428" s="5" t="str">
        <f>IFERROR(__xludf.DUMMYFUNCTION("GOOGLETRANSLATE(B36428,""en"",""de"")"),"Der Mann stoppt die Kamera.")</f>
        <v>Der Mann stoppt die Kamera.</v>
      </c>
    </row>
    <row r="36429">
      <c r="A36429" s="4" t="s">
        <v>45822</v>
      </c>
      <c r="B36429" s="4" t="s">
        <v>45823</v>
      </c>
      <c r="C36429" s="5" t="str">
        <f>IFERROR(__xludf.DUMMYFUNCTION("GOOGLETRANSLATE(B36429,""en"",""de"")"),"Eine Frau mit blonden, langen Haaren trägt einen weißen Hula -Hoops, der Hula Hoops hat Regenbogenfarbe an Teilen davon.")</f>
        <v>Eine Frau mit blonden, langen Haaren trägt einen weißen Hula -Hoops, der Hula Hoops hat Regenbogenfarbe an Teilen davon.</v>
      </c>
    </row>
    <row r="36430">
      <c r="A36430" s="4" t="s">
        <v>45822</v>
      </c>
      <c r="B36430" s="4" t="s">
        <v>45824</v>
      </c>
      <c r="C36430" s="5" t="str">
        <f>IFERROR(__xludf.DUMMYFUNCTION("GOOGLETRANSLATE(B36430,""en"",""de"")"),"Das Mädchen ging zum See, sie geht barfuß auf dem Gras.")</f>
        <v>Das Mädchen ging zum See, sie geht barfuß auf dem Gras.</v>
      </c>
    </row>
    <row r="36431">
      <c r="A36431" s="4" t="s">
        <v>45822</v>
      </c>
      <c r="B36431" s="4" t="s">
        <v>45825</v>
      </c>
      <c r="C36431" s="5" t="str">
        <f>IFERROR(__xludf.DUMMYFUNCTION("GOOGLETRANSLATE(B36431,""en"",""de"")"),"Die Kamera dreht sich zu ihrem Gesicht, dann fing sie an, die Hula -Reifen zu versickern und sie auf sie zu legte.")</f>
        <v>Die Kamera dreht sich zu ihrem Gesicht, dann fing sie an, die Hula -Reifen zu versickern und sie auf sie zu legte.</v>
      </c>
    </row>
    <row r="36432">
      <c r="A36432" s="4" t="s">
        <v>45822</v>
      </c>
      <c r="B36432" s="4" t="s">
        <v>45826</v>
      </c>
      <c r="C36432" s="5" t="str">
        <f>IFERROR(__xludf.DUMMYFUNCTION("GOOGLETRANSLATE(B36432,""en"",""de"")"),"Das Mädchen fing an, Hula Hoops -Tricks zu machen, zuerst auf der Taille, dann zu ihren Beinen und Armen.")</f>
        <v>Das Mädchen fing an, Hula Hoops -Tricks zu machen, zuerst auf der Taille, dann zu ihren Beinen und Armen.</v>
      </c>
    </row>
    <row r="36433">
      <c r="A36433" s="4" t="s">
        <v>45827</v>
      </c>
      <c r="B36433" s="4" t="s">
        <v>45828</v>
      </c>
      <c r="C36433" s="5" t="str">
        <f>IFERROR(__xludf.DUMMYFUNCTION("GOOGLETRANSLATE(B36433,""en"",""de"")"),"Eine große Gruppe von Menschen steht in einem Foose -Ball -Tisch, der miteinander spricht, und führt in sie und spielt das Spiel.")</f>
        <v>Eine große Gruppe von Menschen steht in einem Foose -Ball -Tisch, der miteinander spricht, und führt in sie und spielt das Spiel.</v>
      </c>
    </row>
    <row r="36434">
      <c r="A36434" s="4" t="s">
        <v>45827</v>
      </c>
      <c r="B36434" s="4" t="s">
        <v>45829</v>
      </c>
      <c r="C36434" s="5" t="str">
        <f>IFERROR(__xludf.DUMMYFUNCTION("GOOGLETRANSLATE(B36434,""en"",""de"")"),"Viele Leute sehen das Spiel weiterhin am Rande und schauen auf das Spiel herab.")</f>
        <v>Viele Leute sehen das Spiel weiterhin am Rande und schauen auf das Spiel herab.</v>
      </c>
    </row>
    <row r="36435">
      <c r="A36435" s="4" t="s">
        <v>45830</v>
      </c>
      <c r="B36435" s="4" t="s">
        <v>45831</v>
      </c>
      <c r="C36435" s="5" t="str">
        <f>IFERROR(__xludf.DUMMYFUNCTION("GOOGLETRANSLATE(B36435,""en"",""de"")"),"Eine Person steht vor, bevor ein Waschbecken den Wasserhahn eindringt und ihre Hände benetzt.")</f>
        <v>Eine Person steht vor, bevor ein Waschbecken den Wasserhahn eindringt und ihre Hände benetzt.</v>
      </c>
    </row>
    <row r="36436">
      <c r="A36436" s="4" t="s">
        <v>45830</v>
      </c>
      <c r="B36436" s="4" t="s">
        <v>45832</v>
      </c>
      <c r="C36436" s="5" t="str">
        <f>IFERROR(__xludf.DUMMYFUNCTION("GOOGLETRANSLATE(B36436,""en"",""de"")"),"Dann legten sie Seife auf ihre Hände, schrubben die Seife hinein und spülen ihre Hände durch das Wasser.")</f>
        <v>Dann legten sie Seife auf ihre Hände, schrubben die Seife hinein und spülen ihre Hände durch das Wasser.</v>
      </c>
    </row>
    <row r="36437">
      <c r="A36437" s="4" t="s">
        <v>45830</v>
      </c>
      <c r="B36437" s="4" t="s">
        <v>45833</v>
      </c>
      <c r="C36437" s="5" t="str">
        <f>IFERROR(__xludf.DUMMYFUNCTION("GOOGLETRANSLATE(B36437,""en"",""de"")"),"Schließlich verwenden sie Papierhandtücher, um ihre Hände zu trocknen und sie in den Müll zu werfen.")</f>
        <v>Schließlich verwenden sie Papierhandtücher, um ihre Hände zu trocknen und sie in den Müll zu werfen.</v>
      </c>
    </row>
    <row r="36438">
      <c r="A36438" s="4" t="s">
        <v>45834</v>
      </c>
      <c r="B36438" s="4" t="s">
        <v>45835</v>
      </c>
      <c r="C36438" s="5" t="str">
        <f>IFERROR(__xludf.DUMMYFUNCTION("GOOGLETRANSLATE(B36438,""en"",""de"")"),"Eine Frau raucht eine Zigarette.")</f>
        <v>Eine Frau raucht eine Zigarette.</v>
      </c>
    </row>
    <row r="36439">
      <c r="A36439" s="4" t="s">
        <v>45834</v>
      </c>
      <c r="B36439" s="4" t="s">
        <v>45836</v>
      </c>
      <c r="C36439" s="5" t="str">
        <f>IFERROR(__xludf.DUMMYFUNCTION("GOOGLETRANSLATE(B36439,""en"",""de"")"),"Sie setzt sich und die Leute gehen hinter ihr.")</f>
        <v>Sie setzt sich und die Leute gehen hinter ihr.</v>
      </c>
    </row>
    <row r="36440">
      <c r="A36440" s="4" t="s">
        <v>45834</v>
      </c>
      <c r="B36440" s="4" t="s">
        <v>45837</v>
      </c>
      <c r="C36440" s="5" t="str">
        <f>IFERROR(__xludf.DUMMYFUNCTION("GOOGLETRANSLATE(B36440,""en"",""de"")"),"Sie hält weiterhin Zigarette in einem Arm.")</f>
        <v>Sie hält weiterhin Zigarette in einem Arm.</v>
      </c>
    </row>
    <row r="36441">
      <c r="A36441" s="4" t="s">
        <v>45834</v>
      </c>
      <c r="B36441" s="4" t="s">
        <v>45838</v>
      </c>
      <c r="C36441" s="5" t="str">
        <f>IFERROR(__xludf.DUMMYFUNCTION("GOOGLETRANSLATE(B36441,""en"",""de"")"),"Die Leute gehen weiter hinter ihr und vorne.")</f>
        <v>Die Leute gehen weiter hinter ihr und vorne.</v>
      </c>
    </row>
    <row r="36442">
      <c r="A36442" s="4" t="s">
        <v>45834</v>
      </c>
      <c r="B36442" s="4" t="s">
        <v>45839</v>
      </c>
      <c r="C36442" s="5" t="str">
        <f>IFERROR(__xludf.DUMMYFUNCTION("GOOGLETRANSLATE(B36442,""en"",""de"")"),"Sie raucht weiter und startet geradeaus.")</f>
        <v>Sie raucht weiter und startet geradeaus.</v>
      </c>
    </row>
    <row r="36443">
      <c r="A36443" s="4" t="s">
        <v>45840</v>
      </c>
      <c r="B36443" s="4" t="s">
        <v>45841</v>
      </c>
      <c r="C36443" s="5" t="str">
        <f>IFERROR(__xludf.DUMMYFUNCTION("GOOGLETRANSLATE(B36443,""en"",""de"")"),"Zwei Jungen spielen im Freien einen Ping -Pong über einen großen Ping -Pong -Tisch, während ein dritter Junge aus der Seitenlinie zusieht.")</f>
        <v>Zwei Jungen spielen im Freien einen Ping -Pong über einen großen Ping -Pong -Tisch, während ein dritter Junge aus der Seitenlinie zusieht.</v>
      </c>
    </row>
    <row r="36444">
      <c r="A36444" s="4" t="s">
        <v>45840</v>
      </c>
      <c r="B36444" s="4" t="s">
        <v>45842</v>
      </c>
      <c r="C36444" s="5" t="str">
        <f>IFERROR(__xludf.DUMMYFUNCTION("GOOGLETRANSLATE(B36444,""en"",""de"")"),"Ein Junge in einem T -Shirt mit einer Flügelgrafik trifft den Ball auf den anderen hemdlosen Spieler.")</f>
        <v>Ein Junge in einem T -Shirt mit einer Flügelgrafik trifft den Ball auf den anderen hemdlosen Spieler.</v>
      </c>
    </row>
    <row r="36445">
      <c r="A36445" s="4" t="s">
        <v>45840</v>
      </c>
      <c r="B36445" s="4" t="s">
        <v>45843</v>
      </c>
      <c r="C36445" s="5" t="str">
        <f>IFERROR(__xludf.DUMMYFUNCTION("GOOGLETRANSLATE(B36445,""en"",""de"")"),"Der hemdlose Spieler kehrt den Aufschlag zurück und der Junge mit dem T-Shirt vermisst den Ball und muss ihn aufnehmen und dem anderen Spieler für einen erneuten Dienst anwerfen.")</f>
        <v>Der hemdlose Spieler kehrt den Aufschlag zurück und der Junge mit dem T-Shirt vermisst den Ball und muss ihn aufnehmen und dem anderen Spieler für einen erneuten Dienst anwerfen.</v>
      </c>
    </row>
    <row r="36446">
      <c r="A36446" s="4" t="s">
        <v>45840</v>
      </c>
      <c r="B36446" s="4" t="s">
        <v>45844</v>
      </c>
      <c r="C36446" s="5" t="str">
        <f>IFERROR(__xludf.DUMMYFUNCTION("GOOGLETRANSLATE(B36446,""en"",""de"")"),"Die beiden beginnen wieder zu spielen, während der Junge in der Mitte an der Seitenlinie das Spiel beobachtet.")</f>
        <v>Die beiden beginnen wieder zu spielen, während der Junge in der Mitte an der Seitenlinie das Spiel beobachtet.</v>
      </c>
    </row>
    <row r="36447">
      <c r="A36447" s="4" t="s">
        <v>45845</v>
      </c>
      <c r="B36447" s="4" t="s">
        <v>45846</v>
      </c>
      <c r="C36447" s="5" t="str">
        <f>IFERROR(__xludf.DUMMYFUNCTION("GOOGLETRANSLATE(B36447,""en"",""de"")"),"Ein junger Mann in einer grünen Jacke steht vor einem Schmutzhaufen und spricht über seine Wartungsaufgaben.")</f>
        <v>Ein junger Mann in einer grünen Jacke steht vor einem Schmutzhaufen und spricht über seine Wartungsaufgaben.</v>
      </c>
    </row>
    <row r="36448">
      <c r="A36448" s="4" t="s">
        <v>45845</v>
      </c>
      <c r="B36448" s="4" t="s">
        <v>45847</v>
      </c>
      <c r="C36448" s="5" t="str">
        <f>IFERROR(__xludf.DUMMYFUNCTION("GOOGLETRANSLATE(B36448,""en"",""de"")"),"Der Mann kommt dann mit einer grünen Schubkarre in den Hinterhof und lässt den Schmutz in den Hinterhof fallen.")</f>
        <v>Der Mann kommt dann mit einer grünen Schubkarre in den Hinterhof und lässt den Schmutz in den Hinterhof fallen.</v>
      </c>
    </row>
    <row r="36449">
      <c r="A36449" s="4" t="s">
        <v>45845</v>
      </c>
      <c r="B36449" s="4" t="s">
        <v>45848</v>
      </c>
      <c r="C36449" s="5" t="str">
        <f>IFERROR(__xludf.DUMMYFUNCTION("GOOGLETRANSLATE(B36449,""en"",""de"")"),"Dann nimmt er seinen Rechen und bewegt den Schmutz um den Hausabend hin und her.")</f>
        <v>Dann nimmt er seinen Rechen und bewegt den Schmutz um den Hausabend hin und her.</v>
      </c>
    </row>
    <row r="36450">
      <c r="A36450" s="4" t="s">
        <v>45845</v>
      </c>
      <c r="B36450" s="4" t="s">
        <v>45849</v>
      </c>
      <c r="C36450" s="5" t="str">
        <f>IFERROR(__xludf.DUMMYFUNCTION("GOOGLETRANSLATE(B36450,""en"",""de"")"),"Nach vollständiger, verschwindet er und es wird ein Mulchweg entlang der Garage gesehen.")</f>
        <v>Nach vollständiger, verschwindet er und es wird ein Mulchweg entlang der Garage gesehen.</v>
      </c>
    </row>
    <row r="36451">
      <c r="A36451" s="4" t="s">
        <v>45850</v>
      </c>
      <c r="B36451" s="4" t="s">
        <v>45851</v>
      </c>
      <c r="C36451" s="5" t="str">
        <f>IFERROR(__xludf.DUMMYFUNCTION("GOOGLETRANSLATE(B36451,""en"",""de"")"),"In einem Innenausstattung, das von Zuschauern in Tribünen umgeben ist, spielen zwei Völkerballteams gegeneinander.")</f>
        <v>In einem Innenausstattung, das von Zuschauern in Tribünen umgeben ist, spielen zwei Völkerballteams gegeneinander.</v>
      </c>
    </row>
    <row r="36452">
      <c r="A36452" s="4" t="s">
        <v>45850</v>
      </c>
      <c r="B36452" s="4" t="s">
        <v>45852</v>
      </c>
      <c r="C36452" s="5" t="str">
        <f>IFERROR(__xludf.DUMMYFUNCTION("GOOGLETRANSLATE(B36452,""en"",""de"")"),"Das Spiel beginnt mit einer Mannschaft von Männern gegen ein Team von Frauen, die sich abbiegen und sich heftig gegenseitig Dodge -Bälle anwerfen.")</f>
        <v>Das Spiel beginnt mit einer Mannschaft von Männern gegen ein Team von Frauen, die sich abbiegen und sich heftig gegenseitig Dodge -Bälle anwerfen.</v>
      </c>
    </row>
    <row r="36453">
      <c r="A36453" s="4" t="s">
        <v>45850</v>
      </c>
      <c r="B36453" s="4" t="s">
        <v>45853</v>
      </c>
      <c r="C36453" s="5" t="str">
        <f>IFERROR(__xludf.DUMMYFUNCTION("GOOGLETRANSLATE(B36453,""en"",""de"")"),"Die Teams wechseln dann mit den Frauen links und den Männern auf der rechten Seite die Seiten auf dem Fitnessstudio.")</f>
        <v>Die Teams wechseln dann mit den Frauen links und den Männern auf der rechten Seite die Seiten auf dem Fitnessstudio.</v>
      </c>
    </row>
    <row r="36454">
      <c r="A36454" s="4" t="s">
        <v>45850</v>
      </c>
      <c r="B36454" s="4" t="s">
        <v>45854</v>
      </c>
      <c r="C36454" s="5" t="str">
        <f>IFERROR(__xludf.DUMMYFUNCTION("GOOGLETRANSLATE(B36454,""en"",""de"")"),"Das Spiel endet und beide Teams treffen sich in der Mitte des Bodens und geben sich gegenseitig hohe Fünfer.")</f>
        <v>Das Spiel endet und beide Teams treffen sich in der Mitte des Bodens und geben sich gegenseitig hohe Fünfer.</v>
      </c>
    </row>
    <row r="36455">
      <c r="A36455" s="4" t="s">
        <v>45855</v>
      </c>
      <c r="B36455" s="4" t="s">
        <v>45856</v>
      </c>
      <c r="C36455" s="5" t="str">
        <f>IFERROR(__xludf.DUMMYFUNCTION("GOOGLETRANSLATE(B36455,""en"",""de"")"),"Es gibt eine Frau, in der die Frau auf einem Surfbrett hinter einem Segelboot abgeschleppt wird.")</f>
        <v>Es gibt eine Frau, in der die Frau auf einem Surfbrett hinter einem Segelboot abgeschleppt wird.</v>
      </c>
    </row>
    <row r="36456">
      <c r="A36456" s="4" t="s">
        <v>45855</v>
      </c>
      <c r="B36456" s="4" t="s">
        <v>45857</v>
      </c>
      <c r="C36456" s="5" t="str">
        <f>IFERROR(__xludf.DUMMYFUNCTION("GOOGLETRANSLATE(B36456,""en"",""de"")"),"Die Frau Surfer springt hoch, als das Segelboot im Wasser segelt.")</f>
        <v>Die Frau Surfer springt hoch, als das Segelboot im Wasser segelt.</v>
      </c>
    </row>
    <row r="36457">
      <c r="A36457" s="4" t="s">
        <v>45855</v>
      </c>
      <c r="B36457" s="4" t="s">
        <v>45858</v>
      </c>
      <c r="C36457" s="5" t="str">
        <f>IFERROR(__xludf.DUMMYFUNCTION("GOOGLETRANSLATE(B36457,""en"",""de"")"),"Die Frau dreht sich und dreht sich um, während sie sich auf dem Surfbrett befindet.")</f>
        <v>Die Frau dreht sich und dreht sich um, während sie sich auf dem Surfbrett befindet.</v>
      </c>
    </row>
    <row r="36458">
      <c r="A36458" s="4" t="s">
        <v>45855</v>
      </c>
      <c r="B36458" s="4" t="s">
        <v>45859</v>
      </c>
      <c r="C36458" s="5" t="str">
        <f>IFERROR(__xludf.DUMMYFUNCTION("GOOGLETRANSLATE(B36458,""en"",""de"")"),"Das Segelboot zieht die Frau weiter und sie balanciert perfekt auf den Braten, während sie sich dreht und dreht und sich auf den Braten dreht.")</f>
        <v>Das Segelboot zieht die Frau weiter und sie balanciert perfekt auf den Braten, während sie sich dreht und dreht und sich auf den Braten dreht.</v>
      </c>
    </row>
    <row r="36459">
      <c r="A36459" s="4" t="s">
        <v>45855</v>
      </c>
      <c r="B36459" s="4" t="s">
        <v>45860</v>
      </c>
      <c r="C36459" s="5" t="str">
        <f>IFERROR(__xludf.DUMMYFUNCTION("GOOGLETRANSLATE(B36459,""en"",""de"")"),"Sie geht in ein Zick -Zack -Muster, das schaumige Wellen im Wasser macht, während die Boote beschleunigt.")</f>
        <v>Sie geht in ein Zick -Zack -Muster, das schaumige Wellen im Wasser macht, während die Boote beschleunigt.</v>
      </c>
    </row>
    <row r="36460">
      <c r="A36460" s="4" t="s">
        <v>45855</v>
      </c>
      <c r="B36460" s="4" t="s">
        <v>45861</v>
      </c>
      <c r="C36460" s="5" t="str">
        <f>IFERROR(__xludf.DUMMYFUNCTION("GOOGLETRANSLATE(B36460,""en"",""de"")"),"Das gleiche Surfen wird im Fernsehen gesehen, wie ein Mann und eine andere Frau mehrere Medaillen um den Hals des Surfers gesteckt haben.")</f>
        <v>Das gleiche Surfen wird im Fernsehen gesehen, wie ein Mann und eine andere Frau mehrere Medaillen um den Hals des Surfers gesteckt haben.</v>
      </c>
    </row>
    <row r="36461">
      <c r="A36461" s="4" t="s">
        <v>45855</v>
      </c>
      <c r="B36461" s="4" t="s">
        <v>45862</v>
      </c>
      <c r="C36461" s="5" t="str">
        <f>IFERROR(__xludf.DUMMYFUNCTION("GOOGLETRANSLATE(B36461,""en"",""de"")"),"Der Surfer gibt vor, mit dem bloßen Gewicht der Medaillen zu fallen.")</f>
        <v>Der Surfer gibt vor, mit dem bloßen Gewicht der Medaillen zu fallen.</v>
      </c>
    </row>
    <row r="36462">
      <c r="A36462" s="4" t="s">
        <v>45863</v>
      </c>
      <c r="B36462" s="4" t="s">
        <v>45864</v>
      </c>
      <c r="C36462" s="5" t="str">
        <f>IFERROR(__xludf.DUMMYFUNCTION("GOOGLETRANSLATE(B36462,""en"",""de"")"),"Zwei kleine Kinder spielen auf einem schneebedeckten Garten auf einem Swingset.")</f>
        <v>Zwei kleine Kinder spielen auf einem schneebedeckten Garten auf einem Swingset.</v>
      </c>
    </row>
    <row r="36463">
      <c r="A36463" s="4" t="s">
        <v>45863</v>
      </c>
      <c r="B36463" s="4" t="s">
        <v>45865</v>
      </c>
      <c r="C36463" s="5" t="str">
        <f>IFERROR(__xludf.DUMMYFUNCTION("GOOGLETRANSLATE(B36463,""en"",""de"")"),"Ein Kind rennt zu einem Swingset, beschließt aber, zu einem grünen Schwung umzusteigen.")</f>
        <v>Ein Kind rennt zu einem Swingset, beschließt aber, zu einem grünen Schwung umzusteigen.</v>
      </c>
    </row>
    <row r="36464">
      <c r="A36464" s="4" t="s">
        <v>45863</v>
      </c>
      <c r="B36464" s="4" t="s">
        <v>45866</v>
      </c>
      <c r="C36464" s="5" t="str">
        <f>IFERROR(__xludf.DUMMYFUNCTION("GOOGLETRANSLATE(B36464,""en"",""de"")"),"Ein Erwachsener hilft dem Kind bei der Schwung.")</f>
        <v>Ein Erwachsener hilft dem Kind bei der Schwung.</v>
      </c>
    </row>
    <row r="36465">
      <c r="A36465" s="4" t="s">
        <v>45863</v>
      </c>
      <c r="B36465" s="4" t="s">
        <v>45867</v>
      </c>
      <c r="C36465" s="5" t="str">
        <f>IFERROR(__xludf.DUMMYFUNCTION("GOOGLETRANSLATE(B36465,""en"",""de"")"),"Das andere Kind möchte sich auch dem ersten Kind auf derselben Schaukel anschließen und hält die Schaukel stabil, während das Kind weitergeht.")</f>
        <v>Das andere Kind möchte sich auch dem ersten Kind auf derselben Schaukel anschließen und hält die Schaukel stabil, während das Kind weitergeht.</v>
      </c>
    </row>
    <row r="36466">
      <c r="A36466" s="4" t="s">
        <v>45863</v>
      </c>
      <c r="B36466" s="4" t="s">
        <v>45868</v>
      </c>
      <c r="C36466" s="5" t="str">
        <f>IFERROR(__xludf.DUMMYFUNCTION("GOOGLETRANSLATE(B36466,""en"",""de"")"),"Das Kind kann weiter klettern, und die beiden Kinder schwingen gerne zusammen, während der Erwachsene den Schwung nach vorne schiebt.")</f>
        <v>Das Kind kann weiter klettern, und die beiden Kinder schwingen gerne zusammen, während der Erwachsene den Schwung nach vorne schiebt.</v>
      </c>
    </row>
    <row r="36467">
      <c r="A36467" s="4" t="s">
        <v>45869</v>
      </c>
      <c r="B36467" s="4" t="s">
        <v>45870</v>
      </c>
      <c r="C36467" s="5" t="str">
        <f>IFERROR(__xludf.DUMMYFUNCTION("GOOGLETRANSLATE(B36467,""en"",""de"")"),"Eine Person vakuumiert das Innere eines Autos, während andere Männer das Auto mit Waschmittel und Wasser von Hand reinigen.")</f>
        <v>Eine Person vakuumiert das Innere eines Autos, während andere Männer das Auto mit Waschmittel und Wasser von Hand reinigen.</v>
      </c>
    </row>
    <row r="36468">
      <c r="A36468" s="4" t="s">
        <v>45869</v>
      </c>
      <c r="B36468" s="4" t="s">
        <v>45871</v>
      </c>
      <c r="C36468" s="5" t="str">
        <f>IFERROR(__xludf.DUMMYFUNCTION("GOOGLETRANSLATE(B36468,""en"",""de"")"),"Dann trocknete ein Mann das Auto mit Kleidung.")</f>
        <v>Dann trocknete ein Mann das Auto mit Kleidung.</v>
      </c>
    </row>
    <row r="36469">
      <c r="A36469" s="4" t="s">
        <v>45869</v>
      </c>
      <c r="B36469" s="4" t="s">
        <v>45872</v>
      </c>
      <c r="C36469" s="5" t="str">
        <f>IFERROR(__xludf.DUMMYFUNCTION("GOOGLETRANSLATE(B36469,""en"",""de"")"),"Andere Autos werden in einer automatischen Automaschine gewaschen.")</f>
        <v>Andere Autos werden in einer automatischen Automaschine gewaschen.</v>
      </c>
    </row>
    <row r="36470">
      <c r="A36470" s="4" t="s">
        <v>45869</v>
      </c>
      <c r="B36470" s="4" t="s">
        <v>45873</v>
      </c>
      <c r="C36470" s="5" t="str">
        <f>IFERROR(__xludf.DUMMYFUNCTION("GOOGLETRANSLATE(B36470,""en"",""de"")"),"Danach reinigt die Menschen das Auto mit Tüchern von Innen und Außen von Hand.")</f>
        <v>Danach reinigt die Menschen das Auto mit Tüchern von Innen und Außen von Hand.</v>
      </c>
    </row>
    <row r="36471">
      <c r="A36471" s="4" t="s">
        <v>45874</v>
      </c>
      <c r="B36471" s="4" t="s">
        <v>45875</v>
      </c>
      <c r="C36471" s="5" t="str">
        <f>IFERROR(__xludf.DUMMYFUNCTION("GOOGLETRANSLATE(B36471,""en"",""de"")"),"Die Außenseite von Häusern zeigt eine Frau in einem rosa Hemd.")</f>
        <v>Die Außenseite von Häusern zeigt eine Frau in einem rosa Hemd.</v>
      </c>
    </row>
    <row r="36472">
      <c r="A36472" s="4" t="s">
        <v>45874</v>
      </c>
      <c r="B36472" s="4" t="s">
        <v>45876</v>
      </c>
      <c r="C36472" s="5" t="str">
        <f>IFERROR(__xludf.DUMMYFUNCTION("GOOGLETRANSLATE(B36472,""en"",""de"")"),"Sie malt eines der Häuser mit blauer Farbe.")</f>
        <v>Sie malt eines der Häuser mit blauer Farbe.</v>
      </c>
    </row>
    <row r="36473">
      <c r="A36473" s="4" t="s">
        <v>45874</v>
      </c>
      <c r="B36473" s="4" t="s">
        <v>45877</v>
      </c>
      <c r="C36473" s="5" t="str">
        <f>IFERROR(__xludf.DUMMYFUNCTION("GOOGLETRANSLATE(B36473,""en"",""de"")"),"Sie hält einen Eimer Farbe.")</f>
        <v>Sie hält einen Eimer Farbe.</v>
      </c>
    </row>
    <row r="36474">
      <c r="A36474" s="4" t="s">
        <v>45878</v>
      </c>
      <c r="B36474" s="4" t="s">
        <v>45879</v>
      </c>
      <c r="C36474" s="5" t="str">
        <f>IFERROR(__xludf.DUMMYFUNCTION("GOOGLETRANSLATE(B36474,""en"",""de"")"),"Peolpe läuft in einer Allee Stelzen.")</f>
        <v>Peolpe läuft in einer Allee Stelzen.</v>
      </c>
    </row>
    <row r="36475">
      <c r="A36475" s="4" t="s">
        <v>45878</v>
      </c>
      <c r="B36475" s="4" t="s">
        <v>45880</v>
      </c>
      <c r="C36475" s="5" t="str">
        <f>IFERROR(__xludf.DUMMYFUNCTION("GOOGLETRANSLATE(B36475,""en"",""de"")"),"Der Mann interviewt eine alte Frau im Sreet.")</f>
        <v>Der Mann interviewt eine alte Frau im Sreet.</v>
      </c>
    </row>
    <row r="36476">
      <c r="A36476" s="4" t="s">
        <v>45878</v>
      </c>
      <c r="B36476" s="4" t="s">
        <v>45881</v>
      </c>
      <c r="C36476" s="5" t="str">
        <f>IFERROR(__xludf.DUMMYFUNCTION("GOOGLETRANSLATE(B36476,""en"",""de"")"),"Der Mensch macht einen Hochsprung über einem Auto in der Straße.")</f>
        <v>Der Mensch macht einen Hochsprung über einem Auto in der Straße.</v>
      </c>
    </row>
    <row r="36477">
      <c r="A36477" s="4" t="s">
        <v>45878</v>
      </c>
      <c r="B36477" s="4" t="s">
        <v>45882</v>
      </c>
      <c r="C36477" s="5" t="str">
        <f>IFERROR(__xludf.DUMMYFUNCTION("GOOGLETRANSLATE(B36477,""en"",""de"")"),"Der Mensch legt sich in einem Holztisch und anderer Mann springt über den Tisch.")</f>
        <v>Der Mensch legt sich in einem Holztisch und anderer Mann springt über den Tisch.</v>
      </c>
    </row>
    <row r="36478">
      <c r="A36478" s="4" t="s">
        <v>45878</v>
      </c>
      <c r="B36478" s="4" t="s">
        <v>45883</v>
      </c>
      <c r="C36478" s="5" t="str">
        <f>IFERROR(__xludf.DUMMYFUNCTION("GOOGLETRANSLATE(B36478,""en"",""de"")"),"Männer springen von Seite zur Seite und tragen Stelzen.")</f>
        <v>Männer springen von Seite zur Seite und tragen Stelzen.</v>
      </c>
    </row>
    <row r="36479">
      <c r="A36479" s="4" t="s">
        <v>45878</v>
      </c>
      <c r="B36479" s="4" t="s">
        <v>45884</v>
      </c>
      <c r="C36479" s="5" t="str">
        <f>IFERROR(__xludf.DUMMYFUNCTION("GOOGLETRANSLATE(B36479,""en"",""de"")"),"Der Mann hilft einer Frau, die Stelzen zu tragen und in einem Fitnessraum zu spazieren, der mit Oher -Spielern Basketball spielt.")</f>
        <v>Der Mann hilft einer Frau, die Stelzen zu tragen und in einem Fitnessraum zu spazieren, der mit Oher -Spielern Basketball spielt.</v>
      </c>
    </row>
    <row r="36480">
      <c r="A36480" s="4" t="s">
        <v>45878</v>
      </c>
      <c r="B36480" s="4" t="s">
        <v>45885</v>
      </c>
      <c r="C36480" s="5" t="str">
        <f>IFERROR(__xludf.DUMMYFUNCTION("GOOGLETRANSLATE(B36480,""en"",""de"")"),"Die Leute sind in Sreet und tragen Stelzen und Laufen und Springen.")</f>
        <v>Die Leute sind in Sreet und tragen Stelzen und Laufen und Springen.</v>
      </c>
    </row>
    <row r="36481">
      <c r="A36481" s="4" t="s">
        <v>45878</v>
      </c>
      <c r="B36481" s="4" t="s">
        <v>45886</v>
      </c>
      <c r="C36481" s="5" t="str">
        <f>IFERROR(__xludf.DUMMYFUNCTION("GOOGLETRANSLATE(B36481,""en"",""de"")"),"Der Mann sitzt in einer Bank auf einer Straße vor einem Restaurant.")</f>
        <v>Der Mann sitzt in einer Bank auf einer Straße vor einem Restaurant.</v>
      </c>
    </row>
    <row r="36482">
      <c r="A36482" s="4" t="s">
        <v>45878</v>
      </c>
      <c r="B36482" s="4" t="s">
        <v>45887</v>
      </c>
      <c r="C36482" s="5" t="str">
        <f>IFERROR(__xludf.DUMMYFUNCTION("GOOGLETRANSLATE(B36482,""en"",""de"")"),"Das Team springt in Stelzen im überdachten Fitnessstudio.")</f>
        <v>Das Team springt in Stelzen im überdachten Fitnessstudio.</v>
      </c>
    </row>
    <row r="36483">
      <c r="A36483" s="4" t="s">
        <v>45888</v>
      </c>
      <c r="B36483" s="4" t="s">
        <v>45889</v>
      </c>
      <c r="C36483" s="5" t="str">
        <f>IFERROR(__xludf.DUMMYFUNCTION("GOOGLETRANSLATE(B36483,""en"",""de"")"),"Ein alter Mann im weißen Hemd streift den Körper des braunen Pferdes.")</f>
        <v>Ein alter Mann im weißen Hemd streift den Körper des braunen Pferdes.</v>
      </c>
    </row>
    <row r="36484">
      <c r="A36484" s="4" t="s">
        <v>45888</v>
      </c>
      <c r="B36484" s="4" t="s">
        <v>45890</v>
      </c>
      <c r="C36484" s="5" t="str">
        <f>IFERROR(__xludf.DUMMYFUNCTION("GOOGLETRANSLATE(B36484,""en"",""de"")"),"Das Mädchen in blauem Hemd, das neben dem alten Mann stand, streifte das Pelz des Pferdes, dann übernahm der alte Mann das Pferd und das Mädchen reibt das Fell des Pferdes mit ihren Händen.")</f>
        <v>Das Mädchen in blauem Hemd, das neben dem alten Mann stand, streifte das Pelz des Pferdes, dann übernahm der alte Mann das Pferd und das Mädchen reibt das Fell des Pferdes mit ihren Händen.</v>
      </c>
    </row>
    <row r="36485">
      <c r="A36485" s="4" t="s">
        <v>45891</v>
      </c>
      <c r="B36485" s="4" t="s">
        <v>45892</v>
      </c>
      <c r="C36485" s="5" t="str">
        <f>IFERROR(__xludf.DUMMYFUNCTION("GOOGLETRANSLATE(B36485,""en"",""de"")"),"Eine Blaskapelle geht einen Track entlang.")</f>
        <v>Eine Blaskapelle geht einen Track entlang.</v>
      </c>
    </row>
    <row r="36486">
      <c r="A36486" s="4" t="s">
        <v>45891</v>
      </c>
      <c r="B36486" s="4" t="s">
        <v>45893</v>
      </c>
      <c r="C36486" s="5" t="str">
        <f>IFERROR(__xludf.DUMMYFUNCTION("GOOGLETRANSLATE(B36486,""en"",""de"")"),"Menschen, die Flaggen tragen, folgen ihnen.")</f>
        <v>Menschen, die Flaggen tragen, folgen ihnen.</v>
      </c>
    </row>
    <row r="36487">
      <c r="A36487" s="4" t="s">
        <v>45891</v>
      </c>
      <c r="B36487" s="4" t="s">
        <v>45894</v>
      </c>
      <c r="C36487" s="5" t="str">
        <f>IFERROR(__xludf.DUMMYFUNCTION("GOOGLETRANSLATE(B36487,""en"",""de"")"),"Die Schlagzeuger im Rücken spielen ihre Schlagzeug.")</f>
        <v>Die Schlagzeuger im Rücken spielen ihre Schlagzeug.</v>
      </c>
    </row>
    <row r="36488">
      <c r="A36488" s="4" t="s">
        <v>45895</v>
      </c>
      <c r="B36488" s="4" t="s">
        <v>45896</v>
      </c>
      <c r="C36488" s="5" t="str">
        <f>IFERROR(__xludf.DUMMYFUNCTION("GOOGLETRANSLATE(B36488,""en"",""de"")"),"Ein farbenfrohes Intro enthält die weißen Worte, die ""welt gefährlichste Sportveranstaltungen"" und die grünen Buchstaben separat ""SRP"" sagen.")</f>
        <v>Ein farbenfrohes Intro enthält die weißen Worte, die "welt gefährlichste Sportveranstaltungen" und die grünen Buchstaben separat "SRP" sagen.</v>
      </c>
    </row>
    <row r="36489">
      <c r="A36489" s="4" t="s">
        <v>45895</v>
      </c>
      <c r="B36489" s="4" t="s">
        <v>45897</v>
      </c>
      <c r="C36489" s="5" t="str">
        <f>IFERROR(__xludf.DUMMYFUNCTION("GOOGLETRANSLATE(B36489,""en"",""de"")"),"Madrid Spanien erscheint auf einer Karte und es geht schnell in verschiedene Clips von Männern in Arenen, die rote Umhänge halten, während sie wütende Bullen verspotten.")</f>
        <v>Madrid Spanien erscheint auf einer Karte und es geht schnell in verschiedene Clips von Männern in Arenen, die rote Umhänge halten, während sie wütende Bullen verspotten.</v>
      </c>
    </row>
    <row r="36490">
      <c r="A36490" s="4" t="s">
        <v>45895</v>
      </c>
      <c r="B36490" s="4" t="s">
        <v>45898</v>
      </c>
      <c r="C36490" s="5" t="str">
        <f>IFERROR(__xludf.DUMMYFUNCTION("GOOGLETRANSLATE(B36490,""en"",""de"")"),"Plötzlich geht ein Bulle nicht dem Umhang her, und stattdessen verläuft er dem Mann, in dem der Bulle ihn weiterhin mit seinen Hörnern angreift und ihn auf den Dreck herumwirft.")</f>
        <v>Plötzlich geht ein Bulle nicht dem Umhang her, und stattdessen verläuft er dem Mann, in dem der Bulle ihn weiterhin mit seinen Hörnern angreift und ihn auf den Dreck herumwirft.</v>
      </c>
    </row>
    <row r="36491">
      <c r="A36491" s="4" t="s">
        <v>45895</v>
      </c>
      <c r="B36491" s="4" t="s">
        <v>45899</v>
      </c>
      <c r="C36491" s="5" t="str">
        <f>IFERROR(__xludf.DUMMYFUNCTION("GOOGLETRANSLATE(B36491,""en"",""de"")"),"Die Leute rennen auf den Bullen und den Mann, um ihm zu helfen, und der verletzte Mann wird schnell aus dem Gefahrenbereich ausgerichtet.")</f>
        <v>Die Leute rennen auf den Bullen und den Mann, um ihm zu helfen, und der verletzte Mann wird schnell aus dem Gefahrenbereich ausgerichtet.</v>
      </c>
    </row>
    <row r="36492">
      <c r="A36492" s="4" t="s">
        <v>45895</v>
      </c>
      <c r="B36492" s="4" t="s">
        <v>45900</v>
      </c>
      <c r="C36492" s="5" t="str">
        <f>IFERROR(__xludf.DUMMYFUNCTION("GOOGLETRANSLATE(B36492,""en"",""de"")"),"Das Intro erscheint und es ist ein schwarzer Bildschirm mit den Green Letters SRP, Produktionskrediten zusammen mit den Rechten.")</f>
        <v>Das Intro erscheint und es ist ein schwarzer Bildschirm mit den Green Letters SRP, Produktionskrediten zusammen mit den Rechten.</v>
      </c>
    </row>
    <row r="36493">
      <c r="A36493" s="4" t="s">
        <v>45901</v>
      </c>
      <c r="B36493" s="4" t="s">
        <v>45902</v>
      </c>
      <c r="C36493" s="5" t="str">
        <f>IFERROR(__xludf.DUMMYFUNCTION("GOOGLETRANSLATE(B36493,""en"",""de"")"),"Ein junger Mann sitzt vor einem Drum -Kit und spielt den Schlagzeug für die Kamera.")</f>
        <v>Ein junger Mann sitzt vor einem Drum -Kit und spielt den Schlagzeug für die Kamera.</v>
      </c>
    </row>
    <row r="36494">
      <c r="A36494" s="4" t="s">
        <v>45901</v>
      </c>
      <c r="B36494" s="4" t="s">
        <v>45903</v>
      </c>
      <c r="C36494" s="5" t="str">
        <f>IFERROR(__xludf.DUMMYFUNCTION("GOOGLETRANSLATE(B36494,""en"",""de"")"),"Er spielt weiterhin Schlagzeug und endet ein letztes Mal auf das Becken.")</f>
        <v>Er spielt weiterhin Schlagzeug und endet ein letztes Mal auf das Becken.</v>
      </c>
    </row>
    <row r="36495">
      <c r="A36495" s="4" t="s">
        <v>45904</v>
      </c>
      <c r="B36495" s="4" t="s">
        <v>45905</v>
      </c>
      <c r="C36495" s="5" t="str">
        <f>IFERROR(__xludf.DUMMYFUNCTION("GOOGLETRANSLATE(B36495,""en"",""de"")"),"Eine Frau ist in einer Küche und redet.")</f>
        <v>Eine Frau ist in einer Küche und redet.</v>
      </c>
    </row>
    <row r="36496">
      <c r="A36496" s="4" t="s">
        <v>45904</v>
      </c>
      <c r="B36496" s="4" t="s">
        <v>45906</v>
      </c>
      <c r="C36496" s="5" t="str">
        <f>IFERROR(__xludf.DUMMYFUNCTION("GOOGLETRANSLATE(B36496,""en"",""de"")"),"Sie gießt Reiniger in eine Spüle und beschreibt einige Reinigungswerkzeuge.")</f>
        <v>Sie gießt Reiniger in eine Spüle und beschreibt einige Reinigungswerkzeuge.</v>
      </c>
    </row>
    <row r="36497">
      <c r="A36497" s="4" t="s">
        <v>45904</v>
      </c>
      <c r="B36497" s="4" t="s">
        <v>45907</v>
      </c>
      <c r="C36497" s="5" t="str">
        <f>IFERROR(__xludf.DUMMYFUNCTION("GOOGLETRANSLATE(B36497,""en"",""de"")"),"Sie steckt ein Pulver in die Spüle und drückt eine Zitrone über das Pulver.")</f>
        <v>Sie steckt ein Pulver in die Spüle und drückt eine Zitrone über das Pulver.</v>
      </c>
    </row>
    <row r="36498">
      <c r="A36498" s="4" t="s">
        <v>45904</v>
      </c>
      <c r="B36498" s="4" t="s">
        <v>45908</v>
      </c>
      <c r="C36498" s="5" t="str">
        <f>IFERROR(__xludf.DUMMYFUNCTION("GOOGLETRANSLATE(B36498,""en"",""de"")"),"Sie gießt eine Flüssigkeit darüber und schrubbt mit einer Bürste.")</f>
        <v>Sie gießt eine Flüssigkeit darüber und schrubbt mit einer Bürste.</v>
      </c>
    </row>
    <row r="36499">
      <c r="A36499" s="4" t="s">
        <v>45904</v>
      </c>
      <c r="B36499" s="4" t="s">
        <v>45909</v>
      </c>
      <c r="C36499" s="5" t="str">
        <f>IFERROR(__xludf.DUMMYFUNCTION("GOOGLETRANSLATE(B36499,""en"",""de"")"),"Sie schaltet das Wasser für eine Sekunde ein und verwendet dann einen Stein auf der Spüle, bevor sie das Sprühgerät verwendet, um alles auszuspülen.")</f>
        <v>Sie schaltet das Wasser für eine Sekunde ein und verwendet dann einen Stein auf der Spüle, bevor sie das Sprühgerät verwendet, um alles auszuspülen.</v>
      </c>
    </row>
    <row r="36500">
      <c r="A36500" s="4" t="s">
        <v>45910</v>
      </c>
      <c r="B36500" s="4" t="s">
        <v>45911</v>
      </c>
      <c r="C36500" s="5" t="str">
        <f>IFERROR(__xludf.DUMMYFUNCTION("GOOGLETRANSLATE(B36500,""en"",""de"")"),"Nach Sonnenuntergang gibt es eine sehr große Gruppe von Menschen draußen auf einem Basketballplatz.")</f>
        <v>Nach Sonnenuntergang gibt es eine sehr große Gruppe von Menschen draußen auf einem Basketballplatz.</v>
      </c>
    </row>
    <row r="36501">
      <c r="A36501" s="4" t="s">
        <v>45910</v>
      </c>
      <c r="B36501" s="4" t="s">
        <v>45912</v>
      </c>
      <c r="C36501" s="5" t="str">
        <f>IFERROR(__xludf.DUMMYFUNCTION("GOOGLETRANSLATE(B36501,""en"",""de"")"),"Sie springen alle auf diesen neuen Pogo -Stick -Dingen, die Sie wie Schuhe tragen, auf und ab.")</f>
        <v>Sie springen alle auf diesen neuen Pogo -Stick -Dingen, die Sie wie Schuhe tragen, auf und ab.</v>
      </c>
    </row>
    <row r="36502">
      <c r="A36502" s="4" t="s">
        <v>45910</v>
      </c>
      <c r="B36502" s="4" t="s">
        <v>45913</v>
      </c>
      <c r="C36502" s="5" t="str">
        <f>IFERROR(__xludf.DUMMYFUNCTION("GOOGLETRANSLATE(B36502,""en"",""de"")"),"Es gibt viele junge Kinder, die nur auf und ab hopfen und den Abend genießen.")</f>
        <v>Es gibt viele junge Kinder, die nur auf und ab hopfen und den Abend genießen.</v>
      </c>
    </row>
    <row r="36503">
      <c r="A36503" s="4" t="s">
        <v>45910</v>
      </c>
      <c r="B36503" s="4" t="s">
        <v>45914</v>
      </c>
      <c r="C36503" s="5" t="str">
        <f>IFERROR(__xludf.DUMMYFUNCTION("GOOGLETRANSLATE(B36503,""en"",""de"")"),"Es stehen sogar ein paar Leute vorbei und zuschauen.")</f>
        <v>Es stehen sogar ein paar Leute vorbei und zuschauen.</v>
      </c>
    </row>
    <row r="36504">
      <c r="A36504" s="4" t="s">
        <v>45915</v>
      </c>
      <c r="B36504" s="4" t="s">
        <v>45916</v>
      </c>
      <c r="C36504" s="5" t="str">
        <f>IFERROR(__xludf.DUMMYFUNCTION("GOOGLETRANSLATE(B36504,""en"",""de"")"),"Das Auge einer Person ist in der Nähe der Kamera zu sehen, die ein Kontaktlinsen in ihren Händen lobt und ihr Auge offen hält.")</f>
        <v>Das Auge einer Person ist in der Nähe der Kamera zu sehen, die ein Kontaktlinsen in ihren Händen lobt und ihr Auge offen hält.</v>
      </c>
    </row>
    <row r="36505">
      <c r="A36505" s="4" t="s">
        <v>45915</v>
      </c>
      <c r="B36505" s="4" t="s">
        <v>45917</v>
      </c>
      <c r="C36505" s="5" t="str">
        <f>IFERROR(__xludf.DUMMYFUNCTION("GOOGLETRANSLATE(B36505,""en"",""de"")"),"Die Person steckt dann die Kontaktlinse in ihr Auge und reibt sich im Auge, während sie mehrmals blinzelt.")</f>
        <v>Die Person steckt dann die Kontaktlinse in ihr Auge und reibt sich im Auge, während sie mehrmals blinzelt.</v>
      </c>
    </row>
    <row r="36506">
      <c r="A36506" s="4" t="s">
        <v>45918</v>
      </c>
      <c r="B36506" s="4" t="s">
        <v>45919</v>
      </c>
      <c r="C36506" s="5" t="str">
        <f>IFERROR(__xludf.DUMMYFUNCTION("GOOGLETRANSLATE(B36506,""en"",""de"")"),"Wir sehen die Titelkarte über dem Bildschirm.")</f>
        <v>Wir sehen die Titelkarte über dem Bildschirm.</v>
      </c>
    </row>
    <row r="36507">
      <c r="A36507" s="4" t="s">
        <v>45918</v>
      </c>
      <c r="B36507" s="4" t="s">
        <v>45920</v>
      </c>
      <c r="C36507" s="5" t="str">
        <f>IFERROR(__xludf.DUMMYFUNCTION("GOOGLETRANSLATE(B36507,""en"",""de"")"),"Wir sehen Menschen auf einer blauen Bühne.")</f>
        <v>Wir sehen Menschen auf einer blauen Bühne.</v>
      </c>
    </row>
    <row r="36508">
      <c r="A36508" s="4" t="s">
        <v>45918</v>
      </c>
      <c r="B36508" s="4" t="s">
        <v>45921</v>
      </c>
      <c r="C36508" s="5" t="str">
        <f>IFERROR(__xludf.DUMMYFUNCTION("GOOGLETRANSLATE(B36508,""en"",""de"")"),"Sie führen dann eine jubelste Routine durch.")</f>
        <v>Sie führen dann eine jubelste Routine durch.</v>
      </c>
    </row>
    <row r="36509">
      <c r="A36509" s="4" t="s">
        <v>45918</v>
      </c>
      <c r="B36509" s="4" t="s">
        <v>45922</v>
      </c>
      <c r="C36509" s="5" t="str">
        <f>IFERROR(__xludf.DUMMYFUNCTION("GOOGLETRANSLATE(B36509,""en"",""de"")"),"Die Männer heben die Frauen, die sich in ihre Arme drehen.")</f>
        <v>Die Männer heben die Frauen, die sich in ihre Arme drehen.</v>
      </c>
    </row>
    <row r="36510">
      <c r="A36510" s="4" t="s">
        <v>45918</v>
      </c>
      <c r="B36510" s="4" t="s">
        <v>45923</v>
      </c>
      <c r="C36510" s="5" t="str">
        <f>IFERROR(__xludf.DUMMYFUNCTION("GOOGLETRANSLATE(B36510,""en"",""de"")"),"Sie alle drehen sich zusammen zusammen.")</f>
        <v>Sie alle drehen sich zusammen zusammen.</v>
      </c>
    </row>
    <row r="36511">
      <c r="A36511" s="4" t="s">
        <v>45918</v>
      </c>
      <c r="B36511" s="4" t="s">
        <v>45924</v>
      </c>
      <c r="C36511" s="5" t="str">
        <f>IFERROR(__xludf.DUMMYFUNCTION("GOOGLETRANSLATE(B36511,""en"",""de"")"),"Die Männer halten die Frauen an einem Bein und lassen fast eine Dame fallen.")</f>
        <v>Die Männer halten die Frauen an einem Bein und lassen fast eine Dame fallen.</v>
      </c>
    </row>
    <row r="36512">
      <c r="A36512" s="4" t="s">
        <v>45918</v>
      </c>
      <c r="B36512" s="4" t="s">
        <v>45925</v>
      </c>
      <c r="C36512" s="5" t="str">
        <f>IFERROR(__xludf.DUMMYFUNCTION("GOOGLETRANSLATE(B36512,""en"",""de"")"),"Ein Mädchen bringt Briefe auf das Feld.")</f>
        <v>Ein Mädchen bringt Briefe auf das Feld.</v>
      </c>
    </row>
    <row r="36513">
      <c r="A36513" s="4" t="s">
        <v>45918</v>
      </c>
      <c r="B36513" s="4" t="s">
        <v>45926</v>
      </c>
      <c r="C36513" s="5" t="str">
        <f>IFERROR(__xludf.DUMMYFUNCTION("GOOGLETRANSLATE(B36513,""en"",""de"")"),"Sie verwenden den Buchstaben, um ein Wort zu buchstabieren, während sie in der Luft stehen.")</f>
        <v>Sie verwenden den Buchstaben, um ein Wort zu buchstabieren, während sie in der Luft stehen.</v>
      </c>
    </row>
    <row r="36514">
      <c r="A36514" s="4" t="s">
        <v>45918</v>
      </c>
      <c r="B36514" s="4" t="s">
        <v>45927</v>
      </c>
      <c r="C36514" s="5" t="str">
        <f>IFERROR(__xludf.DUMMYFUNCTION("GOOGLETRANSLATE(B36514,""en"",""de"")"),"Sie haben verschiedene Karten mit Farbnamen.")</f>
        <v>Sie haben verschiedene Karten mit Farbnamen.</v>
      </c>
    </row>
    <row r="36515">
      <c r="A36515" s="4" t="s">
        <v>45918</v>
      </c>
      <c r="B36515" s="4" t="s">
        <v>45928</v>
      </c>
      <c r="C36515" s="5" t="str">
        <f>IFERROR(__xludf.DUMMYFUNCTION("GOOGLETRANSLATE(B36515,""en"",""de"")"),"Die Männer schreien aus Hörnern.")</f>
        <v>Die Männer schreien aus Hörnern.</v>
      </c>
    </row>
    <row r="36516">
      <c r="A36516" s="4" t="s">
        <v>45918</v>
      </c>
      <c r="B36516" s="4" t="s">
        <v>45929</v>
      </c>
      <c r="C36516" s="5" t="str">
        <f>IFERROR(__xludf.DUMMYFUNCTION("GOOGLETRANSLATE(B36516,""en"",""de"")"),"Zwei Frauen streichen aus einer Haltung und sie enden in der Luft.")</f>
        <v>Zwei Frauen streichen aus einer Haltung und sie enden in der Luft.</v>
      </c>
    </row>
    <row r="36517">
      <c r="A36517" s="4" t="s">
        <v>45930</v>
      </c>
      <c r="B36517" s="4" t="s">
        <v>45931</v>
      </c>
      <c r="C36517" s="5" t="str">
        <f>IFERROR(__xludf.DUMMYFUNCTION("GOOGLETRANSLATE(B36517,""en"",""de"")"),"Es gibt einige Schwimmer, die in einem Innenpool mit Wasserball spielen.")</f>
        <v>Es gibt einige Schwimmer, die in einem Innenpool mit Wasserball spielen.</v>
      </c>
    </row>
    <row r="36518">
      <c r="A36518" s="4" t="s">
        <v>45930</v>
      </c>
      <c r="B36518" s="4" t="s">
        <v>45932</v>
      </c>
      <c r="C36518" s="5" t="str">
        <f>IFERROR(__xludf.DUMMYFUNCTION("GOOGLETRANSLATE(B36518,""en"",""de"")"),"Einer der Schwimmer ist unter Wasser und versucht, den Ball zu erreichen.")</f>
        <v>Einer der Schwimmer ist unter Wasser und versucht, den Ball zu erreichen.</v>
      </c>
    </row>
    <row r="36519">
      <c r="A36519" s="4" t="s">
        <v>45930</v>
      </c>
      <c r="B36519" s="4" t="s">
        <v>45933</v>
      </c>
      <c r="C36519" s="5" t="str">
        <f>IFERROR(__xludf.DUMMYFUNCTION("GOOGLETRANSLATE(B36519,""en"",""de"")"),"Er wirft den Ball zu einem anderen Schwimmer, der den Ball fängt.")</f>
        <v>Er wirft den Ball zu einem anderen Schwimmer, der den Ball fängt.</v>
      </c>
    </row>
    <row r="36520">
      <c r="A36520" s="4" t="s">
        <v>45930</v>
      </c>
      <c r="B36520" s="4" t="s">
        <v>45934</v>
      </c>
      <c r="C36520" s="5" t="str">
        <f>IFERROR(__xludf.DUMMYFUNCTION("GOOGLETRANSLATE(B36520,""en"",""de"")"),"Zwei Schwimmer sind unter Wasser und versuchen, den Ball zu erreichen.")</f>
        <v>Zwei Schwimmer sind unter Wasser und versuchen, den Ball zu erreichen.</v>
      </c>
    </row>
    <row r="36521">
      <c r="A36521" s="4" t="s">
        <v>45930</v>
      </c>
      <c r="B36521" s="4" t="s">
        <v>45935</v>
      </c>
      <c r="C36521" s="5" t="str">
        <f>IFERROR(__xludf.DUMMYFUNCTION("GOOGLETRANSLATE(B36521,""en"",""de"")"),"Sie passieren den Ball herum, während sie durch das Wasser schwimmen.")</f>
        <v>Sie passieren den Ball herum, während sie durch das Wasser schwimmen.</v>
      </c>
    </row>
    <row r="36522">
      <c r="A36522" s="4" t="s">
        <v>45930</v>
      </c>
      <c r="B36522" s="4" t="s">
        <v>45936</v>
      </c>
      <c r="C36522" s="5" t="str">
        <f>IFERROR(__xludf.DUMMYFUNCTION("GOOGLETRANSLATE(B36522,""en"",""de"")"),"Dann schwimmen die Schwimmer nach oben und steigen aus dem Pool, während sich noch andere Schwimmer im Pool befinden.")</f>
        <v>Dann schwimmen die Schwimmer nach oben und steigen aus dem Pool, während sich noch andere Schwimmer im Pool befinden.</v>
      </c>
    </row>
    <row r="36523">
      <c r="A36523" s="4" t="s">
        <v>45930</v>
      </c>
      <c r="B36523" s="4" t="s">
        <v>45937</v>
      </c>
      <c r="C36523" s="5" t="str">
        <f>IFERROR(__xludf.DUMMYFUNCTION("GOOGLETRANSLATE(B36523,""en"",""de"")"),"Einer der Schwimmer spuckt Wasser auf die Kamera aus, während sie noch im Pool sind.")</f>
        <v>Einer der Schwimmer spuckt Wasser auf die Kamera aus, während sie noch im Pool sind.</v>
      </c>
    </row>
    <row r="36524">
      <c r="A36524" s="4" t="s">
        <v>45930</v>
      </c>
      <c r="B36524" s="4" t="s">
        <v>45938</v>
      </c>
      <c r="C36524" s="5" t="str">
        <f>IFERROR(__xludf.DUMMYFUNCTION("GOOGLETRANSLATE(B36524,""en"",""de"")"),"Ein paar andere Schwimmer sind in der Umkleidekabine zu sehen, die sich nach dem Schwimmen trocknet.")</f>
        <v>Ein paar andere Schwimmer sind in der Umkleidekabine zu sehen, die sich nach dem Schwimmen trocknet.</v>
      </c>
    </row>
    <row r="36525">
      <c r="A36525" s="4" t="s">
        <v>45939</v>
      </c>
      <c r="B36525" s="4" t="s">
        <v>45940</v>
      </c>
      <c r="C36525" s="5" t="str">
        <f>IFERROR(__xludf.DUMMYFUNCTION("GOOGLETRANSLATE(B36525,""en"",""de"")"),"Eine kleine Gruppe von Menschen ist gesehen, wie sie sich in einem Fitnessstudio bewegt, der einen Ball herumwirft.")</f>
        <v>Eine kleine Gruppe von Menschen ist gesehen, wie sie sich in einem Fitnessstudio bewegt, der einen Ball herumwirft.</v>
      </c>
    </row>
    <row r="36526">
      <c r="A36526" s="4" t="s">
        <v>45939</v>
      </c>
      <c r="B36526" s="4" t="s">
        <v>45941</v>
      </c>
      <c r="C36526" s="5" t="str">
        <f>IFERROR(__xludf.DUMMYFUNCTION("GOOGLETRANSLATE(B36526,""en"",""de"")"),"Die Jungs schreien mit ihren Händen zueinander und gehen weiter durch das Fitnessstudio.")</f>
        <v>Die Jungs schreien mit ihren Händen zueinander und gehen weiter durch das Fitnessstudio.</v>
      </c>
    </row>
    <row r="36527">
      <c r="A36527" s="4" t="s">
        <v>45942</v>
      </c>
      <c r="B36527" s="4" t="s">
        <v>45943</v>
      </c>
      <c r="C36527" s="5" t="str">
        <f>IFERROR(__xludf.DUMMYFUNCTION("GOOGLETRANSLATE(B36527,""en"",""de"")"),"Es gibt eine Person, die den Rasen in seinem Garten mit einem Rasenmäher mäht, während er sein Kind auf dem Rücken trägt.")</f>
        <v>Es gibt eine Person, die den Rasen in seinem Garten mit einem Rasenmäher mäht, während er sein Kind auf dem Rücken trägt.</v>
      </c>
    </row>
    <row r="36528">
      <c r="A36528" s="4" t="s">
        <v>45942</v>
      </c>
      <c r="B36528" s="4" t="s">
        <v>45944</v>
      </c>
      <c r="C36528" s="5" t="str">
        <f>IFERROR(__xludf.DUMMYFUNCTION("GOOGLETRANSLATE(B36528,""en"",""de"")"),"Der Mann geht auf und ab, direkt über den Hof, als er den Rasen mäht.")</f>
        <v>Der Mann geht auf und ab, direkt über den Hof, als er den Rasen mäht.</v>
      </c>
    </row>
    <row r="36529">
      <c r="A36529" s="4" t="s">
        <v>45942</v>
      </c>
      <c r="B36529" s="4" t="s">
        <v>45945</v>
      </c>
      <c r="C36529" s="5" t="str">
        <f>IFERROR(__xludf.DUMMYFUNCTION("GOOGLETRANSLATE(B36529,""en"",""de"")"),"Das Kind sieht ruhig zu, während sie auf dem Rücken des Mannes ruht.")</f>
        <v>Das Kind sieht ruhig zu, während sie auf dem Rücken des Mannes ruht.</v>
      </c>
    </row>
    <row r="36530">
      <c r="A36530" s="4" t="s">
        <v>45942</v>
      </c>
      <c r="B36530" s="4" t="s">
        <v>45946</v>
      </c>
      <c r="C36530" s="5" t="str">
        <f>IFERROR(__xludf.DUMMYFUNCTION("GOOGLETRANSLATE(B36530,""en"",""de"")"),"Der Mann mähen den Rasen weiterhin mit seinem schwarzen Rasenmäher.")</f>
        <v>Der Mann mähen den Rasen weiterhin mit seinem schwarzen Rasenmäher.</v>
      </c>
    </row>
    <row r="36531">
      <c r="A36531" s="4" t="s">
        <v>45947</v>
      </c>
      <c r="B36531" s="4" t="s">
        <v>45948</v>
      </c>
      <c r="C36531" s="5" t="str">
        <f>IFERROR(__xludf.DUMMYFUNCTION("GOOGLETRANSLATE(B36531,""en"",""de"")"),"Es gibt eine Person namens Michael von der Wild Flower Tool Company, die ein Tutorial über teleskopische Kopfschere für die Gartenarbeit macht.")</f>
        <v>Es gibt eine Person namens Michael von der Wild Flower Tool Company, die ein Tutorial über teleskopische Kopfschere für die Gartenarbeit macht.</v>
      </c>
    </row>
    <row r="36532">
      <c r="A36532" s="4" t="s">
        <v>45947</v>
      </c>
      <c r="B36532" s="4" t="s">
        <v>45949</v>
      </c>
      <c r="C36532" s="5" t="str">
        <f>IFERROR(__xludf.DUMMYFUNCTION("GOOGLETRANSLATE(B36532,""en"",""de"")"),"Er demonstriert die verschiedenen Merkmale der Scheren, wie z. B. erweiterbare Griffe.")</f>
        <v>Er demonstriert die verschiedenen Merkmale der Scheren, wie z. B. erweiterbare Griffe.</v>
      </c>
    </row>
    <row r="36533">
      <c r="A36533" s="4" t="s">
        <v>45947</v>
      </c>
      <c r="B36533" s="4" t="s">
        <v>45950</v>
      </c>
      <c r="C36533" s="5" t="str">
        <f>IFERROR(__xludf.DUMMYFUNCTION("GOOGLETRANSLATE(B36533,""en"",""de"")"),"Er steht in der Nähe einer großen Hecke in einem Garten.")</f>
        <v>Er steht in der Nähe einer großen Hecke in einem Garten.</v>
      </c>
    </row>
    <row r="36534">
      <c r="A36534" s="4" t="s">
        <v>45947</v>
      </c>
      <c r="B36534" s="4" t="s">
        <v>45951</v>
      </c>
      <c r="C36534" s="5" t="str">
        <f>IFERROR(__xludf.DUMMYFUNCTION("GOOGLETRANSLATE(B36534,""en"",""de"")"),"Er zeigt, wie man die Scheren benutzt, indem er einige der Zweige der Hecke abschneidet.")</f>
        <v>Er zeigt, wie man die Scheren benutzt, indem er einige der Zweige der Hecke abschneidet.</v>
      </c>
    </row>
    <row r="36535">
      <c r="A36535" s="4" t="s">
        <v>45947</v>
      </c>
      <c r="B36535" s="4" t="s">
        <v>45952</v>
      </c>
      <c r="C36535" s="5" t="str">
        <f>IFERROR(__xludf.DUMMYFUNCTION("GOOGLETRANSLATE(B36535,""en"",""de"")"),"Dann erweitert er die Griffe der Scheren, um zu zeigen, wie weit er hart werden kann, um Orte auf der Hecke zu erreichen.")</f>
        <v>Dann erweitert er die Griffe der Scheren, um zu zeigen, wie weit er hart werden kann, um Orte auf der Hecke zu erreichen.</v>
      </c>
    </row>
    <row r="36536">
      <c r="A36536" s="4" t="s">
        <v>45953</v>
      </c>
      <c r="B36536" s="4" t="s">
        <v>45954</v>
      </c>
      <c r="C36536" s="5" t="str">
        <f>IFERROR(__xludf.DUMMYFUNCTION("GOOGLETRANSLATE(B36536,""en"",""de"")"),"Eine Frau geht vorwärts und redet mit der Kamera und legt ihre Hände auf ihre Hüften.")</f>
        <v>Eine Frau geht vorwärts und redet mit der Kamera und legt ihre Hände auf ihre Hüften.</v>
      </c>
    </row>
    <row r="36537">
      <c r="A36537" s="4" t="s">
        <v>45953</v>
      </c>
      <c r="B36537" s="4" t="s">
        <v>45955</v>
      </c>
      <c r="C36537" s="5" t="str">
        <f>IFERROR(__xludf.DUMMYFUNCTION("GOOGLETRANSLATE(B36537,""en"",""de"")"),"Ein Mädchen wird das Spielfeldhockey gezeigt und präsentiert verschiedene Klammern von sich selbst.")</f>
        <v>Ein Mädchen wird das Spielfeldhockey gezeigt und präsentiert verschiedene Klammern von sich selbst.</v>
      </c>
    </row>
    <row r="36538">
      <c r="A36538" s="4" t="s">
        <v>45953</v>
      </c>
      <c r="B36538" s="4" t="s">
        <v>45956</v>
      </c>
      <c r="C36538" s="5" t="str">
        <f>IFERROR(__xludf.DUMMYFUNCTION("GOOGLETRANSLATE(B36538,""en"",""de"")"),"Sie spricht später mit der Kamera über ihre Erfahrungen mit dem Sport und wer genau sie ist und warum andere Menschen sie lieben.")</f>
        <v>Sie spricht später mit der Kamera über ihre Erfahrungen mit dem Sport und wer genau sie ist und warum andere Menschen sie lieben.</v>
      </c>
    </row>
    <row r="36539">
      <c r="A36539" s="4" t="s">
        <v>45957</v>
      </c>
      <c r="B36539" s="4" t="s">
        <v>45958</v>
      </c>
      <c r="C36539" s="5" t="str">
        <f>IFERROR(__xludf.DUMMYFUNCTION("GOOGLETRANSLATE(B36539,""en"",""de"")"),"Wir sehen Leute, die mit Flößen eine Rolltreppe auf einem schneebedeckten Feld in einem Rafting -Park hinaufgehen.")</f>
        <v>Wir sehen Leute, die mit Flößen eine Rolltreppe auf einem schneebedeckten Feld in einem Rafting -Park hinaufgehen.</v>
      </c>
    </row>
    <row r="36540">
      <c r="A36540" s="4" t="s">
        <v>45957</v>
      </c>
      <c r="B36540" s="4" t="s">
        <v>45959</v>
      </c>
      <c r="C36540" s="5" t="str">
        <f>IFERROR(__xludf.DUMMYFUNCTION("GOOGLETRANSLATE(B36540,""en"",""de"")"),"Ein Kind fällt fast links.")</f>
        <v>Ein Kind fällt fast links.</v>
      </c>
    </row>
    <row r="36541">
      <c r="A36541" s="4" t="s">
        <v>45957</v>
      </c>
      <c r="B36541" s="4" t="s">
        <v>45960</v>
      </c>
      <c r="C36541" s="5" t="str">
        <f>IFERROR(__xludf.DUMMYFUNCTION("GOOGLETRANSLATE(B36541,""en"",""de"")"),"Wir sehen die überfüllte Rolltreppe aus der Ferne.")</f>
        <v>Wir sehen die überfüllte Rolltreppe aus der Ferne.</v>
      </c>
    </row>
    <row r="36542">
      <c r="A36542" s="4" t="s">
        <v>45957</v>
      </c>
      <c r="B36542" s="4" t="s">
        <v>45961</v>
      </c>
      <c r="C36542" s="5" t="str">
        <f>IFERROR(__xludf.DUMMYFUNCTION("GOOGLETRANSLATE(B36542,""en"",""de"")"),"Wir sehen einen Jungen in einem schwarzen Mantel mit seinem Floß im Schlepptau.")</f>
        <v>Wir sehen einen Jungen in einem schwarzen Mantel mit seinem Floß im Schlepptau.</v>
      </c>
    </row>
    <row r="36543">
      <c r="A36543" s="4" t="s">
        <v>45962</v>
      </c>
      <c r="B36543" s="4" t="s">
        <v>45963</v>
      </c>
      <c r="C36543" s="5" t="str">
        <f>IFERROR(__xludf.DUMMYFUNCTION("GOOGLETRANSLATE(B36543,""en"",""de"")"),"Ein Mann mit einer Brille, die ein Akkordeon spielt und lächelt.")</f>
        <v>Ein Mann mit einer Brille, die ein Akkordeon spielt und lächelt.</v>
      </c>
    </row>
    <row r="36544">
      <c r="A36544" s="4" t="s">
        <v>45962</v>
      </c>
      <c r="B36544" s="4" t="s">
        <v>45964</v>
      </c>
      <c r="C36544" s="5" t="str">
        <f>IFERROR(__xludf.DUMMYFUNCTION("GOOGLETRANSLATE(B36544,""en"",""de"")"),"Die Kamera zoomt auf den Fingern, die den Hals des Instruments hinauf und runter auf und ab.")</f>
        <v>Die Kamera zoomt auf den Fingern, die den Hals des Instruments hinauf und runter auf und ab.</v>
      </c>
    </row>
    <row r="36545">
      <c r="A36545" s="4" t="s">
        <v>45962</v>
      </c>
      <c r="B36545" s="4" t="s">
        <v>45965</v>
      </c>
      <c r="C36545" s="5" t="str">
        <f>IFERROR(__xludf.DUMMYFUNCTION("GOOGLETRANSLATE(B36545,""en"",""de"")"),"Der Mann spielt weiterhin sein Lied und lächelt zur Kamera, während er sich auf und ab bewegt.")</f>
        <v>Der Mann spielt weiterhin sein Lied und lächelt zur Kamera, während er sich auf und ab bewegt.</v>
      </c>
    </row>
    <row r="36546">
      <c r="A36546" s="4" t="s">
        <v>45966</v>
      </c>
      <c r="B36546" s="4" t="s">
        <v>45967</v>
      </c>
      <c r="C36546" s="5" t="str">
        <f>IFERROR(__xludf.DUMMYFUNCTION("GOOGLETRANSLATE(B36546,""en"",""de"")"),"Ein Kind steht auf einem Gericht, als eine Gruppe von Richtern ihn schnell zum Springen des Seils beobachtet.")</f>
        <v>Ein Kind steht auf einem Gericht, als eine Gruppe von Richtern ihn schnell zum Springen des Seils beobachtet.</v>
      </c>
    </row>
    <row r="36547">
      <c r="A36547" s="4" t="s">
        <v>45966</v>
      </c>
      <c r="B36547" s="4" t="s">
        <v>45968</v>
      </c>
      <c r="C36547" s="5" t="str">
        <f>IFERROR(__xludf.DUMMYFUNCTION("GOOGLETRANSLATE(B36547,""en"",""de"")"),"Hinter ihm springen auch andere Konkurrenten Seil.")</f>
        <v>Hinter ihm springen auch andere Konkurrenten Seil.</v>
      </c>
    </row>
    <row r="36548">
      <c r="A36548" s="4" t="s">
        <v>45969</v>
      </c>
      <c r="B36548" s="4" t="s">
        <v>45970</v>
      </c>
      <c r="C36548" s="5" t="str">
        <f>IFERROR(__xludf.DUMMYFUNCTION("GOOGLETRANSLATE(B36548,""en"",""de"")"),"Ein kleiner Junge sitzt gegen die Wand und macht ein Gesicht, während zwei Menschen vor ihm stehen.")</f>
        <v>Ein kleiner Junge sitzt gegen die Wand und macht ein Gesicht, während zwei Menschen vor ihm stehen.</v>
      </c>
    </row>
    <row r="36549">
      <c r="A36549" s="4" t="s">
        <v>45969</v>
      </c>
      <c r="B36549" s="4" t="s">
        <v>45971</v>
      </c>
      <c r="C36549" s="5" t="str">
        <f>IFERROR(__xludf.DUMMYFUNCTION("GOOGLETRANSLATE(B36549,""en"",""de"")"),"Das Mädchen auf der linken Seite nimmt dann eine kleine Röhre Politis und beginnt, den Nagel des Jungen mit rotem Glitzer zu malen.")</f>
        <v>Das Mädchen auf der linken Seite nimmt dann eine kleine Röhre Politis und beginnt, den Nagel des Jungen mit rotem Glitzer zu malen.</v>
      </c>
    </row>
    <row r="36550">
      <c r="A36550" s="4" t="s">
        <v>45969</v>
      </c>
      <c r="B36550" s="4" t="s">
        <v>45972</v>
      </c>
      <c r="C36550" s="5" t="str">
        <f>IFERROR(__xludf.DUMMYFUNCTION("GOOGLETRANSLATE(B36550,""en"",""de"")"),"Wenn sie fertig ist, wird der Junge gezeigt und er beginnt über die Situation zu lachen.")</f>
        <v>Wenn sie fertig ist, wird der Junge gezeigt und er beginnt über die Situation zu lachen.</v>
      </c>
    </row>
    <row r="36551">
      <c r="A36551" s="4" t="s">
        <v>45973</v>
      </c>
      <c r="B36551" s="4" t="s">
        <v>45974</v>
      </c>
      <c r="C36551" s="5" t="str">
        <f>IFERROR(__xludf.DUMMYFUNCTION("GOOGLETRANSLATE(B36551,""en"",""de"")"),"Ein Hintergrundbild mit Pfoten und Hundeknochen erscheinen und die Wörter in Rot und Schwarz erscheinen und lesen ""Tegs Canine Clippery Dog &amp; Cat Pfinging"".")</f>
        <v>Ein Hintergrundbild mit Pfoten und Hundeknochen erscheinen und die Wörter in Rot und Schwarz erscheinen und lesen "Tegs Canine Clippery Dog &amp; Cat Pfinging".</v>
      </c>
    </row>
    <row r="36552">
      <c r="A36552" s="4" t="s">
        <v>45973</v>
      </c>
      <c r="B36552" s="4" t="s">
        <v>45975</v>
      </c>
      <c r="C36552" s="5" t="str">
        <f>IFERROR(__xludf.DUMMYFUNCTION("GOOGLETRANSLATE(B36552,""en"",""de"")"),"Clips verschiedener Hunde werden gezeigt, dass sie Bäder, Haarschnitte und gebürstet werden, während immer noch Bilder zwischen Clips erscheinen und alle Firmennamen, Website und Telefonnummer enthalten.")</f>
        <v>Clips verschiedener Hunde werden gezeigt, dass sie Bäder, Haarschnitte und gebürstet werden, während immer noch Bilder zwischen Clips erscheinen und alle Firmennamen, Website und Telefonnummer enthalten.</v>
      </c>
    </row>
    <row r="36553">
      <c r="A36553" s="4" t="s">
        <v>45973</v>
      </c>
      <c r="B36553" s="4" t="s">
        <v>45976</v>
      </c>
      <c r="C36553" s="5" t="str">
        <f>IFERROR(__xludf.DUMMYFUNCTION("GOOGLETRANSLATE(B36553,""en"",""de"")"),"Der allerletzte Bildschirm ist ein Bild eines Hundes mit geschlossenen Augen und 2 Paar Hände, die ihn mit einem Pinsel über seinem Kopf, dem Firmennamen, der Website, der Telefonnummer und der Adresse trocknen.")</f>
        <v>Der allerletzte Bildschirm ist ein Bild eines Hundes mit geschlossenen Augen und 2 Paar Hände, die ihn mit einem Pinsel über seinem Kopf, dem Firmennamen, der Website, der Telefonnummer und der Adresse trocknen.</v>
      </c>
    </row>
    <row r="36554">
      <c r="A36554" s="4" t="s">
        <v>45977</v>
      </c>
      <c r="B36554" s="4" t="s">
        <v>45978</v>
      </c>
      <c r="C36554" s="5" t="str">
        <f>IFERROR(__xludf.DUMMYFUNCTION("GOOGLETRANSLATE(B36554,""en"",""de"")"),"Ein junger Mann sitzt auf einem Stuhl, der ein Vakuum in seinen Händen hält.")</f>
        <v>Ein junger Mann sitzt auf einem Stuhl, der ein Vakuum in seinen Händen hält.</v>
      </c>
    </row>
    <row r="36555">
      <c r="A36555" s="4" t="s">
        <v>45977</v>
      </c>
      <c r="B36555" s="4" t="s">
        <v>45979</v>
      </c>
      <c r="C36555" s="5" t="str">
        <f>IFERROR(__xludf.DUMMYFUNCTION("GOOGLETRANSLATE(B36555,""en"",""de"")"),"Der Junge spricht mit der Kamera, während er das Vakuum zurück und den vierten Platz drückt.")</f>
        <v>Der Junge spricht mit der Kamera, während er das Vakuum zurück und den vierten Platz drückt.</v>
      </c>
    </row>
    <row r="36556">
      <c r="A36556" s="4" t="s">
        <v>45977</v>
      </c>
      <c r="B36556" s="4" t="s">
        <v>45980</v>
      </c>
      <c r="C36556" s="5" t="str">
        <f>IFERROR(__xludf.DUMMYFUNCTION("GOOGLETRANSLATE(B36556,""en"",""de"")"),"Die Kamera rückt näher an den Jungen und zoomt in seinem Gesicht, während er saugte.")</f>
        <v>Die Kamera rückt näher an den Jungen und zoomt in seinem Gesicht, während er saugte.</v>
      </c>
    </row>
    <row r="36557">
      <c r="A36557" s="4" t="s">
        <v>45981</v>
      </c>
      <c r="B36557" s="4" t="s">
        <v>45982</v>
      </c>
      <c r="C36557" s="5" t="str">
        <f>IFERROR(__xludf.DUMMYFUNCTION("GOOGLETRANSLATE(B36557,""en"",""de"")"),"Ein Mann steht auf einem Lastwagen.")</f>
        <v>Ein Mann steht auf einem Lastwagen.</v>
      </c>
    </row>
    <row r="36558">
      <c r="A36558" s="4" t="s">
        <v>45981</v>
      </c>
      <c r="B36558" s="4" t="s">
        <v>45983</v>
      </c>
      <c r="C36558" s="5" t="str">
        <f>IFERROR(__xludf.DUMMYFUNCTION("GOOGLETRANSLATE(B36558,""en"",""de"")"),"Zwei Männer springen auf ein Trampolin.")</f>
        <v>Zwei Männer springen auf ein Trampolin.</v>
      </c>
    </row>
    <row r="36559">
      <c r="A36559" s="4" t="s">
        <v>45981</v>
      </c>
      <c r="B36559" s="4" t="s">
        <v>45984</v>
      </c>
      <c r="C36559" s="5" t="str">
        <f>IFERROR(__xludf.DUMMYFUNCTION("GOOGLETRANSLATE(B36559,""en"",""de"")"),"Einer der Männer legt sich hin und der andere Mann schlägt ihn.")</f>
        <v>Einer der Männer legt sich hin und der andere Mann schlägt ihn.</v>
      </c>
    </row>
    <row r="36560">
      <c r="A36560" s="4" t="s">
        <v>45981</v>
      </c>
      <c r="B36560" s="4" t="s">
        <v>45985</v>
      </c>
      <c r="C36560" s="5" t="str">
        <f>IFERROR(__xludf.DUMMYFUNCTION("GOOGLETRANSLATE(B36560,""en"",""de"")"),"Der Mann auf dem Lastwagen springt auf das Trampolin.")</f>
        <v>Der Mann auf dem Lastwagen springt auf das Trampolin.</v>
      </c>
    </row>
    <row r="36561">
      <c r="A36561" s="4" t="s">
        <v>45986</v>
      </c>
      <c r="B36561" s="4" t="s">
        <v>45987</v>
      </c>
      <c r="C36561" s="5" t="str">
        <f>IFERROR(__xludf.DUMMYFUNCTION("GOOGLETRANSLATE(B36561,""en"",""de"")"),"Der Fuß einer Person wird gezeigt und bewegt sich dann langsam in ihr Gesicht.")</f>
        <v>Der Fuß einer Person wird gezeigt und bewegt sich dann langsam in ihr Gesicht.</v>
      </c>
    </row>
    <row r="36562">
      <c r="A36562" s="4" t="s">
        <v>45986</v>
      </c>
      <c r="B36562" s="4" t="s">
        <v>45988</v>
      </c>
      <c r="C36562" s="5" t="str">
        <f>IFERROR(__xludf.DUMMYFUNCTION("GOOGLETRANSLATE(B36562,""en"",""de"")"),"Die Kamera schwenkt und zeigt ein silberner Auto.")</f>
        <v>Die Kamera schwenkt und zeigt ein silberner Auto.</v>
      </c>
    </row>
    <row r="36563">
      <c r="A36563" s="4" t="s">
        <v>45986</v>
      </c>
      <c r="B36563" s="4" t="s">
        <v>45989</v>
      </c>
      <c r="C36563" s="5" t="str">
        <f>IFERROR(__xludf.DUMMYFUNCTION("GOOGLETRANSLATE(B36563,""en"",""de"")"),"Die Person hält einen Stock in ihren Händen.")</f>
        <v>Die Person hält einen Stock in ihren Händen.</v>
      </c>
    </row>
    <row r="36564">
      <c r="A36564" s="4" t="s">
        <v>45986</v>
      </c>
      <c r="B36564" s="4" t="s">
        <v>45990</v>
      </c>
      <c r="C36564" s="5" t="str">
        <f>IFERROR(__xludf.DUMMYFUNCTION("GOOGLETRANSLATE(B36564,""en"",""de"")"),"Die Person hält einen Schlauch und wäscht das Auto.")</f>
        <v>Die Person hält einen Schlauch und wäscht das Auto.</v>
      </c>
    </row>
    <row r="36565">
      <c r="A36565" s="4" t="s">
        <v>45986</v>
      </c>
      <c r="B36565" s="4" t="s">
        <v>45991</v>
      </c>
      <c r="C36565" s="5" t="str">
        <f>IFERROR(__xludf.DUMMYFUNCTION("GOOGLETRANSLATE(B36565,""en"",""de"")"),"Sie tauchen den Stock in einen Eimer Seifenwasser und waschen das Auto weiter.")</f>
        <v>Sie tauchen den Stock in einen Eimer Seifenwasser und waschen das Auto weiter.</v>
      </c>
    </row>
    <row r="36566">
      <c r="A36566" s="4" t="s">
        <v>45986</v>
      </c>
      <c r="B36566" s="4" t="s">
        <v>45992</v>
      </c>
      <c r="C36566" s="5" t="str">
        <f>IFERROR(__xludf.DUMMYFUNCTION("GOOGLETRANSLATE(B36566,""en"",""de"")"),"Sie halten den Schlauch hoch und gießen das Wasser auf ihr Gesicht.")</f>
        <v>Sie halten den Schlauch hoch und gießen das Wasser auf ihr Gesicht.</v>
      </c>
    </row>
    <row r="36567">
      <c r="A36567" s="4" t="s">
        <v>45986</v>
      </c>
      <c r="B36567" s="4" t="s">
        <v>45993</v>
      </c>
      <c r="C36567" s="5" t="str">
        <f>IFERROR(__xludf.DUMMYFUNCTION("GOOGLETRANSLATE(B36567,""en"",""de"")"),"Sie nehmen ihre Sonnenbrille am Ende ab und wischen ihr Gesicht ab.")</f>
        <v>Sie nehmen ihre Sonnenbrille am Ende ab und wischen ihr Gesicht ab.</v>
      </c>
    </row>
    <row r="36568">
      <c r="A36568" s="4" t="s">
        <v>45994</v>
      </c>
      <c r="B36568" s="4" t="s">
        <v>45995</v>
      </c>
      <c r="C36568" s="5" t="str">
        <f>IFERROR(__xludf.DUMMYFUNCTION("GOOGLETRANSLATE(B36568,""en"",""de"")"),"Zwei Personen stehen vor einer Straßenaufführung.")</f>
        <v>Zwei Personen stehen vor einer Straßenaufführung.</v>
      </c>
    </row>
    <row r="36569">
      <c r="A36569" s="4" t="s">
        <v>45994</v>
      </c>
      <c r="B36569" s="4" t="s">
        <v>45996</v>
      </c>
      <c r="C36569" s="5" t="str">
        <f>IFERROR(__xludf.DUMMYFUNCTION("GOOGLETRANSLATE(B36569,""en"",""de"")"),"Wir sehen eine Gruppe von Menschen, da zwei ein Sprungseil verwenden.")</f>
        <v>Wir sehen eine Gruppe von Menschen, da zwei ein Sprungseil verwenden.</v>
      </c>
    </row>
    <row r="36570">
      <c r="A36570" s="4" t="s">
        <v>45994</v>
      </c>
      <c r="B36570" s="4" t="s">
        <v>45997</v>
      </c>
      <c r="C36570" s="5" t="str">
        <f>IFERROR(__xludf.DUMMYFUNCTION("GOOGLETRANSLATE(B36570,""en"",""de"")"),"Einige andere springen hinein, springen über das Seil, drehen und machen Stunts.")</f>
        <v>Einige andere springen hinein, springen über das Seil, drehen und machen Stunts.</v>
      </c>
    </row>
    <row r="36571">
      <c r="A36571" s="4" t="s">
        <v>45998</v>
      </c>
      <c r="B36571" s="4" t="s">
        <v>45999</v>
      </c>
      <c r="C36571" s="5" t="str">
        <f>IFERROR(__xludf.DUMMYFUNCTION("GOOGLETRANSLATE(B36571,""en"",""de"")"),"Ein Mann tritt von einem Schreibtisch weg.")</f>
        <v>Ein Mann tritt von einem Schreibtisch weg.</v>
      </c>
    </row>
    <row r="36572">
      <c r="A36572" s="4" t="s">
        <v>45998</v>
      </c>
      <c r="B36572" s="4" t="s">
        <v>46000</v>
      </c>
      <c r="C36572" s="5" t="str">
        <f>IFERROR(__xludf.DUMMYFUNCTION("GOOGLETRANSLATE(B36572,""en"",""de"")"),"Der Mann wendet seinen Handschuh auf seine linke Hand.")</f>
        <v>Der Mann wendet seinen Handschuh auf seine linke Hand.</v>
      </c>
    </row>
    <row r="36573">
      <c r="A36573" s="4" t="s">
        <v>45998</v>
      </c>
      <c r="B36573" s="4" t="s">
        <v>46001</v>
      </c>
      <c r="C36573" s="5" t="str">
        <f>IFERROR(__xludf.DUMMYFUNCTION("GOOGLETRANSLATE(B36573,""en"",""de"")"),"Der Mann klopft mit einem Lötkolben auf ein Metall.")</f>
        <v>Der Mann klopft mit einem Lötkolben auf ein Metall.</v>
      </c>
    </row>
    <row r="36574">
      <c r="A36574" s="4" t="s">
        <v>45998</v>
      </c>
      <c r="B36574" s="4" t="s">
        <v>46002</v>
      </c>
      <c r="C36574" s="5" t="str">
        <f>IFERROR(__xludf.DUMMYFUNCTION("GOOGLETRANSLATE(B36574,""en"",""de"")"),"Die Mannsoldaten auf dem Stück Metall.")</f>
        <v>Die Mannsoldaten auf dem Stück Metall.</v>
      </c>
    </row>
    <row r="36575">
      <c r="A36575" s="4" t="s">
        <v>45998</v>
      </c>
      <c r="B36575" s="4" t="s">
        <v>46003</v>
      </c>
      <c r="C36575" s="5" t="str">
        <f>IFERROR(__xludf.DUMMYFUNCTION("GOOGLETRANSLATE(B36575,""en"",""de"")"),"Der Mann hört auf, das Metall zu löten.")</f>
        <v>Der Mann hört auf, das Metall zu löten.</v>
      </c>
    </row>
    <row r="36576">
      <c r="A36576" s="4" t="s">
        <v>45998</v>
      </c>
      <c r="B36576" s="4" t="s">
        <v>46004</v>
      </c>
      <c r="C36576" s="5" t="str">
        <f>IFERROR(__xludf.DUMMYFUNCTION("GOOGLETRANSLATE(B36576,""en"",""de"")"),"Der Mann entfernt seinen Handschuh und bläst Rauch vom Metallstück weg.")</f>
        <v>Der Mann entfernt seinen Handschuh und bläst Rauch vom Metallstück weg.</v>
      </c>
    </row>
    <row r="36577">
      <c r="A36577" s="4" t="s">
        <v>46005</v>
      </c>
      <c r="B36577" s="4" t="s">
        <v>46006</v>
      </c>
      <c r="C36577" s="5" t="str">
        <f>IFERROR(__xludf.DUMMYFUNCTION("GOOGLETRANSLATE(B36577,""en"",""de"")"),"Ein Mann, der schwarze Hosen, ein kariertes Hemd und eine Baseballmütze trägt, wird eine dunkelgrüne Hecke mit einem Elektroscherlenschneider abgebaut.")</f>
        <v>Ein Mann, der schwarze Hosen, ein kariertes Hemd und eine Baseballmütze trägt, wird eine dunkelgrüne Hecke mit einem Elektroscherlenschneider abgebaut.</v>
      </c>
    </row>
    <row r="36578">
      <c r="A36578" s="4" t="s">
        <v>46005</v>
      </c>
      <c r="B36578" s="4" t="s">
        <v>46007</v>
      </c>
      <c r="C36578" s="5" t="str">
        <f>IFERROR(__xludf.DUMMYFUNCTION("GOOGLETRANSLATE(B36578,""en"",""de"")"),"Der Mann schneidet eine kleinere hellgrüne Hecke mit dem Trimmer ab.")</f>
        <v>Der Mann schneidet eine kleinere hellgrüne Hecke mit dem Trimmer ab.</v>
      </c>
    </row>
    <row r="36579">
      <c r="A36579" s="4" t="s">
        <v>46005</v>
      </c>
      <c r="B36579" s="4" t="s">
        <v>46008</v>
      </c>
      <c r="C36579" s="5" t="str">
        <f>IFERROR(__xludf.DUMMYFUNCTION("GOOGLETRANSLATE(B36579,""en"",""de"")"),"Der Mann schneidet eine weitere Hecke mit Trimmer ab.")</f>
        <v>Der Mann schneidet eine weitere Hecke mit Trimmer ab.</v>
      </c>
    </row>
    <row r="36580">
      <c r="A36580" s="4" t="s">
        <v>46005</v>
      </c>
      <c r="B36580" s="4" t="s">
        <v>46009</v>
      </c>
      <c r="C36580" s="5" t="str">
        <f>IFERROR(__xludf.DUMMYFUNCTION("GOOGLETRANSLATE(B36580,""en"",""de"")"),"Die Szene ist beschleunigt und enthält Umgebungsgeräusche.")</f>
        <v>Die Szene ist beschleunigt und enthält Umgebungsgeräusche.</v>
      </c>
    </row>
    <row r="36581">
      <c r="A36581" s="4" t="s">
        <v>46010</v>
      </c>
      <c r="B36581" s="4" t="s">
        <v>46011</v>
      </c>
      <c r="C36581" s="5" t="str">
        <f>IFERROR(__xludf.DUMMYFUNCTION("GOOGLETRANSLATE(B36581,""en"",""de"")"),"Ein Mann spricht sowohl drinnen als auch im Freien mit der Kamera.")</f>
        <v>Ein Mann spricht sowohl drinnen als auch im Freien mit der Kamera.</v>
      </c>
    </row>
    <row r="36582">
      <c r="A36582" s="4" t="s">
        <v>46010</v>
      </c>
      <c r="B36582" s="4" t="s">
        <v>46012</v>
      </c>
      <c r="C36582" s="5" t="str">
        <f>IFERROR(__xludf.DUMMYFUNCTION("GOOGLETRANSLATE(B36582,""en"",""de"")"),"Er verweist auf mehrere Objekte, während er zu Schmutz führt, der sowohl gezeigt wird als auch Gips.")</f>
        <v>Er verweist auf mehrere Objekte, während er zu Schmutz führt, der sowohl gezeigt wird als auch Gips.</v>
      </c>
    </row>
    <row r="36583">
      <c r="A36583" s="4" t="s">
        <v>46010</v>
      </c>
      <c r="B36583" s="4" t="s">
        <v>46013</v>
      </c>
      <c r="C36583" s="5" t="str">
        <f>IFERROR(__xludf.DUMMYFUNCTION("GOOGLETRANSLATE(B36583,""en"",""de"")"),"Die Leute werden gesehen, wie sie Gips über die Wände legen, während der Mann weiter spricht.")</f>
        <v>Die Leute werden gesehen, wie sie Gips über die Wände legen, während der Mann weiter spricht.</v>
      </c>
    </row>
    <row r="36584">
      <c r="A36584" s="4" t="s">
        <v>46014</v>
      </c>
      <c r="B36584" s="4" t="s">
        <v>46015</v>
      </c>
      <c r="C36584" s="5" t="str">
        <f>IFERROR(__xludf.DUMMYFUNCTION("GOOGLETRANSLATE(B36584,""en"",""de"")"),"Es gibt einen Fitnesstrainer, der die Fitcast -Fitness in einem Fitnessstudio darstellt, das zeigt, wie man eine hohe kniende Palloff -Presse macht.")</f>
        <v>Es gibt einen Fitnesstrainer, der die Fitcast -Fitness in einem Fitnessstudio darstellt, das zeigt, wie man eine hohe kniende Palloff -Presse macht.</v>
      </c>
    </row>
    <row r="36585">
      <c r="A36585" s="4" t="s">
        <v>46014</v>
      </c>
      <c r="B36585" s="4" t="s">
        <v>46016</v>
      </c>
      <c r="C36585" s="5" t="str">
        <f>IFERROR(__xludf.DUMMYFUNCTION("GOOGLETRANSLATE(B36585,""en"",""de"")"),"Er kniet in einem schwarzen Hemd und einer grauen Schweißhose auf dem Boden.")</f>
        <v>Er kniet in einem schwarzen Hemd und einer grauen Schweißhose auf dem Boden.</v>
      </c>
    </row>
    <row r="36586">
      <c r="A36586" s="4" t="s">
        <v>46014</v>
      </c>
      <c r="B36586" s="4" t="s">
        <v>46017</v>
      </c>
      <c r="C36586" s="5" t="str">
        <f>IFERROR(__xludf.DUMMYFUNCTION("GOOGLETRANSLATE(B36586,""en"",""de"")"),"Er zieht die Griffe der Palloff -Presse mit beiden Händen in Richtung seiner Brust, während er seinen Rücken und seine Schultern gerade aufhält.")</f>
        <v>Er zieht die Griffe der Palloff -Presse mit beiden Händen in Richtung seiner Brust, während er seinen Rücken und seine Schultern gerade aufhält.</v>
      </c>
    </row>
    <row r="36587">
      <c r="A36587" s="4" t="s">
        <v>46018</v>
      </c>
      <c r="B36587" s="4" t="s">
        <v>46019</v>
      </c>
      <c r="C36587" s="5" t="str">
        <f>IFERROR(__xludf.DUMMYFUNCTION("GOOGLETRANSLATE(B36587,""en"",""de"")"),"Ein Mann in einer Garage steht über einer Holzplatte.")</f>
        <v>Ein Mann in einer Garage steht über einer Holzplatte.</v>
      </c>
    </row>
    <row r="36588">
      <c r="A36588" s="4" t="s">
        <v>46018</v>
      </c>
      <c r="B36588" s="4" t="s">
        <v>46020</v>
      </c>
      <c r="C36588" s="5" t="str">
        <f>IFERROR(__xludf.DUMMYFUNCTION("GOOGLETRANSLATE(B36588,""en"",""de"")"),"Der Mann nimmt eine weiße Paste aus einer Dose, fügt ihm etwas Färben hinzu und mischt sie.")</f>
        <v>Der Mann nimmt eine weiße Paste aus einer Dose, fügt ihm etwas Färben hinzu und mischt sie.</v>
      </c>
    </row>
    <row r="36589">
      <c r="A36589" s="4" t="s">
        <v>46018</v>
      </c>
      <c r="B36589" s="4" t="s">
        <v>46021</v>
      </c>
      <c r="C36589" s="5" t="str">
        <f>IFERROR(__xludf.DUMMYFUNCTION("GOOGLETRANSLATE(B36589,""en"",""de"")"),"Der Mann wendet die braun gefärbte Paste auf Löcher im Holz.")</f>
        <v>Der Mann wendet die braun gefärbte Paste auf Löcher im Holz.</v>
      </c>
    </row>
    <row r="36590">
      <c r="A36590" s="4" t="s">
        <v>46022</v>
      </c>
      <c r="B36590" s="4" t="s">
        <v>46023</v>
      </c>
      <c r="C36590" s="5" t="str">
        <f>IFERROR(__xludf.DUMMYFUNCTION("GOOGLETRANSLATE(B36590,""en"",""de"")"),"Ein Schuss von Stiften wird auf einer Fahrspur sitzen, gefolgt von einem Mann, der in den Rahmen geht.")</f>
        <v>Ein Schuss von Stiften wird auf einer Fahrspur sitzen, gefolgt von einem Mann, der in den Rahmen geht.</v>
      </c>
    </row>
    <row r="36591">
      <c r="A36591" s="4" t="s">
        <v>46022</v>
      </c>
      <c r="B36591" s="4" t="s">
        <v>46024</v>
      </c>
      <c r="C36591" s="5" t="str">
        <f>IFERROR(__xludf.DUMMYFUNCTION("GOOGLETRANSLATE(B36591,""en"",""de"")"),"Der Mann dreht einen Ball, um die Stifte umzugehen, um am Ende mehr zu schlagen.")</f>
        <v>Der Mann dreht einen Ball, um die Stifte umzugehen, um am Ende mehr zu schlagen.</v>
      </c>
    </row>
    <row r="36592">
      <c r="A36592" s="4" t="s">
        <v>46022</v>
      </c>
      <c r="B36592" s="4" t="s">
        <v>46025</v>
      </c>
      <c r="C36592" s="5" t="str">
        <f>IFERROR(__xludf.DUMMYFUNCTION("GOOGLETRANSLATE(B36592,""en"",""de"")"),"Die Person dreht einen anderen Ball, der kurz darauf folgt.")</f>
        <v>Die Person dreht einen anderen Ball, der kurz darauf folgt.</v>
      </c>
    </row>
    <row r="36593">
      <c r="A36593" s="4" t="s">
        <v>46026</v>
      </c>
      <c r="B36593" s="4" t="s">
        <v>46027</v>
      </c>
      <c r="C36593" s="5" t="str">
        <f>IFERROR(__xludf.DUMMYFUNCTION("GOOGLETRANSLATE(B36593,""en"",""de"")"),"Eine Frau, die eine Schürze trägt, spricht und nimmt einen Eimer mit Vorräten auf.")</f>
        <v>Eine Frau, die eine Schürze trägt, spricht und nimmt einen Eimer mit Vorräten auf.</v>
      </c>
    </row>
    <row r="36594">
      <c r="A36594" s="4" t="s">
        <v>46026</v>
      </c>
      <c r="B36594" s="4" t="s">
        <v>46028</v>
      </c>
      <c r="C36594" s="5" t="str">
        <f>IFERROR(__xludf.DUMMYFUNCTION("GOOGLETRANSLATE(B36594,""en"",""de"")"),"Sie schnappt sich einen Pinsel und reinigt ein Fenster.")</f>
        <v>Sie schnappt sich einen Pinsel und reinigt ein Fenster.</v>
      </c>
    </row>
    <row r="36595">
      <c r="A36595" s="4" t="s">
        <v>46026</v>
      </c>
      <c r="B36595" s="4" t="s">
        <v>46029</v>
      </c>
      <c r="C36595" s="5" t="str">
        <f>IFERROR(__xludf.DUMMYFUNCTION("GOOGLETRANSLATE(B36595,""en"",""de"")"),"Sie greift nach einem Rakel und entfernt das überschüssige Wasser aus dem Fenster.")</f>
        <v>Sie greift nach einem Rakel und entfernt das überschüssige Wasser aus dem Fenster.</v>
      </c>
    </row>
    <row r="36596">
      <c r="A36596" s="4" t="s">
        <v>46030</v>
      </c>
      <c r="B36596" s="4" t="s">
        <v>9910</v>
      </c>
      <c r="C36596" s="5" t="str">
        <f>IFERROR(__xludf.DUMMYFUNCTION("GOOGLETRANSLATE(B36596,""en"",""de"")"),"Ein Mann springt auf einen Balancestrahl.")</f>
        <v>Ein Mann springt auf einen Balancestrahl.</v>
      </c>
    </row>
    <row r="36597">
      <c r="A36597" s="4" t="s">
        <v>46030</v>
      </c>
      <c r="B36597" s="4" t="s">
        <v>46031</v>
      </c>
      <c r="C36597" s="5" t="str">
        <f>IFERROR(__xludf.DUMMYFUNCTION("GOOGLETRANSLATE(B36597,""en"",""de"")"),"Er macht eine Gymnastikroutine am Strahl.")</f>
        <v>Er macht eine Gymnastikroutine am Strahl.</v>
      </c>
    </row>
    <row r="36598">
      <c r="A36598" s="4" t="s">
        <v>46030</v>
      </c>
      <c r="B36598" s="4" t="s">
        <v>46032</v>
      </c>
      <c r="C36598" s="5" t="str">
        <f>IFERROR(__xludf.DUMMYFUNCTION("GOOGLETRANSLATE(B36598,""en"",""de"")"),"Er steht mit einer Hand, bevor er auf eine Matte springt.")</f>
        <v>Er steht mit einer Hand, bevor er auf eine Matte springt.</v>
      </c>
    </row>
    <row r="36599">
      <c r="A36599" s="4" t="s">
        <v>46033</v>
      </c>
      <c r="B36599" s="4" t="s">
        <v>46034</v>
      </c>
      <c r="C36599" s="5" t="str">
        <f>IFERROR(__xludf.DUMMYFUNCTION("GOOGLETRANSLATE(B36599,""en"",""de"")"),"Ein Mann bläst tote Blätter eines Gartens.")</f>
        <v>Ein Mann bläst tote Blätter eines Gartens.</v>
      </c>
    </row>
    <row r="36600">
      <c r="A36600" s="4" t="s">
        <v>46033</v>
      </c>
      <c r="B36600" s="4" t="s">
        <v>46035</v>
      </c>
      <c r="C36600" s="5" t="str">
        <f>IFERROR(__xludf.DUMMYFUNCTION("GOOGLETRANSLATE(B36600,""en"",""de"")"),"Eine Person macht einen Haufen toter Blätter.")</f>
        <v>Eine Person macht einen Haufen toter Blätter.</v>
      </c>
    </row>
    <row r="36601">
      <c r="A36601" s="4" t="s">
        <v>46036</v>
      </c>
      <c r="B36601" s="4" t="s">
        <v>46037</v>
      </c>
      <c r="C36601" s="5" t="str">
        <f>IFERROR(__xludf.DUMMYFUNCTION("GOOGLETRANSLATE(B36601,""en"",""de"")"),"Ein Mann hält einen riesigen Drachen in einem großen Feld.")</f>
        <v>Ein Mann hält einen riesigen Drachen in einem großen Feld.</v>
      </c>
    </row>
    <row r="36602">
      <c r="A36602" s="4" t="s">
        <v>46036</v>
      </c>
      <c r="B36602" s="4" t="s">
        <v>46038</v>
      </c>
      <c r="C36602" s="5" t="str">
        <f>IFERROR(__xludf.DUMMYFUNCTION("GOOGLETRANSLATE(B36602,""en"",""de"")"),"Ein Hund jagt den Mann, während er rennt und springt.")</f>
        <v>Ein Hund jagt den Mann, während er rennt und springt.</v>
      </c>
    </row>
    <row r="36603">
      <c r="A36603" s="4" t="s">
        <v>46036</v>
      </c>
      <c r="B36603" s="4" t="s">
        <v>46039</v>
      </c>
      <c r="C36603" s="5" t="str">
        <f>IFERROR(__xludf.DUMMYFUNCTION("GOOGLETRANSLATE(B36603,""en"",""de"")"),"Der Mann bringt den Drachen zu Boden.")</f>
        <v>Der Mann bringt den Drachen zu Boden.</v>
      </c>
    </row>
    <row r="36604">
      <c r="A36604" s="4" t="s">
        <v>46040</v>
      </c>
      <c r="B36604" s="4" t="s">
        <v>46041</v>
      </c>
      <c r="C36604" s="5" t="str">
        <f>IFERROR(__xludf.DUMMYFUNCTION("GOOGLETRANSLATE(B36604,""en"",""de"")"),"Ein Mann schüttet etwas auf ein großes Lagerfeuer.")</f>
        <v>Ein Mann schüttet etwas auf ein großes Lagerfeuer.</v>
      </c>
    </row>
    <row r="36605">
      <c r="A36605" s="4" t="s">
        <v>46040</v>
      </c>
      <c r="B36605" s="4" t="s">
        <v>46042</v>
      </c>
      <c r="C36605" s="5" t="str">
        <f>IFERROR(__xludf.DUMMYFUNCTION("GOOGLETRANSLATE(B36605,""en"",""de"")"),"Ein Hund geht um den Campsort.")</f>
        <v>Ein Hund geht um den Campsort.</v>
      </c>
    </row>
    <row r="36606">
      <c r="A36606" s="4" t="s">
        <v>46040</v>
      </c>
      <c r="B36606" s="4" t="s">
        <v>46043</v>
      </c>
      <c r="C36606" s="5" t="str">
        <f>IFERROR(__xludf.DUMMYFUNCTION("GOOGLETRANSLATE(B36606,""en"",""de"")"),"Eine Person in einem gelben Hemd, der eine Decke hält, geht um das Feuer.")</f>
        <v>Eine Person in einem gelben Hemd, der eine Decke hält, geht um das Feuer.</v>
      </c>
    </row>
    <row r="36607">
      <c r="A36607" s="4" t="s">
        <v>46044</v>
      </c>
      <c r="B36607" s="4" t="s">
        <v>46045</v>
      </c>
      <c r="C36607" s="5" t="str">
        <f>IFERROR(__xludf.DUMMYFUNCTION("GOOGLETRANSLATE(B36607,""en"",""de"")"),"Ein Mädchen in einem funkelnden Outfit tanzt auf einem Hartholzboden.")</f>
        <v>Ein Mädchen in einem funkelnden Outfit tanzt auf einem Hartholzboden.</v>
      </c>
    </row>
    <row r="36608">
      <c r="A36608" s="4" t="s">
        <v>46044</v>
      </c>
      <c r="B36608" s="4" t="s">
        <v>46046</v>
      </c>
      <c r="C36608" s="5" t="str">
        <f>IFERROR(__xludf.DUMMYFUNCTION("GOOGLETRANSLATE(B36608,""en"",""de"")"),"Sie bringt Schlagstöcke hervor und wirbelt sie beim Tanzen herum.")</f>
        <v>Sie bringt Schlagstöcke hervor und wirbelt sie beim Tanzen herum.</v>
      </c>
    </row>
    <row r="36609">
      <c r="A36609" s="4" t="s">
        <v>46044</v>
      </c>
      <c r="B36609" s="4" t="s">
        <v>46047</v>
      </c>
      <c r="C36609" s="5" t="str">
        <f>IFERROR(__xludf.DUMMYFUNCTION("GOOGLETRANSLATE(B36609,""en"",""de"")"),"Sie sitzt auf dem Boden, nachdem sie ihre Leistung beendet hat.")</f>
        <v>Sie sitzt auf dem Boden, nachdem sie ihre Leistung beendet hat.</v>
      </c>
    </row>
    <row r="36610">
      <c r="A36610" s="4" t="s">
        <v>46048</v>
      </c>
      <c r="B36610" s="4" t="s">
        <v>6958</v>
      </c>
      <c r="C36610" s="5" t="str">
        <f>IFERROR(__xludf.DUMMYFUNCTION("GOOGLETRANSLATE(B36610,""en"",""de"")"),"Wir sehen einen weißen Öffnungsbildschirm.")</f>
        <v>Wir sehen einen weißen Öffnungsbildschirm.</v>
      </c>
    </row>
    <row r="36611">
      <c r="A36611" s="4" t="s">
        <v>46048</v>
      </c>
      <c r="B36611" s="4" t="s">
        <v>46049</v>
      </c>
      <c r="C36611" s="5" t="str">
        <f>IFERROR(__xludf.DUMMYFUNCTION("GOOGLETRANSLATE(B36611,""en"",""de"")"),"Wir sehen einen Mann, der einen Basketball trägt, der Sprungstelzen trägt.")</f>
        <v>Wir sehen einen Mann, der einen Basketball trägt, der Sprungstelzen trägt.</v>
      </c>
    </row>
    <row r="36612">
      <c r="A36612" s="4" t="s">
        <v>46048</v>
      </c>
      <c r="B36612" s="4" t="s">
        <v>46050</v>
      </c>
      <c r="C36612" s="5" t="str">
        <f>IFERROR(__xludf.DUMMYFUNCTION("GOOGLETRANSLATE(B36612,""en"",""de"")"),"Wir sehen einen anderen Mann, der den Ball und den Sprung -Stelzen -Mann wieder springt.")</f>
        <v>Wir sehen einen anderen Mann, der den Ball und den Sprung -Stelzen -Mann wieder springt.</v>
      </c>
    </row>
    <row r="36613">
      <c r="A36613" s="4" t="s">
        <v>46048</v>
      </c>
      <c r="B36613" s="4" t="s">
        <v>46051</v>
      </c>
      <c r="C36613" s="5" t="str">
        <f>IFERROR(__xludf.DUMMYFUNCTION("GOOGLETRANSLATE(B36613,""en"",""de"")"),"Wir sehen dann den Öffnungsbildschirm für das Schließen.")</f>
        <v>Wir sehen dann den Öffnungsbildschirm für das Schließen.</v>
      </c>
    </row>
    <row r="36614">
      <c r="A36614" s="4" t="s">
        <v>46052</v>
      </c>
      <c r="B36614" s="4" t="s">
        <v>46053</v>
      </c>
      <c r="C36614" s="5" t="str">
        <f>IFERROR(__xludf.DUMMYFUNCTION("GOOGLETRANSLATE(B36614,""en"",""de"")"),"Eine Gruppe von Cheerleadern tritt vor einem jubelnden Publikum auf eine Bühne.")</f>
        <v>Eine Gruppe von Cheerleadern tritt vor einem jubelnden Publikum auf eine Bühne.</v>
      </c>
    </row>
    <row r="36615">
      <c r="A36615" s="4" t="s">
        <v>46052</v>
      </c>
      <c r="B36615" s="4" t="s">
        <v>46054</v>
      </c>
      <c r="C36615" s="5" t="str">
        <f>IFERROR(__xludf.DUMMYFUNCTION("GOOGLETRANSLATE(B36615,""en"",""de"")"),"Sie werden in Formation und beginnen zu tanzen und zu flippen, während männliche Cheerleader sich ihnen anschließen.")</f>
        <v>Sie werden in Formation und beginnen zu tanzen und zu flippen, während männliche Cheerleader sich ihnen anschließen.</v>
      </c>
    </row>
    <row r="36616">
      <c r="A36616" s="4" t="s">
        <v>46052</v>
      </c>
      <c r="B36616" s="4" t="s">
        <v>46055</v>
      </c>
      <c r="C36616" s="5" t="str">
        <f>IFERROR(__xludf.DUMMYFUNCTION("GOOGLETRANSLATE(B36616,""en"",""de"")"),"Sie alle tanzen und drehen sich weiter und machen Handfedern.")</f>
        <v>Sie alle tanzen und drehen sich weiter und machen Handfedern.</v>
      </c>
    </row>
    <row r="36617">
      <c r="A36617" s="4" t="s">
        <v>46052</v>
      </c>
      <c r="B36617" s="4" t="s">
        <v>46056</v>
      </c>
      <c r="C36617" s="5" t="str">
        <f>IFERROR(__xludf.DUMMYFUNCTION("GOOGLETRANSLATE(B36617,""en"",""de"")"),"Wenn sie fertig sind, springen sie glücklich auf und ab und gehen erschöpft von der Bühne.")</f>
        <v>Wenn sie fertig sind, springen sie glücklich auf und ab und gehen erschöpft von der Bühne.</v>
      </c>
    </row>
    <row r="36618">
      <c r="A36618" s="4" t="s">
        <v>46057</v>
      </c>
      <c r="B36618" s="4" t="s">
        <v>46058</v>
      </c>
      <c r="C36618" s="5" t="str">
        <f>IFERROR(__xludf.DUMMYFUNCTION("GOOGLETRANSLATE(B36618,""en"",""de"")"),"Ein Mann hebt ein junges Mädchen hoch, um das Waschbecken in einem Badezimmer zu erreichen.")</f>
        <v>Ein Mann hebt ein junges Mädchen hoch, um das Waschbecken in einem Badezimmer zu erreichen.</v>
      </c>
    </row>
    <row r="36619">
      <c r="A36619" s="4" t="s">
        <v>46057</v>
      </c>
      <c r="B36619" s="4" t="s">
        <v>46059</v>
      </c>
      <c r="C36619" s="5" t="str">
        <f>IFERROR(__xludf.DUMMYFUNCTION("GOOGLETRANSLATE(B36619,""en"",""de"")"),"Sowohl der Mann als auch das Mädchen greifen nach ihrer Zahnbürste und fügen gleichzeitig Zahnpasta hinzu.")</f>
        <v>Sowohl der Mann als auch das Mädchen greifen nach ihrer Zahnbürste und fügen gleichzeitig Zahnpasta hinzu.</v>
      </c>
    </row>
    <row r="36620">
      <c r="A36620" s="4" t="s">
        <v>46057</v>
      </c>
      <c r="B36620" s="4" t="s">
        <v>46060</v>
      </c>
      <c r="C36620" s="5" t="str">
        <f>IFERROR(__xludf.DUMMYFUNCTION("GOOGLETRANSLATE(B36620,""en"",""de"")"),"Sie schauen zusammen in den Spiegel, als der Mann dem Mädchen zeigt, wie sie ihre Zähne richtig putzen können.")</f>
        <v>Sie schauen zusammen in den Spiegel, als der Mann dem Mädchen zeigt, wie sie ihre Zähne richtig putzen können.</v>
      </c>
    </row>
    <row r="36621">
      <c r="A36621" s="4" t="s">
        <v>46057</v>
      </c>
      <c r="B36621" s="4" t="s">
        <v>46061</v>
      </c>
      <c r="C36621" s="5" t="str">
        <f>IFERROR(__xludf.DUMMYFUNCTION("GOOGLETRANSLATE(B36621,""en"",""de"")"),"Sie spülen und lächeln ihre sauberen Zähne im Spiegel.")</f>
        <v>Sie spülen und lächeln ihre sauberen Zähne im Spiegel.</v>
      </c>
    </row>
    <row r="36622">
      <c r="A36622" s="4" t="s">
        <v>46057</v>
      </c>
      <c r="B36622" s="4" t="s">
        <v>46062</v>
      </c>
      <c r="C36622" s="5" t="str">
        <f>IFERROR(__xludf.DUMMYFUNCTION("GOOGLETRANSLATE(B36622,""en"",""de"")"),"Der Mann lehrt dann das Mädchen zum Zahnseide.")</f>
        <v>Der Mann lehrt dann das Mädchen zum Zahnseide.</v>
      </c>
    </row>
    <row r="36623">
      <c r="A36623" s="4" t="s">
        <v>46057</v>
      </c>
      <c r="B36623" s="4" t="s">
        <v>46063</v>
      </c>
      <c r="C36623" s="5" t="str">
        <f>IFERROR(__xludf.DUMMYFUNCTION("GOOGLETRANSLATE(B36623,""en"",""de"")"),"Sie legten ihre Zahnbürsten weg und der Mann hilft dem Mädchen wieder auf den Boden.")</f>
        <v>Sie legten ihre Zahnbürsten weg und der Mann hilft dem Mädchen wieder auf den Boden.</v>
      </c>
    </row>
    <row r="36624">
      <c r="A36624" s="4" t="s">
        <v>46057</v>
      </c>
      <c r="B36624" s="4" t="s">
        <v>46064</v>
      </c>
      <c r="C36624" s="5" t="str">
        <f>IFERROR(__xludf.DUMMYFUNCTION("GOOGLETRANSLATE(B36624,""en"",""de"")"),"Sie gehen zusammen weg und schalten das Badezimmer Licht aus.")</f>
        <v>Sie gehen zusammen weg und schalten das Badezimmer Licht aus.</v>
      </c>
    </row>
    <row r="36625">
      <c r="A36625" s="4" t="s">
        <v>46065</v>
      </c>
      <c r="B36625" s="4" t="s">
        <v>46066</v>
      </c>
      <c r="C36625" s="5" t="str">
        <f>IFERROR(__xludf.DUMMYFUNCTION("GOOGLETRANSLATE(B36625,""en"",""de"")"),"Ein Mann in einem schwarzen Hemd lächelt in die Kamera.")</f>
        <v>Ein Mann in einem schwarzen Hemd lächelt in die Kamera.</v>
      </c>
    </row>
    <row r="36626">
      <c r="A36626" s="4" t="s">
        <v>46065</v>
      </c>
      <c r="B36626" s="4" t="s">
        <v>46067</v>
      </c>
      <c r="C36626" s="5" t="str">
        <f>IFERROR(__xludf.DUMMYFUNCTION("GOOGLETRANSLATE(B36626,""en"",""de"")"),"Er zieht eine Mundharmonika heraus und beginnt sie zu spielen.")</f>
        <v>Er zieht eine Mundharmonika heraus und beginnt sie zu spielen.</v>
      </c>
    </row>
    <row r="36627">
      <c r="A36627" s="4" t="s">
        <v>46065</v>
      </c>
      <c r="B36627" s="4" t="s">
        <v>46068</v>
      </c>
      <c r="C36627" s="5" t="str">
        <f>IFERROR(__xludf.DUMMYFUNCTION("GOOGLETRANSLATE(B36627,""en"",""de"")"),"Er benutzt seine Hand, um die Notizen zu betonen.")</f>
        <v>Er benutzt seine Hand, um die Notizen zu betonen.</v>
      </c>
    </row>
    <row r="36628">
      <c r="A36628" s="4" t="s">
        <v>46065</v>
      </c>
      <c r="B36628" s="4" t="s">
        <v>46069</v>
      </c>
      <c r="C36628" s="5" t="str">
        <f>IFERROR(__xludf.DUMMYFUNCTION("GOOGLETRANSLATE(B36628,""en"",""de"")"),"Er beendet das Lied am Ende.")</f>
        <v>Er beendet das Lied am Ende.</v>
      </c>
    </row>
    <row r="36629">
      <c r="A36629" s="4" t="s">
        <v>46070</v>
      </c>
      <c r="B36629" s="4" t="s">
        <v>46071</v>
      </c>
      <c r="C36629" s="5" t="str">
        <f>IFERROR(__xludf.DUMMYFUNCTION("GOOGLETRANSLATE(B36629,""en"",""de"")"),"Eine Stoßfängerauto -Arena wird gezeigt, gefolgt von Menschen, die herumfähren und ineinander stießen.")</f>
        <v>Eine Stoßfängerauto -Arena wird gezeigt, gefolgt von Menschen, die herumfähren und ineinander stießen.</v>
      </c>
    </row>
    <row r="36630">
      <c r="A36630" s="4" t="s">
        <v>46070</v>
      </c>
      <c r="B36630" s="4" t="s">
        <v>46072</v>
      </c>
      <c r="C36630" s="5" t="str">
        <f>IFERROR(__xludf.DUMMYFUNCTION("GOOGLETRANSLATE(B36630,""en"",""de"")"),"Es werden mehrere Schüsse gezeigt, von denen Menschen gegeneinander krachen und am Ende ein Mann mit der Kamera spricht.")</f>
        <v>Es werden mehrere Schüsse gezeigt, von denen Menschen gegeneinander krachen und am Ende ein Mann mit der Kamera spricht.</v>
      </c>
    </row>
    <row r="36631">
      <c r="A36631" s="4" t="s">
        <v>46073</v>
      </c>
      <c r="B36631" s="4" t="s">
        <v>46074</v>
      </c>
      <c r="C36631" s="5" t="str">
        <f>IFERROR(__xludf.DUMMYFUNCTION("GOOGLETRANSLATE(B36631,""en"",""de"")"),"Eine Person reitet in einem Boot auf dem Wasser.")</f>
        <v>Eine Person reitet in einem Boot auf dem Wasser.</v>
      </c>
    </row>
    <row r="36632">
      <c r="A36632" s="4" t="s">
        <v>46073</v>
      </c>
      <c r="B36632" s="4" t="s">
        <v>46075</v>
      </c>
      <c r="C36632" s="5" t="str">
        <f>IFERROR(__xludf.DUMMYFUNCTION("GOOGLETRANSLATE(B36632,""en"",""de"")"),"Sie ziehen eine Person auf Wasserskiern.")</f>
        <v>Sie ziehen eine Person auf Wasserskiern.</v>
      </c>
    </row>
    <row r="36633">
      <c r="A36633" s="4" t="s">
        <v>46073</v>
      </c>
      <c r="B36633" s="4" t="s">
        <v>46076</v>
      </c>
      <c r="C36633" s="5" t="str">
        <f>IFERROR(__xludf.DUMMYFUNCTION("GOOGLETRANSLATE(B36633,""en"",""de"")"),"Die Person bleibt aufrecht, wenn sie schnell durch das Wasser gezogen wird.")</f>
        <v>Die Person bleibt aufrecht, wenn sie schnell durch das Wasser gezogen wird.</v>
      </c>
    </row>
    <row r="36634">
      <c r="A36634" s="4" t="s">
        <v>46077</v>
      </c>
      <c r="B36634" s="4" t="s">
        <v>46078</v>
      </c>
      <c r="C36634" s="5" t="str">
        <f>IFERROR(__xludf.DUMMYFUNCTION("GOOGLETRANSLATE(B36634,""en"",""de"")"),"Ein Mädchen schwingt auf einem Spielplatz im Freien auf Affenbars.")</f>
        <v>Ein Mädchen schwingt auf einem Spielplatz im Freien auf Affenbars.</v>
      </c>
    </row>
    <row r="36635">
      <c r="A36635" s="4" t="s">
        <v>46077</v>
      </c>
      <c r="B36635" s="4" t="s">
        <v>46079</v>
      </c>
      <c r="C36635" s="5" t="str">
        <f>IFERROR(__xludf.DUMMYFUNCTION("GOOGLETRANSLATE(B36635,""en"",""de"")"),"Das Mädchen vermisst eine Affenbar und verliert dann ihren Griff und fällt zu Boden.")</f>
        <v>Das Mädchen vermisst eine Affenbar und verliert dann ihren Griff und fällt zu Boden.</v>
      </c>
    </row>
    <row r="36636">
      <c r="A36636" s="4" t="s">
        <v>46080</v>
      </c>
      <c r="B36636" s="4" t="s">
        <v>46081</v>
      </c>
      <c r="C36636" s="5" t="str">
        <f>IFERROR(__xludf.DUMMYFUNCTION("GOOGLETRANSLATE(B36636,""en"",""de"")"),"Die Leute sitzen in Tribünen und beobachten Menschen.")</f>
        <v>Die Leute sitzen in Tribünen und beobachten Menschen.</v>
      </c>
    </row>
    <row r="36637">
      <c r="A36637" s="4" t="s">
        <v>46080</v>
      </c>
      <c r="B36637" s="4" t="s">
        <v>46082</v>
      </c>
      <c r="C36637" s="5" t="str">
        <f>IFERROR(__xludf.DUMMYFUNCTION("GOOGLETRANSLATE(B36637,""en"",""de"")"),"Die Leute im Raum spielen Wallball.")</f>
        <v>Die Leute im Raum spielen Wallball.</v>
      </c>
    </row>
    <row r="36638">
      <c r="A36638" s="4" t="s">
        <v>46080</v>
      </c>
      <c r="B36638" s="4" t="s">
        <v>46083</v>
      </c>
      <c r="C36638" s="5" t="str">
        <f>IFERROR(__xludf.DUMMYFUNCTION("GOOGLETRANSLATE(B36638,""en"",""de"")"),"Ein Mann auf den Tribünen legt seine Hände auf sein Gesicht.")</f>
        <v>Ein Mann auf den Tribünen legt seine Hände auf sein Gesicht.</v>
      </c>
    </row>
    <row r="36639">
      <c r="A36639" s="4" t="s">
        <v>46084</v>
      </c>
      <c r="B36639" s="4" t="s">
        <v>46085</v>
      </c>
      <c r="C36639" s="5" t="str">
        <f>IFERROR(__xludf.DUMMYFUNCTION("GOOGLETRANSLATE(B36639,""en"",""de"")"),"Eine Frau spielt eine Bauch -Tanz -Routine in einem dunklen Raum mit einer einzigen Linie auf ihr.")</f>
        <v>Eine Frau spielt eine Bauch -Tanz -Routine in einem dunklen Raum mit einer einzigen Linie auf ihr.</v>
      </c>
    </row>
    <row r="36640">
      <c r="A36640" s="4" t="s">
        <v>46084</v>
      </c>
      <c r="B36640" s="4" t="s">
        <v>46086</v>
      </c>
      <c r="C36640" s="5" t="str">
        <f>IFERROR(__xludf.DUMMYFUNCTION("GOOGLETRANSLATE(B36640,""en"",""de"")"),"Sie tanzt weiter im Raum und endet am Raum, der dunkel wird, während sie sich dreht.")</f>
        <v>Sie tanzt weiter im Raum und endet am Raum, der dunkel wird, während sie sich dreht.</v>
      </c>
    </row>
    <row r="36641">
      <c r="A36641" s="4" t="s">
        <v>46087</v>
      </c>
      <c r="B36641" s="4" t="s">
        <v>46088</v>
      </c>
      <c r="C36641" s="5" t="str">
        <f>IFERROR(__xludf.DUMMYFUNCTION("GOOGLETRANSLATE(B36641,""en"",""de"")"),"Eine Frau, die ein weißes Hemd trägt, sitzt mit ihrer schwarz -weißen Katze auf ihrem Schoß.")</f>
        <v>Eine Frau, die ein weißes Hemd trägt, sitzt mit ihrer schwarz -weißen Katze auf ihrem Schoß.</v>
      </c>
    </row>
    <row r="36642">
      <c r="A36642" s="4" t="s">
        <v>46087</v>
      </c>
      <c r="B36642" s="4" t="s">
        <v>46089</v>
      </c>
      <c r="C36642" s="5" t="str">
        <f>IFERROR(__xludf.DUMMYFUNCTION("GOOGLETRANSLATE(B36642,""en"",""de"")"),"Sie schneidet die Katzennägel aus, indem sie die Katze in ihren Händen hält.")</f>
        <v>Sie schneidet die Katzennägel aus, indem sie die Katze in ihren Händen hält.</v>
      </c>
    </row>
    <row r="36643">
      <c r="A36643" s="4" t="s">
        <v>46087</v>
      </c>
      <c r="B36643" s="4" t="s">
        <v>46090</v>
      </c>
      <c r="C36643" s="5" t="str">
        <f>IFERROR(__xludf.DUMMYFUNCTION("GOOGLETRANSLATE(B36643,""en"",""de"")"),"Sie schneidet weiterhin die Nägel der Katze nacheinander aus.")</f>
        <v>Sie schneidet weiterhin die Nägel der Katze nacheinander aus.</v>
      </c>
    </row>
    <row r="36644">
      <c r="A36644" s="4" t="s">
        <v>46087</v>
      </c>
      <c r="B36644" s="4" t="s">
        <v>46091</v>
      </c>
      <c r="C36644" s="5" t="str">
        <f>IFERROR(__xludf.DUMMYFUNCTION("GOOGLETRANSLATE(B36644,""en"",""de"")"),"Wenn sie fertig ist, küsst sie die Katze.")</f>
        <v>Wenn sie fertig ist, küsst sie die Katze.</v>
      </c>
    </row>
    <row r="36645">
      <c r="A36645" s="4" t="s">
        <v>46087</v>
      </c>
      <c r="B36645" s="4" t="s">
        <v>46092</v>
      </c>
      <c r="C36645" s="5" t="str">
        <f>IFERROR(__xludf.DUMMYFUNCTION("GOOGLETRANSLATE(B36645,""en"",""de"")"),"Dann beginnt sie, die Nägel einer braunen Katze zu schneiden.")</f>
        <v>Dann beginnt sie, die Nägel einer braunen Katze zu schneiden.</v>
      </c>
    </row>
    <row r="36646">
      <c r="A36646" s="4" t="s">
        <v>46087</v>
      </c>
      <c r="B36646" s="4" t="s">
        <v>46093</v>
      </c>
      <c r="C36646" s="5" t="str">
        <f>IFERROR(__xludf.DUMMYFUNCTION("GOOGLETRANSLATE(B36646,""en"",""de"")"),"Die Katze sitzt ruhig auf ihrem Schoß, als sie die Nägel beendet.")</f>
        <v>Die Katze sitzt ruhig auf ihrem Schoß, als sie die Nägel beendet.</v>
      </c>
    </row>
    <row r="36647">
      <c r="A36647" s="4" t="s">
        <v>46094</v>
      </c>
      <c r="B36647" s="4" t="s">
        <v>46095</v>
      </c>
      <c r="C36647" s="5" t="str">
        <f>IFERROR(__xludf.DUMMYFUNCTION("GOOGLETRANSLATE(B36647,""en"",""de"")"),"Eine Person malt Blumen auf eine weiße Leinwand mit einer feinen Pinsel.")</f>
        <v>Eine Person malt Blumen auf eine weiße Leinwand mit einer feinen Pinsel.</v>
      </c>
    </row>
    <row r="36648">
      <c r="A36648" s="4" t="s">
        <v>46094</v>
      </c>
      <c r="B36648" s="4" t="s">
        <v>46096</v>
      </c>
      <c r="C36648" s="5" t="str">
        <f>IFERROR(__xludf.DUMMYFUNCTION("GOOGLETRANSLATE(B36648,""en"",""de"")"),"Die Person entfernt das Gemälde aus dem Tisch und zeigt das fertige Produkt.")</f>
        <v>Die Person entfernt das Gemälde aus dem Tisch und zeigt das fertige Produkt.</v>
      </c>
    </row>
    <row r="36649">
      <c r="A36649" s="4" t="s">
        <v>46097</v>
      </c>
      <c r="B36649" s="4" t="s">
        <v>46098</v>
      </c>
      <c r="C36649" s="5" t="str">
        <f>IFERROR(__xludf.DUMMYFUNCTION("GOOGLETRANSLATE(B36649,""en"",""de"")"),"Die Leute spielen und schwimmen in einem Pool.")</f>
        <v>Die Leute spielen und schwimmen in einem Pool.</v>
      </c>
    </row>
    <row r="36650">
      <c r="A36650" s="4" t="s">
        <v>46097</v>
      </c>
      <c r="B36650" s="4" t="s">
        <v>46099</v>
      </c>
      <c r="C36650" s="5" t="str">
        <f>IFERROR(__xludf.DUMMYFUNCTION("GOOGLETRANSLATE(B36650,""en"",""de"")"),"Ein Mädchen macht einen Rücken von einem Brett.")</f>
        <v>Ein Mädchen macht einen Rücken von einem Brett.</v>
      </c>
    </row>
    <row r="36651">
      <c r="A36651" s="4" t="s">
        <v>46100</v>
      </c>
      <c r="B36651" s="4" t="s">
        <v>46101</v>
      </c>
      <c r="C36651" s="5" t="str">
        <f>IFERROR(__xludf.DUMMYFUNCTION("GOOGLETRANSLATE(B36651,""en"",""de"")"),"Eine Person füllt ein Waschbecken mit Wasser und hält einen Lappen im Wasser.")</f>
        <v>Eine Person füllt ein Waschbecken mit Wasser und hält einen Lappen im Wasser.</v>
      </c>
    </row>
    <row r="36652">
      <c r="A36652" s="4" t="s">
        <v>46100</v>
      </c>
      <c r="B36652" s="4" t="s">
        <v>46102</v>
      </c>
      <c r="C36652" s="5" t="str">
        <f>IFERROR(__xludf.DUMMYFUNCTION("GOOGLETRANSLATE(B36652,""en"",""de"")"),"Sie schrubbt ihr Gesicht hinunter und wäscht ihn mit dem Lappen ab und lächelt in den Spiegel.")</f>
        <v>Sie schrubbt ihr Gesicht hinunter und wäscht ihn mit dem Lappen ab und lächelt in den Spiegel.</v>
      </c>
    </row>
    <row r="36653">
      <c r="A36653" s="4" t="s">
        <v>46103</v>
      </c>
      <c r="B36653" s="4" t="s">
        <v>46104</v>
      </c>
      <c r="C36653" s="5" t="str">
        <f>IFERROR(__xludf.DUMMYFUNCTION("GOOGLETRANSLATE(B36653,""en"",""de"")"),"Eine Person hängt an den Griffen eines Drachen, der über uns fliegt.")</f>
        <v>Eine Person hängt an den Griffen eines Drachen, der über uns fliegt.</v>
      </c>
    </row>
    <row r="36654">
      <c r="A36654" s="4" t="s">
        <v>46103</v>
      </c>
      <c r="B36654" s="4" t="s">
        <v>46105</v>
      </c>
      <c r="C36654" s="5" t="str">
        <f>IFERROR(__xludf.DUMMYFUNCTION("GOOGLETRANSLATE(B36654,""en"",""de"")"),"Der Drachen fällt, während der Wind nachlässt.")</f>
        <v>Der Drachen fällt, während der Wind nachlässt.</v>
      </c>
    </row>
    <row r="36655">
      <c r="A36655" s="4" t="s">
        <v>46103</v>
      </c>
      <c r="B36655" s="4" t="s">
        <v>46106</v>
      </c>
      <c r="C36655" s="5" t="str">
        <f>IFERROR(__xludf.DUMMYFUNCTION("GOOGLETRANSLATE(B36655,""en"",""de"")"),"Der Drachen bläst hart in die Luft, während der Wind wieder auffährt.")</f>
        <v>Der Drachen bläst hart in die Luft, während der Wind wieder auffährt.</v>
      </c>
    </row>
    <row r="36656">
      <c r="A36656" s="4" t="s">
        <v>46107</v>
      </c>
      <c r="B36656" s="4" t="s">
        <v>46108</v>
      </c>
      <c r="C36656" s="5" t="str">
        <f>IFERROR(__xludf.DUMMYFUNCTION("GOOGLETRANSLATE(B36656,""en"",""de"")"),"Ein Mann und eine Frau tanzen nachts unter einem Straßenlicht auf einem konkreten Boden.")</f>
        <v>Ein Mann und eine Frau tanzen nachts unter einem Straßenlicht auf einem konkreten Boden.</v>
      </c>
    </row>
    <row r="36657">
      <c r="A36657" s="4" t="s">
        <v>46107</v>
      </c>
      <c r="B36657" s="4" t="s">
        <v>46109</v>
      </c>
      <c r="C36657" s="5" t="str">
        <f>IFERROR(__xludf.DUMMYFUNCTION("GOOGLETRANSLATE(B36657,""en"",""de"")"),"Sowohl der Mann als auch die Frau tragen ein schwarzes Tanktop und schwarze Shorts zusammen mit schwarzen Schuhen.")</f>
        <v>Sowohl der Mann als auch die Frau tragen ein schwarzes Tanktop und schwarze Shorts zusammen mit schwarzen Schuhen.</v>
      </c>
    </row>
    <row r="36658">
      <c r="A36658" s="4" t="s">
        <v>46107</v>
      </c>
      <c r="B36658" s="4" t="s">
        <v>46110</v>
      </c>
      <c r="C36658" s="5" t="str">
        <f>IFERROR(__xludf.DUMMYFUNCTION("GOOGLETRANSLATE(B36658,""en"",""de"")"),"Sie tanzen synchronisiert, indem sie choreografierte Tanzschritte zu einem Lied folgen.")</f>
        <v>Sie tanzen synchronisiert, indem sie choreografierte Tanzschritte zu einem Lied folgen.</v>
      </c>
    </row>
    <row r="36659">
      <c r="A36659" s="4" t="s">
        <v>46107</v>
      </c>
      <c r="B36659" s="4" t="s">
        <v>46111</v>
      </c>
      <c r="C36659" s="5" t="str">
        <f>IFERROR(__xludf.DUMMYFUNCTION("GOOGLETRANSLATE(B36659,""en"",""de"")"),"Sie bewegen ihre Hände, während sie während des Tanzens ihr rechtes Bein hoch heben.")</f>
        <v>Sie bewegen ihre Hände, während sie während des Tanzens ihr rechtes Bein hoch heben.</v>
      </c>
    </row>
    <row r="36660">
      <c r="A36660" s="4" t="s">
        <v>46107</v>
      </c>
      <c r="B36660" s="4" t="s">
        <v>46112</v>
      </c>
      <c r="C36660" s="5" t="str">
        <f>IFERROR(__xludf.DUMMYFUNCTION("GOOGLETRANSLATE(B36660,""en"",""de"")"),"Dann schütteln sie ihre Hüften und ihre Köpfe, die sie mit dem Song synchronisieren.")</f>
        <v>Dann schütteln sie ihre Hüften und ihre Köpfe, die sie mit dem Song synchronisieren.</v>
      </c>
    </row>
    <row r="36661">
      <c r="A36661" s="4" t="s">
        <v>46107</v>
      </c>
      <c r="B36661" s="4" t="s">
        <v>46113</v>
      </c>
      <c r="C36661" s="5" t="str">
        <f>IFERROR(__xludf.DUMMYFUNCTION("GOOGLETRANSLATE(B36661,""en"",""de"")"),"Wenn die Musik schneller wird, bewegen sie ihre Hände in einer kreisförmigen Bewegung.")</f>
        <v>Wenn die Musik schneller wird, bewegen sie ihre Hände in einer kreisförmigen Bewegung.</v>
      </c>
    </row>
    <row r="36662">
      <c r="A36662" s="4" t="s">
        <v>46107</v>
      </c>
      <c r="B36662" s="4" t="s">
        <v>46114</v>
      </c>
      <c r="C36662" s="5" t="str">
        <f>IFERROR(__xludf.DUMMYFUNCTION("GOOGLETRANSLATE(B36662,""en"",""de"")"),"Sie heben auch die Knie hoch, während sie ihren Körper schütteln.")</f>
        <v>Sie heben auch die Knie hoch, während sie ihren Körper schütteln.</v>
      </c>
    </row>
    <row r="36663">
      <c r="A36663" s="4" t="s">
        <v>46107</v>
      </c>
      <c r="B36663" s="4" t="s">
        <v>46115</v>
      </c>
      <c r="C36663" s="5" t="str">
        <f>IFERROR(__xludf.DUMMYFUNCTION("GOOGLETRANSLATE(B36663,""en"",""de"")"),"Sie wiederholen die Schritte jedes Mal, wenn der Chor des Songs spielt.")</f>
        <v>Sie wiederholen die Schritte jedes Mal, wenn der Chor des Songs spielt.</v>
      </c>
    </row>
    <row r="36664">
      <c r="A36664" s="4" t="s">
        <v>46107</v>
      </c>
      <c r="B36664" s="4" t="s">
        <v>46116</v>
      </c>
      <c r="C36664" s="5" t="str">
        <f>IFERROR(__xludf.DUMMYFUNCTION("GOOGLETRANSLATE(B36664,""en"",""de"")"),"Sie heben die Knie hoch und wechseln sich zwischen den beiden Beinen.")</f>
        <v>Sie heben die Knie hoch und wechseln sich zwischen den beiden Beinen.</v>
      </c>
    </row>
    <row r="36665">
      <c r="A36665" s="4" t="s">
        <v>46107</v>
      </c>
      <c r="B36665" s="4" t="s">
        <v>46117</v>
      </c>
      <c r="C36665" s="5" t="str">
        <f>IFERROR(__xludf.DUMMYFUNCTION("GOOGLETRANSLATE(B36665,""en"",""de"")"),"Sie tanzen weiter, während sie die Handflächen ihrer Hände direkt hochhalten und ihre Hüften bewegen.")</f>
        <v>Sie tanzen weiter, während sie die Handflächen ihrer Hände direkt hochhalten und ihre Hüften bewegen.</v>
      </c>
    </row>
    <row r="36666">
      <c r="A36666" s="4" t="s">
        <v>46107</v>
      </c>
      <c r="B36666" s="4" t="s">
        <v>46118</v>
      </c>
      <c r="C36666" s="5" t="str">
        <f>IFERROR(__xludf.DUMMYFUNCTION("GOOGLETRANSLATE(B36666,""en"",""de"")"),"Sie wiederholen die Schritte, wenn sich der Chor des Songs wiederholt.")</f>
        <v>Sie wiederholen die Schritte, wenn sich der Chor des Songs wiederholt.</v>
      </c>
    </row>
    <row r="36667">
      <c r="A36667" s="4" t="s">
        <v>46107</v>
      </c>
      <c r="B36667" s="4" t="s">
        <v>46119</v>
      </c>
      <c r="C36667" s="5" t="str">
        <f>IFERROR(__xludf.DUMMYFUNCTION("GOOGLETRANSLATE(B36667,""en"",""de"")"),"Nach dem Ende des Songs stehen sie schließlich still mit den Händen in den Hüften.")</f>
        <v>Nach dem Ende des Songs stehen sie schließlich still mit den Händen in den Hüften.</v>
      </c>
    </row>
    <row r="36668">
      <c r="A36668" s="4" t="s">
        <v>46120</v>
      </c>
      <c r="B36668" s="4" t="s">
        <v>46121</v>
      </c>
      <c r="C36668" s="5" t="str">
        <f>IFERROR(__xludf.DUMMYFUNCTION("GOOGLETRANSLATE(B36668,""en"",""de"")"),"Ein Mann nimmt einen Patch und zieht ein Rad an, während er Materialien erklärt und zeigt.")</f>
        <v>Ein Mann nimmt einen Patch und zieht ein Rad an, während er Materialien erklärt und zeigt.</v>
      </c>
    </row>
    <row r="36669">
      <c r="A36669" s="4" t="s">
        <v>46120</v>
      </c>
      <c r="B36669" s="4" t="s">
        <v>46122</v>
      </c>
      <c r="C36669" s="5" t="str">
        <f>IFERROR(__xludf.DUMMYFUNCTION("GOOGLETRANSLATE(B36669,""en"",""de"")"),"Dann nimmt der Mann das Rad eines Fahrrads, um das Loch des Rohrs durch Auftragen eines Patchs zu fixieren.")</f>
        <v>Dann nimmt der Mann das Rad eines Fahrrads, um das Loch des Rohrs durch Auftragen eines Patchs zu fixieren.</v>
      </c>
    </row>
    <row r="36670">
      <c r="A36670" s="4" t="s">
        <v>46120</v>
      </c>
      <c r="B36670" s="4" t="s">
        <v>46123</v>
      </c>
      <c r="C36670" s="5" t="str">
        <f>IFERROR(__xludf.DUMMYFUNCTION("GOOGLETRANSLATE(B36670,""en"",""de"")"),"Danach legte der Mann das Rohr auf das Rad und pumpe Luft in das Rad.")</f>
        <v>Danach legte der Mann das Rohr auf das Rad und pumpe Luft in das Rad.</v>
      </c>
    </row>
    <row r="36671">
      <c r="A36671" s="4" t="s">
        <v>46120</v>
      </c>
      <c r="B36671" s="4" t="s">
        <v>46124</v>
      </c>
      <c r="C36671" s="5" t="str">
        <f>IFERROR(__xludf.DUMMYFUNCTION("GOOGLETRANSLATE(B36671,""en"",""de"")"),"Dann legte und reparierte der Mann das Rad im Fahrrad.")</f>
        <v>Dann legte und reparierte der Mann das Rad im Fahrrad.</v>
      </c>
    </row>
    <row r="36672">
      <c r="A36672" s="4" t="s">
        <v>46125</v>
      </c>
      <c r="B36672" s="4" t="s">
        <v>46126</v>
      </c>
      <c r="C36672" s="5" t="str">
        <f>IFERROR(__xludf.DUMMYFUNCTION("GOOGLETRANSLATE(B36672,""en"",""de"")"),"Ein Mann zeigt den richtigen Weg, um einen Kettlebell zu heben.")</f>
        <v>Ein Mann zeigt den richtigen Weg, um einen Kettlebell zu heben.</v>
      </c>
    </row>
    <row r="36673">
      <c r="A36673" s="4" t="s">
        <v>46125</v>
      </c>
      <c r="B36673" s="4" t="s">
        <v>46127</v>
      </c>
      <c r="C36673" s="5" t="str">
        <f>IFERROR(__xludf.DUMMYFUNCTION("GOOGLETRANSLATE(B36673,""en"",""de"")"),"Er zeigt mit seinen Hüften, wie man es nicht macht.")</f>
        <v>Er zeigt mit seinen Hüften, wie man es nicht macht.</v>
      </c>
    </row>
    <row r="36674">
      <c r="A36674" s="4" t="s">
        <v>46128</v>
      </c>
      <c r="B36674" s="4" t="s">
        <v>46129</v>
      </c>
      <c r="C36674" s="5" t="str">
        <f>IFERROR(__xludf.DUMMYFUNCTION("GOOGLETRANSLATE(B36674,""en"",""de"")"),"Ein Mann schneidet ein anderes Mann.")</f>
        <v>Ein Mann schneidet ein anderes Mann.</v>
      </c>
    </row>
    <row r="36675">
      <c r="A36675" s="4" t="s">
        <v>46128</v>
      </c>
      <c r="B36675" s="4" t="s">
        <v>46130</v>
      </c>
      <c r="C36675" s="5" t="str">
        <f>IFERROR(__xludf.DUMMYFUNCTION("GOOGLETRANSLATE(B36675,""en"",""de"")"),"Er demonstriert die Arten von Schnitten.")</f>
        <v>Er demonstriert die Arten von Schnitten.</v>
      </c>
    </row>
    <row r="36676">
      <c r="A36676" s="4" t="s">
        <v>46128</v>
      </c>
      <c r="B36676" s="4" t="s">
        <v>46131</v>
      </c>
      <c r="C36676" s="5" t="str">
        <f>IFERROR(__xludf.DUMMYFUNCTION("GOOGLETRANSLATE(B36676,""en"",""de"")"),"Er kämmt und schnappt sich vor dem Haar.")</f>
        <v>Er kämmt und schnappt sich vor dem Haar.</v>
      </c>
    </row>
    <row r="36677">
      <c r="A36677" s="4" t="s">
        <v>46128</v>
      </c>
      <c r="B36677" s="4" t="s">
        <v>46132</v>
      </c>
      <c r="C36677" s="5" t="str">
        <f>IFERROR(__xludf.DUMMYFUNCTION("GOOGLETRANSLATE(B36677,""en"",""de"")"),"Er trifft das Haar und zieht weiter und schneidet den vorderen Flip.")</f>
        <v>Er trifft das Haar und zieht weiter und schneidet den vorderen Flip.</v>
      </c>
    </row>
    <row r="36678">
      <c r="A36678" s="4" t="s">
        <v>46128</v>
      </c>
      <c r="B36678" s="4" t="s">
        <v>46133</v>
      </c>
      <c r="C36678" s="5" t="str">
        <f>IFERROR(__xludf.DUMMYFUNCTION("GOOGLETRANSLATE(B36678,""en"",""de"")"),"Dann dreht er den Kopf und arbeitet auf dem Rücken.")</f>
        <v>Dann dreht er den Kopf und arbeitet auf dem Rücken.</v>
      </c>
    </row>
    <row r="36679">
      <c r="A36679" s="4" t="s">
        <v>46128</v>
      </c>
      <c r="B36679" s="4" t="s">
        <v>46134</v>
      </c>
      <c r="C36679" s="5" t="str">
        <f>IFERROR(__xludf.DUMMYFUNCTION("GOOGLETRANSLATE(B36679,""en"",""de"")"),"Er beendet den Haarschnitt über den Mann.")</f>
        <v>Er beendet den Haarschnitt über den Mann.</v>
      </c>
    </row>
    <row r="36680">
      <c r="A36680" s="4" t="s">
        <v>46135</v>
      </c>
      <c r="B36680" s="4" t="s">
        <v>46136</v>
      </c>
      <c r="C36680" s="5" t="str">
        <f>IFERROR(__xludf.DUMMYFUNCTION("GOOGLETRANSLATE(B36680,""en"",""de"")"),"Die Füße einer Person sind Show, gefolgt von einer Frau, die Schuhe über ihre Socken legt und sich nach vorne beugt.")</f>
        <v>Die Füße einer Person sind Show, gefolgt von einer Frau, die Schuhe über ihre Socken legt und sich nach vorne beugt.</v>
      </c>
    </row>
    <row r="36681">
      <c r="A36681" s="4" t="s">
        <v>46135</v>
      </c>
      <c r="B36681" s="4" t="s">
        <v>46137</v>
      </c>
      <c r="C36681" s="5" t="str">
        <f>IFERROR(__xludf.DUMMYFUNCTION("GOOGLETRANSLATE(B36681,""en"",""de"")"),"Sie dreht sich um ihre Füße und schaut in die Kamera, während sie ihren Schuh komplett angezeigt hat.")</f>
        <v>Sie dreht sich um ihre Füße und schaut in die Kamera, während sie ihren Schuh komplett angezeigt hat.</v>
      </c>
    </row>
    <row r="36682">
      <c r="A36682" s="4" t="s">
        <v>46138</v>
      </c>
      <c r="B36682" s="4" t="s">
        <v>46139</v>
      </c>
      <c r="C36682" s="5" t="str">
        <f>IFERROR(__xludf.DUMMYFUNCTION("GOOGLETRANSLATE(B36682,""en"",""de"")"),"Frau trägt eine lila Scheiße hebt Gewicht.")</f>
        <v>Frau trägt eine lila Scheiße hebt Gewicht.</v>
      </c>
    </row>
    <row r="36683">
      <c r="A36683" s="4" t="s">
        <v>46138</v>
      </c>
      <c r="B36683" s="4" t="s">
        <v>46140</v>
      </c>
      <c r="C36683" s="5" t="str">
        <f>IFERROR(__xludf.DUMMYFUNCTION("GOOGLETRANSLATE(B36683,""en"",""de"")"),"Frau sitzt in Treppen und bindet die Schnürsenkel.")</f>
        <v>Frau sitzt in Treppen und bindet die Schnürsenkel.</v>
      </c>
    </row>
    <row r="36684">
      <c r="A36684" s="4" t="s">
        <v>46138</v>
      </c>
      <c r="B36684" s="4" t="s">
        <v>46141</v>
      </c>
      <c r="C36684" s="5" t="str">
        <f>IFERROR(__xludf.DUMMYFUNCTION("GOOGLETRANSLATE(B36684,""en"",""de"")"),"Zwei Frauen befinden sich in einem Fitnessraum.")</f>
        <v>Zwei Frauen befinden sich in einem Fitnessraum.</v>
      </c>
    </row>
    <row r="36685">
      <c r="A36685" s="4" t="s">
        <v>46142</v>
      </c>
      <c r="B36685" s="4" t="s">
        <v>46143</v>
      </c>
      <c r="C36685" s="5" t="str">
        <f>IFERROR(__xludf.DUMMYFUNCTION("GOOGLETRANSLATE(B36685,""en"",""de"")"),"Ein Mann spricht mit der Kamera und führt zu einer Frau, die das Fell auf einen Hund schneidet.")</f>
        <v>Ein Mann spricht mit der Kamera und führt zu einer Frau, die das Fell auf einen Hund schneidet.</v>
      </c>
    </row>
    <row r="36686">
      <c r="A36686" s="4" t="s">
        <v>46142</v>
      </c>
      <c r="B36686" s="4" t="s">
        <v>46144</v>
      </c>
      <c r="C36686" s="5" t="str">
        <f>IFERROR(__xludf.DUMMYFUNCTION("GOOGLETRANSLATE(B36686,""en"",""de"")"),"Das spricht mehr mit der Kamera, während andere Hunde gepflegt werden und eine Frau weggeht und zwei aufgeregte Hunde hält.")</f>
        <v>Das spricht mehr mit der Kamera, während andere Hunde gepflegt werden und eine Frau weggeht und zwei aufgeregte Hunde hält.</v>
      </c>
    </row>
    <row r="36687">
      <c r="A36687" s="4" t="s">
        <v>46142</v>
      </c>
      <c r="B36687" s="4" t="s">
        <v>46145</v>
      </c>
      <c r="C36687" s="5" t="str">
        <f>IFERROR(__xludf.DUMMYFUNCTION("GOOGLETRANSLATE(B36687,""en"",""de"")"),"Weitere Aufnahmen von Hunden werden gezeigt, während der Mann spricht und die Kamera um das Gebäude schwenkt.")</f>
        <v>Weitere Aufnahmen von Hunden werden gezeigt, während der Mann spricht und die Kamera um das Gebäude schwenkt.</v>
      </c>
    </row>
    <row r="36688">
      <c r="A36688" s="4" t="s">
        <v>46146</v>
      </c>
      <c r="B36688" s="4" t="s">
        <v>46147</v>
      </c>
      <c r="C36688" s="5" t="str">
        <f>IFERROR(__xludf.DUMMYFUNCTION("GOOGLETRANSLATE(B36688,""en"",""de"")"),"Ein Logo zeigt, dass dieses Video vom Expertendorf präsentiert wird.")</f>
        <v>Ein Logo zeigt, dass dieses Video vom Expertendorf präsentiert wird.</v>
      </c>
    </row>
    <row r="36689">
      <c r="A36689" s="4" t="s">
        <v>46146</v>
      </c>
      <c r="B36689" s="4" t="s">
        <v>46148</v>
      </c>
      <c r="C36689" s="5" t="str">
        <f>IFERROR(__xludf.DUMMYFUNCTION("GOOGLETRANSLATE(B36689,""en"",""de"")"),"Ein Mann in einem kleinen blauen Boot diskutiert das Thema Handsurfen in einem Loch und gibt Hinweise darauf, wie diese Aktivität ausführt.")</f>
        <v>Ein Mann in einem kleinen blauen Boot diskutiert das Thema Handsurfen in einem Loch und gibt Hinweise darauf, wie diese Aktivität ausführt.</v>
      </c>
    </row>
    <row r="36690">
      <c r="A36690" s="4" t="s">
        <v>46146</v>
      </c>
      <c r="B36690" s="4" t="s">
        <v>46149</v>
      </c>
      <c r="C36690" s="5" t="str">
        <f>IFERROR(__xludf.DUMMYFUNCTION("GOOGLETRANSLATE(B36690,""en"",""de"")"),"Der Mann zeigt Tricks, die während der Ausführung dieser Aktivität durchgeführt werden können.")</f>
        <v>Der Mann zeigt Tricks, die während der Ausführung dieser Aktivität durchgeführt werden können.</v>
      </c>
    </row>
    <row r="36691">
      <c r="A36691" s="4" t="s">
        <v>46150</v>
      </c>
      <c r="B36691" s="4" t="s">
        <v>46151</v>
      </c>
      <c r="C36691" s="5" t="str">
        <f>IFERROR(__xludf.DUMMYFUNCTION("GOOGLETRANSLATE(B36691,""en"",""de"")"),"Nachrichten Gastgeber präsentieren eine Geschichte, die an einem Schreibtisch in einem Nachrichtenzimmer sitzt.")</f>
        <v>Nachrichten Gastgeber präsentieren eine Geschichte, die an einem Schreibtisch in einem Nachrichtenzimmer sitzt.</v>
      </c>
    </row>
    <row r="36692">
      <c r="A36692" s="4" t="s">
        <v>46150</v>
      </c>
      <c r="B36692" s="4" t="s">
        <v>46152</v>
      </c>
      <c r="C36692" s="5" t="str">
        <f>IFERROR(__xludf.DUMMYFUNCTION("GOOGLETRANSLATE(B36692,""en"",""de"")"),"Ein Nachrichtenreporter interviewt einen Mann auf einer Eisbahn.")</f>
        <v>Ein Nachrichtenreporter interviewt einen Mann auf einer Eisbahn.</v>
      </c>
    </row>
    <row r="36693">
      <c r="A36693" s="4" t="s">
        <v>46150</v>
      </c>
      <c r="B36693" s="4" t="s">
        <v>46153</v>
      </c>
      <c r="C36693" s="5" t="str">
        <f>IFERROR(__xludf.DUMMYFUNCTION("GOOGLETRANSLATE(B36693,""en"",""de"")"),"Ein Athlet gleitet einen Stein über das Eis.")</f>
        <v>Ein Athlet gleitet einen Stein über das Eis.</v>
      </c>
    </row>
    <row r="36694">
      <c r="A36694" s="4" t="s">
        <v>46150</v>
      </c>
      <c r="B36694" s="4" t="s">
        <v>46154</v>
      </c>
      <c r="C36694" s="5" t="str">
        <f>IFERROR(__xludf.DUMMYFUNCTION("GOOGLETRANSLATE(B36694,""en"",""de"")"),"Der Reporter und der Mann üben, das Eis mit Besen zu bürsten.")</f>
        <v>Der Reporter und der Mann üben, das Eis mit Besen zu bürsten.</v>
      </c>
    </row>
    <row r="36695">
      <c r="A36695" s="4" t="s">
        <v>46150</v>
      </c>
      <c r="B36695" s="4" t="s">
        <v>46155</v>
      </c>
      <c r="C36695" s="5" t="str">
        <f>IFERROR(__xludf.DUMMYFUNCTION("GOOGLETRANSLATE(B36695,""en"",""de"")"),"Eine Frau sitzt in einem Salon und hat ihre Haare gekräuselt.")</f>
        <v>Eine Frau sitzt in einem Salon und hat ihre Haare gekräuselt.</v>
      </c>
    </row>
    <row r="36696">
      <c r="A36696" s="4" t="s">
        <v>46150</v>
      </c>
      <c r="B36696" s="4" t="s">
        <v>46156</v>
      </c>
      <c r="C36696" s="5" t="str">
        <f>IFERROR(__xludf.DUMMYFUNCTION("GOOGLETRANSLATE(B36696,""en"",""de"")"),"Die Locken werden nach der Überarbeitung aus den Haaren der Frau genommen.")</f>
        <v>Die Locken werden nach der Überarbeitung aus den Haaren der Frau genommen.</v>
      </c>
    </row>
    <row r="36697">
      <c r="A36697" s="4" t="s">
        <v>46150</v>
      </c>
      <c r="B36697" s="4" t="s">
        <v>46157</v>
      </c>
      <c r="C36697" s="5" t="str">
        <f>IFERROR(__xludf.DUMMYFUNCTION("GOOGLETRANSLATE(B36697,""en"",""de"")"),"Die Nachrichtenanker schließen die Geschichte ab.")</f>
        <v>Die Nachrichtenanker schließen die Geschichte ab.</v>
      </c>
    </row>
    <row r="36698">
      <c r="A36698" s="4" t="s">
        <v>46158</v>
      </c>
      <c r="B36698" s="4" t="s">
        <v>46159</v>
      </c>
      <c r="C36698" s="5" t="str">
        <f>IFERROR(__xludf.DUMMYFUNCTION("GOOGLETRANSLATE(B36698,""en"",""de"")"),"Eine Gruppe von Kindern ist auf einer Strecke und sie üben, über einen Abnutzungsstrahl zu springen.")</f>
        <v>Eine Gruppe von Kindern ist auf einer Strecke und sie üben, über einen Abnutzungsstrahl zu springen.</v>
      </c>
    </row>
    <row r="36699">
      <c r="A36699" s="4" t="s">
        <v>46158</v>
      </c>
      <c r="B36699" s="4" t="s">
        <v>46160</v>
      </c>
      <c r="C36699" s="5" t="str">
        <f>IFERROR(__xludf.DUMMYFUNCTION("GOOGLETRANSLATE(B36699,""en"",""de"")"),"Sie führen die Bewegung mehrmals aus und porträtieren die Tat in Zeitlupe.")</f>
        <v>Sie führen die Bewegung mehrmals aus und porträtieren die Tat in Zeitlupe.</v>
      </c>
    </row>
    <row r="36700">
      <c r="A36700" s="4" t="s">
        <v>46161</v>
      </c>
      <c r="B36700" s="4" t="s">
        <v>46162</v>
      </c>
      <c r="C36700" s="5" t="str">
        <f>IFERROR(__xludf.DUMMYFUNCTION("GOOGLETRANSLATE(B36700,""en"",""de"")"),"Zwei Personen sprechen mit Kostüm mit der Kamera, wenn eine andere Person in den Rahmen tritt.")</f>
        <v>Zwei Personen sprechen mit Kostüm mit der Kamera, wenn eine andere Person in den Rahmen tritt.</v>
      </c>
    </row>
    <row r="36701">
      <c r="A36701" s="4" t="s">
        <v>46161</v>
      </c>
      <c r="B36701" s="4" t="s">
        <v>46163</v>
      </c>
      <c r="C36701" s="5" t="str">
        <f>IFERROR(__xludf.DUMMYFUNCTION("GOOGLETRANSLATE(B36701,""en"",""de"")"),"Zwei Leute kämpfen dann gegenseitig in den Kostümen und rennen ineinander.")</f>
        <v>Zwei Leute kämpfen dann gegenseitig in den Kostümen und rennen ineinander.</v>
      </c>
    </row>
    <row r="36702">
      <c r="A36702" s="4" t="s">
        <v>46161</v>
      </c>
      <c r="B36702" s="4" t="s">
        <v>46164</v>
      </c>
      <c r="C36702" s="5" t="str">
        <f>IFERROR(__xludf.DUMMYFUNCTION("GOOGLETRANSLATE(B36702,""en"",""de"")"),"Eine Person schlägt die andere auf den Boden und zeigt eine Wrestling -Bewegung.")</f>
        <v>Eine Person schlägt die andere auf den Boden und zeigt eine Wrestling -Bewegung.</v>
      </c>
    </row>
    <row r="36703">
      <c r="A36703" s="4" t="s">
        <v>46165</v>
      </c>
      <c r="B36703" s="4" t="s">
        <v>46166</v>
      </c>
      <c r="C36703" s="5" t="str">
        <f>IFERROR(__xludf.DUMMYFUNCTION("GOOGLETRANSLATE(B36703,""en"",""de"")"),"Ein sportlicher Mann wedelt mit einem Arm in die Luft und steht bereit für einen Strahl.")</f>
        <v>Ein sportlicher Mann wedelt mit einem Arm in die Luft und steht bereit für einen Strahl.</v>
      </c>
    </row>
    <row r="36704">
      <c r="A36704" s="4" t="s">
        <v>46165</v>
      </c>
      <c r="B36704" s="4" t="s">
        <v>46167</v>
      </c>
      <c r="C36704" s="5" t="str">
        <f>IFERROR(__xludf.DUMMYFUNCTION("GOOGLETRANSLATE(B36704,""en"",""de"")"),"Der Mann dreht sich dann um den Strahl, der eine Gymnastikroutine durchführt und endet, wenn er zur Seite springt und seine Arme hochhält, lächelt und der Menge winkt.")</f>
        <v>Der Mann dreht sich dann um den Strahl, der eine Gymnastikroutine durchführt und endet, wenn er zur Seite springt und seine Arme hochhält, lächelt und der Menge winkt.</v>
      </c>
    </row>
    <row r="36705">
      <c r="A36705" s="4" t="s">
        <v>46168</v>
      </c>
      <c r="B36705" s="4" t="s">
        <v>46169</v>
      </c>
      <c r="C36705" s="5" t="str">
        <f>IFERROR(__xludf.DUMMYFUNCTION("GOOGLETRANSLATE(B36705,""en"",""de"")"),"Ein Mann steht in einem Tor, gefolgt von einer Person, die eine Boll tritt.")</f>
        <v>Ein Mann steht in einem Tor, gefolgt von einer Person, die eine Boll tritt.</v>
      </c>
    </row>
    <row r="36706">
      <c r="A36706" s="4" t="s">
        <v>46168</v>
      </c>
      <c r="B36706" s="4" t="s">
        <v>46170</v>
      </c>
      <c r="C36706" s="5" t="str">
        <f>IFERROR(__xludf.DUMMYFUNCTION("GOOGLETRANSLATE(B36706,""en"",""de"")"),"Weitere Clips werden von Menschen gezeigt, die einen Ball zum Tor treten, während die Leute an den Seiten zuschauen.")</f>
        <v>Weitere Clips werden von Menschen gezeigt, die einen Ball zum Tor treten, während die Leute an den Seiten zuschauen.</v>
      </c>
    </row>
    <row r="36707">
      <c r="A36707" s="4" t="s">
        <v>46168</v>
      </c>
      <c r="B36707" s="4" t="s">
        <v>46171</v>
      </c>
      <c r="C36707" s="5" t="str">
        <f>IFERROR(__xludf.DUMMYFUNCTION("GOOGLETRANSLATE(B36707,""en"",""de"")"),"Mehrere weitere Leute machen sich an der Reihe, einen Ball zu treten und zu enden, indem sie zusammen rennen und jubeln.")</f>
        <v>Mehrere weitere Leute machen sich an der Reihe, einen Ball zu treten und zu enden, indem sie zusammen rennen und jubeln.</v>
      </c>
    </row>
    <row r="36708">
      <c r="A36708" s="4" t="s">
        <v>46172</v>
      </c>
      <c r="B36708" s="4" t="s">
        <v>46173</v>
      </c>
      <c r="C36708" s="5" t="str">
        <f>IFERROR(__xludf.DUMMYFUNCTION("GOOGLETRANSLATE(B36708,""en"",""de"")"),"Ein Auto fährt hinter einem anderen, während er mehrere schneebedeckte Häuser und Bäume gedreht hat.")</f>
        <v>Ein Auto fährt hinter einem anderen, während er mehrere schneebedeckte Häuser und Bäume gedreht hat.</v>
      </c>
    </row>
    <row r="36709">
      <c r="A36709" s="4" t="s">
        <v>46172</v>
      </c>
      <c r="B36709" s="4" t="s">
        <v>46174</v>
      </c>
      <c r="C36709" s="5" t="str">
        <f>IFERROR(__xludf.DUMMYFUNCTION("GOOGLETRANSLATE(B36709,""en"",""de"")"),"Schließlich werden zwei Snowboarden gezeigt, die Sprünge und Tricks einen Berg hinunter machen.")</f>
        <v>Schließlich werden zwei Snowboarden gezeigt, die Sprünge und Tricks einen Berg hinunter machen.</v>
      </c>
    </row>
    <row r="36710">
      <c r="A36710" s="4" t="s">
        <v>46172</v>
      </c>
      <c r="B36710" s="4" t="s">
        <v>46175</v>
      </c>
      <c r="C36710" s="5" t="str">
        <f>IFERROR(__xludf.DUMMYFUNCTION("GOOGLETRANSLATE(B36710,""en"",""de"")"),"Ein anderer macht mehrere Flips und Tricks, während ein anderer genauso den Berg hinunter durchführt.")</f>
        <v>Ein anderer macht mehrere Flips und Tricks, während ein anderer genauso den Berg hinunter durchführt.</v>
      </c>
    </row>
    <row r="36711">
      <c r="A36711" s="4" t="s">
        <v>46176</v>
      </c>
      <c r="B36711" s="4" t="s">
        <v>46177</v>
      </c>
      <c r="C36711" s="5" t="str">
        <f>IFERROR(__xludf.DUMMYFUNCTION("GOOGLETRANSLATE(B36711,""en"",""de"")"),"Ein Mann sitzt auf einem Stuhl, während ein stehender Mann einen elektrischen Rasierer auf seinem Bart benutzt.")</f>
        <v>Ein Mann sitzt auf einem Stuhl, während ein stehender Mann einen elektrischen Rasierer auf seinem Bart benutzt.</v>
      </c>
    </row>
    <row r="36712">
      <c r="A36712" s="4" t="s">
        <v>46176</v>
      </c>
      <c r="B36712" s="4" t="s">
        <v>46178</v>
      </c>
      <c r="C36712" s="5" t="str">
        <f>IFERROR(__xludf.DUMMYFUNCTION("GOOGLETRANSLATE(B36712,""en"",""de"")"),"Der Mann rasiert sanft den Bart des anderen Mannes, bis er weg ist.")</f>
        <v>Der Mann rasiert sanft den Bart des anderen Mannes, bis er weg ist.</v>
      </c>
    </row>
    <row r="36713">
      <c r="A36713" s="4" t="s">
        <v>46176</v>
      </c>
      <c r="B36713" s="4" t="s">
        <v>46179</v>
      </c>
      <c r="C36713" s="5" t="str">
        <f>IFERROR(__xludf.DUMMYFUNCTION("GOOGLETRANSLATE(B36713,""en"",""de"")"),"Der Mann sitzt auf dem Stuhl und wischt sich ab, bevor er aufsteht.")</f>
        <v>Der Mann sitzt auf dem Stuhl und wischt sich ab, bevor er aufsteht.</v>
      </c>
    </row>
    <row r="36714">
      <c r="A36714" s="4" t="s">
        <v>46180</v>
      </c>
      <c r="B36714" s="4" t="s">
        <v>46181</v>
      </c>
      <c r="C36714" s="5" t="str">
        <f>IFERROR(__xludf.DUMMYFUNCTION("GOOGLETRANSLATE(B36714,""en"",""de"")"),"Zwei Menschen stehen auf einem Feld vor dem Ball, wenn man sich beugt, um den Ball auszugleichen.")</f>
        <v>Zwei Menschen stehen auf einem Feld vor dem Ball, wenn man sich beugt, um den Ball auszugleichen.</v>
      </c>
    </row>
    <row r="36715">
      <c r="A36715" s="4" t="s">
        <v>46180</v>
      </c>
      <c r="B36715" s="4" t="s">
        <v>46182</v>
      </c>
      <c r="C36715" s="5" t="str">
        <f>IFERROR(__xludf.DUMMYFUNCTION("GOOGLETRANSLATE(B36715,""en"",""de"")"),"Die Frau führt dann Übungen am Ball mit der Hilfe des Mannes durch.")</f>
        <v>Die Frau führt dann Übungen am Ball mit der Hilfe des Mannes durch.</v>
      </c>
    </row>
    <row r="36716">
      <c r="A36716" s="4" t="s">
        <v>46183</v>
      </c>
      <c r="B36716" s="4" t="s">
        <v>46184</v>
      </c>
      <c r="C36716" s="5" t="str">
        <f>IFERROR(__xludf.DUMMYFUNCTION("GOOGLETRANSLATE(B36716,""en"",""de"")"),"Mehrere Bilder von Sehen eines Mannes Wakeboarden und in ihn, der mit der Kamera sprach.")</f>
        <v>Mehrere Bilder von Sehen eines Mannes Wakeboarden und in ihn, der mit der Kamera sprach.</v>
      </c>
    </row>
    <row r="36717">
      <c r="A36717" s="4" t="s">
        <v>46183</v>
      </c>
      <c r="B36717" s="4" t="s">
        <v>46185</v>
      </c>
      <c r="C36717" s="5" t="str">
        <f>IFERROR(__xludf.DUMMYFUNCTION("GOOGLETRANSLATE(B36717,""en"",""de"")"),"Er zeigt, wie man Bewegungen ordnungsgemäß ausführt, während er auf dem Rasen steht.")</f>
        <v>Er zeigt, wie man Bewegungen ordnungsgemäß ausführt, während er auf dem Rasen steht.</v>
      </c>
    </row>
    <row r="36718">
      <c r="A36718" s="4" t="s">
        <v>46183</v>
      </c>
      <c r="B36718" s="4" t="s">
        <v>46186</v>
      </c>
      <c r="C36718" s="5" t="str">
        <f>IFERROR(__xludf.DUMMYFUNCTION("GOOGLETRANSLATE(B36718,""en"",""de"")"),"Es folgt in den Mann, der auf einem Wakeboard herumfährt.")</f>
        <v>Es folgt in den Mann, der auf einem Wakeboard herumfährt.</v>
      </c>
    </row>
    <row r="36719">
      <c r="A36719" s="4" t="s">
        <v>46187</v>
      </c>
      <c r="B36719" s="4" t="s">
        <v>46188</v>
      </c>
      <c r="C36719" s="5" t="str">
        <f>IFERROR(__xludf.DUMMYFUNCTION("GOOGLETRANSLATE(B36719,""en"",""de"")"),"Ein Mann steht vor einer Menge, die zeigt und über das Layout eines Stierkampfrings spricht.")</f>
        <v>Ein Mann steht vor einer Menge, die zeigt und über das Layout eines Stierkampfrings spricht.</v>
      </c>
    </row>
    <row r="36720">
      <c r="A36720" s="4" t="s">
        <v>46187</v>
      </c>
      <c r="B36720" s="4" t="s">
        <v>46189</v>
      </c>
      <c r="C36720" s="5" t="str">
        <f>IFERROR(__xludf.DUMMYFUNCTION("GOOGLETRANSLATE(B36720,""en"",""de"")"),"Eine Demonstration des Stierkampfs wird von einem Mann mit einem rosa Umhang und einem Mann durchgeführt, der ein gefälschtes Bullenobjekt mit einem Rad bewegt.")</f>
        <v>Eine Demonstration des Stierkampfs wird von einem Mann mit einem rosa Umhang und einem Mann durchgeführt, der ein gefälschtes Bullenobjekt mit einem Rad bewegt.</v>
      </c>
    </row>
    <row r="36721">
      <c r="A36721" s="4" t="s">
        <v>46187</v>
      </c>
      <c r="B36721" s="4" t="s">
        <v>46190</v>
      </c>
      <c r="C36721" s="5" t="str">
        <f>IFERROR(__xludf.DUMMYFUNCTION("GOOGLETRANSLATE(B36721,""en"",""de"")"),"Der Bullfighter zeigt dann, wie er sein Schwert auf dem Stier benutzt.")</f>
        <v>Der Bullfighter zeigt dann, wie er sein Schwert auf dem Stier benutzt.</v>
      </c>
    </row>
    <row r="36722">
      <c r="A36722" s="4" t="s">
        <v>46187</v>
      </c>
      <c r="B36722" s="4" t="s">
        <v>46191</v>
      </c>
      <c r="C36722" s="5" t="str">
        <f>IFERROR(__xludf.DUMMYFUNCTION("GOOGLETRANSLATE(B36722,""en"",""de"")"),"Dann wollen die Schüler es versuchen.")</f>
        <v>Dann wollen die Schüler es versuchen.</v>
      </c>
    </row>
    <row r="36723">
      <c r="A36723" s="4" t="s">
        <v>46192</v>
      </c>
      <c r="B36723" s="4" t="s">
        <v>46193</v>
      </c>
      <c r="C36723" s="5" t="str">
        <f>IFERROR(__xludf.DUMMYFUNCTION("GOOGLETRANSLATE(B36723,""en"",""de"")"),"Zwei Männer kämpfen sich und vierte auf einer Reihe von Matten mit Boxhandschuhen und Pads.")</f>
        <v>Zwei Männer kämpfen sich und vierte auf einer Reihe von Matten mit Boxhandschuhen und Pads.</v>
      </c>
    </row>
    <row r="36724">
      <c r="A36724" s="4" t="s">
        <v>46192</v>
      </c>
      <c r="B36724" s="4" t="s">
        <v>46194</v>
      </c>
      <c r="C36724" s="5" t="str">
        <f>IFERROR(__xludf.DUMMYFUNCTION("GOOGLETRANSLATE(B36724,""en"",""de"")"),"Die Männer schlugen weiter und kämpfen und viertens, während die Kamera ihnen weiter folgt.")</f>
        <v>Die Männer schlugen weiter und kämpfen und viertens, während die Kamera ihnen weiter folgt.</v>
      </c>
    </row>
    <row r="36725">
      <c r="A36725" s="4" t="s">
        <v>46195</v>
      </c>
      <c r="B36725" s="4" t="s">
        <v>46196</v>
      </c>
      <c r="C36725" s="5" t="str">
        <f>IFERROR(__xludf.DUMMYFUNCTION("GOOGLETRANSLATE(B36725,""en"",""de"")"),"Ein Mädchen wird vor der Kamera knien und führt in sie herum und spaziert um ihr Haus.")</f>
        <v>Ein Mädchen wird vor der Kamera knien und führt in sie herum und spaziert um ihr Haus.</v>
      </c>
    </row>
    <row r="36726">
      <c r="A36726" s="4" t="s">
        <v>46195</v>
      </c>
      <c r="B36726" s="4" t="s">
        <v>46197</v>
      </c>
      <c r="C36726" s="5" t="str">
        <f>IFERROR(__xludf.DUMMYFUNCTION("GOOGLETRANSLATE(B36726,""en"",""de"")"),"Sie zoomt in einen Ofen und wird gezeigt, dass sie eine Pfanne voller Kekse herausnimmt.")</f>
        <v>Sie zoomt in einen Ofen und wird gezeigt, dass sie eine Pfanne voller Kekse herausnimmt.</v>
      </c>
    </row>
    <row r="36727">
      <c r="A36727" s="4" t="s">
        <v>46195</v>
      </c>
      <c r="B36727" s="4" t="s">
        <v>46198</v>
      </c>
      <c r="C36727" s="5" t="str">
        <f>IFERROR(__xludf.DUMMYFUNCTION("GOOGLETRANSLATE(B36727,""en"",""de"")"),"Sie legt einen Teller aus, um es zu reinigen, indem sie die Kekse griff und sie auf den Teller legt.")</f>
        <v>Sie legt einen Teller aus, um es zu reinigen, indem sie die Kekse griff und sie auf den Teller legt.</v>
      </c>
    </row>
    <row r="36728">
      <c r="A36728" s="4" t="s">
        <v>46199</v>
      </c>
      <c r="B36728" s="4" t="s">
        <v>46200</v>
      </c>
      <c r="C36728" s="5" t="str">
        <f>IFERROR(__xludf.DUMMYFUNCTION("GOOGLETRANSLATE(B36728,""en"",""de"")"),"Eine Gruppe von Kindern fährt in Stoßstangenautos.")</f>
        <v>Eine Gruppe von Kindern fährt in Stoßstangenautos.</v>
      </c>
    </row>
    <row r="36729">
      <c r="A36729" s="4" t="s">
        <v>46199</v>
      </c>
      <c r="B36729" s="4" t="s">
        <v>46201</v>
      </c>
      <c r="C36729" s="5" t="str">
        <f>IFERROR(__xludf.DUMMYFUNCTION("GOOGLETRANSLATE(B36729,""en"",""de"")"),"Sie drehen sich und bewegen sich und schlagen sich gegenseitig.")</f>
        <v>Sie drehen sich und bewegen sich und schlagen sich gegenseitig.</v>
      </c>
    </row>
    <row r="36730">
      <c r="A36730" s="4" t="s">
        <v>46199</v>
      </c>
      <c r="B36730" s="4" t="s">
        <v>46202</v>
      </c>
      <c r="C36730" s="5" t="str">
        <f>IFERROR(__xludf.DUMMYFUNCTION("GOOGLETRANSLATE(B36730,""en"",""de"")"),"Die Kinder lächeln und lachen gegeneinander, während sie kollidieren.")</f>
        <v>Die Kinder lächeln und lachen gegeneinander, während sie kollidieren.</v>
      </c>
    </row>
    <row r="36731">
      <c r="A36731" s="4" t="s">
        <v>46203</v>
      </c>
      <c r="B36731" s="4" t="s">
        <v>40853</v>
      </c>
      <c r="C36731" s="5" t="str">
        <f>IFERROR(__xludf.DUMMYFUNCTION("GOOGLETRANSLATE(B36731,""en"",""de"")"),"Ein Cowboy auf einem Pferd wird aus einem Tor entlassen.")</f>
        <v>Ein Cowboy auf einem Pferd wird aus einem Tor entlassen.</v>
      </c>
    </row>
    <row r="36732">
      <c r="A36732" s="4" t="s">
        <v>46203</v>
      </c>
      <c r="B36732" s="4" t="s">
        <v>46204</v>
      </c>
      <c r="C36732" s="5" t="str">
        <f>IFERROR(__xludf.DUMMYFUNCTION("GOOGLETRANSLATE(B36732,""en"",""de"")"),"Er lassos ein junges Kalb auf dem Dreck.")</f>
        <v>Er lassos ein junges Kalb auf dem Dreck.</v>
      </c>
    </row>
    <row r="36733">
      <c r="A36733" s="4" t="s">
        <v>46203</v>
      </c>
      <c r="B36733" s="4" t="s">
        <v>46205</v>
      </c>
      <c r="C36733" s="5" t="str">
        <f>IFERROR(__xludf.DUMMYFUNCTION("GOOGLETRANSLATE(B36733,""en"",""de"")"),"Er springt von seinem Pferd und bindet das Kalb.")</f>
        <v>Er springt von seinem Pferd und bindet das Kalb.</v>
      </c>
    </row>
    <row r="36734">
      <c r="A36734" s="4" t="s">
        <v>46206</v>
      </c>
      <c r="B36734" s="4" t="s">
        <v>46207</v>
      </c>
      <c r="C36734" s="5" t="str">
        <f>IFERROR(__xludf.DUMMYFUNCTION("GOOGLETRANSLATE(B36734,""en"",""de"")"),"Auf zwei verschiedenen Seiten stehen Menschen in einem großen Innenhof mit Bällen in der Mitte des Hofes.")</f>
        <v>Auf zwei verschiedenen Seiten stehen Menschen in einem großen Innenhof mit Bällen in der Mitte des Hofes.</v>
      </c>
    </row>
    <row r="36735">
      <c r="A36735" s="4" t="s">
        <v>46206</v>
      </c>
      <c r="B36735" s="4" t="s">
        <v>46208</v>
      </c>
      <c r="C36735" s="5" t="str">
        <f>IFERROR(__xludf.DUMMYFUNCTION("GOOGLETRANSLATE(B36735,""en"",""de"")"),"Plötzlich rennen die Leute auf die Bälle zu und spielen Dodge Ball und holen sie auf und werfen sie aufeinander, bis eines der Teams nur 1 Person übrig hat.")</f>
        <v>Plötzlich rennen die Leute auf die Bälle zu und spielen Dodge Ball und holen sie auf und werfen sie aufeinander, bis eines der Teams nur 1 Person übrig hat.</v>
      </c>
    </row>
    <row r="36736">
      <c r="A36736" s="4" t="s">
        <v>46206</v>
      </c>
      <c r="B36736" s="4" t="s">
        <v>46209</v>
      </c>
      <c r="C36736" s="5" t="str">
        <f>IFERROR(__xludf.DUMMYFUNCTION("GOOGLETRANSLATE(B36736,""en"",""de"")"),"Nur 1 Typ bleibt eine Leglinge und er versucht, mit einem Ball jemanden im anderen Team zu schlagen, und im Gegenzug tun sie das Gleiche, sie gehen dies, bis ein roter Ball schließlich den letzten Mann trifft, der im Team steht und er trifft den Boden.")</f>
        <v>Nur 1 Typ bleibt eine Leglinge und er versucht, mit einem Ball jemanden im anderen Team zu schlagen, und im Gegenzug tun sie das Gleiche, sie gehen dies, bis ein roter Ball schließlich den letzten Mann trifft, der im Team steht und er trifft den Boden.</v>
      </c>
    </row>
    <row r="36737">
      <c r="A36737" s="4" t="s">
        <v>46210</v>
      </c>
      <c r="B36737" s="4" t="s">
        <v>46211</v>
      </c>
      <c r="C36737" s="5" t="str">
        <f>IFERROR(__xludf.DUMMYFUNCTION("GOOGLETRANSLATE(B36737,""en"",""de"")"),"Der Mensch steht in einem Holzgericht, der mit der Kamera spricht.")</f>
        <v>Der Mensch steht in einem Holzgericht, der mit der Kamera spricht.</v>
      </c>
    </row>
    <row r="36738">
      <c r="A36738" s="4" t="s">
        <v>46210</v>
      </c>
      <c r="B36738" s="4" t="s">
        <v>46212</v>
      </c>
      <c r="C36738" s="5" t="str">
        <f>IFERROR(__xludf.DUMMYFUNCTION("GOOGLETRANSLATE(B36738,""en"",""de"")"),"Männer spielen Kürbis in einem Raum mit Schlägern an den Händen.")</f>
        <v>Männer spielen Kürbis in einem Raum mit Schlägern an den Händen.</v>
      </c>
    </row>
    <row r="36739">
      <c r="A36739" s="4" t="s">
        <v>46210</v>
      </c>
      <c r="B36739" s="4" t="s">
        <v>46213</v>
      </c>
      <c r="C36739" s="5" t="str">
        <f>IFERROR(__xludf.DUMMYFUNCTION("GOOGLETRANSLATE(B36739,""en"",""de"")"),"Der Mann hält einen Schläger und spricht mit der Kamera.")</f>
        <v>Der Mann hält einen Schläger und spricht mit der Kamera.</v>
      </c>
    </row>
    <row r="36740">
      <c r="A36740" s="4" t="s">
        <v>46214</v>
      </c>
      <c r="B36740" s="4" t="s">
        <v>46215</v>
      </c>
      <c r="C36740" s="5" t="str">
        <f>IFERROR(__xludf.DUMMYFUNCTION("GOOGLETRANSLATE(B36740,""en"",""de"")"),"Eine Band ist auf der Bühne zu sehen, während die Kamera herumnimmt und sie aus mehreren Blickwinkeln einfängt.")</f>
        <v>Eine Band ist auf der Bühne zu sehen, während die Kamera herumnimmt und sie aus mehreren Blickwinkeln einfängt.</v>
      </c>
    </row>
    <row r="36741">
      <c r="A36741" s="4" t="s">
        <v>46214</v>
      </c>
      <c r="B36741" s="4" t="s">
        <v>46216</v>
      </c>
      <c r="C36741" s="5" t="str">
        <f>IFERROR(__xludf.DUMMYFUNCTION("GOOGLETRANSLATE(B36741,""en"",""de"")"),"Der Sänger interagiert mit der Band und spielt weiter, während das Publikum jubelt.")</f>
        <v>Der Sänger interagiert mit der Band und spielt weiter, während das Publikum jubelt.</v>
      </c>
    </row>
    <row r="36742">
      <c r="A36742" s="4" t="s">
        <v>46217</v>
      </c>
      <c r="B36742" s="4" t="s">
        <v>46218</v>
      </c>
      <c r="C36742" s="5" t="str">
        <f>IFERROR(__xludf.DUMMYFUNCTION("GOOGLETRANSLATE(B36742,""en"",""de"")"),"Ein Mann befindet sich mit Hilfe eines Ruders in einem Kajak im Wasser.")</f>
        <v>Ein Mann befindet sich mit Hilfe eines Ruders in einem Kajak im Wasser.</v>
      </c>
    </row>
    <row r="36743">
      <c r="A36743" s="4" t="s">
        <v>46217</v>
      </c>
      <c r="B36743" s="4" t="s">
        <v>46219</v>
      </c>
      <c r="C36743" s="5" t="str">
        <f>IFERROR(__xludf.DUMMYFUNCTION("GOOGLETRANSLATE(B36743,""en"",""de"")"),"Dann erklärt der Mann das OAR, das das Ruder zeigt und bewegt.")</f>
        <v>Dann erklärt der Mann das OAR, das das Ruder zeigt und bewegt.</v>
      </c>
    </row>
    <row r="36744">
      <c r="A36744" s="4" t="s">
        <v>46217</v>
      </c>
      <c r="B36744" s="4" t="s">
        <v>46220</v>
      </c>
      <c r="C36744" s="5" t="str">
        <f>IFERROR(__xludf.DUMMYFUNCTION("GOOGLETRANSLATE(B36744,""en"",""de"")"),"Nachdem der Mann beginnt, im Fluss zu rudern und das Kajak zu drehen.")</f>
        <v>Nachdem der Mann beginnt, im Fluss zu rudern und das Kajak zu drehen.</v>
      </c>
    </row>
    <row r="36745">
      <c r="A36745" s="4" t="s">
        <v>46221</v>
      </c>
      <c r="B36745" s="4" t="s">
        <v>46222</v>
      </c>
      <c r="C36745" s="5" t="str">
        <f>IFERROR(__xludf.DUMMYFUNCTION("GOOGLETRANSLATE(B36745,""en"",""de"")"),"Der Mensch steht Nex zu einem Van, der Stelzen trägt.")</f>
        <v>Der Mensch steht Nex zu einem Van, der Stelzen trägt.</v>
      </c>
    </row>
    <row r="36746">
      <c r="A36746" s="4" t="s">
        <v>46221</v>
      </c>
      <c r="B36746" s="4" t="s">
        <v>46223</v>
      </c>
      <c r="C36746" s="5" t="str">
        <f>IFERROR(__xludf.DUMMYFUNCTION("GOOGLETRANSLATE(B36746,""en"",""de"")"),"Ein anderer Mann sitzt auf dem hinteren Teil eines Vans legt die Stelzen auf die Füße.")</f>
        <v>Ein anderer Mann sitzt auf dem hinteren Teil eines Vans legt die Stelzen auf die Füße.</v>
      </c>
    </row>
    <row r="36747">
      <c r="A36747" s="4" t="s">
        <v>46221</v>
      </c>
      <c r="B36747" s="4" t="s">
        <v>46224</v>
      </c>
      <c r="C36747" s="5" t="str">
        <f>IFERROR(__xludf.DUMMYFUNCTION("GOOGLETRANSLATE(B36747,""en"",""de"")"),"Männer, die Stelzen tragen, gehen auf einem Parkplatz zur Straße.")</f>
        <v>Männer, die Stelzen tragen, gehen auf einem Parkplatz zur Straße.</v>
      </c>
    </row>
    <row r="36748">
      <c r="A36748" s="4" t="s">
        <v>46221</v>
      </c>
      <c r="B36748" s="4" t="s">
        <v>46225</v>
      </c>
      <c r="C36748" s="5" t="str">
        <f>IFERROR(__xludf.DUMMYFUNCTION("GOOGLETRANSLATE(B36748,""en"",""de"")"),"Männer knien auf der Straße und beginnen, den asphaltierten Hang hinunter zu springen.")</f>
        <v>Männer knien auf der Straße und beginnen, den asphaltierten Hang hinunter zu springen.</v>
      </c>
    </row>
    <row r="36749">
      <c r="A36749" s="4" t="s">
        <v>46226</v>
      </c>
      <c r="B36749" s="4" t="s">
        <v>46227</v>
      </c>
      <c r="C36749" s="5" t="str">
        <f>IFERROR(__xludf.DUMMYFUNCTION("GOOGLETRANSLATE(B36749,""en"",""de"")"),"Frau steht in einer Küche und spricht mit der Kamera und zeigt die Zitronen, das Glas und die Schüssel auf der Theke.")</f>
        <v>Frau steht in einer Küche und spricht mit der Kamera und zeigt die Zitronen, das Glas und die Schüssel auf der Theke.</v>
      </c>
    </row>
    <row r="36750">
      <c r="A36750" s="4" t="s">
        <v>46226</v>
      </c>
      <c r="B36750" s="4" t="s">
        <v>46228</v>
      </c>
      <c r="C36750" s="5" t="str">
        <f>IFERROR(__xludf.DUMMYFUNCTION("GOOGLETRANSLATE(B36750,""en"",""de"")"),"Frau drückt die Zitrone in eine Schüssel und auf dem Wasser.")</f>
        <v>Frau drückt die Zitrone in eine Schüssel und auf dem Wasser.</v>
      </c>
    </row>
    <row r="36751">
      <c r="A36751" s="4" t="s">
        <v>46226</v>
      </c>
      <c r="B36751" s="4" t="s">
        <v>46229</v>
      </c>
      <c r="C36751" s="5" t="str">
        <f>IFERROR(__xludf.DUMMYFUNCTION("GOOGLETRANSLATE(B36751,""en"",""de"")"),"Frau ist Ni vor dem Herd und gießt Zucker in eine Pfanne, bis sie kochen.")</f>
        <v>Frau ist Ni vor dem Herd und gießt Zucker in eine Pfanne, bis sie kochen.</v>
      </c>
    </row>
    <row r="36752">
      <c r="A36752" s="4" t="s">
        <v>46226</v>
      </c>
      <c r="B36752" s="4" t="s">
        <v>46230</v>
      </c>
      <c r="C36752" s="5" t="str">
        <f>IFERROR(__xludf.DUMMYFUNCTION("GOOGLETRANSLATE(B36752,""en"",""de"")"),"Frau gießt Zucker mit Eis in das Glas.")</f>
        <v>Frau gießt Zucker mit Eis in das Glas.</v>
      </c>
    </row>
    <row r="36753">
      <c r="A36753" s="4" t="s">
        <v>46231</v>
      </c>
      <c r="B36753" s="4" t="s">
        <v>46232</v>
      </c>
      <c r="C36753" s="5" t="str">
        <f>IFERROR(__xludf.DUMMYFUNCTION("GOOGLETRANSLATE(B36753,""en"",""de"")"),"Eine Person nass ein Auto mit Wasser, dann legt er das Auto mit einem langen Rakel.")</f>
        <v>Eine Person nass ein Auto mit Wasser, dann legt er das Auto mit einem langen Rakel.</v>
      </c>
    </row>
    <row r="36754">
      <c r="A36754" s="4" t="s">
        <v>46231</v>
      </c>
      <c r="B36754" s="4" t="s">
        <v>46233</v>
      </c>
      <c r="C36754" s="5" t="str">
        <f>IFERROR(__xludf.DUMMYFUNCTION("GOOGLETRANSLATE(B36754,""en"",""de"")"),"Der Mann spügt das Auto mit Wasser.")</f>
        <v>Der Mann spügt das Auto mit Wasser.</v>
      </c>
    </row>
    <row r="36755">
      <c r="A36755" s="4" t="s">
        <v>46231</v>
      </c>
      <c r="B36755" s="4" t="s">
        <v>46234</v>
      </c>
      <c r="C36755" s="5" t="str">
        <f>IFERROR(__xludf.DUMMYFUNCTION("GOOGLETRANSLATE(B36755,""en"",""de"")"),"Dann reinigt der Mann zum zweiten Mal wieder mit Seife und Wasser das Auto.")</f>
        <v>Dann reinigt der Mann zum zweiten Mal wieder mit Seife und Wasser das Auto.</v>
      </c>
    </row>
    <row r="36756">
      <c r="A36756" s="4" t="s">
        <v>46231</v>
      </c>
      <c r="B36756" s="4" t="s">
        <v>46235</v>
      </c>
      <c r="C36756" s="5" t="str">
        <f>IFERROR(__xludf.DUMMYFUNCTION("GOOGLETRANSLATE(B36756,""en"",""de"")"),"Der Mann reinigt mit einem Tuch und spüelt mit Wasser die Felgen des Autos aus.")</f>
        <v>Der Mann reinigt mit einem Tuch und spüelt mit Wasser die Felgen des Autos aus.</v>
      </c>
    </row>
    <row r="36757">
      <c r="A36757" s="4" t="s">
        <v>46231</v>
      </c>
      <c r="B36757" s="4" t="s">
        <v>46236</v>
      </c>
      <c r="C36757" s="5" t="str">
        <f>IFERROR(__xludf.DUMMYFUNCTION("GOOGLETRANSLATE(B36757,""en"",""de"")"),"Danach trocknete der Mann das Auto manuell mit einem Tuch.")</f>
        <v>Danach trocknete der Mann das Auto manuell mit einem Tuch.</v>
      </c>
    </row>
    <row r="36758">
      <c r="A36758" s="4" t="s">
        <v>46231</v>
      </c>
      <c r="B36758" s="4" t="s">
        <v>46237</v>
      </c>
      <c r="C36758" s="5" t="str">
        <f>IFERROR(__xludf.DUMMYFUNCTION("GOOGLETRANSLATE(B36758,""en"",""de"")"),"Als nächstes reinigt der Mann im Auto und fährt dann das Auto.")</f>
        <v>Als nächstes reinigt der Mann im Auto und fährt dann das Auto.</v>
      </c>
    </row>
    <row r="36759">
      <c r="A36759" s="4" t="s">
        <v>46238</v>
      </c>
      <c r="B36759" s="4" t="s">
        <v>46239</v>
      </c>
      <c r="C36759" s="5" t="str">
        <f>IFERROR(__xludf.DUMMYFUNCTION("GOOGLETRANSLATE(B36759,""en"",""de"")"),"Ein Mann sitzt an einem Tisch und redet.")</f>
        <v>Ein Mann sitzt an einem Tisch und redet.</v>
      </c>
    </row>
    <row r="36760">
      <c r="A36760" s="4" t="s">
        <v>46238</v>
      </c>
      <c r="B36760" s="4" t="s">
        <v>46240</v>
      </c>
      <c r="C36760" s="5" t="str">
        <f>IFERROR(__xludf.DUMMYFUNCTION("GOOGLETRANSLATE(B36760,""en"",""de"")"),"Der Mann, der jetzt steht, gießt Farbe dünner und wischt den Tisch mit dem Lappen ab.")</f>
        <v>Der Mann, der jetzt steht, gießt Farbe dünner und wischt den Tisch mit dem Lappen ab.</v>
      </c>
    </row>
    <row r="36761">
      <c r="A36761" s="4" t="s">
        <v>46238</v>
      </c>
      <c r="B36761" s="4" t="s">
        <v>46241</v>
      </c>
      <c r="C36761" s="5" t="str">
        <f>IFERROR(__xludf.DUMMYFUNCTION("GOOGLETRANSLATE(B36761,""en"",""de"")"),"Der Mann sitzt wieder am Tisch, während er redet.")</f>
        <v>Der Mann sitzt wieder am Tisch, während er redet.</v>
      </c>
    </row>
    <row r="36762">
      <c r="A36762" s="4" t="s">
        <v>46238</v>
      </c>
      <c r="B36762" s="4" t="s">
        <v>46242</v>
      </c>
      <c r="C36762" s="5" t="str">
        <f>IFERROR(__xludf.DUMMYFUNCTION("GOOGLETRANSLATE(B36762,""en"",""de"")"),"Jetzt stellt er einen Lack auf den Tisch und leuchtet ihn.")</f>
        <v>Jetzt stellt er einen Lack auf den Tisch und leuchtet ihn.</v>
      </c>
    </row>
    <row r="36763">
      <c r="A36763" s="4" t="s">
        <v>46238</v>
      </c>
      <c r="B36763" s="4" t="s">
        <v>46243</v>
      </c>
      <c r="C36763" s="5" t="str">
        <f>IFERROR(__xludf.DUMMYFUNCTION("GOOGLETRANSLATE(B36763,""en"",""de"")"),"Dann reinigt er die Tischbeine mit einem Pinsel.")</f>
        <v>Dann reinigt er die Tischbeine mit einem Pinsel.</v>
      </c>
    </row>
    <row r="36764">
      <c r="A36764" s="4" t="s">
        <v>46238</v>
      </c>
      <c r="B36764" s="4" t="s">
        <v>46244</v>
      </c>
      <c r="C36764" s="5" t="str">
        <f>IFERROR(__xludf.DUMMYFUNCTION("GOOGLETRANSLATE(B36764,""en"",""de"")"),"Er sitzt am Tisch und redet für einen anderen Moment.")</f>
        <v>Er sitzt am Tisch und redet für einen anderen Moment.</v>
      </c>
    </row>
    <row r="36765">
      <c r="A36765" s="4" t="s">
        <v>46238</v>
      </c>
      <c r="B36765" s="4" t="s">
        <v>46245</v>
      </c>
      <c r="C36765" s="5" t="str">
        <f>IFERROR(__xludf.DUMMYFUNCTION("GOOGLETRANSLATE(B36765,""en"",""de"")"),"Die Szene ändert sich und der Mann steht in einer Garage.")</f>
        <v>Die Szene ändert sich und der Mann steht in einer Garage.</v>
      </c>
    </row>
    <row r="36766">
      <c r="A36766" s="4" t="s">
        <v>46246</v>
      </c>
      <c r="B36766" s="4" t="s">
        <v>46247</v>
      </c>
      <c r="C36766" s="5" t="str">
        <f>IFERROR(__xludf.DUMMYFUNCTION("GOOGLETRANSLATE(B36766,""en"",""de"")"),"Zwei Personen werden in einem Kanu fahren und ein Paddel über das Wasser schieben und in die Kamera schauen.")</f>
        <v>Zwei Personen werden in einem Kanu fahren und ein Paddel über das Wasser schieben und in die Kamera schauen.</v>
      </c>
    </row>
    <row r="36767">
      <c r="A36767" s="4" t="s">
        <v>46246</v>
      </c>
      <c r="B36767" s="4" t="s">
        <v>46248</v>
      </c>
      <c r="C36767" s="5" t="str">
        <f>IFERROR(__xludf.DUMMYFUNCTION("GOOGLETRANSLATE(B36767,""en"",""de"")"),"Es werden mehr Clips aus der Landschaft sowie den Menschen gezeigt, die herumfähren und sich mit anderen treffen.")</f>
        <v>Es werden mehr Clips aus der Landschaft sowie den Menschen gezeigt, die herumfähren und sich mit anderen treffen.</v>
      </c>
    </row>
    <row r="36768">
      <c r="A36768" s="4" t="s">
        <v>46249</v>
      </c>
      <c r="B36768" s="4" t="s">
        <v>46250</v>
      </c>
      <c r="C36768" s="5" t="str">
        <f>IFERROR(__xludf.DUMMYFUNCTION("GOOGLETRANSLATE(B36768,""en"",""de"")"),"Eine große Gruppe von Menschen steht in einem Ballettzimmer und führt zu vier Tanz.")</f>
        <v>Eine große Gruppe von Menschen steht in einem Ballettzimmer und führt zu vier Tanz.</v>
      </c>
    </row>
    <row r="36769">
      <c r="A36769" s="4" t="s">
        <v>46249</v>
      </c>
      <c r="B36769" s="4" t="s">
        <v>46251</v>
      </c>
      <c r="C36769" s="5" t="str">
        <f>IFERROR(__xludf.DUMMYFUNCTION("GOOGLETRANSLATE(B36769,""en"",""de"")"),"Die vier bewegen sich kontinuierlich zusammen, während sie Hände halten und die gleichen Bewegungen machen.")</f>
        <v>Die vier bewegen sich kontinuierlich zusammen, während sie Hände halten und die gleichen Bewegungen machen.</v>
      </c>
    </row>
    <row r="36770">
      <c r="A36770" s="4" t="s">
        <v>46249</v>
      </c>
      <c r="B36770" s="4" t="s">
        <v>46252</v>
      </c>
      <c r="C36770" s="5" t="str">
        <f>IFERROR(__xludf.DUMMYFUNCTION("GOOGLETRANSLATE(B36770,""en"",""de"")"),"Die Mädchen lachen zusammen und tanzen und enden weiter, indem sie eine Pose halten.")</f>
        <v>Die Mädchen lachen zusammen und tanzen und enden weiter, indem sie eine Pose halten.</v>
      </c>
    </row>
    <row r="36771">
      <c r="A36771" s="4" t="s">
        <v>46253</v>
      </c>
      <c r="B36771" s="4" t="s">
        <v>46254</v>
      </c>
      <c r="C36771" s="5" t="str">
        <f>IFERROR(__xludf.DUMMYFUNCTION("GOOGLETRANSLATE(B36771,""en"",""de"")"),"Eine Frau betritt den Rahmen, der zur Kamera spricht und auf ein Schild zeigt, das mit einem Mann vor einem Bogen und Pfeil in sie spricht.")</f>
        <v>Eine Frau betritt den Rahmen, der zur Kamera spricht und auf ein Schild zeigt, das mit einem Mann vor einem Bogen und Pfeil in sie spricht.</v>
      </c>
    </row>
    <row r="36772">
      <c r="A36772" s="4" t="s">
        <v>46253</v>
      </c>
      <c r="B36772" s="4" t="s">
        <v>46255</v>
      </c>
      <c r="C36772" s="5" t="str">
        <f>IFERROR(__xludf.DUMMYFUNCTION("GOOGLETRANSLATE(B36772,""en"",""de"")"),"Der Mann spricht mit ihr und setzt die Frau verbeugt und hält den Bogen für sie heraus.")</f>
        <v>Der Mann spricht mit ihr und setzt die Frau verbeugt und hält den Bogen für sie heraus.</v>
      </c>
    </row>
    <row r="36773">
      <c r="A36773" s="4" t="s">
        <v>46253</v>
      </c>
      <c r="B36773" s="4" t="s">
        <v>46256</v>
      </c>
      <c r="C36773" s="5" t="str">
        <f>IFERROR(__xludf.DUMMYFUNCTION("GOOGLETRANSLATE(B36773,""en"",""de"")"),"Er lehrt ihr, wie man den Bogen richtig hält, und die Frau nimmt mehrere Kurven, schießt den Bogen und den Pfeil.")</f>
        <v>Er lehrt ihr, wie man den Bogen richtig hält, und die Frau nimmt mehrere Kurven, schießt den Bogen und den Pfeil.</v>
      </c>
    </row>
    <row r="36774">
      <c r="A36774" s="4" t="s">
        <v>46253</v>
      </c>
      <c r="B36774" s="4" t="s">
        <v>46257</v>
      </c>
      <c r="C36774" s="5" t="str">
        <f>IFERROR(__xludf.DUMMYFUNCTION("GOOGLETRANSLATE(B36774,""en"",""de"")"),"Sie jubelt und schießt weiter, während der Mann mit ihr spricht und ihre Hand schüttelt, während sie weggehen.")</f>
        <v>Sie jubelt und schießt weiter, während der Mann mit ihr spricht und ihre Hand schüttelt, während sie weggehen.</v>
      </c>
    </row>
    <row r="36775">
      <c r="A36775" s="4" t="s">
        <v>46258</v>
      </c>
      <c r="B36775" s="4" t="s">
        <v>46259</v>
      </c>
      <c r="C36775" s="5" t="str">
        <f>IFERROR(__xludf.DUMMYFUNCTION("GOOGLETRANSLATE(B36775,""en"",""de"")"),"Eine Frau sitzt unter einem Regenschirm mit einem Shisha -Stock in ihrem Mund.")</f>
        <v>Eine Frau sitzt unter einem Regenschirm mit einem Shisha -Stock in ihrem Mund.</v>
      </c>
    </row>
    <row r="36776">
      <c r="A36776" s="4" t="s">
        <v>46258</v>
      </c>
      <c r="B36776" s="4" t="s">
        <v>46260</v>
      </c>
      <c r="C36776" s="5" t="str">
        <f>IFERROR(__xludf.DUMMYFUNCTION("GOOGLETRANSLATE(B36776,""en"",""de"")"),"Sie nimmt ein paar Puffs vom Stock, während sie ihn in die Kamera bläst und mit der Kamera spricht.")</f>
        <v>Sie nimmt ein paar Puffs vom Stock, während sie ihn in die Kamera bläst und mit der Kamera spricht.</v>
      </c>
    </row>
    <row r="36777">
      <c r="A36777" s="4" t="s">
        <v>46261</v>
      </c>
      <c r="B36777" s="4" t="s">
        <v>46262</v>
      </c>
      <c r="C36777" s="5" t="str">
        <f>IFERROR(__xludf.DUMMYFUNCTION("GOOGLETRANSLATE(B36777,""en"",""de"")"),"Die Frau wischt die Möbel mit Aceton ab.")</f>
        <v>Die Frau wischt die Möbel mit Aceton ab.</v>
      </c>
    </row>
    <row r="36778">
      <c r="A36778" s="4" t="s">
        <v>46261</v>
      </c>
      <c r="B36778" s="4" t="s">
        <v>46263</v>
      </c>
      <c r="C36778" s="5" t="str">
        <f>IFERROR(__xludf.DUMMYFUNCTION("GOOGLETRANSLATE(B36778,""en"",""de"")"),"Frau sprüht Silikon auf den Tisch und wischt es ab.")</f>
        <v>Frau sprüht Silikon auf den Tisch und wischt es ab.</v>
      </c>
    </row>
    <row r="36779">
      <c r="A36779" s="4" t="s">
        <v>46261</v>
      </c>
      <c r="B36779" s="4" t="s">
        <v>46264</v>
      </c>
      <c r="C36779" s="5" t="str">
        <f>IFERROR(__xludf.DUMMYFUNCTION("GOOGLETRANSLATE(B36779,""en"",""de"")"),"Frau vergleicht den alten Abschnitt mit einem gereinigten Abschnitt.")</f>
        <v>Frau vergleicht den alten Abschnitt mit einem gereinigten Abschnitt.</v>
      </c>
    </row>
    <row r="36780">
      <c r="A36780" s="4" t="s">
        <v>46265</v>
      </c>
      <c r="B36780" s="4" t="s">
        <v>46266</v>
      </c>
      <c r="C36780" s="5" t="str">
        <f>IFERROR(__xludf.DUMMYFUNCTION("GOOGLETRANSLATE(B36780,""en"",""de"")"),"Eine große Gruppe von Menschen sitzt in einer Grube herum, wobei sich ein Mann herumdreht und einen Ball in die Ferne wirft.")</f>
        <v>Eine große Gruppe von Menschen sitzt in einer Grube herum, wobei sich ein Mann herumdreht und einen Ball in die Ferne wirft.</v>
      </c>
    </row>
    <row r="36781">
      <c r="A36781" s="4" t="s">
        <v>46265</v>
      </c>
      <c r="B36781" s="4" t="s">
        <v>46267</v>
      </c>
      <c r="C36781" s="5" t="str">
        <f>IFERROR(__xludf.DUMMYFUNCTION("GOOGLETRANSLATE(B36781,""en"",""de"")"),"Die Leute um ihn herum klatschen, während mehr herumstehen und reden und beobachten, wie die Bälle geworfen werden.")</f>
        <v>Die Leute um ihn herum klatschen, während mehr herumstehen und reden und beobachten, wie die Bälle geworfen werden.</v>
      </c>
    </row>
    <row r="36782">
      <c r="A36782" s="4" t="s">
        <v>46265</v>
      </c>
      <c r="B36782" s="4" t="s">
        <v>46268</v>
      </c>
      <c r="C36782" s="5" t="str">
        <f>IFERROR(__xludf.DUMMYFUNCTION("GOOGLETRANSLATE(B36782,""en"",""de"")"),"Die Leute greifen den Ball immer wieder vom Boden aus, während sie gelegentlich zur Kamera schauen und an die große Menge zurückblicken.")</f>
        <v>Die Leute greifen den Ball immer wieder vom Boden aus, während sie gelegentlich zur Kamera schauen und an die große Menge zurückblicken.</v>
      </c>
    </row>
    <row r="36783">
      <c r="A36783" s="4" t="s">
        <v>46269</v>
      </c>
      <c r="B36783" s="4" t="s">
        <v>46270</v>
      </c>
      <c r="C36783" s="5" t="str">
        <f>IFERROR(__xludf.DUMMYFUNCTION("GOOGLETRANSLATE(B36783,""en"",""de"")"),"Es wird gezeigt, dass ein Ball am Himmel fliegt, während eine große Gruppe von Menschen herumkommt.")</f>
        <v>Es wird gezeigt, dass ein Ball am Himmel fliegt, während eine große Gruppe von Menschen herumkommt.</v>
      </c>
    </row>
    <row r="36784">
      <c r="A36784" s="4" t="s">
        <v>46269</v>
      </c>
      <c r="B36784" s="4" t="s">
        <v>46271</v>
      </c>
      <c r="C36784" s="5" t="str">
        <f>IFERROR(__xludf.DUMMYFUNCTION("GOOGLETRANSLATE(B36784,""en"",""de"")"),"Eine Person wird dann gesehen, wie er den Ball auf dem Boden greift.")</f>
        <v>Eine Person wird dann gesehen, wie er den Ball auf dem Boden greift.</v>
      </c>
    </row>
    <row r="36785">
      <c r="A36785" s="4" t="s">
        <v>46269</v>
      </c>
      <c r="B36785" s="4" t="s">
        <v>46272</v>
      </c>
      <c r="C36785" s="5" t="str">
        <f>IFERROR(__xludf.DUMMYFUNCTION("GOOGLETRANSLATE(B36785,""en"",""de"")"),"Die Person fängt den Ball und der Clip wird in Zeitlupe erneut angezeigt.")</f>
        <v>Die Person fängt den Ball und der Clip wird in Zeitlupe erneut angezeigt.</v>
      </c>
    </row>
    <row r="36786">
      <c r="A36786" s="4" t="s">
        <v>46273</v>
      </c>
      <c r="B36786" s="4" t="s">
        <v>46274</v>
      </c>
      <c r="C36786" s="5" t="str">
        <f>IFERROR(__xludf.DUMMYFUNCTION("GOOGLETRANSLATE(B36786,""en"",""de"")"),"In einer älteren Einrichtung im Freien befinden sich die Menschen im Pool und andere stehen draußen.")</f>
        <v>In einer älteren Einrichtung im Freien befinden sich die Menschen im Pool und andere stehen draußen.</v>
      </c>
    </row>
    <row r="36787">
      <c r="A36787" s="4" t="s">
        <v>46273</v>
      </c>
      <c r="B36787" s="4" t="s">
        <v>46275</v>
      </c>
      <c r="C36787" s="5" t="str">
        <f>IFERROR(__xludf.DUMMYFUNCTION("GOOGLETRANSLATE(B36787,""en"",""de"")"),"Es gibt zwei Jungen auf dem Tauchbrett, die sich darauf vorbereiten, nach unten zu springen.")</f>
        <v>Es gibt zwei Jungen auf dem Tauchbrett, die sich darauf vorbereiten, nach unten zu springen.</v>
      </c>
    </row>
    <row r="36788">
      <c r="A36788" s="4" t="s">
        <v>46273</v>
      </c>
      <c r="B36788" s="4" t="s">
        <v>46276</v>
      </c>
      <c r="C36788" s="5" t="str">
        <f>IFERROR(__xludf.DUMMYFUNCTION("GOOGLETRANSLATE(B36788,""en"",""de"")"),"Sie kommen in eine einzigartige Position und tauchen dann gleichzeitig zusammen.")</f>
        <v>Sie kommen in eine einzigartige Position und tauchen dann gleichzeitig zusammen.</v>
      </c>
    </row>
    <row r="36789">
      <c r="A36789" s="4" t="s">
        <v>46273</v>
      </c>
      <c r="B36789" s="4" t="s">
        <v>46277</v>
      </c>
      <c r="C36789" s="5" t="str">
        <f>IFERROR(__xludf.DUMMYFUNCTION("GOOGLETRANSLATE(B36789,""en"",""de"")"),"Sie machen einen riesigen Spritzer, als sie im Wasser landen.")</f>
        <v>Sie machen einen riesigen Spritzer, als sie im Wasser landen.</v>
      </c>
    </row>
    <row r="36790">
      <c r="A36790" s="4" t="s">
        <v>46278</v>
      </c>
      <c r="B36790" s="4" t="s">
        <v>46279</v>
      </c>
      <c r="C36790" s="5" t="str">
        <f>IFERROR(__xludf.DUMMYFUNCTION("GOOGLETRANSLATE(B36790,""en"",""de"")"),"Ein Bild einer Terrasse wird angezeigt, gefolgt von einer Frau, die die Tische und Stühle entlang schrubbte.")</f>
        <v>Ein Bild einer Terrasse wird angezeigt, gefolgt von einer Frau, die die Tische und Stühle entlang schrubbte.</v>
      </c>
    </row>
    <row r="36791">
      <c r="A36791" s="4" t="s">
        <v>46278</v>
      </c>
      <c r="B36791" s="4" t="s">
        <v>46280</v>
      </c>
      <c r="C36791" s="5" t="str">
        <f>IFERROR(__xludf.DUMMYFUNCTION("GOOGLETRANSLATE(B36791,""en"",""de"")"),"Sie wischt sie mit einem Lappen ab und schüttelt dann eine Dose auf und besprüht die Möbel.")</f>
        <v>Sie wischt sie mit einem Lappen ab und schüttelt dann eine Dose auf und besprüht die Möbel.</v>
      </c>
    </row>
    <row r="36792">
      <c r="A36792" s="4" t="s">
        <v>46278</v>
      </c>
      <c r="B36792" s="4" t="s">
        <v>46281</v>
      </c>
      <c r="C36792" s="5" t="str">
        <f>IFERROR(__xludf.DUMMYFUNCTION("GOOGLETRANSLATE(B36792,""en"",""de"")"),"Weitere Nahaufnahmen werden von den Möbeln angezeigt, während die Textanweisungen über den Bildschirm schwenken.")</f>
        <v>Weitere Nahaufnahmen werden von den Möbeln angezeigt, während die Textanweisungen über den Bildschirm schwenken.</v>
      </c>
    </row>
    <row r="36793">
      <c r="A36793" s="4" t="s">
        <v>46282</v>
      </c>
      <c r="B36793" s="4" t="s">
        <v>46283</v>
      </c>
      <c r="C36793" s="5" t="str">
        <f>IFERROR(__xludf.DUMMYFUNCTION("GOOGLETRANSLATE(B36793,""en"",""de"")"),"Ein Mann steht in einem Tanzstudio und zeigt, wie er sich für verschiedene Tanzhaltung einsetzt.")</f>
        <v>Ein Mann steht in einem Tanzstudio und zeigt, wie er sich für verschiedene Tanzhaltung einsetzt.</v>
      </c>
    </row>
    <row r="36794">
      <c r="A36794" s="4" t="s">
        <v>46282</v>
      </c>
      <c r="B36794" s="4" t="s">
        <v>46284</v>
      </c>
      <c r="C36794" s="5" t="str">
        <f>IFERROR(__xludf.DUMMYFUNCTION("GOOGLETRANSLATE(B36794,""en"",""de"")"),"Der Mann im weißen T -Shirt macht beim Tanzen eine Drehung.")</f>
        <v>Der Mann im weißen T -Shirt macht beim Tanzen eine Drehung.</v>
      </c>
    </row>
    <row r="36795">
      <c r="A36795" s="4" t="s">
        <v>46285</v>
      </c>
      <c r="B36795" s="4" t="s">
        <v>46286</v>
      </c>
      <c r="C36795" s="5" t="str">
        <f>IFERROR(__xludf.DUMMYFUNCTION("GOOGLETRANSLATE(B36795,""en"",""de"")"),"Der Mensch ist in den Nachrichten auf der Bühne.")</f>
        <v>Der Mensch ist in den Nachrichten auf der Bühne.</v>
      </c>
    </row>
    <row r="36796">
      <c r="A36796" s="4" t="s">
        <v>46285</v>
      </c>
      <c r="B36796" s="4" t="s">
        <v>46287</v>
      </c>
      <c r="C36796" s="5" t="str">
        <f>IFERROR(__xludf.DUMMYFUNCTION("GOOGLETRANSLATE(B36796,""en"",""de"")"),"Die Menschen sind auf der Straße, die das Seil springen und tanzen, während sich die Menschen um sie herum versammelt haben.")</f>
        <v>Die Menschen sind auf der Straße, die das Seil springen und tanzen, während sich die Menschen um sie herum versammelt haben.</v>
      </c>
    </row>
    <row r="36797">
      <c r="A36797" s="4" t="s">
        <v>46285</v>
      </c>
      <c r="B36797" s="4" t="s">
        <v>46288</v>
      </c>
      <c r="C36797" s="5" t="str">
        <f>IFERROR(__xludf.DUMMYFUNCTION("GOOGLETRANSLATE(B36797,""en"",""de"")"),"Eine alte chinesische Frau wird interviewt.")</f>
        <v>Eine alte chinesische Frau wird interviewt.</v>
      </c>
    </row>
    <row r="36798">
      <c r="A36798" s="4" t="s">
        <v>46285</v>
      </c>
      <c r="B36798" s="4" t="s">
        <v>46289</v>
      </c>
      <c r="C36798" s="5" t="str">
        <f>IFERROR(__xludf.DUMMYFUNCTION("GOOGLETRANSLATE(B36798,""en"",""de"")"),"Der alte Mann spricht mit der Kamera.")</f>
        <v>Der alte Mann spricht mit der Kamera.</v>
      </c>
    </row>
    <row r="36799">
      <c r="A36799" s="4" t="s">
        <v>46285</v>
      </c>
      <c r="B36799" s="4" t="s">
        <v>46290</v>
      </c>
      <c r="C36799" s="5" t="str">
        <f>IFERROR(__xludf.DUMMYFUNCTION("GOOGLETRANSLATE(B36799,""en"",""de"")"),"Frau hält ein Mikrofon in der Hand, als er über die Kamera spricht und das Seil springt.")</f>
        <v>Frau hält ein Mikrofon in der Hand, als er über die Kamera spricht und das Seil springt.</v>
      </c>
    </row>
    <row r="36800">
      <c r="A36800" s="4" t="s">
        <v>46285</v>
      </c>
      <c r="B36800" s="4" t="s">
        <v>46291</v>
      </c>
      <c r="C36800" s="5" t="str">
        <f>IFERROR(__xludf.DUMMYFUNCTION("GOOGLETRANSLATE(B36800,""en"",""de"")"),"Die Frau springt mit dem Seil und macht SOMERAULTS.")</f>
        <v>Die Frau springt mit dem Seil und macht SOMERAULTS.</v>
      </c>
    </row>
    <row r="36801">
      <c r="A36801" s="4" t="s">
        <v>46285</v>
      </c>
      <c r="B36801" s="4" t="s">
        <v>46292</v>
      </c>
      <c r="C36801" s="5" t="str">
        <f>IFERROR(__xludf.DUMMYFUNCTION("GOOGLETRANSLATE(B36801,""en"",""de"")"),"Frauen werden interviewt und hinter ihren Leuten springen das Seil.")</f>
        <v>Frauen werden interviewt und hinter ihren Leuten springen das Seil.</v>
      </c>
    </row>
    <row r="36802">
      <c r="A36802" s="4" t="s">
        <v>46285</v>
      </c>
      <c r="B36802" s="4" t="s">
        <v>46293</v>
      </c>
      <c r="C36802" s="5" t="str">
        <f>IFERROR(__xludf.DUMMYFUNCTION("GOOGLETRANSLATE(B36802,""en"",""de"")"),"Die Menschen sind im Wettbewerb auf der Bühne, um das Seil zu springen.")</f>
        <v>Die Menschen sind im Wettbewerb auf der Bühne, um das Seil zu springen.</v>
      </c>
    </row>
    <row r="36803">
      <c r="A36803" s="4" t="s">
        <v>46285</v>
      </c>
      <c r="B36803" s="4" t="s">
        <v>46294</v>
      </c>
      <c r="C36803" s="5" t="str">
        <f>IFERROR(__xludf.DUMMYFUNCTION("GOOGLETRANSLATE(B36803,""en"",""de"")"),"Frauen werden in der Straße interviewt und die Leute springen weiter mit dem Seil.")</f>
        <v>Frauen werden in der Straße interviewt und die Leute springen weiter mit dem Seil.</v>
      </c>
    </row>
    <row r="36804">
      <c r="A36804" s="4" t="s">
        <v>46295</v>
      </c>
      <c r="B36804" s="4" t="s">
        <v>46296</v>
      </c>
      <c r="C36804" s="5" t="str">
        <f>IFERROR(__xludf.DUMMYFUNCTION("GOOGLETRANSLATE(B36804,""en"",""de"")"),"Der Mann in Blue Leotard hob die Barbe, aber er ließ die Hunger los und er fiel auf den Rücken.")</f>
        <v>Der Mann in Blue Leotard hob die Barbe, aber er ließ die Hunger los und er fiel auf den Rücken.</v>
      </c>
    </row>
    <row r="36805">
      <c r="A36805" s="4" t="s">
        <v>46295</v>
      </c>
      <c r="B36805" s="4" t="s">
        <v>46297</v>
      </c>
      <c r="C36805" s="5" t="str">
        <f>IFERROR(__xludf.DUMMYFUNCTION("GOOGLETRANSLATE(B36805,""en"",""de"")"),"Der Mann in Red Trikot trug die Barbel bis zum Kopf die Menge jubelte.")</f>
        <v>Der Mann in Red Trikot trug die Barbel bis zum Kopf die Menge jubelte.</v>
      </c>
    </row>
    <row r="36806">
      <c r="A36806" s="4" t="s">
        <v>46295</v>
      </c>
      <c r="B36806" s="4" t="s">
        <v>46298</v>
      </c>
      <c r="C36806" s="5" t="str">
        <f>IFERROR(__xludf.DUMMYFUNCTION("GOOGLETRANSLATE(B36806,""en"",""de"")"),"Der Athlet hob seine Barbel, konnte aber nicht ganz den Kopf hinaufgehen.")</f>
        <v>Der Athlet hob seine Barbel, konnte aber nicht ganz den Kopf hinaufgehen.</v>
      </c>
    </row>
    <row r="36807">
      <c r="A36807" s="4" t="s">
        <v>46295</v>
      </c>
      <c r="B36807" s="4" t="s">
        <v>46299</v>
      </c>
      <c r="C36807" s="5" t="str">
        <f>IFERROR(__xludf.DUMMYFUNCTION("GOOGLETRANSLATE(B36807,""en"",""de"")"),"Die Menge jubelt, während die Athleten in der Lage sind, die Barbel ganz auf den Kopf zu bringen.")</f>
        <v>Die Menge jubelt, während die Athleten in der Lage sind, die Barbel ganz auf den Kopf zu bringen.</v>
      </c>
    </row>
    <row r="36808">
      <c r="A36808" s="4" t="s">
        <v>46300</v>
      </c>
      <c r="B36808" s="4" t="s">
        <v>46301</v>
      </c>
      <c r="C36808" s="5" t="str">
        <f>IFERROR(__xludf.DUMMYFUNCTION("GOOGLETRANSLATE(B36808,""en"",""de"")"),"Ein Mann in Blue Fitness -Shorts bügelt seine Kleidung auf einem Bügelbrett zu Hause.")</f>
        <v>Ein Mann in Blue Fitness -Shorts bügelt seine Kleidung auf einem Bügelbrett zu Hause.</v>
      </c>
    </row>
    <row r="36809">
      <c r="A36809" s="4" t="s">
        <v>46300</v>
      </c>
      <c r="B36809" s="4" t="s">
        <v>46302</v>
      </c>
      <c r="C36809" s="5" t="str">
        <f>IFERROR(__xludf.DUMMYFUNCTION("GOOGLETRANSLATE(B36809,""en"",""de"")"),"Der Mann setzt sich auf den Boden und faltet seine Kleidung und stapelt sie.")</f>
        <v>Der Mann setzt sich auf den Boden und faltet seine Kleidung und stapelt sie.</v>
      </c>
    </row>
    <row r="36810">
      <c r="A36810" s="4" t="s">
        <v>46300</v>
      </c>
      <c r="B36810" s="4" t="s">
        <v>46303</v>
      </c>
      <c r="C36810" s="5" t="str">
        <f>IFERROR(__xludf.DUMMYFUNCTION("GOOGLETRANSLATE(B36810,""en"",""de"")"),"Der Mann verlässt den Raum und der Raum wird dunkel.")</f>
        <v>Der Mann verlässt den Raum und der Raum wird dunkel.</v>
      </c>
    </row>
    <row r="36811">
      <c r="A36811" s="4" t="s">
        <v>46304</v>
      </c>
      <c r="B36811" s="4" t="s">
        <v>46305</v>
      </c>
      <c r="C36811" s="5" t="str">
        <f>IFERROR(__xludf.DUMMYFUNCTION("GOOGLETRANSLATE(B36811,""en"",""de"")"),"Ein Mann steht in einer großen Arena.")</f>
        <v>Ein Mann steht in einer großen Arena.</v>
      </c>
    </row>
    <row r="36812">
      <c r="A36812" s="4" t="s">
        <v>46304</v>
      </c>
      <c r="B36812" s="4" t="s">
        <v>46306</v>
      </c>
      <c r="C36812" s="5" t="str">
        <f>IFERROR(__xludf.DUMMYFUNCTION("GOOGLETRANSLATE(B36812,""en"",""de"")"),"Sie wirft wirklich einen schweren Ball.")</f>
        <v>Sie wirft wirklich einen schweren Ball.</v>
      </c>
    </row>
    <row r="36813">
      <c r="A36813" s="4" t="s">
        <v>46304</v>
      </c>
      <c r="B36813" s="4" t="s">
        <v>46307</v>
      </c>
      <c r="C36813" s="5" t="str">
        <f>IFERROR(__xludf.DUMMYFUNCTION("GOOGLETRANSLATE(B36813,""en"",""de"")"),"Er macht das immer wieder.")</f>
        <v>Er macht das immer wieder.</v>
      </c>
    </row>
    <row r="36814">
      <c r="A36814" s="4" t="s">
        <v>46304</v>
      </c>
      <c r="B36814" s="4" t="s">
        <v>46308</v>
      </c>
      <c r="C36814" s="5" t="str">
        <f>IFERROR(__xludf.DUMMYFUNCTION("GOOGLETRANSLATE(B36814,""en"",""de"")"),"Er wirft die Bälle wirklich weit.")</f>
        <v>Er wirft die Bälle wirklich weit.</v>
      </c>
    </row>
    <row r="36815">
      <c r="A36815" s="4" t="s">
        <v>46309</v>
      </c>
      <c r="B36815" s="4" t="s">
        <v>46310</v>
      </c>
      <c r="C36815" s="5" t="str">
        <f>IFERROR(__xludf.DUMMYFUNCTION("GOOGLETRANSLATE(B36815,""en"",""de"")"),"Außerhalb legt sich ein Hund auf den Bürgersteig, wenn ein Mensch einen Frisbee aufnimmt und ihn wirft.")</f>
        <v>Außerhalb legt sich ein Hund auf den Bürgersteig, wenn ein Mensch einen Frisbee aufnimmt und ihn wirft.</v>
      </c>
    </row>
    <row r="36816">
      <c r="A36816" s="4" t="s">
        <v>46309</v>
      </c>
      <c r="B36816" s="4" t="s">
        <v>46311</v>
      </c>
      <c r="C36816" s="5" t="str">
        <f>IFERROR(__xludf.DUMMYFUNCTION("GOOGLETRANSLATE(B36816,""en"",""de"")"),"Der Hund läuft aufgeregt danach und rannte damit zurück und bringt ihn wieder zu seinem Menschen.")</f>
        <v>Der Hund läuft aufgeregt danach und rannte damit zurück und bringt ihn wieder zu seinem Menschen.</v>
      </c>
    </row>
    <row r="36817">
      <c r="A36817" s="4" t="s">
        <v>46309</v>
      </c>
      <c r="B36817" s="4" t="s">
        <v>46312</v>
      </c>
      <c r="C36817" s="5" t="str">
        <f>IFERROR(__xludf.DUMMYFUNCTION("GOOGLETRANSLATE(B36817,""en"",""de"")"),"Er verschwindet ein bisschen und siehst ihn dann aufgeregt bereit, wieder dafür zu rennen.")</f>
        <v>Er verschwindet ein bisschen und siehst ihn dann aufgeregt bereit, wieder dafür zu rennen.</v>
      </c>
    </row>
    <row r="36818">
      <c r="A36818" s="4" t="s">
        <v>46309</v>
      </c>
      <c r="B36818" s="4" t="s">
        <v>46313</v>
      </c>
      <c r="C36818" s="5" t="str">
        <f>IFERROR(__xludf.DUMMYFUNCTION("GOOGLETRANSLATE(B36818,""en"",""de"")"),"Sobald er sieht, dass das Frisbee fliegt, rennt er darauf und bringt es jedes Mal zurück.")</f>
        <v>Sobald er sieht, dass das Frisbee fliegt, rennt er darauf und bringt es jedes Mal zurück.</v>
      </c>
    </row>
    <row r="36819">
      <c r="A36819" s="4" t="s">
        <v>46314</v>
      </c>
      <c r="B36819" s="4" t="s">
        <v>46315</v>
      </c>
      <c r="C36819" s="5" t="str">
        <f>IFERROR(__xludf.DUMMYFUNCTION("GOOGLETRANSLATE(B36819,""en"",""de"")"),"Es gibt ein paar Jungen im Teenageralter in einer ruhigen Straße in einer Nachbarschaft.")</f>
        <v>Es gibt ein paar Jungen im Teenageralter in einer ruhigen Straße in einer Nachbarschaft.</v>
      </c>
    </row>
    <row r="36820">
      <c r="A36820" s="4" t="s">
        <v>46314</v>
      </c>
      <c r="B36820" s="4" t="s">
        <v>46316</v>
      </c>
      <c r="C36820" s="5" t="str">
        <f>IFERROR(__xludf.DUMMYFUNCTION("GOOGLETRANSLATE(B36820,""en"",""de"")"),"Sie gehen die Straße runter und probieren einige Stunts auf dem Skateboard.")</f>
        <v>Sie gehen die Straße runter und probieren einige Stunts auf dem Skateboard.</v>
      </c>
    </row>
    <row r="36821">
      <c r="A36821" s="4" t="s">
        <v>46314</v>
      </c>
      <c r="B36821" s="4" t="s">
        <v>46317</v>
      </c>
      <c r="C36821" s="5" t="str">
        <f>IFERROR(__xludf.DUMMYFUNCTION("GOOGLETRANSLATE(B36821,""en"",""de"")"),"Es sind einige Blätter auf den Bordstein gefallen.")</f>
        <v>Es sind einige Blätter auf den Bordstein gefallen.</v>
      </c>
    </row>
    <row r="36822">
      <c r="A36822" s="4" t="s">
        <v>46314</v>
      </c>
      <c r="B36822" s="4" t="s">
        <v>46318</v>
      </c>
      <c r="C36822" s="5" t="str">
        <f>IFERROR(__xludf.DUMMYFUNCTION("GOOGLETRANSLATE(B36822,""en"",""de"")"),"Einer der Jungen beugt sich und schlägt in sitzender Position.")</f>
        <v>Einer der Jungen beugt sich und schlägt in sitzender Position.</v>
      </c>
    </row>
    <row r="36823">
      <c r="A36823" s="4" t="s">
        <v>46314</v>
      </c>
      <c r="B36823" s="4" t="s">
        <v>46319</v>
      </c>
      <c r="C36823" s="5" t="str">
        <f>IFERROR(__xludf.DUMMYFUNCTION("GOOGLETRANSLATE(B36823,""en"",""de"")"),"Die Jungen skateboards durch die Straßen und gehen an Häusern im Wohngebiet vorbei.")</f>
        <v>Die Jungen skateboards durch die Straßen und gehen an Häusern im Wohngebiet vorbei.</v>
      </c>
    </row>
    <row r="36824">
      <c r="A36824" s="4" t="s">
        <v>46320</v>
      </c>
      <c r="B36824" s="4" t="s">
        <v>46321</v>
      </c>
      <c r="C36824" s="5" t="str">
        <f>IFERROR(__xludf.DUMMYFUNCTION("GOOGLETRANSLATE(B36824,""en"",""de"")"),"Ein Mann in einem gestreiften Hemd bereitet sich darauf vor, einen Dart auf ein Dartbrett zu werfen.")</f>
        <v>Ein Mann in einem gestreiften Hemd bereitet sich darauf vor, einen Dart auf ein Dartbrett zu werfen.</v>
      </c>
    </row>
    <row r="36825">
      <c r="A36825" s="4" t="s">
        <v>46320</v>
      </c>
      <c r="B36825" s="4" t="s">
        <v>46322</v>
      </c>
      <c r="C36825" s="5" t="str">
        <f>IFERROR(__xludf.DUMMYFUNCTION("GOOGLETRANSLATE(B36825,""en"",""de"")"),"Der Mann wirft drei Darts in das Dartboard.")</f>
        <v>Der Mann wirft drei Darts in das Dartboard.</v>
      </c>
    </row>
    <row r="36826">
      <c r="A36826" s="4" t="s">
        <v>46320</v>
      </c>
      <c r="B36826" s="4" t="s">
        <v>46323</v>
      </c>
      <c r="C36826" s="5" t="str">
        <f>IFERROR(__xludf.DUMMYFUNCTION("GOOGLETRANSLATE(B36826,""en"",""de"")"),"Der Kameramann schwenkt an die Seite des Dartboards und zoomt in die Pfeile, während der Mann im gestreiften Hemd nach dem Pfeilbrett greift.")</f>
        <v>Der Kameramann schwenkt an die Seite des Dartboards und zoomt in die Pfeile, während der Mann im gestreiften Hemd nach dem Pfeilbrett greift.</v>
      </c>
    </row>
    <row r="36827">
      <c r="A36827" s="4" t="s">
        <v>46324</v>
      </c>
      <c r="B36827" s="4" t="s">
        <v>46325</v>
      </c>
      <c r="C36827" s="5" t="str">
        <f>IFERROR(__xludf.DUMMYFUNCTION("GOOGLETRANSLATE(B36827,""en"",""de"")"),"Eine Anzeige für Vidal Sassoon erscheint.")</f>
        <v>Eine Anzeige für Vidal Sassoon erscheint.</v>
      </c>
    </row>
    <row r="36828">
      <c r="A36828" s="4" t="s">
        <v>46324</v>
      </c>
      <c r="B36828" s="4" t="s">
        <v>46326</v>
      </c>
      <c r="C36828" s="5" t="str">
        <f>IFERROR(__xludf.DUMMYFUNCTION("GOOGLETRANSLATE(B36828,""en"",""de"")"),"Wir sehen dann ihr Curling -Eisen und heißes Rollensatz.")</f>
        <v>Wir sehen dann ihr Curling -Eisen und heißes Rollensatz.</v>
      </c>
    </row>
    <row r="36829">
      <c r="A36829" s="4" t="s">
        <v>46324</v>
      </c>
      <c r="B36829" s="4" t="s">
        <v>46327</v>
      </c>
      <c r="C36829" s="5" t="str">
        <f>IFERROR(__xludf.DUMMYFUNCTION("GOOGLETRANSLATE(B36829,""en"",""de"")"),"Eine Demonstration wird gezeigt, wie Sie die heißen Walzen und das Bügeln an den Haaren einer Frau einstellen und verwenden können.")</f>
        <v>Eine Demonstration wird gezeigt, wie Sie die heißen Walzen und das Bügeln an den Haaren einer Frau einstellen und verwenden können.</v>
      </c>
    </row>
    <row r="36830">
      <c r="A36830" s="4" t="s">
        <v>46324</v>
      </c>
      <c r="B36830" s="4" t="s">
        <v>46328</v>
      </c>
      <c r="C36830" s="5" t="str">
        <f>IFERROR(__xludf.DUMMYFUNCTION("GOOGLETRANSLATE(B36830,""en"",""de"")"),"Ihr Haar wird in hübschen Locken um ihren Kopf gezeigt.")</f>
        <v>Ihr Haar wird in hübschen Locken um ihren Kopf gezeigt.</v>
      </c>
    </row>
    <row r="36831">
      <c r="A36831" s="4" t="s">
        <v>46329</v>
      </c>
      <c r="B36831" s="4" t="s">
        <v>46330</v>
      </c>
      <c r="C36831" s="5" t="str">
        <f>IFERROR(__xludf.DUMMYFUNCTION("GOOGLETRANSLATE(B36831,""en"",""de"")"),"Eine Intro -Aufnahme verschiedener Athleten wird gezeigt.")</f>
        <v>Eine Intro -Aufnahme verschiedener Athleten wird gezeigt.</v>
      </c>
    </row>
    <row r="36832">
      <c r="A36832" s="4" t="s">
        <v>46329</v>
      </c>
      <c r="B36832" s="4" t="s">
        <v>46331</v>
      </c>
      <c r="C36832" s="5" t="str">
        <f>IFERROR(__xludf.DUMMYFUNCTION("GOOGLETRANSLATE(B36832,""en"",""de"")"),"Ein Mann wird dann gezeigt, der einen Diskus auf ein großes Feld wirft.")</f>
        <v>Ein Mann wird dann gezeigt, der einen Diskus auf ein großes Feld wirft.</v>
      </c>
    </row>
    <row r="36833">
      <c r="A36833" s="4" t="s">
        <v>46329</v>
      </c>
      <c r="B36833" s="4" t="s">
        <v>46332</v>
      </c>
      <c r="C36833" s="5" t="str">
        <f>IFERROR(__xludf.DUMMYFUNCTION("GOOGLETRANSLATE(B36833,""en"",""de"")"),"Ein anderer Mann wird ebenfalls gezeigt, dass das Gleiche mit einem stillen Schuss von ihm tut, der danach seine Haltung und seinen Wurf in Zeitlupe zeigt.")</f>
        <v>Ein anderer Mann wird ebenfalls gezeigt, dass das Gleiche mit einem stillen Schuss von ihm tut, der danach seine Haltung und seinen Wurf in Zeitlupe zeigt.</v>
      </c>
    </row>
    <row r="36834">
      <c r="A36834" s="4" t="s">
        <v>46329</v>
      </c>
      <c r="B36834" s="4" t="s">
        <v>46333</v>
      </c>
      <c r="C36834" s="5" t="str">
        <f>IFERROR(__xludf.DUMMYFUNCTION("GOOGLETRANSLATE(B36834,""en"",""de"")"),"Dann wird ihm gezeigt, wie er weggeht und sich sehr zuversichtlich über das hat, was er gerade erreicht hat.")</f>
        <v>Dann wird ihm gezeigt, wie er weggeht und sich sehr zuversichtlich über das hat, was er gerade erreicht hat.</v>
      </c>
    </row>
    <row r="36835">
      <c r="A36835" s="4" t="s">
        <v>46334</v>
      </c>
      <c r="B36835" s="4" t="s">
        <v>46335</v>
      </c>
      <c r="C36835" s="5" t="str">
        <f>IFERROR(__xludf.DUMMYFUNCTION("GOOGLETRANSLATE(B36835,""en"",""de"")"),"Verschiedene Menschen wanderten um einen Strand herum, gefolgt von Wellen entlang des Wassers und Menschen im Wasser.")</f>
        <v>Verschiedene Menschen wanderten um einen Strand herum, gefolgt von Wellen entlang des Wassers und Menschen im Wasser.</v>
      </c>
    </row>
    <row r="36836">
      <c r="A36836" s="4" t="s">
        <v>46334</v>
      </c>
      <c r="B36836" s="4" t="s">
        <v>46336</v>
      </c>
      <c r="C36836" s="5" t="str">
        <f>IFERROR(__xludf.DUMMYFUNCTION("GOOGLETRANSLATE(B36836,""en"",""de"")"),"Mehrere Menschen, die die Wellen surfen, während Menschen am Rande beobachten, wie sich die Athleten bewegen.")</f>
        <v>Mehrere Menschen, die die Wellen surfen, während Menschen am Rande beobachten, wie sich die Athleten bewegen.</v>
      </c>
    </row>
    <row r="36837">
      <c r="A36837" s="4" t="s">
        <v>46337</v>
      </c>
      <c r="B36837" s="4" t="s">
        <v>46338</v>
      </c>
      <c r="C36837" s="5" t="str">
        <f>IFERROR(__xludf.DUMMYFUNCTION("GOOGLETRANSLATE(B36837,""en"",""de"")"),"Eine Dame hält einen Speer auf einer Strecke, die sie niederlegt.")</f>
        <v>Eine Dame hält einen Speer auf einer Strecke, die sie niederlegt.</v>
      </c>
    </row>
    <row r="36838">
      <c r="A36838" s="4" t="s">
        <v>46337</v>
      </c>
      <c r="B36838" s="4" t="s">
        <v>46339</v>
      </c>
      <c r="C36838" s="5" t="str">
        <f>IFERROR(__xludf.DUMMYFUNCTION("GOOGLETRANSLATE(B36838,""en"",""de"")"),"Die Szene beginnt von vorne und wir sehen eine Dame einen Speer und gehen weg.")</f>
        <v>Die Szene beginnt von vorne und wir sehen eine Dame einen Speer und gehen weg.</v>
      </c>
    </row>
    <row r="36839">
      <c r="A36839" s="4" t="s">
        <v>46337</v>
      </c>
      <c r="B36839" s="4" t="s">
        <v>46340</v>
      </c>
      <c r="C36839" s="5" t="str">
        <f>IFERROR(__xludf.DUMMYFUNCTION("GOOGLETRANSLATE(B36839,""en"",""de"")"),"Wir sehen dann, wie der Wurf gemessen wird, und ein Mann geht als Gespräche mit dem Mädchen auf.")</f>
        <v>Wir sehen dann, wie der Wurf gemessen wird, und ein Mann geht als Gespräche mit dem Mädchen auf.</v>
      </c>
    </row>
    <row r="36840">
      <c r="A36840" s="4" t="s">
        <v>46341</v>
      </c>
      <c r="B36840" s="4" t="s">
        <v>46342</v>
      </c>
      <c r="C36840" s="5" t="str">
        <f>IFERROR(__xludf.DUMMYFUNCTION("GOOGLETRANSLATE(B36840,""en"",""de"")"),"Ein Mann mit langen Koteletten, die ein rot gefärbter Gewand tragen, spielt Klavier.")</f>
        <v>Ein Mann mit langen Koteletten, die ein rot gefärbter Gewand tragen, spielt Klavier.</v>
      </c>
    </row>
    <row r="36841">
      <c r="A36841" s="4" t="s">
        <v>46341</v>
      </c>
      <c r="B36841" s="4" t="s">
        <v>46343</v>
      </c>
      <c r="C36841" s="5" t="str">
        <f>IFERROR(__xludf.DUMMYFUNCTION("GOOGLETRANSLATE(B36841,""en"",""de"")"),"Es gibt einen anderen Mann in einem blauen Hemd in seiner Nähe, beschäftigt damit, ein paar Taschen zu packen.")</f>
        <v>Es gibt einen anderen Mann in einem blauen Hemd in seiner Nähe, beschäftigt damit, ein paar Taschen zu packen.</v>
      </c>
    </row>
    <row r="36842">
      <c r="A36842" s="4" t="s">
        <v>46341</v>
      </c>
      <c r="B36842" s="4" t="s">
        <v>46344</v>
      </c>
      <c r="C36842" s="5" t="str">
        <f>IFERROR(__xludf.DUMMYFUNCTION("GOOGLETRANSLATE(B36842,""en"",""de"")"),"Das Haupt in Red spielt weiter Klavier, als der andere Mann zwei Taschen und Blätter trägt.")</f>
        <v>Das Haupt in Red spielt weiter Klavier, als der andere Mann zwei Taschen und Blätter trägt.</v>
      </c>
    </row>
    <row r="36843">
      <c r="A36843" s="4" t="s">
        <v>46341</v>
      </c>
      <c r="B36843" s="4" t="s">
        <v>46345</v>
      </c>
      <c r="C36843" s="5" t="str">
        <f>IFERROR(__xludf.DUMMYFUNCTION("GOOGLETRANSLATE(B36843,""en"",""de"")"),"Der Mann hört auf, Klavier zu spielen und winkt zur anderen Person, wenn er aufsteht und geht.")</f>
        <v>Der Mann hört auf, Klavier zu spielen und winkt zur anderen Person, wenn er aufsteht und geht.</v>
      </c>
    </row>
    <row r="36844">
      <c r="A36844" s="4" t="s">
        <v>46346</v>
      </c>
      <c r="B36844" s="4" t="s">
        <v>46347</v>
      </c>
      <c r="C36844" s="5" t="str">
        <f>IFERROR(__xludf.DUMMYFUNCTION("GOOGLETRANSLATE(B36844,""en"",""de"")"),"Es gibt eine Person, die blaue Latexhandschuhe trägt, die einen sechseckigen Holztisch polieren, um die französische Poliertechnik zu demonstrieren.")</f>
        <v>Es gibt eine Person, die blaue Latexhandschuhe trägt, die einen sechseckigen Holztisch polieren, um die französische Poliertechnik zu demonstrieren.</v>
      </c>
    </row>
    <row r="36845">
      <c r="A36845" s="4" t="s">
        <v>46346</v>
      </c>
      <c r="B36845" s="4" t="s">
        <v>46348</v>
      </c>
      <c r="C36845" s="5" t="str">
        <f>IFERROR(__xludf.DUMMYFUNCTION("GOOGLETRANSLATE(B36845,""en"",""de"")"),"Er verwendet einen Polierschwamm, um die Tischoberfläche in kreisförmiger Bewegung zu polieren.")</f>
        <v>Er verwendet einen Polierschwamm, um die Tischoberfläche in kreisförmiger Bewegung zu polieren.</v>
      </c>
    </row>
    <row r="36846">
      <c r="A36846" s="4" t="s">
        <v>46346</v>
      </c>
      <c r="B36846" s="4" t="s">
        <v>46349</v>
      </c>
      <c r="C36846" s="5" t="str">
        <f>IFERROR(__xludf.DUMMYFUNCTION("GOOGLETRANSLATE(B36846,""en"",""de"")"),"Dann geht er über die Tischoberfläche nach oben und unten, um es glänzend zu machen.")</f>
        <v>Dann geht er über die Tischoberfläche nach oben und unten, um es glänzend zu machen.</v>
      </c>
    </row>
    <row r="36847">
      <c r="A36847" s="4" t="s">
        <v>46346</v>
      </c>
      <c r="B36847" s="4" t="s">
        <v>46350</v>
      </c>
      <c r="C36847" s="5" t="str">
        <f>IFERROR(__xludf.DUMMYFUNCTION("GOOGLETRANSLATE(B36847,""en"",""de"")"),"Er geht akribisch über die gesamte Oberfläche und stellt sicher, dass kein Teil des Tisches unberührt bleibt.")</f>
        <v>Er geht akribisch über die gesamte Oberfläche und stellt sicher, dass kein Teil des Tisches unberührt bleibt.</v>
      </c>
    </row>
    <row r="36848">
      <c r="A36848" s="4" t="s">
        <v>46346</v>
      </c>
      <c r="B36848" s="4" t="s">
        <v>46351</v>
      </c>
      <c r="C36848" s="5" t="str">
        <f>IFERROR(__xludf.DUMMYFUNCTION("GOOGLETRANSLATE(B36848,""en"",""de"")"),"Anschließend beginnt er, die Oberfläche eines Esszimmerbuffets mit Bambus -Finish -Türen zu polieren.")</f>
        <v>Anschließend beginnt er, die Oberfläche eines Esszimmerbuffets mit Bambus -Finish -Türen zu polieren.</v>
      </c>
    </row>
    <row r="36849">
      <c r="A36849" s="4" t="s">
        <v>46346</v>
      </c>
      <c r="B36849" s="4" t="s">
        <v>46352</v>
      </c>
      <c r="C36849" s="5" t="str">
        <f>IFERROR(__xludf.DUMMYFUNCTION("GOOGLETRANSLATE(B36849,""en"",""de"")"),"Er poliert erneut kreisförmige Bewegungen auf der Oberfläche.")</f>
        <v>Er poliert erneut kreisförmige Bewegungen auf der Oberfläche.</v>
      </c>
    </row>
    <row r="36850">
      <c r="A36850" s="4" t="s">
        <v>46353</v>
      </c>
      <c r="B36850" s="4" t="s">
        <v>46354</v>
      </c>
      <c r="C36850" s="5" t="str">
        <f>IFERROR(__xludf.DUMMYFUNCTION("GOOGLETRANSLATE(B36850,""en"",""de"")"),"Ein Mann und eine Frau spielen die Tanzroutine eines Paares, während andere Paare um sie herum tanzen.")</f>
        <v>Ein Mann und eine Frau spielen die Tanzroutine eines Paares, während andere Paare um sie herum tanzen.</v>
      </c>
    </row>
    <row r="36851">
      <c r="A36851" s="4" t="s">
        <v>46353</v>
      </c>
      <c r="B36851" s="4" t="s">
        <v>46355</v>
      </c>
      <c r="C36851" s="5" t="str">
        <f>IFERROR(__xludf.DUMMYFUNCTION("GOOGLETRANSLATE(B36851,""en"",""de"")"),"Eine Gruppe von Zuschauern beobachtet, wie sich die Paare herumdrehen und die Tanzroutine fortsetzen.")</f>
        <v>Eine Gruppe von Zuschauern beobachtet, wie sich die Paare herumdrehen und die Tanzroutine fortsetzen.</v>
      </c>
    </row>
    <row r="36852">
      <c r="A36852" s="4" t="s">
        <v>46356</v>
      </c>
      <c r="B36852" s="4" t="s">
        <v>46357</v>
      </c>
      <c r="C36852" s="5" t="str">
        <f>IFERROR(__xludf.DUMMYFUNCTION("GOOGLETRANSLATE(B36852,""en"",""de"")"),"Wir sehen kleine Kinder mit BMX -Fahrrädern auf einer Feldstrecke in einer Arena.")</f>
        <v>Wir sehen kleine Kinder mit BMX -Fahrrädern auf einer Feldstrecke in einer Arena.</v>
      </c>
    </row>
    <row r="36853">
      <c r="A36853" s="4" t="s">
        <v>46356</v>
      </c>
      <c r="B36853" s="4" t="s">
        <v>46358</v>
      </c>
      <c r="C36853" s="5" t="str">
        <f>IFERROR(__xludf.DUMMYFUNCTION("GOOGLETRANSLATE(B36853,""en"",""de"")"),"Die Kinder fahren an der Kamera vorbei.")</f>
        <v>Die Kinder fahren an der Kamera vorbei.</v>
      </c>
    </row>
    <row r="36854">
      <c r="A36854" s="4" t="s">
        <v>46356</v>
      </c>
      <c r="B36854" s="4" t="s">
        <v>46359</v>
      </c>
      <c r="C36854" s="5" t="str">
        <f>IFERROR(__xludf.DUMMYFUNCTION("GOOGLETRANSLATE(B36854,""en"",""de"")"),"Die Kinder beginnen die Ziellinie zu bestehen.")</f>
        <v>Die Kinder beginnen die Ziellinie zu bestehen.</v>
      </c>
    </row>
    <row r="36855">
      <c r="A36855" s="4" t="s">
        <v>46360</v>
      </c>
      <c r="B36855" s="4" t="s">
        <v>46361</v>
      </c>
      <c r="C36855" s="5" t="str">
        <f>IFERROR(__xludf.DUMMYFUNCTION("GOOGLETRANSLATE(B36855,""en"",""de"")"),"Eine Frau balanciert im Freien auf einem engen Seil.")</f>
        <v>Eine Frau balanciert im Freien auf einem engen Seil.</v>
      </c>
    </row>
    <row r="36856">
      <c r="A36856" s="4" t="s">
        <v>46360</v>
      </c>
      <c r="B36856" s="4" t="s">
        <v>46362</v>
      </c>
      <c r="C36856" s="5" t="str">
        <f>IFERROR(__xludf.DUMMYFUNCTION("GOOGLETRANSLATE(B36856,""en"",""de"")"),"Die Frau zeigt verschiedene akrobatische Bewegungen.")</f>
        <v>Die Frau zeigt verschiedene akrobatische Bewegungen.</v>
      </c>
    </row>
    <row r="36857">
      <c r="A36857" s="4" t="s">
        <v>46360</v>
      </c>
      <c r="B36857" s="4" t="s">
        <v>46363</v>
      </c>
      <c r="C36857" s="5" t="str">
        <f>IFERROR(__xludf.DUMMYFUNCTION("GOOGLETRANSLATE(B36857,""en"",""de"")"),"Die Frau hüpft auf dem Draht.")</f>
        <v>Die Frau hüpft auf dem Draht.</v>
      </c>
    </row>
    <row r="36858">
      <c r="A36858" s="4" t="s">
        <v>46360</v>
      </c>
      <c r="B36858" s="4" t="s">
        <v>46364</v>
      </c>
      <c r="C36858" s="5" t="str">
        <f>IFERROR(__xludf.DUMMYFUNCTION("GOOGLETRANSLATE(B36858,""en"",""de"")"),"Ein Tier befindet sich im Feld im Hintergrund.")</f>
        <v>Ein Tier befindet sich im Feld im Hintergrund.</v>
      </c>
    </row>
    <row r="36859">
      <c r="A36859" s="4" t="s">
        <v>46365</v>
      </c>
      <c r="B36859" s="4" t="s">
        <v>46366</v>
      </c>
      <c r="C36859" s="5" t="str">
        <f>IFERROR(__xludf.DUMMYFUNCTION("GOOGLETRANSLATE(B36859,""en"",""de"")"),"Eine Nahaufnahme ist von Weihnachtsdekorationen zu sehen.")</f>
        <v>Eine Nahaufnahme ist von Weihnachtsdekorationen zu sehen.</v>
      </c>
    </row>
    <row r="36860">
      <c r="A36860" s="4" t="s">
        <v>46365</v>
      </c>
      <c r="B36860" s="4" t="s">
        <v>46367</v>
      </c>
      <c r="C36860" s="5" t="str">
        <f>IFERROR(__xludf.DUMMYFUNCTION("GOOGLETRANSLATE(B36860,""en"",""de"")"),"Ein Mann im Santa Claus -Kostüm spielt eine Trommel in einem Haus mit einem beleuchteten Weihnachtsbaum.")</f>
        <v>Ein Mann im Santa Claus -Kostüm spielt eine Trommel in einem Haus mit einem beleuchteten Weihnachtsbaum.</v>
      </c>
    </row>
    <row r="36861">
      <c r="A36861" s="4" t="s">
        <v>46365</v>
      </c>
      <c r="B36861" s="4" t="s">
        <v>46368</v>
      </c>
      <c r="C36861" s="5" t="str">
        <f>IFERROR(__xludf.DUMMYFUNCTION("GOOGLETRANSLATE(B36861,""en"",""de"")"),"Der Mann, der als Santa gekleidet war, spielt das Lied am Schlagzeug.")</f>
        <v>Der Mann, der als Santa gekleidet war, spielt das Lied am Schlagzeug.</v>
      </c>
    </row>
    <row r="36862">
      <c r="A36862" s="4" t="s">
        <v>46369</v>
      </c>
      <c r="B36862" s="4" t="s">
        <v>46370</v>
      </c>
      <c r="C36862" s="5" t="str">
        <f>IFERROR(__xludf.DUMMYFUNCTION("GOOGLETRANSLATE(B36862,""en"",""de"")"),"Das Video beginnt mit mehreren Aufnahmen einer Person, die auf einem Skateboard einen Hügel hinunterfährt und Tricks macht.")</f>
        <v>Das Video beginnt mit mehreren Aufnahmen einer Person, die auf einem Skateboard einen Hügel hinunterfährt und Tricks macht.</v>
      </c>
    </row>
    <row r="36863">
      <c r="A36863" s="4" t="s">
        <v>46369</v>
      </c>
      <c r="B36863" s="4" t="s">
        <v>46371</v>
      </c>
      <c r="C36863" s="5" t="str">
        <f>IFERROR(__xludf.DUMMYFUNCTION("GOOGLETRANSLATE(B36863,""en"",""de"")"),"Der Junge fährt weiter mit einem Skateboard herum und mit Flips und Tricks und der Kamera erfasst ihn aus mehreren Blickwinkeln.")</f>
        <v>Der Junge fährt weiter mit einem Skateboard herum und mit Flips und Tricks und der Kamera erfasst ihn aus mehreren Blickwinkeln.</v>
      </c>
    </row>
    <row r="36864">
      <c r="A36864" s="4" t="s">
        <v>46372</v>
      </c>
      <c r="B36864" s="4" t="s">
        <v>46373</v>
      </c>
      <c r="C36864" s="5" t="str">
        <f>IFERROR(__xludf.DUMMYFUNCTION("GOOGLETRANSLATE(B36864,""en"",""de"")"),"Ein Mann gibt Anweisungen zum Spielen des Kongo.")</f>
        <v>Ein Mann gibt Anweisungen zum Spielen des Kongo.</v>
      </c>
    </row>
    <row r="36865">
      <c r="A36865" s="4" t="s">
        <v>46372</v>
      </c>
      <c r="B36865" s="4" t="s">
        <v>46374</v>
      </c>
      <c r="C36865" s="5" t="str">
        <f>IFERROR(__xludf.DUMMYFUNCTION("GOOGLETRANSLATE(B36865,""en"",""de"")"),"Er spricht mit seinen Händen und klopft dann sehr leicht auf den Kongo.")</f>
        <v>Er spricht mit seinen Händen und klopft dann sehr leicht auf den Kongo.</v>
      </c>
    </row>
    <row r="36866">
      <c r="A36866" s="4" t="s">
        <v>46372</v>
      </c>
      <c r="B36866" s="4" t="s">
        <v>46375</v>
      </c>
      <c r="C36866" s="5" t="str">
        <f>IFERROR(__xludf.DUMMYFUNCTION("GOOGLETRANSLATE(B36866,""en"",""de"")"),"Er beginnt leicht auf dem Kongo in einem sehr langsamen Tempo zu klopfen und nachdem er ein bisschen davon getan hat, bleibt er wieder an, wieder zu reden.")</f>
        <v>Er beginnt leicht auf dem Kongo in einem sehr langsamen Tempo zu klopfen und nachdem er ein bisschen davon getan hat, bleibt er wieder an, wieder zu reden.</v>
      </c>
    </row>
    <row r="36867">
      <c r="A36867" s="4" t="s">
        <v>46372</v>
      </c>
      <c r="B36867" s="4" t="s">
        <v>46376</v>
      </c>
      <c r="C36867" s="5" t="str">
        <f>IFERROR(__xludf.DUMMYFUNCTION("GOOGLETRANSLATE(B36867,""en"",""de"")"),"Schließlich benutzt er beide Hände, um einen tatsächlichen Beat aufzubauen, und spricht mehr darüber.")</f>
        <v>Schließlich benutzt er beide Hände, um einen tatsächlichen Beat aufzubauen, und spricht mehr darüber.</v>
      </c>
    </row>
    <row r="36868">
      <c r="A36868" s="4" t="s">
        <v>46377</v>
      </c>
      <c r="B36868" s="4" t="s">
        <v>46378</v>
      </c>
      <c r="C36868" s="5" t="str">
        <f>IFERROR(__xludf.DUMMYFUNCTION("GOOGLETRANSLATE(B36868,""en"",""de"")"),"Vor einigen Zuschauern gibt es eine Frau, die schwarz gekleidet ist.")</f>
        <v>Vor einigen Zuschauern gibt es eine Frau, die schwarz gekleidet ist.</v>
      </c>
    </row>
    <row r="36869">
      <c r="A36869" s="4" t="s">
        <v>46377</v>
      </c>
      <c r="B36869" s="4" t="s">
        <v>46379</v>
      </c>
      <c r="C36869" s="5" t="str">
        <f>IFERROR(__xludf.DUMMYFUNCTION("GOOGLETRANSLATE(B36869,""en"",""de"")"),"Nachdem sie fertig ist, nimmt eine andere Frau sich an der Reihe und schlägt ein paar Schüsse.")</f>
        <v>Nachdem sie fertig ist, nimmt eine andere Frau sich an der Reihe und schlägt ein paar Schüsse.</v>
      </c>
    </row>
    <row r="36870">
      <c r="A36870" s="4" t="s">
        <v>46377</v>
      </c>
      <c r="B36870" s="4" t="s">
        <v>46380</v>
      </c>
      <c r="C36870" s="5" t="str">
        <f>IFERROR(__xludf.DUMMYFUNCTION("GOOGLETRANSLATE(B36870,""en"",""de"")"),"Der zweite Kandidat zielt und schießt den Ball in das Loch.")</f>
        <v>Der zweite Kandidat zielt und schießt den Ball in das Loch.</v>
      </c>
    </row>
    <row r="36871">
      <c r="A36871" s="4" t="s">
        <v>46377</v>
      </c>
      <c r="B36871" s="4" t="s">
        <v>46381</v>
      </c>
      <c r="C36871" s="5" t="str">
        <f>IFERROR(__xludf.DUMMYFUNCTION("GOOGLETRANSLATE(B36871,""en"",""de"")"),"Sie zielt genau und schießt die Bälle nacheinander in die Löcher, ohne einen einzigen Schuss zu verpassen.")</f>
        <v>Sie zielt genau und schießt die Bälle nacheinander in die Löcher, ohne einen einzigen Schuss zu verpassen.</v>
      </c>
    </row>
    <row r="36872">
      <c r="A36872" s="4" t="s">
        <v>46377</v>
      </c>
      <c r="B36872" s="4" t="s">
        <v>46382</v>
      </c>
      <c r="C36872" s="5" t="str">
        <f>IFERROR(__xludf.DUMMYFUNCTION("GOOGLETRANSLATE(B36872,""en"",""de"")"),"Sie konzentriert sich weiter und schießt die Kugeln, bis nur ein Ball auf dem Billardtisch übrig bleibt.")</f>
        <v>Sie konzentriert sich weiter und schießt die Kugeln, bis nur ein Ball auf dem Billardtisch übrig bleibt.</v>
      </c>
    </row>
    <row r="36873">
      <c r="A36873" s="4" t="s">
        <v>46383</v>
      </c>
      <c r="B36873" s="4" t="s">
        <v>46384</v>
      </c>
      <c r="C36873" s="5" t="str">
        <f>IFERROR(__xludf.DUMMYFUNCTION("GOOGLETRANSLATE(B36873,""en"",""de"")"),"Zwei Männer, die in Anzüge gekleidet sind, sehen sich mit einer Hand aufeinander zurück und halten die Hände mit der anderen und tanzen in eine Richtung, dann zurück in eine andere und lachen und trennen.")</f>
        <v>Zwei Männer, die in Anzüge gekleidet sind, sehen sich mit einer Hand aufeinander zurück und halten die Hände mit der anderen und tanzen in eine Richtung, dann zurück in eine andere und lachen und trennen.</v>
      </c>
    </row>
    <row r="36874">
      <c r="A36874" s="4" t="s">
        <v>46383</v>
      </c>
      <c r="B36874" s="4" t="s">
        <v>46385</v>
      </c>
      <c r="C36874" s="5" t="str">
        <f>IFERROR(__xludf.DUMMYFUNCTION("GOOGLETRANSLATE(B36874,""en"",""de"")"),"Genau dort, wo die Männer vom Tanzen getrennt sind, gibt es eine asiatische Frau, die jetzt im Mittelpunkt steht, wenn sie auf einer Akkordeon -Tastatur spielt.")</f>
        <v>Genau dort, wo die Männer vom Tanzen getrennt sind, gibt es eine asiatische Frau, die jetzt im Mittelpunkt steht, wenn sie auf einer Akkordeon -Tastatur spielt.</v>
      </c>
    </row>
    <row r="36875">
      <c r="A36875" s="4" t="s">
        <v>46383</v>
      </c>
      <c r="B36875" s="4" t="s">
        <v>46386</v>
      </c>
      <c r="C36875" s="5" t="str">
        <f>IFERROR(__xludf.DUMMYFUNCTION("GOOGLETRANSLATE(B36875,""en"",""de"")"),"Die Frau hört auf zu spielen, lacht und sieht aus und sagt etwas.")</f>
        <v>Die Frau hört auf zu spielen, lacht und sieht aus und sagt etwas.</v>
      </c>
    </row>
    <row r="36876">
      <c r="A36876" s="4" t="s">
        <v>46387</v>
      </c>
      <c r="B36876" s="4" t="s">
        <v>46388</v>
      </c>
      <c r="C36876" s="5" t="str">
        <f>IFERROR(__xludf.DUMMYFUNCTION("GOOGLETRANSLATE(B36876,""en"",""de"")"),"Ein Mann hält eine Gitarre und schaut zurück und vierten zwischen der Kamera und der Gitarre.")</f>
        <v>Ein Mann hält eine Gitarre und schaut zurück und vierten zwischen der Kamera und der Gitarre.</v>
      </c>
    </row>
    <row r="36877">
      <c r="A36877" s="4" t="s">
        <v>46387</v>
      </c>
      <c r="B36877" s="4" t="s">
        <v>46389</v>
      </c>
      <c r="C36877" s="5" t="str">
        <f>IFERROR(__xludf.DUMMYFUNCTION("GOOGLETRANSLATE(B36877,""en"",""de"")"),"Er bewegt seine Hände den Hals der Gitarre hinauf und singt sanft zur Kamera.")</f>
        <v>Er bewegt seine Hände den Hals der Gitarre hinauf und singt sanft zur Kamera.</v>
      </c>
    </row>
    <row r="36878">
      <c r="A36878" s="4" t="s">
        <v>46390</v>
      </c>
      <c r="B36878" s="4" t="s">
        <v>46391</v>
      </c>
      <c r="C36878" s="5" t="str">
        <f>IFERROR(__xludf.DUMMYFUNCTION("GOOGLETRANSLATE(B36878,""en"",""de"")"),"Eine Person in Pink macht Tai Chi.")</f>
        <v>Eine Person in Pink macht Tai Chi.</v>
      </c>
    </row>
    <row r="36879">
      <c r="A36879" s="4" t="s">
        <v>46390</v>
      </c>
      <c r="B36879" s="4" t="s">
        <v>46392</v>
      </c>
      <c r="C36879" s="5" t="str">
        <f>IFERROR(__xludf.DUMMYFUNCTION("GOOGLETRANSLATE(B36879,""en"",""de"")"),"Sie bewegt sich herum, macht aber im Grunde dasselbe grundlegende Sache.")</f>
        <v>Sie bewegt sich herum, macht aber im Grunde dasselbe grundlegende Sache.</v>
      </c>
    </row>
    <row r="36880">
      <c r="A36880" s="4" t="s">
        <v>46390</v>
      </c>
      <c r="B36880" s="4" t="s">
        <v>46393</v>
      </c>
      <c r="C36880" s="5" t="str">
        <f>IFERROR(__xludf.DUMMYFUNCTION("GOOGLETRANSLATE(B36880,""en"",""de"")"),"Sie hört auf und ist immer noch am Ende.")</f>
        <v>Sie hört auf und ist immer noch am Ende.</v>
      </c>
    </row>
    <row r="36881">
      <c r="A36881" s="4" t="s">
        <v>46394</v>
      </c>
      <c r="B36881" s="4" t="s">
        <v>46395</v>
      </c>
      <c r="C36881" s="5" t="str">
        <f>IFERROR(__xludf.DUMMYFUNCTION("GOOGLETRANSLATE(B36881,""en"",""de"")"),"Mehrere Athleten kämpfen um die Speer -Weltmeisterschaften.")</f>
        <v>Mehrere Athleten kämpfen um die Speer -Weltmeisterschaften.</v>
      </c>
    </row>
    <row r="36882">
      <c r="A36882" s="4" t="s">
        <v>46394</v>
      </c>
      <c r="B36882" s="4" t="s">
        <v>46396</v>
      </c>
      <c r="C36882" s="5" t="str">
        <f>IFERROR(__xludf.DUMMYFUNCTION("GOOGLETRANSLATE(B36882,""en"",""de"")"),"Der Russland Dimitri ist die 3. Bronzemedaille im Wettbewerb.")</f>
        <v>Der Russland Dimitri ist die 3. Bronzemedaille im Wettbewerb.</v>
      </c>
    </row>
    <row r="36883">
      <c r="A36883" s="4" t="s">
        <v>46394</v>
      </c>
      <c r="B36883" s="4" t="s">
        <v>46397</v>
      </c>
      <c r="C36883" s="5" t="str">
        <f>IFERROR(__xludf.DUMMYFUNCTION("GOOGLETRANSLATE(B36883,""en"",""de"")"),"Der japanische Jenki ist Silbermedaille.")</f>
        <v>Der japanische Jenki ist Silbermedaille.</v>
      </c>
    </row>
    <row r="36884">
      <c r="A36884" s="4" t="s">
        <v>46394</v>
      </c>
      <c r="B36884" s="4" t="s">
        <v>46398</v>
      </c>
      <c r="C36884" s="5" t="str">
        <f>IFERROR(__xludf.DUMMYFUNCTION("GOOGLETRANSLATE(B36884,""en"",""de"")"),"Bis aus Deutschland gewann die Goldmedaille.")</f>
        <v>Bis aus Deutschland gewann die Goldmedaille.</v>
      </c>
    </row>
    <row r="36885">
      <c r="A36885" s="4" t="s">
        <v>46399</v>
      </c>
      <c r="B36885" s="4" t="s">
        <v>46400</v>
      </c>
      <c r="C36885" s="5" t="str">
        <f>IFERROR(__xludf.DUMMYFUNCTION("GOOGLETRANSLATE(B36885,""en"",""de"")"),"Ein Intro führt in Hände, die ein Musikinstrument spielen sehen und gleichzeitig den Punkt auf dem Instrument pausieren.")</f>
        <v>Ein Intro führt in Hände, die ein Musikinstrument spielen sehen und gleichzeitig den Punkt auf dem Instrument pausieren.</v>
      </c>
    </row>
    <row r="36886">
      <c r="A36886" s="4" t="s">
        <v>46399</v>
      </c>
      <c r="B36886" s="4" t="s">
        <v>46401</v>
      </c>
      <c r="C36886" s="5" t="str">
        <f>IFERROR(__xludf.DUMMYFUNCTION("GOOGLETRANSLATE(B36886,""en"",""de"")"),"Er bewegt seine Hände weiter und wird dann gesehen, wie er mit der Kamera spricht.")</f>
        <v>Er bewegt seine Hände weiter und wird dann gesehen, wie er mit der Kamera spricht.</v>
      </c>
    </row>
    <row r="36887">
      <c r="A36887" s="4" t="s">
        <v>46402</v>
      </c>
      <c r="B36887" s="4" t="s">
        <v>46403</v>
      </c>
      <c r="C36887" s="5" t="str">
        <f>IFERROR(__xludf.DUMMYFUNCTION("GOOGLETRANSLATE(B36887,""en"",""de"")"),"Ein Mann, der chirurgische Kleidung trägt, zeigt den richtigen Weg, um die Hände für chirurgische Eingriffe zu waschen und zuerst Schmuck zu entfernen.")</f>
        <v>Ein Mann, der chirurgische Kleidung trägt, zeigt den richtigen Weg, um die Hände für chirurgische Eingriffe zu waschen und zuerst Schmuck zu entfernen.</v>
      </c>
    </row>
    <row r="36888">
      <c r="A36888" s="4" t="s">
        <v>46402</v>
      </c>
      <c r="B36888" s="4" t="s">
        <v>46404</v>
      </c>
      <c r="C36888" s="5" t="str">
        <f>IFERROR(__xludf.DUMMYFUNCTION("GOOGLETRANSLATE(B36888,""en"",""de"")"),"Der Chirurg benimmt dann die Hände und Anzeigenseife.")</f>
        <v>Der Chirurg benimmt dann die Hände und Anzeigenseife.</v>
      </c>
    </row>
    <row r="36889">
      <c r="A36889" s="4" t="s">
        <v>46402</v>
      </c>
      <c r="B36889" s="4" t="s">
        <v>46405</v>
      </c>
      <c r="C36889" s="5" t="str">
        <f>IFERROR(__xludf.DUMMYFUNCTION("GOOGLETRANSLATE(B36889,""en"",""de"")"),"Der Chirurg reibt dann die Handflächen zusammen und baut einen Schaum.")</f>
        <v>Der Chirurg reibt dann die Handflächen zusammen und baut einen Schaum.</v>
      </c>
    </row>
    <row r="36890">
      <c r="A36890" s="4" t="s">
        <v>46402</v>
      </c>
      <c r="B36890" s="4" t="s">
        <v>46406</v>
      </c>
      <c r="C36890" s="5" t="str">
        <f>IFERROR(__xludf.DUMMYFUNCTION("GOOGLETRANSLATE(B36890,""en"",""de"")"),"Dann reibt er mit Handfläche zurück.")</f>
        <v>Dann reibt er mit Handfläche zurück.</v>
      </c>
    </row>
    <row r="36891">
      <c r="A36891" s="4" t="s">
        <v>46402</v>
      </c>
      <c r="B36891" s="4" t="s">
        <v>46407</v>
      </c>
      <c r="C36891" s="5" t="str">
        <f>IFERROR(__xludf.DUMMYFUNCTION("GOOGLETRANSLATE(B36891,""en"",""de"")"),"Der Chirurg reibt dann mit den Händen den Rücken der Finger.")</f>
        <v>Der Chirurg reibt dann mit den Händen den Rücken der Finger.</v>
      </c>
    </row>
    <row r="36892">
      <c r="A36892" s="4" t="s">
        <v>46402</v>
      </c>
      <c r="B36892" s="4" t="s">
        <v>46408</v>
      </c>
      <c r="C36892" s="5" t="str">
        <f>IFERROR(__xludf.DUMMYFUNCTION("GOOGLETRANSLATE(B36892,""en"",""de"")"),"Dann reibt er die Daumen mit der Handfläche, die Daumen verkleinert.")</f>
        <v>Dann reibt er die Daumen mit der Handfläche, die Daumen verkleinert.</v>
      </c>
    </row>
    <row r="36893">
      <c r="A36893" s="4" t="s">
        <v>46402</v>
      </c>
      <c r="B36893" s="4" t="s">
        <v>46409</v>
      </c>
      <c r="C36893" s="5" t="str">
        <f>IFERROR(__xludf.DUMMYFUNCTION("GOOGLETRANSLATE(B36893,""en"",""de"")"),"Dann reibt er die Fingerspitzen in Handfläche.")</f>
        <v>Dann reibt er die Fingerspitzen in Handfläche.</v>
      </c>
    </row>
    <row r="36894">
      <c r="A36894" s="4" t="s">
        <v>46402</v>
      </c>
      <c r="B36894" s="4" t="s">
        <v>46410</v>
      </c>
      <c r="C36894" s="5" t="str">
        <f>IFERROR(__xludf.DUMMYFUNCTION("GOOGLETRANSLATE(B36894,""en"",""de"")"),"Dann reibt er die Handgelenke und spült die Hände in Wter und trocknet seine Hände vollständig.")</f>
        <v>Dann reibt er die Handgelenke und spült die Hände in Wter und trocknet seine Hände vollständig.</v>
      </c>
    </row>
    <row r="36895">
      <c r="A36895" s="4" t="s">
        <v>46411</v>
      </c>
      <c r="B36895" s="4" t="s">
        <v>46412</v>
      </c>
      <c r="C36895" s="5" t="str">
        <f>IFERROR(__xludf.DUMMYFUNCTION("GOOGLETRANSLATE(B36895,""en"",""de"")"),"Ein Tänzer steht von einem Stuhl von einem Stuhl auf.")</f>
        <v>Ein Tänzer steht von einem Stuhl von einem Stuhl auf.</v>
      </c>
    </row>
    <row r="36896">
      <c r="A36896" s="4" t="s">
        <v>46411</v>
      </c>
      <c r="B36896" s="4" t="s">
        <v>46413</v>
      </c>
      <c r="C36896" s="5" t="str">
        <f>IFERROR(__xludf.DUMMYFUNCTION("GOOGLETRANSLATE(B36896,""en"",""de"")"),"Er schiebt den Stuhl auf ihn weibliche Tanzpartner.")</f>
        <v>Er schiebt den Stuhl auf ihn weibliche Tanzpartner.</v>
      </c>
    </row>
    <row r="36897">
      <c r="A36897" s="4" t="s">
        <v>46411</v>
      </c>
      <c r="B36897" s="4" t="s">
        <v>46414</v>
      </c>
      <c r="C36897" s="5" t="str">
        <f>IFERROR(__xludf.DUMMYFUNCTION("GOOGLETRANSLATE(B36897,""en"",""de"")"),"Sie sitzt auf dem Stuhl.")</f>
        <v>Sie sitzt auf dem Stuhl.</v>
      </c>
    </row>
    <row r="36898">
      <c r="A36898" s="4" t="s">
        <v>46411</v>
      </c>
      <c r="B36898" s="4" t="s">
        <v>46415</v>
      </c>
      <c r="C36898" s="5" t="str">
        <f>IFERROR(__xludf.DUMMYFUNCTION("GOOGLETRANSLATE(B36898,""en"",""de"")"),"Er geht auf sie zu und holt sie vom Stuhl ab und sie tanzen.")</f>
        <v>Er geht auf sie zu und holt sie vom Stuhl ab und sie tanzen.</v>
      </c>
    </row>
    <row r="36899">
      <c r="A36899" s="4" t="s">
        <v>46411</v>
      </c>
      <c r="B36899" s="4" t="s">
        <v>46416</v>
      </c>
      <c r="C36899" s="5" t="str">
        <f>IFERROR(__xludf.DUMMYFUNCTION("GOOGLETRANSLATE(B36899,""en"",""de"")"),"Menschen im Publikum applaudieren.")</f>
        <v>Menschen im Publikum applaudieren.</v>
      </c>
    </row>
    <row r="36900">
      <c r="A36900" s="4" t="s">
        <v>46417</v>
      </c>
      <c r="B36900" s="4" t="s">
        <v>46418</v>
      </c>
      <c r="C36900" s="5" t="str">
        <f>IFERROR(__xludf.DUMMYFUNCTION("GOOGLETRANSLATE(B36900,""en"",""de"")"),"Ein Mädchen steht vor einer Kamera.")</f>
        <v>Ein Mädchen steht vor einer Kamera.</v>
      </c>
    </row>
    <row r="36901">
      <c r="A36901" s="4" t="s">
        <v>46417</v>
      </c>
      <c r="B36901" s="4" t="s">
        <v>46419</v>
      </c>
      <c r="C36901" s="5" t="str">
        <f>IFERROR(__xludf.DUMMYFUNCTION("GOOGLETRANSLATE(B36901,""en"",""de"")"),"Sie wendet hellrosa Lipgloss auf ihre Lippen.")</f>
        <v>Sie wendet hellrosa Lipgloss auf ihre Lippen.</v>
      </c>
    </row>
    <row r="36902">
      <c r="A36902" s="4" t="s">
        <v>46420</v>
      </c>
      <c r="B36902" s="4" t="s">
        <v>46421</v>
      </c>
      <c r="C36902" s="5" t="str">
        <f>IFERROR(__xludf.DUMMYFUNCTION("GOOGLETRANSLATE(B36902,""en"",""de"")"),"Ein Mann sitzt vor einem Zaun auf einem Skateboard und spricht mit der Kamera.")</f>
        <v>Ein Mann sitzt vor einem Zaun auf einem Skateboard und spricht mit der Kamera.</v>
      </c>
    </row>
    <row r="36903">
      <c r="A36903" s="4" t="s">
        <v>46420</v>
      </c>
      <c r="B36903" s="4" t="s">
        <v>46422</v>
      </c>
      <c r="C36903" s="5" t="str">
        <f>IFERROR(__xludf.DUMMYFUNCTION("GOOGLETRANSLATE(B36903,""en"",""de"")"),"Dann werden mehrere Aufnahmen gezeigt, von denen er mit der Kamera spricht und verschiedene Skateboard -Tricks in einem Park ausführen.")</f>
        <v>Dann werden mehrere Aufnahmen gezeigt, von denen er mit der Kamera spricht und verschiedene Skateboard -Tricks in einem Park ausführen.</v>
      </c>
    </row>
    <row r="36904">
      <c r="A36904" s="4" t="s">
        <v>46423</v>
      </c>
      <c r="B36904" s="4" t="s">
        <v>46424</v>
      </c>
      <c r="C36904" s="5" t="str">
        <f>IFERROR(__xludf.DUMMYFUNCTION("GOOGLETRANSLATE(B36904,""en"",""de"")"),"Zwei kleine Kinder stehen hinter einem Tisch mit einem schälen Zitronen und einem Jungen, der nebenbei beobachtet.")</f>
        <v>Zwei kleine Kinder stehen hinter einem Tisch mit einem schälen Zitronen und einem Jungen, der nebenbei beobachtet.</v>
      </c>
    </row>
    <row r="36905">
      <c r="A36905" s="4" t="s">
        <v>46423</v>
      </c>
      <c r="B36905" s="4" t="s">
        <v>46425</v>
      </c>
      <c r="C36905" s="5" t="str">
        <f>IFERROR(__xludf.DUMMYFUNCTION("GOOGLETRANSLATE(B36905,""en"",""de"")"),"Ein anderes Kind wird gesehen, wie sie Zitronen drückt und die Kinder arbeiten.")</f>
        <v>Ein anderes Kind wird gesehen, wie sie Zitronen drückt und die Kinder arbeiten.</v>
      </c>
    </row>
    <row r="36906">
      <c r="A36906" s="4" t="s">
        <v>46423</v>
      </c>
      <c r="B36906" s="4" t="s">
        <v>46426</v>
      </c>
      <c r="C36906" s="5" t="str">
        <f>IFERROR(__xludf.DUMMYFUNCTION("GOOGLETRANSLATE(B36906,""en"",""de"")"),"Die Kinder drücken weiterhin die Zitrone, während sie in die Kamera schauen und winken und nebenbei sprechen.")</f>
        <v>Die Kinder drücken weiterhin die Zitrone, während sie in die Kamera schauen und winken und nebenbei sprechen.</v>
      </c>
    </row>
    <row r="36907">
      <c r="A36907" s="4" t="s">
        <v>46427</v>
      </c>
      <c r="B36907" s="4" t="s">
        <v>46428</v>
      </c>
      <c r="C36907" s="5" t="str">
        <f>IFERROR(__xludf.DUMMYFUNCTION("GOOGLETRANSLATE(B36907,""en"",""de"")"),"Ein Mann bereitet sich darauf vor, einen Diskus zu werfen.")</f>
        <v>Ein Mann bereitet sich darauf vor, einen Diskus zu werfen.</v>
      </c>
    </row>
    <row r="36908">
      <c r="A36908" s="4" t="s">
        <v>46427</v>
      </c>
      <c r="B36908" s="4" t="s">
        <v>46429</v>
      </c>
      <c r="C36908" s="5" t="str">
        <f>IFERROR(__xludf.DUMMYFUNCTION("GOOGLETRANSLATE(B36908,""en"",""de"")"),"Mehrere Leute gehen herum und reden im Hintergrund.")</f>
        <v>Mehrere Leute gehen herum und reden im Hintergrund.</v>
      </c>
    </row>
    <row r="36909">
      <c r="A36909" s="4" t="s">
        <v>46427</v>
      </c>
      <c r="B36909" s="4" t="s">
        <v>46430</v>
      </c>
      <c r="C36909" s="5" t="str">
        <f>IFERROR(__xludf.DUMMYFUNCTION("GOOGLETRANSLATE(B36909,""en"",""de"")"),"Der Mann dreht sich und wirft den Diskus.")</f>
        <v>Der Mann dreht sich und wirft den Diskus.</v>
      </c>
    </row>
    <row r="36910">
      <c r="A36910" s="4" t="s">
        <v>46431</v>
      </c>
      <c r="B36910" s="4" t="s">
        <v>46432</v>
      </c>
      <c r="C36910" s="5" t="str">
        <f>IFERROR(__xludf.DUMMYFUNCTION("GOOGLETRANSLATE(B36910,""en"",""de"")"),"Eine Gruppe von Fahrradfahrern steht nebeneinander und spricht mit einem Mann vorne.")</f>
        <v>Eine Gruppe von Fahrradfahrern steht nebeneinander und spricht mit einem Mann vorne.</v>
      </c>
    </row>
    <row r="36911">
      <c r="A36911" s="4" t="s">
        <v>46431</v>
      </c>
      <c r="B36911" s="4" t="s">
        <v>46433</v>
      </c>
      <c r="C36911" s="5" t="str">
        <f>IFERROR(__xludf.DUMMYFUNCTION("GOOGLETRANSLATE(B36911,""en"",""de"")"),"Die Kamera dreht sich weiter um die Fahrer, die sich fertig machen und schließlich nach unten springen und entlang des Schmutzweges rennen.")</f>
        <v>Die Kamera dreht sich weiter um die Fahrer, die sich fertig machen und schließlich nach unten springen und entlang des Schmutzweges rennen.</v>
      </c>
    </row>
    <row r="36912">
      <c r="A36912" s="4" t="s">
        <v>46434</v>
      </c>
      <c r="B36912" s="4" t="s">
        <v>46435</v>
      </c>
      <c r="C36912" s="5" t="str">
        <f>IFERROR(__xludf.DUMMYFUNCTION("GOOGLETRANSLATE(B36912,""en"",""de"")"),"Ein junges Mädchen hat gesehen, wie sie ein Loch in die Oberseite eines Kürbis schneidet, gefolgt von ihren schaufeligen Samen und dem Ausschneiden der Seiten.")</f>
        <v>Ein junges Mädchen hat gesehen, wie sie ein Loch in die Oberseite eines Kürbis schneidet, gefolgt von ihren schaufeligen Samen und dem Ausschneiden der Seiten.</v>
      </c>
    </row>
    <row r="36913">
      <c r="A36913" s="4" t="s">
        <v>46434</v>
      </c>
      <c r="B36913" s="4" t="s">
        <v>46436</v>
      </c>
      <c r="C36913" s="5" t="str">
        <f>IFERROR(__xludf.DUMMYFUNCTION("GOOGLETRANSLATE(B36913,""en"",""de"")"),"Das Mädchen wischt den Kürbis ab und legt den Oberteil und zeigt den Kürbis im Dunkeln.")</f>
        <v>Das Mädchen wischt den Kürbis ab und legt den Oberteil und zeigt den Kürbis im Dunkeln.</v>
      </c>
    </row>
    <row r="36914">
      <c r="A36914" s="4" t="s">
        <v>46437</v>
      </c>
      <c r="B36914" s="4" t="s">
        <v>46438</v>
      </c>
      <c r="C36914" s="5" t="str">
        <f>IFERROR(__xludf.DUMMYFUNCTION("GOOGLETRANSLATE(B36914,""en"",""de"")"),"Eine Frau, die an einer Theke steht, die über die Herstellung von Schokoladenkeksen spricht.")</f>
        <v>Eine Frau, die an einer Theke steht, die über die Herstellung von Schokoladenkeksen spricht.</v>
      </c>
    </row>
    <row r="36915">
      <c r="A36915" s="4" t="s">
        <v>46437</v>
      </c>
      <c r="B36915" s="4" t="s">
        <v>46439</v>
      </c>
      <c r="C36915" s="5" t="str">
        <f>IFERROR(__xludf.DUMMYFUNCTION("GOOGLETRANSLATE(B36915,""en"",""de"")"),"Sie kombiniert und mischt die Zutaten mit einem Handmixer.")</f>
        <v>Sie kombiniert und mischt die Zutaten mit einem Handmixer.</v>
      </c>
    </row>
    <row r="36916">
      <c r="A36916" s="4" t="s">
        <v>46437</v>
      </c>
      <c r="B36916" s="4" t="s">
        <v>46440</v>
      </c>
      <c r="C36916" s="5" t="str">
        <f>IFERROR(__xludf.DUMMYFUNCTION("GOOGLETRANSLATE(B36916,""en"",""de"")"),"Sie legt dann Mehl in eine Schüssel, nachdem sie sie zusammen mit Backpulver gemessen hat.")</f>
        <v>Sie legt dann Mehl in eine Schüssel, nachdem sie sie zusammen mit Backpulver gemessen hat.</v>
      </c>
    </row>
    <row r="36917">
      <c r="A36917" s="4" t="s">
        <v>46437</v>
      </c>
      <c r="B36917" s="4" t="s">
        <v>46441</v>
      </c>
      <c r="C36917" s="5" t="str">
        <f>IFERROR(__xludf.DUMMYFUNCTION("GOOGLETRANSLATE(B36917,""en"",""de"")"),"Sie fügt es dem Keksteig hinzu und mischt ihn von Hand und fügt dann die Schokoladenstückchen hinzu.")</f>
        <v>Sie fügt es dem Keksteig hinzu und mischt ihn von Hand und fügt dann die Schokoladenstückchen hinzu.</v>
      </c>
    </row>
    <row r="36918">
      <c r="A36918" s="4" t="s">
        <v>46437</v>
      </c>
      <c r="B36918" s="4" t="s">
        <v>46442</v>
      </c>
      <c r="C36918" s="5" t="str">
        <f>IFERROR(__xludf.DUMMYFUNCTION("GOOGLETRANSLATE(B36918,""en"",""de"")"),"Sie misst dann den Teig aus einem Backblech zum Kochen.")</f>
        <v>Sie misst dann den Teig aus einem Backblech zum Kochen.</v>
      </c>
    </row>
    <row r="36919">
      <c r="A36919" s="4" t="s">
        <v>46437</v>
      </c>
      <c r="B36919" s="4" t="s">
        <v>46443</v>
      </c>
      <c r="C36919" s="5" t="str">
        <f>IFERROR(__xludf.DUMMYFUNCTION("GOOGLETRANSLATE(B36919,""en"",""de"")"),"Im Ofen gelegt und nach dem Abkühlen haben Sie Kekse.")</f>
        <v>Im Ofen gelegt und nach dem Abkühlen haben Sie Kekse.</v>
      </c>
    </row>
    <row r="36920">
      <c r="A36920" s="4" t="s">
        <v>46444</v>
      </c>
      <c r="B36920" s="4" t="s">
        <v>46445</v>
      </c>
      <c r="C36920" s="5" t="str">
        <f>IFERROR(__xludf.DUMMYFUNCTION("GOOGLETRANSLATE(B36920,""en"",""de"")"),"Ein Mädchen steht von einem Tisch in einer Küche.")</f>
        <v>Ein Mädchen steht von einem Tisch in einer Küche.</v>
      </c>
    </row>
    <row r="36921">
      <c r="A36921" s="4" t="s">
        <v>46444</v>
      </c>
      <c r="B36921" s="4" t="s">
        <v>46446</v>
      </c>
      <c r="C36921" s="5" t="str">
        <f>IFERROR(__xludf.DUMMYFUNCTION("GOOGLETRANSLATE(B36921,""en"",""de"")"),"Sie und ein anderes Mädchen haben eine Brille und Löffel.")</f>
        <v>Sie und ein anderes Mädchen haben eine Brille und Löffel.</v>
      </c>
    </row>
    <row r="36922">
      <c r="A36922" s="4" t="s">
        <v>46444</v>
      </c>
      <c r="B36922" s="4" t="s">
        <v>46447</v>
      </c>
      <c r="C36922" s="5" t="str">
        <f>IFERROR(__xludf.DUMMYFUNCTION("GOOGLETRANSLATE(B36922,""en"",""de"")"),"Sie essen die Substanz, während sie auf dem Boden sitzen.")</f>
        <v>Sie essen die Substanz, während sie auf dem Boden sitzen.</v>
      </c>
    </row>
    <row r="36923">
      <c r="A36923" s="4" t="s">
        <v>46448</v>
      </c>
      <c r="B36923" s="4" t="s">
        <v>46449</v>
      </c>
      <c r="C36923" s="5" t="str">
        <f>IFERROR(__xludf.DUMMYFUNCTION("GOOGLETRANSLATE(B36923,""en"",""de"")"),"Eine Person, die einen Elch hält, bewegt die Marionette und führt in jemanden, der eine Schachtel öffnet.")</f>
        <v>Eine Person, die einen Elch hält, bewegt die Marionette und führt in jemanden, der eine Schachtel öffnet.</v>
      </c>
    </row>
    <row r="36924">
      <c r="A36924" s="4" t="s">
        <v>46448</v>
      </c>
      <c r="B36924" s="4" t="s">
        <v>46450</v>
      </c>
      <c r="C36924" s="5" t="str">
        <f>IFERROR(__xludf.DUMMYFUNCTION("GOOGLETRANSLATE(B36924,""en"",""de"")"),"Die Person zieht Kürbisse aus dem Box und schneidet einen Kreis um die Oberseite.")</f>
        <v>Die Person zieht Kürbisse aus dem Box und schneidet einen Kreis um die Oberseite.</v>
      </c>
    </row>
    <row r="36925">
      <c r="A36925" s="4" t="s">
        <v>46448</v>
      </c>
      <c r="B36925" s="4" t="s">
        <v>46451</v>
      </c>
      <c r="C36925" s="5" t="str">
        <f>IFERROR(__xludf.DUMMYFUNCTION("GOOGLETRANSLATE(B36925,""en"",""de"")"),"Er schöpfert die Samen aus dem Kürbis, während er den Elch benutzt, und zeichnet mit einem Marker auf der Seite.")</f>
        <v>Er schöpfert die Samen aus dem Kürbis, während er den Elch benutzt, und zeichnet mit einem Marker auf der Seite.</v>
      </c>
    </row>
    <row r="36926">
      <c r="A36926" s="4" t="s">
        <v>46448</v>
      </c>
      <c r="B36926" s="4" t="s">
        <v>46452</v>
      </c>
      <c r="C36926" s="5" t="str">
        <f>IFERROR(__xludf.DUMMYFUNCTION("GOOGLETRANSLATE(B36926,""en"",""de"")"),"Er schneidet die Markerlinien um und setzt eine Kerze hinein, um einen Jack O Lantern zu machen.")</f>
        <v>Er schneidet die Markerlinien um und setzt eine Kerze hinein, um einen Jack O Lantern zu machen.</v>
      </c>
    </row>
    <row r="36927">
      <c r="A36927" s="4" t="s">
        <v>46453</v>
      </c>
      <c r="B36927" s="4" t="s">
        <v>46454</v>
      </c>
      <c r="C36927" s="5" t="str">
        <f>IFERROR(__xludf.DUMMYFUNCTION("GOOGLETRANSLATE(B36927,""en"",""de"")"),"Ein Mann filmt sich selbst in einem Badezimmer, während er einen Rasiermesser in der Nähe seines Gesichts hält.")</f>
        <v>Ein Mann filmt sich selbst in einem Badezimmer, während er einen Rasiermesser in der Nähe seines Gesichts hält.</v>
      </c>
    </row>
    <row r="36928">
      <c r="A36928" s="4" t="s">
        <v>46453</v>
      </c>
      <c r="B36928" s="4" t="s">
        <v>46455</v>
      </c>
      <c r="C36928" s="5" t="str">
        <f>IFERROR(__xludf.DUMMYFUNCTION("GOOGLETRANSLATE(B36928,""en"",""de"")"),"Er beginnt sanft die Seiten seines Gesichts zu rasieren und bewegt sich zu seinem Bart nach unten.")</f>
        <v>Er beginnt sanft die Seiten seines Gesichts zu rasieren und bewegt sich zu seinem Bart nach unten.</v>
      </c>
    </row>
    <row r="36929">
      <c r="A36929" s="4" t="s">
        <v>46453</v>
      </c>
      <c r="B36929" s="4" t="s">
        <v>46456</v>
      </c>
      <c r="C36929" s="5" t="str">
        <f>IFERROR(__xludf.DUMMYFUNCTION("GOOGLETRANSLATE(B36929,""en"",""de"")"),"Er rasiert den Bart weiter aus allen Winkeln und hinterlässt schließlich nur einen Fünf -0 -Schatten.")</f>
        <v>Er rasiert den Bart weiter aus allen Winkeln und hinterlässt schließlich nur einen Fünf -0 -Schatten.</v>
      </c>
    </row>
    <row r="36930">
      <c r="A36930" s="4" t="s">
        <v>46457</v>
      </c>
      <c r="B36930" s="4" t="s">
        <v>46458</v>
      </c>
      <c r="C36930" s="5" t="str">
        <f>IFERROR(__xludf.DUMMYFUNCTION("GOOGLETRANSLATE(B36930,""en"",""de"")"),"Eine weiße Frau mittleren Alters steht in einer Lobby neben einem Bild, das spricht.")</f>
        <v>Eine weiße Frau mittleren Alters steht in einer Lobby neben einem Bild, das spricht.</v>
      </c>
    </row>
    <row r="36931">
      <c r="A36931" s="4" t="s">
        <v>46457</v>
      </c>
      <c r="B36931" s="4" t="s">
        <v>46459</v>
      </c>
      <c r="C36931" s="5" t="str">
        <f>IFERROR(__xludf.DUMMYFUNCTION("GOOGLETRANSLATE(B36931,""en"",""de"")"),"Sie taucht dann in einem anderen Raum desselben Ortes wieder auf und spricht vor einem Spiegel, einer Vase und einem Werk.")</f>
        <v>Sie taucht dann in einem anderen Raum desselben Ortes wieder auf und spricht vor einem Spiegel, einer Vase und einem Werk.</v>
      </c>
    </row>
    <row r="36932">
      <c r="A36932" s="4" t="s">
        <v>46457</v>
      </c>
      <c r="B36932" s="4" t="s">
        <v>46460</v>
      </c>
      <c r="C36932" s="5" t="str">
        <f>IFERROR(__xludf.DUMMYFUNCTION("GOOGLETRANSLATE(B36932,""en"",""de"")"),"In ihrer Hand hat sie einen kleinen kreisförmigen Behälter mit Schuhpolitur und nimmt einen Lappen und taucht den Lappen in den Behälter ab.")</f>
        <v>In ihrer Hand hat sie einen kleinen kreisförmigen Behälter mit Schuhpolitur und nimmt einen Lappen und taucht den Lappen in den Behälter ab.</v>
      </c>
    </row>
    <row r="36933">
      <c r="A36933" s="4" t="s">
        <v>46457</v>
      </c>
      <c r="B36933" s="4" t="s">
        <v>46461</v>
      </c>
      <c r="C36933" s="5" t="str">
        <f>IFERROR(__xludf.DUMMYFUNCTION("GOOGLETRANSLATE(B36933,""en"",""de"")"),"Die Frau reinigt dann den männlichen Kleiderschuh mit dem Tuch und dem Politur.")</f>
        <v>Die Frau reinigt dann den männlichen Kleiderschuh mit dem Tuch und dem Politur.</v>
      </c>
    </row>
    <row r="36934">
      <c r="A36934" s="4" t="s">
        <v>46457</v>
      </c>
      <c r="B36934" s="4" t="s">
        <v>46462</v>
      </c>
      <c r="C36934" s="5" t="str">
        <f>IFERROR(__xludf.DUMMYFUNCTION("GOOGLETRANSLATE(B36934,""en"",""de"")"),"Sie nimmt dann eine Bürste und beginnt mit ihm über den Schuh zu gehen und macht kurz in der Pause und beginnt zu reden.")</f>
        <v>Sie nimmt dann eine Bürste und beginnt mit ihm über den Schuh zu gehen und macht kurz in der Pause und beginnt zu reden.</v>
      </c>
    </row>
    <row r="36935">
      <c r="A36935" s="4" t="s">
        <v>46463</v>
      </c>
      <c r="B36935" s="4" t="s">
        <v>46464</v>
      </c>
      <c r="C36935" s="5" t="str">
        <f>IFERROR(__xludf.DUMMYFUNCTION("GOOGLETRANSLATE(B36935,""en"",""de"")"),"Eine Gruppe von Mädchen wird gezeigt, die sich zusammen um ein Feld befinden, das zusammen zusammengearbeitet hat.")</f>
        <v>Eine Gruppe von Mädchen wird gezeigt, die sich zusammen um ein Feld befinden, das zusammen zusammengearbeitet hat.</v>
      </c>
    </row>
    <row r="36936">
      <c r="A36936" s="4" t="s">
        <v>46463</v>
      </c>
      <c r="B36936" s="4" t="s">
        <v>46465</v>
      </c>
      <c r="C36936" s="5" t="str">
        <f>IFERROR(__xludf.DUMMYFUNCTION("GOOGLETRANSLATE(B36936,""en"",""de"")"),"Die nächsten Schüsse sind von den Mädchen, die um das Feld herumlaufen, die den Ball zurück und vierten haben.")</f>
        <v>Die nächsten Schüsse sind von den Mädchen, die um das Feld herumlaufen, die den Ball zurück und vierten haben.</v>
      </c>
    </row>
    <row r="36937">
      <c r="A36937" s="4" t="s">
        <v>46463</v>
      </c>
      <c r="B36937" s="4" t="s">
        <v>46466</v>
      </c>
      <c r="C36937" s="5" t="str">
        <f>IFERROR(__xludf.DUMMYFUNCTION("GOOGLETRANSLATE(B36937,""en"",""de"")"),"Ein Mädchen schießt den Ball in das Tor und erreicht einen Punkt.")</f>
        <v>Ein Mädchen schießt den Ball in das Tor und erreicht einen Punkt.</v>
      </c>
    </row>
    <row r="36938">
      <c r="A36938" s="4" t="s">
        <v>46463</v>
      </c>
      <c r="B36938" s="4" t="s">
        <v>46467</v>
      </c>
      <c r="C36938" s="5" t="str">
        <f>IFERROR(__xludf.DUMMYFUNCTION("GOOGLETRANSLATE(B36938,""en"",""de"")"),"Ein anderer versucht später, ein Tor zu erzielen, wird aber vom Torwart blockiert.")</f>
        <v>Ein anderer versucht später, ein Tor zu erzielen, wird aber vom Torwart blockiert.</v>
      </c>
    </row>
    <row r="36939">
      <c r="A36939" s="4" t="s">
        <v>46468</v>
      </c>
      <c r="B36939" s="4" t="s">
        <v>46469</v>
      </c>
      <c r="C36939" s="5" t="str">
        <f>IFERROR(__xludf.DUMMYFUNCTION("GOOGLETRANSLATE(B36939,""en"",""de"")"),"Ein Mann hält Windex in der Nähe seiner Auto -Tür.")</f>
        <v>Ein Mann hält Windex in der Nähe seiner Auto -Tür.</v>
      </c>
    </row>
    <row r="36940">
      <c r="A36940" s="4" t="s">
        <v>46468</v>
      </c>
      <c r="B36940" s="4" t="s">
        <v>46470</v>
      </c>
      <c r="C36940" s="5" t="str">
        <f>IFERROR(__xludf.DUMMYFUNCTION("GOOGLETRANSLATE(B36940,""en"",""de"")"),"Der Mann sprüht dann das Fenster mit Windex und wischt das Fenster ab.")</f>
        <v>Der Mann sprüht dann das Fenster mit Windex und wischt das Fenster ab.</v>
      </c>
    </row>
    <row r="36941">
      <c r="A36941" s="4" t="s">
        <v>46468</v>
      </c>
      <c r="B36941" s="4" t="s">
        <v>46471</v>
      </c>
      <c r="C36941" s="5" t="str">
        <f>IFERROR(__xludf.DUMMYFUNCTION("GOOGLETRANSLATE(B36941,""en"",""de"")"),"Der Mann rollt das Fenster nach oben.")</f>
        <v>Der Mann rollt das Fenster nach oben.</v>
      </c>
    </row>
    <row r="36942">
      <c r="A36942" s="4" t="s">
        <v>46468</v>
      </c>
      <c r="B36942" s="4" t="s">
        <v>46472</v>
      </c>
      <c r="C36942" s="5" t="str">
        <f>IFERROR(__xludf.DUMMYFUNCTION("GOOGLETRANSLATE(B36942,""en"",""de"")"),"Der Mann beendet und rollt das Fenster nach unten, um ihm noch etwas abzuwischen.")</f>
        <v>Der Mann beendet und rollt das Fenster nach unten, um ihm noch etwas abzuwischen.</v>
      </c>
    </row>
    <row r="36943">
      <c r="A36943" s="4" t="s">
        <v>46473</v>
      </c>
      <c r="B36943" s="4" t="s">
        <v>25249</v>
      </c>
      <c r="C36943" s="5" t="str">
        <f>IFERROR(__xludf.DUMMYFUNCTION("GOOGLETRANSLATE(B36943,""en"",""de"")"),"Die Credits der Clips werden angezeigt.")</f>
        <v>Die Credits der Clips werden angezeigt.</v>
      </c>
    </row>
    <row r="36944">
      <c r="A36944" s="4" t="s">
        <v>46473</v>
      </c>
      <c r="B36944" s="4" t="s">
        <v>46474</v>
      </c>
      <c r="C36944" s="5" t="str">
        <f>IFERROR(__xludf.DUMMYFUNCTION("GOOGLETRANSLATE(B36944,""en"",""de"")"),"Jungs spielen Lacrosse auf einem Feld.")</f>
        <v>Jungs spielen Lacrosse auf einem Feld.</v>
      </c>
    </row>
    <row r="36945">
      <c r="A36945" s="4" t="s">
        <v>46473</v>
      </c>
      <c r="B36945" s="4" t="s">
        <v>46475</v>
      </c>
      <c r="C36945" s="5" t="str">
        <f>IFERROR(__xludf.DUMMYFUNCTION("GOOGLETRANSLATE(B36945,""en"",""de"")"),"Ein Mann schiebt einen Mann zu Boden.")</f>
        <v>Ein Mann schiebt einen Mann zu Boden.</v>
      </c>
    </row>
    <row r="36946">
      <c r="A36946" s="4" t="s">
        <v>46473</v>
      </c>
      <c r="B36946" s="4" t="s">
        <v>573</v>
      </c>
      <c r="C36946" s="5" t="str">
        <f>IFERROR(__xludf.DUMMYFUNCTION("GOOGLETRANSLATE(B36946,""en"",""de"")"),"Die Credits des Videos werden angezeigt.")</f>
        <v>Die Credits des Videos werden angezeigt.</v>
      </c>
    </row>
    <row r="36947">
      <c r="A36947" s="4" t="s">
        <v>46476</v>
      </c>
      <c r="B36947" s="4" t="s">
        <v>46477</v>
      </c>
      <c r="C36947" s="5" t="str">
        <f>IFERROR(__xludf.DUMMYFUNCTION("GOOGLETRANSLATE(B36947,""en"",""de"")"),"Es erscheint ein Spezialeffekt -Intro -Bildschirm, er ist hauptsächlich rot und enthält Wörter, die sagen, wie Sie Ihren Volleyball -Spike verbessern können.")</f>
        <v>Es erscheint ein Spezialeffekt -Intro -Bildschirm, er ist hauptsächlich rot und enthält Wörter, die sagen, wie Sie Ihren Volleyball -Spike verbessern können.</v>
      </c>
    </row>
    <row r="36948">
      <c r="A36948" s="4" t="s">
        <v>46476</v>
      </c>
      <c r="B36948" s="4" t="s">
        <v>46478</v>
      </c>
      <c r="C36948" s="5" t="str">
        <f>IFERROR(__xludf.DUMMYFUNCTION("GOOGLETRANSLATE(B36948,""en"",""de"")"),"In Zeitlupe befindet sich ein Mann auf einem Volleyballplatz, der Bewegungen zeigt, wie weißer Text erscheint, wie er bestimmte Bewegungen ausübt.")</f>
        <v>In Zeitlupe befindet sich ein Mann auf einem Volleyballplatz, der Bewegungen zeigt, wie weißer Text erscheint, wie er bestimmte Bewegungen ausübt.</v>
      </c>
    </row>
    <row r="36949">
      <c r="A36949" s="4" t="s">
        <v>46476</v>
      </c>
      <c r="B36949" s="4" t="s">
        <v>46479</v>
      </c>
      <c r="C36949" s="5" t="str">
        <f>IFERROR(__xludf.DUMMYFUNCTION("GOOGLETRANSLATE(B36949,""en"",""de"")"),"Wenn er einen roten Bildschirm erstellt hat, der eine Website in weißem Text enthält, die ""Acusspike Dot com"" von Say enthält und eine blaue Clip -Kunst zusammen mit einem weißen Volleyball enthält.")</f>
        <v>Wenn er einen roten Bildschirm erstellt hat, der eine Website in weißem Text enthält, die "Acusspike Dot com" von Say enthält und eine blaue Clip -Kunst zusammen mit einem weißen Volleyball enthält.</v>
      </c>
    </row>
    <row r="36950">
      <c r="A36950" s="4" t="s">
        <v>46480</v>
      </c>
      <c r="B36950" s="4" t="s">
        <v>46481</v>
      </c>
      <c r="C36950" s="5" t="str">
        <f>IFERROR(__xludf.DUMMYFUNCTION("GOOGLETRANSLATE(B36950,""en"",""de"")"),"Ein afroamerikanischer männlicher Turner in einem blauen Trikot tritt unter zwei Bars und beginnt sich zu dehnen.")</f>
        <v>Ein afroamerikanischer männlicher Turner in einem blauen Trikot tritt unter zwei Bars und beginnt sich zu dehnen.</v>
      </c>
    </row>
    <row r="36951">
      <c r="A36951" s="4" t="s">
        <v>46480</v>
      </c>
      <c r="B36951" s="4" t="s">
        <v>46482</v>
      </c>
      <c r="C36951" s="5" t="str">
        <f>IFERROR(__xludf.DUMMYFUNCTION("GOOGLETRANSLATE(B36951,""en"",""de"")"),"Er greift die Stangen und zieht sich in einen Handstand auf den Stangen.")</f>
        <v>Er greift die Stangen und zieht sich in einen Handstand auf den Stangen.</v>
      </c>
    </row>
    <row r="36952">
      <c r="A36952" s="4" t="s">
        <v>46480</v>
      </c>
      <c r="B36952" s="4" t="s">
        <v>46483</v>
      </c>
      <c r="C36952" s="5" t="str">
        <f>IFERROR(__xludf.DUMMYFUNCTION("GOOGLETRANSLATE(B36952,""en"",""de"")"),"Er macht weiterhin akrobatische Flips und kontinuierliche Flips.")</f>
        <v>Er macht weiterhin akrobatische Flips und kontinuierliche Flips.</v>
      </c>
    </row>
    <row r="36953">
      <c r="A36953" s="4" t="s">
        <v>46480</v>
      </c>
      <c r="B36953" s="4" t="s">
        <v>46484</v>
      </c>
      <c r="C36953" s="5" t="str">
        <f>IFERROR(__xludf.DUMMYFUNCTION("GOOGLETRANSLATE(B36953,""en"",""de"")"),"Sein nächster Flips besteht aus Spaltungen über den Stäben, gefolgt von Handständen.")</f>
        <v>Sein nächster Flips besteht aus Spaltungen über den Stäben, gefolgt von Handständen.</v>
      </c>
    </row>
    <row r="36954">
      <c r="A36954" s="4" t="s">
        <v>46480</v>
      </c>
      <c r="B36954" s="4" t="s">
        <v>46485</v>
      </c>
      <c r="C36954" s="5" t="str">
        <f>IFERROR(__xludf.DUMMYFUNCTION("GOOGLETRANSLATE(B36954,""en"",""de"")"),"Schließlich fließt er die Bars ab und landet auf der Matte, um seine Leistung zu vervollständigen.")</f>
        <v>Schließlich fließt er die Bars ab und landet auf der Matte, um seine Leistung zu vervollständigen.</v>
      </c>
    </row>
    <row r="36955">
      <c r="A36955" s="4" t="s">
        <v>46486</v>
      </c>
      <c r="B36955" s="4" t="s">
        <v>46487</v>
      </c>
      <c r="C36955" s="5" t="str">
        <f>IFERROR(__xludf.DUMMYFUNCTION("GOOGLETRANSLATE(B36955,""en"",""de"")"),"Ein Himmel mit der Sonne späht durch die Wolken.")</f>
        <v>Ein Himmel mit der Sonne späht durch die Wolken.</v>
      </c>
    </row>
    <row r="36956">
      <c r="A36956" s="4" t="s">
        <v>46486</v>
      </c>
      <c r="B36956" s="4" t="s">
        <v>46488</v>
      </c>
      <c r="C36956" s="5" t="str">
        <f>IFERROR(__xludf.DUMMYFUNCTION("GOOGLETRANSLATE(B36956,""en"",""de"")"),"Ein Mann ist auf einer Strecke vor einer Menge.")</f>
        <v>Ein Mann ist auf einer Strecke vor einer Menge.</v>
      </c>
    </row>
    <row r="36957">
      <c r="A36957" s="4" t="s">
        <v>46486</v>
      </c>
      <c r="B36957" s="4" t="s">
        <v>46489</v>
      </c>
      <c r="C36957" s="5" t="str">
        <f>IFERROR(__xludf.DUMMYFUNCTION("GOOGLETRANSLATE(B36957,""en"",""de"")"),"Er rennt und macht einen Weitsprung in Zeitlupe.")</f>
        <v>Er rennt und macht einen Weitsprung in Zeitlupe.</v>
      </c>
    </row>
    <row r="36958">
      <c r="A36958" s="4" t="s">
        <v>46486</v>
      </c>
      <c r="B36958" s="4" t="s">
        <v>46490</v>
      </c>
      <c r="C36958" s="5" t="str">
        <f>IFERROR(__xludf.DUMMYFUNCTION("GOOGLETRANSLATE(B36958,""en"",""de"")"),"Er feiert, als er die Medaille gewinnt.")</f>
        <v>Er feiert, als er die Medaille gewinnt.</v>
      </c>
    </row>
    <row r="36959">
      <c r="A36959" s="4" t="s">
        <v>46486</v>
      </c>
      <c r="B36959" s="4" t="s">
        <v>46491</v>
      </c>
      <c r="C36959" s="5" t="str">
        <f>IFERROR(__xludf.DUMMYFUNCTION("GOOGLETRANSLATE(B36959,""en"",""de"")"),"Ein Mann spricht über ihn.")</f>
        <v>Ein Mann spricht über ihn.</v>
      </c>
    </row>
    <row r="36960">
      <c r="A36960" s="4" t="s">
        <v>46486</v>
      </c>
      <c r="B36960" s="4" t="s">
        <v>46492</v>
      </c>
      <c r="C36960" s="5" t="str">
        <f>IFERROR(__xludf.DUMMYFUNCTION("GOOGLETRANSLATE(B36960,""en"",""de"")"),"Die Credits erscheinen am Ende.")</f>
        <v>Die Credits erscheinen am Ende.</v>
      </c>
    </row>
    <row r="36961">
      <c r="A36961" s="4" t="s">
        <v>46493</v>
      </c>
      <c r="B36961" s="4" t="s">
        <v>46494</v>
      </c>
      <c r="C36961" s="5" t="str">
        <f>IFERROR(__xludf.DUMMYFUNCTION("GOOGLETRANSLATE(B36961,""en"",""de"")"),"Ein Mann und eine Frau stehen in einem Wohnzimmer mit großen Sumo -Kostümen.")</f>
        <v>Ein Mann und eine Frau stehen in einem Wohnzimmer mit großen Sumo -Kostümen.</v>
      </c>
    </row>
    <row r="36962">
      <c r="A36962" s="4" t="s">
        <v>46493</v>
      </c>
      <c r="B36962" s="4" t="s">
        <v>46495</v>
      </c>
      <c r="C36962" s="5" t="str">
        <f>IFERROR(__xludf.DUMMYFUNCTION("GOOGLETRANSLATE(B36962,""en"",""de"")"),"Das Mädchen springt auf und dann versucht der Mann es zu sehen, wie schwer die Uniform ist.")</f>
        <v>Das Mädchen springt auf und dann versucht der Mann es zu sehen, wie schwer die Uniform ist.</v>
      </c>
    </row>
    <row r="36963">
      <c r="A36963" s="4" t="s">
        <v>46493</v>
      </c>
      <c r="B36963" s="4" t="s">
        <v>46496</v>
      </c>
      <c r="C36963" s="5" t="str">
        <f>IFERROR(__xludf.DUMMYFUNCTION("GOOGLETRANSLATE(B36963,""en"",""de"")"),"Als nächstes hält der Mann eine Tüte Zitronen hoch und beginnt zu reden, bevor sie ihre Kopfausrüstung anziehen.")</f>
        <v>Als nächstes hält der Mann eine Tüte Zitronen hoch und beginnt zu reden, bevor sie ihre Kopfausrüstung anziehen.</v>
      </c>
    </row>
    <row r="36964">
      <c r="A36964" s="4" t="s">
        <v>46493</v>
      </c>
      <c r="B36964" s="4" t="s">
        <v>46497</v>
      </c>
      <c r="C36964" s="5" t="str">
        <f>IFERROR(__xludf.DUMMYFUNCTION("GOOGLETRANSLATE(B36964,""en"",""de"")"),"Jetzt ist es Zeit für das Match und sie beginnen miteinander zu ringen.")</f>
        <v>Jetzt ist es Zeit für das Match und sie beginnen miteinander zu ringen.</v>
      </c>
    </row>
    <row r="36965">
      <c r="A36965" s="4" t="s">
        <v>46493</v>
      </c>
      <c r="B36965" s="4" t="s">
        <v>46498</v>
      </c>
      <c r="C36965" s="5" t="str">
        <f>IFERROR(__xludf.DUMMYFUNCTION("GOOGLETRANSLATE(B36965,""en"",""de"")"),"Sie haben dem Match jedoch eine Funktion hinzugefügt und jede Person muss Zitronen in den Hut des anderen stellen, um Punkte zu sammeln.")</f>
        <v>Sie haben dem Match jedoch eine Funktion hinzugefügt und jede Person muss Zitronen in den Hut des anderen stellen, um Punkte zu sammeln.</v>
      </c>
    </row>
    <row r="36966">
      <c r="A36966" s="4" t="s">
        <v>46493</v>
      </c>
      <c r="B36966" s="4" t="s">
        <v>46499</v>
      </c>
      <c r="C36966" s="5" t="str">
        <f>IFERROR(__xludf.DUMMYFUNCTION("GOOGLETRANSLATE(B36966,""en"",""de"")"),"Nach mehreren Versuchen gewinnt das Mädchen und die Punktzahl beträgt 4 bis 0.")</f>
        <v>Nach mehreren Versuchen gewinnt das Mädchen und die Punktzahl beträgt 4 bis 0.</v>
      </c>
    </row>
    <row r="36967">
      <c r="A36967" s="4" t="s">
        <v>46493</v>
      </c>
      <c r="B36967" s="4" t="s">
        <v>46500</v>
      </c>
      <c r="C36967" s="5" t="str">
        <f>IFERROR(__xludf.DUMMYFUNCTION("GOOGLETRANSLATE(B36967,""en"",""de"")"),"Jetzt beginnt die zweite Runde und das Ergebnis ist das gleiche wie der Girl Cheats zu gewinnen.")</f>
        <v>Jetzt beginnt die zweite Runde und das Ergebnis ist das gleiche wie der Girl Cheats zu gewinnen.</v>
      </c>
    </row>
    <row r="36968">
      <c r="A36968" s="4" t="s">
        <v>46501</v>
      </c>
      <c r="B36968" s="4" t="s">
        <v>46502</v>
      </c>
      <c r="C36968" s="5" t="str">
        <f>IFERROR(__xludf.DUMMYFUNCTION("GOOGLETRANSLATE(B36968,""en"",""de"")"),"Zwei Staubsauger erscheinen in einem grauen Raum.")</f>
        <v>Zwei Staubsauger erscheinen in einem grauen Raum.</v>
      </c>
    </row>
    <row r="36969">
      <c r="A36969" s="4" t="s">
        <v>46501</v>
      </c>
      <c r="B36969" s="4" t="s">
        <v>46503</v>
      </c>
      <c r="C36969" s="5" t="str">
        <f>IFERROR(__xludf.DUMMYFUNCTION("GOOGLETRANSLATE(B36969,""en"",""de"")"),"Einer der Vakuum verschwindet.")</f>
        <v>Einer der Vakuum verschwindet.</v>
      </c>
    </row>
    <row r="36970">
      <c r="A36970" s="4" t="s">
        <v>46501</v>
      </c>
      <c r="B36970" s="4" t="s">
        <v>46504</v>
      </c>
      <c r="C36970" s="5" t="str">
        <f>IFERROR(__xludf.DUMMYFUNCTION("GOOGLETRANSLATE(B36970,""en"",""de"")"),"Eine Dame steckt ihr Haus und leert dann das Vakuum.")</f>
        <v>Eine Dame steckt ihr Haus und leert dann das Vakuum.</v>
      </c>
    </row>
    <row r="36971">
      <c r="A36971" s="4" t="s">
        <v>46501</v>
      </c>
      <c r="B36971" s="4" t="s">
        <v>46505</v>
      </c>
      <c r="C36971" s="5" t="str">
        <f>IFERROR(__xludf.DUMMYFUNCTION("GOOGLETRANSLATE(B36971,""en"",""de"")"),"Die Dame steckt das Vakuum in einen Schrank.")</f>
        <v>Die Dame steckt das Vakuum in einen Schrank.</v>
      </c>
    </row>
    <row r="36972">
      <c r="A36972" s="4" t="s">
        <v>46501</v>
      </c>
      <c r="B36972" s="4" t="s">
        <v>46506</v>
      </c>
      <c r="C36972" s="5" t="str">
        <f>IFERROR(__xludf.DUMMYFUNCTION("GOOGLETRANSLATE(B36972,""en"",""de"")"),"Wir sehen einen Raum voller Schreibtische und Ingenieure, die Produkte entwerfen.")</f>
        <v>Wir sehen einen Raum voller Schreibtische und Ingenieure, die Produkte entwerfen.</v>
      </c>
    </row>
    <row r="36973">
      <c r="A36973" s="4" t="s">
        <v>46501</v>
      </c>
      <c r="B36973" s="4" t="s">
        <v>46507</v>
      </c>
      <c r="C36973" s="5" t="str">
        <f>IFERROR(__xludf.DUMMYFUNCTION("GOOGLETRANSLATE(B36973,""en"",""de"")"),"Drei Dyson -Lüfter drehen sich zur Kamera.")</f>
        <v>Drei Dyson -Lüfter drehen sich zur Kamera.</v>
      </c>
    </row>
    <row r="36974">
      <c r="A36974" s="4" t="s">
        <v>46508</v>
      </c>
      <c r="B36974" s="4" t="s">
        <v>46509</v>
      </c>
      <c r="C36974" s="5" t="str">
        <f>IFERROR(__xludf.DUMMYFUNCTION("GOOGLETRANSLATE(B36974,""en"",""de"")"),"Eine Frau spricht mit der Kamera und hält eine Dose hoch.")</f>
        <v>Eine Frau spricht mit der Kamera und hält eine Dose hoch.</v>
      </c>
    </row>
    <row r="36975">
      <c r="A36975" s="4" t="s">
        <v>46508</v>
      </c>
      <c r="B36975" s="4" t="s">
        <v>46510</v>
      </c>
      <c r="C36975" s="5" t="str">
        <f>IFERROR(__xludf.DUMMYFUNCTION("GOOGLETRANSLATE(B36975,""en"",""de"")"),"Dann faltet sie ein Stück Papier in ein Flugzeug und reibt es entlang der Pfanne.")</f>
        <v>Dann faltet sie ein Stück Papier in ein Flugzeug und reibt es entlang der Pfanne.</v>
      </c>
    </row>
    <row r="36976">
      <c r="A36976" s="4" t="s">
        <v>46508</v>
      </c>
      <c r="B36976" s="4" t="s">
        <v>46511</v>
      </c>
      <c r="C36976" s="5" t="str">
        <f>IFERROR(__xludf.DUMMYFUNCTION("GOOGLETRANSLATE(B36976,""en"",""de"")"),"Sie steckt dann einen Behälter in die Pfanne, während sie mit der Kamera spricht.")</f>
        <v>Sie steckt dann einen Behälter in die Pfanne, während sie mit der Kamera spricht.</v>
      </c>
    </row>
    <row r="36977">
      <c r="A36977" s="4" t="s">
        <v>46512</v>
      </c>
      <c r="B36977" s="4" t="s">
        <v>46513</v>
      </c>
      <c r="C36977" s="5" t="str">
        <f>IFERROR(__xludf.DUMMYFUNCTION("GOOGLETRANSLATE(B36977,""en"",""de"")"),"Ein Mann spricht mit der Kamera und zeigt Aufnahmen von Menschen, die Wasserball spielen.")</f>
        <v>Ein Mann spricht mit der Kamera und zeigt Aufnahmen von Menschen, die Wasserball spielen.</v>
      </c>
    </row>
    <row r="36978">
      <c r="A36978" s="4" t="s">
        <v>46512</v>
      </c>
      <c r="B36978" s="4" t="s">
        <v>46514</v>
      </c>
      <c r="C36978" s="5" t="str">
        <f>IFERROR(__xludf.DUMMYFUNCTION("GOOGLETRANSLATE(B36978,""en"",""de"")"),"Weitere Clips werden von Menschen gezeigt, die sowohl den Ball schlagen als auch der Gastgeber, der mit einem anderen Mann spricht.")</f>
        <v>Weitere Clips werden von Menschen gezeigt, die sowohl den Ball schlagen als auch der Gastgeber, der mit einem anderen Mann spricht.</v>
      </c>
    </row>
    <row r="36979">
      <c r="A36979" s="4" t="s">
        <v>46512</v>
      </c>
      <c r="B36979" s="4" t="s">
        <v>46515</v>
      </c>
      <c r="C36979" s="5" t="str">
        <f>IFERROR(__xludf.DUMMYFUNCTION("GOOGLETRANSLATE(B36979,""en"",""de"")"),"Weitere Clips werden von Menschen gezeigt, die im Pool spielen und miteinander lachen.")</f>
        <v>Weitere Clips werden von Menschen gezeigt, die im Pool spielen und miteinander lachen.</v>
      </c>
    </row>
    <row r="36980">
      <c r="A36980" s="4" t="s">
        <v>46516</v>
      </c>
      <c r="B36980" s="4" t="s">
        <v>46517</v>
      </c>
      <c r="C36980" s="5" t="str">
        <f>IFERROR(__xludf.DUMMYFUNCTION("GOOGLETRANSLATE(B36980,""en"",""de"")"),"Ein Mann läuft auf ein Paar Stelzen in einer Gasse.")</f>
        <v>Ein Mann läuft auf ein Paar Stelzen in einer Gasse.</v>
      </c>
    </row>
    <row r="36981">
      <c r="A36981" s="4" t="s">
        <v>46516</v>
      </c>
      <c r="B36981" s="4" t="s">
        <v>46518</v>
      </c>
      <c r="C36981" s="5" t="str">
        <f>IFERROR(__xludf.DUMMYFUNCTION("GOOGLETRANSLATE(B36981,""en"",""de"")"),"Er springt über ein Fahrrad, während er rennt.")</f>
        <v>Er springt über ein Fahrrad, während er rennt.</v>
      </c>
    </row>
    <row r="36982">
      <c r="A36982" s="4" t="s">
        <v>46516</v>
      </c>
      <c r="B36982" s="4" t="s">
        <v>46519</v>
      </c>
      <c r="C36982" s="5" t="str">
        <f>IFERROR(__xludf.DUMMYFUNCTION("GOOGLETRANSLATE(B36982,""en"",""de"")"),"Dann rennt er die Seitenverkleidung eines Gebäudes hinauf, bevor er um die Ecke verschwindet.")</f>
        <v>Dann rennt er die Seitenverkleidung eines Gebäudes hinauf, bevor er um die Ecke verschwindet.</v>
      </c>
    </row>
    <row r="36983">
      <c r="A36983" s="4" t="s">
        <v>46520</v>
      </c>
      <c r="B36983" s="4" t="s">
        <v>46521</v>
      </c>
      <c r="C36983" s="5" t="str">
        <f>IFERROR(__xludf.DUMMYFUNCTION("GOOGLETRANSLATE(B36983,""en"",""de"")"),"Cartoongebäude werden gezeigt, dann ein Paar Engel.")</f>
        <v>Cartoongebäude werden gezeigt, dann ein Paar Engel.</v>
      </c>
    </row>
    <row r="36984">
      <c r="A36984" s="4" t="s">
        <v>46520</v>
      </c>
      <c r="B36984" s="4" t="s">
        <v>46522</v>
      </c>
      <c r="C36984" s="5" t="str">
        <f>IFERROR(__xludf.DUMMYFUNCTION("GOOGLETRANSLATE(B36984,""en"",""de"")"),"Wir sehen einen Eimer mit Wäsche.")</f>
        <v>Wir sehen einen Eimer mit Wäsche.</v>
      </c>
    </row>
    <row r="36985">
      <c r="A36985" s="4" t="s">
        <v>46520</v>
      </c>
      <c r="B36985" s="4" t="s">
        <v>46523</v>
      </c>
      <c r="C36985" s="5" t="str">
        <f>IFERROR(__xludf.DUMMYFUNCTION("GOOGLETRANSLATE(B36985,""en"",""de"")"),"Das Video erklärt, wie das Waschen von Kleidung das Einweichen und Bürsten und das Händewaschen beinhalten sollte.")</f>
        <v>Das Video erklärt, wie das Waschen von Kleidung das Einweichen und Bürsten und das Händewaschen beinhalten sollte.</v>
      </c>
    </row>
    <row r="36986">
      <c r="A36986" s="4" t="s">
        <v>46520</v>
      </c>
      <c r="B36986" s="4" t="s">
        <v>46524</v>
      </c>
      <c r="C36986" s="5" t="str">
        <f>IFERROR(__xludf.DUMMYFUNCTION("GOOGLETRANSLATE(B36986,""en"",""de"")"),"Dann geht es darum, die Kleidung zum Trocknen abzuspülen und aufzuhängen.")</f>
        <v>Dann geht es darum, die Kleidung zum Trocknen abzuspülen und aufzuhängen.</v>
      </c>
    </row>
    <row r="36987">
      <c r="A36987" s="4" t="s">
        <v>46520</v>
      </c>
      <c r="B36987" s="4" t="s">
        <v>46525</v>
      </c>
      <c r="C36987" s="5" t="str">
        <f>IFERROR(__xludf.DUMMYFUNCTION("GOOGLETRANSLATE(B36987,""en"",""de"")"),"Wir sehen endlich einen leeren Trockner vor einer Anzeige für den Himmel von Wäschereien.")</f>
        <v>Wir sehen endlich einen leeren Trockner vor einer Anzeige für den Himmel von Wäschereien.</v>
      </c>
    </row>
    <row r="36988">
      <c r="A36988" s="4" t="s">
        <v>46526</v>
      </c>
      <c r="B36988" s="4" t="s">
        <v>46527</v>
      </c>
      <c r="C36988" s="5" t="str">
        <f>IFERROR(__xludf.DUMMYFUNCTION("GOOGLETRANSLATE(B36988,""en"",""de"")"),"Eine Gruppe kleiner Kinder befindet sich auf einem Spielplatz.")</f>
        <v>Eine Gruppe kleiner Kinder befindet sich auf einem Spielplatz.</v>
      </c>
    </row>
    <row r="36989">
      <c r="A36989" s="4" t="s">
        <v>46526</v>
      </c>
      <c r="B36989" s="4" t="s">
        <v>46528</v>
      </c>
      <c r="C36989" s="5" t="str">
        <f>IFERROR(__xludf.DUMMYFUNCTION("GOOGLETRANSLATE(B36989,""en"",""de"")"),"Sie hüpfen abwechselnd über ein auf dem Bürgersteig gezogener Hopscotch -Spiel.")</f>
        <v>Sie hüpfen abwechselnd über ein auf dem Bürgersteig gezogener Hopscotch -Spiel.</v>
      </c>
    </row>
    <row r="36990">
      <c r="A36990" s="4" t="s">
        <v>46526</v>
      </c>
      <c r="B36990" s="4" t="s">
        <v>46529</v>
      </c>
      <c r="C36990" s="5" t="str">
        <f>IFERROR(__xludf.DUMMYFUNCTION("GOOGLETRANSLATE(B36990,""en"",""de"")"),"Sie wechseln weiter und immer wieder ab.")</f>
        <v>Sie wechseln weiter und immer wieder ab.</v>
      </c>
    </row>
    <row r="36991">
      <c r="A36991" s="4" t="s">
        <v>46530</v>
      </c>
      <c r="B36991" s="4" t="s">
        <v>46531</v>
      </c>
      <c r="C36991" s="5" t="str">
        <f>IFERROR(__xludf.DUMMYFUNCTION("GOOGLETRANSLATE(B36991,""en"",""de"")"),"Ein Mann macht einen Rubiks -Würfel hinter einem Tisch.")</f>
        <v>Ein Mann macht einen Rubiks -Würfel hinter einem Tisch.</v>
      </c>
    </row>
    <row r="36992">
      <c r="A36992" s="4" t="s">
        <v>46530</v>
      </c>
      <c r="B36992" s="4" t="s">
        <v>46532</v>
      </c>
      <c r="C36992" s="5" t="str">
        <f>IFERROR(__xludf.DUMMYFUNCTION("GOOGLETRANSLATE(B36992,""en"",""de"")"),"Vor ihm befindet sich ein Timer auf dem Tisch.")</f>
        <v>Vor ihm befindet sich ein Timer auf dem Tisch.</v>
      </c>
    </row>
    <row r="36993">
      <c r="A36993" s="4" t="s">
        <v>46530</v>
      </c>
      <c r="B36993" s="4" t="s">
        <v>46533</v>
      </c>
      <c r="C36993" s="5" t="str">
        <f>IFERROR(__xludf.DUMMYFUNCTION("GOOGLETRANSLATE(B36993,""en"",""de"")"),"Er nimmt einen weiteren Rubiks -Würfel ab und beginnt damit zu vervollständigen.")</f>
        <v>Er nimmt einen weiteren Rubiks -Würfel ab und beginnt damit zu vervollständigen.</v>
      </c>
    </row>
    <row r="36994">
      <c r="A36994" s="4" t="s">
        <v>46534</v>
      </c>
      <c r="B36994" s="4" t="s">
        <v>46535</v>
      </c>
      <c r="C36994" s="5" t="str">
        <f>IFERROR(__xludf.DUMMYFUNCTION("GOOGLETRANSLATE(B36994,""en"",""de"")"),"Ein Mann ist im Begriff, ein Arm -Wrestling -Match mit einem älteren Herren zu machen.")</f>
        <v>Ein Mann ist im Begriff, ein Arm -Wrestling -Match mit einem älteren Herren zu machen.</v>
      </c>
    </row>
    <row r="36995">
      <c r="A36995" s="4" t="s">
        <v>46534</v>
      </c>
      <c r="B36995" s="4" t="s">
        <v>46536</v>
      </c>
      <c r="C36995" s="5" t="str">
        <f>IFERROR(__xludf.DUMMYFUNCTION("GOOGLETRANSLATE(B36995,""en"",""de"")"),"Der ältere Mann kämpft aus den Gesichtern, die er macht.")</f>
        <v>Der ältere Mann kämpft aus den Gesichtern, die er macht.</v>
      </c>
    </row>
    <row r="36996">
      <c r="A36996" s="4" t="s">
        <v>46534</v>
      </c>
      <c r="B36996" s="4" t="s">
        <v>46537</v>
      </c>
      <c r="C36996" s="5" t="str">
        <f>IFERROR(__xludf.DUMMYFUNCTION("GOOGLETRANSLATE(B36996,""en"",""de"")"),"Die Kamera werden im Grunde genommen alles in ihre Gesichter.")</f>
        <v>Die Kamera werden im Grunde genommen alles in ihre Gesichter.</v>
      </c>
    </row>
    <row r="36997">
      <c r="A36997" s="4" t="s">
        <v>46534</v>
      </c>
      <c r="B36997" s="4" t="s">
        <v>46538</v>
      </c>
      <c r="C36997" s="5" t="str">
        <f>IFERROR(__xludf.DUMMYFUNCTION("GOOGLETRANSLATE(B36997,""en"",""de"")"),"Der ältere Mann gewinnt das Match und die Schiedsrichter und alle beginnen zu reden.")</f>
        <v>Der ältere Mann gewinnt das Match und die Schiedsrichter und alle beginnen zu reden.</v>
      </c>
    </row>
    <row r="36998">
      <c r="A36998" s="4" t="s">
        <v>46539</v>
      </c>
      <c r="B36998" s="4" t="s">
        <v>46540</v>
      </c>
      <c r="C36998" s="5" t="str">
        <f>IFERROR(__xludf.DUMMYFUNCTION("GOOGLETRANSLATE(B36998,""en"",""de"")"),"Ein Intro in das Tanzen mit den Stars Shows, gefolgt von einem Mann, der Klavier spielt, und ein Paar, das in die Ferne schaut.")</f>
        <v>Ein Intro in das Tanzen mit den Stars Shows, gefolgt von einem Mann, der Klavier spielt, und ein Paar, das in die Ferne schaut.</v>
      </c>
    </row>
    <row r="36999">
      <c r="A36999" s="4" t="s">
        <v>46539</v>
      </c>
      <c r="B36999" s="4" t="s">
        <v>46541</v>
      </c>
      <c r="C36999" s="5" t="str">
        <f>IFERROR(__xludf.DUMMYFUNCTION("GOOGLETRANSLATE(B36999,""en"",""de"")"),"Die Frau beginnt Klavier zu spielen, als der Mann steht und sie packt.")</f>
        <v>Die Frau beginnt Klavier zu spielen, als der Mann steht und sie packt.</v>
      </c>
    </row>
    <row r="37000">
      <c r="A37000" s="4" t="s">
        <v>46539</v>
      </c>
      <c r="B37000" s="4" t="s">
        <v>46542</v>
      </c>
      <c r="C37000" s="5" t="str">
        <f>IFERROR(__xludf.DUMMYFUNCTION("GOOGLETRANSLATE(B37000,""en"",""de"")"),"Sie drehen sich um eine große Bühne herum, die von Hunderten von Menschen umgeben ist, die sie tanzen sehen.")</f>
        <v>Sie drehen sich um eine große Bühne herum, die von Hunderten von Menschen umgeben ist, die sie tanzen sehen.</v>
      </c>
    </row>
    <row r="37001">
      <c r="A37001" s="4" t="s">
        <v>46539</v>
      </c>
      <c r="B37001" s="4" t="s">
        <v>46543</v>
      </c>
      <c r="C37001" s="5" t="str">
        <f>IFERROR(__xludf.DUMMYFUNCTION("GOOGLETRANSLATE(B37001,""en"",""de"")"),"Der Mann nimmt sie auf und dreht sie um die Musik und endet mit dem Klatschen des Publikums.")</f>
        <v>Der Mann nimmt sie auf und dreht sie um die Musik und endet mit dem Klatschen des Publikums.</v>
      </c>
    </row>
    <row r="37002">
      <c r="A37002" s="4" t="s">
        <v>46544</v>
      </c>
      <c r="B37002" s="4" t="s">
        <v>46545</v>
      </c>
      <c r="C37002" s="5" t="str">
        <f>IFERROR(__xludf.DUMMYFUNCTION("GOOGLETRANSLATE(B37002,""en"",""de"")"),"Eine Gruppe von Menschen, die Stoßfängerautos fahren.")</f>
        <v>Eine Gruppe von Menschen, die Stoßfängerautos fahren.</v>
      </c>
    </row>
    <row r="37003">
      <c r="A37003" s="4" t="s">
        <v>46544</v>
      </c>
      <c r="B37003" s="4" t="s">
        <v>46546</v>
      </c>
      <c r="C37003" s="5" t="str">
        <f>IFERROR(__xludf.DUMMYFUNCTION("GOOGLETRANSLATE(B37003,""en"",""de"")"),"Der Begleiter überquert den Kurs, der den Stoßstangenautos ausweist.")</f>
        <v>Der Begleiter überquert den Kurs, der den Stoßstangenautos ausweist.</v>
      </c>
    </row>
    <row r="37004">
      <c r="A37004" s="4" t="s">
        <v>46544</v>
      </c>
      <c r="B37004" s="4" t="s">
        <v>46547</v>
      </c>
      <c r="C37004" s="5" t="str">
        <f>IFERROR(__xludf.DUMMYFUNCTION("GOOGLETRANSLATE(B37004,""en"",""de"")"),"Der Begleiter springt in ein Mädchenauto und hilft ihr, das Auto zu manövrieren.")</f>
        <v>Der Begleiter springt in ein Mädchenauto und hilft ihr, das Auto zu manövrieren.</v>
      </c>
    </row>
    <row r="37005">
      <c r="A37005" s="4" t="s">
        <v>46544</v>
      </c>
      <c r="B37005" s="4" t="s">
        <v>46548</v>
      </c>
      <c r="C37005" s="5" t="str">
        <f>IFERROR(__xludf.DUMMYFUNCTION("GOOGLETRANSLATE(B37005,""en"",""de"")"),"Der Begleiter läuft weiter über den Kurs und unterstützt die Fahrer, während die anderen Fahrer weiter ineinander abstürzen.")</f>
        <v>Der Begleiter läuft weiter über den Kurs und unterstützt die Fahrer, während die anderen Fahrer weiter ineinander abstürzen.</v>
      </c>
    </row>
    <row r="37006">
      <c r="A37006" s="4" t="s">
        <v>46549</v>
      </c>
      <c r="B37006" s="4" t="s">
        <v>46550</v>
      </c>
      <c r="C37006" s="5" t="str">
        <f>IFERROR(__xludf.DUMMYFUNCTION("GOOGLETRANSLATE(B37006,""en"",""de"")"),"Ein junges Mädchen sitzt vor einem Bildschirm und spricht, während sie eine Flasche blaues Mundwasser hält.")</f>
        <v>Ein junges Mädchen sitzt vor einem Bildschirm und spricht, während sie eine Flasche blaues Mundwasser hält.</v>
      </c>
    </row>
    <row r="37007">
      <c r="A37007" s="4" t="s">
        <v>46549</v>
      </c>
      <c r="B37007" s="4" t="s">
        <v>46551</v>
      </c>
      <c r="C37007" s="5" t="str">
        <f>IFERROR(__xludf.DUMMYFUNCTION("GOOGLETRANSLATE(B37007,""en"",""de"")"),"Das Mädchen nimmt dann den Mundwasser und fängt an, ihn über den Kopf zu setzen und mit is, während er lustige Gesichter macht.")</f>
        <v>Das Mädchen nimmt dann den Mundwasser und fängt an, ihn über den Kopf zu setzen und mit is, während er lustige Gesichter macht.</v>
      </c>
    </row>
    <row r="37008">
      <c r="A37008" s="4" t="s">
        <v>46549</v>
      </c>
      <c r="B37008" s="4" t="s">
        <v>46552</v>
      </c>
      <c r="C37008" s="5" t="str">
        <f>IFERROR(__xludf.DUMMYFUNCTION("GOOGLETRANSLATE(B37008,""en"",""de"")"),"Nachdem die Mädchen daraus genommen haben, nimmt es einen Schluck davon und beginnt, es gurgeln und hält es in ihrem Mund.")</f>
        <v>Nachdem die Mädchen daraus genommen haben, nimmt es einen Schluck davon und beginnt, es gurgeln und hält es in ihrem Mund.</v>
      </c>
    </row>
    <row r="37009">
      <c r="A37009" s="4" t="s">
        <v>46549</v>
      </c>
      <c r="B37009" s="4" t="s">
        <v>46553</v>
      </c>
      <c r="C37009" s="5" t="str">
        <f>IFERROR(__xludf.DUMMYFUNCTION("GOOGLETRANSLATE(B37009,""en"",""de"")"),"Schließlich spuckt sie es aus und nimmt etwas Wasser, bevor die Wiederholung gezeigt wird.")</f>
        <v>Schließlich spuckt sie es aus und nimmt etwas Wasser, bevor die Wiederholung gezeigt wird.</v>
      </c>
    </row>
    <row r="37010">
      <c r="A37010" s="4" t="s">
        <v>46554</v>
      </c>
      <c r="B37010" s="4" t="s">
        <v>46555</v>
      </c>
      <c r="C37010" s="5" t="str">
        <f>IFERROR(__xludf.DUMMYFUNCTION("GOOGLETRANSLATE(B37010,""en"",""de"")"),"Ein Mann in einer Schneejacke sitzt in einem Skiaufzug.")</f>
        <v>Ein Mann in einer Schneejacke sitzt in einem Skiaufzug.</v>
      </c>
    </row>
    <row r="37011">
      <c r="A37011" s="4" t="s">
        <v>46554</v>
      </c>
      <c r="B37011" s="4" t="s">
        <v>46556</v>
      </c>
      <c r="C37011" s="5" t="str">
        <f>IFERROR(__xludf.DUMMYFUNCTION("GOOGLETRANSLATE(B37011,""en"",""de"")"),"Ein Mann in der gelben Jacke hält eine Gummi -Inter -Röhre mit einem Seil und ein Kind in Skikleidung sitzen im Inneren.")</f>
        <v>Ein Mann in der gelben Jacke hält eine Gummi -Inter -Röhre mit einem Seil und ein Kind in Skikleidung sitzen im Inneren.</v>
      </c>
    </row>
    <row r="37012">
      <c r="A37012" s="4" t="s">
        <v>46554</v>
      </c>
      <c r="B37012" s="4" t="s">
        <v>46557</v>
      </c>
      <c r="C37012" s="5" t="str">
        <f>IFERROR(__xludf.DUMMYFUNCTION("GOOGLETRANSLATE(B37012,""en"",""de"")"),"Der Mann schiebt das Kind einen Skihang hinunter.")</f>
        <v>Der Mann schiebt das Kind einen Skihang hinunter.</v>
      </c>
    </row>
    <row r="37013">
      <c r="A37013" s="4" t="s">
        <v>46554</v>
      </c>
      <c r="B37013" s="4" t="s">
        <v>46558</v>
      </c>
      <c r="C37013" s="5" t="str">
        <f>IFERROR(__xludf.DUMMYFUNCTION("GOOGLETRANSLATE(B37013,""en"",""de"")"),"Das Kind fährt eine Reihe von Hügeln auf dem Gespräch hinunter.")</f>
        <v>Das Kind fährt eine Reihe von Hügeln auf dem Gespräch hinunter.</v>
      </c>
    </row>
    <row r="37014">
      <c r="A37014" s="4" t="s">
        <v>46554</v>
      </c>
      <c r="B37014" s="4" t="s">
        <v>46559</v>
      </c>
      <c r="C37014" s="5" t="str">
        <f>IFERROR(__xludf.DUMMYFUNCTION("GOOGLETRANSLATE(B37014,""en"",""de"")"),"Eine Frau versucht, das Kind zu stoppen und dann sein Gefühl zu holen.")</f>
        <v>Eine Frau versucht, das Kind zu stoppen und dann sein Gefühl zu holen.</v>
      </c>
    </row>
    <row r="37015">
      <c r="A37015" s="4" t="s">
        <v>46554</v>
      </c>
      <c r="B37015" s="4" t="s">
        <v>46560</v>
      </c>
      <c r="C37015" s="5" t="str">
        <f>IFERROR(__xludf.DUMMYFUNCTION("GOOGLETRANSLATE(B37015,""en"",""de"")"),"Eine Gruppe junger Mädchen und Jungen zieht Geschlechter hinauf einen Hügel hinauf.")</f>
        <v>Eine Gruppe junger Mädchen und Jungen zieht Geschlechter hinauf einen Hügel hinauf.</v>
      </c>
    </row>
    <row r="37016">
      <c r="A37016" s="4" t="s">
        <v>46554</v>
      </c>
      <c r="B37016" s="4" t="s">
        <v>46561</v>
      </c>
      <c r="C37016" s="5" t="str">
        <f>IFERROR(__xludf.DUMMYFUNCTION("GOOGLETRANSLATE(B37016,""en"",""de"")"),"Ein Kind in der grünen Jacke gerät in ein Gezeiten.")</f>
        <v>Ein Kind in der grünen Jacke gerät in ein Gezeiten.</v>
      </c>
    </row>
    <row r="37017">
      <c r="A37017" s="4" t="s">
        <v>46554</v>
      </c>
      <c r="B37017" s="4" t="s">
        <v>46562</v>
      </c>
      <c r="C37017" s="5" t="str">
        <f>IFERROR(__xludf.DUMMYFUNCTION("GOOGLETRANSLATE(B37017,""en"",""de"")"),"Das Kind wird über den Skihang und Schlitten nach unten gedrückt.")</f>
        <v>Das Kind wird über den Skihang und Schlitten nach unten gedrückt.</v>
      </c>
    </row>
    <row r="37018">
      <c r="A37018" s="4" t="s">
        <v>46554</v>
      </c>
      <c r="B37018" s="4" t="s">
        <v>46563</v>
      </c>
      <c r="C37018" s="5" t="str">
        <f>IFERROR(__xludf.DUMMYFUNCTION("GOOGLETRANSLATE(B37018,""en"",""de"")"),"Eine Frau im grauen Sweatshirt holt das Geflechter am Boden des Hangs zurück.")</f>
        <v>Eine Frau im grauen Sweatshirt holt das Geflechter am Boden des Hangs zurück.</v>
      </c>
    </row>
    <row r="37019">
      <c r="A37019" s="4" t="s">
        <v>46554</v>
      </c>
      <c r="B37019" s="4" t="s">
        <v>46564</v>
      </c>
      <c r="C37019" s="5" t="str">
        <f>IFERROR(__xludf.DUMMYFUNCTION("GOOGLETRANSLATE(B37019,""en"",""de"")"),"Ein Junge in der grünen Jacke wird den Ski -Hang hinuntergeschoben.")</f>
        <v>Ein Junge in der grünen Jacke wird den Ski -Hang hinuntergeschoben.</v>
      </c>
    </row>
    <row r="37020">
      <c r="A37020" s="4" t="s">
        <v>46554</v>
      </c>
      <c r="B37020" s="4" t="s">
        <v>46565</v>
      </c>
      <c r="C37020" s="5" t="str">
        <f>IFERROR(__xludf.DUMMYFUNCTION("GOOGLETRANSLATE(B37020,""en"",""de"")"),"Eine Frau, die ein graues Sweatshirt hat, holt das Geflecht am Boden des Hangs.")</f>
        <v>Eine Frau, die ein graues Sweatshirt hat, holt das Geflecht am Boden des Hangs.</v>
      </c>
    </row>
    <row r="37021">
      <c r="A37021" s="4" t="s">
        <v>46566</v>
      </c>
      <c r="B37021" s="4" t="s">
        <v>46567</v>
      </c>
      <c r="C37021" s="5" t="str">
        <f>IFERROR(__xludf.DUMMYFUNCTION("GOOGLETRANSLATE(B37021,""en"",""de"")"),"Eine Dame spricht mit der Kamera.")</f>
        <v>Eine Dame spricht mit der Kamera.</v>
      </c>
    </row>
    <row r="37022">
      <c r="A37022" s="4" t="s">
        <v>46566</v>
      </c>
      <c r="B37022" s="4" t="s">
        <v>46568</v>
      </c>
      <c r="C37022" s="5" t="str">
        <f>IFERROR(__xludf.DUMMYFUNCTION("GOOGLETRANSLATE(B37022,""en"",""de"")"),"Wir sehen, wie die Dame eine Flasche Hexe Hasel und ein Wattestäbchenpad und spricht.")</f>
        <v>Wir sehen, wie die Dame eine Flasche Hexe Hasel und ein Wattestäbchenpad und spricht.</v>
      </c>
    </row>
    <row r="37023">
      <c r="A37023" s="4" t="s">
        <v>46566</v>
      </c>
      <c r="B37023" s="4" t="s">
        <v>46569</v>
      </c>
      <c r="C37023" s="5" t="str">
        <f>IFERROR(__xludf.DUMMYFUNCTION("GOOGLETRANSLATE(B37023,""en"",""de"")"),"Die Dame hält eine Flasche Lotion hoch.")</f>
        <v>Die Dame hält eine Flasche Lotion hoch.</v>
      </c>
    </row>
    <row r="37024">
      <c r="A37024" s="4" t="s">
        <v>46566</v>
      </c>
      <c r="B37024" s="4" t="s">
        <v>46570</v>
      </c>
      <c r="C37024" s="5" t="str">
        <f>IFERROR(__xludf.DUMMYFUNCTION("GOOGLETRANSLATE(B37024,""en"",""de"")"),"Wir sehen, wie die Dame Lotion ins Gesicht legt und dann eine kleine Flasche Serum halten, die sie in ihr Gesicht legt.")</f>
        <v>Wir sehen, wie die Dame Lotion ins Gesicht legt und dann eine kleine Flasche Serum halten, die sie in ihr Gesicht legt.</v>
      </c>
    </row>
    <row r="37025">
      <c r="A37025" s="4" t="s">
        <v>46566</v>
      </c>
      <c r="B37025" s="4" t="s">
        <v>46571</v>
      </c>
      <c r="C37025" s="5" t="str">
        <f>IFERROR(__xludf.DUMMYFUNCTION("GOOGLETRANSLATE(B37025,""en"",""de"")"),"Wir sehen die Dame mit Make -up beim Gespräch mit der Kamera.")</f>
        <v>Wir sehen die Dame mit Make -up beim Gespräch mit der Kamera.</v>
      </c>
    </row>
    <row r="37026">
      <c r="A37026" s="4" t="s">
        <v>46572</v>
      </c>
      <c r="B37026" s="4" t="s">
        <v>46573</v>
      </c>
      <c r="C37026" s="5" t="str">
        <f>IFERROR(__xludf.DUMMYFUNCTION("GOOGLETRANSLATE(B37026,""en"",""de"")"),"1 Ein Kameramann beobachtet Männer auf Fahrrädern, die kurz vor dem Rennen stehen.")</f>
        <v>1 Ein Kameramann beobachtet Männer auf Fahrrädern, die kurz vor dem Rennen stehen.</v>
      </c>
    </row>
    <row r="37027">
      <c r="A37027" s="4" t="s">
        <v>46572</v>
      </c>
      <c r="B37027" s="4" t="s">
        <v>46574</v>
      </c>
      <c r="C37027" s="5" t="str">
        <f>IFERROR(__xludf.DUMMYFUNCTION("GOOGLETRANSLATE(B37027,""en"",""de"")"),"2 Das Rennen beginnt mit den Jungs auf Fahrrädern.")</f>
        <v>2 Das Rennen beginnt mit den Jungs auf Fahrrädern.</v>
      </c>
    </row>
    <row r="37028">
      <c r="A37028" s="4" t="s">
        <v>46572</v>
      </c>
      <c r="B37028" s="4" t="s">
        <v>46575</v>
      </c>
      <c r="C37028" s="5" t="str">
        <f>IFERROR(__xludf.DUMMYFUNCTION("GOOGLETRANSLATE(B37028,""en"",""de"")"),"3 Ein Mann wischt sich aus.")</f>
        <v>3 Ein Mann wischt sich aus.</v>
      </c>
    </row>
    <row r="37029">
      <c r="A37029" s="4" t="s">
        <v>46572</v>
      </c>
      <c r="B37029" s="4" t="s">
        <v>46576</v>
      </c>
      <c r="C37029" s="5" t="str">
        <f>IFERROR(__xludf.DUMMYFUNCTION("GOOGLETRANSLATE(B37029,""en"",""de"")"),"4 Das Rennen endet und die Jungs nehmen ihre Fahrräder.")</f>
        <v>4 Das Rennen endet und die Jungs nehmen ihre Fahrräder.</v>
      </c>
    </row>
    <row r="37030">
      <c r="A37030" s="4" t="s">
        <v>46577</v>
      </c>
      <c r="B37030" s="4" t="s">
        <v>46578</v>
      </c>
      <c r="C37030" s="5" t="str">
        <f>IFERROR(__xludf.DUMMYFUNCTION("GOOGLETRANSLATE(B37030,""en"",""de"")"),"Ein Mann fährt ein Boot, dann sitzen zwei Männer auf der Seite des Bootes, der Mann in der schwarzen Lebensweste befindet .")</f>
        <v>Ein Mann fährt ein Boot, dann sitzen zwei Männer auf der Seite des Bootes, der Mann in der schwarzen Lebensweste befindet .</v>
      </c>
    </row>
    <row r="37031">
      <c r="A37031" s="4" t="s">
        <v>46577</v>
      </c>
      <c r="B37031" s="4" t="s">
        <v>46579</v>
      </c>
      <c r="C37031" s="5" t="str">
        <f>IFERROR(__xludf.DUMMYFUNCTION("GOOGLETRANSLATE(B37031,""en"",""de"")"),"Der Mann weckt weiterhin ein, er drehte sich um und weckte dann auf dem Wasser.")</f>
        <v>Der Mann weckt weiterhin ein, er drehte sich um und weckte dann auf dem Wasser.</v>
      </c>
    </row>
    <row r="37032">
      <c r="A37032" s="4" t="s">
        <v>46580</v>
      </c>
      <c r="B37032" s="4" t="s">
        <v>46581</v>
      </c>
      <c r="C37032" s="5" t="str">
        <f>IFERROR(__xludf.DUMMYFUNCTION("GOOGLETRANSLATE(B37032,""en"",""de"")"),"Wir sehen einen Anweisungsbildschirm.")</f>
        <v>Wir sehen einen Anweisungsbildschirm.</v>
      </c>
    </row>
    <row r="37033">
      <c r="A37033" s="4" t="s">
        <v>46580</v>
      </c>
      <c r="B37033" s="4" t="s">
        <v>46582</v>
      </c>
      <c r="C37033" s="5" t="str">
        <f>IFERROR(__xludf.DUMMYFUNCTION("GOOGLETRANSLATE(B37033,""en"",""de"")"),"Wir sehen eine Person, die eine Kontaktlinse hält.")</f>
        <v>Wir sehen eine Person, die eine Kontaktlinse hält.</v>
      </c>
    </row>
    <row r="37034">
      <c r="A37034" s="4" t="s">
        <v>46580</v>
      </c>
      <c r="B37034" s="4" t="s">
        <v>46583</v>
      </c>
      <c r="C37034" s="5" t="str">
        <f>IFERROR(__xludf.DUMMYFUNCTION("GOOGLETRANSLATE(B37034,""en"",""de"")"),"Wir sehen einen weiteren Anweisungsbildschirm und sehen die Person links das Objektiv einfügt.")</f>
        <v>Wir sehen einen weiteren Anweisungsbildschirm und sehen die Person links das Objektiv einfügt.</v>
      </c>
    </row>
    <row r="37035">
      <c r="A37035" s="4" t="s">
        <v>46580</v>
      </c>
      <c r="B37035" s="4" t="s">
        <v>46584</v>
      </c>
      <c r="C37035" s="5" t="str">
        <f>IFERROR(__xludf.DUMMYFUNCTION("GOOGLETRANSLATE(B37035,""en"",""de"")"),"Ein weiterer Bildschirm mit Anweisungen und die Person fügt die rechte Linse ein.")</f>
        <v>Ein weiterer Bildschirm mit Anweisungen und die Person fügt die rechte Linse ein.</v>
      </c>
    </row>
    <row r="37036">
      <c r="A37036" s="4" t="s">
        <v>46580</v>
      </c>
      <c r="B37036" s="4" t="s">
        <v>46585</v>
      </c>
      <c r="C37036" s="5" t="str">
        <f>IFERROR(__xludf.DUMMYFUNCTION("GOOGLETRANSLATE(B37036,""en"",""de"")"),"Zwei Anweisungssätze erscheinen eine Person, die das linke und rechte Objektiv entfernt.")</f>
        <v>Zwei Anweisungssätze erscheinen eine Person, die das linke und rechte Objektiv entfernt.</v>
      </c>
    </row>
    <row r="37037">
      <c r="A37037" s="4" t="s">
        <v>46580</v>
      </c>
      <c r="B37037" s="4" t="s">
        <v>46586</v>
      </c>
      <c r="C37037" s="5" t="str">
        <f>IFERROR(__xludf.DUMMYFUNCTION("GOOGLETRANSLATE(B37037,""en"",""de"")"),"Die Person winkt auf die Kamera.")</f>
        <v>Die Person winkt auf die Kamera.</v>
      </c>
    </row>
    <row r="37038">
      <c r="A37038" s="4" t="s">
        <v>46587</v>
      </c>
      <c r="B37038" s="4" t="s">
        <v>46588</v>
      </c>
      <c r="C37038" s="5" t="str">
        <f>IFERROR(__xludf.DUMMYFUNCTION("GOOGLETRANSLATE(B37038,""en"",""de"")"),"Ein Mann fährt sehr schnell einen Hügel hinunter und hüpft zum Spaß einen.")</f>
        <v>Ein Mann fährt sehr schnell einen Hügel hinunter und hüpft zum Spaß einen.</v>
      </c>
    </row>
    <row r="37039">
      <c r="A37039" s="4" t="s">
        <v>46587</v>
      </c>
      <c r="B37039" s="4" t="s">
        <v>46589</v>
      </c>
      <c r="C37039" s="5" t="str">
        <f>IFERROR(__xludf.DUMMYFUNCTION("GOOGLETRANSLATE(B37039,""en"",""de"")"),"Er geht jetzt schwierig den Berg hinauf.")</f>
        <v>Er geht jetzt schwierig den Berg hinauf.</v>
      </c>
    </row>
    <row r="37040">
      <c r="A37040" s="4" t="s">
        <v>46587</v>
      </c>
      <c r="B37040" s="4" t="s">
        <v>46590</v>
      </c>
      <c r="C37040" s="5" t="str">
        <f>IFERROR(__xludf.DUMMYFUNCTION("GOOGLETRANSLATE(B37040,""en"",""de"")"),"Er fährt und geht verschiedene Hügel hinauf.")</f>
        <v>Er fährt und geht verschiedene Hügel hinauf.</v>
      </c>
    </row>
    <row r="37041">
      <c r="A37041" s="4" t="s">
        <v>46587</v>
      </c>
      <c r="B37041" s="4" t="s">
        <v>46591</v>
      </c>
      <c r="C37041" s="5" t="str">
        <f>IFERROR(__xludf.DUMMYFUNCTION("GOOGLETRANSLATE(B37041,""en"",""de"")"),"Ski einen ziemlich großen Hügel oder Berg hinunter.")</f>
        <v>Ski einen ziemlich großen Hügel oder Berg hinunter.</v>
      </c>
    </row>
    <row r="37042">
      <c r="A37042" s="4" t="s">
        <v>46587</v>
      </c>
      <c r="B37042" s="4" t="s">
        <v>46592</v>
      </c>
      <c r="C37042" s="5" t="str">
        <f>IFERROR(__xludf.DUMMYFUNCTION("GOOGLETRANSLATE(B37042,""en"",""de"")"),"Er springt von einem Hügel und versucht eine 360, fällt aber.")</f>
        <v>Er springt von einem Hügel und versucht eine 360, fällt aber.</v>
      </c>
    </row>
    <row r="37043">
      <c r="A37043" s="4" t="s">
        <v>46587</v>
      </c>
      <c r="B37043" s="4" t="s">
        <v>46593</v>
      </c>
      <c r="C37043" s="5" t="str">
        <f>IFERROR(__xludf.DUMMYFUNCTION("GOOGLETRANSLATE(B37043,""en"",""de"")"),"Er Ski zwischen ein paar Bäumen und auf einem Weg.")</f>
        <v>Er Ski zwischen ein paar Bäumen und auf einem Weg.</v>
      </c>
    </row>
    <row r="37044">
      <c r="A37044" s="4" t="s">
        <v>46594</v>
      </c>
      <c r="B37044" s="4" t="s">
        <v>46595</v>
      </c>
      <c r="C37044" s="5" t="str">
        <f>IFERROR(__xludf.DUMMYFUNCTION("GOOGLETRANSLATE(B37044,""en"",""de"")"),"Ein professionelles Tennisspiel wird während eines Turniers gespielt.")</f>
        <v>Ein professionelles Tennisspiel wird während eines Turniers gespielt.</v>
      </c>
    </row>
    <row r="37045">
      <c r="A37045" s="4" t="s">
        <v>46594</v>
      </c>
      <c r="B37045" s="4" t="s">
        <v>46596</v>
      </c>
      <c r="C37045" s="5" t="str">
        <f>IFERROR(__xludf.DUMMYFUNCTION("GOOGLETRANSLATE(B37045,""en"",""de"")"),"Die Spieler sprechen während des Spiels über Headsets.")</f>
        <v>Die Spieler sprechen während des Spiels über Headsets.</v>
      </c>
    </row>
    <row r="37046">
      <c r="A37046" s="4" t="s">
        <v>46594</v>
      </c>
      <c r="B37046" s="4" t="s">
        <v>46597</v>
      </c>
      <c r="C37046" s="5" t="str">
        <f>IFERROR(__xludf.DUMMYFUNCTION("GOOGLETRANSLATE(B37046,""en"",""de"")"),"Ein Mann bereitet sich darauf vor, den Ball zu servieren, um das Match zu starten.")</f>
        <v>Ein Mann bereitet sich darauf vor, den Ball zu servieren, um das Match zu starten.</v>
      </c>
    </row>
    <row r="37047">
      <c r="A37047" s="4" t="s">
        <v>46594</v>
      </c>
      <c r="B37047" s="4" t="s">
        <v>46598</v>
      </c>
      <c r="C37047" s="5" t="str">
        <f>IFERROR(__xludf.DUMMYFUNCTION("GOOGLETRANSLATE(B37047,""en"",""de"")"),"Der Mann dient den Ball und erzielt einen Punkt.")</f>
        <v>Der Mann dient den Ball und erzielt einen Punkt.</v>
      </c>
    </row>
    <row r="37048">
      <c r="A37048" s="4" t="s">
        <v>46594</v>
      </c>
      <c r="B37048" s="4" t="s">
        <v>46599</v>
      </c>
      <c r="C37048" s="5" t="str">
        <f>IFERROR(__xludf.DUMMYFUNCTION("GOOGLETRANSLATE(B37048,""en"",""de"")"),"Das gegnerische Team hat eine Reihe, um dem Ball zu dienen.")</f>
        <v>Das gegnerische Team hat eine Reihe, um dem Ball zu dienen.</v>
      </c>
    </row>
    <row r="37049">
      <c r="A37049" s="4" t="s">
        <v>46600</v>
      </c>
      <c r="B37049" s="4" t="s">
        <v>46601</v>
      </c>
      <c r="C37049" s="5" t="str">
        <f>IFERROR(__xludf.DUMMYFUNCTION("GOOGLETRANSLATE(B37049,""en"",""de"")"),"Ein Mann arbeitet außerhalb eines Hauses.")</f>
        <v>Ein Mann arbeitet außerhalb eines Hauses.</v>
      </c>
    </row>
    <row r="37050">
      <c r="A37050" s="4" t="s">
        <v>46600</v>
      </c>
      <c r="B37050" s="4" t="s">
        <v>46602</v>
      </c>
      <c r="C37050" s="5" t="str">
        <f>IFERROR(__xludf.DUMMYFUNCTION("GOOGLETRANSLATE(B37050,""en"",""de"")"),"Er benutzt einen Hammer und klemmt auf den Schindeln.")</f>
        <v>Er benutzt einen Hammer und klemmt auf den Schindeln.</v>
      </c>
    </row>
    <row r="37051">
      <c r="A37051" s="4" t="s">
        <v>46600</v>
      </c>
      <c r="B37051" s="4" t="s">
        <v>46603</v>
      </c>
      <c r="C37051" s="5" t="str">
        <f>IFERROR(__xludf.DUMMYFUNCTION("GOOGLETRANSLATE(B37051,""en"",""de"")"),"Er schlägt jedes Schindel mit dem Hammer vom Haus aus.")</f>
        <v>Er schlägt jedes Schindel mit dem Hammer vom Haus aus.</v>
      </c>
    </row>
    <row r="37052">
      <c r="A37052" s="4" t="s">
        <v>46604</v>
      </c>
      <c r="B37052" s="4" t="s">
        <v>46605</v>
      </c>
      <c r="C37052" s="5" t="str">
        <f>IFERROR(__xludf.DUMMYFUNCTION("GOOGLETRANSLATE(B37052,""en"",""de"")"),"Zuerst macht dieses Mädchen eine Rückenbiegung und dann macht ein anderes Mädchen einen Rückenwanderer.")</f>
        <v>Zuerst macht dieses Mädchen eine Rückenbiegung und dann macht ein anderes Mädchen einen Rückenwanderer.</v>
      </c>
    </row>
    <row r="37053">
      <c r="A37053" s="4" t="s">
        <v>46604</v>
      </c>
      <c r="B37053" s="4" t="s">
        <v>46606</v>
      </c>
      <c r="C37053" s="5" t="str">
        <f>IFERROR(__xludf.DUMMYFUNCTION("GOOGLETRANSLATE(B37053,""en"",""de"")"),"Dann macht jemand anderes ein Wagenrad und die gleiche Person macht eine Runde.")</f>
        <v>Dann macht jemand anderes ein Wagenrad und die gleiche Person macht eine Runde.</v>
      </c>
    </row>
    <row r="37054">
      <c r="A37054" s="4" t="s">
        <v>46604</v>
      </c>
      <c r="B37054" s="4" t="s">
        <v>46607</v>
      </c>
      <c r="C37054" s="5" t="str">
        <f>IFERROR(__xludf.DUMMYFUNCTION("GOOGLETRANSLATE(B37054,""en"",""de"")"),"Als nächstes macht jemand einen vorderen Walkover und ein anderes Mädchen stehende Handgesprüche zusammen mit anderen Menschen, die Gymnastic Moves machen.")</f>
        <v>Als nächstes macht jemand einen vorderen Walkover und ein anderes Mädchen stehende Handgesprüche zusammen mit anderen Menschen, die Gymnastic Moves machen.</v>
      </c>
    </row>
    <row r="37055">
      <c r="A37055" s="4" t="s">
        <v>46608</v>
      </c>
      <c r="B37055" s="4" t="s">
        <v>46609</v>
      </c>
      <c r="C37055" s="5" t="str">
        <f>IFERROR(__xludf.DUMMYFUNCTION("GOOGLETRANSLATE(B37055,""en"",""de"")"),"Ein Mann, der eine Tasche trägt, spricht mit der Kamera und führt zu einer Gruppe von Menschen, die in einem Floß reiten.")</f>
        <v>Ein Mann, der eine Tasche trägt, spricht mit der Kamera und führt zu einer Gruppe von Menschen, die in einem Floß reiten.</v>
      </c>
    </row>
    <row r="37056">
      <c r="A37056" s="4" t="s">
        <v>46608</v>
      </c>
      <c r="B37056" s="4" t="s">
        <v>46610</v>
      </c>
      <c r="C37056" s="5" t="str">
        <f>IFERROR(__xludf.DUMMYFUNCTION("GOOGLETRANSLATE(B37056,""en"",""de"")"),"Eine Person paddelt herum und dreht den Boden um und führt zurück in den Mann, der mit der Kamera spricht.")</f>
        <v>Eine Person paddelt herum und dreht den Boden um und führt zurück in den Mann, der mit der Kamera spricht.</v>
      </c>
    </row>
    <row r="37057">
      <c r="A37057" s="4" t="s">
        <v>46611</v>
      </c>
      <c r="B37057" s="4" t="s">
        <v>46612</v>
      </c>
      <c r="C37057" s="5" t="str">
        <f>IFERROR(__xludf.DUMMYFUNCTION("GOOGLETRANSLATE(B37057,""en"",""de"")"),"Eine Gruppe von Schlagzeuger, die in allen weißen Outfits gekleidet sind, spielen ein Lied.")</f>
        <v>Eine Gruppe von Schlagzeuger, die in allen weißen Outfits gekleidet sind, spielen ein Lied.</v>
      </c>
    </row>
    <row r="37058">
      <c r="A37058" s="4" t="s">
        <v>46611</v>
      </c>
      <c r="B37058" s="4" t="s">
        <v>46613</v>
      </c>
      <c r="C37058" s="5" t="str">
        <f>IFERROR(__xludf.DUMMYFUNCTION("GOOGLETRANSLATE(B37058,""en"",""de"")"),"Ein Ausbilder steht vor der Gruppe, die Anweisungen gibt.")</f>
        <v>Ein Ausbilder steht vor der Gruppe, die Anweisungen gibt.</v>
      </c>
    </row>
    <row r="37059">
      <c r="A37059" s="4" t="s">
        <v>46614</v>
      </c>
      <c r="B37059" s="4" t="s">
        <v>46615</v>
      </c>
      <c r="C37059" s="5" t="str">
        <f>IFERROR(__xludf.DUMMYFUNCTION("GOOGLETRANSLATE(B37059,""en"",""de"")"),"Der Mensch sitzt in einem Ofice und spricht mit der Kamera.")</f>
        <v>Der Mensch sitzt in einem Ofice und spricht mit der Kamera.</v>
      </c>
    </row>
    <row r="37060">
      <c r="A37060" s="4" t="s">
        <v>46614</v>
      </c>
      <c r="B37060" s="4" t="s">
        <v>46616</v>
      </c>
      <c r="C37060" s="5" t="str">
        <f>IFERROR(__xludf.DUMMYFUNCTION("GOOGLETRANSLATE(B37060,""en"",""de"")"),"Ein Tattoo wird im Rücken eines Mannes gezeigt und der Mann tätowiert ihn.")</f>
        <v>Ein Tattoo wird im Rücken eines Mannes gezeigt und der Mann tätowiert ihn.</v>
      </c>
    </row>
    <row r="37061">
      <c r="A37061" s="4" t="s">
        <v>46614</v>
      </c>
      <c r="B37061" s="4" t="s">
        <v>46617</v>
      </c>
      <c r="C37061" s="5" t="str">
        <f>IFERROR(__xludf.DUMMYFUNCTION("GOOGLETRANSLATE(B37061,""en"",""de"")"),"Der Mensch steht nicht auf dem Rücken.")</f>
        <v>Der Mensch steht nicht auf dem Rücken.</v>
      </c>
    </row>
    <row r="37062">
      <c r="A37062" s="4" t="s">
        <v>46618</v>
      </c>
      <c r="B37062" s="4" t="s">
        <v>46619</v>
      </c>
      <c r="C37062" s="5" t="str">
        <f>IFERROR(__xludf.DUMMYFUNCTION("GOOGLETRANSLATE(B37062,""en"",""de"")"),"Eine Gruppe von Kindern spielt auf einem Feld.")</f>
        <v>Eine Gruppe von Kindern spielt auf einem Feld.</v>
      </c>
    </row>
    <row r="37063">
      <c r="A37063" s="4" t="s">
        <v>46618</v>
      </c>
      <c r="B37063" s="4" t="s">
        <v>46620</v>
      </c>
      <c r="C37063" s="5" t="str">
        <f>IFERROR(__xludf.DUMMYFUNCTION("GOOGLETRANSLATE(B37063,""en"",""de"")"),"Die Trainer sprechen mit ihnen, während sie rennen.")</f>
        <v>Die Trainer sprechen mit ihnen, während sie rennen.</v>
      </c>
    </row>
    <row r="37064">
      <c r="A37064" s="4" t="s">
        <v>46618</v>
      </c>
      <c r="B37064" s="4" t="s">
        <v>46621</v>
      </c>
      <c r="C37064" s="5" t="str">
        <f>IFERROR(__xludf.DUMMYFUNCTION("GOOGLETRANSLATE(B37064,""en"",""de"")"),"Sie beschäftigen sich zusammen mit einem Lacrosse -Spiel.")</f>
        <v>Sie beschäftigen sich zusammen mit einem Lacrosse -Spiel.</v>
      </c>
    </row>
    <row r="37065">
      <c r="A37065" s="4" t="s">
        <v>46622</v>
      </c>
      <c r="B37065" s="4" t="s">
        <v>46623</v>
      </c>
      <c r="C37065" s="5" t="str">
        <f>IFERROR(__xludf.DUMMYFUNCTION("GOOGLETRANSLATE(B37065,""en"",""de"")"),"Eine große Gruppe von Menschen steht auf Eis, gefolgt von verschiedenen Lockenwerkzeugen und Menschen, die Sport spielen.")</f>
        <v>Eine große Gruppe von Menschen steht auf Eis, gefolgt von verschiedenen Lockenwerkzeugen und Menschen, die Sport spielen.</v>
      </c>
    </row>
    <row r="37066">
      <c r="A37066" s="4" t="s">
        <v>46622</v>
      </c>
      <c r="B37066" s="4" t="s">
        <v>46624</v>
      </c>
      <c r="C37066" s="5" t="str">
        <f>IFERROR(__xludf.DUMMYFUNCTION("GOOGLETRANSLATE(B37066,""en"",""de"")"),"Ein Mann zeigt Schuhe an und geht am Eis entlang, während ein anderer ihm hilft, zu laufen.")</f>
        <v>Ein Mann zeigt Schuhe an und geht am Eis entlang, während ein anderer ihm hilft, zu laufen.</v>
      </c>
    </row>
    <row r="37067">
      <c r="A37067" s="4" t="s">
        <v>46622</v>
      </c>
      <c r="B37067" s="4" t="s">
        <v>46625</v>
      </c>
      <c r="C37067" s="5" t="str">
        <f>IFERROR(__xludf.DUMMYFUNCTION("GOOGLETRANSLATE(B37067,""en"",""de"")"),"Die Männer bringen ihm weiterhin bei, wie man über dem Eis gleitet und mit dem Pinsel den Puck bewegt.")</f>
        <v>Die Männer bringen ihm weiterhin bei, wie man über dem Eis gleitet und mit dem Pinsel den Puck bewegt.</v>
      </c>
    </row>
    <row r="37068">
      <c r="A37068" s="4" t="s">
        <v>46626</v>
      </c>
      <c r="B37068" s="4" t="s">
        <v>46627</v>
      </c>
      <c r="C37068" s="5" t="str">
        <f>IFERROR(__xludf.DUMMYFUNCTION("GOOGLETRANSLATE(B37068,""en"",""de"")"),"Eine Gruppe von Männern befindet sich in einer sandigen Wüste.")</f>
        <v>Eine Gruppe von Männern befindet sich in einer sandigen Wüste.</v>
      </c>
    </row>
    <row r="37069">
      <c r="A37069" s="4" t="s">
        <v>46626</v>
      </c>
      <c r="B37069" s="4" t="s">
        <v>46628</v>
      </c>
      <c r="C37069" s="5" t="str">
        <f>IFERROR(__xludf.DUMMYFUNCTION("GOOGLETRANSLATE(B37069,""en"",""de"")"),"Sie klettern auf Kamele und reiten sie.")</f>
        <v>Sie klettern auf Kamele und reiten sie.</v>
      </c>
    </row>
    <row r="37070">
      <c r="A37070" s="4" t="s">
        <v>46626</v>
      </c>
      <c r="B37070" s="4" t="s">
        <v>46629</v>
      </c>
      <c r="C37070" s="5" t="str">
        <f>IFERROR(__xludf.DUMMYFUNCTION("GOOGLETRANSLATE(B37070,""en"",""de"")"),"Sie reiten die Kamele in Richtung einer Reihe von Pyramiden.")</f>
        <v>Sie reiten die Kamele in Richtung einer Reihe von Pyramiden.</v>
      </c>
    </row>
    <row r="37071">
      <c r="A37071" s="4" t="s">
        <v>46630</v>
      </c>
      <c r="B37071" s="4" t="s">
        <v>46631</v>
      </c>
      <c r="C37071" s="5" t="str">
        <f>IFERROR(__xludf.DUMMYFUNCTION("GOOGLETRANSLATE(B37071,""en"",""de"")"),"Wir sehen, wie ein Titelbildschirm ein- und ausblendt.")</f>
        <v>Wir sehen, wie ein Titelbildschirm ein- und ausblendt.</v>
      </c>
    </row>
    <row r="37072">
      <c r="A37072" s="4" t="s">
        <v>46630</v>
      </c>
      <c r="B37072" s="4" t="s">
        <v>46632</v>
      </c>
      <c r="C37072" s="5" t="str">
        <f>IFERROR(__xludf.DUMMYFUNCTION("GOOGLETRANSLATE(B37072,""en"",""de"")"),"Ein Mann und ein Hund spazieren in einem Trainingsraum.")</f>
        <v>Ein Mann und ein Hund spazieren in einem Trainingsraum.</v>
      </c>
    </row>
    <row r="37073">
      <c r="A37073" s="4" t="s">
        <v>46630</v>
      </c>
      <c r="B37073" s="4" t="s">
        <v>46633</v>
      </c>
      <c r="C37073" s="5" t="str">
        <f>IFERROR(__xludf.DUMMYFUNCTION("GOOGLETRANSLATE(B37073,""en"",""de"")"),"Der Mann wirft Frisbees, damit der Hund fangen kann.")</f>
        <v>Der Mann wirft Frisbees, damit der Hund fangen kann.</v>
      </c>
    </row>
    <row r="37074">
      <c r="A37074" s="4" t="s">
        <v>46630</v>
      </c>
      <c r="B37074" s="4" t="s">
        <v>46634</v>
      </c>
      <c r="C37074" s="5" t="str">
        <f>IFERROR(__xludf.DUMMYFUNCTION("GOOGLETRANSLATE(B37074,""en"",""de"")"),"Der Hund kann die Frisbee fangen, die sich an den Mann lehnt.")</f>
        <v>Der Hund kann die Frisbee fangen, die sich an den Mann lehnt.</v>
      </c>
    </row>
    <row r="37075">
      <c r="A37075" s="4" t="s">
        <v>46630</v>
      </c>
      <c r="B37075" s="4" t="s">
        <v>46635</v>
      </c>
      <c r="C37075" s="5" t="str">
        <f>IFERROR(__xludf.DUMMYFUNCTION("GOOGLETRANSLATE(B37075,""en"",""de"")"),"Der Hund springt in die Arme des Mannes.")</f>
        <v>Der Hund springt in die Arme des Mannes.</v>
      </c>
    </row>
    <row r="37076">
      <c r="A37076" s="4" t="s">
        <v>46630</v>
      </c>
      <c r="B37076" s="4" t="s">
        <v>777</v>
      </c>
      <c r="C37076" s="5" t="str">
        <f>IFERROR(__xludf.DUMMYFUNCTION("GOOGLETRANSLATE(B37076,""en"",""de"")"),"Wir sehen den End -Titelbildschirm.")</f>
        <v>Wir sehen den End -Titelbildschirm.</v>
      </c>
    </row>
    <row r="37077">
      <c r="A37077" s="4" t="s">
        <v>46636</v>
      </c>
      <c r="B37077" s="4" t="s">
        <v>46637</v>
      </c>
      <c r="C37077" s="5" t="str">
        <f>IFERROR(__xludf.DUMMYFUNCTION("GOOGLETRANSLATE(B37077,""en"",""de"")"),"Eine Tabelle mit verschiedenen geschnittenen Früchten erscheinen auf dem Bildschirm mit dem Titel ""Make Drinks"".")</f>
        <v>Eine Tabelle mit verschiedenen geschnittenen Früchten erscheinen auf dem Bildschirm mit dem Titel "Make Drinks".</v>
      </c>
    </row>
    <row r="37078">
      <c r="A37078" s="4" t="s">
        <v>46636</v>
      </c>
      <c r="B37078" s="4" t="s">
        <v>46638</v>
      </c>
      <c r="C37078" s="5" t="str">
        <f>IFERROR(__xludf.DUMMYFUNCTION("GOOGLETRANSLATE(B37078,""en"",""de"")"),"Eine Person schneidet und drückt Zitronen, gefolgt von dem Titel ""Make Limonade ist einfach und lustig"".")</f>
        <v>Eine Person schneidet und drückt Zitronen, gefolgt von dem Titel "Make Limonade ist einfach und lustig".</v>
      </c>
    </row>
    <row r="37079">
      <c r="A37079" s="4" t="s">
        <v>46636</v>
      </c>
      <c r="B37079" s="4" t="s">
        <v>46639</v>
      </c>
      <c r="C37079" s="5" t="str">
        <f>IFERROR(__xludf.DUMMYFUNCTION("GOOGLETRANSLATE(B37079,""en"",""de"")"),"Verschiedene Gegenstände, die für die Herstellung von Limonade benötigt werden, werden angezeigt und gefolgt von Interviews.")</f>
        <v>Verschiedene Gegenstände, die für die Herstellung von Limonade benötigt werden, werden angezeigt und gefolgt von Interviews.</v>
      </c>
    </row>
    <row r="37080">
      <c r="A37080" s="4" t="s">
        <v>46636</v>
      </c>
      <c r="B37080" s="4" t="s">
        <v>46640</v>
      </c>
      <c r="C37080" s="5" t="str">
        <f>IFERROR(__xludf.DUMMYFUNCTION("GOOGLETRANSLATE(B37080,""en"",""de"")"),"Jeder Schritt der Herstellung von Limonade wird angezeigt und mit dem Titel ""Title"" angezeigt.")</f>
        <v>Jeder Schritt der Herstellung von Limonade wird angezeigt und mit dem Titel "Title" angezeigt.</v>
      </c>
    </row>
    <row r="37081">
      <c r="A37081" s="4" t="s">
        <v>46636</v>
      </c>
      <c r="B37081" s="4" t="s">
        <v>46641</v>
      </c>
      <c r="C37081" s="5" t="str">
        <f>IFERROR(__xludf.DUMMYFUNCTION("GOOGLETRANSLATE(B37081,""en"",""de"")"),"Die Leute werden interviewt, die Limonade trinken.")</f>
        <v>Die Leute werden interviewt, die Limonade trinken.</v>
      </c>
    </row>
    <row r="37082">
      <c r="A37082" s="4" t="s">
        <v>46636</v>
      </c>
      <c r="B37082" s="4" t="s">
        <v>46642</v>
      </c>
      <c r="C37082" s="5" t="str">
        <f>IFERROR(__xludf.DUMMYFUNCTION("GOOGLETRANSLATE(B37082,""en"",""de"")"),"Ein ""Citrus Saturday"" -Logo erscheint mit verschiedenen unterstützenden Organisationslogos darunter.")</f>
        <v>Ein "Citrus Saturday" -Logo erscheint mit verschiedenen unterstützenden Organisationslogos darunter.</v>
      </c>
    </row>
    <row r="37083">
      <c r="A37083" s="4" t="s">
        <v>46643</v>
      </c>
      <c r="B37083" s="4" t="s">
        <v>46644</v>
      </c>
      <c r="C37083" s="5" t="str">
        <f>IFERROR(__xludf.DUMMYFUNCTION("GOOGLETRANSLATE(B37083,""en"",""de"")"),"Ein Intro erscheint mit leeren Brillen, einer Karte, die ""Audi Polo Challenge 2014"", eine Audi -Flagge, die im Wind bläst große Gruppe von Menschen in der Nähe und in einem Zelt, sowohl stehend als auch sitzend.")</f>
        <v>Ein Intro erscheint mit leeren Brillen, einer Karte, die "Audi Polo Challenge 2014", eine Audi -Flagge, die im Wind bläst große Gruppe von Menschen in der Nähe und in einem Zelt, sowohl stehend als auch sitzend.</v>
      </c>
    </row>
    <row r="37084">
      <c r="A37084" s="4" t="s">
        <v>46643</v>
      </c>
      <c r="B37084" s="4" t="s">
        <v>46645</v>
      </c>
      <c r="C37084" s="5" t="str">
        <f>IFERROR(__xludf.DUMMYFUNCTION("GOOGLETRANSLATE(B37084,""en"",""de"")"),"Das Polo -Match beginnt und die Männer reiten auf Hrosen, die sehr schnell laufen, da sie alle versuchen, den Ball mit ihren Stöcken zu treffen.")</f>
        <v>Das Polo -Match beginnt und die Männer reiten auf Hrosen, die sehr schnell laufen, da sie alle versuchen, den Ball mit ihren Stöcken zu treffen.</v>
      </c>
    </row>
    <row r="37085">
      <c r="A37085" s="4" t="s">
        <v>46643</v>
      </c>
      <c r="B37085" s="4" t="s">
        <v>46646</v>
      </c>
      <c r="C37085" s="5" t="str">
        <f>IFERROR(__xludf.DUMMYFUNCTION("GOOGLETRANSLATE(B37085,""en"",""de"")"),"Es gibt viele Prominente und sogar Könige bei diesem Polo -Event und werden ab und zu gezeigt, und manchmal werden sie auch interviewt.")</f>
        <v>Es gibt viele Prominente und sogar Könige bei diesem Polo -Event und werden ab und zu gezeigt, und manchmal werden sie auch interviewt.</v>
      </c>
    </row>
    <row r="37086">
      <c r="A37086" s="4" t="s">
        <v>46643</v>
      </c>
      <c r="B37086" s="4" t="s">
        <v>46647</v>
      </c>
      <c r="C37086" s="5" t="str">
        <f>IFERROR(__xludf.DUMMYFUNCTION("GOOGLETRANSLATE(B37086,""en"",""de"")"),"Zwischen den Spielen gehen die Menschen alle ins Gras und geben die Grasflecken wieder in die Löcher, die sie fehlen, und das Polo -Spiel wird für eine weitere Runde fortgesetzt.")</f>
        <v>Zwischen den Spielen gehen die Menschen alle ins Gras und geben die Grasflecken wieder in die Löcher, die sie fehlen, und das Polo -Spiel wird für eine weitere Runde fortgesetzt.</v>
      </c>
    </row>
    <row r="37087">
      <c r="A37087" s="4" t="s">
        <v>46643</v>
      </c>
      <c r="B37087" s="4" t="s">
        <v>46648</v>
      </c>
      <c r="C37087" s="5" t="str">
        <f>IFERROR(__xludf.DUMMYFUNCTION("GOOGLETRANSLATE(B37087,""en"",""de"")"),"Das Polo -Match endet und Prinz Harry und Prinz William erhalten separat eine weiße Schachtel von einem Mann, während sie sprechen und die Hand schütteln, während die Leute klatschen und Fotos machen.")</f>
        <v>Das Polo -Match endet und Prinz Harry und Prinz William erhalten separat eine weiße Schachtel von einem Mann, während sie sprechen und die Hand schütteln, während die Leute klatschen und Fotos machen.</v>
      </c>
    </row>
    <row r="37088">
      <c r="A37088" s="4" t="s">
        <v>46649</v>
      </c>
      <c r="B37088" s="4" t="s">
        <v>46650</v>
      </c>
      <c r="C37088" s="5" t="str">
        <f>IFERROR(__xludf.DUMMYFUNCTION("GOOGLETRANSLATE(B37088,""en"",""de"")"),"Die Menschen sind im Wald mit Röhrchen zu laufen und führen in sie im Wasser.")</f>
        <v>Die Menschen sind im Wald mit Röhrchen zu laufen und führen in sie im Wasser.</v>
      </c>
    </row>
    <row r="37089">
      <c r="A37089" s="4" t="s">
        <v>46649</v>
      </c>
      <c r="B37089" s="4" t="s">
        <v>46651</v>
      </c>
      <c r="C37089" s="5" t="str">
        <f>IFERROR(__xludf.DUMMYFUNCTION("GOOGLETRANSLATE(B37089,""en"",""de"")"),"Weitere Menschen klettern ins Wasser und sitzen auf ihre Röhren.")</f>
        <v>Weitere Menschen klettern ins Wasser und sitzen auf ihre Röhren.</v>
      </c>
    </row>
    <row r="37090">
      <c r="A37090" s="4" t="s">
        <v>46649</v>
      </c>
      <c r="B37090" s="4" t="s">
        <v>46652</v>
      </c>
      <c r="C37090" s="5" t="str">
        <f>IFERROR(__xludf.DUMMYFUNCTION("GOOGLETRANSLATE(B37090,""en"",""de"")"),"Es werden mehrere Nahaufnahmen von den Menschen zu sehen, die auf den Röhren reiten und im Wasser schwimmen.")</f>
        <v>Es werden mehrere Nahaufnahmen von den Menschen zu sehen, die auf den Röhren reiten und im Wasser schwimmen.</v>
      </c>
    </row>
    <row r="37091">
      <c r="A37091" s="4" t="s">
        <v>46653</v>
      </c>
      <c r="B37091" s="4" t="s">
        <v>46654</v>
      </c>
      <c r="C37091" s="5" t="str">
        <f>IFERROR(__xludf.DUMMYFUNCTION("GOOGLETRANSLATE(B37091,""en"",""de"")"),"Schrifte Anweisungen zum Makea -Hand legen im Bildschirm fest.")</f>
        <v>Schrifte Anweisungen zum Makea -Hand legen im Bildschirm fest.</v>
      </c>
    </row>
    <row r="37092">
      <c r="A37092" s="4" t="s">
        <v>46653</v>
      </c>
      <c r="B37092" s="4" t="s">
        <v>46655</v>
      </c>
      <c r="C37092" s="5" t="str">
        <f>IFERROR(__xludf.DUMMYFUNCTION("GOOGLETRANSLATE(B37092,""en"",""de"")"),"Der Mensch steht in einem Korbgericht, der den Ball trotzt und SHOs zum Korb macht.")</f>
        <v>Der Mensch steht in einem Korbgericht, der den Ball trotzt und SHOs zum Korb macht.</v>
      </c>
    </row>
    <row r="37093">
      <c r="A37093" s="4" t="s">
        <v>46653</v>
      </c>
      <c r="B37093" s="4" t="s">
        <v>46656</v>
      </c>
      <c r="C37093" s="5" t="str">
        <f>IFERROR(__xludf.DUMMYFUNCTION("GOOGLETRANSLATE(B37093,""en"",""de"")"),"Drei Korbspieler machen Aufnahmen und zeigen, wie man eine zwei Schritten -Technik macht.")</f>
        <v>Drei Korbspieler machen Aufnahmen und zeigen, wie man eine zwei Schritten -Technik macht.</v>
      </c>
    </row>
    <row r="37094">
      <c r="A37094" s="4" t="s">
        <v>46657</v>
      </c>
      <c r="B37094" s="4" t="s">
        <v>46658</v>
      </c>
      <c r="C37094" s="5" t="str">
        <f>IFERROR(__xludf.DUMMYFUNCTION("GOOGLETRANSLATE(B37094,""en"",""de"")"),"Zwei Kinder fahren in einem Lastwagen, der eine Straße entlang und Landschaften und die Kinder auf dem Fahrrad sitzen.")</f>
        <v>Zwei Kinder fahren in einem Lastwagen, der eine Straße entlang und Landschaften und die Kinder auf dem Fahrrad sitzen.</v>
      </c>
    </row>
    <row r="37095">
      <c r="A37095" s="4" t="s">
        <v>46657</v>
      </c>
      <c r="B37095" s="4" t="s">
        <v>46659</v>
      </c>
      <c r="C37095" s="5" t="str">
        <f>IFERROR(__xludf.DUMMYFUNCTION("GOOGLETRANSLATE(B37095,""en"",""de"")"),"Es werden mehrere Schüsse von den Kindern gezeigt, die miteinander um eine Schmutzstrecke reiten, während die Kamera sie überall einfängt.")</f>
        <v>Es werden mehrere Schüsse von den Kindern gezeigt, die miteinander um eine Schmutzstrecke reiten, während die Kamera sie überall einfängt.</v>
      </c>
    </row>
    <row r="37096">
      <c r="A37096" s="4" t="s">
        <v>46660</v>
      </c>
      <c r="B37096" s="4" t="s">
        <v>46661</v>
      </c>
      <c r="C37096" s="5" t="str">
        <f>IFERROR(__xludf.DUMMYFUNCTION("GOOGLETRANSLATE(B37096,""en"",""de"")"),"Es gibt eine Frau mit rot gefärbtem Haar, die ein schwarzes Tanktop und bedruckte schwarze Strumpfhose mit Rollschaufel durch die Straßen einer Stadt skaten.")</f>
        <v>Es gibt eine Frau mit rot gefärbtem Haar, die ein schwarzes Tanktop und bedruckte schwarze Strumpfhose mit Rollschaufel durch die Straßen einer Stadt skaten.</v>
      </c>
    </row>
    <row r="37097">
      <c r="A37097" s="4" t="s">
        <v>46660</v>
      </c>
      <c r="B37097" s="4" t="s">
        <v>46662</v>
      </c>
      <c r="C37097" s="5" t="str">
        <f>IFERROR(__xludf.DUMMYFUNCTION("GOOGLETRANSLATE(B37097,""en"",""de"")"),"Die Straßen haben keine Autos, aber die Leute fahren Fahrräder oder Skateboarden.")</f>
        <v>Die Straßen haben keine Autos, aber die Leute fahren Fahrräder oder Skateboarden.</v>
      </c>
    </row>
    <row r="37098">
      <c r="A37098" s="4" t="s">
        <v>46660</v>
      </c>
      <c r="B37098" s="4" t="s">
        <v>46663</v>
      </c>
      <c r="C37098" s="5" t="str">
        <f>IFERROR(__xludf.DUMMYFUNCTION("GOOGLETRANSLATE(B37098,""en"",""de"")"),"Die Frau schlägt schnell durch die überfüllten Straßen, als sie an mehreren Touristen vorbeikommt, die gemächlich laufen.")</f>
        <v>Die Frau schlägt schnell durch die überfüllten Straßen, als sie an mehreren Touristen vorbeikommt, die gemächlich laufen.</v>
      </c>
    </row>
    <row r="37099">
      <c r="A37099" s="4" t="s">
        <v>46664</v>
      </c>
      <c r="B37099" s="4" t="s">
        <v>46665</v>
      </c>
      <c r="C37099" s="5" t="str">
        <f>IFERROR(__xludf.DUMMYFUNCTION("GOOGLETRANSLATE(B37099,""en"",""de"")"),"Ein Mann fliegt mit einem Motorrad in die Luft.")</f>
        <v>Ein Mann fliegt mit einem Motorrad in die Luft.</v>
      </c>
    </row>
    <row r="37100">
      <c r="A37100" s="4" t="s">
        <v>46664</v>
      </c>
      <c r="B37100" s="4" t="s">
        <v>46666</v>
      </c>
      <c r="C37100" s="5" t="str">
        <f>IFERROR(__xludf.DUMMYFUNCTION("GOOGLETRANSLATE(B37100,""en"",""de"")"),"Ein Mann macht eine Motocross -Schaltung mit einer schweren Maschine.")</f>
        <v>Ein Mann macht eine Motocross -Schaltung mit einer schweren Maschine.</v>
      </c>
    </row>
    <row r="37101">
      <c r="A37101" s="4" t="s">
        <v>46664</v>
      </c>
      <c r="B37101" s="4" t="s">
        <v>46667</v>
      </c>
      <c r="C37101" s="5" t="str">
        <f>IFERROR(__xludf.DUMMYFUNCTION("GOOGLETRANSLATE(B37101,""en"",""de"")"),"Die Leute rennen Motocross auf einer holprigen Straße.")</f>
        <v>Die Leute rennen Motocross auf einer holprigen Straße.</v>
      </c>
    </row>
    <row r="37102">
      <c r="A37102" s="4" t="s">
        <v>46664</v>
      </c>
      <c r="B37102" s="4" t="s">
        <v>46668</v>
      </c>
      <c r="C37102" s="5" t="str">
        <f>IFERROR(__xludf.DUMMYFUNCTION("GOOGLETRANSLATE(B37102,""en"",""de"")"),"Die Leute fahren Motorrad auf Rampen, fliegt dann und dreht sich in die Luft.")</f>
        <v>Die Leute fahren Motorrad auf Rampen, fliegt dann und dreht sich in die Luft.</v>
      </c>
    </row>
    <row r="37103">
      <c r="A37103" s="4" t="s">
        <v>46669</v>
      </c>
      <c r="B37103" s="4" t="s">
        <v>46670</v>
      </c>
      <c r="C37103" s="5" t="str">
        <f>IFERROR(__xludf.DUMMYFUNCTION("GOOGLETRANSLATE(B37103,""en"",""de"")"),"Männer gehen zu einem Fahrradladen und spricht mit dem Mann im Inneren.")</f>
        <v>Männer gehen zu einem Fahrradladen und spricht mit dem Mann im Inneren.</v>
      </c>
    </row>
    <row r="37104">
      <c r="A37104" s="4" t="s">
        <v>46669</v>
      </c>
      <c r="B37104" s="4" t="s">
        <v>46671</v>
      </c>
      <c r="C37104" s="5" t="str">
        <f>IFERROR(__xludf.DUMMYFUNCTION("GOOGLETRANSLATE(B37104,""en"",""de"")"),"Sie versammeln verschiedene Teile des Fahrrads.")</f>
        <v>Sie versammeln verschiedene Teile des Fahrrads.</v>
      </c>
    </row>
    <row r="37105">
      <c r="A37105" s="4" t="s">
        <v>46669</v>
      </c>
      <c r="B37105" s="4" t="s">
        <v>46672</v>
      </c>
      <c r="C37105" s="5" t="str">
        <f>IFERROR(__xludf.DUMMYFUNCTION("GOOGLETRANSLATE(B37105,""en"",""de"")"),"Der Mann verabschiedet sich und verlässt das Geschäft und komme nach Hause, wo der Mann das Fahrrad trägt und es in ein Wohnzimmer legt.")</f>
        <v>Der Mann verabschiedet sich und verlässt das Geschäft und komme nach Hause, wo der Mann das Fahrrad trägt und es in ein Wohnzimmer legt.</v>
      </c>
    </row>
    <row r="37106">
      <c r="A37106" s="4" t="s">
        <v>46669</v>
      </c>
      <c r="B37106" s="4" t="s">
        <v>46673</v>
      </c>
      <c r="C37106" s="5" t="str">
        <f>IFERROR(__xludf.DUMMYFUNCTION("GOOGLETRANSLATE(B37106,""en"",""de"")"),"Der Mensch wächst auf White Papers und repariert das Fahrrad in der Garage.")</f>
        <v>Der Mensch wächst auf White Papers und repariert das Fahrrad in der Garage.</v>
      </c>
    </row>
    <row r="37107">
      <c r="A37107" s="4" t="s">
        <v>46674</v>
      </c>
      <c r="B37107" s="4" t="s">
        <v>46675</v>
      </c>
      <c r="C37107" s="5" t="str">
        <f>IFERROR(__xludf.DUMMYFUNCTION("GOOGLETRANSLATE(B37107,""en"",""de"")"),"Eine Gruppe von Menschen, die Schwimmkappen tragen, bewegen sich um einen Pool und werfen einen Ball mit einem Mann an den Seiten herum, der mit einer Flagge schwenkte.")</f>
        <v>Eine Gruppe von Menschen, die Schwimmkappen tragen, bewegen sich um einen Pool und werfen einen Ball mit einem Mann an den Seiten herum, der mit einer Flagge schwenkte.</v>
      </c>
    </row>
    <row r="37108">
      <c r="A37108" s="4" t="s">
        <v>46674</v>
      </c>
      <c r="B37108" s="4" t="s">
        <v>46676</v>
      </c>
      <c r="C37108" s="5" t="str">
        <f>IFERROR(__xludf.DUMMYFUNCTION("GOOGLETRANSLATE(B37108,""en"",""de"")"),"Sie spielen ein Spiel Wasserball und werfen den Ball gegenseitig herum.")</f>
        <v>Sie spielen ein Spiel Wasserball und werfen den Ball gegenseitig herum.</v>
      </c>
    </row>
    <row r="37109">
      <c r="A37109" s="4" t="s">
        <v>46674</v>
      </c>
      <c r="B37109" s="4" t="s">
        <v>46677</v>
      </c>
      <c r="C37109" s="5" t="str">
        <f>IFERROR(__xludf.DUMMYFUNCTION("GOOGLETRANSLATE(B37109,""en"",""de"")"),"Man wirft den Ball ins Netz und lässt die Menschen auf der Seite springen und jubeln.")</f>
        <v>Man wirft den Ball ins Netz und lässt die Menschen auf der Seite springen und jubeln.</v>
      </c>
    </row>
    <row r="37110">
      <c r="A37110" s="4" t="s">
        <v>46674</v>
      </c>
      <c r="B37110" s="4" t="s">
        <v>46678</v>
      </c>
      <c r="C37110" s="5" t="str">
        <f>IFERROR(__xludf.DUMMYFUNCTION("GOOGLETRANSLATE(B37110,""en"",""de"")"),"Ein Video des Ereignisses zeigt in Zeitlupe, gefolgt von Männern am Rande.")</f>
        <v>Ein Video des Ereignisses zeigt in Zeitlupe, gefolgt von Männern am Rande.</v>
      </c>
    </row>
    <row r="37111">
      <c r="A37111" s="4" t="s">
        <v>46679</v>
      </c>
      <c r="B37111" s="4" t="s">
        <v>46680</v>
      </c>
      <c r="C37111" s="5" t="str">
        <f>IFERROR(__xludf.DUMMYFUNCTION("GOOGLETRANSLATE(B37111,""en"",""de"")"),"Die Leute rennen eine Strecke hinunter und springen in eine Sandgrube.")</f>
        <v>Die Leute rennen eine Strecke hinunter und springen in eine Sandgrube.</v>
      </c>
    </row>
    <row r="37112">
      <c r="A37112" s="4" t="s">
        <v>46679</v>
      </c>
      <c r="B37112" s="4" t="s">
        <v>46681</v>
      </c>
      <c r="C37112" s="5" t="str">
        <f>IFERROR(__xludf.DUMMYFUNCTION("GOOGLETRANSLATE(B37112,""en"",""de"")"),"Die Leute stehen auf der Seite der Strecke und beobachten sie.")</f>
        <v>Die Leute stehen auf der Seite der Strecke und beobachten sie.</v>
      </c>
    </row>
    <row r="37113">
      <c r="A37113" s="4" t="s">
        <v>46679</v>
      </c>
      <c r="B37113" s="4" t="s">
        <v>46682</v>
      </c>
      <c r="C37113" s="5" t="str">
        <f>IFERROR(__xludf.DUMMYFUNCTION("GOOGLETRANSLATE(B37113,""en"",""de"")"),"Der Mann posiert vor einem Schild.")</f>
        <v>Der Mann posiert vor einem Schild.</v>
      </c>
    </row>
    <row r="37114">
      <c r="A37114" s="4" t="s">
        <v>46683</v>
      </c>
      <c r="B37114" s="4" t="s">
        <v>12684</v>
      </c>
      <c r="C37114" s="5" t="str">
        <f>IFERROR(__xludf.DUMMYFUNCTION("GOOGLETRANSLATE(B37114,""en"",""de"")"),"Ein Mann geht auf ein Tauchbrett.")</f>
        <v>Ein Mann geht auf ein Tauchbrett.</v>
      </c>
    </row>
    <row r="37115">
      <c r="A37115" s="4" t="s">
        <v>46683</v>
      </c>
      <c r="B37115" s="4" t="s">
        <v>46684</v>
      </c>
      <c r="C37115" s="5" t="str">
        <f>IFERROR(__xludf.DUMMYFUNCTION("GOOGLETRANSLATE(B37115,""en"",""de"")"),"Er springt in den Pool unter ihm.")</f>
        <v>Er springt in den Pool unter ihm.</v>
      </c>
    </row>
    <row r="37116">
      <c r="A37116" s="4" t="s">
        <v>46683</v>
      </c>
      <c r="B37116" s="4" t="s">
        <v>46685</v>
      </c>
      <c r="C37116" s="5" t="str">
        <f>IFERROR(__xludf.DUMMYFUNCTION("GOOGLETRANSLATE(B37116,""en"",""de"")"),"Eine andere Person tritt auf das Tauchbrett.")</f>
        <v>Eine andere Person tritt auf das Tauchbrett.</v>
      </c>
    </row>
    <row r="37117">
      <c r="A37117" s="4" t="s">
        <v>46686</v>
      </c>
      <c r="B37117" s="4" t="s">
        <v>46687</v>
      </c>
      <c r="C37117" s="5" t="str">
        <f>IFERROR(__xludf.DUMMYFUNCTION("GOOGLETRANSLATE(B37117,""en"",""de"")"),"Zwei Menschen werden auf den Skiern fahren, während sie miteinander sprechen, und führt in sie einen schneebedeckten Hügel hinunter.")</f>
        <v>Zwei Menschen werden auf den Skiern fahren, während sie miteinander sprechen, und führt in sie einen schneebedeckten Hügel hinunter.</v>
      </c>
    </row>
    <row r="37118">
      <c r="A37118" s="4" t="s">
        <v>46686</v>
      </c>
      <c r="B37118" s="4" t="s">
        <v>46688</v>
      </c>
      <c r="C37118" s="5" t="str">
        <f>IFERROR(__xludf.DUMMYFUNCTION("GOOGLETRANSLATE(B37118,""en"",""de"")"),"Die Menschen schieben sich kontinuierlich schnell einen Hügel hinunter, der an mehreren Menschen vorbeikommt und am Ende anhielt.")</f>
        <v>Die Menschen schieben sich kontinuierlich schnell einen Hügel hinunter, der an mehreren Menschen vorbeikommt und am Ende anhielt.</v>
      </c>
    </row>
    <row r="37119">
      <c r="A37119" s="4" t="s">
        <v>46689</v>
      </c>
      <c r="B37119" s="4" t="s">
        <v>46690</v>
      </c>
      <c r="C37119" s="5" t="str">
        <f>IFERROR(__xludf.DUMMYFUNCTION("GOOGLETRANSLATE(B37119,""en"",""de"")"),"Ein Hund fährt mit seinen Besitzern auf einem Boot.")</f>
        <v>Ein Hund fährt mit seinen Besitzern auf einem Boot.</v>
      </c>
    </row>
    <row r="37120">
      <c r="A37120" s="4" t="s">
        <v>46689</v>
      </c>
      <c r="B37120" s="4" t="s">
        <v>46691</v>
      </c>
      <c r="C37120" s="5" t="str">
        <f>IFERROR(__xludf.DUMMYFUNCTION("GOOGLETRANSLATE(B37120,""en"",""de"")"),"Eine Krabbe ist auf dem Grund eines Sees zu sehen.")</f>
        <v>Eine Krabbe ist auf dem Grund eines Sees zu sehen.</v>
      </c>
    </row>
    <row r="37121">
      <c r="A37121" s="4" t="s">
        <v>46689</v>
      </c>
      <c r="B37121" s="4" t="s">
        <v>46692</v>
      </c>
      <c r="C37121" s="5" t="str">
        <f>IFERROR(__xludf.DUMMYFUNCTION("GOOGLETRANSLATE(B37121,""en"",""de"")"),"Menschen Wasser Ski hinter einem Boot auf einem ruhigen See.")</f>
        <v>Menschen Wasser Ski hinter einem Boot auf einem ruhigen See.</v>
      </c>
    </row>
    <row r="37122">
      <c r="A37122" s="4" t="s">
        <v>46689</v>
      </c>
      <c r="B37122" s="4" t="s">
        <v>46693</v>
      </c>
      <c r="C37122" s="5" t="str">
        <f>IFERROR(__xludf.DUMMYFUNCTION("GOOGLETRANSLATE(B37122,""en"",""de"")"),"Die Person lässt das Schleppseil los und gleitet zum Ufer des Sees.")</f>
        <v>Die Person lässt das Schleppseil los und gleitet zum Ufer des Sees.</v>
      </c>
    </row>
    <row r="37123">
      <c r="A37123" s="4" t="s">
        <v>46689</v>
      </c>
      <c r="B37123" s="4" t="s">
        <v>46694</v>
      </c>
      <c r="C37123" s="5" t="str">
        <f>IFERROR(__xludf.DUMMYFUNCTION("GOOGLETRANSLATE(B37123,""en"",""de"")"),"Die Gruppe bereitet einen Stuhl auf einem Schlitten mit einem Seil am Ufer vor.")</f>
        <v>Die Gruppe bereitet einen Stuhl auf einem Schlitten mit einem Seil am Ufer vor.</v>
      </c>
    </row>
    <row r="37124">
      <c r="A37124" s="4" t="s">
        <v>46689</v>
      </c>
      <c r="B37124" s="4" t="s">
        <v>46695</v>
      </c>
      <c r="C37124" s="5" t="str">
        <f>IFERROR(__xludf.DUMMYFUNCTION("GOOGLETRANSLATE(B37124,""en"",""de"")"),"Ein Mann wird an einem Schlitten vom Ufer und dann am See gezogen.")</f>
        <v>Ein Mann wird an einem Schlitten vom Ufer und dann am See gezogen.</v>
      </c>
    </row>
    <row r="37125">
      <c r="A37125" s="4" t="s">
        <v>46689</v>
      </c>
      <c r="B37125" s="4" t="s">
        <v>46696</v>
      </c>
      <c r="C37125" s="5" t="str">
        <f>IFERROR(__xludf.DUMMYFUNCTION("GOOGLETRANSLATE(B37125,""en"",""de"")"),"Die Gruppe entfernt den Schlitten aus dem Wasser und hebt ihn, um das Wasser abzulassen.")</f>
        <v>Die Gruppe entfernt den Schlitten aus dem Wasser und hebt ihn, um das Wasser abzulassen.</v>
      </c>
    </row>
    <row r="37126">
      <c r="A37126" s="4" t="s">
        <v>46697</v>
      </c>
      <c r="B37126" s="4" t="s">
        <v>46698</v>
      </c>
      <c r="C37126" s="5" t="str">
        <f>IFERROR(__xludf.DUMMYFUNCTION("GOOGLETRANSLATE(B37126,""en"",""de"")"),"Es wird ein glänzender Mischboden gezeigt.")</f>
        <v>Es wird ein glänzender Mischboden gezeigt.</v>
      </c>
    </row>
    <row r="37127">
      <c r="A37127" s="4" t="s">
        <v>46697</v>
      </c>
      <c r="B37127" s="4" t="s">
        <v>46699</v>
      </c>
      <c r="C37127" s="5" t="str">
        <f>IFERROR(__xludf.DUMMYFUNCTION("GOOGLETRANSLATE(B37127,""en"",""de"")"),"Ein Hausmeister wird gezeigt, Rollteppiche, Kaugummi, Schilder ausstatten und Fußböden wischen.")</f>
        <v>Ein Hausmeister wird gezeigt, Rollteppiche, Kaugummi, Schilder ausstatten und Fußböden wischen.</v>
      </c>
    </row>
    <row r="37128">
      <c r="A37128" s="4" t="s">
        <v>46697</v>
      </c>
      <c r="B37128" s="4" t="s">
        <v>46700</v>
      </c>
      <c r="C37128" s="5" t="str">
        <f>IFERROR(__xludf.DUMMYFUNCTION("GOOGLETRANSLATE(B37128,""en"",""de"")"),"Er geht in einen Schrank und nimmt den Reiniger heraus, den er benutzt, während er darüber spricht.")</f>
        <v>Er geht in einen Schrank und nimmt den Reiniger heraus, den er benutzt, während er darüber spricht.</v>
      </c>
    </row>
    <row r="37129">
      <c r="A37129" s="4" t="s">
        <v>46697</v>
      </c>
      <c r="B37129" s="4" t="s">
        <v>46701</v>
      </c>
      <c r="C37129" s="5" t="str">
        <f>IFERROR(__xludf.DUMMYFUNCTION("GOOGLETRANSLATE(B37129,""en"",""de"")"),"Er sprüht Wasser und die Reinigungslösung in seinen Moppwagen.")</f>
        <v>Er sprüht Wasser und die Reinigungslösung in seinen Moppwagen.</v>
      </c>
    </row>
    <row r="37130">
      <c r="A37130" s="4" t="s">
        <v>46697</v>
      </c>
      <c r="B37130" s="4" t="s">
        <v>46702</v>
      </c>
      <c r="C37130" s="5" t="str">
        <f>IFERROR(__xludf.DUMMYFUNCTION("GOOGLETRANSLATE(B37130,""en"",""de"")"),"Dann wird ihm gezeigt, wie er mit der Lösung den Boden wischt.")</f>
        <v>Dann wird ihm gezeigt, wie er mit der Lösung den Boden wischt.</v>
      </c>
    </row>
    <row r="37131">
      <c r="A37131" s="4" t="s">
        <v>46697</v>
      </c>
      <c r="B37131" s="4" t="s">
        <v>46703</v>
      </c>
      <c r="C37131" s="5" t="str">
        <f>IFERROR(__xludf.DUMMYFUNCTION("GOOGLETRANSLATE(B37131,""en"",""de"")"),"Er nimmt alles auseinander und legt es weg, bevor er seine Hände für den Tag waschen.")</f>
        <v>Er nimmt alles auseinander und legt es weg, bevor er seine Hände für den Tag waschen.</v>
      </c>
    </row>
    <row r="37132">
      <c r="A37132" s="4" t="s">
        <v>46704</v>
      </c>
      <c r="B37132" s="4" t="s">
        <v>46705</v>
      </c>
      <c r="C37132" s="5" t="str">
        <f>IFERROR(__xludf.DUMMYFUNCTION("GOOGLETRANSLATE(B37132,""en"",""de"")"),"Frauen spielen Hockey in Indoor und konkurrieren.")</f>
        <v>Frauen spielen Hockey in Indoor und konkurrieren.</v>
      </c>
    </row>
    <row r="37133">
      <c r="A37133" s="4" t="s">
        <v>46704</v>
      </c>
      <c r="B37133" s="4" t="s">
        <v>46706</v>
      </c>
      <c r="C37133" s="5" t="str">
        <f>IFERROR(__xludf.DUMMYFUNCTION("GOOGLETRANSLATE(B37133,""en"",""de"")"),"Sie kämpfen um die aufblasbaren Pucks.")</f>
        <v>Sie kämpfen um die aufblasbaren Pucks.</v>
      </c>
    </row>
    <row r="37134">
      <c r="A37134" s="4" t="s">
        <v>46704</v>
      </c>
      <c r="B37134" s="4" t="s">
        <v>46707</v>
      </c>
      <c r="C37134" s="5" t="str">
        <f>IFERROR(__xludf.DUMMYFUNCTION("GOOGLETRANSLATE(B37134,""en"",""de"")"),"Sie werden gezeigt, wie sie mit der Kamera über das Spiel sprechen.")</f>
        <v>Sie werden gezeigt, wie sie mit der Kamera über das Spiel sprechen.</v>
      </c>
    </row>
    <row r="37135">
      <c r="A37135" s="4" t="s">
        <v>46704</v>
      </c>
      <c r="B37135" s="4" t="s">
        <v>46708</v>
      </c>
      <c r="C37135" s="5" t="str">
        <f>IFERROR(__xludf.DUMMYFUNCTION("GOOGLETRANSLATE(B37135,""en"",""de"")"),"Den Frauen wird erneut gezeigt, wie sie in einem Wettbewerb miteinander Hockey spielen.")</f>
        <v>Den Frauen wird erneut gezeigt, wie sie in einem Wettbewerb miteinander Hockey spielen.</v>
      </c>
    </row>
    <row r="37136">
      <c r="A37136" s="4" t="s">
        <v>46704</v>
      </c>
      <c r="B37136" s="4" t="s">
        <v>46709</v>
      </c>
      <c r="C37136" s="5" t="str">
        <f>IFERROR(__xludf.DUMMYFUNCTION("GOOGLETRANSLATE(B37136,""en"",""de"")"),"Eine Nahaufnahme wird vom Puck gezeigt.")</f>
        <v>Eine Nahaufnahme wird vom Puck gezeigt.</v>
      </c>
    </row>
    <row r="37137">
      <c r="A37137" s="4" t="s">
        <v>46710</v>
      </c>
      <c r="B37137" s="4" t="s">
        <v>46711</v>
      </c>
      <c r="C37137" s="5" t="str">
        <f>IFERROR(__xludf.DUMMYFUNCTION("GOOGLETRANSLATE(B37137,""en"",""de"")"),"Es werden mehrere Außenansichten eines Casinos gezeigt.")</f>
        <v>Es werden mehrere Außenansichten eines Casinos gezeigt.</v>
      </c>
    </row>
    <row r="37138">
      <c r="A37138" s="4" t="s">
        <v>46710</v>
      </c>
      <c r="B37138" s="4" t="s">
        <v>46712</v>
      </c>
      <c r="C37138" s="5" t="str">
        <f>IFERROR(__xludf.DUMMYFUNCTION("GOOGLETRANSLATE(B37138,""en"",""de"")"),"Kartenspieler und der Händler an einem Tisch werden sich im Casino an ein Spiel einsetzen.")</f>
        <v>Kartenspieler und der Händler an einem Tisch werden sich im Casino an ein Spiel einsetzen.</v>
      </c>
    </row>
    <row r="37139">
      <c r="A37139" s="4" t="s">
        <v>46710</v>
      </c>
      <c r="B37139" s="4" t="s">
        <v>46713</v>
      </c>
      <c r="C37139" s="5" t="str">
        <f>IFERROR(__xludf.DUMMYFUNCTION("GOOGLETRANSLATE(B37139,""en"",""de"")"),"Der Händler gibt Karten mit jedem Spieler.")</f>
        <v>Der Händler gibt Karten mit jedem Spieler.</v>
      </c>
    </row>
    <row r="37140">
      <c r="A37140" s="4" t="s">
        <v>46710</v>
      </c>
      <c r="B37140" s="4" t="s">
        <v>46714</v>
      </c>
      <c r="C37140" s="5" t="str">
        <f>IFERROR(__xludf.DUMMYFUNCTION("GOOGLETRANSLATE(B37140,""en"",""de"")"),"Der Händler enthüllt die Hand des Händlers.")</f>
        <v>Der Händler enthüllt die Hand des Händlers.</v>
      </c>
    </row>
    <row r="37141">
      <c r="A37141" s="4" t="s">
        <v>46710</v>
      </c>
      <c r="B37141" s="4" t="s">
        <v>46715</v>
      </c>
      <c r="C37141" s="5" t="str">
        <f>IFERROR(__xludf.DUMMYFUNCTION("GOOGLETRANSLATE(B37141,""en"",""de"")"),"Ein Mann spricht mit der Kamera, während ein anderer Mann in der Nähe steht.")</f>
        <v>Ein Mann spricht mit der Kamera, während ein anderer Mann in der Nähe steht.</v>
      </c>
    </row>
    <row r="37142">
      <c r="A37142" s="4" t="s">
        <v>46716</v>
      </c>
      <c r="B37142" s="4" t="s">
        <v>46717</v>
      </c>
      <c r="C37142" s="5" t="str">
        <f>IFERROR(__xludf.DUMMYFUNCTION("GOOGLETRANSLATE(B37142,""en"",""de"")"),"Mehrere Menschen stehen in einer Arena, während andere Shuffleboard spielen.")</f>
        <v>Mehrere Menschen stehen in einer Arena, während andere Shuffleboard spielen.</v>
      </c>
    </row>
    <row r="37143">
      <c r="A37143" s="4" t="s">
        <v>46716</v>
      </c>
      <c r="B37143" s="4" t="s">
        <v>46718</v>
      </c>
      <c r="C37143" s="5" t="str">
        <f>IFERROR(__xludf.DUMMYFUNCTION("GOOGLETRANSLATE(B37143,""en"",""de"")"),"Ein Mann schiebt mehrmals einen Puck mit, während andere dasselbe hinter ihm tun.")</f>
        <v>Ein Mann schiebt mehrmals einen Puck mit, während andere dasselbe hinter ihm tun.</v>
      </c>
    </row>
    <row r="37144">
      <c r="A37144" s="4" t="s">
        <v>46716</v>
      </c>
      <c r="B37144" s="4" t="s">
        <v>46719</v>
      </c>
      <c r="C37144" s="5" t="str">
        <f>IFERROR(__xludf.DUMMYFUNCTION("GOOGLETRANSLATE(B37144,""en"",""de"")"),"Die Leute spielen weiter und enden mit einem Mann, der am Ende mit der Kamera spricht.")</f>
        <v>Die Leute spielen weiter und enden mit einem Mann, der am Ende mit der Kamera spricht.</v>
      </c>
    </row>
    <row r="37145">
      <c r="A37145" s="4" t="s">
        <v>46720</v>
      </c>
      <c r="B37145" s="4" t="s">
        <v>46721</v>
      </c>
      <c r="C37145" s="5" t="str">
        <f>IFERROR(__xludf.DUMMYFUNCTION("GOOGLETRANSLATE(B37145,""en"",""de"")"),"Ein Mädchen legt sich auf einem Tisch mit einem Mann, der ihren Bauchnabel unter sich durchdringt.")</f>
        <v>Ein Mädchen legt sich auf einem Tisch mit einem Mann, der ihren Bauchnabel unter sich durchdringt.</v>
      </c>
    </row>
    <row r="37146">
      <c r="A37146" s="4" t="s">
        <v>46720</v>
      </c>
      <c r="B37146" s="4" t="s">
        <v>46722</v>
      </c>
      <c r="C37146" s="5" t="str">
        <f>IFERROR(__xludf.DUMMYFUNCTION("GOOGLETRANSLATE(B37146,""en"",""de"")"),"Das Mädchen schreit vor Schmerzen und der Mann beendet ihr Piercing, während sie zur Kamera schaut.")</f>
        <v>Das Mädchen schreit vor Schmerzen und der Mann beendet ihr Piercing, während sie zur Kamera schaut.</v>
      </c>
    </row>
    <row r="37147">
      <c r="A37147" s="4" t="s">
        <v>46723</v>
      </c>
      <c r="B37147" s="4" t="s">
        <v>46724</v>
      </c>
      <c r="C37147" s="5" t="str">
        <f>IFERROR(__xludf.DUMMYFUNCTION("GOOGLETRANSLATE(B37147,""en"",""de"")"),"Es werden ein Paar weiße und rote Nike -Schuhe gezeigt.")</f>
        <v>Es werden ein Paar weiße und rote Nike -Schuhe gezeigt.</v>
      </c>
    </row>
    <row r="37148">
      <c r="A37148" s="4" t="s">
        <v>46723</v>
      </c>
      <c r="B37148" s="4" t="s">
        <v>46725</v>
      </c>
      <c r="C37148" s="5" t="str">
        <f>IFERROR(__xludf.DUMMYFUNCTION("GOOGLETRANSLATE(B37148,""en"",""de"")"),"Ein Mann verwendet Einsätze, um die Schuhe zuzubereiten.")</f>
        <v>Ein Mann verwendet Einsätze, um die Schuhe zuzubereiten.</v>
      </c>
    </row>
    <row r="37149">
      <c r="A37149" s="4" t="s">
        <v>46723</v>
      </c>
      <c r="B37149" s="4" t="s">
        <v>46726</v>
      </c>
      <c r="C37149" s="5" t="str">
        <f>IFERROR(__xludf.DUMMYFUNCTION("GOOGLETRANSLATE(B37149,""en"",""de"")"),"Dann verwendet er eine Pinsel- und Reinigungslösung, um die Schuhe zu waschen.")</f>
        <v>Dann verwendet er eine Pinsel- und Reinigungslösung, um die Schuhe zu waschen.</v>
      </c>
    </row>
    <row r="37150">
      <c r="A37150" s="4" t="s">
        <v>46727</v>
      </c>
      <c r="B37150" s="4" t="s">
        <v>46728</v>
      </c>
      <c r="C37150" s="5" t="str">
        <f>IFERROR(__xludf.DUMMYFUNCTION("GOOGLETRANSLATE(B37150,""en"",""de"")"),"Wir sehen Männer in der Nähe eines Parkplatzes.")</f>
        <v>Wir sehen Männer in der Nähe eines Parkplatzes.</v>
      </c>
    </row>
    <row r="37151">
      <c r="A37151" s="4" t="s">
        <v>46727</v>
      </c>
      <c r="B37151" s="4" t="s">
        <v>46729</v>
      </c>
      <c r="C37151" s="5" t="str">
        <f>IFERROR(__xludf.DUMMYFUNCTION("GOOGLETRANSLATE(B37151,""en"",""de"")"),"Wir sehen zwei Männer miteinander reden.")</f>
        <v>Wir sehen zwei Männer miteinander reden.</v>
      </c>
    </row>
    <row r="37152">
      <c r="A37152" s="4" t="s">
        <v>46727</v>
      </c>
      <c r="B37152" s="4" t="s">
        <v>46730</v>
      </c>
      <c r="C37152" s="5" t="str">
        <f>IFERROR(__xludf.DUMMYFUNCTION("GOOGLETRANSLATE(B37152,""en"",""de"")"),"Wir sehen den Mann in Khakis stolpern und scheitern wiederholt.")</f>
        <v>Wir sehen den Mann in Khakis stolpern und scheitern wiederholt.</v>
      </c>
    </row>
    <row r="37153">
      <c r="A37153" s="4" t="s">
        <v>46727</v>
      </c>
      <c r="B37153" s="4" t="s">
        <v>46731</v>
      </c>
      <c r="C37153" s="5" t="str">
        <f>IFERROR(__xludf.DUMMYFUNCTION("GOOGLETRANSLATE(B37153,""en"",""de"")"),"Wir sehen einen Mann, der ein Handy hält und mit dem Skater spricht.")</f>
        <v>Wir sehen einen Mann, der ein Handy hält und mit dem Skater spricht.</v>
      </c>
    </row>
    <row r="37154">
      <c r="A37154" s="4" t="s">
        <v>46727</v>
      </c>
      <c r="B37154" s="4" t="s">
        <v>46732</v>
      </c>
      <c r="C37154" s="5" t="str">
        <f>IFERROR(__xludf.DUMMYFUNCTION("GOOGLETRANSLATE(B37154,""en"",""de"")"),"Die Männer schütteln die Hand und der Kameramann zeigt auf den Skater.")</f>
        <v>Die Männer schütteln die Hand und der Kameramann zeigt auf den Skater.</v>
      </c>
    </row>
    <row r="37155">
      <c r="A37155" s="4" t="s">
        <v>46727</v>
      </c>
      <c r="B37155" s="4" t="s">
        <v>46733</v>
      </c>
      <c r="C37155" s="5" t="str">
        <f>IFERROR(__xludf.DUMMYFUNCTION("GOOGLETRANSLATE(B37155,""en"",""de"")"),"Wir sehen den Abonnement -Bildschirm.")</f>
        <v>Wir sehen den Abonnement -Bildschirm.</v>
      </c>
    </row>
    <row r="37156">
      <c r="A37156" s="4" t="s">
        <v>46727</v>
      </c>
      <c r="B37156" s="4" t="s">
        <v>46734</v>
      </c>
      <c r="C37156" s="5" t="str">
        <f>IFERROR(__xludf.DUMMYFUNCTION("GOOGLETRANSLATE(B37156,""en"",""de"")"),"Wir sehen, wie Leute reiten und einen Mann mit einem Skateboard für rote Spielzeugkinder reiten und der Kameramann es über das Grundstück tritt.")</f>
        <v>Wir sehen, wie Leute reiten und einen Mann mit einem Skateboard für rote Spielzeugkinder reiten und der Kameramann es über das Grundstück tritt.</v>
      </c>
    </row>
    <row r="37157">
      <c r="A37157" s="4" t="s">
        <v>46727</v>
      </c>
      <c r="B37157" s="4" t="s">
        <v>4452</v>
      </c>
      <c r="C37157" s="5" t="str">
        <f>IFERROR(__xludf.DUMMYFUNCTION("GOOGLETRANSLATE(B37157,""en"",""de"")"),"Wir sehen dann den Endbildschirm.")</f>
        <v>Wir sehen dann den Endbildschirm.</v>
      </c>
    </row>
    <row r="37158">
      <c r="A37158" s="4" t="s">
        <v>46735</v>
      </c>
      <c r="B37158" s="4" t="s">
        <v>46736</v>
      </c>
      <c r="C37158" s="5" t="str">
        <f>IFERROR(__xludf.DUMMYFUNCTION("GOOGLETRANSLATE(B37158,""en"",""de"")"),"Es gibt einen Mann, der einen roten Hut und ein schwarzes Hemdtraining trägt und mit seinem Hund in einem Hundepark spielt.")</f>
        <v>Es gibt einen Mann, der einen roten Hut und ein schwarzes Hemdtraining trägt und mit seinem Hund in einem Hundepark spielt.</v>
      </c>
    </row>
    <row r="37159">
      <c r="A37159" s="4" t="s">
        <v>46735</v>
      </c>
      <c r="B37159" s="4" t="s">
        <v>46737</v>
      </c>
      <c r="C37159" s="5" t="str">
        <f>IFERROR(__xludf.DUMMYFUNCTION("GOOGLETRANSLATE(B37159,""en"",""de"")"),"Es gibt mehrere andere Menschen in diesem Park mit ihren Hunden, die unter Überdachungen sitzen.")</f>
        <v>Es gibt mehrere andere Menschen in diesem Park mit ihren Hunden, die unter Überdachungen sitzen.</v>
      </c>
    </row>
    <row r="37160">
      <c r="A37160" s="4" t="s">
        <v>46735</v>
      </c>
      <c r="B37160" s="4" t="s">
        <v>46738</v>
      </c>
      <c r="C37160" s="5" t="str">
        <f>IFERROR(__xludf.DUMMYFUNCTION("GOOGLETRANSLATE(B37160,""en"",""de"")"),"Der Mann wirft einen Frisbee, damit der Hund holt.")</f>
        <v>Der Mann wirft einen Frisbee, damit der Hund holt.</v>
      </c>
    </row>
    <row r="37161">
      <c r="A37161" s="4" t="s">
        <v>46735</v>
      </c>
      <c r="B37161" s="4" t="s">
        <v>46739</v>
      </c>
      <c r="C37161" s="5" t="str">
        <f>IFERROR(__xludf.DUMMYFUNCTION("GOOGLETRANSLATE(B37161,""en"",""de"")"),"Der Hund rennt herum und holt den Frisbee für seinen Besitzer.")</f>
        <v>Der Hund rennt herum und holt den Frisbee für seinen Besitzer.</v>
      </c>
    </row>
    <row r="37162">
      <c r="A37162" s="4" t="s">
        <v>46735</v>
      </c>
      <c r="B37162" s="4" t="s">
        <v>46740</v>
      </c>
      <c r="C37162" s="5" t="str">
        <f>IFERROR(__xludf.DUMMYFUNCTION("GOOGLETRANSLATE(B37162,""en"",""de"")"),"Der Hund springt hoch, um die Frisbee zu fangen.")</f>
        <v>Der Hund springt hoch, um die Frisbee zu fangen.</v>
      </c>
    </row>
    <row r="37163">
      <c r="A37163" s="4" t="s">
        <v>46735</v>
      </c>
      <c r="B37163" s="4" t="s">
        <v>46741</v>
      </c>
      <c r="C37163" s="5" t="str">
        <f>IFERROR(__xludf.DUMMYFUNCTION("GOOGLETRANSLATE(B37163,""en"",""de"")"),"Der Mann wirft auch einen Ball zu dem Hund, damit er holen kann.")</f>
        <v>Der Mann wirft auch einen Ball zu dem Hund, damit er holen kann.</v>
      </c>
    </row>
    <row r="37164">
      <c r="A37164" s="4" t="s">
        <v>46735</v>
      </c>
      <c r="B37164" s="4" t="s">
        <v>46742</v>
      </c>
      <c r="C37164" s="5" t="str">
        <f>IFERROR(__xludf.DUMMYFUNCTION("GOOGLETRANSLATE(B37164,""en"",""de"")"),"Der Mann hebt den Hund hoch und geht damit weg.")</f>
        <v>Der Mann hebt den Hund hoch und geht damit weg.</v>
      </c>
    </row>
    <row r="37165">
      <c r="A37165" s="4" t="s">
        <v>46743</v>
      </c>
      <c r="B37165" s="4" t="s">
        <v>46744</v>
      </c>
      <c r="C37165" s="5" t="str">
        <f>IFERROR(__xludf.DUMMYFUNCTION("GOOGLETRANSLATE(B37165,""en"",""de"")"),"Wir sehen einen schwarzen Bildschirm und den Titel.")</f>
        <v>Wir sehen einen schwarzen Bildschirm und den Titel.</v>
      </c>
    </row>
    <row r="37166">
      <c r="A37166" s="4" t="s">
        <v>46743</v>
      </c>
      <c r="B37166" s="4" t="s">
        <v>46745</v>
      </c>
      <c r="C37166" s="5" t="str">
        <f>IFERROR(__xludf.DUMMYFUNCTION("GOOGLETRANSLATE(B37166,""en"",""de"")"),"Wir sehen einen Jungen, der sich an einer Stange festhält, die von einem Boot gezogen wird.")</f>
        <v>Wir sehen einen Jungen, der sich an einer Stange festhält, die von einem Boot gezogen wird.</v>
      </c>
    </row>
    <row r="37167">
      <c r="A37167" s="4" t="s">
        <v>46743</v>
      </c>
      <c r="B37167" s="4" t="s">
        <v>46746</v>
      </c>
      <c r="C37167" s="5" t="str">
        <f>IFERROR(__xludf.DUMMYFUNCTION("GOOGLETRANSLATE(B37167,""en"",""de"")"),"Er steigt auf die Füße und Skier.")</f>
        <v>Er steigt auf die Füße und Skier.</v>
      </c>
    </row>
    <row r="37168">
      <c r="A37168" s="4" t="s">
        <v>46743</v>
      </c>
      <c r="B37168" s="4" t="s">
        <v>46747</v>
      </c>
      <c r="C37168" s="5" t="str">
        <f>IFERROR(__xludf.DUMMYFUNCTION("GOOGLETRANSLATE(B37168,""en"",""de"")"),"Der Junge verliert das Gleichgewicht und fällt vollständig von der Pol.")</f>
        <v>Der Junge verliert das Gleichgewicht und fällt vollständig von der Pol.</v>
      </c>
    </row>
    <row r="37169">
      <c r="A37169" s="4" t="s">
        <v>46743</v>
      </c>
      <c r="B37169" s="4" t="s">
        <v>46748</v>
      </c>
      <c r="C37169" s="5" t="str">
        <f>IFERROR(__xludf.DUMMYFUNCTION("GOOGLETRANSLATE(B37169,""en"",""de"")"),"Ein Mädchen ist neben der Bar des Bootes.")</f>
        <v>Ein Mädchen ist neben der Bar des Bootes.</v>
      </c>
    </row>
    <row r="37170">
      <c r="A37170" s="4" t="s">
        <v>46743</v>
      </c>
      <c r="B37170" s="4" t="s">
        <v>46749</v>
      </c>
      <c r="C37170" s="5" t="str">
        <f>IFERROR(__xludf.DUMMYFUNCTION("GOOGLETRANSLATE(B37170,""en"",""de"")"),"Die Mädchen schauen in die Kamera, bevor sie ihren Fuß verliert und von der Bar fällt.")</f>
        <v>Die Mädchen schauen in die Kamera, bevor sie ihren Fuß verliert und von der Bar fällt.</v>
      </c>
    </row>
    <row r="37171">
      <c r="A37171" s="4" t="s">
        <v>46750</v>
      </c>
      <c r="B37171" s="4" t="s">
        <v>539</v>
      </c>
      <c r="C37171" s="5" t="str">
        <f>IFERROR(__xludf.DUMMYFUNCTION("GOOGLETRANSLATE(B37171,""en"",""de"")"),"Ein Mann spricht mit der Kamera.")</f>
        <v>Ein Mann spricht mit der Kamera.</v>
      </c>
    </row>
    <row r="37172">
      <c r="A37172" s="4" t="s">
        <v>46750</v>
      </c>
      <c r="B37172" s="4" t="s">
        <v>46751</v>
      </c>
      <c r="C37172" s="5" t="str">
        <f>IFERROR(__xludf.DUMMYFUNCTION("GOOGLETRANSLATE(B37172,""en"",""de"")"),"Eine Frau in einem orangefarbenen Hemd macht verschiedene Karate -Bewegungen.")</f>
        <v>Eine Frau in einem orangefarbenen Hemd macht verschiedene Karate -Bewegungen.</v>
      </c>
    </row>
    <row r="37173">
      <c r="A37173" s="4" t="s">
        <v>46750</v>
      </c>
      <c r="B37173" s="4" t="s">
        <v>46752</v>
      </c>
      <c r="C37173" s="5" t="str">
        <f>IFERROR(__xludf.DUMMYFUNCTION("GOOGLETRANSLATE(B37173,""en"",""de"")"),"Sie macht einen Rückenflip auf der Matte.")</f>
        <v>Sie macht einen Rückenflip auf der Matte.</v>
      </c>
    </row>
    <row r="37174">
      <c r="A37174" s="4" t="s">
        <v>46753</v>
      </c>
      <c r="B37174" s="4" t="s">
        <v>46754</v>
      </c>
      <c r="C37174" s="5" t="str">
        <f>IFERROR(__xludf.DUMMYFUNCTION("GOOGLETRANSLATE(B37174,""en"",""de"")"),"Ein Mann zeigt, wie man einige Griffe auf den Fahrradgriffen installiert.")</f>
        <v>Ein Mann zeigt, wie man einige Griffe auf den Fahrradgriffen installiert.</v>
      </c>
    </row>
    <row r="37175">
      <c r="A37175" s="4" t="s">
        <v>46753</v>
      </c>
      <c r="B37175" s="4" t="s">
        <v>46755</v>
      </c>
      <c r="C37175" s="5" t="str">
        <f>IFERROR(__xludf.DUMMYFUNCTION("GOOGLETRANSLATE(B37175,""en"",""de"")"),"Zuerst installiert er einige Ringe an den Griffen selbst.")</f>
        <v>Zuerst installiert er einige Ringe an den Griffen selbst.</v>
      </c>
    </row>
    <row r="37176">
      <c r="A37176" s="4" t="s">
        <v>46753</v>
      </c>
      <c r="B37176" s="4" t="s">
        <v>46756</v>
      </c>
      <c r="C37176" s="5" t="str">
        <f>IFERROR(__xludf.DUMMYFUNCTION("GOOGLETRANSLATE(B37176,""en"",""de"")"),"Als nächstes schrauben er einige Schrauben an, um sie fertig zu machen.")</f>
        <v>Als nächstes schrauben er einige Schrauben an, um sie fertig zu machen.</v>
      </c>
    </row>
    <row r="37177">
      <c r="A37177" s="4" t="s">
        <v>46753</v>
      </c>
      <c r="B37177" s="4" t="s">
        <v>46757</v>
      </c>
      <c r="C37177" s="5" t="str">
        <f>IFERROR(__xludf.DUMMYFUNCTION("GOOGLETRANSLATE(B37177,""en"",""de"")"),"Dann rutscht er auf die Griffe auf die Griffe des Fahrrads.")</f>
        <v>Dann rutscht er auf die Griffe auf die Griffe des Fahrrads.</v>
      </c>
    </row>
    <row r="37178">
      <c r="A37178" s="4" t="s">
        <v>46753</v>
      </c>
      <c r="B37178" s="4" t="s">
        <v>46758</v>
      </c>
      <c r="C37178" s="5" t="str">
        <f>IFERROR(__xludf.DUMMYFUNCTION("GOOGLETRANSLATE(B37178,""en"",""de"")"),"Er vervollständigt die Anziehung der Griffe mit einem Alan -Schraubenschlüssel.")</f>
        <v>Er vervollständigt die Anziehung der Griffe mit einem Alan -Schraubenschlüssel.</v>
      </c>
    </row>
    <row r="37179">
      <c r="A37179" s="4" t="s">
        <v>46753</v>
      </c>
      <c r="B37179" s="4" t="s">
        <v>46759</v>
      </c>
      <c r="C37179" s="5" t="str">
        <f>IFERROR(__xludf.DUMMYFUNCTION("GOOGLETRANSLATE(B37179,""en"",""de"")"),"Zuletzt fügt er Stecker in das Ende der Griffe und die Griffstangen ein.")</f>
        <v>Zuletzt fügt er Stecker in das Ende der Griffe und die Griffstangen ein.</v>
      </c>
    </row>
    <row r="37180">
      <c r="A37180" s="4" t="s">
        <v>46760</v>
      </c>
      <c r="B37180" s="4" t="s">
        <v>46761</v>
      </c>
      <c r="C37180" s="5" t="str">
        <f>IFERROR(__xludf.DUMMYFUNCTION("GOOGLETRANSLATE(B37180,""en"",""de"")"),"Männer spielen Strandfußball in einem leeren Platz.")</f>
        <v>Männer spielen Strandfußball in einem leeren Platz.</v>
      </c>
    </row>
    <row r="37181">
      <c r="A37181" s="4" t="s">
        <v>46760</v>
      </c>
      <c r="B37181" s="4" t="s">
        <v>46762</v>
      </c>
      <c r="C37181" s="5" t="str">
        <f>IFERROR(__xludf.DUMMYFUNCTION("GOOGLETRANSLATE(B37181,""en"",""de"")"),"Mann tritt einen anderen Spieler auf den Kopf und er hält seinen Kopf.")</f>
        <v>Mann tritt einen anderen Spieler auf den Kopf und er hält seinen Kopf.</v>
      </c>
    </row>
    <row r="37182">
      <c r="A37182" s="4" t="s">
        <v>46763</v>
      </c>
      <c r="B37182" s="4" t="s">
        <v>46764</v>
      </c>
      <c r="C37182" s="5" t="str">
        <f>IFERROR(__xludf.DUMMYFUNCTION("GOOGLETRANSLATE(B37182,""en"",""de"")"),"Zwei Frau fahren in einem Auto.")</f>
        <v>Zwei Frau fahren in einem Auto.</v>
      </c>
    </row>
    <row r="37183">
      <c r="A37183" s="4" t="s">
        <v>46763</v>
      </c>
      <c r="B37183" s="4" t="s">
        <v>46765</v>
      </c>
      <c r="C37183" s="5" t="str">
        <f>IFERROR(__xludf.DUMMYFUNCTION("GOOGLETRANSLATE(B37183,""en"",""de"")"),"Der Passagier spricht mit der Kamera.")</f>
        <v>Der Passagier spricht mit der Kamera.</v>
      </c>
    </row>
    <row r="37184">
      <c r="A37184" s="4" t="s">
        <v>46763</v>
      </c>
      <c r="B37184" s="4" t="s">
        <v>46766</v>
      </c>
      <c r="C37184" s="5" t="str">
        <f>IFERROR(__xludf.DUMMYFUNCTION("GOOGLETRANSLATE(B37184,""en"",""de"")"),"Sie demonstrieren Tanzbewegungen.")</f>
        <v>Sie demonstrieren Tanzbewegungen.</v>
      </c>
    </row>
    <row r="37185">
      <c r="A37185" s="4" t="s">
        <v>46763</v>
      </c>
      <c r="B37185" s="4" t="s">
        <v>46767</v>
      </c>
      <c r="C37185" s="5" t="str">
        <f>IFERROR(__xludf.DUMMYFUNCTION("GOOGLETRANSLATE(B37185,""en"",""de"")"),"Der Fahrer spricht mit der Kamera.")</f>
        <v>Der Fahrer spricht mit der Kamera.</v>
      </c>
    </row>
    <row r="37186">
      <c r="A37186" s="4" t="s">
        <v>46763</v>
      </c>
      <c r="B37186" s="4" t="s">
        <v>46768</v>
      </c>
      <c r="C37186" s="5" t="str">
        <f>IFERROR(__xludf.DUMMYFUNCTION("GOOGLETRANSLATE(B37186,""en"",""de"")"),"Der Passagier spricht jetzt mit der Kamera.")</f>
        <v>Der Passagier spricht jetzt mit der Kamera.</v>
      </c>
    </row>
    <row r="37187">
      <c r="A37187" s="4" t="s">
        <v>46763</v>
      </c>
      <c r="B37187" s="4" t="s">
        <v>46769</v>
      </c>
      <c r="C37187" s="5" t="str">
        <f>IFERROR(__xludf.DUMMYFUNCTION("GOOGLETRANSLATE(B37187,""en"",""de"")"),"Der Fahrer schaut in die Kamera und lächelt während der Fahrt.")</f>
        <v>Der Fahrer schaut in die Kamera und lächelt während der Fahrt.</v>
      </c>
    </row>
    <row r="37188">
      <c r="A37188" s="4" t="s">
        <v>46763</v>
      </c>
      <c r="B37188" s="4" t="s">
        <v>46770</v>
      </c>
      <c r="C37188" s="5" t="str">
        <f>IFERROR(__xludf.DUMMYFUNCTION("GOOGLETRANSLATE(B37188,""en"",""de"")"),"Ein Mädchen schaut in einen Spiegel und hält ein Tattoo -Muster auf der Schulter.")</f>
        <v>Ein Mädchen schaut in einen Spiegel und hält ein Tattoo -Muster auf der Schulter.</v>
      </c>
    </row>
    <row r="37189">
      <c r="A37189" s="4" t="s">
        <v>46763</v>
      </c>
      <c r="B37189" s="4" t="s">
        <v>46771</v>
      </c>
      <c r="C37189" s="5" t="str">
        <f>IFERROR(__xludf.DUMMYFUNCTION("GOOGLETRANSLATE(B37189,""en"",""de"")"),"Ein anderes Mädchen liegt auf einem Bett, während ein anderes Mädchen ihr ein Tattoo gibt.")</f>
        <v>Ein anderes Mädchen liegt auf einem Bett, während ein anderes Mädchen ihr ein Tattoo gibt.</v>
      </c>
    </row>
    <row r="37190">
      <c r="A37190" s="4" t="s">
        <v>46763</v>
      </c>
      <c r="B37190" s="4" t="s">
        <v>46772</v>
      </c>
      <c r="C37190" s="5" t="str">
        <f>IFERROR(__xludf.DUMMYFUNCTION("GOOGLETRANSLATE(B37190,""en"",""de"")"),"Das andere Mädchen sitzt auf einem Hocker, während ein Mann ihr eine Tattoo ihre Schulter gibt.")</f>
        <v>Das andere Mädchen sitzt auf einem Hocker, während ein Mann ihr eine Tattoo ihre Schulter gibt.</v>
      </c>
    </row>
    <row r="37191">
      <c r="A37191" s="4" t="s">
        <v>46763</v>
      </c>
      <c r="B37191" s="4" t="s">
        <v>46773</v>
      </c>
      <c r="C37191" s="5" t="str">
        <f>IFERROR(__xludf.DUMMYFUNCTION("GOOGLETRANSLATE(B37191,""en"",""de"")"),"Eine Hand streckt hinter der Kamera aus.")</f>
        <v>Eine Hand streckt hinter der Kamera aus.</v>
      </c>
    </row>
    <row r="37192">
      <c r="A37192" s="4" t="s">
        <v>46763</v>
      </c>
      <c r="B37192" s="4" t="s">
        <v>46774</v>
      </c>
      <c r="C37192" s="5" t="str">
        <f>IFERROR(__xludf.DUMMYFUNCTION("GOOGLETRANSLATE(B37192,""en"",""de"")"),"Ein Mädchen spricht mit der Hand auf der Schulter mit der Kamera.")</f>
        <v>Ein Mädchen spricht mit der Hand auf der Schulter mit der Kamera.</v>
      </c>
    </row>
    <row r="37193">
      <c r="A37193" s="4" t="s">
        <v>46763</v>
      </c>
      <c r="B37193" s="4" t="s">
        <v>46775</v>
      </c>
      <c r="C37193" s="5" t="str">
        <f>IFERROR(__xludf.DUMMYFUNCTION("GOOGLETRANSLATE(B37193,""en"",""de"")"),"Ein anderes Mädchen spricht mit der Kamera und macht Handgesten.")</f>
        <v>Ein anderes Mädchen spricht mit der Kamera und macht Handgesten.</v>
      </c>
    </row>
    <row r="37194">
      <c r="A37194" s="4" t="s">
        <v>46763</v>
      </c>
      <c r="B37194" s="4" t="s">
        <v>46776</v>
      </c>
      <c r="C37194" s="5" t="str">
        <f>IFERROR(__xludf.DUMMYFUNCTION("GOOGLETRANSLATE(B37194,""en"",""de"")"),"Beide Mädchen sprechen mit der Kamera.")</f>
        <v>Beide Mädchen sprechen mit der Kamera.</v>
      </c>
    </row>
    <row r="37195">
      <c r="A37195" s="4" t="s">
        <v>46777</v>
      </c>
      <c r="B37195" s="4" t="s">
        <v>46778</v>
      </c>
      <c r="C37195" s="5" t="str">
        <f>IFERROR(__xludf.DUMMYFUNCTION("GOOGLETRANSLATE(B37195,""en"",""de"")"),"Ein Mann in einem schwarzen Mantel schaufelt Schnee mit einer Schaufel.")</f>
        <v>Ein Mann in einem schwarzen Mantel schaufelt Schnee mit einer Schaufel.</v>
      </c>
    </row>
    <row r="37196">
      <c r="A37196" s="4" t="s">
        <v>46777</v>
      </c>
      <c r="B37196" s="4" t="s">
        <v>46779</v>
      </c>
      <c r="C37196" s="5" t="str">
        <f>IFERROR(__xludf.DUMMYFUNCTION("GOOGLETRANSLATE(B37196,""en"",""de"")"),"Er nimmt eine große Schaufel voller Schnee und wirft sie neben ihn.")</f>
        <v>Er nimmt eine große Schaufel voller Schnee und wirft sie neben ihn.</v>
      </c>
    </row>
    <row r="37197">
      <c r="A37197" s="4" t="s">
        <v>46777</v>
      </c>
      <c r="B37197" s="4" t="s">
        <v>46780</v>
      </c>
      <c r="C37197" s="5" t="str">
        <f>IFERROR(__xludf.DUMMYFUNCTION("GOOGLETRANSLATE(B37197,""en"",""de"")"),"Er schaufelt weiter die Einfahrt.")</f>
        <v>Er schaufelt weiter die Einfahrt.</v>
      </c>
    </row>
    <row r="37198">
      <c r="A37198" s="4" t="s">
        <v>46781</v>
      </c>
      <c r="B37198" s="4" t="s">
        <v>46782</v>
      </c>
      <c r="C37198" s="5" t="str">
        <f>IFERROR(__xludf.DUMMYFUNCTION("GOOGLETRANSLATE(B37198,""en"",""de"")"),"Ein Mann ist in einer Arena und kämpft gegen einen Stier.")</f>
        <v>Ein Mann ist in einer Arena und kämpft gegen einen Stier.</v>
      </c>
    </row>
    <row r="37199">
      <c r="A37199" s="4" t="s">
        <v>46781</v>
      </c>
      <c r="B37199" s="4" t="s">
        <v>46783</v>
      </c>
      <c r="C37199" s="5" t="str">
        <f>IFERROR(__xludf.DUMMYFUNCTION("GOOGLETRANSLATE(B37199,""en"",""de"")"),"Er schwingt den Umhang und rennt in der Nähe anderer Männer, neckt den Stier, ihn zu jagen.")</f>
        <v>Er schwingt den Umhang und rennt in der Nähe anderer Männer, neckt den Stier, ihn zu jagen.</v>
      </c>
    </row>
    <row r="37200">
      <c r="A37200" s="4" t="s">
        <v>46781</v>
      </c>
      <c r="B37200" s="4" t="s">
        <v>46784</v>
      </c>
      <c r="C37200" s="5" t="str">
        <f>IFERROR(__xludf.DUMMYFUNCTION("GOOGLETRANSLATE(B37200,""en"",""de"")"),"Der Stier schlägt in die Seite eines Pferdes, das von einem Mann gefahren wird, bevor er mit dem Umhang auf den Mann zurückzuführen ist.")</f>
        <v>Der Stier schlägt in die Seite eines Pferdes, das von einem Mann gefahren wird, bevor er mit dem Umhang auf den Mann zurückzuführen ist.</v>
      </c>
    </row>
    <row r="37201">
      <c r="A37201" s="4" t="s">
        <v>46781</v>
      </c>
      <c r="B37201" s="4" t="s">
        <v>46785</v>
      </c>
      <c r="C37201" s="5" t="str">
        <f>IFERROR(__xludf.DUMMYFUNCTION("GOOGLETRANSLATE(B37201,""en"",""de"")"),"Der Mann auf dem Pferd reitet zur Seite.")</f>
        <v>Der Mann auf dem Pferd reitet zur Seite.</v>
      </c>
    </row>
    <row r="37202">
      <c r="A37202" s="4" t="s">
        <v>46786</v>
      </c>
      <c r="B37202" s="4" t="s">
        <v>46787</v>
      </c>
      <c r="C37202" s="5" t="str">
        <f>IFERROR(__xludf.DUMMYFUNCTION("GOOGLETRANSLATE(B37202,""en"",""de"")"),"Ein Intro kommt auf den Bildschirm und führt den Videoclip ein.")</f>
        <v>Ein Intro kommt auf den Bildschirm und führt den Videoclip ein.</v>
      </c>
    </row>
    <row r="37203">
      <c r="A37203" s="4" t="s">
        <v>46786</v>
      </c>
      <c r="B37203" s="4" t="s">
        <v>46788</v>
      </c>
      <c r="C37203" s="5" t="str">
        <f>IFERROR(__xludf.DUMMYFUNCTION("GOOGLETRANSLATE(B37203,""en"",""de"")"),"Zwei Personen werden im See herumtastet.")</f>
        <v>Zwei Personen werden im See herumtastet.</v>
      </c>
    </row>
    <row r="37204">
      <c r="A37204" s="4" t="s">
        <v>46786</v>
      </c>
      <c r="B37204" s="4" t="s">
        <v>46789</v>
      </c>
      <c r="C37204" s="5" t="str">
        <f>IFERROR(__xludf.DUMMYFUNCTION("GOOGLETRANSLATE(B37204,""en"",""de"")"),"Danach nehmen sie im Wasser, das von einem Kabel an ein Schnellboot verbunden ist, in Bewegung.")</f>
        <v>Danach nehmen sie im Wasser, das von einem Kabel an ein Schnellboot verbunden ist, in Bewegung.</v>
      </c>
    </row>
    <row r="37205">
      <c r="A37205" s="4" t="s">
        <v>46786</v>
      </c>
      <c r="B37205" s="4" t="s">
        <v>46790</v>
      </c>
      <c r="C37205" s="5" t="str">
        <f>IFERROR(__xludf.DUMMYFUNCTION("GOOGLETRANSLATE(B37205,""en"",""de"")"),"Das Video endet, wenn beide in das Wasser fallen.")</f>
        <v>Das Video endet, wenn beide in das Wasser fallen.</v>
      </c>
    </row>
    <row r="37206">
      <c r="A37206" s="4" t="s">
        <v>46791</v>
      </c>
      <c r="B37206" s="4" t="s">
        <v>46792</v>
      </c>
      <c r="C37206" s="5" t="str">
        <f>IFERROR(__xludf.DUMMYFUNCTION("GOOGLETRANSLATE(B37206,""en"",""de"")"),"Eine Dame malt ihre Fingernägel eine Pflaumenfarbe.")</f>
        <v>Eine Dame malt ihre Fingernägel eine Pflaumenfarbe.</v>
      </c>
    </row>
    <row r="37207">
      <c r="A37207" s="4" t="s">
        <v>46791</v>
      </c>
      <c r="B37207" s="4" t="s">
        <v>46793</v>
      </c>
      <c r="C37207" s="5" t="str">
        <f>IFERROR(__xludf.DUMMYFUNCTION("GOOGLETRANSLATE(B37207,""en"",""de"")"),"Sie legt dann Streifen und Punkte von Schwarz und Silber auf die Nägel, um ein Design zu erstellen.")</f>
        <v>Sie legt dann Streifen und Punkte von Schwarz und Silber auf die Nägel, um ein Design zu erstellen.</v>
      </c>
    </row>
    <row r="37208">
      <c r="A37208" s="4" t="s">
        <v>46791</v>
      </c>
      <c r="B37208" s="4" t="s">
        <v>46794</v>
      </c>
      <c r="C37208" s="5" t="str">
        <f>IFERROR(__xludf.DUMMYFUNCTION("GOOGLETRANSLATE(B37208,""en"",""de"")"),"Sie endet und zeigt ihre bemalten Nägel.")</f>
        <v>Sie endet und zeigt ihre bemalten Nägel.</v>
      </c>
    </row>
    <row r="37209">
      <c r="A37209" s="4" t="s">
        <v>46795</v>
      </c>
      <c r="B37209" s="4" t="s">
        <v>46796</v>
      </c>
      <c r="C37209" s="5" t="str">
        <f>IFERROR(__xludf.DUMMYFUNCTION("GOOGLETRANSLATE(B37209,""en"",""de"")"),"Ein Mann wird in der Ferne mit anderen spricht und beginnt einen Mann durch einen Raum zu schieben.")</f>
        <v>Ein Mann wird in der Ferne mit anderen spricht und beginnt einen Mann durch einen Raum zu schieben.</v>
      </c>
    </row>
    <row r="37210">
      <c r="A37210" s="4" t="s">
        <v>46795</v>
      </c>
      <c r="B37210" s="4" t="s">
        <v>46797</v>
      </c>
      <c r="C37210" s="5" t="str">
        <f>IFERROR(__xludf.DUMMYFUNCTION("GOOGLETRANSLATE(B37210,""en"",""de"")"),"Er schiebt den Mann weiter, während viele auf die Seite zuschauen.")</f>
        <v>Er schiebt den Mann weiter, während viele auf die Seite zuschauen.</v>
      </c>
    </row>
    <row r="37211">
      <c r="A37211" s="4" t="s">
        <v>46795</v>
      </c>
      <c r="B37211" s="4" t="s">
        <v>46798</v>
      </c>
      <c r="C37211" s="5" t="str">
        <f>IFERROR(__xludf.DUMMYFUNCTION("GOOGLETRANSLATE(B37211,""en"",""de"")"),"Der Mann steht auf und sieht überrascht aus, als er kontinuierlich heruntergefahren ist.")</f>
        <v>Der Mann steht auf und sieht überrascht aus, als er kontinuierlich heruntergefahren ist.</v>
      </c>
    </row>
    <row r="37212">
      <c r="A37212" s="4" t="s">
        <v>46799</v>
      </c>
      <c r="B37212" s="4" t="s">
        <v>573</v>
      </c>
      <c r="C37212" s="5" t="str">
        <f>IFERROR(__xludf.DUMMYFUNCTION("GOOGLETRANSLATE(B37212,""en"",""de"")"),"Die Credits des Videos werden angezeigt.")</f>
        <v>Die Credits des Videos werden angezeigt.</v>
      </c>
    </row>
    <row r="37213">
      <c r="A37213" s="4" t="s">
        <v>46799</v>
      </c>
      <c r="B37213" s="4" t="s">
        <v>46800</v>
      </c>
      <c r="C37213" s="5" t="str">
        <f>IFERROR(__xludf.DUMMYFUNCTION("GOOGLETRANSLATE(B37213,""en"",""de"")"),"Eine Dame steht draußen und spricht.")</f>
        <v>Eine Dame steht draußen und spricht.</v>
      </c>
    </row>
    <row r="37214">
      <c r="A37214" s="4" t="s">
        <v>46799</v>
      </c>
      <c r="B37214" s="4" t="s">
        <v>46801</v>
      </c>
      <c r="C37214" s="5" t="str">
        <f>IFERROR(__xludf.DUMMYFUNCTION("GOOGLETRANSLATE(B37214,""en"",""de"")"),"Die Dame wird in ein Büro eingelassen, in dem sie eine Augenuntersuchung unterzogen wird.")</f>
        <v>Die Dame wird in ein Büro eingelassen, in dem sie eine Augenuntersuchung unterzogen wird.</v>
      </c>
    </row>
    <row r="37215">
      <c r="A37215" s="4" t="s">
        <v>46799</v>
      </c>
      <c r="B37215" s="4" t="s">
        <v>46802</v>
      </c>
      <c r="C37215" s="5" t="str">
        <f>IFERROR(__xludf.DUMMYFUNCTION("GOOGLETRANSLATE(B37215,""en"",""de"")"),"Ein Augenkontakt wird mit einem Werkzeug und einer menschlichen Hand untersucht.")</f>
        <v>Ein Augenkontakt wird mit einem Werkzeug und einer menschlichen Hand untersucht.</v>
      </c>
    </row>
    <row r="37216">
      <c r="A37216" s="4" t="s">
        <v>46799</v>
      </c>
      <c r="B37216" s="4" t="s">
        <v>46803</v>
      </c>
      <c r="C37216" s="5" t="str">
        <f>IFERROR(__xludf.DUMMYFUNCTION("GOOGLETRANSLATE(B37216,""en"",""de"")"),"Es werden mehrere Artikel angezeigt, die mit Kontaktlinsen im Verschleiß sind.")</f>
        <v>Es werden mehrere Artikel angezeigt, die mit Kontaktlinsen im Verschleiß sind.</v>
      </c>
    </row>
    <row r="37217">
      <c r="A37217" s="4" t="s">
        <v>46799</v>
      </c>
      <c r="B37217" s="4" t="s">
        <v>46804</v>
      </c>
      <c r="C37217" s="5" t="str">
        <f>IFERROR(__xludf.DUMMYFUNCTION("GOOGLETRANSLATE(B37217,""en"",""de"")"),"Ein Mann wäscht seine Hand.")</f>
        <v>Ein Mann wäscht seine Hand.</v>
      </c>
    </row>
    <row r="37218">
      <c r="A37218" s="4" t="s">
        <v>46799</v>
      </c>
      <c r="B37218" s="4" t="s">
        <v>46805</v>
      </c>
      <c r="C37218" s="5" t="str">
        <f>IFERROR(__xludf.DUMMYFUNCTION("GOOGLETRANSLATE(B37218,""en"",""de"")"),"Eine Dame nimmt eine Kontaktlinse auf.")</f>
        <v>Eine Dame nimmt eine Kontaktlinse auf.</v>
      </c>
    </row>
    <row r="37219">
      <c r="A37219" s="4" t="s">
        <v>46799</v>
      </c>
      <c r="B37219" s="4" t="s">
        <v>46806</v>
      </c>
      <c r="C37219" s="5" t="str">
        <f>IFERROR(__xludf.DUMMYFUNCTION("GOOGLETRANSLATE(B37219,""en"",""de"")"),"Ein Mann schreibt den Brief L auf eine Zeitung.")</f>
        <v>Ein Mann schreibt den Brief L auf eine Zeitung.</v>
      </c>
    </row>
    <row r="37220">
      <c r="A37220" s="4" t="s">
        <v>46799</v>
      </c>
      <c r="B37220" s="4" t="s">
        <v>46807</v>
      </c>
      <c r="C37220" s="5" t="str">
        <f>IFERROR(__xludf.DUMMYFUNCTION("GOOGLETRANSLATE(B37220,""en"",""de"")"),"Eine Hand biegt eine Kontaktlinse.")</f>
        <v>Eine Hand biegt eine Kontaktlinse.</v>
      </c>
    </row>
    <row r="37221">
      <c r="A37221" s="4" t="s">
        <v>46799</v>
      </c>
      <c r="B37221" s="4" t="s">
        <v>46808</v>
      </c>
      <c r="C37221" s="5" t="str">
        <f>IFERROR(__xludf.DUMMYFUNCTION("GOOGLETRANSLATE(B37221,""en"",""de"")"),"Ein Mann setzt eine Kontaktlinse ein.")</f>
        <v>Ein Mann setzt eine Kontaktlinse ein.</v>
      </c>
    </row>
    <row r="37222">
      <c r="A37222" s="4" t="s">
        <v>46799</v>
      </c>
      <c r="B37222" s="4" t="s">
        <v>46809</v>
      </c>
      <c r="C37222" s="5" t="str">
        <f>IFERROR(__xludf.DUMMYFUNCTION("GOOGLETRANSLATE(B37222,""en"",""de"")"),"Eine Dame legt jede Kontaktlinse ein.")</f>
        <v>Eine Dame legt jede Kontaktlinse ein.</v>
      </c>
    </row>
    <row r="37223">
      <c r="A37223" s="4" t="s">
        <v>46799</v>
      </c>
      <c r="B37223" s="4" t="s">
        <v>46810</v>
      </c>
      <c r="C37223" s="5" t="str">
        <f>IFERROR(__xludf.DUMMYFUNCTION("GOOGLETRANSLATE(B37223,""en"",""de"")"),"Die Dame schüttelt die Hand des Mannes.")</f>
        <v>Die Dame schüttelt die Hand des Mannes.</v>
      </c>
    </row>
    <row r="37224">
      <c r="A37224" s="4" t="s">
        <v>46799</v>
      </c>
      <c r="B37224" s="4" t="s">
        <v>21153</v>
      </c>
      <c r="C37224" s="5" t="str">
        <f>IFERROR(__xludf.DUMMYFUNCTION("GOOGLETRANSLATE(B37224,""en"",""de"")"),"Die Credits von Clip werden angezeigt.")</f>
        <v>Die Credits von Clip werden angezeigt.</v>
      </c>
    </row>
    <row r="37225">
      <c r="A37225" s="4" t="s">
        <v>46811</v>
      </c>
      <c r="B37225" s="4" t="s">
        <v>46812</v>
      </c>
      <c r="C37225" s="5" t="str">
        <f>IFERROR(__xludf.DUMMYFUNCTION("GOOGLETRANSLATE(B37225,""en"",""de"")"),"Eine kleine Gruppe von Menschen spielt auf einem Feld ein Lacrosse -Spiel, in dem ein Mann auf sie zugeht.")</f>
        <v>Eine kleine Gruppe von Menschen spielt auf einem Feld ein Lacrosse -Spiel, in dem ein Mann auf sie zugeht.</v>
      </c>
    </row>
    <row r="37226">
      <c r="A37226" s="4" t="s">
        <v>46811</v>
      </c>
      <c r="B37226" s="4" t="s">
        <v>46813</v>
      </c>
      <c r="C37226" s="5" t="str">
        <f>IFERROR(__xludf.DUMMYFUNCTION("GOOGLETRANSLATE(B37226,""en"",""de"")"),"Der Mann schreit zu den Spielern zu, während sie das Feld auf und ab rennen und sie weiter beobachten, während sie spielen.")</f>
        <v>Der Mann schreit zu den Spielern zu, während sie das Feld auf und ab rennen und sie weiter beobachten, während sie spielen.</v>
      </c>
    </row>
    <row r="37227">
      <c r="A37227" s="4" t="s">
        <v>46814</v>
      </c>
      <c r="B37227" s="4" t="s">
        <v>46815</v>
      </c>
      <c r="C37227" s="5" t="str">
        <f>IFERROR(__xludf.DUMMYFUNCTION("GOOGLETRANSLATE(B37227,""en"",""de"")"),"Ein Van, der ein Auto schleppt, fährt mit Blick auf die Blue Road -Schilder und in weißen Buchstaben ""Walton"", ""Ontario's West Coast"" und ""Motorcross Town"".")</f>
        <v>Ein Van, der ein Auto schleppt, fährt mit Blick auf die Blue Road -Schilder und in weißen Buchstaben "Walton", "Ontario's West Coast" und "Motorcross Town".</v>
      </c>
    </row>
    <row r="37228">
      <c r="A37228" s="4" t="s">
        <v>46814</v>
      </c>
      <c r="B37228" s="4" t="s">
        <v>46816</v>
      </c>
      <c r="C37228" s="5" t="str">
        <f>IFERROR(__xludf.DUMMYFUNCTION("GOOGLETRANSLATE(B37228,""en"",""de"")"),"Viele Menschen werden jetzt bei einer großen Versammlung laufen oder Fahrräder fahren, da andere Menschen unter Zelten abhängen.")</f>
        <v>Viele Menschen werden jetzt bei einer großen Versammlung laufen oder Fahrräder fahren, da andere Menschen unter Zelten abhängen.</v>
      </c>
    </row>
    <row r="37229">
      <c r="A37229" s="4" t="s">
        <v>46814</v>
      </c>
      <c r="B37229" s="4" t="s">
        <v>46817</v>
      </c>
      <c r="C37229" s="5" t="str">
        <f>IFERROR(__xludf.DUMMYFUNCTION("GOOGLETRANSLATE(B37229,""en"",""de"")"),"Eine Gruppe von Männern befindet sich an einer Startlinie einer großen Motorkreuzstrecke und fängt an, herum und herum zu gehen, während die Leute weiterschauen.")</f>
        <v>Eine Gruppe von Männern befindet sich an einer Startlinie einer großen Motorkreuzstrecke und fängt an, herum und herum zu gehen, während die Leute weiterschauen.</v>
      </c>
    </row>
    <row r="37230">
      <c r="A37230" s="4" t="s">
        <v>46814</v>
      </c>
      <c r="B37230" s="4" t="s">
        <v>46818</v>
      </c>
      <c r="C37230" s="5" t="str">
        <f>IFERROR(__xludf.DUMMYFUNCTION("GOOGLETRANSLATE(B37230,""en"",""de"")"),"Wenn sie fertig sind, werden verschiedene Clips von Menschen, die verschiedene Dinge tun, wieder gezeigt.")</f>
        <v>Wenn sie fertig sind, werden verschiedene Clips von Menschen, die verschiedene Dinge tun, wieder gezeigt.</v>
      </c>
    </row>
    <row r="37231">
      <c r="A37231" s="4" t="s">
        <v>46819</v>
      </c>
      <c r="B37231" s="4" t="s">
        <v>46820</v>
      </c>
      <c r="C37231" s="5" t="str">
        <f>IFERROR(__xludf.DUMMYFUNCTION("GOOGLETRANSLATE(B37231,""en"",""de"")"),"Cheerleader stehen auf einer blauen Matte.")</f>
        <v>Cheerleader stehen auf einer blauen Matte.</v>
      </c>
    </row>
    <row r="37232">
      <c r="A37232" s="4" t="s">
        <v>46819</v>
      </c>
      <c r="B37232" s="4" t="s">
        <v>46821</v>
      </c>
      <c r="C37232" s="5" t="str">
        <f>IFERROR(__xludf.DUMMYFUNCTION("GOOGLETRANSLATE(B37232,""en"",""de"")"),"Sie machen eine Routine auf der Matte.")</f>
        <v>Sie machen eine Routine auf der Matte.</v>
      </c>
    </row>
    <row r="37233">
      <c r="A37233" s="4" t="s">
        <v>46819</v>
      </c>
      <c r="B37233" s="4" t="s">
        <v>46822</v>
      </c>
      <c r="C37233" s="5" t="str">
        <f>IFERROR(__xludf.DUMMYFUNCTION("GOOGLETRANSLATE(B37233,""en"",""de"")"),"Sie halten Schilder in der Luft.")</f>
        <v>Sie halten Schilder in der Luft.</v>
      </c>
    </row>
    <row r="37234">
      <c r="A37234" s="4" t="s">
        <v>46819</v>
      </c>
      <c r="B37234" s="4" t="s">
        <v>46823</v>
      </c>
      <c r="C37234" s="5" t="str">
        <f>IFERROR(__xludf.DUMMYFUNCTION("GOOGLETRANSLATE(B37234,""en"",""de"")"),"Sie beenden ihre Routine und winken das Publikum an.")</f>
        <v>Sie beenden ihre Routine und winken das Publikum an.</v>
      </c>
    </row>
    <row r="37235">
      <c r="A37235" s="4" t="s">
        <v>46824</v>
      </c>
      <c r="B37235" s="4" t="s">
        <v>46825</v>
      </c>
      <c r="C37235" s="5" t="str">
        <f>IFERROR(__xludf.DUMMYFUNCTION("GOOGLETRANSLATE(B37235,""en"",""de"")"),"Eine Frau hält den Knöchel eines Athleten, während SH auf dem Strahl ist.")</f>
        <v>Eine Frau hält den Knöchel eines Athleten, während SH auf dem Strahl ist.</v>
      </c>
    </row>
    <row r="37236">
      <c r="A37236" s="4" t="s">
        <v>46824</v>
      </c>
      <c r="B37236" s="4" t="s">
        <v>46826</v>
      </c>
      <c r="C37236" s="5" t="str">
        <f>IFERROR(__xludf.DUMMYFUNCTION("GOOGLETRANSLATE(B37236,""en"",""de"")"),"Die Frau macht die Athletin ihren Knöchel A und geht zum Balken. Sie führt die Athletin, während sie geht.")</f>
        <v>Die Frau macht die Athletin ihren Knöchel A und geht zum Balken. Sie führt die Athletin, während sie geht.</v>
      </c>
    </row>
    <row r="37237">
      <c r="A37237" s="4" t="s">
        <v>46824</v>
      </c>
      <c r="B37237" s="4" t="s">
        <v>46827</v>
      </c>
      <c r="C37237" s="5" t="str">
        <f>IFERROR(__xludf.DUMMYFUNCTION("GOOGLETRANSLATE(B37237,""en"",""de"")"),"Die Athletin ging mit ihrem Knöchel nach hinten, dann führte die Frau sie, als sie sich umdreht.")</f>
        <v>Die Athletin ging mit ihrem Knöchel nach hinten, dann führte die Frau sie, als sie sich umdreht.</v>
      </c>
    </row>
    <row r="37238">
      <c r="A37238" s="4" t="s">
        <v>46828</v>
      </c>
      <c r="B37238" s="4" t="s">
        <v>46829</v>
      </c>
      <c r="C37238" s="5" t="str">
        <f>IFERROR(__xludf.DUMMYFUNCTION("GOOGLETRANSLATE(B37238,""en"",""de"")"),"Ein Bauchdancer in Grün beginnt ihre Routine und lächelt für das Publikum.")</f>
        <v>Ein Bauchdancer in Grün beginnt ihre Routine und lächelt für das Publikum.</v>
      </c>
    </row>
    <row r="37239">
      <c r="A37239" s="4" t="s">
        <v>46828</v>
      </c>
      <c r="B37239" s="4" t="s">
        <v>46830</v>
      </c>
      <c r="C37239" s="5" t="str">
        <f>IFERROR(__xludf.DUMMYFUNCTION("GOOGLETRANSLATE(B37239,""en"",""de"")"),"Sie wird von zwei weiteren Tänzern begleitet, die rot sind, und jeder macht ihre eigenen Bewegungen, bevor sie zusammenkommen.")</f>
        <v>Sie wird von zwei weiteren Tänzern begleitet, die rot sind, und jeder macht ihre eigenen Bewegungen, bevor sie zusammenkommen.</v>
      </c>
    </row>
    <row r="37240">
      <c r="A37240" s="4" t="s">
        <v>46828</v>
      </c>
      <c r="B37240" s="4" t="s">
        <v>46831</v>
      </c>
      <c r="C37240" s="5" t="str">
        <f>IFERROR(__xludf.DUMMYFUNCTION("GOOGLETRANSLATE(B37240,""en"",""de"")"),"Sie brechen erneut für Solo -Auftritte, wobei jeder Tänzer einen Moment Zeit hat, um sich zu zeigen.")</f>
        <v>Sie brechen erneut für Solo -Auftritte, wobei jeder Tänzer einen Moment Zeit hat, um sich zu zeigen.</v>
      </c>
    </row>
    <row r="37241">
      <c r="A37241" s="4" t="s">
        <v>46828</v>
      </c>
      <c r="B37241" s="4" t="s">
        <v>46832</v>
      </c>
      <c r="C37241" s="5" t="str">
        <f>IFERROR(__xludf.DUMMYFUNCTION("GOOGLETRANSLATE(B37241,""en"",""de"")"),"Sie kehren zusammen zum Tanzen zurück und die Leistung endet.")</f>
        <v>Sie kehren zusammen zum Tanzen zurück und die Leistung endet.</v>
      </c>
    </row>
    <row r="37242">
      <c r="A37242" s="4" t="s">
        <v>46833</v>
      </c>
      <c r="B37242" s="4" t="s">
        <v>46834</v>
      </c>
      <c r="C37242" s="5" t="str">
        <f>IFERROR(__xludf.DUMMYFUNCTION("GOOGLETRANSLATE(B37242,""en"",""de"")"),"Das Video führt zu mehreren Aufnahmen von Menschen, die Skateboards reiten, auf einem Reifen fahren und nebeneinander gehen.")</f>
        <v>Das Video führt zu mehreren Aufnahmen von Menschen, die Skateboards reiten, auf einem Reifen fahren und nebeneinander gehen.</v>
      </c>
    </row>
    <row r="37243">
      <c r="A37243" s="4" t="s">
        <v>46833</v>
      </c>
      <c r="B37243" s="4" t="s">
        <v>46835</v>
      </c>
      <c r="C37243" s="5" t="str">
        <f>IFERROR(__xludf.DUMMYFUNCTION("GOOGLETRANSLATE(B37243,""en"",""de"")"),"Sie schauen und lachen in die Kamera, während weitere Aufnahmen von Leuten auf Skateboards reiten.")</f>
        <v>Sie schauen und lachen in die Kamera, während weitere Aufnahmen von Leuten auf Skateboards reiten.</v>
      </c>
    </row>
    <row r="37244">
      <c r="A37244" s="4" t="s">
        <v>46836</v>
      </c>
      <c r="B37244" s="4" t="s">
        <v>46837</v>
      </c>
      <c r="C37244" s="5" t="str">
        <f>IFERROR(__xludf.DUMMYFUNCTION("GOOGLETRANSLATE(B37244,""en"",""de"")"),"Drei Leute machen einen Basketballbohrer, um zum Reifen zu fahren.")</f>
        <v>Drei Leute machen einen Basketballbohrer, um zum Reifen zu fahren.</v>
      </c>
    </row>
    <row r="37245">
      <c r="A37245" s="4" t="s">
        <v>46836</v>
      </c>
      <c r="B37245" s="4" t="s">
        <v>46838</v>
      </c>
      <c r="C37245" s="5" t="str">
        <f>IFERROR(__xludf.DUMMYFUNCTION("GOOGLETRANSLATE(B37245,""en"",""de"")"),"Sie spielen abwechselnd verschiedene Positionen und machen ein Layup.")</f>
        <v>Sie spielen abwechselnd verschiedene Positionen und machen ein Layup.</v>
      </c>
    </row>
    <row r="37246">
      <c r="A37246" s="4" t="s">
        <v>46839</v>
      </c>
      <c r="B37246" s="4" t="s">
        <v>46840</v>
      </c>
      <c r="C37246" s="5" t="str">
        <f>IFERROR(__xludf.DUMMYFUNCTION("GOOGLETRANSLATE(B37246,""en"",""de"")"),"Ein junger Mann sieht mit Lotion im Gesicht in die Ferne.")</f>
        <v>Ein junger Mann sieht mit Lotion im Gesicht in die Ferne.</v>
      </c>
    </row>
    <row r="37247">
      <c r="A37247" s="4" t="s">
        <v>46839</v>
      </c>
      <c r="B37247" s="4" t="s">
        <v>46841</v>
      </c>
      <c r="C37247" s="5" t="str">
        <f>IFERROR(__xludf.DUMMYFUNCTION("GOOGLETRANSLATE(B37247,""en"",""de"")"),"Er reiben die Lotion weiter ein und schaut von der Kamera weg.")</f>
        <v>Er reiben die Lotion weiter ein und schaut von der Kamera weg.</v>
      </c>
    </row>
    <row r="37248">
      <c r="A37248" s="4" t="s">
        <v>46839</v>
      </c>
      <c r="B37248" s="4" t="s">
        <v>46842</v>
      </c>
      <c r="C37248" s="5" t="str">
        <f>IFERROR(__xludf.DUMMYFUNCTION("GOOGLETRANSLATE(B37248,""en"",""de"")"),"Er beendet den Sonnenschutz und schaut von der Kamera weg.")</f>
        <v>Er beendet den Sonnenschutz und schaut von der Kamera weg.</v>
      </c>
    </row>
    <row r="37249">
      <c r="A37249" s="4" t="s">
        <v>46843</v>
      </c>
      <c r="B37249" s="4" t="s">
        <v>46844</v>
      </c>
      <c r="C37249" s="5" t="str">
        <f>IFERROR(__xludf.DUMMYFUNCTION("GOOGLETRANSLATE(B37249,""en"",""de"")"),"Mehrere Männer stehen auf einem Innenplatz, der einen Ball herumwirft.")</f>
        <v>Mehrere Männer stehen auf einem Innenplatz, der einen Ball herumwirft.</v>
      </c>
    </row>
    <row r="37250">
      <c r="A37250" s="4" t="s">
        <v>46843</v>
      </c>
      <c r="B37250" s="4" t="s">
        <v>46845</v>
      </c>
      <c r="C37250" s="5" t="str">
        <f>IFERROR(__xludf.DUMMYFUNCTION("GOOGLETRANSLATE(B37250,""en"",""de"")"),"Die Leute sehen das Spiel am Rande an, während die Spieler weiter auf dem Feld rennen.")</f>
        <v>Die Leute sehen das Spiel am Rande an, während die Spieler weiter auf dem Feld rennen.</v>
      </c>
    </row>
    <row r="37251">
      <c r="A37251" s="4" t="s">
        <v>46843</v>
      </c>
      <c r="B37251" s="4" t="s">
        <v>46846</v>
      </c>
      <c r="C37251" s="5" t="str">
        <f>IFERROR(__xludf.DUMMYFUNCTION("GOOGLETRANSLATE(B37251,""en"",""de"")"),"Dazwischen werden verschiedene Spiele gezeigt und die Gruppe spielt weiterhin.")</f>
        <v>Dazwischen werden verschiedene Spiele gezeigt und die Gruppe spielt weiterhin.</v>
      </c>
    </row>
    <row r="37252">
      <c r="A37252" s="4" t="s">
        <v>46847</v>
      </c>
      <c r="B37252" s="4" t="s">
        <v>46848</v>
      </c>
      <c r="C37252" s="5" t="str">
        <f>IFERROR(__xludf.DUMMYFUNCTION("GOOGLETRANSLATE(B37252,""en"",""de"")"),"Es gibt zwei Dachdecker, die sich über ein Gebäudedach befinden, das die Entfernung des alten Daches entfernen.")</f>
        <v>Es gibt zwei Dachdecker, die sich über ein Gebäudedach befinden, das die Entfernung des alten Daches entfernen.</v>
      </c>
    </row>
    <row r="37253">
      <c r="A37253" s="4" t="s">
        <v>46847</v>
      </c>
      <c r="B37253" s="4" t="s">
        <v>46849</v>
      </c>
      <c r="C37253" s="5" t="str">
        <f>IFERROR(__xludf.DUMMYFUNCTION("GOOGLETRANSLATE(B37253,""en"",""de"")"),"Sie verwenden Dachschaufel, um die Schindeln und Plane zu entfernen.")</f>
        <v>Sie verwenden Dachschaufel, um die Schindeln und Plane zu entfernen.</v>
      </c>
    </row>
    <row r="37254">
      <c r="A37254" s="4" t="s">
        <v>46847</v>
      </c>
      <c r="B37254" s="4" t="s">
        <v>46850</v>
      </c>
      <c r="C37254" s="5" t="str">
        <f>IFERROR(__xludf.DUMMYFUNCTION("GOOGLETRANSLATE(B37254,""en"",""de"")"),"Einer der Dachdecker schleppt sich von der Plane vom Dach, als er in der Schaufel unter der Plane gräbt.")</f>
        <v>Einer der Dachdecker schleppt sich von der Plane vom Dach, als er in der Schaufel unter der Plane gräbt.</v>
      </c>
    </row>
    <row r="37255">
      <c r="A37255" s="4" t="s">
        <v>46847</v>
      </c>
      <c r="B37255" s="4" t="s">
        <v>46851</v>
      </c>
      <c r="C37255" s="5" t="str">
        <f>IFERROR(__xludf.DUMMYFUNCTION("GOOGLETRANSLATE(B37255,""en"",""de"")"),"Der andere Dachdecker hilft ihm, die Plane aufzurollen, während er sie abhebt.")</f>
        <v>Der andere Dachdecker hilft ihm, die Plane aufzurollen, während er sie abhebt.</v>
      </c>
    </row>
    <row r="37256">
      <c r="A37256" s="4" t="s">
        <v>46852</v>
      </c>
      <c r="B37256" s="4" t="s">
        <v>46853</v>
      </c>
      <c r="C37256" s="5" t="str">
        <f>IFERROR(__xludf.DUMMYFUNCTION("GOOGLETRANSLATE(B37256,""en"",""de"")"),"Eine Kamera schwenkt über ein Waschbecken voller Gerichte, gefolgt von einer Frau, die überragt.")</f>
        <v>Eine Kamera schwenkt über ein Waschbecken voller Gerichte, gefolgt von einer Frau, die überragt.</v>
      </c>
    </row>
    <row r="37257">
      <c r="A37257" s="4" t="s">
        <v>46852</v>
      </c>
      <c r="B37257" s="4" t="s">
        <v>46854</v>
      </c>
      <c r="C37257" s="5" t="str">
        <f>IFERROR(__xludf.DUMMYFUNCTION("GOOGLETRANSLATE(B37257,""en"",""de"")"),"Sie tanzt mit den Gerichten und schaut in die Kamera, während sie sie tut.")</f>
        <v>Sie tanzt mit den Gerichten und schaut in die Kamera, während sie sie tut.</v>
      </c>
    </row>
    <row r="37258">
      <c r="A37258" s="4" t="s">
        <v>46852</v>
      </c>
      <c r="B37258" s="4" t="s">
        <v>46855</v>
      </c>
      <c r="C37258" s="5" t="str">
        <f>IFERROR(__xludf.DUMMYFUNCTION("GOOGLETRANSLATE(B37258,""en"",""de"")"),"Ein Timer zählt, wie viele Gerichte sie gewaschen hat und sie lächelt zur Kamera.")</f>
        <v>Ein Timer zählt, wie viele Gerichte sie gewaschen hat und sie lächelt zur Kamera.</v>
      </c>
    </row>
    <row r="37259">
      <c r="A37259" s="4" t="s">
        <v>46856</v>
      </c>
      <c r="B37259" s="4" t="s">
        <v>46857</v>
      </c>
      <c r="C37259" s="5" t="str">
        <f>IFERROR(__xludf.DUMMYFUNCTION("GOOGLETRANSLATE(B37259,""en"",""de"")"),"Ein Mann spricht in den Wäldern und hält eine Dose und Schlüsselkette.")</f>
        <v>Ein Mann spricht in den Wäldern und hält eine Dose und Schlüsselkette.</v>
      </c>
    </row>
    <row r="37260">
      <c r="A37260" s="4" t="s">
        <v>46856</v>
      </c>
      <c r="B37260" s="4" t="s">
        <v>46858</v>
      </c>
      <c r="C37260" s="5" t="str">
        <f>IFERROR(__xludf.DUMMYFUNCTION("GOOGLETRANSLATE(B37260,""en"",""de"")"),"Dann nimmt der Mann die Schlüsselkette und zeigt den unteren Teil der Dose.")</f>
        <v>Dann nimmt der Mann die Schlüsselkette und zeigt den unteren Teil der Dose.</v>
      </c>
    </row>
    <row r="37261">
      <c r="A37261" s="4" t="s">
        <v>46856</v>
      </c>
      <c r="B37261" s="4" t="s">
        <v>46859</v>
      </c>
      <c r="C37261" s="5" t="str">
        <f>IFERROR(__xludf.DUMMYFUNCTION("GOOGLETRANSLATE(B37261,""en"",""de"")"),"Danach schlägt der Mann den unteren Teil der Dose und öffnet sich sofort die Dose und trinkt aus dem Loch der Dose.")</f>
        <v>Danach schlägt der Mann den unteren Teil der Dose und öffnet sich sofort die Dose und trinkt aus dem Loch der Dose.</v>
      </c>
    </row>
    <row r="37262">
      <c r="A37262" s="4" t="s">
        <v>46860</v>
      </c>
      <c r="B37262" s="4" t="s">
        <v>46861</v>
      </c>
      <c r="C37262" s="5" t="str">
        <f>IFERROR(__xludf.DUMMYFUNCTION("GOOGLETRANSLATE(B37262,""en"",""de"")"),"Eine Liste von Zutaten wird in einer Liste geschrieben.")</f>
        <v>Eine Liste von Zutaten wird in einer Liste geschrieben.</v>
      </c>
    </row>
    <row r="37263">
      <c r="A37263" s="4" t="s">
        <v>46860</v>
      </c>
      <c r="B37263" s="4" t="s">
        <v>46862</v>
      </c>
      <c r="C37263" s="5" t="str">
        <f>IFERROR(__xludf.DUMMYFUNCTION("GOOGLETRANSLATE(B37263,""en"",""de"")"),"Glasschalen werden auf einer Theke mit verschiedenen Zutaten für ein Gericht gesetzt.")</f>
        <v>Glasschalen werden auf einer Theke mit verschiedenen Zutaten für ein Gericht gesetzt.</v>
      </c>
    </row>
    <row r="37264">
      <c r="A37264" s="4" t="s">
        <v>46860</v>
      </c>
      <c r="B37264" s="4" t="s">
        <v>46863</v>
      </c>
      <c r="C37264" s="5" t="str">
        <f>IFERROR(__xludf.DUMMYFUNCTION("GOOGLETRANSLATE(B37264,""en"",""de"")"),"Eine Person misst und schneidet Pergamentpapier mit einer Kochendose als Anleitung.")</f>
        <v>Eine Person misst und schneidet Pergamentpapier mit einer Kochendose als Anleitung.</v>
      </c>
    </row>
    <row r="37265">
      <c r="A37265" s="4" t="s">
        <v>46860</v>
      </c>
      <c r="B37265" s="4" t="s">
        <v>46864</v>
      </c>
      <c r="C37265" s="5" t="str">
        <f>IFERROR(__xludf.DUMMYFUNCTION("GOOGLETRANSLATE(B37265,""en"",""de"")"),"Die Person misst die Zutaten in einer Glasschale und fügt sie dann zu einem Elektromixer hinzu, um sich zu mischen.")</f>
        <v>Die Person misst die Zutaten in einer Glasschale und fügt sie dann zu einem Elektromixer hinzu, um sich zu mischen.</v>
      </c>
    </row>
    <row r="37266">
      <c r="A37266" s="4" t="s">
        <v>46860</v>
      </c>
      <c r="B37266" s="4" t="s">
        <v>46865</v>
      </c>
      <c r="C37266" s="5" t="str">
        <f>IFERROR(__xludf.DUMMYFUNCTION("GOOGLETRANSLATE(B37266,""en"",""de"")"),"Die Person putzt an Öl zum Pergamentpapier auf eine Kochendose.")</f>
        <v>Die Person putzt an Öl zum Pergamentpapier auf eine Kochendose.</v>
      </c>
    </row>
    <row r="37267">
      <c r="A37267" s="4" t="s">
        <v>46860</v>
      </c>
      <c r="B37267" s="4" t="s">
        <v>46866</v>
      </c>
      <c r="C37267" s="5" t="str">
        <f>IFERROR(__xludf.DUMMYFUNCTION("GOOGLETRANSLATE(B37267,""en"",""de"")"),"Die Dosen werden zu einem Ofen zum Kochen hinzugefügt.")</f>
        <v>Die Dosen werden zu einem Ofen zum Kochen hinzugefügt.</v>
      </c>
    </row>
    <row r="37268">
      <c r="A37268" s="4" t="s">
        <v>46860</v>
      </c>
      <c r="B37268" s="4" t="s">
        <v>46867</v>
      </c>
      <c r="C37268" s="5" t="str">
        <f>IFERROR(__xludf.DUMMYFUNCTION("GOOGLETRANSLATE(B37268,""en"",""de"")"),"Die Dosen werden vollständig gekocht angezeigt und dann zum leeren Kuchen auf den Tisch umgedreht.")</f>
        <v>Die Dosen werden vollständig gekocht angezeigt und dann zum leeren Kuchen auf den Tisch umgedreht.</v>
      </c>
    </row>
    <row r="37269">
      <c r="A37269" s="4" t="s">
        <v>46860</v>
      </c>
      <c r="B37269" s="4" t="s">
        <v>46868</v>
      </c>
      <c r="C37269" s="5" t="str">
        <f>IFERROR(__xludf.DUMMYFUNCTION("GOOGLETRANSLATE(B37269,""en"",""de"")"),"Das Pergamentpapier wird vom Kuchen abgezogen.")</f>
        <v>Das Pergamentpapier wird vom Kuchen abgezogen.</v>
      </c>
    </row>
    <row r="37270">
      <c r="A37270" s="4" t="s">
        <v>46860</v>
      </c>
      <c r="B37270" s="4" t="s">
        <v>46869</v>
      </c>
      <c r="C37270" s="5" t="str">
        <f>IFERROR(__xludf.DUMMYFUNCTION("GOOGLETRANSLATE(B37270,""en"",""de"")"),"Der Kuchen wird mit einem gezackten Messer in Brote geschnitten.")</f>
        <v>Der Kuchen wird mit einem gezackten Messer in Brote geschnitten.</v>
      </c>
    </row>
    <row r="37271">
      <c r="A37271" s="4" t="s">
        <v>46860</v>
      </c>
      <c r="B37271" s="4" t="s">
        <v>46870</v>
      </c>
      <c r="C37271" s="5" t="str">
        <f>IFERROR(__xludf.DUMMYFUNCTION("GOOGLETRANSLATE(B37271,""en"",""de"")"),"Der Kuchen ist auf Tellern zum Servieren zu sehen.")</f>
        <v>Der Kuchen ist auf Tellern zum Servieren zu sehen.</v>
      </c>
    </row>
    <row r="37272">
      <c r="A37272" s="4" t="s">
        <v>46871</v>
      </c>
      <c r="B37272" s="4" t="s">
        <v>46872</v>
      </c>
      <c r="C37272" s="5" t="str">
        <f>IFERROR(__xludf.DUMMYFUNCTION("GOOGLETRANSLATE(B37272,""en"",""de"")"),"Eine Frau hilft einem kleinen Jungen, eine Rutsche hinunterzurutschen.")</f>
        <v>Eine Frau hilft einem kleinen Jungen, eine Rutsche hinunterzurutschen.</v>
      </c>
    </row>
    <row r="37273">
      <c r="A37273" s="4" t="s">
        <v>46871</v>
      </c>
      <c r="B37273" s="4" t="s">
        <v>46873</v>
      </c>
      <c r="C37273" s="5" t="str">
        <f>IFERROR(__xludf.DUMMYFUNCTION("GOOGLETRANSLATE(B37273,""en"",""de"")"),"Eine Frau befindet sich oben auf einer Rutsche, die einem kleinen Jungen hilft, in die Arme einer anderen Person in einer roten Weste hinunterzurutschen.")</f>
        <v>Eine Frau befindet sich oben auf einer Rutsche, die einem kleinen Jungen hilft, in die Arme einer anderen Person in einer roten Weste hinunterzurutschen.</v>
      </c>
    </row>
    <row r="37274">
      <c r="A37274" s="4" t="s">
        <v>46871</v>
      </c>
      <c r="B37274" s="4" t="s">
        <v>46874</v>
      </c>
      <c r="C37274" s="5" t="str">
        <f>IFERROR(__xludf.DUMMYFUNCTION("GOOGLETRANSLATE(B37274,""en"",""de"")"),"Eine Frau hilft dem Jungen, eine Rutsche hinunter und die gleiche Person in der roten Weste fängt sie auf.")</f>
        <v>Eine Frau hilft dem Jungen, eine Rutsche hinunter und die gleiche Person in der roten Weste fängt sie auf.</v>
      </c>
    </row>
    <row r="37275">
      <c r="A37275" s="4" t="s">
        <v>46871</v>
      </c>
      <c r="B37275" s="4" t="s">
        <v>46875</v>
      </c>
      <c r="C37275" s="5" t="str">
        <f>IFERROR(__xludf.DUMMYFUNCTION("GOOGLETRANSLATE(B37275,""en"",""de"")"),"Die Person in der roten Weste küsste dann das Kind.")</f>
        <v>Die Person in der roten Weste küsste dann das Kind.</v>
      </c>
    </row>
    <row r="37276">
      <c r="A37276" s="4" t="s">
        <v>46876</v>
      </c>
      <c r="B37276" s="4" t="s">
        <v>21138</v>
      </c>
      <c r="C37276" s="5" t="str">
        <f>IFERROR(__xludf.DUMMYFUNCTION("GOOGLETRANSLATE(B37276,""en"",""de"")"),"Ballerinas tanzen auf einer Bühne.")</f>
        <v>Ballerinas tanzen auf einer Bühne.</v>
      </c>
    </row>
    <row r="37277">
      <c r="A37277" s="4" t="s">
        <v>46876</v>
      </c>
      <c r="B37277" s="4" t="s">
        <v>46877</v>
      </c>
      <c r="C37277" s="5" t="str">
        <f>IFERROR(__xludf.DUMMYFUNCTION("GOOGLETRANSLATE(B37277,""en"",""de"")"),"Sie alle kommen auf die Bühne und posieren am Ende.")</f>
        <v>Sie alle kommen auf die Bühne und posieren am Ende.</v>
      </c>
    </row>
    <row r="37278">
      <c r="A37278" s="4" t="s">
        <v>46876</v>
      </c>
      <c r="B37278" s="4" t="s">
        <v>46878</v>
      </c>
      <c r="C37278" s="5" t="str">
        <f>IFERROR(__xludf.DUMMYFUNCTION("GOOGLETRANSLATE(B37278,""en"",""de"")"),"Sie verneigen sich und gehen von der Bühne.")</f>
        <v>Sie verneigen sich und gehen von der Bühne.</v>
      </c>
    </row>
    <row r="37279">
      <c r="A37279" s="4" t="s">
        <v>46879</v>
      </c>
      <c r="B37279" s="4" t="s">
        <v>46880</v>
      </c>
      <c r="C37279" s="5" t="str">
        <f>IFERROR(__xludf.DUMMYFUNCTION("GOOGLETRANSLATE(B37279,""en"",""de"")"),"Es wird gezeigt, dass eine Person die Außenseite eines Autos reinigt.")</f>
        <v>Es wird gezeigt, dass eine Person die Außenseite eines Autos reinigt.</v>
      </c>
    </row>
    <row r="37280">
      <c r="A37280" s="4" t="s">
        <v>46879</v>
      </c>
      <c r="B37280" s="4" t="s">
        <v>46881</v>
      </c>
      <c r="C37280" s="5" t="str">
        <f>IFERROR(__xludf.DUMMYFUNCTION("GOOGLETRANSLATE(B37280,""en"",""de"")"),"Das Auto wird dann in einen Laden gefahren.")</f>
        <v>Das Auto wird dann in einen Laden gefahren.</v>
      </c>
    </row>
    <row r="37281">
      <c r="A37281" s="4" t="s">
        <v>46879</v>
      </c>
      <c r="B37281" s="4" t="s">
        <v>46882</v>
      </c>
      <c r="C37281" s="5" t="str">
        <f>IFERROR(__xludf.DUMMYFUNCTION("GOOGLETRANSLATE(B37281,""en"",""de"")"),"Innerhalb eines Mannes beginnt das Auto erneut zu detaillieren und die Außenseite abzuräumen.")</f>
        <v>Innerhalb eines Mannes beginnt das Auto erneut zu detaillieren und die Außenseite abzuräumen.</v>
      </c>
    </row>
    <row r="37282">
      <c r="A37282" s="4" t="s">
        <v>46879</v>
      </c>
      <c r="B37282" s="4" t="s">
        <v>46883</v>
      </c>
      <c r="C37282" s="5" t="str">
        <f>IFERROR(__xludf.DUMMYFUNCTION("GOOGLETRANSLATE(B37282,""en"",""de"")"),"Er sprüht Teile des Autos.")</f>
        <v>Er sprüht Teile des Autos.</v>
      </c>
    </row>
    <row r="37283">
      <c r="A37283" s="4" t="s">
        <v>46879</v>
      </c>
      <c r="B37283" s="4" t="s">
        <v>46884</v>
      </c>
      <c r="C37283" s="5" t="str">
        <f>IFERROR(__xludf.DUMMYFUNCTION("GOOGLETRANSLATE(B37283,""en"",""de"")"),"Er spricht innen und außerhalb des Autos sauberer.")</f>
        <v>Er spricht innen und außerhalb des Autos sauberer.</v>
      </c>
    </row>
    <row r="37284">
      <c r="A37284" s="4" t="s">
        <v>46879</v>
      </c>
      <c r="B37284" s="4" t="s">
        <v>46885</v>
      </c>
      <c r="C37284" s="5" t="str">
        <f>IFERROR(__xludf.DUMMYFUNCTION("GOOGLETRANSLATE(B37284,""en"",""de"")"),"Er wischt alle Oberflächen von innen und außerhalb des Autos ab.")</f>
        <v>Er wischt alle Oberflächen von innen und außerhalb des Autos ab.</v>
      </c>
    </row>
    <row r="37285">
      <c r="A37285" s="4" t="s">
        <v>46886</v>
      </c>
      <c r="B37285" s="4" t="s">
        <v>46887</v>
      </c>
      <c r="C37285" s="5" t="str">
        <f>IFERROR(__xludf.DUMMYFUNCTION("GOOGLETRANSLATE(B37285,""en"",""de"")"),"Zwei Männer spielen Fußballtisch, die die Spieler auf den Ruten bewegt.")</f>
        <v>Zwei Männer spielen Fußballtisch, die die Spieler auf den Ruten bewegt.</v>
      </c>
    </row>
    <row r="37286">
      <c r="A37286" s="4" t="s">
        <v>46886</v>
      </c>
      <c r="B37286" s="4" t="s">
        <v>46888</v>
      </c>
      <c r="C37286" s="5" t="str">
        <f>IFERROR(__xludf.DUMMYFUNCTION("GOOGLETRANSLATE(B37286,""en"",""de"")"),"Ein Mann, der gelbes Hemd trägt, streichelt die Stange stark, um den weißen Ball zu treffen.")</f>
        <v>Ein Mann, der gelbes Hemd trägt, streichelt die Stange stark, um den weißen Ball zu treffen.</v>
      </c>
    </row>
    <row r="37287">
      <c r="A37287" s="4" t="s">
        <v>46886</v>
      </c>
      <c r="B37287" s="4" t="s">
        <v>46889</v>
      </c>
      <c r="C37287" s="5" t="str">
        <f>IFERROR(__xludf.DUMMYFUNCTION("GOOGLETRANSLATE(B37287,""en"",""de"")"),"Eine Person steht auf dem Fußballtisch.")</f>
        <v>Eine Person steht auf dem Fußballtisch.</v>
      </c>
    </row>
    <row r="37288">
      <c r="A37288" s="4" t="s">
        <v>46890</v>
      </c>
      <c r="B37288" s="4" t="s">
        <v>46891</v>
      </c>
      <c r="C37288" s="5" t="str">
        <f>IFERROR(__xludf.DUMMYFUNCTION("GOOGLETRANSLATE(B37288,""en"",""de"")"),"Eine Hand wird gezeigt, die einen Schalter umdreht.")</f>
        <v>Eine Hand wird gezeigt, die einen Schalter umdreht.</v>
      </c>
    </row>
    <row r="37289">
      <c r="A37289" s="4" t="s">
        <v>46890</v>
      </c>
      <c r="B37289" s="4" t="s">
        <v>46892</v>
      </c>
      <c r="C37289" s="5" t="str">
        <f>IFERROR(__xludf.DUMMYFUNCTION("GOOGLETRANSLATE(B37289,""en"",""de"")"),"A Der Schlauch eines Blattgebläses wird gezeigt.")</f>
        <v>A Der Schlauch eines Blattgebläses wird gezeigt.</v>
      </c>
    </row>
    <row r="37290">
      <c r="A37290" s="4" t="s">
        <v>46890</v>
      </c>
      <c r="B37290" s="4" t="s">
        <v>46893</v>
      </c>
      <c r="C37290" s="5" t="str">
        <f>IFERROR(__xludf.DUMMYFUNCTION("GOOGLETRANSLATE(B37290,""en"",""de"")"),"Der Schlauch beginnt kraftvoll, blätter von der Kamera wegzublasen.")</f>
        <v>Der Schlauch beginnt kraftvoll, blätter von der Kamera wegzublasen.</v>
      </c>
    </row>
    <row r="37291">
      <c r="A37291" s="4" t="s">
        <v>46890</v>
      </c>
      <c r="B37291" s="4" t="s">
        <v>46894</v>
      </c>
      <c r="C37291" s="5" t="str">
        <f>IFERROR(__xludf.DUMMYFUNCTION("GOOGLETRANSLATE(B37291,""en"",""de"")"),"Die Person, die das Blattgebläse hält, schwingt wiederholt mit dem Schlauch, der links links zu Ringblättern in einen Stapel ist.")</f>
        <v>Die Person, die das Blattgebläse hält, schwingt wiederholt mit dem Schlauch, der links links zu Ringblättern in einen Stapel ist.</v>
      </c>
    </row>
    <row r="37292">
      <c r="A37292" s="4" t="s">
        <v>46895</v>
      </c>
      <c r="B37292" s="4" t="s">
        <v>46896</v>
      </c>
      <c r="C37292" s="5" t="str">
        <f>IFERROR(__xludf.DUMMYFUNCTION("GOOGLETRANSLATE(B37292,""en"",""de"")"),"Ein Sicherheitsvideo für Wohngebäude spielt und zeigt einen leeren Garten und eine Straße.")</f>
        <v>Ein Sicherheitsvideo für Wohngebäude spielt und zeigt einen leeren Garten und eine Straße.</v>
      </c>
    </row>
    <row r="37293">
      <c r="A37293" s="4" t="s">
        <v>46895</v>
      </c>
      <c r="B37293" s="4" t="s">
        <v>46897</v>
      </c>
      <c r="C37293" s="5" t="str">
        <f>IFERROR(__xludf.DUMMYFUNCTION("GOOGLETRANSLATE(B37293,""en"",""de"")"),"Ein Mann, der zwei Hunde spaziert, taucht auf der Seite näher an die Kamera und bemerkt schnell einen anderen Hund von der anderen Straßenseite, die plötzlich auf ihn zukommt, und er versucht, seine Hunde zu straffen, um die Kontrolle über sie zu erlangen"&amp;", aber der Anderer Hund rennt auf sie zu und greift die Hunde des Mannes an.")</f>
        <v>Ein Mann, der zwei Hunde spaziert, taucht auf der Seite näher an die Kamera und bemerkt schnell einen anderen Hund von der anderen Straßenseite, die plötzlich auf ihn zukommt, und er versucht, seine Hunde zu straffen, um die Kontrolle über sie zu erlangen, aber der Anderer Hund rennt auf sie zu und greift die Hunde des Mannes an.</v>
      </c>
    </row>
    <row r="37294">
      <c r="A37294" s="4" t="s">
        <v>46895</v>
      </c>
      <c r="B37294" s="4" t="s">
        <v>46898</v>
      </c>
      <c r="C37294" s="5" t="str">
        <f>IFERROR(__xludf.DUMMYFUNCTION("GOOGLETRANSLATE(B37294,""en"",""de"")"),"Der Mann tritt den Angriffshund weg und versucht, die Kontrolle über seine beiden Hunde wiederzugewinnen, während der Mann und der andere Hund auf der anderen Straßenseite sind.")</f>
        <v>Der Mann tritt den Angriffshund weg und versucht, die Kontrolle über seine beiden Hunde wiederzugewinnen, während der Mann und der andere Hund auf der anderen Straßenseite sind.</v>
      </c>
    </row>
    <row r="37295">
      <c r="A37295" s="4" t="s">
        <v>46895</v>
      </c>
      <c r="B37295" s="4" t="s">
        <v>46899</v>
      </c>
      <c r="C37295" s="5" t="str">
        <f>IFERROR(__xludf.DUMMYFUNCTION("GOOGLETRANSLATE(B37295,""en"",""de"")"),"Der Mann nimmt einen seiner Hunde auf und sie gehen wieder beim Gehen.")</f>
        <v>Der Mann nimmt einen seiner Hunde auf und sie gehen wieder beim Gehen.</v>
      </c>
    </row>
    <row r="37296">
      <c r="A37296" s="4" t="s">
        <v>46900</v>
      </c>
      <c r="B37296" s="4" t="s">
        <v>46901</v>
      </c>
      <c r="C37296" s="5" t="str">
        <f>IFERROR(__xludf.DUMMYFUNCTION("GOOGLETRANSLATE(B37296,""en"",""de"")"),"Wir sehen einen Mann und einen Jungen spielen, indem wir ein Plastik -Ding um den Tisch schieben.")</f>
        <v>Wir sehen einen Mann und einen Jungen spielen, indem wir ein Plastik -Ding um den Tisch schieben.</v>
      </c>
    </row>
    <row r="37297">
      <c r="A37297" s="4" t="s">
        <v>46900</v>
      </c>
      <c r="B37297" s="4" t="s">
        <v>46902</v>
      </c>
      <c r="C37297" s="5" t="str">
        <f>IFERROR(__xludf.DUMMYFUNCTION("GOOGLETRANSLATE(B37297,""en"",""de"")"),"Die Kamera verschiebt und wir sehen mehr vom Raum.")</f>
        <v>Die Kamera verschiebt und wir sehen mehr vom Raum.</v>
      </c>
    </row>
    <row r="37298">
      <c r="A37298" s="4" t="s">
        <v>46900</v>
      </c>
      <c r="B37298" s="4" t="s">
        <v>46903</v>
      </c>
      <c r="C37298" s="5" t="str">
        <f>IFERROR(__xludf.DUMMYFUNCTION("GOOGLETRANSLATE(B37298,""en"",""de"")"),"Der Kamerawinkel ändert sich und wir sehen, wie sie das Spiel von hinten spielen.")</f>
        <v>Der Kamerawinkel ändert sich und wir sehen, wie sie das Spiel von hinten spielen.</v>
      </c>
    </row>
    <row r="37299">
      <c r="A37299" s="4" t="s">
        <v>46900</v>
      </c>
      <c r="B37299" s="4" t="s">
        <v>46904</v>
      </c>
      <c r="C37299" s="5" t="str">
        <f>IFERROR(__xludf.DUMMYFUNCTION("GOOGLETRANSLATE(B37299,""en"",""de"")"),"Eine Person Hand links tritt in den Bildschirm ein.")</f>
        <v>Eine Person Hand links tritt in den Bildschirm ein.</v>
      </c>
    </row>
    <row r="37300">
      <c r="A37300" s="4" t="s">
        <v>46900</v>
      </c>
      <c r="B37300" s="4" t="s">
        <v>46905</v>
      </c>
      <c r="C37300" s="5" t="str">
        <f>IFERROR(__xludf.DUMMYFUNCTION("GOOGLETRANSLATE(B37300,""en"",""de"")"),"Der Kamerawinkel ändert sich wieder und wir stehen vor den Spielern.")</f>
        <v>Der Kamerawinkel ändert sich wieder und wir stehen vor den Spielern.</v>
      </c>
    </row>
    <row r="37301">
      <c r="A37301" s="4" t="s">
        <v>46900</v>
      </c>
      <c r="B37301" s="4" t="s">
        <v>46906</v>
      </c>
      <c r="C37301" s="5" t="str">
        <f>IFERROR(__xludf.DUMMYFUNCTION("GOOGLETRANSLATE(B37301,""en"",""de"")"),"Wir sehen einen Jungen in einem Pullover, der einen Stuhl bewegt, um sich dem Spiel anzuschließen.")</f>
        <v>Wir sehen einen Jungen in einem Pullover, der einen Stuhl bewegt, um sich dem Spiel anzuschließen.</v>
      </c>
    </row>
    <row r="37302">
      <c r="A37302" s="4" t="s">
        <v>46907</v>
      </c>
      <c r="B37302" s="4" t="s">
        <v>46908</v>
      </c>
      <c r="C37302" s="5" t="str">
        <f>IFERROR(__xludf.DUMMYFUNCTION("GOOGLETRANSLATE(B37302,""en"",""de"")"),"Ein kleines Kind lächelt zur Kamera und tanzt dann herum.")</f>
        <v>Ein kleines Kind lächelt zur Kamera und tanzt dann herum.</v>
      </c>
    </row>
    <row r="37303">
      <c r="A37303" s="4" t="s">
        <v>46907</v>
      </c>
      <c r="B37303" s="4" t="s">
        <v>46909</v>
      </c>
      <c r="C37303" s="5" t="str">
        <f>IFERROR(__xludf.DUMMYFUNCTION("GOOGLETRANSLATE(B37303,""en"",""de"")"),"Der Junge tanzt weiter, während die Kamera ihn auf und ab fängt, sich auf und ab zu bewegen.")</f>
        <v>Der Junge tanzt weiter, während die Kamera ihn auf und ab fängt, sich auf und ab zu bewegen.</v>
      </c>
    </row>
    <row r="37304">
      <c r="A37304" s="4" t="s">
        <v>46910</v>
      </c>
      <c r="B37304" s="4" t="s">
        <v>46911</v>
      </c>
      <c r="C37304" s="5" t="str">
        <f>IFERROR(__xludf.DUMMYFUNCTION("GOOGLETRANSLATE(B37304,""en"",""de"")"),"Ein kleines Mädchen hält einen kompakten und wischt sich das Make -up -Pad gegen ihre Wange ab.")</f>
        <v>Ein kleines Mädchen hält einen kompakten und wischt sich das Make -up -Pad gegen ihre Wange ab.</v>
      </c>
    </row>
    <row r="37305">
      <c r="A37305" s="4" t="s">
        <v>46910</v>
      </c>
      <c r="B37305" s="4" t="s">
        <v>46912</v>
      </c>
      <c r="C37305" s="5" t="str">
        <f>IFERROR(__xludf.DUMMYFUNCTION("GOOGLETRANSLATE(B37305,""en"",""de"")"),"Sie sitzt auf dem Boden, spielt weiter mit dem Make -up, öffnet und schließt das Gehäuse und löscht es auf ihr Gesicht.")</f>
        <v>Sie sitzt auf dem Boden, spielt weiter mit dem Make -up, öffnet und schließt das Gehäuse und löscht es auf ihr Gesicht.</v>
      </c>
    </row>
    <row r="37306">
      <c r="A37306" s="4" t="s">
        <v>46913</v>
      </c>
      <c r="B37306" s="4" t="s">
        <v>46914</v>
      </c>
      <c r="C37306" s="5" t="str">
        <f>IFERROR(__xludf.DUMMYFUNCTION("GOOGLETRANSLATE(B37306,""en"",""de"")"),"Drei Männer gehen mit den Stelzen.")</f>
        <v>Drei Männer gehen mit den Stelzen.</v>
      </c>
    </row>
    <row r="37307">
      <c r="A37307" s="4" t="s">
        <v>46913</v>
      </c>
      <c r="B37307" s="4" t="s">
        <v>46915</v>
      </c>
      <c r="C37307" s="5" t="str">
        <f>IFERROR(__xludf.DUMMYFUNCTION("GOOGLETRANSLATE(B37307,""en"",""de"")"),"Einer der Männer mit Stelzen spaltet sich in der Mitte.")</f>
        <v>Einer der Männer mit Stelzen spaltet sich in der Mitte.</v>
      </c>
    </row>
    <row r="37308">
      <c r="A37308" s="4" t="s">
        <v>46913</v>
      </c>
      <c r="B37308" s="4" t="s">
        <v>46916</v>
      </c>
      <c r="C37308" s="5" t="str">
        <f>IFERROR(__xludf.DUMMYFUNCTION("GOOGLETRANSLATE(B37308,""en"",""de"")"),"Einer der Männer sprang einige Zeit mit seinen Stelzen so hoch.")</f>
        <v>Einer der Männer sprang einige Zeit mit seinen Stelzen so hoch.</v>
      </c>
    </row>
    <row r="37309">
      <c r="A37309" s="4" t="s">
        <v>46917</v>
      </c>
      <c r="B37309" s="4" t="s">
        <v>46918</v>
      </c>
      <c r="C37309" s="5" t="str">
        <f>IFERROR(__xludf.DUMMYFUNCTION("GOOGLETRANSLATE(B37309,""en"",""de"")"),"Ein Turner wartet geduldig darauf, seine Leistung zu beginnen.")</f>
        <v>Ein Turner wartet geduldig darauf, seine Leistung zu beginnen.</v>
      </c>
    </row>
    <row r="37310">
      <c r="A37310" s="4" t="s">
        <v>46917</v>
      </c>
      <c r="B37310" s="4" t="s">
        <v>46919</v>
      </c>
      <c r="C37310" s="5" t="str">
        <f>IFERROR(__xludf.DUMMYFUNCTION("GOOGLETRANSLATE(B37310,""en"",""de"")"),"Er springt auf das Brett und dreht sich sehr schnell, bevor er abspringt und herumläuft.")</f>
        <v>Er springt auf das Brett und dreht sich sehr schnell, bevor er abspringt und herumläuft.</v>
      </c>
    </row>
    <row r="37311">
      <c r="A37311" s="4" t="s">
        <v>46917</v>
      </c>
      <c r="B37311" s="4" t="s">
        <v>46920</v>
      </c>
      <c r="C37311" s="5" t="str">
        <f>IFERROR(__xludf.DUMMYFUNCTION("GOOGLETRANSLATE(B37311,""en"",""de"")"),"Er holt Luft und das Publikum klatscht für ihn, bevor er wieder darauf springt und sich wieder dreht.")</f>
        <v>Er holt Luft und das Publikum klatscht für ihn, bevor er wieder darauf springt und sich wieder dreht.</v>
      </c>
    </row>
    <row r="37312">
      <c r="A37312" s="4" t="s">
        <v>46917</v>
      </c>
      <c r="B37312" s="4" t="s">
        <v>46921</v>
      </c>
      <c r="C37312" s="5" t="str">
        <f>IFERROR(__xludf.DUMMYFUNCTION("GOOGLETRANSLATE(B37312,""en"",""de"")"),"Wenn er fertig ist, geht er runter und schüttelt mit allen Teamkollegen die Hand, bevor er ein letztes Mal einsteigt.")</f>
        <v>Wenn er fertig ist, geht er runter und schüttelt mit allen Teamkollegen die Hand, bevor er ein letztes Mal einsteigt.</v>
      </c>
    </row>
    <row r="37313">
      <c r="A37313" s="4" t="s">
        <v>46922</v>
      </c>
      <c r="B37313" s="4" t="s">
        <v>46923</v>
      </c>
      <c r="C37313" s="5" t="str">
        <f>IFERROR(__xludf.DUMMYFUNCTION("GOOGLETRANSLATE(B37313,""en"",""de"")"),"Ein Mann in einem blauen Hemd bewegt sich, um seinen Schuss zu machen.")</f>
        <v>Ein Mann in einem blauen Hemd bewegt sich, um seinen Schuss zu machen.</v>
      </c>
    </row>
    <row r="37314">
      <c r="A37314" s="4" t="s">
        <v>46922</v>
      </c>
      <c r="B37314" s="4" t="s">
        <v>46924</v>
      </c>
      <c r="C37314" s="5" t="str">
        <f>IFERROR(__xludf.DUMMYFUNCTION("GOOGLETRANSLATE(B37314,""en"",""de"")"),"Dann spricht er mit den anderen Männern.")</f>
        <v>Dann spricht er mit den anderen Männern.</v>
      </c>
    </row>
    <row r="37315">
      <c r="A37315" s="4" t="s">
        <v>46922</v>
      </c>
      <c r="B37315" s="4" t="s">
        <v>46925</v>
      </c>
      <c r="C37315" s="5" t="str">
        <f>IFERROR(__xludf.DUMMYFUNCTION("GOOGLETRANSLATE(B37315,""en"",""de"")"),"Der Mann in Schwarz bewegt sich aus dem Schuss.")</f>
        <v>Der Mann in Schwarz bewegt sich aus dem Schuss.</v>
      </c>
    </row>
    <row r="37316">
      <c r="A37316" s="4" t="s">
        <v>46922</v>
      </c>
      <c r="B37316" s="4" t="s">
        <v>46926</v>
      </c>
      <c r="C37316" s="5" t="str">
        <f>IFERROR(__xludf.DUMMYFUNCTION("GOOGLETRANSLATE(B37316,""en"",""de"")"),"Der Mann in Schwarz und Blau wirft ihre Hände in die Luft.")</f>
        <v>Der Mann in Schwarz und Blau wirft ihre Hände in die Luft.</v>
      </c>
    </row>
    <row r="37317">
      <c r="A37317" s="4" t="s">
        <v>46922</v>
      </c>
      <c r="B37317" s="4" t="s">
        <v>46927</v>
      </c>
      <c r="C37317" s="5" t="str">
        <f>IFERROR(__xludf.DUMMYFUNCTION("GOOGLETRANSLATE(B37317,""en"",""de"")"),"Alle Männer brechen aus und reagieren wild auf den letzten Schuss.")</f>
        <v>Alle Männer brechen aus und reagieren wild auf den letzten Schuss.</v>
      </c>
    </row>
    <row r="37318">
      <c r="A37318" s="4" t="s">
        <v>46928</v>
      </c>
      <c r="B37318" s="4" t="s">
        <v>4423</v>
      </c>
      <c r="C37318" s="5" t="str">
        <f>IFERROR(__xludf.DUMMYFUNCTION("GOOGLETRANSLATE(B37318,""en"",""de"")"),"Die Menschen snowboarden einen Schneehügel hinunter.")</f>
        <v>Die Menschen snowboarden einen Schneehügel hinunter.</v>
      </c>
    </row>
    <row r="37319">
      <c r="A37319" s="4" t="s">
        <v>46928</v>
      </c>
      <c r="B37319" s="4" t="s">
        <v>46929</v>
      </c>
      <c r="C37319" s="5" t="str">
        <f>IFERROR(__xludf.DUMMYFUNCTION("GOOGLETRANSLATE(B37319,""en"",""de"")"),"Sie setzen sich hin und trinken Kaffee.")</f>
        <v>Sie setzen sich hin und trinken Kaffee.</v>
      </c>
    </row>
    <row r="37320">
      <c r="A37320" s="4" t="s">
        <v>46928</v>
      </c>
      <c r="B37320" s="4" t="s">
        <v>46930</v>
      </c>
      <c r="C37320" s="5" t="str">
        <f>IFERROR(__xludf.DUMMYFUNCTION("GOOGLETRANSLATE(B37320,""en"",""de"")"),"Sie stehen neben einem Gewässer.")</f>
        <v>Sie stehen neben einem Gewässer.</v>
      </c>
    </row>
    <row r="37321">
      <c r="A37321" s="4" t="s">
        <v>46928</v>
      </c>
      <c r="B37321" s="4" t="s">
        <v>46931</v>
      </c>
      <c r="C37321" s="5" t="str">
        <f>IFERROR(__xludf.DUMMYFUNCTION("GOOGLETRANSLATE(B37321,""en"",""de"")"),"Sie snowboarden wieder einen Hügel hinunter.")</f>
        <v>Sie snowboarden wieder einen Hügel hinunter.</v>
      </c>
    </row>
    <row r="37322">
      <c r="A37322" s="4" t="s">
        <v>46928</v>
      </c>
      <c r="B37322" s="4" t="s">
        <v>46932</v>
      </c>
      <c r="C37322" s="5" t="str">
        <f>IFERROR(__xludf.DUMMYFUNCTION("GOOGLETRANSLATE(B37322,""en"",""de"")"),"Ein Mädchen schläft nieder.")</f>
        <v>Ein Mädchen schläft nieder.</v>
      </c>
    </row>
    <row r="37323">
      <c r="A37323" s="4" t="s">
        <v>46928</v>
      </c>
      <c r="B37323" s="4" t="s">
        <v>46933</v>
      </c>
      <c r="C37323" s="5" t="str">
        <f>IFERROR(__xludf.DUMMYFUNCTION("GOOGLETRANSLATE(B37323,""en"",""de"")"),"Sie essen Abendessen an einem Tisch.")</f>
        <v>Sie essen Abendessen an einem Tisch.</v>
      </c>
    </row>
    <row r="37324">
      <c r="A37324" s="4" t="s">
        <v>46928</v>
      </c>
      <c r="B37324" s="4" t="s">
        <v>46934</v>
      </c>
      <c r="C37324" s="5" t="str">
        <f>IFERROR(__xludf.DUMMYFUNCTION("GOOGLETRANSLATE(B37324,""en"",""de"")"),"Sie verlassen ihre Snowboards und gehen in eine Kabine.")</f>
        <v>Sie verlassen ihre Snowboards und gehen in eine Kabine.</v>
      </c>
    </row>
    <row r="37325">
      <c r="A37325" s="4" t="s">
        <v>46935</v>
      </c>
      <c r="B37325" s="4" t="s">
        <v>46936</v>
      </c>
      <c r="C37325" s="5" t="str">
        <f>IFERROR(__xludf.DUMMYFUNCTION("GOOGLETRANSLATE(B37325,""en"",""de"")"),"Eine Frau steht vor einem Weihnachtsbaum und trägt einen Kranz auf.")</f>
        <v>Eine Frau steht vor einem Weihnachtsbaum und trägt einen Kranz auf.</v>
      </c>
    </row>
    <row r="37326">
      <c r="A37326" s="4" t="s">
        <v>46935</v>
      </c>
      <c r="B37326" s="4" t="s">
        <v>46937</v>
      </c>
      <c r="C37326" s="5" t="str">
        <f>IFERROR(__xludf.DUMMYFUNCTION("GOOGLETRANSLATE(B37326,""en"",""de"")"),"Sie hängt dann Lichter und Ornamente.")</f>
        <v>Sie hängt dann Lichter und Ornamente.</v>
      </c>
    </row>
    <row r="37327">
      <c r="A37327" s="4" t="s">
        <v>46935</v>
      </c>
      <c r="B37327" s="4" t="s">
        <v>46938</v>
      </c>
      <c r="C37327" s="5" t="str">
        <f>IFERROR(__xludf.DUMMYFUNCTION("GOOGLETRANSLATE(B37327,""en"",""de"")"),"Am Ende passt sie die Ornamente an und fügt einen Stern an die Oberseite des Baumes hinzu.")</f>
        <v>Am Ende passt sie die Ornamente an und fügt einen Stern an die Oberseite des Baumes hinzu.</v>
      </c>
    </row>
    <row r="37328">
      <c r="A37328" s="4" t="s">
        <v>46939</v>
      </c>
      <c r="B37328" s="4" t="s">
        <v>46940</v>
      </c>
      <c r="C37328" s="5" t="str">
        <f>IFERROR(__xludf.DUMMYFUNCTION("GOOGLETRANSLATE(B37328,""en"",""de"")"),"Ein Mann sitzt auf dem Felsen, dann klettern die Leute die großen Felsen ohne Gurt.")</f>
        <v>Ein Mann sitzt auf dem Felsen, dann klettern die Leute die großen Felsen ohne Gurt.</v>
      </c>
    </row>
    <row r="37329">
      <c r="A37329" s="4" t="s">
        <v>46939</v>
      </c>
      <c r="B37329" s="4" t="s">
        <v>46941</v>
      </c>
      <c r="C37329" s="5" t="str">
        <f>IFERROR(__xludf.DUMMYFUNCTION("GOOGLETRANSLATE(B37329,""en"",""de"")"),"Die Leute gehen in einem Seil, das an zwei Bäumen befestigt ist.")</f>
        <v>Die Leute gehen in einem Seil, das an zwei Bäumen befestigt ist.</v>
      </c>
    </row>
    <row r="37330">
      <c r="A37330" s="4" t="s">
        <v>46942</v>
      </c>
      <c r="B37330" s="4" t="s">
        <v>46943</v>
      </c>
      <c r="C37330" s="5" t="str">
        <f>IFERROR(__xludf.DUMMYFUNCTION("GOOGLETRANSLATE(B37330,""en"",""de"")"),"Text erscheint auf dem Bildschirm in Bezug auf Kaffee, die möglicherweise schlecht für Ihre Gesundheit ist.")</f>
        <v>Text erscheint auf dem Bildschirm in Bezug auf Kaffee, die möglicherweise schlecht für Ihre Gesundheit ist.</v>
      </c>
    </row>
    <row r="37331">
      <c r="A37331" s="4" t="s">
        <v>46942</v>
      </c>
      <c r="B37331" s="4" t="s">
        <v>46944</v>
      </c>
      <c r="C37331" s="5" t="str">
        <f>IFERROR(__xludf.DUMMYFUNCTION("GOOGLETRANSLATE(B37331,""en"",""de"")"),"Es wird dann mit Text auf dem Bildschirm erwähnt, dass es zu hohem Blutdruck führen kann. Anschließend wird erwähnt, dass es Ihr Haarwachstum verletzen kann und dass es keine wichtigen Nährstoffe enthält.")</f>
        <v>Es wird dann mit Text auf dem Bildschirm erwähnt, dass es zu hohem Blutdruck führen kann. Anschließend wird erwähnt, dass es Ihr Haarwachstum verletzen kann und dass es keine wichtigen Nährstoffe enthält.</v>
      </c>
    </row>
    <row r="37332">
      <c r="A37332" s="4" t="s">
        <v>46942</v>
      </c>
      <c r="B37332" s="4" t="s">
        <v>46945</v>
      </c>
      <c r="C37332" s="5" t="str">
        <f>IFERROR(__xludf.DUMMYFUNCTION("GOOGLETRANSLATE(B37332,""en"",""de"")"),"Es wird dann gezeigt, dass es Vorteile gibt und dass man ihre Aufnahme mildern sollte, um ein Gleichgewicht zu halten.")</f>
        <v>Es wird dann gezeigt, dass es Vorteile gibt und dass man ihre Aufnahme mildern sollte, um ein Gleichgewicht zu halten.</v>
      </c>
    </row>
    <row r="37333">
      <c r="A37333" s="4" t="s">
        <v>46942</v>
      </c>
      <c r="B37333" s="4" t="s">
        <v>46946</v>
      </c>
      <c r="C37333" s="5" t="str">
        <f>IFERROR(__xludf.DUMMYFUNCTION("GOOGLETRANSLATE(B37333,""en"",""de"")"),"Anschließend wird eine Website gezeigt, um weitere Informationen zu diesem Thema zu erhalten.")</f>
        <v>Anschließend wird eine Website gezeigt, um weitere Informationen zu diesem Thema zu erhalten.</v>
      </c>
    </row>
    <row r="37334">
      <c r="A37334" s="4" t="s">
        <v>46947</v>
      </c>
      <c r="B37334" s="4" t="s">
        <v>46948</v>
      </c>
      <c r="C37334" s="5" t="str">
        <f>IFERROR(__xludf.DUMMYFUNCTION("GOOGLETRANSLATE(B37334,""en"",""de"")"),"Mehrere junge Kinder spielen in einem Fitnessstudio Dodge Wall mit mittelgroßen roten Bällen.")</f>
        <v>Mehrere junge Kinder spielen in einem Fitnessstudio Dodge Wall mit mittelgroßen roten Bällen.</v>
      </c>
    </row>
    <row r="37335">
      <c r="A37335" s="4" t="s">
        <v>46947</v>
      </c>
      <c r="B37335" s="4" t="s">
        <v>46949</v>
      </c>
      <c r="C37335" s="5" t="str">
        <f>IFERROR(__xludf.DUMMYFUNCTION("GOOGLETRANSLATE(B37335,""en"",""de"")"),"Während sie die Bälle werfen, versucht ein kleines Mädchen, sich der Aktion anzuschließen und ihnen zu folgen und von einer Seite des Platzes zur anderen zu rennen, um die Bälle zu verfolgen.")</f>
        <v>Während sie die Bälle werfen, versucht ein kleines Mädchen, sich der Aktion anzuschließen und ihnen zu folgen und von einer Seite des Platzes zur anderen zu rennen, um die Bälle zu verfolgen.</v>
      </c>
    </row>
    <row r="37336">
      <c r="A37336" s="4" t="s">
        <v>46950</v>
      </c>
      <c r="B37336" s="4" t="s">
        <v>46951</v>
      </c>
      <c r="C37336" s="5" t="str">
        <f>IFERROR(__xludf.DUMMYFUNCTION("GOOGLETRANSLATE(B37336,""en"",""de"")"),"Eine Frau liegt hin und zeigt ein Tattoo auf ihrer Seite.")</f>
        <v>Eine Frau liegt hin und zeigt ein Tattoo auf ihrer Seite.</v>
      </c>
    </row>
    <row r="37337">
      <c r="A37337" s="4" t="s">
        <v>46950</v>
      </c>
      <c r="B37337" s="4" t="s">
        <v>46952</v>
      </c>
      <c r="C37337" s="5" t="str">
        <f>IFERROR(__xludf.DUMMYFUNCTION("GOOGLETRANSLATE(B37337,""en"",""de"")"),"Ein Mann in einer chirurgischen Maske bereitet sie vor, während er seine Arbeit am Tattoo fortsetzt.")</f>
        <v>Ein Mann in einer chirurgischen Maske bereitet sie vor, während er seine Arbeit am Tattoo fortsetzt.</v>
      </c>
    </row>
    <row r="37338">
      <c r="A37338" s="4" t="s">
        <v>46950</v>
      </c>
      <c r="B37338" s="4" t="s">
        <v>46953</v>
      </c>
      <c r="C37338" s="5" t="str">
        <f>IFERROR(__xludf.DUMMYFUNCTION("GOOGLETRANSLATE(B37338,""en"",""de"")"),"Er reinigt und wischt das Tattoo ab.")</f>
        <v>Er reinigt und wischt das Tattoo ab.</v>
      </c>
    </row>
    <row r="37339">
      <c r="A37339" s="4" t="s">
        <v>46950</v>
      </c>
      <c r="B37339" s="4" t="s">
        <v>46954</v>
      </c>
      <c r="C37339" s="5" t="str">
        <f>IFERROR(__xludf.DUMMYFUNCTION("GOOGLETRANSLATE(B37339,""en"",""de"")"),"Sie ist fertig und zeigt das Endprodukt.")</f>
        <v>Sie ist fertig und zeigt das Endprodukt.</v>
      </c>
    </row>
    <row r="37340">
      <c r="A37340" s="4" t="s">
        <v>46955</v>
      </c>
      <c r="B37340" s="4" t="s">
        <v>46956</v>
      </c>
      <c r="C37340" s="5" t="str">
        <f>IFERROR(__xludf.DUMMYFUNCTION("GOOGLETRANSLATE(B37340,""en"",""de"")"),"Ein Mann hält einen anderen Mann in einem Wrestling -Ring auf seinen Schultern, als die Menge jubelt und zuschaut.")</f>
        <v>Ein Mann hält einen anderen Mann in einem Wrestling -Ring auf seinen Schultern, als die Menge jubelt und zuschaut.</v>
      </c>
    </row>
    <row r="37341">
      <c r="A37341" s="4" t="s">
        <v>46955</v>
      </c>
      <c r="B37341" s="4" t="s">
        <v>46957</v>
      </c>
      <c r="C37341" s="5" t="str">
        <f>IFERROR(__xludf.DUMMYFUNCTION("GOOGLETRANSLATE(B37341,""en"",""de"")"),"Der Mann wirft den Mann auf seine Schulter zu Boden.")</f>
        <v>Der Mann wirft den Mann auf seine Schulter zu Boden.</v>
      </c>
    </row>
    <row r="37342">
      <c r="A37342" s="4" t="s">
        <v>46955</v>
      </c>
      <c r="B37342" s="4" t="s">
        <v>46958</v>
      </c>
      <c r="C37342" s="5" t="str">
        <f>IFERROR(__xludf.DUMMYFUNCTION("GOOGLETRANSLATE(B37342,""en"",""de"")"),"Beide Männer lagen auf dem Boden, in dem er läute.")</f>
        <v>Beide Männer lagen auf dem Boden, in dem er läute.</v>
      </c>
    </row>
    <row r="37343">
      <c r="A37343" s="4" t="s">
        <v>46959</v>
      </c>
      <c r="B37343" s="4" t="s">
        <v>46960</v>
      </c>
      <c r="C37343" s="5" t="str">
        <f>IFERROR(__xludf.DUMMYFUNCTION("GOOGLETRANSLATE(B37343,""en"",""de"")"),"Die Teams spielen Fusal in einem kleinen Gerichtshof, der auf der Seite des Platzes läuft.")</f>
        <v>Die Teams spielen Fusal in einem kleinen Gerichtshof, der auf der Seite des Platzes läuft.</v>
      </c>
    </row>
    <row r="37344">
      <c r="A37344" s="4" t="s">
        <v>46959</v>
      </c>
      <c r="B37344" s="4" t="s">
        <v>46961</v>
      </c>
      <c r="C37344" s="5" t="str">
        <f>IFERROR(__xludf.DUMMYFUNCTION("GOOGLETRANSLATE(B37344,""en"",""de"")"),"Viele Leute feiern die Vicory und umarmen sich.")</f>
        <v>Viele Leute feiern die Vicory und umarmen sich.</v>
      </c>
    </row>
    <row r="37345">
      <c r="A37345" s="4" t="s">
        <v>46962</v>
      </c>
      <c r="B37345" s="4" t="s">
        <v>46963</v>
      </c>
      <c r="C37345" s="5" t="str">
        <f>IFERROR(__xludf.DUMMYFUNCTION("GOOGLETRANSLATE(B37345,""en"",""de"")"),"Eine Person ist gesehen, wie sie mit einer Bar in den Händen in den Rahmen geht.")</f>
        <v>Eine Person ist gesehen, wie sie mit einer Bar in den Händen in den Rahmen geht.</v>
      </c>
    </row>
    <row r="37346">
      <c r="A37346" s="4" t="s">
        <v>46962</v>
      </c>
      <c r="B37346" s="4" t="s">
        <v>46964</v>
      </c>
      <c r="C37346" s="5" t="str">
        <f>IFERROR(__xludf.DUMMYFUNCTION("GOOGLETRANSLATE(B37346,""en"",""de"")"),"Sie legt die Messlatte ab und beginnt auf Humerus -Weise zu trainieren, während er mit dem Publikum spricht.")</f>
        <v>Sie legt die Messlatte ab und beginnt auf Humerus -Weise zu trainieren, während er mit dem Publikum spricht.</v>
      </c>
    </row>
    <row r="37347">
      <c r="A37347" s="4" t="s">
        <v>46962</v>
      </c>
      <c r="B37347" s="4" t="s">
        <v>46965</v>
      </c>
      <c r="C37347" s="5" t="str">
        <f>IFERROR(__xludf.DUMMYFUNCTION("GOOGLETRANSLATE(B37347,""en"",""de"")"),"Das Publikum lacht über ihre Bewegungen, während sie sich weiterhin um die Bühne bewegt und tanzt.")</f>
        <v>Das Publikum lacht über ihre Bewegungen, während sie sich weiterhin um die Bühne bewegt und tanzt.</v>
      </c>
    </row>
    <row r="37348">
      <c r="A37348" s="4" t="s">
        <v>46966</v>
      </c>
      <c r="B37348" s="4" t="s">
        <v>46967</v>
      </c>
      <c r="C37348" s="5" t="str">
        <f>IFERROR(__xludf.DUMMYFUNCTION("GOOGLETRANSLATE(B37348,""en"",""de"")"),"Ein bunten Mann wird gesehen, wie er mit der Kamera spricht, während ein anderer Mann über ihm steht und sich die Haare schneidet.")</f>
        <v>Ein bunten Mann wird gesehen, wie er mit der Kamera spricht, während ein anderer Mann über ihm steht und sich die Haare schneidet.</v>
      </c>
    </row>
    <row r="37349">
      <c r="A37349" s="4" t="s">
        <v>46966</v>
      </c>
      <c r="B37349" s="4" t="s">
        <v>46968</v>
      </c>
      <c r="C37349" s="5" t="str">
        <f>IFERROR(__xludf.DUMMYFUNCTION("GOOGLETRANSLATE(B37349,""en"",""de"")"),"Der Mann, der sitzt, reibt die Hand und hält sein Gesicht in seine Hände.")</f>
        <v>Der Mann, der sitzt, reibt die Hand und hält sein Gesicht in seine Hände.</v>
      </c>
    </row>
    <row r="37350">
      <c r="A37350" s="4" t="s">
        <v>46969</v>
      </c>
      <c r="B37350" s="4" t="s">
        <v>46970</v>
      </c>
      <c r="C37350" s="5" t="str">
        <f>IFERROR(__xludf.DUMMYFUNCTION("GOOGLETRANSLATE(B37350,""en"",""de"")"),"Eine Person sitzt hinter einem Tisch mit einem ein Stück Papier um sich herum.")</f>
        <v>Eine Person sitzt hinter einem Tisch mit einem ein Stück Papier um sich herum.</v>
      </c>
    </row>
    <row r="37351">
      <c r="A37351" s="4" t="s">
        <v>46969</v>
      </c>
      <c r="B37351" s="4" t="s">
        <v>46971</v>
      </c>
      <c r="C37351" s="5" t="str">
        <f>IFERROR(__xludf.DUMMYFUNCTION("GOOGLETRANSLATE(B37351,""en"",""de"")"),"Der Mann versucht dann, einen Rubix -Würfel zu lösen, während ein Timer seine Punktzahl erwischt.")</f>
        <v>Der Mann versucht dann, einen Rubix -Würfel zu lösen, während ein Timer seine Punktzahl erwischt.</v>
      </c>
    </row>
    <row r="37352">
      <c r="A37352" s="4" t="s">
        <v>46969</v>
      </c>
      <c r="B37352" s="4" t="s">
        <v>46972</v>
      </c>
      <c r="C37352" s="5" t="str">
        <f>IFERROR(__xludf.DUMMYFUNCTION("GOOGLETRANSLATE(B37352,""en"",""de"")"),"Der Mann schreibt seine Punktzahl auf und der Mann versucht, den Würfel noch mehrmals zu lösen, während der Junge hilft.")</f>
        <v>Der Mann schreibt seine Punktzahl auf und der Mann versucht, den Würfel noch mehrmals zu lösen, während der Junge hilft.</v>
      </c>
    </row>
    <row r="37353">
      <c r="A37353" s="4" t="s">
        <v>46973</v>
      </c>
      <c r="B37353" s="4" t="s">
        <v>46974</v>
      </c>
      <c r="C37353" s="5" t="str">
        <f>IFERROR(__xludf.DUMMYFUNCTION("GOOGLETRANSLATE(B37353,""en"",""de"")"),"Ein Mann, der darüber spricht, wie er heute Messer schärfen wird.")</f>
        <v>Ein Mann, der darüber spricht, wie er heute Messer schärfen wird.</v>
      </c>
    </row>
    <row r="37354">
      <c r="A37354" s="4" t="s">
        <v>46973</v>
      </c>
      <c r="B37354" s="4" t="s">
        <v>46975</v>
      </c>
      <c r="C37354" s="5" t="str">
        <f>IFERROR(__xludf.DUMMYFUNCTION("GOOGLETRANSLATE(B37354,""en"",""de"")"),"Er zeigt das Werkzeug, das er benutzen wird und die Köche ausgewählt werden.")</f>
        <v>Er zeigt das Werkzeug, das er benutzen wird und die Köche ausgewählt werden.</v>
      </c>
    </row>
    <row r="37355">
      <c r="A37355" s="4" t="s">
        <v>46973</v>
      </c>
      <c r="B37355" s="4" t="s">
        <v>46976</v>
      </c>
      <c r="C37355" s="5" t="str">
        <f>IFERROR(__xludf.DUMMYFUNCTION("GOOGLETRANSLATE(B37355,""en"",""de"")"),"Er zeigt, wie man es benutzt und wie Sie es mit beiden Hand verwenden können.")</f>
        <v>Er zeigt, wie man es benutzt und wie Sie es mit beiden Hand verwenden können.</v>
      </c>
    </row>
    <row r="37356">
      <c r="A37356" s="4" t="s">
        <v>46973</v>
      </c>
      <c r="B37356" s="4" t="s">
        <v>46977</v>
      </c>
      <c r="C37356" s="5" t="str">
        <f>IFERROR(__xludf.DUMMYFUNCTION("GOOGLETRANSLATE(B37356,""en"",""de"")"),"Dann beginnt er, einen seiner Messer zu schärfen.")</f>
        <v>Dann beginnt er, einen seiner Messer zu schärfen.</v>
      </c>
    </row>
    <row r="37357">
      <c r="A37357" s="4" t="s">
        <v>46973</v>
      </c>
      <c r="B37357" s="4" t="s">
        <v>46978</v>
      </c>
      <c r="C37357" s="5" t="str">
        <f>IFERROR(__xludf.DUMMYFUNCTION("GOOGLETRANSLATE(B37357,""en"",""de"")"),"Nachdem er es geschärft hat, zeigt er mit einer Tomate, wie hilfreich sie ist.")</f>
        <v>Nachdem er es geschärft hat, zeigt er mit einer Tomate, wie hilfreich sie ist.</v>
      </c>
    </row>
    <row r="37358">
      <c r="A37358" s="4" t="s">
        <v>46979</v>
      </c>
      <c r="B37358" s="4" t="s">
        <v>46980</v>
      </c>
      <c r="C37358" s="5" t="str">
        <f>IFERROR(__xludf.DUMMYFUNCTION("GOOGLETRANSLATE(B37358,""en"",""de"")"),"Ein medizinischer Arbeiter sitzt mit einer Frau an einem Tisch und spricht mit der Kamera.")</f>
        <v>Ein medizinischer Arbeiter sitzt mit einer Frau an einem Tisch und spricht mit der Kamera.</v>
      </c>
    </row>
    <row r="37359">
      <c r="A37359" s="4" t="s">
        <v>46979</v>
      </c>
      <c r="B37359" s="4" t="s">
        <v>46981</v>
      </c>
      <c r="C37359" s="5" t="str">
        <f>IFERROR(__xludf.DUMMYFUNCTION("GOOGLETRANSLATE(B37359,""en"",""de"")"),"Er bewegt eine Dose und berührt zwei andere Dosen.")</f>
        <v>Er bewegt eine Dose und berührt zwei andere Dosen.</v>
      </c>
    </row>
    <row r="37360">
      <c r="A37360" s="4" t="s">
        <v>46979</v>
      </c>
      <c r="B37360" s="4" t="s">
        <v>46982</v>
      </c>
      <c r="C37360" s="5" t="str">
        <f>IFERROR(__xludf.DUMMYFUNCTION("GOOGLETRANSLATE(B37360,""en"",""de"")"),"Er nimmt eine Dose auf und sprüht sie auf den Arm der Frau und reibt sie.")</f>
        <v>Er nimmt eine Dose auf und sprüht sie auf den Arm der Frau und reibt sie.</v>
      </c>
    </row>
    <row r="37361">
      <c r="A37361" s="4" t="s">
        <v>46979</v>
      </c>
      <c r="B37361" s="4" t="s">
        <v>46983</v>
      </c>
      <c r="C37361" s="5" t="str">
        <f>IFERROR(__xludf.DUMMYFUNCTION("GOOGLETRANSLATE(B37361,""en"",""de"")"),"Er nimmt eine andere Dose auf und spricht darüber, dann sprüht er ihren Arm erneut und reibt die Creme hinein.")</f>
        <v>Er nimmt eine andere Dose auf und spricht darüber, dann sprüht er ihren Arm erneut und reibt die Creme hinein.</v>
      </c>
    </row>
    <row r="37362">
      <c r="A37362" s="4" t="s">
        <v>46979</v>
      </c>
      <c r="B37362" s="4" t="s">
        <v>46984</v>
      </c>
      <c r="C37362" s="5" t="str">
        <f>IFERROR(__xludf.DUMMYFUNCTION("GOOGLETRANSLATE(B37362,""en"",""de"")"),"Er nimmt einen dritten Behälter auf und legt ihn auf ihren Arm und reibt ihn ebenfalls ein.")</f>
        <v>Er nimmt einen dritten Behälter auf und legt ihn auf ihren Arm und reibt ihn ebenfalls ein.</v>
      </c>
    </row>
    <row r="37363">
      <c r="A37363" s="4" t="s">
        <v>46979</v>
      </c>
      <c r="B37363" s="4" t="s">
        <v>46985</v>
      </c>
      <c r="C37363" s="5" t="str">
        <f>IFERROR(__xludf.DUMMYFUNCTION("GOOGLETRANSLATE(B37363,""en"",""de"")"),"Er nimmt eine vierte Röhre auf und legt die Creme auf ihre Hand und reibt sie hinein.")</f>
        <v>Er nimmt eine vierte Röhre auf und legt die Creme auf ihre Hand und reibt sie hinein.</v>
      </c>
    </row>
    <row r="37364">
      <c r="A37364" s="4" t="s">
        <v>46979</v>
      </c>
      <c r="B37364" s="4" t="s">
        <v>46986</v>
      </c>
      <c r="C37364" s="5" t="str">
        <f>IFERROR(__xludf.DUMMYFUNCTION("GOOGLETRANSLATE(B37364,""en"",""de"")"),"Er macht das wieder mit einer fünften Creme.")</f>
        <v>Er macht das wieder mit einer fünften Creme.</v>
      </c>
    </row>
    <row r="37365">
      <c r="A37365" s="4" t="s">
        <v>46979</v>
      </c>
      <c r="B37365" s="4" t="s">
        <v>46987</v>
      </c>
      <c r="C37365" s="5" t="str">
        <f>IFERROR(__xludf.DUMMYFUNCTION("GOOGLETRANSLATE(B37365,""en"",""de"")"),"Dann nimmt er einen Kompakt aus braunem Pulver, präsentiert es der Kamera und legt es wieder ab.")</f>
        <v>Dann nimmt er einen Kompakt aus braunem Pulver, präsentiert es der Kamera und legt es wieder ab.</v>
      </c>
    </row>
    <row r="37366">
      <c r="A37366" s="4" t="s">
        <v>46988</v>
      </c>
      <c r="B37366" s="4" t="s">
        <v>46989</v>
      </c>
      <c r="C37366" s="5" t="str">
        <f>IFERROR(__xludf.DUMMYFUNCTION("GOOGLETRANSLATE(B37366,""en"",""de"")"),"Ein kleines Mädchen bläst im Herbst außerhalb eines Hauses Blätter.")</f>
        <v>Ein kleines Mädchen bläst im Herbst außerhalb eines Hauses Blätter.</v>
      </c>
    </row>
    <row r="37367">
      <c r="A37367" s="4" t="s">
        <v>46988</v>
      </c>
      <c r="B37367" s="4" t="s">
        <v>46990</v>
      </c>
      <c r="C37367" s="5" t="str">
        <f>IFERROR(__xludf.DUMMYFUNCTION("GOOGLETRANSLATE(B37367,""en"",""de"")"),"Sie macht einen Moment inne, um das Blattgebläse besser zu verstehen.")</f>
        <v>Sie macht einen Moment inne, um das Blattgebläse besser zu verstehen.</v>
      </c>
    </row>
    <row r="37368">
      <c r="A37368" s="4" t="s">
        <v>46988</v>
      </c>
      <c r="B37368" s="4" t="s">
        <v>46991</v>
      </c>
      <c r="C37368" s="5" t="str">
        <f>IFERROR(__xludf.DUMMYFUNCTION("GOOGLETRANSLATE(B37368,""en"",""de"")"),"Sie geht an einem kleinen Jungen vorbei und bläst weiterhin die Blätter.")</f>
        <v>Sie geht an einem kleinen Jungen vorbei und bläst weiterhin die Blätter.</v>
      </c>
    </row>
    <row r="37369">
      <c r="A37369" s="4" t="s">
        <v>46992</v>
      </c>
      <c r="B37369" s="4" t="s">
        <v>46993</v>
      </c>
      <c r="C37369" s="5" t="str">
        <f>IFERROR(__xludf.DUMMYFUNCTION("GOOGLETRANSLATE(B37369,""en"",""de"")"),"Ein Mann mit einem Ponyschwanz spaziert mit einem anderen Mann entlang, der ihn beobachtet und im Hintergrund lächelt.")</f>
        <v>Ein Mann mit einem Ponyschwanz spaziert mit einem anderen Mann entlang, der ihn beobachtet und im Hintergrund lächelt.</v>
      </c>
    </row>
    <row r="37370">
      <c r="A37370" s="4" t="s">
        <v>46992</v>
      </c>
      <c r="B37370" s="4" t="s">
        <v>46994</v>
      </c>
      <c r="C37370" s="5" t="str">
        <f>IFERROR(__xludf.DUMMYFUNCTION("GOOGLETRANSLATE(B37370,""en"",""de"")"),"Der Mann dreht sich um, verliert sein Gleichgewicht und fällt vom Seil.")</f>
        <v>Der Mann dreht sich um, verliert sein Gleichgewicht und fällt vom Seil.</v>
      </c>
    </row>
    <row r="37371">
      <c r="A37371" s="4" t="s">
        <v>46992</v>
      </c>
      <c r="B37371" s="4" t="s">
        <v>46995</v>
      </c>
      <c r="C37371" s="5" t="str">
        <f>IFERROR(__xludf.DUMMYFUNCTION("GOOGLETRANSLATE(B37371,""en"",""de"")"),"Der Mann beobachtet am Ende auch Versuche zu gehen und fallen ebenfalls ab.")</f>
        <v>Der Mann beobachtet am Ende auch Versuche zu gehen und fallen ebenfalls ab.</v>
      </c>
    </row>
    <row r="37372">
      <c r="A37372" s="4" t="s">
        <v>46996</v>
      </c>
      <c r="B37372" s="4" t="s">
        <v>46997</v>
      </c>
      <c r="C37372" s="5" t="str">
        <f>IFERROR(__xludf.DUMMYFUNCTION("GOOGLETRANSLATE(B37372,""en"",""de"")"),"Ein Mann spricht mit der Kamera, während er einen Leinen -Objekt mit einer Tasche in der Hand hält.")</f>
        <v>Ein Mann spricht mit der Kamera, während er einen Leinen -Objekt mit einer Tasche in der Hand hält.</v>
      </c>
    </row>
    <row r="37373">
      <c r="A37373" s="4" t="s">
        <v>46996</v>
      </c>
      <c r="B37373" s="4" t="s">
        <v>46998</v>
      </c>
      <c r="C37373" s="5" t="str">
        <f>IFERROR(__xludf.DUMMYFUNCTION("GOOGLETRANSLATE(B37373,""en"",""de"")"),"Die Szene wechselt in die Leine, die bei einem Hund verwendet wird.")</f>
        <v>Die Szene wechselt in die Leine, die bei einem Hund verwendet wird.</v>
      </c>
    </row>
    <row r="37374">
      <c r="A37374" s="4" t="s">
        <v>46996</v>
      </c>
      <c r="B37374" s="4" t="s">
        <v>46999</v>
      </c>
      <c r="C37374" s="5" t="str">
        <f>IFERROR(__xludf.DUMMYFUNCTION("GOOGLETRANSLATE(B37374,""en"",""de"")"),"Die Szene wechselt zu einer Nahaufnahme des Mannes, der die Leine zerlegt und wieder zusammenbringt.")</f>
        <v>Die Szene wechselt zu einer Nahaufnahme des Mannes, der die Leine zerlegt und wieder zusammenbringt.</v>
      </c>
    </row>
    <row r="37375">
      <c r="A37375" s="4" t="s">
        <v>46996</v>
      </c>
      <c r="B37375" s="4" t="s">
        <v>47000</v>
      </c>
      <c r="C37375" s="5" t="str">
        <f>IFERROR(__xludf.DUMMYFUNCTION("GOOGLETRANSLATE(B37375,""en"",""de"")"),"Die Szene wechselt wieder in die Leine, die wieder an einem Hund verwendet wird.")</f>
        <v>Die Szene wechselt wieder in die Leine, die wieder an einem Hund verwendet wird.</v>
      </c>
    </row>
    <row r="37376">
      <c r="A37376" s="4" t="s">
        <v>46996</v>
      </c>
      <c r="B37376" s="4" t="s">
        <v>47001</v>
      </c>
      <c r="C37376" s="5" t="str">
        <f>IFERROR(__xludf.DUMMYFUNCTION("GOOGLETRANSLATE(B37376,""en"",""de"")"),"Der Mann wird in einer Nahaufnahme gezeigt, die mit dem Hund interagiert und streichelt.")</f>
        <v>Der Mann wird in einer Nahaufnahme gezeigt, die mit dem Hund interagiert und streichelt.</v>
      </c>
    </row>
    <row r="37377">
      <c r="A37377" s="4" t="s">
        <v>47002</v>
      </c>
      <c r="B37377" s="4" t="s">
        <v>47003</v>
      </c>
      <c r="C37377" s="5" t="str">
        <f>IFERROR(__xludf.DUMMYFUNCTION("GOOGLETRANSLATE(B37377,""en"",""de"")"),"Eine Frau zeigt ihre Fingernägel.")</f>
        <v>Eine Frau zeigt ihre Fingernägel.</v>
      </c>
    </row>
    <row r="37378">
      <c r="A37378" s="4" t="s">
        <v>47002</v>
      </c>
      <c r="B37378" s="4" t="s">
        <v>47004</v>
      </c>
      <c r="C37378" s="5" t="str">
        <f>IFERROR(__xludf.DUMMYFUNCTION("GOOGLETRANSLATE(B37378,""en"",""de"")"),"Eine Flasche Aceton wird gezeigt.")</f>
        <v>Eine Flasche Aceton wird gezeigt.</v>
      </c>
    </row>
    <row r="37379">
      <c r="A37379" s="4" t="s">
        <v>47002</v>
      </c>
      <c r="B37379" s="4" t="s">
        <v>47005</v>
      </c>
      <c r="C37379" s="5" t="str">
        <f>IFERROR(__xludf.DUMMYFUNCTION("GOOGLETRANSLATE(B37379,""en"",""de"")"),"Das Aceton wird in ein kleines Glas gegossen.")</f>
        <v>Das Aceton wird in ein kleines Glas gegossen.</v>
      </c>
    </row>
    <row r="37380">
      <c r="A37380" s="4" t="s">
        <v>47002</v>
      </c>
      <c r="B37380" s="4" t="s">
        <v>47006</v>
      </c>
      <c r="C37380" s="5" t="str">
        <f>IFERROR(__xludf.DUMMYFUNCTION("GOOGLETRANSLATE(B37380,""en"",""de"")"),"Eine Frau hält jetzt eine Serviette.")</f>
        <v>Eine Frau hält jetzt eine Serviette.</v>
      </c>
    </row>
    <row r="37381">
      <c r="A37381" s="4" t="s">
        <v>47002</v>
      </c>
      <c r="B37381" s="4" t="s">
        <v>47007</v>
      </c>
      <c r="C37381" s="5" t="str">
        <f>IFERROR(__xludf.DUMMYFUNCTION("GOOGLETRANSLATE(B37381,""en"",""de"")"),"Eine Make -up -Bürste wird gehalten.")</f>
        <v>Eine Make -up -Bürste wird gehalten.</v>
      </c>
    </row>
    <row r="37382">
      <c r="A37382" s="4" t="s">
        <v>47002</v>
      </c>
      <c r="B37382" s="4" t="s">
        <v>47008</v>
      </c>
      <c r="C37382" s="5" t="str">
        <f>IFERROR(__xludf.DUMMYFUNCTION("GOOGLETRANSLATE(B37382,""en"",""de"")"),"Eine Flasche Nagellack wird gezeigt.")</f>
        <v>Eine Flasche Nagellack wird gezeigt.</v>
      </c>
    </row>
    <row r="37383">
      <c r="A37383" s="4" t="s">
        <v>47002</v>
      </c>
      <c r="B37383" s="4" t="s">
        <v>47009</v>
      </c>
      <c r="C37383" s="5" t="str">
        <f>IFERROR(__xludf.DUMMYFUNCTION("GOOGLETRANSLATE(B37383,""en"",""de"")"),"Eine Person fängt an, ihre Fingernägel zu malen.")</f>
        <v>Eine Person fängt an, ihre Fingernägel zu malen.</v>
      </c>
    </row>
    <row r="37384">
      <c r="A37384" s="4" t="s">
        <v>47002</v>
      </c>
      <c r="B37384" s="4" t="s">
        <v>47010</v>
      </c>
      <c r="C37384" s="5" t="str">
        <f>IFERROR(__xludf.DUMMYFUNCTION("GOOGLETRANSLATE(B37384,""en"",""de"")"),"Eine weitere Flasche Nagellack wird gezeigt.")</f>
        <v>Eine weitere Flasche Nagellack wird gezeigt.</v>
      </c>
    </row>
    <row r="37385">
      <c r="A37385" s="4" t="s">
        <v>47002</v>
      </c>
      <c r="B37385" s="4" t="s">
        <v>47011</v>
      </c>
      <c r="C37385" s="5" t="str">
        <f>IFERROR(__xludf.DUMMYFUNCTION("GOOGLETRANSLATE(B37385,""en"",""de"")"),"Die Person malt ihre Nägel weiter.")</f>
        <v>Die Person malt ihre Nägel weiter.</v>
      </c>
    </row>
    <row r="37386">
      <c r="A37386" s="4" t="s">
        <v>47002</v>
      </c>
      <c r="B37386" s="4" t="s">
        <v>47012</v>
      </c>
      <c r="C37386" s="5" t="str">
        <f>IFERROR(__xludf.DUMMYFUNCTION("GOOGLETRANSLATE(B37386,""en"",""de"")"),"Sie verwenden den Make -up -Pinsel und tauchen sie in das Aceton ein.")</f>
        <v>Sie verwenden den Make -up -Pinsel und tauchen sie in das Aceton ein.</v>
      </c>
    </row>
    <row r="37387">
      <c r="A37387" s="4" t="s">
        <v>47002</v>
      </c>
      <c r="B37387" s="4" t="s">
        <v>47013</v>
      </c>
      <c r="C37387" s="5" t="str">
        <f>IFERROR(__xludf.DUMMYFUNCTION("GOOGLETRANSLATE(B37387,""en"",""de"")"),"Sie reiben den Pinsel an ihrem Fingernagel.")</f>
        <v>Sie reiben den Pinsel an ihrem Fingernagel.</v>
      </c>
    </row>
    <row r="37388">
      <c r="A37388" s="4" t="s">
        <v>47002</v>
      </c>
      <c r="B37388" s="4" t="s">
        <v>47014</v>
      </c>
      <c r="C37388" s="5" t="str">
        <f>IFERROR(__xludf.DUMMYFUNCTION("GOOGLETRANSLATE(B37388,""en"",""de"")"),"Sie verwenden einen Holzstock, um die Seite ihrer Nägel zu reinigen.")</f>
        <v>Sie verwenden einen Holzstock, um die Seite ihrer Nägel zu reinigen.</v>
      </c>
    </row>
    <row r="37389">
      <c r="A37389" s="4" t="s">
        <v>47002</v>
      </c>
      <c r="B37389" s="4" t="s">
        <v>47015</v>
      </c>
      <c r="C37389" s="5" t="str">
        <f>IFERROR(__xludf.DUMMYFUNCTION("GOOGLETRANSLATE(B37389,""en"",""de"")"),"Eine klare Flasche Nagellack wird gezeigt.")</f>
        <v>Eine klare Flasche Nagellack wird gezeigt.</v>
      </c>
    </row>
    <row r="37390">
      <c r="A37390" s="4" t="s">
        <v>47002</v>
      </c>
      <c r="B37390" s="4" t="s">
        <v>47016</v>
      </c>
      <c r="C37390" s="5" t="str">
        <f>IFERROR(__xludf.DUMMYFUNCTION("GOOGLETRANSLATE(B37390,""en"",""de"")"),"Sie malt das dann über ihre Nägel.")</f>
        <v>Sie malt das dann über ihre Nägel.</v>
      </c>
    </row>
    <row r="37391">
      <c r="A37391" s="4" t="s">
        <v>47017</v>
      </c>
      <c r="B37391" s="4" t="s">
        <v>47018</v>
      </c>
      <c r="C37391" s="5" t="str">
        <f>IFERROR(__xludf.DUMMYFUNCTION("GOOGLETRANSLATE(B37391,""en"",""de"")"),"Wir sehen eine Dame, die eine Flöte hält.")</f>
        <v>Wir sehen eine Dame, die eine Flöte hält.</v>
      </c>
    </row>
    <row r="37392">
      <c r="A37392" s="4" t="s">
        <v>47017</v>
      </c>
      <c r="B37392" s="4" t="s">
        <v>47019</v>
      </c>
      <c r="C37392" s="5" t="str">
        <f>IFERROR(__xludf.DUMMYFUNCTION("GOOGLETRANSLATE(B37392,""en"",""de"")"),"Wir sehen den Song -Titel.")</f>
        <v>Wir sehen den Song -Titel.</v>
      </c>
    </row>
    <row r="37393">
      <c r="A37393" s="4" t="s">
        <v>47017</v>
      </c>
      <c r="B37393" s="4" t="s">
        <v>47020</v>
      </c>
      <c r="C37393" s="5" t="str">
        <f>IFERROR(__xludf.DUMMYFUNCTION("GOOGLETRANSLATE(B37393,""en"",""de"")"),"Wir sehen eine Dame, die ein Lied auf einer Flöte aufführt.")</f>
        <v>Wir sehen eine Dame, die ein Lied auf einer Flöte aufführt.</v>
      </c>
    </row>
    <row r="37394">
      <c r="A37394" s="4" t="s">
        <v>47017</v>
      </c>
      <c r="B37394" s="4" t="s">
        <v>47021</v>
      </c>
      <c r="C37394" s="5" t="str">
        <f>IFERROR(__xludf.DUMMYFUNCTION("GOOGLETRANSLATE(B37394,""en"",""de"")"),"Das Mädchen pausiert und spielt wieder.")</f>
        <v>Das Mädchen pausiert und spielt wieder.</v>
      </c>
    </row>
    <row r="37395">
      <c r="A37395" s="4" t="s">
        <v>47017</v>
      </c>
      <c r="B37395" s="4" t="s">
        <v>47022</v>
      </c>
      <c r="C37395" s="5" t="str">
        <f>IFERROR(__xludf.DUMMYFUNCTION("GOOGLETRANSLATE(B37395,""en"",""de"")"),"Das Mädchen beendet das Spielen und lächelt in die Kamera.")</f>
        <v>Das Mädchen beendet das Spielen und lächelt in die Kamera.</v>
      </c>
    </row>
    <row r="37396">
      <c r="A37396" s="4" t="s">
        <v>47023</v>
      </c>
      <c r="B37396" s="4" t="s">
        <v>47024</v>
      </c>
      <c r="C37396" s="5" t="str">
        <f>IFERROR(__xludf.DUMMYFUNCTION("GOOGLETRANSLATE(B37396,""en"",""de"")"),"Jugendliche fahren in einer ovalen Strecke elektrische Stoßstangen, während die Leute hinter dem Zaun beobachten.")</f>
        <v>Jugendliche fahren in einer ovalen Strecke elektrische Stoßstangen, während die Leute hinter dem Zaun beobachten.</v>
      </c>
    </row>
    <row r="37397">
      <c r="A37397" s="4" t="s">
        <v>47023</v>
      </c>
      <c r="B37397" s="4" t="s">
        <v>47025</v>
      </c>
      <c r="C37397" s="5" t="str">
        <f>IFERROR(__xludf.DUMMYFUNCTION("GOOGLETRANSLATE(B37397,""en"",""de"")"),"Zwei Mädchen in einem gelben Auto bleiben stecken, aber dann fahren sie weiter.")</f>
        <v>Zwei Mädchen in einem gelben Auto bleiben stecken, aber dann fahren sie weiter.</v>
      </c>
    </row>
    <row r="37398">
      <c r="A37398" s="4" t="s">
        <v>47023</v>
      </c>
      <c r="B37398" s="4" t="s">
        <v>47026</v>
      </c>
      <c r="C37398" s="5" t="str">
        <f>IFERROR(__xludf.DUMMYFUNCTION("GOOGLETRANSLATE(B37398,""en"",""de"")"),"Alle Autos stecken auf der Strecke fest, dann steigt ein Auto aus und die anderen können weiter fahren.")</f>
        <v>Alle Autos stecken auf der Strecke fest, dann steigt ein Auto aus und die anderen können weiter fahren.</v>
      </c>
    </row>
    <row r="37399">
      <c r="A37399" s="4" t="s">
        <v>47023</v>
      </c>
      <c r="B37399" s="4" t="s">
        <v>47027</v>
      </c>
      <c r="C37399" s="5" t="str">
        <f>IFERROR(__xludf.DUMMYFUNCTION("GOOGLETRANSLATE(B37399,""en"",""de"")"),"Dann halten alle Autos an und der Teenager holt die Autos heraus.")</f>
        <v>Dann halten alle Autos an und der Teenager holt die Autos heraus.</v>
      </c>
    </row>
    <row r="37400">
      <c r="A37400" s="4" t="s">
        <v>47028</v>
      </c>
      <c r="B37400" s="4" t="s">
        <v>1251</v>
      </c>
      <c r="C37400" s="5" t="str">
        <f>IFERROR(__xludf.DUMMYFUNCTION("GOOGLETRANSLATE(B37400,""en"",""de"")"),"Die Credits des Clips werden angezeigt.")</f>
        <v>Die Credits des Clips werden angezeigt.</v>
      </c>
    </row>
    <row r="37401">
      <c r="A37401" s="4" t="s">
        <v>47028</v>
      </c>
      <c r="B37401" s="4" t="s">
        <v>47029</v>
      </c>
      <c r="C37401" s="5" t="str">
        <f>IFERROR(__xludf.DUMMYFUNCTION("GOOGLETRANSLATE(B37401,""en"",""de"")"),"Anweisungen zum Stabhochsprung werden dargestellt.")</f>
        <v>Anweisungen zum Stabhochsprung werden dargestellt.</v>
      </c>
    </row>
    <row r="37402">
      <c r="A37402" s="4" t="s">
        <v>47028</v>
      </c>
      <c r="B37402" s="4" t="s">
        <v>47030</v>
      </c>
      <c r="C37402" s="5" t="str">
        <f>IFERROR(__xludf.DUMMYFUNCTION("GOOGLETRANSLATE(B37402,""en"",""de"")"),"Eine Person hält einen länglichen, hohlen Stock.")</f>
        <v>Eine Person hält einen länglichen, hohlen Stock.</v>
      </c>
    </row>
    <row r="37403">
      <c r="A37403" s="4" t="s">
        <v>47028</v>
      </c>
      <c r="B37403" s="4" t="s">
        <v>47031</v>
      </c>
      <c r="C37403" s="5" t="str">
        <f>IFERROR(__xludf.DUMMYFUNCTION("GOOGLETRANSLATE(B37403,""en"",""de"")"),"Ein Mann läuft mit einem länglichen Stock und nutzt ihn, um sich über eine erhöhte Hürde zu erheben.")</f>
        <v>Ein Mann läuft mit einem länglichen Stock und nutzt ihn, um sich über eine erhöhte Hürde zu erheben.</v>
      </c>
    </row>
    <row r="37404">
      <c r="A37404" s="4" t="s">
        <v>47028</v>
      </c>
      <c r="B37404" s="4" t="s">
        <v>47032</v>
      </c>
      <c r="C37404" s="5" t="str">
        <f>IFERROR(__xludf.DUMMYFUNCTION("GOOGLETRANSLATE(B37404,""en"",""de"")"),"Die Oberseite der Hürde fällt auseinander.")</f>
        <v>Die Oberseite der Hürde fällt auseinander.</v>
      </c>
    </row>
    <row r="37405">
      <c r="A37405" s="4" t="s">
        <v>47028</v>
      </c>
      <c r="B37405" s="4" t="s">
        <v>47033</v>
      </c>
      <c r="C37405" s="5" t="str">
        <f>IFERROR(__xludf.DUMMYFUNCTION("GOOGLETRANSLATE(B37405,""en"",""de"")"),"Ein Mann benutzt einen langgestreckten Stock, um sich über eine erhöhte Hürde zu erheben.")</f>
        <v>Ein Mann benutzt einen langgestreckten Stock, um sich über eine erhöhte Hürde zu erheben.</v>
      </c>
    </row>
    <row r="37406">
      <c r="A37406" s="4" t="s">
        <v>47028</v>
      </c>
      <c r="B37406" s="4" t="s">
        <v>573</v>
      </c>
      <c r="C37406" s="5" t="str">
        <f>IFERROR(__xludf.DUMMYFUNCTION("GOOGLETRANSLATE(B37406,""en"",""de"")"),"Die Credits des Videos werden angezeigt.")</f>
        <v>Die Credits des Videos werden angezeigt.</v>
      </c>
    </row>
    <row r="37407">
      <c r="A37407" s="4" t="s">
        <v>47034</v>
      </c>
      <c r="B37407" s="4" t="s">
        <v>47035</v>
      </c>
      <c r="C37407" s="5" t="str">
        <f>IFERROR(__xludf.DUMMYFUNCTION("GOOGLETRANSLATE(B37407,""en"",""de"")"),"Es gibt zwei Jungen, die Rock, Papier und Schere spielen.")</f>
        <v>Es gibt zwei Jungen, die Rock, Papier und Schere spielen.</v>
      </c>
    </row>
    <row r="37408">
      <c r="A37408" s="4" t="s">
        <v>47034</v>
      </c>
      <c r="B37408" s="4" t="s">
        <v>47036</v>
      </c>
      <c r="C37408" s="5" t="str">
        <f>IFERROR(__xludf.DUMMYFUNCTION("GOOGLETRANSLATE(B37408,""en"",""de"")"),"Zuerst spielen sie ein Spiel und den Jungen, der ohne Hemd verliert und geschlagen wird.")</f>
        <v>Zuerst spielen sie ein Spiel und den Jungen, der ohne Hemd verliert und geschlagen wird.</v>
      </c>
    </row>
    <row r="37409">
      <c r="A37409" s="4" t="s">
        <v>47034</v>
      </c>
      <c r="B37409" s="4" t="s">
        <v>47037</v>
      </c>
      <c r="C37409" s="5" t="str">
        <f>IFERROR(__xludf.DUMMYFUNCTION("GOOGLETRANSLATE(B37409,""en"",""de"")"),"Als nächstes spielen sie zwei weitere Spiele, eine Person gewinnt und der hemdlose Junge verliert.")</f>
        <v>Als nächstes spielen sie zwei weitere Spiele, eine Person gewinnt und der hemdlose Junge verliert.</v>
      </c>
    </row>
    <row r="37410">
      <c r="A37410" s="4" t="s">
        <v>47034</v>
      </c>
      <c r="B37410" s="4" t="s">
        <v>47038</v>
      </c>
      <c r="C37410" s="5" t="str">
        <f>IFERROR(__xludf.DUMMYFUNCTION("GOOGLETRANSLATE(B37410,""en"",""de"")"),"Dann verliert der Junge, der einen Pullover trägt, und der andere Junge schlägt ihn.")</f>
        <v>Dann verliert der Junge, der einen Pullover trägt, und der andere Junge schlägt ihn.</v>
      </c>
    </row>
    <row r="37411">
      <c r="A37411" s="4" t="s">
        <v>47039</v>
      </c>
      <c r="B37411" s="4" t="s">
        <v>47040</v>
      </c>
      <c r="C37411" s="5" t="str">
        <f>IFERROR(__xludf.DUMMYFUNCTION("GOOGLETRANSLATE(B37411,""en"",""de"")"),"Ein kahles Mann steht in einem Industriegebäude mit viel Glas an der Decke.")</f>
        <v>Ein kahles Mann steht in einem Industriegebäude mit viel Glas an der Decke.</v>
      </c>
    </row>
    <row r="37412">
      <c r="A37412" s="4" t="s">
        <v>47039</v>
      </c>
      <c r="B37412" s="4" t="s">
        <v>47041</v>
      </c>
      <c r="C37412" s="5" t="str">
        <f>IFERROR(__xludf.DUMMYFUNCTION("GOOGLETRANSLATE(B37412,""en"",""de"")"),"Der Freund des Mannes greift dann eine Bar und beginnt Gewichte und Ruck.")</f>
        <v>Der Freund des Mannes greift dann eine Bar und beginnt Gewichte und Ruck.</v>
      </c>
    </row>
    <row r="37413">
      <c r="A37413" s="4" t="s">
        <v>47039</v>
      </c>
      <c r="B37413" s="4" t="s">
        <v>47042</v>
      </c>
      <c r="C37413" s="5" t="str">
        <f>IFERROR(__xludf.DUMMYFUNCTION("GOOGLETRANSLATE(B37413,""en"",""de"")"),"Alle Aktionen gehen weiter, aber mit verschiedenen Menschen, als verschiedene Menschen auftreten, um die Bar zu greifen.")</f>
        <v>Alle Aktionen gehen weiter, aber mit verschiedenen Menschen, als verschiedene Menschen auftreten, um die Bar zu greifen.</v>
      </c>
    </row>
    <row r="37414">
      <c r="A37414" s="4" t="s">
        <v>47043</v>
      </c>
      <c r="B37414" s="4" t="s">
        <v>47044</v>
      </c>
      <c r="C37414" s="5" t="str">
        <f>IFERROR(__xludf.DUMMYFUNCTION("GOOGLETRANSLATE(B37414,""en"",""de"")"),"Menschen surfen im Meer und ein Mann gehen unter einer riesigen Welle.")</f>
        <v>Menschen surfen im Meer und ein Mann gehen unter einer riesigen Welle.</v>
      </c>
    </row>
    <row r="37415">
      <c r="A37415" s="4" t="s">
        <v>47043</v>
      </c>
      <c r="B37415" s="4" t="s">
        <v>47045</v>
      </c>
      <c r="C37415" s="5" t="str">
        <f>IFERROR(__xludf.DUMMYFUNCTION("GOOGLETRANSLATE(B37415,""en"",""de"")"),"Ein Mann surft in einer kleinen Welle am Strand.")</f>
        <v>Ein Mann surft in einer kleinen Welle am Strand.</v>
      </c>
    </row>
    <row r="37416">
      <c r="A37416" s="4" t="s">
        <v>47043</v>
      </c>
      <c r="B37416" s="4" t="s">
        <v>47046</v>
      </c>
      <c r="C37416" s="5" t="str">
        <f>IFERROR(__xludf.DUMMYFUNCTION("GOOGLETRANSLATE(B37416,""en"",""de"")"),"Dann holt der Mann das Wasser heraus, nachdem er Surfbrett genommen und in einer hohen Welle zum Surf zurückgekehrt war.")</f>
        <v>Dann holt der Mann das Wasser heraus, nachdem er Surfbrett genommen und in einer hohen Welle zum Surf zurückgekehrt war.</v>
      </c>
    </row>
    <row r="37417">
      <c r="A37417" s="4" t="s">
        <v>47043</v>
      </c>
      <c r="B37417" s="4" t="s">
        <v>47047</v>
      </c>
      <c r="C37417" s="5" t="str">
        <f>IFERROR(__xludf.DUMMYFUNCTION("GOOGLETRANSLATE(B37417,""en"",""de"")"),"Menschen schwimmen am Strand.")</f>
        <v>Menschen schwimmen am Strand.</v>
      </c>
    </row>
    <row r="37418">
      <c r="A37418" s="4" t="s">
        <v>47048</v>
      </c>
      <c r="B37418" s="4" t="s">
        <v>47049</v>
      </c>
      <c r="C37418" s="5" t="str">
        <f>IFERROR(__xludf.DUMMYFUNCTION("GOOGLETRANSLATE(B37418,""en"",""de"")"),"Die Leute versammeln sich in einem Restaurant, dann zeigt ein Kocher Pasta und Zutaten, während sie sprechen.")</f>
        <v>Die Leute versammeln sich in einem Restaurant, dann zeigt ein Kocher Pasta und Zutaten, während sie sprechen.</v>
      </c>
    </row>
    <row r="37419">
      <c r="A37419" s="4" t="s">
        <v>47048</v>
      </c>
      <c r="B37419" s="4" t="s">
        <v>47050</v>
      </c>
      <c r="C37419" s="5" t="str">
        <f>IFERROR(__xludf.DUMMYFUNCTION("GOOGLETRANSLATE(B37419,""en"",""de"")"),"Der Herd schneidet und Pommes Tintenfisch in einen Topf, dann fügt er Salz und Essig hinzu.")</f>
        <v>Der Herd schneidet und Pommes Tintenfisch in einen Topf, dann fügt er Salz und Essig hinzu.</v>
      </c>
    </row>
    <row r="37420">
      <c r="A37420" s="4" t="s">
        <v>47048</v>
      </c>
      <c r="B37420" s="4" t="s">
        <v>47051</v>
      </c>
      <c r="C37420" s="5" t="str">
        <f>IFERROR(__xludf.DUMMYFUNCTION("GOOGLETRANSLATE(B37420,""en"",""de"")"),"Dann schnitt der Kocher Tomaten und fügt den Tintenfisch hinzu, fügt auch Knoblauch, Pfeffer und grünes Gemüse hinzu.")</f>
        <v>Dann schnitt der Kocher Tomaten und fügt den Tintenfisch hinzu, fügt auch Knoblauch, Pfeffer und grünes Gemüse hinzu.</v>
      </c>
    </row>
    <row r="37421">
      <c r="A37421" s="4" t="s">
        <v>47048</v>
      </c>
      <c r="B37421" s="4" t="s">
        <v>47052</v>
      </c>
      <c r="C37421" s="5" t="str">
        <f>IFERROR(__xludf.DUMMYFUNCTION("GOOGLETRANSLATE(B37421,""en"",""de"")"),"Danach fügt der Kocher Wasser hinzu und bedeckt den Topf mit Aluminiumpapier.")</f>
        <v>Danach fügt der Kocher Wasser hinzu und bedeckt den Topf mit Aluminiumpapier.</v>
      </c>
    </row>
    <row r="37422">
      <c r="A37422" s="4" t="s">
        <v>47048</v>
      </c>
      <c r="B37422" s="4" t="s">
        <v>47053</v>
      </c>
      <c r="C37422" s="5" t="str">
        <f>IFERROR(__xludf.DUMMYFUNCTION("GOOGLETRANSLATE(B37422,""en"",""de"")"),"Als nächstes fügt der Kocher die Nudeln zum Tintenfisch hinzu und mischt sich, dann serviert er und serviert in einem Gericht, während er redet.")</f>
        <v>Als nächstes fügt der Kocher die Nudeln zum Tintenfisch hinzu und mischt sich, dann serviert er und serviert in einem Gericht, während er redet.</v>
      </c>
    </row>
  </sheetData>
  <drawing r:id="rId1"/>
</worksheet>
</file>